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mc:AlternateContent xmlns:mc="http://schemas.openxmlformats.org/markup-compatibility/2006">
    <mc:Choice Requires="x15">
      <x15ac:absPath xmlns:x15ac="http://schemas.microsoft.com/office/spreadsheetml/2010/11/ac" url="C:\Users\slibberton\Desktop\UTA\"/>
    </mc:Choice>
  </mc:AlternateContent>
  <xr:revisionPtr revIDLastSave="0" documentId="8_{CF3444AA-47F8-4935-9B33-9FBD3009BEB9}" xr6:coauthVersionLast="46" xr6:coauthVersionMax="46" xr10:uidLastSave="{00000000-0000-0000-0000-000000000000}"/>
  <bookViews>
    <workbookView xWindow="-110" yWindow="-110" windowWidth="19420" windowHeight="10420" tabRatio="921" xr2:uid="{00000000-000D-0000-FFFF-FFFF00000000}"/>
  </bookViews>
  <sheets>
    <sheet name="Results" sheetId="260" r:id="rId1"/>
    <sheet name="CRISI Tables" sheetId="261" r:id="rId2"/>
    <sheet name="Data for Charts" sheetId="218" r:id="rId3"/>
    <sheet name="S&amp;L Diagrams" sheetId="214" r:id="rId4"/>
    <sheet name="Crossing Inputs" sheetId="263" r:id="rId5"/>
    <sheet name="General Inputs" sheetId="265" r:id="rId6"/>
    <sheet name="Demand" sheetId="267" r:id="rId7"/>
    <sheet name="Capital Cost" sheetId="264" r:id="rId8"/>
    <sheet name="Calc1.1 - Land Value" sheetId="285" r:id="rId9"/>
    <sheet name="Calc1.2 - Residual Value" sheetId="289" r:id="rId10"/>
    <sheet name="Calc1.3 - O&amp;M Savings" sheetId="294" r:id="rId11"/>
    <sheet name="700 South" sheetId="302" r:id="rId12"/>
    <sheet name="B1.1" sheetId="303" r:id="rId13"/>
    <sheet name="A1.1" sheetId="304" r:id="rId14"/>
    <sheet name="950 West" sheetId="268" r:id="rId15"/>
    <sheet name="B1.2" sheetId="269" r:id="rId16"/>
    <sheet name="A1.2" sheetId="270" r:id="rId17"/>
    <sheet name="1600 South" sheetId="271" r:id="rId18"/>
    <sheet name="B1.3" sheetId="272" r:id="rId19"/>
    <sheet name="A1.3" sheetId="273" r:id="rId20"/>
    <sheet name="400 West" sheetId="305" r:id="rId21"/>
    <sheet name="B1.4" sheetId="306" r:id="rId22"/>
    <sheet name="A1.4" sheetId="307" r:id="rId23"/>
    <sheet name="Private" sheetId="308" r:id="rId24"/>
    <sheet name="B1.5" sheetId="310" r:id="rId25"/>
    <sheet name="A1.5" sheetId="309" r:id="rId26"/>
    <sheet name="Canyon Creek Parkway" sheetId="277" r:id="rId27"/>
    <sheet name="B1.6" sheetId="278" r:id="rId28"/>
    <sheet name="A1.6" sheetId="279" r:id="rId29"/>
    <sheet name="Colorado Avenue" sheetId="312" r:id="rId30"/>
    <sheet name="B1.7" sheetId="313" r:id="rId31"/>
    <sheet name="A1.7" sheetId="314" r:id="rId32"/>
    <sheet name="900 South" sheetId="315" r:id="rId33"/>
    <sheet name="B1.8" sheetId="317" r:id="rId34"/>
    <sheet name="A1.8" sheetId="316" r:id="rId35"/>
    <sheet name="1000 North" sheetId="318" r:id="rId36"/>
    <sheet name="B1.9" sheetId="320" r:id="rId37"/>
    <sheet name="A1.9" sheetId="319" r:id="rId38"/>
    <sheet name="West Center" sheetId="321" r:id="rId39"/>
    <sheet name="B1.10" sheetId="323" r:id="rId40"/>
    <sheet name="A1.10" sheetId="322" r:id="rId41"/>
    <sheet name="2000 South" sheetId="324" r:id="rId42"/>
    <sheet name="B1.11" sheetId="326" r:id="rId43"/>
    <sheet name="A1.11" sheetId="325" r:id="rId44"/>
    <sheet name="400 North" sheetId="327" r:id="rId45"/>
    <sheet name="B1.12" sheetId="329" r:id="rId46"/>
    <sheet name="A1.12" sheetId="328" r:id="rId47"/>
    <sheet name="Accidents Methodology" sheetId="224" r:id="rId48"/>
    <sheet name="Annual Growth-AADT Calculation" sheetId="330" r:id="rId49"/>
    <sheet name="Land Value Increase" sheetId="286" r:id="rId50"/>
    <sheet name="Emission Costs" sheetId="300" r:id="rId51"/>
    <sheet name="Auto Emissions" sheetId="234" r:id="rId52"/>
    <sheet name="Truck Emissions" sheetId="236" r:id="rId53"/>
    <sheet name="Bus Emissions" sheetId="240" r:id="rId54"/>
    <sheet name="Rail Emissions" sheetId="52" r:id="rId55"/>
    <sheet name="Fuel Costs" sheetId="50" r:id="rId56"/>
    <sheet name="Accident Costs" sheetId="295" r:id="rId57"/>
    <sheet name="Value of Time" sheetId="296" r:id="rId58"/>
    <sheet name="Miscellaneous" sheetId="297" r:id="rId59"/>
    <sheet name="PRICES and ECI" sheetId="299" r:id="rId60"/>
    <sheet name="Inflation Adjustment" sheetId="301" r:id="rId61"/>
    <sheet name="Other Vehicle Costs" sheetId="298" r:id="rId62"/>
    <sheet name="Deflation Factors" sheetId="311" r:id="rId63"/>
    <sheet name="Tons Conversion" sheetId="220" r:id="rId64"/>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localSheetId="55" hidden="1">FALSE</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SelectiveQR" hidden="1">FALSE</definedName>
    <definedName name="_AtRisk_SimSetting_ReportsList" localSheetId="55" hidden="1">2</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localSheetId="55" hidden="1">0.95</definedName>
    <definedName name="_AtRisk_SimSetting_StdRecalcWithoutRiskStaticPercentile" hidden="1">0.5</definedName>
    <definedName name="_Fill" localSheetId="15" hidden="1">#REF!</definedName>
    <definedName name="_Fill" localSheetId="18" hidden="1">#REF!</definedName>
    <definedName name="_Fill" localSheetId="27" hidden="1">#REF!</definedName>
    <definedName name="_Fill" localSheetId="6" hidden="1">#REF!</definedName>
    <definedName name="_Fill" localSheetId="0" hidden="1">#REF!</definedName>
    <definedName name="_Fill" localSheetId="3" hidden="1">#REF!</definedName>
    <definedName name="_Fill" hidden="1">#REF!</definedName>
    <definedName name="_Key1" localSheetId="15" hidden="1">#REF!</definedName>
    <definedName name="_Key1" localSheetId="18" hidden="1">#REF!</definedName>
    <definedName name="_Key1" localSheetId="27" hidden="1">#REF!</definedName>
    <definedName name="_Key1" localSheetId="6" hidden="1">#REF!</definedName>
    <definedName name="_Key1" localSheetId="0" hidden="1">#REF!</definedName>
    <definedName name="_Key1" localSheetId="3" hidden="1">#REF!</definedName>
    <definedName name="_Key1" hidden="1">#REF!</definedName>
    <definedName name="_Key2" localSheetId="15" hidden="1">#REF!</definedName>
    <definedName name="_Key2" localSheetId="18" hidden="1">#REF!</definedName>
    <definedName name="_Key2" localSheetId="27" hidden="1">#REF!</definedName>
    <definedName name="_Key2" localSheetId="6" hidden="1">#REF!</definedName>
    <definedName name="_Key2" localSheetId="0" hidden="1">#REF!</definedName>
    <definedName name="_Key2" localSheetId="3" hidden="1">#REF!</definedName>
    <definedName name="_Key2" hidden="1">#REF!</definedName>
    <definedName name="_Order1" hidden="1">255</definedName>
    <definedName name="_Order2" hidden="1">255</definedName>
    <definedName name="_Sort" localSheetId="15" hidden="1">#REF!</definedName>
    <definedName name="_Sort" localSheetId="18" hidden="1">#REF!</definedName>
    <definedName name="_Sort" localSheetId="27" hidden="1">#REF!</definedName>
    <definedName name="_Sort" localSheetId="6" hidden="1">#REF!</definedName>
    <definedName name="_Sort" localSheetId="0" hidden="1">#REF!</definedName>
    <definedName name="_Sort" localSheetId="3" hidden="1">#REF!</definedName>
    <definedName name="_Sort" hidden="1">#REF!</definedName>
    <definedName name="BIG" localSheetId="15" hidden="1">{#N/A,#N/A,FALSE,"Pricing";#N/A,#N/A,FALSE,"Summary";#N/A,#N/A,FALSE,"CompProd";#N/A,#N/A,FALSE,"CompJobhrs";#N/A,#N/A,FALSE,"Escalation";#N/A,#N/A,FALSE,"Contingency";#N/A,#N/A,FALSE,"GM";#N/A,#N/A,FALSE,"CompWage";#N/A,#N/A,FALSE,"costSum"}</definedName>
    <definedName name="BIG" localSheetId="18" hidden="1">{#N/A,#N/A,FALSE,"Pricing";#N/A,#N/A,FALSE,"Summary";#N/A,#N/A,FALSE,"CompProd";#N/A,#N/A,FALSE,"CompJobhrs";#N/A,#N/A,FALSE,"Escalation";#N/A,#N/A,FALSE,"Contingency";#N/A,#N/A,FALSE,"GM";#N/A,#N/A,FALSE,"CompWage";#N/A,#N/A,FALSE,"costSum"}</definedName>
    <definedName name="BIG" localSheetId="27" hidden="1">{#N/A,#N/A,FALSE,"Pricing";#N/A,#N/A,FALSE,"Summary";#N/A,#N/A,FALSE,"CompProd";#N/A,#N/A,FALSE,"CompJobhrs";#N/A,#N/A,FALSE,"Escalation";#N/A,#N/A,FALSE,"Contingency";#N/A,#N/A,FALSE,"GM";#N/A,#N/A,FALSE,"CompWage";#N/A,#N/A,FALSE,"costSum"}</definedName>
    <definedName name="BIG" localSheetId="0" hidden="1">{#N/A,#N/A,FALSE,"Pricing";#N/A,#N/A,FALSE,"Summary";#N/A,#N/A,FALSE,"CompProd";#N/A,#N/A,FALSE,"CompJobhrs";#N/A,#N/A,FALSE,"Escalation";#N/A,#N/A,FALSE,"Contingency";#N/A,#N/A,FALSE,"GM";#N/A,#N/A,FALSE,"CompWage";#N/A,#N/A,FALSE,"costSum"}</definedName>
    <definedName name="BIG" localSheetId="3" hidden="1">{#N/A,#N/A,FALSE,"Pricing";#N/A,#N/A,FALSE,"Summary";#N/A,#N/A,FALSE,"CompProd";#N/A,#N/A,FALSE,"CompJobhrs";#N/A,#N/A,FALSE,"Escalation";#N/A,#N/A,FALSE,"Contingency";#N/A,#N/A,FALSE,"GM";#N/A,#N/A,FALSE,"CompWage";#N/A,#N/A,FALSE,"costSum"}</definedName>
    <definedName name="BIG" hidden="1">{#N/A,#N/A,FALSE,"Pricing";#N/A,#N/A,FALSE,"Summary";#N/A,#N/A,FALSE,"CompProd";#N/A,#N/A,FALSE,"CompJobhrs";#N/A,#N/A,FALSE,"Escalation";#N/A,#N/A,FALSE,"Contingency";#N/A,#N/A,FALSE,"GM";#N/A,#N/A,FALSE,"CompWage";#N/A,#N/A,FALSE,"costSum"}</definedName>
    <definedName name="CHUCK" localSheetId="15" hidden="1">{#N/A,#N/A,FALSE,"Pricing";#N/A,#N/A,FALSE,"Summary";#N/A,#N/A,FALSE,"CompProd";#N/A,#N/A,FALSE,"CompJobhrs";#N/A,#N/A,FALSE,"Escalation";#N/A,#N/A,FALSE,"Contingency";#N/A,#N/A,FALSE,"GM";#N/A,#N/A,FALSE,"CompWage";#N/A,#N/A,FALSE,"costSum"}</definedName>
    <definedName name="CHUCK" localSheetId="18" hidden="1">{#N/A,#N/A,FALSE,"Pricing";#N/A,#N/A,FALSE,"Summary";#N/A,#N/A,FALSE,"CompProd";#N/A,#N/A,FALSE,"CompJobhrs";#N/A,#N/A,FALSE,"Escalation";#N/A,#N/A,FALSE,"Contingency";#N/A,#N/A,FALSE,"GM";#N/A,#N/A,FALSE,"CompWage";#N/A,#N/A,FALSE,"costSum"}</definedName>
    <definedName name="CHUCK" localSheetId="27" hidden="1">{#N/A,#N/A,FALSE,"Pricing";#N/A,#N/A,FALSE,"Summary";#N/A,#N/A,FALSE,"CompProd";#N/A,#N/A,FALSE,"CompJobhrs";#N/A,#N/A,FALSE,"Escalation";#N/A,#N/A,FALSE,"Contingency";#N/A,#N/A,FALSE,"GM";#N/A,#N/A,FALSE,"CompWage";#N/A,#N/A,FALSE,"costSum"}</definedName>
    <definedName name="CHUCK" localSheetId="0" hidden="1">{#N/A,#N/A,FALSE,"Pricing";#N/A,#N/A,FALSE,"Summary";#N/A,#N/A,FALSE,"CompProd";#N/A,#N/A,FALSE,"CompJobhrs";#N/A,#N/A,FALSE,"Escalation";#N/A,#N/A,FALSE,"Contingency";#N/A,#N/A,FALSE,"GM";#N/A,#N/A,FALSE,"CompWage";#N/A,#N/A,FALSE,"costSum"}</definedName>
    <definedName name="CHUCK" localSheetId="3" hidden="1">{#N/A,#N/A,FALSE,"Pricing";#N/A,#N/A,FALSE,"Summary";#N/A,#N/A,FALSE,"CompProd";#N/A,#N/A,FALSE,"CompJobhrs";#N/A,#N/A,FALSE,"Escalation";#N/A,#N/A,FALSE,"Contingency";#N/A,#N/A,FALSE,"GM";#N/A,#N/A,FALSE,"CompWage";#N/A,#N/A,FALSE,"costSum"}</definedName>
    <definedName name="CHUCK" hidden="1">{#N/A,#N/A,FALSE,"Pricing";#N/A,#N/A,FALSE,"Summary";#N/A,#N/A,FALSE,"CompProd";#N/A,#N/A,FALSE,"CompJobhrs";#N/A,#N/A,FALSE,"Escalation";#N/A,#N/A,FALSE,"Contingency";#N/A,#N/A,FALSE,"GM";#N/A,#N/A,FALSE,"CompWage";#N/A,#N/A,FALSE,"costSum"}</definedName>
    <definedName name="Client.Name">#REF!</definedName>
    <definedName name="Days.Per.Year">'General Inputs'!$D$12</definedName>
    <definedName name="Feet.Per.Mile">'General Inputs'!$D$10</definedName>
    <definedName name="Grams.Per.Metric.Ton">'General Inputs'!$D$8</definedName>
    <definedName name="Grams.Per.Ton">'General Inputs'!$D$7</definedName>
    <definedName name="HTML_CodePage" hidden="1">1252</definedName>
    <definedName name="HTML_Control" localSheetId="15" hidden="1">{"'2-35'!$A$1:$M$48"}</definedName>
    <definedName name="HTML_Control" localSheetId="18" hidden="1">{"'2-35'!$A$1:$M$48"}</definedName>
    <definedName name="HTML_Control" localSheetId="27" hidden="1">{"'2-35'!$A$1:$M$48"}</definedName>
    <definedName name="HTML_Control" localSheetId="0" hidden="1">{"'2-35'!$A$1:$M$48"}</definedName>
    <definedName name="HTML_Control" localSheetId="3" hidden="1">{"'2-35'!$A$1:$M$48"}</definedName>
    <definedName name="HTML_Control" hidden="1">{"'2-35'!$A$1:$M$48"}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"C:\WINNT\Profiles\dmegret\Desktop\current tasks\nts2000\nts2000\HTML\Ch2_web\2-35.htm"</definedName>
    <definedName name="HTML_Title" hidden="1">"Table 2-35"</definedName>
    <definedName name="JANA" localSheetId="15" hidden="1">{#N/A,#N/A,FALSE,"Pricing";#N/A,#N/A,FALSE,"Summary";#N/A,#N/A,FALSE,"CompProd";#N/A,#N/A,FALSE,"CompJobhrs";#N/A,#N/A,FALSE,"Escalation";#N/A,#N/A,FALSE,"Contingency";#N/A,#N/A,FALSE,"GM";#N/A,#N/A,FALSE,"CompWage";#N/A,#N/A,FALSE,"costSum"}</definedName>
    <definedName name="JANA" localSheetId="18" hidden="1">{#N/A,#N/A,FALSE,"Pricing";#N/A,#N/A,FALSE,"Summary";#N/A,#N/A,FALSE,"CompProd";#N/A,#N/A,FALSE,"CompJobhrs";#N/A,#N/A,FALSE,"Escalation";#N/A,#N/A,FALSE,"Contingency";#N/A,#N/A,FALSE,"GM";#N/A,#N/A,FALSE,"CompWage";#N/A,#N/A,FALSE,"costSum"}</definedName>
    <definedName name="JANA" localSheetId="27" hidden="1">{#N/A,#N/A,FALSE,"Pricing";#N/A,#N/A,FALSE,"Summary";#N/A,#N/A,FALSE,"CompProd";#N/A,#N/A,FALSE,"CompJobhrs";#N/A,#N/A,FALSE,"Escalation";#N/A,#N/A,FALSE,"Contingency";#N/A,#N/A,FALSE,"GM";#N/A,#N/A,FALSE,"CompWage";#N/A,#N/A,FALSE,"costSum"}</definedName>
    <definedName name="JANA" localSheetId="0" hidden="1">{#N/A,#N/A,FALSE,"Pricing";#N/A,#N/A,FALSE,"Summary";#N/A,#N/A,FALSE,"CompProd";#N/A,#N/A,FALSE,"CompJobhrs";#N/A,#N/A,FALSE,"Escalation";#N/A,#N/A,FALSE,"Contingency";#N/A,#N/A,FALSE,"GM";#N/A,#N/A,FALSE,"CompWage";#N/A,#N/A,FALSE,"costSum"}</definedName>
    <definedName name="JANA" localSheetId="3" hidden="1">{#N/A,#N/A,FALSE,"Pricing";#N/A,#N/A,FALSE,"Summary";#N/A,#N/A,FALSE,"CompProd";#N/A,#N/A,FALSE,"CompJobhrs";#N/A,#N/A,FALSE,"Escalation";#N/A,#N/A,FALSE,"Contingency";#N/A,#N/A,FALSE,"GM";#N/A,#N/A,FALSE,"CompWage";#N/A,#N/A,FALSE,"costSum"}</definedName>
    <definedName name="JANA" hidden="1">{#N/A,#N/A,FALSE,"Pricing";#N/A,#N/A,FALSE,"Summary";#N/A,#N/A,FALSE,"CompProd";#N/A,#N/A,FALSE,"CompJobhrs";#N/A,#N/A,FALSE,"Escalation";#N/A,#N/A,FALSE,"Contingency";#N/A,#N/A,FALSE,"GM";#N/A,#N/A,FALSE,"CompWage";#N/A,#N/A,FALSE,"costSum"}</definedName>
    <definedName name="Minutes.Per.Day">'General Inputs'!$D$11</definedName>
    <definedName name="Minutes.per.Hour">'General Inputs'!$D$9</definedName>
    <definedName name="Pal_Workbook_GUID" localSheetId="55" hidden="1">"3XHXXQSLF67LVVUJ7F3SICY8"</definedName>
    <definedName name="Pal_Workbook_GUID" hidden="1">"6UQPV5GY3NZ6N5DC9LK87FZI"</definedName>
    <definedName name="Project.Name">#REF!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localSheetId="55" hidden="1">1</definedName>
    <definedName name="RiskCollectDistributionSamples" hidden="1">2</definedName>
    <definedName name="RiskFixedSeed" localSheetId="55" hidden="1">1917</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localSheetId="55" hidden="1">TRUE</definedName>
    <definedName name="RiskMultipleCPUSupportEnabled" hidden="1">FALSE</definedName>
    <definedName name="RiskNumIterations" localSheetId="55" hidden="1">500</definedName>
    <definedName name="RiskNumIterations" hidden="1">10000</definedName>
    <definedName name="RiskNumSimulations" localSheetId="55" hidden="1">7</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SwapState" hidden="1">FALSE</definedName>
    <definedName name="RiskUpdateDisplay" hidden="1">FALSE</definedName>
    <definedName name="RiskUseDifferentSeedForEachSim" hidden="1">FALSE</definedName>
    <definedName name="RiskUseFixedSeed" hidden="1">TRUE</definedName>
    <definedName name="RiskUseMultipleCPUs" localSheetId="55" hidden="1">TRUE</definedName>
    <definedName name="RiskUseMultipleCPUs" hidden="1">FALSE</definedName>
    <definedName name="Services2" localSheetId="15" hidden="1">{#N/A,#N/A,FALSE,"Pricing";#N/A,#N/A,FALSE,"Summary";#N/A,#N/A,FALSE,"CompProd";#N/A,#N/A,FALSE,"CompJobhrs";#N/A,#N/A,FALSE,"Escalation";#N/A,#N/A,FALSE,"Contingency";#N/A,#N/A,FALSE,"GM";#N/A,#N/A,FALSE,"CompWage";#N/A,#N/A,FALSE,"costSum"}</definedName>
    <definedName name="Services2" localSheetId="18" hidden="1">{#N/A,#N/A,FALSE,"Pricing";#N/A,#N/A,FALSE,"Summary";#N/A,#N/A,FALSE,"CompProd";#N/A,#N/A,FALSE,"CompJobhrs";#N/A,#N/A,FALSE,"Escalation";#N/A,#N/A,FALSE,"Contingency";#N/A,#N/A,FALSE,"GM";#N/A,#N/A,FALSE,"CompWage";#N/A,#N/A,FALSE,"costSum"}</definedName>
    <definedName name="Services2" localSheetId="27" hidden="1">{#N/A,#N/A,FALSE,"Pricing";#N/A,#N/A,FALSE,"Summary";#N/A,#N/A,FALSE,"CompProd";#N/A,#N/A,FALSE,"CompJobhrs";#N/A,#N/A,FALSE,"Escalation";#N/A,#N/A,FALSE,"Contingency";#N/A,#N/A,FALSE,"GM";#N/A,#N/A,FALSE,"CompWage";#N/A,#N/A,FALSE,"costSum"}</definedName>
    <definedName name="Services2" localSheetId="0" hidden="1">{#N/A,#N/A,FALSE,"Pricing";#N/A,#N/A,FALSE,"Summary";#N/A,#N/A,FALSE,"CompProd";#N/A,#N/A,FALSE,"CompJobhrs";#N/A,#N/A,FALSE,"Escalation";#N/A,#N/A,FALSE,"Contingency";#N/A,#N/A,FALSE,"GM";#N/A,#N/A,FALSE,"CompWage";#N/A,#N/A,FALSE,"costSum"}</definedName>
    <definedName name="Services2" localSheetId="3" hidden="1">{#N/A,#N/A,FALSE,"Pricing";#N/A,#N/A,FALSE,"Summary";#N/A,#N/A,FALSE,"CompProd";#N/A,#N/A,FALSE,"CompJobhrs";#N/A,#N/A,FALSE,"Escalation";#N/A,#N/A,FALSE,"Contingency";#N/A,#N/A,FALSE,"GM";#N/A,#N/A,FALSE,"CompWage";#N/A,#N/A,FALSE,"costSum"}</definedName>
    <definedName name="Services2" hidden="1">{#N/A,#N/A,FALSE,"Pricing";#N/A,#N/A,FALSE,"Summary";#N/A,#N/A,FALSE,"CompProd";#N/A,#N/A,FALSE,"CompJobhrs";#N/A,#N/A,FALSE,"Escalation";#N/A,#N/A,FALSE,"Contingency";#N/A,#N/A,FALSE,"GM";#N/A,#N/A,FALSE,"CompWage";#N/A,#N/A,FALSE,"costSum"}</definedName>
    <definedName name="STRCBY">#REF!</definedName>
    <definedName name="STRCConstBeg">#REF!</definedName>
    <definedName name="STRCConstEnd">#REF!</definedName>
    <definedName name="STRCStudyEnd">#REF!</definedName>
    <definedName name="temp" localSheetId="15" hidden="1">{#N/A,#N/A,FALSE,"Pricing";#N/A,#N/A,FALSE,"Summary";#N/A,#N/A,FALSE,"CompProd";#N/A,#N/A,FALSE,"CompJobhrs";#N/A,#N/A,FALSE,"Escalation";#N/A,#N/A,FALSE,"Contingency";#N/A,#N/A,FALSE,"GM";#N/A,#N/A,FALSE,"CompWage";#N/A,#N/A,FALSE,"costSum"}</definedName>
    <definedName name="temp" localSheetId="18" hidden="1">{#N/A,#N/A,FALSE,"Pricing";#N/A,#N/A,FALSE,"Summary";#N/A,#N/A,FALSE,"CompProd";#N/A,#N/A,FALSE,"CompJobhrs";#N/A,#N/A,FALSE,"Escalation";#N/A,#N/A,FALSE,"Contingency";#N/A,#N/A,FALSE,"GM";#N/A,#N/A,FALSE,"CompWage";#N/A,#N/A,FALSE,"costSum"}</definedName>
    <definedName name="temp" localSheetId="27" hidden="1">{#N/A,#N/A,FALSE,"Pricing";#N/A,#N/A,FALSE,"Summary";#N/A,#N/A,FALSE,"CompProd";#N/A,#N/A,FALSE,"CompJobhrs";#N/A,#N/A,FALSE,"Escalation";#N/A,#N/A,FALSE,"Contingency";#N/A,#N/A,FALSE,"GM";#N/A,#N/A,FALSE,"CompWage";#N/A,#N/A,FALSE,"costSum"}</definedName>
    <definedName name="temp" localSheetId="0" hidden="1">{#N/A,#N/A,FALSE,"Pricing";#N/A,#N/A,FALSE,"Summary";#N/A,#N/A,FALSE,"CompProd";#N/A,#N/A,FALSE,"CompJobhrs";#N/A,#N/A,FALSE,"Escalation";#N/A,#N/A,FALSE,"Contingency";#N/A,#N/A,FALSE,"GM";#N/A,#N/A,FALSE,"CompWage";#N/A,#N/A,FALSE,"costSum"}</definedName>
    <definedName name="temp" localSheetId="3" hidden="1">{#N/A,#N/A,FALSE,"Pricing";#N/A,#N/A,FALSE,"Summary";#N/A,#N/A,FALSE,"CompProd";#N/A,#N/A,FALSE,"CompJobhrs";#N/A,#N/A,FALSE,"Escalation";#N/A,#N/A,FALSE,"Contingency";#N/A,#N/A,FALSE,"GM";#N/A,#N/A,FALSE,"CompWage";#N/A,#N/A,FALSE,"costSum"}</definedName>
    <definedName name="temp" hidden="1">{#N/A,#N/A,FALSE,"Pricing";#N/A,#N/A,FALSE,"Summary";#N/A,#N/A,FALSE,"CompProd";#N/A,#N/A,FALSE,"CompJobhrs";#N/A,#N/A,FALSE,"Escalation";#N/A,#N/A,FALSE,"Contingency";#N/A,#N/A,FALSE,"GM";#N/A,#N/A,FALSE,"CompWage";#N/A,#N/A,FALSE,"costSum"}</definedName>
    <definedName name="VRCBY">'Crossing Inputs'!$C$4</definedName>
    <definedName name="VRCConstBeg">'Crossing Inputs'!$C$5</definedName>
    <definedName name="VRCConstEnd">'Crossing Inputs'!$C$6</definedName>
    <definedName name="VRCStudyEnd">Results!$C$10</definedName>
    <definedName name="wrn.all." localSheetId="15" hidden="1">{"sandu",#N/A,FALSE,"sandu";"flow",#N/A,FALSE,"base";"debt",#N/A,FALSE,"base";"subdebt",#N/A,FALSE,"subdebt";"operating",#N/A,FALSE,"base";"stress1",#N/A,FALSE,"stress1";"stress2",#N/A,FALSE,"stress2"}</definedName>
    <definedName name="wrn.all." localSheetId="18" hidden="1">{"sandu",#N/A,FALSE,"sandu";"flow",#N/A,FALSE,"base";"debt",#N/A,FALSE,"base";"subdebt",#N/A,FALSE,"subdebt";"operating",#N/A,FALSE,"base";"stress1",#N/A,FALSE,"stress1";"stress2",#N/A,FALSE,"stress2"}</definedName>
    <definedName name="wrn.all." localSheetId="27" hidden="1">{"sandu",#N/A,FALSE,"sandu";"flow",#N/A,FALSE,"base";"debt",#N/A,FALSE,"base";"subdebt",#N/A,FALSE,"subdebt";"operating",#N/A,FALSE,"base";"stress1",#N/A,FALSE,"stress1";"stress2",#N/A,FALSE,"stress2"}</definedName>
    <definedName name="wrn.all." localSheetId="0" hidden="1">{"sandu",#N/A,FALSE,"sandu";"flow",#N/A,FALSE,"base";"debt",#N/A,FALSE,"base";"subdebt",#N/A,FALSE,"subdebt";"operating",#N/A,FALSE,"base";"stress1",#N/A,FALSE,"stress1";"stress2",#N/A,FALSE,"stress2"}</definedName>
    <definedName name="wrn.all." localSheetId="3" hidden="1">{"sandu",#N/A,FALSE,"sandu";"flow",#N/A,FALSE,"base";"debt",#N/A,FALSE,"base";"subdebt",#N/A,FALSE,"subdebt";"operating",#N/A,FALSE,"base";"stress1",#N/A,FALSE,"stress1";"stress2",#N/A,FALSE,"stress2"}</definedName>
    <definedName name="wrn.all." hidden="1">{"sandu",#N/A,FALSE,"sandu";"flow",#N/A,FALSE,"base";"debt",#N/A,FALSE,"base";"subdebt",#N/A,FALSE,"subdebt";"operating",#N/A,FALSE,"base";"stress1",#N/A,FALSE,"stress1";"stress2",#N/A,FALSE,"stress2"}</definedName>
    <definedName name="wrn.ESTIMATE." localSheetId="15" hidden="1">{#N/A,#N/A,FALSE,"SUM";#N/A,#N/A,FALSE,"MECH.";#N/A,#N/A,FALSE,"PIPE";#N/A,#N/A,FALSE,"ELECT";#N/A,#N/A,FALSE,"PR CONT";#N/A,#N/A,FALSE,"STRUCT"}</definedName>
    <definedName name="wrn.ESTIMATE." localSheetId="18" hidden="1">{#N/A,#N/A,FALSE,"SUM";#N/A,#N/A,FALSE,"MECH.";#N/A,#N/A,FALSE,"PIPE";#N/A,#N/A,FALSE,"ELECT";#N/A,#N/A,FALSE,"PR CONT";#N/A,#N/A,FALSE,"STRUCT"}</definedName>
    <definedName name="wrn.ESTIMATE." localSheetId="27" hidden="1">{#N/A,#N/A,FALSE,"SUM";#N/A,#N/A,FALSE,"MECH.";#N/A,#N/A,FALSE,"PIPE";#N/A,#N/A,FALSE,"ELECT";#N/A,#N/A,FALSE,"PR CONT";#N/A,#N/A,FALSE,"STRUCT"}</definedName>
    <definedName name="wrn.ESTIMATE." localSheetId="0" hidden="1">{#N/A,#N/A,FALSE,"SUM";#N/A,#N/A,FALSE,"MECH.";#N/A,#N/A,FALSE,"PIPE";#N/A,#N/A,FALSE,"ELECT";#N/A,#N/A,FALSE,"PR CONT";#N/A,#N/A,FALSE,"STRUCT"}</definedName>
    <definedName name="wrn.ESTIMATE." localSheetId="3" hidden="1">{#N/A,#N/A,FALSE,"SUM";#N/A,#N/A,FALSE,"MECH.";#N/A,#N/A,FALSE,"PIPE";#N/A,#N/A,FALSE,"ELECT";#N/A,#N/A,FALSE,"PR CONT";#N/A,#N/A,FALSE,"STRUCT"}</definedName>
    <definedName name="wrn.ESTIMATE." hidden="1">{#N/A,#N/A,FALSE,"SUM";#N/A,#N/A,FALSE,"MECH.";#N/A,#N/A,FALSE,"PIPE";#N/A,#N/A,FALSE,"ELECT";#N/A,#N/A,FALSE,"PR CONT";#N/A,#N/A,FALSE,"STRUCT"}</definedName>
    <definedName name="wrn.Labor._.Cost._.Workbook." localSheetId="15" hidden="1">{#N/A,#N/A,FALSE,"RATES";#N/A,#N/A,FALSE,"LOADED RATES"}</definedName>
    <definedName name="wrn.Labor._.Cost._.Workbook." localSheetId="18" hidden="1">{#N/A,#N/A,FALSE,"RATES";#N/A,#N/A,FALSE,"LOADED RATES"}</definedName>
    <definedName name="wrn.Labor._.Cost._.Workbook." localSheetId="27" hidden="1">{#N/A,#N/A,FALSE,"RATES";#N/A,#N/A,FALSE,"LOADED RATES"}</definedName>
    <definedName name="wrn.Labor._.Cost._.Workbook." localSheetId="0" hidden="1">{#N/A,#N/A,FALSE,"RATES";#N/A,#N/A,FALSE,"LOADED RATES"}</definedName>
    <definedName name="wrn.Labor._.Cost._.Workbook." localSheetId="3" hidden="1">{#N/A,#N/A,FALSE,"RATES";#N/A,#N/A,FALSE,"LOADED RATES"}</definedName>
    <definedName name="wrn.Labor._.Cost._.Workbook." hidden="1">{#N/A,#N/A,FALSE,"RATES";#N/A,#N/A,FALSE,"LOADED RATES"}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4" i="261" l="1"/>
  <c r="C138" i="261" s="1"/>
  <c r="C135" i="261"/>
  <c r="C136" i="261"/>
  <c r="C137" i="261"/>
  <c r="C14" i="264"/>
  <c r="C13" i="264"/>
  <c r="C12" i="264"/>
  <c r="C11" i="264"/>
  <c r="C10" i="264"/>
  <c r="C9" i="264"/>
  <c r="C8" i="264"/>
  <c r="C7" i="264"/>
  <c r="J14" i="264"/>
  <c r="I14" i="264"/>
  <c r="H14" i="264"/>
  <c r="G14" i="264"/>
  <c r="F14" i="264"/>
  <c r="J13" i="264"/>
  <c r="I13" i="264"/>
  <c r="H13" i="264"/>
  <c r="G13" i="264"/>
  <c r="F13" i="264"/>
  <c r="J11" i="264"/>
  <c r="I11" i="264"/>
  <c r="H11" i="264"/>
  <c r="G11" i="264"/>
  <c r="F11" i="264"/>
  <c r="J10" i="264"/>
  <c r="I10" i="264"/>
  <c r="H10" i="264"/>
  <c r="G10" i="264"/>
  <c r="F10" i="264"/>
  <c r="J9" i="264"/>
  <c r="I9" i="264"/>
  <c r="H9" i="264"/>
  <c r="G9" i="264"/>
  <c r="F9" i="264"/>
  <c r="J8" i="264"/>
  <c r="I8" i="264"/>
  <c r="H8" i="264"/>
  <c r="G8" i="264"/>
  <c r="F8" i="264"/>
  <c r="J7" i="264"/>
  <c r="I7" i="264"/>
  <c r="H7" i="264"/>
  <c r="G7" i="264"/>
  <c r="F7" i="264"/>
  <c r="E14" i="264"/>
  <c r="E13" i="264"/>
  <c r="E11" i="264"/>
  <c r="E10" i="264"/>
  <c r="E9" i="264"/>
  <c r="E8" i="264"/>
  <c r="E7" i="264"/>
  <c r="J3" i="264"/>
  <c r="I3" i="264"/>
  <c r="H3" i="264"/>
  <c r="G3" i="264"/>
  <c r="F3" i="264"/>
  <c r="E3" i="264"/>
  <c r="AL30" i="264" l="1"/>
  <c r="AK30" i="264"/>
  <c r="AJ30" i="264"/>
  <c r="AI30" i="264"/>
  <c r="AH30" i="264"/>
  <c r="AG30" i="264"/>
  <c r="AF30" i="264"/>
  <c r="AE30" i="264"/>
  <c r="AD30" i="264"/>
  <c r="AC30" i="264"/>
  <c r="AB30" i="264"/>
  <c r="AA30" i="264"/>
  <c r="Z30" i="264"/>
  <c r="Y30" i="264"/>
  <c r="X30" i="264"/>
  <c r="W30" i="264"/>
  <c r="V30" i="264"/>
  <c r="U30" i="264"/>
  <c r="T30" i="264"/>
  <c r="S30" i="264"/>
  <c r="R30" i="264"/>
  <c r="Q30" i="264"/>
  <c r="P30" i="264"/>
  <c r="O30" i="264"/>
  <c r="N30" i="264"/>
  <c r="M30" i="264"/>
  <c r="L30" i="264"/>
  <c r="K30" i="264"/>
  <c r="J30" i="264"/>
  <c r="I30" i="264"/>
  <c r="H30" i="264"/>
  <c r="G30" i="264"/>
  <c r="F30" i="264"/>
  <c r="E30" i="264"/>
  <c r="AL38" i="264"/>
  <c r="AK38" i="264"/>
  <c r="AJ38" i="264"/>
  <c r="AI38" i="264"/>
  <c r="AH38" i="264"/>
  <c r="AG38" i="264"/>
  <c r="AF38" i="264"/>
  <c r="AE38" i="264"/>
  <c r="AD38" i="264"/>
  <c r="AC38" i="264"/>
  <c r="AB38" i="264"/>
  <c r="AA38" i="264"/>
  <c r="Z38" i="264"/>
  <c r="Y38" i="264"/>
  <c r="X38" i="264"/>
  <c r="W38" i="264"/>
  <c r="V38" i="264"/>
  <c r="U38" i="264"/>
  <c r="T38" i="264"/>
  <c r="S38" i="264"/>
  <c r="R38" i="264"/>
  <c r="Q38" i="264"/>
  <c r="P38" i="264"/>
  <c r="O38" i="264"/>
  <c r="N38" i="264"/>
  <c r="M38" i="264"/>
  <c r="L38" i="264"/>
  <c r="K38" i="264"/>
  <c r="J38" i="264"/>
  <c r="I38" i="264"/>
  <c r="H38" i="264"/>
  <c r="G38" i="264"/>
  <c r="F38" i="264"/>
  <c r="E38" i="264"/>
  <c r="AL37" i="264"/>
  <c r="AK37" i="264"/>
  <c r="AJ37" i="264"/>
  <c r="AI37" i="264"/>
  <c r="AH37" i="264"/>
  <c r="AG37" i="264"/>
  <c r="AF37" i="264"/>
  <c r="AE37" i="264"/>
  <c r="AD37" i="264"/>
  <c r="AC37" i="264"/>
  <c r="AB37" i="264"/>
  <c r="AA37" i="264"/>
  <c r="Z37" i="264"/>
  <c r="Y37" i="264"/>
  <c r="X37" i="264"/>
  <c r="W37" i="264"/>
  <c r="V37" i="264"/>
  <c r="U37" i="264"/>
  <c r="T37" i="264"/>
  <c r="S37" i="264"/>
  <c r="R37" i="264"/>
  <c r="Q37" i="264"/>
  <c r="P37" i="264"/>
  <c r="O37" i="264"/>
  <c r="N37" i="264"/>
  <c r="M37" i="264"/>
  <c r="L37" i="264"/>
  <c r="K37" i="264"/>
  <c r="J37" i="264"/>
  <c r="I37" i="264"/>
  <c r="H37" i="264"/>
  <c r="G37" i="264"/>
  <c r="F37" i="264"/>
  <c r="E37" i="264"/>
  <c r="AL35" i="264"/>
  <c r="AK35" i="264"/>
  <c r="AJ35" i="264"/>
  <c r="AI35" i="264"/>
  <c r="AH35" i="264"/>
  <c r="AG35" i="264"/>
  <c r="AF35" i="264"/>
  <c r="AE35" i="264"/>
  <c r="AD35" i="264"/>
  <c r="AC35" i="264"/>
  <c r="AB35" i="264"/>
  <c r="AA35" i="264"/>
  <c r="Z35" i="264"/>
  <c r="Y35" i="264"/>
  <c r="X35" i="264"/>
  <c r="W35" i="264"/>
  <c r="V35" i="264"/>
  <c r="U35" i="264"/>
  <c r="T35" i="264"/>
  <c r="S35" i="264"/>
  <c r="R35" i="264"/>
  <c r="Q35" i="264"/>
  <c r="P35" i="264"/>
  <c r="O35" i="264"/>
  <c r="N35" i="264"/>
  <c r="M35" i="264"/>
  <c r="L35" i="264"/>
  <c r="K35" i="264"/>
  <c r="J35" i="264"/>
  <c r="I35" i="264"/>
  <c r="H35" i="264"/>
  <c r="G35" i="264"/>
  <c r="F35" i="264"/>
  <c r="E35" i="264"/>
  <c r="AL34" i="264"/>
  <c r="AK34" i="264"/>
  <c r="AJ34" i="264"/>
  <c r="AI34" i="264"/>
  <c r="AH34" i="264"/>
  <c r="AG34" i="264"/>
  <c r="AF34" i="264"/>
  <c r="AE34" i="264"/>
  <c r="AD34" i="264"/>
  <c r="AC34" i="264"/>
  <c r="AB34" i="264"/>
  <c r="AA34" i="264"/>
  <c r="Z34" i="264"/>
  <c r="Y34" i="264"/>
  <c r="X34" i="264"/>
  <c r="W34" i="264"/>
  <c r="V34" i="264"/>
  <c r="U34" i="264"/>
  <c r="T34" i="264"/>
  <c r="S34" i="264"/>
  <c r="R34" i="264"/>
  <c r="Q34" i="264"/>
  <c r="P34" i="264"/>
  <c r="O34" i="264"/>
  <c r="N34" i="264"/>
  <c r="M34" i="264"/>
  <c r="L34" i="264"/>
  <c r="K34" i="264"/>
  <c r="J34" i="264"/>
  <c r="I34" i="264"/>
  <c r="H34" i="264"/>
  <c r="G34" i="264"/>
  <c r="F34" i="264"/>
  <c r="E34" i="264"/>
  <c r="AL33" i="264"/>
  <c r="AK33" i="264"/>
  <c r="AJ33" i="264"/>
  <c r="AI33" i="264"/>
  <c r="AH33" i="264"/>
  <c r="AG33" i="264"/>
  <c r="AF33" i="264"/>
  <c r="AE33" i="264"/>
  <c r="AD33" i="264"/>
  <c r="AC33" i="264"/>
  <c r="AB33" i="264"/>
  <c r="AA33" i="264"/>
  <c r="Z33" i="264"/>
  <c r="Y33" i="264"/>
  <c r="X33" i="264"/>
  <c r="W33" i="264"/>
  <c r="V33" i="264"/>
  <c r="U33" i="264"/>
  <c r="T33" i="264"/>
  <c r="S33" i="264"/>
  <c r="R33" i="264"/>
  <c r="Q33" i="264"/>
  <c r="P33" i="264"/>
  <c r="O33" i="264"/>
  <c r="N33" i="264"/>
  <c r="M33" i="264"/>
  <c r="L33" i="264"/>
  <c r="K33" i="264"/>
  <c r="J33" i="264"/>
  <c r="I33" i="264"/>
  <c r="H33" i="264"/>
  <c r="G33" i="264"/>
  <c r="F33" i="264"/>
  <c r="E33" i="264"/>
  <c r="AL32" i="264"/>
  <c r="AK32" i="264"/>
  <c r="AJ32" i="264"/>
  <c r="AI32" i="264"/>
  <c r="AH32" i="264"/>
  <c r="AG32" i="264"/>
  <c r="AF32" i="264"/>
  <c r="AE32" i="264"/>
  <c r="AD32" i="264"/>
  <c r="AC32" i="264"/>
  <c r="AB32" i="264"/>
  <c r="AA32" i="264"/>
  <c r="Z32" i="264"/>
  <c r="Y32" i="264"/>
  <c r="X32" i="264"/>
  <c r="W32" i="264"/>
  <c r="V32" i="264"/>
  <c r="U32" i="264"/>
  <c r="T32" i="264"/>
  <c r="S32" i="264"/>
  <c r="R32" i="264"/>
  <c r="Q32" i="264"/>
  <c r="P32" i="264"/>
  <c r="O32" i="264"/>
  <c r="N32" i="264"/>
  <c r="M32" i="264"/>
  <c r="L32" i="264"/>
  <c r="K32" i="264"/>
  <c r="J32" i="264"/>
  <c r="I32" i="264"/>
  <c r="H32" i="264"/>
  <c r="G32" i="264"/>
  <c r="F32" i="264"/>
  <c r="E32" i="264"/>
  <c r="AL31" i="264"/>
  <c r="AK31" i="264"/>
  <c r="AJ31" i="264"/>
  <c r="AI31" i="264"/>
  <c r="AH31" i="264"/>
  <c r="AG31" i="264"/>
  <c r="AF31" i="264"/>
  <c r="AE31" i="264"/>
  <c r="AD31" i="264"/>
  <c r="AC31" i="264"/>
  <c r="AB31" i="264"/>
  <c r="AA31" i="264"/>
  <c r="Z31" i="264"/>
  <c r="Y31" i="264"/>
  <c r="X31" i="264"/>
  <c r="W31" i="264"/>
  <c r="V31" i="264"/>
  <c r="U31" i="264"/>
  <c r="T31" i="264"/>
  <c r="S31" i="264"/>
  <c r="R31" i="264"/>
  <c r="Q31" i="264"/>
  <c r="P31" i="264"/>
  <c r="O31" i="264"/>
  <c r="N31" i="264"/>
  <c r="M31" i="264"/>
  <c r="L31" i="264"/>
  <c r="K31" i="264"/>
  <c r="J31" i="264"/>
  <c r="I31" i="264"/>
  <c r="H31" i="264"/>
  <c r="G31" i="264"/>
  <c r="F31" i="264"/>
  <c r="E31" i="264"/>
  <c r="C40" i="263" l="1"/>
  <c r="D40" i="263"/>
  <c r="E40" i="263"/>
  <c r="F40" i="263"/>
  <c r="G40" i="263"/>
  <c r="H40" i="263"/>
  <c r="C66" i="263"/>
  <c r="D66" i="263"/>
  <c r="E66" i="263"/>
  <c r="F66" i="263"/>
  <c r="G66" i="263"/>
  <c r="H66" i="263"/>
  <c r="C20" i="263" l="1"/>
  <c r="C39" i="264"/>
  <c r="D22" i="267"/>
  <c r="AN22" i="267" s="1"/>
  <c r="K21" i="267"/>
  <c r="F21" i="267"/>
  <c r="D21" i="267"/>
  <c r="AK21" i="267" s="1"/>
  <c r="D20" i="267"/>
  <c r="AL20" i="267" s="1"/>
  <c r="D17" i="267"/>
  <c r="AN17" i="267" s="1"/>
  <c r="D16" i="267"/>
  <c r="AN16" i="267" s="1"/>
  <c r="D15" i="267"/>
  <c r="AM15" i="267" s="1"/>
  <c r="C165" i="261"/>
  <c r="C164" i="261"/>
  <c r="C163" i="261"/>
  <c r="B165" i="261"/>
  <c r="C150" i="261"/>
  <c r="B150" i="261"/>
  <c r="B135" i="261"/>
  <c r="H28" i="294"/>
  <c r="H27" i="294"/>
  <c r="H26" i="294"/>
  <c r="H25" i="294"/>
  <c r="H24" i="294"/>
  <c r="H23" i="294"/>
  <c r="F445" i="261"/>
  <c r="E445" i="261"/>
  <c r="D445" i="261"/>
  <c r="C445" i="261"/>
  <c r="C369" i="261"/>
  <c r="F364" i="261"/>
  <c r="E364" i="261"/>
  <c r="D364" i="261"/>
  <c r="C364" i="261"/>
  <c r="C9" i="286"/>
  <c r="C8" i="286"/>
  <c r="C6" i="286"/>
  <c r="C19" i="263"/>
  <c r="H71" i="263"/>
  <c r="G71" i="263"/>
  <c r="F71" i="263"/>
  <c r="E71" i="263"/>
  <c r="D71" i="263"/>
  <c r="C71" i="263"/>
  <c r="H70" i="263"/>
  <c r="G70" i="263"/>
  <c r="F70" i="263"/>
  <c r="E70" i="263"/>
  <c r="D70" i="263"/>
  <c r="C70" i="263"/>
  <c r="H45" i="263"/>
  <c r="G45" i="263"/>
  <c r="F45" i="263"/>
  <c r="E45" i="263"/>
  <c r="D45" i="263"/>
  <c r="C45" i="263"/>
  <c r="C6" i="289"/>
  <c r="C7" i="260"/>
  <c r="E15" i="267" l="1"/>
  <c r="F16" i="267"/>
  <c r="G15" i="267"/>
  <c r="E17" i="267"/>
  <c r="G20" i="267"/>
  <c r="AI20" i="267"/>
  <c r="S20" i="267"/>
  <c r="M17" i="267"/>
  <c r="K20" i="267"/>
  <c r="AC17" i="267"/>
  <c r="L20" i="267"/>
  <c r="H15" i="267"/>
  <c r="L15" i="267"/>
  <c r="P15" i="267"/>
  <c r="T15" i="267"/>
  <c r="X15" i="267"/>
  <c r="AB15" i="267"/>
  <c r="AF15" i="267"/>
  <c r="AJ15" i="267"/>
  <c r="AN15" i="267"/>
  <c r="I16" i="267"/>
  <c r="Q16" i="267"/>
  <c r="Y16" i="267"/>
  <c r="AG16" i="267"/>
  <c r="Q17" i="267"/>
  <c r="AG17" i="267"/>
  <c r="W20" i="267"/>
  <c r="AM20" i="267"/>
  <c r="G21" i="267"/>
  <c r="M21" i="267"/>
  <c r="R21" i="267"/>
  <c r="W21" i="267"/>
  <c r="AC21" i="267"/>
  <c r="AI21" i="267"/>
  <c r="E22" i="267"/>
  <c r="M22" i="267"/>
  <c r="U22" i="267"/>
  <c r="AC22" i="267"/>
  <c r="AK22" i="267"/>
  <c r="I15" i="267"/>
  <c r="M15" i="267"/>
  <c r="Q15" i="267"/>
  <c r="U15" i="267"/>
  <c r="Y15" i="267"/>
  <c r="AC15" i="267"/>
  <c r="AG15" i="267"/>
  <c r="AK15" i="267"/>
  <c r="J16" i="267"/>
  <c r="R16" i="267"/>
  <c r="Z16" i="267"/>
  <c r="AH16" i="267"/>
  <c r="U17" i="267"/>
  <c r="AK17" i="267"/>
  <c r="AA20" i="267"/>
  <c r="I21" i="267"/>
  <c r="N21" i="267"/>
  <c r="S21" i="267"/>
  <c r="Y21" i="267"/>
  <c r="AD21" i="267"/>
  <c r="AL21" i="267"/>
  <c r="F22" i="267"/>
  <c r="N22" i="267"/>
  <c r="V22" i="267"/>
  <c r="AD22" i="267"/>
  <c r="AL22" i="267"/>
  <c r="F15" i="267"/>
  <c r="J15" i="267"/>
  <c r="N15" i="267"/>
  <c r="R15" i="267"/>
  <c r="V15" i="267"/>
  <c r="Z15" i="267"/>
  <c r="AD15" i="267"/>
  <c r="AH15" i="267"/>
  <c r="AL15" i="267"/>
  <c r="E16" i="267"/>
  <c r="M16" i="267"/>
  <c r="U16" i="267"/>
  <c r="AC16" i="267"/>
  <c r="AK16" i="267"/>
  <c r="I17" i="267"/>
  <c r="Y17" i="267"/>
  <c r="O20" i="267"/>
  <c r="AE20" i="267"/>
  <c r="E21" i="267"/>
  <c r="J21" i="267"/>
  <c r="O21" i="267"/>
  <c r="U21" i="267"/>
  <c r="Z21" i="267"/>
  <c r="AE21" i="267"/>
  <c r="AM21" i="267"/>
  <c r="I22" i="267"/>
  <c r="Q22" i="267"/>
  <c r="Y22" i="267"/>
  <c r="AG22" i="267"/>
  <c r="K15" i="267"/>
  <c r="O15" i="267"/>
  <c r="S15" i="267"/>
  <c r="W15" i="267"/>
  <c r="AA15" i="267"/>
  <c r="AE15" i="267"/>
  <c r="AI15" i="267"/>
  <c r="N16" i="267"/>
  <c r="V16" i="267"/>
  <c r="AD16" i="267"/>
  <c r="AL16" i="267"/>
  <c r="Q21" i="267"/>
  <c r="V21" i="267"/>
  <c r="AA21" i="267"/>
  <c r="AH21" i="267"/>
  <c r="J22" i="267"/>
  <c r="R22" i="267"/>
  <c r="Z22" i="267"/>
  <c r="AH22" i="267"/>
  <c r="B136" i="261"/>
  <c r="H20" i="267"/>
  <c r="P20" i="267"/>
  <c r="T20" i="267"/>
  <c r="X20" i="267"/>
  <c r="AB20" i="267"/>
  <c r="AF20" i="267"/>
  <c r="AJ20" i="267"/>
  <c r="AN20" i="267"/>
  <c r="E20" i="267"/>
  <c r="I20" i="267"/>
  <c r="M20" i="267"/>
  <c r="Q20" i="267"/>
  <c r="U20" i="267"/>
  <c r="Y20" i="267"/>
  <c r="AC20" i="267"/>
  <c r="AG20" i="267"/>
  <c r="AK20" i="267"/>
  <c r="H21" i="267"/>
  <c r="L21" i="267"/>
  <c r="P21" i="267"/>
  <c r="T21" i="267"/>
  <c r="X21" i="267"/>
  <c r="AB21" i="267"/>
  <c r="AF21" i="267"/>
  <c r="AJ21" i="267"/>
  <c r="AN21" i="267"/>
  <c r="G22" i="267"/>
  <c r="K22" i="267"/>
  <c r="O22" i="267"/>
  <c r="S22" i="267"/>
  <c r="W22" i="267"/>
  <c r="AA22" i="267"/>
  <c r="AE22" i="267"/>
  <c r="AI22" i="267"/>
  <c r="AM22" i="267"/>
  <c r="F20" i="267"/>
  <c r="J20" i="267"/>
  <c r="N20" i="267"/>
  <c r="R20" i="267"/>
  <c r="V20" i="267"/>
  <c r="Z20" i="267"/>
  <c r="AD20" i="267"/>
  <c r="AH20" i="267"/>
  <c r="AG21" i="267"/>
  <c r="H22" i="267"/>
  <c r="L22" i="267"/>
  <c r="P22" i="267"/>
  <c r="T22" i="267"/>
  <c r="X22" i="267"/>
  <c r="AB22" i="267"/>
  <c r="AF22" i="267"/>
  <c r="AJ22" i="267"/>
  <c r="G16" i="267"/>
  <c r="K16" i="267"/>
  <c r="O16" i="267"/>
  <c r="S16" i="267"/>
  <c r="W16" i="267"/>
  <c r="AA16" i="267"/>
  <c r="AE16" i="267"/>
  <c r="AI16" i="267"/>
  <c r="AM16" i="267"/>
  <c r="F17" i="267"/>
  <c r="J17" i="267"/>
  <c r="N17" i="267"/>
  <c r="R17" i="267"/>
  <c r="V17" i="267"/>
  <c r="Z17" i="267"/>
  <c r="AD17" i="267"/>
  <c r="AH17" i="267"/>
  <c r="AL17" i="267"/>
  <c r="H16" i="267"/>
  <c r="L16" i="267"/>
  <c r="P16" i="267"/>
  <c r="T16" i="267"/>
  <c r="X16" i="267"/>
  <c r="AB16" i="267"/>
  <c r="AF16" i="267"/>
  <c r="AJ16" i="267"/>
  <c r="G17" i="267"/>
  <c r="K17" i="267"/>
  <c r="O17" i="267"/>
  <c r="S17" i="267"/>
  <c r="W17" i="267"/>
  <c r="AA17" i="267"/>
  <c r="AE17" i="267"/>
  <c r="AI17" i="267"/>
  <c r="AM17" i="267"/>
  <c r="H17" i="267"/>
  <c r="L17" i="267"/>
  <c r="P17" i="267"/>
  <c r="T17" i="267"/>
  <c r="X17" i="267"/>
  <c r="AB17" i="267"/>
  <c r="AF17" i="267"/>
  <c r="AJ17" i="267"/>
  <c r="E57" i="267"/>
  <c r="E56" i="267"/>
  <c r="C3" i="264"/>
  <c r="C34" i="264"/>
  <c r="C32" i="264"/>
  <c r="C31" i="264"/>
  <c r="H34" i="294"/>
  <c r="H33" i="294"/>
  <c r="H32" i="294"/>
  <c r="H31" i="294"/>
  <c r="H30" i="294"/>
  <c r="H29" i="294"/>
  <c r="AL34" i="294"/>
  <c r="AL33" i="294"/>
  <c r="AL32" i="294"/>
  <c r="AL31" i="294"/>
  <c r="AL30" i="294"/>
  <c r="AL29" i="294"/>
  <c r="AL28" i="294"/>
  <c r="AL27" i="294"/>
  <c r="AL26" i="294"/>
  <c r="AL25" i="294"/>
  <c r="AL24" i="294"/>
  <c r="AL23" i="294"/>
  <c r="AL17" i="294"/>
  <c r="AL16" i="294"/>
  <c r="AL15" i="294"/>
  <c r="AL14" i="294"/>
  <c r="AL13" i="294"/>
  <c r="AL12" i="294"/>
  <c r="AL11" i="294"/>
  <c r="AL10" i="294"/>
  <c r="AL9" i="294"/>
  <c r="AL8" i="294"/>
  <c r="AL7" i="294"/>
  <c r="AL6" i="294"/>
  <c r="C74" i="236"/>
  <c r="C75" i="236" s="1"/>
  <c r="D74" i="236"/>
  <c r="D75" i="236" s="1"/>
  <c r="E74" i="236"/>
  <c r="E75" i="236" s="1"/>
  <c r="F74" i="236"/>
  <c r="F75" i="236" s="1"/>
  <c r="G74" i="236"/>
  <c r="H74" i="236"/>
  <c r="G75" i="236"/>
  <c r="H75" i="236"/>
  <c r="C120" i="240"/>
  <c r="C119" i="240"/>
  <c r="AL51" i="269"/>
  <c r="AL50" i="269"/>
  <c r="AL49" i="269"/>
  <c r="AL51" i="272"/>
  <c r="AL50" i="272"/>
  <c r="AL49" i="272"/>
  <c r="AL11" i="272"/>
  <c r="AL10" i="272"/>
  <c r="AL9" i="272"/>
  <c r="AL51" i="306"/>
  <c r="AL50" i="306"/>
  <c r="AL49" i="306"/>
  <c r="AL51" i="310"/>
  <c r="AL50" i="310"/>
  <c r="AL49" i="310"/>
  <c r="AL51" i="278"/>
  <c r="AL50" i="278"/>
  <c r="AL49" i="278"/>
  <c r="AL11" i="278"/>
  <c r="AL10" i="278"/>
  <c r="AL9" i="278"/>
  <c r="AL51" i="313"/>
  <c r="AL50" i="313"/>
  <c r="AL49" i="313"/>
  <c r="AL11" i="313"/>
  <c r="AL10" i="313"/>
  <c r="AL9" i="313"/>
  <c r="AL51" i="317"/>
  <c r="AL50" i="317"/>
  <c r="AL49" i="317"/>
  <c r="AL11" i="317"/>
  <c r="AL10" i="317"/>
  <c r="AL9" i="317"/>
  <c r="AL51" i="320"/>
  <c r="AL50" i="320"/>
  <c r="AL49" i="320"/>
  <c r="AL11" i="320"/>
  <c r="AL10" i="320"/>
  <c r="AL9" i="320"/>
  <c r="AL51" i="323"/>
  <c r="AL50" i="323"/>
  <c r="AL49" i="323"/>
  <c r="AL11" i="323"/>
  <c r="AL10" i="323"/>
  <c r="AL9" i="323"/>
  <c r="AL51" i="326"/>
  <c r="AL50" i="326"/>
  <c r="AL49" i="326"/>
  <c r="AL11" i="326"/>
  <c r="AL10" i="326"/>
  <c r="AL9" i="326"/>
  <c r="AL51" i="329"/>
  <c r="AL50" i="329"/>
  <c r="AL49" i="329"/>
  <c r="AL11" i="329"/>
  <c r="AL10" i="329"/>
  <c r="AL9" i="329"/>
  <c r="AL51" i="303"/>
  <c r="AL50" i="303"/>
  <c r="AL49" i="303"/>
  <c r="AL60" i="304"/>
  <c r="AL60" i="270"/>
  <c r="AL60" i="273"/>
  <c r="AL40" i="273"/>
  <c r="AL17" i="273"/>
  <c r="AL31" i="273" s="1"/>
  <c r="AL60" i="307"/>
  <c r="AL17" i="307"/>
  <c r="AL31" i="307" s="1"/>
  <c r="AL60" i="309"/>
  <c r="AL60" i="279"/>
  <c r="AL123" i="314"/>
  <c r="AL61" i="314"/>
  <c r="AL123" i="316"/>
  <c r="AL61" i="316"/>
  <c r="AL123" i="319"/>
  <c r="AL61" i="319"/>
  <c r="AL123" i="322"/>
  <c r="AL61" i="322"/>
  <c r="AL123" i="328"/>
  <c r="AL61" i="328"/>
  <c r="AL123" i="325"/>
  <c r="AL61" i="325"/>
  <c r="F363" i="261"/>
  <c r="E363" i="261"/>
  <c r="D363" i="261"/>
  <c r="C363" i="261"/>
  <c r="F362" i="261"/>
  <c r="E362" i="261"/>
  <c r="D362" i="261"/>
  <c r="C362" i="261"/>
  <c r="F361" i="261"/>
  <c r="E361" i="261"/>
  <c r="D361" i="261"/>
  <c r="C361" i="261"/>
  <c r="F360" i="261"/>
  <c r="E360" i="261"/>
  <c r="D360" i="261"/>
  <c r="C360" i="261"/>
  <c r="F359" i="261"/>
  <c r="E359" i="261"/>
  <c r="D359" i="261"/>
  <c r="C359" i="261"/>
  <c r="F358" i="261"/>
  <c r="E358" i="261"/>
  <c r="D358" i="261"/>
  <c r="C358" i="261"/>
  <c r="F357" i="261"/>
  <c r="E357" i="261"/>
  <c r="D357" i="261"/>
  <c r="C357" i="261"/>
  <c r="F356" i="261"/>
  <c r="E356" i="261"/>
  <c r="D356" i="261"/>
  <c r="C356" i="261"/>
  <c r="F355" i="261"/>
  <c r="E355" i="261"/>
  <c r="D355" i="261"/>
  <c r="C355" i="261"/>
  <c r="F354" i="261"/>
  <c r="E354" i="261"/>
  <c r="D354" i="261"/>
  <c r="C354" i="261"/>
  <c r="F353" i="261"/>
  <c r="E353" i="261"/>
  <c r="D353" i="261"/>
  <c r="C353" i="261"/>
  <c r="F352" i="261"/>
  <c r="E352" i="261"/>
  <c r="D352" i="261"/>
  <c r="C352" i="261"/>
  <c r="F351" i="261"/>
  <c r="E351" i="261"/>
  <c r="D351" i="261"/>
  <c r="C351" i="261"/>
  <c r="F350" i="261"/>
  <c r="E350" i="261"/>
  <c r="D350" i="261"/>
  <c r="C350" i="261"/>
  <c r="F349" i="261"/>
  <c r="E349" i="261"/>
  <c r="D349" i="261"/>
  <c r="C349" i="261"/>
  <c r="F348" i="261"/>
  <c r="E348" i="261"/>
  <c r="D348" i="261"/>
  <c r="C348" i="261"/>
  <c r="F347" i="261"/>
  <c r="E347" i="261"/>
  <c r="D347" i="261"/>
  <c r="C347" i="261"/>
  <c r="F346" i="261"/>
  <c r="E346" i="261"/>
  <c r="D346" i="261"/>
  <c r="C346" i="261"/>
  <c r="F345" i="261"/>
  <c r="E345" i="261"/>
  <c r="D345" i="261"/>
  <c r="C345" i="261"/>
  <c r="F344" i="261"/>
  <c r="E344" i="261"/>
  <c r="D344" i="261"/>
  <c r="C344" i="261"/>
  <c r="F343" i="261"/>
  <c r="E343" i="261"/>
  <c r="D343" i="261"/>
  <c r="C343" i="261"/>
  <c r="F342" i="261"/>
  <c r="E342" i="261"/>
  <c r="D342" i="261"/>
  <c r="C342" i="261"/>
  <c r="F341" i="261"/>
  <c r="E341" i="261"/>
  <c r="D341" i="261"/>
  <c r="C341" i="261"/>
  <c r="F340" i="261"/>
  <c r="E340" i="261"/>
  <c r="D340" i="261"/>
  <c r="C340" i="261"/>
  <c r="F339" i="261"/>
  <c r="E339" i="261"/>
  <c r="D339" i="261"/>
  <c r="C339" i="261"/>
  <c r="F338" i="261"/>
  <c r="E338" i="261"/>
  <c r="D338" i="261"/>
  <c r="C338" i="261"/>
  <c r="F337" i="261"/>
  <c r="E337" i="261"/>
  <c r="D337" i="261"/>
  <c r="C337" i="261"/>
  <c r="F336" i="261"/>
  <c r="E336" i="261"/>
  <c r="D336" i="261"/>
  <c r="C336" i="261"/>
  <c r="F335" i="261"/>
  <c r="E335" i="261"/>
  <c r="D335" i="261"/>
  <c r="C335" i="261"/>
  <c r="F334" i="261"/>
  <c r="E334" i="261"/>
  <c r="D334" i="261"/>
  <c r="C334" i="261"/>
  <c r="F333" i="261"/>
  <c r="E333" i="261"/>
  <c r="D333" i="261"/>
  <c r="C333" i="261"/>
  <c r="F332" i="261"/>
  <c r="E332" i="261"/>
  <c r="D332" i="261"/>
  <c r="C332" i="261"/>
  <c r="F331" i="261"/>
  <c r="E331" i="261"/>
  <c r="D331" i="261"/>
  <c r="C331" i="261"/>
  <c r="H114" i="300"/>
  <c r="H115" i="300" s="1"/>
  <c r="H116" i="300" s="1"/>
  <c r="H117" i="300" s="1"/>
  <c r="H118" i="300" s="1"/>
  <c r="G114" i="300"/>
  <c r="G115" i="300" s="1"/>
  <c r="G116" i="300" s="1"/>
  <c r="G117" i="300" s="1"/>
  <c r="G118" i="300" s="1"/>
  <c r="F114" i="300"/>
  <c r="F115" i="300" s="1"/>
  <c r="F116" i="300" s="1"/>
  <c r="F117" i="300" s="1"/>
  <c r="F118" i="300" s="1"/>
  <c r="E114" i="300"/>
  <c r="E115" i="300" s="1"/>
  <c r="E116" i="300" s="1"/>
  <c r="E117" i="300" s="1"/>
  <c r="E118" i="300" s="1"/>
  <c r="D114" i="300"/>
  <c r="D115" i="300" s="1"/>
  <c r="D116" i="300" s="1"/>
  <c r="D117" i="300" s="1"/>
  <c r="D118" i="300" s="1"/>
  <c r="C96" i="311"/>
  <c r="G44" i="298"/>
  <c r="F44" i="298"/>
  <c r="C36" i="301"/>
  <c r="C35" i="301"/>
  <c r="C34" i="301"/>
  <c r="C33" i="301"/>
  <c r="C32" i="301"/>
  <c r="C31" i="301"/>
  <c r="C30" i="301"/>
  <c r="C29" i="301"/>
  <c r="C28" i="301"/>
  <c r="C27" i="301"/>
  <c r="C26" i="301"/>
  <c r="C25" i="301"/>
  <c r="C24" i="301"/>
  <c r="C23" i="301"/>
  <c r="C22" i="301"/>
  <c r="C21" i="301"/>
  <c r="C20" i="301"/>
  <c r="C19" i="301"/>
  <c r="C18" i="301"/>
  <c r="C17" i="301"/>
  <c r="AG18" i="299"/>
  <c r="AF18" i="299"/>
  <c r="AD18" i="299"/>
  <c r="AC18" i="299"/>
  <c r="AB18" i="299"/>
  <c r="AA18" i="299"/>
  <c r="Z18" i="299"/>
  <c r="Y18" i="299"/>
  <c r="X18" i="299"/>
  <c r="W18" i="299"/>
  <c r="V18" i="299"/>
  <c r="U18" i="299"/>
  <c r="T18" i="299"/>
  <c r="S18" i="299"/>
  <c r="R18" i="299"/>
  <c r="Q18" i="299"/>
  <c r="P18" i="299"/>
  <c r="O18" i="299"/>
  <c r="N18" i="299"/>
  <c r="M18" i="299"/>
  <c r="L18" i="299"/>
  <c r="K18" i="299"/>
  <c r="J18" i="299"/>
  <c r="I18" i="299"/>
  <c r="H18" i="299"/>
  <c r="G18" i="299"/>
  <c r="F18" i="299"/>
  <c r="E18" i="299"/>
  <c r="D18" i="299"/>
  <c r="C18" i="299"/>
  <c r="AE18" i="299"/>
  <c r="AD10" i="299"/>
  <c r="Z10" i="299"/>
  <c r="V10" i="299"/>
  <c r="R10" i="299"/>
  <c r="N10" i="299"/>
  <c r="J10" i="299"/>
  <c r="F10" i="299"/>
  <c r="AG9" i="299"/>
  <c r="AG10" i="299" s="1"/>
  <c r="AF9" i="299"/>
  <c r="AF10" i="299" s="1"/>
  <c r="AE9" i="299"/>
  <c r="AE10" i="299" s="1"/>
  <c r="AD9" i="299"/>
  <c r="AC9" i="299"/>
  <c r="AC10" i="299" s="1"/>
  <c r="AB9" i="299"/>
  <c r="AB10" i="299" s="1"/>
  <c r="AA9" i="299"/>
  <c r="AA10" i="299" s="1"/>
  <c r="Z9" i="299"/>
  <c r="Y9" i="299"/>
  <c r="Y10" i="299" s="1"/>
  <c r="X9" i="299"/>
  <c r="X10" i="299" s="1"/>
  <c r="W9" i="299"/>
  <c r="W10" i="299" s="1"/>
  <c r="V9" i="299"/>
  <c r="U9" i="299"/>
  <c r="U10" i="299" s="1"/>
  <c r="T9" i="299"/>
  <c r="T10" i="299" s="1"/>
  <c r="S9" i="299"/>
  <c r="S10" i="299" s="1"/>
  <c r="R9" i="299"/>
  <c r="Q9" i="299"/>
  <c r="Q10" i="299" s="1"/>
  <c r="P9" i="299"/>
  <c r="P10" i="299" s="1"/>
  <c r="O9" i="299"/>
  <c r="O10" i="299" s="1"/>
  <c r="N9" i="299"/>
  <c r="M9" i="299"/>
  <c r="M10" i="299" s="1"/>
  <c r="L9" i="299"/>
  <c r="L10" i="299" s="1"/>
  <c r="K9" i="299"/>
  <c r="K10" i="299" s="1"/>
  <c r="J9" i="299"/>
  <c r="I9" i="299"/>
  <c r="I10" i="299" s="1"/>
  <c r="H9" i="299"/>
  <c r="H10" i="299" s="1"/>
  <c r="G9" i="299"/>
  <c r="G10" i="299" s="1"/>
  <c r="F9" i="299"/>
  <c r="E9" i="299"/>
  <c r="E10" i="299" s="1"/>
  <c r="D9" i="299"/>
  <c r="D10" i="299"/>
  <c r="C9" i="299"/>
  <c r="AE7" i="299"/>
  <c r="W7" i="299"/>
  <c r="O7" i="299"/>
  <c r="AG6" i="299"/>
  <c r="AF6" i="299"/>
  <c r="AF7" i="299" s="1"/>
  <c r="AE6" i="299"/>
  <c r="AD6" i="299"/>
  <c r="AC6" i="299"/>
  <c r="AB6" i="299"/>
  <c r="AB7" i="299" s="1"/>
  <c r="AA6" i="299"/>
  <c r="AA7" i="299" s="1"/>
  <c r="Z6" i="299"/>
  <c r="Y6" i="299"/>
  <c r="X6" i="299"/>
  <c r="X7" i="299" s="1"/>
  <c r="W6" i="299"/>
  <c r="V6" i="299"/>
  <c r="U6" i="299"/>
  <c r="T6" i="299"/>
  <c r="T7" i="299" s="1"/>
  <c r="S6" i="299"/>
  <c r="S7" i="299" s="1"/>
  <c r="R6" i="299"/>
  <c r="Q6" i="299"/>
  <c r="P6" i="299"/>
  <c r="P7" i="299" s="1"/>
  <c r="O6" i="299"/>
  <c r="N6" i="299"/>
  <c r="M6" i="299"/>
  <c r="L6" i="299"/>
  <c r="L7" i="299" s="1"/>
  <c r="K6" i="299"/>
  <c r="K7" i="299" s="1"/>
  <c r="J6" i="299"/>
  <c r="I6" i="299"/>
  <c r="H6" i="299"/>
  <c r="H7" i="299" s="1"/>
  <c r="G6" i="299"/>
  <c r="F6" i="299"/>
  <c r="E6" i="299"/>
  <c r="D6" i="299"/>
  <c r="D7" i="299" s="1"/>
  <c r="C6" i="299"/>
  <c r="E44" i="298"/>
  <c r="D44" i="298"/>
  <c r="C44" i="298"/>
  <c r="B137" i="261" l="1"/>
  <c r="AL40" i="307"/>
  <c r="E58" i="267"/>
  <c r="AL19" i="294"/>
  <c r="AL40" i="294" s="1"/>
  <c r="AL36" i="294"/>
  <c r="E7" i="299"/>
  <c r="Q7" i="299"/>
  <c r="Y7" i="299"/>
  <c r="AC7" i="299"/>
  <c r="F7" i="299"/>
  <c r="AD7" i="299"/>
  <c r="G7" i="299"/>
  <c r="I7" i="299"/>
  <c r="M7" i="299"/>
  <c r="U7" i="299"/>
  <c r="AG7" i="299"/>
  <c r="J7" i="299"/>
  <c r="N7" i="299"/>
  <c r="R7" i="299"/>
  <c r="V7" i="299"/>
  <c r="Z7" i="299"/>
  <c r="C13" i="286" l="1"/>
  <c r="E79" i="240"/>
  <c r="B446" i="261"/>
  <c r="B370" i="261"/>
  <c r="B371" i="261" s="1"/>
  <c r="B332" i="261"/>
  <c r="D446" i="261" l="1"/>
  <c r="C446" i="261"/>
  <c r="E446" i="261"/>
  <c r="F446" i="261"/>
  <c r="C407" i="261"/>
  <c r="F407" i="261"/>
  <c r="E407" i="261"/>
  <c r="D407" i="261"/>
  <c r="B333" i="261"/>
  <c r="B334" i="261" s="1"/>
  <c r="B335" i="261" s="1"/>
  <c r="B336" i="261" s="1"/>
  <c r="B372" i="261"/>
  <c r="B447" i="261"/>
  <c r="B408" i="261"/>
  <c r="C408" i="261" l="1"/>
  <c r="F408" i="261"/>
  <c r="D408" i="261"/>
  <c r="E408" i="261"/>
  <c r="D447" i="261"/>
  <c r="C447" i="261"/>
  <c r="F447" i="261"/>
  <c r="E447" i="261"/>
  <c r="B448" i="261"/>
  <c r="B409" i="261"/>
  <c r="B373" i="261"/>
  <c r="B337" i="261"/>
  <c r="C409" i="261" l="1"/>
  <c r="F409" i="261"/>
  <c r="E409" i="261"/>
  <c r="D409" i="261"/>
  <c r="D448" i="261"/>
  <c r="C448" i="261"/>
  <c r="E448" i="261"/>
  <c r="F448" i="261"/>
  <c r="B410" i="261"/>
  <c r="B374" i="261"/>
  <c r="B338" i="261"/>
  <c r="B449" i="261"/>
  <c r="D449" i="261" l="1"/>
  <c r="C449" i="261"/>
  <c r="F449" i="261"/>
  <c r="E449" i="261"/>
  <c r="C410" i="261"/>
  <c r="F410" i="261"/>
  <c r="D410" i="261"/>
  <c r="E410" i="261"/>
  <c r="B450" i="261"/>
  <c r="B375" i="261"/>
  <c r="B339" i="261"/>
  <c r="B411" i="261"/>
  <c r="C411" i="261" l="1"/>
  <c r="F411" i="261"/>
  <c r="E411" i="261"/>
  <c r="D411" i="261"/>
  <c r="D450" i="261"/>
  <c r="C450" i="261"/>
  <c r="E450" i="261"/>
  <c r="F450" i="261"/>
  <c r="B412" i="261"/>
  <c r="B376" i="261"/>
  <c r="B340" i="261"/>
  <c r="B451" i="261"/>
  <c r="D451" i="261" l="1"/>
  <c r="C451" i="261"/>
  <c r="F451" i="261"/>
  <c r="E451" i="261"/>
  <c r="C412" i="261"/>
  <c r="F412" i="261"/>
  <c r="D412" i="261"/>
  <c r="E412" i="261"/>
  <c r="B413" i="261"/>
  <c r="B452" i="261"/>
  <c r="B377" i="261"/>
  <c r="B341" i="261"/>
  <c r="D452" i="261" l="1"/>
  <c r="C452" i="261"/>
  <c r="E452" i="261"/>
  <c r="F452" i="261"/>
  <c r="C413" i="261"/>
  <c r="F413" i="261"/>
  <c r="E413" i="261"/>
  <c r="D413" i="261"/>
  <c r="B453" i="261"/>
  <c r="B414" i="261"/>
  <c r="B378" i="261"/>
  <c r="B342" i="261"/>
  <c r="C414" i="261" l="1"/>
  <c r="F414" i="261"/>
  <c r="D414" i="261"/>
  <c r="E414" i="261"/>
  <c r="D453" i="261"/>
  <c r="C453" i="261"/>
  <c r="F453" i="261"/>
  <c r="E453" i="261"/>
  <c r="B415" i="261"/>
  <c r="B379" i="261"/>
  <c r="B343" i="261"/>
  <c r="B454" i="261"/>
  <c r="D454" i="261" l="1"/>
  <c r="C454" i="261"/>
  <c r="E454" i="261"/>
  <c r="F454" i="261"/>
  <c r="C415" i="261"/>
  <c r="F415" i="261"/>
  <c r="E415" i="261"/>
  <c r="D415" i="261"/>
  <c r="B455" i="261"/>
  <c r="B380" i="261"/>
  <c r="B344" i="261"/>
  <c r="B416" i="261"/>
  <c r="C416" i="261" l="1"/>
  <c r="E416" i="261"/>
  <c r="F416" i="261"/>
  <c r="D416" i="261"/>
  <c r="D455" i="261"/>
  <c r="C455" i="261"/>
  <c r="F455" i="261"/>
  <c r="E455" i="261"/>
  <c r="B417" i="261"/>
  <c r="B381" i="261"/>
  <c r="B345" i="261"/>
  <c r="B456" i="261"/>
  <c r="D456" i="261" l="1"/>
  <c r="C456" i="261"/>
  <c r="E456" i="261"/>
  <c r="F456" i="261"/>
  <c r="C417" i="261"/>
  <c r="F417" i="261"/>
  <c r="E417" i="261"/>
  <c r="D417" i="261"/>
  <c r="B457" i="261"/>
  <c r="B382" i="261"/>
  <c r="B346" i="261"/>
  <c r="B418" i="261"/>
  <c r="C418" i="261" l="1"/>
  <c r="E418" i="261"/>
  <c r="F418" i="261"/>
  <c r="D418" i="261"/>
  <c r="D457" i="261"/>
  <c r="C457" i="261"/>
  <c r="F457" i="261"/>
  <c r="E457" i="261"/>
  <c r="B458" i="261"/>
  <c r="B419" i="261"/>
  <c r="B383" i="261"/>
  <c r="B347" i="261"/>
  <c r="C419" i="261" l="1"/>
  <c r="E419" i="261"/>
  <c r="F419" i="261"/>
  <c r="D419" i="261"/>
  <c r="D458" i="261"/>
  <c r="C458" i="261"/>
  <c r="E458" i="261"/>
  <c r="F458" i="261"/>
  <c r="B420" i="261"/>
  <c r="B384" i="261"/>
  <c r="B348" i="261"/>
  <c r="B459" i="261"/>
  <c r="D459" i="261" l="1"/>
  <c r="C459" i="261"/>
  <c r="F459" i="261"/>
  <c r="E459" i="261"/>
  <c r="C420" i="261"/>
  <c r="F420" i="261"/>
  <c r="E420" i="261"/>
  <c r="D420" i="261"/>
  <c r="B460" i="261"/>
  <c r="B385" i="261"/>
  <c r="B349" i="261"/>
  <c r="B421" i="261"/>
  <c r="C421" i="261" l="1"/>
  <c r="E421" i="261"/>
  <c r="F421" i="261"/>
  <c r="D421" i="261"/>
  <c r="D460" i="261"/>
  <c r="C460" i="261"/>
  <c r="E460" i="261"/>
  <c r="F460" i="261"/>
  <c r="B461" i="261"/>
  <c r="B422" i="261"/>
  <c r="B386" i="261"/>
  <c r="B350" i="261"/>
  <c r="C422" i="261" l="1"/>
  <c r="F422" i="261"/>
  <c r="E422" i="261"/>
  <c r="D422" i="261"/>
  <c r="D461" i="261"/>
  <c r="C461" i="261"/>
  <c r="F461" i="261"/>
  <c r="E461" i="261"/>
  <c r="B423" i="261"/>
  <c r="B387" i="261"/>
  <c r="B351" i="261"/>
  <c r="B462" i="261"/>
  <c r="D462" i="261" l="1"/>
  <c r="C462" i="261"/>
  <c r="E462" i="261"/>
  <c r="F462" i="261"/>
  <c r="C423" i="261"/>
  <c r="E423" i="261"/>
  <c r="F423" i="261"/>
  <c r="D423" i="261"/>
  <c r="B424" i="261"/>
  <c r="B463" i="261"/>
  <c r="B388" i="261"/>
  <c r="B352" i="261"/>
  <c r="D463" i="261" l="1"/>
  <c r="C463" i="261"/>
  <c r="F463" i="261"/>
  <c r="E463" i="261"/>
  <c r="C424" i="261"/>
  <c r="F424" i="261"/>
  <c r="E424" i="261"/>
  <c r="D424" i="261"/>
  <c r="B464" i="261"/>
  <c r="B389" i="261"/>
  <c r="B353" i="261"/>
  <c r="B425" i="261"/>
  <c r="C425" i="261" l="1"/>
  <c r="E425" i="261"/>
  <c r="F425" i="261"/>
  <c r="D425" i="261"/>
  <c r="D464" i="261"/>
  <c r="C464" i="261"/>
  <c r="E464" i="261"/>
  <c r="F464" i="261"/>
  <c r="B465" i="261"/>
  <c r="B426" i="261"/>
  <c r="B390" i="261"/>
  <c r="B354" i="261"/>
  <c r="C426" i="261" l="1"/>
  <c r="F426" i="261"/>
  <c r="E426" i="261"/>
  <c r="D426" i="261"/>
  <c r="D465" i="261"/>
  <c r="C465" i="261"/>
  <c r="F465" i="261"/>
  <c r="E465" i="261"/>
  <c r="B427" i="261"/>
  <c r="B391" i="261"/>
  <c r="B355" i="261"/>
  <c r="B466" i="261"/>
  <c r="D466" i="261" l="1"/>
  <c r="C466" i="261"/>
  <c r="E466" i="261"/>
  <c r="F466" i="261"/>
  <c r="C427" i="261"/>
  <c r="E427" i="261"/>
  <c r="F427" i="261"/>
  <c r="D427" i="261"/>
  <c r="B467" i="261"/>
  <c r="B392" i="261"/>
  <c r="B356" i="261"/>
  <c r="B428" i="261"/>
  <c r="C428" i="261" l="1"/>
  <c r="F428" i="261"/>
  <c r="E428" i="261"/>
  <c r="D428" i="261"/>
  <c r="D467" i="261"/>
  <c r="C467" i="261"/>
  <c r="F467" i="261"/>
  <c r="E467" i="261"/>
  <c r="B357" i="261"/>
  <c r="B393" i="261"/>
  <c r="B429" i="261"/>
  <c r="B468" i="261"/>
  <c r="C429" i="261" l="1"/>
  <c r="E429" i="261"/>
  <c r="F429" i="261"/>
  <c r="D429" i="261"/>
  <c r="D468" i="261"/>
  <c r="C468" i="261"/>
  <c r="E468" i="261"/>
  <c r="F468" i="261"/>
  <c r="B469" i="261"/>
  <c r="B394" i="261"/>
  <c r="B430" i="261"/>
  <c r="B358" i="261"/>
  <c r="C430" i="261" l="1"/>
  <c r="F430" i="261"/>
  <c r="E430" i="261"/>
  <c r="D430" i="261"/>
  <c r="D469" i="261"/>
  <c r="C469" i="261"/>
  <c r="F469" i="261"/>
  <c r="E469" i="261"/>
  <c r="B395" i="261"/>
  <c r="B431" i="261"/>
  <c r="B359" i="261"/>
  <c r="B470" i="261"/>
  <c r="D470" i="261" l="1"/>
  <c r="C470" i="261"/>
  <c r="E470" i="261"/>
  <c r="F470" i="261"/>
  <c r="C431" i="261"/>
  <c r="E431" i="261"/>
  <c r="F431" i="261"/>
  <c r="D431" i="261"/>
  <c r="B471" i="261"/>
  <c r="B432" i="261"/>
  <c r="B396" i="261"/>
  <c r="B360" i="261"/>
  <c r="C432" i="261" l="1"/>
  <c r="F432" i="261"/>
  <c r="E432" i="261"/>
  <c r="D432" i="261"/>
  <c r="D471" i="261"/>
  <c r="C471" i="261"/>
  <c r="F471" i="261"/>
  <c r="E471" i="261"/>
  <c r="B433" i="261"/>
  <c r="B472" i="261"/>
  <c r="B397" i="261"/>
  <c r="B361" i="261"/>
  <c r="D472" i="261" l="1"/>
  <c r="C472" i="261"/>
  <c r="E472" i="261"/>
  <c r="F472" i="261"/>
  <c r="C433" i="261"/>
  <c r="E433" i="261"/>
  <c r="F433" i="261"/>
  <c r="D433" i="261"/>
  <c r="B473" i="261"/>
  <c r="B398" i="261"/>
  <c r="B362" i="261"/>
  <c r="B434" i="261"/>
  <c r="C434" i="261" l="1"/>
  <c r="E434" i="261"/>
  <c r="F434" i="261"/>
  <c r="D434" i="261"/>
  <c r="D473" i="261"/>
  <c r="C473" i="261"/>
  <c r="F473" i="261"/>
  <c r="E473" i="261"/>
  <c r="B435" i="261"/>
  <c r="B399" i="261"/>
  <c r="B363" i="261"/>
  <c r="B364" i="261" s="1"/>
  <c r="B474" i="261"/>
  <c r="D474" i="261" l="1"/>
  <c r="C474" i="261"/>
  <c r="E474" i="261"/>
  <c r="F474" i="261"/>
  <c r="C435" i="261"/>
  <c r="F435" i="261"/>
  <c r="E435" i="261"/>
  <c r="D435" i="261"/>
  <c r="B475" i="261"/>
  <c r="B400" i="261"/>
  <c r="B436" i="261"/>
  <c r="C436" i="261" l="1"/>
  <c r="E436" i="261"/>
  <c r="F436" i="261"/>
  <c r="D436" i="261"/>
  <c r="D475" i="261"/>
  <c r="C475" i="261"/>
  <c r="F475" i="261"/>
  <c r="E475" i="261"/>
  <c r="B401" i="261"/>
  <c r="B402" i="261" s="1"/>
  <c r="B437" i="261"/>
  <c r="B476" i="261"/>
  <c r="D476" i="261" l="1"/>
  <c r="C476" i="261"/>
  <c r="E476" i="261"/>
  <c r="F476" i="261"/>
  <c r="C437" i="261"/>
  <c r="F437" i="261"/>
  <c r="E437" i="261"/>
  <c r="D437" i="261"/>
  <c r="F402" i="261"/>
  <c r="C402" i="261"/>
  <c r="D402" i="261"/>
  <c r="E402" i="261"/>
  <c r="B438" i="261"/>
  <c r="B477" i="261"/>
  <c r="C438" i="261" l="1"/>
  <c r="E438" i="261"/>
  <c r="F438" i="261"/>
  <c r="B439" i="261"/>
  <c r="D438" i="261"/>
  <c r="D477" i="261"/>
  <c r="C477" i="261"/>
  <c r="F477" i="261"/>
  <c r="B478" i="261"/>
  <c r="E477" i="261"/>
  <c r="C439" i="261" l="1"/>
  <c r="F439" i="261"/>
  <c r="E439" i="261"/>
  <c r="D439" i="261"/>
  <c r="B440" i="261"/>
  <c r="D478" i="261"/>
  <c r="C478" i="261"/>
  <c r="E478" i="261"/>
  <c r="F478" i="261"/>
  <c r="C13" i="302"/>
  <c r="C440" i="261" l="1"/>
  <c r="F440" i="261"/>
  <c r="E440" i="261"/>
  <c r="D440" i="261"/>
  <c r="I9" i="50"/>
  <c r="K71" i="298" s="1"/>
  <c r="I8" i="50"/>
  <c r="P8" i="50"/>
  <c r="K98" i="298" s="1"/>
  <c r="C38" i="298"/>
  <c r="D38" i="298"/>
  <c r="E38" i="298"/>
  <c r="F38" i="298"/>
  <c r="G38" i="298"/>
  <c r="C39" i="298"/>
  <c r="D39" i="298"/>
  <c r="E39" i="298"/>
  <c r="F39" i="298"/>
  <c r="G39" i="298"/>
  <c r="C40" i="298"/>
  <c r="D40" i="298"/>
  <c r="E40" i="298"/>
  <c r="F40" i="298"/>
  <c r="G40" i="298"/>
  <c r="C41" i="298"/>
  <c r="D41" i="298"/>
  <c r="E41" i="298"/>
  <c r="F41" i="298"/>
  <c r="G41" i="298"/>
  <c r="C42" i="298"/>
  <c r="D42" i="298"/>
  <c r="E42" i="298"/>
  <c r="F42" i="298"/>
  <c r="G42" i="298"/>
  <c r="C24" i="298"/>
  <c r="D24" i="298"/>
  <c r="E24" i="298"/>
  <c r="F24" i="298"/>
  <c r="G24" i="298"/>
  <c r="C25" i="298"/>
  <c r="D25" i="298"/>
  <c r="E25" i="298"/>
  <c r="F25" i="298"/>
  <c r="G25" i="298"/>
  <c r="C26" i="298"/>
  <c r="D26" i="298"/>
  <c r="E26" i="298"/>
  <c r="F26" i="298"/>
  <c r="G26" i="298"/>
  <c r="C27" i="298"/>
  <c r="D27" i="298"/>
  <c r="E27" i="298"/>
  <c r="F27" i="298"/>
  <c r="G27" i="298"/>
  <c r="C28" i="298"/>
  <c r="D28" i="298"/>
  <c r="E28" i="298"/>
  <c r="F28" i="298"/>
  <c r="G28" i="298"/>
  <c r="C29" i="298"/>
  <c r="D29" i="298"/>
  <c r="E29" i="298"/>
  <c r="F29" i="298"/>
  <c r="G29" i="298"/>
  <c r="C30" i="298"/>
  <c r="D30" i="298"/>
  <c r="E30" i="298"/>
  <c r="F30" i="298"/>
  <c r="G30" i="298"/>
  <c r="C31" i="298"/>
  <c r="D31" i="298"/>
  <c r="E31" i="298"/>
  <c r="F31" i="298"/>
  <c r="G31" i="298"/>
  <c r="C32" i="298"/>
  <c r="D32" i="298"/>
  <c r="E32" i="298"/>
  <c r="F32" i="298"/>
  <c r="G32" i="298"/>
  <c r="C33" i="298"/>
  <c r="D33" i="298"/>
  <c r="E33" i="298"/>
  <c r="F33" i="298"/>
  <c r="G33" i="298"/>
  <c r="C34" i="298"/>
  <c r="D34" i="298"/>
  <c r="E34" i="298"/>
  <c r="F34" i="298"/>
  <c r="G34" i="298"/>
  <c r="C35" i="298"/>
  <c r="D35" i="298"/>
  <c r="E35" i="298"/>
  <c r="F35" i="298"/>
  <c r="G35" i="298"/>
  <c r="C36" i="298"/>
  <c r="D36" i="298"/>
  <c r="E36" i="298"/>
  <c r="F36" i="298"/>
  <c r="G36" i="298"/>
  <c r="C37" i="298"/>
  <c r="D37" i="298"/>
  <c r="E37" i="298"/>
  <c r="F37" i="298"/>
  <c r="G37" i="298"/>
  <c r="C22" i="298"/>
  <c r="D22" i="298"/>
  <c r="E22" i="298"/>
  <c r="F22" i="298"/>
  <c r="G22" i="298"/>
  <c r="C23" i="298"/>
  <c r="D23" i="298"/>
  <c r="E23" i="298"/>
  <c r="F23" i="298"/>
  <c r="G23" i="298"/>
  <c r="G21" i="298"/>
  <c r="F21" i="298"/>
  <c r="F55" i="298" s="1"/>
  <c r="C21" i="298"/>
  <c r="D51" i="298" s="1"/>
  <c r="D21" i="298"/>
  <c r="E21" i="298"/>
  <c r="D109" i="298"/>
  <c r="F87" i="298"/>
  <c r="D82" i="298"/>
  <c r="D84" i="298" s="1"/>
  <c r="D80" i="298"/>
  <c r="D74" i="298"/>
  <c r="D86" i="298" s="1"/>
  <c r="G57" i="298" l="1"/>
  <c r="D57" i="298"/>
  <c r="F57" i="298"/>
  <c r="G51" i="298"/>
  <c r="G53" i="298"/>
  <c r="G55" i="298"/>
  <c r="G54" i="298"/>
  <c r="E54" i="298"/>
  <c r="D87" i="298"/>
  <c r="D88" i="298" s="1"/>
  <c r="D52" i="298"/>
  <c r="F52" i="298"/>
  <c r="F54" i="298"/>
  <c r="F56" i="298"/>
  <c r="D54" i="298"/>
  <c r="E56" i="298"/>
  <c r="G52" i="298"/>
  <c r="G56" i="298"/>
  <c r="D53" i="298"/>
  <c r="E52" i="298"/>
  <c r="D55" i="298"/>
  <c r="E51" i="298"/>
  <c r="E53" i="298"/>
  <c r="E55" i="298"/>
  <c r="E57" i="298"/>
  <c r="D56" i="298"/>
  <c r="F51" i="298"/>
  <c r="F53" i="298"/>
  <c r="AA21" i="330"/>
  <c r="AA20" i="330"/>
  <c r="AA19" i="330"/>
  <c r="AA18" i="330"/>
  <c r="AA17" i="330"/>
  <c r="AA16" i="330"/>
  <c r="AA15" i="330"/>
  <c r="AA14" i="330"/>
  <c r="AA13" i="330"/>
  <c r="AA12" i="330"/>
  <c r="AA11" i="330"/>
  <c r="AA10" i="330"/>
  <c r="AA9" i="330"/>
  <c r="AA8" i="330"/>
  <c r="AA7" i="330"/>
  <c r="AA6" i="330"/>
  <c r="AA5" i="330"/>
  <c r="AA4" i="330"/>
  <c r="B23" i="260"/>
  <c r="AA22" i="330" l="1"/>
  <c r="D59" i="50" l="1"/>
  <c r="C89" i="50" l="1"/>
  <c r="C85" i="50"/>
  <c r="C81" i="50"/>
  <c r="C77" i="50"/>
  <c r="C73" i="50"/>
  <c r="C69" i="50"/>
  <c r="C65" i="50"/>
  <c r="C61" i="50"/>
  <c r="D58" i="50"/>
  <c r="D86" i="50"/>
  <c r="D82" i="50"/>
  <c r="D78" i="50"/>
  <c r="D74" i="50"/>
  <c r="D70" i="50"/>
  <c r="D66" i="50"/>
  <c r="D62" i="50"/>
  <c r="C88" i="50"/>
  <c r="C84" i="50"/>
  <c r="C80" i="50"/>
  <c r="C76" i="50"/>
  <c r="C72" i="50"/>
  <c r="C68" i="50"/>
  <c r="C64" i="50"/>
  <c r="C60" i="50"/>
  <c r="D89" i="50"/>
  <c r="D85" i="50"/>
  <c r="D81" i="50"/>
  <c r="D77" i="50"/>
  <c r="D73" i="50"/>
  <c r="D69" i="50"/>
  <c r="D65" i="50"/>
  <c r="D61" i="50"/>
  <c r="K89" i="298"/>
  <c r="D89" i="298" s="1"/>
  <c r="K111" i="298"/>
  <c r="D111" i="298" s="1"/>
  <c r="C87" i="50"/>
  <c r="C83" i="50"/>
  <c r="C79" i="50"/>
  <c r="C75" i="50"/>
  <c r="C71" i="50"/>
  <c r="C67" i="50"/>
  <c r="C63" i="50"/>
  <c r="C59" i="50"/>
  <c r="D88" i="50"/>
  <c r="D84" i="50"/>
  <c r="D80" i="50"/>
  <c r="D76" i="50"/>
  <c r="D72" i="50"/>
  <c r="D68" i="50"/>
  <c r="D64" i="50"/>
  <c r="D60" i="50"/>
  <c r="C86" i="50"/>
  <c r="C82" i="50"/>
  <c r="C78" i="50"/>
  <c r="C74" i="50"/>
  <c r="C70" i="50"/>
  <c r="C66" i="50"/>
  <c r="C62" i="50"/>
  <c r="C58" i="50"/>
  <c r="D87" i="50"/>
  <c r="D83" i="50"/>
  <c r="D79" i="50"/>
  <c r="D75" i="50"/>
  <c r="D71" i="50"/>
  <c r="D67" i="50"/>
  <c r="D63" i="50"/>
  <c r="D24" i="294"/>
  <c r="E24" i="294"/>
  <c r="F24" i="294"/>
  <c r="G24" i="294"/>
  <c r="D25" i="294"/>
  <c r="E25" i="294"/>
  <c r="F25" i="294"/>
  <c r="G25" i="294"/>
  <c r="D26" i="294"/>
  <c r="E26" i="294"/>
  <c r="F26" i="294"/>
  <c r="G26" i="294"/>
  <c r="D27" i="294"/>
  <c r="E27" i="294"/>
  <c r="F27" i="294"/>
  <c r="G27" i="294"/>
  <c r="D28" i="294"/>
  <c r="E28" i="294"/>
  <c r="F28" i="294"/>
  <c r="G28" i="294"/>
  <c r="E23" i="294"/>
  <c r="F23" i="294"/>
  <c r="G23" i="294"/>
  <c r="D23" i="294"/>
  <c r="D6" i="294"/>
  <c r="D17" i="294"/>
  <c r="D94" i="261" l="1"/>
  <c r="E94" i="261"/>
  <c r="F94" i="261"/>
  <c r="G94" i="261"/>
  <c r="H94" i="261"/>
  <c r="I94" i="261"/>
  <c r="J94" i="261"/>
  <c r="B95" i="261"/>
  <c r="B96" i="261" s="1"/>
  <c r="B97" i="261" s="1"/>
  <c r="C96" i="261"/>
  <c r="C97" i="261" s="1"/>
  <c r="C98" i="261" s="1"/>
  <c r="C99" i="261" s="1"/>
  <c r="C100" i="261" s="1"/>
  <c r="C101" i="261" s="1"/>
  <c r="C102" i="261" s="1"/>
  <c r="C103" i="261" s="1"/>
  <c r="C104" i="261" s="1"/>
  <c r="C105" i="261" s="1"/>
  <c r="C106" i="261" s="1"/>
  <c r="C107" i="261" s="1"/>
  <c r="C108" i="261" s="1"/>
  <c r="C109" i="261" s="1"/>
  <c r="C110" i="261" s="1"/>
  <c r="C111" i="261" s="1"/>
  <c r="C112" i="261" s="1"/>
  <c r="C113" i="261" s="1"/>
  <c r="C114" i="261" s="1"/>
  <c r="C115" i="261" s="1"/>
  <c r="C116" i="261" s="1"/>
  <c r="C117" i="261" s="1"/>
  <c r="C118" i="261" s="1"/>
  <c r="C119" i="261" s="1"/>
  <c r="C120" i="261" s="1"/>
  <c r="C121" i="261" s="1"/>
  <c r="C122" i="261" s="1"/>
  <c r="C123" i="261" s="1"/>
  <c r="C124" i="261" s="1"/>
  <c r="C125" i="261" s="1"/>
  <c r="C126" i="261" s="1"/>
  <c r="C127" i="261" s="1"/>
  <c r="C128" i="261" s="1"/>
  <c r="D600" i="261"/>
  <c r="D599" i="261"/>
  <c r="D598" i="261"/>
  <c r="D597" i="261"/>
  <c r="D596" i="261"/>
  <c r="D595" i="261"/>
  <c r="D594" i="261"/>
  <c r="D593" i="261"/>
  <c r="D592" i="261"/>
  <c r="D591" i="261"/>
  <c r="D590" i="261"/>
  <c r="D589" i="261"/>
  <c r="F576" i="261"/>
  <c r="E576" i="261"/>
  <c r="B576" i="261"/>
  <c r="B98" i="261" l="1"/>
  <c r="B99" i="261" l="1"/>
  <c r="B100" i="261" l="1"/>
  <c r="B101" i="261" l="1"/>
  <c r="B102" i="261" l="1"/>
  <c r="B103" i="261" l="1"/>
  <c r="B104" i="261" l="1"/>
  <c r="B105" i="261" l="1"/>
  <c r="B106" i="261" l="1"/>
  <c r="B107" i="261" l="1"/>
  <c r="B108" i="261" l="1"/>
  <c r="B109" i="261" l="1"/>
  <c r="B110" i="261" l="1"/>
  <c r="B111" i="261" l="1"/>
  <c r="B112" i="261" l="1"/>
  <c r="B113" i="261" l="1"/>
  <c r="B114" i="261" l="1"/>
  <c r="B115" i="261" l="1"/>
  <c r="B116" i="261" l="1"/>
  <c r="B117" i="261" l="1"/>
  <c r="B118" i="261" l="1"/>
  <c r="B119" i="261" l="1"/>
  <c r="B120" i="261" l="1"/>
  <c r="B121" i="261" l="1"/>
  <c r="B122" i="261" l="1"/>
  <c r="B123" i="261" l="1"/>
  <c r="B124" i="261" l="1"/>
  <c r="B125" i="261" l="1"/>
  <c r="B126" i="261" l="1"/>
  <c r="B127" i="261" l="1"/>
  <c r="B128" i="261" l="1"/>
  <c r="K283" i="261" l="1"/>
  <c r="B596" i="261" s="1"/>
  <c r="L283" i="261"/>
  <c r="B597" i="261" s="1"/>
  <c r="M283" i="261"/>
  <c r="B598" i="261" s="1"/>
  <c r="N283" i="261"/>
  <c r="B599" i="261" s="1"/>
  <c r="O283" i="261"/>
  <c r="B600" i="261" s="1"/>
  <c r="J283" i="261"/>
  <c r="B595" i="261" s="1"/>
  <c r="I283" i="261" l="1"/>
  <c r="B594" i="261" s="1"/>
  <c r="H283" i="261"/>
  <c r="B593" i="261" s="1"/>
  <c r="G283" i="261"/>
  <c r="B592" i="261" s="1"/>
  <c r="F283" i="261"/>
  <c r="B591" i="261" s="1"/>
  <c r="E283" i="261"/>
  <c r="D283" i="261"/>
  <c r="B589" i="261" s="1"/>
  <c r="D266" i="261" l="1"/>
  <c r="D265" i="261"/>
  <c r="D264" i="261"/>
  <c r="D263" i="261"/>
  <c r="D267" i="261" s="1"/>
  <c r="D262" i="261"/>
  <c r="D259" i="261"/>
  <c r="D258" i="261"/>
  <c r="D257" i="261"/>
  <c r="D256" i="261"/>
  <c r="D260" i="261" s="1"/>
  <c r="D255" i="261"/>
  <c r="D252" i="261"/>
  <c r="D251" i="261"/>
  <c r="D250" i="261"/>
  <c r="D249" i="261"/>
  <c r="D253" i="261" s="1"/>
  <c r="D248" i="261"/>
  <c r="D245" i="261"/>
  <c r="D244" i="261"/>
  <c r="D243" i="261"/>
  <c r="D242" i="261"/>
  <c r="D246" i="261" s="1"/>
  <c r="D241" i="261"/>
  <c r="D238" i="261"/>
  <c r="D237" i="261"/>
  <c r="D236" i="261"/>
  <c r="D235" i="261"/>
  <c r="D239" i="261" s="1"/>
  <c r="D234" i="261"/>
  <c r="D228" i="261"/>
  <c r="D232" i="261" s="1"/>
  <c r="D231" i="261"/>
  <c r="D230" i="261"/>
  <c r="D229" i="261"/>
  <c r="D227" i="261"/>
  <c r="D224" i="261"/>
  <c r="D223" i="261"/>
  <c r="D222" i="261"/>
  <c r="D221" i="261"/>
  <c r="D225" i="261" s="1"/>
  <c r="D220" i="261"/>
  <c r="D217" i="261"/>
  <c r="D216" i="261"/>
  <c r="D215" i="261"/>
  <c r="D214" i="261"/>
  <c r="D218" i="261" s="1"/>
  <c r="D213" i="261"/>
  <c r="D210" i="261"/>
  <c r="D209" i="261"/>
  <c r="D208" i="261"/>
  <c r="D207" i="261"/>
  <c r="D211" i="261" s="1"/>
  <c r="D206" i="261"/>
  <c r="D203" i="261"/>
  <c r="D202" i="261"/>
  <c r="D201" i="261"/>
  <c r="D200" i="261"/>
  <c r="D204" i="261" s="1"/>
  <c r="D199" i="261"/>
  <c r="D196" i="261"/>
  <c r="D195" i="261"/>
  <c r="D194" i="261"/>
  <c r="D193" i="261"/>
  <c r="D192" i="261"/>
  <c r="D190" i="261"/>
  <c r="D189" i="261"/>
  <c r="D188" i="261"/>
  <c r="D187" i="261"/>
  <c r="D186" i="261"/>
  <c r="D185" i="261"/>
  <c r="D176" i="261"/>
  <c r="D183" i="261"/>
  <c r="D182" i="261"/>
  <c r="D180" i="261"/>
  <c r="D179" i="261"/>
  <c r="D177" i="261"/>
  <c r="B145" i="261"/>
  <c r="B146" i="261"/>
  <c r="B147" i="261"/>
  <c r="B148" i="261"/>
  <c r="B149" i="261"/>
  <c r="B151" i="261"/>
  <c r="B144" i="261"/>
  <c r="C13" i="327"/>
  <c r="C13" i="324"/>
  <c r="C13" i="321"/>
  <c r="C13" i="318"/>
  <c r="C13" i="315"/>
  <c r="C13" i="312"/>
  <c r="C13" i="277"/>
  <c r="C13" i="308"/>
  <c r="C13" i="305"/>
  <c r="C13" i="271"/>
  <c r="C13" i="268"/>
  <c r="C15" i="286" l="1"/>
  <c r="H36" i="294"/>
  <c r="I23" i="294"/>
  <c r="J23" i="294"/>
  <c r="K23" i="294"/>
  <c r="L23" i="294"/>
  <c r="M23" i="294"/>
  <c r="N23" i="294"/>
  <c r="O23" i="294"/>
  <c r="P23" i="294"/>
  <c r="Q23" i="294"/>
  <c r="R23" i="294"/>
  <c r="S23" i="294"/>
  <c r="T23" i="294"/>
  <c r="U23" i="294"/>
  <c r="V23" i="294"/>
  <c r="W23" i="294"/>
  <c r="X23" i="294"/>
  <c r="Y23" i="294"/>
  <c r="Z23" i="294"/>
  <c r="AA23" i="294"/>
  <c r="AB23" i="294"/>
  <c r="AC23" i="294"/>
  <c r="AD23" i="294"/>
  <c r="AE23" i="294"/>
  <c r="AF23" i="294"/>
  <c r="AG23" i="294"/>
  <c r="AH23" i="294"/>
  <c r="AI23" i="294"/>
  <c r="AJ23" i="294"/>
  <c r="AK23" i="294"/>
  <c r="I24" i="294"/>
  <c r="J24" i="294"/>
  <c r="K24" i="294"/>
  <c r="L24" i="294"/>
  <c r="M24" i="294"/>
  <c r="N24" i="294"/>
  <c r="O24" i="294"/>
  <c r="P24" i="294"/>
  <c r="Q24" i="294"/>
  <c r="R24" i="294"/>
  <c r="S24" i="294"/>
  <c r="T24" i="294"/>
  <c r="U24" i="294"/>
  <c r="V24" i="294"/>
  <c r="W24" i="294"/>
  <c r="X24" i="294"/>
  <c r="Y24" i="294"/>
  <c r="Z24" i="294"/>
  <c r="AA24" i="294"/>
  <c r="AB24" i="294"/>
  <c r="AC24" i="294"/>
  <c r="AD24" i="294"/>
  <c r="AE24" i="294"/>
  <c r="AF24" i="294"/>
  <c r="AG24" i="294"/>
  <c r="AH24" i="294"/>
  <c r="AI24" i="294"/>
  <c r="AJ24" i="294"/>
  <c r="AK24" i="294"/>
  <c r="I25" i="294"/>
  <c r="J25" i="294"/>
  <c r="K25" i="294"/>
  <c r="L25" i="294"/>
  <c r="M25" i="294"/>
  <c r="N25" i="294"/>
  <c r="O25" i="294"/>
  <c r="P25" i="294"/>
  <c r="Q25" i="294"/>
  <c r="R25" i="294"/>
  <c r="S25" i="294"/>
  <c r="T25" i="294"/>
  <c r="U25" i="294"/>
  <c r="V25" i="294"/>
  <c r="W25" i="294"/>
  <c r="X25" i="294"/>
  <c r="Y25" i="294"/>
  <c r="Z25" i="294"/>
  <c r="AA25" i="294"/>
  <c r="AB25" i="294"/>
  <c r="AC25" i="294"/>
  <c r="AD25" i="294"/>
  <c r="AE25" i="294"/>
  <c r="AF25" i="294"/>
  <c r="AG25" i="294"/>
  <c r="AH25" i="294"/>
  <c r="AI25" i="294"/>
  <c r="AJ25" i="294"/>
  <c r="AK25" i="294"/>
  <c r="I26" i="294"/>
  <c r="J26" i="294"/>
  <c r="K26" i="294"/>
  <c r="L26" i="294"/>
  <c r="M26" i="294"/>
  <c r="N26" i="294"/>
  <c r="O26" i="294"/>
  <c r="P26" i="294"/>
  <c r="Q26" i="294"/>
  <c r="R26" i="294"/>
  <c r="S26" i="294"/>
  <c r="T26" i="294"/>
  <c r="U26" i="294"/>
  <c r="V26" i="294"/>
  <c r="W26" i="294"/>
  <c r="X26" i="294"/>
  <c r="Y26" i="294"/>
  <c r="Z26" i="294"/>
  <c r="AA26" i="294"/>
  <c r="AB26" i="294"/>
  <c r="AC26" i="294"/>
  <c r="AD26" i="294"/>
  <c r="AE26" i="294"/>
  <c r="AF26" i="294"/>
  <c r="AG26" i="294"/>
  <c r="AH26" i="294"/>
  <c r="AI26" i="294"/>
  <c r="AJ26" i="294"/>
  <c r="AK26" i="294"/>
  <c r="I27" i="294"/>
  <c r="J27" i="294"/>
  <c r="K27" i="294"/>
  <c r="L27" i="294"/>
  <c r="M27" i="294"/>
  <c r="N27" i="294"/>
  <c r="O27" i="294"/>
  <c r="P27" i="294"/>
  <c r="Q27" i="294"/>
  <c r="R27" i="294"/>
  <c r="S27" i="294"/>
  <c r="T27" i="294"/>
  <c r="U27" i="294"/>
  <c r="V27" i="294"/>
  <c r="W27" i="294"/>
  <c r="X27" i="294"/>
  <c r="Y27" i="294"/>
  <c r="Z27" i="294"/>
  <c r="AA27" i="294"/>
  <c r="AB27" i="294"/>
  <c r="AC27" i="294"/>
  <c r="AD27" i="294"/>
  <c r="AE27" i="294"/>
  <c r="AF27" i="294"/>
  <c r="AG27" i="294"/>
  <c r="AH27" i="294"/>
  <c r="AI27" i="294"/>
  <c r="AJ27" i="294"/>
  <c r="AK27" i="294"/>
  <c r="I28" i="294"/>
  <c r="J28" i="294"/>
  <c r="K28" i="294"/>
  <c r="L28" i="294"/>
  <c r="M28" i="294"/>
  <c r="N28" i="294"/>
  <c r="O28" i="294"/>
  <c r="P28" i="294"/>
  <c r="Q28" i="294"/>
  <c r="R28" i="294"/>
  <c r="S28" i="294"/>
  <c r="T28" i="294"/>
  <c r="U28" i="294"/>
  <c r="V28" i="294"/>
  <c r="W28" i="294"/>
  <c r="X28" i="294"/>
  <c r="Y28" i="294"/>
  <c r="Z28" i="294"/>
  <c r="AA28" i="294"/>
  <c r="AB28" i="294"/>
  <c r="AC28" i="294"/>
  <c r="AD28" i="294"/>
  <c r="AE28" i="294"/>
  <c r="AF28" i="294"/>
  <c r="AG28" i="294"/>
  <c r="AH28" i="294"/>
  <c r="AI28" i="294"/>
  <c r="AJ28" i="294"/>
  <c r="AK28" i="294"/>
  <c r="E29" i="294"/>
  <c r="F29" i="294"/>
  <c r="G29" i="294"/>
  <c r="I29" i="294"/>
  <c r="J29" i="294"/>
  <c r="K29" i="294"/>
  <c r="L29" i="294"/>
  <c r="M29" i="294"/>
  <c r="N29" i="294"/>
  <c r="O29" i="294"/>
  <c r="P29" i="294"/>
  <c r="Q29" i="294"/>
  <c r="R29" i="294"/>
  <c r="S29" i="294"/>
  <c r="T29" i="294"/>
  <c r="U29" i="294"/>
  <c r="V29" i="294"/>
  <c r="W29" i="294"/>
  <c r="X29" i="294"/>
  <c r="Y29" i="294"/>
  <c r="Z29" i="294"/>
  <c r="AA29" i="294"/>
  <c r="AB29" i="294"/>
  <c r="AC29" i="294"/>
  <c r="AD29" i="294"/>
  <c r="AE29" i="294"/>
  <c r="AF29" i="294"/>
  <c r="AG29" i="294"/>
  <c r="AH29" i="294"/>
  <c r="AI29" i="294"/>
  <c r="AJ29" i="294"/>
  <c r="AK29" i="294"/>
  <c r="E30" i="294"/>
  <c r="F30" i="294"/>
  <c r="G30" i="294"/>
  <c r="I30" i="294"/>
  <c r="J30" i="294"/>
  <c r="K30" i="294"/>
  <c r="L30" i="294"/>
  <c r="M30" i="294"/>
  <c r="N30" i="294"/>
  <c r="O30" i="294"/>
  <c r="P30" i="294"/>
  <c r="Q30" i="294"/>
  <c r="R30" i="294"/>
  <c r="S30" i="294"/>
  <c r="T30" i="294"/>
  <c r="U30" i="294"/>
  <c r="V30" i="294"/>
  <c r="W30" i="294"/>
  <c r="X30" i="294"/>
  <c r="Y30" i="294"/>
  <c r="Z30" i="294"/>
  <c r="AA30" i="294"/>
  <c r="AB30" i="294"/>
  <c r="AC30" i="294"/>
  <c r="AD30" i="294"/>
  <c r="AE30" i="294"/>
  <c r="AF30" i="294"/>
  <c r="AG30" i="294"/>
  <c r="AH30" i="294"/>
  <c r="AI30" i="294"/>
  <c r="AJ30" i="294"/>
  <c r="AK30" i="294"/>
  <c r="E31" i="294"/>
  <c r="F31" i="294"/>
  <c r="G31" i="294"/>
  <c r="I31" i="294"/>
  <c r="J31" i="294"/>
  <c r="K31" i="294"/>
  <c r="L31" i="294"/>
  <c r="M31" i="294"/>
  <c r="N31" i="294"/>
  <c r="O31" i="294"/>
  <c r="P31" i="294"/>
  <c r="Q31" i="294"/>
  <c r="R31" i="294"/>
  <c r="S31" i="294"/>
  <c r="T31" i="294"/>
  <c r="U31" i="294"/>
  <c r="V31" i="294"/>
  <c r="W31" i="294"/>
  <c r="X31" i="294"/>
  <c r="Y31" i="294"/>
  <c r="Z31" i="294"/>
  <c r="AA31" i="294"/>
  <c r="AB31" i="294"/>
  <c r="AC31" i="294"/>
  <c r="AD31" i="294"/>
  <c r="AE31" i="294"/>
  <c r="AF31" i="294"/>
  <c r="AG31" i="294"/>
  <c r="AH31" i="294"/>
  <c r="AI31" i="294"/>
  <c r="AJ31" i="294"/>
  <c r="AK31" i="294"/>
  <c r="E32" i="294"/>
  <c r="F32" i="294"/>
  <c r="G32" i="294"/>
  <c r="I32" i="294"/>
  <c r="J32" i="294"/>
  <c r="K32" i="294"/>
  <c r="L32" i="294"/>
  <c r="M32" i="294"/>
  <c r="N32" i="294"/>
  <c r="O32" i="294"/>
  <c r="P32" i="294"/>
  <c r="Q32" i="294"/>
  <c r="R32" i="294"/>
  <c r="S32" i="294"/>
  <c r="T32" i="294"/>
  <c r="U32" i="294"/>
  <c r="V32" i="294"/>
  <c r="W32" i="294"/>
  <c r="X32" i="294"/>
  <c r="Y32" i="294"/>
  <c r="Z32" i="294"/>
  <c r="AA32" i="294"/>
  <c r="AB32" i="294"/>
  <c r="AC32" i="294"/>
  <c r="AD32" i="294"/>
  <c r="AE32" i="294"/>
  <c r="AF32" i="294"/>
  <c r="AG32" i="294"/>
  <c r="AH32" i="294"/>
  <c r="AI32" i="294"/>
  <c r="AJ32" i="294"/>
  <c r="AK32" i="294"/>
  <c r="E33" i="294"/>
  <c r="F33" i="294"/>
  <c r="G33" i="294"/>
  <c r="I33" i="294"/>
  <c r="J33" i="294"/>
  <c r="K33" i="294"/>
  <c r="L33" i="294"/>
  <c r="M33" i="294"/>
  <c r="N33" i="294"/>
  <c r="O33" i="294"/>
  <c r="P33" i="294"/>
  <c r="Q33" i="294"/>
  <c r="R33" i="294"/>
  <c r="S33" i="294"/>
  <c r="T33" i="294"/>
  <c r="U33" i="294"/>
  <c r="V33" i="294"/>
  <c r="W33" i="294"/>
  <c r="X33" i="294"/>
  <c r="Y33" i="294"/>
  <c r="Z33" i="294"/>
  <c r="AA33" i="294"/>
  <c r="AB33" i="294"/>
  <c r="AC33" i="294"/>
  <c r="AD33" i="294"/>
  <c r="AE33" i="294"/>
  <c r="AF33" i="294"/>
  <c r="AG33" i="294"/>
  <c r="AH33" i="294"/>
  <c r="AI33" i="294"/>
  <c r="AJ33" i="294"/>
  <c r="AK33" i="294"/>
  <c r="E34" i="294"/>
  <c r="F34" i="294"/>
  <c r="G34" i="294"/>
  <c r="I34" i="294"/>
  <c r="J34" i="294"/>
  <c r="K34" i="294"/>
  <c r="L34" i="294"/>
  <c r="M34" i="294"/>
  <c r="N34" i="294"/>
  <c r="O34" i="294"/>
  <c r="P34" i="294"/>
  <c r="Q34" i="294"/>
  <c r="R34" i="294"/>
  <c r="S34" i="294"/>
  <c r="T34" i="294"/>
  <c r="U34" i="294"/>
  <c r="V34" i="294"/>
  <c r="W34" i="294"/>
  <c r="X34" i="294"/>
  <c r="Y34" i="294"/>
  <c r="Z34" i="294"/>
  <c r="AA34" i="294"/>
  <c r="AB34" i="294"/>
  <c r="AC34" i="294"/>
  <c r="AD34" i="294"/>
  <c r="AE34" i="294"/>
  <c r="AF34" i="294"/>
  <c r="AG34" i="294"/>
  <c r="AH34" i="294"/>
  <c r="AI34" i="294"/>
  <c r="AJ34" i="294"/>
  <c r="AK34" i="294"/>
  <c r="D34" i="294"/>
  <c r="D33" i="294"/>
  <c r="D32" i="294"/>
  <c r="D31" i="294"/>
  <c r="D30" i="294"/>
  <c r="D29" i="294"/>
  <c r="E6" i="294"/>
  <c r="F6" i="294"/>
  <c r="G6" i="294"/>
  <c r="H6" i="294"/>
  <c r="I6" i="294"/>
  <c r="J6" i="294"/>
  <c r="K6" i="294"/>
  <c r="L6" i="294"/>
  <c r="M6" i="294"/>
  <c r="N6" i="294"/>
  <c r="O6" i="294"/>
  <c r="P6" i="294"/>
  <c r="Q6" i="294"/>
  <c r="R6" i="294"/>
  <c r="S6" i="294"/>
  <c r="T6" i="294"/>
  <c r="U6" i="294"/>
  <c r="V6" i="294"/>
  <c r="W6" i="294"/>
  <c r="X6" i="294"/>
  <c r="Y6" i="294"/>
  <c r="Z6" i="294"/>
  <c r="AA6" i="294"/>
  <c r="AB6" i="294"/>
  <c r="AC6" i="294"/>
  <c r="AD6" i="294"/>
  <c r="AE6" i="294"/>
  <c r="AF6" i="294"/>
  <c r="AG6" i="294"/>
  <c r="AH6" i="294"/>
  <c r="AI6" i="294"/>
  <c r="AJ6" i="294"/>
  <c r="AK6" i="294"/>
  <c r="E7" i="294"/>
  <c r="F7" i="294"/>
  <c r="G7" i="294"/>
  <c r="H7" i="294"/>
  <c r="I7" i="294"/>
  <c r="J7" i="294"/>
  <c r="K7" i="294"/>
  <c r="L7" i="294"/>
  <c r="M7" i="294"/>
  <c r="N7" i="294"/>
  <c r="O7" i="294"/>
  <c r="P7" i="294"/>
  <c r="Q7" i="294"/>
  <c r="R7" i="294"/>
  <c r="S7" i="294"/>
  <c r="T7" i="294"/>
  <c r="U7" i="294"/>
  <c r="V7" i="294"/>
  <c r="W7" i="294"/>
  <c r="X7" i="294"/>
  <c r="Y7" i="294"/>
  <c r="Z7" i="294"/>
  <c r="AA7" i="294"/>
  <c r="AB7" i="294"/>
  <c r="AC7" i="294"/>
  <c r="AD7" i="294"/>
  <c r="AE7" i="294"/>
  <c r="AF7" i="294"/>
  <c r="AG7" i="294"/>
  <c r="AH7" i="294"/>
  <c r="AI7" i="294"/>
  <c r="AJ7" i="294"/>
  <c r="AK7" i="294"/>
  <c r="E8" i="294"/>
  <c r="F8" i="294"/>
  <c r="G8" i="294"/>
  <c r="H8" i="294"/>
  <c r="I8" i="294"/>
  <c r="J8" i="294"/>
  <c r="K8" i="294"/>
  <c r="L8" i="294"/>
  <c r="M8" i="294"/>
  <c r="N8" i="294"/>
  <c r="O8" i="294"/>
  <c r="P8" i="294"/>
  <c r="Q8" i="294"/>
  <c r="R8" i="294"/>
  <c r="S8" i="294"/>
  <c r="T8" i="294"/>
  <c r="U8" i="294"/>
  <c r="V8" i="294"/>
  <c r="W8" i="294"/>
  <c r="X8" i="294"/>
  <c r="Y8" i="294"/>
  <c r="Z8" i="294"/>
  <c r="AA8" i="294"/>
  <c r="AB8" i="294"/>
  <c r="AC8" i="294"/>
  <c r="AD8" i="294"/>
  <c r="AE8" i="294"/>
  <c r="AF8" i="294"/>
  <c r="AG8" i="294"/>
  <c r="AH8" i="294"/>
  <c r="AI8" i="294"/>
  <c r="AJ8" i="294"/>
  <c r="AK8" i="294"/>
  <c r="E9" i="294"/>
  <c r="F9" i="294"/>
  <c r="G9" i="294"/>
  <c r="H9" i="294"/>
  <c r="I9" i="294"/>
  <c r="J9" i="294"/>
  <c r="K9" i="294"/>
  <c r="L9" i="294"/>
  <c r="M9" i="294"/>
  <c r="N9" i="294"/>
  <c r="O9" i="294"/>
  <c r="P9" i="294"/>
  <c r="Q9" i="294"/>
  <c r="R9" i="294"/>
  <c r="S9" i="294"/>
  <c r="T9" i="294"/>
  <c r="U9" i="294"/>
  <c r="V9" i="294"/>
  <c r="W9" i="294"/>
  <c r="X9" i="294"/>
  <c r="Y9" i="294"/>
  <c r="Z9" i="294"/>
  <c r="AA9" i="294"/>
  <c r="AB9" i="294"/>
  <c r="AC9" i="294"/>
  <c r="AD9" i="294"/>
  <c r="AE9" i="294"/>
  <c r="AF9" i="294"/>
  <c r="AG9" i="294"/>
  <c r="AH9" i="294"/>
  <c r="AI9" i="294"/>
  <c r="AJ9" i="294"/>
  <c r="AK9" i="294"/>
  <c r="E10" i="294"/>
  <c r="F10" i="294"/>
  <c r="G10" i="294"/>
  <c r="H10" i="294"/>
  <c r="I10" i="294"/>
  <c r="J10" i="294"/>
  <c r="K10" i="294"/>
  <c r="L10" i="294"/>
  <c r="M10" i="294"/>
  <c r="N10" i="294"/>
  <c r="O10" i="294"/>
  <c r="P10" i="294"/>
  <c r="Q10" i="294"/>
  <c r="R10" i="294"/>
  <c r="S10" i="294"/>
  <c r="T10" i="294"/>
  <c r="U10" i="294"/>
  <c r="V10" i="294"/>
  <c r="W10" i="294"/>
  <c r="X10" i="294"/>
  <c r="Y10" i="294"/>
  <c r="Z10" i="294"/>
  <c r="AA10" i="294"/>
  <c r="AB10" i="294"/>
  <c r="AC10" i="294"/>
  <c r="AD10" i="294"/>
  <c r="AE10" i="294"/>
  <c r="AF10" i="294"/>
  <c r="AG10" i="294"/>
  <c r="AH10" i="294"/>
  <c r="AI10" i="294"/>
  <c r="AJ10" i="294"/>
  <c r="AK10" i="294"/>
  <c r="E11" i="294"/>
  <c r="F11" i="294"/>
  <c r="G11" i="294"/>
  <c r="H11" i="294"/>
  <c r="I11" i="294"/>
  <c r="J11" i="294"/>
  <c r="K11" i="294"/>
  <c r="L11" i="294"/>
  <c r="M11" i="294"/>
  <c r="N11" i="294"/>
  <c r="O11" i="294"/>
  <c r="P11" i="294"/>
  <c r="Q11" i="294"/>
  <c r="R11" i="294"/>
  <c r="S11" i="294"/>
  <c r="T11" i="294"/>
  <c r="U11" i="294"/>
  <c r="V11" i="294"/>
  <c r="W11" i="294"/>
  <c r="X11" i="294"/>
  <c r="Y11" i="294"/>
  <c r="Z11" i="294"/>
  <c r="AA11" i="294"/>
  <c r="AB11" i="294"/>
  <c r="AC11" i="294"/>
  <c r="AD11" i="294"/>
  <c r="AE11" i="294"/>
  <c r="AF11" i="294"/>
  <c r="AG11" i="294"/>
  <c r="AH11" i="294"/>
  <c r="AI11" i="294"/>
  <c r="AJ11" i="294"/>
  <c r="AK11" i="294"/>
  <c r="E12" i="294"/>
  <c r="F12" i="294"/>
  <c r="G12" i="294"/>
  <c r="H12" i="294"/>
  <c r="I12" i="294"/>
  <c r="J12" i="294"/>
  <c r="K12" i="294"/>
  <c r="L12" i="294"/>
  <c r="M12" i="294"/>
  <c r="N12" i="294"/>
  <c r="O12" i="294"/>
  <c r="P12" i="294"/>
  <c r="Q12" i="294"/>
  <c r="R12" i="294"/>
  <c r="S12" i="294"/>
  <c r="T12" i="294"/>
  <c r="U12" i="294"/>
  <c r="V12" i="294"/>
  <c r="W12" i="294"/>
  <c r="X12" i="294"/>
  <c r="Y12" i="294"/>
  <c r="Z12" i="294"/>
  <c r="AA12" i="294"/>
  <c r="AB12" i="294"/>
  <c r="AC12" i="294"/>
  <c r="AD12" i="294"/>
  <c r="AE12" i="294"/>
  <c r="AF12" i="294"/>
  <c r="AG12" i="294"/>
  <c r="AH12" i="294"/>
  <c r="AI12" i="294"/>
  <c r="AJ12" i="294"/>
  <c r="AK12" i="294"/>
  <c r="E13" i="294"/>
  <c r="F13" i="294"/>
  <c r="G13" i="294"/>
  <c r="H13" i="294"/>
  <c r="I13" i="294"/>
  <c r="J13" i="294"/>
  <c r="K13" i="294"/>
  <c r="L13" i="294"/>
  <c r="M13" i="294"/>
  <c r="N13" i="294"/>
  <c r="O13" i="294"/>
  <c r="P13" i="294"/>
  <c r="Q13" i="294"/>
  <c r="R13" i="294"/>
  <c r="S13" i="294"/>
  <c r="T13" i="294"/>
  <c r="U13" i="294"/>
  <c r="V13" i="294"/>
  <c r="W13" i="294"/>
  <c r="X13" i="294"/>
  <c r="Y13" i="294"/>
  <c r="Z13" i="294"/>
  <c r="AA13" i="294"/>
  <c r="AB13" i="294"/>
  <c r="AC13" i="294"/>
  <c r="AD13" i="294"/>
  <c r="AE13" i="294"/>
  <c r="AF13" i="294"/>
  <c r="AG13" i="294"/>
  <c r="AH13" i="294"/>
  <c r="AI13" i="294"/>
  <c r="AJ13" i="294"/>
  <c r="AK13" i="294"/>
  <c r="E14" i="294"/>
  <c r="F14" i="294"/>
  <c r="G14" i="294"/>
  <c r="H14" i="294"/>
  <c r="I14" i="294"/>
  <c r="J14" i="294"/>
  <c r="K14" i="294"/>
  <c r="L14" i="294"/>
  <c r="M14" i="294"/>
  <c r="N14" i="294"/>
  <c r="O14" i="294"/>
  <c r="P14" i="294"/>
  <c r="Q14" i="294"/>
  <c r="R14" i="294"/>
  <c r="S14" i="294"/>
  <c r="T14" i="294"/>
  <c r="U14" i="294"/>
  <c r="V14" i="294"/>
  <c r="W14" i="294"/>
  <c r="X14" i="294"/>
  <c r="Y14" i="294"/>
  <c r="Z14" i="294"/>
  <c r="AA14" i="294"/>
  <c r="AB14" i="294"/>
  <c r="AC14" i="294"/>
  <c r="AD14" i="294"/>
  <c r="AE14" i="294"/>
  <c r="AF14" i="294"/>
  <c r="AG14" i="294"/>
  <c r="AH14" i="294"/>
  <c r="AI14" i="294"/>
  <c r="AJ14" i="294"/>
  <c r="AK14" i="294"/>
  <c r="E15" i="294"/>
  <c r="F15" i="294"/>
  <c r="G15" i="294"/>
  <c r="H15" i="294"/>
  <c r="I15" i="294"/>
  <c r="J15" i="294"/>
  <c r="K15" i="294"/>
  <c r="L15" i="294"/>
  <c r="M15" i="294"/>
  <c r="N15" i="294"/>
  <c r="O15" i="294"/>
  <c r="P15" i="294"/>
  <c r="Q15" i="294"/>
  <c r="R15" i="294"/>
  <c r="S15" i="294"/>
  <c r="T15" i="294"/>
  <c r="U15" i="294"/>
  <c r="V15" i="294"/>
  <c r="W15" i="294"/>
  <c r="X15" i="294"/>
  <c r="Y15" i="294"/>
  <c r="Z15" i="294"/>
  <c r="AA15" i="294"/>
  <c r="AB15" i="294"/>
  <c r="AC15" i="294"/>
  <c r="AD15" i="294"/>
  <c r="AE15" i="294"/>
  <c r="AF15" i="294"/>
  <c r="AG15" i="294"/>
  <c r="AH15" i="294"/>
  <c r="AI15" i="294"/>
  <c r="AJ15" i="294"/>
  <c r="AK15" i="294"/>
  <c r="E16" i="294"/>
  <c r="F16" i="294"/>
  <c r="G16" i="294"/>
  <c r="H16" i="294"/>
  <c r="I16" i="294"/>
  <c r="J16" i="294"/>
  <c r="K16" i="294"/>
  <c r="L16" i="294"/>
  <c r="M16" i="294"/>
  <c r="N16" i="294"/>
  <c r="O16" i="294"/>
  <c r="P16" i="294"/>
  <c r="Q16" i="294"/>
  <c r="R16" i="294"/>
  <c r="S16" i="294"/>
  <c r="T16" i="294"/>
  <c r="U16" i="294"/>
  <c r="V16" i="294"/>
  <c r="W16" i="294"/>
  <c r="X16" i="294"/>
  <c r="Y16" i="294"/>
  <c r="Z16" i="294"/>
  <c r="AA16" i="294"/>
  <c r="AB16" i="294"/>
  <c r="AC16" i="294"/>
  <c r="AD16" i="294"/>
  <c r="AE16" i="294"/>
  <c r="AF16" i="294"/>
  <c r="AG16" i="294"/>
  <c r="AH16" i="294"/>
  <c r="AI16" i="294"/>
  <c r="AJ16" i="294"/>
  <c r="AK16" i="294"/>
  <c r="E17" i="294"/>
  <c r="F17" i="294"/>
  <c r="G17" i="294"/>
  <c r="H17" i="294"/>
  <c r="I17" i="294"/>
  <c r="J17" i="294"/>
  <c r="K17" i="294"/>
  <c r="L17" i="294"/>
  <c r="M17" i="294"/>
  <c r="N17" i="294"/>
  <c r="O17" i="294"/>
  <c r="P17" i="294"/>
  <c r="Q17" i="294"/>
  <c r="R17" i="294"/>
  <c r="S17" i="294"/>
  <c r="T17" i="294"/>
  <c r="U17" i="294"/>
  <c r="V17" i="294"/>
  <c r="W17" i="294"/>
  <c r="X17" i="294"/>
  <c r="Y17" i="294"/>
  <c r="Z17" i="294"/>
  <c r="AA17" i="294"/>
  <c r="AB17" i="294"/>
  <c r="AC17" i="294"/>
  <c r="AD17" i="294"/>
  <c r="AE17" i="294"/>
  <c r="AF17" i="294"/>
  <c r="AG17" i="294"/>
  <c r="AH17" i="294"/>
  <c r="AI17" i="294"/>
  <c r="AJ17" i="294"/>
  <c r="AK17" i="294"/>
  <c r="D16" i="294"/>
  <c r="D15" i="294"/>
  <c r="D14" i="294"/>
  <c r="D13" i="294"/>
  <c r="D12" i="294"/>
  <c r="D11" i="294"/>
  <c r="D10" i="294"/>
  <c r="D9" i="294"/>
  <c r="D8" i="294"/>
  <c r="D7" i="294"/>
  <c r="D36" i="294" l="1"/>
  <c r="G36" i="294"/>
  <c r="AK36" i="294"/>
  <c r="AG36" i="294"/>
  <c r="AC36" i="294"/>
  <c r="Y36" i="294"/>
  <c r="U36" i="294"/>
  <c r="Q36" i="294"/>
  <c r="M36" i="294"/>
  <c r="I36" i="294"/>
  <c r="AI36" i="294"/>
  <c r="AE36" i="294"/>
  <c r="AA36" i="294"/>
  <c r="W36" i="294"/>
  <c r="S36" i="294"/>
  <c r="O36" i="294"/>
  <c r="K36" i="294"/>
  <c r="F36" i="294"/>
  <c r="AJ36" i="294"/>
  <c r="AF36" i="294"/>
  <c r="AB36" i="294"/>
  <c r="X36" i="294"/>
  <c r="T36" i="294"/>
  <c r="P36" i="294"/>
  <c r="L36" i="294"/>
  <c r="E36" i="294"/>
  <c r="AH36" i="294"/>
  <c r="AD36" i="294"/>
  <c r="Z36" i="294"/>
  <c r="V36" i="294"/>
  <c r="R36" i="294"/>
  <c r="N36" i="294"/>
  <c r="J36" i="294"/>
  <c r="W19" i="294"/>
  <c r="O19" i="294"/>
  <c r="G19" i="294"/>
  <c r="AE19" i="294"/>
  <c r="D19" i="294"/>
  <c r="Q19" i="294"/>
  <c r="AD19" i="294"/>
  <c r="V19" i="294"/>
  <c r="N19" i="294"/>
  <c r="F19" i="294"/>
  <c r="AK19" i="294"/>
  <c r="AC19" i="294"/>
  <c r="U19" i="294"/>
  <c r="M19" i="294"/>
  <c r="E19" i="294"/>
  <c r="AJ19" i="294"/>
  <c r="AB19" i="294"/>
  <c r="T19" i="294"/>
  <c r="L19" i="294"/>
  <c r="AI19" i="294"/>
  <c r="AA19" i="294"/>
  <c r="S19" i="294"/>
  <c r="K19" i="294"/>
  <c r="AH19" i="294"/>
  <c r="Z19" i="294"/>
  <c r="R19" i="294"/>
  <c r="J19" i="294"/>
  <c r="AG19" i="294"/>
  <c r="Y19" i="294"/>
  <c r="I19" i="294"/>
  <c r="AF19" i="294"/>
  <c r="X19" i="294"/>
  <c r="P19" i="294"/>
  <c r="H19" i="294"/>
  <c r="AK123" i="328"/>
  <c r="AJ123" i="328"/>
  <c r="AI123" i="328"/>
  <c r="AH123" i="328"/>
  <c r="AG123" i="328"/>
  <c r="AF123" i="328"/>
  <c r="AE123" i="328"/>
  <c r="AD123" i="328"/>
  <c r="AC123" i="328"/>
  <c r="AB123" i="328"/>
  <c r="AA123" i="328"/>
  <c r="Z123" i="328"/>
  <c r="Y123" i="328"/>
  <c r="X123" i="328"/>
  <c r="W123" i="328"/>
  <c r="V123" i="328"/>
  <c r="U123" i="328"/>
  <c r="T123" i="328"/>
  <c r="S123" i="328"/>
  <c r="R123" i="328"/>
  <c r="Q123" i="328"/>
  <c r="P123" i="328"/>
  <c r="O123" i="328"/>
  <c r="N123" i="328"/>
  <c r="M123" i="328"/>
  <c r="L123" i="328"/>
  <c r="K123" i="328"/>
  <c r="J123" i="328"/>
  <c r="I123" i="328"/>
  <c r="H123" i="328"/>
  <c r="G123" i="328"/>
  <c r="F123" i="328"/>
  <c r="E123" i="328"/>
  <c r="D123" i="328"/>
  <c r="AK61" i="328"/>
  <c r="AJ61" i="328"/>
  <c r="AI61" i="328"/>
  <c r="AH61" i="328"/>
  <c r="AG61" i="328"/>
  <c r="AF61" i="328"/>
  <c r="AE61" i="328"/>
  <c r="AD61" i="328"/>
  <c r="AC61" i="328"/>
  <c r="AB61" i="328"/>
  <c r="AA61" i="328"/>
  <c r="Z61" i="328"/>
  <c r="Y61" i="328"/>
  <c r="X61" i="328"/>
  <c r="W61" i="328"/>
  <c r="V61" i="328"/>
  <c r="U61" i="328"/>
  <c r="T61" i="328"/>
  <c r="S61" i="328"/>
  <c r="R61" i="328"/>
  <c r="Q61" i="328"/>
  <c r="P61" i="328"/>
  <c r="O61" i="328"/>
  <c r="N61" i="328"/>
  <c r="M61" i="328"/>
  <c r="L61" i="328"/>
  <c r="K61" i="328"/>
  <c r="J61" i="328"/>
  <c r="I61" i="328"/>
  <c r="H61" i="328"/>
  <c r="G61" i="328"/>
  <c r="F61" i="328"/>
  <c r="E61" i="328"/>
  <c r="D61" i="328"/>
  <c r="AK123" i="325"/>
  <c r="AJ123" i="325"/>
  <c r="AI123" i="325"/>
  <c r="AH123" i="325"/>
  <c r="AG123" i="325"/>
  <c r="AF123" i="325"/>
  <c r="AE123" i="325"/>
  <c r="AD123" i="325"/>
  <c r="AC123" i="325"/>
  <c r="AB123" i="325"/>
  <c r="AA123" i="325"/>
  <c r="Z123" i="325"/>
  <c r="Y123" i="325"/>
  <c r="X123" i="325"/>
  <c r="W123" i="325"/>
  <c r="V123" i="325"/>
  <c r="U123" i="325"/>
  <c r="T123" i="325"/>
  <c r="S123" i="325"/>
  <c r="R123" i="325"/>
  <c r="Q123" i="325"/>
  <c r="P123" i="325"/>
  <c r="O123" i="325"/>
  <c r="N123" i="325"/>
  <c r="M123" i="325"/>
  <c r="L123" i="325"/>
  <c r="K123" i="325"/>
  <c r="J123" i="325"/>
  <c r="I123" i="325"/>
  <c r="H123" i="325"/>
  <c r="G123" i="325"/>
  <c r="F123" i="325"/>
  <c r="E123" i="325"/>
  <c r="D123" i="325"/>
  <c r="AK61" i="325"/>
  <c r="AJ61" i="325"/>
  <c r="AI61" i="325"/>
  <c r="AH61" i="325"/>
  <c r="AG61" i="325"/>
  <c r="AF61" i="325"/>
  <c r="AE61" i="325"/>
  <c r="AD61" i="325"/>
  <c r="AC61" i="325"/>
  <c r="AB61" i="325"/>
  <c r="AA61" i="325"/>
  <c r="Z61" i="325"/>
  <c r="Y61" i="325"/>
  <c r="X61" i="325"/>
  <c r="W61" i="325"/>
  <c r="V61" i="325"/>
  <c r="U61" i="325"/>
  <c r="T61" i="325"/>
  <c r="S61" i="325"/>
  <c r="R61" i="325"/>
  <c r="Q61" i="325"/>
  <c r="P61" i="325"/>
  <c r="O61" i="325"/>
  <c r="N61" i="325"/>
  <c r="M61" i="325"/>
  <c r="L61" i="325"/>
  <c r="K61" i="325"/>
  <c r="J61" i="325"/>
  <c r="I61" i="325"/>
  <c r="H61" i="325"/>
  <c r="G61" i="325"/>
  <c r="F61" i="325"/>
  <c r="E61" i="325"/>
  <c r="D61" i="325"/>
  <c r="AK123" i="322"/>
  <c r="AJ123" i="322"/>
  <c r="AI123" i="322"/>
  <c r="AH123" i="322"/>
  <c r="AG123" i="322"/>
  <c r="AF123" i="322"/>
  <c r="AE123" i="322"/>
  <c r="AD123" i="322"/>
  <c r="AC123" i="322"/>
  <c r="AB123" i="322"/>
  <c r="AA123" i="322"/>
  <c r="Z123" i="322"/>
  <c r="Y123" i="322"/>
  <c r="X123" i="322"/>
  <c r="W123" i="322"/>
  <c r="V123" i="322"/>
  <c r="U123" i="322"/>
  <c r="T123" i="322"/>
  <c r="S123" i="322"/>
  <c r="R123" i="322"/>
  <c r="Q123" i="322"/>
  <c r="P123" i="322"/>
  <c r="O123" i="322"/>
  <c r="N123" i="322"/>
  <c r="M123" i="322"/>
  <c r="L123" i="322"/>
  <c r="K123" i="322"/>
  <c r="J123" i="322"/>
  <c r="I123" i="322"/>
  <c r="H123" i="322"/>
  <c r="G123" i="322"/>
  <c r="F123" i="322"/>
  <c r="E123" i="322"/>
  <c r="D123" i="322"/>
  <c r="AK61" i="322"/>
  <c r="AJ61" i="322"/>
  <c r="AI61" i="322"/>
  <c r="AH61" i="322"/>
  <c r="AG61" i="322"/>
  <c r="AF61" i="322"/>
  <c r="AE61" i="322"/>
  <c r="AD61" i="322"/>
  <c r="AC61" i="322"/>
  <c r="AB61" i="322"/>
  <c r="AA61" i="322"/>
  <c r="Z61" i="322"/>
  <c r="Y61" i="322"/>
  <c r="X61" i="322"/>
  <c r="W61" i="322"/>
  <c r="V61" i="322"/>
  <c r="U61" i="322"/>
  <c r="T61" i="322"/>
  <c r="S61" i="322"/>
  <c r="R61" i="322"/>
  <c r="Q61" i="322"/>
  <c r="P61" i="322"/>
  <c r="O61" i="322"/>
  <c r="N61" i="322"/>
  <c r="M61" i="322"/>
  <c r="L61" i="322"/>
  <c r="K61" i="322"/>
  <c r="J61" i="322"/>
  <c r="I61" i="322"/>
  <c r="H61" i="322"/>
  <c r="G61" i="322"/>
  <c r="F61" i="322"/>
  <c r="E61" i="322"/>
  <c r="D61" i="322"/>
  <c r="AK123" i="319"/>
  <c r="AJ123" i="319"/>
  <c r="AI123" i="319"/>
  <c r="AH123" i="319"/>
  <c r="AG123" i="319"/>
  <c r="AF123" i="319"/>
  <c r="AE123" i="319"/>
  <c r="AD123" i="319"/>
  <c r="AC123" i="319"/>
  <c r="AB123" i="319"/>
  <c r="AA123" i="319"/>
  <c r="Z123" i="319"/>
  <c r="Y123" i="319"/>
  <c r="X123" i="319"/>
  <c r="W123" i="319"/>
  <c r="V123" i="319"/>
  <c r="U123" i="319"/>
  <c r="T123" i="319"/>
  <c r="S123" i="319"/>
  <c r="R123" i="319"/>
  <c r="Q123" i="319"/>
  <c r="P123" i="319"/>
  <c r="O123" i="319"/>
  <c r="N123" i="319"/>
  <c r="M123" i="319"/>
  <c r="L123" i="319"/>
  <c r="K123" i="319"/>
  <c r="J123" i="319"/>
  <c r="I123" i="319"/>
  <c r="H123" i="319"/>
  <c r="G123" i="319"/>
  <c r="F123" i="319"/>
  <c r="E123" i="319"/>
  <c r="D123" i="319"/>
  <c r="AK61" i="319"/>
  <c r="AJ61" i="319"/>
  <c r="AI61" i="319"/>
  <c r="AH61" i="319"/>
  <c r="AG61" i="319"/>
  <c r="AF61" i="319"/>
  <c r="AE61" i="319"/>
  <c r="AD61" i="319"/>
  <c r="AC61" i="319"/>
  <c r="AB61" i="319"/>
  <c r="AA61" i="319"/>
  <c r="Z61" i="319"/>
  <c r="Y61" i="319"/>
  <c r="X61" i="319"/>
  <c r="W61" i="319"/>
  <c r="V61" i="319"/>
  <c r="U61" i="319"/>
  <c r="T61" i="319"/>
  <c r="S61" i="319"/>
  <c r="R61" i="319"/>
  <c r="Q61" i="319"/>
  <c r="P61" i="319"/>
  <c r="O61" i="319"/>
  <c r="N61" i="319"/>
  <c r="M61" i="319"/>
  <c r="L61" i="319"/>
  <c r="K61" i="319"/>
  <c r="J61" i="319"/>
  <c r="I61" i="319"/>
  <c r="H61" i="319"/>
  <c r="G61" i="319"/>
  <c r="F61" i="319"/>
  <c r="E61" i="319"/>
  <c r="D61" i="319"/>
  <c r="E123" i="316"/>
  <c r="F123" i="316"/>
  <c r="G123" i="316"/>
  <c r="H123" i="316"/>
  <c r="I123" i="316"/>
  <c r="J123" i="316"/>
  <c r="K123" i="316"/>
  <c r="L123" i="316"/>
  <c r="M123" i="316"/>
  <c r="N123" i="316"/>
  <c r="O123" i="316"/>
  <c r="P123" i="316"/>
  <c r="Q123" i="316"/>
  <c r="R123" i="316"/>
  <c r="S123" i="316"/>
  <c r="T123" i="316"/>
  <c r="U123" i="316"/>
  <c r="V123" i="316"/>
  <c r="W123" i="316"/>
  <c r="X123" i="316"/>
  <c r="Y123" i="316"/>
  <c r="Z123" i="316"/>
  <c r="AA123" i="316"/>
  <c r="AB123" i="316"/>
  <c r="AC123" i="316"/>
  <c r="AD123" i="316"/>
  <c r="AE123" i="316"/>
  <c r="AF123" i="316"/>
  <c r="AG123" i="316"/>
  <c r="AH123" i="316"/>
  <c r="AI123" i="316"/>
  <c r="AJ123" i="316"/>
  <c r="AK123" i="316"/>
  <c r="D123" i="316"/>
  <c r="D61" i="316"/>
  <c r="AK61" i="316"/>
  <c r="AJ61" i="316"/>
  <c r="AI61" i="316"/>
  <c r="AH61" i="316"/>
  <c r="AG61" i="316"/>
  <c r="AF61" i="316"/>
  <c r="AE61" i="316"/>
  <c r="AD61" i="316"/>
  <c r="AC61" i="316"/>
  <c r="AB61" i="316"/>
  <c r="AA61" i="316"/>
  <c r="Z61" i="316"/>
  <c r="Y61" i="316"/>
  <c r="X61" i="316"/>
  <c r="W61" i="316"/>
  <c r="V61" i="316"/>
  <c r="U61" i="316"/>
  <c r="T61" i="316"/>
  <c r="S61" i="316"/>
  <c r="R61" i="316"/>
  <c r="Q61" i="316"/>
  <c r="P61" i="316"/>
  <c r="O61" i="316"/>
  <c r="N61" i="316"/>
  <c r="M61" i="316"/>
  <c r="L61" i="316"/>
  <c r="K61" i="316"/>
  <c r="J61" i="316"/>
  <c r="I61" i="316"/>
  <c r="H61" i="316"/>
  <c r="G61" i="316"/>
  <c r="F61" i="316"/>
  <c r="E61" i="316"/>
  <c r="D123" i="314"/>
  <c r="E123" i="314"/>
  <c r="F123" i="314"/>
  <c r="G123" i="314"/>
  <c r="H123" i="314"/>
  <c r="I123" i="314"/>
  <c r="J123" i="314"/>
  <c r="K123" i="314"/>
  <c r="L123" i="314"/>
  <c r="M123" i="314"/>
  <c r="N123" i="314"/>
  <c r="O123" i="314"/>
  <c r="P123" i="314"/>
  <c r="Q123" i="314"/>
  <c r="R123" i="314"/>
  <c r="S123" i="314"/>
  <c r="T123" i="314"/>
  <c r="U123" i="314"/>
  <c r="V123" i="314"/>
  <c r="W123" i="314"/>
  <c r="X123" i="314"/>
  <c r="Y123" i="314"/>
  <c r="Z123" i="314"/>
  <c r="AA123" i="314"/>
  <c r="AB123" i="314"/>
  <c r="AC123" i="314"/>
  <c r="AD123" i="314"/>
  <c r="AE123" i="314"/>
  <c r="AF123" i="314"/>
  <c r="AG123" i="314"/>
  <c r="AH123" i="314"/>
  <c r="AI123" i="314"/>
  <c r="AJ123" i="314"/>
  <c r="AK123" i="314"/>
  <c r="D42" i="260" l="1"/>
  <c r="C61" i="329" l="1"/>
  <c r="C48" i="329"/>
  <c r="C8" i="329"/>
  <c r="E2" i="329"/>
  <c r="D3" i="329" s="1"/>
  <c r="D11" i="328"/>
  <c r="D10" i="328"/>
  <c r="D9" i="328"/>
  <c r="D8" i="328"/>
  <c r="E8" i="328" s="1"/>
  <c r="D7" i="328"/>
  <c r="E7" i="328" s="1"/>
  <c r="D6" i="328"/>
  <c r="E6" i="328" s="1"/>
  <c r="D5" i="328"/>
  <c r="D4" i="328"/>
  <c r="E5" i="328"/>
  <c r="A1" i="327"/>
  <c r="C24" i="327" s="1"/>
  <c r="C31" i="327"/>
  <c r="C30" i="327"/>
  <c r="D2" i="327"/>
  <c r="C61" i="326"/>
  <c r="C48" i="326"/>
  <c r="C8" i="326"/>
  <c r="E2" i="326"/>
  <c r="D3" i="326" s="1"/>
  <c r="D11" i="325"/>
  <c r="D10" i="325"/>
  <c r="D9" i="325"/>
  <c r="D8" i="325"/>
  <c r="E8" i="325" s="1"/>
  <c r="D7" i="325"/>
  <c r="E7" i="325" s="1"/>
  <c r="D6" i="325"/>
  <c r="E6" i="325" s="1"/>
  <c r="D5" i="325"/>
  <c r="E5" i="325" s="1"/>
  <c r="D4" i="325"/>
  <c r="A1" i="324"/>
  <c r="C31" i="324"/>
  <c r="C30" i="324"/>
  <c r="D2" i="324"/>
  <c r="C61" i="323"/>
  <c r="C48" i="323"/>
  <c r="C8" i="323"/>
  <c r="E2" i="323"/>
  <c r="D3" i="323" s="1"/>
  <c r="D11" i="322"/>
  <c r="D10" i="322"/>
  <c r="D9" i="322"/>
  <c r="D8" i="322"/>
  <c r="E8" i="322" s="1"/>
  <c r="D7" i="322"/>
  <c r="E7" i="322" s="1"/>
  <c r="D6" i="322"/>
  <c r="D5" i="322"/>
  <c r="E5" i="322" s="1"/>
  <c r="D4" i="322"/>
  <c r="A1" i="321"/>
  <c r="C31" i="321"/>
  <c r="C30" i="321"/>
  <c r="D2" i="321"/>
  <c r="E2" i="321" s="1"/>
  <c r="C61" i="320"/>
  <c r="C48" i="320"/>
  <c r="C8" i="320"/>
  <c r="E2" i="320"/>
  <c r="D3" i="320" s="1"/>
  <c r="D11" i="319"/>
  <c r="D10" i="319"/>
  <c r="D9" i="319"/>
  <c r="D8" i="319"/>
  <c r="E8" i="319" s="1"/>
  <c r="D7" i="319"/>
  <c r="E7" i="319" s="1"/>
  <c r="D6" i="319"/>
  <c r="D5" i="319"/>
  <c r="E5" i="319" s="1"/>
  <c r="D4" i="319"/>
  <c r="A1" i="318"/>
  <c r="C31" i="318"/>
  <c r="C30" i="318"/>
  <c r="D2" i="318"/>
  <c r="C61" i="317"/>
  <c r="C48" i="317"/>
  <c r="C8" i="317"/>
  <c r="E2" i="317"/>
  <c r="D3" i="317" s="1"/>
  <c r="D11" i="316"/>
  <c r="D10" i="316"/>
  <c r="D9" i="316"/>
  <c r="D8" i="316"/>
  <c r="E8" i="316" s="1"/>
  <c r="D7" i="316"/>
  <c r="E7" i="316" s="1"/>
  <c r="D6" i="316"/>
  <c r="D5" i="316"/>
  <c r="E5" i="316" s="1"/>
  <c r="D4" i="316"/>
  <c r="AL95" i="319" l="1"/>
  <c r="AL33" i="319"/>
  <c r="AL132" i="319"/>
  <c r="AL70" i="319"/>
  <c r="AL132" i="322"/>
  <c r="AL70" i="322"/>
  <c r="AL97" i="316"/>
  <c r="AL35" i="316"/>
  <c r="AL62" i="316"/>
  <c r="AL71" i="316"/>
  <c r="AL124" i="316"/>
  <c r="AL133" i="316"/>
  <c r="AL111" i="316"/>
  <c r="AL40" i="316"/>
  <c r="AL31" i="316"/>
  <c r="AL102" i="316"/>
  <c r="AL49" i="316"/>
  <c r="AL93" i="316"/>
  <c r="AL71" i="319"/>
  <c r="AL124" i="319"/>
  <c r="AL62" i="319"/>
  <c r="AL133" i="319"/>
  <c r="AL111" i="319"/>
  <c r="AL49" i="319"/>
  <c r="AL93" i="319"/>
  <c r="AL31" i="319"/>
  <c r="AL40" i="319"/>
  <c r="AL102" i="319"/>
  <c r="AL133" i="322"/>
  <c r="AL71" i="322"/>
  <c r="AL124" i="322"/>
  <c r="AL62" i="322"/>
  <c r="AL40" i="322"/>
  <c r="AL111" i="322"/>
  <c r="AL93" i="322"/>
  <c r="AL49" i="322"/>
  <c r="AL102" i="322"/>
  <c r="AL31" i="322"/>
  <c r="AL71" i="325"/>
  <c r="AL124" i="325"/>
  <c r="AL62" i="325"/>
  <c r="AL133" i="325"/>
  <c r="AL111" i="325"/>
  <c r="AL49" i="325"/>
  <c r="AL102" i="325"/>
  <c r="AL93" i="325"/>
  <c r="AL31" i="325"/>
  <c r="AL40" i="325"/>
  <c r="AL97" i="328"/>
  <c r="AL35" i="328"/>
  <c r="D100" i="329"/>
  <c r="D103" i="329"/>
  <c r="D102" i="329"/>
  <c r="D101" i="329"/>
  <c r="D98" i="329"/>
  <c r="D93" i="329"/>
  <c r="D97" i="329"/>
  <c r="D92" i="329"/>
  <c r="D96" i="329"/>
  <c r="D91" i="329"/>
  <c r="D95" i="329"/>
  <c r="D90" i="329"/>
  <c r="AL116" i="316"/>
  <c r="AL45" i="316"/>
  <c r="AL107" i="316"/>
  <c r="AL54" i="316"/>
  <c r="AL116" i="319"/>
  <c r="AL54" i="319"/>
  <c r="AL107" i="319"/>
  <c r="AL45" i="319"/>
  <c r="AL116" i="322"/>
  <c r="AL54" i="322"/>
  <c r="AL107" i="322"/>
  <c r="AL45" i="322"/>
  <c r="AL54" i="325"/>
  <c r="AL107" i="325"/>
  <c r="AL45" i="325"/>
  <c r="AL116" i="325"/>
  <c r="AL102" i="328"/>
  <c r="AL93" i="328"/>
  <c r="AL40" i="328"/>
  <c r="AL31" i="328"/>
  <c r="AL111" i="328"/>
  <c r="AL49" i="328"/>
  <c r="AL45" i="328"/>
  <c r="AL116" i="328"/>
  <c r="AL54" i="328"/>
  <c r="AL107" i="328"/>
  <c r="AL33" i="316"/>
  <c r="AL95" i="316"/>
  <c r="AL132" i="316"/>
  <c r="AL70" i="316"/>
  <c r="AL95" i="322"/>
  <c r="AL33" i="322"/>
  <c r="AL95" i="325"/>
  <c r="AL33" i="325"/>
  <c r="AL132" i="325"/>
  <c r="AL70" i="325"/>
  <c r="D100" i="317"/>
  <c r="D103" i="317"/>
  <c r="D102" i="317"/>
  <c r="D101" i="317"/>
  <c r="D98" i="317"/>
  <c r="D93" i="317"/>
  <c r="D97" i="317"/>
  <c r="D92" i="317"/>
  <c r="D96" i="317"/>
  <c r="D91" i="317"/>
  <c r="D95" i="317"/>
  <c r="D90" i="317"/>
  <c r="AL97" i="319"/>
  <c r="AL35" i="319"/>
  <c r="D100" i="320"/>
  <c r="D103" i="320"/>
  <c r="D102" i="320"/>
  <c r="D101" i="320"/>
  <c r="D98" i="320"/>
  <c r="D93" i="320"/>
  <c r="D97" i="320"/>
  <c r="D92" i="320"/>
  <c r="D96" i="320"/>
  <c r="D91" i="320"/>
  <c r="D95" i="320"/>
  <c r="D90" i="320"/>
  <c r="AL97" i="322"/>
  <c r="AL35" i="322"/>
  <c r="D100" i="323"/>
  <c r="D103" i="323"/>
  <c r="D102" i="323"/>
  <c r="D101" i="323"/>
  <c r="D98" i="323"/>
  <c r="D93" i="323"/>
  <c r="D97" i="323"/>
  <c r="D92" i="323"/>
  <c r="D96" i="323"/>
  <c r="D91" i="323"/>
  <c r="D95" i="323"/>
  <c r="D90" i="323"/>
  <c r="AL35" i="325"/>
  <c r="AL97" i="325"/>
  <c r="D100" i="326"/>
  <c r="D103" i="326"/>
  <c r="D102" i="326"/>
  <c r="D101" i="326"/>
  <c r="D98" i="326"/>
  <c r="D93" i="326"/>
  <c r="D97" i="326"/>
  <c r="D92" i="326"/>
  <c r="D96" i="326"/>
  <c r="D91" i="326"/>
  <c r="D95" i="326"/>
  <c r="D90" i="326"/>
  <c r="AL62" i="328"/>
  <c r="AL133" i="328"/>
  <c r="AL71" i="328"/>
  <c r="AL124" i="328"/>
  <c r="AL33" i="328"/>
  <c r="AL95" i="328"/>
  <c r="AL132" i="328"/>
  <c r="AL70" i="328"/>
  <c r="D105" i="329"/>
  <c r="D106" i="329"/>
  <c r="D108" i="329"/>
  <c r="D107" i="329"/>
  <c r="D108" i="317"/>
  <c r="D105" i="317"/>
  <c r="D107" i="317"/>
  <c r="D106" i="317"/>
  <c r="D107" i="320"/>
  <c r="D108" i="320"/>
  <c r="D105" i="320"/>
  <c r="D106" i="320"/>
  <c r="D106" i="323"/>
  <c r="D107" i="323"/>
  <c r="D108" i="323"/>
  <c r="D105" i="323"/>
  <c r="D108" i="326"/>
  <c r="D105" i="326"/>
  <c r="D106" i="326"/>
  <c r="D107" i="326"/>
  <c r="E97" i="316"/>
  <c r="I97" i="316"/>
  <c r="M97" i="316"/>
  <c r="Q97" i="316"/>
  <c r="U97" i="316"/>
  <c r="Y97" i="316"/>
  <c r="AC97" i="316"/>
  <c r="AG97" i="316"/>
  <c r="AK97" i="316"/>
  <c r="J97" i="316"/>
  <c r="O97" i="316"/>
  <c r="T97" i="316"/>
  <c r="Z97" i="316"/>
  <c r="AE97" i="316"/>
  <c r="AJ97" i="316"/>
  <c r="D97" i="316"/>
  <c r="AI35" i="316"/>
  <c r="AE35" i="316"/>
  <c r="AA35" i="316"/>
  <c r="W35" i="316"/>
  <c r="S35" i="316"/>
  <c r="O35" i="316"/>
  <c r="K35" i="316"/>
  <c r="G35" i="316"/>
  <c r="F97" i="316"/>
  <c r="K97" i="316"/>
  <c r="P97" i="316"/>
  <c r="V97" i="316"/>
  <c r="AA97" i="316"/>
  <c r="AF97" i="316"/>
  <c r="D35" i="316"/>
  <c r="AH35" i="316"/>
  <c r="AD35" i="316"/>
  <c r="Z35" i="316"/>
  <c r="V35" i="316"/>
  <c r="R35" i="316"/>
  <c r="N35" i="316"/>
  <c r="J35" i="316"/>
  <c r="F35" i="316"/>
  <c r="G97" i="316"/>
  <c r="L97" i="316"/>
  <c r="R97" i="316"/>
  <c r="W97" i="316"/>
  <c r="AB97" i="316"/>
  <c r="AH97" i="316"/>
  <c r="AK35" i="316"/>
  <c r="AG35" i="316"/>
  <c r="AC35" i="316"/>
  <c r="Y35" i="316"/>
  <c r="U35" i="316"/>
  <c r="Q35" i="316"/>
  <c r="M35" i="316"/>
  <c r="I35" i="316"/>
  <c r="E35" i="316"/>
  <c r="N97" i="316"/>
  <c r="AI97" i="316"/>
  <c r="AB35" i="316"/>
  <c r="L35" i="316"/>
  <c r="H97" i="316"/>
  <c r="AF35" i="316"/>
  <c r="S97" i="316"/>
  <c r="X35" i="316"/>
  <c r="H35" i="316"/>
  <c r="AD97" i="316"/>
  <c r="P35" i="316"/>
  <c r="X97" i="316"/>
  <c r="AJ35" i="316"/>
  <c r="T35" i="316"/>
  <c r="AK97" i="319"/>
  <c r="AG97" i="319"/>
  <c r="AC97" i="319"/>
  <c r="Y97" i="319"/>
  <c r="U97" i="319"/>
  <c r="Q97" i="319"/>
  <c r="M97" i="319"/>
  <c r="I97" i="319"/>
  <c r="E97" i="319"/>
  <c r="AH35" i="319"/>
  <c r="AD35" i="319"/>
  <c r="Z35" i="319"/>
  <c r="V35" i="319"/>
  <c r="R35" i="319"/>
  <c r="N35" i="319"/>
  <c r="J35" i="319"/>
  <c r="F35" i="319"/>
  <c r="AJ97" i="319"/>
  <c r="AF97" i="319"/>
  <c r="AB97" i="319"/>
  <c r="X97" i="319"/>
  <c r="T97" i="319"/>
  <c r="P97" i="319"/>
  <c r="L97" i="319"/>
  <c r="H97" i="319"/>
  <c r="D97" i="319"/>
  <c r="AK35" i="319"/>
  <c r="AG35" i="319"/>
  <c r="AC35" i="319"/>
  <c r="Y35" i="319"/>
  <c r="U35" i="319"/>
  <c r="Q35" i="319"/>
  <c r="M35" i="319"/>
  <c r="I35" i="319"/>
  <c r="E35" i="319"/>
  <c r="AI97" i="319"/>
  <c r="AA97" i="319"/>
  <c r="S97" i="319"/>
  <c r="K97" i="319"/>
  <c r="AE35" i="319"/>
  <c r="W35" i="319"/>
  <c r="O35" i="319"/>
  <c r="G35" i="319"/>
  <c r="AH97" i="319"/>
  <c r="Z97" i="319"/>
  <c r="R97" i="319"/>
  <c r="J97" i="319"/>
  <c r="AJ35" i="319"/>
  <c r="AB35" i="319"/>
  <c r="T35" i="319"/>
  <c r="L35" i="319"/>
  <c r="D35" i="319"/>
  <c r="AE97" i="319"/>
  <c r="W97" i="319"/>
  <c r="O97" i="319"/>
  <c r="G97" i="319"/>
  <c r="AI35" i="319"/>
  <c r="AA35" i="319"/>
  <c r="S35" i="319"/>
  <c r="K35" i="319"/>
  <c r="V97" i="319"/>
  <c r="P35" i="319"/>
  <c r="X35" i="319"/>
  <c r="N97" i="319"/>
  <c r="H35" i="319"/>
  <c r="F97" i="319"/>
  <c r="AF35" i="319"/>
  <c r="AD97" i="319"/>
  <c r="AJ97" i="322"/>
  <c r="AF97" i="322"/>
  <c r="AB97" i="322"/>
  <c r="X97" i="322"/>
  <c r="T97" i="322"/>
  <c r="P97" i="322"/>
  <c r="L97" i="322"/>
  <c r="H97" i="322"/>
  <c r="D97" i="322"/>
  <c r="AJ35" i="322"/>
  <c r="AF35" i="322"/>
  <c r="AB35" i="322"/>
  <c r="X35" i="322"/>
  <c r="T35" i="322"/>
  <c r="P35" i="322"/>
  <c r="L35" i="322"/>
  <c r="H35" i="322"/>
  <c r="D35" i="322"/>
  <c r="AI97" i="322"/>
  <c r="AE97" i="322"/>
  <c r="AA97" i="322"/>
  <c r="W97" i="322"/>
  <c r="S97" i="322"/>
  <c r="O97" i="322"/>
  <c r="K97" i="322"/>
  <c r="G97" i="322"/>
  <c r="AI35" i="322"/>
  <c r="AE35" i="322"/>
  <c r="AA35" i="322"/>
  <c r="W35" i="322"/>
  <c r="S35" i="322"/>
  <c r="O35" i="322"/>
  <c r="K35" i="322"/>
  <c r="G35" i="322"/>
  <c r="AH97" i="322"/>
  <c r="AD97" i="322"/>
  <c r="Z97" i="322"/>
  <c r="V97" i="322"/>
  <c r="R97" i="322"/>
  <c r="N97" i="322"/>
  <c r="J97" i="322"/>
  <c r="F97" i="322"/>
  <c r="AH35" i="322"/>
  <c r="AD35" i="322"/>
  <c r="Z35" i="322"/>
  <c r="V35" i="322"/>
  <c r="R35" i="322"/>
  <c r="N35" i="322"/>
  <c r="J35" i="322"/>
  <c r="F35" i="322"/>
  <c r="AK97" i="322"/>
  <c r="U97" i="322"/>
  <c r="E97" i="322"/>
  <c r="Y35" i="322"/>
  <c r="I35" i="322"/>
  <c r="AG97" i="322"/>
  <c r="Q97" i="322"/>
  <c r="AK35" i="322"/>
  <c r="U35" i="322"/>
  <c r="E35" i="322"/>
  <c r="AC97" i="322"/>
  <c r="M97" i="322"/>
  <c r="AG35" i="322"/>
  <c r="Q35" i="322"/>
  <c r="I97" i="322"/>
  <c r="M35" i="322"/>
  <c r="AC35" i="322"/>
  <c r="Y97" i="322"/>
  <c r="AH97" i="325"/>
  <c r="AD97" i="325"/>
  <c r="Z97" i="325"/>
  <c r="V97" i="325"/>
  <c r="R97" i="325"/>
  <c r="N97" i="325"/>
  <c r="J97" i="325"/>
  <c r="F97" i="325"/>
  <c r="AK97" i="325"/>
  <c r="AG97" i="325"/>
  <c r="AC97" i="325"/>
  <c r="Y97" i="325"/>
  <c r="U97" i="325"/>
  <c r="Q97" i="325"/>
  <c r="M97" i="325"/>
  <c r="I97" i="325"/>
  <c r="E97" i="325"/>
  <c r="AJ97" i="325"/>
  <c r="AF97" i="325"/>
  <c r="AB97" i="325"/>
  <c r="X97" i="325"/>
  <c r="T97" i="325"/>
  <c r="P97" i="325"/>
  <c r="L97" i="325"/>
  <c r="H97" i="325"/>
  <c r="D97" i="325"/>
  <c r="AI97" i="325"/>
  <c r="AE97" i="325"/>
  <c r="AA97" i="325"/>
  <c r="W97" i="325"/>
  <c r="S97" i="325"/>
  <c r="O97" i="325"/>
  <c r="K97" i="325"/>
  <c r="G97" i="325"/>
  <c r="AK35" i="325"/>
  <c r="AG35" i="325"/>
  <c r="AC35" i="325"/>
  <c r="Y35" i="325"/>
  <c r="U35" i="325"/>
  <c r="Q35" i="325"/>
  <c r="M35" i="325"/>
  <c r="I35" i="325"/>
  <c r="E35" i="325"/>
  <c r="AJ35" i="325"/>
  <c r="AF35" i="325"/>
  <c r="AB35" i="325"/>
  <c r="X35" i="325"/>
  <c r="T35" i="325"/>
  <c r="P35" i="325"/>
  <c r="L35" i="325"/>
  <c r="H35" i="325"/>
  <c r="D35" i="325"/>
  <c r="AI35" i="325"/>
  <c r="AE35" i="325"/>
  <c r="AA35" i="325"/>
  <c r="W35" i="325"/>
  <c r="S35" i="325"/>
  <c r="O35" i="325"/>
  <c r="K35" i="325"/>
  <c r="G35" i="325"/>
  <c r="AH35" i="325"/>
  <c r="AD35" i="325"/>
  <c r="Z35" i="325"/>
  <c r="V35" i="325"/>
  <c r="R35" i="325"/>
  <c r="N35" i="325"/>
  <c r="J35" i="325"/>
  <c r="F35" i="325"/>
  <c r="AK133" i="328"/>
  <c r="AG133" i="328"/>
  <c r="AC133" i="328"/>
  <c r="Y133" i="328"/>
  <c r="U133" i="328"/>
  <c r="Q133" i="328"/>
  <c r="M133" i="328"/>
  <c r="I133" i="328"/>
  <c r="E133" i="328"/>
  <c r="AI124" i="328"/>
  <c r="AE124" i="328"/>
  <c r="AA124" i="328"/>
  <c r="W124" i="328"/>
  <c r="S124" i="328"/>
  <c r="O124" i="328"/>
  <c r="K124" i="328"/>
  <c r="G124" i="328"/>
  <c r="AJ133" i="328"/>
  <c r="AF133" i="328"/>
  <c r="AB133" i="328"/>
  <c r="X133" i="328"/>
  <c r="T133" i="328"/>
  <c r="P133" i="328"/>
  <c r="L133" i="328"/>
  <c r="H133" i="328"/>
  <c r="D133" i="328"/>
  <c r="AH124" i="328"/>
  <c r="AD124" i="328"/>
  <c r="Z124" i="328"/>
  <c r="V124" i="328"/>
  <c r="R124" i="328"/>
  <c r="N124" i="328"/>
  <c r="J124" i="328"/>
  <c r="F124" i="328"/>
  <c r="AI133" i="328"/>
  <c r="AE133" i="328"/>
  <c r="AA133" i="328"/>
  <c r="W133" i="328"/>
  <c r="S133" i="328"/>
  <c r="O133" i="328"/>
  <c r="K133" i="328"/>
  <c r="G133" i="328"/>
  <c r="AK124" i="328"/>
  <c r="AG124" i="328"/>
  <c r="AC124" i="328"/>
  <c r="Y124" i="328"/>
  <c r="U124" i="328"/>
  <c r="Q124" i="328"/>
  <c r="M124" i="328"/>
  <c r="I124" i="328"/>
  <c r="E124" i="328"/>
  <c r="AH133" i="328"/>
  <c r="AD133" i="328"/>
  <c r="Z133" i="328"/>
  <c r="V133" i="328"/>
  <c r="R133" i="328"/>
  <c r="N133" i="328"/>
  <c r="J133" i="328"/>
  <c r="F133" i="328"/>
  <c r="AJ124" i="328"/>
  <c r="AF124" i="328"/>
  <c r="AB124" i="328"/>
  <c r="X124" i="328"/>
  <c r="T124" i="328"/>
  <c r="P124" i="328"/>
  <c r="L124" i="328"/>
  <c r="H124" i="328"/>
  <c r="D124" i="328"/>
  <c r="AH71" i="328"/>
  <c r="AD71" i="328"/>
  <c r="Z71" i="328"/>
  <c r="V71" i="328"/>
  <c r="R71" i="328"/>
  <c r="N71" i="328"/>
  <c r="J71" i="328"/>
  <c r="F71" i="328"/>
  <c r="AJ62" i="328"/>
  <c r="AF62" i="328"/>
  <c r="AB62" i="328"/>
  <c r="X62" i="328"/>
  <c r="T62" i="328"/>
  <c r="P62" i="328"/>
  <c r="L62" i="328"/>
  <c r="H62" i="328"/>
  <c r="D62" i="328"/>
  <c r="AK71" i="328"/>
  <c r="AG71" i="328"/>
  <c r="AC71" i="328"/>
  <c r="Y71" i="328"/>
  <c r="U71" i="328"/>
  <c r="Q71" i="328"/>
  <c r="M71" i="328"/>
  <c r="I71" i="328"/>
  <c r="E71" i="328"/>
  <c r="AI62" i="328"/>
  <c r="AE62" i="328"/>
  <c r="AA62" i="328"/>
  <c r="W62" i="328"/>
  <c r="S62" i="328"/>
  <c r="O62" i="328"/>
  <c r="K62" i="328"/>
  <c r="G62" i="328"/>
  <c r="AJ71" i="328"/>
  <c r="AF71" i="328"/>
  <c r="AB71" i="328"/>
  <c r="X71" i="328"/>
  <c r="T71" i="328"/>
  <c r="P71" i="328"/>
  <c r="L71" i="328"/>
  <c r="H71" i="328"/>
  <c r="D71" i="328"/>
  <c r="AH62" i="328"/>
  <c r="AD62" i="328"/>
  <c r="Z62" i="328"/>
  <c r="V62" i="328"/>
  <c r="R62" i="328"/>
  <c r="N62" i="328"/>
  <c r="J62" i="328"/>
  <c r="F62" i="328"/>
  <c r="AI71" i="328"/>
  <c r="AE71" i="328"/>
  <c r="AA71" i="328"/>
  <c r="W71" i="328"/>
  <c r="S71" i="328"/>
  <c r="O71" i="328"/>
  <c r="K71" i="328"/>
  <c r="G71" i="328"/>
  <c r="AK62" i="328"/>
  <c r="AG62" i="328"/>
  <c r="AC62" i="328"/>
  <c r="Y62" i="328"/>
  <c r="U62" i="328"/>
  <c r="Q62" i="328"/>
  <c r="M62" i="328"/>
  <c r="I62" i="328"/>
  <c r="E62" i="328"/>
  <c r="AJ95" i="328"/>
  <c r="AF95" i="328"/>
  <c r="AB95" i="328"/>
  <c r="X95" i="328"/>
  <c r="T95" i="328"/>
  <c r="P95" i="328"/>
  <c r="L95" i="328"/>
  <c r="H95" i="328"/>
  <c r="D95" i="328"/>
  <c r="AI95" i="328"/>
  <c r="AE95" i="328"/>
  <c r="AA95" i="328"/>
  <c r="W95" i="328"/>
  <c r="S95" i="328"/>
  <c r="O95" i="328"/>
  <c r="K95" i="328"/>
  <c r="G95" i="328"/>
  <c r="AH95" i="328"/>
  <c r="AD95" i="328"/>
  <c r="Z95" i="328"/>
  <c r="V95" i="328"/>
  <c r="R95" i="328"/>
  <c r="N95" i="328"/>
  <c r="J95" i="328"/>
  <c r="F95" i="328"/>
  <c r="AK95" i="328"/>
  <c r="AG95" i="328"/>
  <c r="AC95" i="328"/>
  <c r="Y95" i="328"/>
  <c r="U95" i="328"/>
  <c r="Q95" i="328"/>
  <c r="M95" i="328"/>
  <c r="I95" i="328"/>
  <c r="E95" i="328"/>
  <c r="AH33" i="328"/>
  <c r="AD33" i="328"/>
  <c r="Z33" i="328"/>
  <c r="V33" i="328"/>
  <c r="R33" i="328"/>
  <c r="N33" i="328"/>
  <c r="J33" i="328"/>
  <c r="F33" i="328"/>
  <c r="AK33" i="328"/>
  <c r="AG33" i="328"/>
  <c r="AC33" i="328"/>
  <c r="Y33" i="328"/>
  <c r="U33" i="328"/>
  <c r="Q33" i="328"/>
  <c r="M33" i="328"/>
  <c r="I33" i="328"/>
  <c r="E33" i="328"/>
  <c r="AJ33" i="328"/>
  <c r="AF33" i="328"/>
  <c r="AB33" i="328"/>
  <c r="X33" i="328"/>
  <c r="T33" i="328"/>
  <c r="P33" i="328"/>
  <c r="L33" i="328"/>
  <c r="H33" i="328"/>
  <c r="D33" i="328"/>
  <c r="AI33" i="328"/>
  <c r="AE33" i="328"/>
  <c r="AA33" i="328"/>
  <c r="W33" i="328"/>
  <c r="S33" i="328"/>
  <c r="O33" i="328"/>
  <c r="K33" i="328"/>
  <c r="G33" i="328"/>
  <c r="AI132" i="328"/>
  <c r="AE132" i="328"/>
  <c r="AA132" i="328"/>
  <c r="W132" i="328"/>
  <c r="S132" i="328"/>
  <c r="O132" i="328"/>
  <c r="K132" i="328"/>
  <c r="G132" i="328"/>
  <c r="AH132" i="328"/>
  <c r="AD132" i="328"/>
  <c r="Z132" i="328"/>
  <c r="V132" i="328"/>
  <c r="R132" i="328"/>
  <c r="N132" i="328"/>
  <c r="J132" i="328"/>
  <c r="F132" i="328"/>
  <c r="AK132" i="328"/>
  <c r="AG132" i="328"/>
  <c r="AC132" i="328"/>
  <c r="Y132" i="328"/>
  <c r="U132" i="328"/>
  <c r="Q132" i="328"/>
  <c r="M132" i="328"/>
  <c r="I132" i="328"/>
  <c r="E132" i="328"/>
  <c r="AJ132" i="328"/>
  <c r="AF132" i="328"/>
  <c r="AB132" i="328"/>
  <c r="X132" i="328"/>
  <c r="T132" i="328"/>
  <c r="P132" i="328"/>
  <c r="L132" i="328"/>
  <c r="H132" i="328"/>
  <c r="D132" i="328"/>
  <c r="AJ70" i="328"/>
  <c r="AF70" i="328"/>
  <c r="AB70" i="328"/>
  <c r="X70" i="328"/>
  <c r="T70" i="328"/>
  <c r="P70" i="328"/>
  <c r="L70" i="328"/>
  <c r="H70" i="328"/>
  <c r="D70" i="328"/>
  <c r="AI70" i="328"/>
  <c r="AE70" i="328"/>
  <c r="AA70" i="328"/>
  <c r="W70" i="328"/>
  <c r="S70" i="328"/>
  <c r="O70" i="328"/>
  <c r="K70" i="328"/>
  <c r="G70" i="328"/>
  <c r="AH70" i="328"/>
  <c r="AD70" i="328"/>
  <c r="Z70" i="328"/>
  <c r="V70" i="328"/>
  <c r="R70" i="328"/>
  <c r="N70" i="328"/>
  <c r="J70" i="328"/>
  <c r="F70" i="328"/>
  <c r="AK70" i="328"/>
  <c r="AG70" i="328"/>
  <c r="AC70" i="328"/>
  <c r="Y70" i="328"/>
  <c r="U70" i="328"/>
  <c r="Q70" i="328"/>
  <c r="M70" i="328"/>
  <c r="I70" i="328"/>
  <c r="E70" i="328"/>
  <c r="F124" i="316"/>
  <c r="J124" i="316"/>
  <c r="N124" i="316"/>
  <c r="R124" i="316"/>
  <c r="V124" i="316"/>
  <c r="Z124" i="316"/>
  <c r="AD124" i="316"/>
  <c r="AH124" i="316"/>
  <c r="D124" i="316"/>
  <c r="G124" i="316"/>
  <c r="K124" i="316"/>
  <c r="O124" i="316"/>
  <c r="S124" i="316"/>
  <c r="W124" i="316"/>
  <c r="AA124" i="316"/>
  <c r="AE124" i="316"/>
  <c r="AI124" i="316"/>
  <c r="E133" i="316"/>
  <c r="I133" i="316"/>
  <c r="M133" i="316"/>
  <c r="Q133" i="316"/>
  <c r="U133" i="316"/>
  <c r="Y133" i="316"/>
  <c r="AC133" i="316"/>
  <c r="AG133" i="316"/>
  <c r="AK133" i="316"/>
  <c r="I124" i="316"/>
  <c r="Q124" i="316"/>
  <c r="Y124" i="316"/>
  <c r="AG124" i="316"/>
  <c r="G133" i="316"/>
  <c r="L133" i="316"/>
  <c r="R133" i="316"/>
  <c r="W133" i="316"/>
  <c r="AB133" i="316"/>
  <c r="AH133" i="316"/>
  <c r="AJ71" i="316"/>
  <c r="AF71" i="316"/>
  <c r="AB71" i="316"/>
  <c r="X71" i="316"/>
  <c r="T71" i="316"/>
  <c r="P71" i="316"/>
  <c r="L71" i="316"/>
  <c r="H71" i="316"/>
  <c r="D71" i="316"/>
  <c r="AH62" i="316"/>
  <c r="AD62" i="316"/>
  <c r="Z62" i="316"/>
  <c r="V62" i="316"/>
  <c r="R62" i="316"/>
  <c r="N62" i="316"/>
  <c r="J62" i="316"/>
  <c r="F62" i="316"/>
  <c r="L124" i="316"/>
  <c r="T124" i="316"/>
  <c r="AB124" i="316"/>
  <c r="AJ124" i="316"/>
  <c r="H133" i="316"/>
  <c r="N133" i="316"/>
  <c r="S133" i="316"/>
  <c r="X133" i="316"/>
  <c r="AD133" i="316"/>
  <c r="AI133" i="316"/>
  <c r="AI71" i="316"/>
  <c r="AE71" i="316"/>
  <c r="AA71" i="316"/>
  <c r="W71" i="316"/>
  <c r="S71" i="316"/>
  <c r="O71" i="316"/>
  <c r="K71" i="316"/>
  <c r="G71" i="316"/>
  <c r="AK62" i="316"/>
  <c r="AG62" i="316"/>
  <c r="AC62" i="316"/>
  <c r="Y62" i="316"/>
  <c r="U62" i="316"/>
  <c r="Q62" i="316"/>
  <c r="M62" i="316"/>
  <c r="I62" i="316"/>
  <c r="E62" i="316"/>
  <c r="E124" i="316"/>
  <c r="M124" i="316"/>
  <c r="U124" i="316"/>
  <c r="AC124" i="316"/>
  <c r="AK124" i="316"/>
  <c r="J133" i="316"/>
  <c r="O133" i="316"/>
  <c r="T133" i="316"/>
  <c r="Z133" i="316"/>
  <c r="AE133" i="316"/>
  <c r="AJ133" i="316"/>
  <c r="AH71" i="316"/>
  <c r="AD71" i="316"/>
  <c r="Z71" i="316"/>
  <c r="V71" i="316"/>
  <c r="R71" i="316"/>
  <c r="N71" i="316"/>
  <c r="J71" i="316"/>
  <c r="F71" i="316"/>
  <c r="AJ62" i="316"/>
  <c r="AF62" i="316"/>
  <c r="AB62" i="316"/>
  <c r="X62" i="316"/>
  <c r="T62" i="316"/>
  <c r="P62" i="316"/>
  <c r="L62" i="316"/>
  <c r="H62" i="316"/>
  <c r="D62" i="316"/>
  <c r="H124" i="316"/>
  <c r="V133" i="316"/>
  <c r="Y71" i="316"/>
  <c r="I71" i="316"/>
  <c r="AE62" i="316"/>
  <c r="O62" i="316"/>
  <c r="D133" i="316"/>
  <c r="P124" i="316"/>
  <c r="F133" i="316"/>
  <c r="AA133" i="316"/>
  <c r="AK71" i="316"/>
  <c r="U71" i="316"/>
  <c r="E71" i="316"/>
  <c r="AA62" i="316"/>
  <c r="K62" i="316"/>
  <c r="AF124" i="316"/>
  <c r="AC71" i="316"/>
  <c r="M71" i="316"/>
  <c r="AI62" i="316"/>
  <c r="X124" i="316"/>
  <c r="K133" i="316"/>
  <c r="AF133" i="316"/>
  <c r="AG71" i="316"/>
  <c r="Q71" i="316"/>
  <c r="W62" i="316"/>
  <c r="G62" i="316"/>
  <c r="P133" i="316"/>
  <c r="S62" i="316"/>
  <c r="H93" i="316"/>
  <c r="L93" i="316"/>
  <c r="P93" i="316"/>
  <c r="T93" i="316"/>
  <c r="X93" i="316"/>
  <c r="AB93" i="316"/>
  <c r="AF93" i="316"/>
  <c r="AJ93" i="316"/>
  <c r="H102" i="316"/>
  <c r="L102" i="316"/>
  <c r="P102" i="316"/>
  <c r="T102" i="316"/>
  <c r="X102" i="316"/>
  <c r="AB102" i="316"/>
  <c r="AF102" i="316"/>
  <c r="AJ102" i="316"/>
  <c r="F111" i="316"/>
  <c r="G93" i="316"/>
  <c r="M93" i="316"/>
  <c r="R93" i="316"/>
  <c r="W93" i="316"/>
  <c r="AC93" i="316"/>
  <c r="AH93" i="316"/>
  <c r="I102" i="316"/>
  <c r="N102" i="316"/>
  <c r="S102" i="316"/>
  <c r="Y102" i="316"/>
  <c r="AD102" i="316"/>
  <c r="AI102" i="316"/>
  <c r="G111" i="316"/>
  <c r="K111" i="316"/>
  <c r="O111" i="316"/>
  <c r="S111" i="316"/>
  <c r="W111" i="316"/>
  <c r="AA111" i="316"/>
  <c r="AE111" i="316"/>
  <c r="AI111" i="316"/>
  <c r="D31" i="316"/>
  <c r="AK49" i="316"/>
  <c r="AG49" i="316"/>
  <c r="AC49" i="316"/>
  <c r="Y49" i="316"/>
  <c r="U49" i="316"/>
  <c r="Q49" i="316"/>
  <c r="M49" i="316"/>
  <c r="I49" i="316"/>
  <c r="E49" i="316"/>
  <c r="AK40" i="316"/>
  <c r="AG40" i="316"/>
  <c r="AC40" i="316"/>
  <c r="Y40" i="316"/>
  <c r="U40" i="316"/>
  <c r="Q40" i="316"/>
  <c r="M40" i="316"/>
  <c r="I40" i="316"/>
  <c r="E40" i="316"/>
  <c r="I93" i="316"/>
  <c r="N93" i="316"/>
  <c r="S93" i="316"/>
  <c r="Y93" i="316"/>
  <c r="AD93" i="316"/>
  <c r="AI93" i="316"/>
  <c r="E102" i="316"/>
  <c r="J102" i="316"/>
  <c r="O102" i="316"/>
  <c r="U102" i="316"/>
  <c r="Z102" i="316"/>
  <c r="AE102" i="316"/>
  <c r="AK102" i="316"/>
  <c r="H111" i="316"/>
  <c r="L111" i="316"/>
  <c r="P111" i="316"/>
  <c r="T111" i="316"/>
  <c r="X111" i="316"/>
  <c r="AB111" i="316"/>
  <c r="AF111" i="316"/>
  <c r="AJ111" i="316"/>
  <c r="D111" i="316"/>
  <c r="D93" i="316"/>
  <c r="AJ49" i="316"/>
  <c r="AF49" i="316"/>
  <c r="AB49" i="316"/>
  <c r="X49" i="316"/>
  <c r="T49" i="316"/>
  <c r="P49" i="316"/>
  <c r="L49" i="316"/>
  <c r="H49" i="316"/>
  <c r="D49" i="316"/>
  <c r="AJ40" i="316"/>
  <c r="AF40" i="316"/>
  <c r="AB40" i="316"/>
  <c r="X40" i="316"/>
  <c r="T40" i="316"/>
  <c r="P40" i="316"/>
  <c r="L40" i="316"/>
  <c r="H40" i="316"/>
  <c r="D40" i="316"/>
  <c r="AK31" i="316"/>
  <c r="AG31" i="316"/>
  <c r="AC31" i="316"/>
  <c r="Y31" i="316"/>
  <c r="U31" i="316"/>
  <c r="Q31" i="316"/>
  <c r="M31" i="316"/>
  <c r="I31" i="316"/>
  <c r="E31" i="316"/>
  <c r="E93" i="316"/>
  <c r="J93" i="316"/>
  <c r="O93" i="316"/>
  <c r="U93" i="316"/>
  <c r="Z93" i="316"/>
  <c r="AE93" i="316"/>
  <c r="AK93" i="316"/>
  <c r="F102" i="316"/>
  <c r="K102" i="316"/>
  <c r="Q102" i="316"/>
  <c r="V102" i="316"/>
  <c r="AA102" i="316"/>
  <c r="AG102" i="316"/>
  <c r="I111" i="316"/>
  <c r="M111" i="316"/>
  <c r="Q111" i="316"/>
  <c r="U111" i="316"/>
  <c r="Y111" i="316"/>
  <c r="AC111" i="316"/>
  <c r="AG111" i="316"/>
  <c r="AK111" i="316"/>
  <c r="AI49" i="316"/>
  <c r="AE49" i="316"/>
  <c r="AA49" i="316"/>
  <c r="W49" i="316"/>
  <c r="S49" i="316"/>
  <c r="O49" i="316"/>
  <c r="K49" i="316"/>
  <c r="G49" i="316"/>
  <c r="AI40" i="316"/>
  <c r="AE40" i="316"/>
  <c r="AA40" i="316"/>
  <c r="W40" i="316"/>
  <c r="S40" i="316"/>
  <c r="O40" i="316"/>
  <c r="K40" i="316"/>
  <c r="G40" i="316"/>
  <c r="AJ31" i="316"/>
  <c r="AF31" i="316"/>
  <c r="AB31" i="316"/>
  <c r="X31" i="316"/>
  <c r="T31" i="316"/>
  <c r="P31" i="316"/>
  <c r="L31" i="316"/>
  <c r="H31" i="316"/>
  <c r="F93" i="316"/>
  <c r="AA93" i="316"/>
  <c r="W102" i="316"/>
  <c r="R111" i="316"/>
  <c r="AH111" i="316"/>
  <c r="V49" i="316"/>
  <c r="F49" i="316"/>
  <c r="Z40" i="316"/>
  <c r="J40" i="316"/>
  <c r="AH31" i="316"/>
  <c r="Z31" i="316"/>
  <c r="R31" i="316"/>
  <c r="J31" i="316"/>
  <c r="R102" i="316"/>
  <c r="N111" i="316"/>
  <c r="J49" i="316"/>
  <c r="AA31" i="316"/>
  <c r="K31" i="316"/>
  <c r="K93" i="316"/>
  <c r="AG93" i="316"/>
  <c r="G102" i="316"/>
  <c r="AC102" i="316"/>
  <c r="E111" i="316"/>
  <c r="V111" i="316"/>
  <c r="AH49" i="316"/>
  <c r="R49" i="316"/>
  <c r="V40" i="316"/>
  <c r="F40" i="316"/>
  <c r="AE31" i="316"/>
  <c r="W31" i="316"/>
  <c r="O31" i="316"/>
  <c r="G31" i="316"/>
  <c r="V93" i="316"/>
  <c r="AD111" i="316"/>
  <c r="Z49" i="316"/>
  <c r="AD40" i="316"/>
  <c r="Q93" i="316"/>
  <c r="M102" i="316"/>
  <c r="AH102" i="316"/>
  <c r="J111" i="316"/>
  <c r="Z111" i="316"/>
  <c r="D102" i="316"/>
  <c r="AD49" i="316"/>
  <c r="N49" i="316"/>
  <c r="AH40" i="316"/>
  <c r="R40" i="316"/>
  <c r="AD31" i="316"/>
  <c r="V31" i="316"/>
  <c r="N31" i="316"/>
  <c r="F31" i="316"/>
  <c r="N40" i="316"/>
  <c r="AI31" i="316"/>
  <c r="S31" i="316"/>
  <c r="AI133" i="319"/>
  <c r="AE133" i="319"/>
  <c r="AA133" i="319"/>
  <c r="W133" i="319"/>
  <c r="S133" i="319"/>
  <c r="O133" i="319"/>
  <c r="K133" i="319"/>
  <c r="G133" i="319"/>
  <c r="AH133" i="319"/>
  <c r="AD133" i="319"/>
  <c r="Z133" i="319"/>
  <c r="V133" i="319"/>
  <c r="R133" i="319"/>
  <c r="N133" i="319"/>
  <c r="J133" i="319"/>
  <c r="F133" i="319"/>
  <c r="AF133" i="319"/>
  <c r="X133" i="319"/>
  <c r="P133" i="319"/>
  <c r="H133" i="319"/>
  <c r="AK124" i="319"/>
  <c r="AG124" i="319"/>
  <c r="AC124" i="319"/>
  <c r="Y124" i="319"/>
  <c r="U124" i="319"/>
  <c r="Q124" i="319"/>
  <c r="M124" i="319"/>
  <c r="I124" i="319"/>
  <c r="E124" i="319"/>
  <c r="AH71" i="319"/>
  <c r="AD71" i="319"/>
  <c r="Z71" i="319"/>
  <c r="V71" i="319"/>
  <c r="R71" i="319"/>
  <c r="N71" i="319"/>
  <c r="J71" i="319"/>
  <c r="F71" i="319"/>
  <c r="AJ62" i="319"/>
  <c r="AF62" i="319"/>
  <c r="AB62" i="319"/>
  <c r="X62" i="319"/>
  <c r="T62" i="319"/>
  <c r="P62" i="319"/>
  <c r="L62" i="319"/>
  <c r="H62" i="319"/>
  <c r="D62" i="319"/>
  <c r="AK133" i="319"/>
  <c r="AC133" i="319"/>
  <c r="U133" i="319"/>
  <c r="M133" i="319"/>
  <c r="E133" i="319"/>
  <c r="AJ124" i="319"/>
  <c r="AF124" i="319"/>
  <c r="AB124" i="319"/>
  <c r="X124" i="319"/>
  <c r="T124" i="319"/>
  <c r="P124" i="319"/>
  <c r="L124" i="319"/>
  <c r="H124" i="319"/>
  <c r="D124" i="319"/>
  <c r="AK71" i="319"/>
  <c r="AG71" i="319"/>
  <c r="AC71" i="319"/>
  <c r="Y71" i="319"/>
  <c r="U71" i="319"/>
  <c r="Q71" i="319"/>
  <c r="M71" i="319"/>
  <c r="I71" i="319"/>
  <c r="E71" i="319"/>
  <c r="AI62" i="319"/>
  <c r="AE62" i="319"/>
  <c r="AA62" i="319"/>
  <c r="W62" i="319"/>
  <c r="S62" i="319"/>
  <c r="O62" i="319"/>
  <c r="K62" i="319"/>
  <c r="G62" i="319"/>
  <c r="AJ133" i="319"/>
  <c r="AB133" i="319"/>
  <c r="T133" i="319"/>
  <c r="L133" i="319"/>
  <c r="D133" i="319"/>
  <c r="AI124" i="319"/>
  <c r="AE124" i="319"/>
  <c r="AA124" i="319"/>
  <c r="W124" i="319"/>
  <c r="S124" i="319"/>
  <c r="O124" i="319"/>
  <c r="K124" i="319"/>
  <c r="G124" i="319"/>
  <c r="Y133" i="319"/>
  <c r="AH124" i="319"/>
  <c r="R124" i="319"/>
  <c r="AF71" i="319"/>
  <c r="X71" i="319"/>
  <c r="P71" i="319"/>
  <c r="H71" i="319"/>
  <c r="AD62" i="319"/>
  <c r="V62" i="319"/>
  <c r="N62" i="319"/>
  <c r="F62" i="319"/>
  <c r="Q133" i="319"/>
  <c r="AD124" i="319"/>
  <c r="N124" i="319"/>
  <c r="AE71" i="319"/>
  <c r="W71" i="319"/>
  <c r="O71" i="319"/>
  <c r="G71" i="319"/>
  <c r="AK62" i="319"/>
  <c r="AC62" i="319"/>
  <c r="U62" i="319"/>
  <c r="M62" i="319"/>
  <c r="E62" i="319"/>
  <c r="I133" i="319"/>
  <c r="Z124" i="319"/>
  <c r="J124" i="319"/>
  <c r="AJ71" i="319"/>
  <c r="AB71" i="319"/>
  <c r="T71" i="319"/>
  <c r="L71" i="319"/>
  <c r="D71" i="319"/>
  <c r="AH62" i="319"/>
  <c r="Z62" i="319"/>
  <c r="R62" i="319"/>
  <c r="J62" i="319"/>
  <c r="AG133" i="319"/>
  <c r="S71" i="319"/>
  <c r="Y62" i="319"/>
  <c r="AA71" i="319"/>
  <c r="V124" i="319"/>
  <c r="K71" i="319"/>
  <c r="Q62" i="319"/>
  <c r="AG62" i="319"/>
  <c r="F124" i="319"/>
  <c r="AI71" i="319"/>
  <c r="I62" i="319"/>
  <c r="AI111" i="319"/>
  <c r="AE111" i="319"/>
  <c r="AA111" i="319"/>
  <c r="W111" i="319"/>
  <c r="S111" i="319"/>
  <c r="O111" i="319"/>
  <c r="K111" i="319"/>
  <c r="G111" i="319"/>
  <c r="AI102" i="319"/>
  <c r="AE102" i="319"/>
  <c r="AA102" i="319"/>
  <c r="W102" i="319"/>
  <c r="S102" i="319"/>
  <c r="O102" i="319"/>
  <c r="K102" i="319"/>
  <c r="G102" i="319"/>
  <c r="AK93" i="319"/>
  <c r="AG93" i="319"/>
  <c r="AC93" i="319"/>
  <c r="Y93" i="319"/>
  <c r="U93" i="319"/>
  <c r="Q93" i="319"/>
  <c r="M93" i="319"/>
  <c r="I93" i="319"/>
  <c r="E93" i="319"/>
  <c r="AJ49" i="319"/>
  <c r="AF49" i="319"/>
  <c r="AB49" i="319"/>
  <c r="X49" i="319"/>
  <c r="T49" i="319"/>
  <c r="P49" i="319"/>
  <c r="L49" i="319"/>
  <c r="H49" i="319"/>
  <c r="D49" i="319"/>
  <c r="AJ40" i="319"/>
  <c r="AF40" i="319"/>
  <c r="AB40" i="319"/>
  <c r="X40" i="319"/>
  <c r="T40" i="319"/>
  <c r="P40" i="319"/>
  <c r="L40" i="319"/>
  <c r="H40" i="319"/>
  <c r="D40" i="319"/>
  <c r="AJ31" i="319"/>
  <c r="AF31" i="319"/>
  <c r="AB31" i="319"/>
  <c r="X31" i="319"/>
  <c r="T31" i="319"/>
  <c r="P31" i="319"/>
  <c r="L31" i="319"/>
  <c r="H31" i="319"/>
  <c r="D31" i="319"/>
  <c r="AH111" i="319"/>
  <c r="AD111" i="319"/>
  <c r="Z111" i="319"/>
  <c r="V111" i="319"/>
  <c r="R111" i="319"/>
  <c r="N111" i="319"/>
  <c r="J111" i="319"/>
  <c r="F111" i="319"/>
  <c r="AH102" i="319"/>
  <c r="AD102" i="319"/>
  <c r="Z102" i="319"/>
  <c r="V102" i="319"/>
  <c r="R102" i="319"/>
  <c r="N102" i="319"/>
  <c r="J102" i="319"/>
  <c r="F102" i="319"/>
  <c r="AJ93" i="319"/>
  <c r="AF93" i="319"/>
  <c r="AB93" i="319"/>
  <c r="X93" i="319"/>
  <c r="T93" i="319"/>
  <c r="P93" i="319"/>
  <c r="L93" i="319"/>
  <c r="H93" i="319"/>
  <c r="D93" i="319"/>
  <c r="AI49" i="319"/>
  <c r="AE49" i="319"/>
  <c r="AA49" i="319"/>
  <c r="W49" i="319"/>
  <c r="S49" i="319"/>
  <c r="O49" i="319"/>
  <c r="K49" i="319"/>
  <c r="G49" i="319"/>
  <c r="AI40" i="319"/>
  <c r="AE40" i="319"/>
  <c r="AA40" i="319"/>
  <c r="W40" i="319"/>
  <c r="S40" i="319"/>
  <c r="O40" i="319"/>
  <c r="K40" i="319"/>
  <c r="G40" i="319"/>
  <c r="AI31" i="319"/>
  <c r="AE31" i="319"/>
  <c r="AA31" i="319"/>
  <c r="W31" i="319"/>
  <c r="S31" i="319"/>
  <c r="O31" i="319"/>
  <c r="K31" i="319"/>
  <c r="G31" i="319"/>
  <c r="AK111" i="319"/>
  <c r="AC111" i="319"/>
  <c r="U111" i="319"/>
  <c r="M111" i="319"/>
  <c r="E111" i="319"/>
  <c r="AG102" i="319"/>
  <c r="Y102" i="319"/>
  <c r="Q102" i="319"/>
  <c r="I102" i="319"/>
  <c r="AE93" i="319"/>
  <c r="W93" i="319"/>
  <c r="O93" i="319"/>
  <c r="G93" i="319"/>
  <c r="AG49" i="319"/>
  <c r="Y49" i="319"/>
  <c r="Q49" i="319"/>
  <c r="I49" i="319"/>
  <c r="AK40" i="319"/>
  <c r="AC40" i="319"/>
  <c r="U40" i="319"/>
  <c r="M40" i="319"/>
  <c r="E40" i="319"/>
  <c r="AK31" i="319"/>
  <c r="AC31" i="319"/>
  <c r="U31" i="319"/>
  <c r="M31" i="319"/>
  <c r="E31" i="319"/>
  <c r="AJ111" i="319"/>
  <c r="AB111" i="319"/>
  <c r="T111" i="319"/>
  <c r="L111" i="319"/>
  <c r="D111" i="319"/>
  <c r="AF102" i="319"/>
  <c r="X102" i="319"/>
  <c r="P102" i="319"/>
  <c r="H102" i="319"/>
  <c r="AD93" i="319"/>
  <c r="V93" i="319"/>
  <c r="N93" i="319"/>
  <c r="F93" i="319"/>
  <c r="AD49" i="319"/>
  <c r="V49" i="319"/>
  <c r="N49" i="319"/>
  <c r="F49" i="319"/>
  <c r="AH40" i="319"/>
  <c r="Z40" i="319"/>
  <c r="R40" i="319"/>
  <c r="J40" i="319"/>
  <c r="AH31" i="319"/>
  <c r="Z31" i="319"/>
  <c r="R31" i="319"/>
  <c r="J31" i="319"/>
  <c r="AG111" i="319"/>
  <c r="Y111" i="319"/>
  <c r="Q111" i="319"/>
  <c r="I111" i="319"/>
  <c r="AK102" i="319"/>
  <c r="AC102" i="319"/>
  <c r="U102" i="319"/>
  <c r="M102" i="319"/>
  <c r="E102" i="319"/>
  <c r="AI93" i="319"/>
  <c r="AA93" i="319"/>
  <c r="S93" i="319"/>
  <c r="K93" i="319"/>
  <c r="AK49" i="319"/>
  <c r="AC49" i="319"/>
  <c r="U49" i="319"/>
  <c r="M49" i="319"/>
  <c r="E49" i="319"/>
  <c r="AG40" i="319"/>
  <c r="Y40" i="319"/>
  <c r="Q40" i="319"/>
  <c r="I40" i="319"/>
  <c r="AG31" i="319"/>
  <c r="Y31" i="319"/>
  <c r="Q31" i="319"/>
  <c r="I31" i="319"/>
  <c r="P111" i="319"/>
  <c r="T102" i="319"/>
  <c r="Z93" i="319"/>
  <c r="J49" i="319"/>
  <c r="N40" i="319"/>
  <c r="V31" i="319"/>
  <c r="R49" i="319"/>
  <c r="AD31" i="319"/>
  <c r="H111" i="319"/>
  <c r="L102" i="319"/>
  <c r="R93" i="319"/>
  <c r="AH49" i="319"/>
  <c r="F40" i="319"/>
  <c r="N31" i="319"/>
  <c r="X111" i="319"/>
  <c r="AB102" i="319"/>
  <c r="AH93" i="319"/>
  <c r="V40" i="319"/>
  <c r="AF111" i="319"/>
  <c r="AJ102" i="319"/>
  <c r="D102" i="319"/>
  <c r="J93" i="319"/>
  <c r="Z49" i="319"/>
  <c r="AD40" i="319"/>
  <c r="F31" i="319"/>
  <c r="AK133" i="322"/>
  <c r="AG133" i="322"/>
  <c r="AC133" i="322"/>
  <c r="Y133" i="322"/>
  <c r="U133" i="322"/>
  <c r="Q133" i="322"/>
  <c r="M133" i="322"/>
  <c r="I133" i="322"/>
  <c r="E133" i="322"/>
  <c r="AK124" i="322"/>
  <c r="AG124" i="322"/>
  <c r="AC124" i="322"/>
  <c r="Y124" i="322"/>
  <c r="U124" i="322"/>
  <c r="Q124" i="322"/>
  <c r="M124" i="322"/>
  <c r="I124" i="322"/>
  <c r="E124" i="322"/>
  <c r="AJ133" i="322"/>
  <c r="AF133" i="322"/>
  <c r="AB133" i="322"/>
  <c r="X133" i="322"/>
  <c r="T133" i="322"/>
  <c r="P133" i="322"/>
  <c r="L133" i="322"/>
  <c r="H133" i="322"/>
  <c r="D133" i="322"/>
  <c r="AJ124" i="322"/>
  <c r="AF124" i="322"/>
  <c r="AB124" i="322"/>
  <c r="X124" i="322"/>
  <c r="T124" i="322"/>
  <c r="P124" i="322"/>
  <c r="L124" i="322"/>
  <c r="H124" i="322"/>
  <c r="D124" i="322"/>
  <c r="AI133" i="322"/>
  <c r="AE133" i="322"/>
  <c r="AA133" i="322"/>
  <c r="W133" i="322"/>
  <c r="S133" i="322"/>
  <c r="O133" i="322"/>
  <c r="K133" i="322"/>
  <c r="G133" i="322"/>
  <c r="AI124" i="322"/>
  <c r="AE124" i="322"/>
  <c r="AA124" i="322"/>
  <c r="W124" i="322"/>
  <c r="S124" i="322"/>
  <c r="O124" i="322"/>
  <c r="K124" i="322"/>
  <c r="G124" i="322"/>
  <c r="AH133" i="322"/>
  <c r="AD133" i="322"/>
  <c r="Z133" i="322"/>
  <c r="V133" i="322"/>
  <c r="R133" i="322"/>
  <c r="N133" i="322"/>
  <c r="J133" i="322"/>
  <c r="F133" i="322"/>
  <c r="AH124" i="322"/>
  <c r="AD124" i="322"/>
  <c r="Z124" i="322"/>
  <c r="V124" i="322"/>
  <c r="R124" i="322"/>
  <c r="N124" i="322"/>
  <c r="J124" i="322"/>
  <c r="F124" i="322"/>
  <c r="AJ71" i="322"/>
  <c r="AF71" i="322"/>
  <c r="AB71" i="322"/>
  <c r="X71" i="322"/>
  <c r="T71" i="322"/>
  <c r="P71" i="322"/>
  <c r="L71" i="322"/>
  <c r="H71" i="322"/>
  <c r="D71" i="322"/>
  <c r="AH62" i="322"/>
  <c r="AD62" i="322"/>
  <c r="Z62" i="322"/>
  <c r="V62" i="322"/>
  <c r="R62" i="322"/>
  <c r="N62" i="322"/>
  <c r="J62" i="322"/>
  <c r="F62" i="322"/>
  <c r="AI71" i="322"/>
  <c r="AE71" i="322"/>
  <c r="AA71" i="322"/>
  <c r="W71" i="322"/>
  <c r="S71" i="322"/>
  <c r="O71" i="322"/>
  <c r="K71" i="322"/>
  <c r="G71" i="322"/>
  <c r="AK62" i="322"/>
  <c r="AG62" i="322"/>
  <c r="AC62" i="322"/>
  <c r="Y62" i="322"/>
  <c r="U62" i="322"/>
  <c r="Q62" i="322"/>
  <c r="M62" i="322"/>
  <c r="I62" i="322"/>
  <c r="E62" i="322"/>
  <c r="AH71" i="322"/>
  <c r="AD71" i="322"/>
  <c r="Z71" i="322"/>
  <c r="V71" i="322"/>
  <c r="R71" i="322"/>
  <c r="N71" i="322"/>
  <c r="J71" i="322"/>
  <c r="F71" i="322"/>
  <c r="AJ62" i="322"/>
  <c r="AF62" i="322"/>
  <c r="AB62" i="322"/>
  <c r="X62" i="322"/>
  <c r="T62" i="322"/>
  <c r="P62" i="322"/>
  <c r="L62" i="322"/>
  <c r="H62" i="322"/>
  <c r="D62" i="322"/>
  <c r="Y71" i="322"/>
  <c r="I71" i="322"/>
  <c r="AA62" i="322"/>
  <c r="K62" i="322"/>
  <c r="AK71" i="322"/>
  <c r="U71" i="322"/>
  <c r="E71" i="322"/>
  <c r="W62" i="322"/>
  <c r="G62" i="322"/>
  <c r="AG71" i="322"/>
  <c r="Q71" i="322"/>
  <c r="AI62" i="322"/>
  <c r="S62" i="322"/>
  <c r="M71" i="322"/>
  <c r="AE62" i="322"/>
  <c r="O62" i="322"/>
  <c r="AC71" i="322"/>
  <c r="AJ111" i="322"/>
  <c r="AF111" i="322"/>
  <c r="AB111" i="322"/>
  <c r="X111" i="322"/>
  <c r="T111" i="322"/>
  <c r="P111" i="322"/>
  <c r="L111" i="322"/>
  <c r="H111" i="322"/>
  <c r="D111" i="322"/>
  <c r="AI111" i="322"/>
  <c r="AE111" i="322"/>
  <c r="AA111" i="322"/>
  <c r="W111" i="322"/>
  <c r="S111" i="322"/>
  <c r="O111" i="322"/>
  <c r="K111" i="322"/>
  <c r="G111" i="322"/>
  <c r="AH111" i="322"/>
  <c r="AD111" i="322"/>
  <c r="Z111" i="322"/>
  <c r="V111" i="322"/>
  <c r="R111" i="322"/>
  <c r="N111" i="322"/>
  <c r="J111" i="322"/>
  <c r="F111" i="322"/>
  <c r="AK111" i="322"/>
  <c r="AG111" i="322"/>
  <c r="AC111" i="322"/>
  <c r="Y111" i="322"/>
  <c r="U111" i="322"/>
  <c r="Q111" i="322"/>
  <c r="M111" i="322"/>
  <c r="I111" i="322"/>
  <c r="E111" i="322"/>
  <c r="AH102" i="322"/>
  <c r="AD102" i="322"/>
  <c r="Z102" i="322"/>
  <c r="V102" i="322"/>
  <c r="R102" i="322"/>
  <c r="N102" i="322"/>
  <c r="J102" i="322"/>
  <c r="F102" i="322"/>
  <c r="AJ93" i="322"/>
  <c r="AF93" i="322"/>
  <c r="AB93" i="322"/>
  <c r="X93" i="322"/>
  <c r="T93" i="322"/>
  <c r="P93" i="322"/>
  <c r="L93" i="322"/>
  <c r="H93" i="322"/>
  <c r="D93" i="322"/>
  <c r="AH49" i="322"/>
  <c r="AD49" i="322"/>
  <c r="Z49" i="322"/>
  <c r="V49" i="322"/>
  <c r="R49" i="322"/>
  <c r="N49" i="322"/>
  <c r="J49" i="322"/>
  <c r="F49" i="322"/>
  <c r="AH40" i="322"/>
  <c r="AD40" i="322"/>
  <c r="Z40" i="322"/>
  <c r="V40" i="322"/>
  <c r="R40" i="322"/>
  <c r="N40" i="322"/>
  <c r="J40" i="322"/>
  <c r="F40" i="322"/>
  <c r="AK31" i="322"/>
  <c r="AG31" i="322"/>
  <c r="AC31" i="322"/>
  <c r="Y31" i="322"/>
  <c r="U31" i="322"/>
  <c r="Q31" i="322"/>
  <c r="M31" i="322"/>
  <c r="I31" i="322"/>
  <c r="E31" i="322"/>
  <c r="AK102" i="322"/>
  <c r="AG102" i="322"/>
  <c r="AC102" i="322"/>
  <c r="Y102" i="322"/>
  <c r="U102" i="322"/>
  <c r="Q102" i="322"/>
  <c r="M102" i="322"/>
  <c r="I102" i="322"/>
  <c r="E102" i="322"/>
  <c r="AI93" i="322"/>
  <c r="AE93" i="322"/>
  <c r="AA93" i="322"/>
  <c r="W93" i="322"/>
  <c r="S93" i="322"/>
  <c r="O93" i="322"/>
  <c r="K93" i="322"/>
  <c r="G93" i="322"/>
  <c r="AK49" i="322"/>
  <c r="AG49" i="322"/>
  <c r="AC49" i="322"/>
  <c r="Y49" i="322"/>
  <c r="U49" i="322"/>
  <c r="Q49" i="322"/>
  <c r="M49" i="322"/>
  <c r="I49" i="322"/>
  <c r="E49" i="322"/>
  <c r="AK40" i="322"/>
  <c r="AG40" i="322"/>
  <c r="AC40" i="322"/>
  <c r="Y40" i="322"/>
  <c r="U40" i="322"/>
  <c r="Q40" i="322"/>
  <c r="M40" i="322"/>
  <c r="I40" i="322"/>
  <c r="E40" i="322"/>
  <c r="AJ31" i="322"/>
  <c r="AF31" i="322"/>
  <c r="AB31" i="322"/>
  <c r="X31" i="322"/>
  <c r="T31" i="322"/>
  <c r="P31" i="322"/>
  <c r="L31" i="322"/>
  <c r="H31" i="322"/>
  <c r="D31" i="322"/>
  <c r="AJ102" i="322"/>
  <c r="AF102" i="322"/>
  <c r="AB102" i="322"/>
  <c r="X102" i="322"/>
  <c r="T102" i="322"/>
  <c r="P102" i="322"/>
  <c r="L102" i="322"/>
  <c r="H102" i="322"/>
  <c r="D102" i="322"/>
  <c r="AH93" i="322"/>
  <c r="AD93" i="322"/>
  <c r="Z93" i="322"/>
  <c r="V93" i="322"/>
  <c r="R93" i="322"/>
  <c r="N93" i="322"/>
  <c r="J93" i="322"/>
  <c r="F93" i="322"/>
  <c r="AJ49" i="322"/>
  <c r="AF49" i="322"/>
  <c r="AB49" i="322"/>
  <c r="X49" i="322"/>
  <c r="T49" i="322"/>
  <c r="P49" i="322"/>
  <c r="L49" i="322"/>
  <c r="H49" i="322"/>
  <c r="D49" i="322"/>
  <c r="AJ40" i="322"/>
  <c r="AF40" i="322"/>
  <c r="AB40" i="322"/>
  <c r="X40" i="322"/>
  <c r="T40" i="322"/>
  <c r="P40" i="322"/>
  <c r="L40" i="322"/>
  <c r="H40" i="322"/>
  <c r="D40" i="322"/>
  <c r="AI31" i="322"/>
  <c r="AE31" i="322"/>
  <c r="AA31" i="322"/>
  <c r="W31" i="322"/>
  <c r="S31" i="322"/>
  <c r="O31" i="322"/>
  <c r="K31" i="322"/>
  <c r="G31" i="322"/>
  <c r="AI102" i="322"/>
  <c r="S102" i="322"/>
  <c r="AC93" i="322"/>
  <c r="M93" i="322"/>
  <c r="AI49" i="322"/>
  <c r="S49" i="322"/>
  <c r="W40" i="322"/>
  <c r="G40" i="322"/>
  <c r="Z31" i="322"/>
  <c r="J31" i="322"/>
  <c r="AE102" i="322"/>
  <c r="O102" i="322"/>
  <c r="Y93" i="322"/>
  <c r="I93" i="322"/>
  <c r="AE49" i="322"/>
  <c r="O49" i="322"/>
  <c r="AI40" i="322"/>
  <c r="S40" i="322"/>
  <c r="V31" i="322"/>
  <c r="F31" i="322"/>
  <c r="AA102" i="322"/>
  <c r="K102" i="322"/>
  <c r="AK93" i="322"/>
  <c r="U93" i="322"/>
  <c r="E93" i="322"/>
  <c r="AA49" i="322"/>
  <c r="K49" i="322"/>
  <c r="AE40" i="322"/>
  <c r="O40" i="322"/>
  <c r="AH31" i="322"/>
  <c r="R31" i="322"/>
  <c r="Q93" i="322"/>
  <c r="W102" i="322"/>
  <c r="W49" i="322"/>
  <c r="AA40" i="322"/>
  <c r="AD31" i="322"/>
  <c r="AG93" i="322"/>
  <c r="G102" i="322"/>
  <c r="G49" i="322"/>
  <c r="K40" i="322"/>
  <c r="N31" i="322"/>
  <c r="AI133" i="325"/>
  <c r="AE133" i="325"/>
  <c r="AA133" i="325"/>
  <c r="W133" i="325"/>
  <c r="S133" i="325"/>
  <c r="O133" i="325"/>
  <c r="K133" i="325"/>
  <c r="G133" i="325"/>
  <c r="AK124" i="325"/>
  <c r="AG124" i="325"/>
  <c r="AC124" i="325"/>
  <c r="Y124" i="325"/>
  <c r="U124" i="325"/>
  <c r="Q124" i="325"/>
  <c r="M124" i="325"/>
  <c r="I124" i="325"/>
  <c r="E124" i="325"/>
  <c r="AI71" i="325"/>
  <c r="AE71" i="325"/>
  <c r="AA71" i="325"/>
  <c r="W71" i="325"/>
  <c r="S71" i="325"/>
  <c r="O71" i="325"/>
  <c r="K71" i="325"/>
  <c r="G71" i="325"/>
  <c r="AH133" i="325"/>
  <c r="AD133" i="325"/>
  <c r="Z133" i="325"/>
  <c r="V133" i="325"/>
  <c r="R133" i="325"/>
  <c r="N133" i="325"/>
  <c r="J133" i="325"/>
  <c r="F133" i="325"/>
  <c r="AJ124" i="325"/>
  <c r="AF124" i="325"/>
  <c r="AB124" i="325"/>
  <c r="X124" i="325"/>
  <c r="T124" i="325"/>
  <c r="P124" i="325"/>
  <c r="L124" i="325"/>
  <c r="H124" i="325"/>
  <c r="D124" i="325"/>
  <c r="AH71" i="325"/>
  <c r="AD71" i="325"/>
  <c r="Z71" i="325"/>
  <c r="V71" i="325"/>
  <c r="R71" i="325"/>
  <c r="N71" i="325"/>
  <c r="J71" i="325"/>
  <c r="F71" i="325"/>
  <c r="AK133" i="325"/>
  <c r="AG133" i="325"/>
  <c r="AC133" i="325"/>
  <c r="Y133" i="325"/>
  <c r="U133" i="325"/>
  <c r="Q133" i="325"/>
  <c r="M133" i="325"/>
  <c r="I133" i="325"/>
  <c r="E133" i="325"/>
  <c r="AI124" i="325"/>
  <c r="AE124" i="325"/>
  <c r="AA124" i="325"/>
  <c r="W124" i="325"/>
  <c r="S124" i="325"/>
  <c r="O124" i="325"/>
  <c r="K124" i="325"/>
  <c r="G124" i="325"/>
  <c r="AK71" i="325"/>
  <c r="AG71" i="325"/>
  <c r="AC71" i="325"/>
  <c r="AJ133" i="325"/>
  <c r="AF133" i="325"/>
  <c r="AB133" i="325"/>
  <c r="X133" i="325"/>
  <c r="T133" i="325"/>
  <c r="P133" i="325"/>
  <c r="L133" i="325"/>
  <c r="H133" i="325"/>
  <c r="D133" i="325"/>
  <c r="AH124" i="325"/>
  <c r="AD124" i="325"/>
  <c r="Z124" i="325"/>
  <c r="V124" i="325"/>
  <c r="R124" i="325"/>
  <c r="N124" i="325"/>
  <c r="J124" i="325"/>
  <c r="F124" i="325"/>
  <c r="AJ71" i="325"/>
  <c r="AF71" i="325"/>
  <c r="AB71" i="325"/>
  <c r="T71" i="325"/>
  <c r="L71" i="325"/>
  <c r="D71" i="325"/>
  <c r="AH62" i="325"/>
  <c r="AD62" i="325"/>
  <c r="Z62" i="325"/>
  <c r="V62" i="325"/>
  <c r="R62" i="325"/>
  <c r="N62" i="325"/>
  <c r="J62" i="325"/>
  <c r="F62" i="325"/>
  <c r="Y71" i="325"/>
  <c r="Q71" i="325"/>
  <c r="I71" i="325"/>
  <c r="AK62" i="325"/>
  <c r="AG62" i="325"/>
  <c r="AC62" i="325"/>
  <c r="Y62" i="325"/>
  <c r="U62" i="325"/>
  <c r="Q62" i="325"/>
  <c r="M62" i="325"/>
  <c r="I62" i="325"/>
  <c r="E62" i="325"/>
  <c r="X71" i="325"/>
  <c r="P71" i="325"/>
  <c r="H71" i="325"/>
  <c r="AJ62" i="325"/>
  <c r="AF62" i="325"/>
  <c r="AB62" i="325"/>
  <c r="X62" i="325"/>
  <c r="T62" i="325"/>
  <c r="P62" i="325"/>
  <c r="L62" i="325"/>
  <c r="H62" i="325"/>
  <c r="D62" i="325"/>
  <c r="U71" i="325"/>
  <c r="M71" i="325"/>
  <c r="E71" i="325"/>
  <c r="AI62" i="325"/>
  <c r="AE62" i="325"/>
  <c r="AA62" i="325"/>
  <c r="W62" i="325"/>
  <c r="S62" i="325"/>
  <c r="O62" i="325"/>
  <c r="K62" i="325"/>
  <c r="G62" i="325"/>
  <c r="AJ111" i="325"/>
  <c r="AF111" i="325"/>
  <c r="AB111" i="325"/>
  <c r="X111" i="325"/>
  <c r="T111" i="325"/>
  <c r="P111" i="325"/>
  <c r="L111" i="325"/>
  <c r="H111" i="325"/>
  <c r="D111" i="325"/>
  <c r="AJ102" i="325"/>
  <c r="AF102" i="325"/>
  <c r="AB102" i="325"/>
  <c r="X102" i="325"/>
  <c r="T102" i="325"/>
  <c r="P102" i="325"/>
  <c r="L102" i="325"/>
  <c r="H102" i="325"/>
  <c r="D102" i="325"/>
  <c r="AI93" i="325"/>
  <c r="AE93" i="325"/>
  <c r="AA93" i="325"/>
  <c r="W93" i="325"/>
  <c r="S93" i="325"/>
  <c r="O93" i="325"/>
  <c r="K93" i="325"/>
  <c r="G93" i="325"/>
  <c r="AI111" i="325"/>
  <c r="AE111" i="325"/>
  <c r="AA111" i="325"/>
  <c r="W111" i="325"/>
  <c r="S111" i="325"/>
  <c r="O111" i="325"/>
  <c r="K111" i="325"/>
  <c r="G111" i="325"/>
  <c r="AI102" i="325"/>
  <c r="AE102" i="325"/>
  <c r="AA102" i="325"/>
  <c r="W102" i="325"/>
  <c r="S102" i="325"/>
  <c r="O102" i="325"/>
  <c r="K102" i="325"/>
  <c r="G102" i="325"/>
  <c r="AH93" i="325"/>
  <c r="AD93" i="325"/>
  <c r="Z93" i="325"/>
  <c r="V93" i="325"/>
  <c r="R93" i="325"/>
  <c r="N93" i="325"/>
  <c r="J93" i="325"/>
  <c r="F93" i="325"/>
  <c r="AH111" i="325"/>
  <c r="AD111" i="325"/>
  <c r="Z111" i="325"/>
  <c r="V111" i="325"/>
  <c r="R111" i="325"/>
  <c r="N111" i="325"/>
  <c r="J111" i="325"/>
  <c r="F111" i="325"/>
  <c r="AH102" i="325"/>
  <c r="AD102" i="325"/>
  <c r="Z102" i="325"/>
  <c r="V102" i="325"/>
  <c r="R102" i="325"/>
  <c r="N102" i="325"/>
  <c r="J102" i="325"/>
  <c r="F102" i="325"/>
  <c r="AK93" i="325"/>
  <c r="AG93" i="325"/>
  <c r="AC93" i="325"/>
  <c r="Y93" i="325"/>
  <c r="U93" i="325"/>
  <c r="Q93" i="325"/>
  <c r="M93" i="325"/>
  <c r="I93" i="325"/>
  <c r="E93" i="325"/>
  <c r="AK111" i="325"/>
  <c r="AG111" i="325"/>
  <c r="AC111" i="325"/>
  <c r="Y111" i="325"/>
  <c r="U111" i="325"/>
  <c r="Q111" i="325"/>
  <c r="M111" i="325"/>
  <c r="I111" i="325"/>
  <c r="E111" i="325"/>
  <c r="AK102" i="325"/>
  <c r="AG102" i="325"/>
  <c r="AC102" i="325"/>
  <c r="Y102" i="325"/>
  <c r="U102" i="325"/>
  <c r="Q102" i="325"/>
  <c r="M102" i="325"/>
  <c r="I102" i="325"/>
  <c r="E102" i="325"/>
  <c r="AJ93" i="325"/>
  <c r="AF93" i="325"/>
  <c r="AB93" i="325"/>
  <c r="X93" i="325"/>
  <c r="T93" i="325"/>
  <c r="P93" i="325"/>
  <c r="L93" i="325"/>
  <c r="H93" i="325"/>
  <c r="D93" i="325"/>
  <c r="AI49" i="325"/>
  <c r="AE49" i="325"/>
  <c r="AA49" i="325"/>
  <c r="W49" i="325"/>
  <c r="S49" i="325"/>
  <c r="O49" i="325"/>
  <c r="K49" i="325"/>
  <c r="G49" i="325"/>
  <c r="AI40" i="325"/>
  <c r="AE40" i="325"/>
  <c r="AA40" i="325"/>
  <c r="W40" i="325"/>
  <c r="S40" i="325"/>
  <c r="O40" i="325"/>
  <c r="K40" i="325"/>
  <c r="G40" i="325"/>
  <c r="AI31" i="325"/>
  <c r="AE31" i="325"/>
  <c r="AA31" i="325"/>
  <c r="W31" i="325"/>
  <c r="S31" i="325"/>
  <c r="O31" i="325"/>
  <c r="K31" i="325"/>
  <c r="G31" i="325"/>
  <c r="AH49" i="325"/>
  <c r="AD49" i="325"/>
  <c r="Z49" i="325"/>
  <c r="V49" i="325"/>
  <c r="R49" i="325"/>
  <c r="N49" i="325"/>
  <c r="J49" i="325"/>
  <c r="F49" i="325"/>
  <c r="AH40" i="325"/>
  <c r="AD40" i="325"/>
  <c r="Z40" i="325"/>
  <c r="V40" i="325"/>
  <c r="R40" i="325"/>
  <c r="N40" i="325"/>
  <c r="J40" i="325"/>
  <c r="F40" i="325"/>
  <c r="AH31" i="325"/>
  <c r="AD31" i="325"/>
  <c r="Z31" i="325"/>
  <c r="V31" i="325"/>
  <c r="R31" i="325"/>
  <c r="N31" i="325"/>
  <c r="J31" i="325"/>
  <c r="F31" i="325"/>
  <c r="AK49" i="325"/>
  <c r="AG49" i="325"/>
  <c r="AC49" i="325"/>
  <c r="Y49" i="325"/>
  <c r="U49" i="325"/>
  <c r="Q49" i="325"/>
  <c r="M49" i="325"/>
  <c r="I49" i="325"/>
  <c r="E49" i="325"/>
  <c r="AK40" i="325"/>
  <c r="AG40" i="325"/>
  <c r="AC40" i="325"/>
  <c r="Y40" i="325"/>
  <c r="U40" i="325"/>
  <c r="Q40" i="325"/>
  <c r="M40" i="325"/>
  <c r="I40" i="325"/>
  <c r="E40" i="325"/>
  <c r="AK31" i="325"/>
  <c r="AG31" i="325"/>
  <c r="AC31" i="325"/>
  <c r="Y31" i="325"/>
  <c r="U31" i="325"/>
  <c r="Q31" i="325"/>
  <c r="M31" i="325"/>
  <c r="I31" i="325"/>
  <c r="E31" i="325"/>
  <c r="AJ49" i="325"/>
  <c r="AF49" i="325"/>
  <c r="AB49" i="325"/>
  <c r="X49" i="325"/>
  <c r="T49" i="325"/>
  <c r="P49" i="325"/>
  <c r="L49" i="325"/>
  <c r="H49" i="325"/>
  <c r="D49" i="325"/>
  <c r="AJ40" i="325"/>
  <c r="AF40" i="325"/>
  <c r="AB40" i="325"/>
  <c r="X40" i="325"/>
  <c r="T40" i="325"/>
  <c r="P40" i="325"/>
  <c r="L40" i="325"/>
  <c r="H40" i="325"/>
  <c r="D40" i="325"/>
  <c r="AJ31" i="325"/>
  <c r="AF31" i="325"/>
  <c r="AB31" i="325"/>
  <c r="X31" i="325"/>
  <c r="T31" i="325"/>
  <c r="P31" i="325"/>
  <c r="L31" i="325"/>
  <c r="H31" i="325"/>
  <c r="D31" i="325"/>
  <c r="AH97" i="328"/>
  <c r="AD97" i="328"/>
  <c r="Z97" i="328"/>
  <c r="V97" i="328"/>
  <c r="R97" i="328"/>
  <c r="N97" i="328"/>
  <c r="J97" i="328"/>
  <c r="F97" i="328"/>
  <c r="AK97" i="328"/>
  <c r="AG97" i="328"/>
  <c r="AC97" i="328"/>
  <c r="Y97" i="328"/>
  <c r="U97" i="328"/>
  <c r="Q97" i="328"/>
  <c r="M97" i="328"/>
  <c r="I97" i="328"/>
  <c r="E97" i="328"/>
  <c r="AJ97" i="328"/>
  <c r="AF97" i="328"/>
  <c r="AB97" i="328"/>
  <c r="X97" i="328"/>
  <c r="T97" i="328"/>
  <c r="P97" i="328"/>
  <c r="L97" i="328"/>
  <c r="H97" i="328"/>
  <c r="D97" i="328"/>
  <c r="AI97" i="328"/>
  <c r="AE97" i="328"/>
  <c r="AA97" i="328"/>
  <c r="W97" i="328"/>
  <c r="S97" i="328"/>
  <c r="O97" i="328"/>
  <c r="K97" i="328"/>
  <c r="G97" i="328"/>
  <c r="AH35" i="328"/>
  <c r="AD35" i="328"/>
  <c r="Z35" i="328"/>
  <c r="V35" i="328"/>
  <c r="R35" i="328"/>
  <c r="N35" i="328"/>
  <c r="J35" i="328"/>
  <c r="F35" i="328"/>
  <c r="AK35" i="328"/>
  <c r="AG35" i="328"/>
  <c r="AC35" i="328"/>
  <c r="Y35" i="328"/>
  <c r="U35" i="328"/>
  <c r="Q35" i="328"/>
  <c r="M35" i="328"/>
  <c r="I35" i="328"/>
  <c r="E35" i="328"/>
  <c r="AJ35" i="328"/>
  <c r="AF35" i="328"/>
  <c r="AB35" i="328"/>
  <c r="X35" i="328"/>
  <c r="T35" i="328"/>
  <c r="P35" i="328"/>
  <c r="L35" i="328"/>
  <c r="H35" i="328"/>
  <c r="D35" i="328"/>
  <c r="AI35" i="328"/>
  <c r="AE35" i="328"/>
  <c r="AA35" i="328"/>
  <c r="W35" i="328"/>
  <c r="S35" i="328"/>
  <c r="O35" i="328"/>
  <c r="K35" i="328"/>
  <c r="G35" i="328"/>
  <c r="G107" i="316"/>
  <c r="K107" i="316"/>
  <c r="O107" i="316"/>
  <c r="S107" i="316"/>
  <c r="W107" i="316"/>
  <c r="AA107" i="316"/>
  <c r="AE107" i="316"/>
  <c r="AI107" i="316"/>
  <c r="H107" i="316"/>
  <c r="M107" i="316"/>
  <c r="R107" i="316"/>
  <c r="X107" i="316"/>
  <c r="AC107" i="316"/>
  <c r="AH107" i="316"/>
  <c r="F116" i="316"/>
  <c r="J116" i="316"/>
  <c r="N116" i="316"/>
  <c r="R116" i="316"/>
  <c r="V116" i="316"/>
  <c r="Z116" i="316"/>
  <c r="AD116" i="316"/>
  <c r="AH116" i="316"/>
  <c r="D116" i="316"/>
  <c r="AI54" i="316"/>
  <c r="AE54" i="316"/>
  <c r="AA54" i="316"/>
  <c r="W54" i="316"/>
  <c r="S54" i="316"/>
  <c r="O54" i="316"/>
  <c r="K54" i="316"/>
  <c r="G54" i="316"/>
  <c r="AI45" i="316"/>
  <c r="AE45" i="316"/>
  <c r="AA45" i="316"/>
  <c r="W45" i="316"/>
  <c r="S45" i="316"/>
  <c r="O45" i="316"/>
  <c r="K45" i="316"/>
  <c r="G45" i="316"/>
  <c r="I107" i="316"/>
  <c r="N107" i="316"/>
  <c r="T107" i="316"/>
  <c r="Y107" i="316"/>
  <c r="AD107" i="316"/>
  <c r="AJ107" i="316"/>
  <c r="G116" i="316"/>
  <c r="K116" i="316"/>
  <c r="O116" i="316"/>
  <c r="S116" i="316"/>
  <c r="W116" i="316"/>
  <c r="AA116" i="316"/>
  <c r="AE116" i="316"/>
  <c r="AI116" i="316"/>
  <c r="AH54" i="316"/>
  <c r="AD54" i="316"/>
  <c r="Z54" i="316"/>
  <c r="V54" i="316"/>
  <c r="R54" i="316"/>
  <c r="N54" i="316"/>
  <c r="J54" i="316"/>
  <c r="F54" i="316"/>
  <c r="AH45" i="316"/>
  <c r="AD45" i="316"/>
  <c r="Z45" i="316"/>
  <c r="V45" i="316"/>
  <c r="R45" i="316"/>
  <c r="N45" i="316"/>
  <c r="J45" i="316"/>
  <c r="F45" i="316"/>
  <c r="E107" i="316"/>
  <c r="J107" i="316"/>
  <c r="P107" i="316"/>
  <c r="U107" i="316"/>
  <c r="Z107" i="316"/>
  <c r="AF107" i="316"/>
  <c r="AK107" i="316"/>
  <c r="H116" i="316"/>
  <c r="L116" i="316"/>
  <c r="P116" i="316"/>
  <c r="T116" i="316"/>
  <c r="X116" i="316"/>
  <c r="AB116" i="316"/>
  <c r="AF116" i="316"/>
  <c r="AJ116" i="316"/>
  <c r="D107" i="316"/>
  <c r="AK54" i="316"/>
  <c r="AG54" i="316"/>
  <c r="AC54" i="316"/>
  <c r="Y54" i="316"/>
  <c r="U54" i="316"/>
  <c r="Q54" i="316"/>
  <c r="M54" i="316"/>
  <c r="I54" i="316"/>
  <c r="E54" i="316"/>
  <c r="AK45" i="316"/>
  <c r="AG45" i="316"/>
  <c r="AC45" i="316"/>
  <c r="Y45" i="316"/>
  <c r="U45" i="316"/>
  <c r="Q45" i="316"/>
  <c r="M45" i="316"/>
  <c r="I45" i="316"/>
  <c r="E45" i="316"/>
  <c r="L107" i="316"/>
  <c r="AG107" i="316"/>
  <c r="Q116" i="316"/>
  <c r="AG116" i="316"/>
  <c r="AJ54" i="316"/>
  <c r="T54" i="316"/>
  <c r="D54" i="316"/>
  <c r="X45" i="316"/>
  <c r="H45" i="316"/>
  <c r="M116" i="316"/>
  <c r="L45" i="316"/>
  <c r="Q107" i="316"/>
  <c r="E116" i="316"/>
  <c r="U116" i="316"/>
  <c r="AK116" i="316"/>
  <c r="AF54" i="316"/>
  <c r="P54" i="316"/>
  <c r="AJ45" i="316"/>
  <c r="T45" i="316"/>
  <c r="D45" i="316"/>
  <c r="AB107" i="316"/>
  <c r="X54" i="316"/>
  <c r="V107" i="316"/>
  <c r="I116" i="316"/>
  <c r="Y116" i="316"/>
  <c r="AB54" i="316"/>
  <c r="L54" i="316"/>
  <c r="AF45" i="316"/>
  <c r="P45" i="316"/>
  <c r="F107" i="316"/>
  <c r="AC116" i="316"/>
  <c r="H54" i="316"/>
  <c r="AB45" i="316"/>
  <c r="AK116" i="319"/>
  <c r="AG116" i="319"/>
  <c r="AC116" i="319"/>
  <c r="Y116" i="319"/>
  <c r="U116" i="319"/>
  <c r="Q116" i="319"/>
  <c r="M116" i="319"/>
  <c r="I116" i="319"/>
  <c r="E116" i="319"/>
  <c r="AK107" i="319"/>
  <c r="AG107" i="319"/>
  <c r="AC107" i="319"/>
  <c r="Y107" i="319"/>
  <c r="U107" i="319"/>
  <c r="Q107" i="319"/>
  <c r="M107" i="319"/>
  <c r="I107" i="319"/>
  <c r="E107" i="319"/>
  <c r="AH54" i="319"/>
  <c r="AD54" i="319"/>
  <c r="Z54" i="319"/>
  <c r="V54" i="319"/>
  <c r="R54" i="319"/>
  <c r="N54" i="319"/>
  <c r="J54" i="319"/>
  <c r="F54" i="319"/>
  <c r="AH45" i="319"/>
  <c r="AD45" i="319"/>
  <c r="Z45" i="319"/>
  <c r="V45" i="319"/>
  <c r="R45" i="319"/>
  <c r="N45" i="319"/>
  <c r="J45" i="319"/>
  <c r="F45" i="319"/>
  <c r="AJ116" i="319"/>
  <c r="AF116" i="319"/>
  <c r="AB116" i="319"/>
  <c r="X116" i="319"/>
  <c r="T116" i="319"/>
  <c r="P116" i="319"/>
  <c r="L116" i="319"/>
  <c r="H116" i="319"/>
  <c r="D116" i="319"/>
  <c r="AJ107" i="319"/>
  <c r="AF107" i="319"/>
  <c r="AB107" i="319"/>
  <c r="X107" i="319"/>
  <c r="T107" i="319"/>
  <c r="P107" i="319"/>
  <c r="L107" i="319"/>
  <c r="H107" i="319"/>
  <c r="D107" i="319"/>
  <c r="AK54" i="319"/>
  <c r="AG54" i="319"/>
  <c r="AC54" i="319"/>
  <c r="Y54" i="319"/>
  <c r="U54" i="319"/>
  <c r="Q54" i="319"/>
  <c r="M54" i="319"/>
  <c r="I54" i="319"/>
  <c r="E54" i="319"/>
  <c r="AK45" i="319"/>
  <c r="AG45" i="319"/>
  <c r="AC45" i="319"/>
  <c r="Y45" i="319"/>
  <c r="U45" i="319"/>
  <c r="Q45" i="319"/>
  <c r="M45" i="319"/>
  <c r="I45" i="319"/>
  <c r="E45" i="319"/>
  <c r="AI116" i="319"/>
  <c r="AA116" i="319"/>
  <c r="S116" i="319"/>
  <c r="K116" i="319"/>
  <c r="AE107" i="319"/>
  <c r="W107" i="319"/>
  <c r="O107" i="319"/>
  <c r="G107" i="319"/>
  <c r="AE54" i="319"/>
  <c r="W54" i="319"/>
  <c r="O54" i="319"/>
  <c r="G54" i="319"/>
  <c r="AI45" i="319"/>
  <c r="AA45" i="319"/>
  <c r="S45" i="319"/>
  <c r="K45" i="319"/>
  <c r="AH116" i="319"/>
  <c r="Z116" i="319"/>
  <c r="R116" i="319"/>
  <c r="J116" i="319"/>
  <c r="AD107" i="319"/>
  <c r="V107" i="319"/>
  <c r="N107" i="319"/>
  <c r="F107" i="319"/>
  <c r="AJ54" i="319"/>
  <c r="AB54" i="319"/>
  <c r="T54" i="319"/>
  <c r="L54" i="319"/>
  <c r="D54" i="319"/>
  <c r="AF45" i="319"/>
  <c r="X45" i="319"/>
  <c r="P45" i="319"/>
  <c r="H45" i="319"/>
  <c r="AE116" i="319"/>
  <c r="W116" i="319"/>
  <c r="O116" i="319"/>
  <c r="G116" i="319"/>
  <c r="AI107" i="319"/>
  <c r="AA107" i="319"/>
  <c r="S107" i="319"/>
  <c r="K107" i="319"/>
  <c r="AI54" i="319"/>
  <c r="AA54" i="319"/>
  <c r="S54" i="319"/>
  <c r="K54" i="319"/>
  <c r="AE45" i="319"/>
  <c r="W45" i="319"/>
  <c r="O45" i="319"/>
  <c r="G45" i="319"/>
  <c r="N116" i="319"/>
  <c r="R107" i="319"/>
  <c r="H54" i="319"/>
  <c r="L45" i="319"/>
  <c r="Z107" i="319"/>
  <c r="F116" i="319"/>
  <c r="J107" i="319"/>
  <c r="AF54" i="319"/>
  <c r="AJ45" i="319"/>
  <c r="D45" i="319"/>
  <c r="P54" i="319"/>
  <c r="AD116" i="319"/>
  <c r="AH107" i="319"/>
  <c r="X54" i="319"/>
  <c r="AB45" i="319"/>
  <c r="V116" i="319"/>
  <c r="T45" i="319"/>
  <c r="AH116" i="322"/>
  <c r="AD116" i="322"/>
  <c r="Z116" i="322"/>
  <c r="V116" i="322"/>
  <c r="R116" i="322"/>
  <c r="N116" i="322"/>
  <c r="J116" i="322"/>
  <c r="F116" i="322"/>
  <c r="AH107" i="322"/>
  <c r="AD107" i="322"/>
  <c r="Z107" i="322"/>
  <c r="V107" i="322"/>
  <c r="AK116" i="322"/>
  <c r="AG116" i="322"/>
  <c r="AC116" i="322"/>
  <c r="Y116" i="322"/>
  <c r="U116" i="322"/>
  <c r="Q116" i="322"/>
  <c r="M116" i="322"/>
  <c r="I116" i="322"/>
  <c r="E116" i="322"/>
  <c r="AK107" i="322"/>
  <c r="AG107" i="322"/>
  <c r="AC107" i="322"/>
  <c r="Y107" i="322"/>
  <c r="U107" i="322"/>
  <c r="Q107" i="322"/>
  <c r="M107" i="322"/>
  <c r="I107" i="322"/>
  <c r="AJ116" i="322"/>
  <c r="AF116" i="322"/>
  <c r="AB116" i="322"/>
  <c r="X116" i="322"/>
  <c r="T116" i="322"/>
  <c r="P116" i="322"/>
  <c r="L116" i="322"/>
  <c r="H116" i="322"/>
  <c r="D116" i="322"/>
  <c r="AJ107" i="322"/>
  <c r="AF107" i="322"/>
  <c r="AB107" i="322"/>
  <c r="X107" i="322"/>
  <c r="AI116" i="322"/>
  <c r="AE116" i="322"/>
  <c r="AA116" i="322"/>
  <c r="W116" i="322"/>
  <c r="S116" i="322"/>
  <c r="O116" i="322"/>
  <c r="K116" i="322"/>
  <c r="G116" i="322"/>
  <c r="AI107" i="322"/>
  <c r="AE107" i="322"/>
  <c r="AA107" i="322"/>
  <c r="W107" i="322"/>
  <c r="S107" i="322"/>
  <c r="N107" i="322"/>
  <c r="H107" i="322"/>
  <c r="D107" i="322"/>
  <c r="AJ54" i="322"/>
  <c r="AF54" i="322"/>
  <c r="AB54" i="322"/>
  <c r="X54" i="322"/>
  <c r="T54" i="322"/>
  <c r="P54" i="322"/>
  <c r="L54" i="322"/>
  <c r="H54" i="322"/>
  <c r="D54" i="322"/>
  <c r="AJ45" i="322"/>
  <c r="AF45" i="322"/>
  <c r="AB45" i="322"/>
  <c r="X45" i="322"/>
  <c r="T45" i="322"/>
  <c r="P45" i="322"/>
  <c r="L45" i="322"/>
  <c r="H45" i="322"/>
  <c r="D45" i="322"/>
  <c r="R107" i="322"/>
  <c r="L107" i="322"/>
  <c r="G107" i="322"/>
  <c r="AI54" i="322"/>
  <c r="AE54" i="322"/>
  <c r="AA54" i="322"/>
  <c r="W54" i="322"/>
  <c r="S54" i="322"/>
  <c r="O54" i="322"/>
  <c r="K54" i="322"/>
  <c r="G54" i="322"/>
  <c r="AI45" i="322"/>
  <c r="AE45" i="322"/>
  <c r="AA45" i="322"/>
  <c r="W45" i="322"/>
  <c r="S45" i="322"/>
  <c r="O45" i="322"/>
  <c r="K45" i="322"/>
  <c r="G45" i="322"/>
  <c r="P107" i="322"/>
  <c r="K107" i="322"/>
  <c r="F107" i="322"/>
  <c r="AH54" i="322"/>
  <c r="AD54" i="322"/>
  <c r="Z54" i="322"/>
  <c r="V54" i="322"/>
  <c r="R54" i="322"/>
  <c r="N54" i="322"/>
  <c r="J54" i="322"/>
  <c r="F54" i="322"/>
  <c r="AH45" i="322"/>
  <c r="AD45" i="322"/>
  <c r="Z45" i="322"/>
  <c r="V45" i="322"/>
  <c r="R45" i="322"/>
  <c r="N45" i="322"/>
  <c r="J45" i="322"/>
  <c r="F45" i="322"/>
  <c r="T107" i="322"/>
  <c r="AG54" i="322"/>
  <c r="Q54" i="322"/>
  <c r="AK45" i="322"/>
  <c r="U45" i="322"/>
  <c r="E45" i="322"/>
  <c r="O107" i="322"/>
  <c r="AC54" i="322"/>
  <c r="M54" i="322"/>
  <c r="AG45" i="322"/>
  <c r="Q45" i="322"/>
  <c r="J107" i="322"/>
  <c r="Y54" i="322"/>
  <c r="I54" i="322"/>
  <c r="AC45" i="322"/>
  <c r="M45" i="322"/>
  <c r="E107" i="322"/>
  <c r="E54" i="322"/>
  <c r="I45" i="322"/>
  <c r="U54" i="322"/>
  <c r="AK54" i="322"/>
  <c r="Y45" i="322"/>
  <c r="C118" i="325"/>
  <c r="C56" i="325"/>
  <c r="AH116" i="325"/>
  <c r="AD116" i="325"/>
  <c r="Z116" i="325"/>
  <c r="V116" i="325"/>
  <c r="R116" i="325"/>
  <c r="N116" i="325"/>
  <c r="J116" i="325"/>
  <c r="F116" i="325"/>
  <c r="AH107" i="325"/>
  <c r="AD107" i="325"/>
  <c r="Z107" i="325"/>
  <c r="V107" i="325"/>
  <c r="R107" i="325"/>
  <c r="N107" i="325"/>
  <c r="J107" i="325"/>
  <c r="F107" i="325"/>
  <c r="AK116" i="325"/>
  <c r="AG116" i="325"/>
  <c r="AC116" i="325"/>
  <c r="Y116" i="325"/>
  <c r="U116" i="325"/>
  <c r="Q116" i="325"/>
  <c r="M116" i="325"/>
  <c r="I116" i="325"/>
  <c r="E116" i="325"/>
  <c r="AK107" i="325"/>
  <c r="AG107" i="325"/>
  <c r="AC107" i="325"/>
  <c r="Y107" i="325"/>
  <c r="U107" i="325"/>
  <c r="Q107" i="325"/>
  <c r="M107" i="325"/>
  <c r="I107" i="325"/>
  <c r="E107" i="325"/>
  <c r="AJ116" i="325"/>
  <c r="AF116" i="325"/>
  <c r="AB116" i="325"/>
  <c r="X116" i="325"/>
  <c r="T116" i="325"/>
  <c r="P116" i="325"/>
  <c r="L116" i="325"/>
  <c r="H116" i="325"/>
  <c r="D116" i="325"/>
  <c r="AJ107" i="325"/>
  <c r="AF107" i="325"/>
  <c r="AB107" i="325"/>
  <c r="X107" i="325"/>
  <c r="T107" i="325"/>
  <c r="P107" i="325"/>
  <c r="L107" i="325"/>
  <c r="H107" i="325"/>
  <c r="D107" i="325"/>
  <c r="AI116" i="325"/>
  <c r="AE116" i="325"/>
  <c r="AA116" i="325"/>
  <c r="W116" i="325"/>
  <c r="S116" i="325"/>
  <c r="O116" i="325"/>
  <c r="K116" i="325"/>
  <c r="G116" i="325"/>
  <c r="AI107" i="325"/>
  <c r="AE107" i="325"/>
  <c r="AA107" i="325"/>
  <c r="W107" i="325"/>
  <c r="S107" i="325"/>
  <c r="O107" i="325"/>
  <c r="K107" i="325"/>
  <c r="G107" i="325"/>
  <c r="AK54" i="325"/>
  <c r="AG54" i="325"/>
  <c r="AC54" i="325"/>
  <c r="Y54" i="325"/>
  <c r="U54" i="325"/>
  <c r="Q54" i="325"/>
  <c r="M54" i="325"/>
  <c r="I54" i="325"/>
  <c r="E54" i="325"/>
  <c r="AK45" i="325"/>
  <c r="AG45" i="325"/>
  <c r="AC45" i="325"/>
  <c r="Y45" i="325"/>
  <c r="U45" i="325"/>
  <c r="Q45" i="325"/>
  <c r="M45" i="325"/>
  <c r="I45" i="325"/>
  <c r="E45" i="325"/>
  <c r="AJ54" i="325"/>
  <c r="AF54" i="325"/>
  <c r="AB54" i="325"/>
  <c r="X54" i="325"/>
  <c r="T54" i="325"/>
  <c r="P54" i="325"/>
  <c r="L54" i="325"/>
  <c r="H54" i="325"/>
  <c r="D54" i="325"/>
  <c r="AJ45" i="325"/>
  <c r="AF45" i="325"/>
  <c r="AB45" i="325"/>
  <c r="X45" i="325"/>
  <c r="T45" i="325"/>
  <c r="P45" i="325"/>
  <c r="L45" i="325"/>
  <c r="H45" i="325"/>
  <c r="D45" i="325"/>
  <c r="AI54" i="325"/>
  <c r="AE54" i="325"/>
  <c r="AA54" i="325"/>
  <c r="W54" i="325"/>
  <c r="S54" i="325"/>
  <c r="O54" i="325"/>
  <c r="K54" i="325"/>
  <c r="G54" i="325"/>
  <c r="AI45" i="325"/>
  <c r="AE45" i="325"/>
  <c r="AA45" i="325"/>
  <c r="W45" i="325"/>
  <c r="S45" i="325"/>
  <c r="O45" i="325"/>
  <c r="K45" i="325"/>
  <c r="G45" i="325"/>
  <c r="AH54" i="325"/>
  <c r="AD54" i="325"/>
  <c r="Z54" i="325"/>
  <c r="V54" i="325"/>
  <c r="R54" i="325"/>
  <c r="N54" i="325"/>
  <c r="J54" i="325"/>
  <c r="F54" i="325"/>
  <c r="AH45" i="325"/>
  <c r="AD45" i="325"/>
  <c r="Z45" i="325"/>
  <c r="V45" i="325"/>
  <c r="R45" i="325"/>
  <c r="N45" i="325"/>
  <c r="J45" i="325"/>
  <c r="F45" i="325"/>
  <c r="AH111" i="328"/>
  <c r="AD111" i="328"/>
  <c r="Z111" i="328"/>
  <c r="V111" i="328"/>
  <c r="R111" i="328"/>
  <c r="N111" i="328"/>
  <c r="J111" i="328"/>
  <c r="F111" i="328"/>
  <c r="AK111" i="328"/>
  <c r="AG111" i="328"/>
  <c r="AC111" i="328"/>
  <c r="Y111" i="328"/>
  <c r="U111" i="328"/>
  <c r="Q111" i="328"/>
  <c r="M111" i="328"/>
  <c r="I111" i="328"/>
  <c r="E111" i="328"/>
  <c r="AJ111" i="328"/>
  <c r="AF111" i="328"/>
  <c r="AB111" i="328"/>
  <c r="X111" i="328"/>
  <c r="T111" i="328"/>
  <c r="P111" i="328"/>
  <c r="L111" i="328"/>
  <c r="H111" i="328"/>
  <c r="D111" i="328"/>
  <c r="AJ102" i="328"/>
  <c r="AF102" i="328"/>
  <c r="AB102" i="328"/>
  <c r="AI111" i="328"/>
  <c r="AE111" i="328"/>
  <c r="AA111" i="328"/>
  <c r="W111" i="328"/>
  <c r="S111" i="328"/>
  <c r="O111" i="328"/>
  <c r="K111" i="328"/>
  <c r="G111" i="328"/>
  <c r="AI102" i="328"/>
  <c r="AE102" i="328"/>
  <c r="AA102" i="328"/>
  <c r="AD102" i="328"/>
  <c r="X102" i="328"/>
  <c r="T102" i="328"/>
  <c r="P102" i="328"/>
  <c r="L102" i="328"/>
  <c r="H102" i="328"/>
  <c r="D102" i="328"/>
  <c r="AH93" i="328"/>
  <c r="AD93" i="328"/>
  <c r="Z93" i="328"/>
  <c r="V93" i="328"/>
  <c r="R93" i="328"/>
  <c r="N93" i="328"/>
  <c r="J93" i="328"/>
  <c r="F93" i="328"/>
  <c r="AK49" i="328"/>
  <c r="AG49" i="328"/>
  <c r="AC49" i="328"/>
  <c r="Y49" i="328"/>
  <c r="U49" i="328"/>
  <c r="Q49" i="328"/>
  <c r="M49" i="328"/>
  <c r="I49" i="328"/>
  <c r="E49" i="328"/>
  <c r="AK40" i="328"/>
  <c r="AG40" i="328"/>
  <c r="AC40" i="328"/>
  <c r="Y40" i="328"/>
  <c r="U40" i="328"/>
  <c r="Q40" i="328"/>
  <c r="M40" i="328"/>
  <c r="AK102" i="328"/>
  <c r="AC102" i="328"/>
  <c r="W102" i="328"/>
  <c r="S102" i="328"/>
  <c r="O102" i="328"/>
  <c r="K102" i="328"/>
  <c r="G102" i="328"/>
  <c r="AK93" i="328"/>
  <c r="AG93" i="328"/>
  <c r="AC93" i="328"/>
  <c r="Y93" i="328"/>
  <c r="U93" i="328"/>
  <c r="Q93" i="328"/>
  <c r="M93" i="328"/>
  <c r="I93" i="328"/>
  <c r="E93" i="328"/>
  <c r="AJ49" i="328"/>
  <c r="AF49" i="328"/>
  <c r="AB49" i="328"/>
  <c r="X49" i="328"/>
  <c r="T49" i="328"/>
  <c r="P49" i="328"/>
  <c r="L49" i="328"/>
  <c r="H49" i="328"/>
  <c r="D49" i="328"/>
  <c r="AJ40" i="328"/>
  <c r="AF40" i="328"/>
  <c r="AB40" i="328"/>
  <c r="X40" i="328"/>
  <c r="T40" i="328"/>
  <c r="P40" i="328"/>
  <c r="AH102" i="328"/>
  <c r="Z102" i="328"/>
  <c r="V102" i="328"/>
  <c r="R102" i="328"/>
  <c r="N102" i="328"/>
  <c r="J102" i="328"/>
  <c r="F102" i="328"/>
  <c r="AJ93" i="328"/>
  <c r="AF93" i="328"/>
  <c r="AB93" i="328"/>
  <c r="X93" i="328"/>
  <c r="T93" i="328"/>
  <c r="P93" i="328"/>
  <c r="L93" i="328"/>
  <c r="H93" i="328"/>
  <c r="D93" i="328"/>
  <c r="AI49" i="328"/>
  <c r="AG102" i="328"/>
  <c r="Y102" i="328"/>
  <c r="U102" i="328"/>
  <c r="Q102" i="328"/>
  <c r="M102" i="328"/>
  <c r="I102" i="328"/>
  <c r="E102" i="328"/>
  <c r="AI93" i="328"/>
  <c r="AE93" i="328"/>
  <c r="AA93" i="328"/>
  <c r="W93" i="328"/>
  <c r="S93" i="328"/>
  <c r="O93" i="328"/>
  <c r="K93" i="328"/>
  <c r="G93" i="328"/>
  <c r="AE49" i="328"/>
  <c r="W49" i="328"/>
  <c r="O49" i="328"/>
  <c r="G49" i="328"/>
  <c r="AI40" i="328"/>
  <c r="AA40" i="328"/>
  <c r="S40" i="328"/>
  <c r="L40" i="328"/>
  <c r="H40" i="328"/>
  <c r="D40" i="328"/>
  <c r="AJ31" i="328"/>
  <c r="AF31" i="328"/>
  <c r="AB31" i="328"/>
  <c r="X31" i="328"/>
  <c r="T31" i="328"/>
  <c r="P31" i="328"/>
  <c r="L31" i="328"/>
  <c r="H31" i="328"/>
  <c r="D31" i="328"/>
  <c r="AD49" i="328"/>
  <c r="V49" i="328"/>
  <c r="N49" i="328"/>
  <c r="F49" i="328"/>
  <c r="AH40" i="328"/>
  <c r="Z40" i="328"/>
  <c r="R40" i="328"/>
  <c r="K40" i="328"/>
  <c r="G40" i="328"/>
  <c r="AI31" i="328"/>
  <c r="AE31" i="328"/>
  <c r="AA31" i="328"/>
  <c r="W31" i="328"/>
  <c r="S31" i="328"/>
  <c r="O31" i="328"/>
  <c r="K31" i="328"/>
  <c r="G31" i="328"/>
  <c r="AA49" i="328"/>
  <c r="S49" i="328"/>
  <c r="K49" i="328"/>
  <c r="AE40" i="328"/>
  <c r="W40" i="328"/>
  <c r="O40" i="328"/>
  <c r="J40" i="328"/>
  <c r="F40" i="328"/>
  <c r="AH31" i="328"/>
  <c r="AD31" i="328"/>
  <c r="Z31" i="328"/>
  <c r="V31" i="328"/>
  <c r="R31" i="328"/>
  <c r="N31" i="328"/>
  <c r="J31" i="328"/>
  <c r="F31" i="328"/>
  <c r="AH49" i="328"/>
  <c r="Z49" i="328"/>
  <c r="R49" i="328"/>
  <c r="J49" i="328"/>
  <c r="AD40" i="328"/>
  <c r="V40" i="328"/>
  <c r="N40" i="328"/>
  <c r="I40" i="328"/>
  <c r="E40" i="328"/>
  <c r="AK31" i="328"/>
  <c r="AG31" i="328"/>
  <c r="AC31" i="328"/>
  <c r="Y31" i="328"/>
  <c r="U31" i="328"/>
  <c r="Q31" i="328"/>
  <c r="M31" i="328"/>
  <c r="I31" i="328"/>
  <c r="E31" i="328"/>
  <c r="G95" i="316"/>
  <c r="K95" i="316"/>
  <c r="O95" i="316"/>
  <c r="S95" i="316"/>
  <c r="W95" i="316"/>
  <c r="AA95" i="316"/>
  <c r="AE95" i="316"/>
  <c r="AI95" i="316"/>
  <c r="F95" i="316"/>
  <c r="L95" i="316"/>
  <c r="Q95" i="316"/>
  <c r="V95" i="316"/>
  <c r="AB95" i="316"/>
  <c r="AG95" i="316"/>
  <c r="H95" i="316"/>
  <c r="M95" i="316"/>
  <c r="R95" i="316"/>
  <c r="X95" i="316"/>
  <c r="AC95" i="316"/>
  <c r="AH95" i="316"/>
  <c r="AJ33" i="316"/>
  <c r="AF33" i="316"/>
  <c r="AB33" i="316"/>
  <c r="X33" i="316"/>
  <c r="T33" i="316"/>
  <c r="P33" i="316"/>
  <c r="L33" i="316"/>
  <c r="H33" i="316"/>
  <c r="I95" i="316"/>
  <c r="N95" i="316"/>
  <c r="T95" i="316"/>
  <c r="Y95" i="316"/>
  <c r="AD95" i="316"/>
  <c r="AJ95" i="316"/>
  <c r="D95" i="316"/>
  <c r="AI33" i="316"/>
  <c r="AE33" i="316"/>
  <c r="AA33" i="316"/>
  <c r="W33" i="316"/>
  <c r="S33" i="316"/>
  <c r="O33" i="316"/>
  <c r="K33" i="316"/>
  <c r="G33" i="316"/>
  <c r="P95" i="316"/>
  <c r="AK95" i="316"/>
  <c r="D33" i="316"/>
  <c r="AG33" i="316"/>
  <c r="Y33" i="316"/>
  <c r="Q33" i="316"/>
  <c r="I33" i="316"/>
  <c r="J95" i="316"/>
  <c r="J33" i="316"/>
  <c r="U95" i="316"/>
  <c r="AD33" i="316"/>
  <c r="V33" i="316"/>
  <c r="N33" i="316"/>
  <c r="F33" i="316"/>
  <c r="AH33" i="316"/>
  <c r="R33" i="316"/>
  <c r="E95" i="316"/>
  <c r="Z95" i="316"/>
  <c r="AK33" i="316"/>
  <c r="AC33" i="316"/>
  <c r="U33" i="316"/>
  <c r="M33" i="316"/>
  <c r="E33" i="316"/>
  <c r="AF95" i="316"/>
  <c r="Z33" i="316"/>
  <c r="F132" i="316"/>
  <c r="J132" i="316"/>
  <c r="N132" i="316"/>
  <c r="R132" i="316"/>
  <c r="V132" i="316"/>
  <c r="Z132" i="316"/>
  <c r="AD132" i="316"/>
  <c r="AH132" i="316"/>
  <c r="H132" i="316"/>
  <c r="M132" i="316"/>
  <c r="S132" i="316"/>
  <c r="X132" i="316"/>
  <c r="AC132" i="316"/>
  <c r="AI132" i="316"/>
  <c r="D132" i="316"/>
  <c r="AH70" i="316"/>
  <c r="AD70" i="316"/>
  <c r="Z70" i="316"/>
  <c r="V70" i="316"/>
  <c r="R70" i="316"/>
  <c r="N70" i="316"/>
  <c r="J70" i="316"/>
  <c r="F70" i="316"/>
  <c r="I132" i="316"/>
  <c r="O132" i="316"/>
  <c r="T132" i="316"/>
  <c r="Y132" i="316"/>
  <c r="AE132" i="316"/>
  <c r="AJ132" i="316"/>
  <c r="AK70" i="316"/>
  <c r="AG70" i="316"/>
  <c r="AC70" i="316"/>
  <c r="Y70" i="316"/>
  <c r="U70" i="316"/>
  <c r="Q70" i="316"/>
  <c r="M70" i="316"/>
  <c r="I70" i="316"/>
  <c r="E70" i="316"/>
  <c r="E132" i="316"/>
  <c r="K132" i="316"/>
  <c r="P132" i="316"/>
  <c r="U132" i="316"/>
  <c r="AA132" i="316"/>
  <c r="AF132" i="316"/>
  <c r="AK132" i="316"/>
  <c r="AJ70" i="316"/>
  <c r="AF70" i="316"/>
  <c r="AB70" i="316"/>
  <c r="X70" i="316"/>
  <c r="T70" i="316"/>
  <c r="P70" i="316"/>
  <c r="L70" i="316"/>
  <c r="H70" i="316"/>
  <c r="D70" i="316"/>
  <c r="L132" i="316"/>
  <c r="AG132" i="316"/>
  <c r="AA70" i="316"/>
  <c r="K70" i="316"/>
  <c r="G132" i="316"/>
  <c r="AE70" i="316"/>
  <c r="Q132" i="316"/>
  <c r="W70" i="316"/>
  <c r="G70" i="316"/>
  <c r="AB132" i="316"/>
  <c r="W132" i="316"/>
  <c r="AI70" i="316"/>
  <c r="S70" i="316"/>
  <c r="O70" i="316"/>
  <c r="AI95" i="319"/>
  <c r="AE95" i="319"/>
  <c r="AA95" i="319"/>
  <c r="W95" i="319"/>
  <c r="S95" i="319"/>
  <c r="O95" i="319"/>
  <c r="K95" i="319"/>
  <c r="G95" i="319"/>
  <c r="AH33" i="319"/>
  <c r="AD33" i="319"/>
  <c r="Z33" i="319"/>
  <c r="V33" i="319"/>
  <c r="R33" i="319"/>
  <c r="N33" i="319"/>
  <c r="J33" i="319"/>
  <c r="F33" i="319"/>
  <c r="AH95" i="319"/>
  <c r="AD95" i="319"/>
  <c r="Z95" i="319"/>
  <c r="V95" i="319"/>
  <c r="R95" i="319"/>
  <c r="N95" i="319"/>
  <c r="J95" i="319"/>
  <c r="F95" i="319"/>
  <c r="AK33" i="319"/>
  <c r="AG33" i="319"/>
  <c r="AC33" i="319"/>
  <c r="Y33" i="319"/>
  <c r="U33" i="319"/>
  <c r="Q33" i="319"/>
  <c r="M33" i="319"/>
  <c r="I33" i="319"/>
  <c r="E33" i="319"/>
  <c r="AK95" i="319"/>
  <c r="AC95" i="319"/>
  <c r="U95" i="319"/>
  <c r="M95" i="319"/>
  <c r="E95" i="319"/>
  <c r="AI33" i="319"/>
  <c r="AA33" i="319"/>
  <c r="S33" i="319"/>
  <c r="K33" i="319"/>
  <c r="AJ95" i="319"/>
  <c r="AB95" i="319"/>
  <c r="T95" i="319"/>
  <c r="L95" i="319"/>
  <c r="D95" i="319"/>
  <c r="AF33" i="319"/>
  <c r="X33" i="319"/>
  <c r="P33" i="319"/>
  <c r="H33" i="319"/>
  <c r="AG95" i="319"/>
  <c r="Y95" i="319"/>
  <c r="Q95" i="319"/>
  <c r="I95" i="319"/>
  <c r="AE33" i="319"/>
  <c r="W33" i="319"/>
  <c r="O33" i="319"/>
  <c r="G33" i="319"/>
  <c r="X95" i="319"/>
  <c r="T33" i="319"/>
  <c r="AF95" i="319"/>
  <c r="P95" i="319"/>
  <c r="L33" i="319"/>
  <c r="AB33" i="319"/>
  <c r="H95" i="319"/>
  <c r="AJ33" i="319"/>
  <c r="D33" i="319"/>
  <c r="AK132" i="319"/>
  <c r="AG132" i="319"/>
  <c r="AJ132" i="319"/>
  <c r="AH132" i="319"/>
  <c r="AC132" i="319"/>
  <c r="Y132" i="319"/>
  <c r="U132" i="319"/>
  <c r="Q132" i="319"/>
  <c r="M132" i="319"/>
  <c r="I132" i="319"/>
  <c r="E132" i="319"/>
  <c r="AJ70" i="319"/>
  <c r="AF70" i="319"/>
  <c r="AB70" i="319"/>
  <c r="X70" i="319"/>
  <c r="T70" i="319"/>
  <c r="P70" i="319"/>
  <c r="L70" i="319"/>
  <c r="H70" i="319"/>
  <c r="D70" i="319"/>
  <c r="AF132" i="319"/>
  <c r="AB132" i="319"/>
  <c r="X132" i="319"/>
  <c r="T132" i="319"/>
  <c r="P132" i="319"/>
  <c r="L132" i="319"/>
  <c r="H132" i="319"/>
  <c r="D132" i="319"/>
  <c r="AI70" i="319"/>
  <c r="AE70" i="319"/>
  <c r="AA70" i="319"/>
  <c r="W70" i="319"/>
  <c r="S70" i="319"/>
  <c r="O70" i="319"/>
  <c r="K70" i="319"/>
  <c r="G70" i="319"/>
  <c r="AE132" i="319"/>
  <c r="AA132" i="319"/>
  <c r="W132" i="319"/>
  <c r="S132" i="319"/>
  <c r="O132" i="319"/>
  <c r="K132" i="319"/>
  <c r="G132" i="319"/>
  <c r="AD132" i="319"/>
  <c r="N132" i="319"/>
  <c r="AH70" i="319"/>
  <c r="Z70" i="319"/>
  <c r="R70" i="319"/>
  <c r="J70" i="319"/>
  <c r="Z132" i="319"/>
  <c r="J132" i="319"/>
  <c r="AG70" i="319"/>
  <c r="Y70" i="319"/>
  <c r="Q70" i="319"/>
  <c r="I70" i="319"/>
  <c r="R132" i="319"/>
  <c r="V132" i="319"/>
  <c r="F132" i="319"/>
  <c r="AD70" i="319"/>
  <c r="V70" i="319"/>
  <c r="N70" i="319"/>
  <c r="F70" i="319"/>
  <c r="AI132" i="319"/>
  <c r="U70" i="319"/>
  <c r="M70" i="319"/>
  <c r="AC70" i="319"/>
  <c r="AK70" i="319"/>
  <c r="E70" i="319"/>
  <c r="AH95" i="322"/>
  <c r="AD95" i="322"/>
  <c r="Z95" i="322"/>
  <c r="V95" i="322"/>
  <c r="R95" i="322"/>
  <c r="N95" i="322"/>
  <c r="J95" i="322"/>
  <c r="F95" i="322"/>
  <c r="AI33" i="322"/>
  <c r="AE33" i="322"/>
  <c r="AA33" i="322"/>
  <c r="W33" i="322"/>
  <c r="S33" i="322"/>
  <c r="O33" i="322"/>
  <c r="K33" i="322"/>
  <c r="G33" i="322"/>
  <c r="AK95" i="322"/>
  <c r="AG95" i="322"/>
  <c r="AC95" i="322"/>
  <c r="Y95" i="322"/>
  <c r="U95" i="322"/>
  <c r="Q95" i="322"/>
  <c r="M95" i="322"/>
  <c r="I95" i="322"/>
  <c r="E95" i="322"/>
  <c r="AH33" i="322"/>
  <c r="AD33" i="322"/>
  <c r="Z33" i="322"/>
  <c r="V33" i="322"/>
  <c r="R33" i="322"/>
  <c r="N33" i="322"/>
  <c r="J33" i="322"/>
  <c r="F33" i="322"/>
  <c r="AJ95" i="322"/>
  <c r="AF95" i="322"/>
  <c r="AB95" i="322"/>
  <c r="X95" i="322"/>
  <c r="T95" i="322"/>
  <c r="P95" i="322"/>
  <c r="L95" i="322"/>
  <c r="H95" i="322"/>
  <c r="D95" i="322"/>
  <c r="AK33" i="322"/>
  <c r="AG33" i="322"/>
  <c r="AC33" i="322"/>
  <c r="Y33" i="322"/>
  <c r="U33" i="322"/>
  <c r="Q33" i="322"/>
  <c r="M33" i="322"/>
  <c r="I33" i="322"/>
  <c r="E33" i="322"/>
  <c r="AA95" i="322"/>
  <c r="K95" i="322"/>
  <c r="X33" i="322"/>
  <c r="H33" i="322"/>
  <c r="W95" i="322"/>
  <c r="G95" i="322"/>
  <c r="AJ33" i="322"/>
  <c r="T33" i="322"/>
  <c r="D33" i="322"/>
  <c r="AI95" i="322"/>
  <c r="S95" i="322"/>
  <c r="AF33" i="322"/>
  <c r="P33" i="322"/>
  <c r="L33" i="322"/>
  <c r="AE95" i="322"/>
  <c r="O95" i="322"/>
  <c r="AB33" i="322"/>
  <c r="AI132" i="322"/>
  <c r="AE132" i="322"/>
  <c r="AA132" i="322"/>
  <c r="W132" i="322"/>
  <c r="S132" i="322"/>
  <c r="O132" i="322"/>
  <c r="K132" i="322"/>
  <c r="G132" i="322"/>
  <c r="AH132" i="322"/>
  <c r="AD132" i="322"/>
  <c r="Z132" i="322"/>
  <c r="V132" i="322"/>
  <c r="R132" i="322"/>
  <c r="N132" i="322"/>
  <c r="J132" i="322"/>
  <c r="F132" i="322"/>
  <c r="AK132" i="322"/>
  <c r="AG132" i="322"/>
  <c r="AC132" i="322"/>
  <c r="Y132" i="322"/>
  <c r="U132" i="322"/>
  <c r="Q132" i="322"/>
  <c r="M132" i="322"/>
  <c r="I132" i="322"/>
  <c r="E132" i="322"/>
  <c r="AJ132" i="322"/>
  <c r="AF132" i="322"/>
  <c r="AB132" i="322"/>
  <c r="X132" i="322"/>
  <c r="T132" i="322"/>
  <c r="P132" i="322"/>
  <c r="L132" i="322"/>
  <c r="H132" i="322"/>
  <c r="D132" i="322"/>
  <c r="AH70" i="322"/>
  <c r="AD70" i="322"/>
  <c r="Z70" i="322"/>
  <c r="V70" i="322"/>
  <c r="R70" i="322"/>
  <c r="N70" i="322"/>
  <c r="J70" i="322"/>
  <c r="F70" i="322"/>
  <c r="AK70" i="322"/>
  <c r="AG70" i="322"/>
  <c r="AC70" i="322"/>
  <c r="Y70" i="322"/>
  <c r="U70" i="322"/>
  <c r="Q70" i="322"/>
  <c r="M70" i="322"/>
  <c r="I70" i="322"/>
  <c r="E70" i="322"/>
  <c r="AJ70" i="322"/>
  <c r="AF70" i="322"/>
  <c r="AB70" i="322"/>
  <c r="X70" i="322"/>
  <c r="T70" i="322"/>
  <c r="P70" i="322"/>
  <c r="L70" i="322"/>
  <c r="H70" i="322"/>
  <c r="D70" i="322"/>
  <c r="AA70" i="322"/>
  <c r="K70" i="322"/>
  <c r="W70" i="322"/>
  <c r="G70" i="322"/>
  <c r="AI70" i="322"/>
  <c r="S70" i="322"/>
  <c r="AE70" i="322"/>
  <c r="O70" i="322"/>
  <c r="AK95" i="325"/>
  <c r="AG95" i="325"/>
  <c r="AC95" i="325"/>
  <c r="Y95" i="325"/>
  <c r="U95" i="325"/>
  <c r="Q95" i="325"/>
  <c r="M95" i="325"/>
  <c r="I95" i="325"/>
  <c r="E95" i="325"/>
  <c r="AJ95" i="325"/>
  <c r="AF95" i="325"/>
  <c r="AB95" i="325"/>
  <c r="X95" i="325"/>
  <c r="T95" i="325"/>
  <c r="P95" i="325"/>
  <c r="L95" i="325"/>
  <c r="H95" i="325"/>
  <c r="D95" i="325"/>
  <c r="AI95" i="325"/>
  <c r="AE95" i="325"/>
  <c r="AA95" i="325"/>
  <c r="W95" i="325"/>
  <c r="S95" i="325"/>
  <c r="O95" i="325"/>
  <c r="K95" i="325"/>
  <c r="G95" i="325"/>
  <c r="AH95" i="325"/>
  <c r="AD95" i="325"/>
  <c r="Z95" i="325"/>
  <c r="V95" i="325"/>
  <c r="R95" i="325"/>
  <c r="N95" i="325"/>
  <c r="J95" i="325"/>
  <c r="F95" i="325"/>
  <c r="AK33" i="325"/>
  <c r="AG33" i="325"/>
  <c r="AC33" i="325"/>
  <c r="Y33" i="325"/>
  <c r="U33" i="325"/>
  <c r="Q33" i="325"/>
  <c r="M33" i="325"/>
  <c r="I33" i="325"/>
  <c r="E33" i="325"/>
  <c r="AJ33" i="325"/>
  <c r="AF33" i="325"/>
  <c r="AB33" i="325"/>
  <c r="X33" i="325"/>
  <c r="T33" i="325"/>
  <c r="P33" i="325"/>
  <c r="L33" i="325"/>
  <c r="H33" i="325"/>
  <c r="D33" i="325"/>
  <c r="AI33" i="325"/>
  <c r="AE33" i="325"/>
  <c r="AA33" i="325"/>
  <c r="W33" i="325"/>
  <c r="S33" i="325"/>
  <c r="O33" i="325"/>
  <c r="K33" i="325"/>
  <c r="G33" i="325"/>
  <c r="AH33" i="325"/>
  <c r="AD33" i="325"/>
  <c r="Z33" i="325"/>
  <c r="V33" i="325"/>
  <c r="R33" i="325"/>
  <c r="N33" i="325"/>
  <c r="J33" i="325"/>
  <c r="F33" i="325"/>
  <c r="AK132" i="325"/>
  <c r="AG132" i="325"/>
  <c r="AC132" i="325"/>
  <c r="Y132" i="325"/>
  <c r="U132" i="325"/>
  <c r="Q132" i="325"/>
  <c r="M132" i="325"/>
  <c r="I132" i="325"/>
  <c r="E132" i="325"/>
  <c r="AK70" i="325"/>
  <c r="AG70" i="325"/>
  <c r="AC70" i="325"/>
  <c r="Y70" i="325"/>
  <c r="U70" i="325"/>
  <c r="Q70" i="325"/>
  <c r="AJ132" i="325"/>
  <c r="AF132" i="325"/>
  <c r="AB132" i="325"/>
  <c r="X132" i="325"/>
  <c r="T132" i="325"/>
  <c r="P132" i="325"/>
  <c r="L132" i="325"/>
  <c r="H132" i="325"/>
  <c r="D132" i="325"/>
  <c r="AJ70" i="325"/>
  <c r="AF70" i="325"/>
  <c r="AB70" i="325"/>
  <c r="X70" i="325"/>
  <c r="T70" i="325"/>
  <c r="P70" i="325"/>
  <c r="AI132" i="325"/>
  <c r="AE132" i="325"/>
  <c r="AA132" i="325"/>
  <c r="W132" i="325"/>
  <c r="S132" i="325"/>
  <c r="O132" i="325"/>
  <c r="K132" i="325"/>
  <c r="G132" i="325"/>
  <c r="AH132" i="325"/>
  <c r="AD132" i="325"/>
  <c r="Z132" i="325"/>
  <c r="V132" i="325"/>
  <c r="R132" i="325"/>
  <c r="N132" i="325"/>
  <c r="J132" i="325"/>
  <c r="F132" i="325"/>
  <c r="AD70" i="325"/>
  <c r="V70" i="325"/>
  <c r="N70" i="325"/>
  <c r="J70" i="325"/>
  <c r="F70" i="325"/>
  <c r="AI70" i="325"/>
  <c r="AA70" i="325"/>
  <c r="S70" i="325"/>
  <c r="M70" i="325"/>
  <c r="I70" i="325"/>
  <c r="E70" i="325"/>
  <c r="AH70" i="325"/>
  <c r="Z70" i="325"/>
  <c r="R70" i="325"/>
  <c r="L70" i="325"/>
  <c r="H70" i="325"/>
  <c r="D70" i="325"/>
  <c r="AE70" i="325"/>
  <c r="W70" i="325"/>
  <c r="O70" i="325"/>
  <c r="K70" i="325"/>
  <c r="G70" i="325"/>
  <c r="C118" i="328"/>
  <c r="C56" i="328"/>
  <c r="AJ116" i="328"/>
  <c r="AF116" i="328"/>
  <c r="AB116" i="328"/>
  <c r="X116" i="328"/>
  <c r="T116" i="328"/>
  <c r="P116" i="328"/>
  <c r="L116" i="328"/>
  <c r="H116" i="328"/>
  <c r="D116" i="328"/>
  <c r="AJ107" i="328"/>
  <c r="AF107" i="328"/>
  <c r="AB107" i="328"/>
  <c r="X107" i="328"/>
  <c r="AI116" i="328"/>
  <c r="AE116" i="328"/>
  <c r="AA116" i="328"/>
  <c r="W116" i="328"/>
  <c r="S116" i="328"/>
  <c r="O116" i="328"/>
  <c r="K116" i="328"/>
  <c r="G116" i="328"/>
  <c r="AI107" i="328"/>
  <c r="AE107" i="328"/>
  <c r="AA107" i="328"/>
  <c r="W107" i="328"/>
  <c r="AH116" i="328"/>
  <c r="AD116" i="328"/>
  <c r="Z116" i="328"/>
  <c r="V116" i="328"/>
  <c r="R116" i="328"/>
  <c r="N116" i="328"/>
  <c r="J116" i="328"/>
  <c r="F116" i="328"/>
  <c r="AH107" i="328"/>
  <c r="AD107" i="328"/>
  <c r="Z107" i="328"/>
  <c r="V107" i="328"/>
  <c r="R107" i="328"/>
  <c r="N107" i="328"/>
  <c r="J107" i="328"/>
  <c r="F107" i="328"/>
  <c r="AK116" i="328"/>
  <c r="AG116" i="328"/>
  <c r="AC116" i="328"/>
  <c r="Y116" i="328"/>
  <c r="U116" i="328"/>
  <c r="Q116" i="328"/>
  <c r="M116" i="328"/>
  <c r="I116" i="328"/>
  <c r="E116" i="328"/>
  <c r="AK107" i="328"/>
  <c r="AG107" i="328"/>
  <c r="AC107" i="328"/>
  <c r="Y107" i="328"/>
  <c r="U107" i="328"/>
  <c r="Q107" i="328"/>
  <c r="M107" i="328"/>
  <c r="I107" i="328"/>
  <c r="E107" i="328"/>
  <c r="T107" i="328"/>
  <c r="L107" i="328"/>
  <c r="D107" i="328"/>
  <c r="AI54" i="328"/>
  <c r="AE54" i="328"/>
  <c r="AA54" i="328"/>
  <c r="W54" i="328"/>
  <c r="S54" i="328"/>
  <c r="O54" i="328"/>
  <c r="K54" i="328"/>
  <c r="G54" i="328"/>
  <c r="AI45" i="328"/>
  <c r="AE45" i="328"/>
  <c r="AA45" i="328"/>
  <c r="W45" i="328"/>
  <c r="S45" i="328"/>
  <c r="O45" i="328"/>
  <c r="K45" i="328"/>
  <c r="G45" i="328"/>
  <c r="S107" i="328"/>
  <c r="K107" i="328"/>
  <c r="AH54" i="328"/>
  <c r="AD54" i="328"/>
  <c r="Z54" i="328"/>
  <c r="V54" i="328"/>
  <c r="R54" i="328"/>
  <c r="N54" i="328"/>
  <c r="J54" i="328"/>
  <c r="F54" i="328"/>
  <c r="AH45" i="328"/>
  <c r="AD45" i="328"/>
  <c r="Z45" i="328"/>
  <c r="V45" i="328"/>
  <c r="R45" i="328"/>
  <c r="N45" i="328"/>
  <c r="J45" i="328"/>
  <c r="F45" i="328"/>
  <c r="P107" i="328"/>
  <c r="H107" i="328"/>
  <c r="AK54" i="328"/>
  <c r="AG54" i="328"/>
  <c r="AC54" i="328"/>
  <c r="Y54" i="328"/>
  <c r="U54" i="328"/>
  <c r="Q54" i="328"/>
  <c r="M54" i="328"/>
  <c r="I54" i="328"/>
  <c r="E54" i="328"/>
  <c r="O107" i="328"/>
  <c r="G107" i="328"/>
  <c r="AJ54" i="328"/>
  <c r="AF54" i="328"/>
  <c r="AB54" i="328"/>
  <c r="X54" i="328"/>
  <c r="T54" i="328"/>
  <c r="P54" i="328"/>
  <c r="L54" i="328"/>
  <c r="H54" i="328"/>
  <c r="AG45" i="328"/>
  <c r="Y45" i="328"/>
  <c r="Q45" i="328"/>
  <c r="I45" i="328"/>
  <c r="AF45" i="328"/>
  <c r="X45" i="328"/>
  <c r="P45" i="328"/>
  <c r="H45" i="328"/>
  <c r="D54" i="328"/>
  <c r="AK45" i="328"/>
  <c r="AC45" i="328"/>
  <c r="U45" i="328"/>
  <c r="M45" i="328"/>
  <c r="E45" i="328"/>
  <c r="AJ45" i="328"/>
  <c r="AB45" i="328"/>
  <c r="T45" i="328"/>
  <c r="L45" i="328"/>
  <c r="D45" i="328"/>
  <c r="E6" i="319"/>
  <c r="C23" i="327"/>
  <c r="C22" i="327"/>
  <c r="E2" i="327"/>
  <c r="C24" i="324"/>
  <c r="C23" i="324"/>
  <c r="C22" i="324"/>
  <c r="E2" i="324"/>
  <c r="E6" i="322"/>
  <c r="F2" i="321"/>
  <c r="C24" i="321"/>
  <c r="C23" i="321"/>
  <c r="C22" i="321"/>
  <c r="C24" i="318"/>
  <c r="C22" i="318"/>
  <c r="C23" i="318"/>
  <c r="E2" i="318"/>
  <c r="E6" i="316"/>
  <c r="A1" i="315"/>
  <c r="C31" i="315"/>
  <c r="C30" i="315"/>
  <c r="D2" i="315"/>
  <c r="C61" i="313"/>
  <c r="C48" i="313"/>
  <c r="C8" i="313"/>
  <c r="E2" i="313"/>
  <c r="D3" i="313" s="1"/>
  <c r="D11" i="314"/>
  <c r="D10" i="314"/>
  <c r="D9" i="314"/>
  <c r="D8" i="314"/>
  <c r="E8" i="314" s="1"/>
  <c r="D7" i="314"/>
  <c r="E7" i="314" s="1"/>
  <c r="D6" i="314"/>
  <c r="D5" i="314"/>
  <c r="E5" i="314" s="1"/>
  <c r="D4" i="314"/>
  <c r="AK61" i="314"/>
  <c r="AJ61" i="314"/>
  <c r="AI61" i="314"/>
  <c r="AH61" i="314"/>
  <c r="AG61" i="314"/>
  <c r="AF61" i="314"/>
  <c r="AE61" i="314"/>
  <c r="AD61" i="314"/>
  <c r="AC61" i="314"/>
  <c r="AB61" i="314"/>
  <c r="AA61" i="314"/>
  <c r="Z61" i="314"/>
  <c r="Y61" i="314"/>
  <c r="X61" i="314"/>
  <c r="W61" i="314"/>
  <c r="V61" i="314"/>
  <c r="U61" i="314"/>
  <c r="T61" i="314"/>
  <c r="S61" i="314"/>
  <c r="R61" i="314"/>
  <c r="Q61" i="314"/>
  <c r="P61" i="314"/>
  <c r="O61" i="314"/>
  <c r="N61" i="314"/>
  <c r="M61" i="314"/>
  <c r="L61" i="314"/>
  <c r="K61" i="314"/>
  <c r="J61" i="314"/>
  <c r="I61" i="314"/>
  <c r="H61" i="314"/>
  <c r="G61" i="314"/>
  <c r="F61" i="314"/>
  <c r="E61" i="314"/>
  <c r="D61" i="314"/>
  <c r="AJ49" i="314"/>
  <c r="A1" i="312"/>
  <c r="C24" i="312" s="1"/>
  <c r="C31" i="312"/>
  <c r="C30" i="312"/>
  <c r="D2" i="312"/>
  <c r="B22" i="267"/>
  <c r="B21" i="267"/>
  <c r="B20" i="267"/>
  <c r="B17" i="267"/>
  <c r="B16" i="267"/>
  <c r="B15" i="267"/>
  <c r="H60" i="263"/>
  <c r="G60" i="263"/>
  <c r="F60" i="263"/>
  <c r="E60" i="263"/>
  <c r="D60" i="263"/>
  <c r="AL20" i="316" s="1"/>
  <c r="C60" i="263"/>
  <c r="AL45" i="314" l="1"/>
  <c r="AL116" i="314"/>
  <c r="AL54" i="314"/>
  <c r="AL107" i="314"/>
  <c r="AL33" i="314"/>
  <c r="AL95" i="314"/>
  <c r="AL132" i="314"/>
  <c r="AL70" i="314"/>
  <c r="AL97" i="314"/>
  <c r="AL35" i="314"/>
  <c r="D100" i="313"/>
  <c r="D103" i="313"/>
  <c r="D102" i="313"/>
  <c r="D101" i="313"/>
  <c r="D98" i="313"/>
  <c r="D93" i="313"/>
  <c r="D97" i="313"/>
  <c r="D92" i="313"/>
  <c r="D96" i="313"/>
  <c r="D91" i="313"/>
  <c r="D95" i="313"/>
  <c r="D90" i="313"/>
  <c r="AL59" i="316"/>
  <c r="AL131" i="316"/>
  <c r="AL69" i="316"/>
  <c r="AL34" i="316"/>
  <c r="AL20" i="322"/>
  <c r="AL20" i="319"/>
  <c r="AL62" i="314"/>
  <c r="AL133" i="314"/>
  <c r="AL71" i="314"/>
  <c r="AL124" i="314"/>
  <c r="AL102" i="314"/>
  <c r="AL93" i="314"/>
  <c r="AL40" i="314"/>
  <c r="AL31" i="314"/>
  <c r="AL111" i="314"/>
  <c r="AL49" i="314"/>
  <c r="D106" i="313"/>
  <c r="D107" i="313"/>
  <c r="D108" i="313"/>
  <c r="D105" i="313"/>
  <c r="E20" i="322"/>
  <c r="I20" i="322"/>
  <c r="M20" i="322"/>
  <c r="Q20" i="322"/>
  <c r="U20" i="322"/>
  <c r="Y20" i="322"/>
  <c r="AC20" i="322"/>
  <c r="AG20" i="322"/>
  <c r="AK20" i="322"/>
  <c r="F20" i="322"/>
  <c r="J20" i="322"/>
  <c r="N20" i="322"/>
  <c r="R20" i="322"/>
  <c r="V20" i="322"/>
  <c r="Z20" i="322"/>
  <c r="AD20" i="322"/>
  <c r="AH20" i="322"/>
  <c r="D20" i="322"/>
  <c r="G20" i="322"/>
  <c r="K20" i="322"/>
  <c r="O20" i="322"/>
  <c r="S20" i="322"/>
  <c r="W20" i="322"/>
  <c r="AA20" i="322"/>
  <c r="AE20" i="322"/>
  <c r="AI20" i="322"/>
  <c r="D20" i="319"/>
  <c r="H20" i="322"/>
  <c r="L20" i="322"/>
  <c r="P20" i="322"/>
  <c r="T20" i="322"/>
  <c r="X20" i="322"/>
  <c r="AB20" i="322"/>
  <c r="AF20" i="322"/>
  <c r="AJ20" i="322"/>
  <c r="C118" i="316"/>
  <c r="C56" i="316"/>
  <c r="C118" i="319"/>
  <c r="C56" i="319"/>
  <c r="C56" i="322"/>
  <c r="C118" i="322"/>
  <c r="H95" i="314"/>
  <c r="P95" i="314"/>
  <c r="X95" i="314"/>
  <c r="AF95" i="314"/>
  <c r="I95" i="314"/>
  <c r="Q95" i="314"/>
  <c r="Y95" i="314"/>
  <c r="AG95" i="314"/>
  <c r="J95" i="314"/>
  <c r="R95" i="314"/>
  <c r="Z95" i="314"/>
  <c r="AH95" i="314"/>
  <c r="K95" i="314"/>
  <c r="S95" i="314"/>
  <c r="AA95" i="314"/>
  <c r="AI95" i="314"/>
  <c r="D95" i="314"/>
  <c r="L95" i="314"/>
  <c r="T95" i="314"/>
  <c r="AB95" i="314"/>
  <c r="AJ95" i="314"/>
  <c r="E95" i="314"/>
  <c r="M95" i="314"/>
  <c r="U95" i="314"/>
  <c r="AC95" i="314"/>
  <c r="AK95" i="314"/>
  <c r="F95" i="314"/>
  <c r="N95" i="314"/>
  <c r="V95" i="314"/>
  <c r="AD95" i="314"/>
  <c r="G95" i="314"/>
  <c r="O95" i="314"/>
  <c r="W95" i="314"/>
  <c r="AE95" i="314"/>
  <c r="D97" i="314"/>
  <c r="L97" i="314"/>
  <c r="T97" i="314"/>
  <c r="AB97" i="314"/>
  <c r="AJ97" i="314"/>
  <c r="E97" i="314"/>
  <c r="M97" i="314"/>
  <c r="U97" i="314"/>
  <c r="AC97" i="314"/>
  <c r="AK97" i="314"/>
  <c r="F97" i="314"/>
  <c r="N97" i="314"/>
  <c r="V97" i="314"/>
  <c r="AD97" i="314"/>
  <c r="G97" i="314"/>
  <c r="O97" i="314"/>
  <c r="W97" i="314"/>
  <c r="AE97" i="314"/>
  <c r="H97" i="314"/>
  <c r="P97" i="314"/>
  <c r="X97" i="314"/>
  <c r="AF97" i="314"/>
  <c r="I97" i="314"/>
  <c r="Q97" i="314"/>
  <c r="Y97" i="314"/>
  <c r="AG97" i="314"/>
  <c r="J97" i="314"/>
  <c r="R97" i="314"/>
  <c r="Z97" i="314"/>
  <c r="AH97" i="314"/>
  <c r="K97" i="314"/>
  <c r="S97" i="314"/>
  <c r="AA97" i="314"/>
  <c r="AI97" i="314"/>
  <c r="D93" i="314"/>
  <c r="L93" i="314"/>
  <c r="T93" i="314"/>
  <c r="AB93" i="314"/>
  <c r="AJ93" i="314"/>
  <c r="H102" i="314"/>
  <c r="P102" i="314"/>
  <c r="X102" i="314"/>
  <c r="AF102" i="314"/>
  <c r="H111" i="314"/>
  <c r="P111" i="314"/>
  <c r="X111" i="314"/>
  <c r="AF111" i="314"/>
  <c r="E93" i="314"/>
  <c r="M93" i="314"/>
  <c r="U93" i="314"/>
  <c r="AC93" i="314"/>
  <c r="AK93" i="314"/>
  <c r="I102" i="314"/>
  <c r="Q102" i="314"/>
  <c r="Y102" i="314"/>
  <c r="AG102" i="314"/>
  <c r="I111" i="314"/>
  <c r="Q111" i="314"/>
  <c r="Y111" i="314"/>
  <c r="AG111" i="314"/>
  <c r="F93" i="314"/>
  <c r="N93" i="314"/>
  <c r="V93" i="314"/>
  <c r="AD93" i="314"/>
  <c r="J102" i="314"/>
  <c r="R102" i="314"/>
  <c r="Z102" i="314"/>
  <c r="AH102" i="314"/>
  <c r="J111" i="314"/>
  <c r="R111" i="314"/>
  <c r="Z111" i="314"/>
  <c r="AH111" i="314"/>
  <c r="G93" i="314"/>
  <c r="O93" i="314"/>
  <c r="W93" i="314"/>
  <c r="AE93" i="314"/>
  <c r="K102" i="314"/>
  <c r="S102" i="314"/>
  <c r="AA102" i="314"/>
  <c r="AI102" i="314"/>
  <c r="K111" i="314"/>
  <c r="S111" i="314"/>
  <c r="AA111" i="314"/>
  <c r="AI111" i="314"/>
  <c r="H93" i="314"/>
  <c r="P93" i="314"/>
  <c r="X93" i="314"/>
  <c r="AF93" i="314"/>
  <c r="D102" i="314"/>
  <c r="L102" i="314"/>
  <c r="T102" i="314"/>
  <c r="AB102" i="314"/>
  <c r="AJ102" i="314"/>
  <c r="D111" i="314"/>
  <c r="L111" i="314"/>
  <c r="T111" i="314"/>
  <c r="AB111" i="314"/>
  <c r="AJ111" i="314"/>
  <c r="I93" i="314"/>
  <c r="Q93" i="314"/>
  <c r="Y93" i="314"/>
  <c r="AG93" i="314"/>
  <c r="E102" i="314"/>
  <c r="M102" i="314"/>
  <c r="U102" i="314"/>
  <c r="AC102" i="314"/>
  <c r="AK102" i="314"/>
  <c r="E111" i="314"/>
  <c r="M111" i="314"/>
  <c r="U111" i="314"/>
  <c r="AC111" i="314"/>
  <c r="AK111" i="314"/>
  <c r="J93" i="314"/>
  <c r="R93" i="314"/>
  <c r="Z93" i="314"/>
  <c r="AH93" i="314"/>
  <c r="F102" i="314"/>
  <c r="N102" i="314"/>
  <c r="V102" i="314"/>
  <c r="AD102" i="314"/>
  <c r="F111" i="314"/>
  <c r="N111" i="314"/>
  <c r="V111" i="314"/>
  <c r="AD111" i="314"/>
  <c r="K93" i="314"/>
  <c r="S93" i="314"/>
  <c r="AA93" i="314"/>
  <c r="AI93" i="314"/>
  <c r="G102" i="314"/>
  <c r="O102" i="314"/>
  <c r="W102" i="314"/>
  <c r="AE102" i="314"/>
  <c r="G111" i="314"/>
  <c r="O111" i="314"/>
  <c r="W111" i="314"/>
  <c r="AE111" i="314"/>
  <c r="D107" i="314"/>
  <c r="L107" i="314"/>
  <c r="T107" i="314"/>
  <c r="AB107" i="314"/>
  <c r="AJ107" i="314"/>
  <c r="F116" i="314"/>
  <c r="N116" i="314"/>
  <c r="V116" i="314"/>
  <c r="AD116" i="314"/>
  <c r="E107" i="314"/>
  <c r="M107" i="314"/>
  <c r="U107" i="314"/>
  <c r="AC107" i="314"/>
  <c r="AK107" i="314"/>
  <c r="G116" i="314"/>
  <c r="O116" i="314"/>
  <c r="W116" i="314"/>
  <c r="AE116" i="314"/>
  <c r="F107" i="314"/>
  <c r="N107" i="314"/>
  <c r="V107" i="314"/>
  <c r="AD107" i="314"/>
  <c r="H116" i="314"/>
  <c r="P116" i="314"/>
  <c r="X116" i="314"/>
  <c r="AF116" i="314"/>
  <c r="G107" i="314"/>
  <c r="O107" i="314"/>
  <c r="W107" i="314"/>
  <c r="AE107" i="314"/>
  <c r="I116" i="314"/>
  <c r="Q116" i="314"/>
  <c r="Y116" i="314"/>
  <c r="AG116" i="314"/>
  <c r="H107" i="314"/>
  <c r="P107" i="314"/>
  <c r="X107" i="314"/>
  <c r="AF107" i="314"/>
  <c r="J116" i="314"/>
  <c r="R116" i="314"/>
  <c r="Z116" i="314"/>
  <c r="AH116" i="314"/>
  <c r="I107" i="314"/>
  <c r="Q107" i="314"/>
  <c r="Y107" i="314"/>
  <c r="AG107" i="314"/>
  <c r="K116" i="314"/>
  <c r="S116" i="314"/>
  <c r="AA116" i="314"/>
  <c r="AI116" i="314"/>
  <c r="J107" i="314"/>
  <c r="R107" i="314"/>
  <c r="Z107" i="314"/>
  <c r="AH107" i="314"/>
  <c r="D116" i="314"/>
  <c r="L116" i="314"/>
  <c r="T116" i="314"/>
  <c r="AB116" i="314"/>
  <c r="AJ116" i="314"/>
  <c r="K107" i="314"/>
  <c r="S107" i="314"/>
  <c r="AA107" i="314"/>
  <c r="AI107" i="314"/>
  <c r="E116" i="314"/>
  <c r="M116" i="314"/>
  <c r="U116" i="314"/>
  <c r="AC116" i="314"/>
  <c r="AK116" i="314"/>
  <c r="I132" i="314"/>
  <c r="Q132" i="314"/>
  <c r="Y132" i="314"/>
  <c r="AG132" i="314"/>
  <c r="AF132" i="314"/>
  <c r="J132" i="314"/>
  <c r="R132" i="314"/>
  <c r="Z132" i="314"/>
  <c r="AH132" i="314"/>
  <c r="K132" i="314"/>
  <c r="S132" i="314"/>
  <c r="AA132" i="314"/>
  <c r="AI132" i="314"/>
  <c r="X132" i="314"/>
  <c r="D132" i="314"/>
  <c r="L132" i="314"/>
  <c r="T132" i="314"/>
  <c r="AB132" i="314"/>
  <c r="AJ132" i="314"/>
  <c r="E132" i="314"/>
  <c r="M132" i="314"/>
  <c r="U132" i="314"/>
  <c r="AC132" i="314"/>
  <c r="AK132" i="314"/>
  <c r="F132" i="314"/>
  <c r="N132" i="314"/>
  <c r="V132" i="314"/>
  <c r="AD132" i="314"/>
  <c r="H132" i="314"/>
  <c r="G132" i="314"/>
  <c r="O132" i="314"/>
  <c r="W132" i="314"/>
  <c r="AE132" i="314"/>
  <c r="P132" i="314"/>
  <c r="K124" i="314"/>
  <c r="S124" i="314"/>
  <c r="AA124" i="314"/>
  <c r="AI124" i="314"/>
  <c r="D124" i="314"/>
  <c r="L124" i="314"/>
  <c r="T124" i="314"/>
  <c r="AB124" i="314"/>
  <c r="AJ124" i="314"/>
  <c r="E124" i="314"/>
  <c r="M124" i="314"/>
  <c r="U124" i="314"/>
  <c r="AC124" i="314"/>
  <c r="AK124" i="314"/>
  <c r="F124" i="314"/>
  <c r="N124" i="314"/>
  <c r="V124" i="314"/>
  <c r="AD124" i="314"/>
  <c r="G124" i="314"/>
  <c r="O124" i="314"/>
  <c r="W124" i="314"/>
  <c r="AE124" i="314"/>
  <c r="H124" i="314"/>
  <c r="P124" i="314"/>
  <c r="X124" i="314"/>
  <c r="AF124" i="314"/>
  <c r="I124" i="314"/>
  <c r="Q124" i="314"/>
  <c r="Y124" i="314"/>
  <c r="AG124" i="314"/>
  <c r="J124" i="314"/>
  <c r="R124" i="314"/>
  <c r="Z124" i="314"/>
  <c r="AH124" i="314"/>
  <c r="G133" i="314"/>
  <c r="O133" i="314"/>
  <c r="W133" i="314"/>
  <c r="AE133" i="314"/>
  <c r="H133" i="314"/>
  <c r="P133" i="314"/>
  <c r="X133" i="314"/>
  <c r="AF133" i="314"/>
  <c r="I133" i="314"/>
  <c r="Q133" i="314"/>
  <c r="Y133" i="314"/>
  <c r="AG133" i="314"/>
  <c r="N133" i="314"/>
  <c r="AD133" i="314"/>
  <c r="J133" i="314"/>
  <c r="R133" i="314"/>
  <c r="Z133" i="314"/>
  <c r="AH133" i="314"/>
  <c r="K133" i="314"/>
  <c r="S133" i="314"/>
  <c r="AA133" i="314"/>
  <c r="AI133" i="314"/>
  <c r="F133" i="314"/>
  <c r="D133" i="314"/>
  <c r="L133" i="314"/>
  <c r="T133" i="314"/>
  <c r="AB133" i="314"/>
  <c r="AJ133" i="314"/>
  <c r="E133" i="314"/>
  <c r="M133" i="314"/>
  <c r="U133" i="314"/>
  <c r="AC133" i="314"/>
  <c r="AK133" i="314"/>
  <c r="V133" i="314"/>
  <c r="AK33" i="314"/>
  <c r="F35" i="314"/>
  <c r="E6" i="314"/>
  <c r="C118" i="314" s="1"/>
  <c r="Z40" i="314"/>
  <c r="Y54" i="314"/>
  <c r="Z70" i="314"/>
  <c r="T71" i="314"/>
  <c r="K20" i="316"/>
  <c r="S20" i="316"/>
  <c r="AA20" i="316"/>
  <c r="AI20" i="316"/>
  <c r="L20" i="316"/>
  <c r="T20" i="316"/>
  <c r="AB20" i="316"/>
  <c r="AJ20" i="316"/>
  <c r="E20" i="316"/>
  <c r="M20" i="316"/>
  <c r="U20" i="316"/>
  <c r="AC20" i="316"/>
  <c r="AK20" i="316"/>
  <c r="F20" i="316"/>
  <c r="N20" i="316"/>
  <c r="V20" i="316"/>
  <c r="AD20" i="316"/>
  <c r="D20" i="316"/>
  <c r="Z20" i="316"/>
  <c r="G20" i="316"/>
  <c r="O20" i="316"/>
  <c r="W20" i="316"/>
  <c r="AE20" i="316"/>
  <c r="H20" i="316"/>
  <c r="X20" i="316"/>
  <c r="J20" i="316"/>
  <c r="P20" i="316"/>
  <c r="AF20" i="316"/>
  <c r="AH20" i="316"/>
  <c r="I20" i="316"/>
  <c r="Q20" i="316"/>
  <c r="Y20" i="316"/>
  <c r="AG20" i="316"/>
  <c r="R20" i="316"/>
  <c r="L20" i="319"/>
  <c r="T20" i="319"/>
  <c r="AB20" i="319"/>
  <c r="AJ20" i="319"/>
  <c r="E20" i="319"/>
  <c r="M20" i="319"/>
  <c r="U20" i="319"/>
  <c r="AC20" i="319"/>
  <c r="AK20" i="319"/>
  <c r="F20" i="319"/>
  <c r="N20" i="319"/>
  <c r="V20" i="319"/>
  <c r="AD20" i="319"/>
  <c r="G20" i="319"/>
  <c r="O20" i="319"/>
  <c r="W20" i="319"/>
  <c r="AE20" i="319"/>
  <c r="H20" i="319"/>
  <c r="P20" i="319"/>
  <c r="X20" i="319"/>
  <c r="AF20" i="319"/>
  <c r="I20" i="319"/>
  <c r="Q20" i="319"/>
  <c r="Y20" i="319"/>
  <c r="AG20" i="319"/>
  <c r="J20" i="319"/>
  <c r="R20" i="319"/>
  <c r="Z20" i="319"/>
  <c r="AH20" i="319"/>
  <c r="K20" i="319"/>
  <c r="S20" i="319"/>
  <c r="AA20" i="319"/>
  <c r="AI20" i="319"/>
  <c r="AA31" i="314"/>
  <c r="I49" i="314"/>
  <c r="T31" i="314"/>
  <c r="AB31" i="314"/>
  <c r="D31" i="314"/>
  <c r="P40" i="314"/>
  <c r="I31" i="314"/>
  <c r="AC40" i="314"/>
  <c r="K31" i="314"/>
  <c r="AF40" i="314"/>
  <c r="AG31" i="314"/>
  <c r="C22" i="315"/>
  <c r="C23" i="315"/>
  <c r="C24" i="315"/>
  <c r="C22" i="312"/>
  <c r="C23" i="312"/>
  <c r="F2" i="327"/>
  <c r="F2" i="324"/>
  <c r="G2" i="321"/>
  <c r="F2" i="318"/>
  <c r="E2" i="315"/>
  <c r="AH70" i="314"/>
  <c r="W70" i="314"/>
  <c r="O70" i="314"/>
  <c r="AC54" i="314"/>
  <c r="J45" i="314"/>
  <c r="T45" i="314"/>
  <c r="G45" i="314"/>
  <c r="W45" i="314"/>
  <c r="E54" i="314"/>
  <c r="Z45" i="314"/>
  <c r="V54" i="314"/>
  <c r="D45" i="314"/>
  <c r="Q54" i="314"/>
  <c r="L31" i="314"/>
  <c r="AI31" i="314"/>
  <c r="P49" i="314"/>
  <c r="Q31" i="314"/>
  <c r="AJ31" i="314"/>
  <c r="J40" i="314"/>
  <c r="Q49" i="314"/>
  <c r="S31" i="314"/>
  <c r="M40" i="314"/>
  <c r="AF49" i="314"/>
  <c r="AG49" i="314"/>
  <c r="Y31" i="314"/>
  <c r="AF35" i="314"/>
  <c r="M33" i="314"/>
  <c r="AI33" i="314"/>
  <c r="S35" i="314"/>
  <c r="N33" i="314"/>
  <c r="V35" i="314"/>
  <c r="AH33" i="314"/>
  <c r="Z33" i="314"/>
  <c r="R33" i="314"/>
  <c r="J33" i="314"/>
  <c r="AG33" i="314"/>
  <c r="Y33" i="314"/>
  <c r="Q33" i="314"/>
  <c r="I33" i="314"/>
  <c r="AF33" i="314"/>
  <c r="X33" i="314"/>
  <c r="P33" i="314"/>
  <c r="H33" i="314"/>
  <c r="AE33" i="314"/>
  <c r="W33" i="314"/>
  <c r="O33" i="314"/>
  <c r="G33" i="314"/>
  <c r="AJ33" i="314"/>
  <c r="AB33" i="314"/>
  <c r="T33" i="314"/>
  <c r="L33" i="314"/>
  <c r="D33" i="314"/>
  <c r="U33" i="314"/>
  <c r="AI35" i="314"/>
  <c r="F62" i="314"/>
  <c r="S33" i="314"/>
  <c r="V33" i="314"/>
  <c r="E33" i="314"/>
  <c r="AA33" i="314"/>
  <c r="F33" i="314"/>
  <c r="AC33" i="314"/>
  <c r="AE35" i="314"/>
  <c r="W35" i="314"/>
  <c r="O35" i="314"/>
  <c r="G35" i="314"/>
  <c r="AK35" i="314"/>
  <c r="AC35" i="314"/>
  <c r="U35" i="314"/>
  <c r="M35" i="314"/>
  <c r="E35" i="314"/>
  <c r="AJ35" i="314"/>
  <c r="AB35" i="314"/>
  <c r="T35" i="314"/>
  <c r="L35" i="314"/>
  <c r="D35" i="314"/>
  <c r="AG35" i="314"/>
  <c r="Y35" i="314"/>
  <c r="Q35" i="314"/>
  <c r="I35" i="314"/>
  <c r="AD35" i="314"/>
  <c r="N35" i="314"/>
  <c r="AA35" i="314"/>
  <c r="K35" i="314"/>
  <c r="Z35" i="314"/>
  <c r="J35" i="314"/>
  <c r="X35" i="314"/>
  <c r="H35" i="314"/>
  <c r="AH35" i="314"/>
  <c r="R35" i="314"/>
  <c r="AG71" i="314"/>
  <c r="Y71" i="314"/>
  <c r="Q71" i="314"/>
  <c r="I71" i="314"/>
  <c r="AI62" i="314"/>
  <c r="AA62" i="314"/>
  <c r="S62" i="314"/>
  <c r="K62" i="314"/>
  <c r="AF71" i="314"/>
  <c r="X71" i="314"/>
  <c r="P71" i="314"/>
  <c r="H71" i="314"/>
  <c r="AH62" i="314"/>
  <c r="Z62" i="314"/>
  <c r="R62" i="314"/>
  <c r="J62" i="314"/>
  <c r="AD71" i="314"/>
  <c r="V71" i="314"/>
  <c r="N71" i="314"/>
  <c r="F71" i="314"/>
  <c r="AF62" i="314"/>
  <c r="X62" i="314"/>
  <c r="P62" i="314"/>
  <c r="H62" i="314"/>
  <c r="AK71" i="314"/>
  <c r="AC71" i="314"/>
  <c r="U71" i="314"/>
  <c r="M71" i="314"/>
  <c r="E71" i="314"/>
  <c r="AE62" i="314"/>
  <c r="W62" i="314"/>
  <c r="O62" i="314"/>
  <c r="G62" i="314"/>
  <c r="AI71" i="314"/>
  <c r="AA71" i="314"/>
  <c r="S71" i="314"/>
  <c r="K71" i="314"/>
  <c r="AK62" i="314"/>
  <c r="AC62" i="314"/>
  <c r="U62" i="314"/>
  <c r="M62" i="314"/>
  <c r="E62" i="314"/>
  <c r="AH71" i="314"/>
  <c r="Z71" i="314"/>
  <c r="R71" i="314"/>
  <c r="J71" i="314"/>
  <c r="AJ62" i="314"/>
  <c r="AB62" i="314"/>
  <c r="T62" i="314"/>
  <c r="L62" i="314"/>
  <c r="D62" i="314"/>
  <c r="G71" i="314"/>
  <c r="Y62" i="314"/>
  <c r="AJ71" i="314"/>
  <c r="D71" i="314"/>
  <c r="V62" i="314"/>
  <c r="AE71" i="314"/>
  <c r="Q62" i="314"/>
  <c r="W71" i="314"/>
  <c r="I62" i="314"/>
  <c r="AB71" i="314"/>
  <c r="N62" i="314"/>
  <c r="O71" i="314"/>
  <c r="AG62" i="314"/>
  <c r="L71" i="314"/>
  <c r="AD62" i="314"/>
  <c r="K33" i="314"/>
  <c r="AD33" i="314"/>
  <c r="P35" i="314"/>
  <c r="J31" i="314"/>
  <c r="R31" i="314"/>
  <c r="Z31" i="314"/>
  <c r="AH31" i="314"/>
  <c r="L40" i="314"/>
  <c r="AB40" i="314"/>
  <c r="F45" i="314"/>
  <c r="V45" i="314"/>
  <c r="L49" i="314"/>
  <c r="U54" i="314"/>
  <c r="R70" i="314"/>
  <c r="AD49" i="314"/>
  <c r="V49" i="314"/>
  <c r="N49" i="314"/>
  <c r="F49" i="314"/>
  <c r="AK49" i="314"/>
  <c r="AC49" i="314"/>
  <c r="U49" i="314"/>
  <c r="M49" i="314"/>
  <c r="E49" i="314"/>
  <c r="AG40" i="314"/>
  <c r="Y40" i="314"/>
  <c r="Q40" i="314"/>
  <c r="I40" i="314"/>
  <c r="AI49" i="314"/>
  <c r="AA49" i="314"/>
  <c r="S49" i="314"/>
  <c r="K49" i="314"/>
  <c r="AE40" i="314"/>
  <c r="W40" i="314"/>
  <c r="O40" i="314"/>
  <c r="G40" i="314"/>
  <c r="AH49" i="314"/>
  <c r="Z49" i="314"/>
  <c r="R49" i="314"/>
  <c r="J49" i="314"/>
  <c r="AD40" i="314"/>
  <c r="V40" i="314"/>
  <c r="N40" i="314"/>
  <c r="F40" i="314"/>
  <c r="AE49" i="314"/>
  <c r="W49" i="314"/>
  <c r="O49" i="314"/>
  <c r="G49" i="314"/>
  <c r="AI40" i="314"/>
  <c r="AA40" i="314"/>
  <c r="S40" i="314"/>
  <c r="K40" i="314"/>
  <c r="E31" i="314"/>
  <c r="M31" i="314"/>
  <c r="U31" i="314"/>
  <c r="AC31" i="314"/>
  <c r="AK31" i="314"/>
  <c r="R40" i="314"/>
  <c r="AH40" i="314"/>
  <c r="L45" i="314"/>
  <c r="AB45" i="314"/>
  <c r="T49" i="314"/>
  <c r="F54" i="314"/>
  <c r="AE70" i="314"/>
  <c r="AI54" i="314"/>
  <c r="AA54" i="314"/>
  <c r="S54" i="314"/>
  <c r="K54" i="314"/>
  <c r="AJ45" i="314"/>
  <c r="AH54" i="314"/>
  <c r="Z54" i="314"/>
  <c r="R54" i="314"/>
  <c r="J54" i="314"/>
  <c r="AI45" i="314"/>
  <c r="AA45" i="314"/>
  <c r="S45" i="314"/>
  <c r="K45" i="314"/>
  <c r="AF54" i="314"/>
  <c r="X54" i="314"/>
  <c r="P54" i="314"/>
  <c r="H54" i="314"/>
  <c r="AG45" i="314"/>
  <c r="Y45" i="314"/>
  <c r="Q45" i="314"/>
  <c r="I45" i="314"/>
  <c r="AE54" i="314"/>
  <c r="W54" i="314"/>
  <c r="O54" i="314"/>
  <c r="G54" i="314"/>
  <c r="AF45" i="314"/>
  <c r="X45" i="314"/>
  <c r="P45" i="314"/>
  <c r="H45" i="314"/>
  <c r="AJ54" i="314"/>
  <c r="AB54" i="314"/>
  <c r="T54" i="314"/>
  <c r="L54" i="314"/>
  <c r="D54" i="314"/>
  <c r="AK45" i="314"/>
  <c r="AC45" i="314"/>
  <c r="U45" i="314"/>
  <c r="M45" i="314"/>
  <c r="E45" i="314"/>
  <c r="F31" i="314"/>
  <c r="N31" i="314"/>
  <c r="V31" i="314"/>
  <c r="AD31" i="314"/>
  <c r="D40" i="314"/>
  <c r="T40" i="314"/>
  <c r="AJ40" i="314"/>
  <c r="N45" i="314"/>
  <c r="AD45" i="314"/>
  <c r="X49" i="314"/>
  <c r="I54" i="314"/>
  <c r="AD54" i="314"/>
  <c r="AJ70" i="314"/>
  <c r="AB70" i="314"/>
  <c r="T70" i="314"/>
  <c r="L70" i="314"/>
  <c r="D70" i="314"/>
  <c r="AI70" i="314"/>
  <c r="AA70" i="314"/>
  <c r="S70" i="314"/>
  <c r="K70" i="314"/>
  <c r="AG70" i="314"/>
  <c r="Y70" i="314"/>
  <c r="Q70" i="314"/>
  <c r="I70" i="314"/>
  <c r="AF70" i="314"/>
  <c r="X70" i="314"/>
  <c r="P70" i="314"/>
  <c r="H70" i="314"/>
  <c r="AD70" i="314"/>
  <c r="V70" i="314"/>
  <c r="N70" i="314"/>
  <c r="F70" i="314"/>
  <c r="AK70" i="314"/>
  <c r="AC70" i="314"/>
  <c r="U70" i="314"/>
  <c r="M70" i="314"/>
  <c r="E70" i="314"/>
  <c r="G31" i="314"/>
  <c r="O31" i="314"/>
  <c r="W31" i="314"/>
  <c r="AE31" i="314"/>
  <c r="E40" i="314"/>
  <c r="U40" i="314"/>
  <c r="AK40" i="314"/>
  <c r="O45" i="314"/>
  <c r="AE45" i="314"/>
  <c r="D49" i="314"/>
  <c r="Y49" i="314"/>
  <c r="M54" i="314"/>
  <c r="AG54" i="314"/>
  <c r="G70" i="314"/>
  <c r="H31" i="314"/>
  <c r="P31" i="314"/>
  <c r="X31" i="314"/>
  <c r="AF31" i="314"/>
  <c r="H40" i="314"/>
  <c r="X40" i="314"/>
  <c r="R45" i="314"/>
  <c r="AH45" i="314"/>
  <c r="H49" i="314"/>
  <c r="AB49" i="314"/>
  <c r="N54" i="314"/>
  <c r="AK54" i="314"/>
  <c r="J70" i="314"/>
  <c r="E2" i="312"/>
  <c r="AL34" i="319" l="1"/>
  <c r="AL59" i="319"/>
  <c r="AL69" i="319"/>
  <c r="AL131" i="319"/>
  <c r="AL59" i="322"/>
  <c r="AL131" i="322"/>
  <c r="AL69" i="322"/>
  <c r="AL34" i="322"/>
  <c r="AA131" i="319"/>
  <c r="AA59" i="319"/>
  <c r="AA34" i="319"/>
  <c r="AA69" i="319"/>
  <c r="Z69" i="319"/>
  <c r="Z131" i="319"/>
  <c r="Z59" i="319"/>
  <c r="Z34" i="319"/>
  <c r="Y69" i="319"/>
  <c r="Y131" i="319"/>
  <c r="Y34" i="319"/>
  <c r="Y59" i="319"/>
  <c r="X59" i="319"/>
  <c r="X34" i="319"/>
  <c r="X131" i="319"/>
  <c r="X69" i="319"/>
  <c r="W131" i="319"/>
  <c r="W59" i="319"/>
  <c r="W34" i="319"/>
  <c r="W69" i="319"/>
  <c r="V69" i="319"/>
  <c r="V131" i="319"/>
  <c r="V34" i="319"/>
  <c r="V59" i="319"/>
  <c r="AC69" i="319"/>
  <c r="AC131" i="319"/>
  <c r="AC59" i="319"/>
  <c r="AC34" i="319"/>
  <c r="AJ59" i="319"/>
  <c r="AJ34" i="319"/>
  <c r="AJ69" i="319"/>
  <c r="AJ131" i="319"/>
  <c r="R69" i="316"/>
  <c r="R34" i="316"/>
  <c r="R59" i="316"/>
  <c r="R131" i="316"/>
  <c r="I131" i="316"/>
  <c r="I59" i="316"/>
  <c r="I34" i="316"/>
  <c r="I69" i="316"/>
  <c r="J131" i="316"/>
  <c r="J69" i="316"/>
  <c r="J34" i="316"/>
  <c r="J59" i="316"/>
  <c r="W131" i="316"/>
  <c r="W69" i="316"/>
  <c r="W34" i="316"/>
  <c r="W59" i="316"/>
  <c r="D59" i="316"/>
  <c r="D69" i="316"/>
  <c r="D131" i="316"/>
  <c r="D34" i="316"/>
  <c r="F131" i="316"/>
  <c r="F69" i="316"/>
  <c r="F34" i="316"/>
  <c r="F59" i="316"/>
  <c r="M59" i="316"/>
  <c r="M69" i="316"/>
  <c r="M34" i="316"/>
  <c r="M131" i="316"/>
  <c r="T131" i="316"/>
  <c r="T69" i="316"/>
  <c r="T59" i="316"/>
  <c r="T34" i="316"/>
  <c r="S131" i="316"/>
  <c r="S69" i="316"/>
  <c r="S34" i="316"/>
  <c r="S59" i="316"/>
  <c r="X131" i="322"/>
  <c r="X59" i="322"/>
  <c r="X34" i="322"/>
  <c r="X69" i="322"/>
  <c r="H131" i="322"/>
  <c r="H69" i="322"/>
  <c r="H59" i="322"/>
  <c r="H34" i="322"/>
  <c r="AA131" i="322"/>
  <c r="AA59" i="322"/>
  <c r="AA34" i="322"/>
  <c r="AA69" i="322"/>
  <c r="K131" i="322"/>
  <c r="K69" i="322"/>
  <c r="K59" i="322"/>
  <c r="K34" i="322"/>
  <c r="AD131" i="322"/>
  <c r="AD69" i="322"/>
  <c r="AD59" i="322"/>
  <c r="AD34" i="322"/>
  <c r="N131" i="322"/>
  <c r="N59" i="322"/>
  <c r="N34" i="322"/>
  <c r="N69" i="322"/>
  <c r="AG131" i="322"/>
  <c r="AG59" i="322"/>
  <c r="AG34" i="322"/>
  <c r="AG69" i="322"/>
  <c r="Q131" i="322"/>
  <c r="Q69" i="322"/>
  <c r="Q59" i="322"/>
  <c r="Q34" i="322"/>
  <c r="S131" i="319"/>
  <c r="S59" i="319"/>
  <c r="S34" i="319"/>
  <c r="S69" i="319"/>
  <c r="R69" i="319"/>
  <c r="R131" i="319"/>
  <c r="R59" i="319"/>
  <c r="R34" i="319"/>
  <c r="Q69" i="319"/>
  <c r="Q131" i="319"/>
  <c r="Q34" i="319"/>
  <c r="Q59" i="319"/>
  <c r="P59" i="319"/>
  <c r="P34" i="319"/>
  <c r="P131" i="319"/>
  <c r="P69" i="319"/>
  <c r="O131" i="319"/>
  <c r="O59" i="319"/>
  <c r="O34" i="319"/>
  <c r="O69" i="319"/>
  <c r="N69" i="319"/>
  <c r="N131" i="319"/>
  <c r="N34" i="319"/>
  <c r="N59" i="319"/>
  <c r="U69" i="319"/>
  <c r="U131" i="319"/>
  <c r="U59" i="319"/>
  <c r="U34" i="319"/>
  <c r="AB59" i="319"/>
  <c r="AB34" i="319"/>
  <c r="AB69" i="319"/>
  <c r="AB131" i="319"/>
  <c r="AG59" i="316"/>
  <c r="AG131" i="316"/>
  <c r="AG69" i="316"/>
  <c r="AG34" i="316"/>
  <c r="AH69" i="316"/>
  <c r="AH34" i="316"/>
  <c r="AH59" i="316"/>
  <c r="AH131" i="316"/>
  <c r="X69" i="316"/>
  <c r="X59" i="316"/>
  <c r="X131" i="316"/>
  <c r="X34" i="316"/>
  <c r="O131" i="316"/>
  <c r="O69" i="316"/>
  <c r="O34" i="316"/>
  <c r="O59" i="316"/>
  <c r="AD131" i="316"/>
  <c r="AD69" i="316"/>
  <c r="AD34" i="316"/>
  <c r="AD59" i="316"/>
  <c r="AK59" i="316"/>
  <c r="AK131" i="316"/>
  <c r="AK69" i="316"/>
  <c r="AK34" i="316"/>
  <c r="E59" i="316"/>
  <c r="E131" i="316"/>
  <c r="E34" i="316"/>
  <c r="E69" i="316"/>
  <c r="L69" i="316"/>
  <c r="L59" i="316"/>
  <c r="L131" i="316"/>
  <c r="L34" i="316"/>
  <c r="K131" i="316"/>
  <c r="K69" i="316"/>
  <c r="K34" i="316"/>
  <c r="K59" i="316"/>
  <c r="AJ34" i="322"/>
  <c r="AJ131" i="322"/>
  <c r="AJ59" i="322"/>
  <c r="AJ69" i="322"/>
  <c r="T34" i="322"/>
  <c r="T131" i="322"/>
  <c r="T59" i="322"/>
  <c r="T69" i="322"/>
  <c r="D59" i="319"/>
  <c r="D34" i="319"/>
  <c r="D69" i="319"/>
  <c r="D131" i="319"/>
  <c r="W131" i="322"/>
  <c r="W59" i="322"/>
  <c r="W34" i="322"/>
  <c r="W69" i="322"/>
  <c r="G131" i="322"/>
  <c r="G69" i="322"/>
  <c r="G34" i="322"/>
  <c r="G59" i="322"/>
  <c r="Z131" i="322"/>
  <c r="Z69" i="322"/>
  <c r="Z59" i="322"/>
  <c r="Z34" i="322"/>
  <c r="J131" i="322"/>
  <c r="J59" i="322"/>
  <c r="J34" i="322"/>
  <c r="J69" i="322"/>
  <c r="AC131" i="322"/>
  <c r="AC59" i="322"/>
  <c r="AC34" i="322"/>
  <c r="AC69" i="322"/>
  <c r="M131" i="322"/>
  <c r="M69" i="322"/>
  <c r="M59" i="322"/>
  <c r="M34" i="322"/>
  <c r="K131" i="319"/>
  <c r="K59" i="319"/>
  <c r="K34" i="319"/>
  <c r="K69" i="319"/>
  <c r="J69" i="319"/>
  <c r="J131" i="319"/>
  <c r="J59" i="319"/>
  <c r="J34" i="319"/>
  <c r="I69" i="319"/>
  <c r="I131" i="319"/>
  <c r="I34" i="319"/>
  <c r="I59" i="319"/>
  <c r="H59" i="319"/>
  <c r="H34" i="319"/>
  <c r="H131" i="319"/>
  <c r="H69" i="319"/>
  <c r="G131" i="319"/>
  <c r="G59" i="319"/>
  <c r="G34" i="319"/>
  <c r="G69" i="319"/>
  <c r="F69" i="319"/>
  <c r="F131" i="319"/>
  <c r="F34" i="319"/>
  <c r="F59" i="319"/>
  <c r="M69" i="319"/>
  <c r="M131" i="319"/>
  <c r="M59" i="319"/>
  <c r="M34" i="319"/>
  <c r="T59" i="319"/>
  <c r="T34" i="319"/>
  <c r="T69" i="319"/>
  <c r="T131" i="319"/>
  <c r="Y131" i="316"/>
  <c r="Y59" i="316"/>
  <c r="Y34" i="316"/>
  <c r="Y69" i="316"/>
  <c r="AF69" i="316"/>
  <c r="AF131" i="316"/>
  <c r="AF59" i="316"/>
  <c r="AF34" i="316"/>
  <c r="H69" i="316"/>
  <c r="H59" i="316"/>
  <c r="H34" i="316"/>
  <c r="H131" i="316"/>
  <c r="G131" i="316"/>
  <c r="G69" i="316"/>
  <c r="G34" i="316"/>
  <c r="G59" i="316"/>
  <c r="V131" i="316"/>
  <c r="V69" i="316"/>
  <c r="V34" i="316"/>
  <c r="V59" i="316"/>
  <c r="AC59" i="316"/>
  <c r="AC69" i="316"/>
  <c r="AC131" i="316"/>
  <c r="AC34" i="316"/>
  <c r="AJ131" i="316"/>
  <c r="AJ69" i="316"/>
  <c r="AJ34" i="316"/>
  <c r="AJ59" i="316"/>
  <c r="AI131" i="316"/>
  <c r="AI69" i="316"/>
  <c r="AI34" i="316"/>
  <c r="AI59" i="316"/>
  <c r="AF131" i="322"/>
  <c r="AF59" i="322"/>
  <c r="AF34" i="322"/>
  <c r="AF69" i="322"/>
  <c r="P131" i="322"/>
  <c r="P69" i="322"/>
  <c r="P59" i="322"/>
  <c r="P34" i="322"/>
  <c r="AI131" i="322"/>
  <c r="AI69" i="322"/>
  <c r="AI59" i="322"/>
  <c r="AI34" i="322"/>
  <c r="S131" i="322"/>
  <c r="S59" i="322"/>
  <c r="S34" i="322"/>
  <c r="S69" i="322"/>
  <c r="D34" i="322"/>
  <c r="D131" i="322"/>
  <c r="D69" i="322"/>
  <c r="D59" i="322"/>
  <c r="V131" i="322"/>
  <c r="V69" i="322"/>
  <c r="V59" i="322"/>
  <c r="V34" i="322"/>
  <c r="F131" i="322"/>
  <c r="F59" i="322"/>
  <c r="F34" i="322"/>
  <c r="F69" i="322"/>
  <c r="Y131" i="322"/>
  <c r="Y69" i="322"/>
  <c r="Y34" i="322"/>
  <c r="Y59" i="322"/>
  <c r="I131" i="322"/>
  <c r="I59" i="322"/>
  <c r="I34" i="322"/>
  <c r="I69" i="322"/>
  <c r="AI131" i="319"/>
  <c r="AI59" i="319"/>
  <c r="AI34" i="319"/>
  <c r="AI69" i="319"/>
  <c r="AH69" i="319"/>
  <c r="AH131" i="319"/>
  <c r="AH59" i="319"/>
  <c r="AH34" i="319"/>
  <c r="AG69" i="319"/>
  <c r="AG131" i="319"/>
  <c r="AG34" i="319"/>
  <c r="AG59" i="319"/>
  <c r="AF59" i="319"/>
  <c r="AF34" i="319"/>
  <c r="AF131" i="319"/>
  <c r="AF69" i="319"/>
  <c r="AE131" i="319"/>
  <c r="AE59" i="319"/>
  <c r="AE34" i="319"/>
  <c r="AE69" i="319"/>
  <c r="AD69" i="319"/>
  <c r="AD131" i="319"/>
  <c r="AD34" i="319"/>
  <c r="AD59" i="319"/>
  <c r="AK69" i="319"/>
  <c r="AK131" i="319"/>
  <c r="AK59" i="319"/>
  <c r="AK34" i="319"/>
  <c r="E69" i="319"/>
  <c r="E131" i="319"/>
  <c r="E59" i="319"/>
  <c r="E34" i="319"/>
  <c r="L59" i="319"/>
  <c r="L34" i="319"/>
  <c r="L69" i="319"/>
  <c r="L131" i="319"/>
  <c r="Q59" i="316"/>
  <c r="Q131" i="316"/>
  <c r="Q69" i="316"/>
  <c r="Q34" i="316"/>
  <c r="P69" i="316"/>
  <c r="P131" i="316"/>
  <c r="P59" i="316"/>
  <c r="P34" i="316"/>
  <c r="AE131" i="316"/>
  <c r="AE69" i="316"/>
  <c r="AE34" i="316"/>
  <c r="AE59" i="316"/>
  <c r="Z131" i="316"/>
  <c r="Z69" i="316"/>
  <c r="Z34" i="316"/>
  <c r="Z59" i="316"/>
  <c r="N131" i="316"/>
  <c r="N69" i="316"/>
  <c r="N34" i="316"/>
  <c r="N59" i="316"/>
  <c r="U59" i="316"/>
  <c r="U131" i="316"/>
  <c r="U34" i="316"/>
  <c r="U69" i="316"/>
  <c r="AB69" i="316"/>
  <c r="AB59" i="316"/>
  <c r="AB131" i="316"/>
  <c r="AB34" i="316"/>
  <c r="AA131" i="316"/>
  <c r="AA69" i="316"/>
  <c r="AA34" i="316"/>
  <c r="AA59" i="316"/>
  <c r="AB34" i="322"/>
  <c r="AB131" i="322"/>
  <c r="AB59" i="322"/>
  <c r="AB69" i="322"/>
  <c r="L34" i="322"/>
  <c r="L131" i="322"/>
  <c r="L69" i="322"/>
  <c r="L59" i="322"/>
  <c r="AE131" i="322"/>
  <c r="AE69" i="322"/>
  <c r="AE59" i="322"/>
  <c r="AE34" i="322"/>
  <c r="O131" i="322"/>
  <c r="O59" i="322"/>
  <c r="O34" i="322"/>
  <c r="O69" i="322"/>
  <c r="AH131" i="322"/>
  <c r="AH69" i="322"/>
  <c r="AH59" i="322"/>
  <c r="AH34" i="322"/>
  <c r="R131" i="322"/>
  <c r="R59" i="322"/>
  <c r="R34" i="322"/>
  <c r="R69" i="322"/>
  <c r="AK131" i="322"/>
  <c r="AK59" i="322"/>
  <c r="AK34" i="322"/>
  <c r="AK69" i="322"/>
  <c r="U131" i="322"/>
  <c r="U69" i="322"/>
  <c r="U34" i="322"/>
  <c r="U59" i="322"/>
  <c r="E131" i="322"/>
  <c r="E59" i="322"/>
  <c r="E34" i="322"/>
  <c r="E69" i="322"/>
  <c r="C56" i="314"/>
  <c r="G2" i="327"/>
  <c r="G2" i="324"/>
  <c r="H2" i="321"/>
  <c r="G2" i="318"/>
  <c r="F2" i="315"/>
  <c r="F2" i="312"/>
  <c r="H2" i="327" l="1"/>
  <c r="H2" i="324"/>
  <c r="I2" i="321"/>
  <c r="H2" i="318"/>
  <c r="G2" i="315"/>
  <c r="G2" i="312"/>
  <c r="I2" i="327" l="1"/>
  <c r="I2" i="324"/>
  <c r="I52" i="321"/>
  <c r="I191" i="323" s="1"/>
  <c r="I53" i="321"/>
  <c r="I192" i="323" s="1"/>
  <c r="J2" i="321"/>
  <c r="I2" i="318"/>
  <c r="H2" i="315"/>
  <c r="H2" i="312"/>
  <c r="J2" i="327" l="1"/>
  <c r="I52" i="324"/>
  <c r="I191" i="326" s="1"/>
  <c r="I53" i="324"/>
  <c r="I192" i="326" s="1"/>
  <c r="J2" i="324"/>
  <c r="J53" i="321"/>
  <c r="J192" i="323" s="1"/>
  <c r="J52" i="321"/>
  <c r="J191" i="323" s="1"/>
  <c r="K2" i="321"/>
  <c r="J2" i="318"/>
  <c r="I2" i="315"/>
  <c r="I2" i="312"/>
  <c r="K2" i="327" l="1"/>
  <c r="J53" i="324"/>
  <c r="J192" i="326" s="1"/>
  <c r="K2" i="324"/>
  <c r="J52" i="324"/>
  <c r="J191" i="326" s="1"/>
  <c r="K53" i="321"/>
  <c r="K192" i="323" s="1"/>
  <c r="K52" i="321"/>
  <c r="K191" i="323" s="1"/>
  <c r="L2" i="321"/>
  <c r="K2" i="318"/>
  <c r="I52" i="315"/>
  <c r="I191" i="317" s="1"/>
  <c r="I53" i="315"/>
  <c r="I192" i="317" s="1"/>
  <c r="J2" i="315"/>
  <c r="J2" i="312"/>
  <c r="L2" i="327" l="1"/>
  <c r="K53" i="324"/>
  <c r="K192" i="326" s="1"/>
  <c r="K52" i="324"/>
  <c r="K191" i="326" s="1"/>
  <c r="L2" i="324"/>
  <c r="L53" i="321"/>
  <c r="L192" i="323" s="1"/>
  <c r="L52" i="321"/>
  <c r="L191" i="323" s="1"/>
  <c r="M2" i="321"/>
  <c r="L2" i="318"/>
  <c r="J53" i="315"/>
  <c r="J192" i="317" s="1"/>
  <c r="K2" i="315"/>
  <c r="J52" i="315"/>
  <c r="J191" i="317" s="1"/>
  <c r="K2" i="312"/>
  <c r="M2" i="327" l="1"/>
  <c r="L53" i="324"/>
  <c r="L192" i="326" s="1"/>
  <c r="L52" i="324"/>
  <c r="L191" i="326" s="1"/>
  <c r="M2" i="324"/>
  <c r="M53" i="321"/>
  <c r="M192" i="323" s="1"/>
  <c r="M52" i="321"/>
  <c r="M191" i="323" s="1"/>
  <c r="N2" i="321"/>
  <c r="M2" i="318"/>
  <c r="K53" i="315"/>
  <c r="K192" i="317" s="1"/>
  <c r="K52" i="315"/>
  <c r="K191" i="317" s="1"/>
  <c r="L2" i="315"/>
  <c r="L2" i="312"/>
  <c r="N2" i="327" l="1"/>
  <c r="M53" i="324"/>
  <c r="M192" i="326" s="1"/>
  <c r="M52" i="324"/>
  <c r="M191" i="326" s="1"/>
  <c r="N2" i="324"/>
  <c r="N53" i="321"/>
  <c r="N192" i="323" s="1"/>
  <c r="N52" i="321"/>
  <c r="N191" i="323" s="1"/>
  <c r="O2" i="321"/>
  <c r="N2" i="318"/>
  <c r="L53" i="315"/>
  <c r="L192" i="317" s="1"/>
  <c r="L52" i="315"/>
  <c r="L191" i="317" s="1"/>
  <c r="M2" i="315"/>
  <c r="M2" i="312"/>
  <c r="O2" i="327" l="1"/>
  <c r="N53" i="324"/>
  <c r="N192" i="326" s="1"/>
  <c r="N52" i="324"/>
  <c r="N191" i="326" s="1"/>
  <c r="O2" i="324"/>
  <c r="O52" i="321"/>
  <c r="O191" i="323" s="1"/>
  <c r="O53" i="321"/>
  <c r="O192" i="323" s="1"/>
  <c r="P2" i="321"/>
  <c r="O2" i="318"/>
  <c r="M53" i="315"/>
  <c r="M192" i="317" s="1"/>
  <c r="M52" i="315"/>
  <c r="M191" i="317" s="1"/>
  <c r="N2" i="315"/>
  <c r="N2" i="312"/>
  <c r="P2" i="327" l="1"/>
  <c r="O52" i="324"/>
  <c r="O191" i="326" s="1"/>
  <c r="O53" i="324"/>
  <c r="O192" i="326" s="1"/>
  <c r="P2" i="324"/>
  <c r="P52" i="321"/>
  <c r="P191" i="323" s="1"/>
  <c r="P53" i="321"/>
  <c r="P192" i="323" s="1"/>
  <c r="Q2" i="321"/>
  <c r="P2" i="318"/>
  <c r="N53" i="315"/>
  <c r="N192" i="317" s="1"/>
  <c r="N52" i="315"/>
  <c r="N191" i="317" s="1"/>
  <c r="O2" i="315"/>
  <c r="O2" i="312"/>
  <c r="Q2" i="327" l="1"/>
  <c r="P52" i="324"/>
  <c r="P191" i="326" s="1"/>
  <c r="P53" i="324"/>
  <c r="P192" i="326" s="1"/>
  <c r="Q2" i="324"/>
  <c r="Q52" i="321"/>
  <c r="Q191" i="323" s="1"/>
  <c r="Q53" i="321"/>
  <c r="Q192" i="323" s="1"/>
  <c r="R2" i="321"/>
  <c r="Q2" i="318"/>
  <c r="O52" i="315"/>
  <c r="O191" i="317" s="1"/>
  <c r="O53" i="315"/>
  <c r="O192" i="317" s="1"/>
  <c r="P2" i="315"/>
  <c r="P2" i="312"/>
  <c r="R2" i="327" l="1"/>
  <c r="Q52" i="324"/>
  <c r="Q191" i="326" s="1"/>
  <c r="Q53" i="324"/>
  <c r="Q192" i="326" s="1"/>
  <c r="R2" i="324"/>
  <c r="R53" i="321"/>
  <c r="R192" i="323" s="1"/>
  <c r="R52" i="321"/>
  <c r="R191" i="323" s="1"/>
  <c r="S2" i="321"/>
  <c r="R2" i="318"/>
  <c r="P52" i="315"/>
  <c r="P191" i="317" s="1"/>
  <c r="P53" i="315"/>
  <c r="P192" i="317" s="1"/>
  <c r="Q2" i="315"/>
  <c r="Q2" i="312"/>
  <c r="S2" i="327" l="1"/>
  <c r="R53" i="324"/>
  <c r="R192" i="326" s="1"/>
  <c r="S2" i="324"/>
  <c r="R52" i="324"/>
  <c r="R191" i="326" s="1"/>
  <c r="S53" i="321"/>
  <c r="S192" i="323" s="1"/>
  <c r="S52" i="321"/>
  <c r="S191" i="323" s="1"/>
  <c r="T2" i="321"/>
  <c r="S2" i="318"/>
  <c r="Q52" i="315"/>
  <c r="Q191" i="317" s="1"/>
  <c r="Q53" i="315"/>
  <c r="Q192" i="317" s="1"/>
  <c r="R2" i="315"/>
  <c r="R2" i="312"/>
  <c r="T2" i="327" l="1"/>
  <c r="S53" i="324"/>
  <c r="S192" i="326" s="1"/>
  <c r="S52" i="324"/>
  <c r="S191" i="326" s="1"/>
  <c r="T2" i="324"/>
  <c r="T53" i="321"/>
  <c r="T192" i="323" s="1"/>
  <c r="T52" i="321"/>
  <c r="T191" i="323" s="1"/>
  <c r="U2" i="321"/>
  <c r="T2" i="318"/>
  <c r="R53" i="315"/>
  <c r="R192" i="317" s="1"/>
  <c r="R52" i="315"/>
  <c r="R191" i="317" s="1"/>
  <c r="S2" i="315"/>
  <c r="S2" i="312"/>
  <c r="U2" i="327" l="1"/>
  <c r="T53" i="324"/>
  <c r="T192" i="326" s="1"/>
  <c r="T52" i="324"/>
  <c r="T191" i="326" s="1"/>
  <c r="U2" i="324"/>
  <c r="U53" i="321"/>
  <c r="U192" i="323" s="1"/>
  <c r="U52" i="321"/>
  <c r="U191" i="323" s="1"/>
  <c r="V2" i="321"/>
  <c r="U2" i="318"/>
  <c r="S53" i="315"/>
  <c r="S192" i="317" s="1"/>
  <c r="S52" i="315"/>
  <c r="S191" i="317" s="1"/>
  <c r="T2" i="315"/>
  <c r="T2" i="312"/>
  <c r="V2" i="327" l="1"/>
  <c r="U53" i="324"/>
  <c r="U192" i="326" s="1"/>
  <c r="U52" i="324"/>
  <c r="U191" i="326" s="1"/>
  <c r="V2" i="324"/>
  <c r="V53" i="321"/>
  <c r="V192" i="323" s="1"/>
  <c r="V52" i="321"/>
  <c r="V191" i="323" s="1"/>
  <c r="W2" i="321"/>
  <c r="V2" i="318"/>
  <c r="T53" i="315"/>
  <c r="T192" i="317" s="1"/>
  <c r="T52" i="315"/>
  <c r="T191" i="317" s="1"/>
  <c r="U2" i="315"/>
  <c r="U2" i="312"/>
  <c r="W2" i="327" l="1"/>
  <c r="V53" i="324"/>
  <c r="V192" i="326" s="1"/>
  <c r="V52" i="324"/>
  <c r="V191" i="326" s="1"/>
  <c r="W2" i="324"/>
  <c r="W52" i="321"/>
  <c r="W191" i="323" s="1"/>
  <c r="W53" i="321"/>
  <c r="W192" i="323" s="1"/>
  <c r="X2" i="321"/>
  <c r="W2" i="318"/>
  <c r="U53" i="315"/>
  <c r="U192" i="317" s="1"/>
  <c r="U52" i="315"/>
  <c r="U191" i="317" s="1"/>
  <c r="V2" i="315"/>
  <c r="V2" i="312"/>
  <c r="X2" i="327" l="1"/>
  <c r="W52" i="324"/>
  <c r="W191" i="326" s="1"/>
  <c r="W53" i="324"/>
  <c r="W192" i="326" s="1"/>
  <c r="X2" i="324"/>
  <c r="X52" i="321"/>
  <c r="X191" i="323" s="1"/>
  <c r="X53" i="321"/>
  <c r="X192" i="323" s="1"/>
  <c r="Y2" i="321"/>
  <c r="X2" i="318"/>
  <c r="V53" i="315"/>
  <c r="V192" i="317" s="1"/>
  <c r="V52" i="315"/>
  <c r="V191" i="317" s="1"/>
  <c r="W2" i="315"/>
  <c r="W2" i="312"/>
  <c r="Y2" i="327" l="1"/>
  <c r="X52" i="324"/>
  <c r="X191" i="326" s="1"/>
  <c r="X53" i="324"/>
  <c r="X192" i="326" s="1"/>
  <c r="Y2" i="324"/>
  <c r="Y52" i="321"/>
  <c r="Y191" i="323" s="1"/>
  <c r="Y53" i="321"/>
  <c r="Y192" i="323" s="1"/>
  <c r="Z2" i="321"/>
  <c r="Y2" i="318"/>
  <c r="W52" i="315"/>
  <c r="W191" i="317" s="1"/>
  <c r="W53" i="315"/>
  <c r="W192" i="317" s="1"/>
  <c r="X2" i="315"/>
  <c r="X2" i="312"/>
  <c r="Z2" i="327" l="1"/>
  <c r="Y52" i="324"/>
  <c r="Y191" i="326" s="1"/>
  <c r="Y53" i="324"/>
  <c r="Y192" i="326" s="1"/>
  <c r="Z2" i="324"/>
  <c r="Z53" i="321"/>
  <c r="Z192" i="323" s="1"/>
  <c r="Z52" i="321"/>
  <c r="Z191" i="323" s="1"/>
  <c r="AA2" i="321"/>
  <c r="Z2" i="318"/>
  <c r="X52" i="315"/>
  <c r="X191" i="317" s="1"/>
  <c r="X53" i="315"/>
  <c r="X192" i="317" s="1"/>
  <c r="Y2" i="315"/>
  <c r="Y2" i="312"/>
  <c r="AA2" i="327" l="1"/>
  <c r="Z53" i="324"/>
  <c r="Z192" i="326" s="1"/>
  <c r="AA2" i="324"/>
  <c r="Z52" i="324"/>
  <c r="Z191" i="326" s="1"/>
  <c r="AA53" i="321"/>
  <c r="AA192" i="323" s="1"/>
  <c r="AA52" i="321"/>
  <c r="AA191" i="323" s="1"/>
  <c r="AB2" i="321"/>
  <c r="AA2" i="318"/>
  <c r="Y52" i="315"/>
  <c r="Y191" i="317" s="1"/>
  <c r="Y53" i="315"/>
  <c r="Y192" i="317" s="1"/>
  <c r="Z2" i="315"/>
  <c r="Z2" i="312"/>
  <c r="AB2" i="327" l="1"/>
  <c r="AA53" i="324"/>
  <c r="AA192" i="326" s="1"/>
  <c r="AA52" i="324"/>
  <c r="AA191" i="326" s="1"/>
  <c r="AB2" i="324"/>
  <c r="AB53" i="321"/>
  <c r="AB192" i="323" s="1"/>
  <c r="AB52" i="321"/>
  <c r="AB191" i="323" s="1"/>
  <c r="AC2" i="321"/>
  <c r="AB2" i="318"/>
  <c r="Z53" i="315"/>
  <c r="Z192" i="317" s="1"/>
  <c r="Z52" i="315"/>
  <c r="Z191" i="317" s="1"/>
  <c r="AA2" i="315"/>
  <c r="AA2" i="312"/>
  <c r="AC2" i="327" l="1"/>
  <c r="AB53" i="324"/>
  <c r="AB192" i="326" s="1"/>
  <c r="AB52" i="324"/>
  <c r="AB191" i="326" s="1"/>
  <c r="AC2" i="324"/>
  <c r="AC53" i="321"/>
  <c r="AC192" i="323" s="1"/>
  <c r="AC52" i="321"/>
  <c r="AC191" i="323" s="1"/>
  <c r="AD2" i="321"/>
  <c r="AC2" i="318"/>
  <c r="AA53" i="315"/>
  <c r="AA192" i="317" s="1"/>
  <c r="AA52" i="315"/>
  <c r="AA191" i="317" s="1"/>
  <c r="AB2" i="315"/>
  <c r="AB2" i="312"/>
  <c r="AD2" i="327" l="1"/>
  <c r="AC53" i="324"/>
  <c r="AC192" i="326" s="1"/>
  <c r="AC52" i="324"/>
  <c r="AC191" i="326" s="1"/>
  <c r="AD2" i="324"/>
  <c r="AD53" i="321"/>
  <c r="AD192" i="323" s="1"/>
  <c r="AD52" i="321"/>
  <c r="AD191" i="323" s="1"/>
  <c r="AE2" i="321"/>
  <c r="AD2" i="318"/>
  <c r="AB53" i="315"/>
  <c r="AB192" i="317" s="1"/>
  <c r="AB52" i="315"/>
  <c r="AB191" i="317" s="1"/>
  <c r="AC2" i="315"/>
  <c r="AC2" i="312"/>
  <c r="AE2" i="327" l="1"/>
  <c r="AD53" i="324"/>
  <c r="AD192" i="326" s="1"/>
  <c r="AD52" i="324"/>
  <c r="AD191" i="326" s="1"/>
  <c r="AE2" i="324"/>
  <c r="AE52" i="321"/>
  <c r="AE191" i="323" s="1"/>
  <c r="AE53" i="321"/>
  <c r="AE192" i="323" s="1"/>
  <c r="AF2" i="321"/>
  <c r="AE2" i="318"/>
  <c r="AC53" i="315"/>
  <c r="AC192" i="317" s="1"/>
  <c r="AC52" i="315"/>
  <c r="AC191" i="317" s="1"/>
  <c r="AD2" i="315"/>
  <c r="AD2" i="312"/>
  <c r="AF2" i="327" l="1"/>
  <c r="AE52" i="324"/>
  <c r="AE191" i="326" s="1"/>
  <c r="AE53" i="324"/>
  <c r="AE192" i="326" s="1"/>
  <c r="AF2" i="324"/>
  <c r="AF52" i="321"/>
  <c r="AF191" i="323" s="1"/>
  <c r="AF53" i="321"/>
  <c r="AF192" i="323" s="1"/>
  <c r="AG2" i="321"/>
  <c r="AF2" i="318"/>
  <c r="AD53" i="315"/>
  <c r="AD192" i="317" s="1"/>
  <c r="AD52" i="315"/>
  <c r="AD191" i="317" s="1"/>
  <c r="AE2" i="315"/>
  <c r="AE2" i="312"/>
  <c r="AG2" i="327" l="1"/>
  <c r="AF52" i="324"/>
  <c r="AF191" i="326" s="1"/>
  <c r="AF53" i="324"/>
  <c r="AF192" i="326" s="1"/>
  <c r="AG2" i="324"/>
  <c r="AG52" i="321"/>
  <c r="AG191" i="323" s="1"/>
  <c r="AG53" i="321"/>
  <c r="AG192" i="323" s="1"/>
  <c r="AH2" i="321"/>
  <c r="AG2" i="318"/>
  <c r="AE52" i="315"/>
  <c r="AE191" i="317" s="1"/>
  <c r="AE53" i="315"/>
  <c r="AE192" i="317" s="1"/>
  <c r="AF2" i="315"/>
  <c r="AF2" i="312"/>
  <c r="AH2" i="327" l="1"/>
  <c r="AG52" i="324"/>
  <c r="AG191" i="326" s="1"/>
  <c r="AG53" i="324"/>
  <c r="AG192" i="326" s="1"/>
  <c r="AH2" i="324"/>
  <c r="AH53" i="321"/>
  <c r="AH192" i="323" s="1"/>
  <c r="AH52" i="321"/>
  <c r="AH191" i="323" s="1"/>
  <c r="AI2" i="321"/>
  <c r="AH2" i="318"/>
  <c r="AF52" i="315"/>
  <c r="AF191" i="317" s="1"/>
  <c r="AF53" i="315"/>
  <c r="AF192" i="317" s="1"/>
  <c r="AG2" i="315"/>
  <c r="AG2" i="312"/>
  <c r="AI2" i="327" l="1"/>
  <c r="AH53" i="324"/>
  <c r="AH192" i="326" s="1"/>
  <c r="AI2" i="324"/>
  <c r="AH52" i="324"/>
  <c r="AH191" i="326" s="1"/>
  <c r="AI53" i="321"/>
  <c r="AI192" i="323" s="1"/>
  <c r="AI52" i="321"/>
  <c r="AI191" i="323" s="1"/>
  <c r="AJ2" i="321"/>
  <c r="AI2" i="318"/>
  <c r="AG52" i="315"/>
  <c r="AG191" i="317" s="1"/>
  <c r="AG53" i="315"/>
  <c r="AG192" i="317" s="1"/>
  <c r="AH2" i="315"/>
  <c r="AH2" i="312"/>
  <c r="AJ2" i="327" l="1"/>
  <c r="AI53" i="324"/>
  <c r="AI192" i="326" s="1"/>
  <c r="AI52" i="324"/>
  <c r="AI191" i="326" s="1"/>
  <c r="AJ2" i="324"/>
  <c r="AJ53" i="321"/>
  <c r="AJ192" i="323" s="1"/>
  <c r="AJ52" i="321"/>
  <c r="AJ191" i="323" s="1"/>
  <c r="AK2" i="321"/>
  <c r="AL2" i="321" s="1"/>
  <c r="AJ2" i="318"/>
  <c r="AH53" i="315"/>
  <c r="AH192" i="317" s="1"/>
  <c r="AH52" i="315"/>
  <c r="AH191" i="317" s="1"/>
  <c r="AI2" i="315"/>
  <c r="AI2" i="312"/>
  <c r="AL52" i="321" l="1"/>
  <c r="AL191" i="323" s="1"/>
  <c r="AL53" i="321"/>
  <c r="AL192" i="323" s="1"/>
  <c r="AK2" i="327"/>
  <c r="AL2" i="327" s="1"/>
  <c r="AJ53" i="324"/>
  <c r="AJ192" i="326" s="1"/>
  <c r="AJ52" i="324"/>
  <c r="AJ191" i="326" s="1"/>
  <c r="AK2" i="324"/>
  <c r="AL2" i="324" s="1"/>
  <c r="AK53" i="321"/>
  <c r="AK192" i="323" s="1"/>
  <c r="AK52" i="321"/>
  <c r="AK191" i="323" s="1"/>
  <c r="AK2" i="318"/>
  <c r="AL2" i="318" s="1"/>
  <c r="AI53" i="315"/>
  <c r="AI192" i="317" s="1"/>
  <c r="AI52" i="315"/>
  <c r="AI191" i="317" s="1"/>
  <c r="AJ2" i="315"/>
  <c r="AJ2" i="312"/>
  <c r="AL52" i="324" l="1"/>
  <c r="AL191" i="326" s="1"/>
  <c r="AL53" i="324"/>
  <c r="AL192" i="326" s="1"/>
  <c r="AK53" i="324"/>
  <c r="AK192" i="326" s="1"/>
  <c r="AK52" i="324"/>
  <c r="AK191" i="326" s="1"/>
  <c r="AJ53" i="315"/>
  <c r="AJ192" i="317" s="1"/>
  <c r="AJ52" i="315"/>
  <c r="AJ191" i="317" s="1"/>
  <c r="AK2" i="315"/>
  <c r="AL2" i="315" s="1"/>
  <c r="AK2" i="312"/>
  <c r="AL2" i="312" s="1"/>
  <c r="AL52" i="315" l="1"/>
  <c r="AL191" i="317" s="1"/>
  <c r="AL53" i="315"/>
  <c r="AL192" i="317" s="1"/>
  <c r="AK53" i="315"/>
  <c r="AK192" i="317" s="1"/>
  <c r="AK52" i="315"/>
  <c r="AK191" i="317" s="1"/>
  <c r="H36" i="234" l="1"/>
  <c r="G36" i="234"/>
  <c r="F36" i="234"/>
  <c r="E36" i="234"/>
  <c r="D36" i="234"/>
  <c r="C36" i="234"/>
  <c r="C32" i="236"/>
  <c r="D33" i="236"/>
  <c r="H36" i="236"/>
  <c r="G36" i="236"/>
  <c r="F36" i="236"/>
  <c r="E36" i="236"/>
  <c r="F35" i="236"/>
  <c r="F62" i="236" s="1"/>
  <c r="D36" i="236"/>
  <c r="E35" i="236"/>
  <c r="E63" i="236" s="1"/>
  <c r="C36" i="236"/>
  <c r="C35" i="236"/>
  <c r="C61" i="236" s="1"/>
  <c r="H35" i="236"/>
  <c r="H63" i="236" s="1"/>
  <c r="G35" i="236"/>
  <c r="G61" i="236" s="1"/>
  <c r="D35" i="236"/>
  <c r="D64" i="236" s="1"/>
  <c r="H70" i="236" l="1"/>
  <c r="H66" i="236"/>
  <c r="H62" i="236"/>
  <c r="E70" i="236"/>
  <c r="E71" i="236" s="1"/>
  <c r="E72" i="236" s="1"/>
  <c r="E73" i="236" s="1"/>
  <c r="F69" i="236"/>
  <c r="G68" i="236"/>
  <c r="C68" i="236"/>
  <c r="D67" i="236"/>
  <c r="E66" i="236"/>
  <c r="F65" i="236"/>
  <c r="G64" i="236"/>
  <c r="C64" i="236"/>
  <c r="D63" i="236"/>
  <c r="E62" i="236"/>
  <c r="F61" i="236"/>
  <c r="H69" i="236"/>
  <c r="H65" i="236"/>
  <c r="H61" i="236"/>
  <c r="D70" i="236"/>
  <c r="E69" i="236"/>
  <c r="F68" i="236"/>
  <c r="G67" i="236"/>
  <c r="C67" i="236"/>
  <c r="D66" i="236"/>
  <c r="E65" i="236"/>
  <c r="F64" i="236"/>
  <c r="G63" i="236"/>
  <c r="C63" i="236"/>
  <c r="D62" i="236"/>
  <c r="E61" i="236"/>
  <c r="H68" i="236"/>
  <c r="H64" i="236"/>
  <c r="G70" i="236"/>
  <c r="C70" i="236"/>
  <c r="D69" i="236"/>
  <c r="E68" i="236"/>
  <c r="F67" i="236"/>
  <c r="G66" i="236"/>
  <c r="C66" i="236"/>
  <c r="D65" i="236"/>
  <c r="E64" i="236"/>
  <c r="F63" i="236"/>
  <c r="G62" i="236"/>
  <c r="C62" i="236"/>
  <c r="D61" i="236"/>
  <c r="H67" i="236"/>
  <c r="F70" i="236"/>
  <c r="G69" i="236"/>
  <c r="C69" i="236"/>
  <c r="D68" i="236"/>
  <c r="E67" i="236"/>
  <c r="F66" i="236"/>
  <c r="G65" i="236"/>
  <c r="C65" i="236"/>
  <c r="C149" i="261"/>
  <c r="C148" i="261"/>
  <c r="C151" i="261"/>
  <c r="C146" i="261"/>
  <c r="C144" i="261"/>
  <c r="C5" i="264"/>
  <c r="C147" i="261"/>
  <c r="C8" i="289"/>
  <c r="C145" i="261"/>
  <c r="C11" i="289"/>
  <c r="H35" i="234"/>
  <c r="G35" i="234"/>
  <c r="F35" i="234"/>
  <c r="E35" i="234"/>
  <c r="D35" i="234"/>
  <c r="C35" i="234"/>
  <c r="C32" i="234"/>
  <c r="AG23" i="264" l="1"/>
  <c r="AG36" i="264" s="1"/>
  <c r="AG39" i="264" s="1"/>
  <c r="AC23" i="264"/>
  <c r="AC36" i="264" s="1"/>
  <c r="AC39" i="264" s="1"/>
  <c r="Y23" i="264"/>
  <c r="Y36" i="264" s="1"/>
  <c r="Y39" i="264" s="1"/>
  <c r="U23" i="264"/>
  <c r="U36" i="264" s="1"/>
  <c r="U39" i="264" s="1"/>
  <c r="Q23" i="264"/>
  <c r="Q36" i="264" s="1"/>
  <c r="Q39" i="264" s="1"/>
  <c r="M23" i="264"/>
  <c r="M36" i="264" s="1"/>
  <c r="M39" i="264" s="1"/>
  <c r="I23" i="264"/>
  <c r="I36" i="264" s="1"/>
  <c r="E23" i="264"/>
  <c r="E36" i="264" s="1"/>
  <c r="AJ23" i="264"/>
  <c r="AJ36" i="264" s="1"/>
  <c r="AJ39" i="264" s="1"/>
  <c r="AF23" i="264"/>
  <c r="AF36" i="264" s="1"/>
  <c r="AF39" i="264" s="1"/>
  <c r="AB23" i="264"/>
  <c r="AB36" i="264" s="1"/>
  <c r="AB39" i="264" s="1"/>
  <c r="X23" i="264"/>
  <c r="X36" i="264" s="1"/>
  <c r="X39" i="264" s="1"/>
  <c r="T23" i="264"/>
  <c r="T36" i="264" s="1"/>
  <c r="T39" i="264" s="1"/>
  <c r="P23" i="264"/>
  <c r="P36" i="264" s="1"/>
  <c r="P39" i="264" s="1"/>
  <c r="L23" i="264"/>
  <c r="L36" i="264" s="1"/>
  <c r="L39" i="264" s="1"/>
  <c r="H23" i="264"/>
  <c r="H36" i="264" s="1"/>
  <c r="AI23" i="264"/>
  <c r="AI36" i="264" s="1"/>
  <c r="AI39" i="264" s="1"/>
  <c r="AE23" i="264"/>
  <c r="AE36" i="264" s="1"/>
  <c r="AE39" i="264" s="1"/>
  <c r="AA23" i="264"/>
  <c r="AA36" i="264" s="1"/>
  <c r="AA39" i="264" s="1"/>
  <c r="W23" i="264"/>
  <c r="W36" i="264" s="1"/>
  <c r="W39" i="264" s="1"/>
  <c r="S23" i="264"/>
  <c r="S36" i="264" s="1"/>
  <c r="S39" i="264" s="1"/>
  <c r="O23" i="264"/>
  <c r="O36" i="264" s="1"/>
  <c r="O39" i="264" s="1"/>
  <c r="K23" i="264"/>
  <c r="K36" i="264" s="1"/>
  <c r="K39" i="264" s="1"/>
  <c r="G23" i="264"/>
  <c r="G36" i="264" s="1"/>
  <c r="AH23" i="264"/>
  <c r="AH36" i="264" s="1"/>
  <c r="AH39" i="264" s="1"/>
  <c r="AD23" i="264"/>
  <c r="AD36" i="264" s="1"/>
  <c r="AD39" i="264" s="1"/>
  <c r="Z23" i="264"/>
  <c r="Z36" i="264" s="1"/>
  <c r="Z39" i="264" s="1"/>
  <c r="V23" i="264"/>
  <c r="V36" i="264" s="1"/>
  <c r="V39" i="264" s="1"/>
  <c r="R23" i="264"/>
  <c r="R36" i="264" s="1"/>
  <c r="R39" i="264" s="1"/>
  <c r="N23" i="264"/>
  <c r="N36" i="264" s="1"/>
  <c r="N39" i="264" s="1"/>
  <c r="J23" i="264"/>
  <c r="J36" i="264" s="1"/>
  <c r="F23" i="264"/>
  <c r="F36" i="264" s="1"/>
  <c r="AK23" i="264"/>
  <c r="AK36" i="264" s="1"/>
  <c r="AK39" i="264" s="1"/>
  <c r="AL23" i="264"/>
  <c r="AL36" i="264" s="1"/>
  <c r="AL39" i="264" s="1"/>
  <c r="C61" i="234"/>
  <c r="F390" i="261" s="1"/>
  <c r="C63" i="234"/>
  <c r="F392" i="261" s="1"/>
  <c r="C65" i="234"/>
  <c r="F394" i="261" s="1"/>
  <c r="C67" i="234"/>
  <c r="F396" i="261" s="1"/>
  <c r="C69" i="234"/>
  <c r="F398" i="261" s="1"/>
  <c r="C62" i="234"/>
  <c r="F391" i="261" s="1"/>
  <c r="C64" i="234"/>
  <c r="F393" i="261" s="1"/>
  <c r="C66" i="234"/>
  <c r="F395" i="261" s="1"/>
  <c r="C68" i="234"/>
  <c r="F397" i="261" s="1"/>
  <c r="C70" i="234"/>
  <c r="D62" i="234"/>
  <c r="C391" i="261" s="1"/>
  <c r="D64" i="234"/>
  <c r="C393" i="261" s="1"/>
  <c r="D66" i="234"/>
  <c r="C395" i="261" s="1"/>
  <c r="D68" i="234"/>
  <c r="C397" i="261" s="1"/>
  <c r="D70" i="234"/>
  <c r="D61" i="234"/>
  <c r="C390" i="261" s="1"/>
  <c r="D63" i="234"/>
  <c r="C392" i="261" s="1"/>
  <c r="D65" i="234"/>
  <c r="C394" i="261" s="1"/>
  <c r="D67" i="234"/>
  <c r="C396" i="261" s="1"/>
  <c r="D69" i="234"/>
  <c r="C398" i="261" s="1"/>
  <c r="H62" i="234"/>
  <c r="H64" i="234"/>
  <c r="H66" i="234"/>
  <c r="H68" i="234"/>
  <c r="H70" i="234"/>
  <c r="H61" i="234"/>
  <c r="H63" i="234"/>
  <c r="H65" i="234"/>
  <c r="H67" i="234"/>
  <c r="H69" i="234"/>
  <c r="D71" i="236"/>
  <c r="H71" i="236"/>
  <c r="G61" i="234"/>
  <c r="D390" i="261" s="1"/>
  <c r="G63" i="234"/>
  <c r="D392" i="261" s="1"/>
  <c r="G65" i="234"/>
  <c r="D394" i="261" s="1"/>
  <c r="G67" i="234"/>
  <c r="D396" i="261" s="1"/>
  <c r="G69" i="234"/>
  <c r="D398" i="261" s="1"/>
  <c r="G62" i="234"/>
  <c r="D391" i="261" s="1"/>
  <c r="G64" i="234"/>
  <c r="D393" i="261" s="1"/>
  <c r="G66" i="234"/>
  <c r="D395" i="261" s="1"/>
  <c r="G68" i="234"/>
  <c r="D397" i="261" s="1"/>
  <c r="G70" i="234"/>
  <c r="E62" i="234"/>
  <c r="E64" i="234"/>
  <c r="E66" i="234"/>
  <c r="E68" i="234"/>
  <c r="E70" i="234"/>
  <c r="E71" i="234" s="1"/>
  <c r="E72" i="234" s="1"/>
  <c r="E73" i="234" s="1"/>
  <c r="E74" i="234" s="1"/>
  <c r="E75" i="234" s="1"/>
  <c r="E61" i="234"/>
  <c r="E63" i="234"/>
  <c r="E65" i="234"/>
  <c r="E67" i="234"/>
  <c r="E69" i="234"/>
  <c r="C71" i="236"/>
  <c r="F61" i="234"/>
  <c r="E390" i="261" s="1"/>
  <c r="F63" i="234"/>
  <c r="E392" i="261" s="1"/>
  <c r="F65" i="234"/>
  <c r="E394" i="261" s="1"/>
  <c r="F67" i="234"/>
  <c r="E396" i="261" s="1"/>
  <c r="F69" i="234"/>
  <c r="E398" i="261" s="1"/>
  <c r="F62" i="234"/>
  <c r="E391" i="261" s="1"/>
  <c r="F64" i="234"/>
  <c r="E393" i="261" s="1"/>
  <c r="F66" i="234"/>
  <c r="E395" i="261" s="1"/>
  <c r="F68" i="234"/>
  <c r="E397" i="261" s="1"/>
  <c r="F70" i="234"/>
  <c r="F71" i="236"/>
  <c r="G71" i="236"/>
  <c r="C152" i="261"/>
  <c r="E17" i="307"/>
  <c r="F17" i="307"/>
  <c r="G17" i="307"/>
  <c r="H17" i="307"/>
  <c r="I17" i="307"/>
  <c r="J17" i="307"/>
  <c r="K17" i="307"/>
  <c r="L17" i="307"/>
  <c r="M17" i="307"/>
  <c r="N17" i="307"/>
  <c r="O17" i="307"/>
  <c r="P17" i="307"/>
  <c r="Q17" i="307"/>
  <c r="R17" i="307"/>
  <c r="S17" i="307"/>
  <c r="T17" i="307"/>
  <c r="U17" i="307"/>
  <c r="V17" i="307"/>
  <c r="W17" i="307"/>
  <c r="X17" i="307"/>
  <c r="Y17" i="307"/>
  <c r="Z17" i="307"/>
  <c r="AA17" i="307"/>
  <c r="AB17" i="307"/>
  <c r="AC17" i="307"/>
  <c r="AD17" i="307"/>
  <c r="AE17" i="307"/>
  <c r="AF17" i="307"/>
  <c r="AG17" i="307"/>
  <c r="AH17" i="307"/>
  <c r="AI17" i="307"/>
  <c r="AJ17" i="307"/>
  <c r="AK17" i="307"/>
  <c r="D17" i="307"/>
  <c r="E17" i="273"/>
  <c r="F17" i="273"/>
  <c r="G17" i="273"/>
  <c r="H17" i="273"/>
  <c r="I17" i="273"/>
  <c r="J17" i="273"/>
  <c r="K17" i="273"/>
  <c r="L17" i="273"/>
  <c r="M17" i="273"/>
  <c r="N17" i="273"/>
  <c r="O17" i="273"/>
  <c r="P17" i="273"/>
  <c r="Q17" i="273"/>
  <c r="R17" i="273"/>
  <c r="S17" i="273"/>
  <c r="T17" i="273"/>
  <c r="U17" i="273"/>
  <c r="V17" i="273"/>
  <c r="W17" i="273"/>
  <c r="X17" i="273"/>
  <c r="Y17" i="273"/>
  <c r="Z17" i="273"/>
  <c r="AA17" i="273"/>
  <c r="AB17" i="273"/>
  <c r="AC17" i="273"/>
  <c r="AD17" i="273"/>
  <c r="AE17" i="273"/>
  <c r="AF17" i="273"/>
  <c r="AG17" i="273"/>
  <c r="AH17" i="273"/>
  <c r="AI17" i="273"/>
  <c r="AJ17" i="273"/>
  <c r="AK17" i="273"/>
  <c r="D17" i="273"/>
  <c r="J39" i="264" l="1"/>
  <c r="J5" i="264" s="1"/>
  <c r="J12" i="264"/>
  <c r="I39" i="264"/>
  <c r="I5" i="264" s="1"/>
  <c r="I12" i="264"/>
  <c r="H39" i="264"/>
  <c r="H5" i="264" s="1"/>
  <c r="H12" i="264"/>
  <c r="F39" i="264"/>
  <c r="F5" i="264" s="1"/>
  <c r="F12" i="264"/>
  <c r="G39" i="264"/>
  <c r="G5" i="264" s="1"/>
  <c r="G12" i="264"/>
  <c r="E39" i="264"/>
  <c r="E5" i="264" s="1"/>
  <c r="E12" i="264"/>
  <c r="D149" i="261"/>
  <c r="D150" i="261"/>
  <c r="AK50" i="260"/>
  <c r="AC50" i="260"/>
  <c r="Q50" i="260"/>
  <c r="N50" i="260"/>
  <c r="K50" i="260"/>
  <c r="H50" i="260"/>
  <c r="U50" i="260"/>
  <c r="R50" i="260"/>
  <c r="AH50" i="260"/>
  <c r="O50" i="260"/>
  <c r="AE50" i="260"/>
  <c r="L50" i="260"/>
  <c r="AB50" i="260"/>
  <c r="M50" i="260"/>
  <c r="J50" i="260"/>
  <c r="Z50" i="260"/>
  <c r="W50" i="260"/>
  <c r="T50" i="260"/>
  <c r="AJ50" i="260"/>
  <c r="AG50" i="260"/>
  <c r="AD50" i="260"/>
  <c r="AA50" i="260"/>
  <c r="X50" i="260"/>
  <c r="I50" i="260"/>
  <c r="Y50" i="260"/>
  <c r="V50" i="260"/>
  <c r="S50" i="260"/>
  <c r="AI50" i="260"/>
  <c r="P50" i="260"/>
  <c r="AF50" i="260"/>
  <c r="G71" i="234"/>
  <c r="D399" i="261"/>
  <c r="F72" i="236"/>
  <c r="C72" i="236"/>
  <c r="D72" i="236"/>
  <c r="C399" i="261"/>
  <c r="D71" i="234"/>
  <c r="G72" i="236"/>
  <c r="F71" i="234"/>
  <c r="E399" i="261"/>
  <c r="C71" i="234"/>
  <c r="F399" i="261"/>
  <c r="H72" i="236"/>
  <c r="H71" i="234"/>
  <c r="D151" i="261"/>
  <c r="D9" i="329"/>
  <c r="E9" i="329" s="1"/>
  <c r="F9" i="329" s="1"/>
  <c r="G9" i="329" s="1"/>
  <c r="H9" i="329" s="1"/>
  <c r="I9" i="329" s="1"/>
  <c r="J9" i="329" s="1"/>
  <c r="K9" i="329" s="1"/>
  <c r="L9" i="329" s="1"/>
  <c r="M9" i="329" s="1"/>
  <c r="N9" i="329" s="1"/>
  <c r="O9" i="329" s="1"/>
  <c r="P9" i="329" s="1"/>
  <c r="Q9" i="329" s="1"/>
  <c r="R9" i="329" s="1"/>
  <c r="S9" i="329" s="1"/>
  <c r="T9" i="329" s="1"/>
  <c r="U9" i="329" s="1"/>
  <c r="V9" i="329" s="1"/>
  <c r="W9" i="329" s="1"/>
  <c r="X9" i="329" s="1"/>
  <c r="Y9" i="329" s="1"/>
  <c r="Z9" i="329" s="1"/>
  <c r="AA9" i="329" s="1"/>
  <c r="AB9" i="329" s="1"/>
  <c r="AC9" i="329" s="1"/>
  <c r="AD9" i="329" s="1"/>
  <c r="AE9" i="329" s="1"/>
  <c r="AF9" i="329" s="1"/>
  <c r="AG9" i="329" s="1"/>
  <c r="AH9" i="329" s="1"/>
  <c r="AI9" i="329" s="1"/>
  <c r="AJ9" i="329" s="1"/>
  <c r="AK9" i="329" s="1"/>
  <c r="D9" i="326"/>
  <c r="E9" i="326" s="1"/>
  <c r="F9" i="326" s="1"/>
  <c r="G9" i="326" s="1"/>
  <c r="H9" i="326" s="1"/>
  <c r="I9" i="326" s="1"/>
  <c r="J9" i="326" s="1"/>
  <c r="K9" i="326" s="1"/>
  <c r="L9" i="326" s="1"/>
  <c r="M9" i="326" s="1"/>
  <c r="N9" i="326" s="1"/>
  <c r="O9" i="326" s="1"/>
  <c r="P9" i="326" s="1"/>
  <c r="Q9" i="326" s="1"/>
  <c r="R9" i="326" s="1"/>
  <c r="S9" i="326" s="1"/>
  <c r="T9" i="326" s="1"/>
  <c r="U9" i="326" s="1"/>
  <c r="V9" i="326" s="1"/>
  <c r="W9" i="326" s="1"/>
  <c r="X9" i="326" s="1"/>
  <c r="Y9" i="326" s="1"/>
  <c r="Z9" i="326" s="1"/>
  <c r="AA9" i="326" s="1"/>
  <c r="AB9" i="326" s="1"/>
  <c r="AC9" i="326" s="1"/>
  <c r="AD9" i="326" s="1"/>
  <c r="AE9" i="326" s="1"/>
  <c r="AF9" i="326" s="1"/>
  <c r="AG9" i="326" s="1"/>
  <c r="AH9" i="326" s="1"/>
  <c r="AI9" i="326" s="1"/>
  <c r="AJ9" i="326" s="1"/>
  <c r="AK9" i="326" s="1"/>
  <c r="D9" i="323"/>
  <c r="E9" i="323" s="1"/>
  <c r="F9" i="323" s="1"/>
  <c r="G9" i="323" s="1"/>
  <c r="H9" i="323" s="1"/>
  <c r="I9" i="323" s="1"/>
  <c r="J9" i="323" s="1"/>
  <c r="K9" i="323" s="1"/>
  <c r="L9" i="323" s="1"/>
  <c r="M9" i="323" s="1"/>
  <c r="N9" i="323" s="1"/>
  <c r="O9" i="323" s="1"/>
  <c r="P9" i="323" s="1"/>
  <c r="Q9" i="323" s="1"/>
  <c r="R9" i="323" s="1"/>
  <c r="S9" i="323" s="1"/>
  <c r="T9" i="323" s="1"/>
  <c r="U9" i="323" s="1"/>
  <c r="V9" i="323" s="1"/>
  <c r="W9" i="323" s="1"/>
  <c r="X9" i="323" s="1"/>
  <c r="Y9" i="323" s="1"/>
  <c r="Z9" i="323" s="1"/>
  <c r="AA9" i="323" s="1"/>
  <c r="AB9" i="323" s="1"/>
  <c r="AC9" i="323" s="1"/>
  <c r="AD9" i="323" s="1"/>
  <c r="AE9" i="323" s="1"/>
  <c r="AF9" i="323" s="1"/>
  <c r="AG9" i="323" s="1"/>
  <c r="AH9" i="323" s="1"/>
  <c r="AI9" i="323" s="1"/>
  <c r="AJ9" i="323" s="1"/>
  <c r="AK9" i="323" s="1"/>
  <c r="D9" i="320"/>
  <c r="E9" i="320" s="1"/>
  <c r="F9" i="320" s="1"/>
  <c r="G9" i="320" s="1"/>
  <c r="H9" i="320" s="1"/>
  <c r="I9" i="320" s="1"/>
  <c r="J9" i="320" s="1"/>
  <c r="K9" i="320" s="1"/>
  <c r="L9" i="320" s="1"/>
  <c r="M9" i="320" s="1"/>
  <c r="N9" i="320" s="1"/>
  <c r="O9" i="320" s="1"/>
  <c r="P9" i="320" s="1"/>
  <c r="Q9" i="320" s="1"/>
  <c r="R9" i="320" s="1"/>
  <c r="S9" i="320" s="1"/>
  <c r="T9" i="320" s="1"/>
  <c r="U9" i="320" s="1"/>
  <c r="V9" i="320" s="1"/>
  <c r="W9" i="320" s="1"/>
  <c r="X9" i="320" s="1"/>
  <c r="Y9" i="320" s="1"/>
  <c r="Z9" i="320" s="1"/>
  <c r="AA9" i="320" s="1"/>
  <c r="AB9" i="320" s="1"/>
  <c r="AC9" i="320" s="1"/>
  <c r="AD9" i="320" s="1"/>
  <c r="AE9" i="320" s="1"/>
  <c r="AF9" i="320" s="1"/>
  <c r="AG9" i="320" s="1"/>
  <c r="AH9" i="320" s="1"/>
  <c r="AI9" i="320" s="1"/>
  <c r="AJ9" i="320" s="1"/>
  <c r="AK9" i="320" s="1"/>
  <c r="D9" i="317"/>
  <c r="E9" i="317" s="1"/>
  <c r="F9" i="317" s="1"/>
  <c r="G9" i="317" s="1"/>
  <c r="H9" i="317" s="1"/>
  <c r="I9" i="317" s="1"/>
  <c r="J9" i="317" s="1"/>
  <c r="K9" i="317" s="1"/>
  <c r="L9" i="317" s="1"/>
  <c r="M9" i="317" s="1"/>
  <c r="N9" i="317" s="1"/>
  <c r="O9" i="317" s="1"/>
  <c r="P9" i="317" s="1"/>
  <c r="Q9" i="317" s="1"/>
  <c r="R9" i="317" s="1"/>
  <c r="S9" i="317" s="1"/>
  <c r="T9" i="317" s="1"/>
  <c r="U9" i="317" s="1"/>
  <c r="V9" i="317" s="1"/>
  <c r="W9" i="317" s="1"/>
  <c r="X9" i="317" s="1"/>
  <c r="Y9" i="317" s="1"/>
  <c r="Z9" i="317" s="1"/>
  <c r="AA9" i="317" s="1"/>
  <c r="AB9" i="317" s="1"/>
  <c r="AC9" i="317" s="1"/>
  <c r="AD9" i="317" s="1"/>
  <c r="AE9" i="317" s="1"/>
  <c r="AF9" i="317" s="1"/>
  <c r="AG9" i="317" s="1"/>
  <c r="AH9" i="317" s="1"/>
  <c r="AI9" i="317" s="1"/>
  <c r="AJ9" i="317" s="1"/>
  <c r="AK9" i="317" s="1"/>
  <c r="D9" i="313"/>
  <c r="E9" i="313" s="1"/>
  <c r="F9" i="313" s="1"/>
  <c r="G9" i="313" s="1"/>
  <c r="H9" i="313" s="1"/>
  <c r="I9" i="313" s="1"/>
  <c r="J9" i="313" s="1"/>
  <c r="K9" i="313" s="1"/>
  <c r="L9" i="313" s="1"/>
  <c r="M9" i="313" s="1"/>
  <c r="N9" i="313" s="1"/>
  <c r="O9" i="313" s="1"/>
  <c r="P9" i="313" s="1"/>
  <c r="Q9" i="313" s="1"/>
  <c r="R9" i="313" s="1"/>
  <c r="S9" i="313" s="1"/>
  <c r="T9" i="313" s="1"/>
  <c r="U9" i="313" s="1"/>
  <c r="V9" i="313" s="1"/>
  <c r="W9" i="313" s="1"/>
  <c r="X9" i="313" s="1"/>
  <c r="Y9" i="313" s="1"/>
  <c r="Z9" i="313" s="1"/>
  <c r="AA9" i="313" s="1"/>
  <c r="AB9" i="313" s="1"/>
  <c r="AC9" i="313" s="1"/>
  <c r="AD9" i="313" s="1"/>
  <c r="AE9" i="313" s="1"/>
  <c r="AF9" i="313" s="1"/>
  <c r="AG9" i="313" s="1"/>
  <c r="AH9" i="313" s="1"/>
  <c r="AI9" i="313" s="1"/>
  <c r="AJ9" i="313" s="1"/>
  <c r="AK9" i="313" s="1"/>
  <c r="D10" i="326"/>
  <c r="E10" i="326" s="1"/>
  <c r="F10" i="326" s="1"/>
  <c r="G10" i="326" s="1"/>
  <c r="H10" i="326" s="1"/>
  <c r="I10" i="326" s="1"/>
  <c r="J10" i="326" s="1"/>
  <c r="K10" i="326" s="1"/>
  <c r="L10" i="326" s="1"/>
  <c r="M10" i="326" s="1"/>
  <c r="N10" i="326" s="1"/>
  <c r="O10" i="326" s="1"/>
  <c r="P10" i="326" s="1"/>
  <c r="Q10" i="326" s="1"/>
  <c r="R10" i="326" s="1"/>
  <c r="S10" i="326" s="1"/>
  <c r="T10" i="326" s="1"/>
  <c r="U10" i="326" s="1"/>
  <c r="V10" i="326" s="1"/>
  <c r="W10" i="326" s="1"/>
  <c r="X10" i="326" s="1"/>
  <c r="Y10" i="326" s="1"/>
  <c r="Z10" i="326" s="1"/>
  <c r="AA10" i="326" s="1"/>
  <c r="AB10" i="326" s="1"/>
  <c r="AC10" i="326" s="1"/>
  <c r="AD10" i="326" s="1"/>
  <c r="AE10" i="326" s="1"/>
  <c r="AF10" i="326" s="1"/>
  <c r="AG10" i="326" s="1"/>
  <c r="AH10" i="326" s="1"/>
  <c r="AI10" i="326" s="1"/>
  <c r="AJ10" i="326" s="1"/>
  <c r="AK10" i="326" s="1"/>
  <c r="D10" i="323"/>
  <c r="E10" i="323" s="1"/>
  <c r="F10" i="323" s="1"/>
  <c r="G10" i="323" s="1"/>
  <c r="H10" i="323" s="1"/>
  <c r="I10" i="323" s="1"/>
  <c r="J10" i="323" s="1"/>
  <c r="K10" i="323" s="1"/>
  <c r="L10" i="323" s="1"/>
  <c r="M10" i="323" s="1"/>
  <c r="N10" i="323" s="1"/>
  <c r="O10" i="323" s="1"/>
  <c r="P10" i="323" s="1"/>
  <c r="Q10" i="323" s="1"/>
  <c r="R10" i="323" s="1"/>
  <c r="S10" i="323" s="1"/>
  <c r="T10" i="323" s="1"/>
  <c r="U10" i="323" s="1"/>
  <c r="V10" i="323" s="1"/>
  <c r="W10" i="323" s="1"/>
  <c r="X10" i="323" s="1"/>
  <c r="Y10" i="323" s="1"/>
  <c r="Z10" i="323" s="1"/>
  <c r="AA10" i="323" s="1"/>
  <c r="AB10" i="323" s="1"/>
  <c r="AC10" i="323" s="1"/>
  <c r="AD10" i="323" s="1"/>
  <c r="AE10" i="323" s="1"/>
  <c r="AF10" i="323" s="1"/>
  <c r="AG10" i="323" s="1"/>
  <c r="AH10" i="323" s="1"/>
  <c r="AI10" i="323" s="1"/>
  <c r="AJ10" i="323" s="1"/>
  <c r="AK10" i="323" s="1"/>
  <c r="D10" i="320"/>
  <c r="E10" i="320" s="1"/>
  <c r="F10" i="320" s="1"/>
  <c r="G10" i="320" s="1"/>
  <c r="H10" i="320" s="1"/>
  <c r="I10" i="320" s="1"/>
  <c r="J10" i="320" s="1"/>
  <c r="K10" i="320" s="1"/>
  <c r="L10" i="320" s="1"/>
  <c r="M10" i="320" s="1"/>
  <c r="N10" i="320" s="1"/>
  <c r="O10" i="320" s="1"/>
  <c r="P10" i="320" s="1"/>
  <c r="Q10" i="320" s="1"/>
  <c r="R10" i="320" s="1"/>
  <c r="S10" i="320" s="1"/>
  <c r="T10" i="320" s="1"/>
  <c r="U10" i="320" s="1"/>
  <c r="V10" i="320" s="1"/>
  <c r="W10" i="320" s="1"/>
  <c r="X10" i="320" s="1"/>
  <c r="Y10" i="320" s="1"/>
  <c r="Z10" i="320" s="1"/>
  <c r="AA10" i="320" s="1"/>
  <c r="AB10" i="320" s="1"/>
  <c r="AC10" i="320" s="1"/>
  <c r="AD10" i="320" s="1"/>
  <c r="AE10" i="320" s="1"/>
  <c r="AF10" i="320" s="1"/>
  <c r="AG10" i="320" s="1"/>
  <c r="AH10" i="320" s="1"/>
  <c r="AI10" i="320" s="1"/>
  <c r="AJ10" i="320" s="1"/>
  <c r="AK10" i="320" s="1"/>
  <c r="D10" i="317"/>
  <c r="E10" i="317" s="1"/>
  <c r="F10" i="317" s="1"/>
  <c r="G10" i="317" s="1"/>
  <c r="H10" i="317" s="1"/>
  <c r="I10" i="317" s="1"/>
  <c r="J10" i="317" s="1"/>
  <c r="K10" i="317" s="1"/>
  <c r="L10" i="317" s="1"/>
  <c r="M10" i="317" s="1"/>
  <c r="N10" i="317" s="1"/>
  <c r="O10" i="317" s="1"/>
  <c r="P10" i="317" s="1"/>
  <c r="Q10" i="317" s="1"/>
  <c r="R10" i="317" s="1"/>
  <c r="S10" i="317" s="1"/>
  <c r="T10" i="317" s="1"/>
  <c r="U10" i="317" s="1"/>
  <c r="V10" i="317" s="1"/>
  <c r="W10" i="317" s="1"/>
  <c r="X10" i="317" s="1"/>
  <c r="Y10" i="317" s="1"/>
  <c r="Z10" i="317" s="1"/>
  <c r="AA10" i="317" s="1"/>
  <c r="AB10" i="317" s="1"/>
  <c r="AC10" i="317" s="1"/>
  <c r="AD10" i="317" s="1"/>
  <c r="AE10" i="317" s="1"/>
  <c r="AF10" i="317" s="1"/>
  <c r="AG10" i="317" s="1"/>
  <c r="AH10" i="317" s="1"/>
  <c r="AI10" i="317" s="1"/>
  <c r="AJ10" i="317" s="1"/>
  <c r="AK10" i="317" s="1"/>
  <c r="D10" i="329"/>
  <c r="E10" i="329" s="1"/>
  <c r="F10" i="329" s="1"/>
  <c r="G10" i="329" s="1"/>
  <c r="H10" i="329" s="1"/>
  <c r="I10" i="329" s="1"/>
  <c r="J10" i="329" s="1"/>
  <c r="K10" i="329" s="1"/>
  <c r="L10" i="329" s="1"/>
  <c r="M10" i="329" s="1"/>
  <c r="N10" i="329" s="1"/>
  <c r="O10" i="329" s="1"/>
  <c r="P10" i="329" s="1"/>
  <c r="Q10" i="329" s="1"/>
  <c r="R10" i="329" s="1"/>
  <c r="S10" i="329" s="1"/>
  <c r="T10" i="329" s="1"/>
  <c r="U10" i="329" s="1"/>
  <c r="V10" i="329" s="1"/>
  <c r="W10" i="329" s="1"/>
  <c r="X10" i="329" s="1"/>
  <c r="Y10" i="329" s="1"/>
  <c r="Z10" i="329" s="1"/>
  <c r="AA10" i="329" s="1"/>
  <c r="AB10" i="329" s="1"/>
  <c r="AC10" i="329" s="1"/>
  <c r="AD10" i="329" s="1"/>
  <c r="AE10" i="329" s="1"/>
  <c r="AF10" i="329" s="1"/>
  <c r="AG10" i="329" s="1"/>
  <c r="AH10" i="329" s="1"/>
  <c r="AI10" i="329" s="1"/>
  <c r="AJ10" i="329" s="1"/>
  <c r="AK10" i="329" s="1"/>
  <c r="D10" i="313"/>
  <c r="E10" i="313" s="1"/>
  <c r="F10" i="313" s="1"/>
  <c r="G10" i="313" s="1"/>
  <c r="H10" i="313" s="1"/>
  <c r="I10" i="313" s="1"/>
  <c r="J10" i="313" s="1"/>
  <c r="K10" i="313" s="1"/>
  <c r="L10" i="313" s="1"/>
  <c r="M10" i="313" s="1"/>
  <c r="N10" i="313" s="1"/>
  <c r="O10" i="313" s="1"/>
  <c r="P10" i="313" s="1"/>
  <c r="Q10" i="313" s="1"/>
  <c r="R10" i="313" s="1"/>
  <c r="S10" i="313" s="1"/>
  <c r="T10" i="313" s="1"/>
  <c r="U10" i="313" s="1"/>
  <c r="V10" i="313" s="1"/>
  <c r="W10" i="313" s="1"/>
  <c r="X10" i="313" s="1"/>
  <c r="Y10" i="313" s="1"/>
  <c r="Z10" i="313" s="1"/>
  <c r="AA10" i="313" s="1"/>
  <c r="AB10" i="313" s="1"/>
  <c r="AC10" i="313" s="1"/>
  <c r="AD10" i="313" s="1"/>
  <c r="AE10" i="313" s="1"/>
  <c r="AF10" i="313" s="1"/>
  <c r="AG10" i="313" s="1"/>
  <c r="AH10" i="313" s="1"/>
  <c r="AI10" i="313" s="1"/>
  <c r="AJ10" i="313" s="1"/>
  <c r="AK10" i="313" s="1"/>
  <c r="D9" i="304"/>
  <c r="D9" i="270"/>
  <c r="E50" i="260" l="1"/>
  <c r="D135" i="261"/>
  <c r="F50" i="260"/>
  <c r="D136" i="261"/>
  <c r="D50" i="260"/>
  <c r="D134" i="261"/>
  <c r="G50" i="260"/>
  <c r="D137" i="261"/>
  <c r="AL30" i="304"/>
  <c r="AL39" i="304"/>
  <c r="AL48" i="304"/>
  <c r="AL30" i="270"/>
  <c r="AL39" i="270"/>
  <c r="AL48" i="270"/>
  <c r="H72" i="234"/>
  <c r="C72" i="234"/>
  <c r="F400" i="261"/>
  <c r="G73" i="236"/>
  <c r="D73" i="236"/>
  <c r="F73" i="236"/>
  <c r="D72" i="234"/>
  <c r="C400" i="261"/>
  <c r="H73" i="236"/>
  <c r="F72" i="234"/>
  <c r="E400" i="261"/>
  <c r="C73" i="236"/>
  <c r="G72" i="234"/>
  <c r="D400" i="261"/>
  <c r="K40" i="50"/>
  <c r="L40" i="50"/>
  <c r="M40" i="50"/>
  <c r="N40" i="50"/>
  <c r="O40" i="50"/>
  <c r="J40" i="50"/>
  <c r="G73" i="234" l="1"/>
  <c r="D401" i="261"/>
  <c r="F73" i="234"/>
  <c r="E401" i="261"/>
  <c r="D73" i="234"/>
  <c r="C401" i="261"/>
  <c r="C73" i="234"/>
  <c r="F401" i="261"/>
  <c r="H73" i="234"/>
  <c r="H74" i="234" l="1"/>
  <c r="H75" i="234" s="1"/>
  <c r="C74" i="234"/>
  <c r="C75" i="234" s="1"/>
  <c r="F74" i="234"/>
  <c r="F75" i="234" s="1"/>
  <c r="D74" i="234"/>
  <c r="D75" i="234" s="1"/>
  <c r="G74" i="234"/>
  <c r="G75" i="234" s="1"/>
  <c r="C50" i="260" l="1"/>
  <c r="B90" i="50"/>
  <c r="D150" i="313" l="1"/>
  <c r="D151" i="313"/>
  <c r="B91" i="50"/>
  <c r="B92" i="50" s="1"/>
  <c r="B93" i="50" s="1"/>
  <c r="B94" i="50" s="1"/>
  <c r="C61" i="310"/>
  <c r="C48" i="310"/>
  <c r="D10" i="310"/>
  <c r="D9" i="310"/>
  <c r="C8" i="310"/>
  <c r="E2" i="310"/>
  <c r="D3" i="310" s="1"/>
  <c r="D4" i="309"/>
  <c r="D11" i="309"/>
  <c r="AL69" i="309" s="1"/>
  <c r="D10" i="309"/>
  <c r="D9" i="309"/>
  <c r="AH48" i="309" s="1"/>
  <c r="D8" i="309"/>
  <c r="E8" i="309" s="1"/>
  <c r="AL34" i="309" s="1"/>
  <c r="D7" i="309"/>
  <c r="E7" i="309" s="1"/>
  <c r="AL32" i="309" s="1"/>
  <c r="D6" i="309"/>
  <c r="E6" i="309" s="1"/>
  <c r="C55" i="309" s="1"/>
  <c r="D5" i="309"/>
  <c r="E5" i="309" s="1"/>
  <c r="X53" i="309"/>
  <c r="Q44" i="309"/>
  <c r="AD30" i="309"/>
  <c r="L39" i="309" l="1"/>
  <c r="AK48" i="309"/>
  <c r="AB39" i="309"/>
  <c r="X30" i="309"/>
  <c r="D39" i="309"/>
  <c r="AL53" i="309"/>
  <c r="AL44" i="309"/>
  <c r="F44" i="309"/>
  <c r="AF44" i="309"/>
  <c r="AA53" i="309"/>
  <c r="O44" i="309"/>
  <c r="AF53" i="309"/>
  <c r="H53" i="309"/>
  <c r="P44" i="309"/>
  <c r="S53" i="309"/>
  <c r="AL70" i="309"/>
  <c r="AL61" i="309"/>
  <c r="K48" i="309"/>
  <c r="AL39" i="309"/>
  <c r="AL48" i="309"/>
  <c r="AL30" i="309"/>
  <c r="D103" i="310"/>
  <c r="D100" i="310"/>
  <c r="D101" i="310"/>
  <c r="D102" i="310"/>
  <c r="D97" i="310"/>
  <c r="D98" i="310"/>
  <c r="D91" i="310"/>
  <c r="D96" i="310"/>
  <c r="D92" i="310"/>
  <c r="D93" i="310"/>
  <c r="D95" i="310"/>
  <c r="D90" i="310"/>
  <c r="D107" i="310"/>
  <c r="D106" i="310"/>
  <c r="D108" i="310"/>
  <c r="D105" i="310"/>
  <c r="H30" i="309"/>
  <c r="AE30" i="309"/>
  <c r="M39" i="309"/>
  <c r="D150" i="317"/>
  <c r="Q30" i="309"/>
  <c r="Z39" i="309"/>
  <c r="AB48" i="309"/>
  <c r="D151" i="317"/>
  <c r="D150" i="320"/>
  <c r="D151" i="320"/>
  <c r="D151" i="323"/>
  <c r="D150" i="323"/>
  <c r="D151" i="326"/>
  <c r="D150" i="326"/>
  <c r="D151" i="310"/>
  <c r="D150" i="310"/>
  <c r="AF30" i="309"/>
  <c r="E9" i="310"/>
  <c r="E10" i="310"/>
  <c r="AC39" i="309"/>
  <c r="AG44" i="309"/>
  <c r="AG30" i="309"/>
  <c r="O30" i="309"/>
  <c r="AK39" i="309"/>
  <c r="AD69" i="309"/>
  <c r="AC48" i="309"/>
  <c r="N30" i="309"/>
  <c r="P30" i="309"/>
  <c r="L48" i="309"/>
  <c r="E3" i="310"/>
  <c r="V44" i="309"/>
  <c r="AE44" i="309"/>
  <c r="M48" i="309"/>
  <c r="F30" i="309"/>
  <c r="V30" i="309"/>
  <c r="N39" i="309"/>
  <c r="R48" i="309"/>
  <c r="G30" i="309"/>
  <c r="W30" i="309"/>
  <c r="R39" i="309"/>
  <c r="AA48" i="309"/>
  <c r="I30" i="309"/>
  <c r="Y30" i="309"/>
  <c r="AA39" i="309"/>
  <c r="AF32" i="309"/>
  <c r="X32" i="309"/>
  <c r="P32" i="309"/>
  <c r="AE32" i="309"/>
  <c r="W32" i="309"/>
  <c r="O32" i="309"/>
  <c r="G32" i="309"/>
  <c r="AD32" i="309"/>
  <c r="T32" i="309"/>
  <c r="J32" i="309"/>
  <c r="AC32" i="309"/>
  <c r="S32" i="309"/>
  <c r="I32" i="309"/>
  <c r="AJ32" i="309"/>
  <c r="Z32" i="309"/>
  <c r="AB32" i="309"/>
  <c r="R32" i="309"/>
  <c r="H32" i="309"/>
  <c r="AK32" i="309"/>
  <c r="AA32" i="309"/>
  <c r="Q32" i="309"/>
  <c r="F32" i="309"/>
  <c r="AH32" i="309"/>
  <c r="V32" i="309"/>
  <c r="L32" i="309"/>
  <c r="AG32" i="309"/>
  <c r="U32" i="309"/>
  <c r="K32" i="309"/>
  <c r="N32" i="309"/>
  <c r="M32" i="309"/>
  <c r="E32" i="309"/>
  <c r="D32" i="309"/>
  <c r="AI32" i="309"/>
  <c r="Y32" i="309"/>
  <c r="AE70" i="309"/>
  <c r="W70" i="309"/>
  <c r="O70" i="309"/>
  <c r="G70" i="309"/>
  <c r="AI61" i="309"/>
  <c r="AA61" i="309"/>
  <c r="S61" i="309"/>
  <c r="K61" i="309"/>
  <c r="AD70" i="309"/>
  <c r="V70" i="309"/>
  <c r="N70" i="309"/>
  <c r="F70" i="309"/>
  <c r="AH61" i="309"/>
  <c r="Z61" i="309"/>
  <c r="R61" i="309"/>
  <c r="J61" i="309"/>
  <c r="AK70" i="309"/>
  <c r="AC70" i="309"/>
  <c r="U70" i="309"/>
  <c r="M70" i="309"/>
  <c r="E70" i="309"/>
  <c r="AG61" i="309"/>
  <c r="Y61" i="309"/>
  <c r="Q61" i="309"/>
  <c r="I61" i="309"/>
  <c r="AI70" i="309"/>
  <c r="AA70" i="309"/>
  <c r="S70" i="309"/>
  <c r="K70" i="309"/>
  <c r="AE61" i="309"/>
  <c r="W61" i="309"/>
  <c r="O61" i="309"/>
  <c r="G61" i="309"/>
  <c r="AH70" i="309"/>
  <c r="Z70" i="309"/>
  <c r="R70" i="309"/>
  <c r="J70" i="309"/>
  <c r="AD61" i="309"/>
  <c r="V61" i="309"/>
  <c r="N61" i="309"/>
  <c r="F61" i="309"/>
  <c r="AG70" i="309"/>
  <c r="Y70" i="309"/>
  <c r="Q70" i="309"/>
  <c r="I70" i="309"/>
  <c r="AF70" i="309"/>
  <c r="X70" i="309"/>
  <c r="P70" i="309"/>
  <c r="H70" i="309"/>
  <c r="AJ61" i="309"/>
  <c r="AB61" i="309"/>
  <c r="T61" i="309"/>
  <c r="L61" i="309"/>
  <c r="D61" i="309"/>
  <c r="D70" i="309"/>
  <c r="AF61" i="309"/>
  <c r="AC61" i="309"/>
  <c r="X61" i="309"/>
  <c r="U61" i="309"/>
  <c r="AJ70" i="309"/>
  <c r="P61" i="309"/>
  <c r="AB70" i="309"/>
  <c r="M61" i="309"/>
  <c r="T70" i="309"/>
  <c r="H61" i="309"/>
  <c r="L70" i="309"/>
  <c r="AK61" i="309"/>
  <c r="E61" i="309"/>
  <c r="AJ34" i="309"/>
  <c r="AB34" i="309"/>
  <c r="T34" i="309"/>
  <c r="L34" i="309"/>
  <c r="D34" i="309"/>
  <c r="AI34" i="309"/>
  <c r="AA34" i="309"/>
  <c r="S34" i="309"/>
  <c r="K34" i="309"/>
  <c r="AK34" i="309"/>
  <c r="AC34" i="309"/>
  <c r="Z34" i="309"/>
  <c r="P34" i="309"/>
  <c r="F34" i="309"/>
  <c r="Y34" i="309"/>
  <c r="O34" i="309"/>
  <c r="E34" i="309"/>
  <c r="AG34" i="309"/>
  <c r="V34" i="309"/>
  <c r="J34" i="309"/>
  <c r="X34" i="309"/>
  <c r="N34" i="309"/>
  <c r="AH34" i="309"/>
  <c r="W34" i="309"/>
  <c r="M34" i="309"/>
  <c r="AF34" i="309"/>
  <c r="U34" i="309"/>
  <c r="I34" i="309"/>
  <c r="AE34" i="309"/>
  <c r="R34" i="309"/>
  <c r="H34" i="309"/>
  <c r="AD34" i="309"/>
  <c r="Q34" i="309"/>
  <c r="G34" i="309"/>
  <c r="F69" i="309"/>
  <c r="J30" i="309"/>
  <c r="R30" i="309"/>
  <c r="Z30" i="309"/>
  <c r="AH30" i="309"/>
  <c r="E39" i="309"/>
  <c r="S39" i="309"/>
  <c r="AD39" i="309"/>
  <c r="G44" i="309"/>
  <c r="W44" i="309"/>
  <c r="S48" i="309"/>
  <c r="AI53" i="309"/>
  <c r="N69" i="309"/>
  <c r="AF48" i="309"/>
  <c r="X48" i="309"/>
  <c r="P48" i="309"/>
  <c r="H48" i="309"/>
  <c r="AF39" i="309"/>
  <c r="X39" i="309"/>
  <c r="P39" i="309"/>
  <c r="H39" i="309"/>
  <c r="AE48" i="309"/>
  <c r="W48" i="309"/>
  <c r="O48" i="309"/>
  <c r="G48" i="309"/>
  <c r="AE39" i="309"/>
  <c r="W39" i="309"/>
  <c r="O39" i="309"/>
  <c r="G39" i="309"/>
  <c r="AD48" i="309"/>
  <c r="V48" i="309"/>
  <c r="N48" i="309"/>
  <c r="F48" i="309"/>
  <c r="AJ48" i="309"/>
  <c r="AI48" i="309"/>
  <c r="AG48" i="309"/>
  <c r="Y48" i="309"/>
  <c r="Q48" i="309"/>
  <c r="I48" i="309"/>
  <c r="AG39" i="309"/>
  <c r="Y39" i="309"/>
  <c r="Q39" i="309"/>
  <c r="I39" i="309"/>
  <c r="K30" i="309"/>
  <c r="S30" i="309"/>
  <c r="AA30" i="309"/>
  <c r="AI30" i="309"/>
  <c r="F39" i="309"/>
  <c r="T39" i="309"/>
  <c r="AH39" i="309"/>
  <c r="H44" i="309"/>
  <c r="X44" i="309"/>
  <c r="D48" i="309"/>
  <c r="T48" i="309"/>
  <c r="V69" i="309"/>
  <c r="AD53" i="309"/>
  <c r="V53" i="309"/>
  <c r="N53" i="309"/>
  <c r="F53" i="309"/>
  <c r="AJ44" i="309"/>
  <c r="AB44" i="309"/>
  <c r="T44" i="309"/>
  <c r="L44" i="309"/>
  <c r="D44" i="309"/>
  <c r="AK53" i="309"/>
  <c r="AC53" i="309"/>
  <c r="U53" i="309"/>
  <c r="M53" i="309"/>
  <c r="E53" i="309"/>
  <c r="AI44" i="309"/>
  <c r="AA44" i="309"/>
  <c r="S44" i="309"/>
  <c r="K44" i="309"/>
  <c r="AJ53" i="309"/>
  <c r="AB53" i="309"/>
  <c r="T53" i="309"/>
  <c r="L53" i="309"/>
  <c r="D53" i="309"/>
  <c r="AH44" i="309"/>
  <c r="Z44" i="309"/>
  <c r="R44" i="309"/>
  <c r="J44" i="309"/>
  <c r="AH53" i="309"/>
  <c r="Z53" i="309"/>
  <c r="R53" i="309"/>
  <c r="J53" i="309"/>
  <c r="AG53" i="309"/>
  <c r="Y53" i="309"/>
  <c r="Q53" i="309"/>
  <c r="I53" i="309"/>
  <c r="AE53" i="309"/>
  <c r="W53" i="309"/>
  <c r="O53" i="309"/>
  <c r="G53" i="309"/>
  <c r="AK44" i="309"/>
  <c r="AC44" i="309"/>
  <c r="U44" i="309"/>
  <c r="M44" i="309"/>
  <c r="E44" i="309"/>
  <c r="D30" i="309"/>
  <c r="L30" i="309"/>
  <c r="T30" i="309"/>
  <c r="AB30" i="309"/>
  <c r="AJ30" i="309"/>
  <c r="J39" i="309"/>
  <c r="U39" i="309"/>
  <c r="AI39" i="309"/>
  <c r="I44" i="309"/>
  <c r="Y44" i="309"/>
  <c r="E48" i="309"/>
  <c r="U48" i="309"/>
  <c r="K53" i="309"/>
  <c r="AG69" i="309"/>
  <c r="Y69" i="309"/>
  <c r="Q69" i="309"/>
  <c r="I69" i="309"/>
  <c r="AF69" i="309"/>
  <c r="X69" i="309"/>
  <c r="P69" i="309"/>
  <c r="H69" i="309"/>
  <c r="AE69" i="309"/>
  <c r="W69" i="309"/>
  <c r="O69" i="309"/>
  <c r="G69" i="309"/>
  <c r="AK69" i="309"/>
  <c r="AC69" i="309"/>
  <c r="U69" i="309"/>
  <c r="M69" i="309"/>
  <c r="E69" i="309"/>
  <c r="AJ69" i="309"/>
  <c r="AB69" i="309"/>
  <c r="T69" i="309"/>
  <c r="L69" i="309"/>
  <c r="D69" i="309"/>
  <c r="AI69" i="309"/>
  <c r="AA69" i="309"/>
  <c r="S69" i="309"/>
  <c r="K69" i="309"/>
  <c r="AH69" i="309"/>
  <c r="Z69" i="309"/>
  <c r="R69" i="309"/>
  <c r="J69" i="309"/>
  <c r="E30" i="309"/>
  <c r="M30" i="309"/>
  <c r="U30" i="309"/>
  <c r="AC30" i="309"/>
  <c r="AK30" i="309"/>
  <c r="K39" i="309"/>
  <c r="V39" i="309"/>
  <c r="AJ39" i="309"/>
  <c r="N44" i="309"/>
  <c r="AD44" i="309"/>
  <c r="J48" i="309"/>
  <c r="Z48" i="309"/>
  <c r="P53" i="309"/>
  <c r="C31" i="308"/>
  <c r="C30" i="308"/>
  <c r="D2" i="308"/>
  <c r="C23" i="308"/>
  <c r="D11" i="307"/>
  <c r="AL69" i="307" s="1"/>
  <c r="D10" i="307"/>
  <c r="D9" i="307"/>
  <c r="D8" i="307"/>
  <c r="E8" i="307" s="1"/>
  <c r="AL34" i="307" s="1"/>
  <c r="D7" i="307"/>
  <c r="E7" i="307" s="1"/>
  <c r="AL32" i="307" s="1"/>
  <c r="D6" i="307"/>
  <c r="E6" i="307" s="1"/>
  <c r="D5" i="307"/>
  <c r="E5" i="307" s="1"/>
  <c r="D4" i="307"/>
  <c r="S69" i="307"/>
  <c r="K48" i="307"/>
  <c r="AK40" i="307"/>
  <c r="AJ40" i="307"/>
  <c r="AI40" i="307"/>
  <c r="AH40" i="307"/>
  <c r="AG40" i="307"/>
  <c r="AF40" i="307"/>
  <c r="AE40" i="307"/>
  <c r="AD40" i="307"/>
  <c r="AC40" i="307"/>
  <c r="AB40" i="307"/>
  <c r="AA40" i="307"/>
  <c r="Z40" i="307"/>
  <c r="Y40" i="307"/>
  <c r="X40" i="307"/>
  <c r="W40" i="307"/>
  <c r="V40" i="307"/>
  <c r="U40" i="307"/>
  <c r="T40" i="307"/>
  <c r="S40" i="307"/>
  <c r="R40" i="307"/>
  <c r="Q40" i="307"/>
  <c r="P40" i="307"/>
  <c r="O40" i="307"/>
  <c r="N40" i="307"/>
  <c r="M40" i="307"/>
  <c r="L40" i="307"/>
  <c r="K40" i="307"/>
  <c r="J40" i="307"/>
  <c r="I40" i="307"/>
  <c r="H40" i="307"/>
  <c r="G40" i="307"/>
  <c r="F40" i="307"/>
  <c r="E40" i="307"/>
  <c r="D40" i="307"/>
  <c r="AH39" i="307"/>
  <c r="AG39" i="307"/>
  <c r="AK31" i="307"/>
  <c r="AJ31" i="307"/>
  <c r="AI31" i="307"/>
  <c r="AH31" i="307"/>
  <c r="AG31" i="307"/>
  <c r="AF31" i="307"/>
  <c r="AE31" i="307"/>
  <c r="AD31" i="307"/>
  <c r="AC31" i="307"/>
  <c r="AB31" i="307"/>
  <c r="AA31" i="307"/>
  <c r="Z31" i="307"/>
  <c r="Y31" i="307"/>
  <c r="X31" i="307"/>
  <c r="W31" i="307"/>
  <c r="V31" i="307"/>
  <c r="U31" i="307"/>
  <c r="T31" i="307"/>
  <c r="S31" i="307"/>
  <c r="R31" i="307"/>
  <c r="Q31" i="307"/>
  <c r="P31" i="307"/>
  <c r="O31" i="307"/>
  <c r="N31" i="307"/>
  <c r="M31" i="307"/>
  <c r="L31" i="307"/>
  <c r="K31" i="307"/>
  <c r="J31" i="307"/>
  <c r="I31" i="307"/>
  <c r="H31" i="307"/>
  <c r="G31" i="307"/>
  <c r="F31" i="307"/>
  <c r="E31" i="307"/>
  <c r="D31" i="307"/>
  <c r="AC30" i="307"/>
  <c r="X30" i="307"/>
  <c r="W30" i="307"/>
  <c r="M30" i="307"/>
  <c r="H30" i="307"/>
  <c r="G30" i="307"/>
  <c r="C61" i="306"/>
  <c r="C48" i="306"/>
  <c r="D10" i="306"/>
  <c r="D9" i="306"/>
  <c r="C8" i="306"/>
  <c r="E2" i="306"/>
  <c r="D3" i="306" s="1"/>
  <c r="A1" i="305"/>
  <c r="C22" i="305" s="1"/>
  <c r="C31" i="305"/>
  <c r="C30" i="305"/>
  <c r="D2" i="305"/>
  <c r="D11" i="304"/>
  <c r="D10" i="304"/>
  <c r="D8" i="304"/>
  <c r="E8" i="304" s="1"/>
  <c r="AL34" i="304" s="1"/>
  <c r="D7" i="304"/>
  <c r="E7" i="304" s="1"/>
  <c r="AL32" i="304" s="1"/>
  <c r="D6" i="304"/>
  <c r="E6" i="304" s="1"/>
  <c r="C55" i="304" s="1"/>
  <c r="D5" i="304"/>
  <c r="E5" i="304" s="1"/>
  <c r="D4" i="304"/>
  <c r="C61" i="303"/>
  <c r="C48" i="303"/>
  <c r="D10" i="303"/>
  <c r="D9" i="303"/>
  <c r="C8" i="303"/>
  <c r="E2" i="303"/>
  <c r="D3" i="303" s="1"/>
  <c r="A1" i="302"/>
  <c r="C22" i="302" s="1"/>
  <c r="C31" i="302"/>
  <c r="C30" i="302"/>
  <c r="D2" i="302"/>
  <c r="D36" i="265"/>
  <c r="D35" i="265"/>
  <c r="D34" i="265"/>
  <c r="D103" i="306" l="1"/>
  <c r="D100" i="306"/>
  <c r="D102" i="306"/>
  <c r="D101" i="306"/>
  <c r="D96" i="306"/>
  <c r="D95" i="306"/>
  <c r="D90" i="306"/>
  <c r="D98" i="306"/>
  <c r="D91" i="306"/>
  <c r="D97" i="306"/>
  <c r="D92" i="306"/>
  <c r="D93" i="306"/>
  <c r="D108" i="306"/>
  <c r="D107" i="306"/>
  <c r="D106" i="306"/>
  <c r="D105" i="306"/>
  <c r="AL61" i="304"/>
  <c r="AL70" i="304"/>
  <c r="AG44" i="304"/>
  <c r="AL44" i="304"/>
  <c r="AL53" i="304"/>
  <c r="AL61" i="307"/>
  <c r="AL70" i="307"/>
  <c r="AA48" i="307"/>
  <c r="AL39" i="307"/>
  <c r="AL30" i="307"/>
  <c r="AL48" i="307"/>
  <c r="E103" i="310"/>
  <c r="E101" i="310"/>
  <c r="E102" i="310"/>
  <c r="E100" i="310"/>
  <c r="E98" i="310"/>
  <c r="E96" i="310"/>
  <c r="E92" i="310"/>
  <c r="E97" i="310"/>
  <c r="E93" i="310"/>
  <c r="E95" i="310"/>
  <c r="E90" i="310"/>
  <c r="E91" i="310"/>
  <c r="D103" i="303"/>
  <c r="D101" i="303"/>
  <c r="D93" i="303"/>
  <c r="D102" i="303"/>
  <c r="D97" i="303"/>
  <c r="D95" i="303"/>
  <c r="D96" i="303"/>
  <c r="D91" i="303"/>
  <c r="D92" i="303"/>
  <c r="D100" i="303"/>
  <c r="D90" i="303"/>
  <c r="D98" i="303"/>
  <c r="Z69" i="304"/>
  <c r="AL69" i="304"/>
  <c r="Z48" i="307"/>
  <c r="AL44" i="307"/>
  <c r="AL53" i="307"/>
  <c r="D106" i="303"/>
  <c r="D107" i="303"/>
  <c r="D105" i="303"/>
  <c r="D108" i="303"/>
  <c r="E108" i="310"/>
  <c r="E107" i="310"/>
  <c r="E106" i="310"/>
  <c r="E105" i="310"/>
  <c r="E150" i="310"/>
  <c r="E151" i="310"/>
  <c r="D151" i="306"/>
  <c r="D150" i="306"/>
  <c r="D150" i="303"/>
  <c r="D151" i="303"/>
  <c r="C154" i="310"/>
  <c r="C154" i="317"/>
  <c r="C154" i="329"/>
  <c r="C154" i="326"/>
  <c r="C154" i="323"/>
  <c r="C154" i="320"/>
  <c r="C154" i="313"/>
  <c r="C155" i="310"/>
  <c r="C155" i="329"/>
  <c r="C155" i="326"/>
  <c r="C155" i="323"/>
  <c r="C155" i="320"/>
  <c r="C155" i="317"/>
  <c r="C155" i="313"/>
  <c r="C153" i="310"/>
  <c r="C153" i="317"/>
  <c r="C153" i="329"/>
  <c r="C153" i="326"/>
  <c r="C153" i="323"/>
  <c r="C153" i="320"/>
  <c r="C153" i="313"/>
  <c r="C154" i="303"/>
  <c r="C155" i="303"/>
  <c r="E3" i="306"/>
  <c r="C153" i="306"/>
  <c r="C154" i="306"/>
  <c r="F10" i="310"/>
  <c r="C155" i="306"/>
  <c r="F9" i="310"/>
  <c r="C153" i="303"/>
  <c r="E9" i="303"/>
  <c r="E10" i="303"/>
  <c r="Q53" i="307"/>
  <c r="AI32" i="307"/>
  <c r="J48" i="307"/>
  <c r="AA53" i="304"/>
  <c r="AI39" i="307"/>
  <c r="I44" i="304"/>
  <c r="K44" i="304"/>
  <c r="AI53" i="304"/>
  <c r="M53" i="304"/>
  <c r="O53" i="304"/>
  <c r="O44" i="307"/>
  <c r="AE53" i="307"/>
  <c r="N44" i="307"/>
  <c r="AD44" i="307"/>
  <c r="G44" i="307"/>
  <c r="W53" i="307"/>
  <c r="M44" i="307"/>
  <c r="AG53" i="307"/>
  <c r="AF70" i="304"/>
  <c r="Y48" i="304"/>
  <c r="W30" i="304"/>
  <c r="F30" i="304"/>
  <c r="Q39" i="304"/>
  <c r="E39" i="304"/>
  <c r="J70" i="307"/>
  <c r="C55" i="307"/>
  <c r="F3" i="310"/>
  <c r="E2" i="308"/>
  <c r="C22" i="308"/>
  <c r="C24" i="308"/>
  <c r="Q32" i="307"/>
  <c r="O53" i="307"/>
  <c r="AE44" i="307"/>
  <c r="P53" i="307"/>
  <c r="AK44" i="307"/>
  <c r="N30" i="307"/>
  <c r="AD30" i="307"/>
  <c r="I39" i="307"/>
  <c r="AG48" i="307"/>
  <c r="O30" i="307"/>
  <c r="AE30" i="307"/>
  <c r="J39" i="307"/>
  <c r="AH48" i="307"/>
  <c r="P30" i="307"/>
  <c r="AF30" i="307"/>
  <c r="K39" i="307"/>
  <c r="E30" i="307"/>
  <c r="U30" i="307"/>
  <c r="AK30" i="307"/>
  <c r="Q39" i="307"/>
  <c r="I48" i="307"/>
  <c r="R48" i="307"/>
  <c r="F30" i="307"/>
  <c r="V30" i="307"/>
  <c r="AA39" i="307"/>
  <c r="N34" i="307"/>
  <c r="AE34" i="307"/>
  <c r="S32" i="307"/>
  <c r="AK34" i="307"/>
  <c r="I70" i="307"/>
  <c r="AE70" i="307"/>
  <c r="W70" i="307"/>
  <c r="O70" i="307"/>
  <c r="G70" i="307"/>
  <c r="AI61" i="307"/>
  <c r="AA61" i="307"/>
  <c r="S61" i="307"/>
  <c r="K61" i="307"/>
  <c r="AD70" i="307"/>
  <c r="V70" i="307"/>
  <c r="N70" i="307"/>
  <c r="F70" i="307"/>
  <c r="AH61" i="307"/>
  <c r="Z61" i="307"/>
  <c r="R61" i="307"/>
  <c r="J61" i="307"/>
  <c r="AK70" i="307"/>
  <c r="AC70" i="307"/>
  <c r="U70" i="307"/>
  <c r="M70" i="307"/>
  <c r="E70" i="307"/>
  <c r="AG61" i="307"/>
  <c r="Y61" i="307"/>
  <c r="Q61" i="307"/>
  <c r="I61" i="307"/>
  <c r="AJ70" i="307"/>
  <c r="AB70" i="307"/>
  <c r="T70" i="307"/>
  <c r="L70" i="307"/>
  <c r="D70" i="307"/>
  <c r="AF61" i="307"/>
  <c r="X61" i="307"/>
  <c r="P61" i="307"/>
  <c r="H61" i="307"/>
  <c r="AI70" i="307"/>
  <c r="AA70" i="307"/>
  <c r="S70" i="307"/>
  <c r="K70" i="307"/>
  <c r="AE61" i="307"/>
  <c r="W61" i="307"/>
  <c r="O61" i="307"/>
  <c r="G61" i="307"/>
  <c r="Y70" i="307"/>
  <c r="AK61" i="307"/>
  <c r="N61" i="307"/>
  <c r="P70" i="307"/>
  <c r="AB61" i="307"/>
  <c r="X70" i="307"/>
  <c r="AJ61" i="307"/>
  <c r="M61" i="307"/>
  <c r="R70" i="307"/>
  <c r="AD61" i="307"/>
  <c r="L61" i="307"/>
  <c r="AH70" i="307"/>
  <c r="Q70" i="307"/>
  <c r="AC61" i="307"/>
  <c r="F61" i="307"/>
  <c r="E61" i="307"/>
  <c r="AG69" i="307"/>
  <c r="Y69" i="307"/>
  <c r="Q69" i="307"/>
  <c r="I69" i="307"/>
  <c r="AF69" i="307"/>
  <c r="X69" i="307"/>
  <c r="P69" i="307"/>
  <c r="H69" i="307"/>
  <c r="AE69" i="307"/>
  <c r="W69" i="307"/>
  <c r="O69" i="307"/>
  <c r="G69" i="307"/>
  <c r="AD69" i="307"/>
  <c r="V69" i="307"/>
  <c r="N69" i="307"/>
  <c r="F69" i="307"/>
  <c r="AK69" i="307"/>
  <c r="AC69" i="307"/>
  <c r="U69" i="307"/>
  <c r="M69" i="307"/>
  <c r="E69" i="307"/>
  <c r="AJ69" i="307"/>
  <c r="R69" i="307"/>
  <c r="AA69" i="307"/>
  <c r="AI69" i="307"/>
  <c r="L69" i="307"/>
  <c r="AH69" i="307"/>
  <c r="K69" i="307"/>
  <c r="AB69" i="307"/>
  <c r="J69" i="307"/>
  <c r="D69" i="307"/>
  <c r="Z70" i="307"/>
  <c r="R32" i="307"/>
  <c r="D61" i="307"/>
  <c r="AF70" i="307"/>
  <c r="M34" i="307"/>
  <c r="U61" i="307"/>
  <c r="T69" i="307"/>
  <c r="AG70" i="307"/>
  <c r="AF32" i="307"/>
  <c r="X32" i="307"/>
  <c r="P32" i="307"/>
  <c r="AE32" i="307"/>
  <c r="W32" i="307"/>
  <c r="O32" i="307"/>
  <c r="G32" i="307"/>
  <c r="AD32" i="307"/>
  <c r="V32" i="307"/>
  <c r="N32" i="307"/>
  <c r="F32" i="307"/>
  <c r="AK32" i="307"/>
  <c r="AC32" i="307"/>
  <c r="U32" i="307"/>
  <c r="M32" i="307"/>
  <c r="E32" i="307"/>
  <c r="AJ32" i="307"/>
  <c r="AB32" i="307"/>
  <c r="T32" i="307"/>
  <c r="L32" i="307"/>
  <c r="AH32" i="307"/>
  <c r="K32" i="307"/>
  <c r="Y32" i="307"/>
  <c r="AG32" i="307"/>
  <c r="J32" i="307"/>
  <c r="AA32" i="307"/>
  <c r="I32" i="307"/>
  <c r="Z32" i="307"/>
  <c r="H32" i="307"/>
  <c r="D32" i="307"/>
  <c r="V61" i="307"/>
  <c r="Z69" i="307"/>
  <c r="T61" i="307"/>
  <c r="AJ34" i="307"/>
  <c r="AB34" i="307"/>
  <c r="T34" i="307"/>
  <c r="L34" i="307"/>
  <c r="D34" i="307"/>
  <c r="AI34" i="307"/>
  <c r="AA34" i="307"/>
  <c r="S34" i="307"/>
  <c r="K34" i="307"/>
  <c r="AH34" i="307"/>
  <c r="Z34" i="307"/>
  <c r="R34" i="307"/>
  <c r="J34" i="307"/>
  <c r="AG34" i="307"/>
  <c r="Y34" i="307"/>
  <c r="Q34" i="307"/>
  <c r="I34" i="307"/>
  <c r="AF34" i="307"/>
  <c r="X34" i="307"/>
  <c r="P34" i="307"/>
  <c r="H34" i="307"/>
  <c r="AD34" i="307"/>
  <c r="G34" i="307"/>
  <c r="AC34" i="307"/>
  <c r="F34" i="307"/>
  <c r="W34" i="307"/>
  <c r="E34" i="307"/>
  <c r="V34" i="307"/>
  <c r="U34" i="307"/>
  <c r="O34" i="307"/>
  <c r="H70" i="307"/>
  <c r="I30" i="307"/>
  <c r="Q30" i="307"/>
  <c r="Y30" i="307"/>
  <c r="AG30" i="307"/>
  <c r="R39" i="307"/>
  <c r="U44" i="307"/>
  <c r="Q48" i="307"/>
  <c r="AI48" i="307"/>
  <c r="X53" i="307"/>
  <c r="J30" i="307"/>
  <c r="R30" i="307"/>
  <c r="Z30" i="307"/>
  <c r="AH30" i="307"/>
  <c r="S39" i="307"/>
  <c r="V44" i="307"/>
  <c r="G53" i="307"/>
  <c r="Y53" i="307"/>
  <c r="AF48" i="307"/>
  <c r="X48" i="307"/>
  <c r="P48" i="307"/>
  <c r="H48" i="307"/>
  <c r="AF39" i="307"/>
  <c r="X39" i="307"/>
  <c r="P39" i="307"/>
  <c r="H39" i="307"/>
  <c r="AE48" i="307"/>
  <c r="W48" i="307"/>
  <c r="O48" i="307"/>
  <c r="G48" i="307"/>
  <c r="AE39" i="307"/>
  <c r="W39" i="307"/>
  <c r="O39" i="307"/>
  <c r="G39" i="307"/>
  <c r="AD48" i="307"/>
  <c r="V48" i="307"/>
  <c r="N48" i="307"/>
  <c r="F48" i="307"/>
  <c r="AD39" i="307"/>
  <c r="V39" i="307"/>
  <c r="N39" i="307"/>
  <c r="F39" i="307"/>
  <c r="AK48" i="307"/>
  <c r="AC48" i="307"/>
  <c r="U48" i="307"/>
  <c r="M48" i="307"/>
  <c r="E48" i="307"/>
  <c r="AK39" i="307"/>
  <c r="AC39" i="307"/>
  <c r="U39" i="307"/>
  <c r="M39" i="307"/>
  <c r="E39" i="307"/>
  <c r="AJ48" i="307"/>
  <c r="AB48" i="307"/>
  <c r="T48" i="307"/>
  <c r="L48" i="307"/>
  <c r="D48" i="307"/>
  <c r="AJ39" i="307"/>
  <c r="AB39" i="307"/>
  <c r="T39" i="307"/>
  <c r="L39" i="307"/>
  <c r="D39" i="307"/>
  <c r="K30" i="307"/>
  <c r="S30" i="307"/>
  <c r="AA30" i="307"/>
  <c r="AI30" i="307"/>
  <c r="Y39" i="307"/>
  <c r="E44" i="307"/>
  <c r="W44" i="307"/>
  <c r="S48" i="307"/>
  <c r="H53" i="307"/>
  <c r="AD53" i="307"/>
  <c r="V53" i="307"/>
  <c r="N53" i="307"/>
  <c r="F53" i="307"/>
  <c r="AJ44" i="307"/>
  <c r="AB44" i="307"/>
  <c r="T44" i="307"/>
  <c r="L44" i="307"/>
  <c r="D44" i="307"/>
  <c r="AK53" i="307"/>
  <c r="AC53" i="307"/>
  <c r="U53" i="307"/>
  <c r="M53" i="307"/>
  <c r="E53" i="307"/>
  <c r="AI44" i="307"/>
  <c r="AA44" i="307"/>
  <c r="S44" i="307"/>
  <c r="K44" i="307"/>
  <c r="AJ53" i="307"/>
  <c r="AB53" i="307"/>
  <c r="T53" i="307"/>
  <c r="L53" i="307"/>
  <c r="D53" i="307"/>
  <c r="AH44" i="307"/>
  <c r="Z44" i="307"/>
  <c r="R44" i="307"/>
  <c r="J44" i="307"/>
  <c r="AI53" i="307"/>
  <c r="AA53" i="307"/>
  <c r="S53" i="307"/>
  <c r="K53" i="307"/>
  <c r="AG44" i="307"/>
  <c r="Y44" i="307"/>
  <c r="Q44" i="307"/>
  <c r="I44" i="307"/>
  <c r="AH53" i="307"/>
  <c r="Z53" i="307"/>
  <c r="R53" i="307"/>
  <c r="J53" i="307"/>
  <c r="AF44" i="307"/>
  <c r="X44" i="307"/>
  <c r="P44" i="307"/>
  <c r="H44" i="307"/>
  <c r="D30" i="307"/>
  <c r="L30" i="307"/>
  <c r="T30" i="307"/>
  <c r="AB30" i="307"/>
  <c r="AJ30" i="307"/>
  <c r="Z39" i="307"/>
  <c r="F44" i="307"/>
  <c r="AC44" i="307"/>
  <c r="Y48" i="307"/>
  <c r="I53" i="307"/>
  <c r="AF53" i="307"/>
  <c r="E10" i="306"/>
  <c r="E9" i="306"/>
  <c r="G30" i="304"/>
  <c r="AE39" i="304"/>
  <c r="D30" i="304"/>
  <c r="N30" i="304"/>
  <c r="AK48" i="304"/>
  <c r="O30" i="304"/>
  <c r="V30" i="304"/>
  <c r="D69" i="304"/>
  <c r="AD30" i="304"/>
  <c r="F39" i="304"/>
  <c r="G48" i="304"/>
  <c r="AE30" i="304"/>
  <c r="P39" i="304"/>
  <c r="AC48" i="304"/>
  <c r="E2" i="305"/>
  <c r="C24" i="305"/>
  <c r="C23" i="305"/>
  <c r="AC44" i="304"/>
  <c r="AK53" i="304"/>
  <c r="AD39" i="304"/>
  <c r="E48" i="304"/>
  <c r="AK34" i="304"/>
  <c r="J34" i="304"/>
  <c r="T34" i="304"/>
  <c r="U34" i="304"/>
  <c r="AH34" i="304"/>
  <c r="AI34" i="304"/>
  <c r="T61" i="304"/>
  <c r="AB61" i="304"/>
  <c r="H70" i="304"/>
  <c r="I34" i="304"/>
  <c r="P70" i="304"/>
  <c r="AJ32" i="304"/>
  <c r="AB32" i="304"/>
  <c r="T32" i="304"/>
  <c r="L32" i="304"/>
  <c r="AI32" i="304"/>
  <c r="AA32" i="304"/>
  <c r="S32" i="304"/>
  <c r="K32" i="304"/>
  <c r="AH32" i="304"/>
  <c r="Z32" i="304"/>
  <c r="R32" i="304"/>
  <c r="J32" i="304"/>
  <c r="AK32" i="304"/>
  <c r="W32" i="304"/>
  <c r="I32" i="304"/>
  <c r="AG32" i="304"/>
  <c r="V32" i="304"/>
  <c r="H32" i="304"/>
  <c r="X32" i="304"/>
  <c r="AF32" i="304"/>
  <c r="U32" i="304"/>
  <c r="G32" i="304"/>
  <c r="AE32" i="304"/>
  <c r="Q32" i="304"/>
  <c r="F32" i="304"/>
  <c r="AD32" i="304"/>
  <c r="P32" i="304"/>
  <c r="E32" i="304"/>
  <c r="Y32" i="304"/>
  <c r="M32" i="304"/>
  <c r="AC32" i="304"/>
  <c r="O32" i="304"/>
  <c r="D32" i="304"/>
  <c r="N32" i="304"/>
  <c r="H30" i="304"/>
  <c r="P30" i="304"/>
  <c r="X30" i="304"/>
  <c r="AF30" i="304"/>
  <c r="K34" i="304"/>
  <c r="Y34" i="304"/>
  <c r="AJ34" i="304"/>
  <c r="G39" i="304"/>
  <c r="U39" i="304"/>
  <c r="AF39" i="304"/>
  <c r="M44" i="304"/>
  <c r="AI44" i="304"/>
  <c r="I48" i="304"/>
  <c r="AE48" i="304"/>
  <c r="S53" i="304"/>
  <c r="AJ61" i="304"/>
  <c r="X70" i="304"/>
  <c r="I30" i="304"/>
  <c r="Q30" i="304"/>
  <c r="Y30" i="304"/>
  <c r="AG30" i="304"/>
  <c r="L34" i="304"/>
  <c r="Z34" i="304"/>
  <c r="H39" i="304"/>
  <c r="V39" i="304"/>
  <c r="AG39" i="304"/>
  <c r="Q44" i="304"/>
  <c r="AK44" i="304"/>
  <c r="M48" i="304"/>
  <c r="AG48" i="304"/>
  <c r="U53" i="304"/>
  <c r="AF34" i="304"/>
  <c r="X34" i="304"/>
  <c r="P34" i="304"/>
  <c r="H34" i="304"/>
  <c r="AE34" i="304"/>
  <c r="W34" i="304"/>
  <c r="O34" i="304"/>
  <c r="G34" i="304"/>
  <c r="AD34" i="304"/>
  <c r="V34" i="304"/>
  <c r="N34" i="304"/>
  <c r="F34" i="304"/>
  <c r="J30" i="304"/>
  <c r="R30" i="304"/>
  <c r="Z30" i="304"/>
  <c r="AH30" i="304"/>
  <c r="M34" i="304"/>
  <c r="AA34" i="304"/>
  <c r="I39" i="304"/>
  <c r="W39" i="304"/>
  <c r="AK39" i="304"/>
  <c r="S44" i="304"/>
  <c r="O48" i="304"/>
  <c r="W53" i="304"/>
  <c r="J69" i="304"/>
  <c r="AF48" i="304"/>
  <c r="X48" i="304"/>
  <c r="P48" i="304"/>
  <c r="H48" i="304"/>
  <c r="AD48" i="304"/>
  <c r="V48" i="304"/>
  <c r="N48" i="304"/>
  <c r="F48" i="304"/>
  <c r="AJ48" i="304"/>
  <c r="AB48" i="304"/>
  <c r="T48" i="304"/>
  <c r="L48" i="304"/>
  <c r="D48" i="304"/>
  <c r="AJ39" i="304"/>
  <c r="AB39" i="304"/>
  <c r="T39" i="304"/>
  <c r="L39" i="304"/>
  <c r="D39" i="304"/>
  <c r="AI48" i="304"/>
  <c r="AA48" i="304"/>
  <c r="S48" i="304"/>
  <c r="K48" i="304"/>
  <c r="AI39" i="304"/>
  <c r="AA39" i="304"/>
  <c r="S39" i="304"/>
  <c r="K39" i="304"/>
  <c r="AH48" i="304"/>
  <c r="Z48" i="304"/>
  <c r="R48" i="304"/>
  <c r="J48" i="304"/>
  <c r="AH39" i="304"/>
  <c r="Z39" i="304"/>
  <c r="R39" i="304"/>
  <c r="J39" i="304"/>
  <c r="K30" i="304"/>
  <c r="S30" i="304"/>
  <c r="AA30" i="304"/>
  <c r="AI30" i="304"/>
  <c r="Q34" i="304"/>
  <c r="AB34" i="304"/>
  <c r="M39" i="304"/>
  <c r="X39" i="304"/>
  <c r="U44" i="304"/>
  <c r="Q48" i="304"/>
  <c r="E53" i="304"/>
  <c r="R69" i="304"/>
  <c r="AE70" i="304"/>
  <c r="W70" i="304"/>
  <c r="O70" i="304"/>
  <c r="G70" i="304"/>
  <c r="AI61" i="304"/>
  <c r="AA61" i="304"/>
  <c r="S61" i="304"/>
  <c r="K61" i="304"/>
  <c r="AD70" i="304"/>
  <c r="V70" i="304"/>
  <c r="N70" i="304"/>
  <c r="F70" i="304"/>
  <c r="AH61" i="304"/>
  <c r="Z61" i="304"/>
  <c r="R61" i="304"/>
  <c r="J61" i="304"/>
  <c r="AK70" i="304"/>
  <c r="AC70" i="304"/>
  <c r="U70" i="304"/>
  <c r="M70" i="304"/>
  <c r="E70" i="304"/>
  <c r="AG61" i="304"/>
  <c r="Y61" i="304"/>
  <c r="Q61" i="304"/>
  <c r="I61" i="304"/>
  <c r="AJ70" i="304"/>
  <c r="AB70" i="304"/>
  <c r="T70" i="304"/>
  <c r="L70" i="304"/>
  <c r="D70" i="304"/>
  <c r="AF61" i="304"/>
  <c r="X61" i="304"/>
  <c r="P61" i="304"/>
  <c r="H61" i="304"/>
  <c r="AI70" i="304"/>
  <c r="AA70" i="304"/>
  <c r="S70" i="304"/>
  <c r="K70" i="304"/>
  <c r="AE61" i="304"/>
  <c r="W61" i="304"/>
  <c r="O61" i="304"/>
  <c r="G61" i="304"/>
  <c r="AH70" i="304"/>
  <c r="Z70" i="304"/>
  <c r="R70" i="304"/>
  <c r="J70" i="304"/>
  <c r="AD61" i="304"/>
  <c r="V61" i="304"/>
  <c r="N61" i="304"/>
  <c r="F61" i="304"/>
  <c r="AG70" i="304"/>
  <c r="Y70" i="304"/>
  <c r="Q70" i="304"/>
  <c r="I70" i="304"/>
  <c r="AK61" i="304"/>
  <c r="AC61" i="304"/>
  <c r="U61" i="304"/>
  <c r="M61" i="304"/>
  <c r="E61" i="304"/>
  <c r="AD53" i="304"/>
  <c r="V53" i="304"/>
  <c r="N53" i="304"/>
  <c r="F53" i="304"/>
  <c r="AJ44" i="304"/>
  <c r="AB44" i="304"/>
  <c r="T44" i="304"/>
  <c r="L44" i="304"/>
  <c r="D44" i="304"/>
  <c r="AJ53" i="304"/>
  <c r="AB53" i="304"/>
  <c r="T53" i="304"/>
  <c r="L53" i="304"/>
  <c r="D53" i="304"/>
  <c r="AH44" i="304"/>
  <c r="Z44" i="304"/>
  <c r="R44" i="304"/>
  <c r="J44" i="304"/>
  <c r="AH53" i="304"/>
  <c r="Z53" i="304"/>
  <c r="R53" i="304"/>
  <c r="J53" i="304"/>
  <c r="AF44" i="304"/>
  <c r="X44" i="304"/>
  <c r="P44" i="304"/>
  <c r="H44" i="304"/>
  <c r="AG53" i="304"/>
  <c r="Y53" i="304"/>
  <c r="Q53" i="304"/>
  <c r="I53" i="304"/>
  <c r="AE44" i="304"/>
  <c r="W44" i="304"/>
  <c r="O44" i="304"/>
  <c r="G44" i="304"/>
  <c r="AF53" i="304"/>
  <c r="X53" i="304"/>
  <c r="P53" i="304"/>
  <c r="H53" i="304"/>
  <c r="AD44" i="304"/>
  <c r="V44" i="304"/>
  <c r="N44" i="304"/>
  <c r="F44" i="304"/>
  <c r="L30" i="304"/>
  <c r="T30" i="304"/>
  <c r="AB30" i="304"/>
  <c r="AJ30" i="304"/>
  <c r="D34" i="304"/>
  <c r="R34" i="304"/>
  <c r="AC34" i="304"/>
  <c r="N39" i="304"/>
  <c r="Y39" i="304"/>
  <c r="Y44" i="304"/>
  <c r="U48" i="304"/>
  <c r="G53" i="304"/>
  <c r="AC53" i="304"/>
  <c r="D61" i="304"/>
  <c r="AG69" i="304"/>
  <c r="Y69" i="304"/>
  <c r="Q69" i="304"/>
  <c r="I69" i="304"/>
  <c r="AF69" i="304"/>
  <c r="X69" i="304"/>
  <c r="P69" i="304"/>
  <c r="H69" i="304"/>
  <c r="AE69" i="304"/>
  <c r="W69" i="304"/>
  <c r="O69" i="304"/>
  <c r="G69" i="304"/>
  <c r="AD69" i="304"/>
  <c r="V69" i="304"/>
  <c r="N69" i="304"/>
  <c r="F69" i="304"/>
  <c r="AK69" i="304"/>
  <c r="AC69" i="304"/>
  <c r="U69" i="304"/>
  <c r="M69" i="304"/>
  <c r="E69" i="304"/>
  <c r="AJ69" i="304"/>
  <c r="AB69" i="304"/>
  <c r="T69" i="304"/>
  <c r="L69" i="304"/>
  <c r="AI69" i="304"/>
  <c r="AA69" i="304"/>
  <c r="S69" i="304"/>
  <c r="K69" i="304"/>
  <c r="E30" i="304"/>
  <c r="M30" i="304"/>
  <c r="U30" i="304"/>
  <c r="AC30" i="304"/>
  <c r="AK30" i="304"/>
  <c r="E34" i="304"/>
  <c r="S34" i="304"/>
  <c r="AG34" i="304"/>
  <c r="O39" i="304"/>
  <c r="AC39" i="304"/>
  <c r="E44" i="304"/>
  <c r="AA44" i="304"/>
  <c r="W48" i="304"/>
  <c r="K53" i="304"/>
  <c r="AE53" i="304"/>
  <c r="L61" i="304"/>
  <c r="AH69" i="304"/>
  <c r="E3" i="303"/>
  <c r="C23" i="302"/>
  <c r="C24" i="302"/>
  <c r="E2" i="302"/>
  <c r="E103" i="303" l="1"/>
  <c r="E102" i="303"/>
  <c r="E97" i="303"/>
  <c r="E95" i="303"/>
  <c r="E101" i="303"/>
  <c r="E92" i="303"/>
  <c r="E100" i="303"/>
  <c r="E98" i="303"/>
  <c r="E96" i="303"/>
  <c r="E90" i="303"/>
  <c r="E93" i="303"/>
  <c r="E91" i="303"/>
  <c r="E100" i="306"/>
  <c r="E101" i="306"/>
  <c r="E103" i="306"/>
  <c r="E97" i="306"/>
  <c r="E102" i="306"/>
  <c r="E98" i="306"/>
  <c r="E91" i="306"/>
  <c r="E92" i="306"/>
  <c r="E93" i="306"/>
  <c r="E90" i="306"/>
  <c r="E95" i="306"/>
  <c r="E96" i="306"/>
  <c r="E108" i="306"/>
  <c r="E107" i="306"/>
  <c r="E106" i="306"/>
  <c r="E105" i="306"/>
  <c r="F102" i="310"/>
  <c r="F100" i="310"/>
  <c r="F103" i="310"/>
  <c r="F101" i="310"/>
  <c r="F98" i="310"/>
  <c r="F97" i="310"/>
  <c r="F93" i="310"/>
  <c r="F95" i="310"/>
  <c r="F90" i="310"/>
  <c r="F91" i="310"/>
  <c r="F92" i="310"/>
  <c r="F96" i="310"/>
  <c r="E108" i="303"/>
  <c r="E106" i="303"/>
  <c r="E107" i="303"/>
  <c r="E105" i="303"/>
  <c r="F107" i="310"/>
  <c r="F106" i="310"/>
  <c r="F105" i="310"/>
  <c r="F108" i="310"/>
  <c r="F150" i="310"/>
  <c r="F151" i="310"/>
  <c r="E151" i="306"/>
  <c r="E150" i="306"/>
  <c r="E150" i="303"/>
  <c r="E151" i="303"/>
  <c r="F3" i="306"/>
  <c r="G10" i="310"/>
  <c r="F10" i="303"/>
  <c r="F9" i="306"/>
  <c r="F9" i="303"/>
  <c r="F10" i="306"/>
  <c r="G9" i="310"/>
  <c r="G3" i="310"/>
  <c r="F2" i="308"/>
  <c r="F2" i="305"/>
  <c r="F3" i="303"/>
  <c r="F2" i="302"/>
  <c r="F103" i="303" l="1"/>
  <c r="F100" i="303"/>
  <c r="F98" i="303"/>
  <c r="F96" i="303"/>
  <c r="F95" i="303"/>
  <c r="F93" i="303"/>
  <c r="F102" i="303"/>
  <c r="F92" i="303"/>
  <c r="F101" i="303"/>
  <c r="F91" i="303"/>
  <c r="F97" i="303"/>
  <c r="F90" i="303"/>
  <c r="G3" i="306"/>
  <c r="F101" i="306"/>
  <c r="F102" i="306"/>
  <c r="F103" i="306"/>
  <c r="F100" i="306"/>
  <c r="F92" i="306"/>
  <c r="F97" i="306"/>
  <c r="F93" i="306"/>
  <c r="F96" i="306"/>
  <c r="F95" i="306"/>
  <c r="F90" i="306"/>
  <c r="F98" i="306"/>
  <c r="F91" i="306"/>
  <c r="F107" i="306"/>
  <c r="F106" i="306"/>
  <c r="F105" i="306"/>
  <c r="F108" i="306"/>
  <c r="G103" i="310"/>
  <c r="G100" i="310"/>
  <c r="G101" i="310"/>
  <c r="G102" i="310"/>
  <c r="G97" i="310"/>
  <c r="G95" i="310"/>
  <c r="G90" i="310"/>
  <c r="G91" i="310"/>
  <c r="G96" i="310"/>
  <c r="G92" i="310"/>
  <c r="G93" i="310"/>
  <c r="G98" i="310"/>
  <c r="G106" i="310"/>
  <c r="G108" i="310"/>
  <c r="G105" i="310"/>
  <c r="G107" i="310"/>
  <c r="F107" i="303"/>
  <c r="F105" i="303"/>
  <c r="F108" i="303"/>
  <c r="F106" i="303"/>
  <c r="G150" i="310"/>
  <c r="G151" i="310"/>
  <c r="F151" i="306"/>
  <c r="F150" i="306"/>
  <c r="G150" i="306"/>
  <c r="G151" i="306"/>
  <c r="F150" i="303"/>
  <c r="F151" i="303"/>
  <c r="G9" i="306"/>
  <c r="H9" i="310"/>
  <c r="G9" i="303"/>
  <c r="G10" i="303"/>
  <c r="G10" i="306"/>
  <c r="H10" i="310"/>
  <c r="H3" i="310"/>
  <c r="G2" i="308"/>
  <c r="H3" i="306"/>
  <c r="G2" i="305"/>
  <c r="G3" i="303"/>
  <c r="G2" i="302"/>
  <c r="G103" i="303" l="1"/>
  <c r="G100" i="303"/>
  <c r="G98" i="303"/>
  <c r="G96" i="303"/>
  <c r="G101" i="303"/>
  <c r="G93" i="303"/>
  <c r="G90" i="303"/>
  <c r="G102" i="303"/>
  <c r="G97" i="303"/>
  <c r="G91" i="303"/>
  <c r="G95" i="303"/>
  <c r="G92" i="303"/>
  <c r="H103" i="310"/>
  <c r="H100" i="310"/>
  <c r="H101" i="310"/>
  <c r="H102" i="310"/>
  <c r="H97" i="310"/>
  <c r="H91" i="310"/>
  <c r="H96" i="310"/>
  <c r="H92" i="310"/>
  <c r="H98" i="310"/>
  <c r="H93" i="310"/>
  <c r="H90" i="310"/>
  <c r="H95" i="310"/>
  <c r="H103" i="306"/>
  <c r="H100" i="306"/>
  <c r="H102" i="306"/>
  <c r="H101" i="306"/>
  <c r="H95" i="306"/>
  <c r="H90" i="306"/>
  <c r="H96" i="306"/>
  <c r="H91" i="306"/>
  <c r="H98" i="306"/>
  <c r="H92" i="306"/>
  <c r="H93" i="306"/>
  <c r="H105" i="306"/>
  <c r="H108" i="306"/>
  <c r="H97" i="306"/>
  <c r="H107" i="306"/>
  <c r="H106" i="306"/>
  <c r="G102" i="306"/>
  <c r="G103" i="306"/>
  <c r="G101" i="306"/>
  <c r="G100" i="306"/>
  <c r="G98" i="306"/>
  <c r="G96" i="306"/>
  <c r="G97" i="306"/>
  <c r="G93" i="306"/>
  <c r="G95" i="306"/>
  <c r="G90" i="306"/>
  <c r="G91" i="306"/>
  <c r="G92" i="306"/>
  <c r="G106" i="306"/>
  <c r="G105" i="306"/>
  <c r="G108" i="306"/>
  <c r="G107" i="306"/>
  <c r="G106" i="303"/>
  <c r="G108" i="303"/>
  <c r="G107" i="303"/>
  <c r="G105" i="303"/>
  <c r="H108" i="310"/>
  <c r="H107" i="310"/>
  <c r="H105" i="310"/>
  <c r="H106" i="310"/>
  <c r="H150" i="310"/>
  <c r="H151" i="310"/>
  <c r="H151" i="306"/>
  <c r="H150" i="306"/>
  <c r="G151" i="303"/>
  <c r="G150" i="303"/>
  <c r="H9" i="303"/>
  <c r="I10" i="310"/>
  <c r="I9" i="310"/>
  <c r="H10" i="303"/>
  <c r="H10" i="306"/>
  <c r="H9" i="306"/>
  <c r="I3" i="310"/>
  <c r="H2" i="308"/>
  <c r="I3" i="306"/>
  <c r="H2" i="305"/>
  <c r="H3" i="303"/>
  <c r="H2" i="302"/>
  <c r="I100" i="306" l="1"/>
  <c r="I101" i="306"/>
  <c r="I103" i="306"/>
  <c r="I102" i="306"/>
  <c r="I97" i="306"/>
  <c r="I96" i="306"/>
  <c r="I91" i="306"/>
  <c r="I98" i="306"/>
  <c r="I92" i="306"/>
  <c r="I93" i="306"/>
  <c r="I95" i="306"/>
  <c r="I108" i="306"/>
  <c r="I107" i="306"/>
  <c r="I90" i="306"/>
  <c r="I106" i="306"/>
  <c r="I105" i="306"/>
  <c r="H101" i="303"/>
  <c r="H93" i="303"/>
  <c r="H102" i="303"/>
  <c r="H97" i="303"/>
  <c r="H95" i="303"/>
  <c r="H103" i="303"/>
  <c r="H100" i="303"/>
  <c r="H98" i="303"/>
  <c r="H91" i="303"/>
  <c r="H92" i="303"/>
  <c r="H90" i="303"/>
  <c r="H96" i="303"/>
  <c r="I101" i="310"/>
  <c r="I102" i="310"/>
  <c r="I103" i="310"/>
  <c r="I100" i="310"/>
  <c r="I98" i="310"/>
  <c r="I96" i="310"/>
  <c r="I92" i="310"/>
  <c r="I93" i="310"/>
  <c r="I95" i="310"/>
  <c r="I90" i="310"/>
  <c r="I91" i="310"/>
  <c r="I97" i="310"/>
  <c r="H105" i="303"/>
  <c r="H107" i="303"/>
  <c r="H108" i="303"/>
  <c r="H106" i="303"/>
  <c r="I108" i="310"/>
  <c r="I107" i="310"/>
  <c r="I106" i="310"/>
  <c r="I105" i="310"/>
  <c r="I150" i="310"/>
  <c r="I151" i="310"/>
  <c r="I150" i="306"/>
  <c r="I151" i="306"/>
  <c r="H151" i="303"/>
  <c r="H150" i="303"/>
  <c r="I27" i="306"/>
  <c r="I28" i="306"/>
  <c r="I29" i="306"/>
  <c r="I28" i="310"/>
  <c r="I29" i="310"/>
  <c r="I27" i="310"/>
  <c r="I10" i="303"/>
  <c r="J9" i="310"/>
  <c r="J10" i="310"/>
  <c r="I9" i="306"/>
  <c r="I10" i="306"/>
  <c r="I9" i="303"/>
  <c r="J3" i="310"/>
  <c r="I2" i="308"/>
  <c r="J3" i="306"/>
  <c r="I2" i="305"/>
  <c r="I3" i="303"/>
  <c r="I2" i="302"/>
  <c r="J101" i="306" l="1"/>
  <c r="J102" i="306"/>
  <c r="J100" i="306"/>
  <c r="J98" i="306"/>
  <c r="J92" i="306"/>
  <c r="J93" i="306"/>
  <c r="J97" i="306"/>
  <c r="J95" i="306"/>
  <c r="J90" i="306"/>
  <c r="J103" i="306"/>
  <c r="J96" i="306"/>
  <c r="J91" i="306"/>
  <c r="J107" i="306"/>
  <c r="J106" i="306"/>
  <c r="J105" i="306"/>
  <c r="J108" i="306"/>
  <c r="I103" i="303"/>
  <c r="I102" i="303"/>
  <c r="I97" i="303"/>
  <c r="I95" i="303"/>
  <c r="I93" i="303"/>
  <c r="I92" i="303"/>
  <c r="I96" i="303"/>
  <c r="I101" i="303"/>
  <c r="I91" i="303"/>
  <c r="I90" i="303"/>
  <c r="I98" i="303"/>
  <c r="I100" i="303"/>
  <c r="J102" i="310"/>
  <c r="J103" i="310"/>
  <c r="J100" i="310"/>
  <c r="J98" i="310"/>
  <c r="J96" i="310"/>
  <c r="J93" i="310"/>
  <c r="J95" i="310"/>
  <c r="J90" i="310"/>
  <c r="J101" i="310"/>
  <c r="J97" i="310"/>
  <c r="J91" i="310"/>
  <c r="J92" i="310"/>
  <c r="I108" i="303"/>
  <c r="I106" i="303"/>
  <c r="I107" i="303"/>
  <c r="I105" i="303"/>
  <c r="J107" i="310"/>
  <c r="J108" i="310"/>
  <c r="J106" i="310"/>
  <c r="J105" i="310"/>
  <c r="J150" i="310"/>
  <c r="J151" i="310"/>
  <c r="J150" i="306"/>
  <c r="J151" i="306"/>
  <c r="I150" i="303"/>
  <c r="I151" i="303"/>
  <c r="I27" i="303"/>
  <c r="I28" i="303"/>
  <c r="I29" i="303"/>
  <c r="J27" i="306"/>
  <c r="J28" i="306"/>
  <c r="J29" i="306"/>
  <c r="J28" i="310"/>
  <c r="J29" i="310"/>
  <c r="J27" i="310"/>
  <c r="J9" i="303"/>
  <c r="J9" i="306"/>
  <c r="K10" i="310"/>
  <c r="K9" i="310"/>
  <c r="J10" i="306"/>
  <c r="J10" i="303"/>
  <c r="I32" i="310"/>
  <c r="K3" i="310"/>
  <c r="I31" i="310"/>
  <c r="I53" i="308"/>
  <c r="I192" i="310" s="1"/>
  <c r="I52" i="308"/>
  <c r="I191" i="310" s="1"/>
  <c r="J2" i="308"/>
  <c r="I32" i="306"/>
  <c r="K3" i="306"/>
  <c r="I31" i="306"/>
  <c r="I53" i="305"/>
  <c r="I192" i="306" s="1"/>
  <c r="I52" i="305"/>
  <c r="I191" i="306" s="1"/>
  <c r="J2" i="305"/>
  <c r="J3" i="303"/>
  <c r="I53" i="302"/>
  <c r="I192" i="303" s="1"/>
  <c r="J2" i="302"/>
  <c r="I52" i="302"/>
  <c r="I191" i="303" s="1"/>
  <c r="K102" i="306" l="1"/>
  <c r="K103" i="306"/>
  <c r="K101" i="306"/>
  <c r="K98" i="306"/>
  <c r="K96" i="306"/>
  <c r="K100" i="306"/>
  <c r="K93" i="306"/>
  <c r="K97" i="306"/>
  <c r="K95" i="306"/>
  <c r="K90" i="306"/>
  <c r="K91" i="306"/>
  <c r="K92" i="306"/>
  <c r="K106" i="306"/>
  <c r="K105" i="306"/>
  <c r="K108" i="306"/>
  <c r="K107" i="306"/>
  <c r="K103" i="310"/>
  <c r="K100" i="310"/>
  <c r="K101" i="310"/>
  <c r="K102" i="310"/>
  <c r="K97" i="310"/>
  <c r="K95" i="310"/>
  <c r="K90" i="310"/>
  <c r="K98" i="310"/>
  <c r="K91" i="310"/>
  <c r="K92" i="310"/>
  <c r="K96" i="310"/>
  <c r="K93" i="310"/>
  <c r="J103" i="303"/>
  <c r="J100" i="303"/>
  <c r="J98" i="303"/>
  <c r="J96" i="303"/>
  <c r="J102" i="303"/>
  <c r="J97" i="303"/>
  <c r="J101" i="303"/>
  <c r="J93" i="303"/>
  <c r="J90" i="303"/>
  <c r="J92" i="303"/>
  <c r="J95" i="303"/>
  <c r="J91" i="303"/>
  <c r="K106" i="310"/>
  <c r="K108" i="310"/>
  <c r="K105" i="310"/>
  <c r="K107" i="310"/>
  <c r="J107" i="303"/>
  <c r="J105" i="303"/>
  <c r="J106" i="303"/>
  <c r="J108" i="303"/>
  <c r="K150" i="310"/>
  <c r="K151" i="310"/>
  <c r="K151" i="306"/>
  <c r="K150" i="306"/>
  <c r="J150" i="303"/>
  <c r="J151" i="303"/>
  <c r="J27" i="303"/>
  <c r="J28" i="303"/>
  <c r="J29" i="303"/>
  <c r="K27" i="306"/>
  <c r="K28" i="306"/>
  <c r="K29" i="306"/>
  <c r="K27" i="310"/>
  <c r="K28" i="310"/>
  <c r="K29" i="310"/>
  <c r="L9" i="310"/>
  <c r="L10" i="310"/>
  <c r="K10" i="303"/>
  <c r="K9" i="306"/>
  <c r="K10" i="306"/>
  <c r="K9" i="303"/>
  <c r="L3" i="310"/>
  <c r="J31" i="310"/>
  <c r="J32" i="310"/>
  <c r="J53" i="308"/>
  <c r="J192" i="310" s="1"/>
  <c r="J52" i="308"/>
  <c r="J191" i="310" s="1"/>
  <c r="K2" i="308"/>
  <c r="J31" i="306"/>
  <c r="J32" i="306"/>
  <c r="L3" i="306"/>
  <c r="J53" i="305"/>
  <c r="J192" i="306" s="1"/>
  <c r="J52" i="305"/>
  <c r="J191" i="306" s="1"/>
  <c r="K2" i="305"/>
  <c r="I31" i="303"/>
  <c r="I32" i="303"/>
  <c r="K3" i="303"/>
  <c r="J53" i="302"/>
  <c r="J192" i="303" s="1"/>
  <c r="J52" i="302"/>
  <c r="J191" i="303" s="1"/>
  <c r="K2" i="302"/>
  <c r="K103" i="303" l="1"/>
  <c r="K100" i="303"/>
  <c r="K98" i="303"/>
  <c r="K96" i="303"/>
  <c r="K101" i="303"/>
  <c r="K93" i="303"/>
  <c r="K90" i="303"/>
  <c r="K95" i="303"/>
  <c r="K91" i="303"/>
  <c r="K102" i="303"/>
  <c r="K92" i="303"/>
  <c r="K97" i="303"/>
  <c r="L103" i="310"/>
  <c r="L100" i="310"/>
  <c r="L101" i="310"/>
  <c r="L102" i="310"/>
  <c r="L97" i="310"/>
  <c r="L98" i="310"/>
  <c r="L91" i="310"/>
  <c r="L92" i="310"/>
  <c r="L96" i="310"/>
  <c r="L93" i="310"/>
  <c r="L90" i="310"/>
  <c r="L95" i="310"/>
  <c r="L103" i="306"/>
  <c r="L100" i="306"/>
  <c r="L102" i="306"/>
  <c r="L101" i="306"/>
  <c r="L97" i="306"/>
  <c r="L95" i="306"/>
  <c r="L90" i="306"/>
  <c r="L91" i="306"/>
  <c r="L96" i="306"/>
  <c r="L92" i="306"/>
  <c r="L98" i="306"/>
  <c r="L93" i="306"/>
  <c r="L105" i="306"/>
  <c r="L108" i="306"/>
  <c r="L107" i="306"/>
  <c r="L106" i="306"/>
  <c r="L108" i="310"/>
  <c r="L107" i="310"/>
  <c r="L106" i="310"/>
  <c r="L105" i="310"/>
  <c r="K106" i="303"/>
  <c r="K108" i="303"/>
  <c r="K105" i="303"/>
  <c r="K107" i="303"/>
  <c r="L151" i="310"/>
  <c r="L150" i="310"/>
  <c r="L150" i="306"/>
  <c r="L151" i="306"/>
  <c r="K150" i="303"/>
  <c r="K151" i="303"/>
  <c r="K27" i="303"/>
  <c r="K28" i="303"/>
  <c r="K29" i="303"/>
  <c r="L29" i="306"/>
  <c r="L27" i="306"/>
  <c r="L28" i="306"/>
  <c r="L27" i="310"/>
  <c r="L28" i="310"/>
  <c r="L29" i="310"/>
  <c r="L9" i="306"/>
  <c r="L10" i="303"/>
  <c r="L9" i="303"/>
  <c r="M10" i="310"/>
  <c r="L10" i="306"/>
  <c r="M9" i="310"/>
  <c r="M3" i="310"/>
  <c r="K32" i="310"/>
  <c r="K31" i="310"/>
  <c r="K53" i="308"/>
  <c r="K192" i="310" s="1"/>
  <c r="K52" i="308"/>
  <c r="K191" i="310" s="1"/>
  <c r="L2" i="308"/>
  <c r="M3" i="306"/>
  <c r="K31" i="306"/>
  <c r="K32" i="306"/>
  <c r="K53" i="305"/>
  <c r="K192" i="306" s="1"/>
  <c r="K52" i="305"/>
  <c r="K191" i="306" s="1"/>
  <c r="L2" i="305"/>
  <c r="J32" i="303"/>
  <c r="L3" i="303"/>
  <c r="J31" i="303"/>
  <c r="K53" i="302"/>
  <c r="K192" i="303" s="1"/>
  <c r="K52" i="302"/>
  <c r="K191" i="303" s="1"/>
  <c r="L2" i="302"/>
  <c r="L101" i="303" l="1"/>
  <c r="L93" i="303"/>
  <c r="L102" i="303"/>
  <c r="L97" i="303"/>
  <c r="L95" i="303"/>
  <c r="L96" i="303"/>
  <c r="L91" i="303"/>
  <c r="L92" i="303"/>
  <c r="L98" i="303"/>
  <c r="L103" i="303"/>
  <c r="L100" i="303"/>
  <c r="L90" i="303"/>
  <c r="M100" i="306"/>
  <c r="M101" i="306"/>
  <c r="M103" i="306"/>
  <c r="M97" i="306"/>
  <c r="M102" i="306"/>
  <c r="M91" i="306"/>
  <c r="M96" i="306"/>
  <c r="M92" i="306"/>
  <c r="M98" i="306"/>
  <c r="M93" i="306"/>
  <c r="M90" i="306"/>
  <c r="M108" i="306"/>
  <c r="M95" i="306"/>
  <c r="M107" i="306"/>
  <c r="M106" i="306"/>
  <c r="M105" i="306"/>
  <c r="M103" i="310"/>
  <c r="M101" i="310"/>
  <c r="M102" i="310"/>
  <c r="M100" i="310"/>
  <c r="M98" i="310"/>
  <c r="M96" i="310"/>
  <c r="M92" i="310"/>
  <c r="M97" i="310"/>
  <c r="M93" i="310"/>
  <c r="M95" i="310"/>
  <c r="M90" i="310"/>
  <c r="M91" i="310"/>
  <c r="L105" i="303"/>
  <c r="L107" i="303"/>
  <c r="L108" i="303"/>
  <c r="L106" i="303"/>
  <c r="M108" i="310"/>
  <c r="M107" i="310"/>
  <c r="M106" i="310"/>
  <c r="M105" i="310"/>
  <c r="M150" i="310"/>
  <c r="M151" i="310"/>
  <c r="M151" i="306"/>
  <c r="M150" i="306"/>
  <c r="L150" i="303"/>
  <c r="L151" i="303"/>
  <c r="L27" i="303"/>
  <c r="L28" i="303"/>
  <c r="L29" i="303"/>
  <c r="M29" i="306"/>
  <c r="M27" i="306"/>
  <c r="M28" i="306"/>
  <c r="M29" i="310"/>
  <c r="M27" i="310"/>
  <c r="M28" i="310"/>
  <c r="N10" i="310"/>
  <c r="M9" i="303"/>
  <c r="N9" i="310"/>
  <c r="M10" i="303"/>
  <c r="M10" i="306"/>
  <c r="M9" i="306"/>
  <c r="L32" i="310"/>
  <c r="N3" i="310"/>
  <c r="L31" i="310"/>
  <c r="L53" i="308"/>
  <c r="L192" i="310" s="1"/>
  <c r="L52" i="308"/>
  <c r="L191" i="310" s="1"/>
  <c r="M2" i="308"/>
  <c r="L32" i="306"/>
  <c r="N3" i="306"/>
  <c r="L31" i="306"/>
  <c r="L53" i="305"/>
  <c r="L192" i="306" s="1"/>
  <c r="L52" i="305"/>
  <c r="L191" i="306" s="1"/>
  <c r="M2" i="305"/>
  <c r="K32" i="303"/>
  <c r="K31" i="303"/>
  <c r="M3" i="303"/>
  <c r="L53" i="302"/>
  <c r="L192" i="303" s="1"/>
  <c r="L52" i="302"/>
  <c r="L191" i="303" s="1"/>
  <c r="M2" i="302"/>
  <c r="M103" i="303" l="1"/>
  <c r="M102" i="303"/>
  <c r="M97" i="303"/>
  <c r="M95" i="303"/>
  <c r="M101" i="303"/>
  <c r="M92" i="303"/>
  <c r="M100" i="303"/>
  <c r="M98" i="303"/>
  <c r="M96" i="303"/>
  <c r="M91" i="303"/>
  <c r="M90" i="303"/>
  <c r="M93" i="303"/>
  <c r="N102" i="310"/>
  <c r="N100" i="310"/>
  <c r="N101" i="310"/>
  <c r="N103" i="310"/>
  <c r="N98" i="310"/>
  <c r="N96" i="310"/>
  <c r="N97" i="310"/>
  <c r="N93" i="310"/>
  <c r="N95" i="310"/>
  <c r="N90" i="310"/>
  <c r="N91" i="310"/>
  <c r="N92" i="310"/>
  <c r="N101" i="306"/>
  <c r="N102" i="306"/>
  <c r="N103" i="306"/>
  <c r="N100" i="306"/>
  <c r="N96" i="306"/>
  <c r="N92" i="306"/>
  <c r="N98" i="306"/>
  <c r="N93" i="306"/>
  <c r="N95" i="306"/>
  <c r="N90" i="306"/>
  <c r="N91" i="306"/>
  <c r="N97" i="306"/>
  <c r="N107" i="306"/>
  <c r="N106" i="306"/>
  <c r="N105" i="306"/>
  <c r="N108" i="306"/>
  <c r="N107" i="310"/>
  <c r="N108" i="310"/>
  <c r="N105" i="310"/>
  <c r="N106" i="310"/>
  <c r="M108" i="303"/>
  <c r="M106" i="303"/>
  <c r="M107" i="303"/>
  <c r="M105" i="303"/>
  <c r="N150" i="310"/>
  <c r="N151" i="310"/>
  <c r="N151" i="306"/>
  <c r="N150" i="306"/>
  <c r="M150" i="303"/>
  <c r="M151" i="303"/>
  <c r="M27" i="303"/>
  <c r="M28" i="303"/>
  <c r="M29" i="303"/>
  <c r="N28" i="306"/>
  <c r="N29" i="306"/>
  <c r="N27" i="306"/>
  <c r="N29" i="310"/>
  <c r="N27" i="310"/>
  <c r="N28" i="310"/>
  <c r="O9" i="310"/>
  <c r="N9" i="306"/>
  <c r="N9" i="303"/>
  <c r="N10" i="303"/>
  <c r="N10" i="306"/>
  <c r="O10" i="310"/>
  <c r="M31" i="310"/>
  <c r="M32" i="310"/>
  <c r="O3" i="310"/>
  <c r="M53" i="308"/>
  <c r="M192" i="310" s="1"/>
  <c r="M52" i="308"/>
  <c r="M191" i="310" s="1"/>
  <c r="N2" i="308"/>
  <c r="M32" i="306"/>
  <c r="M31" i="306"/>
  <c r="O3" i="306"/>
  <c r="M53" i="305"/>
  <c r="M192" i="306" s="1"/>
  <c r="M52" i="305"/>
  <c r="M191" i="306" s="1"/>
  <c r="N2" i="305"/>
  <c r="L31" i="303"/>
  <c r="N3" i="303"/>
  <c r="L32" i="303"/>
  <c r="M53" i="302"/>
  <c r="M192" i="303" s="1"/>
  <c r="M52" i="302"/>
  <c r="M191" i="303" s="1"/>
  <c r="N2" i="302"/>
  <c r="O103" i="310" l="1"/>
  <c r="O100" i="310"/>
  <c r="O101" i="310"/>
  <c r="O102" i="310"/>
  <c r="O97" i="310"/>
  <c r="O95" i="310"/>
  <c r="O90" i="310"/>
  <c r="O96" i="310"/>
  <c r="O91" i="310"/>
  <c r="O92" i="310"/>
  <c r="O98" i="310"/>
  <c r="O93" i="310"/>
  <c r="N103" i="303"/>
  <c r="N100" i="303"/>
  <c r="N98" i="303"/>
  <c r="N96" i="303"/>
  <c r="N95" i="303"/>
  <c r="N93" i="303"/>
  <c r="N102" i="303"/>
  <c r="N101" i="303"/>
  <c r="N92" i="303"/>
  <c r="N97" i="303"/>
  <c r="N91" i="303"/>
  <c r="N90" i="303"/>
  <c r="O102" i="306"/>
  <c r="O103" i="306"/>
  <c r="O101" i="306"/>
  <c r="O100" i="306"/>
  <c r="O98" i="306"/>
  <c r="O96" i="306"/>
  <c r="O93" i="306"/>
  <c r="O95" i="306"/>
  <c r="O90" i="306"/>
  <c r="O97" i="306"/>
  <c r="O91" i="306"/>
  <c r="O92" i="306"/>
  <c r="O106" i="306"/>
  <c r="O105" i="306"/>
  <c r="O108" i="306"/>
  <c r="O107" i="306"/>
  <c r="N107" i="303"/>
  <c r="N105" i="303"/>
  <c r="N108" i="303"/>
  <c r="N106" i="303"/>
  <c r="O106" i="310"/>
  <c r="O108" i="310"/>
  <c r="O107" i="310"/>
  <c r="O105" i="310"/>
  <c r="O150" i="310"/>
  <c r="O151" i="310"/>
  <c r="O150" i="306"/>
  <c r="O151" i="306"/>
  <c r="N29" i="303"/>
  <c r="N150" i="303"/>
  <c r="N151" i="303"/>
  <c r="N27" i="303"/>
  <c r="N28" i="303"/>
  <c r="O28" i="306"/>
  <c r="O29" i="306"/>
  <c r="O27" i="306"/>
  <c r="O29" i="310"/>
  <c r="O27" i="310"/>
  <c r="O28" i="310"/>
  <c r="O10" i="303"/>
  <c r="O9" i="303"/>
  <c r="P10" i="310"/>
  <c r="O9" i="306"/>
  <c r="O10" i="306"/>
  <c r="P9" i="310"/>
  <c r="P3" i="310"/>
  <c r="N32" i="310"/>
  <c r="N31" i="310"/>
  <c r="N52" i="308"/>
  <c r="N191" i="310" s="1"/>
  <c r="O2" i="308"/>
  <c r="N53" i="308"/>
  <c r="N192" i="310" s="1"/>
  <c r="N32" i="306"/>
  <c r="N31" i="306"/>
  <c r="P3" i="306"/>
  <c r="N52" i="305"/>
  <c r="N191" i="306" s="1"/>
  <c r="N53" i="305"/>
  <c r="N192" i="306" s="1"/>
  <c r="O2" i="305"/>
  <c r="M31" i="303"/>
  <c r="O3" i="303"/>
  <c r="M32" i="303"/>
  <c r="N52" i="302"/>
  <c r="N191" i="303" s="1"/>
  <c r="O2" i="302"/>
  <c r="N53" i="302"/>
  <c r="N192" i="303" s="1"/>
  <c r="P103" i="306" l="1"/>
  <c r="P100" i="306"/>
  <c r="P102" i="306"/>
  <c r="P101" i="306"/>
  <c r="P98" i="306"/>
  <c r="P95" i="306"/>
  <c r="P90" i="306"/>
  <c r="P97" i="306"/>
  <c r="P91" i="306"/>
  <c r="P92" i="306"/>
  <c r="P96" i="306"/>
  <c r="P105" i="306"/>
  <c r="P108" i="306"/>
  <c r="P107" i="306"/>
  <c r="P93" i="306"/>
  <c r="P106" i="306"/>
  <c r="P103" i="310"/>
  <c r="P100" i="310"/>
  <c r="P101" i="310"/>
  <c r="P102" i="310"/>
  <c r="P97" i="310"/>
  <c r="P96" i="310"/>
  <c r="P91" i="310"/>
  <c r="P92" i="310"/>
  <c r="P98" i="310"/>
  <c r="P93" i="310"/>
  <c r="P90" i="310"/>
  <c r="P95" i="310"/>
  <c r="O103" i="303"/>
  <c r="O100" i="303"/>
  <c r="O98" i="303"/>
  <c r="O96" i="303"/>
  <c r="O101" i="303"/>
  <c r="O93" i="303"/>
  <c r="O90" i="303"/>
  <c r="O102" i="303"/>
  <c r="O97" i="303"/>
  <c r="O91" i="303"/>
  <c r="O95" i="303"/>
  <c r="O92" i="303"/>
  <c r="P108" i="310"/>
  <c r="P107" i="310"/>
  <c r="P105" i="310"/>
  <c r="P106" i="310"/>
  <c r="O106" i="303"/>
  <c r="O108" i="303"/>
  <c r="O107" i="303"/>
  <c r="O105" i="303"/>
  <c r="P150" i="310"/>
  <c r="P151" i="310"/>
  <c r="P151" i="306"/>
  <c r="P150" i="306"/>
  <c r="O28" i="303"/>
  <c r="O29" i="303"/>
  <c r="O151" i="303"/>
  <c r="O27" i="303"/>
  <c r="O150" i="303"/>
  <c r="P27" i="306"/>
  <c r="P28" i="306"/>
  <c r="P29" i="306"/>
  <c r="P28" i="310"/>
  <c r="P27" i="310"/>
  <c r="P29" i="310"/>
  <c r="P9" i="306"/>
  <c r="Q10" i="310"/>
  <c r="Q9" i="310"/>
  <c r="P9" i="303"/>
  <c r="P10" i="306"/>
  <c r="P10" i="303"/>
  <c r="O32" i="310"/>
  <c r="Q3" i="310"/>
  <c r="O31" i="310"/>
  <c r="O52" i="308"/>
  <c r="O191" i="310" s="1"/>
  <c r="O53" i="308"/>
  <c r="O192" i="310" s="1"/>
  <c r="P2" i="308"/>
  <c r="O31" i="306"/>
  <c r="O32" i="306"/>
  <c r="Q3" i="306"/>
  <c r="O52" i="305"/>
  <c r="O191" i="306" s="1"/>
  <c r="O53" i="305"/>
  <c r="O192" i="306" s="1"/>
  <c r="P2" i="305"/>
  <c r="P3" i="303"/>
  <c r="N32" i="303"/>
  <c r="N31" i="303"/>
  <c r="O52" i="302"/>
  <c r="O191" i="303" s="1"/>
  <c r="P2" i="302"/>
  <c r="O53" i="302"/>
  <c r="O192" i="303" s="1"/>
  <c r="P101" i="303" l="1"/>
  <c r="P93" i="303"/>
  <c r="P103" i="303"/>
  <c r="P102" i="303"/>
  <c r="P97" i="303"/>
  <c r="P95" i="303"/>
  <c r="P100" i="303"/>
  <c r="P98" i="303"/>
  <c r="P91" i="303"/>
  <c r="P92" i="303"/>
  <c r="P90" i="303"/>
  <c r="P96" i="303"/>
  <c r="Q100" i="306"/>
  <c r="Q101" i="306"/>
  <c r="Q103" i="306"/>
  <c r="Q102" i="306"/>
  <c r="Q97" i="306"/>
  <c r="Q95" i="306"/>
  <c r="Q91" i="306"/>
  <c r="Q92" i="306"/>
  <c r="Q96" i="306"/>
  <c r="Q93" i="306"/>
  <c r="Q90" i="306"/>
  <c r="Q98" i="306"/>
  <c r="Q108" i="306"/>
  <c r="Q107" i="306"/>
  <c r="Q106" i="306"/>
  <c r="Q105" i="306"/>
  <c r="Q101" i="310"/>
  <c r="Q102" i="310"/>
  <c r="Q103" i="310"/>
  <c r="Q100" i="310"/>
  <c r="Q98" i="310"/>
  <c r="Q96" i="310"/>
  <c r="Q92" i="310"/>
  <c r="Q93" i="310"/>
  <c r="Q95" i="310"/>
  <c r="Q90" i="310"/>
  <c r="Q97" i="310"/>
  <c r="Q91" i="310"/>
  <c r="P105" i="303"/>
  <c r="P107" i="303"/>
  <c r="P108" i="303"/>
  <c r="P106" i="303"/>
  <c r="Q108" i="310"/>
  <c r="Q107" i="310"/>
  <c r="Q106" i="310"/>
  <c r="Q105" i="310"/>
  <c r="Q150" i="310"/>
  <c r="Q151" i="310"/>
  <c r="Q150" i="306"/>
  <c r="Q151" i="306"/>
  <c r="P151" i="303"/>
  <c r="P27" i="303"/>
  <c r="P28" i="303"/>
  <c r="P150" i="303"/>
  <c r="P29" i="303"/>
  <c r="Q27" i="306"/>
  <c r="Q28" i="306"/>
  <c r="Q29" i="306"/>
  <c r="Q28" i="310"/>
  <c r="Q29" i="310"/>
  <c r="Q27" i="310"/>
  <c r="Q9" i="303"/>
  <c r="R9" i="310"/>
  <c r="Q10" i="303"/>
  <c r="R10" i="310"/>
  <c r="Q10" i="306"/>
  <c r="Q9" i="306"/>
  <c r="P31" i="310"/>
  <c r="P32" i="310"/>
  <c r="R3" i="310"/>
  <c r="P52" i="308"/>
  <c r="P191" i="310" s="1"/>
  <c r="Q2" i="308"/>
  <c r="P53" i="308"/>
  <c r="P192" i="310" s="1"/>
  <c r="R3" i="306"/>
  <c r="P31" i="306"/>
  <c r="P32" i="306"/>
  <c r="P53" i="305"/>
  <c r="P192" i="306" s="1"/>
  <c r="Q2" i="305"/>
  <c r="P52" i="305"/>
  <c r="P191" i="306" s="1"/>
  <c r="O32" i="303"/>
  <c r="Q3" i="303"/>
  <c r="O31" i="303"/>
  <c r="P53" i="302"/>
  <c r="P192" i="303" s="1"/>
  <c r="Q2" i="302"/>
  <c r="P52" i="302"/>
  <c r="P191" i="303" s="1"/>
  <c r="R101" i="306" l="1"/>
  <c r="R102" i="306"/>
  <c r="R100" i="306"/>
  <c r="R103" i="306"/>
  <c r="R97" i="306"/>
  <c r="R92" i="306"/>
  <c r="R96" i="306"/>
  <c r="R93" i="306"/>
  <c r="R98" i="306"/>
  <c r="R90" i="306"/>
  <c r="R91" i="306"/>
  <c r="R95" i="306"/>
  <c r="R107" i="306"/>
  <c r="R106" i="306"/>
  <c r="R105" i="306"/>
  <c r="R108" i="306"/>
  <c r="R102" i="310"/>
  <c r="R103" i="310"/>
  <c r="R100" i="310"/>
  <c r="R101" i="310"/>
  <c r="R98" i="310"/>
  <c r="R96" i="310"/>
  <c r="R93" i="310"/>
  <c r="R95" i="310"/>
  <c r="R90" i="310"/>
  <c r="R97" i="310"/>
  <c r="R91" i="310"/>
  <c r="R92" i="310"/>
  <c r="Q102" i="303"/>
  <c r="Q103" i="303"/>
  <c r="Q97" i="303"/>
  <c r="Q95" i="303"/>
  <c r="Q93" i="303"/>
  <c r="Q92" i="303"/>
  <c r="Q96" i="303"/>
  <c r="Q101" i="303"/>
  <c r="Q98" i="303"/>
  <c r="Q91" i="303"/>
  <c r="Q100" i="303"/>
  <c r="Q90" i="303"/>
  <c r="Q108" i="303"/>
  <c r="Q106" i="303"/>
  <c r="Q107" i="303"/>
  <c r="Q105" i="303"/>
  <c r="R107" i="310"/>
  <c r="R106" i="310"/>
  <c r="R105" i="310"/>
  <c r="R108" i="310"/>
  <c r="R150" i="310"/>
  <c r="R151" i="310"/>
  <c r="R151" i="306"/>
  <c r="R150" i="306"/>
  <c r="Q150" i="303"/>
  <c r="Q151" i="303"/>
  <c r="Q27" i="303"/>
  <c r="Q28" i="303"/>
  <c r="Q29" i="303"/>
  <c r="R27" i="306"/>
  <c r="R28" i="306"/>
  <c r="R29" i="306"/>
  <c r="R29" i="310"/>
  <c r="R28" i="310"/>
  <c r="R27" i="310"/>
  <c r="S10" i="310"/>
  <c r="R10" i="303"/>
  <c r="R9" i="306"/>
  <c r="S9" i="310"/>
  <c r="R10" i="306"/>
  <c r="R9" i="303"/>
  <c r="S3" i="310"/>
  <c r="Q31" i="310"/>
  <c r="Q32" i="310"/>
  <c r="Q53" i="308"/>
  <c r="Q192" i="310" s="1"/>
  <c r="R2" i="308"/>
  <c r="Q52" i="308"/>
  <c r="Q191" i="310" s="1"/>
  <c r="Q32" i="306"/>
  <c r="Q31" i="306"/>
  <c r="S3" i="306"/>
  <c r="Q53" i="305"/>
  <c r="Q192" i="306" s="1"/>
  <c r="Q52" i="305"/>
  <c r="Q191" i="306" s="1"/>
  <c r="R2" i="305"/>
  <c r="P31" i="303"/>
  <c r="P32" i="303"/>
  <c r="R3" i="303"/>
  <c r="Q53" i="302"/>
  <c r="Q192" i="303" s="1"/>
  <c r="R2" i="302"/>
  <c r="Q52" i="302"/>
  <c r="Q191" i="303" s="1"/>
  <c r="R103" i="303" l="1"/>
  <c r="R102" i="303"/>
  <c r="R100" i="303"/>
  <c r="R98" i="303"/>
  <c r="R96" i="303"/>
  <c r="R97" i="303"/>
  <c r="R101" i="303"/>
  <c r="R95" i="303"/>
  <c r="R93" i="303"/>
  <c r="R92" i="303"/>
  <c r="R90" i="303"/>
  <c r="R91" i="303"/>
  <c r="S102" i="306"/>
  <c r="S103" i="306"/>
  <c r="S101" i="306"/>
  <c r="S98" i="306"/>
  <c r="S96" i="306"/>
  <c r="S100" i="306"/>
  <c r="S93" i="306"/>
  <c r="S90" i="306"/>
  <c r="S95" i="306"/>
  <c r="S91" i="306"/>
  <c r="S97" i="306"/>
  <c r="S106" i="306"/>
  <c r="S92" i="306"/>
  <c r="S105" i="306"/>
  <c r="S108" i="306"/>
  <c r="S107" i="306"/>
  <c r="S103" i="310"/>
  <c r="S100" i="310"/>
  <c r="S101" i="310"/>
  <c r="S102" i="310"/>
  <c r="S97" i="310"/>
  <c r="S95" i="310"/>
  <c r="S90" i="310"/>
  <c r="S98" i="310"/>
  <c r="S91" i="310"/>
  <c r="S92" i="310"/>
  <c r="S96" i="310"/>
  <c r="S93" i="310"/>
  <c r="S106" i="310"/>
  <c r="S108" i="310"/>
  <c r="S105" i="310"/>
  <c r="S107" i="310"/>
  <c r="R107" i="303"/>
  <c r="R105" i="303"/>
  <c r="R106" i="303"/>
  <c r="R108" i="303"/>
  <c r="S150" i="310"/>
  <c r="S151" i="310"/>
  <c r="S150" i="306"/>
  <c r="S151" i="306"/>
  <c r="R150" i="303"/>
  <c r="R151" i="303"/>
  <c r="R27" i="303"/>
  <c r="R28" i="303"/>
  <c r="R29" i="303"/>
  <c r="S27" i="306"/>
  <c r="S28" i="306"/>
  <c r="S29" i="306"/>
  <c r="S27" i="310"/>
  <c r="S28" i="310"/>
  <c r="S29" i="310"/>
  <c r="T9" i="310"/>
  <c r="S9" i="306"/>
  <c r="S9" i="303"/>
  <c r="S10" i="303"/>
  <c r="S10" i="306"/>
  <c r="T10" i="310"/>
  <c r="R31" i="310"/>
  <c r="R32" i="310"/>
  <c r="T3" i="310"/>
  <c r="R53" i="308"/>
  <c r="R192" i="310" s="1"/>
  <c r="R52" i="308"/>
  <c r="R191" i="310" s="1"/>
  <c r="S2" i="308"/>
  <c r="R31" i="306"/>
  <c r="R32" i="306"/>
  <c r="T3" i="306"/>
  <c r="R53" i="305"/>
  <c r="R192" i="306" s="1"/>
  <c r="R52" i="305"/>
  <c r="R191" i="306" s="1"/>
  <c r="S2" i="305"/>
  <c r="S3" i="303"/>
  <c r="Q32" i="303"/>
  <c r="Q31" i="303"/>
  <c r="R53" i="302"/>
  <c r="R192" i="303" s="1"/>
  <c r="R52" i="302"/>
  <c r="R191" i="303" s="1"/>
  <c r="S2" i="302"/>
  <c r="S103" i="303" l="1"/>
  <c r="S100" i="303"/>
  <c r="S98" i="303"/>
  <c r="S96" i="303"/>
  <c r="S101" i="303"/>
  <c r="S93" i="303"/>
  <c r="S102" i="303"/>
  <c r="S90" i="303"/>
  <c r="S95" i="303"/>
  <c r="S91" i="303"/>
  <c r="S97" i="303"/>
  <c r="S92" i="303"/>
  <c r="T103" i="306"/>
  <c r="T100" i="306"/>
  <c r="T102" i="306"/>
  <c r="T101" i="306"/>
  <c r="T96" i="306"/>
  <c r="T90" i="306"/>
  <c r="T98" i="306"/>
  <c r="T95" i="306"/>
  <c r="T91" i="306"/>
  <c r="T97" i="306"/>
  <c r="T92" i="306"/>
  <c r="T93" i="306"/>
  <c r="T105" i="306"/>
  <c r="T108" i="306"/>
  <c r="T107" i="306"/>
  <c r="T106" i="306"/>
  <c r="T103" i="310"/>
  <c r="T100" i="310"/>
  <c r="T101" i="310"/>
  <c r="T102" i="310"/>
  <c r="T97" i="310"/>
  <c r="T98" i="310"/>
  <c r="T91" i="310"/>
  <c r="T92" i="310"/>
  <c r="T96" i="310"/>
  <c r="T93" i="310"/>
  <c r="T95" i="310"/>
  <c r="T90" i="310"/>
  <c r="S106" i="303"/>
  <c r="S108" i="303"/>
  <c r="S105" i="303"/>
  <c r="S107" i="303"/>
  <c r="T108" i="310"/>
  <c r="T107" i="310"/>
  <c r="T106" i="310"/>
  <c r="T105" i="310"/>
  <c r="T151" i="310"/>
  <c r="T150" i="310"/>
  <c r="T150" i="306"/>
  <c r="T151" i="306"/>
  <c r="S150" i="303"/>
  <c r="S151" i="303"/>
  <c r="S27" i="303"/>
  <c r="S28" i="303"/>
  <c r="S29" i="303"/>
  <c r="T29" i="306"/>
  <c r="T27" i="306"/>
  <c r="T28" i="306"/>
  <c r="T27" i="310"/>
  <c r="T28" i="310"/>
  <c r="T29" i="310"/>
  <c r="T10" i="303"/>
  <c r="T9" i="303"/>
  <c r="U10" i="310"/>
  <c r="T9" i="306"/>
  <c r="T10" i="306"/>
  <c r="U9" i="310"/>
  <c r="U3" i="310"/>
  <c r="S31" i="310"/>
  <c r="S32" i="310"/>
  <c r="S53" i="308"/>
  <c r="S192" i="310" s="1"/>
  <c r="S52" i="308"/>
  <c r="S191" i="310" s="1"/>
  <c r="T2" i="308"/>
  <c r="S31" i="306"/>
  <c r="S32" i="306"/>
  <c r="U3" i="306"/>
  <c r="S53" i="305"/>
  <c r="S192" i="306" s="1"/>
  <c r="S52" i="305"/>
  <c r="S191" i="306" s="1"/>
  <c r="T2" i="305"/>
  <c r="R32" i="303"/>
  <c r="T3" i="303"/>
  <c r="R31" i="303"/>
  <c r="S53" i="302"/>
  <c r="S192" i="303" s="1"/>
  <c r="S52" i="302"/>
  <c r="S191" i="303" s="1"/>
  <c r="T2" i="302"/>
  <c r="T102" i="303" l="1"/>
  <c r="T103" i="303"/>
  <c r="T101" i="303"/>
  <c r="T93" i="303"/>
  <c r="T97" i="303"/>
  <c r="T95" i="303"/>
  <c r="T96" i="303"/>
  <c r="T91" i="303"/>
  <c r="T92" i="303"/>
  <c r="T100" i="303"/>
  <c r="T90" i="303"/>
  <c r="T98" i="303"/>
  <c r="U100" i="306"/>
  <c r="U101" i="306"/>
  <c r="U103" i="306"/>
  <c r="U102" i="306"/>
  <c r="U97" i="306"/>
  <c r="U95" i="306"/>
  <c r="U98" i="306"/>
  <c r="U91" i="306"/>
  <c r="U92" i="306"/>
  <c r="U93" i="306"/>
  <c r="U90" i="306"/>
  <c r="U108" i="306"/>
  <c r="U107" i="306"/>
  <c r="U106" i="306"/>
  <c r="U96" i="306"/>
  <c r="U105" i="306"/>
  <c r="U103" i="310"/>
  <c r="U101" i="310"/>
  <c r="U102" i="310"/>
  <c r="U100" i="310"/>
  <c r="U98" i="310"/>
  <c r="U96" i="310"/>
  <c r="U92" i="310"/>
  <c r="U97" i="310"/>
  <c r="U93" i="310"/>
  <c r="U95" i="310"/>
  <c r="U90" i="310"/>
  <c r="U91" i="310"/>
  <c r="U108" i="310"/>
  <c r="U107" i="310"/>
  <c r="U106" i="310"/>
  <c r="U105" i="310"/>
  <c r="T105" i="303"/>
  <c r="T107" i="303"/>
  <c r="T108" i="303"/>
  <c r="T106" i="303"/>
  <c r="U150" i="310"/>
  <c r="U151" i="310"/>
  <c r="U151" i="306"/>
  <c r="U150" i="306"/>
  <c r="T150" i="303"/>
  <c r="T151" i="303"/>
  <c r="T27" i="303"/>
  <c r="T28" i="303"/>
  <c r="T29" i="303"/>
  <c r="U29" i="306"/>
  <c r="U27" i="306"/>
  <c r="U28" i="306"/>
  <c r="U29" i="310"/>
  <c r="U28" i="310"/>
  <c r="U27" i="310"/>
  <c r="V10" i="310"/>
  <c r="V9" i="310"/>
  <c r="U9" i="303"/>
  <c r="U9" i="306"/>
  <c r="U10" i="306"/>
  <c r="U10" i="303"/>
  <c r="V3" i="310"/>
  <c r="T32" i="310"/>
  <c r="T31" i="310"/>
  <c r="T53" i="308"/>
  <c r="T192" i="310" s="1"/>
  <c r="T52" i="308"/>
  <c r="T191" i="310" s="1"/>
  <c r="U2" i="308"/>
  <c r="T31" i="306"/>
  <c r="T32" i="306"/>
  <c r="V3" i="306"/>
  <c r="T53" i="305"/>
  <c r="T192" i="306" s="1"/>
  <c r="T52" i="305"/>
  <c r="T191" i="306" s="1"/>
  <c r="U2" i="305"/>
  <c r="S31" i="303"/>
  <c r="S32" i="303"/>
  <c r="U3" i="303"/>
  <c r="T53" i="302"/>
  <c r="T192" i="303" s="1"/>
  <c r="T52" i="302"/>
  <c r="T191" i="303" s="1"/>
  <c r="U2" i="302"/>
  <c r="U102" i="303" l="1"/>
  <c r="U103" i="303"/>
  <c r="U97" i="303"/>
  <c r="U95" i="303"/>
  <c r="U101" i="303"/>
  <c r="U92" i="303"/>
  <c r="U100" i="303"/>
  <c r="U98" i="303"/>
  <c r="U96" i="303"/>
  <c r="U90" i="303"/>
  <c r="U93" i="303"/>
  <c r="U91" i="303"/>
  <c r="V101" i="306"/>
  <c r="V102" i="306"/>
  <c r="V103" i="306"/>
  <c r="V100" i="306"/>
  <c r="V95" i="306"/>
  <c r="V92" i="306"/>
  <c r="V97" i="306"/>
  <c r="V93" i="306"/>
  <c r="V96" i="306"/>
  <c r="V90" i="306"/>
  <c r="V98" i="306"/>
  <c r="V107" i="306"/>
  <c r="V106" i="306"/>
  <c r="V105" i="306"/>
  <c r="V91" i="306"/>
  <c r="V108" i="306"/>
  <c r="V102" i="310"/>
  <c r="V100" i="310"/>
  <c r="V101" i="310"/>
  <c r="V103" i="310"/>
  <c r="V98" i="310"/>
  <c r="V96" i="310"/>
  <c r="V97" i="310"/>
  <c r="V93" i="310"/>
  <c r="V95" i="310"/>
  <c r="V90" i="310"/>
  <c r="V91" i="310"/>
  <c r="V92" i="310"/>
  <c r="V107" i="310"/>
  <c r="V105" i="310"/>
  <c r="V108" i="310"/>
  <c r="V106" i="310"/>
  <c r="U108" i="303"/>
  <c r="U106" i="303"/>
  <c r="U107" i="303"/>
  <c r="U105" i="303"/>
  <c r="V150" i="310"/>
  <c r="V151" i="310"/>
  <c r="V151" i="306"/>
  <c r="V150" i="306"/>
  <c r="U29" i="303"/>
  <c r="U150" i="303"/>
  <c r="U151" i="303"/>
  <c r="U27" i="303"/>
  <c r="U28" i="303"/>
  <c r="V28" i="306"/>
  <c r="V29" i="306"/>
  <c r="V27" i="306"/>
  <c r="V29" i="310"/>
  <c r="V27" i="310"/>
  <c r="V28" i="310"/>
  <c r="V9" i="306"/>
  <c r="V9" i="303"/>
  <c r="V10" i="303"/>
  <c r="W9" i="310"/>
  <c r="V10" i="306"/>
  <c r="W10" i="310"/>
  <c r="U31" i="310"/>
  <c r="U32" i="310"/>
  <c r="W3" i="310"/>
  <c r="U53" i="308"/>
  <c r="U192" i="310" s="1"/>
  <c r="U52" i="308"/>
  <c r="U191" i="310" s="1"/>
  <c r="V2" i="308"/>
  <c r="U31" i="306"/>
  <c r="W3" i="306"/>
  <c r="U32" i="306"/>
  <c r="U53" i="305"/>
  <c r="U192" i="306" s="1"/>
  <c r="U52" i="305"/>
  <c r="U191" i="306" s="1"/>
  <c r="V2" i="305"/>
  <c r="T32" i="303"/>
  <c r="V3" i="303"/>
  <c r="T31" i="303"/>
  <c r="U53" i="302"/>
  <c r="U192" i="303" s="1"/>
  <c r="U52" i="302"/>
  <c r="U191" i="303" s="1"/>
  <c r="V2" i="302"/>
  <c r="V103" i="303" l="1"/>
  <c r="V100" i="303"/>
  <c r="V98" i="303"/>
  <c r="V96" i="303"/>
  <c r="V95" i="303"/>
  <c r="V93" i="303"/>
  <c r="V92" i="303"/>
  <c r="V91" i="303"/>
  <c r="V101" i="303"/>
  <c r="V97" i="303"/>
  <c r="V90" i="303"/>
  <c r="V102" i="303"/>
  <c r="W102" i="310"/>
  <c r="W103" i="310"/>
  <c r="W100" i="310"/>
  <c r="W101" i="310"/>
  <c r="W97" i="310"/>
  <c r="W95" i="310"/>
  <c r="W90" i="310"/>
  <c r="W96" i="310"/>
  <c r="W91" i="310"/>
  <c r="W92" i="310"/>
  <c r="W98" i="310"/>
  <c r="W93" i="310"/>
  <c r="W102" i="306"/>
  <c r="W103" i="306"/>
  <c r="W101" i="306"/>
  <c r="W100" i="306"/>
  <c r="W98" i="306"/>
  <c r="W96" i="306"/>
  <c r="W97" i="306"/>
  <c r="W93" i="306"/>
  <c r="W90" i="306"/>
  <c r="W91" i="306"/>
  <c r="W95" i="306"/>
  <c r="W92" i="306"/>
  <c r="W106" i="306"/>
  <c r="W105" i="306"/>
  <c r="W108" i="306"/>
  <c r="W107" i="306"/>
  <c r="V107" i="303"/>
  <c r="V105" i="303"/>
  <c r="V108" i="303"/>
  <c r="V106" i="303"/>
  <c r="W106" i="310"/>
  <c r="W108" i="310"/>
  <c r="W105" i="310"/>
  <c r="W107" i="310"/>
  <c r="W150" i="310"/>
  <c r="W151" i="310"/>
  <c r="W150" i="306"/>
  <c r="W151" i="306"/>
  <c r="V29" i="303"/>
  <c r="V28" i="303"/>
  <c r="V150" i="303"/>
  <c r="V151" i="303"/>
  <c r="V27" i="303"/>
  <c r="W28" i="306"/>
  <c r="W29" i="306"/>
  <c r="W27" i="306"/>
  <c r="W29" i="310"/>
  <c r="W27" i="310"/>
  <c r="W28" i="310"/>
  <c r="X9" i="310"/>
  <c r="W10" i="303"/>
  <c r="X10" i="310"/>
  <c r="W9" i="303"/>
  <c r="W10" i="306"/>
  <c r="W9" i="306"/>
  <c r="X3" i="310"/>
  <c r="V31" i="310"/>
  <c r="V32" i="310"/>
  <c r="V52" i="308"/>
  <c r="V191" i="310" s="1"/>
  <c r="W2" i="308"/>
  <c r="V53" i="308"/>
  <c r="V192" i="310" s="1"/>
  <c r="X3" i="306"/>
  <c r="V32" i="306"/>
  <c r="V31" i="306"/>
  <c r="V52" i="305"/>
  <c r="V191" i="306" s="1"/>
  <c r="V53" i="305"/>
  <c r="V192" i="306" s="1"/>
  <c r="W2" i="305"/>
  <c r="U32" i="303"/>
  <c r="U31" i="303"/>
  <c r="W3" i="303"/>
  <c r="V52" i="302"/>
  <c r="V191" i="303" s="1"/>
  <c r="V53" i="302"/>
  <c r="V192" i="303" s="1"/>
  <c r="W2" i="302"/>
  <c r="W103" i="303" l="1"/>
  <c r="W100" i="303"/>
  <c r="W98" i="303"/>
  <c r="W96" i="303"/>
  <c r="W102" i="303"/>
  <c r="W101" i="303"/>
  <c r="W93" i="303"/>
  <c r="W90" i="303"/>
  <c r="W97" i="303"/>
  <c r="W91" i="303"/>
  <c r="W95" i="303"/>
  <c r="W92" i="303"/>
  <c r="X103" i="306"/>
  <c r="X100" i="306"/>
  <c r="X102" i="306"/>
  <c r="X101" i="306"/>
  <c r="X90" i="306"/>
  <c r="X96" i="306"/>
  <c r="X91" i="306"/>
  <c r="X98" i="306"/>
  <c r="X95" i="306"/>
  <c r="X92" i="306"/>
  <c r="X97" i="306"/>
  <c r="X93" i="306"/>
  <c r="X105" i="306"/>
  <c r="X108" i="306"/>
  <c r="X107" i="306"/>
  <c r="X106" i="306"/>
  <c r="X103" i="310"/>
  <c r="X102" i="310"/>
  <c r="X100" i="310"/>
  <c r="X101" i="310"/>
  <c r="X97" i="310"/>
  <c r="X96" i="310"/>
  <c r="X91" i="310"/>
  <c r="X92" i="310"/>
  <c r="X98" i="310"/>
  <c r="X93" i="310"/>
  <c r="X90" i="310"/>
  <c r="X95" i="310"/>
  <c r="W106" i="303"/>
  <c r="W108" i="303"/>
  <c r="W107" i="303"/>
  <c r="W105" i="303"/>
  <c r="X105" i="310"/>
  <c r="X108" i="310"/>
  <c r="X107" i="310"/>
  <c r="X106" i="310"/>
  <c r="X150" i="310"/>
  <c r="X151" i="310"/>
  <c r="X150" i="306"/>
  <c r="X151" i="306"/>
  <c r="W28" i="303"/>
  <c r="W29" i="303"/>
  <c r="W27" i="303"/>
  <c r="W151" i="303"/>
  <c r="W150" i="303"/>
  <c r="X27" i="306"/>
  <c r="X28" i="306"/>
  <c r="X29" i="306"/>
  <c r="X28" i="310"/>
  <c r="X29" i="310"/>
  <c r="X27" i="310"/>
  <c r="Y10" i="310"/>
  <c r="X9" i="303"/>
  <c r="X10" i="303"/>
  <c r="X9" i="306"/>
  <c r="X10" i="306"/>
  <c r="Y9" i="310"/>
  <c r="Y3" i="310"/>
  <c r="W32" i="310"/>
  <c r="W31" i="310"/>
  <c r="W52" i="308"/>
  <c r="W191" i="310" s="1"/>
  <c r="W53" i="308"/>
  <c r="W192" i="310" s="1"/>
  <c r="X2" i="308"/>
  <c r="Y3" i="306"/>
  <c r="W31" i="306"/>
  <c r="W32" i="306"/>
  <c r="W52" i="305"/>
  <c r="W191" i="306" s="1"/>
  <c r="W53" i="305"/>
  <c r="W192" i="306" s="1"/>
  <c r="X2" i="305"/>
  <c r="V31" i="303"/>
  <c r="V32" i="303"/>
  <c r="X3" i="303"/>
  <c r="W52" i="302"/>
  <c r="W191" i="303" s="1"/>
  <c r="W53" i="302"/>
  <c r="W192" i="303" s="1"/>
  <c r="X2" i="302"/>
  <c r="Y101" i="310" l="1"/>
  <c r="Y103" i="310"/>
  <c r="Y102" i="310"/>
  <c r="Y100" i="310"/>
  <c r="Y98" i="310"/>
  <c r="Y96" i="310"/>
  <c r="Y92" i="310"/>
  <c r="Y93" i="310"/>
  <c r="Y95" i="310"/>
  <c r="Y90" i="310"/>
  <c r="Y97" i="310"/>
  <c r="Y91" i="310"/>
  <c r="X102" i="303"/>
  <c r="X101" i="303"/>
  <c r="X93" i="303"/>
  <c r="X97" i="303"/>
  <c r="X95" i="303"/>
  <c r="X100" i="303"/>
  <c r="X98" i="303"/>
  <c r="X91" i="303"/>
  <c r="X92" i="303"/>
  <c r="X103" i="303"/>
  <c r="X90" i="303"/>
  <c r="X96" i="303"/>
  <c r="Y100" i="306"/>
  <c r="Y101" i="306"/>
  <c r="Y103" i="306"/>
  <c r="Y102" i="306"/>
  <c r="Y97" i="306"/>
  <c r="Y95" i="306"/>
  <c r="Y96" i="306"/>
  <c r="Y91" i="306"/>
  <c r="Y98" i="306"/>
  <c r="Y92" i="306"/>
  <c r="Y93" i="306"/>
  <c r="Y108" i="306"/>
  <c r="Y90" i="306"/>
  <c r="Y107" i="306"/>
  <c r="Y106" i="306"/>
  <c r="Y105" i="306"/>
  <c r="Y108" i="310"/>
  <c r="Y107" i="310"/>
  <c r="Y106" i="310"/>
  <c r="Y105" i="310"/>
  <c r="X105" i="303"/>
  <c r="X107" i="303"/>
  <c r="X108" i="303"/>
  <c r="X106" i="303"/>
  <c r="Y150" i="310"/>
  <c r="Y151" i="310"/>
  <c r="Y150" i="306"/>
  <c r="Y151" i="306"/>
  <c r="X151" i="303"/>
  <c r="X27" i="303"/>
  <c r="X28" i="303"/>
  <c r="X29" i="303"/>
  <c r="X150" i="303"/>
  <c r="Y27" i="306"/>
  <c r="Y28" i="306"/>
  <c r="Y29" i="306"/>
  <c r="Y28" i="310"/>
  <c r="Y29" i="310"/>
  <c r="Y27" i="310"/>
  <c r="Z9" i="310"/>
  <c r="Y9" i="303"/>
  <c r="Y9" i="306"/>
  <c r="Y10" i="303"/>
  <c r="Y10" i="306"/>
  <c r="Z10" i="310"/>
  <c r="X31" i="310"/>
  <c r="Z3" i="310"/>
  <c r="X32" i="310"/>
  <c r="X52" i="308"/>
  <c r="X191" i="310" s="1"/>
  <c r="Y2" i="308"/>
  <c r="X53" i="308"/>
  <c r="X192" i="310" s="1"/>
  <c r="X32" i="306"/>
  <c r="X31" i="306"/>
  <c r="Z3" i="306"/>
  <c r="X53" i="305"/>
  <c r="X192" i="306" s="1"/>
  <c r="Y2" i="305"/>
  <c r="X52" i="305"/>
  <c r="X191" i="306" s="1"/>
  <c r="Y3" i="303"/>
  <c r="W32" i="303"/>
  <c r="W31" i="303"/>
  <c r="X53" i="302"/>
  <c r="X192" i="303" s="1"/>
  <c r="Y2" i="302"/>
  <c r="X52" i="302"/>
  <c r="X191" i="303" s="1"/>
  <c r="Z102" i="310" l="1"/>
  <c r="Z103" i="310"/>
  <c r="Z100" i="310"/>
  <c r="Z101" i="310"/>
  <c r="Z98" i="310"/>
  <c r="Z96" i="310"/>
  <c r="Z93" i="310"/>
  <c r="Z95" i="310"/>
  <c r="Z90" i="310"/>
  <c r="Z97" i="310"/>
  <c r="Z91" i="310"/>
  <c r="Z92" i="310"/>
  <c r="Y102" i="303"/>
  <c r="Y103" i="303"/>
  <c r="Y97" i="303"/>
  <c r="Y95" i="303"/>
  <c r="Y93" i="303"/>
  <c r="Y92" i="303"/>
  <c r="Y96" i="303"/>
  <c r="Y101" i="303"/>
  <c r="Y91" i="303"/>
  <c r="Y90" i="303"/>
  <c r="Y98" i="303"/>
  <c r="Y100" i="303"/>
  <c r="Z101" i="306"/>
  <c r="Z102" i="306"/>
  <c r="Z100" i="306"/>
  <c r="Z103" i="306"/>
  <c r="Z98" i="306"/>
  <c r="Z92" i="306"/>
  <c r="Z95" i="306"/>
  <c r="Z93" i="306"/>
  <c r="Z97" i="306"/>
  <c r="Z90" i="306"/>
  <c r="Z96" i="306"/>
  <c r="Z91" i="306"/>
  <c r="Z107" i="306"/>
  <c r="Z106" i="306"/>
  <c r="Z105" i="306"/>
  <c r="Z108" i="306"/>
  <c r="Z107" i="310"/>
  <c r="Z106" i="310"/>
  <c r="Z108" i="310"/>
  <c r="Z105" i="310"/>
  <c r="Y108" i="303"/>
  <c r="Y106" i="303"/>
  <c r="Y107" i="303"/>
  <c r="Y105" i="303"/>
  <c r="Z150" i="310"/>
  <c r="Z151" i="310"/>
  <c r="Z150" i="306"/>
  <c r="Z151" i="306"/>
  <c r="Y150" i="303"/>
  <c r="Y151" i="303"/>
  <c r="Y27" i="303"/>
  <c r="Y28" i="303"/>
  <c r="Y29" i="303"/>
  <c r="Z27" i="306"/>
  <c r="Z28" i="306"/>
  <c r="Z29" i="306"/>
  <c r="Z28" i="310"/>
  <c r="Z29" i="310"/>
  <c r="Z27" i="310"/>
  <c r="Z10" i="303"/>
  <c r="Z9" i="306"/>
  <c r="AA10" i="310"/>
  <c r="Z9" i="303"/>
  <c r="Z10" i="306"/>
  <c r="AA9" i="310"/>
  <c r="Y32" i="310"/>
  <c r="AA3" i="310"/>
  <c r="Y31" i="310"/>
  <c r="Y53" i="308"/>
  <c r="Y192" i="310" s="1"/>
  <c r="Z2" i="308"/>
  <c r="Y52" i="308"/>
  <c r="Y191" i="310" s="1"/>
  <c r="Y32" i="306"/>
  <c r="AA3" i="306"/>
  <c r="Y31" i="306"/>
  <c r="Y53" i="305"/>
  <c r="Y192" i="306" s="1"/>
  <c r="Y52" i="305"/>
  <c r="Y191" i="306" s="1"/>
  <c r="Z2" i="305"/>
  <c r="X32" i="303"/>
  <c r="X31" i="303"/>
  <c r="Z3" i="303"/>
  <c r="Y53" i="302"/>
  <c r="Y192" i="303" s="1"/>
  <c r="Z2" i="302"/>
  <c r="Y52" i="302"/>
  <c r="Y191" i="303" s="1"/>
  <c r="AA102" i="306" l="1"/>
  <c r="AA103" i="306"/>
  <c r="AA101" i="306"/>
  <c r="AA100" i="306"/>
  <c r="AA98" i="306"/>
  <c r="AA96" i="306"/>
  <c r="AA95" i="306"/>
  <c r="AA93" i="306"/>
  <c r="AA97" i="306"/>
  <c r="AA90" i="306"/>
  <c r="AA91" i="306"/>
  <c r="AA92" i="306"/>
  <c r="AA106" i="306"/>
  <c r="AA105" i="306"/>
  <c r="AA108" i="306"/>
  <c r="AA107" i="306"/>
  <c r="Z103" i="303"/>
  <c r="Z102" i="303"/>
  <c r="Z100" i="303"/>
  <c r="Z98" i="303"/>
  <c r="Z96" i="303"/>
  <c r="Z92" i="303"/>
  <c r="Z97" i="303"/>
  <c r="Z101" i="303"/>
  <c r="Z90" i="303"/>
  <c r="Z93" i="303"/>
  <c r="Z95" i="303"/>
  <c r="Z91" i="303"/>
  <c r="AA102" i="310"/>
  <c r="AA103" i="310"/>
  <c r="AA100" i="310"/>
  <c r="AA101" i="310"/>
  <c r="AA97" i="310"/>
  <c r="AA95" i="310"/>
  <c r="AA90" i="310"/>
  <c r="AA98" i="310"/>
  <c r="AA91" i="310"/>
  <c r="AA92" i="310"/>
  <c r="AA96" i="310"/>
  <c r="AA93" i="310"/>
  <c r="AA106" i="310"/>
  <c r="AA108" i="310"/>
  <c r="AA107" i="310"/>
  <c r="AA105" i="310"/>
  <c r="Z107" i="303"/>
  <c r="Z105" i="303"/>
  <c r="Z106" i="303"/>
  <c r="Z108" i="303"/>
  <c r="AA150" i="310"/>
  <c r="AA151" i="310"/>
  <c r="AA151" i="306"/>
  <c r="AA150" i="306"/>
  <c r="Z150" i="303"/>
  <c r="Z151" i="303"/>
  <c r="Z27" i="303"/>
  <c r="Z28" i="303"/>
  <c r="Z29" i="303"/>
  <c r="AA27" i="306"/>
  <c r="AA28" i="306"/>
  <c r="AA29" i="306"/>
  <c r="AA27" i="310"/>
  <c r="AA28" i="310"/>
  <c r="AA29" i="310"/>
  <c r="AB9" i="310"/>
  <c r="AA9" i="306"/>
  <c r="AA9" i="303"/>
  <c r="AB10" i="310"/>
  <c r="AA10" i="306"/>
  <c r="AA10" i="303"/>
  <c r="Z31" i="310"/>
  <c r="Z32" i="310"/>
  <c r="AB3" i="310"/>
  <c r="Z53" i="308"/>
  <c r="Z192" i="310" s="1"/>
  <c r="Z52" i="308"/>
  <c r="Z191" i="310" s="1"/>
  <c r="AA2" i="308"/>
  <c r="AB3" i="306"/>
  <c r="Z31" i="306"/>
  <c r="Z32" i="306"/>
  <c r="Z53" i="305"/>
  <c r="Z192" i="306" s="1"/>
  <c r="Z52" i="305"/>
  <c r="Z191" i="306" s="1"/>
  <c r="AA2" i="305"/>
  <c r="AA3" i="303"/>
  <c r="Y31" i="303"/>
  <c r="Y32" i="303"/>
  <c r="Z53" i="302"/>
  <c r="Z192" i="303" s="1"/>
  <c r="Z52" i="302"/>
  <c r="Z191" i="303" s="1"/>
  <c r="AA2" i="302"/>
  <c r="AB103" i="306" l="1"/>
  <c r="AB100" i="306"/>
  <c r="AB102" i="306"/>
  <c r="AB101" i="306"/>
  <c r="AB97" i="306"/>
  <c r="AB90" i="306"/>
  <c r="AB91" i="306"/>
  <c r="AB96" i="306"/>
  <c r="AB92" i="306"/>
  <c r="AB95" i="306"/>
  <c r="AB93" i="306"/>
  <c r="AB98" i="306"/>
  <c r="AB105" i="306"/>
  <c r="AB108" i="306"/>
  <c r="AB107" i="306"/>
  <c r="AB106" i="306"/>
  <c r="AB103" i="310"/>
  <c r="AB100" i="310"/>
  <c r="AB101" i="310"/>
  <c r="AB102" i="310"/>
  <c r="AB97" i="310"/>
  <c r="AB98" i="310"/>
  <c r="AB91" i="310"/>
  <c r="AB92" i="310"/>
  <c r="AB96" i="310"/>
  <c r="AB93" i="310"/>
  <c r="AB90" i="310"/>
  <c r="AB95" i="310"/>
  <c r="AA103" i="303"/>
  <c r="AA100" i="303"/>
  <c r="AA98" i="303"/>
  <c r="AA96" i="303"/>
  <c r="AA101" i="303"/>
  <c r="AA93" i="303"/>
  <c r="AA90" i="303"/>
  <c r="AA95" i="303"/>
  <c r="AA91" i="303"/>
  <c r="AA102" i="303"/>
  <c r="AA97" i="303"/>
  <c r="AA92" i="303"/>
  <c r="AA106" i="303"/>
  <c r="AA108" i="303"/>
  <c r="AA105" i="303"/>
  <c r="AA107" i="303"/>
  <c r="AB105" i="310"/>
  <c r="AB108" i="310"/>
  <c r="AB107" i="310"/>
  <c r="AB106" i="310"/>
  <c r="AB151" i="310"/>
  <c r="AB150" i="310"/>
  <c r="AB150" i="306"/>
  <c r="AB151" i="306"/>
  <c r="AA150" i="303"/>
  <c r="AA151" i="303"/>
  <c r="AA27" i="303"/>
  <c r="AA28" i="303"/>
  <c r="AA29" i="303"/>
  <c r="AB29" i="306"/>
  <c r="AB27" i="306"/>
  <c r="AB28" i="306"/>
  <c r="AB27" i="310"/>
  <c r="AB28" i="310"/>
  <c r="AB29" i="310"/>
  <c r="AB9" i="303"/>
  <c r="AB10" i="303"/>
  <c r="AB9" i="306"/>
  <c r="AC10" i="310"/>
  <c r="AB10" i="306"/>
  <c r="AC9" i="310"/>
  <c r="AA31" i="310"/>
  <c r="AA32" i="310"/>
  <c r="AC3" i="310"/>
  <c r="AA53" i="308"/>
  <c r="AA192" i="310" s="1"/>
  <c r="AA52" i="308"/>
  <c r="AA191" i="310" s="1"/>
  <c r="AB2" i="308"/>
  <c r="AC3" i="306"/>
  <c r="AA31" i="306"/>
  <c r="AA32" i="306"/>
  <c r="AA53" i="305"/>
  <c r="AA192" i="306" s="1"/>
  <c r="AA52" i="305"/>
  <c r="AA191" i="306" s="1"/>
  <c r="AB2" i="305"/>
  <c r="Z32" i="303"/>
  <c r="Z31" i="303"/>
  <c r="AB3" i="303"/>
  <c r="AA53" i="302"/>
  <c r="AA192" i="303" s="1"/>
  <c r="AA52" i="302"/>
  <c r="AA191" i="303" s="1"/>
  <c r="AB2" i="302"/>
  <c r="AB102" i="303" l="1"/>
  <c r="AB101" i="303"/>
  <c r="AB93" i="303"/>
  <c r="AB97" i="303"/>
  <c r="AB95" i="303"/>
  <c r="AB96" i="303"/>
  <c r="AB91" i="303"/>
  <c r="AB103" i="303"/>
  <c r="AB100" i="303"/>
  <c r="AB90" i="303"/>
  <c r="AB98" i="303"/>
  <c r="AB92" i="303"/>
  <c r="AC100" i="306"/>
  <c r="AC101" i="306"/>
  <c r="AC103" i="306"/>
  <c r="AC102" i="306"/>
  <c r="AC97" i="306"/>
  <c r="AC95" i="306"/>
  <c r="AC91" i="306"/>
  <c r="AC96" i="306"/>
  <c r="AC92" i="306"/>
  <c r="AC98" i="306"/>
  <c r="AC93" i="306"/>
  <c r="AC90" i="306"/>
  <c r="AC108" i="306"/>
  <c r="AC107" i="306"/>
  <c r="AC106" i="306"/>
  <c r="AC105" i="306"/>
  <c r="AC103" i="310"/>
  <c r="AC101" i="310"/>
  <c r="AC102" i="310"/>
  <c r="AC100" i="310"/>
  <c r="AC98" i="310"/>
  <c r="AC96" i="310"/>
  <c r="AC92" i="310"/>
  <c r="AC97" i="310"/>
  <c r="AC93" i="310"/>
  <c r="AC95" i="310"/>
  <c r="AC90" i="310"/>
  <c r="AC91" i="310"/>
  <c r="AB105" i="303"/>
  <c r="AB107" i="303"/>
  <c r="AB108" i="303"/>
  <c r="AB106" i="303"/>
  <c r="AC108" i="310"/>
  <c r="AC107" i="310"/>
  <c r="AC106" i="310"/>
  <c r="AC105" i="310"/>
  <c r="AC150" i="310"/>
  <c r="AC151" i="310"/>
  <c r="AC151" i="306"/>
  <c r="AC150" i="306"/>
  <c r="AB150" i="303"/>
  <c r="AB151" i="303"/>
  <c r="AB27" i="303"/>
  <c r="AB28" i="303"/>
  <c r="AB29" i="303"/>
  <c r="AC29" i="306"/>
  <c r="AC27" i="306"/>
  <c r="AC28" i="306"/>
  <c r="AC29" i="310"/>
  <c r="AC27" i="310"/>
  <c r="AC28" i="310"/>
  <c r="AD9" i="310"/>
  <c r="AC10" i="303"/>
  <c r="AD10" i="310"/>
  <c r="AC9" i="306"/>
  <c r="AC10" i="306"/>
  <c r="AC9" i="303"/>
  <c r="AB31" i="310"/>
  <c r="AD3" i="310"/>
  <c r="AB32" i="310"/>
  <c r="AB53" i="308"/>
  <c r="AB192" i="310" s="1"/>
  <c r="AB52" i="308"/>
  <c r="AB191" i="310" s="1"/>
  <c r="AC2" i="308"/>
  <c r="AB31" i="306"/>
  <c r="AB32" i="306"/>
  <c r="AD3" i="306"/>
  <c r="AB53" i="305"/>
  <c r="AB192" i="306" s="1"/>
  <c r="AB52" i="305"/>
  <c r="AB191" i="306" s="1"/>
  <c r="AC2" i="305"/>
  <c r="AC3" i="303"/>
  <c r="AA31" i="303"/>
  <c r="AA32" i="303"/>
  <c r="AB53" i="302"/>
  <c r="AB192" i="303" s="1"/>
  <c r="AB52" i="302"/>
  <c r="AB191" i="303" s="1"/>
  <c r="AC2" i="302"/>
  <c r="AD102" i="310" l="1"/>
  <c r="AD100" i="310"/>
  <c r="AD103" i="310"/>
  <c r="AD101" i="310"/>
  <c r="AD98" i="310"/>
  <c r="AD96" i="310"/>
  <c r="AD97" i="310"/>
  <c r="AD93" i="310"/>
  <c r="AD95" i="310"/>
  <c r="AD90" i="310"/>
  <c r="AD91" i="310"/>
  <c r="AD92" i="310"/>
  <c r="AC102" i="303"/>
  <c r="AC103" i="303"/>
  <c r="AC97" i="303"/>
  <c r="AC95" i="303"/>
  <c r="AC101" i="303"/>
  <c r="AC100" i="303"/>
  <c r="AC98" i="303"/>
  <c r="AC92" i="303"/>
  <c r="AC96" i="303"/>
  <c r="AC91" i="303"/>
  <c r="AC90" i="303"/>
  <c r="AC93" i="303"/>
  <c r="AD101" i="306"/>
  <c r="AD102" i="306"/>
  <c r="AD103" i="306"/>
  <c r="AD100" i="306"/>
  <c r="AD96" i="306"/>
  <c r="AD92" i="306"/>
  <c r="AD98" i="306"/>
  <c r="AD93" i="306"/>
  <c r="AD95" i="306"/>
  <c r="AD90" i="306"/>
  <c r="AD91" i="306"/>
  <c r="AD107" i="306"/>
  <c r="AD97" i="306"/>
  <c r="AD106" i="306"/>
  <c r="AD105" i="306"/>
  <c r="AD108" i="306"/>
  <c r="AD107" i="310"/>
  <c r="AD106" i="310"/>
  <c r="AD108" i="310"/>
  <c r="AD105" i="310"/>
  <c r="AC108" i="303"/>
  <c r="AC106" i="303"/>
  <c r="AC107" i="303"/>
  <c r="AC105" i="303"/>
  <c r="AD150" i="310"/>
  <c r="AD151" i="310"/>
  <c r="AD151" i="306"/>
  <c r="AD150" i="306"/>
  <c r="AC29" i="303"/>
  <c r="AC150" i="303"/>
  <c r="AC151" i="303"/>
  <c r="AC27" i="303"/>
  <c r="AC28" i="303"/>
  <c r="AD28" i="306"/>
  <c r="AD29" i="306"/>
  <c r="AD27" i="306"/>
  <c r="AD29" i="310"/>
  <c r="AD27" i="310"/>
  <c r="AD28" i="310"/>
  <c r="AD9" i="306"/>
  <c r="AE10" i="310"/>
  <c r="AD9" i="303"/>
  <c r="AD10" i="303"/>
  <c r="AD10" i="306"/>
  <c r="AE9" i="310"/>
  <c r="AC31" i="310"/>
  <c r="AC32" i="310"/>
  <c r="AE3" i="310"/>
  <c r="AC53" i="308"/>
  <c r="AC192" i="310" s="1"/>
  <c r="AC52" i="308"/>
  <c r="AC191" i="310" s="1"/>
  <c r="AD2" i="308"/>
  <c r="AE3" i="306"/>
  <c r="AC32" i="306"/>
  <c r="AC31" i="306"/>
  <c r="AC53" i="305"/>
  <c r="AC192" i="306" s="1"/>
  <c r="AC52" i="305"/>
  <c r="AC191" i="306" s="1"/>
  <c r="AD2" i="305"/>
  <c r="AB32" i="303"/>
  <c r="AD3" i="303"/>
  <c r="AB31" i="303"/>
  <c r="AC53" i="302"/>
  <c r="AC192" i="303" s="1"/>
  <c r="AC52" i="302"/>
  <c r="AC191" i="303" s="1"/>
  <c r="AD2" i="302"/>
  <c r="AD102" i="303" l="1"/>
  <c r="AD103" i="303"/>
  <c r="AD100" i="303"/>
  <c r="AD98" i="303"/>
  <c r="AD96" i="303"/>
  <c r="AD92" i="303"/>
  <c r="AD95" i="303"/>
  <c r="AD93" i="303"/>
  <c r="AD90" i="303"/>
  <c r="AD97" i="303"/>
  <c r="AD91" i="303"/>
  <c r="AD101" i="303"/>
  <c r="AE102" i="306"/>
  <c r="AE103" i="306"/>
  <c r="AE101" i="306"/>
  <c r="AE100" i="306"/>
  <c r="AE98" i="306"/>
  <c r="AE96" i="306"/>
  <c r="AE93" i="306"/>
  <c r="AE95" i="306"/>
  <c r="AE90" i="306"/>
  <c r="AE97" i="306"/>
  <c r="AE91" i="306"/>
  <c r="AE92" i="306"/>
  <c r="AE106" i="306"/>
  <c r="AE105" i="306"/>
  <c r="AE108" i="306"/>
  <c r="AE107" i="306"/>
  <c r="AE102" i="310"/>
  <c r="AE103" i="310"/>
  <c r="AE100" i="310"/>
  <c r="AE101" i="310"/>
  <c r="AE97" i="310"/>
  <c r="AE95" i="310"/>
  <c r="AE90" i="310"/>
  <c r="AE96" i="310"/>
  <c r="AE91" i="310"/>
  <c r="AE92" i="310"/>
  <c r="AE93" i="310"/>
  <c r="AE98" i="310"/>
  <c r="AD107" i="303"/>
  <c r="AD105" i="303"/>
  <c r="AD108" i="303"/>
  <c r="AD106" i="303"/>
  <c r="AE106" i="310"/>
  <c r="AE108" i="310"/>
  <c r="AE107" i="310"/>
  <c r="AE105" i="310"/>
  <c r="AE150" i="310"/>
  <c r="AE151" i="310"/>
  <c r="AE150" i="306"/>
  <c r="AE151" i="306"/>
  <c r="AD29" i="303"/>
  <c r="AD150" i="303"/>
  <c r="AD28" i="303"/>
  <c r="AD151" i="303"/>
  <c r="AD27" i="303"/>
  <c r="AE28" i="306"/>
  <c r="AE29" i="306"/>
  <c r="AE27" i="306"/>
  <c r="AE29" i="310"/>
  <c r="AE27" i="310"/>
  <c r="AE28" i="310"/>
  <c r="AE10" i="303"/>
  <c r="AE9" i="303"/>
  <c r="AF9" i="310"/>
  <c r="AF10" i="310"/>
  <c r="AE10" i="306"/>
  <c r="AE9" i="306"/>
  <c r="AD31" i="310"/>
  <c r="AF3" i="310"/>
  <c r="AD32" i="310"/>
  <c r="AD52" i="308"/>
  <c r="AD191" i="310" s="1"/>
  <c r="AD53" i="308"/>
  <c r="AD192" i="310" s="1"/>
  <c r="AE2" i="308"/>
  <c r="AF3" i="306"/>
  <c r="AD32" i="306"/>
  <c r="AD31" i="306"/>
  <c r="AD52" i="305"/>
  <c r="AD191" i="306" s="1"/>
  <c r="AD53" i="305"/>
  <c r="AD192" i="306" s="1"/>
  <c r="AE2" i="305"/>
  <c r="AE3" i="303"/>
  <c r="AC32" i="303"/>
  <c r="AC31" i="303"/>
  <c r="AD52" i="302"/>
  <c r="AD191" i="303" s="1"/>
  <c r="AD53" i="302"/>
  <c r="AD192" i="303" s="1"/>
  <c r="AE2" i="302"/>
  <c r="AF103" i="306" l="1"/>
  <c r="AF100" i="306"/>
  <c r="AF102" i="306"/>
  <c r="AF101" i="306"/>
  <c r="AF98" i="306"/>
  <c r="AF95" i="306"/>
  <c r="AF90" i="306"/>
  <c r="AF97" i="306"/>
  <c r="AF91" i="306"/>
  <c r="AF92" i="306"/>
  <c r="AF96" i="306"/>
  <c r="AF105" i="306"/>
  <c r="AF108" i="306"/>
  <c r="AF93" i="306"/>
  <c r="AF107" i="306"/>
  <c r="AF106" i="306"/>
  <c r="AF103" i="310"/>
  <c r="AF102" i="310"/>
  <c r="AF100" i="310"/>
  <c r="AF101" i="310"/>
  <c r="AF97" i="310"/>
  <c r="AF96" i="310"/>
  <c r="AF91" i="310"/>
  <c r="AF92" i="310"/>
  <c r="AF98" i="310"/>
  <c r="AF93" i="310"/>
  <c r="AF90" i="310"/>
  <c r="AF95" i="310"/>
  <c r="AE103" i="303"/>
  <c r="AE100" i="303"/>
  <c r="AE98" i="303"/>
  <c r="AE96" i="303"/>
  <c r="AE101" i="303"/>
  <c r="AE93" i="303"/>
  <c r="AE92" i="303"/>
  <c r="AE90" i="303"/>
  <c r="AE102" i="303"/>
  <c r="AE97" i="303"/>
  <c r="AE91" i="303"/>
  <c r="AE95" i="303"/>
  <c r="AF105" i="310"/>
  <c r="AF108" i="310"/>
  <c r="AF107" i="310"/>
  <c r="AF106" i="310"/>
  <c r="AE106" i="303"/>
  <c r="AE108" i="303"/>
  <c r="AE107" i="303"/>
  <c r="AE105" i="303"/>
  <c r="AF150" i="310"/>
  <c r="AF151" i="310"/>
  <c r="AF151" i="306"/>
  <c r="AF150" i="306"/>
  <c r="AE28" i="303"/>
  <c r="AE27" i="303"/>
  <c r="AE29" i="303"/>
  <c r="AE151" i="303"/>
  <c r="AE150" i="303"/>
  <c r="AF27" i="306"/>
  <c r="AF28" i="306"/>
  <c r="AF29" i="306"/>
  <c r="AF29" i="310"/>
  <c r="AF28" i="310"/>
  <c r="AF27" i="310"/>
  <c r="AG9" i="310"/>
  <c r="AG10" i="310"/>
  <c r="AF9" i="306"/>
  <c r="AF9" i="303"/>
  <c r="AF10" i="306"/>
  <c r="AF10" i="303"/>
  <c r="AE32" i="310"/>
  <c r="AE31" i="310"/>
  <c r="AG3" i="310"/>
  <c r="AE52" i="308"/>
  <c r="AE191" i="310" s="1"/>
  <c r="AE53" i="308"/>
  <c r="AE192" i="310" s="1"/>
  <c r="AF2" i="308"/>
  <c r="AE32" i="306"/>
  <c r="AE31" i="306"/>
  <c r="AG3" i="306"/>
  <c r="AE52" i="305"/>
  <c r="AE191" i="306" s="1"/>
  <c r="AE53" i="305"/>
  <c r="AE192" i="306" s="1"/>
  <c r="AF2" i="305"/>
  <c r="AF3" i="303"/>
  <c r="AD32" i="303"/>
  <c r="AD31" i="303"/>
  <c r="AE52" i="302"/>
  <c r="AE191" i="303" s="1"/>
  <c r="AE53" i="302"/>
  <c r="AE192" i="303" s="1"/>
  <c r="AF2" i="302"/>
  <c r="AF102" i="303" l="1"/>
  <c r="AF101" i="303"/>
  <c r="AF93" i="303"/>
  <c r="AF103" i="303"/>
  <c r="AF97" i="303"/>
  <c r="AF95" i="303"/>
  <c r="AF100" i="303"/>
  <c r="AF98" i="303"/>
  <c r="AF91" i="303"/>
  <c r="AF92" i="303"/>
  <c r="AF96" i="303"/>
  <c r="AF90" i="303"/>
  <c r="AG100" i="306"/>
  <c r="AG101" i="306"/>
  <c r="AG103" i="306"/>
  <c r="AG102" i="306"/>
  <c r="AG97" i="306"/>
  <c r="AG95" i="306"/>
  <c r="AG91" i="306"/>
  <c r="AG92" i="306"/>
  <c r="AG96" i="306"/>
  <c r="AG93" i="306"/>
  <c r="AG98" i="306"/>
  <c r="AG90" i="306"/>
  <c r="AG108" i="306"/>
  <c r="AG107" i="306"/>
  <c r="AG106" i="306"/>
  <c r="AG105" i="306"/>
  <c r="AG101" i="310"/>
  <c r="AG103" i="310"/>
  <c r="AG102" i="310"/>
  <c r="AG100" i="310"/>
  <c r="AG98" i="310"/>
  <c r="AG96" i="310"/>
  <c r="AG92" i="310"/>
  <c r="AG93" i="310"/>
  <c r="AG95" i="310"/>
  <c r="AG90" i="310"/>
  <c r="AG97" i="310"/>
  <c r="AG91" i="310"/>
  <c r="AF105" i="303"/>
  <c r="AF107" i="303"/>
  <c r="AF108" i="303"/>
  <c r="AF106" i="303"/>
  <c r="AG108" i="310"/>
  <c r="AG107" i="310"/>
  <c r="AG106" i="310"/>
  <c r="AG105" i="310"/>
  <c r="AG150" i="310"/>
  <c r="AG151" i="310"/>
  <c r="AG150" i="306"/>
  <c r="AG151" i="306"/>
  <c r="AF151" i="303"/>
  <c r="AF27" i="303"/>
  <c r="AF28" i="303"/>
  <c r="AF29" i="303"/>
  <c r="AF150" i="303"/>
  <c r="AG27" i="306"/>
  <c r="AG28" i="306"/>
  <c r="AG29" i="306"/>
  <c r="AG28" i="310"/>
  <c r="AG29" i="310"/>
  <c r="AG27" i="310"/>
  <c r="AG9" i="303"/>
  <c r="AG9" i="306"/>
  <c r="AG10" i="303"/>
  <c r="AH10" i="310"/>
  <c r="AG10" i="306"/>
  <c r="AH9" i="310"/>
  <c r="AF31" i="310"/>
  <c r="AH3" i="310"/>
  <c r="AF32" i="310"/>
  <c r="AF52" i="308"/>
  <c r="AF191" i="310" s="1"/>
  <c r="AF53" i="308"/>
  <c r="AF192" i="310" s="1"/>
  <c r="AG2" i="308"/>
  <c r="AH3" i="306"/>
  <c r="AF31" i="306"/>
  <c r="AF32" i="306"/>
  <c r="AF53" i="305"/>
  <c r="AF192" i="306" s="1"/>
  <c r="AG2" i="305"/>
  <c r="AF52" i="305"/>
  <c r="AF191" i="306" s="1"/>
  <c r="AE32" i="303"/>
  <c r="AG3" i="303"/>
  <c r="AE31" i="303"/>
  <c r="AF53" i="302"/>
  <c r="AF192" i="303" s="1"/>
  <c r="AF52" i="302"/>
  <c r="AF191" i="303" s="1"/>
  <c r="AG2" i="302"/>
  <c r="AH101" i="306" l="1"/>
  <c r="AH102" i="306"/>
  <c r="AH100" i="306"/>
  <c r="AH103" i="306"/>
  <c r="AH97" i="306"/>
  <c r="AH92" i="306"/>
  <c r="AH96" i="306"/>
  <c r="AH93" i="306"/>
  <c r="AH98" i="306"/>
  <c r="AH90" i="306"/>
  <c r="AH91" i="306"/>
  <c r="AH95" i="306"/>
  <c r="AH107" i="306"/>
  <c r="AH106" i="306"/>
  <c r="AH105" i="306"/>
  <c r="AH108" i="306"/>
  <c r="AG102" i="303"/>
  <c r="AG103" i="303"/>
  <c r="AG97" i="303"/>
  <c r="AG95" i="303"/>
  <c r="AG93" i="303"/>
  <c r="AG96" i="303"/>
  <c r="AG101" i="303"/>
  <c r="AG98" i="303"/>
  <c r="AG91" i="303"/>
  <c r="AG90" i="303"/>
  <c r="AG100" i="303"/>
  <c r="AG92" i="303"/>
  <c r="AH102" i="310"/>
  <c r="AH103" i="310"/>
  <c r="AH100" i="310"/>
  <c r="AH101" i="310"/>
  <c r="AH98" i="310"/>
  <c r="AH96" i="310"/>
  <c r="AH93" i="310"/>
  <c r="AH95" i="310"/>
  <c r="AH90" i="310"/>
  <c r="AH97" i="310"/>
  <c r="AH91" i="310"/>
  <c r="AH92" i="310"/>
  <c r="AG108" i="303"/>
  <c r="AG106" i="303"/>
  <c r="AG107" i="303"/>
  <c r="AG105" i="303"/>
  <c r="AH107" i="310"/>
  <c r="AH106" i="310"/>
  <c r="AH105" i="310"/>
  <c r="AH108" i="310"/>
  <c r="AH150" i="310"/>
  <c r="AH151" i="310"/>
  <c r="AH150" i="306"/>
  <c r="AH151" i="306"/>
  <c r="AG150" i="303"/>
  <c r="AG151" i="303"/>
  <c r="AG27" i="303"/>
  <c r="AG28" i="303"/>
  <c r="AG29" i="303"/>
  <c r="AH27" i="306"/>
  <c r="AH28" i="306"/>
  <c r="AH29" i="306"/>
  <c r="AH29" i="310"/>
  <c r="AH28" i="310"/>
  <c r="AH27" i="310"/>
  <c r="AI10" i="310"/>
  <c r="AH10" i="303"/>
  <c r="AI9" i="310"/>
  <c r="AH9" i="306"/>
  <c r="AH10" i="306"/>
  <c r="AH9" i="303"/>
  <c r="AG32" i="310"/>
  <c r="AI3" i="310"/>
  <c r="AG31" i="310"/>
  <c r="AG53" i="308"/>
  <c r="AG192" i="310" s="1"/>
  <c r="AH2" i="308"/>
  <c r="AG52" i="308"/>
  <c r="AG191" i="310" s="1"/>
  <c r="AG32" i="306"/>
  <c r="AI3" i="306"/>
  <c r="AG31" i="306"/>
  <c r="AG53" i="305"/>
  <c r="AG192" i="306" s="1"/>
  <c r="AG52" i="305"/>
  <c r="AG191" i="306" s="1"/>
  <c r="AH2" i="305"/>
  <c r="AF32" i="303"/>
  <c r="AF31" i="303"/>
  <c r="AH3" i="303"/>
  <c r="AG53" i="302"/>
  <c r="AG192" i="303" s="1"/>
  <c r="AG52" i="302"/>
  <c r="AG191" i="303" s="1"/>
  <c r="AH2" i="302"/>
  <c r="AI102" i="310" l="1"/>
  <c r="AI103" i="310"/>
  <c r="AI100" i="310"/>
  <c r="AI101" i="310"/>
  <c r="AI98" i="310"/>
  <c r="AI97" i="310"/>
  <c r="AI95" i="310"/>
  <c r="AI90" i="310"/>
  <c r="AI91" i="310"/>
  <c r="AI92" i="310"/>
  <c r="AI93" i="310"/>
  <c r="AI96" i="310"/>
  <c r="AH102" i="303"/>
  <c r="AH103" i="303"/>
  <c r="AH100" i="303"/>
  <c r="AH98" i="303"/>
  <c r="AH96" i="303"/>
  <c r="AH92" i="303"/>
  <c r="AH97" i="303"/>
  <c r="AH101" i="303"/>
  <c r="AH90" i="303"/>
  <c r="AH95" i="303"/>
  <c r="AH93" i="303"/>
  <c r="AH91" i="303"/>
  <c r="AI102" i="306"/>
  <c r="AI103" i="306"/>
  <c r="AI101" i="306"/>
  <c r="AI100" i="306"/>
  <c r="AI98" i="306"/>
  <c r="AI96" i="306"/>
  <c r="AI93" i="306"/>
  <c r="AI90" i="306"/>
  <c r="AI95" i="306"/>
  <c r="AI91" i="306"/>
  <c r="AI97" i="306"/>
  <c r="AI92" i="306"/>
  <c r="AI106" i="306"/>
  <c r="AI105" i="306"/>
  <c r="AI108" i="306"/>
  <c r="AI107" i="306"/>
  <c r="AI106" i="310"/>
  <c r="AI108" i="310"/>
  <c r="AI107" i="310"/>
  <c r="AI105" i="310"/>
  <c r="AH107" i="303"/>
  <c r="AH105" i="303"/>
  <c r="AH108" i="303"/>
  <c r="AH106" i="303"/>
  <c r="AH150" i="303"/>
  <c r="AH151" i="303"/>
  <c r="AH27" i="303"/>
  <c r="AH28" i="303"/>
  <c r="AH29" i="303"/>
  <c r="AI27" i="306"/>
  <c r="AI28" i="306"/>
  <c r="AI29" i="306"/>
  <c r="AI27" i="310"/>
  <c r="AI29" i="310"/>
  <c r="AI28" i="310"/>
  <c r="AJ9" i="310"/>
  <c r="AI9" i="303"/>
  <c r="AI10" i="303"/>
  <c r="AI9" i="306"/>
  <c r="AI10" i="306"/>
  <c r="AJ10" i="310"/>
  <c r="AJ3" i="310"/>
  <c r="AH32" i="310"/>
  <c r="AH31" i="310"/>
  <c r="AH53" i="308"/>
  <c r="AH192" i="310" s="1"/>
  <c r="AH52" i="308"/>
  <c r="AH191" i="310" s="1"/>
  <c r="AI2" i="308"/>
  <c r="AH31" i="306"/>
  <c r="AJ3" i="306"/>
  <c r="AH32" i="306"/>
  <c r="AH53" i="305"/>
  <c r="AH192" i="306" s="1"/>
  <c r="AH52" i="305"/>
  <c r="AH191" i="306" s="1"/>
  <c r="AI2" i="305"/>
  <c r="AI3" i="303"/>
  <c r="AG32" i="303"/>
  <c r="AG31" i="303"/>
  <c r="AH53" i="302"/>
  <c r="AH192" i="303" s="1"/>
  <c r="AH52" i="302"/>
  <c r="AH191" i="303" s="1"/>
  <c r="AI2" i="302"/>
  <c r="AJ103" i="306" l="1"/>
  <c r="AJ100" i="306"/>
  <c r="AJ102" i="306"/>
  <c r="AJ101" i="306"/>
  <c r="AJ90" i="306"/>
  <c r="AJ98" i="306"/>
  <c r="AJ91" i="306"/>
  <c r="AJ92" i="306"/>
  <c r="AJ93" i="306"/>
  <c r="AJ105" i="306"/>
  <c r="AJ108" i="306"/>
  <c r="AJ107" i="306"/>
  <c r="AJ106" i="306"/>
  <c r="AJ95" i="306"/>
  <c r="AJ97" i="306"/>
  <c r="AJ96" i="306"/>
  <c r="AI103" i="303"/>
  <c r="AI100" i="303"/>
  <c r="AI98" i="303"/>
  <c r="AI96" i="303"/>
  <c r="AI102" i="303"/>
  <c r="AI101" i="303"/>
  <c r="AI93" i="303"/>
  <c r="AI90" i="303"/>
  <c r="AI95" i="303"/>
  <c r="AI92" i="303"/>
  <c r="AI91" i="303"/>
  <c r="AI97" i="303"/>
  <c r="AJ103" i="310"/>
  <c r="AJ100" i="310"/>
  <c r="AJ101" i="310"/>
  <c r="AJ102" i="310"/>
  <c r="AJ91" i="310"/>
  <c r="AJ98" i="310"/>
  <c r="AJ92" i="310"/>
  <c r="AJ93" i="310"/>
  <c r="AJ90" i="310"/>
  <c r="AJ96" i="310"/>
  <c r="AJ95" i="310"/>
  <c r="AJ97" i="310"/>
  <c r="AI106" i="303"/>
  <c r="AI108" i="303"/>
  <c r="AI105" i="303"/>
  <c r="AI107" i="303"/>
  <c r="AJ105" i="310"/>
  <c r="AJ108" i="310"/>
  <c r="AJ107" i="310"/>
  <c r="AJ106" i="310"/>
  <c r="AI27" i="303"/>
  <c r="AI28" i="303"/>
  <c r="AI29" i="303"/>
  <c r="AJ29" i="306"/>
  <c r="AJ27" i="306"/>
  <c r="AJ28" i="306"/>
  <c r="AJ28" i="310"/>
  <c r="AJ27" i="310"/>
  <c r="AJ29" i="310"/>
  <c r="AJ9" i="306"/>
  <c r="AK10" i="310"/>
  <c r="AL10" i="310" s="1"/>
  <c r="AJ9" i="303"/>
  <c r="AJ10" i="303"/>
  <c r="AK9" i="310"/>
  <c r="AL9" i="310" s="1"/>
  <c r="AJ10" i="306"/>
  <c r="AK3" i="310"/>
  <c r="AI32" i="310"/>
  <c r="AI31" i="310"/>
  <c r="AI53" i="308"/>
  <c r="AI192" i="310" s="1"/>
  <c r="AI52" i="308"/>
  <c r="AI191" i="310" s="1"/>
  <c r="AJ2" i="308"/>
  <c r="AK3" i="306"/>
  <c r="AI31" i="306"/>
  <c r="AI32" i="306"/>
  <c r="AI53" i="305"/>
  <c r="AI192" i="306" s="1"/>
  <c r="AI52" i="305"/>
  <c r="AI191" i="306" s="1"/>
  <c r="AJ2" i="305"/>
  <c r="AH31" i="303"/>
  <c r="AH32" i="303"/>
  <c r="AJ3" i="303"/>
  <c r="AI53" i="302"/>
  <c r="AI192" i="303" s="1"/>
  <c r="AI52" i="302"/>
  <c r="AI191" i="303" s="1"/>
  <c r="AJ2" i="302"/>
  <c r="AJ102" i="303" l="1"/>
  <c r="AJ103" i="303"/>
  <c r="AJ101" i="303"/>
  <c r="AJ93" i="303"/>
  <c r="AJ92" i="303"/>
  <c r="AJ91" i="303"/>
  <c r="AJ100" i="303"/>
  <c r="AJ90" i="303"/>
  <c r="AJ95" i="303"/>
  <c r="AJ97" i="303"/>
  <c r="AJ98" i="303"/>
  <c r="AJ96" i="303"/>
  <c r="AK100" i="306"/>
  <c r="AK101" i="306"/>
  <c r="AK103" i="306"/>
  <c r="AK102" i="306"/>
  <c r="AK98" i="306"/>
  <c r="AK96" i="306"/>
  <c r="AK91" i="306"/>
  <c r="AK95" i="306"/>
  <c r="AK92" i="306"/>
  <c r="AK97" i="306"/>
  <c r="AK93" i="306"/>
  <c r="AK90" i="306"/>
  <c r="AL3" i="306"/>
  <c r="AK108" i="306"/>
  <c r="AK107" i="306"/>
  <c r="AK106" i="306"/>
  <c r="AK105" i="306"/>
  <c r="AK103" i="310"/>
  <c r="AK101" i="310"/>
  <c r="AK102" i="310"/>
  <c r="AK100" i="310"/>
  <c r="AK97" i="310"/>
  <c r="AK98" i="310"/>
  <c r="AK92" i="310"/>
  <c r="AK93" i="310"/>
  <c r="AK96" i="310"/>
  <c r="AK90" i="310"/>
  <c r="AK95" i="310"/>
  <c r="AK91" i="310"/>
  <c r="AL3" i="310"/>
  <c r="AJ105" i="303"/>
  <c r="AJ108" i="303"/>
  <c r="AJ107" i="303"/>
  <c r="AJ106" i="303"/>
  <c r="AK108" i="310"/>
  <c r="AK107" i="310"/>
  <c r="AK106" i="310"/>
  <c r="AK105" i="310"/>
  <c r="AJ27" i="303"/>
  <c r="AJ28" i="303"/>
  <c r="AJ29" i="303"/>
  <c r="AK29" i="306"/>
  <c r="AK27" i="306"/>
  <c r="AK28" i="306"/>
  <c r="AK29" i="310"/>
  <c r="AK28" i="310"/>
  <c r="AK27" i="310"/>
  <c r="AK10" i="303"/>
  <c r="AL10" i="303" s="1"/>
  <c r="AK10" i="306"/>
  <c r="AL10" i="306" s="1"/>
  <c r="AK9" i="303"/>
  <c r="AL9" i="303" s="1"/>
  <c r="AK9" i="306"/>
  <c r="AL9" i="306" s="1"/>
  <c r="AJ32" i="310"/>
  <c r="AJ31" i="310"/>
  <c r="AJ53" i="308"/>
  <c r="AJ192" i="310" s="1"/>
  <c r="AJ52" i="308"/>
  <c r="AJ191" i="310" s="1"/>
  <c r="AK2" i="308"/>
  <c r="AL2" i="308" s="1"/>
  <c r="AJ31" i="306"/>
  <c r="AJ32" i="306"/>
  <c r="AJ53" i="305"/>
  <c r="AJ192" i="306" s="1"/>
  <c r="AJ52" i="305"/>
  <c r="AJ191" i="306" s="1"/>
  <c r="AK2" i="305"/>
  <c r="AL2" i="305" s="1"/>
  <c r="AI31" i="303"/>
  <c r="AK3" i="303"/>
  <c r="AI32" i="303"/>
  <c r="AJ53" i="302"/>
  <c r="AJ192" i="303" s="1"/>
  <c r="AJ52" i="302"/>
  <c r="AJ191" i="303" s="1"/>
  <c r="AK2" i="302"/>
  <c r="AL2" i="302" s="1"/>
  <c r="AL52" i="302" l="1"/>
  <c r="AL191" i="303" s="1"/>
  <c r="AL53" i="302"/>
  <c r="AL192" i="303" s="1"/>
  <c r="AL52" i="308"/>
  <c r="AL53" i="308"/>
  <c r="AK102" i="303"/>
  <c r="AK103" i="303"/>
  <c r="AK97" i="303"/>
  <c r="AK95" i="303"/>
  <c r="AK101" i="303"/>
  <c r="AK96" i="303"/>
  <c r="AK100" i="303"/>
  <c r="AK93" i="303"/>
  <c r="AK92" i="303"/>
  <c r="AK91" i="303"/>
  <c r="AK90" i="303"/>
  <c r="AK98" i="303"/>
  <c r="AL3" i="303"/>
  <c r="AL102" i="310"/>
  <c r="AL100" i="310"/>
  <c r="AL103" i="310"/>
  <c r="AL101" i="310"/>
  <c r="AL98" i="310"/>
  <c r="AL96" i="310"/>
  <c r="AL93" i="310"/>
  <c r="AL97" i="310"/>
  <c r="AL90" i="310"/>
  <c r="AL95" i="310"/>
  <c r="AL91" i="310"/>
  <c r="AL92" i="310"/>
  <c r="AL27" i="310"/>
  <c r="AL31" i="310" s="1"/>
  <c r="AL108" i="310"/>
  <c r="AL150" i="310"/>
  <c r="AL151" i="310"/>
  <c r="AL29" i="310"/>
  <c r="AL107" i="310"/>
  <c r="AL105" i="310"/>
  <c r="AL28" i="310"/>
  <c r="AL32" i="310" s="1"/>
  <c r="AL106" i="310"/>
  <c r="AL52" i="305"/>
  <c r="AL53" i="305"/>
  <c r="AL151" i="306"/>
  <c r="AL101" i="306"/>
  <c r="AL102" i="306"/>
  <c r="AL103" i="306"/>
  <c r="AL100" i="306"/>
  <c r="AL97" i="306"/>
  <c r="AL95" i="306"/>
  <c r="AL92" i="306"/>
  <c r="AL93" i="306"/>
  <c r="AL90" i="306"/>
  <c r="AL96" i="306"/>
  <c r="AL106" i="306"/>
  <c r="AL27" i="306"/>
  <c r="AL31" i="306" s="1"/>
  <c r="AL91" i="306"/>
  <c r="AL98" i="306"/>
  <c r="AL28" i="306"/>
  <c r="AL32" i="306" s="1"/>
  <c r="AL29" i="306"/>
  <c r="AL107" i="306"/>
  <c r="AL108" i="306"/>
  <c r="AL105" i="306"/>
  <c r="AL150" i="306"/>
  <c r="AK108" i="303"/>
  <c r="AK106" i="303"/>
  <c r="AK107" i="303"/>
  <c r="AK105" i="303"/>
  <c r="AK29" i="303"/>
  <c r="AK27" i="303"/>
  <c r="AK28" i="303"/>
  <c r="AK32" i="310"/>
  <c r="AK31" i="310"/>
  <c r="AK53" i="308"/>
  <c r="AK52" i="308"/>
  <c r="AK32" i="306"/>
  <c r="AK31" i="306"/>
  <c r="AK53" i="305"/>
  <c r="AK52" i="305"/>
  <c r="AJ31" i="303"/>
  <c r="AJ32" i="303"/>
  <c r="AK53" i="302"/>
  <c r="AK192" i="303" s="1"/>
  <c r="AK52" i="302"/>
  <c r="AK191" i="303" s="1"/>
  <c r="AL192" i="306" l="1"/>
  <c r="AL192" i="310"/>
  <c r="AL191" i="306"/>
  <c r="AL194" i="306" s="1"/>
  <c r="AL191" i="310"/>
  <c r="AL107" i="303"/>
  <c r="AL102" i="303"/>
  <c r="AL103" i="303"/>
  <c r="AL97" i="303"/>
  <c r="AL95" i="303"/>
  <c r="AL100" i="303"/>
  <c r="AL92" i="303"/>
  <c r="AL98" i="303"/>
  <c r="AL93" i="303"/>
  <c r="AL90" i="303"/>
  <c r="AL96" i="303"/>
  <c r="AL101" i="303"/>
  <c r="AL91" i="303"/>
  <c r="AL108" i="303"/>
  <c r="AL105" i="303"/>
  <c r="AL29" i="303"/>
  <c r="AL151" i="303"/>
  <c r="AL150" i="303"/>
  <c r="AL194" i="303" s="1"/>
  <c r="AL27" i="303"/>
  <c r="AL31" i="303" s="1"/>
  <c r="AL106" i="303"/>
  <c r="AL28" i="303"/>
  <c r="AL32" i="303" s="1"/>
  <c r="AK191" i="306"/>
  <c r="AK191" i="310"/>
  <c r="AK192" i="306"/>
  <c r="AK192" i="310"/>
  <c r="AK32" i="303"/>
  <c r="AK31" i="303"/>
  <c r="AL194" i="310" l="1"/>
  <c r="D20" i="265"/>
  <c r="D19" i="265"/>
  <c r="C59" i="329" l="1"/>
  <c r="C59" i="326"/>
  <c r="C59" i="323"/>
  <c r="C59" i="320"/>
  <c r="C59" i="317"/>
  <c r="C59" i="313"/>
  <c r="C60" i="326"/>
  <c r="C60" i="323"/>
  <c r="C60" i="320"/>
  <c r="C60" i="317"/>
  <c r="C60" i="329"/>
  <c r="C60" i="313"/>
  <c r="C59" i="310"/>
  <c r="C59" i="303"/>
  <c r="C59" i="306"/>
  <c r="C60" i="310"/>
  <c r="C60" i="303"/>
  <c r="C60" i="306"/>
  <c r="D50" i="329" l="1"/>
  <c r="E50" i="329" s="1"/>
  <c r="F50" i="329" s="1"/>
  <c r="G50" i="329" s="1"/>
  <c r="H50" i="329" s="1"/>
  <c r="I50" i="329" s="1"/>
  <c r="J50" i="329" s="1"/>
  <c r="K50" i="329" s="1"/>
  <c r="L50" i="329" s="1"/>
  <c r="M50" i="329" s="1"/>
  <c r="N50" i="329" s="1"/>
  <c r="O50" i="329" s="1"/>
  <c r="P50" i="329" s="1"/>
  <c r="Q50" i="329" s="1"/>
  <c r="R50" i="329" s="1"/>
  <c r="S50" i="329" s="1"/>
  <c r="T50" i="329" s="1"/>
  <c r="U50" i="329" s="1"/>
  <c r="V50" i="329" s="1"/>
  <c r="W50" i="329" s="1"/>
  <c r="X50" i="329" s="1"/>
  <c r="Y50" i="329" s="1"/>
  <c r="Z50" i="329" s="1"/>
  <c r="AA50" i="329" s="1"/>
  <c r="AB50" i="329" s="1"/>
  <c r="AC50" i="329" s="1"/>
  <c r="AD50" i="329" s="1"/>
  <c r="AE50" i="329" s="1"/>
  <c r="AF50" i="329" s="1"/>
  <c r="AG50" i="329" s="1"/>
  <c r="AH50" i="329" s="1"/>
  <c r="AI50" i="329" s="1"/>
  <c r="AJ50" i="329" s="1"/>
  <c r="AK50" i="329" s="1"/>
  <c r="D50" i="326"/>
  <c r="E50" i="326" s="1"/>
  <c r="F50" i="326" s="1"/>
  <c r="G50" i="326" s="1"/>
  <c r="H50" i="326" s="1"/>
  <c r="I50" i="326" s="1"/>
  <c r="J50" i="326" s="1"/>
  <c r="K50" i="326" s="1"/>
  <c r="L50" i="326" s="1"/>
  <c r="M50" i="326" s="1"/>
  <c r="N50" i="326" s="1"/>
  <c r="O50" i="326" s="1"/>
  <c r="P50" i="326" s="1"/>
  <c r="Q50" i="326" s="1"/>
  <c r="R50" i="326" s="1"/>
  <c r="S50" i="326" s="1"/>
  <c r="T50" i="326" s="1"/>
  <c r="U50" i="326" s="1"/>
  <c r="V50" i="326" s="1"/>
  <c r="W50" i="326" s="1"/>
  <c r="X50" i="326" s="1"/>
  <c r="Y50" i="326" s="1"/>
  <c r="Z50" i="326" s="1"/>
  <c r="AA50" i="326" s="1"/>
  <c r="AB50" i="326" s="1"/>
  <c r="AC50" i="326" s="1"/>
  <c r="AD50" i="326" s="1"/>
  <c r="AE50" i="326" s="1"/>
  <c r="AF50" i="326" s="1"/>
  <c r="AG50" i="326" s="1"/>
  <c r="AH50" i="326" s="1"/>
  <c r="AI50" i="326" s="1"/>
  <c r="AJ50" i="326" s="1"/>
  <c r="AK50" i="326" s="1"/>
  <c r="D50" i="323"/>
  <c r="E50" i="323" s="1"/>
  <c r="F50" i="323" s="1"/>
  <c r="G50" i="323" s="1"/>
  <c r="H50" i="323" s="1"/>
  <c r="I50" i="323" s="1"/>
  <c r="J50" i="323" s="1"/>
  <c r="K50" i="323" s="1"/>
  <c r="L50" i="323" s="1"/>
  <c r="M50" i="323" s="1"/>
  <c r="N50" i="323" s="1"/>
  <c r="O50" i="323" s="1"/>
  <c r="P50" i="323" s="1"/>
  <c r="Q50" i="323" s="1"/>
  <c r="R50" i="323" s="1"/>
  <c r="S50" i="323" s="1"/>
  <c r="T50" i="323" s="1"/>
  <c r="U50" i="323" s="1"/>
  <c r="V50" i="323" s="1"/>
  <c r="W50" i="323" s="1"/>
  <c r="X50" i="323" s="1"/>
  <c r="Y50" i="323" s="1"/>
  <c r="Z50" i="323" s="1"/>
  <c r="AA50" i="323" s="1"/>
  <c r="AB50" i="323" s="1"/>
  <c r="AC50" i="323" s="1"/>
  <c r="AD50" i="323" s="1"/>
  <c r="AE50" i="323" s="1"/>
  <c r="AF50" i="323" s="1"/>
  <c r="AG50" i="323" s="1"/>
  <c r="AH50" i="323" s="1"/>
  <c r="AI50" i="323" s="1"/>
  <c r="AJ50" i="323" s="1"/>
  <c r="AK50" i="323" s="1"/>
  <c r="D50" i="320"/>
  <c r="E50" i="320" s="1"/>
  <c r="F50" i="320" s="1"/>
  <c r="G50" i="320" s="1"/>
  <c r="H50" i="320" s="1"/>
  <c r="I50" i="320" s="1"/>
  <c r="J50" i="320" s="1"/>
  <c r="K50" i="320" s="1"/>
  <c r="L50" i="320" s="1"/>
  <c r="M50" i="320" s="1"/>
  <c r="N50" i="320" s="1"/>
  <c r="O50" i="320" s="1"/>
  <c r="P50" i="320" s="1"/>
  <c r="Q50" i="320" s="1"/>
  <c r="R50" i="320" s="1"/>
  <c r="S50" i="320" s="1"/>
  <c r="T50" i="320" s="1"/>
  <c r="U50" i="320" s="1"/>
  <c r="V50" i="320" s="1"/>
  <c r="W50" i="320" s="1"/>
  <c r="X50" i="320" s="1"/>
  <c r="Y50" i="320" s="1"/>
  <c r="Z50" i="320" s="1"/>
  <c r="AA50" i="320" s="1"/>
  <c r="AB50" i="320" s="1"/>
  <c r="AC50" i="320" s="1"/>
  <c r="AD50" i="320" s="1"/>
  <c r="AE50" i="320" s="1"/>
  <c r="AF50" i="320" s="1"/>
  <c r="AG50" i="320" s="1"/>
  <c r="AH50" i="320" s="1"/>
  <c r="AI50" i="320" s="1"/>
  <c r="AJ50" i="320" s="1"/>
  <c r="AK50" i="320" s="1"/>
  <c r="D50" i="317"/>
  <c r="E50" i="317" s="1"/>
  <c r="F50" i="317" s="1"/>
  <c r="G50" i="317" s="1"/>
  <c r="H50" i="317" s="1"/>
  <c r="I50" i="317" s="1"/>
  <c r="J50" i="317" s="1"/>
  <c r="K50" i="317" s="1"/>
  <c r="L50" i="317" s="1"/>
  <c r="M50" i="317" s="1"/>
  <c r="N50" i="317" s="1"/>
  <c r="O50" i="317" s="1"/>
  <c r="P50" i="317" s="1"/>
  <c r="Q50" i="317" s="1"/>
  <c r="R50" i="317" s="1"/>
  <c r="S50" i="317" s="1"/>
  <c r="T50" i="317" s="1"/>
  <c r="U50" i="317" s="1"/>
  <c r="V50" i="317" s="1"/>
  <c r="W50" i="317" s="1"/>
  <c r="X50" i="317" s="1"/>
  <c r="Y50" i="317" s="1"/>
  <c r="Z50" i="317" s="1"/>
  <c r="AA50" i="317" s="1"/>
  <c r="AB50" i="317" s="1"/>
  <c r="AC50" i="317" s="1"/>
  <c r="AD50" i="317" s="1"/>
  <c r="AE50" i="317" s="1"/>
  <c r="AF50" i="317" s="1"/>
  <c r="AG50" i="317" s="1"/>
  <c r="AH50" i="317" s="1"/>
  <c r="AI50" i="317" s="1"/>
  <c r="AJ50" i="317" s="1"/>
  <c r="AK50" i="317" s="1"/>
  <c r="D50" i="313"/>
  <c r="E50" i="313" s="1"/>
  <c r="F50" i="313" s="1"/>
  <c r="G50" i="313" s="1"/>
  <c r="H50" i="313" s="1"/>
  <c r="I50" i="313" s="1"/>
  <c r="J50" i="313" s="1"/>
  <c r="K50" i="313" s="1"/>
  <c r="L50" i="313" s="1"/>
  <c r="M50" i="313" s="1"/>
  <c r="N50" i="313" s="1"/>
  <c r="O50" i="313" s="1"/>
  <c r="P50" i="313" s="1"/>
  <c r="Q50" i="313" s="1"/>
  <c r="R50" i="313" s="1"/>
  <c r="S50" i="313" s="1"/>
  <c r="T50" i="313" s="1"/>
  <c r="U50" i="313" s="1"/>
  <c r="V50" i="313" s="1"/>
  <c r="W50" i="313" s="1"/>
  <c r="X50" i="313" s="1"/>
  <c r="Y50" i="313" s="1"/>
  <c r="Z50" i="313" s="1"/>
  <c r="AA50" i="313" s="1"/>
  <c r="AB50" i="313" s="1"/>
  <c r="AC50" i="313" s="1"/>
  <c r="AD50" i="313" s="1"/>
  <c r="AE50" i="313" s="1"/>
  <c r="AF50" i="313" s="1"/>
  <c r="AG50" i="313" s="1"/>
  <c r="AH50" i="313" s="1"/>
  <c r="AI50" i="313" s="1"/>
  <c r="AJ50" i="313" s="1"/>
  <c r="AK50" i="313" s="1"/>
  <c r="D51" i="329"/>
  <c r="E51" i="329" s="1"/>
  <c r="F51" i="329" s="1"/>
  <c r="G51" i="329" s="1"/>
  <c r="H51" i="329" s="1"/>
  <c r="I51" i="329" s="1"/>
  <c r="J51" i="329" s="1"/>
  <c r="K51" i="329" s="1"/>
  <c r="L51" i="329" s="1"/>
  <c r="M51" i="329" s="1"/>
  <c r="N51" i="329" s="1"/>
  <c r="O51" i="329" s="1"/>
  <c r="P51" i="329" s="1"/>
  <c r="Q51" i="329" s="1"/>
  <c r="R51" i="329" s="1"/>
  <c r="S51" i="329" s="1"/>
  <c r="T51" i="329" s="1"/>
  <c r="U51" i="329" s="1"/>
  <c r="V51" i="329" s="1"/>
  <c r="W51" i="329" s="1"/>
  <c r="X51" i="329" s="1"/>
  <c r="Y51" i="329" s="1"/>
  <c r="Z51" i="329" s="1"/>
  <c r="AA51" i="329" s="1"/>
  <c r="AB51" i="329" s="1"/>
  <c r="AC51" i="329" s="1"/>
  <c r="AD51" i="329" s="1"/>
  <c r="AE51" i="329" s="1"/>
  <c r="AF51" i="329" s="1"/>
  <c r="AG51" i="329" s="1"/>
  <c r="AH51" i="329" s="1"/>
  <c r="AI51" i="329" s="1"/>
  <c r="AJ51" i="329" s="1"/>
  <c r="AK51" i="329" s="1"/>
  <c r="D51" i="326"/>
  <c r="E51" i="326" s="1"/>
  <c r="F51" i="326" s="1"/>
  <c r="G51" i="326" s="1"/>
  <c r="H51" i="326" s="1"/>
  <c r="I51" i="326" s="1"/>
  <c r="J51" i="326" s="1"/>
  <c r="K51" i="326" s="1"/>
  <c r="L51" i="326" s="1"/>
  <c r="M51" i="326" s="1"/>
  <c r="N51" i="326" s="1"/>
  <c r="O51" i="326" s="1"/>
  <c r="P51" i="326" s="1"/>
  <c r="Q51" i="326" s="1"/>
  <c r="R51" i="326" s="1"/>
  <c r="S51" i="326" s="1"/>
  <c r="T51" i="326" s="1"/>
  <c r="U51" i="326" s="1"/>
  <c r="V51" i="326" s="1"/>
  <c r="W51" i="326" s="1"/>
  <c r="X51" i="326" s="1"/>
  <c r="Y51" i="326" s="1"/>
  <c r="Z51" i="326" s="1"/>
  <c r="AA51" i="326" s="1"/>
  <c r="AB51" i="326" s="1"/>
  <c r="AC51" i="326" s="1"/>
  <c r="AD51" i="326" s="1"/>
  <c r="AE51" i="326" s="1"/>
  <c r="AF51" i="326" s="1"/>
  <c r="AG51" i="326" s="1"/>
  <c r="AH51" i="326" s="1"/>
  <c r="AI51" i="326" s="1"/>
  <c r="AJ51" i="326" s="1"/>
  <c r="AK51" i="326" s="1"/>
  <c r="D51" i="323"/>
  <c r="E51" i="323" s="1"/>
  <c r="F51" i="323" s="1"/>
  <c r="G51" i="323" s="1"/>
  <c r="H51" i="323" s="1"/>
  <c r="I51" i="323" s="1"/>
  <c r="J51" i="323" s="1"/>
  <c r="K51" i="323" s="1"/>
  <c r="L51" i="323" s="1"/>
  <c r="M51" i="323" s="1"/>
  <c r="N51" i="323" s="1"/>
  <c r="O51" i="323" s="1"/>
  <c r="P51" i="323" s="1"/>
  <c r="Q51" i="323" s="1"/>
  <c r="R51" i="323" s="1"/>
  <c r="S51" i="323" s="1"/>
  <c r="T51" i="323" s="1"/>
  <c r="U51" i="323" s="1"/>
  <c r="V51" i="323" s="1"/>
  <c r="W51" i="323" s="1"/>
  <c r="X51" i="323" s="1"/>
  <c r="Y51" i="323" s="1"/>
  <c r="Z51" i="323" s="1"/>
  <c r="AA51" i="323" s="1"/>
  <c r="AB51" i="323" s="1"/>
  <c r="AC51" i="323" s="1"/>
  <c r="AD51" i="323" s="1"/>
  <c r="AE51" i="323" s="1"/>
  <c r="AF51" i="323" s="1"/>
  <c r="AG51" i="323" s="1"/>
  <c r="AH51" i="323" s="1"/>
  <c r="AI51" i="323" s="1"/>
  <c r="AJ51" i="323" s="1"/>
  <c r="AK51" i="323" s="1"/>
  <c r="D51" i="320"/>
  <c r="E51" i="320" s="1"/>
  <c r="F51" i="320" s="1"/>
  <c r="G51" i="320" s="1"/>
  <c r="H51" i="320" s="1"/>
  <c r="I51" i="320" s="1"/>
  <c r="J51" i="320" s="1"/>
  <c r="K51" i="320" s="1"/>
  <c r="L51" i="320" s="1"/>
  <c r="M51" i="320" s="1"/>
  <c r="N51" i="320" s="1"/>
  <c r="O51" i="320" s="1"/>
  <c r="P51" i="320" s="1"/>
  <c r="Q51" i="320" s="1"/>
  <c r="R51" i="320" s="1"/>
  <c r="S51" i="320" s="1"/>
  <c r="T51" i="320" s="1"/>
  <c r="U51" i="320" s="1"/>
  <c r="V51" i="320" s="1"/>
  <c r="W51" i="320" s="1"/>
  <c r="X51" i="320" s="1"/>
  <c r="Y51" i="320" s="1"/>
  <c r="Z51" i="320" s="1"/>
  <c r="AA51" i="320" s="1"/>
  <c r="AB51" i="320" s="1"/>
  <c r="AC51" i="320" s="1"/>
  <c r="AD51" i="320" s="1"/>
  <c r="AE51" i="320" s="1"/>
  <c r="AF51" i="320" s="1"/>
  <c r="AG51" i="320" s="1"/>
  <c r="AH51" i="320" s="1"/>
  <c r="AI51" i="320" s="1"/>
  <c r="AJ51" i="320" s="1"/>
  <c r="AK51" i="320" s="1"/>
  <c r="D51" i="317"/>
  <c r="E51" i="317" s="1"/>
  <c r="F51" i="317" s="1"/>
  <c r="G51" i="317" s="1"/>
  <c r="H51" i="317" s="1"/>
  <c r="I51" i="317" s="1"/>
  <c r="J51" i="317" s="1"/>
  <c r="K51" i="317" s="1"/>
  <c r="L51" i="317" s="1"/>
  <c r="M51" i="317" s="1"/>
  <c r="N51" i="317" s="1"/>
  <c r="O51" i="317" s="1"/>
  <c r="P51" i="317" s="1"/>
  <c r="Q51" i="317" s="1"/>
  <c r="R51" i="317" s="1"/>
  <c r="S51" i="317" s="1"/>
  <c r="T51" i="317" s="1"/>
  <c r="U51" i="317" s="1"/>
  <c r="V51" i="317" s="1"/>
  <c r="W51" i="317" s="1"/>
  <c r="X51" i="317" s="1"/>
  <c r="Y51" i="317" s="1"/>
  <c r="Z51" i="317" s="1"/>
  <c r="AA51" i="317" s="1"/>
  <c r="AB51" i="317" s="1"/>
  <c r="AC51" i="317" s="1"/>
  <c r="AD51" i="317" s="1"/>
  <c r="AE51" i="317" s="1"/>
  <c r="AF51" i="317" s="1"/>
  <c r="AG51" i="317" s="1"/>
  <c r="AH51" i="317" s="1"/>
  <c r="AI51" i="317" s="1"/>
  <c r="AJ51" i="317" s="1"/>
  <c r="AK51" i="317" s="1"/>
  <c r="D51" i="313"/>
  <c r="E51" i="313" s="1"/>
  <c r="F51" i="313" s="1"/>
  <c r="G51" i="313" s="1"/>
  <c r="H51" i="313" s="1"/>
  <c r="I51" i="313" s="1"/>
  <c r="J51" i="313" s="1"/>
  <c r="K51" i="313" s="1"/>
  <c r="L51" i="313" s="1"/>
  <c r="M51" i="313" s="1"/>
  <c r="N51" i="313" s="1"/>
  <c r="O51" i="313" s="1"/>
  <c r="P51" i="313" s="1"/>
  <c r="Q51" i="313" s="1"/>
  <c r="R51" i="313" s="1"/>
  <c r="S51" i="313" s="1"/>
  <c r="T51" i="313" s="1"/>
  <c r="U51" i="313" s="1"/>
  <c r="V51" i="313" s="1"/>
  <c r="W51" i="313" s="1"/>
  <c r="X51" i="313" s="1"/>
  <c r="Y51" i="313" s="1"/>
  <c r="Z51" i="313" s="1"/>
  <c r="AA51" i="313" s="1"/>
  <c r="AB51" i="313" s="1"/>
  <c r="AC51" i="313" s="1"/>
  <c r="AD51" i="313" s="1"/>
  <c r="AE51" i="313" s="1"/>
  <c r="AF51" i="313" s="1"/>
  <c r="AG51" i="313" s="1"/>
  <c r="AH51" i="313" s="1"/>
  <c r="AI51" i="313" s="1"/>
  <c r="AJ51" i="313" s="1"/>
  <c r="AK51" i="313" s="1"/>
  <c r="D49" i="317"/>
  <c r="E49" i="317" s="1"/>
  <c r="F49" i="317" s="1"/>
  <c r="G49" i="317" s="1"/>
  <c r="H49" i="317" s="1"/>
  <c r="I49" i="317" s="1"/>
  <c r="J49" i="317" s="1"/>
  <c r="K49" i="317" s="1"/>
  <c r="L49" i="317" s="1"/>
  <c r="M49" i="317" s="1"/>
  <c r="N49" i="317" s="1"/>
  <c r="O49" i="317" s="1"/>
  <c r="P49" i="317" s="1"/>
  <c r="Q49" i="317" s="1"/>
  <c r="R49" i="317" s="1"/>
  <c r="S49" i="317" s="1"/>
  <c r="T49" i="317" s="1"/>
  <c r="U49" i="317" s="1"/>
  <c r="V49" i="317" s="1"/>
  <c r="W49" i="317" s="1"/>
  <c r="X49" i="317" s="1"/>
  <c r="Y49" i="317" s="1"/>
  <c r="Z49" i="317" s="1"/>
  <c r="AA49" i="317" s="1"/>
  <c r="AB49" i="317" s="1"/>
  <c r="AC49" i="317" s="1"/>
  <c r="AD49" i="317" s="1"/>
  <c r="AE49" i="317" s="1"/>
  <c r="AF49" i="317" s="1"/>
  <c r="AG49" i="317" s="1"/>
  <c r="AH49" i="317" s="1"/>
  <c r="AI49" i="317" s="1"/>
  <c r="AJ49" i="317" s="1"/>
  <c r="AK49" i="317" s="1"/>
  <c r="D49" i="329"/>
  <c r="E49" i="329" s="1"/>
  <c r="F49" i="329" s="1"/>
  <c r="G49" i="329" s="1"/>
  <c r="H49" i="329" s="1"/>
  <c r="I49" i="329" s="1"/>
  <c r="J49" i="329" s="1"/>
  <c r="K49" i="329" s="1"/>
  <c r="L49" i="329" s="1"/>
  <c r="M49" i="329" s="1"/>
  <c r="N49" i="329" s="1"/>
  <c r="O49" i="329" s="1"/>
  <c r="P49" i="329" s="1"/>
  <c r="Q49" i="329" s="1"/>
  <c r="R49" i="329" s="1"/>
  <c r="S49" i="329" s="1"/>
  <c r="T49" i="329" s="1"/>
  <c r="U49" i="329" s="1"/>
  <c r="V49" i="329" s="1"/>
  <c r="W49" i="329" s="1"/>
  <c r="X49" i="329" s="1"/>
  <c r="Y49" i="329" s="1"/>
  <c r="Z49" i="329" s="1"/>
  <c r="AA49" i="329" s="1"/>
  <c r="AB49" i="329" s="1"/>
  <c r="AC49" i="329" s="1"/>
  <c r="AD49" i="329" s="1"/>
  <c r="AE49" i="329" s="1"/>
  <c r="AF49" i="329" s="1"/>
  <c r="AG49" i="329" s="1"/>
  <c r="AH49" i="329" s="1"/>
  <c r="AI49" i="329" s="1"/>
  <c r="AJ49" i="329" s="1"/>
  <c r="AK49" i="329" s="1"/>
  <c r="D49" i="326"/>
  <c r="E49" i="326" s="1"/>
  <c r="F49" i="326" s="1"/>
  <c r="G49" i="326" s="1"/>
  <c r="H49" i="326" s="1"/>
  <c r="I49" i="326" s="1"/>
  <c r="J49" i="326" s="1"/>
  <c r="K49" i="326" s="1"/>
  <c r="L49" i="326" s="1"/>
  <c r="M49" i="326" s="1"/>
  <c r="N49" i="326" s="1"/>
  <c r="O49" i="326" s="1"/>
  <c r="P49" i="326" s="1"/>
  <c r="Q49" i="326" s="1"/>
  <c r="R49" i="326" s="1"/>
  <c r="S49" i="326" s="1"/>
  <c r="T49" i="326" s="1"/>
  <c r="U49" i="326" s="1"/>
  <c r="V49" i="326" s="1"/>
  <c r="W49" i="326" s="1"/>
  <c r="X49" i="326" s="1"/>
  <c r="Y49" i="326" s="1"/>
  <c r="Z49" i="326" s="1"/>
  <c r="AA49" i="326" s="1"/>
  <c r="AB49" i="326" s="1"/>
  <c r="AC49" i="326" s="1"/>
  <c r="AD49" i="326" s="1"/>
  <c r="AE49" i="326" s="1"/>
  <c r="AF49" i="326" s="1"/>
  <c r="AG49" i="326" s="1"/>
  <c r="AH49" i="326" s="1"/>
  <c r="AI49" i="326" s="1"/>
  <c r="AJ49" i="326" s="1"/>
  <c r="AK49" i="326" s="1"/>
  <c r="D49" i="323"/>
  <c r="E49" i="323" s="1"/>
  <c r="F49" i="323" s="1"/>
  <c r="G49" i="323" s="1"/>
  <c r="H49" i="323" s="1"/>
  <c r="I49" i="323" s="1"/>
  <c r="J49" i="323" s="1"/>
  <c r="K49" i="323" s="1"/>
  <c r="L49" i="323" s="1"/>
  <c r="M49" i="323" s="1"/>
  <c r="N49" i="323" s="1"/>
  <c r="O49" i="323" s="1"/>
  <c r="P49" i="323" s="1"/>
  <c r="Q49" i="323" s="1"/>
  <c r="R49" i="323" s="1"/>
  <c r="S49" i="323" s="1"/>
  <c r="T49" i="323" s="1"/>
  <c r="U49" i="323" s="1"/>
  <c r="V49" i="323" s="1"/>
  <c r="W49" i="323" s="1"/>
  <c r="X49" i="323" s="1"/>
  <c r="Y49" i="323" s="1"/>
  <c r="Z49" i="323" s="1"/>
  <c r="AA49" i="323" s="1"/>
  <c r="AB49" i="323" s="1"/>
  <c r="AC49" i="323" s="1"/>
  <c r="AD49" i="323" s="1"/>
  <c r="AE49" i="323" s="1"/>
  <c r="AF49" i="323" s="1"/>
  <c r="AG49" i="323" s="1"/>
  <c r="AH49" i="323" s="1"/>
  <c r="AI49" i="323" s="1"/>
  <c r="AJ49" i="323" s="1"/>
  <c r="AK49" i="323" s="1"/>
  <c r="D49" i="320"/>
  <c r="E49" i="320" s="1"/>
  <c r="F49" i="320" s="1"/>
  <c r="G49" i="320" s="1"/>
  <c r="H49" i="320" s="1"/>
  <c r="I49" i="320" s="1"/>
  <c r="J49" i="320" s="1"/>
  <c r="K49" i="320" s="1"/>
  <c r="L49" i="320" s="1"/>
  <c r="M49" i="320" s="1"/>
  <c r="N49" i="320" s="1"/>
  <c r="O49" i="320" s="1"/>
  <c r="P49" i="320" s="1"/>
  <c r="Q49" i="320" s="1"/>
  <c r="R49" i="320" s="1"/>
  <c r="S49" i="320" s="1"/>
  <c r="T49" i="320" s="1"/>
  <c r="U49" i="320" s="1"/>
  <c r="V49" i="320" s="1"/>
  <c r="W49" i="320" s="1"/>
  <c r="X49" i="320" s="1"/>
  <c r="Y49" i="320" s="1"/>
  <c r="Z49" i="320" s="1"/>
  <c r="AA49" i="320" s="1"/>
  <c r="AB49" i="320" s="1"/>
  <c r="AC49" i="320" s="1"/>
  <c r="AD49" i="320" s="1"/>
  <c r="AE49" i="320" s="1"/>
  <c r="AF49" i="320" s="1"/>
  <c r="AG49" i="320" s="1"/>
  <c r="AH49" i="320" s="1"/>
  <c r="AI49" i="320" s="1"/>
  <c r="AJ49" i="320" s="1"/>
  <c r="AK49" i="320" s="1"/>
  <c r="D49" i="313"/>
  <c r="E49" i="313" s="1"/>
  <c r="F49" i="313" s="1"/>
  <c r="G49" i="313" s="1"/>
  <c r="H49" i="313" s="1"/>
  <c r="I49" i="313" s="1"/>
  <c r="J49" i="313" s="1"/>
  <c r="K49" i="313" s="1"/>
  <c r="L49" i="313" s="1"/>
  <c r="M49" i="313" s="1"/>
  <c r="N49" i="313" s="1"/>
  <c r="O49" i="313" s="1"/>
  <c r="P49" i="313" s="1"/>
  <c r="Q49" i="313" s="1"/>
  <c r="R49" i="313" s="1"/>
  <c r="S49" i="313" s="1"/>
  <c r="T49" i="313" s="1"/>
  <c r="U49" i="313" s="1"/>
  <c r="V49" i="313" s="1"/>
  <c r="W49" i="313" s="1"/>
  <c r="X49" i="313" s="1"/>
  <c r="Y49" i="313" s="1"/>
  <c r="Z49" i="313" s="1"/>
  <c r="AA49" i="313" s="1"/>
  <c r="AB49" i="313" s="1"/>
  <c r="AC49" i="313" s="1"/>
  <c r="AD49" i="313" s="1"/>
  <c r="AE49" i="313" s="1"/>
  <c r="AF49" i="313" s="1"/>
  <c r="AG49" i="313" s="1"/>
  <c r="AH49" i="313" s="1"/>
  <c r="AI49" i="313" s="1"/>
  <c r="AJ49" i="313" s="1"/>
  <c r="AK49" i="313" s="1"/>
  <c r="D51" i="310"/>
  <c r="E51" i="310" s="1"/>
  <c r="F51" i="310" s="1"/>
  <c r="G51" i="310" s="1"/>
  <c r="H51" i="310" s="1"/>
  <c r="I51" i="310" s="1"/>
  <c r="J51" i="310" s="1"/>
  <c r="K51" i="310" s="1"/>
  <c r="L51" i="310" s="1"/>
  <c r="M51" i="310" s="1"/>
  <c r="N51" i="310" s="1"/>
  <c r="O51" i="310" s="1"/>
  <c r="P51" i="310" s="1"/>
  <c r="Q51" i="310" s="1"/>
  <c r="R51" i="310" s="1"/>
  <c r="S51" i="310" s="1"/>
  <c r="T51" i="310" s="1"/>
  <c r="U51" i="310" s="1"/>
  <c r="V51" i="310" s="1"/>
  <c r="W51" i="310" s="1"/>
  <c r="X51" i="310" s="1"/>
  <c r="Y51" i="310" s="1"/>
  <c r="Z51" i="310" s="1"/>
  <c r="AA51" i="310" s="1"/>
  <c r="AB51" i="310" s="1"/>
  <c r="AC51" i="310" s="1"/>
  <c r="AD51" i="310" s="1"/>
  <c r="AE51" i="310" s="1"/>
  <c r="AF51" i="310" s="1"/>
  <c r="AG51" i="310" s="1"/>
  <c r="AH51" i="310" s="1"/>
  <c r="AI51" i="310" s="1"/>
  <c r="AJ51" i="310" s="1"/>
  <c r="AK51" i="310" s="1"/>
  <c r="D51" i="303"/>
  <c r="E51" i="303" s="1"/>
  <c r="F51" i="303" s="1"/>
  <c r="G51" i="303" s="1"/>
  <c r="H51" i="303" s="1"/>
  <c r="I51" i="303" s="1"/>
  <c r="J51" i="303" s="1"/>
  <c r="K51" i="303" s="1"/>
  <c r="L51" i="303" s="1"/>
  <c r="M51" i="303" s="1"/>
  <c r="N51" i="303" s="1"/>
  <c r="O51" i="303" s="1"/>
  <c r="P51" i="303" s="1"/>
  <c r="Q51" i="303" s="1"/>
  <c r="R51" i="303" s="1"/>
  <c r="S51" i="303" s="1"/>
  <c r="T51" i="303" s="1"/>
  <c r="U51" i="303" s="1"/>
  <c r="V51" i="303" s="1"/>
  <c r="W51" i="303" s="1"/>
  <c r="X51" i="303" s="1"/>
  <c r="Y51" i="303" s="1"/>
  <c r="Z51" i="303" s="1"/>
  <c r="AA51" i="303" s="1"/>
  <c r="AB51" i="303" s="1"/>
  <c r="AC51" i="303" s="1"/>
  <c r="AD51" i="303" s="1"/>
  <c r="AE51" i="303" s="1"/>
  <c r="AF51" i="303" s="1"/>
  <c r="AG51" i="303" s="1"/>
  <c r="AH51" i="303" s="1"/>
  <c r="AI51" i="303" s="1"/>
  <c r="AJ51" i="303" s="1"/>
  <c r="AK51" i="303" s="1"/>
  <c r="D51" i="306"/>
  <c r="E51" i="306" s="1"/>
  <c r="F51" i="306" s="1"/>
  <c r="G51" i="306" s="1"/>
  <c r="H51" i="306" s="1"/>
  <c r="I51" i="306" s="1"/>
  <c r="J51" i="306" s="1"/>
  <c r="K51" i="306" s="1"/>
  <c r="L51" i="306" s="1"/>
  <c r="M51" i="306" s="1"/>
  <c r="N51" i="306" s="1"/>
  <c r="O51" i="306" s="1"/>
  <c r="P51" i="306" s="1"/>
  <c r="Q51" i="306" s="1"/>
  <c r="R51" i="306" s="1"/>
  <c r="S51" i="306" s="1"/>
  <c r="T51" i="306" s="1"/>
  <c r="U51" i="306" s="1"/>
  <c r="V51" i="306" s="1"/>
  <c r="W51" i="306" s="1"/>
  <c r="X51" i="306" s="1"/>
  <c r="Y51" i="306" s="1"/>
  <c r="Z51" i="306" s="1"/>
  <c r="AA51" i="306" s="1"/>
  <c r="AB51" i="306" s="1"/>
  <c r="AC51" i="306" s="1"/>
  <c r="AD51" i="306" s="1"/>
  <c r="AE51" i="306" s="1"/>
  <c r="AF51" i="306" s="1"/>
  <c r="AG51" i="306" s="1"/>
  <c r="AH51" i="306" s="1"/>
  <c r="AI51" i="306" s="1"/>
  <c r="AJ51" i="306" s="1"/>
  <c r="AK51" i="306" s="1"/>
  <c r="D49" i="310"/>
  <c r="E49" i="310" s="1"/>
  <c r="F49" i="310" s="1"/>
  <c r="G49" i="310" s="1"/>
  <c r="H49" i="310" s="1"/>
  <c r="I49" i="310" s="1"/>
  <c r="J49" i="310" s="1"/>
  <c r="K49" i="310" s="1"/>
  <c r="L49" i="310" s="1"/>
  <c r="M49" i="310" s="1"/>
  <c r="N49" i="310" s="1"/>
  <c r="O49" i="310" s="1"/>
  <c r="P49" i="310" s="1"/>
  <c r="Q49" i="310" s="1"/>
  <c r="R49" i="310" s="1"/>
  <c r="S49" i="310" s="1"/>
  <c r="T49" i="310" s="1"/>
  <c r="U49" i="310" s="1"/>
  <c r="V49" i="310" s="1"/>
  <c r="W49" i="310" s="1"/>
  <c r="X49" i="310" s="1"/>
  <c r="Y49" i="310" s="1"/>
  <c r="Z49" i="310" s="1"/>
  <c r="AA49" i="310" s="1"/>
  <c r="AB49" i="310" s="1"/>
  <c r="AC49" i="310" s="1"/>
  <c r="AD49" i="310" s="1"/>
  <c r="AE49" i="310" s="1"/>
  <c r="AF49" i="310" s="1"/>
  <c r="AG49" i="310" s="1"/>
  <c r="AH49" i="310" s="1"/>
  <c r="AI49" i="310" s="1"/>
  <c r="AJ49" i="310" s="1"/>
  <c r="AK49" i="310" s="1"/>
  <c r="D49" i="306"/>
  <c r="E49" i="306" s="1"/>
  <c r="F49" i="306" s="1"/>
  <c r="G49" i="306" s="1"/>
  <c r="H49" i="306" s="1"/>
  <c r="I49" i="306" s="1"/>
  <c r="J49" i="306" s="1"/>
  <c r="K49" i="306" s="1"/>
  <c r="L49" i="306" s="1"/>
  <c r="M49" i="306" s="1"/>
  <c r="N49" i="306" s="1"/>
  <c r="O49" i="306" s="1"/>
  <c r="P49" i="306" s="1"/>
  <c r="Q49" i="306" s="1"/>
  <c r="R49" i="306" s="1"/>
  <c r="S49" i="306" s="1"/>
  <c r="T49" i="306" s="1"/>
  <c r="U49" i="306" s="1"/>
  <c r="V49" i="306" s="1"/>
  <c r="W49" i="306" s="1"/>
  <c r="X49" i="306" s="1"/>
  <c r="Y49" i="306" s="1"/>
  <c r="Z49" i="306" s="1"/>
  <c r="AA49" i="306" s="1"/>
  <c r="AB49" i="306" s="1"/>
  <c r="AC49" i="306" s="1"/>
  <c r="AD49" i="306" s="1"/>
  <c r="AE49" i="306" s="1"/>
  <c r="AF49" i="306" s="1"/>
  <c r="AG49" i="306" s="1"/>
  <c r="AH49" i="306" s="1"/>
  <c r="AI49" i="306" s="1"/>
  <c r="AJ49" i="306" s="1"/>
  <c r="AK49" i="306" s="1"/>
  <c r="D49" i="303"/>
  <c r="E49" i="303" s="1"/>
  <c r="F49" i="303" s="1"/>
  <c r="G49" i="303" s="1"/>
  <c r="H49" i="303" s="1"/>
  <c r="I49" i="303" s="1"/>
  <c r="J49" i="303" s="1"/>
  <c r="K49" i="303" s="1"/>
  <c r="L49" i="303" s="1"/>
  <c r="M49" i="303" s="1"/>
  <c r="N49" i="303" s="1"/>
  <c r="O49" i="303" s="1"/>
  <c r="P49" i="303" s="1"/>
  <c r="Q49" i="303" s="1"/>
  <c r="R49" i="303" s="1"/>
  <c r="S49" i="303" s="1"/>
  <c r="T49" i="303" s="1"/>
  <c r="U49" i="303" s="1"/>
  <c r="V49" i="303" s="1"/>
  <c r="W49" i="303" s="1"/>
  <c r="X49" i="303" s="1"/>
  <c r="Y49" i="303" s="1"/>
  <c r="Z49" i="303" s="1"/>
  <c r="AA49" i="303" s="1"/>
  <c r="AB49" i="303" s="1"/>
  <c r="AC49" i="303" s="1"/>
  <c r="AD49" i="303" s="1"/>
  <c r="AE49" i="303" s="1"/>
  <c r="AF49" i="303" s="1"/>
  <c r="AG49" i="303" s="1"/>
  <c r="AH49" i="303" s="1"/>
  <c r="AI49" i="303" s="1"/>
  <c r="AJ49" i="303" s="1"/>
  <c r="AK49" i="303" s="1"/>
  <c r="D50" i="310"/>
  <c r="E50" i="310" s="1"/>
  <c r="F50" i="310" s="1"/>
  <c r="G50" i="310" s="1"/>
  <c r="H50" i="310" s="1"/>
  <c r="I50" i="310" s="1"/>
  <c r="J50" i="310" s="1"/>
  <c r="K50" i="310" s="1"/>
  <c r="L50" i="310" s="1"/>
  <c r="M50" i="310" s="1"/>
  <c r="N50" i="310" s="1"/>
  <c r="O50" i="310" s="1"/>
  <c r="P50" i="310" s="1"/>
  <c r="Q50" i="310" s="1"/>
  <c r="R50" i="310" s="1"/>
  <c r="S50" i="310" s="1"/>
  <c r="T50" i="310" s="1"/>
  <c r="U50" i="310" s="1"/>
  <c r="V50" i="310" s="1"/>
  <c r="W50" i="310" s="1"/>
  <c r="X50" i="310" s="1"/>
  <c r="Y50" i="310" s="1"/>
  <c r="Z50" i="310" s="1"/>
  <c r="AA50" i="310" s="1"/>
  <c r="AB50" i="310" s="1"/>
  <c r="AC50" i="310" s="1"/>
  <c r="AD50" i="310" s="1"/>
  <c r="AE50" i="310" s="1"/>
  <c r="AF50" i="310" s="1"/>
  <c r="AG50" i="310" s="1"/>
  <c r="AH50" i="310" s="1"/>
  <c r="AI50" i="310" s="1"/>
  <c r="AJ50" i="310" s="1"/>
  <c r="AK50" i="310" s="1"/>
  <c r="D50" i="306"/>
  <c r="E50" i="306" s="1"/>
  <c r="F50" i="306" s="1"/>
  <c r="G50" i="306" s="1"/>
  <c r="H50" i="306" s="1"/>
  <c r="I50" i="306" s="1"/>
  <c r="J50" i="306" s="1"/>
  <c r="K50" i="306" s="1"/>
  <c r="L50" i="306" s="1"/>
  <c r="M50" i="306" s="1"/>
  <c r="N50" i="306" s="1"/>
  <c r="O50" i="306" s="1"/>
  <c r="P50" i="306" s="1"/>
  <c r="Q50" i="306" s="1"/>
  <c r="R50" i="306" s="1"/>
  <c r="S50" i="306" s="1"/>
  <c r="T50" i="306" s="1"/>
  <c r="U50" i="306" s="1"/>
  <c r="V50" i="306" s="1"/>
  <c r="W50" i="306" s="1"/>
  <c r="X50" i="306" s="1"/>
  <c r="Y50" i="306" s="1"/>
  <c r="Z50" i="306" s="1"/>
  <c r="AA50" i="306" s="1"/>
  <c r="AB50" i="306" s="1"/>
  <c r="AC50" i="306" s="1"/>
  <c r="AD50" i="306" s="1"/>
  <c r="AE50" i="306" s="1"/>
  <c r="AF50" i="306" s="1"/>
  <c r="AG50" i="306" s="1"/>
  <c r="AH50" i="306" s="1"/>
  <c r="AI50" i="306" s="1"/>
  <c r="AJ50" i="306" s="1"/>
  <c r="AK50" i="306" s="1"/>
  <c r="D50" i="303"/>
  <c r="E50" i="303" s="1"/>
  <c r="F50" i="303" s="1"/>
  <c r="G50" i="303" s="1"/>
  <c r="H50" i="303" s="1"/>
  <c r="I50" i="303" s="1"/>
  <c r="J50" i="303" s="1"/>
  <c r="K50" i="303" s="1"/>
  <c r="L50" i="303" s="1"/>
  <c r="M50" i="303" s="1"/>
  <c r="N50" i="303" s="1"/>
  <c r="O50" i="303" s="1"/>
  <c r="P50" i="303" s="1"/>
  <c r="Q50" i="303" s="1"/>
  <c r="R50" i="303" s="1"/>
  <c r="S50" i="303" s="1"/>
  <c r="T50" i="303" s="1"/>
  <c r="U50" i="303" s="1"/>
  <c r="V50" i="303" s="1"/>
  <c r="W50" i="303" s="1"/>
  <c r="X50" i="303" s="1"/>
  <c r="Y50" i="303" s="1"/>
  <c r="Z50" i="303" s="1"/>
  <c r="AA50" i="303" s="1"/>
  <c r="AB50" i="303" s="1"/>
  <c r="AC50" i="303" s="1"/>
  <c r="AD50" i="303" s="1"/>
  <c r="AE50" i="303" s="1"/>
  <c r="AF50" i="303" s="1"/>
  <c r="AG50" i="303" s="1"/>
  <c r="AH50" i="303" s="1"/>
  <c r="AI50" i="303" s="1"/>
  <c r="AJ50" i="303" s="1"/>
  <c r="AK50" i="303" s="1"/>
  <c r="C1133" i="261"/>
  <c r="C1134" i="261" s="1"/>
  <c r="C1135" i="261" s="1"/>
  <c r="C1136" i="261" s="1"/>
  <c r="C1137" i="261" s="1"/>
  <c r="C1138" i="261" s="1"/>
  <c r="C1139" i="261" s="1"/>
  <c r="C1140" i="261" s="1"/>
  <c r="C1141" i="261" s="1"/>
  <c r="C1142" i="261" s="1"/>
  <c r="C1143" i="261" s="1"/>
  <c r="C1144" i="261" s="1"/>
  <c r="C1145" i="261" s="1"/>
  <c r="C1146" i="261" s="1"/>
  <c r="C1147" i="261" s="1"/>
  <c r="C1148" i="261" s="1"/>
  <c r="C1149" i="261" s="1"/>
  <c r="C1150" i="261" s="1"/>
  <c r="C1151" i="261" s="1"/>
  <c r="C1152" i="261" s="1"/>
  <c r="C1153" i="261" s="1"/>
  <c r="C1154" i="261" s="1"/>
  <c r="C1155" i="261" s="1"/>
  <c r="C1156" i="261" s="1"/>
  <c r="C1157" i="261" s="1"/>
  <c r="C1158" i="261" s="1"/>
  <c r="C1159" i="261" s="1"/>
  <c r="C1160" i="261" s="1"/>
  <c r="C1161" i="261" s="1"/>
  <c r="C1162" i="261" s="1"/>
  <c r="C1163" i="261" s="1"/>
  <c r="C1164" i="261" s="1"/>
  <c r="C1165" i="261" s="1"/>
  <c r="B1132" i="261"/>
  <c r="C1053" i="261"/>
  <c r="C1054" i="261" s="1"/>
  <c r="C1055" i="261" s="1"/>
  <c r="C1056" i="261" s="1"/>
  <c r="C1057" i="261" s="1"/>
  <c r="C1058" i="261" s="1"/>
  <c r="C1059" i="261" s="1"/>
  <c r="C1060" i="261" s="1"/>
  <c r="C1061" i="261" s="1"/>
  <c r="C1062" i="261" s="1"/>
  <c r="C1063" i="261" s="1"/>
  <c r="C1064" i="261" s="1"/>
  <c r="C1065" i="261" s="1"/>
  <c r="C1066" i="261" s="1"/>
  <c r="C1067" i="261" s="1"/>
  <c r="C1068" i="261" s="1"/>
  <c r="C1069" i="261" s="1"/>
  <c r="C1070" i="261" s="1"/>
  <c r="C1071" i="261" s="1"/>
  <c r="C1072" i="261" s="1"/>
  <c r="C1073" i="261" s="1"/>
  <c r="C1074" i="261" s="1"/>
  <c r="C1075" i="261" s="1"/>
  <c r="C1076" i="261" s="1"/>
  <c r="C1077" i="261" s="1"/>
  <c r="C1078" i="261" s="1"/>
  <c r="C1079" i="261" s="1"/>
  <c r="C1080" i="261" s="1"/>
  <c r="C1081" i="261" s="1"/>
  <c r="C1082" i="261" s="1"/>
  <c r="C1083" i="261" s="1"/>
  <c r="C1084" i="261" s="1"/>
  <c r="C1085" i="261" s="1"/>
  <c r="B1052" i="261"/>
  <c r="B579" i="261"/>
  <c r="E578" i="261"/>
  <c r="B578" i="261"/>
  <c r="B577" i="261"/>
  <c r="C579" i="261"/>
  <c r="B575" i="261"/>
  <c r="B1133" i="261" l="1"/>
  <c r="B1053" i="261"/>
  <c r="B1134" i="261" l="1"/>
  <c r="B1054" i="261"/>
  <c r="B1135" i="261" l="1"/>
  <c r="B1055" i="261"/>
  <c r="C1093" i="261"/>
  <c r="C1094" i="261" s="1"/>
  <c r="C1095" i="261" s="1"/>
  <c r="C1096" i="261" s="1"/>
  <c r="C1097" i="261" s="1"/>
  <c r="C1098" i="261" s="1"/>
  <c r="C1099" i="261" s="1"/>
  <c r="C1100" i="261" s="1"/>
  <c r="C1101" i="261" s="1"/>
  <c r="C1102" i="261" s="1"/>
  <c r="C1103" i="261" s="1"/>
  <c r="C1104" i="261" s="1"/>
  <c r="C1105" i="261" s="1"/>
  <c r="C1106" i="261" s="1"/>
  <c r="C1107" i="261" s="1"/>
  <c r="C1108" i="261" s="1"/>
  <c r="C1109" i="261" s="1"/>
  <c r="C1110" i="261" s="1"/>
  <c r="C1111" i="261" s="1"/>
  <c r="C1112" i="261" s="1"/>
  <c r="C1113" i="261" s="1"/>
  <c r="C1114" i="261" s="1"/>
  <c r="C1115" i="261" s="1"/>
  <c r="C1116" i="261" s="1"/>
  <c r="C1117" i="261" s="1"/>
  <c r="C1118" i="261" s="1"/>
  <c r="C1119" i="261" s="1"/>
  <c r="C1120" i="261" s="1"/>
  <c r="C1121" i="261" s="1"/>
  <c r="C1122" i="261" s="1"/>
  <c r="C1123" i="261" s="1"/>
  <c r="C1124" i="261" s="1"/>
  <c r="C1125" i="261" s="1"/>
  <c r="B1092" i="261"/>
  <c r="C1013" i="261"/>
  <c r="C1014" i="261" s="1"/>
  <c r="C1015" i="261" s="1"/>
  <c r="C1016" i="261" s="1"/>
  <c r="C1017" i="261" s="1"/>
  <c r="C1018" i="261" s="1"/>
  <c r="C1019" i="261" s="1"/>
  <c r="C1020" i="261" s="1"/>
  <c r="C1021" i="261" s="1"/>
  <c r="C1022" i="261" s="1"/>
  <c r="C1023" i="261" s="1"/>
  <c r="C1024" i="261" s="1"/>
  <c r="C1025" i="261" s="1"/>
  <c r="C1026" i="261" s="1"/>
  <c r="C1027" i="261" s="1"/>
  <c r="C1028" i="261" s="1"/>
  <c r="C1029" i="261" s="1"/>
  <c r="C1030" i="261" s="1"/>
  <c r="C1031" i="261" s="1"/>
  <c r="C1032" i="261" s="1"/>
  <c r="C1033" i="261" s="1"/>
  <c r="C1034" i="261" s="1"/>
  <c r="C1035" i="261" s="1"/>
  <c r="C1036" i="261" s="1"/>
  <c r="C1037" i="261" s="1"/>
  <c r="C1038" i="261" s="1"/>
  <c r="C1039" i="261" s="1"/>
  <c r="C1040" i="261" s="1"/>
  <c r="C1041" i="261" s="1"/>
  <c r="C1042" i="261" s="1"/>
  <c r="C1043" i="261" s="1"/>
  <c r="C1044" i="261" s="1"/>
  <c r="C1045" i="261" s="1"/>
  <c r="B1012" i="261"/>
  <c r="F971" i="261"/>
  <c r="E971" i="261"/>
  <c r="D971" i="261"/>
  <c r="C973" i="261"/>
  <c r="C974" i="261" s="1"/>
  <c r="C975" i="261" s="1"/>
  <c r="C976" i="261" s="1"/>
  <c r="C977" i="261" s="1"/>
  <c r="C978" i="261" s="1"/>
  <c r="C979" i="261" s="1"/>
  <c r="C980" i="261" s="1"/>
  <c r="C981" i="261" s="1"/>
  <c r="C982" i="261" s="1"/>
  <c r="C983" i="261" s="1"/>
  <c r="C984" i="261" s="1"/>
  <c r="C985" i="261" s="1"/>
  <c r="C986" i="261" s="1"/>
  <c r="C987" i="261" s="1"/>
  <c r="C988" i="261" s="1"/>
  <c r="C989" i="261" s="1"/>
  <c r="C990" i="261" s="1"/>
  <c r="C991" i="261" s="1"/>
  <c r="C992" i="261" s="1"/>
  <c r="C993" i="261" s="1"/>
  <c r="C994" i="261" s="1"/>
  <c r="C995" i="261" s="1"/>
  <c r="C996" i="261" s="1"/>
  <c r="C997" i="261" s="1"/>
  <c r="C998" i="261" s="1"/>
  <c r="C999" i="261" s="1"/>
  <c r="C1000" i="261" s="1"/>
  <c r="C1001" i="261" s="1"/>
  <c r="C1002" i="261" s="1"/>
  <c r="C1003" i="261" s="1"/>
  <c r="C1004" i="261" s="1"/>
  <c r="C1005" i="261" s="1"/>
  <c r="B972" i="261"/>
  <c r="C933" i="261"/>
  <c r="C934" i="261" s="1"/>
  <c r="C935" i="261" s="1"/>
  <c r="C936" i="261" s="1"/>
  <c r="C937" i="261" s="1"/>
  <c r="C938" i="261" s="1"/>
  <c r="C939" i="261" s="1"/>
  <c r="C940" i="261" s="1"/>
  <c r="C941" i="261" s="1"/>
  <c r="C942" i="261" s="1"/>
  <c r="C943" i="261" s="1"/>
  <c r="C944" i="261" s="1"/>
  <c r="C945" i="261" s="1"/>
  <c r="C946" i="261" s="1"/>
  <c r="C947" i="261" s="1"/>
  <c r="C948" i="261" s="1"/>
  <c r="C949" i="261" s="1"/>
  <c r="C950" i="261" s="1"/>
  <c r="C951" i="261" s="1"/>
  <c r="C952" i="261" s="1"/>
  <c r="C953" i="261" s="1"/>
  <c r="C954" i="261" s="1"/>
  <c r="C955" i="261" s="1"/>
  <c r="C956" i="261" s="1"/>
  <c r="C957" i="261" s="1"/>
  <c r="C958" i="261" s="1"/>
  <c r="C959" i="261" s="1"/>
  <c r="C960" i="261" s="1"/>
  <c r="C961" i="261" s="1"/>
  <c r="C962" i="261" s="1"/>
  <c r="C963" i="261" s="1"/>
  <c r="C964" i="261" s="1"/>
  <c r="C965" i="261" s="1"/>
  <c r="B932" i="261"/>
  <c r="E891" i="261"/>
  <c r="F891" i="261"/>
  <c r="D891" i="261"/>
  <c r="G891" i="261"/>
  <c r="C893" i="261"/>
  <c r="C894" i="261" s="1"/>
  <c r="C895" i="261" s="1"/>
  <c r="C896" i="261" s="1"/>
  <c r="C897" i="261" s="1"/>
  <c r="C898" i="261" s="1"/>
  <c r="C899" i="261" s="1"/>
  <c r="C900" i="261" s="1"/>
  <c r="C901" i="261" s="1"/>
  <c r="C902" i="261" s="1"/>
  <c r="C903" i="261" s="1"/>
  <c r="C904" i="261" s="1"/>
  <c r="C905" i="261" s="1"/>
  <c r="C906" i="261" s="1"/>
  <c r="C907" i="261" s="1"/>
  <c r="C908" i="261" s="1"/>
  <c r="C909" i="261" s="1"/>
  <c r="C910" i="261" s="1"/>
  <c r="C911" i="261" s="1"/>
  <c r="C912" i="261" s="1"/>
  <c r="C913" i="261" s="1"/>
  <c r="C914" i="261" s="1"/>
  <c r="C915" i="261" s="1"/>
  <c r="C916" i="261" s="1"/>
  <c r="C917" i="261" s="1"/>
  <c r="C918" i="261" s="1"/>
  <c r="C919" i="261" s="1"/>
  <c r="C920" i="261" s="1"/>
  <c r="C921" i="261" s="1"/>
  <c r="C922" i="261" s="1"/>
  <c r="C923" i="261" s="1"/>
  <c r="C924" i="261" s="1"/>
  <c r="C925" i="261" s="1"/>
  <c r="B892" i="261"/>
  <c r="C853" i="261"/>
  <c r="C854" i="261" s="1"/>
  <c r="C855" i="261" s="1"/>
  <c r="C856" i="261" s="1"/>
  <c r="C857" i="261" s="1"/>
  <c r="C858" i="261" s="1"/>
  <c r="C859" i="261" s="1"/>
  <c r="C860" i="261" s="1"/>
  <c r="C861" i="261" s="1"/>
  <c r="C862" i="261" s="1"/>
  <c r="C863" i="261" s="1"/>
  <c r="C864" i="261" s="1"/>
  <c r="C865" i="261" s="1"/>
  <c r="C866" i="261" s="1"/>
  <c r="C867" i="261" s="1"/>
  <c r="C868" i="261" s="1"/>
  <c r="C869" i="261" s="1"/>
  <c r="C870" i="261" s="1"/>
  <c r="C871" i="261" s="1"/>
  <c r="C872" i="261" s="1"/>
  <c r="C873" i="261" s="1"/>
  <c r="C874" i="261" s="1"/>
  <c r="C875" i="261" s="1"/>
  <c r="C876" i="261" s="1"/>
  <c r="C877" i="261" s="1"/>
  <c r="C878" i="261" s="1"/>
  <c r="C879" i="261" s="1"/>
  <c r="C880" i="261" s="1"/>
  <c r="C881" i="261" s="1"/>
  <c r="C882" i="261" s="1"/>
  <c r="C883" i="261" s="1"/>
  <c r="C884" i="261" s="1"/>
  <c r="C885" i="261" s="1"/>
  <c r="B852" i="261"/>
  <c r="E811" i="261"/>
  <c r="D811" i="261"/>
  <c r="C813" i="261"/>
  <c r="C814" i="261" s="1"/>
  <c r="C815" i="261" s="1"/>
  <c r="C816" i="261" s="1"/>
  <c r="C817" i="261" s="1"/>
  <c r="C818" i="261" s="1"/>
  <c r="C819" i="261" s="1"/>
  <c r="C820" i="261" s="1"/>
  <c r="C821" i="261" s="1"/>
  <c r="C822" i="261" s="1"/>
  <c r="C823" i="261" s="1"/>
  <c r="C824" i="261" s="1"/>
  <c r="C825" i="261" s="1"/>
  <c r="C826" i="261" s="1"/>
  <c r="C827" i="261" s="1"/>
  <c r="C828" i="261" s="1"/>
  <c r="C829" i="261" s="1"/>
  <c r="C830" i="261" s="1"/>
  <c r="C831" i="261" s="1"/>
  <c r="C832" i="261" s="1"/>
  <c r="C833" i="261" s="1"/>
  <c r="C834" i="261" s="1"/>
  <c r="C835" i="261" s="1"/>
  <c r="C836" i="261" s="1"/>
  <c r="C837" i="261" s="1"/>
  <c r="C838" i="261" s="1"/>
  <c r="C839" i="261" s="1"/>
  <c r="C840" i="261" s="1"/>
  <c r="C841" i="261" s="1"/>
  <c r="C842" i="261" s="1"/>
  <c r="C843" i="261" s="1"/>
  <c r="C844" i="261" s="1"/>
  <c r="C845" i="261" s="1"/>
  <c r="B812" i="261"/>
  <c r="B1136" i="261" l="1"/>
  <c r="B813" i="261"/>
  <c r="B1056" i="261"/>
  <c r="B1093" i="261"/>
  <c r="B1013" i="261"/>
  <c r="B973" i="261"/>
  <c r="B893" i="261"/>
  <c r="B933" i="261"/>
  <c r="B853" i="261"/>
  <c r="B974" i="261" l="1"/>
  <c r="B975" i="261" s="1"/>
  <c r="B814" i="261"/>
  <c r="B1137" i="261"/>
  <c r="B1057" i="261"/>
  <c r="B1094" i="261"/>
  <c r="B1014" i="261"/>
  <c r="B894" i="261"/>
  <c r="B934" i="261"/>
  <c r="B854" i="261"/>
  <c r="B1138" i="261" l="1"/>
  <c r="B815" i="261"/>
  <c r="B1058" i="261"/>
  <c r="B1095" i="261"/>
  <c r="B1015" i="261"/>
  <c r="B935" i="261"/>
  <c r="B895" i="261"/>
  <c r="B976" i="261"/>
  <c r="B855" i="261"/>
  <c r="B1139" i="261" l="1"/>
  <c r="B816" i="261"/>
  <c r="B1059" i="261"/>
  <c r="B936" i="261"/>
  <c r="B1096" i="261"/>
  <c r="B1016" i="261"/>
  <c r="B896" i="261"/>
  <c r="B977" i="261"/>
  <c r="B856" i="261"/>
  <c r="B1140" i="261" l="1"/>
  <c r="B817" i="261"/>
  <c r="B1060" i="261"/>
  <c r="B937" i="261"/>
  <c r="B1097" i="261"/>
  <c r="B1017" i="261"/>
  <c r="B897" i="261"/>
  <c r="B978" i="261"/>
  <c r="B857" i="261"/>
  <c r="E2" i="294"/>
  <c r="D3" i="294" s="1"/>
  <c r="B818" i="261" l="1"/>
  <c r="B1141" i="261"/>
  <c r="B1061" i="261"/>
  <c r="B938" i="261"/>
  <c r="B1098" i="261"/>
  <c r="B1018" i="261"/>
  <c r="B898" i="261"/>
  <c r="B979" i="261"/>
  <c r="B858" i="261"/>
  <c r="E3" i="294"/>
  <c r="B612" i="261"/>
  <c r="B819" i="261" l="1"/>
  <c r="B1142" i="261"/>
  <c r="B1062" i="261"/>
  <c r="B939" i="261"/>
  <c r="B1099" i="261"/>
  <c r="B1019" i="261"/>
  <c r="B899" i="261"/>
  <c r="B980" i="261"/>
  <c r="B859" i="261"/>
  <c r="F3" i="294"/>
  <c r="C5" i="289"/>
  <c r="B611" i="261"/>
  <c r="D611" i="261"/>
  <c r="C611" i="261"/>
  <c r="D610" i="261"/>
  <c r="C610" i="261"/>
  <c r="B610" i="261"/>
  <c r="B24" i="260"/>
  <c r="B1143" i="261" l="1"/>
  <c r="B820" i="261"/>
  <c r="B49" i="260"/>
  <c r="B66" i="260" s="1"/>
  <c r="B83" i="260" s="1"/>
  <c r="D1131" i="261"/>
  <c r="B619" i="261"/>
  <c r="F10" i="261"/>
  <c r="J54" i="261"/>
  <c r="B1063" i="261"/>
  <c r="E40" i="294"/>
  <c r="E48" i="260" s="1"/>
  <c r="B940" i="261"/>
  <c r="B1100" i="261"/>
  <c r="B1020" i="261"/>
  <c r="B900" i="261"/>
  <c r="B981" i="261"/>
  <c r="B860" i="261"/>
  <c r="G3" i="294"/>
  <c r="D40" i="294"/>
  <c r="D48" i="260" s="1"/>
  <c r="C7" i="289"/>
  <c r="D612" i="261" s="1"/>
  <c r="B9" i="218"/>
  <c r="B630" i="261" l="1"/>
  <c r="B164" i="261"/>
  <c r="B821" i="261"/>
  <c r="B1144" i="261"/>
  <c r="B1064" i="261"/>
  <c r="F40" i="294"/>
  <c r="F48" i="260" s="1"/>
  <c r="B941" i="261"/>
  <c r="B1101" i="261"/>
  <c r="B1021" i="261"/>
  <c r="B901" i="261"/>
  <c r="B982" i="261"/>
  <c r="B861" i="261"/>
  <c r="H3" i="294"/>
  <c r="B822" i="261" l="1"/>
  <c r="B1145" i="261"/>
  <c r="B1065" i="261"/>
  <c r="G40" i="294"/>
  <c r="G48" i="260" s="1"/>
  <c r="B942" i="261"/>
  <c r="B1102" i="261"/>
  <c r="B1022" i="261"/>
  <c r="B902" i="261"/>
  <c r="B983" i="261"/>
  <c r="B862" i="261"/>
  <c r="I3" i="294"/>
  <c r="B1146" i="261" l="1"/>
  <c r="B823" i="261"/>
  <c r="B1066" i="261"/>
  <c r="H40" i="294"/>
  <c r="H48" i="260" s="1"/>
  <c r="B943" i="261"/>
  <c r="B1103" i="261"/>
  <c r="B1023" i="261"/>
  <c r="B903" i="261"/>
  <c r="B984" i="261"/>
  <c r="B863" i="261"/>
  <c r="J3" i="294"/>
  <c r="B1147" i="261" l="1"/>
  <c r="B944" i="261"/>
  <c r="B945" i="261" s="1"/>
  <c r="B824" i="261"/>
  <c r="B1067" i="261"/>
  <c r="I40" i="294"/>
  <c r="I48" i="260" s="1"/>
  <c r="B1104" i="261"/>
  <c r="B1024" i="261"/>
  <c r="B904" i="261"/>
  <c r="B985" i="261"/>
  <c r="B864" i="261"/>
  <c r="K3" i="294"/>
  <c r="B1148" i="261" l="1"/>
  <c r="B825" i="261"/>
  <c r="B1068" i="261"/>
  <c r="J40" i="294"/>
  <c r="J48" i="260" s="1"/>
  <c r="B1105" i="261"/>
  <c r="B1025" i="261"/>
  <c r="B905" i="261"/>
  <c r="B986" i="261"/>
  <c r="B946" i="261"/>
  <c r="B865" i="261"/>
  <c r="L3" i="294"/>
  <c r="B826" i="261" l="1"/>
  <c r="B1149" i="261"/>
  <c r="B1069" i="261"/>
  <c r="K40" i="294"/>
  <c r="K48" i="260" s="1"/>
  <c r="B1106" i="261"/>
  <c r="B1026" i="261"/>
  <c r="B906" i="261"/>
  <c r="B987" i="261"/>
  <c r="B947" i="261"/>
  <c r="B866" i="261"/>
  <c r="M3" i="294"/>
  <c r="B827" i="261" l="1"/>
  <c r="B1150" i="261"/>
  <c r="B1070" i="261"/>
  <c r="L40" i="294"/>
  <c r="L48" i="260" s="1"/>
  <c r="B1107" i="261"/>
  <c r="B1027" i="261"/>
  <c r="B907" i="261"/>
  <c r="B988" i="261"/>
  <c r="B948" i="261"/>
  <c r="B867" i="261"/>
  <c r="N3" i="294"/>
  <c r="B828" i="261" l="1"/>
  <c r="B1151" i="261"/>
  <c r="B1071" i="261"/>
  <c r="M40" i="294"/>
  <c r="M48" i="260" s="1"/>
  <c r="B1108" i="261"/>
  <c r="B1028" i="261"/>
  <c r="B908" i="261"/>
  <c r="B989" i="261"/>
  <c r="B949" i="261"/>
  <c r="B868" i="261"/>
  <c r="O3" i="294"/>
  <c r="B829" i="261" l="1"/>
  <c r="B1152" i="261"/>
  <c r="B1072" i="261"/>
  <c r="N40" i="294"/>
  <c r="N48" i="260" s="1"/>
  <c r="B1109" i="261"/>
  <c r="B1029" i="261"/>
  <c r="B909" i="261"/>
  <c r="B990" i="261"/>
  <c r="B950" i="261"/>
  <c r="B869" i="261"/>
  <c r="P3" i="294"/>
  <c r="B1153" i="261" l="1"/>
  <c r="B830" i="261"/>
  <c r="B1073" i="261"/>
  <c r="O40" i="294"/>
  <c r="O48" i="260" s="1"/>
  <c r="B1110" i="261"/>
  <c r="B1030" i="261"/>
  <c r="B910" i="261"/>
  <c r="B991" i="261"/>
  <c r="B951" i="261"/>
  <c r="B870" i="261"/>
  <c r="Q3" i="294"/>
  <c r="B831" i="261" l="1"/>
  <c r="B1154" i="261"/>
  <c r="B1074" i="261"/>
  <c r="P40" i="294"/>
  <c r="P48" i="260" s="1"/>
  <c r="B1111" i="261"/>
  <c r="B1031" i="261"/>
  <c r="B911" i="261"/>
  <c r="B992" i="261"/>
  <c r="B952" i="261"/>
  <c r="B871" i="261"/>
  <c r="R3" i="294"/>
  <c r="B1155" i="261" l="1"/>
  <c r="B832" i="261"/>
  <c r="B1075" i="261"/>
  <c r="Q40" i="294"/>
  <c r="Q48" i="260" s="1"/>
  <c r="B1112" i="261"/>
  <c r="B1032" i="261"/>
  <c r="B912" i="261"/>
  <c r="B993" i="261"/>
  <c r="B953" i="261"/>
  <c r="B872" i="261"/>
  <c r="S3" i="294"/>
  <c r="B1156" i="261" l="1"/>
  <c r="B833" i="261"/>
  <c r="B1076" i="261"/>
  <c r="R40" i="294"/>
  <c r="R48" i="260" s="1"/>
  <c r="B1113" i="261"/>
  <c r="B1033" i="261"/>
  <c r="B913" i="261"/>
  <c r="B994" i="261"/>
  <c r="B954" i="261"/>
  <c r="B873" i="261"/>
  <c r="T3" i="294"/>
  <c r="B834" i="261" l="1"/>
  <c r="B1157" i="261"/>
  <c r="B1077" i="261"/>
  <c r="S40" i="294"/>
  <c r="S48" i="260" s="1"/>
  <c r="B1114" i="261"/>
  <c r="B1034" i="261"/>
  <c r="B914" i="261"/>
  <c r="B995" i="261"/>
  <c r="B955" i="261"/>
  <c r="B874" i="261"/>
  <c r="U3" i="294"/>
  <c r="B835" i="261" l="1"/>
  <c r="B1158" i="261"/>
  <c r="B1078" i="261"/>
  <c r="T40" i="294"/>
  <c r="T48" i="260" s="1"/>
  <c r="B1115" i="261"/>
  <c r="B1035" i="261"/>
  <c r="B915" i="261"/>
  <c r="B996" i="261"/>
  <c r="B956" i="261"/>
  <c r="B875" i="261"/>
  <c r="V3" i="294"/>
  <c r="B1159" i="261" l="1"/>
  <c r="B836" i="261"/>
  <c r="B1079" i="261"/>
  <c r="U40" i="294"/>
  <c r="U48" i="260" s="1"/>
  <c r="B1116" i="261"/>
  <c r="B1036" i="261"/>
  <c r="B916" i="261"/>
  <c r="B997" i="261"/>
  <c r="B957" i="261"/>
  <c r="B876" i="261"/>
  <c r="W3" i="294"/>
  <c r="B837" i="261" l="1"/>
  <c r="B1160" i="261"/>
  <c r="B1080" i="261"/>
  <c r="V40" i="294"/>
  <c r="V48" i="260" s="1"/>
  <c r="B1117" i="261"/>
  <c r="B1037" i="261"/>
  <c r="B917" i="261"/>
  <c r="B998" i="261"/>
  <c r="B958" i="261"/>
  <c r="B877" i="261"/>
  <c r="X3" i="294"/>
  <c r="B838" i="261" l="1"/>
  <c r="B1161" i="261"/>
  <c r="B1081" i="261"/>
  <c r="W40" i="294"/>
  <c r="W48" i="260" s="1"/>
  <c r="B1118" i="261"/>
  <c r="B1038" i="261"/>
  <c r="B918" i="261"/>
  <c r="B999" i="261"/>
  <c r="B959" i="261"/>
  <c r="B878" i="261"/>
  <c r="Y3" i="294"/>
  <c r="B1162" i="261" l="1"/>
  <c r="B839" i="261"/>
  <c r="B1082" i="261"/>
  <c r="X40" i="294"/>
  <c r="X48" i="260" s="1"/>
  <c r="B1119" i="261"/>
  <c r="B1039" i="261"/>
  <c r="B919" i="261"/>
  <c r="B1000" i="261"/>
  <c r="B960" i="261"/>
  <c r="B879" i="261"/>
  <c r="Z3" i="294"/>
  <c r="B1163" i="261" l="1"/>
  <c r="B840" i="261"/>
  <c r="B1083" i="261"/>
  <c r="Y40" i="294"/>
  <c r="Y48" i="260" s="1"/>
  <c r="B1120" i="261"/>
  <c r="B1040" i="261"/>
  <c r="B920" i="261"/>
  <c r="B1001" i="261"/>
  <c r="B961" i="261"/>
  <c r="B880" i="261"/>
  <c r="AA3" i="294"/>
  <c r="B841" i="261" l="1"/>
  <c r="B1164" i="261"/>
  <c r="B1084" i="261"/>
  <c r="Z40" i="294"/>
  <c r="Z48" i="260" s="1"/>
  <c r="B1121" i="261"/>
  <c r="B1041" i="261"/>
  <c r="B921" i="261"/>
  <c r="B1002" i="261"/>
  <c r="B962" i="261"/>
  <c r="B881" i="261"/>
  <c r="AB3" i="294"/>
  <c r="B1165" i="261" l="1"/>
  <c r="B842" i="261"/>
  <c r="B1085" i="261"/>
  <c r="AA40" i="294"/>
  <c r="AA48" i="260" s="1"/>
  <c r="B1122" i="261"/>
  <c r="B1042" i="261"/>
  <c r="B922" i="261"/>
  <c r="B1003" i="261"/>
  <c r="B963" i="261"/>
  <c r="B882" i="261"/>
  <c r="AC3" i="294"/>
  <c r="B843" i="261" l="1"/>
  <c r="AB40" i="294"/>
  <c r="AB48" i="260" s="1"/>
  <c r="B1123" i="261"/>
  <c r="B1043" i="261"/>
  <c r="B923" i="261"/>
  <c r="B1004" i="261"/>
  <c r="B964" i="261"/>
  <c r="B883" i="261"/>
  <c r="AD3" i="294"/>
  <c r="B844" i="261" l="1"/>
  <c r="AC40" i="294"/>
  <c r="AC48" i="260" s="1"/>
  <c r="B1124" i="261"/>
  <c r="B1044" i="261"/>
  <c r="B924" i="261"/>
  <c r="B1005" i="261"/>
  <c r="B965" i="261"/>
  <c r="B884" i="261"/>
  <c r="AE3" i="294"/>
  <c r="B845" i="261" l="1"/>
  <c r="AD40" i="294"/>
  <c r="AD48" i="260" s="1"/>
  <c r="B1125" i="261"/>
  <c r="B1045" i="261"/>
  <c r="B925" i="261"/>
  <c r="B885" i="261"/>
  <c r="AF3" i="294"/>
  <c r="AE40" i="294" l="1"/>
  <c r="AE48" i="260" s="1"/>
  <c r="AG3" i="294"/>
  <c r="AF40" i="294" l="1"/>
  <c r="AF48" i="260" s="1"/>
  <c r="AH3" i="294"/>
  <c r="AG40" i="294" l="1"/>
  <c r="AG48" i="260" s="1"/>
  <c r="AI3" i="294"/>
  <c r="AH40" i="294" l="1"/>
  <c r="AH48" i="260" s="1"/>
  <c r="AJ3" i="294"/>
  <c r="AI40" i="294" l="1"/>
  <c r="AI48" i="260" s="1"/>
  <c r="AK3" i="294"/>
  <c r="AL3" i="294" s="1"/>
  <c r="AJ40" i="294" l="1"/>
  <c r="AJ48" i="260" s="1"/>
  <c r="AK40" i="294" l="1"/>
  <c r="AK48" i="260" s="1"/>
  <c r="C48" i="260" s="1"/>
  <c r="AK31" i="273"/>
  <c r="AK40" i="273"/>
  <c r="E2" i="289"/>
  <c r="D3" i="289" s="1"/>
  <c r="E3" i="289" l="1"/>
  <c r="F3" i="289" l="1"/>
  <c r="C31" i="277"/>
  <c r="C30" i="277"/>
  <c r="C31" i="271"/>
  <c r="C30" i="271"/>
  <c r="G3" i="289" l="1"/>
  <c r="H3" i="289" l="1"/>
  <c r="I3" i="289" l="1"/>
  <c r="D173" i="261"/>
  <c r="E173" i="261"/>
  <c r="B173" i="261"/>
  <c r="C173" i="261"/>
  <c r="E172" i="261"/>
  <c r="D172" i="261"/>
  <c r="C172" i="261"/>
  <c r="B172" i="261"/>
  <c r="E171" i="261"/>
  <c r="D171" i="261"/>
  <c r="E170" i="261"/>
  <c r="D170" i="261"/>
  <c r="J3" i="289" l="1"/>
  <c r="K3" i="289" l="1"/>
  <c r="L3" i="289" l="1"/>
  <c r="B19" i="260"/>
  <c r="D851" i="261" s="1"/>
  <c r="B20" i="260"/>
  <c r="D931" i="261" s="1"/>
  <c r="B21" i="260"/>
  <c r="D1011" i="261" s="1"/>
  <c r="B22" i="260"/>
  <c r="D1051" i="261" s="1"/>
  <c r="M3" i="289" l="1"/>
  <c r="C773" i="261"/>
  <c r="C774" i="261" s="1"/>
  <c r="C775" i="261" s="1"/>
  <c r="C776" i="261" s="1"/>
  <c r="C777" i="261" s="1"/>
  <c r="C778" i="261" s="1"/>
  <c r="C779" i="261" s="1"/>
  <c r="C780" i="261" s="1"/>
  <c r="C781" i="261" s="1"/>
  <c r="C782" i="261" s="1"/>
  <c r="C783" i="261" s="1"/>
  <c r="C784" i="261" s="1"/>
  <c r="C785" i="261" s="1"/>
  <c r="C786" i="261" s="1"/>
  <c r="C787" i="261" s="1"/>
  <c r="C788" i="261" s="1"/>
  <c r="C789" i="261" s="1"/>
  <c r="C790" i="261" s="1"/>
  <c r="C791" i="261" s="1"/>
  <c r="C792" i="261" s="1"/>
  <c r="C793" i="261" s="1"/>
  <c r="C794" i="261" s="1"/>
  <c r="C795" i="261" s="1"/>
  <c r="C796" i="261" s="1"/>
  <c r="C797" i="261" s="1"/>
  <c r="C798" i="261" s="1"/>
  <c r="C799" i="261" s="1"/>
  <c r="C800" i="261" s="1"/>
  <c r="C801" i="261" s="1"/>
  <c r="C802" i="261" s="1"/>
  <c r="C803" i="261" s="1"/>
  <c r="C804" i="261" s="1"/>
  <c r="C805" i="261" s="1"/>
  <c r="B772" i="261"/>
  <c r="F731" i="261"/>
  <c r="E731" i="261"/>
  <c r="D731" i="261"/>
  <c r="C733" i="261"/>
  <c r="C734" i="261" s="1"/>
  <c r="C735" i="261" s="1"/>
  <c r="C736" i="261" s="1"/>
  <c r="C737" i="261" s="1"/>
  <c r="C738" i="261" s="1"/>
  <c r="C739" i="261" s="1"/>
  <c r="C740" i="261" s="1"/>
  <c r="C741" i="261" s="1"/>
  <c r="C742" i="261" s="1"/>
  <c r="C743" i="261" s="1"/>
  <c r="C744" i="261" s="1"/>
  <c r="C745" i="261" s="1"/>
  <c r="C746" i="261" s="1"/>
  <c r="C747" i="261" s="1"/>
  <c r="C748" i="261" s="1"/>
  <c r="C749" i="261" s="1"/>
  <c r="C750" i="261" s="1"/>
  <c r="C751" i="261" s="1"/>
  <c r="C752" i="261" s="1"/>
  <c r="C753" i="261" s="1"/>
  <c r="C754" i="261" s="1"/>
  <c r="C755" i="261" s="1"/>
  <c r="C756" i="261" s="1"/>
  <c r="C757" i="261" s="1"/>
  <c r="C758" i="261" s="1"/>
  <c r="C759" i="261" s="1"/>
  <c r="C760" i="261" s="1"/>
  <c r="C761" i="261" s="1"/>
  <c r="C762" i="261" s="1"/>
  <c r="C763" i="261" s="1"/>
  <c r="C764" i="261" s="1"/>
  <c r="C765" i="261" s="1"/>
  <c r="B732" i="261"/>
  <c r="C695" i="261"/>
  <c r="C696" i="261" s="1"/>
  <c r="C697" i="261" s="1"/>
  <c r="C698" i="261" s="1"/>
  <c r="C699" i="261" s="1"/>
  <c r="C700" i="261" s="1"/>
  <c r="C701" i="261" s="1"/>
  <c r="C702" i="261" s="1"/>
  <c r="C703" i="261" s="1"/>
  <c r="C704" i="261" s="1"/>
  <c r="C705" i="261" s="1"/>
  <c r="C706" i="261" s="1"/>
  <c r="C707" i="261" s="1"/>
  <c r="C708" i="261" s="1"/>
  <c r="C709" i="261" s="1"/>
  <c r="C710" i="261" s="1"/>
  <c r="C711" i="261" s="1"/>
  <c r="C712" i="261" s="1"/>
  <c r="C713" i="261" s="1"/>
  <c r="C714" i="261" s="1"/>
  <c r="C715" i="261" s="1"/>
  <c r="C716" i="261" s="1"/>
  <c r="C717" i="261" s="1"/>
  <c r="C718" i="261" s="1"/>
  <c r="C719" i="261" s="1"/>
  <c r="C720" i="261" s="1"/>
  <c r="C721" i="261" s="1"/>
  <c r="C722" i="261" s="1"/>
  <c r="C723" i="261" s="1"/>
  <c r="C724" i="261" s="1"/>
  <c r="C725" i="261" s="1"/>
  <c r="C726" i="261" s="1"/>
  <c r="C727" i="261" s="1"/>
  <c r="B694" i="261"/>
  <c r="C655" i="261"/>
  <c r="C656" i="261" s="1"/>
  <c r="C657" i="261" s="1"/>
  <c r="C658" i="261" s="1"/>
  <c r="C659" i="261" s="1"/>
  <c r="C660" i="261" s="1"/>
  <c r="C661" i="261" s="1"/>
  <c r="C662" i="261" s="1"/>
  <c r="C663" i="261" s="1"/>
  <c r="C664" i="261" s="1"/>
  <c r="C665" i="261" s="1"/>
  <c r="C666" i="261" s="1"/>
  <c r="C667" i="261" s="1"/>
  <c r="C668" i="261" s="1"/>
  <c r="C669" i="261" s="1"/>
  <c r="C670" i="261" s="1"/>
  <c r="C671" i="261" s="1"/>
  <c r="C672" i="261" s="1"/>
  <c r="C673" i="261" s="1"/>
  <c r="C674" i="261" s="1"/>
  <c r="C675" i="261" s="1"/>
  <c r="C676" i="261" s="1"/>
  <c r="C677" i="261" s="1"/>
  <c r="C678" i="261" s="1"/>
  <c r="C679" i="261" s="1"/>
  <c r="C680" i="261" s="1"/>
  <c r="C681" i="261" s="1"/>
  <c r="C682" i="261" s="1"/>
  <c r="C683" i="261" s="1"/>
  <c r="C684" i="261" s="1"/>
  <c r="C685" i="261" s="1"/>
  <c r="C686" i="261" s="1"/>
  <c r="C687" i="261" s="1"/>
  <c r="B654" i="261"/>
  <c r="B584" i="261"/>
  <c r="F579" i="261"/>
  <c r="B570" i="261"/>
  <c r="D532" i="261"/>
  <c r="D498" i="261"/>
  <c r="F495" i="261"/>
  <c r="C497" i="261"/>
  <c r="C496" i="261"/>
  <c r="C495" i="261"/>
  <c r="B495" i="261"/>
  <c r="B497" i="261"/>
  <c r="B496" i="261"/>
  <c r="F492" i="261"/>
  <c r="F491" i="261"/>
  <c r="F490" i="261"/>
  <c r="F489" i="261"/>
  <c r="E491" i="261"/>
  <c r="E490" i="261"/>
  <c r="C494" i="261"/>
  <c r="C493" i="261"/>
  <c r="C492" i="261"/>
  <c r="C491" i="261"/>
  <c r="C490" i="261"/>
  <c r="C489" i="261"/>
  <c r="B490" i="261"/>
  <c r="B491" i="261"/>
  <c r="B492" i="261"/>
  <c r="B493" i="261"/>
  <c r="B494" i="261"/>
  <c r="B489" i="261"/>
  <c r="B484" i="261"/>
  <c r="D499" i="261" l="1"/>
  <c r="D500" i="261" s="1"/>
  <c r="D501" i="261" s="1"/>
  <c r="D502" i="261" s="1"/>
  <c r="D503" i="261" s="1"/>
  <c r="D504" i="261" s="1"/>
  <c r="D505" i="261" s="1"/>
  <c r="D506" i="261" s="1"/>
  <c r="D507" i="261" s="1"/>
  <c r="D508" i="261" s="1"/>
  <c r="D509" i="261" s="1"/>
  <c r="D510" i="261" s="1"/>
  <c r="D511" i="261" s="1"/>
  <c r="D512" i="261" s="1"/>
  <c r="D513" i="261" s="1"/>
  <c r="D514" i="261" s="1"/>
  <c r="D515" i="261" s="1"/>
  <c r="D516" i="261" s="1"/>
  <c r="D517" i="261" s="1"/>
  <c r="D518" i="261" s="1"/>
  <c r="D519" i="261" s="1"/>
  <c r="D520" i="261" s="1"/>
  <c r="D521" i="261" s="1"/>
  <c r="D522" i="261" s="1"/>
  <c r="D523" i="261" s="1"/>
  <c r="D524" i="261" s="1"/>
  <c r="D525" i="261" s="1"/>
  <c r="D526" i="261" s="1"/>
  <c r="D527" i="261" s="1"/>
  <c r="D528" i="261" s="1"/>
  <c r="E498" i="261"/>
  <c r="N3" i="289"/>
  <c r="B733" i="261"/>
  <c r="B695" i="261"/>
  <c r="B773" i="261"/>
  <c r="B655" i="261"/>
  <c r="D533" i="261"/>
  <c r="D529" i="261" l="1"/>
  <c r="E531" i="261" s="1"/>
  <c r="E530" i="261"/>
  <c r="O3" i="289"/>
  <c r="B734" i="261"/>
  <c r="B696" i="261"/>
  <c r="B774" i="261"/>
  <c r="B656" i="261"/>
  <c r="D534" i="261"/>
  <c r="P3" i="289" l="1"/>
  <c r="B735" i="261"/>
  <c r="B697" i="261"/>
  <c r="B775" i="261"/>
  <c r="B657" i="261"/>
  <c r="D535" i="261"/>
  <c r="Q3" i="289" l="1"/>
  <c r="B736" i="261"/>
  <c r="B698" i="261"/>
  <c r="B776" i="261"/>
  <c r="B658" i="261"/>
  <c r="D536" i="261"/>
  <c r="R3" i="289" l="1"/>
  <c r="B737" i="261"/>
  <c r="B699" i="261"/>
  <c r="B777" i="261"/>
  <c r="B659" i="261"/>
  <c r="D537" i="261"/>
  <c r="S3" i="289" l="1"/>
  <c r="B738" i="261"/>
  <c r="B700" i="261"/>
  <c r="B778" i="261"/>
  <c r="B660" i="261"/>
  <c r="D538" i="261"/>
  <c r="T3" i="289" l="1"/>
  <c r="B739" i="261"/>
  <c r="B701" i="261"/>
  <c r="B779" i="261"/>
  <c r="B661" i="261"/>
  <c r="D539" i="261"/>
  <c r="U3" i="289" l="1"/>
  <c r="B740" i="261"/>
  <c r="B702" i="261"/>
  <c r="B780" i="261"/>
  <c r="B662" i="261"/>
  <c r="D540" i="261"/>
  <c r="V3" i="289" l="1"/>
  <c r="B741" i="261"/>
  <c r="B703" i="261"/>
  <c r="B781" i="261"/>
  <c r="B663" i="261"/>
  <c r="D541" i="261"/>
  <c r="W3" i="289" l="1"/>
  <c r="B742" i="261"/>
  <c r="B704" i="261"/>
  <c r="B782" i="261"/>
  <c r="B664" i="261"/>
  <c r="D542" i="261"/>
  <c r="X3" i="289" l="1"/>
  <c r="B743" i="261"/>
  <c r="B705" i="261"/>
  <c r="B783" i="261"/>
  <c r="B665" i="261"/>
  <c r="D543" i="261"/>
  <c r="Y3" i="289" l="1"/>
  <c r="B744" i="261"/>
  <c r="B706" i="261"/>
  <c r="B784" i="261"/>
  <c r="B666" i="261"/>
  <c r="D544" i="261"/>
  <c r="Z3" i="289" l="1"/>
  <c r="B745" i="261"/>
  <c r="B707" i="261"/>
  <c r="B785" i="261"/>
  <c r="B667" i="261"/>
  <c r="D545" i="261"/>
  <c r="AA3" i="289" l="1"/>
  <c r="B746" i="261"/>
  <c r="B708" i="261"/>
  <c r="B786" i="261"/>
  <c r="B668" i="261"/>
  <c r="D546" i="261"/>
  <c r="AB3" i="289" l="1"/>
  <c r="B747" i="261"/>
  <c r="B709" i="261"/>
  <c r="B787" i="261"/>
  <c r="B669" i="261"/>
  <c r="D547" i="261"/>
  <c r="AC3" i="289" l="1"/>
  <c r="B748" i="261"/>
  <c r="B710" i="261"/>
  <c r="B788" i="261"/>
  <c r="B670" i="261"/>
  <c r="D548" i="261"/>
  <c r="AD3" i="289" l="1"/>
  <c r="B749" i="261"/>
  <c r="B711" i="261"/>
  <c r="B789" i="261"/>
  <c r="B671" i="261"/>
  <c r="D549" i="261"/>
  <c r="AE3" i="289" l="1"/>
  <c r="B750" i="261"/>
  <c r="B712" i="261"/>
  <c r="B790" i="261"/>
  <c r="B672" i="261"/>
  <c r="D550" i="261"/>
  <c r="AF3" i="289" l="1"/>
  <c r="B751" i="261"/>
  <c r="B713" i="261"/>
  <c r="B791" i="261"/>
  <c r="B673" i="261"/>
  <c r="D551" i="261"/>
  <c r="AG3" i="289" l="1"/>
  <c r="B752" i="261"/>
  <c r="B714" i="261"/>
  <c r="B792" i="261"/>
  <c r="B674" i="261"/>
  <c r="D552" i="261"/>
  <c r="AH3" i="289" l="1"/>
  <c r="B753" i="261"/>
  <c r="B715" i="261"/>
  <c r="B793" i="261"/>
  <c r="B675" i="261"/>
  <c r="D553" i="261"/>
  <c r="AI3" i="289" l="1"/>
  <c r="B754" i="261"/>
  <c r="B716" i="261"/>
  <c r="B794" i="261"/>
  <c r="B676" i="261"/>
  <c r="D554" i="261"/>
  <c r="AJ3" i="289" l="1"/>
  <c r="B755" i="261"/>
  <c r="B717" i="261"/>
  <c r="B795" i="261"/>
  <c r="B677" i="261"/>
  <c r="D555" i="261"/>
  <c r="AK3" i="289" l="1"/>
  <c r="B756" i="261"/>
  <c r="B718" i="261"/>
  <c r="B796" i="261"/>
  <c r="B678" i="261"/>
  <c r="D556" i="261"/>
  <c r="B757" i="261" l="1"/>
  <c r="B719" i="261"/>
  <c r="B797" i="261"/>
  <c r="B679" i="261"/>
  <c r="D557" i="261"/>
  <c r="B758" i="261" l="1"/>
  <c r="B720" i="261"/>
  <c r="B798" i="261"/>
  <c r="B680" i="261"/>
  <c r="D558" i="261"/>
  <c r="B759" i="261" l="1"/>
  <c r="B721" i="261"/>
  <c r="B799" i="261"/>
  <c r="B681" i="261"/>
  <c r="D559" i="261"/>
  <c r="B760" i="261" l="1"/>
  <c r="B722" i="261"/>
  <c r="B800" i="261"/>
  <c r="B682" i="261"/>
  <c r="D560" i="261"/>
  <c r="B761" i="261" l="1"/>
  <c r="B723" i="261"/>
  <c r="B801" i="261"/>
  <c r="B683" i="261"/>
  <c r="D561" i="261"/>
  <c r="B762" i="261" l="1"/>
  <c r="B724" i="261"/>
  <c r="B802" i="261"/>
  <c r="B684" i="261"/>
  <c r="D562" i="261"/>
  <c r="B763" i="261" l="1"/>
  <c r="B725" i="261"/>
  <c r="B803" i="261"/>
  <c r="B685" i="261"/>
  <c r="D563" i="261"/>
  <c r="D564" i="261" s="1"/>
  <c r="E564" i="261" l="1"/>
  <c r="D565" i="261"/>
  <c r="B764" i="261"/>
  <c r="B726" i="261"/>
  <c r="B804" i="261"/>
  <c r="B686" i="261"/>
  <c r="B805" i="261" l="1"/>
  <c r="B765" i="261"/>
  <c r="B727" i="261"/>
  <c r="B687" i="261"/>
  <c r="C321" i="261"/>
  <c r="B321" i="261"/>
  <c r="C320" i="261"/>
  <c r="B320" i="261"/>
  <c r="E319" i="261"/>
  <c r="C319" i="261"/>
  <c r="B319" i="261"/>
  <c r="E318" i="261"/>
  <c r="D318" i="261"/>
  <c r="C318" i="261"/>
  <c r="B318" i="261"/>
  <c r="C317" i="261"/>
  <c r="B317" i="261"/>
  <c r="E316" i="261"/>
  <c r="C316" i="261"/>
  <c r="B316" i="261"/>
  <c r="E306" i="261"/>
  <c r="D306" i="261"/>
  <c r="C306" i="261"/>
  <c r="B306" i="261"/>
  <c r="C305" i="261"/>
  <c r="B305" i="261"/>
  <c r="C304" i="261"/>
  <c r="B304" i="261"/>
  <c r="E303" i="261"/>
  <c r="C303" i="261"/>
  <c r="B303" i="261"/>
  <c r="B590" i="261"/>
  <c r="C159" i="261"/>
  <c r="C160" i="261"/>
  <c r="C161" i="261"/>
  <c r="C162" i="261"/>
  <c r="C158" i="261"/>
  <c r="C56" i="261"/>
  <c r="C57" i="261" s="1"/>
  <c r="C58" i="261" s="1"/>
  <c r="C59" i="261" s="1"/>
  <c r="C60" i="261" s="1"/>
  <c r="C61" i="261" s="1"/>
  <c r="C62" i="261" s="1"/>
  <c r="C63" i="261" s="1"/>
  <c r="C64" i="261" s="1"/>
  <c r="C65" i="261" s="1"/>
  <c r="C66" i="261" s="1"/>
  <c r="C67" i="261" s="1"/>
  <c r="C68" i="261" s="1"/>
  <c r="C69" i="261" s="1"/>
  <c r="C70" i="261" s="1"/>
  <c r="C71" i="261" s="1"/>
  <c r="C72" i="261" s="1"/>
  <c r="C73" i="261" s="1"/>
  <c r="C74" i="261" s="1"/>
  <c r="C75" i="261" s="1"/>
  <c r="C76" i="261" s="1"/>
  <c r="C77" i="261" s="1"/>
  <c r="C78" i="261" s="1"/>
  <c r="C79" i="261" s="1"/>
  <c r="C80" i="261" s="1"/>
  <c r="C81" i="261" s="1"/>
  <c r="C82" i="261" s="1"/>
  <c r="C83" i="261" s="1"/>
  <c r="C84" i="261" s="1"/>
  <c r="C85" i="261" s="1"/>
  <c r="C86" i="261" s="1"/>
  <c r="C87" i="261" s="1"/>
  <c r="C88" i="261" s="1"/>
  <c r="B55" i="261"/>
  <c r="B15" i="261"/>
  <c r="C16" i="261"/>
  <c r="C17" i="261" s="1"/>
  <c r="C18" i="261" s="1"/>
  <c r="C19" i="261" s="1"/>
  <c r="C20" i="261" s="1"/>
  <c r="C21" i="261" s="1"/>
  <c r="C22" i="261" s="1"/>
  <c r="C23" i="261" s="1"/>
  <c r="C24" i="261" s="1"/>
  <c r="C25" i="261" s="1"/>
  <c r="C26" i="261" s="1"/>
  <c r="C27" i="261" s="1"/>
  <c r="C28" i="261" s="1"/>
  <c r="C29" i="261" s="1"/>
  <c r="C30" i="261" s="1"/>
  <c r="C31" i="261" s="1"/>
  <c r="C32" i="261" s="1"/>
  <c r="C33" i="261" s="1"/>
  <c r="C34" i="261" s="1"/>
  <c r="C35" i="261" s="1"/>
  <c r="C36" i="261" s="1"/>
  <c r="C37" i="261" s="1"/>
  <c r="C38" i="261" s="1"/>
  <c r="C39" i="261" s="1"/>
  <c r="C40" i="261" s="1"/>
  <c r="C41" i="261" s="1"/>
  <c r="C42" i="261" s="1"/>
  <c r="C43" i="261" s="1"/>
  <c r="C44" i="261" s="1"/>
  <c r="C45" i="261" s="1"/>
  <c r="C46" i="261" s="1"/>
  <c r="C47" i="261" s="1"/>
  <c r="C48" i="261" s="1"/>
  <c r="B56" i="261" l="1"/>
  <c r="B57" i="261" l="1"/>
  <c r="B58" i="261" l="1"/>
  <c r="C12" i="286"/>
  <c r="C14" i="286" s="1"/>
  <c r="E2" i="285"/>
  <c r="D3" i="285" s="1"/>
  <c r="C19" i="286" l="1"/>
  <c r="E575" i="261"/>
  <c r="C16" i="286"/>
  <c r="C18" i="286" s="1"/>
  <c r="B59" i="261"/>
  <c r="E3" i="285"/>
  <c r="D7" i="285"/>
  <c r="D47" i="260" s="1"/>
  <c r="E577" i="261" l="1"/>
  <c r="D39" i="265"/>
  <c r="B60" i="261"/>
  <c r="F3" i="285"/>
  <c r="E7" i="285"/>
  <c r="E47" i="260" s="1"/>
  <c r="E579" i="261" l="1"/>
  <c r="C5" i="285"/>
  <c r="B61" i="261"/>
  <c r="G3" i="285"/>
  <c r="F7" i="285"/>
  <c r="F47" i="260" s="1"/>
  <c r="B62" i="261" l="1"/>
  <c r="H3" i="285"/>
  <c r="G7" i="285"/>
  <c r="G47" i="260" s="1"/>
  <c r="B63" i="261" l="1"/>
  <c r="I3" i="285"/>
  <c r="H7" i="285"/>
  <c r="H47" i="260" s="1"/>
  <c r="B64" i="261" l="1"/>
  <c r="J3" i="285"/>
  <c r="I7" i="285"/>
  <c r="I47" i="260" s="1"/>
  <c r="B65" i="261" l="1"/>
  <c r="K3" i="285"/>
  <c r="J7" i="285"/>
  <c r="J47" i="260" s="1"/>
  <c r="B66" i="261" l="1"/>
  <c r="L3" i="285"/>
  <c r="K7" i="285"/>
  <c r="K47" i="260" s="1"/>
  <c r="B67" i="261" l="1"/>
  <c r="M3" i="285"/>
  <c r="L7" i="285"/>
  <c r="L47" i="260" s="1"/>
  <c r="B68" i="261" l="1"/>
  <c r="N3" i="285"/>
  <c r="M7" i="285"/>
  <c r="M47" i="260" s="1"/>
  <c r="B69" i="261" l="1"/>
  <c r="O3" i="285"/>
  <c r="N7" i="285"/>
  <c r="N47" i="260" s="1"/>
  <c r="B70" i="261" l="1"/>
  <c r="P3" i="285"/>
  <c r="O7" i="285"/>
  <c r="O47" i="260" s="1"/>
  <c r="B71" i="261" l="1"/>
  <c r="Q3" i="285"/>
  <c r="P7" i="285"/>
  <c r="P47" i="260" s="1"/>
  <c r="B72" i="261" l="1"/>
  <c r="R3" i="285"/>
  <c r="Q7" i="285"/>
  <c r="Q47" i="260" s="1"/>
  <c r="B73" i="261" l="1"/>
  <c r="S3" i="285"/>
  <c r="R7" i="285"/>
  <c r="R47" i="260" s="1"/>
  <c r="B74" i="261" l="1"/>
  <c r="T3" i="285"/>
  <c r="S7" i="285"/>
  <c r="S47" i="260" s="1"/>
  <c r="B75" i="261" l="1"/>
  <c r="U3" i="285"/>
  <c r="T7" i="285"/>
  <c r="T47" i="260" s="1"/>
  <c r="B76" i="261" l="1"/>
  <c r="V3" i="285"/>
  <c r="U7" i="285"/>
  <c r="U47" i="260" s="1"/>
  <c r="B77" i="261" l="1"/>
  <c r="W3" i="285"/>
  <c r="V7" i="285"/>
  <c r="V47" i="260" s="1"/>
  <c r="B78" i="261" l="1"/>
  <c r="X3" i="285"/>
  <c r="W7" i="285"/>
  <c r="W47" i="260" s="1"/>
  <c r="B79" i="261" l="1"/>
  <c r="Y3" i="285"/>
  <c r="X7" i="285"/>
  <c r="X47" i="260" s="1"/>
  <c r="B80" i="261" l="1"/>
  <c r="Z3" i="285"/>
  <c r="Y7" i="285"/>
  <c r="Y47" i="260" s="1"/>
  <c r="B81" i="261" l="1"/>
  <c r="AA3" i="285"/>
  <c r="Z7" i="285"/>
  <c r="Z47" i="260" s="1"/>
  <c r="B82" i="261" l="1"/>
  <c r="AB3" i="285"/>
  <c r="AA7" i="285"/>
  <c r="AA47" i="260" s="1"/>
  <c r="B83" i="261" l="1"/>
  <c r="AC3" i="285"/>
  <c r="AB7" i="285"/>
  <c r="AB47" i="260" s="1"/>
  <c r="B84" i="261" l="1"/>
  <c r="AD3" i="285"/>
  <c r="AC7" i="285"/>
  <c r="AC47" i="260" s="1"/>
  <c r="B85" i="261" l="1"/>
  <c r="AE3" i="285"/>
  <c r="AD7" i="285"/>
  <c r="AD47" i="260" s="1"/>
  <c r="B86" i="261" l="1"/>
  <c r="AF3" i="285"/>
  <c r="AE7" i="285"/>
  <c r="AE47" i="260" s="1"/>
  <c r="B87" i="261" l="1"/>
  <c r="AG3" i="285"/>
  <c r="AF7" i="285"/>
  <c r="AF47" i="260" s="1"/>
  <c r="B88" i="261" l="1"/>
  <c r="AH3" i="285"/>
  <c r="AG7" i="285"/>
  <c r="AG47" i="260" s="1"/>
  <c r="AI3" i="285" l="1"/>
  <c r="AH7" i="285"/>
  <c r="AH47" i="260" s="1"/>
  <c r="AJ3" i="285" l="1"/>
  <c r="AI7" i="285"/>
  <c r="AI47" i="260" s="1"/>
  <c r="AJ7" i="285" l="1"/>
  <c r="AJ47" i="260" s="1"/>
  <c r="AK3" i="285"/>
  <c r="AK7" i="285" s="1"/>
  <c r="AK47" i="260" s="1"/>
  <c r="C47" i="260" s="1"/>
  <c r="C22" i="260" l="1"/>
  <c r="D584" i="261" s="1"/>
  <c r="D585" i="261" s="1"/>
  <c r="F2" i="267"/>
  <c r="B7" i="218"/>
  <c r="D6" i="321" l="1"/>
  <c r="D6" i="324"/>
  <c r="D6" i="312"/>
  <c r="D6" i="327"/>
  <c r="D6" i="315"/>
  <c r="D6" i="318"/>
  <c r="D1" i="325"/>
  <c r="D1" i="328"/>
  <c r="D1" i="322"/>
  <c r="D1" i="319"/>
  <c r="D1" i="316"/>
  <c r="D1" i="314"/>
  <c r="F57" i="267"/>
  <c r="D1" i="304"/>
  <c r="D21" i="304" s="1"/>
  <c r="D1" i="309"/>
  <c r="D1" i="307"/>
  <c r="F56" i="267"/>
  <c r="D77" i="314" l="1"/>
  <c r="D15" i="314"/>
  <c r="D77" i="319"/>
  <c r="D15" i="319"/>
  <c r="D77" i="316"/>
  <c r="D15" i="316"/>
  <c r="D15" i="325"/>
  <c r="D77" i="325"/>
  <c r="D15" i="328"/>
  <c r="D77" i="328"/>
  <c r="D77" i="322"/>
  <c r="D15" i="322"/>
  <c r="D13" i="304"/>
  <c r="D27" i="304"/>
  <c r="D90" i="322"/>
  <c r="D76" i="322"/>
  <c r="D84" i="322"/>
  <c r="D28" i="322"/>
  <c r="D22" i="322"/>
  <c r="D84" i="319"/>
  <c r="D76" i="319"/>
  <c r="D28" i="319"/>
  <c r="D22" i="319"/>
  <c r="D90" i="319"/>
  <c r="D84" i="325"/>
  <c r="D22" i="325"/>
  <c r="D90" i="325"/>
  <c r="D76" i="325"/>
  <c r="D28" i="325"/>
  <c r="D22" i="328"/>
  <c r="D90" i="328"/>
  <c r="D84" i="328"/>
  <c r="D76" i="328"/>
  <c r="D28" i="328"/>
  <c r="D90" i="316"/>
  <c r="D84" i="316"/>
  <c r="D76" i="316"/>
  <c r="D28" i="316"/>
  <c r="D22" i="316"/>
  <c r="D76" i="314"/>
  <c r="D84" i="314"/>
  <c r="D90" i="314"/>
  <c r="D22" i="314"/>
  <c r="D14" i="314"/>
  <c r="D28" i="314"/>
  <c r="D14" i="319"/>
  <c r="D14" i="322"/>
  <c r="D14" i="328"/>
  <c r="D14" i="316"/>
  <c r="D14" i="325"/>
  <c r="D27" i="307"/>
  <c r="D21" i="307"/>
  <c r="D13" i="307"/>
  <c r="D21" i="309"/>
  <c r="D27" i="309"/>
  <c r="D13" i="309"/>
  <c r="E42" i="260"/>
  <c r="F58" i="267"/>
  <c r="D1091" i="261"/>
  <c r="F42" i="260" l="1"/>
  <c r="B605" i="261"/>
  <c r="B8" i="218"/>
  <c r="G42" i="260" l="1"/>
  <c r="I54" i="261"/>
  <c r="H54" i="261"/>
  <c r="G54" i="261"/>
  <c r="F54" i="261"/>
  <c r="F6" i="261"/>
  <c r="F7" i="261"/>
  <c r="F8" i="261"/>
  <c r="F9" i="261"/>
  <c r="B163" i="261" s="1"/>
  <c r="H42" i="260" l="1"/>
  <c r="B160" i="261"/>
  <c r="B626" i="261"/>
  <c r="B629" i="261"/>
  <c r="B162" i="261"/>
  <c r="B628" i="261"/>
  <c r="B161" i="261"/>
  <c r="B627" i="261"/>
  <c r="B13" i="218"/>
  <c r="B12" i="218"/>
  <c r="B11" i="218"/>
  <c r="B10" i="218"/>
  <c r="B5" i="218"/>
  <c r="B6" i="218"/>
  <c r="I42" i="260" l="1"/>
  <c r="E304" i="261"/>
  <c r="E305" i="261"/>
  <c r="D11" i="320" l="1"/>
  <c r="E11" i="320" s="1"/>
  <c r="F11" i="320" s="1"/>
  <c r="G11" i="320" s="1"/>
  <c r="H11" i="320" s="1"/>
  <c r="I11" i="320" s="1"/>
  <c r="J11" i="320" s="1"/>
  <c r="K11" i="320" s="1"/>
  <c r="L11" i="320" s="1"/>
  <c r="M11" i="320" s="1"/>
  <c r="N11" i="320" s="1"/>
  <c r="O11" i="320" s="1"/>
  <c r="P11" i="320" s="1"/>
  <c r="Q11" i="320" s="1"/>
  <c r="R11" i="320" s="1"/>
  <c r="S11" i="320" s="1"/>
  <c r="T11" i="320" s="1"/>
  <c r="U11" i="320" s="1"/>
  <c r="V11" i="320" s="1"/>
  <c r="W11" i="320" s="1"/>
  <c r="X11" i="320" s="1"/>
  <c r="Y11" i="320" s="1"/>
  <c r="Z11" i="320" s="1"/>
  <c r="AA11" i="320" s="1"/>
  <c r="AB11" i="320" s="1"/>
  <c r="AC11" i="320" s="1"/>
  <c r="AD11" i="320" s="1"/>
  <c r="AE11" i="320" s="1"/>
  <c r="AF11" i="320" s="1"/>
  <c r="AG11" i="320" s="1"/>
  <c r="AH11" i="320" s="1"/>
  <c r="AI11" i="320" s="1"/>
  <c r="AJ11" i="320" s="1"/>
  <c r="AK11" i="320" s="1"/>
  <c r="D11" i="317"/>
  <c r="E11" i="317" s="1"/>
  <c r="F11" i="317" s="1"/>
  <c r="G11" i="317" s="1"/>
  <c r="H11" i="317" s="1"/>
  <c r="I11" i="317" s="1"/>
  <c r="J11" i="317" s="1"/>
  <c r="K11" i="317" s="1"/>
  <c r="L11" i="317" s="1"/>
  <c r="M11" i="317" s="1"/>
  <c r="N11" i="317" s="1"/>
  <c r="O11" i="317" s="1"/>
  <c r="P11" i="317" s="1"/>
  <c r="Q11" i="317" s="1"/>
  <c r="R11" i="317" s="1"/>
  <c r="S11" i="317" s="1"/>
  <c r="T11" i="317" s="1"/>
  <c r="U11" i="317" s="1"/>
  <c r="V11" i="317" s="1"/>
  <c r="W11" i="317" s="1"/>
  <c r="X11" i="317" s="1"/>
  <c r="Y11" i="317" s="1"/>
  <c r="Z11" i="317" s="1"/>
  <c r="AA11" i="317" s="1"/>
  <c r="AB11" i="317" s="1"/>
  <c r="AC11" i="317" s="1"/>
  <c r="AD11" i="317" s="1"/>
  <c r="AE11" i="317" s="1"/>
  <c r="AF11" i="317" s="1"/>
  <c r="AG11" i="317" s="1"/>
  <c r="AH11" i="317" s="1"/>
  <c r="AI11" i="317" s="1"/>
  <c r="AJ11" i="317" s="1"/>
  <c r="AK11" i="317" s="1"/>
  <c r="D11" i="329"/>
  <c r="E11" i="329" s="1"/>
  <c r="F11" i="329" s="1"/>
  <c r="G11" i="329" s="1"/>
  <c r="H11" i="329" s="1"/>
  <c r="I11" i="329" s="1"/>
  <c r="J11" i="329" s="1"/>
  <c r="K11" i="329" s="1"/>
  <c r="L11" i="329" s="1"/>
  <c r="M11" i="329" s="1"/>
  <c r="N11" i="329" s="1"/>
  <c r="O11" i="329" s="1"/>
  <c r="P11" i="329" s="1"/>
  <c r="Q11" i="329" s="1"/>
  <c r="R11" i="329" s="1"/>
  <c r="S11" i="329" s="1"/>
  <c r="T11" i="329" s="1"/>
  <c r="U11" i="329" s="1"/>
  <c r="V11" i="329" s="1"/>
  <c r="W11" i="329" s="1"/>
  <c r="X11" i="329" s="1"/>
  <c r="Y11" i="329" s="1"/>
  <c r="Z11" i="329" s="1"/>
  <c r="AA11" i="329" s="1"/>
  <c r="AB11" i="329" s="1"/>
  <c r="AC11" i="329" s="1"/>
  <c r="AD11" i="329" s="1"/>
  <c r="AE11" i="329" s="1"/>
  <c r="AF11" i="329" s="1"/>
  <c r="AG11" i="329" s="1"/>
  <c r="AH11" i="329" s="1"/>
  <c r="AI11" i="329" s="1"/>
  <c r="AJ11" i="329" s="1"/>
  <c r="AK11" i="329" s="1"/>
  <c r="D11" i="326"/>
  <c r="E11" i="326" s="1"/>
  <c r="F11" i="326" s="1"/>
  <c r="G11" i="326" s="1"/>
  <c r="H11" i="326" s="1"/>
  <c r="I11" i="326" s="1"/>
  <c r="J11" i="326" s="1"/>
  <c r="K11" i="326" s="1"/>
  <c r="L11" i="326" s="1"/>
  <c r="M11" i="326" s="1"/>
  <c r="N11" i="326" s="1"/>
  <c r="O11" i="326" s="1"/>
  <c r="P11" i="326" s="1"/>
  <c r="Q11" i="326" s="1"/>
  <c r="R11" i="326" s="1"/>
  <c r="S11" i="326" s="1"/>
  <c r="T11" i="326" s="1"/>
  <c r="U11" i="326" s="1"/>
  <c r="V11" i="326" s="1"/>
  <c r="W11" i="326" s="1"/>
  <c r="X11" i="326" s="1"/>
  <c r="Y11" i="326" s="1"/>
  <c r="Z11" i="326" s="1"/>
  <c r="AA11" i="326" s="1"/>
  <c r="AB11" i="326" s="1"/>
  <c r="AC11" i="326" s="1"/>
  <c r="AD11" i="326" s="1"/>
  <c r="AE11" i="326" s="1"/>
  <c r="AF11" i="326" s="1"/>
  <c r="AG11" i="326" s="1"/>
  <c r="AH11" i="326" s="1"/>
  <c r="AI11" i="326" s="1"/>
  <c r="AJ11" i="326" s="1"/>
  <c r="AK11" i="326" s="1"/>
  <c r="D11" i="323"/>
  <c r="E11" i="323" s="1"/>
  <c r="F11" i="323" s="1"/>
  <c r="G11" i="323" s="1"/>
  <c r="H11" i="323" s="1"/>
  <c r="I11" i="323" s="1"/>
  <c r="J11" i="323" s="1"/>
  <c r="K11" i="323" s="1"/>
  <c r="L11" i="323" s="1"/>
  <c r="M11" i="323" s="1"/>
  <c r="N11" i="323" s="1"/>
  <c r="O11" i="323" s="1"/>
  <c r="P11" i="323" s="1"/>
  <c r="Q11" i="323" s="1"/>
  <c r="R11" i="323" s="1"/>
  <c r="S11" i="323" s="1"/>
  <c r="T11" i="323" s="1"/>
  <c r="U11" i="323" s="1"/>
  <c r="V11" i="323" s="1"/>
  <c r="W11" i="323" s="1"/>
  <c r="X11" i="323" s="1"/>
  <c r="Y11" i="323" s="1"/>
  <c r="Z11" i="323" s="1"/>
  <c r="AA11" i="323" s="1"/>
  <c r="AB11" i="323" s="1"/>
  <c r="AC11" i="323" s="1"/>
  <c r="AD11" i="323" s="1"/>
  <c r="AE11" i="323" s="1"/>
  <c r="AF11" i="323" s="1"/>
  <c r="AG11" i="323" s="1"/>
  <c r="AH11" i="323" s="1"/>
  <c r="AI11" i="323" s="1"/>
  <c r="AJ11" i="323" s="1"/>
  <c r="AK11" i="323" s="1"/>
  <c r="D11" i="313"/>
  <c r="E11" i="313" s="1"/>
  <c r="F11" i="313" s="1"/>
  <c r="G11" i="313" s="1"/>
  <c r="H11" i="313" s="1"/>
  <c r="I11" i="313" s="1"/>
  <c r="J11" i="313" s="1"/>
  <c r="K11" i="313" s="1"/>
  <c r="L11" i="313" s="1"/>
  <c r="M11" i="313" s="1"/>
  <c r="N11" i="313" s="1"/>
  <c r="O11" i="313" s="1"/>
  <c r="P11" i="313" s="1"/>
  <c r="Q11" i="313" s="1"/>
  <c r="R11" i="313" s="1"/>
  <c r="S11" i="313" s="1"/>
  <c r="T11" i="313" s="1"/>
  <c r="U11" i="313" s="1"/>
  <c r="V11" i="313" s="1"/>
  <c r="W11" i="313" s="1"/>
  <c r="X11" i="313" s="1"/>
  <c r="Y11" i="313" s="1"/>
  <c r="Z11" i="313" s="1"/>
  <c r="AA11" i="313" s="1"/>
  <c r="AB11" i="313" s="1"/>
  <c r="AC11" i="313" s="1"/>
  <c r="AD11" i="313" s="1"/>
  <c r="AE11" i="313" s="1"/>
  <c r="AF11" i="313" s="1"/>
  <c r="AG11" i="313" s="1"/>
  <c r="AH11" i="313" s="1"/>
  <c r="AI11" i="313" s="1"/>
  <c r="AJ11" i="313" s="1"/>
  <c r="AK11" i="313" s="1"/>
  <c r="D11" i="310"/>
  <c r="D11" i="303"/>
  <c r="D11" i="306"/>
  <c r="D305" i="261"/>
  <c r="J42" i="260"/>
  <c r="E11" i="306" l="1"/>
  <c r="E11" i="303"/>
  <c r="E11" i="310"/>
  <c r="D304" i="261"/>
  <c r="K42" i="260"/>
  <c r="D11" i="279"/>
  <c r="AL69" i="279" s="1"/>
  <c r="D10" i="279"/>
  <c r="D9" i="279"/>
  <c r="D8" i="279"/>
  <c r="E8" i="279" s="1"/>
  <c r="AL34" i="279" s="1"/>
  <c r="D7" i="279"/>
  <c r="E7" i="279" s="1"/>
  <c r="AL32" i="279" s="1"/>
  <c r="D6" i="279"/>
  <c r="E6" i="279" s="1"/>
  <c r="C55" i="279" s="1"/>
  <c r="D5" i="279"/>
  <c r="E5" i="279" s="1"/>
  <c r="D4" i="279"/>
  <c r="A1" i="277"/>
  <c r="C61" i="278"/>
  <c r="C48" i="278"/>
  <c r="D11" i="278"/>
  <c r="D10" i="278"/>
  <c r="C8" i="278"/>
  <c r="E2" i="278"/>
  <c r="D3" i="278" s="1"/>
  <c r="D2" i="277"/>
  <c r="E2" i="277" s="1"/>
  <c r="D11" i="273"/>
  <c r="AL69" i="273" s="1"/>
  <c r="D10" i="273"/>
  <c r="D9" i="273"/>
  <c r="D8" i="273"/>
  <c r="E8" i="273" s="1"/>
  <c r="AL34" i="273" s="1"/>
  <c r="D7" i="273"/>
  <c r="E7" i="273" s="1"/>
  <c r="AL32" i="273" s="1"/>
  <c r="D6" i="273"/>
  <c r="D5" i="273"/>
  <c r="E5" i="273" s="1"/>
  <c r="D4" i="273"/>
  <c r="A1" i="271"/>
  <c r="D2" i="271"/>
  <c r="E2" i="272"/>
  <c r="D3" i="272" s="1"/>
  <c r="E2" i="269"/>
  <c r="B18" i="260"/>
  <c r="D2" i="268"/>
  <c r="C61" i="272"/>
  <c r="C48" i="272"/>
  <c r="D11" i="272"/>
  <c r="D10" i="272"/>
  <c r="C8" i="272"/>
  <c r="D10" i="270"/>
  <c r="D11" i="270"/>
  <c r="AL69" i="270" s="1"/>
  <c r="D8" i="270"/>
  <c r="D7" i="270"/>
  <c r="D6" i="270"/>
  <c r="D5" i="270"/>
  <c r="D4" i="270"/>
  <c r="A1" i="268"/>
  <c r="D101" i="272" l="1"/>
  <c r="D100" i="272"/>
  <c r="D102" i="272"/>
  <c r="D95" i="272"/>
  <c r="D90" i="272"/>
  <c r="D103" i="272"/>
  <c r="D93" i="272"/>
  <c r="D98" i="272"/>
  <c r="D92" i="272"/>
  <c r="D97" i="272"/>
  <c r="D91" i="272"/>
  <c r="D96" i="272"/>
  <c r="AL39" i="273"/>
  <c r="AL30" i="273"/>
  <c r="AL48" i="273"/>
  <c r="D100" i="278"/>
  <c r="D103" i="278"/>
  <c r="D102" i="278"/>
  <c r="D101" i="278"/>
  <c r="D98" i="278"/>
  <c r="D93" i="278"/>
  <c r="D97" i="278"/>
  <c r="D92" i="278"/>
  <c r="D96" i="278"/>
  <c r="D91" i="278"/>
  <c r="D95" i="278"/>
  <c r="D90" i="278"/>
  <c r="AL70" i="279"/>
  <c r="AL61" i="279"/>
  <c r="AL39" i="279"/>
  <c r="AL48" i="279"/>
  <c r="AL30" i="279"/>
  <c r="AL44" i="273"/>
  <c r="AL53" i="273"/>
  <c r="AL53" i="279"/>
  <c r="AL44" i="279"/>
  <c r="AL44" i="270"/>
  <c r="AL53" i="270"/>
  <c r="AL61" i="273"/>
  <c r="AL70" i="273"/>
  <c r="D108" i="272"/>
  <c r="D105" i="272"/>
  <c r="D107" i="272"/>
  <c r="D106" i="272"/>
  <c r="D106" i="278"/>
  <c r="D107" i="278"/>
  <c r="D108" i="278"/>
  <c r="D105" i="278"/>
  <c r="D151" i="278"/>
  <c r="D150" i="278"/>
  <c r="D151" i="272"/>
  <c r="D150" i="272"/>
  <c r="D151" i="329"/>
  <c r="D150" i="329"/>
  <c r="F11" i="303"/>
  <c r="F11" i="306"/>
  <c r="F11" i="310"/>
  <c r="E10" i="278"/>
  <c r="AK34" i="279"/>
  <c r="AK32" i="279"/>
  <c r="AK69" i="270"/>
  <c r="AK69" i="279"/>
  <c r="AK32" i="273"/>
  <c r="AK34" i="273"/>
  <c r="E6" i="273"/>
  <c r="C55" i="273" s="1"/>
  <c r="B311" i="261"/>
  <c r="D771" i="261"/>
  <c r="L42" i="260"/>
  <c r="AK44" i="273"/>
  <c r="AK53" i="273"/>
  <c r="C23" i="277"/>
  <c r="C24" i="277"/>
  <c r="AK39" i="270"/>
  <c r="AK48" i="270"/>
  <c r="AK30" i="270"/>
  <c r="Z69" i="273"/>
  <c r="AK69" i="273"/>
  <c r="AK70" i="273"/>
  <c r="AK61" i="273"/>
  <c r="C23" i="271"/>
  <c r="C24" i="271"/>
  <c r="C24" i="268"/>
  <c r="C23" i="268"/>
  <c r="AK44" i="270"/>
  <c r="AK53" i="270"/>
  <c r="AK39" i="279"/>
  <c r="AK30" i="279"/>
  <c r="AK48" i="279"/>
  <c r="AK61" i="279"/>
  <c r="AK70" i="279"/>
  <c r="E39" i="273"/>
  <c r="AK30" i="273"/>
  <c r="AK48" i="273"/>
  <c r="AK39" i="273"/>
  <c r="AK44" i="279"/>
  <c r="AK53" i="279"/>
  <c r="P69" i="273"/>
  <c r="O48" i="273"/>
  <c r="U48" i="273"/>
  <c r="X69" i="273"/>
  <c r="E11" i="272"/>
  <c r="E10" i="272"/>
  <c r="B326" i="261"/>
  <c r="E54" i="261"/>
  <c r="F5" i="261"/>
  <c r="B4" i="218"/>
  <c r="AC34" i="273"/>
  <c r="AG34" i="273"/>
  <c r="AH34" i="273"/>
  <c r="AI34" i="273"/>
  <c r="AJ34" i="273"/>
  <c r="AF34" i="273"/>
  <c r="AJ39" i="273"/>
  <c r="AH48" i="273"/>
  <c r="AI48" i="273"/>
  <c r="AF30" i="273"/>
  <c r="AJ48" i="273"/>
  <c r="AG30" i="273"/>
  <c r="AH30" i="273"/>
  <c r="AF39" i="273"/>
  <c r="AI30" i="273"/>
  <c r="AG39" i="273"/>
  <c r="AI39" i="273"/>
  <c r="AG48" i="273"/>
  <c r="AJ30" i="273"/>
  <c r="AH39" i="273"/>
  <c r="AF48" i="273"/>
  <c r="M48" i="273"/>
  <c r="T30" i="273"/>
  <c r="AC48" i="273"/>
  <c r="R30" i="273"/>
  <c r="O30" i="273"/>
  <c r="AE39" i="273"/>
  <c r="D30" i="273"/>
  <c r="AC39" i="273"/>
  <c r="AF44" i="273"/>
  <c r="AG44" i="273"/>
  <c r="AH44" i="273"/>
  <c r="AF53" i="273"/>
  <c r="AI44" i="273"/>
  <c r="AG53" i="273"/>
  <c r="AJ44" i="273"/>
  <c r="AH53" i="273"/>
  <c r="AJ53" i="273"/>
  <c r="AI53" i="273"/>
  <c r="W44" i="273"/>
  <c r="M44" i="273"/>
  <c r="G44" i="273"/>
  <c r="Y53" i="273"/>
  <c r="E44" i="273"/>
  <c r="S53" i="273"/>
  <c r="Q53" i="273"/>
  <c r="S34" i="279"/>
  <c r="AI34" i="279"/>
  <c r="AJ34" i="279"/>
  <c r="AF34" i="279"/>
  <c r="AH34" i="279"/>
  <c r="AG34" i="279"/>
  <c r="AJ30" i="270"/>
  <c r="AI39" i="270"/>
  <c r="AG48" i="270"/>
  <c r="AJ39" i="270"/>
  <c r="AH48" i="270"/>
  <c r="AI48" i="270"/>
  <c r="AJ48" i="270"/>
  <c r="AF30" i="270"/>
  <c r="AG30" i="270"/>
  <c r="AF39" i="270"/>
  <c r="AI30" i="270"/>
  <c r="AH39" i="270"/>
  <c r="AF48" i="270"/>
  <c r="AH30" i="270"/>
  <c r="AG39" i="270"/>
  <c r="F61" i="273"/>
  <c r="AH61" i="273"/>
  <c r="AJ70" i="273"/>
  <c r="AI61" i="273"/>
  <c r="AJ61" i="273"/>
  <c r="AF70" i="273"/>
  <c r="AG70" i="273"/>
  <c r="AG61" i="273"/>
  <c r="AI70" i="273"/>
  <c r="AF61" i="273"/>
  <c r="AH70" i="273"/>
  <c r="AG69" i="273"/>
  <c r="AH69" i="273"/>
  <c r="AI69" i="273"/>
  <c r="AJ69" i="273"/>
  <c r="AF69" i="273"/>
  <c r="J30" i="279"/>
  <c r="AF30" i="279"/>
  <c r="AJ48" i="279"/>
  <c r="AG30" i="279"/>
  <c r="AH30" i="279"/>
  <c r="AF39" i="279"/>
  <c r="AI30" i="279"/>
  <c r="AG39" i="279"/>
  <c r="AJ30" i="279"/>
  <c r="AH39" i="279"/>
  <c r="AF48" i="279"/>
  <c r="AI39" i="279"/>
  <c r="AG48" i="279"/>
  <c r="AI48" i="279"/>
  <c r="AJ39" i="279"/>
  <c r="AH48" i="279"/>
  <c r="AH69" i="270"/>
  <c r="AI69" i="270"/>
  <c r="AJ69" i="270"/>
  <c r="AG69" i="270"/>
  <c r="AF69" i="270"/>
  <c r="F4" i="261"/>
  <c r="D54" i="261"/>
  <c r="B3" i="218"/>
  <c r="AG44" i="279"/>
  <c r="AH44" i="279"/>
  <c r="AF53" i="279"/>
  <c r="AI44" i="279"/>
  <c r="AG53" i="279"/>
  <c r="AJ44" i="279"/>
  <c r="AH53" i="279"/>
  <c r="AI53" i="279"/>
  <c r="AJ53" i="279"/>
  <c r="AF44" i="279"/>
  <c r="AG32" i="273"/>
  <c r="AH32" i="273"/>
  <c r="AI32" i="273"/>
  <c r="AJ32" i="273"/>
  <c r="AF32" i="273"/>
  <c r="AH69" i="279"/>
  <c r="AI69" i="279"/>
  <c r="AJ69" i="279"/>
  <c r="AG69" i="279"/>
  <c r="AF69" i="279"/>
  <c r="AJ53" i="270"/>
  <c r="AF44" i="270"/>
  <c r="AG44" i="270"/>
  <c r="AH44" i="270"/>
  <c r="AF53" i="270"/>
  <c r="AI44" i="270"/>
  <c r="AG53" i="270"/>
  <c r="AI53" i="270"/>
  <c r="AJ44" i="270"/>
  <c r="AH53" i="270"/>
  <c r="AI61" i="279"/>
  <c r="AJ61" i="279"/>
  <c r="AF70" i="279"/>
  <c r="AG70" i="279"/>
  <c r="AF61" i="279"/>
  <c r="AH70" i="279"/>
  <c r="AH61" i="279"/>
  <c r="AJ70" i="279"/>
  <c r="AI70" i="279"/>
  <c r="AG61" i="279"/>
  <c r="AI32" i="279"/>
  <c r="AJ32" i="279"/>
  <c r="AF32" i="279"/>
  <c r="AH32" i="279"/>
  <c r="AG32" i="279"/>
  <c r="F2" i="277"/>
  <c r="E11" i="278"/>
  <c r="AA70" i="279"/>
  <c r="S70" i="279"/>
  <c r="K70" i="279"/>
  <c r="AA61" i="279"/>
  <c r="S61" i="279"/>
  <c r="K61" i="279"/>
  <c r="Z70" i="279"/>
  <c r="R70" i="279"/>
  <c r="J70" i="279"/>
  <c r="Z61" i="279"/>
  <c r="R61" i="279"/>
  <c r="J61" i="279"/>
  <c r="Y70" i="279"/>
  <c r="Q70" i="279"/>
  <c r="I70" i="279"/>
  <c r="Y61" i="279"/>
  <c r="Q61" i="279"/>
  <c r="I61" i="279"/>
  <c r="X70" i="279"/>
  <c r="P70" i="279"/>
  <c r="H70" i="279"/>
  <c r="X61" i="279"/>
  <c r="P61" i="279"/>
  <c r="H61" i="279"/>
  <c r="AE70" i="279"/>
  <c r="W70" i="279"/>
  <c r="O70" i="279"/>
  <c r="G70" i="279"/>
  <c r="AE61" i="279"/>
  <c r="W61" i="279"/>
  <c r="O61" i="279"/>
  <c r="G61" i="279"/>
  <c r="AD70" i="279"/>
  <c r="V70" i="279"/>
  <c r="N70" i="279"/>
  <c r="F70" i="279"/>
  <c r="AD61" i="279"/>
  <c r="V61" i="279"/>
  <c r="N61" i="279"/>
  <c r="F61" i="279"/>
  <c r="AC70" i="279"/>
  <c r="U70" i="279"/>
  <c r="M70" i="279"/>
  <c r="E70" i="279"/>
  <c r="AC61" i="279"/>
  <c r="U61" i="279"/>
  <c r="M61" i="279"/>
  <c r="E61" i="279"/>
  <c r="AB70" i="279"/>
  <c r="T70" i="279"/>
  <c r="L70" i="279"/>
  <c r="D70" i="279"/>
  <c r="AB61" i="279"/>
  <c r="T61" i="279"/>
  <c r="L61" i="279"/>
  <c r="D61" i="279"/>
  <c r="AB32" i="279"/>
  <c r="T32" i="279"/>
  <c r="L32" i="279"/>
  <c r="D32" i="279"/>
  <c r="Z32" i="279"/>
  <c r="R32" i="279"/>
  <c r="J32" i="279"/>
  <c r="Y32" i="279"/>
  <c r="Q32" i="279"/>
  <c r="I32" i="279"/>
  <c r="X32" i="279"/>
  <c r="P32" i="279"/>
  <c r="H32" i="279"/>
  <c r="AE32" i="279"/>
  <c r="W32" i="279"/>
  <c r="O32" i="279"/>
  <c r="G32" i="279"/>
  <c r="AC32" i="279"/>
  <c r="U32" i="279"/>
  <c r="M32" i="279"/>
  <c r="E32" i="279"/>
  <c r="F32" i="279"/>
  <c r="AD32" i="279"/>
  <c r="AA32" i="279"/>
  <c r="V32" i="279"/>
  <c r="S32" i="279"/>
  <c r="N32" i="279"/>
  <c r="K32" i="279"/>
  <c r="G30" i="279"/>
  <c r="AB34" i="279"/>
  <c r="T34" i="279"/>
  <c r="L34" i="279"/>
  <c r="D34" i="279"/>
  <c r="Z34" i="279"/>
  <c r="R34" i="279"/>
  <c r="J34" i="279"/>
  <c r="Y34" i="279"/>
  <c r="Q34" i="279"/>
  <c r="I34" i="279"/>
  <c r="X34" i="279"/>
  <c r="P34" i="279"/>
  <c r="H34" i="279"/>
  <c r="AE34" i="279"/>
  <c r="W34" i="279"/>
  <c r="O34" i="279"/>
  <c r="G34" i="279"/>
  <c r="AC34" i="279"/>
  <c r="U34" i="279"/>
  <c r="M34" i="279"/>
  <c r="E34" i="279"/>
  <c r="V34" i="279"/>
  <c r="AB48" i="279"/>
  <c r="T48" i="279"/>
  <c r="L48" i="279"/>
  <c r="D48" i="279"/>
  <c r="AB39" i="279"/>
  <c r="T39" i="279"/>
  <c r="L39" i="279"/>
  <c r="D39" i="279"/>
  <c r="AB30" i="279"/>
  <c r="T30" i="279"/>
  <c r="L30" i="279"/>
  <c r="D30" i="279"/>
  <c r="AA48" i="279"/>
  <c r="S48" i="279"/>
  <c r="K48" i="279"/>
  <c r="AA39" i="279"/>
  <c r="Z48" i="279"/>
  <c r="R48" i="279"/>
  <c r="J48" i="279"/>
  <c r="Z39" i="279"/>
  <c r="R39" i="279"/>
  <c r="J39" i="279"/>
  <c r="Z30" i="279"/>
  <c r="R30" i="279"/>
  <c r="Y48" i="279"/>
  <c r="Q48" i="279"/>
  <c r="I48" i="279"/>
  <c r="Y39" i="279"/>
  <c r="Q39" i="279"/>
  <c r="I39" i="279"/>
  <c r="Y30" i="279"/>
  <c r="Q30" i="279"/>
  <c r="I30" i="279"/>
  <c r="X48" i="279"/>
  <c r="P48" i="279"/>
  <c r="H48" i="279"/>
  <c r="X39" i="279"/>
  <c r="P39" i="279"/>
  <c r="H39" i="279"/>
  <c r="X30" i="279"/>
  <c r="P30" i="279"/>
  <c r="H30" i="279"/>
  <c r="AE48" i="279"/>
  <c r="W48" i="279"/>
  <c r="O48" i="279"/>
  <c r="G48" i="279"/>
  <c r="AE39" i="279"/>
  <c r="W39" i="279"/>
  <c r="O39" i="279"/>
  <c r="G39" i="279"/>
  <c r="AE30" i="279"/>
  <c r="W30" i="279"/>
  <c r="O30" i="279"/>
  <c r="AD48" i="279"/>
  <c r="V48" i="279"/>
  <c r="N48" i="279"/>
  <c r="F48" i="279"/>
  <c r="AD39" i="279"/>
  <c r="AC48" i="279"/>
  <c r="U48" i="279"/>
  <c r="M48" i="279"/>
  <c r="E48" i="279"/>
  <c r="AC39" i="279"/>
  <c r="U39" i="279"/>
  <c r="M39" i="279"/>
  <c r="E39" i="279"/>
  <c r="AC30" i="279"/>
  <c r="U30" i="279"/>
  <c r="M30" i="279"/>
  <c r="E30" i="279"/>
  <c r="K30" i="279"/>
  <c r="AA34" i="279"/>
  <c r="X53" i="279"/>
  <c r="P53" i="279"/>
  <c r="H53" i="279"/>
  <c r="AB44" i="279"/>
  <c r="T44" i="279"/>
  <c r="L44" i="279"/>
  <c r="D44" i="279"/>
  <c r="AE53" i="279"/>
  <c r="W53" i="279"/>
  <c r="O53" i="279"/>
  <c r="G53" i="279"/>
  <c r="AA44" i="279"/>
  <c r="S44" i="279"/>
  <c r="K44" i="279"/>
  <c r="AD53" i="279"/>
  <c r="V53" i="279"/>
  <c r="N53" i="279"/>
  <c r="F53" i="279"/>
  <c r="Z44" i="279"/>
  <c r="R44" i="279"/>
  <c r="J44" i="279"/>
  <c r="AC53" i="279"/>
  <c r="U53" i="279"/>
  <c r="M53" i="279"/>
  <c r="E53" i="279"/>
  <c r="Y44" i="279"/>
  <c r="Q44" i="279"/>
  <c r="I44" i="279"/>
  <c r="AB53" i="279"/>
  <c r="T53" i="279"/>
  <c r="L53" i="279"/>
  <c r="D53" i="279"/>
  <c r="X44" i="279"/>
  <c r="P44" i="279"/>
  <c r="H44" i="279"/>
  <c r="AA53" i="279"/>
  <c r="S53" i="279"/>
  <c r="K53" i="279"/>
  <c r="AE44" i="279"/>
  <c r="W44" i="279"/>
  <c r="O44" i="279"/>
  <c r="G44" i="279"/>
  <c r="Z53" i="279"/>
  <c r="R53" i="279"/>
  <c r="J53" i="279"/>
  <c r="AD44" i="279"/>
  <c r="V44" i="279"/>
  <c r="N44" i="279"/>
  <c r="F44" i="279"/>
  <c r="Y53" i="279"/>
  <c r="Q53" i="279"/>
  <c r="I53" i="279"/>
  <c r="AC44" i="279"/>
  <c r="U44" i="279"/>
  <c r="M44" i="279"/>
  <c r="E44" i="279"/>
  <c r="N30" i="279"/>
  <c r="AD34" i="279"/>
  <c r="F39" i="279"/>
  <c r="AE69" i="279"/>
  <c r="W69" i="279"/>
  <c r="O69" i="279"/>
  <c r="G69" i="279"/>
  <c r="AD69" i="279"/>
  <c r="V69" i="279"/>
  <c r="N69" i="279"/>
  <c r="F69" i="279"/>
  <c r="AC69" i="279"/>
  <c r="U69" i="279"/>
  <c r="M69" i="279"/>
  <c r="E69" i="279"/>
  <c r="AB69" i="279"/>
  <c r="T69" i="279"/>
  <c r="L69" i="279"/>
  <c r="D69" i="279"/>
  <c r="AA69" i="279"/>
  <c r="S69" i="279"/>
  <c r="K69" i="279"/>
  <c r="Z69" i="279"/>
  <c r="R69" i="279"/>
  <c r="J69" i="279"/>
  <c r="Y69" i="279"/>
  <c r="Q69" i="279"/>
  <c r="I69" i="279"/>
  <c r="X69" i="279"/>
  <c r="P69" i="279"/>
  <c r="H69" i="279"/>
  <c r="S30" i="279"/>
  <c r="K39" i="279"/>
  <c r="V30" i="279"/>
  <c r="F34" i="279"/>
  <c r="N39" i="279"/>
  <c r="AA30" i="279"/>
  <c r="K34" i="279"/>
  <c r="S39" i="279"/>
  <c r="F30" i="279"/>
  <c r="AD30" i="279"/>
  <c r="N34" i="279"/>
  <c r="V39" i="279"/>
  <c r="W34" i="273"/>
  <c r="E2" i="271"/>
  <c r="AB32" i="273"/>
  <c r="T32" i="273"/>
  <c r="L32" i="273"/>
  <c r="D32" i="273"/>
  <c r="AA32" i="273"/>
  <c r="S32" i="273"/>
  <c r="K32" i="273"/>
  <c r="Z32" i="273"/>
  <c r="R32" i="273"/>
  <c r="J32" i="273"/>
  <c r="Y32" i="273"/>
  <c r="Q32" i="273"/>
  <c r="I32" i="273"/>
  <c r="X32" i="273"/>
  <c r="P32" i="273"/>
  <c r="H32" i="273"/>
  <c r="AD32" i="273"/>
  <c r="V32" i="273"/>
  <c r="N32" i="273"/>
  <c r="F32" i="273"/>
  <c r="G32" i="273"/>
  <c r="E32" i="273"/>
  <c r="AE32" i="273"/>
  <c r="AC32" i="273"/>
  <c r="W32" i="273"/>
  <c r="U32" i="273"/>
  <c r="O32" i="273"/>
  <c r="M32" i="273"/>
  <c r="AA70" i="273"/>
  <c r="S70" i="273"/>
  <c r="K70" i="273"/>
  <c r="AA61" i="273"/>
  <c r="S61" i="273"/>
  <c r="K61" i="273"/>
  <c r="Z70" i="273"/>
  <c r="R70" i="273"/>
  <c r="J70" i="273"/>
  <c r="Z61" i="273"/>
  <c r="R61" i="273"/>
  <c r="J61" i="273"/>
  <c r="Y70" i="273"/>
  <c r="Q70" i="273"/>
  <c r="I70" i="273"/>
  <c r="Y61" i="273"/>
  <c r="Q61" i="273"/>
  <c r="I61" i="273"/>
  <c r="X70" i="273"/>
  <c r="P70" i="273"/>
  <c r="H70" i="273"/>
  <c r="X61" i="273"/>
  <c r="P61" i="273"/>
  <c r="H61" i="273"/>
  <c r="AE70" i="273"/>
  <c r="W70" i="273"/>
  <c r="O70" i="273"/>
  <c r="G70" i="273"/>
  <c r="AE61" i="273"/>
  <c r="W61" i="273"/>
  <c r="O61" i="273"/>
  <c r="G61" i="273"/>
  <c r="AC70" i="273"/>
  <c r="U70" i="273"/>
  <c r="M70" i="273"/>
  <c r="E70" i="273"/>
  <c r="AC61" i="273"/>
  <c r="U61" i="273"/>
  <c r="M61" i="273"/>
  <c r="E61" i="273"/>
  <c r="V70" i="273"/>
  <c r="AD61" i="273"/>
  <c r="T70" i="273"/>
  <c r="AB61" i="273"/>
  <c r="N70" i="273"/>
  <c r="V61" i="273"/>
  <c r="L70" i="273"/>
  <c r="T61" i="273"/>
  <c r="F70" i="273"/>
  <c r="N61" i="273"/>
  <c r="AD70" i="273"/>
  <c r="D61" i="273"/>
  <c r="AB70" i="273"/>
  <c r="D70" i="273"/>
  <c r="L61" i="273"/>
  <c r="U34" i="273"/>
  <c r="AB34" i="273"/>
  <c r="T34" i="273"/>
  <c r="L34" i="273"/>
  <c r="D34" i="273"/>
  <c r="AA34" i="273"/>
  <c r="S34" i="273"/>
  <c r="K34" i="273"/>
  <c r="Z34" i="273"/>
  <c r="R34" i="273"/>
  <c r="J34" i="273"/>
  <c r="Y34" i="273"/>
  <c r="Q34" i="273"/>
  <c r="I34" i="273"/>
  <c r="X34" i="273"/>
  <c r="P34" i="273"/>
  <c r="H34" i="273"/>
  <c r="AD34" i="273"/>
  <c r="V34" i="273"/>
  <c r="N34" i="273"/>
  <c r="F34" i="273"/>
  <c r="O34" i="273"/>
  <c r="M34" i="273"/>
  <c r="G34" i="273"/>
  <c r="E34" i="273"/>
  <c r="AE34" i="273"/>
  <c r="E30" i="273"/>
  <c r="U30" i="273"/>
  <c r="G39" i="273"/>
  <c r="O44" i="273"/>
  <c r="W48" i="273"/>
  <c r="AA53" i="273"/>
  <c r="G30" i="273"/>
  <c r="W30" i="273"/>
  <c r="M39" i="273"/>
  <c r="U44" i="273"/>
  <c r="H69" i="273"/>
  <c r="AB48" i="273"/>
  <c r="T48" i="273"/>
  <c r="L48" i="273"/>
  <c r="D48" i="273"/>
  <c r="AB39" i="273"/>
  <c r="T39" i="273"/>
  <c r="L39" i="273"/>
  <c r="D39" i="273"/>
  <c r="AA48" i="273"/>
  <c r="S48" i="273"/>
  <c r="K48" i="273"/>
  <c r="AA39" i="273"/>
  <c r="S39" i="273"/>
  <c r="K39" i="273"/>
  <c r="AA30" i="273"/>
  <c r="S30" i="273"/>
  <c r="K30" i="273"/>
  <c r="Z48" i="273"/>
  <c r="R48" i="273"/>
  <c r="J48" i="273"/>
  <c r="Z39" i="273"/>
  <c r="R39" i="273"/>
  <c r="J39" i="273"/>
  <c r="Z30" i="273"/>
  <c r="Y48" i="273"/>
  <c r="Q48" i="273"/>
  <c r="I48" i="273"/>
  <c r="Y39" i="273"/>
  <c r="Q39" i="273"/>
  <c r="I39" i="273"/>
  <c r="Y30" i="273"/>
  <c r="Q30" i="273"/>
  <c r="I30" i="273"/>
  <c r="X48" i="273"/>
  <c r="P48" i="273"/>
  <c r="H48" i="273"/>
  <c r="X39" i="273"/>
  <c r="P39" i="273"/>
  <c r="H39" i="273"/>
  <c r="X30" i="273"/>
  <c r="P30" i="273"/>
  <c r="H30" i="273"/>
  <c r="AD48" i="273"/>
  <c r="V48" i="273"/>
  <c r="N48" i="273"/>
  <c r="F48" i="273"/>
  <c r="AD39" i="273"/>
  <c r="V39" i="273"/>
  <c r="N39" i="273"/>
  <c r="F39" i="273"/>
  <c r="AD30" i="273"/>
  <c r="V30" i="273"/>
  <c r="N30" i="273"/>
  <c r="F30" i="273"/>
  <c r="J30" i="273"/>
  <c r="AB30" i="273"/>
  <c r="O39" i="273"/>
  <c r="AE48" i="273"/>
  <c r="J69" i="273"/>
  <c r="X53" i="273"/>
  <c r="P53" i="273"/>
  <c r="H53" i="273"/>
  <c r="AB44" i="273"/>
  <c r="T44" i="273"/>
  <c r="L44" i="273"/>
  <c r="D44" i="273"/>
  <c r="AE53" i="273"/>
  <c r="W53" i="273"/>
  <c r="O53" i="273"/>
  <c r="G53" i="273"/>
  <c r="AA44" i="273"/>
  <c r="S44" i="273"/>
  <c r="K44" i="273"/>
  <c r="AD53" i="273"/>
  <c r="V53" i="273"/>
  <c r="N53" i="273"/>
  <c r="F53" i="273"/>
  <c r="Z44" i="273"/>
  <c r="R44" i="273"/>
  <c r="J44" i="273"/>
  <c r="AC53" i="273"/>
  <c r="U53" i="273"/>
  <c r="M53" i="273"/>
  <c r="E53" i="273"/>
  <c r="Y44" i="273"/>
  <c r="Q44" i="273"/>
  <c r="I44" i="273"/>
  <c r="AB53" i="273"/>
  <c r="T53" i="273"/>
  <c r="L53" i="273"/>
  <c r="D53" i="273"/>
  <c r="X44" i="273"/>
  <c r="P44" i="273"/>
  <c r="H44" i="273"/>
  <c r="Z53" i="273"/>
  <c r="R53" i="273"/>
  <c r="J53" i="273"/>
  <c r="AD44" i="273"/>
  <c r="V44" i="273"/>
  <c r="N44" i="273"/>
  <c r="F44" i="273"/>
  <c r="L30" i="273"/>
  <c r="AC30" i="273"/>
  <c r="U39" i="273"/>
  <c r="AC44" i="273"/>
  <c r="E48" i="273"/>
  <c r="I53" i="273"/>
  <c r="AE69" i="273"/>
  <c r="W69" i="273"/>
  <c r="O69" i="273"/>
  <c r="G69" i="273"/>
  <c r="AD69" i="273"/>
  <c r="V69" i="273"/>
  <c r="N69" i="273"/>
  <c r="F69" i="273"/>
  <c r="AC69" i="273"/>
  <c r="U69" i="273"/>
  <c r="M69" i="273"/>
  <c r="E69" i="273"/>
  <c r="AB69" i="273"/>
  <c r="T69" i="273"/>
  <c r="L69" i="273"/>
  <c r="D69" i="273"/>
  <c r="AA69" i="273"/>
  <c r="S69" i="273"/>
  <c r="K69" i="273"/>
  <c r="Y69" i="273"/>
  <c r="Q69" i="273"/>
  <c r="I69" i="273"/>
  <c r="M30" i="273"/>
  <c r="AE30" i="273"/>
  <c r="W39" i="273"/>
  <c r="AE44" i="273"/>
  <c r="G48" i="273"/>
  <c r="K53" i="273"/>
  <c r="R69" i="273"/>
  <c r="E7" i="270"/>
  <c r="AL32" i="270" s="1"/>
  <c r="AC48" i="270"/>
  <c r="M48" i="270"/>
  <c r="U44" i="270"/>
  <c r="E44" i="270"/>
  <c r="M39" i="270"/>
  <c r="U30" i="270"/>
  <c r="P30" i="270"/>
  <c r="Y53" i="270"/>
  <c r="AC30" i="270"/>
  <c r="E8" i="270"/>
  <c r="AL34" i="270" s="1"/>
  <c r="E5" i="270"/>
  <c r="C61" i="269"/>
  <c r="C48" i="269"/>
  <c r="D11" i="269"/>
  <c r="D10" i="269"/>
  <c r="C8" i="269"/>
  <c r="D3" i="269"/>
  <c r="C31" i="268"/>
  <c r="C30" i="268"/>
  <c r="C26" i="267"/>
  <c r="B11" i="267"/>
  <c r="B12" i="267"/>
  <c r="B10" i="267"/>
  <c r="B9" i="267"/>
  <c r="B8" i="267"/>
  <c r="B7" i="267"/>
  <c r="D8" i="267" l="1"/>
  <c r="E8" i="267"/>
  <c r="F8" i="267"/>
  <c r="D10" i="267"/>
  <c r="F10" i="267" s="1"/>
  <c r="D6" i="305" s="1"/>
  <c r="D14" i="307" s="1"/>
  <c r="D12" i="267"/>
  <c r="G12" i="267" s="1"/>
  <c r="E12" i="267"/>
  <c r="D11" i="267"/>
  <c r="F11" i="267"/>
  <c r="D6" i="308" s="1"/>
  <c r="D14" i="309" s="1"/>
  <c r="E11" i="267"/>
  <c r="D9" i="267"/>
  <c r="E9" i="267" s="1"/>
  <c r="D7" i="267"/>
  <c r="E7" i="267" s="1"/>
  <c r="AL61" i="270"/>
  <c r="AL70" i="270"/>
  <c r="D103" i="269"/>
  <c r="D100" i="269"/>
  <c r="D102" i="269"/>
  <c r="D101" i="269"/>
  <c r="D97" i="269"/>
  <c r="D95" i="269"/>
  <c r="D90" i="269"/>
  <c r="D92" i="269"/>
  <c r="D96" i="269"/>
  <c r="D93" i="269"/>
  <c r="D91" i="269"/>
  <c r="D98" i="269"/>
  <c r="E44" i="267"/>
  <c r="E39" i="267"/>
  <c r="E45" i="267"/>
  <c r="E67" i="267" s="1"/>
  <c r="F45" i="267"/>
  <c r="E40" i="267"/>
  <c r="E62" i="267" s="1"/>
  <c r="F40" i="267"/>
  <c r="E30" i="267"/>
  <c r="E52" i="267" s="1"/>
  <c r="F44" i="267"/>
  <c r="F39" i="267"/>
  <c r="F29" i="267"/>
  <c r="D10" i="277" s="1"/>
  <c r="F30" i="267"/>
  <c r="E29" i="267"/>
  <c r="D108" i="269"/>
  <c r="D105" i="269"/>
  <c r="D106" i="269"/>
  <c r="D107" i="269"/>
  <c r="D151" i="269"/>
  <c r="D150" i="269"/>
  <c r="F11" i="278"/>
  <c r="F10" i="278"/>
  <c r="G11" i="310"/>
  <c r="G11" i="306"/>
  <c r="F10" i="272"/>
  <c r="F11" i="272"/>
  <c r="G11" i="303"/>
  <c r="E10" i="269"/>
  <c r="AK34" i="270"/>
  <c r="AK32" i="270"/>
  <c r="D60" i="309"/>
  <c r="M42" i="260"/>
  <c r="AK61" i="270"/>
  <c r="AK70" i="270"/>
  <c r="E11" i="269"/>
  <c r="D6" i="268"/>
  <c r="B159" i="261"/>
  <c r="B625" i="261"/>
  <c r="B158" i="261"/>
  <c r="B624" i="261"/>
  <c r="AG61" i="270"/>
  <c r="AH61" i="270"/>
  <c r="AI61" i="270"/>
  <c r="AJ61" i="270"/>
  <c r="AF70" i="270"/>
  <c r="AG70" i="270"/>
  <c r="AH70" i="270"/>
  <c r="AF61" i="270"/>
  <c r="AJ70" i="270"/>
  <c r="AI70" i="270"/>
  <c r="S34" i="270"/>
  <c r="AF34" i="270"/>
  <c r="AG34" i="270"/>
  <c r="AH34" i="270"/>
  <c r="AI34" i="270"/>
  <c r="AJ34" i="270"/>
  <c r="AC32" i="270"/>
  <c r="AF32" i="270"/>
  <c r="AG32" i="270"/>
  <c r="AH32" i="270"/>
  <c r="AI32" i="270"/>
  <c r="AJ32" i="270"/>
  <c r="G2" i="267"/>
  <c r="G11" i="267" s="1"/>
  <c r="D1" i="270"/>
  <c r="D21" i="270" s="1"/>
  <c r="D1" i="273"/>
  <c r="D1" i="279"/>
  <c r="G2" i="277"/>
  <c r="E3" i="269"/>
  <c r="F2" i="271"/>
  <c r="X32" i="270"/>
  <c r="E2" i="268"/>
  <c r="AE69" i="270"/>
  <c r="W69" i="270"/>
  <c r="O69" i="270"/>
  <c r="G69" i="270"/>
  <c r="AD69" i="270"/>
  <c r="V69" i="270"/>
  <c r="N69" i="270"/>
  <c r="F69" i="270"/>
  <c r="AC69" i="270"/>
  <c r="U69" i="270"/>
  <c r="M69" i="270"/>
  <c r="E69" i="270"/>
  <c r="AB69" i="270"/>
  <c r="T69" i="270"/>
  <c r="L69" i="270"/>
  <c r="D69" i="270"/>
  <c r="AA69" i="270"/>
  <c r="S69" i="270"/>
  <c r="K69" i="270"/>
  <c r="Z69" i="270"/>
  <c r="R69" i="270"/>
  <c r="J69" i="270"/>
  <c r="Y69" i="270"/>
  <c r="Q69" i="270"/>
  <c r="I69" i="270"/>
  <c r="P69" i="270"/>
  <c r="H69" i="270"/>
  <c r="X69" i="270"/>
  <c r="H32" i="270"/>
  <c r="AA70" i="270"/>
  <c r="S70" i="270"/>
  <c r="K70" i="270"/>
  <c r="AA61" i="270"/>
  <c r="S61" i="270"/>
  <c r="K61" i="270"/>
  <c r="Z70" i="270"/>
  <c r="R70" i="270"/>
  <c r="J70" i="270"/>
  <c r="Z61" i="270"/>
  <c r="R61" i="270"/>
  <c r="J61" i="270"/>
  <c r="Y70" i="270"/>
  <c r="Q70" i="270"/>
  <c r="I70" i="270"/>
  <c r="Y61" i="270"/>
  <c r="Q61" i="270"/>
  <c r="I61" i="270"/>
  <c r="X70" i="270"/>
  <c r="P70" i="270"/>
  <c r="H70" i="270"/>
  <c r="X61" i="270"/>
  <c r="P61" i="270"/>
  <c r="H61" i="270"/>
  <c r="AE70" i="270"/>
  <c r="W70" i="270"/>
  <c r="O70" i="270"/>
  <c r="G70" i="270"/>
  <c r="AE61" i="270"/>
  <c r="W61" i="270"/>
  <c r="O61" i="270"/>
  <c r="G61" i="270"/>
  <c r="AD70" i="270"/>
  <c r="V70" i="270"/>
  <c r="N70" i="270"/>
  <c r="F70" i="270"/>
  <c r="AD61" i="270"/>
  <c r="V61" i="270"/>
  <c r="N61" i="270"/>
  <c r="F61" i="270"/>
  <c r="AC70" i="270"/>
  <c r="U70" i="270"/>
  <c r="M70" i="270"/>
  <c r="E70" i="270"/>
  <c r="AC61" i="270"/>
  <c r="U61" i="270"/>
  <c r="M61" i="270"/>
  <c r="E61" i="270"/>
  <c r="AB61" i="270"/>
  <c r="T61" i="270"/>
  <c r="L61" i="270"/>
  <c r="AB70" i="270"/>
  <c r="D61" i="270"/>
  <c r="T70" i="270"/>
  <c r="D70" i="270"/>
  <c r="E6" i="270"/>
  <c r="C55" i="270" s="1"/>
  <c r="AB32" i="270"/>
  <c r="T32" i="270"/>
  <c r="L32" i="270"/>
  <c r="D32" i="270"/>
  <c r="Z32" i="270"/>
  <c r="R32" i="270"/>
  <c r="J32" i="270"/>
  <c r="Y32" i="270"/>
  <c r="Q32" i="270"/>
  <c r="I32" i="270"/>
  <c r="AE32" i="270"/>
  <c r="W32" i="270"/>
  <c r="O32" i="270"/>
  <c r="G32" i="270"/>
  <c r="AD32" i="270"/>
  <c r="V32" i="270"/>
  <c r="N32" i="270"/>
  <c r="F32" i="270"/>
  <c r="U32" i="270"/>
  <c r="S32" i="270"/>
  <c r="P32" i="270"/>
  <c r="M32" i="270"/>
  <c r="K32" i="270"/>
  <c r="AA32" i="270"/>
  <c r="E32" i="270"/>
  <c r="AB34" i="270"/>
  <c r="T34" i="270"/>
  <c r="L34" i="270"/>
  <c r="D34" i="270"/>
  <c r="Z34" i="270"/>
  <c r="R34" i="270"/>
  <c r="J34" i="270"/>
  <c r="Y34" i="270"/>
  <c r="Q34" i="270"/>
  <c r="I34" i="270"/>
  <c r="X34" i="270"/>
  <c r="P34" i="270"/>
  <c r="H34" i="270"/>
  <c r="AE34" i="270"/>
  <c r="W34" i="270"/>
  <c r="O34" i="270"/>
  <c r="G34" i="270"/>
  <c r="AD34" i="270"/>
  <c r="V34" i="270"/>
  <c r="N34" i="270"/>
  <c r="F34" i="270"/>
  <c r="M34" i="270"/>
  <c r="K34" i="270"/>
  <c r="E34" i="270"/>
  <c r="AC34" i="270"/>
  <c r="U34" i="270"/>
  <c r="AA34" i="270"/>
  <c r="L70" i="270"/>
  <c r="S30" i="270"/>
  <c r="E39" i="270"/>
  <c r="M44" i="270"/>
  <c r="U48" i="270"/>
  <c r="X30" i="270"/>
  <c r="U39" i="270"/>
  <c r="AC44" i="270"/>
  <c r="I53" i="270"/>
  <c r="E30" i="270"/>
  <c r="AA30" i="270"/>
  <c r="AC39" i="270"/>
  <c r="Q53" i="270"/>
  <c r="H30" i="270"/>
  <c r="AB48" i="270"/>
  <c r="T48" i="270"/>
  <c r="L48" i="270"/>
  <c r="D48" i="270"/>
  <c r="AB39" i="270"/>
  <c r="T39" i="270"/>
  <c r="L39" i="270"/>
  <c r="D39" i="270"/>
  <c r="AB30" i="270"/>
  <c r="T30" i="270"/>
  <c r="L30" i="270"/>
  <c r="D30" i="270"/>
  <c r="AA48" i="270"/>
  <c r="S48" i="270"/>
  <c r="K48" i="270"/>
  <c r="AA39" i="270"/>
  <c r="S39" i="270"/>
  <c r="K39" i="270"/>
  <c r="Z48" i="270"/>
  <c r="R48" i="270"/>
  <c r="J48" i="270"/>
  <c r="Z39" i="270"/>
  <c r="R39" i="270"/>
  <c r="J39" i="270"/>
  <c r="Z30" i="270"/>
  <c r="R30" i="270"/>
  <c r="J30" i="270"/>
  <c r="Y48" i="270"/>
  <c r="Q48" i="270"/>
  <c r="I48" i="270"/>
  <c r="Y39" i="270"/>
  <c r="Q39" i="270"/>
  <c r="I39" i="270"/>
  <c r="Y30" i="270"/>
  <c r="Q30" i="270"/>
  <c r="I30" i="270"/>
  <c r="X48" i="270"/>
  <c r="P48" i="270"/>
  <c r="H48" i="270"/>
  <c r="X39" i="270"/>
  <c r="P39" i="270"/>
  <c r="H39" i="270"/>
  <c r="AE48" i="270"/>
  <c r="W48" i="270"/>
  <c r="O48" i="270"/>
  <c r="G48" i="270"/>
  <c r="AE39" i="270"/>
  <c r="W39" i="270"/>
  <c r="O39" i="270"/>
  <c r="G39" i="270"/>
  <c r="AE30" i="270"/>
  <c r="W30" i="270"/>
  <c r="O30" i="270"/>
  <c r="G30" i="270"/>
  <c r="AD48" i="270"/>
  <c r="V48" i="270"/>
  <c r="N48" i="270"/>
  <c r="F48" i="270"/>
  <c r="AD39" i="270"/>
  <c r="V39" i="270"/>
  <c r="N39" i="270"/>
  <c r="F39" i="270"/>
  <c r="AD30" i="270"/>
  <c r="V30" i="270"/>
  <c r="N30" i="270"/>
  <c r="F30" i="270"/>
  <c r="K30" i="270"/>
  <c r="X53" i="270"/>
  <c r="P53" i="270"/>
  <c r="H53" i="270"/>
  <c r="AB44" i="270"/>
  <c r="T44" i="270"/>
  <c r="L44" i="270"/>
  <c r="D44" i="270"/>
  <c r="AE53" i="270"/>
  <c r="W53" i="270"/>
  <c r="O53" i="270"/>
  <c r="G53" i="270"/>
  <c r="AA44" i="270"/>
  <c r="S44" i="270"/>
  <c r="K44" i="270"/>
  <c r="AD53" i="270"/>
  <c r="V53" i="270"/>
  <c r="N53" i="270"/>
  <c r="F53" i="270"/>
  <c r="Z44" i="270"/>
  <c r="R44" i="270"/>
  <c r="J44" i="270"/>
  <c r="AC53" i="270"/>
  <c r="U53" i="270"/>
  <c r="M53" i="270"/>
  <c r="E53" i="270"/>
  <c r="Y44" i="270"/>
  <c r="Q44" i="270"/>
  <c r="I44" i="270"/>
  <c r="AB53" i="270"/>
  <c r="T53" i="270"/>
  <c r="L53" i="270"/>
  <c r="D53" i="270"/>
  <c r="X44" i="270"/>
  <c r="P44" i="270"/>
  <c r="H44" i="270"/>
  <c r="AA53" i="270"/>
  <c r="S53" i="270"/>
  <c r="K53" i="270"/>
  <c r="AE44" i="270"/>
  <c r="W44" i="270"/>
  <c r="O44" i="270"/>
  <c r="G44" i="270"/>
  <c r="Z53" i="270"/>
  <c r="R53" i="270"/>
  <c r="J53" i="270"/>
  <c r="AD44" i="270"/>
  <c r="V44" i="270"/>
  <c r="N44" i="270"/>
  <c r="F44" i="270"/>
  <c r="M30" i="270"/>
  <c r="E48" i="270"/>
  <c r="E10" i="267" l="1"/>
  <c r="F9" i="267"/>
  <c r="D6" i="271" s="1"/>
  <c r="F12" i="267"/>
  <c r="D6" i="277" s="1"/>
  <c r="G9" i="267"/>
  <c r="F7" i="267"/>
  <c r="D6" i="302" s="1"/>
  <c r="D14" i="304" s="1"/>
  <c r="G8" i="267"/>
  <c r="G7" i="267"/>
  <c r="E6" i="302" s="1"/>
  <c r="E14" i="304" s="1"/>
  <c r="G10" i="267"/>
  <c r="E6" i="305" s="1"/>
  <c r="E14" i="307" s="1"/>
  <c r="E100" i="269"/>
  <c r="E101" i="269"/>
  <c r="E103" i="269"/>
  <c r="E102" i="269"/>
  <c r="E91" i="269"/>
  <c r="E97" i="269"/>
  <c r="E90" i="269"/>
  <c r="E96" i="269"/>
  <c r="E93" i="269"/>
  <c r="E98" i="269"/>
  <c r="E92" i="269"/>
  <c r="E95" i="269"/>
  <c r="F31" i="267"/>
  <c r="F51" i="267"/>
  <c r="D37" i="308" s="1"/>
  <c r="D40" i="308" s="1"/>
  <c r="D42" i="308" s="1"/>
  <c r="D43" i="308" s="1"/>
  <c r="D44" i="308" s="1"/>
  <c r="D46" i="308" s="1"/>
  <c r="D49" i="308" s="1"/>
  <c r="D10" i="268"/>
  <c r="D15" i="270" s="1"/>
  <c r="G45" i="267"/>
  <c r="E11" i="321" s="1"/>
  <c r="E18" i="322" s="1"/>
  <c r="G30" i="267"/>
  <c r="G39" i="267"/>
  <c r="G41" i="267" s="1"/>
  <c r="G29" i="267"/>
  <c r="G31" i="267" s="1"/>
  <c r="G40" i="267"/>
  <c r="G62" i="267" s="1"/>
  <c r="D10" i="271"/>
  <c r="D15" i="273" s="1"/>
  <c r="D10" i="302"/>
  <c r="D16" i="304" s="1"/>
  <c r="D59" i="304" s="1"/>
  <c r="G44" i="267"/>
  <c r="G46" i="267" s="1"/>
  <c r="D10" i="321"/>
  <c r="D16" i="322" s="1"/>
  <c r="F46" i="267"/>
  <c r="D10" i="327"/>
  <c r="D10" i="324"/>
  <c r="D16" i="325" s="1"/>
  <c r="F66" i="267"/>
  <c r="D10" i="305"/>
  <c r="D15" i="307" s="1"/>
  <c r="D10" i="308"/>
  <c r="D14" i="308" s="1"/>
  <c r="D16" i="308" s="1"/>
  <c r="D17" i="308" s="1"/>
  <c r="D18" i="308" s="1"/>
  <c r="D20" i="308" s="1"/>
  <c r="D25" i="308" s="1"/>
  <c r="E41" i="267"/>
  <c r="E61" i="267"/>
  <c r="D11" i="302"/>
  <c r="D17" i="304" s="1"/>
  <c r="D11" i="277"/>
  <c r="D17" i="279" s="1"/>
  <c r="D11" i="308"/>
  <c r="D17" i="309" s="1"/>
  <c r="D11" i="268"/>
  <c r="D17" i="270" s="1"/>
  <c r="F52" i="267"/>
  <c r="D11" i="324"/>
  <c r="D18" i="325" s="1"/>
  <c r="D11" i="327"/>
  <c r="D18" i="328" s="1"/>
  <c r="D11" i="321"/>
  <c r="D18" i="322" s="1"/>
  <c r="F67" i="267"/>
  <c r="D10" i="315"/>
  <c r="D16" i="316" s="1"/>
  <c r="D10" i="312"/>
  <c r="D10" i="318"/>
  <c r="D16" i="319" s="1"/>
  <c r="F41" i="267"/>
  <c r="F61" i="267"/>
  <c r="E46" i="267"/>
  <c r="E66" i="267"/>
  <c r="E31" i="267"/>
  <c r="E51" i="267"/>
  <c r="D11" i="312"/>
  <c r="D18" i="314" s="1"/>
  <c r="D11" i="318"/>
  <c r="D18" i="319" s="1"/>
  <c r="D11" i="315"/>
  <c r="D18" i="316" s="1"/>
  <c r="F62" i="267"/>
  <c r="E6" i="324"/>
  <c r="E6" i="312"/>
  <c r="E6" i="308"/>
  <c r="E14" i="309" s="1"/>
  <c r="E6" i="327"/>
  <c r="E6" i="315"/>
  <c r="E6" i="277"/>
  <c r="E6" i="318"/>
  <c r="E6" i="321"/>
  <c r="E6" i="271"/>
  <c r="E6" i="268"/>
  <c r="E108" i="269"/>
  <c r="E106" i="269"/>
  <c r="E107" i="269"/>
  <c r="E105" i="269"/>
  <c r="D15" i="279"/>
  <c r="D16" i="307"/>
  <c r="D59" i="307" s="1"/>
  <c r="D16" i="270"/>
  <c r="E151" i="269"/>
  <c r="E150" i="269"/>
  <c r="G66" i="267"/>
  <c r="E10" i="321"/>
  <c r="E16" i="322" s="1"/>
  <c r="E10" i="327"/>
  <c r="E11" i="327"/>
  <c r="E18" i="328" s="1"/>
  <c r="E11" i="302"/>
  <c r="E17" i="304" s="1"/>
  <c r="E11" i="308"/>
  <c r="E17" i="309" s="1"/>
  <c r="E40" i="309" s="1"/>
  <c r="E11" i="268"/>
  <c r="E17" i="270" s="1"/>
  <c r="E11" i="277"/>
  <c r="E17" i="279" s="1"/>
  <c r="D17" i="322"/>
  <c r="D14" i="324"/>
  <c r="D16" i="324" s="1"/>
  <c r="D17" i="324" s="1"/>
  <c r="D18" i="324" s="1"/>
  <c r="D20" i="324" s="1"/>
  <c r="D17" i="325"/>
  <c r="E3" i="329"/>
  <c r="E1" i="328"/>
  <c r="E3" i="326"/>
  <c r="E1" i="322"/>
  <c r="E1" i="325"/>
  <c r="E3" i="323"/>
  <c r="E3" i="317"/>
  <c r="E3" i="320"/>
  <c r="E1" i="316"/>
  <c r="E1" i="319"/>
  <c r="E3" i="313"/>
  <c r="E1" i="314"/>
  <c r="E10" i="277"/>
  <c r="E10" i="268"/>
  <c r="E15" i="270" s="1"/>
  <c r="E10" i="308"/>
  <c r="E10" i="302"/>
  <c r="G52" i="267"/>
  <c r="G57" i="267"/>
  <c r="F11" i="269"/>
  <c r="F10" i="269"/>
  <c r="H11" i="306"/>
  <c r="H11" i="310"/>
  <c r="H11" i="303"/>
  <c r="G11" i="272"/>
  <c r="G10" i="278"/>
  <c r="G10" i="272"/>
  <c r="G11" i="278"/>
  <c r="D14" i="271"/>
  <c r="D16" i="271" s="1"/>
  <c r="D17" i="271" s="1"/>
  <c r="D18" i="271" s="1"/>
  <c r="D20" i="271" s="1"/>
  <c r="D26" i="271" s="1"/>
  <c r="D16" i="273"/>
  <c r="D14" i="277"/>
  <c r="D16" i="277" s="1"/>
  <c r="D17" i="277" s="1"/>
  <c r="D18" i="277" s="1"/>
  <c r="D20" i="277" s="1"/>
  <c r="D16" i="279"/>
  <c r="D14" i="268"/>
  <c r="D16" i="268" s="1"/>
  <c r="E1" i="304"/>
  <c r="E27" i="304" s="1"/>
  <c r="E1" i="309"/>
  <c r="E1" i="307"/>
  <c r="E60" i="309"/>
  <c r="D14" i="305"/>
  <c r="D16" i="305" s="1"/>
  <c r="D17" i="305" s="1"/>
  <c r="D18" i="305" s="1"/>
  <c r="D20" i="305" s="1"/>
  <c r="D25" i="305" s="1"/>
  <c r="D37" i="305"/>
  <c r="D40" i="305" s="1"/>
  <c r="E10" i="305"/>
  <c r="D60" i="304"/>
  <c r="N42" i="260"/>
  <c r="G56" i="267"/>
  <c r="E10" i="271"/>
  <c r="E15" i="273" s="1"/>
  <c r="H2" i="267"/>
  <c r="D37" i="277"/>
  <c r="D40" i="277" s="1"/>
  <c r="D42" i="277" s="1"/>
  <c r="D43" i="277" s="1"/>
  <c r="D44" i="277" s="1"/>
  <c r="D46" i="277" s="1"/>
  <c r="D14" i="279"/>
  <c r="D14" i="273"/>
  <c r="D37" i="268"/>
  <c r="D40" i="268" s="1"/>
  <c r="D42" i="268" s="1"/>
  <c r="D27" i="279"/>
  <c r="D21" i="279"/>
  <c r="D13" i="279"/>
  <c r="D13" i="273"/>
  <c r="D27" i="273"/>
  <c r="D21" i="273"/>
  <c r="D13" i="270"/>
  <c r="D27" i="270"/>
  <c r="E3" i="278"/>
  <c r="E1" i="273"/>
  <c r="E1" i="270"/>
  <c r="E1" i="279"/>
  <c r="E3" i="272"/>
  <c r="H2" i="277"/>
  <c r="F3" i="269"/>
  <c r="G2" i="271"/>
  <c r="D60" i="270"/>
  <c r="G51" i="267"/>
  <c r="D14" i="270"/>
  <c r="F2" i="268"/>
  <c r="C8" i="260"/>
  <c r="C6" i="260"/>
  <c r="C5" i="260"/>
  <c r="D33" i="265"/>
  <c r="E494" i="261" s="1"/>
  <c r="D32" i="265"/>
  <c r="D31" i="265"/>
  <c r="D28" i="265"/>
  <c r="C22" i="268"/>
  <c r="H34" i="263"/>
  <c r="G34" i="263"/>
  <c r="AL19" i="309" s="1"/>
  <c r="F34" i="263"/>
  <c r="E34" i="263"/>
  <c r="AL19" i="273" s="1"/>
  <c r="D34" i="263"/>
  <c r="C34" i="263"/>
  <c r="H10" i="267" l="1"/>
  <c r="H11" i="267"/>
  <c r="H8" i="267"/>
  <c r="H9" i="267"/>
  <c r="F6" i="271" s="1"/>
  <c r="H12" i="267"/>
  <c r="H7" i="267"/>
  <c r="D14" i="315"/>
  <c r="D16" i="315" s="1"/>
  <c r="D17" i="315" s="1"/>
  <c r="D18" i="315" s="1"/>
  <c r="D20" i="315" s="1"/>
  <c r="D26" i="315" s="1"/>
  <c r="F6" i="305"/>
  <c r="F14" i="307" s="1"/>
  <c r="D15" i="304"/>
  <c r="E31" i="309"/>
  <c r="E10" i="318"/>
  <c r="E16" i="319" s="1"/>
  <c r="F53" i="267"/>
  <c r="D37" i="271"/>
  <c r="D40" i="271" s="1"/>
  <c r="D42" i="271" s="1"/>
  <c r="D43" i="271" s="1"/>
  <c r="D44" i="271" s="1"/>
  <c r="D46" i="271" s="1"/>
  <c r="D37" i="302"/>
  <c r="D40" i="302" s="1"/>
  <c r="D42" i="302" s="1"/>
  <c r="D43" i="302" s="1"/>
  <c r="D44" i="302" s="1"/>
  <c r="D46" i="302" s="1"/>
  <c r="D48" i="302" s="1"/>
  <c r="D17" i="316"/>
  <c r="D14" i="321"/>
  <c r="D16" i="321" s="1"/>
  <c r="D17" i="321" s="1"/>
  <c r="D18" i="321" s="1"/>
  <c r="D20" i="321" s="1"/>
  <c r="D27" i="321" s="1"/>
  <c r="E11" i="324"/>
  <c r="AL33" i="309"/>
  <c r="AL68" i="309"/>
  <c r="AL58" i="309"/>
  <c r="F101" i="269"/>
  <c r="F102" i="269"/>
  <c r="F103" i="269"/>
  <c r="F100" i="269"/>
  <c r="F98" i="269"/>
  <c r="F96" i="269"/>
  <c r="F92" i="269"/>
  <c r="F93" i="269"/>
  <c r="F91" i="269"/>
  <c r="F95" i="269"/>
  <c r="F90" i="269"/>
  <c r="F97" i="269"/>
  <c r="AL19" i="279"/>
  <c r="AL82" i="316"/>
  <c r="AL82" i="314"/>
  <c r="AL82" i="328"/>
  <c r="AL20" i="314"/>
  <c r="AL20" i="328"/>
  <c r="AL82" i="319"/>
  <c r="AL20" i="325"/>
  <c r="AL82" i="322"/>
  <c r="AL82" i="325"/>
  <c r="D14" i="318"/>
  <c r="D16" i="318" s="1"/>
  <c r="D17" i="318" s="1"/>
  <c r="D18" i="318" s="1"/>
  <c r="D20" i="318" s="1"/>
  <c r="D26" i="318" s="1"/>
  <c r="G67" i="267"/>
  <c r="AL19" i="304"/>
  <c r="AL19" i="307"/>
  <c r="AK19" i="270"/>
  <c r="AL19" i="270"/>
  <c r="AL58" i="273"/>
  <c r="AL33" i="273"/>
  <c r="AL68" i="273"/>
  <c r="D17" i="319"/>
  <c r="E10" i="324"/>
  <c r="E16" i="325" s="1"/>
  <c r="D38" i="321"/>
  <c r="D80" i="322" s="1"/>
  <c r="D38" i="324"/>
  <c r="D80" i="325" s="1"/>
  <c r="D38" i="327"/>
  <c r="D80" i="328" s="1"/>
  <c r="E10" i="315"/>
  <c r="D15" i="309"/>
  <c r="D38" i="309" s="1"/>
  <c r="D38" i="312"/>
  <c r="D80" i="314" s="1"/>
  <c r="D38" i="318"/>
  <c r="D80" i="319" s="1"/>
  <c r="D38" i="315"/>
  <c r="D80" i="316" s="1"/>
  <c r="E53" i="267"/>
  <c r="D41" i="322"/>
  <c r="D32" i="322"/>
  <c r="E63" i="267"/>
  <c r="D41" i="314"/>
  <c r="D32" i="314"/>
  <c r="H39" i="267"/>
  <c r="H41" i="267" s="1"/>
  <c r="H40" i="267"/>
  <c r="H45" i="267"/>
  <c r="H67" i="267" s="1"/>
  <c r="H44" i="267"/>
  <c r="H46" i="267" s="1"/>
  <c r="H29" i="267"/>
  <c r="H31" i="267" s="1"/>
  <c r="H30" i="267"/>
  <c r="F11" i="277" s="1"/>
  <c r="D14" i="302"/>
  <c r="D16" i="302" s="1"/>
  <c r="D17" i="302" s="1"/>
  <c r="D18" i="302" s="1"/>
  <c r="D20" i="302" s="1"/>
  <c r="D60" i="307"/>
  <c r="G61" i="267"/>
  <c r="G63" i="267" s="1"/>
  <c r="D16" i="309"/>
  <c r="D59" i="309" s="1"/>
  <c r="D32" i="316"/>
  <c r="D41" i="316"/>
  <c r="D16" i="314"/>
  <c r="D30" i="314" s="1"/>
  <c r="D17" i="314"/>
  <c r="D14" i="312"/>
  <c r="D16" i="312" s="1"/>
  <c r="D17" i="312" s="1"/>
  <c r="D18" i="312" s="1"/>
  <c r="D20" i="312" s="1"/>
  <c r="D41" i="328"/>
  <c r="D32" i="328"/>
  <c r="D40" i="309"/>
  <c r="D31" i="309"/>
  <c r="D37" i="324"/>
  <c r="D37" i="321"/>
  <c r="D37" i="327"/>
  <c r="F68" i="267"/>
  <c r="E11" i="312"/>
  <c r="E18" i="314" s="1"/>
  <c r="E41" i="314" s="1"/>
  <c r="E11" i="315"/>
  <c r="E18" i="316" s="1"/>
  <c r="E11" i="318"/>
  <c r="E18" i="319" s="1"/>
  <c r="E68" i="267"/>
  <c r="D38" i="271"/>
  <c r="D38" i="302"/>
  <c r="D38" i="305"/>
  <c r="D38" i="268"/>
  <c r="D38" i="308"/>
  <c r="D38" i="277"/>
  <c r="D17" i="328"/>
  <c r="D16" i="328"/>
  <c r="D14" i="327"/>
  <c r="D16" i="327" s="1"/>
  <c r="D17" i="327" s="1"/>
  <c r="D18" i="327" s="1"/>
  <c r="D20" i="327" s="1"/>
  <c r="E10" i="312"/>
  <c r="D41" i="319"/>
  <c r="D32" i="319"/>
  <c r="F63" i="267"/>
  <c r="D37" i="315"/>
  <c r="D37" i="318"/>
  <c r="D37" i="312"/>
  <c r="D41" i="325"/>
  <c r="D32" i="325"/>
  <c r="E77" i="319"/>
  <c r="E15" i="319"/>
  <c r="E77" i="328"/>
  <c r="E15" i="328"/>
  <c r="E77" i="314"/>
  <c r="E15" i="314"/>
  <c r="F6" i="327"/>
  <c r="F6" i="315"/>
  <c r="F6" i="318"/>
  <c r="F6" i="321"/>
  <c r="F6" i="324"/>
  <c r="F6" i="302"/>
  <c r="F14" i="304" s="1"/>
  <c r="F6" i="312"/>
  <c r="F6" i="308"/>
  <c r="F14" i="309" s="1"/>
  <c r="E77" i="322"/>
  <c r="E15" i="322"/>
  <c r="E77" i="316"/>
  <c r="E15" i="316"/>
  <c r="E77" i="325"/>
  <c r="E15" i="325"/>
  <c r="E100" i="320"/>
  <c r="E101" i="320"/>
  <c r="E102" i="320"/>
  <c r="E103" i="320"/>
  <c r="E91" i="320"/>
  <c r="E98" i="320"/>
  <c r="E96" i="320"/>
  <c r="E92" i="320"/>
  <c r="E93" i="320"/>
  <c r="E90" i="320"/>
  <c r="E95" i="320"/>
  <c r="E97" i="320"/>
  <c r="E103" i="313"/>
  <c r="E100" i="313"/>
  <c r="E101" i="313"/>
  <c r="E102" i="313"/>
  <c r="E97" i="313"/>
  <c r="E91" i="313"/>
  <c r="E98" i="313"/>
  <c r="E96" i="313"/>
  <c r="E92" i="313"/>
  <c r="E93" i="313"/>
  <c r="E95" i="313"/>
  <c r="E90" i="313"/>
  <c r="E100" i="317"/>
  <c r="E101" i="317"/>
  <c r="E102" i="317"/>
  <c r="E103" i="317"/>
  <c r="E97" i="317"/>
  <c r="E95" i="317"/>
  <c r="E91" i="317"/>
  <c r="E98" i="317"/>
  <c r="E92" i="317"/>
  <c r="E90" i="317"/>
  <c r="E96" i="317"/>
  <c r="E93" i="317"/>
  <c r="E100" i="326"/>
  <c r="E101" i="326"/>
  <c r="E102" i="326"/>
  <c r="E103" i="326"/>
  <c r="E97" i="326"/>
  <c r="E95" i="326"/>
  <c r="E90" i="326"/>
  <c r="E91" i="326"/>
  <c r="E98" i="326"/>
  <c r="E96" i="326"/>
  <c r="E92" i="326"/>
  <c r="E93" i="326"/>
  <c r="E102" i="272"/>
  <c r="E103" i="272"/>
  <c r="E100" i="272"/>
  <c r="E101" i="272"/>
  <c r="E96" i="272"/>
  <c r="E92" i="272"/>
  <c r="E98" i="272"/>
  <c r="E93" i="272"/>
  <c r="E97" i="272"/>
  <c r="E95" i="272"/>
  <c r="E90" i="272"/>
  <c r="E91" i="272"/>
  <c r="E102" i="278"/>
  <c r="E103" i="278"/>
  <c r="E101" i="278"/>
  <c r="E100" i="278"/>
  <c r="E93" i="278"/>
  <c r="E97" i="278"/>
  <c r="E95" i="278"/>
  <c r="E90" i="278"/>
  <c r="E91" i="278"/>
  <c r="E96" i="278"/>
  <c r="E98" i="278"/>
  <c r="E92" i="278"/>
  <c r="E100" i="323"/>
  <c r="E101" i="323"/>
  <c r="E102" i="323"/>
  <c r="E103" i="323"/>
  <c r="E97" i="323"/>
  <c r="E95" i="323"/>
  <c r="E90" i="323"/>
  <c r="E91" i="323"/>
  <c r="E92" i="323"/>
  <c r="E96" i="323"/>
  <c r="E93" i="323"/>
  <c r="E98" i="323"/>
  <c r="E100" i="329"/>
  <c r="E101" i="329"/>
  <c r="E102" i="329"/>
  <c r="E103" i="329"/>
  <c r="E93" i="329"/>
  <c r="E97" i="329"/>
  <c r="E98" i="329"/>
  <c r="E96" i="329"/>
  <c r="E92" i="329"/>
  <c r="E91" i="329"/>
  <c r="E95" i="329"/>
  <c r="E90" i="329"/>
  <c r="E107" i="320"/>
  <c r="E106" i="320"/>
  <c r="E105" i="320"/>
  <c r="E108" i="320"/>
  <c r="E108" i="272"/>
  <c r="E107" i="272"/>
  <c r="E106" i="272"/>
  <c r="E105" i="272"/>
  <c r="E107" i="278"/>
  <c r="E106" i="278"/>
  <c r="E108" i="278"/>
  <c r="E105" i="278"/>
  <c r="E107" i="323"/>
  <c r="E106" i="323"/>
  <c r="E105" i="323"/>
  <c r="E108" i="323"/>
  <c r="F107" i="269"/>
  <c r="F105" i="269"/>
  <c r="F106" i="269"/>
  <c r="F108" i="269"/>
  <c r="E107" i="313"/>
  <c r="E106" i="313"/>
  <c r="E108" i="313"/>
  <c r="E105" i="313"/>
  <c r="E107" i="317"/>
  <c r="E106" i="317"/>
  <c r="E105" i="317"/>
  <c r="E108" i="317"/>
  <c r="E106" i="326"/>
  <c r="E107" i="326"/>
  <c r="E105" i="326"/>
  <c r="E108" i="326"/>
  <c r="E107" i="329"/>
  <c r="E106" i="329"/>
  <c r="E105" i="329"/>
  <c r="E108" i="329"/>
  <c r="G82" i="328"/>
  <c r="K82" i="328"/>
  <c r="O82" i="328"/>
  <c r="S82" i="328"/>
  <c r="W82" i="328"/>
  <c r="AA82" i="328"/>
  <c r="AE82" i="328"/>
  <c r="AI82" i="328"/>
  <c r="F20" i="328"/>
  <c r="J20" i="328"/>
  <c r="N20" i="328"/>
  <c r="R20" i="328"/>
  <c r="V20" i="328"/>
  <c r="Z20" i="328"/>
  <c r="AD20" i="328"/>
  <c r="AH20" i="328"/>
  <c r="D20" i="328"/>
  <c r="H20" i="325"/>
  <c r="L20" i="325"/>
  <c r="P20" i="325"/>
  <c r="T20" i="325"/>
  <c r="X20" i="325"/>
  <c r="AB20" i="325"/>
  <c r="AF20" i="325"/>
  <c r="AJ20" i="325"/>
  <c r="H82" i="328"/>
  <c r="L82" i="328"/>
  <c r="P82" i="328"/>
  <c r="T82" i="328"/>
  <c r="X82" i="328"/>
  <c r="AB82" i="328"/>
  <c r="AF82" i="328"/>
  <c r="AJ82" i="328"/>
  <c r="G20" i="328"/>
  <c r="K20" i="328"/>
  <c r="O20" i="328"/>
  <c r="S20" i="328"/>
  <c r="W20" i="328"/>
  <c r="AA20" i="328"/>
  <c r="AE20" i="328"/>
  <c r="AI20" i="328"/>
  <c r="E20" i="325"/>
  <c r="I20" i="325"/>
  <c r="M20" i="325"/>
  <c r="Q20" i="325"/>
  <c r="U20" i="325"/>
  <c r="Y20" i="325"/>
  <c r="AC20" i="325"/>
  <c r="AG20" i="325"/>
  <c r="AK20" i="325"/>
  <c r="E82" i="328"/>
  <c r="I82" i="328"/>
  <c r="M82" i="328"/>
  <c r="Q82" i="328"/>
  <c r="U82" i="328"/>
  <c r="Y82" i="328"/>
  <c r="AC82" i="328"/>
  <c r="AG82" i="328"/>
  <c r="AK82" i="328"/>
  <c r="H20" i="328"/>
  <c r="L20" i="328"/>
  <c r="P20" i="328"/>
  <c r="T20" i="328"/>
  <c r="X20" i="328"/>
  <c r="AB20" i="328"/>
  <c r="AF20" i="328"/>
  <c r="AJ20" i="328"/>
  <c r="F20" i="325"/>
  <c r="J20" i="325"/>
  <c r="N20" i="325"/>
  <c r="R20" i="325"/>
  <c r="V20" i="325"/>
  <c r="Z20" i="325"/>
  <c r="AD20" i="325"/>
  <c r="AH20" i="325"/>
  <c r="D20" i="325"/>
  <c r="F82" i="328"/>
  <c r="J82" i="328"/>
  <c r="N82" i="328"/>
  <c r="R82" i="328"/>
  <c r="V82" i="328"/>
  <c r="Z82" i="328"/>
  <c r="AD82" i="328"/>
  <c r="AH82" i="328"/>
  <c r="E20" i="328"/>
  <c r="I20" i="328"/>
  <c r="M20" i="328"/>
  <c r="Q20" i="328"/>
  <c r="U20" i="328"/>
  <c r="Y20" i="328"/>
  <c r="AC20" i="328"/>
  <c r="AG20" i="328"/>
  <c r="AK20" i="328"/>
  <c r="G20" i="325"/>
  <c r="K20" i="325"/>
  <c r="O20" i="325"/>
  <c r="S20" i="325"/>
  <c r="W20" i="325"/>
  <c r="AA20" i="325"/>
  <c r="AE20" i="325"/>
  <c r="AI20" i="325"/>
  <c r="D82" i="322"/>
  <c r="D82" i="328"/>
  <c r="H82" i="325"/>
  <c r="L82" i="325"/>
  <c r="P82" i="325"/>
  <c r="T82" i="325"/>
  <c r="X82" i="325"/>
  <c r="AB82" i="325"/>
  <c r="AF82" i="325"/>
  <c r="AJ82" i="325"/>
  <c r="E82" i="325"/>
  <c r="I82" i="325"/>
  <c r="M82" i="325"/>
  <c r="Q82" i="325"/>
  <c r="U82" i="325"/>
  <c r="Y82" i="325"/>
  <c r="AC82" i="325"/>
  <c r="AG82" i="325"/>
  <c r="AK82" i="325"/>
  <c r="D82" i="325"/>
  <c r="F82" i="325"/>
  <c r="J82" i="325"/>
  <c r="N82" i="325"/>
  <c r="R82" i="325"/>
  <c r="V82" i="325"/>
  <c r="Z82" i="325"/>
  <c r="AD82" i="325"/>
  <c r="AH82" i="325"/>
  <c r="G82" i="325"/>
  <c r="K82" i="325"/>
  <c r="O82" i="325"/>
  <c r="S82" i="325"/>
  <c r="W82" i="325"/>
  <c r="AA82" i="325"/>
  <c r="AE82" i="325"/>
  <c r="AI82" i="325"/>
  <c r="F82" i="322"/>
  <c r="J82" i="322"/>
  <c r="N82" i="322"/>
  <c r="R82" i="322"/>
  <c r="V82" i="322"/>
  <c r="Z82" i="322"/>
  <c r="AD82" i="322"/>
  <c r="AH82" i="322"/>
  <c r="G82" i="322"/>
  <c r="K82" i="322"/>
  <c r="O82" i="322"/>
  <c r="S82" i="322"/>
  <c r="W82" i="322"/>
  <c r="AA82" i="322"/>
  <c r="AE82" i="322"/>
  <c r="AI82" i="322"/>
  <c r="H82" i="322"/>
  <c r="L82" i="322"/>
  <c r="P82" i="322"/>
  <c r="T82" i="322"/>
  <c r="X82" i="322"/>
  <c r="AB82" i="322"/>
  <c r="AF82" i="322"/>
  <c r="AJ82" i="322"/>
  <c r="E82" i="322"/>
  <c r="I82" i="322"/>
  <c r="M82" i="322"/>
  <c r="Q82" i="322"/>
  <c r="U82" i="322"/>
  <c r="Y82" i="322"/>
  <c r="AC82" i="322"/>
  <c r="AG82" i="322"/>
  <c r="AK82" i="322"/>
  <c r="G82" i="319"/>
  <c r="H82" i="319"/>
  <c r="L82" i="319"/>
  <c r="P82" i="319"/>
  <c r="T82" i="319"/>
  <c r="X82" i="319"/>
  <c r="AB82" i="319"/>
  <c r="AF82" i="319"/>
  <c r="AJ82" i="319"/>
  <c r="E82" i="319"/>
  <c r="I82" i="319"/>
  <c r="M82" i="319"/>
  <c r="Q82" i="319"/>
  <c r="U82" i="319"/>
  <c r="Y82" i="319"/>
  <c r="AC82" i="319"/>
  <c r="AG82" i="319"/>
  <c r="AK82" i="319"/>
  <c r="K82" i="319"/>
  <c r="S82" i="319"/>
  <c r="AA82" i="319"/>
  <c r="AI82" i="319"/>
  <c r="D82" i="319"/>
  <c r="N82" i="319"/>
  <c r="V82" i="319"/>
  <c r="AD82" i="319"/>
  <c r="F82" i="319"/>
  <c r="O82" i="319"/>
  <c r="W82" i="319"/>
  <c r="AE82" i="319"/>
  <c r="R82" i="319"/>
  <c r="AH82" i="316"/>
  <c r="AD82" i="316"/>
  <c r="Z82" i="316"/>
  <c r="V82" i="316"/>
  <c r="R82" i="316"/>
  <c r="N82" i="316"/>
  <c r="J82" i="316"/>
  <c r="F82" i="316"/>
  <c r="Z82" i="319"/>
  <c r="AK82" i="316"/>
  <c r="AG82" i="316"/>
  <c r="AC82" i="316"/>
  <c r="Y82" i="316"/>
  <c r="U82" i="316"/>
  <c r="Q82" i="316"/>
  <c r="M82" i="316"/>
  <c r="I82" i="316"/>
  <c r="E82" i="316"/>
  <c r="F82" i="314"/>
  <c r="J82" i="314"/>
  <c r="N82" i="314"/>
  <c r="R82" i="314"/>
  <c r="V82" i="314"/>
  <c r="Z82" i="314"/>
  <c r="AD82" i="314"/>
  <c r="AH82" i="314"/>
  <c r="J82" i="319"/>
  <c r="AH82" i="319"/>
  <c r="AJ82" i="316"/>
  <c r="AF82" i="316"/>
  <c r="AB82" i="316"/>
  <c r="X82" i="316"/>
  <c r="T82" i="316"/>
  <c r="P82" i="316"/>
  <c r="L82" i="316"/>
  <c r="H82" i="316"/>
  <c r="D82" i="316"/>
  <c r="G82" i="314"/>
  <c r="K82" i="314"/>
  <c r="O82" i="314"/>
  <c r="S82" i="314"/>
  <c r="W82" i="314"/>
  <c r="AA82" i="314"/>
  <c r="AE82" i="314"/>
  <c r="AI82" i="314"/>
  <c r="W82" i="316"/>
  <c r="G82" i="316"/>
  <c r="E82" i="314"/>
  <c r="M82" i="314"/>
  <c r="U82" i="314"/>
  <c r="AC82" i="314"/>
  <c r="AK82" i="314"/>
  <c r="D20" i="314"/>
  <c r="L82" i="314"/>
  <c r="AJ82" i="314"/>
  <c r="AI82" i="316"/>
  <c r="S82" i="316"/>
  <c r="H82" i="314"/>
  <c r="P82" i="314"/>
  <c r="X82" i="314"/>
  <c r="AF82" i="314"/>
  <c r="AG82" i="314"/>
  <c r="AA82" i="316"/>
  <c r="AE82" i="316"/>
  <c r="O82" i="316"/>
  <c r="I82" i="314"/>
  <c r="Q82" i="314"/>
  <c r="Y82" i="314"/>
  <c r="K82" i="316"/>
  <c r="D82" i="314"/>
  <c r="T82" i="314"/>
  <c r="AB82" i="314"/>
  <c r="C29" i="327"/>
  <c r="C29" i="324"/>
  <c r="C29" i="321"/>
  <c r="C29" i="318"/>
  <c r="C29" i="315"/>
  <c r="C29" i="312"/>
  <c r="D47" i="309"/>
  <c r="F11" i="302"/>
  <c r="F17" i="304" s="1"/>
  <c r="E14" i="327"/>
  <c r="E16" i="327" s="1"/>
  <c r="E17" i="327" s="1"/>
  <c r="E18" i="327" s="1"/>
  <c r="E20" i="327" s="1"/>
  <c r="E16" i="328"/>
  <c r="E17" i="328"/>
  <c r="C165" i="329"/>
  <c r="C164" i="329"/>
  <c r="C165" i="326"/>
  <c r="C165" i="323"/>
  <c r="C165" i="320"/>
  <c r="C165" i="317"/>
  <c r="C164" i="326"/>
  <c r="C164" i="323"/>
  <c r="C164" i="320"/>
  <c r="C164" i="317"/>
  <c r="C165" i="313"/>
  <c r="C164" i="313"/>
  <c r="C163" i="329"/>
  <c r="C163" i="326"/>
  <c r="C163" i="323"/>
  <c r="C163" i="320"/>
  <c r="C163" i="317"/>
  <c r="C163" i="313"/>
  <c r="E16" i="316"/>
  <c r="E17" i="316"/>
  <c r="E16" i="314"/>
  <c r="E17" i="314"/>
  <c r="E122" i="314" s="1"/>
  <c r="E15" i="279"/>
  <c r="E16" i="309"/>
  <c r="E59" i="309" s="1"/>
  <c r="E15" i="309"/>
  <c r="E29" i="309" s="1"/>
  <c r="E16" i="307"/>
  <c r="E59" i="307" s="1"/>
  <c r="E15" i="307"/>
  <c r="E16" i="304"/>
  <c r="E59" i="304" s="1"/>
  <c r="E15" i="304"/>
  <c r="E150" i="326"/>
  <c r="E151" i="326"/>
  <c r="E150" i="323"/>
  <c r="E151" i="323"/>
  <c r="E150" i="320"/>
  <c r="E151" i="320"/>
  <c r="E150" i="317"/>
  <c r="E151" i="317"/>
  <c r="E150" i="313"/>
  <c r="E151" i="313"/>
  <c r="E150" i="278"/>
  <c r="E151" i="278"/>
  <c r="E150" i="272"/>
  <c r="E151" i="272"/>
  <c r="F151" i="269"/>
  <c r="F150" i="269"/>
  <c r="E32" i="328"/>
  <c r="E41" i="328"/>
  <c r="D122" i="316"/>
  <c r="D60" i="316"/>
  <c r="E84" i="319"/>
  <c r="E76" i="319"/>
  <c r="E90" i="319"/>
  <c r="E28" i="319"/>
  <c r="E22" i="319"/>
  <c r="E22" i="328"/>
  <c r="E90" i="328"/>
  <c r="E84" i="328"/>
  <c r="E76" i="328"/>
  <c r="E28" i="328"/>
  <c r="E32" i="322"/>
  <c r="E41" i="322"/>
  <c r="E38" i="327"/>
  <c r="E80" i="328" s="1"/>
  <c r="E38" i="321"/>
  <c r="E80" i="322" s="1"/>
  <c r="E38" i="324"/>
  <c r="E80" i="325" s="1"/>
  <c r="E84" i="316"/>
  <c r="E76" i="316"/>
  <c r="E28" i="316"/>
  <c r="E90" i="316"/>
  <c r="E22" i="316"/>
  <c r="D122" i="325"/>
  <c r="D60" i="325"/>
  <c r="D39" i="316"/>
  <c r="D30" i="316"/>
  <c r="D48" i="316"/>
  <c r="F10" i="327"/>
  <c r="F14" i="327" s="1"/>
  <c r="F16" i="327" s="1"/>
  <c r="F17" i="327" s="1"/>
  <c r="F18" i="327" s="1"/>
  <c r="F20" i="327" s="1"/>
  <c r="F10" i="321"/>
  <c r="F16" i="322" s="1"/>
  <c r="F10" i="324"/>
  <c r="F16" i="325" s="1"/>
  <c r="E38" i="312"/>
  <c r="E80" i="314" s="1"/>
  <c r="E38" i="318"/>
  <c r="E80" i="319" s="1"/>
  <c r="E38" i="315"/>
  <c r="E80" i="316" s="1"/>
  <c r="D48" i="319"/>
  <c r="D39" i="319"/>
  <c r="D56" i="319" s="1"/>
  <c r="D23" i="319" s="1"/>
  <c r="D17" i="320" s="1"/>
  <c r="D30" i="319"/>
  <c r="H62" i="267"/>
  <c r="H66" i="267"/>
  <c r="F11" i="308"/>
  <c r="F17" i="309" s="1"/>
  <c r="F31" i="309" s="1"/>
  <c r="D48" i="322"/>
  <c r="D39" i="322"/>
  <c r="D30" i="322"/>
  <c r="E41" i="316"/>
  <c r="E32" i="316"/>
  <c r="F11" i="268"/>
  <c r="F17" i="270" s="1"/>
  <c r="E22" i="325"/>
  <c r="E28" i="325"/>
  <c r="E84" i="325"/>
  <c r="E76" i="325"/>
  <c r="E90" i="325"/>
  <c r="D122" i="319"/>
  <c r="D60" i="319"/>
  <c r="D60" i="322"/>
  <c r="D122" i="322"/>
  <c r="E37" i="327"/>
  <c r="E37" i="324"/>
  <c r="E40" i="324" s="1"/>
  <c r="E42" i="324" s="1"/>
  <c r="E43" i="324" s="1"/>
  <c r="E44" i="324" s="1"/>
  <c r="E46" i="324" s="1"/>
  <c r="G68" i="267"/>
  <c r="E37" i="321"/>
  <c r="D122" i="328"/>
  <c r="D60" i="328"/>
  <c r="E84" i="322"/>
  <c r="E90" i="322"/>
  <c r="E76" i="322"/>
  <c r="E22" i="322"/>
  <c r="E28" i="322"/>
  <c r="E14" i="312"/>
  <c r="E16" i="312" s="1"/>
  <c r="E17" i="312" s="1"/>
  <c r="E18" i="312" s="1"/>
  <c r="E20" i="312" s="1"/>
  <c r="E26" i="312" s="1"/>
  <c r="E32" i="319"/>
  <c r="E41" i="319"/>
  <c r="E37" i="318"/>
  <c r="F10" i="312"/>
  <c r="H61" i="267"/>
  <c r="E32" i="314"/>
  <c r="E76" i="314"/>
  <c r="E84" i="314"/>
  <c r="E90" i="314"/>
  <c r="E18" i="325"/>
  <c r="AK19" i="279"/>
  <c r="AK68" i="279" s="1"/>
  <c r="AE20" i="314"/>
  <c r="AE131" i="314" s="1"/>
  <c r="W20" i="314"/>
  <c r="W131" i="314" s="1"/>
  <c r="O20" i="314"/>
  <c r="O131" i="314" s="1"/>
  <c r="G20" i="314"/>
  <c r="G131" i="314" s="1"/>
  <c r="AD20" i="314"/>
  <c r="AD131" i="314" s="1"/>
  <c r="F20" i="314"/>
  <c r="F131" i="314" s="1"/>
  <c r="H20" i="314"/>
  <c r="H131" i="314" s="1"/>
  <c r="V20" i="314"/>
  <c r="V131" i="314" s="1"/>
  <c r="N20" i="314"/>
  <c r="N131" i="314" s="1"/>
  <c r="P20" i="314"/>
  <c r="P131" i="314" s="1"/>
  <c r="AK20" i="314"/>
  <c r="AK131" i="314" s="1"/>
  <c r="AC20" i="314"/>
  <c r="AC131" i="314" s="1"/>
  <c r="U20" i="314"/>
  <c r="U131" i="314" s="1"/>
  <c r="M20" i="314"/>
  <c r="M131" i="314" s="1"/>
  <c r="E20" i="314"/>
  <c r="E131" i="314" s="1"/>
  <c r="AI20" i="314"/>
  <c r="AI131" i="314" s="1"/>
  <c r="S20" i="314"/>
  <c r="S131" i="314" s="1"/>
  <c r="K20" i="314"/>
  <c r="K131" i="314" s="1"/>
  <c r="AJ20" i="314"/>
  <c r="AJ131" i="314" s="1"/>
  <c r="AB20" i="314"/>
  <c r="AB131" i="314" s="1"/>
  <c r="T20" i="314"/>
  <c r="T131" i="314" s="1"/>
  <c r="L20" i="314"/>
  <c r="L131" i="314" s="1"/>
  <c r="AA20" i="314"/>
  <c r="AA131" i="314" s="1"/>
  <c r="AF20" i="314"/>
  <c r="AF131" i="314" s="1"/>
  <c r="AH20" i="314"/>
  <c r="AH131" i="314" s="1"/>
  <c r="Z20" i="314"/>
  <c r="Z131" i="314" s="1"/>
  <c r="R20" i="314"/>
  <c r="R131" i="314" s="1"/>
  <c r="J20" i="314"/>
  <c r="J131" i="314" s="1"/>
  <c r="AG20" i="314"/>
  <c r="AG131" i="314" s="1"/>
  <c r="Y20" i="314"/>
  <c r="Y131" i="314" s="1"/>
  <c r="Q20" i="314"/>
  <c r="Q131" i="314" s="1"/>
  <c r="I20" i="314"/>
  <c r="I131" i="314" s="1"/>
  <c r="X20" i="314"/>
  <c r="X131" i="314" s="1"/>
  <c r="J19" i="309"/>
  <c r="R19" i="309"/>
  <c r="Z19" i="309"/>
  <c r="AH19" i="309"/>
  <c r="O19" i="309"/>
  <c r="Q19" i="309"/>
  <c r="K19" i="309"/>
  <c r="S19" i="309"/>
  <c r="AA19" i="309"/>
  <c r="AI19" i="309"/>
  <c r="L19" i="309"/>
  <c r="AB19" i="309"/>
  <c r="AG19" i="309"/>
  <c r="T19" i="309"/>
  <c r="AJ19" i="309"/>
  <c r="AE19" i="309"/>
  <c r="E19" i="309"/>
  <c r="M19" i="309"/>
  <c r="U19" i="309"/>
  <c r="AC19" i="309"/>
  <c r="AK19" i="309"/>
  <c r="W19" i="309"/>
  <c r="X19" i="309"/>
  <c r="Y19" i="309"/>
  <c r="F19" i="309"/>
  <c r="N19" i="309"/>
  <c r="V19" i="309"/>
  <c r="AD19" i="309"/>
  <c r="P19" i="309"/>
  <c r="G19" i="309"/>
  <c r="H19" i="309"/>
  <c r="AF19" i="309"/>
  <c r="I19" i="309"/>
  <c r="D27" i="318"/>
  <c r="E14" i="315"/>
  <c r="E16" i="315" s="1"/>
  <c r="E17" i="315" s="1"/>
  <c r="E18" i="315" s="1"/>
  <c r="E20" i="315" s="1"/>
  <c r="D48" i="308"/>
  <c r="D126" i="310" s="1"/>
  <c r="E17" i="319"/>
  <c r="E14" i="318"/>
  <c r="E16" i="318" s="1"/>
  <c r="E17" i="318" s="1"/>
  <c r="E18" i="318" s="1"/>
  <c r="E20" i="318" s="1"/>
  <c r="D25" i="315"/>
  <c r="D27" i="315"/>
  <c r="D50" i="308"/>
  <c r="D183" i="310" s="1"/>
  <c r="E17" i="325"/>
  <c r="E14" i="324"/>
  <c r="E16" i="324" s="1"/>
  <c r="E17" i="324" s="1"/>
  <c r="E18" i="324" s="1"/>
  <c r="E20" i="324" s="1"/>
  <c r="D25" i="324"/>
  <c r="D27" i="324"/>
  <c r="D26" i="324"/>
  <c r="E14" i="321"/>
  <c r="E16" i="321" s="1"/>
  <c r="E17" i="321" s="1"/>
  <c r="E18" i="321" s="1"/>
  <c r="E20" i="321" s="1"/>
  <c r="E17" i="322"/>
  <c r="E27" i="327"/>
  <c r="E26" i="327"/>
  <c r="E25" i="327"/>
  <c r="F17" i="279"/>
  <c r="D39" i="314"/>
  <c r="D48" i="314"/>
  <c r="D26" i="308"/>
  <c r="D113" i="310" s="1"/>
  <c r="D27" i="308"/>
  <c r="D161" i="310" s="1"/>
  <c r="E14" i="325"/>
  <c r="E28" i="314"/>
  <c r="E22" i="314"/>
  <c r="E14" i="314"/>
  <c r="E14" i="322"/>
  <c r="E150" i="329"/>
  <c r="E151" i="329"/>
  <c r="F3" i="329"/>
  <c r="F1" i="328"/>
  <c r="F3" i="326"/>
  <c r="F1" i="322"/>
  <c r="F3" i="323"/>
  <c r="F1" i="325"/>
  <c r="F3" i="320"/>
  <c r="F3" i="317"/>
  <c r="F1" i="316"/>
  <c r="F1" i="319"/>
  <c r="F3" i="313"/>
  <c r="F1" i="314"/>
  <c r="E14" i="319"/>
  <c r="E14" i="328"/>
  <c r="E14" i="316"/>
  <c r="E14" i="308"/>
  <c r="E16" i="308" s="1"/>
  <c r="E17" i="308" s="1"/>
  <c r="E18" i="308" s="1"/>
  <c r="E20" i="308" s="1"/>
  <c r="E27" i="308" s="1"/>
  <c r="E38" i="308"/>
  <c r="E38" i="305"/>
  <c r="E38" i="268"/>
  <c r="E38" i="277"/>
  <c r="E38" i="271"/>
  <c r="E38" i="302"/>
  <c r="H57" i="267"/>
  <c r="H52" i="267"/>
  <c r="E37" i="305"/>
  <c r="E40" i="305" s="1"/>
  <c r="E42" i="305" s="1"/>
  <c r="E43" i="305" s="1"/>
  <c r="E44" i="305" s="1"/>
  <c r="E46" i="305" s="1"/>
  <c r="E50" i="305" s="1"/>
  <c r="E37" i="302"/>
  <c r="E40" i="302" s="1"/>
  <c r="E42" i="302" s="1"/>
  <c r="E43" i="302" s="1"/>
  <c r="E44" i="302" s="1"/>
  <c r="E46" i="302" s="1"/>
  <c r="E37" i="268"/>
  <c r="E40" i="268" s="1"/>
  <c r="E42" i="268" s="1"/>
  <c r="E37" i="277"/>
  <c r="E40" i="277" s="1"/>
  <c r="E42" i="277" s="1"/>
  <c r="E43" i="277" s="1"/>
  <c r="E44" i="277" s="1"/>
  <c r="E46" i="277" s="1"/>
  <c r="E37" i="271"/>
  <c r="E40" i="271" s="1"/>
  <c r="E42" i="271" s="1"/>
  <c r="E43" i="271" s="1"/>
  <c r="E44" i="271" s="1"/>
  <c r="E46" i="271" s="1"/>
  <c r="E37" i="308"/>
  <c r="E40" i="308" s="1"/>
  <c r="E42" i="308" s="1"/>
  <c r="E43" i="308" s="1"/>
  <c r="E44" i="308" s="1"/>
  <c r="E46" i="308" s="1"/>
  <c r="F10" i="308"/>
  <c r="F10" i="302"/>
  <c r="I11" i="310"/>
  <c r="E492" i="261"/>
  <c r="C163" i="310"/>
  <c r="C163" i="306"/>
  <c r="C163" i="303"/>
  <c r="H10" i="272"/>
  <c r="H10" i="278"/>
  <c r="I11" i="306"/>
  <c r="E489" i="261"/>
  <c r="C29" i="308"/>
  <c r="D32" i="308" s="1"/>
  <c r="C29" i="302"/>
  <c r="C29" i="305"/>
  <c r="D32" i="305" s="1"/>
  <c r="C29" i="277"/>
  <c r="C29" i="271"/>
  <c r="H11" i="272"/>
  <c r="G10" i="269"/>
  <c r="E493" i="261"/>
  <c r="C165" i="310"/>
  <c r="C164" i="310"/>
  <c r="C165" i="303"/>
  <c r="C164" i="303"/>
  <c r="C164" i="306"/>
  <c r="C165" i="306"/>
  <c r="H11" i="278"/>
  <c r="I11" i="303"/>
  <c r="G11" i="269"/>
  <c r="D27" i="271"/>
  <c r="E14" i="271"/>
  <c r="E16" i="271" s="1"/>
  <c r="E17" i="271" s="1"/>
  <c r="E18" i="271" s="1"/>
  <c r="E20" i="271" s="1"/>
  <c r="E16" i="273"/>
  <c r="E14" i="277"/>
  <c r="E16" i="277" s="1"/>
  <c r="E17" i="277" s="1"/>
  <c r="E18" i="277" s="1"/>
  <c r="E20" i="277" s="1"/>
  <c r="E16" i="279"/>
  <c r="D40" i="304"/>
  <c r="D31" i="304"/>
  <c r="E14" i="268"/>
  <c r="E16" i="268" s="1"/>
  <c r="E16" i="270"/>
  <c r="E21" i="304"/>
  <c r="E13" i="304"/>
  <c r="D112" i="310"/>
  <c r="D159" i="310"/>
  <c r="D55" i="310"/>
  <c r="D42" i="305"/>
  <c r="D43" i="305" s="1"/>
  <c r="D44" i="305" s="1"/>
  <c r="D46" i="305" s="1"/>
  <c r="D50" i="305" s="1"/>
  <c r="D26" i="305"/>
  <c r="D56" i="306" s="1"/>
  <c r="D63" i="306" s="1"/>
  <c r="D19" i="309"/>
  <c r="D38" i="307"/>
  <c r="D47" i="307"/>
  <c r="D29" i="307"/>
  <c r="F1" i="304"/>
  <c r="F27" i="304" s="1"/>
  <c r="F1" i="309"/>
  <c r="F1" i="307"/>
  <c r="E14" i="305"/>
  <c r="E16" i="305" s="1"/>
  <c r="E17" i="305" s="1"/>
  <c r="E18" i="305" s="1"/>
  <c r="E20" i="305" s="1"/>
  <c r="E27" i="305" s="1"/>
  <c r="E60" i="307"/>
  <c r="D182" i="310"/>
  <c r="D71" i="310"/>
  <c r="D75" i="310" s="1"/>
  <c r="D127" i="310"/>
  <c r="E27" i="307"/>
  <c r="E13" i="307"/>
  <c r="E21" i="307"/>
  <c r="E19" i="307"/>
  <c r="M19" i="307"/>
  <c r="U19" i="307"/>
  <c r="AC19" i="307"/>
  <c r="AK19" i="307"/>
  <c r="F19" i="307"/>
  <c r="N19" i="307"/>
  <c r="V19" i="307"/>
  <c r="AD19" i="307"/>
  <c r="D19" i="307"/>
  <c r="G19" i="307"/>
  <c r="O19" i="307"/>
  <c r="W19" i="307"/>
  <c r="AE19" i="307"/>
  <c r="H19" i="307"/>
  <c r="P19" i="307"/>
  <c r="X19" i="307"/>
  <c r="AF19" i="307"/>
  <c r="I19" i="307"/>
  <c r="Q19" i="307"/>
  <c r="Y19" i="307"/>
  <c r="AG19" i="307"/>
  <c r="J19" i="307"/>
  <c r="R19" i="307"/>
  <c r="Z19" i="307"/>
  <c r="AH19" i="307"/>
  <c r="K19" i="307"/>
  <c r="S19" i="307"/>
  <c r="AA19" i="307"/>
  <c r="AI19" i="307"/>
  <c r="L19" i="307"/>
  <c r="T19" i="307"/>
  <c r="AB19" i="307"/>
  <c r="AJ19" i="307"/>
  <c r="D27" i="305"/>
  <c r="D57" i="306" s="1"/>
  <c r="E21" i="309"/>
  <c r="E27" i="309"/>
  <c r="E13" i="309"/>
  <c r="F60" i="309"/>
  <c r="D112" i="306"/>
  <c r="D159" i="306"/>
  <c r="D55" i="306"/>
  <c r="D62" i="306" s="1"/>
  <c r="D49" i="302"/>
  <c r="J19" i="304"/>
  <c r="R19" i="304"/>
  <c r="Z19" i="304"/>
  <c r="AH19" i="304"/>
  <c r="K19" i="304"/>
  <c r="S19" i="304"/>
  <c r="AA19" i="304"/>
  <c r="AI19" i="304"/>
  <c r="L19" i="304"/>
  <c r="T19" i="304"/>
  <c r="AB19" i="304"/>
  <c r="AJ19" i="304"/>
  <c r="E19" i="304"/>
  <c r="M19" i="304"/>
  <c r="U19" i="304"/>
  <c r="AC19" i="304"/>
  <c r="AK19" i="304"/>
  <c r="F19" i="304"/>
  <c r="N19" i="304"/>
  <c r="V19" i="304"/>
  <c r="AD19" i="304"/>
  <c r="G19" i="304"/>
  <c r="O19" i="304"/>
  <c r="W19" i="304"/>
  <c r="AE19" i="304"/>
  <c r="D19" i="304"/>
  <c r="H19" i="304"/>
  <c r="P19" i="304"/>
  <c r="X19" i="304"/>
  <c r="AF19" i="304"/>
  <c r="Q19" i="304"/>
  <c r="Y19" i="304"/>
  <c r="AG19" i="304"/>
  <c r="I19" i="304"/>
  <c r="D29" i="304"/>
  <c r="D47" i="304"/>
  <c r="D38" i="304"/>
  <c r="C11" i="260"/>
  <c r="E60" i="304"/>
  <c r="E14" i="302"/>
  <c r="E16" i="302" s="1"/>
  <c r="E17" i="302" s="1"/>
  <c r="E18" i="302" s="1"/>
  <c r="E20" i="302" s="1"/>
  <c r="E495" i="261"/>
  <c r="E496" i="261"/>
  <c r="E497" i="261"/>
  <c r="O42" i="260"/>
  <c r="C22" i="271"/>
  <c r="D25" i="271" s="1"/>
  <c r="AK19" i="273"/>
  <c r="AK58" i="273" s="1"/>
  <c r="G58" i="267"/>
  <c r="H56" i="267"/>
  <c r="I2" i="267"/>
  <c r="F3" i="278"/>
  <c r="F1" i="270"/>
  <c r="F27" i="270" s="1"/>
  <c r="F3" i="272"/>
  <c r="F1" i="279"/>
  <c r="F27" i="279" s="1"/>
  <c r="F1" i="273"/>
  <c r="F21" i="273" s="1"/>
  <c r="AK58" i="270"/>
  <c r="AK68" i="270"/>
  <c r="AK33" i="270"/>
  <c r="F10" i="271"/>
  <c r="F15" i="273" s="1"/>
  <c r="D38" i="273"/>
  <c r="D60" i="273"/>
  <c r="D38" i="279"/>
  <c r="D60" i="279"/>
  <c r="D614" i="261"/>
  <c r="D27" i="277"/>
  <c r="D26" i="277"/>
  <c r="D49" i="277"/>
  <c r="D50" i="277"/>
  <c r="D50" i="271"/>
  <c r="D49" i="271"/>
  <c r="E14" i="279"/>
  <c r="E14" i="273"/>
  <c r="F6" i="268"/>
  <c r="D320" i="261"/>
  <c r="D50" i="278"/>
  <c r="E50" i="278" s="1"/>
  <c r="F50" i="278" s="1"/>
  <c r="G50" i="278" s="1"/>
  <c r="H50" i="278" s="1"/>
  <c r="I50" i="278" s="1"/>
  <c r="J50" i="278" s="1"/>
  <c r="K50" i="278" s="1"/>
  <c r="L50" i="278" s="1"/>
  <c r="M50" i="278" s="1"/>
  <c r="N50" i="278" s="1"/>
  <c r="O50" i="278" s="1"/>
  <c r="P50" i="278" s="1"/>
  <c r="Q50" i="278" s="1"/>
  <c r="R50" i="278" s="1"/>
  <c r="S50" i="278" s="1"/>
  <c r="T50" i="278" s="1"/>
  <c r="U50" i="278" s="1"/>
  <c r="V50" i="278" s="1"/>
  <c r="W50" i="278" s="1"/>
  <c r="X50" i="278" s="1"/>
  <c r="Y50" i="278" s="1"/>
  <c r="Z50" i="278" s="1"/>
  <c r="AA50" i="278" s="1"/>
  <c r="AB50" i="278" s="1"/>
  <c r="AC50" i="278" s="1"/>
  <c r="AD50" i="278" s="1"/>
  <c r="AE50" i="278" s="1"/>
  <c r="AF50" i="278" s="1"/>
  <c r="AG50" i="278" s="1"/>
  <c r="AH50" i="278" s="1"/>
  <c r="AI50" i="278" s="1"/>
  <c r="AJ50" i="278" s="1"/>
  <c r="AK50" i="278" s="1"/>
  <c r="D50" i="272"/>
  <c r="E50" i="272" s="1"/>
  <c r="F50" i="272" s="1"/>
  <c r="G50" i="272" s="1"/>
  <c r="H50" i="272" s="1"/>
  <c r="I50" i="272" s="1"/>
  <c r="J50" i="272" s="1"/>
  <c r="K50" i="272" s="1"/>
  <c r="L50" i="272" s="1"/>
  <c r="M50" i="272" s="1"/>
  <c r="N50" i="272" s="1"/>
  <c r="O50" i="272" s="1"/>
  <c r="P50" i="272" s="1"/>
  <c r="Q50" i="272" s="1"/>
  <c r="R50" i="272" s="1"/>
  <c r="S50" i="272" s="1"/>
  <c r="T50" i="272" s="1"/>
  <c r="U50" i="272" s="1"/>
  <c r="V50" i="272" s="1"/>
  <c r="W50" i="272" s="1"/>
  <c r="X50" i="272" s="1"/>
  <c r="Y50" i="272" s="1"/>
  <c r="Z50" i="272" s="1"/>
  <c r="AA50" i="272" s="1"/>
  <c r="AB50" i="272" s="1"/>
  <c r="AC50" i="272" s="1"/>
  <c r="AD50" i="272" s="1"/>
  <c r="AE50" i="272" s="1"/>
  <c r="AF50" i="272" s="1"/>
  <c r="AG50" i="272" s="1"/>
  <c r="AH50" i="272" s="1"/>
  <c r="AI50" i="272" s="1"/>
  <c r="AJ50" i="272" s="1"/>
  <c r="AK50" i="272" s="1"/>
  <c r="D50" i="269"/>
  <c r="E50" i="269" s="1"/>
  <c r="F50" i="269" s="1"/>
  <c r="G50" i="269" s="1"/>
  <c r="H50" i="269" s="1"/>
  <c r="I50" i="269" s="1"/>
  <c r="J50" i="269" s="1"/>
  <c r="K50" i="269" s="1"/>
  <c r="L50" i="269" s="1"/>
  <c r="M50" i="269" s="1"/>
  <c r="N50" i="269" s="1"/>
  <c r="O50" i="269" s="1"/>
  <c r="P50" i="269" s="1"/>
  <c r="Q50" i="269" s="1"/>
  <c r="R50" i="269" s="1"/>
  <c r="S50" i="269" s="1"/>
  <c r="T50" i="269" s="1"/>
  <c r="U50" i="269" s="1"/>
  <c r="V50" i="269" s="1"/>
  <c r="W50" i="269" s="1"/>
  <c r="X50" i="269" s="1"/>
  <c r="Y50" i="269" s="1"/>
  <c r="Z50" i="269" s="1"/>
  <c r="AA50" i="269" s="1"/>
  <c r="AB50" i="269" s="1"/>
  <c r="AC50" i="269" s="1"/>
  <c r="AD50" i="269" s="1"/>
  <c r="AE50" i="269" s="1"/>
  <c r="AF50" i="269" s="1"/>
  <c r="AG50" i="269" s="1"/>
  <c r="AH50" i="269" s="1"/>
  <c r="AI50" i="269" s="1"/>
  <c r="AJ50" i="269" s="1"/>
  <c r="AK50" i="269" s="1"/>
  <c r="C153" i="272"/>
  <c r="C153" i="278"/>
  <c r="C153" i="269"/>
  <c r="D316" i="261"/>
  <c r="C59" i="278"/>
  <c r="C59" i="272"/>
  <c r="C59" i="269"/>
  <c r="C154" i="272"/>
  <c r="C154" i="278"/>
  <c r="C154" i="269"/>
  <c r="D321" i="261"/>
  <c r="D51" i="278"/>
  <c r="E51" i="278" s="1"/>
  <c r="F51" i="278" s="1"/>
  <c r="G51" i="278" s="1"/>
  <c r="H51" i="278" s="1"/>
  <c r="I51" i="278" s="1"/>
  <c r="J51" i="278" s="1"/>
  <c r="K51" i="278" s="1"/>
  <c r="L51" i="278" s="1"/>
  <c r="M51" i="278" s="1"/>
  <c r="N51" i="278" s="1"/>
  <c r="O51" i="278" s="1"/>
  <c r="P51" i="278" s="1"/>
  <c r="Q51" i="278" s="1"/>
  <c r="R51" i="278" s="1"/>
  <c r="S51" i="278" s="1"/>
  <c r="T51" i="278" s="1"/>
  <c r="U51" i="278" s="1"/>
  <c r="V51" i="278" s="1"/>
  <c r="W51" i="278" s="1"/>
  <c r="X51" i="278" s="1"/>
  <c r="Y51" i="278" s="1"/>
  <c r="Z51" i="278" s="1"/>
  <c r="AA51" i="278" s="1"/>
  <c r="AB51" i="278" s="1"/>
  <c r="AC51" i="278" s="1"/>
  <c r="AD51" i="278" s="1"/>
  <c r="AE51" i="278" s="1"/>
  <c r="AF51" i="278" s="1"/>
  <c r="AG51" i="278" s="1"/>
  <c r="AH51" i="278" s="1"/>
  <c r="AI51" i="278" s="1"/>
  <c r="AJ51" i="278" s="1"/>
  <c r="AK51" i="278" s="1"/>
  <c r="D51" i="272"/>
  <c r="E51" i="272" s="1"/>
  <c r="F51" i="272" s="1"/>
  <c r="G51" i="272" s="1"/>
  <c r="H51" i="272" s="1"/>
  <c r="I51" i="272" s="1"/>
  <c r="J51" i="272" s="1"/>
  <c r="K51" i="272" s="1"/>
  <c r="L51" i="272" s="1"/>
  <c r="M51" i="272" s="1"/>
  <c r="N51" i="272" s="1"/>
  <c r="O51" i="272" s="1"/>
  <c r="P51" i="272" s="1"/>
  <c r="Q51" i="272" s="1"/>
  <c r="R51" i="272" s="1"/>
  <c r="S51" i="272" s="1"/>
  <c r="T51" i="272" s="1"/>
  <c r="U51" i="272" s="1"/>
  <c r="V51" i="272" s="1"/>
  <c r="W51" i="272" s="1"/>
  <c r="X51" i="272" s="1"/>
  <c r="Y51" i="272" s="1"/>
  <c r="Z51" i="272" s="1"/>
  <c r="AA51" i="272" s="1"/>
  <c r="AB51" i="272" s="1"/>
  <c r="AC51" i="272" s="1"/>
  <c r="AD51" i="272" s="1"/>
  <c r="AE51" i="272" s="1"/>
  <c r="AF51" i="272" s="1"/>
  <c r="AG51" i="272" s="1"/>
  <c r="AH51" i="272" s="1"/>
  <c r="AI51" i="272" s="1"/>
  <c r="AJ51" i="272" s="1"/>
  <c r="AK51" i="272" s="1"/>
  <c r="D51" i="269"/>
  <c r="E51" i="269" s="1"/>
  <c r="F51" i="269" s="1"/>
  <c r="G51" i="269" s="1"/>
  <c r="H51" i="269" s="1"/>
  <c r="I51" i="269" s="1"/>
  <c r="J51" i="269" s="1"/>
  <c r="K51" i="269" s="1"/>
  <c r="L51" i="269" s="1"/>
  <c r="M51" i="269" s="1"/>
  <c r="N51" i="269" s="1"/>
  <c r="O51" i="269" s="1"/>
  <c r="P51" i="269" s="1"/>
  <c r="Q51" i="269" s="1"/>
  <c r="R51" i="269" s="1"/>
  <c r="S51" i="269" s="1"/>
  <c r="T51" i="269" s="1"/>
  <c r="U51" i="269" s="1"/>
  <c r="V51" i="269" s="1"/>
  <c r="W51" i="269" s="1"/>
  <c r="X51" i="269" s="1"/>
  <c r="Y51" i="269" s="1"/>
  <c r="Z51" i="269" s="1"/>
  <c r="AA51" i="269" s="1"/>
  <c r="AB51" i="269" s="1"/>
  <c r="AC51" i="269" s="1"/>
  <c r="AD51" i="269" s="1"/>
  <c r="AE51" i="269" s="1"/>
  <c r="AF51" i="269" s="1"/>
  <c r="AG51" i="269" s="1"/>
  <c r="AH51" i="269" s="1"/>
  <c r="AI51" i="269" s="1"/>
  <c r="AJ51" i="269" s="1"/>
  <c r="AK51" i="269" s="1"/>
  <c r="D317" i="261"/>
  <c r="C60" i="278"/>
  <c r="C60" i="272"/>
  <c r="C60" i="269"/>
  <c r="C155" i="278"/>
  <c r="C155" i="272"/>
  <c r="C155" i="269"/>
  <c r="C29" i="268"/>
  <c r="C163" i="272"/>
  <c r="C163" i="278"/>
  <c r="C163" i="269"/>
  <c r="D303" i="261"/>
  <c r="D9" i="278"/>
  <c r="D9" i="272"/>
  <c r="D9" i="269"/>
  <c r="D319" i="261"/>
  <c r="D49" i="272"/>
  <c r="E49" i="272" s="1"/>
  <c r="F49" i="272" s="1"/>
  <c r="G49" i="272" s="1"/>
  <c r="H49" i="272" s="1"/>
  <c r="I49" i="272" s="1"/>
  <c r="J49" i="272" s="1"/>
  <c r="K49" i="272" s="1"/>
  <c r="L49" i="272" s="1"/>
  <c r="M49" i="272" s="1"/>
  <c r="N49" i="272" s="1"/>
  <c r="O49" i="272" s="1"/>
  <c r="P49" i="272" s="1"/>
  <c r="Q49" i="272" s="1"/>
  <c r="R49" i="272" s="1"/>
  <c r="S49" i="272" s="1"/>
  <c r="T49" i="272" s="1"/>
  <c r="U49" i="272" s="1"/>
  <c r="V49" i="272" s="1"/>
  <c r="W49" i="272" s="1"/>
  <c r="X49" i="272" s="1"/>
  <c r="Y49" i="272" s="1"/>
  <c r="Z49" i="272" s="1"/>
  <c r="AA49" i="272" s="1"/>
  <c r="AB49" i="272" s="1"/>
  <c r="AC49" i="272" s="1"/>
  <c r="AD49" i="272" s="1"/>
  <c r="AE49" i="272" s="1"/>
  <c r="AF49" i="272" s="1"/>
  <c r="AG49" i="272" s="1"/>
  <c r="AH49" i="272" s="1"/>
  <c r="AI49" i="272" s="1"/>
  <c r="AJ49" i="272" s="1"/>
  <c r="AK49" i="272" s="1"/>
  <c r="D49" i="278"/>
  <c r="E49" i="278" s="1"/>
  <c r="F49" i="278" s="1"/>
  <c r="G49" i="278" s="1"/>
  <c r="H49" i="278" s="1"/>
  <c r="I49" i="278" s="1"/>
  <c r="J49" i="278" s="1"/>
  <c r="K49" i="278" s="1"/>
  <c r="L49" i="278" s="1"/>
  <c r="M49" i="278" s="1"/>
  <c r="N49" i="278" s="1"/>
  <c r="O49" i="278" s="1"/>
  <c r="P49" i="278" s="1"/>
  <c r="Q49" i="278" s="1"/>
  <c r="R49" i="278" s="1"/>
  <c r="S49" i="278" s="1"/>
  <c r="T49" i="278" s="1"/>
  <c r="U49" i="278" s="1"/>
  <c r="V49" i="278" s="1"/>
  <c r="W49" i="278" s="1"/>
  <c r="X49" i="278" s="1"/>
  <c r="Y49" i="278" s="1"/>
  <c r="Z49" i="278" s="1"/>
  <c r="AA49" i="278" s="1"/>
  <c r="AB49" i="278" s="1"/>
  <c r="AC49" i="278" s="1"/>
  <c r="AD49" i="278" s="1"/>
  <c r="AE49" i="278" s="1"/>
  <c r="AF49" i="278" s="1"/>
  <c r="AG49" i="278" s="1"/>
  <c r="AH49" i="278" s="1"/>
  <c r="AI49" i="278" s="1"/>
  <c r="AJ49" i="278" s="1"/>
  <c r="AK49" i="278" s="1"/>
  <c r="D49" i="269"/>
  <c r="E49" i="269" s="1"/>
  <c r="F49" i="269" s="1"/>
  <c r="G49" i="269" s="1"/>
  <c r="H49" i="269" s="1"/>
  <c r="I49" i="269" s="1"/>
  <c r="J49" i="269" s="1"/>
  <c r="K49" i="269" s="1"/>
  <c r="L49" i="269" s="1"/>
  <c r="M49" i="269" s="1"/>
  <c r="N49" i="269" s="1"/>
  <c r="O49" i="269" s="1"/>
  <c r="P49" i="269" s="1"/>
  <c r="Q49" i="269" s="1"/>
  <c r="R49" i="269" s="1"/>
  <c r="S49" i="269" s="1"/>
  <c r="T49" i="269" s="1"/>
  <c r="U49" i="269" s="1"/>
  <c r="V49" i="269" s="1"/>
  <c r="W49" i="269" s="1"/>
  <c r="X49" i="269" s="1"/>
  <c r="Y49" i="269" s="1"/>
  <c r="Z49" i="269" s="1"/>
  <c r="AA49" i="269" s="1"/>
  <c r="AB49" i="269" s="1"/>
  <c r="AC49" i="269" s="1"/>
  <c r="AD49" i="269" s="1"/>
  <c r="AE49" i="269" s="1"/>
  <c r="AF49" i="269" s="1"/>
  <c r="AG49" i="269" s="1"/>
  <c r="AH49" i="269" s="1"/>
  <c r="AI49" i="269" s="1"/>
  <c r="AJ49" i="269" s="1"/>
  <c r="AK49" i="269" s="1"/>
  <c r="C165" i="278"/>
  <c r="C164" i="278"/>
  <c r="C165" i="272"/>
  <c r="C164" i="272"/>
  <c r="C165" i="269"/>
  <c r="C164" i="269"/>
  <c r="AF19" i="273"/>
  <c r="AG19" i="273"/>
  <c r="AH19" i="273"/>
  <c r="AJ19" i="273"/>
  <c r="AI19" i="273"/>
  <c r="L19" i="273"/>
  <c r="T19" i="273"/>
  <c r="AB19" i="273"/>
  <c r="E19" i="273"/>
  <c r="M19" i="273"/>
  <c r="U19" i="273"/>
  <c r="AC19" i="273"/>
  <c r="F19" i="273"/>
  <c r="N19" i="273"/>
  <c r="V19" i="273"/>
  <c r="AD19" i="273"/>
  <c r="G19" i="273"/>
  <c r="O19" i="273"/>
  <c r="W19" i="273"/>
  <c r="AE19" i="273"/>
  <c r="H19" i="273"/>
  <c r="P19" i="273"/>
  <c r="X19" i="273"/>
  <c r="D19" i="273"/>
  <c r="I19" i="273"/>
  <c r="Q19" i="273"/>
  <c r="Y19" i="273"/>
  <c r="R19" i="273"/>
  <c r="S19" i="273"/>
  <c r="Z19" i="273"/>
  <c r="AA19" i="273"/>
  <c r="J19" i="273"/>
  <c r="K19" i="273"/>
  <c r="D59" i="279"/>
  <c r="AH19" i="279"/>
  <c r="AI19" i="279"/>
  <c r="AJ19" i="279"/>
  <c r="AG19" i="279"/>
  <c r="AF19" i="279"/>
  <c r="E19" i="279"/>
  <c r="M19" i="279"/>
  <c r="U19" i="279"/>
  <c r="AC19" i="279"/>
  <c r="F19" i="279"/>
  <c r="N19" i="279"/>
  <c r="V19" i="279"/>
  <c r="AD19" i="279"/>
  <c r="G19" i="279"/>
  <c r="O19" i="279"/>
  <c r="W19" i="279"/>
  <c r="AE19" i="279"/>
  <c r="H19" i="279"/>
  <c r="P19" i="279"/>
  <c r="X19" i="279"/>
  <c r="D19" i="279"/>
  <c r="I19" i="279"/>
  <c r="Q19" i="279"/>
  <c r="Y19" i="279"/>
  <c r="J19" i="279"/>
  <c r="R19" i="279"/>
  <c r="Z19" i="279"/>
  <c r="K19" i="279"/>
  <c r="S19" i="279"/>
  <c r="AA19" i="279"/>
  <c r="L19" i="279"/>
  <c r="T19" i="279"/>
  <c r="AB19" i="279"/>
  <c r="C22" i="277"/>
  <c r="D48" i="277" s="1"/>
  <c r="F6" i="277"/>
  <c r="D59" i="273"/>
  <c r="AH19" i="270"/>
  <c r="AI19" i="270"/>
  <c r="AJ19" i="270"/>
  <c r="AG19" i="270"/>
  <c r="AF19" i="270"/>
  <c r="F19" i="270"/>
  <c r="N19" i="270"/>
  <c r="V19" i="270"/>
  <c r="AD19" i="270"/>
  <c r="G19" i="270"/>
  <c r="O19" i="270"/>
  <c r="W19" i="270"/>
  <c r="AE19" i="270"/>
  <c r="I19" i="270"/>
  <c r="Y19" i="270"/>
  <c r="H19" i="270"/>
  <c r="P19" i="270"/>
  <c r="X19" i="270"/>
  <c r="D19" i="270"/>
  <c r="Q19" i="270"/>
  <c r="J19" i="270"/>
  <c r="R19" i="270"/>
  <c r="Z19" i="270"/>
  <c r="K19" i="270"/>
  <c r="S19" i="270"/>
  <c r="AA19" i="270"/>
  <c r="U19" i="270"/>
  <c r="E19" i="270"/>
  <c r="AB19" i="270"/>
  <c r="AC19" i="270"/>
  <c r="L19" i="270"/>
  <c r="M19" i="270"/>
  <c r="T19" i="270"/>
  <c r="D47" i="270"/>
  <c r="E13" i="279"/>
  <c r="E27" i="279"/>
  <c r="E21" i="279"/>
  <c r="E27" i="270"/>
  <c r="E21" i="270"/>
  <c r="E13" i="270"/>
  <c r="E13" i="273"/>
  <c r="E21" i="273"/>
  <c r="E27" i="273"/>
  <c r="I2" i="277"/>
  <c r="G3" i="269"/>
  <c r="H2" i="271"/>
  <c r="E60" i="270"/>
  <c r="H51" i="267"/>
  <c r="E14" i="270"/>
  <c r="G2" i="268"/>
  <c r="G53" i="267"/>
  <c r="D25" i="318" l="1"/>
  <c r="D32" i="318" s="1"/>
  <c r="D25" i="321"/>
  <c r="D26" i="321"/>
  <c r="I10" i="267"/>
  <c r="G6" i="305" s="1"/>
  <c r="G14" i="307" s="1"/>
  <c r="I9" i="267"/>
  <c r="G6" i="271" s="1"/>
  <c r="I8" i="267"/>
  <c r="I12" i="267"/>
  <c r="I7" i="267"/>
  <c r="G6" i="302" s="1"/>
  <c r="G14" i="304" s="1"/>
  <c r="I11" i="267"/>
  <c r="G6" i="308" s="1"/>
  <c r="G14" i="309" s="1"/>
  <c r="AK33" i="279"/>
  <c r="D50" i="302"/>
  <c r="F11" i="324"/>
  <c r="F18" i="325" s="1"/>
  <c r="D29" i="309"/>
  <c r="F11" i="327"/>
  <c r="F18" i="328" s="1"/>
  <c r="F11" i="321"/>
  <c r="F18" i="322" s="1"/>
  <c r="D56" i="316"/>
  <c r="D23" i="316" s="1"/>
  <c r="D17" i="317" s="1"/>
  <c r="D21" i="317" s="1"/>
  <c r="G102" i="269"/>
  <c r="G103" i="269"/>
  <c r="G101" i="269"/>
  <c r="G100" i="269"/>
  <c r="G93" i="269"/>
  <c r="G96" i="269"/>
  <c r="G91" i="269"/>
  <c r="G98" i="269"/>
  <c r="G95" i="269"/>
  <c r="G97" i="269"/>
  <c r="G92" i="269"/>
  <c r="G90" i="269"/>
  <c r="AK58" i="279"/>
  <c r="AL96" i="319"/>
  <c r="AL121" i="319"/>
  <c r="AL121" i="314"/>
  <c r="AL96" i="314"/>
  <c r="AL58" i="307"/>
  <c r="AL33" i="307"/>
  <c r="AL68" i="307"/>
  <c r="AL121" i="325"/>
  <c r="AL96" i="325"/>
  <c r="AL59" i="328"/>
  <c r="AL34" i="328"/>
  <c r="AL69" i="328"/>
  <c r="AL131" i="328"/>
  <c r="AL121" i="316"/>
  <c r="AL96" i="316"/>
  <c r="AL33" i="304"/>
  <c r="AL68" i="304"/>
  <c r="AL58" i="304"/>
  <c r="AL96" i="322"/>
  <c r="AL121" i="322"/>
  <c r="AL59" i="314"/>
  <c r="AL34" i="314"/>
  <c r="AL131" i="314"/>
  <c r="AL69" i="314"/>
  <c r="AL58" i="279"/>
  <c r="AL68" i="279"/>
  <c r="AL33" i="279"/>
  <c r="AL58" i="270"/>
  <c r="AL33" i="270"/>
  <c r="AL68" i="270"/>
  <c r="AL131" i="325"/>
  <c r="AL59" i="325"/>
  <c r="AL34" i="325"/>
  <c r="AL69" i="325"/>
  <c r="AL121" i="328"/>
  <c r="AL96" i="328"/>
  <c r="D26" i="327"/>
  <c r="D25" i="327"/>
  <c r="D27" i="327"/>
  <c r="D79" i="325"/>
  <c r="D78" i="325"/>
  <c r="D40" i="324"/>
  <c r="D42" i="324" s="1"/>
  <c r="D43" i="324" s="1"/>
  <c r="D44" i="324" s="1"/>
  <c r="D46" i="324" s="1"/>
  <c r="D94" i="319"/>
  <c r="D103" i="319"/>
  <c r="D103" i="328"/>
  <c r="D94" i="328"/>
  <c r="D78" i="314"/>
  <c r="D40" i="312"/>
  <c r="D42" i="312" s="1"/>
  <c r="D43" i="312" s="1"/>
  <c r="D44" i="312" s="1"/>
  <c r="D46" i="312" s="1"/>
  <c r="D79" i="314"/>
  <c r="I44" i="267"/>
  <c r="I46" i="267" s="1"/>
  <c r="I29" i="267"/>
  <c r="I31" i="267" s="1"/>
  <c r="I45" i="267"/>
  <c r="I30" i="267"/>
  <c r="G11" i="308" s="1"/>
  <c r="G17" i="309" s="1"/>
  <c r="I40" i="267"/>
  <c r="I39" i="267"/>
  <c r="I41" i="267" s="1"/>
  <c r="F10" i="305"/>
  <c r="F10" i="268"/>
  <c r="F15" i="270" s="1"/>
  <c r="F10" i="318"/>
  <c r="F16" i="319" s="1"/>
  <c r="E37" i="312"/>
  <c r="E40" i="312" s="1"/>
  <c r="E42" i="312" s="1"/>
  <c r="E43" i="312" s="1"/>
  <c r="E44" i="312" s="1"/>
  <c r="E46" i="312" s="1"/>
  <c r="E50" i="312" s="1"/>
  <c r="D78" i="319"/>
  <c r="D79" i="319"/>
  <c r="D40" i="318"/>
  <c r="D42" i="318" s="1"/>
  <c r="D43" i="318" s="1"/>
  <c r="D44" i="318" s="1"/>
  <c r="D46" i="318" s="1"/>
  <c r="D27" i="312"/>
  <c r="D25" i="312"/>
  <c r="D26" i="312"/>
  <c r="D103" i="314"/>
  <c r="D94" i="314"/>
  <c r="D103" i="325"/>
  <c r="D94" i="325"/>
  <c r="F10" i="277"/>
  <c r="F10" i="315"/>
  <c r="F14" i="315" s="1"/>
  <c r="F16" i="315" s="1"/>
  <c r="F17" i="315" s="1"/>
  <c r="F18" i="315" s="1"/>
  <c r="F20" i="315" s="1"/>
  <c r="E37" i="315"/>
  <c r="E40" i="315" s="1"/>
  <c r="E42" i="315" s="1"/>
  <c r="E43" i="315" s="1"/>
  <c r="E44" i="315" s="1"/>
  <c r="E46" i="315" s="1"/>
  <c r="E49" i="315" s="1"/>
  <c r="D56" i="322"/>
  <c r="D23" i="322" s="1"/>
  <c r="D78" i="316"/>
  <c r="D79" i="316"/>
  <c r="D40" i="315"/>
  <c r="D42" i="315" s="1"/>
  <c r="D43" i="315" s="1"/>
  <c r="D44" i="315" s="1"/>
  <c r="D46" i="315" s="1"/>
  <c r="D79" i="328"/>
  <c r="D78" i="328"/>
  <c r="D40" i="327"/>
  <c r="D42" i="327" s="1"/>
  <c r="D43" i="327" s="1"/>
  <c r="D44" i="327" s="1"/>
  <c r="D46" i="327" s="1"/>
  <c r="D122" i="314"/>
  <c r="D60" i="314"/>
  <c r="D94" i="322"/>
  <c r="D103" i="322"/>
  <c r="F40" i="309"/>
  <c r="D78" i="322"/>
  <c r="D79" i="322"/>
  <c r="D40" i="321"/>
  <c r="D42" i="321" s="1"/>
  <c r="D43" i="321" s="1"/>
  <c r="D44" i="321" s="1"/>
  <c r="D46" i="321" s="1"/>
  <c r="F11" i="318"/>
  <c r="F18" i="319" s="1"/>
  <c r="F11" i="315"/>
  <c r="F18" i="316" s="1"/>
  <c r="F11" i="312"/>
  <c r="F18" i="314" s="1"/>
  <c r="D103" i="316"/>
  <c r="D94" i="316"/>
  <c r="G11" i="268"/>
  <c r="G17" i="270" s="1"/>
  <c r="G11" i="277"/>
  <c r="G11" i="302"/>
  <c r="G17" i="304" s="1"/>
  <c r="F77" i="322"/>
  <c r="F15" i="322"/>
  <c r="F77" i="328"/>
  <c r="F15" i="328"/>
  <c r="G6" i="318"/>
  <c r="G6" i="321"/>
  <c r="G6" i="324"/>
  <c r="G6" i="312"/>
  <c r="G6" i="315"/>
  <c r="G6" i="327"/>
  <c r="F77" i="319"/>
  <c r="F15" i="319"/>
  <c r="E60" i="314"/>
  <c r="F77" i="325"/>
  <c r="F15" i="325"/>
  <c r="F77" i="314"/>
  <c r="F15" i="314"/>
  <c r="F77" i="316"/>
  <c r="F15" i="316"/>
  <c r="F101" i="323"/>
  <c r="F102" i="323"/>
  <c r="F103" i="323"/>
  <c r="F100" i="323"/>
  <c r="F91" i="323"/>
  <c r="F98" i="323"/>
  <c r="F96" i="323"/>
  <c r="F92" i="323"/>
  <c r="F97" i="323"/>
  <c r="F93" i="323"/>
  <c r="F95" i="323"/>
  <c r="F90" i="323"/>
  <c r="F103" i="313"/>
  <c r="F100" i="313"/>
  <c r="F101" i="313"/>
  <c r="F102" i="313"/>
  <c r="F98" i="313"/>
  <c r="F96" i="313"/>
  <c r="F92" i="313"/>
  <c r="F93" i="313"/>
  <c r="F97" i="313"/>
  <c r="F95" i="313"/>
  <c r="F90" i="313"/>
  <c r="F91" i="313"/>
  <c r="F101" i="320"/>
  <c r="F102" i="320"/>
  <c r="F103" i="320"/>
  <c r="F100" i="320"/>
  <c r="F98" i="320"/>
  <c r="F96" i="320"/>
  <c r="F92" i="320"/>
  <c r="F93" i="320"/>
  <c r="F97" i="320"/>
  <c r="F95" i="320"/>
  <c r="F90" i="320"/>
  <c r="F91" i="320"/>
  <c r="F101" i="326"/>
  <c r="F102" i="326"/>
  <c r="F103" i="326"/>
  <c r="F100" i="326"/>
  <c r="F91" i="326"/>
  <c r="F98" i="326"/>
  <c r="F96" i="326"/>
  <c r="F92" i="326"/>
  <c r="F93" i="326"/>
  <c r="F97" i="326"/>
  <c r="F95" i="326"/>
  <c r="F90" i="326"/>
  <c r="F101" i="329"/>
  <c r="F102" i="329"/>
  <c r="F100" i="329"/>
  <c r="F103" i="329"/>
  <c r="F97" i="329"/>
  <c r="F95" i="329"/>
  <c r="F98" i="329"/>
  <c r="F96" i="329"/>
  <c r="F93" i="329"/>
  <c r="F92" i="329"/>
  <c r="F90" i="329"/>
  <c r="F91" i="329"/>
  <c r="F103" i="278"/>
  <c r="F102" i="278"/>
  <c r="F100" i="278"/>
  <c r="F101" i="278"/>
  <c r="F97" i="278"/>
  <c r="F95" i="278"/>
  <c r="F90" i="278"/>
  <c r="F91" i="278"/>
  <c r="F98" i="278"/>
  <c r="F96" i="278"/>
  <c r="F92" i="278"/>
  <c r="F93" i="278"/>
  <c r="F103" i="272"/>
  <c r="F101" i="272"/>
  <c r="F102" i="272"/>
  <c r="F100" i="272"/>
  <c r="F98" i="272"/>
  <c r="F96" i="272"/>
  <c r="F93" i="272"/>
  <c r="F97" i="272"/>
  <c r="F95" i="272"/>
  <c r="F90" i="272"/>
  <c r="F91" i="272"/>
  <c r="F92" i="272"/>
  <c r="F101" i="317"/>
  <c r="F102" i="317"/>
  <c r="F103" i="317"/>
  <c r="F100" i="317"/>
  <c r="F91" i="317"/>
  <c r="F98" i="317"/>
  <c r="F96" i="317"/>
  <c r="F92" i="317"/>
  <c r="F95" i="317"/>
  <c r="F97" i="317"/>
  <c r="F90" i="317"/>
  <c r="F93" i="317"/>
  <c r="F106" i="323"/>
  <c r="F105" i="323"/>
  <c r="F108" i="323"/>
  <c r="F107" i="323"/>
  <c r="F108" i="329"/>
  <c r="F105" i="329"/>
  <c r="F106" i="329"/>
  <c r="F107" i="329"/>
  <c r="G106" i="269"/>
  <c r="G108" i="269"/>
  <c r="G105" i="269"/>
  <c r="G107" i="269"/>
  <c r="F106" i="278"/>
  <c r="F105" i="278"/>
  <c r="F108" i="278"/>
  <c r="F107" i="278"/>
  <c r="F107" i="272"/>
  <c r="F108" i="272"/>
  <c r="F106" i="272"/>
  <c r="F105" i="272"/>
  <c r="F106" i="317"/>
  <c r="F105" i="317"/>
  <c r="F108" i="317"/>
  <c r="F107" i="317"/>
  <c r="F107" i="313"/>
  <c r="F105" i="313"/>
  <c r="F106" i="313"/>
  <c r="F108" i="313"/>
  <c r="F106" i="320"/>
  <c r="F105" i="320"/>
  <c r="F108" i="320"/>
  <c r="F107" i="320"/>
  <c r="F105" i="326"/>
  <c r="F108" i="326"/>
  <c r="F106" i="326"/>
  <c r="F107" i="326"/>
  <c r="D186" i="310"/>
  <c r="E78" i="316"/>
  <c r="E101" i="316" s="1"/>
  <c r="E79" i="316"/>
  <c r="T96" i="314"/>
  <c r="T121" i="314"/>
  <c r="AA121" i="316"/>
  <c r="AA96" i="316"/>
  <c r="AJ96" i="314"/>
  <c r="AJ121" i="314"/>
  <c r="G96" i="316"/>
  <c r="G121" i="316"/>
  <c r="L121" i="316"/>
  <c r="L96" i="316"/>
  <c r="J121" i="319"/>
  <c r="J96" i="319"/>
  <c r="V121" i="314"/>
  <c r="V96" i="314"/>
  <c r="Q121" i="316"/>
  <c r="Q96" i="316"/>
  <c r="J96" i="316"/>
  <c r="J121" i="316"/>
  <c r="AE96" i="319"/>
  <c r="AE121" i="319"/>
  <c r="AI121" i="319"/>
  <c r="AI96" i="319"/>
  <c r="AK96" i="319"/>
  <c r="AK121" i="319"/>
  <c r="E96" i="319"/>
  <c r="E121" i="319"/>
  <c r="H121" i="319"/>
  <c r="H96" i="319"/>
  <c r="M96" i="322"/>
  <c r="M121" i="322"/>
  <c r="P121" i="322"/>
  <c r="P96" i="322"/>
  <c r="O121" i="322"/>
  <c r="O96" i="322"/>
  <c r="N96" i="322"/>
  <c r="N121" i="322"/>
  <c r="AE121" i="325"/>
  <c r="AE96" i="325"/>
  <c r="AD96" i="325"/>
  <c r="AD121" i="325"/>
  <c r="N96" i="325"/>
  <c r="N121" i="325"/>
  <c r="U96" i="325"/>
  <c r="U121" i="325"/>
  <c r="E96" i="325"/>
  <c r="E121" i="325"/>
  <c r="X121" i="325"/>
  <c r="X96" i="325"/>
  <c r="AE131" i="325"/>
  <c r="AE69" i="325"/>
  <c r="AE59" i="325"/>
  <c r="AE34" i="325"/>
  <c r="O131" i="325"/>
  <c r="O59" i="325"/>
  <c r="O34" i="325"/>
  <c r="O69" i="325"/>
  <c r="AG131" i="328"/>
  <c r="AG34" i="328"/>
  <c r="AG59" i="328"/>
  <c r="AG69" i="328"/>
  <c r="Q131" i="328"/>
  <c r="Q34" i="328"/>
  <c r="Q59" i="328"/>
  <c r="Q69" i="328"/>
  <c r="AH96" i="328"/>
  <c r="AH121" i="328"/>
  <c r="R96" i="328"/>
  <c r="R121" i="328"/>
  <c r="D131" i="325"/>
  <c r="D69" i="325"/>
  <c r="D59" i="325"/>
  <c r="D126" i="325" s="1"/>
  <c r="D34" i="325"/>
  <c r="V131" i="325"/>
  <c r="V69" i="325"/>
  <c r="V59" i="325"/>
  <c r="V34" i="325"/>
  <c r="F131" i="325"/>
  <c r="F59" i="325"/>
  <c r="F34" i="325"/>
  <c r="F69" i="325"/>
  <c r="X131" i="328"/>
  <c r="X34" i="328"/>
  <c r="X59" i="328"/>
  <c r="X69" i="328"/>
  <c r="H131" i="328"/>
  <c r="H34" i="328"/>
  <c r="H59" i="328"/>
  <c r="H69" i="328"/>
  <c r="Y121" i="328"/>
  <c r="Y96" i="328"/>
  <c r="I121" i="328"/>
  <c r="I96" i="328"/>
  <c r="AC131" i="325"/>
  <c r="AC59" i="325"/>
  <c r="AC34" i="325"/>
  <c r="AC69" i="325"/>
  <c r="M131" i="325"/>
  <c r="M69" i="325"/>
  <c r="M59" i="325"/>
  <c r="M34" i="325"/>
  <c r="AE131" i="328"/>
  <c r="AE69" i="328"/>
  <c r="AE59" i="328"/>
  <c r="AE34" i="328"/>
  <c r="O131" i="328"/>
  <c r="O69" i="328"/>
  <c r="O59" i="328"/>
  <c r="O34" i="328"/>
  <c r="AF121" i="328"/>
  <c r="AF96" i="328"/>
  <c r="P121" i="328"/>
  <c r="P96" i="328"/>
  <c r="AF131" i="325"/>
  <c r="AF59" i="325"/>
  <c r="AF34" i="325"/>
  <c r="AF69" i="325"/>
  <c r="P131" i="325"/>
  <c r="P34" i="325"/>
  <c r="P69" i="325"/>
  <c r="P59" i="325"/>
  <c r="AH131" i="328"/>
  <c r="AH59" i="328"/>
  <c r="AH69" i="328"/>
  <c r="AH34" i="328"/>
  <c r="R131" i="328"/>
  <c r="R59" i="328"/>
  <c r="R69" i="328"/>
  <c r="R34" i="328"/>
  <c r="S96" i="328"/>
  <c r="S121" i="328"/>
  <c r="E78" i="319"/>
  <c r="E92" i="319" s="1"/>
  <c r="E79" i="319"/>
  <c r="E78" i="322"/>
  <c r="E92" i="322" s="1"/>
  <c r="E79" i="322"/>
  <c r="D96" i="314"/>
  <c r="D121" i="314"/>
  <c r="I96" i="314"/>
  <c r="I121" i="314"/>
  <c r="AG96" i="314"/>
  <c r="AG121" i="314"/>
  <c r="H96" i="314"/>
  <c r="H121" i="314"/>
  <c r="L96" i="314"/>
  <c r="L121" i="314"/>
  <c r="U96" i="314"/>
  <c r="U121" i="314"/>
  <c r="W96" i="316"/>
  <c r="W121" i="316"/>
  <c r="W121" i="314"/>
  <c r="W96" i="314"/>
  <c r="G121" i="314"/>
  <c r="G96" i="314"/>
  <c r="P121" i="316"/>
  <c r="P96" i="316"/>
  <c r="AF121" i="316"/>
  <c r="AF96" i="316"/>
  <c r="AH121" i="314"/>
  <c r="AH96" i="314"/>
  <c r="R121" i="314"/>
  <c r="R96" i="314"/>
  <c r="E121" i="316"/>
  <c r="E96" i="316"/>
  <c r="U121" i="316"/>
  <c r="U96" i="316"/>
  <c r="AK121" i="316"/>
  <c r="AK96" i="316"/>
  <c r="N96" i="316"/>
  <c r="N121" i="316"/>
  <c r="AD96" i="316"/>
  <c r="AD121" i="316"/>
  <c r="W121" i="319"/>
  <c r="W96" i="319"/>
  <c r="V96" i="319"/>
  <c r="V121" i="319"/>
  <c r="AA96" i="319"/>
  <c r="AA121" i="319"/>
  <c r="AG121" i="319"/>
  <c r="AG96" i="319"/>
  <c r="Q121" i="319"/>
  <c r="Q96" i="319"/>
  <c r="AJ96" i="319"/>
  <c r="AJ121" i="319"/>
  <c r="T96" i="319"/>
  <c r="T121" i="319"/>
  <c r="G121" i="319"/>
  <c r="G96" i="319"/>
  <c r="Y121" i="322"/>
  <c r="Y96" i="322"/>
  <c r="I121" i="322"/>
  <c r="I96" i="322"/>
  <c r="AB96" i="322"/>
  <c r="AB121" i="322"/>
  <c r="L96" i="322"/>
  <c r="L121" i="322"/>
  <c r="AA121" i="322"/>
  <c r="AA96" i="322"/>
  <c r="K96" i="322"/>
  <c r="K121" i="322"/>
  <c r="Z121" i="322"/>
  <c r="Z96" i="322"/>
  <c r="J121" i="322"/>
  <c r="J96" i="322"/>
  <c r="AA96" i="325"/>
  <c r="AA121" i="325"/>
  <c r="K96" i="325"/>
  <c r="K121" i="325"/>
  <c r="Z96" i="325"/>
  <c r="Z121" i="325"/>
  <c r="J96" i="325"/>
  <c r="J121" i="325"/>
  <c r="AG121" i="325"/>
  <c r="AG96" i="325"/>
  <c r="Q121" i="325"/>
  <c r="Q96" i="325"/>
  <c r="AJ121" i="325"/>
  <c r="AJ96" i="325"/>
  <c r="T96" i="325"/>
  <c r="T121" i="325"/>
  <c r="D96" i="328"/>
  <c r="D121" i="328"/>
  <c r="AA131" i="325"/>
  <c r="AA59" i="325"/>
  <c r="AA34" i="325"/>
  <c r="AA69" i="325"/>
  <c r="K131" i="325"/>
  <c r="K34" i="325"/>
  <c r="K69" i="325"/>
  <c r="K59" i="325"/>
  <c r="AC131" i="328"/>
  <c r="AC69" i="328"/>
  <c r="AC59" i="328"/>
  <c r="AC34" i="328"/>
  <c r="M131" i="328"/>
  <c r="M69" i="328"/>
  <c r="M59" i="328"/>
  <c r="M34" i="328"/>
  <c r="AD96" i="328"/>
  <c r="AD121" i="328"/>
  <c r="N96" i="328"/>
  <c r="N121" i="328"/>
  <c r="AH131" i="325"/>
  <c r="AH34" i="325"/>
  <c r="AH69" i="325"/>
  <c r="AH59" i="325"/>
  <c r="R131" i="325"/>
  <c r="R59" i="325"/>
  <c r="R34" i="325"/>
  <c r="R69" i="325"/>
  <c r="AJ131" i="328"/>
  <c r="AJ34" i="328"/>
  <c r="AJ59" i="328"/>
  <c r="AJ69" i="328"/>
  <c r="T131" i="328"/>
  <c r="T34" i="328"/>
  <c r="T59" i="328"/>
  <c r="T69" i="328"/>
  <c r="AK96" i="328"/>
  <c r="AK121" i="328"/>
  <c r="U96" i="328"/>
  <c r="U121" i="328"/>
  <c r="E96" i="328"/>
  <c r="E121" i="328"/>
  <c r="Y131" i="325"/>
  <c r="Y34" i="325"/>
  <c r="Y69" i="325"/>
  <c r="Y59" i="325"/>
  <c r="I131" i="325"/>
  <c r="I59" i="325"/>
  <c r="I34" i="325"/>
  <c r="I69" i="325"/>
  <c r="AA131" i="328"/>
  <c r="AA59" i="328"/>
  <c r="AA69" i="328"/>
  <c r="AA34" i="328"/>
  <c r="K131" i="328"/>
  <c r="K59" i="328"/>
  <c r="K69" i="328"/>
  <c r="K34" i="328"/>
  <c r="AB96" i="328"/>
  <c r="AB121" i="328"/>
  <c r="L96" i="328"/>
  <c r="L121" i="328"/>
  <c r="AB34" i="325"/>
  <c r="AB59" i="325"/>
  <c r="AB69" i="325"/>
  <c r="AB131" i="325"/>
  <c r="L34" i="325"/>
  <c r="L59" i="325"/>
  <c r="L69" i="325"/>
  <c r="L131" i="325"/>
  <c r="AD131" i="328"/>
  <c r="AD34" i="328"/>
  <c r="AD59" i="328"/>
  <c r="AD69" i="328"/>
  <c r="N131" i="328"/>
  <c r="N34" i="328"/>
  <c r="N59" i="328"/>
  <c r="N69" i="328"/>
  <c r="AE121" i="328"/>
  <c r="AE96" i="328"/>
  <c r="O121" i="328"/>
  <c r="O96" i="328"/>
  <c r="E78" i="328"/>
  <c r="E101" i="328" s="1"/>
  <c r="E79" i="328"/>
  <c r="Q96" i="314"/>
  <c r="Q121" i="314"/>
  <c r="P96" i="314"/>
  <c r="P121" i="314"/>
  <c r="AC96" i="314"/>
  <c r="AC121" i="314"/>
  <c r="AA121" i="314"/>
  <c r="AA96" i="314"/>
  <c r="K121" i="314"/>
  <c r="K96" i="314"/>
  <c r="AB121" i="316"/>
  <c r="AB96" i="316"/>
  <c r="F121" i="314"/>
  <c r="F96" i="314"/>
  <c r="AG121" i="316"/>
  <c r="AG96" i="316"/>
  <c r="Z96" i="316"/>
  <c r="Z121" i="316"/>
  <c r="AD96" i="319"/>
  <c r="AD121" i="319"/>
  <c r="U96" i="319"/>
  <c r="U121" i="319"/>
  <c r="X121" i="319"/>
  <c r="X96" i="319"/>
  <c r="AC96" i="322"/>
  <c r="AC121" i="322"/>
  <c r="AF121" i="322"/>
  <c r="AF96" i="322"/>
  <c r="AE96" i="322"/>
  <c r="AE121" i="322"/>
  <c r="AD96" i="322"/>
  <c r="AD121" i="322"/>
  <c r="O121" i="325"/>
  <c r="O96" i="325"/>
  <c r="AK96" i="325"/>
  <c r="AK121" i="325"/>
  <c r="H121" i="325"/>
  <c r="H96" i="325"/>
  <c r="AI96" i="328"/>
  <c r="AI121" i="328"/>
  <c r="K121" i="316"/>
  <c r="K96" i="316"/>
  <c r="O121" i="316"/>
  <c r="O96" i="316"/>
  <c r="AF96" i="314"/>
  <c r="AF121" i="314"/>
  <c r="S121" i="316"/>
  <c r="S96" i="316"/>
  <c r="D131" i="314"/>
  <c r="D69" i="314"/>
  <c r="D59" i="314"/>
  <c r="M96" i="314"/>
  <c r="M121" i="314"/>
  <c r="AI121" i="314"/>
  <c r="AI96" i="314"/>
  <c r="S121" i="314"/>
  <c r="S96" i="314"/>
  <c r="D96" i="316"/>
  <c r="D121" i="316"/>
  <c r="T121" i="316"/>
  <c r="T96" i="316"/>
  <c r="AJ121" i="316"/>
  <c r="AJ96" i="316"/>
  <c r="AD121" i="314"/>
  <c r="AD96" i="314"/>
  <c r="N121" i="314"/>
  <c r="N96" i="314"/>
  <c r="I121" i="316"/>
  <c r="I96" i="316"/>
  <c r="Y121" i="316"/>
  <c r="Y96" i="316"/>
  <c r="Z121" i="319"/>
  <c r="Z96" i="319"/>
  <c r="R96" i="316"/>
  <c r="R121" i="316"/>
  <c r="AH96" i="316"/>
  <c r="AH121" i="316"/>
  <c r="O121" i="319"/>
  <c r="O96" i="319"/>
  <c r="N96" i="319"/>
  <c r="N121" i="319"/>
  <c r="S96" i="319"/>
  <c r="S121" i="319"/>
  <c r="AC96" i="319"/>
  <c r="AC121" i="319"/>
  <c r="M96" i="319"/>
  <c r="M121" i="319"/>
  <c r="AF121" i="319"/>
  <c r="AF96" i="319"/>
  <c r="P121" i="319"/>
  <c r="P96" i="319"/>
  <c r="AK96" i="322"/>
  <c r="AK121" i="322"/>
  <c r="U96" i="322"/>
  <c r="U121" i="322"/>
  <c r="E96" i="322"/>
  <c r="E121" i="322"/>
  <c r="X121" i="322"/>
  <c r="X96" i="322"/>
  <c r="H121" i="322"/>
  <c r="H96" i="322"/>
  <c r="W96" i="322"/>
  <c r="W121" i="322"/>
  <c r="G96" i="322"/>
  <c r="G121" i="322"/>
  <c r="V96" i="322"/>
  <c r="V121" i="322"/>
  <c r="F96" i="322"/>
  <c r="F121" i="322"/>
  <c r="W121" i="325"/>
  <c r="W96" i="325"/>
  <c r="G121" i="325"/>
  <c r="G96" i="325"/>
  <c r="V96" i="325"/>
  <c r="V121" i="325"/>
  <c r="F96" i="325"/>
  <c r="F121" i="325"/>
  <c r="AC96" i="325"/>
  <c r="AC121" i="325"/>
  <c r="M96" i="325"/>
  <c r="M121" i="325"/>
  <c r="AF121" i="325"/>
  <c r="AF96" i="325"/>
  <c r="P121" i="325"/>
  <c r="P96" i="325"/>
  <c r="D96" i="322"/>
  <c r="D121" i="322"/>
  <c r="W131" i="325"/>
  <c r="W59" i="325"/>
  <c r="W34" i="325"/>
  <c r="W69" i="325"/>
  <c r="G131" i="325"/>
  <c r="G34" i="325"/>
  <c r="G69" i="325"/>
  <c r="G59" i="325"/>
  <c r="Y131" i="328"/>
  <c r="Y34" i="328"/>
  <c r="Y59" i="328"/>
  <c r="Y69" i="328"/>
  <c r="I131" i="328"/>
  <c r="I34" i="328"/>
  <c r="I59" i="328"/>
  <c r="I69" i="328"/>
  <c r="Z96" i="328"/>
  <c r="Z121" i="328"/>
  <c r="J96" i="328"/>
  <c r="J121" i="328"/>
  <c r="AD131" i="325"/>
  <c r="AD34" i="325"/>
  <c r="AD69" i="325"/>
  <c r="AD59" i="325"/>
  <c r="N131" i="325"/>
  <c r="N59" i="325"/>
  <c r="N34" i="325"/>
  <c r="N69" i="325"/>
  <c r="AF131" i="328"/>
  <c r="AF34" i="328"/>
  <c r="AF59" i="328"/>
  <c r="AF69" i="328"/>
  <c r="P131" i="328"/>
  <c r="P34" i="328"/>
  <c r="P59" i="328"/>
  <c r="P69" i="328"/>
  <c r="AG121" i="328"/>
  <c r="AG96" i="328"/>
  <c r="Q121" i="328"/>
  <c r="Q96" i="328"/>
  <c r="AK131" i="325"/>
  <c r="AK59" i="325"/>
  <c r="AK34" i="325"/>
  <c r="AK69" i="325"/>
  <c r="U131" i="325"/>
  <c r="U34" i="325"/>
  <c r="U69" i="325"/>
  <c r="U59" i="325"/>
  <c r="E131" i="325"/>
  <c r="E59" i="325"/>
  <c r="E34" i="325"/>
  <c r="E69" i="325"/>
  <c r="W131" i="328"/>
  <c r="W69" i="328"/>
  <c r="W59" i="328"/>
  <c r="W34" i="328"/>
  <c r="G131" i="328"/>
  <c r="G69" i="328"/>
  <c r="G59" i="328"/>
  <c r="G34" i="328"/>
  <c r="X96" i="328"/>
  <c r="X121" i="328"/>
  <c r="H96" i="328"/>
  <c r="H121" i="328"/>
  <c r="X131" i="325"/>
  <c r="X59" i="325"/>
  <c r="X34" i="325"/>
  <c r="X69" i="325"/>
  <c r="H131" i="325"/>
  <c r="H69" i="325"/>
  <c r="H59" i="325"/>
  <c r="H34" i="325"/>
  <c r="Z131" i="328"/>
  <c r="Z59" i="328"/>
  <c r="Z69" i="328"/>
  <c r="Z34" i="328"/>
  <c r="J131" i="328"/>
  <c r="J59" i="328"/>
  <c r="J69" i="328"/>
  <c r="J34" i="328"/>
  <c r="AA96" i="328"/>
  <c r="AA121" i="328"/>
  <c r="K96" i="328"/>
  <c r="K121" i="328"/>
  <c r="E40" i="327"/>
  <c r="E42" i="327" s="1"/>
  <c r="E43" i="327" s="1"/>
  <c r="E44" i="327" s="1"/>
  <c r="E46" i="327" s="1"/>
  <c r="E49" i="327" s="1"/>
  <c r="E78" i="325"/>
  <c r="E101" i="325" s="1"/>
  <c r="E79" i="325"/>
  <c r="F17" i="328"/>
  <c r="F16" i="328"/>
  <c r="AB96" i="314"/>
  <c r="AB121" i="314"/>
  <c r="Y96" i="314"/>
  <c r="Y121" i="314"/>
  <c r="AE121" i="316"/>
  <c r="AE96" i="316"/>
  <c r="X96" i="314"/>
  <c r="X121" i="314"/>
  <c r="AI121" i="316"/>
  <c r="AI96" i="316"/>
  <c r="AK96" i="314"/>
  <c r="AK121" i="314"/>
  <c r="E96" i="314"/>
  <c r="E121" i="314"/>
  <c r="AE121" i="314"/>
  <c r="AE96" i="314"/>
  <c r="O121" i="314"/>
  <c r="O96" i="314"/>
  <c r="H121" i="316"/>
  <c r="H96" i="316"/>
  <c r="X121" i="316"/>
  <c r="X96" i="316"/>
  <c r="AH121" i="319"/>
  <c r="AH96" i="319"/>
  <c r="Z121" i="314"/>
  <c r="Z96" i="314"/>
  <c r="J121" i="314"/>
  <c r="J96" i="314"/>
  <c r="M121" i="316"/>
  <c r="M96" i="316"/>
  <c r="AC121" i="316"/>
  <c r="AC96" i="316"/>
  <c r="F96" i="316"/>
  <c r="F121" i="316"/>
  <c r="V96" i="316"/>
  <c r="V121" i="316"/>
  <c r="R96" i="319"/>
  <c r="R121" i="319"/>
  <c r="F96" i="319"/>
  <c r="F121" i="319"/>
  <c r="D96" i="319"/>
  <c r="D121" i="319"/>
  <c r="K96" i="319"/>
  <c r="K121" i="319"/>
  <c r="Y121" i="319"/>
  <c r="Y96" i="319"/>
  <c r="I121" i="319"/>
  <c r="I96" i="319"/>
  <c r="AB96" i="319"/>
  <c r="AB121" i="319"/>
  <c r="L96" i="319"/>
  <c r="L121" i="319"/>
  <c r="AG121" i="322"/>
  <c r="AG96" i="322"/>
  <c r="Q121" i="322"/>
  <c r="Q96" i="322"/>
  <c r="AJ96" i="322"/>
  <c r="AJ121" i="322"/>
  <c r="T96" i="322"/>
  <c r="T121" i="322"/>
  <c r="AI96" i="322"/>
  <c r="AI121" i="322"/>
  <c r="S96" i="322"/>
  <c r="S121" i="322"/>
  <c r="AH121" i="322"/>
  <c r="AH96" i="322"/>
  <c r="R121" i="322"/>
  <c r="R96" i="322"/>
  <c r="AI96" i="325"/>
  <c r="AI121" i="325"/>
  <c r="S96" i="325"/>
  <c r="S121" i="325"/>
  <c r="AH96" i="325"/>
  <c r="AH121" i="325"/>
  <c r="R96" i="325"/>
  <c r="R121" i="325"/>
  <c r="D121" i="325"/>
  <c r="D96" i="325"/>
  <c r="Y121" i="325"/>
  <c r="Y96" i="325"/>
  <c r="I121" i="325"/>
  <c r="I96" i="325"/>
  <c r="AB96" i="325"/>
  <c r="AB121" i="325"/>
  <c r="L96" i="325"/>
  <c r="L121" i="325"/>
  <c r="AI131" i="325"/>
  <c r="AI69" i="325"/>
  <c r="AI59" i="325"/>
  <c r="AI34" i="325"/>
  <c r="S131" i="325"/>
  <c r="S59" i="325"/>
  <c r="S34" i="325"/>
  <c r="S69" i="325"/>
  <c r="AK131" i="328"/>
  <c r="AK69" i="328"/>
  <c r="AK59" i="328"/>
  <c r="AK34" i="328"/>
  <c r="U131" i="328"/>
  <c r="U69" i="328"/>
  <c r="U59" i="328"/>
  <c r="U34" i="328"/>
  <c r="E131" i="328"/>
  <c r="E69" i="328"/>
  <c r="E59" i="328"/>
  <c r="E34" i="328"/>
  <c r="V96" i="328"/>
  <c r="V121" i="328"/>
  <c r="F96" i="328"/>
  <c r="F121" i="328"/>
  <c r="Z131" i="325"/>
  <c r="Z69" i="325"/>
  <c r="Z59" i="325"/>
  <c r="Z34" i="325"/>
  <c r="J131" i="325"/>
  <c r="J59" i="325"/>
  <c r="J34" i="325"/>
  <c r="J69" i="325"/>
  <c r="AB131" i="328"/>
  <c r="AB34" i="328"/>
  <c r="AB59" i="328"/>
  <c r="AB69" i="328"/>
  <c r="L131" i="328"/>
  <c r="L34" i="328"/>
  <c r="L59" i="328"/>
  <c r="L69" i="328"/>
  <c r="AC96" i="328"/>
  <c r="AC121" i="328"/>
  <c r="M96" i="328"/>
  <c r="M121" i="328"/>
  <c r="AG131" i="325"/>
  <c r="AG59" i="325"/>
  <c r="AG34" i="325"/>
  <c r="AG69" i="325"/>
  <c r="Q131" i="325"/>
  <c r="Q69" i="325"/>
  <c r="Q59" i="325"/>
  <c r="Q34" i="325"/>
  <c r="AI131" i="328"/>
  <c r="AI59" i="328"/>
  <c r="AI69" i="328"/>
  <c r="AI34" i="328"/>
  <c r="S131" i="328"/>
  <c r="S59" i="328"/>
  <c r="S69" i="328"/>
  <c r="S34" i="328"/>
  <c r="AJ96" i="328"/>
  <c r="AJ121" i="328"/>
  <c r="T96" i="328"/>
  <c r="T121" i="328"/>
  <c r="AJ34" i="325"/>
  <c r="AJ59" i="325"/>
  <c r="AJ69" i="325"/>
  <c r="AJ131" i="325"/>
  <c r="T34" i="325"/>
  <c r="T59" i="325"/>
  <c r="T69" i="325"/>
  <c r="T131" i="325"/>
  <c r="D131" i="328"/>
  <c r="D59" i="328"/>
  <c r="D64" i="328" s="1"/>
  <c r="D69" i="328"/>
  <c r="D34" i="328"/>
  <c r="V131" i="328"/>
  <c r="V34" i="328"/>
  <c r="V59" i="328"/>
  <c r="V69" i="328"/>
  <c r="F131" i="328"/>
  <c r="F34" i="328"/>
  <c r="F59" i="328"/>
  <c r="F69" i="328"/>
  <c r="W121" i="328"/>
  <c r="W96" i="328"/>
  <c r="G121" i="328"/>
  <c r="G96" i="328"/>
  <c r="D160" i="310"/>
  <c r="D167" i="310" s="1"/>
  <c r="D128" i="310"/>
  <c r="D132" i="310" s="1"/>
  <c r="D56" i="310"/>
  <c r="D63" i="310" s="1"/>
  <c r="E40" i="321"/>
  <c r="E42" i="321" s="1"/>
  <c r="E43" i="321" s="1"/>
  <c r="E44" i="321" s="1"/>
  <c r="E46" i="321" s="1"/>
  <c r="E49" i="321" s="1"/>
  <c r="F16" i="314"/>
  <c r="F17" i="314"/>
  <c r="F122" i="314" s="1"/>
  <c r="E27" i="312"/>
  <c r="E161" i="313" s="1"/>
  <c r="E168" i="313" s="1"/>
  <c r="E25" i="312"/>
  <c r="E55" i="313" s="1"/>
  <c r="E62" i="313" s="1"/>
  <c r="F15" i="279"/>
  <c r="F16" i="309"/>
  <c r="F59" i="309" s="1"/>
  <c r="F15" i="309"/>
  <c r="F29" i="309" s="1"/>
  <c r="F16" i="307"/>
  <c r="F59" i="307" s="1"/>
  <c r="F15" i="307"/>
  <c r="F16" i="304"/>
  <c r="F59" i="304" s="1"/>
  <c r="F15" i="304"/>
  <c r="F47" i="304" s="1"/>
  <c r="F151" i="326"/>
  <c r="F150" i="326"/>
  <c r="F151" i="323"/>
  <c r="F150" i="323"/>
  <c r="F150" i="320"/>
  <c r="F151" i="320"/>
  <c r="F151" i="317"/>
  <c r="F150" i="317"/>
  <c r="F150" i="313"/>
  <c r="F151" i="313"/>
  <c r="F151" i="278"/>
  <c r="F150" i="278"/>
  <c r="F150" i="272"/>
  <c r="F151" i="272"/>
  <c r="G150" i="269"/>
  <c r="G151" i="269"/>
  <c r="E48" i="319"/>
  <c r="E39" i="319"/>
  <c r="E56" i="319" s="1"/>
  <c r="E23" i="319" s="1"/>
  <c r="E17" i="320" s="1"/>
  <c r="E30" i="319"/>
  <c r="E122" i="316"/>
  <c r="E60" i="316"/>
  <c r="F84" i="322"/>
  <c r="F90" i="322"/>
  <c r="F76" i="322"/>
  <c r="F22" i="322"/>
  <c r="F28" i="322"/>
  <c r="E122" i="325"/>
  <c r="E60" i="325"/>
  <c r="E103" i="316"/>
  <c r="E94" i="316"/>
  <c r="G10" i="327"/>
  <c r="G10" i="321"/>
  <c r="G16" i="322" s="1"/>
  <c r="G10" i="324"/>
  <c r="G16" i="325" s="1"/>
  <c r="D64" i="325"/>
  <c r="E103" i="325"/>
  <c r="E94" i="325"/>
  <c r="I62" i="267"/>
  <c r="I66" i="267"/>
  <c r="I67" i="267"/>
  <c r="F32" i="325"/>
  <c r="F41" i="325"/>
  <c r="E30" i="316"/>
  <c r="E56" i="316" s="1"/>
  <c r="E23" i="316" s="1"/>
  <c r="E17" i="317" s="1"/>
  <c r="E48" i="316"/>
  <c r="E39" i="316"/>
  <c r="E110" i="319"/>
  <c r="D126" i="328"/>
  <c r="E94" i="319"/>
  <c r="E103" i="319"/>
  <c r="E103" i="322"/>
  <c r="E94" i="322"/>
  <c r="F76" i="319"/>
  <c r="F28" i="319"/>
  <c r="F22" i="319"/>
  <c r="F90" i="319"/>
  <c r="F84" i="319"/>
  <c r="F90" i="328"/>
  <c r="F84" i="328"/>
  <c r="F76" i="328"/>
  <c r="F28" i="328"/>
  <c r="F22" i="328"/>
  <c r="E40" i="318"/>
  <c r="E42" i="318" s="1"/>
  <c r="E43" i="318" s="1"/>
  <c r="E44" i="318" s="1"/>
  <c r="E46" i="318" s="1"/>
  <c r="E48" i="318" s="1"/>
  <c r="E52" i="318" s="1"/>
  <c r="F32" i="328"/>
  <c r="F41" i="328"/>
  <c r="E122" i="319"/>
  <c r="E60" i="319"/>
  <c r="E30" i="322"/>
  <c r="E39" i="322"/>
  <c r="E56" i="322" s="1"/>
  <c r="E23" i="322" s="1"/>
  <c r="E48" i="322"/>
  <c r="E32" i="325"/>
  <c r="E41" i="325"/>
  <c r="D64" i="322"/>
  <c r="D126" i="322"/>
  <c r="F37" i="327"/>
  <c r="F37" i="321"/>
  <c r="F40" i="321" s="1"/>
  <c r="F42" i="321" s="1"/>
  <c r="F43" i="321" s="1"/>
  <c r="F44" i="321" s="1"/>
  <c r="F46" i="321" s="1"/>
  <c r="H68" i="267"/>
  <c r="F37" i="324"/>
  <c r="E103" i="328"/>
  <c r="E94" i="328"/>
  <c r="D126" i="316"/>
  <c r="D64" i="316"/>
  <c r="D126" i="319"/>
  <c r="D64" i="319"/>
  <c r="F38" i="324"/>
  <c r="F80" i="325" s="1"/>
  <c r="F38" i="321"/>
  <c r="F80" i="322" s="1"/>
  <c r="F38" i="327"/>
  <c r="F80" i="328" s="1"/>
  <c r="F90" i="316"/>
  <c r="F84" i="316"/>
  <c r="F76" i="316"/>
  <c r="F28" i="316"/>
  <c r="F22" i="316"/>
  <c r="D48" i="328"/>
  <c r="D39" i="328"/>
  <c r="D56" i="328" s="1"/>
  <c r="D23" i="328" s="1"/>
  <c r="D17" i="329" s="1"/>
  <c r="D30" i="328"/>
  <c r="F32" i="322"/>
  <c r="F41" i="322"/>
  <c r="F38" i="315"/>
  <c r="F80" i="316" s="1"/>
  <c r="F38" i="318"/>
  <c r="F80" i="319" s="1"/>
  <c r="F38" i="312"/>
  <c r="F80" i="314" s="1"/>
  <c r="D48" i="325"/>
  <c r="D39" i="325"/>
  <c r="D56" i="325" s="1"/>
  <c r="D23" i="325" s="1"/>
  <c r="D17" i="326" s="1"/>
  <c r="D30" i="325"/>
  <c r="G11" i="324"/>
  <c r="G18" i="325" s="1"/>
  <c r="G11" i="327"/>
  <c r="G18" i="328" s="1"/>
  <c r="G11" i="321"/>
  <c r="G18" i="322" s="1"/>
  <c r="F90" i="325"/>
  <c r="F76" i="325"/>
  <c r="F84" i="325"/>
  <c r="F22" i="325"/>
  <c r="F28" i="325"/>
  <c r="E122" i="322"/>
  <c r="E60" i="322"/>
  <c r="E122" i="328"/>
  <c r="E60" i="328"/>
  <c r="D57" i="310"/>
  <c r="D64" i="310" s="1"/>
  <c r="D72" i="310"/>
  <c r="D76" i="310" s="1"/>
  <c r="F14" i="312"/>
  <c r="F16" i="312" s="1"/>
  <c r="F17" i="312" s="1"/>
  <c r="F18" i="312" s="1"/>
  <c r="F20" i="312" s="1"/>
  <c r="F26" i="312" s="1"/>
  <c r="F37" i="318"/>
  <c r="F37" i="312"/>
  <c r="F37" i="315"/>
  <c r="F40" i="315" s="1"/>
  <c r="F42" i="315" s="1"/>
  <c r="F43" i="315" s="1"/>
  <c r="F44" i="315" s="1"/>
  <c r="F46" i="315" s="1"/>
  <c r="H63" i="267"/>
  <c r="I61" i="267"/>
  <c r="E94" i="314"/>
  <c r="E103" i="314"/>
  <c r="F76" i="314"/>
  <c r="F84" i="314"/>
  <c r="F90" i="314"/>
  <c r="D70" i="310"/>
  <c r="D74" i="310" s="1"/>
  <c r="D181" i="310"/>
  <c r="D185" i="310" s="1"/>
  <c r="D33" i="308"/>
  <c r="D53" i="308" s="1"/>
  <c r="D192" i="310" s="1"/>
  <c r="D114" i="310"/>
  <c r="E47" i="309"/>
  <c r="Y59" i="314"/>
  <c r="Y69" i="314"/>
  <c r="Y34" i="314"/>
  <c r="D34" i="314"/>
  <c r="D56" i="314" s="1"/>
  <c r="D23" i="314" s="1"/>
  <c r="E59" i="314"/>
  <c r="E69" i="314"/>
  <c r="E34" i="314"/>
  <c r="H34" i="314"/>
  <c r="H59" i="314"/>
  <c r="H69" i="314"/>
  <c r="AG59" i="314"/>
  <c r="AG69" i="314"/>
  <c r="AG34" i="314"/>
  <c r="L34" i="314"/>
  <c r="L69" i="314"/>
  <c r="L59" i="314"/>
  <c r="M59" i="314"/>
  <c r="M34" i="314"/>
  <c r="M69" i="314"/>
  <c r="F69" i="314"/>
  <c r="F59" i="314"/>
  <c r="F34" i="314"/>
  <c r="J69" i="314"/>
  <c r="J59" i="314"/>
  <c r="J34" i="314"/>
  <c r="T34" i="314"/>
  <c r="T69" i="314"/>
  <c r="T59" i="314"/>
  <c r="U59" i="314"/>
  <c r="U69" i="314"/>
  <c r="U34" i="314"/>
  <c r="AD69" i="314"/>
  <c r="AD59" i="314"/>
  <c r="AD34" i="314"/>
  <c r="R59" i="314"/>
  <c r="R34" i="314"/>
  <c r="R69" i="314"/>
  <c r="AB69" i="314"/>
  <c r="AB34" i="314"/>
  <c r="AB59" i="314"/>
  <c r="AC59" i="314"/>
  <c r="AC69" i="314"/>
  <c r="AC34" i="314"/>
  <c r="G69" i="314"/>
  <c r="G34" i="314"/>
  <c r="G59" i="314"/>
  <c r="Z59" i="314"/>
  <c r="Z69" i="314"/>
  <c r="Z34" i="314"/>
  <c r="AJ34" i="314"/>
  <c r="AJ59" i="314"/>
  <c r="AJ69" i="314"/>
  <c r="AK59" i="314"/>
  <c r="AK69" i="314"/>
  <c r="AK34" i="314"/>
  <c r="O69" i="314"/>
  <c r="O59" i="314"/>
  <c r="O34" i="314"/>
  <c r="X34" i="314"/>
  <c r="X59" i="314"/>
  <c r="X69" i="314"/>
  <c r="AH34" i="314"/>
  <c r="AH69" i="314"/>
  <c r="AH59" i="314"/>
  <c r="K34" i="314"/>
  <c r="K69" i="314"/>
  <c r="K59" i="314"/>
  <c r="P34" i="314"/>
  <c r="P59" i="314"/>
  <c r="P69" i="314"/>
  <c r="W69" i="314"/>
  <c r="W59" i="314"/>
  <c r="W34" i="314"/>
  <c r="I69" i="314"/>
  <c r="I34" i="314"/>
  <c r="I59" i="314"/>
  <c r="AF34" i="314"/>
  <c r="AF59" i="314"/>
  <c r="AF69" i="314"/>
  <c r="S34" i="314"/>
  <c r="S59" i="314"/>
  <c r="S69" i="314"/>
  <c r="N59" i="314"/>
  <c r="N69" i="314"/>
  <c r="N34" i="314"/>
  <c r="AE59" i="314"/>
  <c r="AE34" i="314"/>
  <c r="AE69" i="314"/>
  <c r="Q59" i="314"/>
  <c r="Q69" i="314"/>
  <c r="Q34" i="314"/>
  <c r="AA34" i="314"/>
  <c r="AA59" i="314"/>
  <c r="AA69" i="314"/>
  <c r="AI34" i="314"/>
  <c r="AI69" i="314"/>
  <c r="AI59" i="314"/>
  <c r="V69" i="314"/>
  <c r="V34" i="314"/>
  <c r="V59" i="314"/>
  <c r="E26" i="308"/>
  <c r="E56" i="310" s="1"/>
  <c r="E63" i="310" s="1"/>
  <c r="E25" i="308"/>
  <c r="E159" i="310" s="1"/>
  <c r="E166" i="310" s="1"/>
  <c r="E32" i="327"/>
  <c r="E55" i="329"/>
  <c r="E62" i="329" s="1"/>
  <c r="E112" i="329"/>
  <c r="E159" i="329"/>
  <c r="E166" i="329" s="1"/>
  <c r="F17" i="322"/>
  <c r="F14" i="321"/>
  <c r="F16" i="321" s="1"/>
  <c r="F17" i="321" s="1"/>
  <c r="F18" i="321" s="1"/>
  <c r="F20" i="321" s="1"/>
  <c r="D32" i="321"/>
  <c r="D55" i="323"/>
  <c r="D62" i="323" s="1"/>
  <c r="D112" i="323"/>
  <c r="D159" i="323"/>
  <c r="D166" i="323" s="1"/>
  <c r="D159" i="317"/>
  <c r="D166" i="317" s="1"/>
  <c r="D32" i="315"/>
  <c r="D55" i="317"/>
  <c r="D62" i="317" s="1"/>
  <c r="D112" i="317"/>
  <c r="E113" i="329"/>
  <c r="E33" i="327"/>
  <c r="E160" i="329"/>
  <c r="E167" i="329" s="1"/>
  <c r="E56" i="329"/>
  <c r="E63" i="329" s="1"/>
  <c r="D159" i="320"/>
  <c r="D166" i="320" s="1"/>
  <c r="D55" i="320"/>
  <c r="D62" i="320" s="1"/>
  <c r="D112" i="320"/>
  <c r="F17" i="319"/>
  <c r="F14" i="318"/>
  <c r="F16" i="318" s="1"/>
  <c r="F17" i="318" s="1"/>
  <c r="F18" i="318" s="1"/>
  <c r="F20" i="318" s="1"/>
  <c r="D33" i="321"/>
  <c r="D160" i="323"/>
  <c r="D167" i="323" s="1"/>
  <c r="D113" i="323"/>
  <c r="D56" i="323"/>
  <c r="D63" i="323" s="1"/>
  <c r="E26" i="315"/>
  <c r="E25" i="315"/>
  <c r="E27" i="315"/>
  <c r="E114" i="329"/>
  <c r="E161" i="329"/>
  <c r="E168" i="329" s="1"/>
  <c r="E57" i="329"/>
  <c r="E64" i="329" s="1"/>
  <c r="D56" i="326"/>
  <c r="D63" i="326" s="1"/>
  <c r="D160" i="326"/>
  <c r="D167" i="326" s="1"/>
  <c r="D113" i="326"/>
  <c r="D33" i="324"/>
  <c r="D160" i="320"/>
  <c r="D167" i="320" s="1"/>
  <c r="D113" i="320"/>
  <c r="D56" i="320"/>
  <c r="D63" i="320" s="1"/>
  <c r="D33" i="318"/>
  <c r="F14" i="324"/>
  <c r="F16" i="324" s="1"/>
  <c r="F17" i="324" s="1"/>
  <c r="F18" i="324" s="1"/>
  <c r="F20" i="324" s="1"/>
  <c r="F17" i="325"/>
  <c r="D161" i="323"/>
  <c r="D168" i="323" s="1"/>
  <c r="D114" i="323"/>
  <c r="D57" i="323"/>
  <c r="D64" i="323" s="1"/>
  <c r="G14" i="327"/>
  <c r="D161" i="326"/>
  <c r="D168" i="326" s="1"/>
  <c r="D57" i="326"/>
  <c r="D64" i="326" s="1"/>
  <c r="D114" i="326"/>
  <c r="E26" i="318"/>
  <c r="E27" i="318"/>
  <c r="E25" i="318"/>
  <c r="D114" i="320"/>
  <c r="D161" i="320"/>
  <c r="D168" i="320" s="1"/>
  <c r="D57" i="320"/>
  <c r="D64" i="320" s="1"/>
  <c r="F25" i="327"/>
  <c r="F26" i="327"/>
  <c r="F27" i="327"/>
  <c r="E38" i="309"/>
  <c r="E25" i="321"/>
  <c r="E26" i="321"/>
  <c r="E27" i="321"/>
  <c r="D159" i="326"/>
  <c r="D166" i="326" s="1"/>
  <c r="D112" i="326"/>
  <c r="D55" i="326"/>
  <c r="D62" i="326" s="1"/>
  <c r="D32" i="324"/>
  <c r="E56" i="313"/>
  <c r="E63" i="313" s="1"/>
  <c r="E113" i="313"/>
  <c r="E160" i="313"/>
  <c r="E167" i="313" s="1"/>
  <c r="E26" i="324"/>
  <c r="E25" i="324"/>
  <c r="E27" i="324"/>
  <c r="D114" i="317"/>
  <c r="D57" i="317"/>
  <c r="D64" i="317" s="1"/>
  <c r="D161" i="317"/>
  <c r="D168" i="317" s="1"/>
  <c r="D21" i="320"/>
  <c r="D33" i="315"/>
  <c r="D56" i="317"/>
  <c r="D63" i="317" s="1"/>
  <c r="D160" i="317"/>
  <c r="D167" i="317" s="1"/>
  <c r="D113" i="317"/>
  <c r="E39" i="314"/>
  <c r="E30" i="314"/>
  <c r="E48" i="314"/>
  <c r="G17" i="279"/>
  <c r="F41" i="314"/>
  <c r="F32" i="314"/>
  <c r="D166" i="310"/>
  <c r="D187" i="310"/>
  <c r="D168" i="310"/>
  <c r="D166" i="306"/>
  <c r="F14" i="316"/>
  <c r="E49" i="324"/>
  <c r="E48" i="324"/>
  <c r="E50" i="324"/>
  <c r="F14" i="319"/>
  <c r="F14" i="328"/>
  <c r="F150" i="329"/>
  <c r="F151" i="329"/>
  <c r="F14" i="325"/>
  <c r="G3" i="329"/>
  <c r="G1" i="328"/>
  <c r="G3" i="326"/>
  <c r="G1" i="325"/>
  <c r="G1" i="322"/>
  <c r="G3" i="323"/>
  <c r="G1" i="316"/>
  <c r="G3" i="320"/>
  <c r="G3" i="317"/>
  <c r="G1" i="319"/>
  <c r="G1" i="314"/>
  <c r="G3" i="313"/>
  <c r="E50" i="315"/>
  <c r="F22" i="314"/>
  <c r="F14" i="314"/>
  <c r="F28" i="314"/>
  <c r="F14" i="322"/>
  <c r="F40" i="324"/>
  <c r="F42" i="324" s="1"/>
  <c r="F43" i="324" s="1"/>
  <c r="F44" i="324" s="1"/>
  <c r="F46" i="324" s="1"/>
  <c r="F14" i="308"/>
  <c r="F16" i="308" s="1"/>
  <c r="F17" i="308" s="1"/>
  <c r="F18" i="308" s="1"/>
  <c r="F20" i="308" s="1"/>
  <c r="F27" i="308" s="1"/>
  <c r="E50" i="308"/>
  <c r="E183" i="310" s="1"/>
  <c r="E187" i="310" s="1"/>
  <c r="E49" i="308"/>
  <c r="E182" i="310" s="1"/>
  <c r="E186" i="310" s="1"/>
  <c r="E48" i="308"/>
  <c r="E181" i="310" s="1"/>
  <c r="E185" i="310" s="1"/>
  <c r="F37" i="305"/>
  <c r="F40" i="305" s="1"/>
  <c r="F42" i="305" s="1"/>
  <c r="F43" i="305" s="1"/>
  <c r="F44" i="305" s="1"/>
  <c r="F46" i="305" s="1"/>
  <c r="F37" i="302"/>
  <c r="F40" i="302" s="1"/>
  <c r="F42" i="302" s="1"/>
  <c r="F43" i="302" s="1"/>
  <c r="F44" i="302" s="1"/>
  <c r="F46" i="302" s="1"/>
  <c r="F50" i="302" s="1"/>
  <c r="F37" i="268"/>
  <c r="F40" i="268" s="1"/>
  <c r="F42" i="268" s="1"/>
  <c r="F37" i="277"/>
  <c r="F40" i="277" s="1"/>
  <c r="F42" i="277" s="1"/>
  <c r="F43" i="277" s="1"/>
  <c r="F44" i="277" s="1"/>
  <c r="F46" i="277" s="1"/>
  <c r="F37" i="271"/>
  <c r="F40" i="271" s="1"/>
  <c r="F42" i="271" s="1"/>
  <c r="F43" i="271" s="1"/>
  <c r="F44" i="271" s="1"/>
  <c r="F46" i="271" s="1"/>
  <c r="F37" i="308"/>
  <c r="F40" i="308" s="1"/>
  <c r="F42" i="308" s="1"/>
  <c r="F43" i="308" s="1"/>
  <c r="F44" i="308" s="1"/>
  <c r="F46" i="308" s="1"/>
  <c r="I57" i="267"/>
  <c r="I52" i="267"/>
  <c r="G10" i="277"/>
  <c r="G40" i="309"/>
  <c r="G31" i="309"/>
  <c r="F38" i="271"/>
  <c r="F38" i="308"/>
  <c r="F38" i="305"/>
  <c r="F38" i="268"/>
  <c r="F38" i="302"/>
  <c r="F38" i="277"/>
  <c r="D27" i="302"/>
  <c r="D161" i="303" s="1"/>
  <c r="D168" i="303" s="1"/>
  <c r="D25" i="302"/>
  <c r="D112" i="303" s="1"/>
  <c r="D26" i="302"/>
  <c r="D56" i="303" s="1"/>
  <c r="D63" i="303" s="1"/>
  <c r="I11" i="278"/>
  <c r="H10" i="269"/>
  <c r="I10" i="272"/>
  <c r="J11" i="306"/>
  <c r="I33" i="306"/>
  <c r="I35" i="306" s="1"/>
  <c r="I11" i="272"/>
  <c r="H11" i="269"/>
  <c r="I10" i="278"/>
  <c r="E9" i="272"/>
  <c r="J11" i="303"/>
  <c r="I33" i="303"/>
  <c r="I35" i="303" s="1"/>
  <c r="J11" i="310"/>
  <c r="I33" i="310"/>
  <c r="I35" i="310" s="1"/>
  <c r="E9" i="278"/>
  <c r="E9" i="269"/>
  <c r="E26" i="305"/>
  <c r="E56" i="306" s="1"/>
  <c r="E63" i="306" s="1"/>
  <c r="F14" i="271"/>
  <c r="F16" i="271" s="1"/>
  <c r="F17" i="271" s="1"/>
  <c r="F18" i="271" s="1"/>
  <c r="F20" i="271" s="1"/>
  <c r="F16" i="273"/>
  <c r="F14" i="277"/>
  <c r="F16" i="277" s="1"/>
  <c r="F17" i="277" s="1"/>
  <c r="F18" i="277" s="1"/>
  <c r="F20" i="277" s="1"/>
  <c r="F16" i="279"/>
  <c r="E25" i="305"/>
  <c r="E32" i="305" s="1"/>
  <c r="D55" i="272"/>
  <c r="D32" i="271"/>
  <c r="F14" i="268"/>
  <c r="F16" i="268" s="1"/>
  <c r="F16" i="270"/>
  <c r="E31" i="304"/>
  <c r="E40" i="304"/>
  <c r="D160" i="306"/>
  <c r="D167" i="306" s="1"/>
  <c r="F27" i="273"/>
  <c r="D113" i="306"/>
  <c r="D114" i="306"/>
  <c r="D33" i="305"/>
  <c r="F21" i="304"/>
  <c r="F13" i="304"/>
  <c r="D161" i="306"/>
  <c r="D168" i="306" s="1"/>
  <c r="AA68" i="307"/>
  <c r="AA33" i="307"/>
  <c r="AA58" i="307"/>
  <c r="Y33" i="307"/>
  <c r="Y68" i="307"/>
  <c r="Y58" i="307"/>
  <c r="W68" i="307"/>
  <c r="W33" i="307"/>
  <c r="W58" i="307"/>
  <c r="AK68" i="307"/>
  <c r="AK33" i="307"/>
  <c r="AK58" i="307"/>
  <c r="E33" i="309"/>
  <c r="E55" i="309" s="1"/>
  <c r="E22" i="309" s="1"/>
  <c r="E17" i="310" s="1"/>
  <c r="E58" i="309"/>
  <c r="E63" i="309" s="1"/>
  <c r="E68" i="309"/>
  <c r="S68" i="307"/>
  <c r="S33" i="307"/>
  <c r="S58" i="307"/>
  <c r="Q33" i="307"/>
  <c r="Q58" i="307"/>
  <c r="Q68" i="307"/>
  <c r="O33" i="307"/>
  <c r="O58" i="307"/>
  <c r="O68" i="307"/>
  <c r="AC68" i="307"/>
  <c r="AC33" i="307"/>
  <c r="AC58" i="307"/>
  <c r="V33" i="309"/>
  <c r="V68" i="309"/>
  <c r="V58" i="309"/>
  <c r="AJ58" i="309"/>
  <c r="AJ68" i="309"/>
  <c r="AJ33" i="309"/>
  <c r="AH33" i="309"/>
  <c r="AH68" i="309"/>
  <c r="AH58" i="309"/>
  <c r="AF68" i="309"/>
  <c r="AF33" i="309"/>
  <c r="AF58" i="309"/>
  <c r="K68" i="307"/>
  <c r="K33" i="307"/>
  <c r="K58" i="307"/>
  <c r="I33" i="307"/>
  <c r="I58" i="307"/>
  <c r="I68" i="307"/>
  <c r="G33" i="307"/>
  <c r="G58" i="307"/>
  <c r="G68" i="307"/>
  <c r="U33" i="307"/>
  <c r="U58" i="307"/>
  <c r="U68" i="307"/>
  <c r="N33" i="309"/>
  <c r="N68" i="309"/>
  <c r="N58" i="309"/>
  <c r="AB68" i="309"/>
  <c r="AB33" i="309"/>
  <c r="AB58" i="309"/>
  <c r="Z33" i="309"/>
  <c r="Z68" i="309"/>
  <c r="Z58" i="309"/>
  <c r="X68" i="309"/>
  <c r="X58" i="309"/>
  <c r="X33" i="309"/>
  <c r="G1" i="304"/>
  <c r="G27" i="304" s="1"/>
  <c r="G1" i="309"/>
  <c r="G1" i="307"/>
  <c r="I33" i="309"/>
  <c r="I58" i="309"/>
  <c r="I68" i="309"/>
  <c r="G60" i="309"/>
  <c r="E29" i="307"/>
  <c r="E38" i="307"/>
  <c r="E47" i="307"/>
  <c r="AJ68" i="307"/>
  <c r="AJ33" i="307"/>
  <c r="AJ58" i="307"/>
  <c r="AH58" i="307"/>
  <c r="AH33" i="307"/>
  <c r="AH68" i="307"/>
  <c r="AF33" i="307"/>
  <c r="AF58" i="307"/>
  <c r="AF68" i="307"/>
  <c r="D33" i="307"/>
  <c r="D55" i="307" s="1"/>
  <c r="D22" i="307" s="1"/>
  <c r="D58" i="307"/>
  <c r="D63" i="307" s="1"/>
  <c r="D68" i="307"/>
  <c r="M33" i="307"/>
  <c r="M68" i="307"/>
  <c r="M58" i="307"/>
  <c r="AE33" i="309"/>
  <c r="AE58" i="309"/>
  <c r="AE68" i="309"/>
  <c r="F33" i="309"/>
  <c r="F68" i="309"/>
  <c r="F58" i="309"/>
  <c r="T58" i="309"/>
  <c r="T68" i="309"/>
  <c r="T33" i="309"/>
  <c r="R68" i="309"/>
  <c r="R58" i="309"/>
  <c r="R33" i="309"/>
  <c r="P58" i="309"/>
  <c r="P33" i="309"/>
  <c r="P68" i="309"/>
  <c r="AB58" i="307"/>
  <c r="AB33" i="307"/>
  <c r="AB68" i="307"/>
  <c r="Z58" i="307"/>
  <c r="Z68" i="307"/>
  <c r="Z33" i="307"/>
  <c r="X33" i="307"/>
  <c r="X58" i="307"/>
  <c r="X68" i="307"/>
  <c r="AD33" i="307"/>
  <c r="AD68" i="307"/>
  <c r="AD58" i="307"/>
  <c r="E58" i="307"/>
  <c r="E63" i="307" s="1"/>
  <c r="E33" i="307"/>
  <c r="E68" i="307"/>
  <c r="W58" i="309"/>
  <c r="W68" i="309"/>
  <c r="W33" i="309"/>
  <c r="AK33" i="309"/>
  <c r="AK58" i="309"/>
  <c r="AK68" i="309"/>
  <c r="L68" i="309"/>
  <c r="L33" i="309"/>
  <c r="L58" i="309"/>
  <c r="J33" i="309"/>
  <c r="J68" i="309"/>
  <c r="J58" i="309"/>
  <c r="H58" i="309"/>
  <c r="H33" i="309"/>
  <c r="H68" i="309"/>
  <c r="D62" i="310"/>
  <c r="K33" i="309"/>
  <c r="K68" i="309"/>
  <c r="K58" i="309"/>
  <c r="F14" i="305"/>
  <c r="F16" i="305" s="1"/>
  <c r="F17" i="305" s="1"/>
  <c r="F18" i="305" s="1"/>
  <c r="F20" i="305" s="1"/>
  <c r="F27" i="305" s="1"/>
  <c r="F114" i="306" s="1"/>
  <c r="F60" i="307"/>
  <c r="T33" i="307"/>
  <c r="T68" i="307"/>
  <c r="T58" i="307"/>
  <c r="R58" i="307"/>
  <c r="R68" i="307"/>
  <c r="R33" i="307"/>
  <c r="P33" i="307"/>
  <c r="P58" i="307"/>
  <c r="P68" i="307"/>
  <c r="V68" i="307"/>
  <c r="V33" i="307"/>
  <c r="V58" i="307"/>
  <c r="O58" i="309"/>
  <c r="O68" i="309"/>
  <c r="O33" i="309"/>
  <c r="AC33" i="309"/>
  <c r="AC58" i="309"/>
  <c r="AC68" i="309"/>
  <c r="AI68" i="309"/>
  <c r="AI58" i="309"/>
  <c r="AI33" i="309"/>
  <c r="AG33" i="309"/>
  <c r="AG58" i="309"/>
  <c r="AG68" i="309"/>
  <c r="F27" i="309"/>
  <c r="F13" i="309"/>
  <c r="F21" i="309"/>
  <c r="L33" i="307"/>
  <c r="L58" i="307"/>
  <c r="L68" i="307"/>
  <c r="J58" i="307"/>
  <c r="J68" i="307"/>
  <c r="J33" i="307"/>
  <c r="H33" i="307"/>
  <c r="H68" i="307"/>
  <c r="H58" i="307"/>
  <c r="N68" i="307"/>
  <c r="N58" i="307"/>
  <c r="N33" i="307"/>
  <c r="G58" i="309"/>
  <c r="G68" i="309"/>
  <c r="G33" i="309"/>
  <c r="U33" i="309"/>
  <c r="U58" i="309"/>
  <c r="U68" i="309"/>
  <c r="AA58" i="309"/>
  <c r="AA68" i="309"/>
  <c r="AA33" i="309"/>
  <c r="Y33" i="309"/>
  <c r="Y58" i="309"/>
  <c r="Y68" i="309"/>
  <c r="AD58" i="309"/>
  <c r="AD33" i="309"/>
  <c r="AD68" i="309"/>
  <c r="AI58" i="307"/>
  <c r="AI68" i="307"/>
  <c r="AI33" i="307"/>
  <c r="AG33" i="307"/>
  <c r="AG58" i="307"/>
  <c r="AG68" i="307"/>
  <c r="AE33" i="307"/>
  <c r="AE58" i="307"/>
  <c r="AE68" i="307"/>
  <c r="F68" i="307"/>
  <c r="F33" i="307"/>
  <c r="F58" i="307"/>
  <c r="F27" i="307"/>
  <c r="F13" i="307"/>
  <c r="F21" i="307"/>
  <c r="D58" i="309"/>
  <c r="D63" i="309" s="1"/>
  <c r="D68" i="309"/>
  <c r="D33" i="309"/>
  <c r="D55" i="309" s="1"/>
  <c r="D22" i="309" s="1"/>
  <c r="D17" i="310" s="1"/>
  <c r="M58" i="309"/>
  <c r="M68" i="309"/>
  <c r="M33" i="309"/>
  <c r="S33" i="309"/>
  <c r="S58" i="309"/>
  <c r="S68" i="309"/>
  <c r="Q33" i="309"/>
  <c r="Q58" i="309"/>
  <c r="Q68" i="309"/>
  <c r="E114" i="310"/>
  <c r="E161" i="310"/>
  <c r="E168" i="310" s="1"/>
  <c r="E57" i="310"/>
  <c r="E64" i="310" s="1"/>
  <c r="D172" i="310"/>
  <c r="D52" i="308"/>
  <c r="D191" i="310" s="1"/>
  <c r="D48" i="305"/>
  <c r="D70" i="306" s="1"/>
  <c r="D49" i="305"/>
  <c r="D52" i="305"/>
  <c r="D191" i="306" s="1"/>
  <c r="D172" i="306"/>
  <c r="E114" i="306"/>
  <c r="E161" i="306"/>
  <c r="E168" i="306" s="1"/>
  <c r="E57" i="306"/>
  <c r="D183" i="306"/>
  <c r="D187" i="306" s="1"/>
  <c r="D72" i="306"/>
  <c r="D76" i="306" s="1"/>
  <c r="D128" i="306"/>
  <c r="E128" i="306"/>
  <c r="E72" i="306"/>
  <c r="E76" i="306" s="1"/>
  <c r="E183" i="306"/>
  <c r="E187" i="306" s="1"/>
  <c r="D64" i="306"/>
  <c r="H58" i="304"/>
  <c r="H33" i="304"/>
  <c r="H68" i="304"/>
  <c r="V33" i="304"/>
  <c r="V68" i="304"/>
  <c r="V58" i="304"/>
  <c r="AJ58" i="304"/>
  <c r="AJ33" i="304"/>
  <c r="AJ68" i="304"/>
  <c r="AH58" i="304"/>
  <c r="AH68" i="304"/>
  <c r="AH33" i="304"/>
  <c r="E29" i="304"/>
  <c r="E47" i="304"/>
  <c r="E38" i="304"/>
  <c r="E26" i="302"/>
  <c r="E27" i="302"/>
  <c r="E25" i="302"/>
  <c r="I68" i="304"/>
  <c r="I33" i="304"/>
  <c r="I58" i="304"/>
  <c r="D58" i="304"/>
  <c r="D63" i="304" s="1"/>
  <c r="D68" i="304"/>
  <c r="D33" i="304"/>
  <c r="D55" i="304" s="1"/>
  <c r="D22" i="304" s="1"/>
  <c r="D17" i="303" s="1"/>
  <c r="D29" i="303" s="1"/>
  <c r="N68" i="304"/>
  <c r="N58" i="304"/>
  <c r="N33" i="304"/>
  <c r="AB68" i="304"/>
  <c r="AB33" i="304"/>
  <c r="AB58" i="304"/>
  <c r="Z33" i="304"/>
  <c r="Z68" i="304"/>
  <c r="Z58" i="304"/>
  <c r="F13" i="273"/>
  <c r="AG58" i="304"/>
  <c r="AG68" i="304"/>
  <c r="AG33" i="304"/>
  <c r="AE33" i="304"/>
  <c r="AE58" i="304"/>
  <c r="AE68" i="304"/>
  <c r="F68" i="304"/>
  <c r="F58" i="304"/>
  <c r="F33" i="304"/>
  <c r="T58" i="304"/>
  <c r="T33" i="304"/>
  <c r="T68" i="304"/>
  <c r="R58" i="304"/>
  <c r="R33" i="304"/>
  <c r="R68" i="304"/>
  <c r="D70" i="303"/>
  <c r="D74" i="303" s="1"/>
  <c r="D126" i="303"/>
  <c r="D181" i="303"/>
  <c r="D185" i="303" s="1"/>
  <c r="F60" i="304"/>
  <c r="F14" i="302"/>
  <c r="F16" i="302" s="1"/>
  <c r="F17" i="302" s="1"/>
  <c r="F18" i="302" s="1"/>
  <c r="F20" i="302" s="1"/>
  <c r="F25" i="302" s="1"/>
  <c r="Y33" i="304"/>
  <c r="Y68" i="304"/>
  <c r="Y58" i="304"/>
  <c r="W33" i="304"/>
  <c r="W58" i="304"/>
  <c r="W68" i="304"/>
  <c r="AK33" i="304"/>
  <c r="AK68" i="304"/>
  <c r="AK58" i="304"/>
  <c r="L58" i="304"/>
  <c r="L33" i="304"/>
  <c r="L68" i="304"/>
  <c r="J58" i="304"/>
  <c r="J68" i="304"/>
  <c r="J33" i="304"/>
  <c r="D127" i="303"/>
  <c r="D71" i="303"/>
  <c r="D75" i="303" s="1"/>
  <c r="D182" i="303"/>
  <c r="D186" i="303" s="1"/>
  <c r="Q58" i="304"/>
  <c r="Q68" i="304"/>
  <c r="Q33" i="304"/>
  <c r="O33" i="304"/>
  <c r="O58" i="304"/>
  <c r="O68" i="304"/>
  <c r="AC33" i="304"/>
  <c r="AC58" i="304"/>
  <c r="AC68" i="304"/>
  <c r="AI33" i="304"/>
  <c r="AI58" i="304"/>
  <c r="AI68" i="304"/>
  <c r="D128" i="303"/>
  <c r="D183" i="303"/>
  <c r="D187" i="303" s="1"/>
  <c r="D72" i="303"/>
  <c r="D76" i="303" s="1"/>
  <c r="E48" i="305"/>
  <c r="AF58" i="304"/>
  <c r="AF68" i="304"/>
  <c r="AF33" i="304"/>
  <c r="G33" i="304"/>
  <c r="G68" i="304"/>
  <c r="G58" i="304"/>
  <c r="U33" i="304"/>
  <c r="U58" i="304"/>
  <c r="U68" i="304"/>
  <c r="AA33" i="304"/>
  <c r="AA68" i="304"/>
  <c r="AA58" i="304"/>
  <c r="E49" i="305"/>
  <c r="X68" i="304"/>
  <c r="X33" i="304"/>
  <c r="X58" i="304"/>
  <c r="M33" i="304"/>
  <c r="M58" i="304"/>
  <c r="M68" i="304"/>
  <c r="S33" i="304"/>
  <c r="S68" i="304"/>
  <c r="S58" i="304"/>
  <c r="E50" i="302"/>
  <c r="E49" i="302"/>
  <c r="E48" i="302"/>
  <c r="P58" i="304"/>
  <c r="P33" i="304"/>
  <c r="P68" i="304"/>
  <c r="AD58" i="304"/>
  <c r="AD33" i="304"/>
  <c r="AD68" i="304"/>
  <c r="E33" i="304"/>
  <c r="E58" i="304"/>
  <c r="E63" i="304" s="1"/>
  <c r="E68" i="304"/>
  <c r="K33" i="304"/>
  <c r="K58" i="304"/>
  <c r="K68" i="304"/>
  <c r="D48" i="271"/>
  <c r="D126" i="272" s="1"/>
  <c r="D47" i="279"/>
  <c r="D29" i="279"/>
  <c r="P42" i="260"/>
  <c r="AK68" i="273"/>
  <c r="F13" i="279"/>
  <c r="AK33" i="273"/>
  <c r="F21" i="279"/>
  <c r="H58" i="267"/>
  <c r="G1" i="279"/>
  <c r="G27" i="279" s="1"/>
  <c r="F13" i="270"/>
  <c r="G3" i="272"/>
  <c r="D47" i="273"/>
  <c r="G1" i="273"/>
  <c r="G27" i="273" s="1"/>
  <c r="J2" i="267"/>
  <c r="G1" i="270"/>
  <c r="G27" i="270" s="1"/>
  <c r="G3" i="278"/>
  <c r="F21" i="270"/>
  <c r="I56" i="267"/>
  <c r="D29" i="273"/>
  <c r="C9" i="289"/>
  <c r="D613" i="261"/>
  <c r="E29" i="273"/>
  <c r="E60" i="273"/>
  <c r="I51" i="267"/>
  <c r="E29" i="279"/>
  <c r="E60" i="279"/>
  <c r="D25" i="277"/>
  <c r="D32" i="277" s="1"/>
  <c r="D114" i="278"/>
  <c r="D161" i="278"/>
  <c r="D57" i="278"/>
  <c r="D183" i="278"/>
  <c r="D128" i="278"/>
  <c r="D72" i="278"/>
  <c r="D181" i="278"/>
  <c r="D126" i="278"/>
  <c r="D70" i="278"/>
  <c r="D182" i="278"/>
  <c r="D71" i="278"/>
  <c r="D127" i="278"/>
  <c r="D160" i="278"/>
  <c r="D56" i="278"/>
  <c r="D113" i="278"/>
  <c r="D33" i="277"/>
  <c r="E50" i="277"/>
  <c r="E49" i="277"/>
  <c r="E48" i="277"/>
  <c r="E25" i="277"/>
  <c r="E27" i="277"/>
  <c r="E26" i="277"/>
  <c r="I52" i="277"/>
  <c r="I191" i="278" s="1"/>
  <c r="I53" i="277"/>
  <c r="I192" i="278" s="1"/>
  <c r="D128" i="272"/>
  <c r="D183" i="272"/>
  <c r="D72" i="272"/>
  <c r="E48" i="271"/>
  <c r="E50" i="271"/>
  <c r="E49" i="271"/>
  <c r="E27" i="271"/>
  <c r="E26" i="271"/>
  <c r="E25" i="271"/>
  <c r="D112" i="272"/>
  <c r="D159" i="272"/>
  <c r="D56" i="272"/>
  <c r="D113" i="272"/>
  <c r="D160" i="272"/>
  <c r="D33" i="271"/>
  <c r="D57" i="272"/>
  <c r="D114" i="272"/>
  <c r="D161" i="272"/>
  <c r="D182" i="272"/>
  <c r="D71" i="272"/>
  <c r="D127" i="272"/>
  <c r="F14" i="273"/>
  <c r="F14" i="279"/>
  <c r="D29" i="270"/>
  <c r="G6" i="268"/>
  <c r="D38" i="270"/>
  <c r="E58" i="279"/>
  <c r="E33" i="279"/>
  <c r="E68" i="279"/>
  <c r="AA58" i="270"/>
  <c r="AA68" i="270"/>
  <c r="AA33" i="270"/>
  <c r="X58" i="270"/>
  <c r="X68" i="270"/>
  <c r="X33" i="270"/>
  <c r="G33" i="270"/>
  <c r="G58" i="270"/>
  <c r="G68" i="270"/>
  <c r="AI33" i="270"/>
  <c r="AI58" i="270"/>
  <c r="AI68" i="270"/>
  <c r="L58" i="279"/>
  <c r="L33" i="279"/>
  <c r="L68" i="279"/>
  <c r="Q33" i="279"/>
  <c r="Q68" i="279"/>
  <c r="Q58" i="279"/>
  <c r="O33" i="279"/>
  <c r="O58" i="279"/>
  <c r="O68" i="279"/>
  <c r="M58" i="279"/>
  <c r="M33" i="279"/>
  <c r="M68" i="279"/>
  <c r="J58" i="273"/>
  <c r="J68" i="273"/>
  <c r="J33" i="273"/>
  <c r="D58" i="273"/>
  <c r="D63" i="273" s="1"/>
  <c r="D33" i="273"/>
  <c r="D68" i="273"/>
  <c r="AD58" i="273"/>
  <c r="AD68" i="273"/>
  <c r="AD33" i="273"/>
  <c r="AB58" i="273"/>
  <c r="AB33" i="273"/>
  <c r="AB68" i="273"/>
  <c r="S68" i="270"/>
  <c r="S58" i="270"/>
  <c r="S33" i="270"/>
  <c r="AD58" i="270"/>
  <c r="AD68" i="270"/>
  <c r="AD33" i="270"/>
  <c r="G6" i="277"/>
  <c r="AA68" i="273"/>
  <c r="AA58" i="273"/>
  <c r="AA33" i="273"/>
  <c r="M33" i="270"/>
  <c r="M68" i="270"/>
  <c r="M58" i="270"/>
  <c r="K58" i="270"/>
  <c r="K33" i="270"/>
  <c r="K68" i="270"/>
  <c r="H58" i="270"/>
  <c r="H33" i="270"/>
  <c r="H68" i="270"/>
  <c r="V58" i="270"/>
  <c r="V33" i="270"/>
  <c r="V68" i="270"/>
  <c r="D31" i="273"/>
  <c r="D40" i="273"/>
  <c r="S58" i="279"/>
  <c r="S33" i="279"/>
  <c r="S68" i="279"/>
  <c r="D58" i="279"/>
  <c r="D63" i="279" s="1"/>
  <c r="D33" i="279"/>
  <c r="D68" i="279"/>
  <c r="AD33" i="279"/>
  <c r="AD68" i="279"/>
  <c r="AD58" i="279"/>
  <c r="AF68" i="279"/>
  <c r="AF58" i="279"/>
  <c r="AF33" i="279"/>
  <c r="Z58" i="273"/>
  <c r="Z68" i="273"/>
  <c r="Z33" i="273"/>
  <c r="P33" i="273"/>
  <c r="P68" i="273"/>
  <c r="P58" i="273"/>
  <c r="N58" i="273"/>
  <c r="N33" i="273"/>
  <c r="N68" i="273"/>
  <c r="L58" i="273"/>
  <c r="L33" i="273"/>
  <c r="L68" i="273"/>
  <c r="AA68" i="279"/>
  <c r="AA58" i="279"/>
  <c r="AA33" i="279"/>
  <c r="V68" i="273"/>
  <c r="V58" i="273"/>
  <c r="V33" i="273"/>
  <c r="L58" i="270"/>
  <c r="L33" i="270"/>
  <c r="L68" i="270"/>
  <c r="Z68" i="270"/>
  <c r="Z58" i="270"/>
  <c r="Z33" i="270"/>
  <c r="Y33" i="270"/>
  <c r="Y68" i="270"/>
  <c r="Y58" i="270"/>
  <c r="N33" i="270"/>
  <c r="N68" i="270"/>
  <c r="N58" i="270"/>
  <c r="K68" i="279"/>
  <c r="K58" i="279"/>
  <c r="K33" i="279"/>
  <c r="X33" i="279"/>
  <c r="X68" i="279"/>
  <c r="X58" i="279"/>
  <c r="V58" i="279"/>
  <c r="V33" i="279"/>
  <c r="V68" i="279"/>
  <c r="AG33" i="279"/>
  <c r="AG68" i="279"/>
  <c r="AG58" i="279"/>
  <c r="S58" i="273"/>
  <c r="S33" i="273"/>
  <c r="S68" i="273"/>
  <c r="H58" i="273"/>
  <c r="H33" i="273"/>
  <c r="H68" i="273"/>
  <c r="F58" i="273"/>
  <c r="F68" i="273"/>
  <c r="F33" i="273"/>
  <c r="AI33" i="273"/>
  <c r="AI58" i="273"/>
  <c r="AI68" i="273"/>
  <c r="G58" i="279"/>
  <c r="G68" i="279"/>
  <c r="G33" i="279"/>
  <c r="AC33" i="270"/>
  <c r="AC58" i="270"/>
  <c r="AC68" i="270"/>
  <c r="R68" i="270"/>
  <c r="R58" i="270"/>
  <c r="R33" i="270"/>
  <c r="I33" i="270"/>
  <c r="I58" i="270"/>
  <c r="I68" i="270"/>
  <c r="F68" i="270"/>
  <c r="F58" i="270"/>
  <c r="F33" i="270"/>
  <c r="Z33" i="279"/>
  <c r="Z58" i="279"/>
  <c r="Z68" i="279"/>
  <c r="P33" i="279"/>
  <c r="P68" i="279"/>
  <c r="P58" i="279"/>
  <c r="N58" i="279"/>
  <c r="N33" i="279"/>
  <c r="N68" i="279"/>
  <c r="AJ68" i="279"/>
  <c r="AJ58" i="279"/>
  <c r="AJ33" i="279"/>
  <c r="R68" i="273"/>
  <c r="R33" i="273"/>
  <c r="R58" i="273"/>
  <c r="AE58" i="273"/>
  <c r="AE33" i="273"/>
  <c r="AE68" i="273"/>
  <c r="AC68" i="273"/>
  <c r="AC58" i="273"/>
  <c r="AC33" i="273"/>
  <c r="AJ68" i="273"/>
  <c r="AJ33" i="273"/>
  <c r="AJ58" i="273"/>
  <c r="AB58" i="270"/>
  <c r="AB33" i="270"/>
  <c r="AB68" i="270"/>
  <c r="J58" i="270"/>
  <c r="J68" i="270"/>
  <c r="J33" i="270"/>
  <c r="AE33" i="270"/>
  <c r="AE58" i="270"/>
  <c r="AE68" i="270"/>
  <c r="AF68" i="270"/>
  <c r="AF58" i="270"/>
  <c r="AF33" i="270"/>
  <c r="R33" i="279"/>
  <c r="R68" i="279"/>
  <c r="R58" i="279"/>
  <c r="H68" i="279"/>
  <c r="H58" i="279"/>
  <c r="H33" i="279"/>
  <c r="F68" i="279"/>
  <c r="F58" i="279"/>
  <c r="F33" i="279"/>
  <c r="AI58" i="279"/>
  <c r="AI33" i="279"/>
  <c r="AI68" i="279"/>
  <c r="Y33" i="273"/>
  <c r="Y68" i="273"/>
  <c r="Y58" i="273"/>
  <c r="W33" i="273"/>
  <c r="W68" i="273"/>
  <c r="W58" i="273"/>
  <c r="U58" i="273"/>
  <c r="U33" i="273"/>
  <c r="U68" i="273"/>
  <c r="AH58" i="273"/>
  <c r="AH68" i="273"/>
  <c r="AH33" i="273"/>
  <c r="T68" i="270"/>
  <c r="T58" i="270"/>
  <c r="T33" i="270"/>
  <c r="P58" i="270"/>
  <c r="P33" i="270"/>
  <c r="P68" i="270"/>
  <c r="AH58" i="270"/>
  <c r="AH68" i="270"/>
  <c r="AH33" i="270"/>
  <c r="T68" i="273"/>
  <c r="T58" i="273"/>
  <c r="T33" i="273"/>
  <c r="E68" i="270"/>
  <c r="E58" i="270"/>
  <c r="E33" i="270"/>
  <c r="Q33" i="270"/>
  <c r="Q68" i="270"/>
  <c r="Q58" i="270"/>
  <c r="W33" i="270"/>
  <c r="W58" i="270"/>
  <c r="W68" i="270"/>
  <c r="AG58" i="270"/>
  <c r="AG68" i="270"/>
  <c r="AG33" i="270"/>
  <c r="AB58" i="279"/>
  <c r="AB33" i="279"/>
  <c r="AB68" i="279"/>
  <c r="J68" i="279"/>
  <c r="J58" i="279"/>
  <c r="J33" i="279"/>
  <c r="AE33" i="279"/>
  <c r="AE58" i="279"/>
  <c r="AE68" i="279"/>
  <c r="AC58" i="279"/>
  <c r="AC33" i="279"/>
  <c r="AC68" i="279"/>
  <c r="AH33" i="279"/>
  <c r="AH68" i="279"/>
  <c r="AH58" i="279"/>
  <c r="Q33" i="273"/>
  <c r="Q68" i="273"/>
  <c r="Q58" i="273"/>
  <c r="O58" i="273"/>
  <c r="O33" i="273"/>
  <c r="O68" i="273"/>
  <c r="M58" i="273"/>
  <c r="M33" i="273"/>
  <c r="M68" i="273"/>
  <c r="AG58" i="273"/>
  <c r="AG68" i="273"/>
  <c r="AG33" i="273"/>
  <c r="I68" i="279"/>
  <c r="I58" i="279"/>
  <c r="I33" i="279"/>
  <c r="X58" i="273"/>
  <c r="X33" i="273"/>
  <c r="X68" i="273"/>
  <c r="U58" i="270"/>
  <c r="U33" i="270"/>
  <c r="U68" i="270"/>
  <c r="D68" i="270"/>
  <c r="D58" i="270"/>
  <c r="D33" i="270"/>
  <c r="O58" i="270"/>
  <c r="O68" i="270"/>
  <c r="O33" i="270"/>
  <c r="AJ68" i="270"/>
  <c r="AJ58" i="270"/>
  <c r="AJ33" i="270"/>
  <c r="T68" i="279"/>
  <c r="T58" i="279"/>
  <c r="T33" i="279"/>
  <c r="Y68" i="279"/>
  <c r="Y58" i="279"/>
  <c r="Y33" i="279"/>
  <c r="W33" i="279"/>
  <c r="W58" i="279"/>
  <c r="W68" i="279"/>
  <c r="U68" i="279"/>
  <c r="U58" i="279"/>
  <c r="U33" i="279"/>
  <c r="D40" i="279"/>
  <c r="D31" i="279"/>
  <c r="K68" i="273"/>
  <c r="K58" i="273"/>
  <c r="K33" i="273"/>
  <c r="I68" i="273"/>
  <c r="I33" i="273"/>
  <c r="I58" i="273"/>
  <c r="G58" i="273"/>
  <c r="G33" i="273"/>
  <c r="G68" i="273"/>
  <c r="E58" i="273"/>
  <c r="E33" i="273"/>
  <c r="E68" i="273"/>
  <c r="AF58" i="273"/>
  <c r="AF68" i="273"/>
  <c r="AF33" i="273"/>
  <c r="E38" i="270"/>
  <c r="E59" i="273"/>
  <c r="E59" i="279"/>
  <c r="J2" i="277"/>
  <c r="H3" i="269"/>
  <c r="I2" i="271"/>
  <c r="H53" i="267"/>
  <c r="F14" i="270"/>
  <c r="D17" i="268"/>
  <c r="D18" i="268" s="1"/>
  <c r="D20" i="268" s="1"/>
  <c r="D59" i="270"/>
  <c r="F60" i="270"/>
  <c r="H2" i="268"/>
  <c r="E17" i="264"/>
  <c r="G16" i="327" l="1"/>
  <c r="G17" i="327" s="1"/>
  <c r="G18" i="327" s="1"/>
  <c r="G20" i="327" s="1"/>
  <c r="E48" i="315"/>
  <c r="E49" i="312"/>
  <c r="J11" i="267"/>
  <c r="H6" i="308" s="1"/>
  <c r="H14" i="309" s="1"/>
  <c r="J12" i="267"/>
  <c r="J8" i="267"/>
  <c r="J10" i="267"/>
  <c r="J7" i="267"/>
  <c r="J9" i="267"/>
  <c r="G10" i="305"/>
  <c r="G10" i="302"/>
  <c r="E48" i="312"/>
  <c r="E52" i="312" s="1"/>
  <c r="E126" i="314"/>
  <c r="G10" i="312"/>
  <c r="G14" i="312" s="1"/>
  <c r="G16" i="312" s="1"/>
  <c r="G17" i="312" s="1"/>
  <c r="G18" i="312" s="1"/>
  <c r="G20" i="312" s="1"/>
  <c r="G26" i="312" s="1"/>
  <c r="F17" i="316"/>
  <c r="E79" i="314"/>
  <c r="G10" i="308"/>
  <c r="G15" i="309" s="1"/>
  <c r="G47" i="309" s="1"/>
  <c r="G10" i="318"/>
  <c r="G16" i="319" s="1"/>
  <c r="F16" i="316"/>
  <c r="E78" i="314"/>
  <c r="G10" i="271"/>
  <c r="G15" i="273" s="1"/>
  <c r="G10" i="268"/>
  <c r="G15" i="270" s="1"/>
  <c r="G10" i="315"/>
  <c r="G16" i="316" s="1"/>
  <c r="E92" i="328"/>
  <c r="D140" i="310"/>
  <c r="F63" i="309"/>
  <c r="H103" i="269"/>
  <c r="H100" i="269"/>
  <c r="H102" i="269"/>
  <c r="H101" i="269"/>
  <c r="H97" i="269"/>
  <c r="H95" i="269"/>
  <c r="H90" i="269"/>
  <c r="H98" i="269"/>
  <c r="H92" i="269"/>
  <c r="H96" i="269"/>
  <c r="H93" i="269"/>
  <c r="H91" i="269"/>
  <c r="F41" i="319"/>
  <c r="F32" i="319"/>
  <c r="D49" i="315"/>
  <c r="D50" i="315"/>
  <c r="D48" i="315"/>
  <c r="D49" i="318"/>
  <c r="D50" i="318"/>
  <c r="D48" i="318"/>
  <c r="D48" i="312"/>
  <c r="D50" i="312"/>
  <c r="D49" i="312"/>
  <c r="D49" i="321"/>
  <c r="D48" i="321"/>
  <c r="D50" i="321"/>
  <c r="D49" i="327"/>
  <c r="D50" i="327"/>
  <c r="D48" i="327"/>
  <c r="D56" i="313"/>
  <c r="D63" i="313" s="1"/>
  <c r="D33" i="312"/>
  <c r="D173" i="313" s="1"/>
  <c r="D113" i="313"/>
  <c r="D160" i="313"/>
  <c r="D167" i="313" s="1"/>
  <c r="D101" i="314"/>
  <c r="D92" i="314"/>
  <c r="D118" i="314" s="1"/>
  <c r="D85" i="314" s="1"/>
  <c r="D29" i="313" s="1"/>
  <c r="D33" i="313" s="1"/>
  <c r="D110" i="314"/>
  <c r="D114" i="329"/>
  <c r="D57" i="329"/>
  <c r="D64" i="329" s="1"/>
  <c r="D161" i="329"/>
  <c r="D168" i="329" s="1"/>
  <c r="J44" i="267"/>
  <c r="J46" i="267" s="1"/>
  <c r="J45" i="267"/>
  <c r="H11" i="321" s="1"/>
  <c r="H18" i="322" s="1"/>
  <c r="J30" i="267"/>
  <c r="H11" i="302" s="1"/>
  <c r="H17" i="304" s="1"/>
  <c r="J39" i="267"/>
  <c r="J41" i="267" s="1"/>
  <c r="J40" i="267"/>
  <c r="J29" i="267"/>
  <c r="J31" i="267" s="1"/>
  <c r="D110" i="328"/>
  <c r="D101" i="328"/>
  <c r="D118" i="328" s="1"/>
  <c r="D85" i="328" s="1"/>
  <c r="D29" i="329" s="1"/>
  <c r="D92" i="328"/>
  <c r="D92" i="316"/>
  <c r="D118" i="316" s="1"/>
  <c r="D85" i="316" s="1"/>
  <c r="D101" i="316"/>
  <c r="D110" i="316"/>
  <c r="D55" i="313"/>
  <c r="D159" i="313"/>
  <c r="D166" i="313" s="1"/>
  <c r="D112" i="313"/>
  <c r="D32" i="312"/>
  <c r="D172" i="313" s="1"/>
  <c r="D175" i="313" s="1"/>
  <c r="D92" i="319"/>
  <c r="D110" i="319"/>
  <c r="D101" i="319"/>
  <c r="D118" i="319" s="1"/>
  <c r="D85" i="319" s="1"/>
  <c r="D29" i="320" s="1"/>
  <c r="D33" i="320" s="1"/>
  <c r="G11" i="318"/>
  <c r="G18" i="319" s="1"/>
  <c r="G11" i="315"/>
  <c r="G18" i="316" s="1"/>
  <c r="G11" i="312"/>
  <c r="G18" i="314" s="1"/>
  <c r="G32" i="314" s="1"/>
  <c r="D50" i="324"/>
  <c r="D48" i="324"/>
  <c r="D49" i="324"/>
  <c r="D159" i="329"/>
  <c r="D166" i="329" s="1"/>
  <c r="D32" i="327"/>
  <c r="D172" i="329" s="1"/>
  <c r="D112" i="329"/>
  <c r="D55" i="329"/>
  <c r="D62" i="329" s="1"/>
  <c r="F41" i="316"/>
  <c r="F32" i="316"/>
  <c r="D92" i="322"/>
  <c r="D110" i="322"/>
  <c r="D101" i="322"/>
  <c r="D118" i="322" s="1"/>
  <c r="D85" i="322" s="1"/>
  <c r="D29" i="323" s="1"/>
  <c r="D161" i="313"/>
  <c r="D168" i="313" s="1"/>
  <c r="D57" i="313"/>
  <c r="D64" i="313" s="1"/>
  <c r="D114" i="313"/>
  <c r="D101" i="325"/>
  <c r="D118" i="325" s="1"/>
  <c r="D85" i="325" s="1"/>
  <c r="D29" i="326" s="1"/>
  <c r="D33" i="326" s="1"/>
  <c r="D92" i="325"/>
  <c r="D110" i="325"/>
  <c r="D113" i="329"/>
  <c r="D160" i="329"/>
  <c r="D167" i="329" s="1"/>
  <c r="D56" i="329"/>
  <c r="D63" i="329" s="1"/>
  <c r="D33" i="327"/>
  <c r="D173" i="329" s="1"/>
  <c r="H11" i="277"/>
  <c r="H11" i="308"/>
  <c r="H17" i="309" s="1"/>
  <c r="H31" i="309" s="1"/>
  <c r="E101" i="322"/>
  <c r="E50" i="327"/>
  <c r="E72" i="329" s="1"/>
  <c r="E76" i="329" s="1"/>
  <c r="E92" i="316"/>
  <c r="E48" i="327"/>
  <c r="E52" i="327" s="1"/>
  <c r="E191" i="329" s="1"/>
  <c r="E110" i="322"/>
  <c r="E110" i="316"/>
  <c r="H6" i="321"/>
  <c r="H6" i="324"/>
  <c r="H6" i="312"/>
  <c r="H6" i="327"/>
  <c r="H6" i="315"/>
  <c r="H6" i="277"/>
  <c r="H6" i="318"/>
  <c r="H6" i="305"/>
  <c r="H14" i="307" s="1"/>
  <c r="H6" i="268"/>
  <c r="H6" i="302"/>
  <c r="H14" i="304" s="1"/>
  <c r="G77" i="328"/>
  <c r="G15" i="328"/>
  <c r="G77" i="325"/>
  <c r="G15" i="325"/>
  <c r="E92" i="325"/>
  <c r="G77" i="316"/>
  <c r="G15" i="316"/>
  <c r="G77" i="322"/>
  <c r="G15" i="322"/>
  <c r="G77" i="314"/>
  <c r="G15" i="314"/>
  <c r="G77" i="319"/>
  <c r="G15" i="319"/>
  <c r="E33" i="312"/>
  <c r="E173" i="313" s="1"/>
  <c r="E114" i="313"/>
  <c r="E57" i="313"/>
  <c r="E64" i="313" s="1"/>
  <c r="E66" i="313" s="1"/>
  <c r="G101" i="313"/>
  <c r="G102" i="313"/>
  <c r="G100" i="313"/>
  <c r="G103" i="313"/>
  <c r="G98" i="313"/>
  <c r="G96" i="313"/>
  <c r="G93" i="313"/>
  <c r="G97" i="313"/>
  <c r="G95" i="313"/>
  <c r="G90" i="313"/>
  <c r="G92" i="313"/>
  <c r="G91" i="313"/>
  <c r="G102" i="320"/>
  <c r="G103" i="320"/>
  <c r="G101" i="320"/>
  <c r="G100" i="320"/>
  <c r="G93" i="320"/>
  <c r="G97" i="320"/>
  <c r="G95" i="320"/>
  <c r="G90" i="320"/>
  <c r="G91" i="320"/>
  <c r="G98" i="320"/>
  <c r="G96" i="320"/>
  <c r="G92" i="320"/>
  <c r="G102" i="326"/>
  <c r="G103" i="326"/>
  <c r="G101" i="326"/>
  <c r="G100" i="326"/>
  <c r="G98" i="326"/>
  <c r="G96" i="326"/>
  <c r="G92" i="326"/>
  <c r="G93" i="326"/>
  <c r="G97" i="326"/>
  <c r="G95" i="326"/>
  <c r="G90" i="326"/>
  <c r="G91" i="326"/>
  <c r="G100" i="278"/>
  <c r="G103" i="278"/>
  <c r="G101" i="278"/>
  <c r="G102" i="278"/>
  <c r="G91" i="278"/>
  <c r="G98" i="278"/>
  <c r="G96" i="278"/>
  <c r="G92" i="278"/>
  <c r="G93" i="278"/>
  <c r="G90" i="278"/>
  <c r="G95" i="278"/>
  <c r="G97" i="278"/>
  <c r="G103" i="323"/>
  <c r="G102" i="323"/>
  <c r="G100" i="323"/>
  <c r="G101" i="323"/>
  <c r="G98" i="323"/>
  <c r="G96" i="323"/>
  <c r="G92" i="323"/>
  <c r="G93" i="323"/>
  <c r="G91" i="323"/>
  <c r="G95" i="323"/>
  <c r="G90" i="323"/>
  <c r="G97" i="323"/>
  <c r="G100" i="272"/>
  <c r="G102" i="272"/>
  <c r="G103" i="272"/>
  <c r="G98" i="272"/>
  <c r="G93" i="272"/>
  <c r="G101" i="272"/>
  <c r="G97" i="272"/>
  <c r="G95" i="272"/>
  <c r="G90" i="272"/>
  <c r="G91" i="272"/>
  <c r="G92" i="272"/>
  <c r="G96" i="272"/>
  <c r="G102" i="317"/>
  <c r="G103" i="317"/>
  <c r="G100" i="317"/>
  <c r="G101" i="317"/>
  <c r="G98" i="317"/>
  <c r="G96" i="317"/>
  <c r="G92" i="317"/>
  <c r="G93" i="317"/>
  <c r="G97" i="317"/>
  <c r="G90" i="317"/>
  <c r="G91" i="317"/>
  <c r="G95" i="317"/>
  <c r="G102" i="329"/>
  <c r="G103" i="329"/>
  <c r="G101" i="329"/>
  <c r="G100" i="329"/>
  <c r="G98" i="329"/>
  <c r="G96" i="329"/>
  <c r="G97" i="329"/>
  <c r="G95" i="329"/>
  <c r="G92" i="329"/>
  <c r="G90" i="329"/>
  <c r="G91" i="329"/>
  <c r="G93" i="329"/>
  <c r="F60" i="314"/>
  <c r="F64" i="314" s="1"/>
  <c r="F129" i="314" s="1"/>
  <c r="F130" i="314" s="1"/>
  <c r="F135" i="314" s="1"/>
  <c r="D116" i="306"/>
  <c r="D133" i="310"/>
  <c r="D116" i="310"/>
  <c r="D143" i="310"/>
  <c r="D130" i="278"/>
  <c r="D131" i="278"/>
  <c r="D132" i="278"/>
  <c r="D133" i="278"/>
  <c r="D132" i="272"/>
  <c r="D133" i="272"/>
  <c r="D130" i="272"/>
  <c r="D131" i="272"/>
  <c r="D119" i="320"/>
  <c r="D118" i="320"/>
  <c r="D117" i="320"/>
  <c r="D116" i="320"/>
  <c r="E117" i="329"/>
  <c r="E118" i="329"/>
  <c r="E119" i="329"/>
  <c r="E116" i="329"/>
  <c r="D131" i="310"/>
  <c r="D118" i="306"/>
  <c r="D119" i="306"/>
  <c r="D118" i="310"/>
  <c r="D142" i="310"/>
  <c r="D117" i="317"/>
  <c r="D118" i="317"/>
  <c r="D119" i="317"/>
  <c r="D116" i="317"/>
  <c r="D130" i="310"/>
  <c r="D117" i="306"/>
  <c r="D117" i="310"/>
  <c r="D141" i="310"/>
  <c r="D131" i="303"/>
  <c r="D132" i="303"/>
  <c r="D133" i="303"/>
  <c r="D130" i="303"/>
  <c r="D117" i="326"/>
  <c r="D118" i="326"/>
  <c r="D119" i="326"/>
  <c r="D116" i="326"/>
  <c r="D142" i="272"/>
  <c r="D143" i="272"/>
  <c r="D140" i="272"/>
  <c r="D117" i="272"/>
  <c r="D118" i="272"/>
  <c r="D119" i="272"/>
  <c r="D141" i="272"/>
  <c r="D116" i="272"/>
  <c r="D119" i="323"/>
  <c r="D117" i="323"/>
  <c r="D118" i="323"/>
  <c r="D116" i="323"/>
  <c r="D119" i="310"/>
  <c r="G108" i="272"/>
  <c r="G106" i="272"/>
  <c r="G107" i="272"/>
  <c r="G105" i="272"/>
  <c r="G105" i="323"/>
  <c r="G108" i="323"/>
  <c r="G107" i="323"/>
  <c r="G106" i="323"/>
  <c r="H105" i="269"/>
  <c r="H107" i="269"/>
  <c r="H108" i="269"/>
  <c r="H106" i="269"/>
  <c r="G105" i="317"/>
  <c r="G108" i="317"/>
  <c r="G107" i="317"/>
  <c r="G106" i="317"/>
  <c r="G107" i="329"/>
  <c r="G108" i="329"/>
  <c r="G105" i="329"/>
  <c r="G106" i="329"/>
  <c r="G105" i="278"/>
  <c r="G108" i="278"/>
  <c r="G107" i="278"/>
  <c r="G106" i="278"/>
  <c r="G108" i="326"/>
  <c r="G107" i="326"/>
  <c r="G105" i="326"/>
  <c r="G106" i="326"/>
  <c r="G108" i="313"/>
  <c r="G105" i="313"/>
  <c r="G106" i="313"/>
  <c r="G107" i="313"/>
  <c r="G105" i="320"/>
  <c r="G108" i="320"/>
  <c r="G107" i="320"/>
  <c r="G106" i="320"/>
  <c r="E118" i="328"/>
  <c r="E85" i="328" s="1"/>
  <c r="E29" i="329" s="1"/>
  <c r="F79" i="314"/>
  <c r="F78" i="314"/>
  <c r="F78" i="328"/>
  <c r="F101" i="328" s="1"/>
  <c r="F79" i="328"/>
  <c r="D126" i="314"/>
  <c r="D64" i="314"/>
  <c r="D24" i="314" s="1"/>
  <c r="F78" i="319"/>
  <c r="F92" i="319" s="1"/>
  <c r="F79" i="319"/>
  <c r="F78" i="325"/>
  <c r="F110" i="325" s="1"/>
  <c r="F79" i="325"/>
  <c r="E56" i="314"/>
  <c r="E110" i="328"/>
  <c r="E110" i="325"/>
  <c r="E101" i="319"/>
  <c r="E118" i="319" s="1"/>
  <c r="E85" i="319" s="1"/>
  <c r="E29" i="320" s="1"/>
  <c r="E50" i="318"/>
  <c r="E72" i="320" s="1"/>
  <c r="E76" i="320" s="1"/>
  <c r="F40" i="312"/>
  <c r="F42" i="312" s="1"/>
  <c r="F43" i="312" s="1"/>
  <c r="F44" i="312" s="1"/>
  <c r="F46" i="312" s="1"/>
  <c r="F49" i="312" s="1"/>
  <c r="F126" i="314"/>
  <c r="F78" i="316"/>
  <c r="F101" i="316" s="1"/>
  <c r="F79" i="316"/>
  <c r="F78" i="322"/>
  <c r="F92" i="322" s="1"/>
  <c r="F79" i="322"/>
  <c r="G16" i="328"/>
  <c r="G17" i="328"/>
  <c r="E50" i="321"/>
  <c r="E72" i="323" s="1"/>
  <c r="E76" i="323" s="1"/>
  <c r="E48" i="321"/>
  <c r="E181" i="323" s="1"/>
  <c r="E185" i="323" s="1"/>
  <c r="E33" i="308"/>
  <c r="E53" i="308" s="1"/>
  <c r="E192" i="310" s="1"/>
  <c r="E160" i="310"/>
  <c r="E167" i="310" s="1"/>
  <c r="E202" i="310" s="1"/>
  <c r="E113" i="310"/>
  <c r="F27" i="312"/>
  <c r="F33" i="312" s="1"/>
  <c r="F25" i="312"/>
  <c r="F55" i="313" s="1"/>
  <c r="F62" i="313" s="1"/>
  <c r="E49" i="318"/>
  <c r="E112" i="313"/>
  <c r="E159" i="313"/>
  <c r="E166" i="313" s="1"/>
  <c r="E170" i="313" s="1"/>
  <c r="E32" i="312"/>
  <c r="E172" i="313" s="1"/>
  <c r="F40" i="327"/>
  <c r="F42" i="327" s="1"/>
  <c r="F43" i="327" s="1"/>
  <c r="F44" i="327" s="1"/>
  <c r="F46" i="327" s="1"/>
  <c r="F48" i="327" s="1"/>
  <c r="F52" i="327" s="1"/>
  <c r="E118" i="325"/>
  <c r="E85" i="325" s="1"/>
  <c r="E29" i="326" s="1"/>
  <c r="F40" i="318"/>
  <c r="F42" i="318" s="1"/>
  <c r="F43" i="318" s="1"/>
  <c r="F44" i="318" s="1"/>
  <c r="F46" i="318" s="1"/>
  <c r="F49" i="318" s="1"/>
  <c r="G17" i="316"/>
  <c r="G16" i="314"/>
  <c r="G17" i="314"/>
  <c r="G122" i="314" s="1"/>
  <c r="G15" i="279"/>
  <c r="G16" i="309"/>
  <c r="G59" i="309" s="1"/>
  <c r="G63" i="309" s="1"/>
  <c r="G66" i="309" s="1"/>
  <c r="G67" i="309" s="1"/>
  <c r="G72" i="309" s="1"/>
  <c r="G16" i="307"/>
  <c r="G59" i="307" s="1"/>
  <c r="G15" i="307"/>
  <c r="G16" i="304"/>
  <c r="G59" i="304" s="1"/>
  <c r="G15" i="304"/>
  <c r="G38" i="304" s="1"/>
  <c r="G151" i="326"/>
  <c r="G150" i="326"/>
  <c r="G150" i="323"/>
  <c r="G151" i="323"/>
  <c r="G150" i="320"/>
  <c r="G151" i="320"/>
  <c r="G150" i="317"/>
  <c r="G151" i="317"/>
  <c r="G150" i="313"/>
  <c r="G151" i="313"/>
  <c r="G150" i="278"/>
  <c r="G151" i="278"/>
  <c r="G151" i="272"/>
  <c r="G150" i="272"/>
  <c r="H150" i="269"/>
  <c r="H151" i="269"/>
  <c r="F30" i="319"/>
  <c r="F48" i="319"/>
  <c r="F39" i="319"/>
  <c r="F56" i="319" s="1"/>
  <c r="F23" i="319" s="1"/>
  <c r="F17" i="320" s="1"/>
  <c r="E64" i="328"/>
  <c r="E126" i="328"/>
  <c r="D129" i="328"/>
  <c r="D130" i="328" s="1"/>
  <c r="D135" i="328" s="1"/>
  <c r="D87" i="328" s="1"/>
  <c r="D28" i="329" s="1"/>
  <c r="D67" i="328"/>
  <c r="D68" i="328" s="1"/>
  <c r="D73" i="328" s="1"/>
  <c r="D25" i="328" s="1"/>
  <c r="D24" i="328"/>
  <c r="E126" i="325"/>
  <c r="E64" i="325"/>
  <c r="G38" i="324"/>
  <c r="G80" i="325" s="1"/>
  <c r="G38" i="327"/>
  <c r="G80" i="328" s="1"/>
  <c r="G38" i="321"/>
  <c r="G80" i="322" s="1"/>
  <c r="G32" i="328"/>
  <c r="G41" i="328"/>
  <c r="G90" i="316"/>
  <c r="G84" i="316"/>
  <c r="G76" i="316"/>
  <c r="G22" i="316"/>
  <c r="G28" i="316"/>
  <c r="F30" i="316"/>
  <c r="F56" i="316" s="1"/>
  <c r="F23" i="316" s="1"/>
  <c r="F17" i="317" s="1"/>
  <c r="F39" i="316"/>
  <c r="F48" i="316"/>
  <c r="G32" i="325"/>
  <c r="G41" i="325"/>
  <c r="E126" i="322"/>
  <c r="E64" i="322"/>
  <c r="F103" i="319"/>
  <c r="F94" i="319"/>
  <c r="F103" i="328"/>
  <c r="F94" i="328"/>
  <c r="D67" i="319"/>
  <c r="D68" i="319" s="1"/>
  <c r="D73" i="319" s="1"/>
  <c r="D25" i="319" s="1"/>
  <c r="D16" i="320" s="1"/>
  <c r="D20" i="320" s="1"/>
  <c r="D129" i="319"/>
  <c r="D130" i="319" s="1"/>
  <c r="D135" i="319" s="1"/>
  <c r="D24" i="319"/>
  <c r="D15" i="320" s="1"/>
  <c r="D19" i="320" s="1"/>
  <c r="D67" i="322"/>
  <c r="D68" i="322" s="1"/>
  <c r="D73" i="322" s="1"/>
  <c r="D25" i="322" s="1"/>
  <c r="D129" i="322"/>
  <c r="D130" i="322" s="1"/>
  <c r="D135" i="322" s="1"/>
  <c r="D24" i="322"/>
  <c r="E126" i="319"/>
  <c r="E64" i="319"/>
  <c r="I68" i="267"/>
  <c r="G37" i="321"/>
  <c r="G37" i="327"/>
  <c r="G40" i="327" s="1"/>
  <c r="G42" i="327" s="1"/>
  <c r="G43" i="327" s="1"/>
  <c r="G44" i="327" s="1"/>
  <c r="G46" i="327" s="1"/>
  <c r="G37" i="324"/>
  <c r="G40" i="324" s="1"/>
  <c r="G42" i="324" s="1"/>
  <c r="G43" i="324" s="1"/>
  <c r="G44" i="324" s="1"/>
  <c r="G46" i="324" s="1"/>
  <c r="E126" i="316"/>
  <c r="E64" i="316"/>
  <c r="F39" i="322"/>
  <c r="F56" i="322" s="1"/>
  <c r="F23" i="322" s="1"/>
  <c r="F48" i="322"/>
  <c r="F30" i="322"/>
  <c r="F122" i="316"/>
  <c r="F60" i="316"/>
  <c r="F122" i="319"/>
  <c r="F60" i="319"/>
  <c r="F94" i="316"/>
  <c r="F103" i="316"/>
  <c r="F103" i="322"/>
  <c r="F94" i="322"/>
  <c r="E118" i="322"/>
  <c r="E85" i="322" s="1"/>
  <c r="G38" i="315"/>
  <c r="G80" i="316" s="1"/>
  <c r="G38" i="318"/>
  <c r="G80" i="319" s="1"/>
  <c r="G38" i="312"/>
  <c r="G80" i="314" s="1"/>
  <c r="D67" i="325"/>
  <c r="D68" i="325" s="1"/>
  <c r="D73" i="325" s="1"/>
  <c r="D25" i="325" s="1"/>
  <c r="D129" i="325"/>
  <c r="D130" i="325" s="1"/>
  <c r="D135" i="325" s="1"/>
  <c r="D24" i="325"/>
  <c r="H10" i="321"/>
  <c r="H16" i="322" s="1"/>
  <c r="H10" i="327"/>
  <c r="H10" i="324"/>
  <c r="H16" i="325" s="1"/>
  <c r="G84" i="322"/>
  <c r="G90" i="322"/>
  <c r="G76" i="322"/>
  <c r="G28" i="322"/>
  <c r="G22" i="322"/>
  <c r="F122" i="322"/>
  <c r="F60" i="322"/>
  <c r="G32" i="322"/>
  <c r="G41" i="322"/>
  <c r="F103" i="325"/>
  <c r="F94" i="325"/>
  <c r="D129" i="316"/>
  <c r="D130" i="316" s="1"/>
  <c r="D135" i="316" s="1"/>
  <c r="D67" i="316"/>
  <c r="D68" i="316" s="1"/>
  <c r="D73" i="316" s="1"/>
  <c r="D25" i="316" s="1"/>
  <c r="D16" i="317" s="1"/>
  <c r="D20" i="317" s="1"/>
  <c r="D24" i="316"/>
  <c r="D15" i="317" s="1"/>
  <c r="J62" i="267"/>
  <c r="G90" i="325"/>
  <c r="G76" i="325"/>
  <c r="G28" i="325"/>
  <c r="G22" i="325"/>
  <c r="G84" i="325"/>
  <c r="F122" i="325"/>
  <c r="F60" i="325"/>
  <c r="E118" i="316"/>
  <c r="E85" i="316" s="1"/>
  <c r="E48" i="328"/>
  <c r="E39" i="328"/>
  <c r="E56" i="328" s="1"/>
  <c r="E23" i="328" s="1"/>
  <c r="E17" i="329" s="1"/>
  <c r="E30" i="328"/>
  <c r="H11" i="327"/>
  <c r="H18" i="328" s="1"/>
  <c r="G90" i="319"/>
  <c r="G84" i="319"/>
  <c r="G28" i="319"/>
  <c r="G22" i="319"/>
  <c r="G76" i="319"/>
  <c r="G84" i="328"/>
  <c r="G76" i="328"/>
  <c r="G28" i="328"/>
  <c r="G22" i="328"/>
  <c r="G90" i="328"/>
  <c r="F60" i="328"/>
  <c r="F122" i="328"/>
  <c r="E30" i="325"/>
  <c r="E48" i="325"/>
  <c r="E39" i="325"/>
  <c r="E56" i="325" s="1"/>
  <c r="E23" i="325" s="1"/>
  <c r="E17" i="326" s="1"/>
  <c r="D78" i="310"/>
  <c r="D83" i="310"/>
  <c r="D189" i="310"/>
  <c r="D170" i="310"/>
  <c r="D173" i="310"/>
  <c r="D175" i="310" s="1"/>
  <c r="E53" i="312"/>
  <c r="E192" i="313" s="1"/>
  <c r="H10" i="318"/>
  <c r="E101" i="314"/>
  <c r="E92" i="314"/>
  <c r="E118" i="314" s="1"/>
  <c r="E85" i="314" s="1"/>
  <c r="E29" i="313" s="1"/>
  <c r="E110" i="314"/>
  <c r="G37" i="318"/>
  <c r="G40" i="318" s="1"/>
  <c r="G42" i="318" s="1"/>
  <c r="G43" i="318" s="1"/>
  <c r="G44" i="318" s="1"/>
  <c r="G46" i="318" s="1"/>
  <c r="G37" i="312"/>
  <c r="G37" i="315"/>
  <c r="I63" i="267"/>
  <c r="G76" i="314"/>
  <c r="G84" i="314"/>
  <c r="G90" i="314"/>
  <c r="E64" i="314"/>
  <c r="E129" i="314" s="1"/>
  <c r="E130" i="314" s="1"/>
  <c r="E135" i="314" s="1"/>
  <c r="E55" i="310"/>
  <c r="E62" i="310" s="1"/>
  <c r="E32" i="308"/>
  <c r="E52" i="308" s="1"/>
  <c r="E191" i="310" s="1"/>
  <c r="E112" i="310"/>
  <c r="D17" i="313"/>
  <c r="D21" i="313" s="1"/>
  <c r="F26" i="308"/>
  <c r="F56" i="310" s="1"/>
  <c r="F63" i="310" s="1"/>
  <c r="D66" i="326"/>
  <c r="F25" i="308"/>
  <c r="F32" i="308" s="1"/>
  <c r="F38" i="309"/>
  <c r="D170" i="326"/>
  <c r="D66" i="323"/>
  <c r="E161" i="323"/>
  <c r="E168" i="323" s="1"/>
  <c r="E114" i="323"/>
  <c r="E57" i="323"/>
  <c r="E64" i="323" s="1"/>
  <c r="G14" i="315"/>
  <c r="G16" i="315" s="1"/>
  <c r="G17" i="315" s="1"/>
  <c r="G18" i="315" s="1"/>
  <c r="G20" i="315" s="1"/>
  <c r="E113" i="326"/>
  <c r="E160" i="326"/>
  <c r="E167" i="326" s="1"/>
  <c r="E56" i="326"/>
  <c r="E63" i="326" s="1"/>
  <c r="E33" i="324"/>
  <c r="E57" i="320"/>
  <c r="E64" i="320" s="1"/>
  <c r="E114" i="320"/>
  <c r="E161" i="320"/>
  <c r="E168" i="320" s="1"/>
  <c r="D53" i="324"/>
  <c r="D192" i="326" s="1"/>
  <c r="D173" i="326"/>
  <c r="E55" i="323"/>
  <c r="E62" i="323" s="1"/>
  <c r="E112" i="323"/>
  <c r="E32" i="321"/>
  <c r="E159" i="323"/>
  <c r="E166" i="323" s="1"/>
  <c r="E160" i="320"/>
  <c r="E167" i="320" s="1"/>
  <c r="E113" i="320"/>
  <c r="E56" i="320"/>
  <c r="E63" i="320" s="1"/>
  <c r="E33" i="318"/>
  <c r="G17" i="322"/>
  <c r="G14" i="321"/>
  <c r="G16" i="321" s="1"/>
  <c r="G17" i="321" s="1"/>
  <c r="G18" i="321" s="1"/>
  <c r="G20" i="321" s="1"/>
  <c r="E57" i="317"/>
  <c r="E64" i="317" s="1"/>
  <c r="E161" i="317"/>
  <c r="E168" i="317" s="1"/>
  <c r="E114" i="317"/>
  <c r="D66" i="320"/>
  <c r="D52" i="321"/>
  <c r="D191" i="323" s="1"/>
  <c r="D172" i="323"/>
  <c r="G17" i="319"/>
  <c r="G14" i="318"/>
  <c r="G16" i="318" s="1"/>
  <c r="G17" i="318" s="1"/>
  <c r="G18" i="318" s="1"/>
  <c r="G20" i="318" s="1"/>
  <c r="G17" i="325"/>
  <c r="G14" i="324"/>
  <c r="G16" i="324" s="1"/>
  <c r="G17" i="324" s="1"/>
  <c r="G18" i="324" s="1"/>
  <c r="G20" i="324" s="1"/>
  <c r="E21" i="320"/>
  <c r="E55" i="317"/>
  <c r="E62" i="317" s="1"/>
  <c r="E32" i="315"/>
  <c r="E159" i="317"/>
  <c r="E166" i="317" s="1"/>
  <c r="E112" i="317"/>
  <c r="D170" i="320"/>
  <c r="E170" i="329"/>
  <c r="E21" i="317"/>
  <c r="F56" i="313"/>
  <c r="F63" i="313" s="1"/>
  <c r="F160" i="313"/>
  <c r="F167" i="313" s="1"/>
  <c r="F113" i="313"/>
  <c r="D172" i="326"/>
  <c r="D52" i="324"/>
  <c r="D191" i="326" s="1"/>
  <c r="F114" i="329"/>
  <c r="F161" i="329"/>
  <c r="F168" i="329" s="1"/>
  <c r="F57" i="329"/>
  <c r="F64" i="329" s="1"/>
  <c r="E191" i="313"/>
  <c r="G26" i="327"/>
  <c r="G25" i="327"/>
  <c r="G27" i="327"/>
  <c r="F25" i="324"/>
  <c r="F26" i="324"/>
  <c r="F27" i="324"/>
  <c r="E160" i="317"/>
  <c r="E167" i="317" s="1"/>
  <c r="E56" i="317"/>
  <c r="E63" i="317" s="1"/>
  <c r="E113" i="317"/>
  <c r="E33" i="315"/>
  <c r="D53" i="321"/>
  <c r="D192" i="323" s="1"/>
  <c r="D173" i="323"/>
  <c r="D66" i="317"/>
  <c r="F25" i="321"/>
  <c r="F26" i="321"/>
  <c r="F27" i="321"/>
  <c r="E56" i="323"/>
  <c r="E63" i="323" s="1"/>
  <c r="E33" i="321"/>
  <c r="E160" i="323"/>
  <c r="E167" i="323" s="1"/>
  <c r="E113" i="323"/>
  <c r="D53" i="315"/>
  <c r="D192" i="317" s="1"/>
  <c r="D173" i="317"/>
  <c r="F160" i="329"/>
  <c r="F167" i="329" s="1"/>
  <c r="F56" i="329"/>
  <c r="F63" i="329" s="1"/>
  <c r="F113" i="329"/>
  <c r="F33" i="327"/>
  <c r="D172" i="317"/>
  <c r="D52" i="315"/>
  <c r="D191" i="317" s="1"/>
  <c r="E66" i="329"/>
  <c r="D172" i="320"/>
  <c r="D21" i="326"/>
  <c r="F159" i="329"/>
  <c r="F166" i="329" s="1"/>
  <c r="F55" i="329"/>
  <c r="F62" i="329" s="1"/>
  <c r="F112" i="329"/>
  <c r="F32" i="327"/>
  <c r="D173" i="320"/>
  <c r="F26" i="315"/>
  <c r="F25" i="315"/>
  <c r="F27" i="315"/>
  <c r="F27" i="318"/>
  <c r="F26" i="318"/>
  <c r="F25" i="318"/>
  <c r="D170" i="317"/>
  <c r="E172" i="329"/>
  <c r="E32" i="324"/>
  <c r="E55" i="326"/>
  <c r="E62" i="326" s="1"/>
  <c r="E159" i="326"/>
  <c r="E166" i="326" s="1"/>
  <c r="E112" i="326"/>
  <c r="E112" i="320"/>
  <c r="E55" i="320"/>
  <c r="E62" i="320" s="1"/>
  <c r="E159" i="320"/>
  <c r="E166" i="320" s="1"/>
  <c r="E32" i="318"/>
  <c r="E114" i="326"/>
  <c r="E57" i="326"/>
  <c r="E64" i="326" s="1"/>
  <c r="E161" i="326"/>
  <c r="E168" i="326" s="1"/>
  <c r="D33" i="329"/>
  <c r="D21" i="329"/>
  <c r="G27" i="312"/>
  <c r="E173" i="329"/>
  <c r="D170" i="323"/>
  <c r="F39" i="314"/>
  <c r="F30" i="314"/>
  <c r="F56" i="314" s="1"/>
  <c r="F48" i="314"/>
  <c r="H17" i="279"/>
  <c r="D32" i="302"/>
  <c r="D55" i="303"/>
  <c r="D62" i="303" s="1"/>
  <c r="D159" i="303"/>
  <c r="D166" i="303" s="1"/>
  <c r="E183" i="313"/>
  <c r="E187" i="313" s="1"/>
  <c r="E128" i="313"/>
  <c r="E72" i="313"/>
  <c r="E76" i="313" s="1"/>
  <c r="E71" i="317"/>
  <c r="E75" i="317" s="1"/>
  <c r="E127" i="317"/>
  <c r="E182" i="317"/>
  <c r="E186" i="317" s="1"/>
  <c r="E181" i="317"/>
  <c r="E185" i="317" s="1"/>
  <c r="E126" i="317"/>
  <c r="E70" i="317"/>
  <c r="E182" i="329"/>
  <c r="E186" i="329" s="1"/>
  <c r="E127" i="329"/>
  <c r="E71" i="329"/>
  <c r="E75" i="329" s="1"/>
  <c r="E127" i="310"/>
  <c r="F49" i="315"/>
  <c r="F48" i="315"/>
  <c r="F50" i="315"/>
  <c r="E182" i="313"/>
  <c r="E186" i="313" s="1"/>
  <c r="E71" i="313"/>
  <c r="E75" i="313" s="1"/>
  <c r="E127" i="313"/>
  <c r="D160" i="303"/>
  <c r="D167" i="303" s="1"/>
  <c r="E160" i="306"/>
  <c r="E167" i="306" s="1"/>
  <c r="E71" i="310"/>
  <c r="E75" i="310" s="1"/>
  <c r="E70" i="313"/>
  <c r="G14" i="316"/>
  <c r="G150" i="329"/>
  <c r="G151" i="329"/>
  <c r="G14" i="319"/>
  <c r="H3" i="278"/>
  <c r="H3" i="329"/>
  <c r="H1" i="325"/>
  <c r="H3" i="326"/>
  <c r="H1" i="328"/>
  <c r="H3" i="320"/>
  <c r="H1" i="322"/>
  <c r="H1" i="319"/>
  <c r="H3" i="323"/>
  <c r="H3" i="317"/>
  <c r="H1" i="316"/>
  <c r="H3" i="313"/>
  <c r="H1" i="314"/>
  <c r="E128" i="320"/>
  <c r="F49" i="324"/>
  <c r="F48" i="324"/>
  <c r="F50" i="324"/>
  <c r="E128" i="310"/>
  <c r="E126" i="320"/>
  <c r="E70" i="320"/>
  <c r="E181" i="320"/>
  <c r="E185" i="320" s="1"/>
  <c r="F50" i="321"/>
  <c r="F49" i="321"/>
  <c r="F48" i="321"/>
  <c r="G14" i="322"/>
  <c r="E183" i="326"/>
  <c r="E187" i="326" s="1"/>
  <c r="E128" i="326"/>
  <c r="E72" i="326"/>
  <c r="E76" i="326" s="1"/>
  <c r="G14" i="328"/>
  <c r="E72" i="310"/>
  <c r="E76" i="310" s="1"/>
  <c r="G14" i="325"/>
  <c r="E183" i="329"/>
  <c r="E187" i="329" s="1"/>
  <c r="E127" i="323"/>
  <c r="E182" i="323"/>
  <c r="E186" i="323" s="1"/>
  <c r="E71" i="323"/>
  <c r="E75" i="323" s="1"/>
  <c r="E181" i="326"/>
  <c r="E185" i="326" s="1"/>
  <c r="E70" i="326"/>
  <c r="E126" i="326"/>
  <c r="E183" i="317"/>
  <c r="E187" i="317" s="1"/>
  <c r="E128" i="317"/>
  <c r="E72" i="317"/>
  <c r="E76" i="317" s="1"/>
  <c r="G22" i="314"/>
  <c r="G14" i="314"/>
  <c r="G28" i="314"/>
  <c r="E127" i="326"/>
  <c r="E71" i="326"/>
  <c r="E75" i="326" s="1"/>
  <c r="E182" i="326"/>
  <c r="E186" i="326" s="1"/>
  <c r="E126" i="310"/>
  <c r="E70" i="310"/>
  <c r="E74" i="310" s="1"/>
  <c r="D202" i="310"/>
  <c r="G13" i="304"/>
  <c r="D57" i="303"/>
  <c r="D64" i="303" s="1"/>
  <c r="D114" i="303"/>
  <c r="F29" i="304"/>
  <c r="F47" i="309"/>
  <c r="F49" i="308"/>
  <c r="F71" i="310" s="1"/>
  <c r="F75" i="310" s="1"/>
  <c r="F48" i="308"/>
  <c r="F70" i="310" s="1"/>
  <c r="F74" i="310" s="1"/>
  <c r="F50" i="308"/>
  <c r="F128" i="310" s="1"/>
  <c r="F38" i="304"/>
  <c r="G37" i="308"/>
  <c r="G40" i="308" s="1"/>
  <c r="G42" i="308" s="1"/>
  <c r="G43" i="308" s="1"/>
  <c r="G44" i="308" s="1"/>
  <c r="G46" i="308" s="1"/>
  <c r="G37" i="305"/>
  <c r="G40" i="305" s="1"/>
  <c r="G42" i="305" s="1"/>
  <c r="G43" i="305" s="1"/>
  <c r="G44" i="305" s="1"/>
  <c r="G46" i="305" s="1"/>
  <c r="G37" i="268"/>
  <c r="G40" i="268" s="1"/>
  <c r="G42" i="268" s="1"/>
  <c r="G37" i="277"/>
  <c r="G40" i="277" s="1"/>
  <c r="G42" i="277" s="1"/>
  <c r="G43" i="277" s="1"/>
  <c r="G44" i="277" s="1"/>
  <c r="G46" i="277" s="1"/>
  <c r="G37" i="271"/>
  <c r="G40" i="271" s="1"/>
  <c r="G42" i="271" s="1"/>
  <c r="G43" i="271" s="1"/>
  <c r="G44" i="271" s="1"/>
  <c r="G46" i="271" s="1"/>
  <c r="G37" i="302"/>
  <c r="G40" i="302" s="1"/>
  <c r="G42" i="302" s="1"/>
  <c r="G43" i="302" s="1"/>
  <c r="G44" i="302" s="1"/>
  <c r="G46" i="302" s="1"/>
  <c r="G50" i="302" s="1"/>
  <c r="J52" i="267"/>
  <c r="J57" i="267"/>
  <c r="H10" i="268"/>
  <c r="H15" i="270" s="1"/>
  <c r="D33" i="302"/>
  <c r="D173" i="303" s="1"/>
  <c r="H40" i="309"/>
  <c r="D113" i="303"/>
  <c r="D41" i="303"/>
  <c r="D21" i="303"/>
  <c r="G38" i="277"/>
  <c r="G38" i="271"/>
  <c r="G38" i="308"/>
  <c r="G38" i="305"/>
  <c r="G38" i="268"/>
  <c r="G38" i="302"/>
  <c r="E29" i="310"/>
  <c r="E41" i="310" s="1"/>
  <c r="E21" i="310"/>
  <c r="D29" i="310"/>
  <c r="D41" i="310" s="1"/>
  <c r="D21" i="310"/>
  <c r="J10" i="272"/>
  <c r="I11" i="269"/>
  <c r="I10" i="269"/>
  <c r="F9" i="269"/>
  <c r="K11" i="303"/>
  <c r="J33" i="303"/>
  <c r="J35" i="303" s="1"/>
  <c r="J11" i="272"/>
  <c r="J11" i="278"/>
  <c r="F9" i="278"/>
  <c r="F9" i="272"/>
  <c r="K11" i="306"/>
  <c r="J33" i="306"/>
  <c r="J35" i="306" s="1"/>
  <c r="K11" i="310"/>
  <c r="J33" i="310"/>
  <c r="J35" i="310" s="1"/>
  <c r="J10" i="278"/>
  <c r="E33" i="305"/>
  <c r="E53" i="305" s="1"/>
  <c r="E192" i="306" s="1"/>
  <c r="E113" i="306"/>
  <c r="E55" i="306"/>
  <c r="E62" i="306" s="1"/>
  <c r="E112" i="306"/>
  <c r="E159" i="306"/>
  <c r="E166" i="306" s="1"/>
  <c r="G21" i="304"/>
  <c r="D170" i="306"/>
  <c r="G14" i="271"/>
  <c r="G16" i="271" s="1"/>
  <c r="G17" i="271" s="1"/>
  <c r="G18" i="271" s="1"/>
  <c r="G20" i="271" s="1"/>
  <c r="F55" i="309"/>
  <c r="F22" i="309" s="1"/>
  <c r="F17" i="310" s="1"/>
  <c r="G14" i="277"/>
  <c r="G16" i="277" s="1"/>
  <c r="G17" i="277" s="1"/>
  <c r="G18" i="277" s="1"/>
  <c r="G20" i="277" s="1"/>
  <c r="G16" i="279"/>
  <c r="D17" i="306"/>
  <c r="D23" i="307"/>
  <c r="D15" i="306" s="1"/>
  <c r="F63" i="307"/>
  <c r="F66" i="307" s="1"/>
  <c r="F67" i="307" s="1"/>
  <c r="F72" i="307" s="1"/>
  <c r="G14" i="268"/>
  <c r="G16" i="268" s="1"/>
  <c r="G16" i="270"/>
  <c r="F31" i="304"/>
  <c r="F40" i="304"/>
  <c r="D181" i="306"/>
  <c r="D185" i="306" s="1"/>
  <c r="F57" i="306"/>
  <c r="F64" i="306" s="1"/>
  <c r="F161" i="306"/>
  <c r="F168" i="306" s="1"/>
  <c r="D126" i="306"/>
  <c r="F48" i="302"/>
  <c r="F126" i="303" s="1"/>
  <c r="D173" i="306"/>
  <c r="D53" i="305"/>
  <c r="D192" i="306" s="1"/>
  <c r="D194" i="306" s="1"/>
  <c r="H1" i="304"/>
  <c r="H27" i="304" s="1"/>
  <c r="H1" i="309"/>
  <c r="H1" i="307"/>
  <c r="E66" i="309"/>
  <c r="E67" i="309" s="1"/>
  <c r="E72" i="309" s="1"/>
  <c r="E24" i="309" s="1"/>
  <c r="E16" i="310" s="1"/>
  <c r="E23" i="309"/>
  <c r="E15" i="310" s="1"/>
  <c r="D200" i="310"/>
  <c r="D66" i="309"/>
  <c r="D67" i="309" s="1"/>
  <c r="D72" i="309" s="1"/>
  <c r="D24" i="309" s="1"/>
  <c r="D16" i="310" s="1"/>
  <c r="D23" i="309"/>
  <c r="D15" i="310" s="1"/>
  <c r="F25" i="305"/>
  <c r="F26" i="305"/>
  <c r="E66" i="307"/>
  <c r="E67" i="307" s="1"/>
  <c r="E72" i="307" s="1"/>
  <c r="G27" i="307"/>
  <c r="G21" i="307"/>
  <c r="G13" i="307"/>
  <c r="E189" i="310"/>
  <c r="H60" i="309"/>
  <c r="G14" i="305"/>
  <c r="G16" i="305" s="1"/>
  <c r="G17" i="305" s="1"/>
  <c r="G18" i="305" s="1"/>
  <c r="G20" i="305" s="1"/>
  <c r="G25" i="305" s="1"/>
  <c r="G112" i="306" s="1"/>
  <c r="G60" i="307"/>
  <c r="G27" i="309"/>
  <c r="G13" i="309"/>
  <c r="G21" i="309"/>
  <c r="F66" i="309"/>
  <c r="F67" i="309" s="1"/>
  <c r="F72" i="309" s="1"/>
  <c r="D55" i="279"/>
  <c r="D22" i="279" s="1"/>
  <c r="D17" i="278" s="1"/>
  <c r="D66" i="307"/>
  <c r="D67" i="307" s="1"/>
  <c r="D72" i="307" s="1"/>
  <c r="E55" i="307"/>
  <c r="E22" i="307" s="1"/>
  <c r="E17" i="306" s="1"/>
  <c r="F29" i="307"/>
  <c r="F55" i="307" s="1"/>
  <c r="F22" i="307" s="1"/>
  <c r="F17" i="306" s="1"/>
  <c r="F47" i="307"/>
  <c r="F38" i="307"/>
  <c r="F57" i="310"/>
  <c r="F64" i="310" s="1"/>
  <c r="F114" i="310"/>
  <c r="F161" i="310"/>
  <c r="F168" i="310" s="1"/>
  <c r="D66" i="310"/>
  <c r="D82" i="310"/>
  <c r="D194" i="310"/>
  <c r="F49" i="302"/>
  <c r="F127" i="303" s="1"/>
  <c r="F26" i="302"/>
  <c r="F160" i="303" s="1"/>
  <c r="F167" i="303" s="1"/>
  <c r="F27" i="302"/>
  <c r="F161" i="303" s="1"/>
  <c r="F168" i="303" s="1"/>
  <c r="D74" i="306"/>
  <c r="E182" i="306"/>
  <c r="E186" i="306" s="1"/>
  <c r="E71" i="306"/>
  <c r="E75" i="306" s="1"/>
  <c r="E127" i="306"/>
  <c r="D200" i="306"/>
  <c r="D182" i="306"/>
  <c r="D186" i="306" s="1"/>
  <c r="D127" i="306"/>
  <c r="D71" i="306"/>
  <c r="D75" i="306" s="1"/>
  <c r="E126" i="306"/>
  <c r="E181" i="306"/>
  <c r="E185" i="306" s="1"/>
  <c r="E70" i="306"/>
  <c r="E74" i="306" s="1"/>
  <c r="E52" i="305"/>
  <c r="E191" i="306" s="1"/>
  <c r="E172" i="306"/>
  <c r="D66" i="306"/>
  <c r="E64" i="306"/>
  <c r="E71" i="303"/>
  <c r="E75" i="303" s="1"/>
  <c r="E182" i="303"/>
  <c r="E186" i="303" s="1"/>
  <c r="E127" i="303"/>
  <c r="E72" i="303"/>
  <c r="E76" i="303" s="1"/>
  <c r="E183" i="303"/>
  <c r="E187" i="303" s="1"/>
  <c r="E128" i="303"/>
  <c r="E32" i="302"/>
  <c r="E112" i="303"/>
  <c r="E55" i="303"/>
  <c r="E159" i="303"/>
  <c r="E166" i="303" s="1"/>
  <c r="G60" i="304"/>
  <c r="G14" i="302"/>
  <c r="G16" i="302" s="1"/>
  <c r="G17" i="302" s="1"/>
  <c r="G18" i="302" s="1"/>
  <c r="G20" i="302" s="1"/>
  <c r="G27" i="302" s="1"/>
  <c r="F48" i="305"/>
  <c r="F50" i="305"/>
  <c r="F49" i="305"/>
  <c r="E161" i="303"/>
  <c r="E168" i="303" s="1"/>
  <c r="E114" i="303"/>
  <c r="E57" i="303"/>
  <c r="E64" i="303" s="1"/>
  <c r="E56" i="303"/>
  <c r="E63" i="303" s="1"/>
  <c r="E33" i="302"/>
  <c r="E160" i="303"/>
  <c r="E167" i="303" s="1"/>
  <c r="E113" i="303"/>
  <c r="D189" i="303"/>
  <c r="D66" i="304"/>
  <c r="D67" i="304" s="1"/>
  <c r="D72" i="304" s="1"/>
  <c r="D24" i="304" s="1"/>
  <c r="D16" i="303" s="1"/>
  <c r="D28" i="303" s="1"/>
  <c r="D23" i="304"/>
  <c r="D15" i="303" s="1"/>
  <c r="D27" i="303" s="1"/>
  <c r="D78" i="303"/>
  <c r="F63" i="304"/>
  <c r="F66" i="304" s="1"/>
  <c r="F67" i="304" s="1"/>
  <c r="F72" i="304" s="1"/>
  <c r="E55" i="304"/>
  <c r="E22" i="304" s="1"/>
  <c r="E66" i="304"/>
  <c r="E67" i="304" s="1"/>
  <c r="E72" i="304" s="1"/>
  <c r="E126" i="303"/>
  <c r="E181" i="303"/>
  <c r="E185" i="303" s="1"/>
  <c r="E70" i="303"/>
  <c r="E74" i="303" s="1"/>
  <c r="F128" i="303"/>
  <c r="F72" i="303"/>
  <c r="F76" i="303" s="1"/>
  <c r="F183" i="303"/>
  <c r="F187" i="303" s="1"/>
  <c r="F32" i="302"/>
  <c r="F159" i="303"/>
  <c r="F166" i="303" s="1"/>
  <c r="F112" i="303"/>
  <c r="F55" i="303"/>
  <c r="D55" i="273"/>
  <c r="D22" i="273" s="1"/>
  <c r="D70" i="272"/>
  <c r="D181" i="272"/>
  <c r="G13" i="270"/>
  <c r="G21" i="279"/>
  <c r="Q42" i="260"/>
  <c r="G13" i="279"/>
  <c r="D146" i="261"/>
  <c r="H1" i="279"/>
  <c r="H13" i="279" s="1"/>
  <c r="G13" i="273"/>
  <c r="G21" i="273"/>
  <c r="I58" i="267"/>
  <c r="G21" i="270"/>
  <c r="E38" i="279"/>
  <c r="E47" i="279"/>
  <c r="J51" i="267"/>
  <c r="H1" i="273"/>
  <c r="H13" i="273" s="1"/>
  <c r="H3" i="272"/>
  <c r="I53" i="267"/>
  <c r="H1" i="270"/>
  <c r="H21" i="270" s="1"/>
  <c r="E38" i="273"/>
  <c r="K2" i="267"/>
  <c r="E63" i="279"/>
  <c r="E66" i="279" s="1"/>
  <c r="E67" i="279" s="1"/>
  <c r="E72" i="279" s="1"/>
  <c r="E47" i="273"/>
  <c r="F47" i="273"/>
  <c r="F60" i="273"/>
  <c r="F38" i="279"/>
  <c r="F60" i="279"/>
  <c r="H10" i="271"/>
  <c r="H15" i="273" s="1"/>
  <c r="D159" i="278"/>
  <c r="D112" i="278"/>
  <c r="D55" i="278"/>
  <c r="E114" i="278"/>
  <c r="E161" i="278"/>
  <c r="E57" i="278"/>
  <c r="E32" i="277"/>
  <c r="E112" i="278"/>
  <c r="E159" i="278"/>
  <c r="E55" i="278"/>
  <c r="E181" i="278"/>
  <c r="E70" i="278"/>
  <c r="E126" i="278"/>
  <c r="E182" i="278"/>
  <c r="E71" i="278"/>
  <c r="E127" i="278"/>
  <c r="E183" i="278"/>
  <c r="E72" i="278"/>
  <c r="E128" i="278"/>
  <c r="D53" i="277"/>
  <c r="D192" i="278" s="1"/>
  <c r="D173" i="278"/>
  <c r="E113" i="278"/>
  <c r="E160" i="278"/>
  <c r="E56" i="278"/>
  <c r="D52" i="277"/>
  <c r="D191" i="278" s="1"/>
  <c r="D172" i="278"/>
  <c r="E33" i="277"/>
  <c r="J52" i="277"/>
  <c r="J191" i="278" s="1"/>
  <c r="J53" i="277"/>
  <c r="J192" i="278" s="1"/>
  <c r="F48" i="277"/>
  <c r="F50" i="277"/>
  <c r="F49" i="277"/>
  <c r="F26" i="277"/>
  <c r="F25" i="277"/>
  <c r="F27" i="277"/>
  <c r="D53" i="271"/>
  <c r="D192" i="272" s="1"/>
  <c r="D173" i="272"/>
  <c r="E56" i="272"/>
  <c r="E113" i="272"/>
  <c r="E160" i="272"/>
  <c r="E33" i="271"/>
  <c r="I52" i="271"/>
  <c r="I191" i="272" s="1"/>
  <c r="I53" i="271"/>
  <c r="I192" i="272" s="1"/>
  <c r="E57" i="272"/>
  <c r="E114" i="272"/>
  <c r="E161" i="272"/>
  <c r="E182" i="272"/>
  <c r="E71" i="272"/>
  <c r="E127" i="272"/>
  <c r="E183" i="272"/>
  <c r="E72" i="272"/>
  <c r="E128" i="272"/>
  <c r="E181" i="272"/>
  <c r="E70" i="272"/>
  <c r="E126" i="272"/>
  <c r="F48" i="271"/>
  <c r="F50" i="271"/>
  <c r="F49" i="271"/>
  <c r="F26" i="271"/>
  <c r="F25" i="271"/>
  <c r="F27" i="271"/>
  <c r="D52" i="271"/>
  <c r="D191" i="272" s="1"/>
  <c r="D172" i="272"/>
  <c r="E32" i="271"/>
  <c r="E55" i="272"/>
  <c r="E112" i="272"/>
  <c r="E159" i="272"/>
  <c r="G14" i="273"/>
  <c r="G14" i="279"/>
  <c r="E29" i="270"/>
  <c r="D63" i="270"/>
  <c r="D66" i="270" s="1"/>
  <c r="D67" i="270" s="1"/>
  <c r="D72" i="270" s="1"/>
  <c r="E63" i="273"/>
  <c r="E66" i="273" s="1"/>
  <c r="E67" i="273" s="1"/>
  <c r="E72" i="273" s="1"/>
  <c r="H6" i="271"/>
  <c r="D66" i="273"/>
  <c r="D67" i="273" s="1"/>
  <c r="D72" i="273" s="1"/>
  <c r="D66" i="279"/>
  <c r="D67" i="279" s="1"/>
  <c r="D72" i="279" s="1"/>
  <c r="E47" i="270"/>
  <c r="F38" i="270"/>
  <c r="F59" i="279"/>
  <c r="E31" i="279"/>
  <c r="E40" i="279"/>
  <c r="E40" i="273"/>
  <c r="E31" i="273"/>
  <c r="F59" i="273"/>
  <c r="K2" i="277"/>
  <c r="I3" i="269"/>
  <c r="J2" i="271"/>
  <c r="D40" i="270"/>
  <c r="D31" i="270"/>
  <c r="G14" i="270"/>
  <c r="E17" i="268"/>
  <c r="E18" i="268" s="1"/>
  <c r="E20" i="268" s="1"/>
  <c r="G60" i="270"/>
  <c r="E59" i="270"/>
  <c r="E63" i="270" s="1"/>
  <c r="I2" i="268"/>
  <c r="F2" i="264"/>
  <c r="F17" i="264" s="1"/>
  <c r="E126" i="313" l="1"/>
  <c r="E181" i="313"/>
  <c r="E185" i="313" s="1"/>
  <c r="D175" i="329"/>
  <c r="G25" i="312"/>
  <c r="G32" i="312" s="1"/>
  <c r="K12" i="267"/>
  <c r="K9" i="267"/>
  <c r="K7" i="267"/>
  <c r="K8" i="267"/>
  <c r="I6" i="268" s="1"/>
  <c r="K10" i="267"/>
  <c r="K11" i="267"/>
  <c r="D170" i="313"/>
  <c r="D177" i="313" s="1"/>
  <c r="H10" i="277"/>
  <c r="H11" i="324"/>
  <c r="H18" i="325" s="1"/>
  <c r="J66" i="267"/>
  <c r="H10" i="302"/>
  <c r="H16" i="304" s="1"/>
  <c r="H59" i="304" s="1"/>
  <c r="G14" i="308"/>
  <c r="G16" i="308" s="1"/>
  <c r="G17" i="308" s="1"/>
  <c r="G18" i="308" s="1"/>
  <c r="G20" i="308" s="1"/>
  <c r="G25" i="308" s="1"/>
  <c r="G159" i="310" s="1"/>
  <c r="G166" i="310" s="1"/>
  <c r="G41" i="314"/>
  <c r="I6" i="271"/>
  <c r="J56" i="267"/>
  <c r="H10" i="305"/>
  <c r="G16" i="273"/>
  <c r="H10" i="308"/>
  <c r="H15" i="309" s="1"/>
  <c r="H29" i="309" s="1"/>
  <c r="H55" i="309" s="1"/>
  <c r="H22" i="309" s="1"/>
  <c r="E128" i="329"/>
  <c r="E183" i="320"/>
  <c r="E187" i="320" s="1"/>
  <c r="J61" i="267"/>
  <c r="D87" i="325"/>
  <c r="D28" i="326" s="1"/>
  <c r="D86" i="319"/>
  <c r="D27" i="320" s="1"/>
  <c r="D31" i="320" s="1"/>
  <c r="D35" i="320" s="1"/>
  <c r="H10" i="315"/>
  <c r="D87" i="319"/>
  <c r="D28" i="320" s="1"/>
  <c r="D32" i="320" s="1"/>
  <c r="D86" i="314"/>
  <c r="D27" i="313" s="1"/>
  <c r="I100" i="269"/>
  <c r="I101" i="269"/>
  <c r="I103" i="269"/>
  <c r="I102" i="269"/>
  <c r="I91" i="269"/>
  <c r="I95" i="269"/>
  <c r="I92" i="269"/>
  <c r="I97" i="269"/>
  <c r="I90" i="269"/>
  <c r="I96" i="269"/>
  <c r="I93" i="269"/>
  <c r="I98" i="269"/>
  <c r="E53" i="327"/>
  <c r="E192" i="329" s="1"/>
  <c r="E194" i="329" s="1"/>
  <c r="D41" i="320"/>
  <c r="H10" i="312"/>
  <c r="H14" i="312" s="1"/>
  <c r="H16" i="312" s="1"/>
  <c r="H17" i="312" s="1"/>
  <c r="H18" i="312" s="1"/>
  <c r="H20" i="312" s="1"/>
  <c r="D87" i="322"/>
  <c r="D28" i="323" s="1"/>
  <c r="J67" i="267"/>
  <c r="H11" i="268"/>
  <c r="H17" i="270" s="1"/>
  <c r="D29" i="317"/>
  <c r="D86" i="316"/>
  <c r="D27" i="317" s="1"/>
  <c r="K40" i="267"/>
  <c r="K45" i="267"/>
  <c r="K44" i="267"/>
  <c r="K46" i="267" s="1"/>
  <c r="K39" i="267"/>
  <c r="K41" i="267" s="1"/>
  <c r="K29" i="267"/>
  <c r="K31" i="267" s="1"/>
  <c r="K30" i="267"/>
  <c r="D170" i="329"/>
  <c r="D183" i="329"/>
  <c r="D187" i="329" s="1"/>
  <c r="D128" i="329"/>
  <c r="D72" i="329"/>
  <c r="D76" i="329" s="1"/>
  <c r="D72" i="323"/>
  <c r="D76" i="323" s="1"/>
  <c r="D128" i="323"/>
  <c r="D183" i="323"/>
  <c r="D187" i="323" s="1"/>
  <c r="D71" i="320"/>
  <c r="D75" i="320" s="1"/>
  <c r="D182" i="320"/>
  <c r="D186" i="320" s="1"/>
  <c r="D127" i="320"/>
  <c r="D53" i="318"/>
  <c r="D192" i="320" s="1"/>
  <c r="D201" i="320" s="1"/>
  <c r="D72" i="317"/>
  <c r="D76" i="317" s="1"/>
  <c r="D183" i="317"/>
  <c r="D187" i="317" s="1"/>
  <c r="D128" i="317"/>
  <c r="D177" i="329"/>
  <c r="D66" i="329"/>
  <c r="D71" i="326"/>
  <c r="D75" i="326" s="1"/>
  <c r="D182" i="326"/>
  <c r="D186" i="326" s="1"/>
  <c r="D127" i="326"/>
  <c r="G41" i="316"/>
  <c r="G32" i="316"/>
  <c r="D62" i="313"/>
  <c r="D127" i="329"/>
  <c r="D71" i="329"/>
  <c r="D75" i="329" s="1"/>
  <c r="D182" i="329"/>
  <c r="D186" i="329" s="1"/>
  <c r="D53" i="327"/>
  <c r="D192" i="329" s="1"/>
  <c r="D201" i="329" s="1"/>
  <c r="D70" i="323"/>
  <c r="D181" i="323"/>
  <c r="D185" i="323" s="1"/>
  <c r="D126" i="323"/>
  <c r="D182" i="313"/>
  <c r="D186" i="313" s="1"/>
  <c r="D127" i="313"/>
  <c r="D53" i="312"/>
  <c r="D192" i="313" s="1"/>
  <c r="D201" i="313" s="1"/>
  <c r="D71" i="313"/>
  <c r="D75" i="313" s="1"/>
  <c r="D182" i="317"/>
  <c r="D186" i="317" s="1"/>
  <c r="D127" i="317"/>
  <c r="D71" i="317"/>
  <c r="D75" i="317" s="1"/>
  <c r="D86" i="325"/>
  <c r="D27" i="326" s="1"/>
  <c r="D87" i="316"/>
  <c r="D28" i="317" s="1"/>
  <c r="D32" i="317" s="1"/>
  <c r="D119" i="329"/>
  <c r="D117" i="329"/>
  <c r="D116" i="329"/>
  <c r="D118" i="329"/>
  <c r="D126" i="326"/>
  <c r="D181" i="326"/>
  <c r="D185" i="326" s="1"/>
  <c r="D70" i="326"/>
  <c r="G32" i="319"/>
  <c r="G41" i="319"/>
  <c r="D86" i="322"/>
  <c r="D27" i="323" s="1"/>
  <c r="H11" i="315"/>
  <c r="H18" i="316" s="1"/>
  <c r="H11" i="312"/>
  <c r="H18" i="314" s="1"/>
  <c r="H32" i="314" s="1"/>
  <c r="H11" i="318"/>
  <c r="H18" i="319" s="1"/>
  <c r="D127" i="323"/>
  <c r="D182" i="323"/>
  <c r="D186" i="323" s="1"/>
  <c r="D71" i="323"/>
  <c r="D75" i="323" s="1"/>
  <c r="D183" i="313"/>
  <c r="D187" i="313" s="1"/>
  <c r="D128" i="313"/>
  <c r="D72" i="313"/>
  <c r="D76" i="313" s="1"/>
  <c r="D52" i="318"/>
  <c r="D191" i="320" s="1"/>
  <c r="D181" i="320"/>
  <c r="D185" i="320" s="1"/>
  <c r="D70" i="320"/>
  <c r="D126" i="320"/>
  <c r="D86" i="328"/>
  <c r="D27" i="329" s="1"/>
  <c r="D128" i="326"/>
  <c r="D72" i="326"/>
  <c r="D76" i="326" s="1"/>
  <c r="D183" i="326"/>
  <c r="D187" i="326" s="1"/>
  <c r="D116" i="313"/>
  <c r="D117" i="313"/>
  <c r="D119" i="313"/>
  <c r="D118" i="313"/>
  <c r="D181" i="329"/>
  <c r="D185" i="329" s="1"/>
  <c r="D70" i="329"/>
  <c r="D126" i="329"/>
  <c r="D52" i="327"/>
  <c r="D191" i="329" s="1"/>
  <c r="D181" i="313"/>
  <c r="D185" i="313" s="1"/>
  <c r="D70" i="313"/>
  <c r="D74" i="313" s="1"/>
  <c r="D78" i="313" s="1"/>
  <c r="D126" i="313"/>
  <c r="D52" i="312"/>
  <c r="D191" i="313" s="1"/>
  <c r="D72" i="320"/>
  <c r="D76" i="320" s="1"/>
  <c r="D183" i="320"/>
  <c r="D187" i="320" s="1"/>
  <c r="D128" i="320"/>
  <c r="D126" i="317"/>
  <c r="D70" i="317"/>
  <c r="D181" i="317"/>
  <c r="D185" i="317" s="1"/>
  <c r="J63" i="267"/>
  <c r="E126" i="329"/>
  <c r="G63" i="307"/>
  <c r="E181" i="329"/>
  <c r="E185" i="329" s="1"/>
  <c r="E202" i="329" s="1"/>
  <c r="E70" i="329"/>
  <c r="E74" i="329" s="1"/>
  <c r="H77" i="314"/>
  <c r="H15" i="314"/>
  <c r="I6" i="324"/>
  <c r="I6" i="312"/>
  <c r="I6" i="308"/>
  <c r="I14" i="309" s="1"/>
  <c r="I6" i="327"/>
  <c r="I6" i="315"/>
  <c r="I6" i="318"/>
  <c r="I6" i="321"/>
  <c r="I6" i="302"/>
  <c r="I6" i="305"/>
  <c r="I14" i="307" s="1"/>
  <c r="F101" i="325"/>
  <c r="F118" i="325" s="1"/>
  <c r="F85" i="325" s="1"/>
  <c r="H77" i="316"/>
  <c r="H15" i="316"/>
  <c r="H77" i="325"/>
  <c r="H15" i="325"/>
  <c r="F32" i="312"/>
  <c r="F172" i="313" s="1"/>
  <c r="E86" i="328"/>
  <c r="E27" i="329" s="1"/>
  <c r="H77" i="319"/>
  <c r="H15" i="319"/>
  <c r="H77" i="328"/>
  <c r="H15" i="328"/>
  <c r="H77" i="322"/>
  <c r="H15" i="322"/>
  <c r="H103" i="323"/>
  <c r="H100" i="323"/>
  <c r="H101" i="323"/>
  <c r="H102" i="323"/>
  <c r="H93" i="323"/>
  <c r="H97" i="323"/>
  <c r="H95" i="323"/>
  <c r="H90" i="323"/>
  <c r="H91" i="323"/>
  <c r="H96" i="323"/>
  <c r="H98" i="323"/>
  <c r="H92" i="323"/>
  <c r="H101" i="278"/>
  <c r="H103" i="278"/>
  <c r="H100" i="278"/>
  <c r="H102" i="278"/>
  <c r="H98" i="278"/>
  <c r="H96" i="278"/>
  <c r="H92" i="278"/>
  <c r="H93" i="278"/>
  <c r="H97" i="278"/>
  <c r="H95" i="278"/>
  <c r="H90" i="278"/>
  <c r="H91" i="278"/>
  <c r="H103" i="317"/>
  <c r="H100" i="317"/>
  <c r="H101" i="317"/>
  <c r="H102" i="317"/>
  <c r="H93" i="317"/>
  <c r="H97" i="317"/>
  <c r="H95" i="317"/>
  <c r="H92" i="317"/>
  <c r="H91" i="317"/>
  <c r="H96" i="317"/>
  <c r="H98" i="317"/>
  <c r="H90" i="317"/>
  <c r="H103" i="320"/>
  <c r="H100" i="320"/>
  <c r="H101" i="320"/>
  <c r="H102" i="320"/>
  <c r="H97" i="320"/>
  <c r="H95" i="320"/>
  <c r="H90" i="320"/>
  <c r="H91" i="320"/>
  <c r="H98" i="320"/>
  <c r="H96" i="320"/>
  <c r="H92" i="320"/>
  <c r="H93" i="320"/>
  <c r="H102" i="313"/>
  <c r="H100" i="313"/>
  <c r="H103" i="313"/>
  <c r="H101" i="313"/>
  <c r="H97" i="313"/>
  <c r="H95" i="313"/>
  <c r="H90" i="313"/>
  <c r="H91" i="313"/>
  <c r="H92" i="313"/>
  <c r="H96" i="313"/>
  <c r="H98" i="313"/>
  <c r="H93" i="313"/>
  <c r="H103" i="326"/>
  <c r="H100" i="326"/>
  <c r="H102" i="326"/>
  <c r="H101" i="326"/>
  <c r="H93" i="326"/>
  <c r="H97" i="326"/>
  <c r="H95" i="326"/>
  <c r="H90" i="326"/>
  <c r="H91" i="326"/>
  <c r="H98" i="326"/>
  <c r="H96" i="326"/>
  <c r="H92" i="326"/>
  <c r="H103" i="329"/>
  <c r="H100" i="329"/>
  <c r="H102" i="329"/>
  <c r="H101" i="329"/>
  <c r="H98" i="329"/>
  <c r="H96" i="329"/>
  <c r="H92" i="329"/>
  <c r="H97" i="329"/>
  <c r="H90" i="329"/>
  <c r="H95" i="329"/>
  <c r="H91" i="329"/>
  <c r="H93" i="329"/>
  <c r="H101" i="272"/>
  <c r="H102" i="272"/>
  <c r="H103" i="272"/>
  <c r="H100" i="272"/>
  <c r="H97" i="272"/>
  <c r="H95" i="272"/>
  <c r="H98" i="272"/>
  <c r="H91" i="272"/>
  <c r="H92" i="272"/>
  <c r="H96" i="272"/>
  <c r="H90" i="272"/>
  <c r="H93" i="272"/>
  <c r="D117" i="303"/>
  <c r="F50" i="312"/>
  <c r="F128" i="313" s="1"/>
  <c r="F92" i="325"/>
  <c r="F110" i="322"/>
  <c r="E128" i="323"/>
  <c r="D143" i="306"/>
  <c r="D119" i="303"/>
  <c r="D141" i="303"/>
  <c r="E131" i="310"/>
  <c r="E133" i="310"/>
  <c r="E130" i="310"/>
  <c r="E132" i="310"/>
  <c r="E133" i="272"/>
  <c r="E132" i="272"/>
  <c r="E131" i="272"/>
  <c r="E130" i="272"/>
  <c r="F133" i="303"/>
  <c r="F130" i="303"/>
  <c r="F131" i="303"/>
  <c r="F132" i="303"/>
  <c r="E142" i="306"/>
  <c r="E143" i="306"/>
  <c r="E116" i="306"/>
  <c r="E140" i="306"/>
  <c r="E117" i="306"/>
  <c r="E118" i="306"/>
  <c r="E141" i="306"/>
  <c r="E119" i="306"/>
  <c r="E126" i="323"/>
  <c r="E119" i="320"/>
  <c r="E116" i="320"/>
  <c r="E117" i="320"/>
  <c r="E118" i="320"/>
  <c r="E141" i="310"/>
  <c r="E142" i="310"/>
  <c r="E143" i="310"/>
  <c r="E116" i="310"/>
  <c r="E117" i="310"/>
  <c r="E140" i="310"/>
  <c r="E118" i="310"/>
  <c r="E119" i="310"/>
  <c r="D140" i="306"/>
  <c r="D140" i="303"/>
  <c r="D118" i="303"/>
  <c r="D142" i="306"/>
  <c r="E132" i="303"/>
  <c r="E130" i="303"/>
  <c r="E133" i="303"/>
  <c r="E131" i="303"/>
  <c r="E142" i="303"/>
  <c r="E118" i="303"/>
  <c r="E143" i="303"/>
  <c r="E119" i="303"/>
  <c r="E116" i="303"/>
  <c r="E140" i="303"/>
  <c r="E117" i="303"/>
  <c r="E141" i="303"/>
  <c r="E131" i="326"/>
  <c r="E132" i="326"/>
  <c r="E133" i="326"/>
  <c r="E130" i="326"/>
  <c r="E70" i="323"/>
  <c r="E74" i="323" s="1"/>
  <c r="E141" i="326"/>
  <c r="E117" i="326"/>
  <c r="E142" i="326"/>
  <c r="E118" i="326"/>
  <c r="E143" i="326"/>
  <c r="E119" i="326"/>
  <c r="E140" i="326"/>
  <c r="E116" i="326"/>
  <c r="F118" i="329"/>
  <c r="F119" i="329"/>
  <c r="F116" i="329"/>
  <c r="F117" i="329"/>
  <c r="E141" i="317"/>
  <c r="E117" i="317"/>
  <c r="E142" i="317"/>
  <c r="E118" i="317"/>
  <c r="E143" i="317"/>
  <c r="E119" i="317"/>
  <c r="E140" i="317"/>
  <c r="E116" i="317"/>
  <c r="D143" i="303"/>
  <c r="D142" i="303"/>
  <c r="E141" i="278"/>
  <c r="E117" i="278"/>
  <c r="E142" i="278"/>
  <c r="E118" i="278"/>
  <c r="E143" i="278"/>
  <c r="E119" i="278"/>
  <c r="E140" i="278"/>
  <c r="E116" i="278"/>
  <c r="E143" i="272"/>
  <c r="E140" i="272"/>
  <c r="E141" i="272"/>
  <c r="E117" i="272"/>
  <c r="E118" i="272"/>
  <c r="E142" i="272"/>
  <c r="E119" i="272"/>
  <c r="E116" i="272"/>
  <c r="D140" i="278"/>
  <c r="D141" i="278"/>
  <c r="D142" i="278"/>
  <c r="D118" i="278"/>
  <c r="D119" i="278"/>
  <c r="D143" i="278"/>
  <c r="D117" i="278"/>
  <c r="D116" i="278"/>
  <c r="E130" i="306"/>
  <c r="E131" i="306"/>
  <c r="E132" i="306"/>
  <c r="E133" i="306"/>
  <c r="D133" i="306"/>
  <c r="D130" i="306"/>
  <c r="D131" i="306"/>
  <c r="D132" i="306"/>
  <c r="E131" i="278"/>
  <c r="E132" i="278"/>
  <c r="E133" i="278"/>
  <c r="E130" i="278"/>
  <c r="E130" i="313"/>
  <c r="E131" i="313"/>
  <c r="E132" i="313"/>
  <c r="E133" i="313"/>
  <c r="E131" i="317"/>
  <c r="E132" i="317"/>
  <c r="E133" i="317"/>
  <c r="E130" i="317"/>
  <c r="E116" i="323"/>
  <c r="E117" i="323"/>
  <c r="E118" i="323"/>
  <c r="E119" i="323"/>
  <c r="E140" i="313"/>
  <c r="E116" i="313"/>
  <c r="E141" i="313"/>
  <c r="E117" i="313"/>
  <c r="E142" i="313"/>
  <c r="E118" i="313"/>
  <c r="E119" i="313"/>
  <c r="E143" i="313"/>
  <c r="D116" i="303"/>
  <c r="D141" i="306"/>
  <c r="H108" i="317"/>
  <c r="H107" i="317"/>
  <c r="H106" i="317"/>
  <c r="H105" i="317"/>
  <c r="F118" i="328"/>
  <c r="F85" i="328" s="1"/>
  <c r="F29" i="329" s="1"/>
  <c r="H108" i="323"/>
  <c r="H107" i="323"/>
  <c r="H106" i="323"/>
  <c r="H105" i="323"/>
  <c r="H108" i="278"/>
  <c r="H107" i="278"/>
  <c r="H106" i="278"/>
  <c r="H105" i="278"/>
  <c r="F110" i="316"/>
  <c r="I108" i="269"/>
  <c r="I106" i="269"/>
  <c r="I107" i="269"/>
  <c r="I105" i="269"/>
  <c r="H108" i="329"/>
  <c r="H107" i="329"/>
  <c r="H106" i="329"/>
  <c r="H105" i="329"/>
  <c r="H107" i="272"/>
  <c r="H108" i="272"/>
  <c r="H105" i="272"/>
  <c r="H106" i="272"/>
  <c r="H108" i="313"/>
  <c r="H107" i="313"/>
  <c r="H106" i="313"/>
  <c r="H105" i="313"/>
  <c r="H107" i="326"/>
  <c r="H106" i="326"/>
  <c r="H105" i="326"/>
  <c r="H108" i="326"/>
  <c r="F92" i="316"/>
  <c r="F118" i="316" s="1"/>
  <c r="F85" i="316" s="1"/>
  <c r="F29" i="317" s="1"/>
  <c r="F33" i="317" s="1"/>
  <c r="F92" i="328"/>
  <c r="H108" i="320"/>
  <c r="H107" i="320"/>
  <c r="H106" i="320"/>
  <c r="H105" i="320"/>
  <c r="E86" i="319"/>
  <c r="E27" i="320" s="1"/>
  <c r="E31" i="320" s="1"/>
  <c r="E170" i="310"/>
  <c r="E53" i="318"/>
  <c r="E192" i="320" s="1"/>
  <c r="G78" i="316"/>
  <c r="G79" i="316"/>
  <c r="G78" i="325"/>
  <c r="G110" i="325" s="1"/>
  <c r="G79" i="325"/>
  <c r="E183" i="323"/>
  <c r="E187" i="323" s="1"/>
  <c r="E189" i="323" s="1"/>
  <c r="F48" i="312"/>
  <c r="F52" i="312" s="1"/>
  <c r="F191" i="313" s="1"/>
  <c r="F110" i="319"/>
  <c r="K67" i="267"/>
  <c r="G78" i="319"/>
  <c r="G101" i="319" s="1"/>
  <c r="G79" i="319"/>
  <c r="F110" i="328"/>
  <c r="G78" i="322"/>
  <c r="G101" i="322" s="1"/>
  <c r="G79" i="322"/>
  <c r="F101" i="322"/>
  <c r="F118" i="322" s="1"/>
  <c r="F85" i="322" s="1"/>
  <c r="F29" i="323" s="1"/>
  <c r="F101" i="319"/>
  <c r="F118" i="319" s="1"/>
  <c r="F85" i="319" s="1"/>
  <c r="F29" i="320" s="1"/>
  <c r="F33" i="320" s="1"/>
  <c r="G60" i="314"/>
  <c r="G78" i="314"/>
  <c r="G79" i="314"/>
  <c r="H14" i="327"/>
  <c r="H16" i="327" s="1"/>
  <c r="H17" i="327" s="1"/>
  <c r="H18" i="327" s="1"/>
  <c r="H20" i="327" s="1"/>
  <c r="H27" i="327" s="1"/>
  <c r="H16" i="328"/>
  <c r="H17" i="328"/>
  <c r="G78" i="328"/>
  <c r="G92" i="328" s="1"/>
  <c r="G79" i="328"/>
  <c r="D129" i="314"/>
  <c r="D130" i="314" s="1"/>
  <c r="D135" i="314" s="1"/>
  <c r="D67" i="314"/>
  <c r="D68" i="314" s="1"/>
  <c r="E173" i="310"/>
  <c r="E201" i="310" s="1"/>
  <c r="G40" i="312"/>
  <c r="G42" i="312" s="1"/>
  <c r="G43" i="312" s="1"/>
  <c r="G44" i="312" s="1"/>
  <c r="G46" i="312" s="1"/>
  <c r="G50" i="312" s="1"/>
  <c r="E71" i="320"/>
  <c r="E75" i="320" s="1"/>
  <c r="E127" i="320"/>
  <c r="E140" i="320" s="1"/>
  <c r="E182" i="320"/>
  <c r="E186" i="320" s="1"/>
  <c r="E202" i="320" s="1"/>
  <c r="D85" i="310"/>
  <c r="F159" i="313"/>
  <c r="F166" i="313" s="1"/>
  <c r="F112" i="313"/>
  <c r="F161" i="313"/>
  <c r="F168" i="313" s="1"/>
  <c r="D201" i="310"/>
  <c r="F114" i="313"/>
  <c r="F57" i="313"/>
  <c r="F64" i="313" s="1"/>
  <c r="F66" i="313" s="1"/>
  <c r="F49" i="327"/>
  <c r="F182" i="329" s="1"/>
  <c r="F186" i="329" s="1"/>
  <c r="F50" i="327"/>
  <c r="F72" i="329" s="1"/>
  <c r="F76" i="329" s="1"/>
  <c r="F50" i="318"/>
  <c r="F53" i="318" s="1"/>
  <c r="E86" i="325"/>
  <c r="E27" i="326" s="1"/>
  <c r="F48" i="318"/>
  <c r="F52" i="318" s="1"/>
  <c r="E66" i="320"/>
  <c r="F159" i="310"/>
  <c r="F166" i="310" s="1"/>
  <c r="F112" i="310"/>
  <c r="F55" i="310"/>
  <c r="F62" i="310" s="1"/>
  <c r="D196" i="310"/>
  <c r="G40" i="321"/>
  <c r="G42" i="321" s="1"/>
  <c r="G43" i="321" s="1"/>
  <c r="G44" i="321" s="1"/>
  <c r="G46" i="321" s="1"/>
  <c r="G49" i="321" s="1"/>
  <c r="H17" i="319"/>
  <c r="H122" i="319" s="1"/>
  <c r="H16" i="319"/>
  <c r="H17" i="316"/>
  <c r="H16" i="316"/>
  <c r="H16" i="314"/>
  <c r="H17" i="314"/>
  <c r="H122" i="314" s="1"/>
  <c r="H15" i="279"/>
  <c r="H16" i="309"/>
  <c r="H59" i="309" s="1"/>
  <c r="H63" i="309" s="1"/>
  <c r="H66" i="309" s="1"/>
  <c r="H67" i="309" s="1"/>
  <c r="H72" i="309" s="1"/>
  <c r="H16" i="307"/>
  <c r="H59" i="307" s="1"/>
  <c r="H15" i="307"/>
  <c r="E52" i="302"/>
  <c r="E191" i="303" s="1"/>
  <c r="E172" i="303"/>
  <c r="D52" i="302"/>
  <c r="D191" i="303" s="1"/>
  <c r="D172" i="303"/>
  <c r="F52" i="302"/>
  <c r="F191" i="303" s="1"/>
  <c r="F172" i="303"/>
  <c r="H150" i="326"/>
  <c r="H151" i="326"/>
  <c r="H150" i="323"/>
  <c r="H151" i="323"/>
  <c r="H150" i="320"/>
  <c r="H151" i="320"/>
  <c r="H150" i="317"/>
  <c r="H151" i="317"/>
  <c r="H151" i="313"/>
  <c r="H150" i="313"/>
  <c r="H150" i="278"/>
  <c r="H151" i="278"/>
  <c r="H150" i="272"/>
  <c r="H151" i="272"/>
  <c r="I28" i="269"/>
  <c r="I32" i="269" s="1"/>
  <c r="I150" i="269"/>
  <c r="I151" i="269"/>
  <c r="I27" i="269"/>
  <c r="I29" i="269"/>
  <c r="I33" i="269" s="1"/>
  <c r="D202" i="303"/>
  <c r="F48" i="328"/>
  <c r="F39" i="328"/>
  <c r="F56" i="328" s="1"/>
  <c r="F23" i="328" s="1"/>
  <c r="F17" i="329" s="1"/>
  <c r="F30" i="328"/>
  <c r="G40" i="315"/>
  <c r="G42" i="315" s="1"/>
  <c r="G43" i="315" s="1"/>
  <c r="G44" i="315" s="1"/>
  <c r="G46" i="315" s="1"/>
  <c r="G49" i="315" s="1"/>
  <c r="G94" i="316"/>
  <c r="G103" i="316"/>
  <c r="F126" i="316"/>
  <c r="F64" i="316"/>
  <c r="G110" i="322"/>
  <c r="H90" i="316"/>
  <c r="H84" i="316"/>
  <c r="H76" i="316"/>
  <c r="H22" i="316"/>
  <c r="H28" i="316"/>
  <c r="H90" i="325"/>
  <c r="H76" i="325"/>
  <c r="H28" i="325"/>
  <c r="H84" i="325"/>
  <c r="H22" i="325"/>
  <c r="F126" i="325"/>
  <c r="F64" i="325"/>
  <c r="I10" i="324"/>
  <c r="I16" i="325" s="1"/>
  <c r="I10" i="321"/>
  <c r="I16" i="322" s="1"/>
  <c r="I10" i="327"/>
  <c r="G94" i="322"/>
  <c r="G103" i="322"/>
  <c r="E67" i="328"/>
  <c r="E68" i="328" s="1"/>
  <c r="E73" i="328" s="1"/>
  <c r="E25" i="328" s="1"/>
  <c r="E129" i="328"/>
  <c r="E130" i="328" s="1"/>
  <c r="E135" i="328" s="1"/>
  <c r="E87" i="328" s="1"/>
  <c r="E28" i="329" s="1"/>
  <c r="E24" i="328"/>
  <c r="G48" i="316"/>
  <c r="G39" i="316"/>
  <c r="G30" i="316"/>
  <c r="G56" i="316" s="1"/>
  <c r="G23" i="316" s="1"/>
  <c r="G17" i="317" s="1"/>
  <c r="H41" i="328"/>
  <c r="H32" i="328"/>
  <c r="I11" i="327"/>
  <c r="I18" i="328" s="1"/>
  <c r="I11" i="321"/>
  <c r="I18" i="322" s="1"/>
  <c r="I11" i="324"/>
  <c r="I18" i="325" s="1"/>
  <c r="E29" i="317"/>
  <c r="E33" i="317" s="1"/>
  <c r="E86" i="316"/>
  <c r="E27" i="317" s="1"/>
  <c r="H38" i="324"/>
  <c r="H80" i="325" s="1"/>
  <c r="H38" i="321"/>
  <c r="H80" i="322" s="1"/>
  <c r="H38" i="327"/>
  <c r="H80" i="328" s="1"/>
  <c r="F126" i="322"/>
  <c r="F64" i="322"/>
  <c r="E129" i="319"/>
  <c r="E130" i="319" s="1"/>
  <c r="E135" i="319" s="1"/>
  <c r="E87" i="319" s="1"/>
  <c r="E28" i="320" s="1"/>
  <c r="E32" i="320" s="1"/>
  <c r="E67" i="319"/>
  <c r="E68" i="319" s="1"/>
  <c r="E73" i="319" s="1"/>
  <c r="E25" i="319" s="1"/>
  <c r="E16" i="320" s="1"/>
  <c r="E20" i="320" s="1"/>
  <c r="E24" i="319"/>
  <c r="E15" i="320" s="1"/>
  <c r="E19" i="320" s="1"/>
  <c r="G94" i="328"/>
  <c r="G103" i="328"/>
  <c r="E129" i="325"/>
  <c r="E130" i="325" s="1"/>
  <c r="E135" i="325" s="1"/>
  <c r="E87" i="325" s="1"/>
  <c r="E28" i="326" s="1"/>
  <c r="E67" i="325"/>
  <c r="E68" i="325" s="1"/>
  <c r="E73" i="325" s="1"/>
  <c r="E25" i="325" s="1"/>
  <c r="E24" i="325"/>
  <c r="G39" i="322"/>
  <c r="G56" i="322" s="1"/>
  <c r="G23" i="322" s="1"/>
  <c r="G48" i="322"/>
  <c r="G30" i="322"/>
  <c r="H41" i="325"/>
  <c r="H32" i="325"/>
  <c r="F64" i="328"/>
  <c r="F126" i="328"/>
  <c r="J68" i="267"/>
  <c r="H37" i="321"/>
  <c r="H40" i="321" s="1"/>
  <c r="H42" i="321" s="1"/>
  <c r="H43" i="321" s="1"/>
  <c r="H44" i="321" s="1"/>
  <c r="H46" i="321" s="1"/>
  <c r="H37" i="324"/>
  <c r="H40" i="324" s="1"/>
  <c r="H42" i="324" s="1"/>
  <c r="H43" i="324" s="1"/>
  <c r="H44" i="324" s="1"/>
  <c r="H46" i="324" s="1"/>
  <c r="H37" i="327"/>
  <c r="H40" i="327" s="1"/>
  <c r="H42" i="327" s="1"/>
  <c r="H43" i="327" s="1"/>
  <c r="H44" i="327" s="1"/>
  <c r="H46" i="327" s="1"/>
  <c r="E29" i="323"/>
  <c r="E86" i="322"/>
  <c r="E27" i="323" s="1"/>
  <c r="G94" i="325"/>
  <c r="G103" i="325"/>
  <c r="H90" i="319"/>
  <c r="H76" i="319"/>
  <c r="H28" i="319"/>
  <c r="H22" i="319"/>
  <c r="H84" i="319"/>
  <c r="G30" i="319"/>
  <c r="G48" i="319"/>
  <c r="G39" i="319"/>
  <c r="G56" i="319" s="1"/>
  <c r="G23" i="319" s="1"/>
  <c r="G17" i="320" s="1"/>
  <c r="G122" i="328"/>
  <c r="G60" i="328"/>
  <c r="H38" i="318"/>
  <c r="H80" i="319" s="1"/>
  <c r="H38" i="312"/>
  <c r="H80" i="314" s="1"/>
  <c r="H38" i="315"/>
  <c r="H80" i="316" s="1"/>
  <c r="K62" i="267"/>
  <c r="K66" i="267"/>
  <c r="H90" i="322"/>
  <c r="H76" i="322"/>
  <c r="H84" i="322"/>
  <c r="H28" i="322"/>
  <c r="H22" i="322"/>
  <c r="G122" i="325"/>
  <c r="G60" i="325"/>
  <c r="G122" i="322"/>
  <c r="G60" i="322"/>
  <c r="G122" i="316"/>
  <c r="G60" i="316"/>
  <c r="G122" i="319"/>
  <c r="G60" i="319"/>
  <c r="F126" i="319"/>
  <c r="F64" i="319"/>
  <c r="E129" i="316"/>
  <c r="E130" i="316" s="1"/>
  <c r="E135" i="316" s="1"/>
  <c r="E87" i="316" s="1"/>
  <c r="E28" i="317" s="1"/>
  <c r="E32" i="317" s="1"/>
  <c r="E67" i="316"/>
  <c r="E68" i="316" s="1"/>
  <c r="E73" i="316" s="1"/>
  <c r="E25" i="316" s="1"/>
  <c r="E16" i="317" s="1"/>
  <c r="E20" i="317" s="1"/>
  <c r="E24" i="316"/>
  <c r="E15" i="317" s="1"/>
  <c r="E129" i="322"/>
  <c r="E130" i="322" s="1"/>
  <c r="E135" i="322" s="1"/>
  <c r="E87" i="322" s="1"/>
  <c r="E28" i="323" s="1"/>
  <c r="E67" i="322"/>
  <c r="E68" i="322" s="1"/>
  <c r="E73" i="322" s="1"/>
  <c r="E25" i="322" s="1"/>
  <c r="E24" i="322"/>
  <c r="H84" i="328"/>
  <c r="H76" i="328"/>
  <c r="H28" i="328"/>
  <c r="H22" i="328"/>
  <c r="H90" i="328"/>
  <c r="F48" i="325"/>
  <c r="F39" i="325"/>
  <c r="F56" i="325" s="1"/>
  <c r="F23" i="325" s="1"/>
  <c r="F17" i="326" s="1"/>
  <c r="F30" i="325"/>
  <c r="H32" i="322"/>
  <c r="H41" i="322"/>
  <c r="G103" i="319"/>
  <c r="G94" i="319"/>
  <c r="D177" i="310"/>
  <c r="E172" i="310"/>
  <c r="E200" i="310" s="1"/>
  <c r="F103" i="314"/>
  <c r="F94" i="314"/>
  <c r="E86" i="314"/>
  <c r="E27" i="313" s="1"/>
  <c r="K61" i="267"/>
  <c r="K63" i="267" s="1"/>
  <c r="F110" i="314"/>
  <c r="F101" i="314"/>
  <c r="F92" i="314"/>
  <c r="H37" i="318"/>
  <c r="H37" i="312"/>
  <c r="H37" i="315"/>
  <c r="H84" i="314"/>
  <c r="H90" i="314"/>
  <c r="H76" i="314"/>
  <c r="D15" i="313"/>
  <c r="F67" i="314"/>
  <c r="F68" i="314" s="1"/>
  <c r="E23" i="314"/>
  <c r="F23" i="314"/>
  <c r="F17" i="313" s="1"/>
  <c r="E67" i="314"/>
  <c r="E68" i="314" s="1"/>
  <c r="E87" i="314" s="1"/>
  <c r="E28" i="313" s="1"/>
  <c r="F33" i="308"/>
  <c r="F53" i="308" s="1"/>
  <c r="F192" i="310" s="1"/>
  <c r="F160" i="310"/>
  <c r="F167" i="310" s="1"/>
  <c r="F113" i="310"/>
  <c r="E170" i="306"/>
  <c r="F24" i="309"/>
  <c r="F16" i="310" s="1"/>
  <c r="F28" i="310" s="1"/>
  <c r="F40" i="310" s="1"/>
  <c r="D201" i="323"/>
  <c r="E83" i="310"/>
  <c r="F66" i="329"/>
  <c r="D201" i="317"/>
  <c r="E170" i="317"/>
  <c r="F126" i="310"/>
  <c r="E194" i="313"/>
  <c r="D170" i="303"/>
  <c r="F181" i="310"/>
  <c r="F185" i="310" s="1"/>
  <c r="D41" i="329"/>
  <c r="E201" i="329"/>
  <c r="D41" i="326"/>
  <c r="E170" i="320"/>
  <c r="D40" i="320"/>
  <c r="D201" i="326"/>
  <c r="E201" i="313"/>
  <c r="G57" i="313"/>
  <c r="G64" i="313" s="1"/>
  <c r="G114" i="313"/>
  <c r="G161" i="313"/>
  <c r="G168" i="313" s="1"/>
  <c r="E172" i="320"/>
  <c r="E191" i="320"/>
  <c r="E200" i="329"/>
  <c r="E175" i="329"/>
  <c r="E177" i="329" s="1"/>
  <c r="F160" i="317"/>
  <c r="F167" i="317" s="1"/>
  <c r="F33" i="315"/>
  <c r="F113" i="317"/>
  <c r="F56" i="317"/>
  <c r="F63" i="317" s="1"/>
  <c r="G33" i="327"/>
  <c r="G160" i="329"/>
  <c r="G167" i="329" s="1"/>
  <c r="G56" i="329"/>
  <c r="G63" i="329" s="1"/>
  <c r="G113" i="329"/>
  <c r="F72" i="310"/>
  <c r="F76" i="310" s="1"/>
  <c r="F78" i="310" s="1"/>
  <c r="F170" i="329"/>
  <c r="F57" i="323"/>
  <c r="F64" i="323" s="1"/>
  <c r="F114" i="323"/>
  <c r="F161" i="323"/>
  <c r="F168" i="323" s="1"/>
  <c r="E200" i="313"/>
  <c r="E175" i="313"/>
  <c r="E177" i="313" s="1"/>
  <c r="E173" i="320"/>
  <c r="H14" i="315"/>
  <c r="H16" i="315" s="1"/>
  <c r="H17" i="315" s="1"/>
  <c r="H18" i="315" s="1"/>
  <c r="H20" i="315" s="1"/>
  <c r="F183" i="310"/>
  <c r="F187" i="310" s="1"/>
  <c r="G159" i="313"/>
  <c r="G166" i="313" s="1"/>
  <c r="D194" i="317"/>
  <c r="F173" i="329"/>
  <c r="F160" i="323"/>
  <c r="F167" i="323" s="1"/>
  <c r="F113" i="323"/>
  <c r="F56" i="323"/>
  <c r="F63" i="323" s="1"/>
  <c r="F33" i="321"/>
  <c r="E21" i="329"/>
  <c r="E33" i="329"/>
  <c r="E52" i="315"/>
  <c r="E191" i="317" s="1"/>
  <c r="E172" i="317"/>
  <c r="H27" i="312"/>
  <c r="H26" i="312"/>
  <c r="H25" i="312"/>
  <c r="G27" i="315"/>
  <c r="G25" i="315"/>
  <c r="G26" i="315"/>
  <c r="E66" i="323"/>
  <c r="G160" i="313"/>
  <c r="G167" i="313" s="1"/>
  <c r="G33" i="312"/>
  <c r="G56" i="313"/>
  <c r="G63" i="313" s="1"/>
  <c r="G113" i="313"/>
  <c r="D23" i="320"/>
  <c r="F32" i="318"/>
  <c r="F55" i="320"/>
  <c r="F62" i="320" s="1"/>
  <c r="F112" i="320"/>
  <c r="F159" i="320"/>
  <c r="F166" i="320" s="1"/>
  <c r="D200" i="317"/>
  <c r="D175" i="317"/>
  <c r="D177" i="317" s="1"/>
  <c r="F159" i="323"/>
  <c r="F166" i="323" s="1"/>
  <c r="F55" i="323"/>
  <c r="F62" i="323" s="1"/>
  <c r="F112" i="323"/>
  <c r="F32" i="321"/>
  <c r="F161" i="326"/>
  <c r="F168" i="326" s="1"/>
  <c r="F114" i="326"/>
  <c r="F57" i="326"/>
  <c r="F64" i="326" s="1"/>
  <c r="F173" i="313"/>
  <c r="E66" i="317"/>
  <c r="G27" i="318"/>
  <c r="G26" i="318"/>
  <c r="G25" i="318"/>
  <c r="H14" i="324"/>
  <c r="H16" i="324" s="1"/>
  <c r="H17" i="324" s="1"/>
  <c r="H18" i="324" s="1"/>
  <c r="H20" i="324" s="1"/>
  <c r="H17" i="325"/>
  <c r="F113" i="320"/>
  <c r="F33" i="318"/>
  <c r="F56" i="320"/>
  <c r="F63" i="320" s="1"/>
  <c r="F160" i="320"/>
  <c r="F167" i="320" s="1"/>
  <c r="F160" i="326"/>
  <c r="F167" i="326" s="1"/>
  <c r="F56" i="326"/>
  <c r="F63" i="326" s="1"/>
  <c r="F113" i="326"/>
  <c r="F33" i="324"/>
  <c r="F21" i="320"/>
  <c r="E170" i="323"/>
  <c r="E53" i="324"/>
  <c r="E192" i="326" s="1"/>
  <c r="E173" i="326"/>
  <c r="H14" i="321"/>
  <c r="H16" i="321" s="1"/>
  <c r="H17" i="321" s="1"/>
  <c r="H18" i="321" s="1"/>
  <c r="H20" i="321" s="1"/>
  <c r="H17" i="322"/>
  <c r="F21" i="317"/>
  <c r="F32" i="324"/>
  <c r="F159" i="326"/>
  <c r="F166" i="326" s="1"/>
  <c r="F112" i="326"/>
  <c r="F55" i="326"/>
  <c r="F62" i="326" s="1"/>
  <c r="D200" i="323"/>
  <c r="D175" i="323"/>
  <c r="D177" i="323" s="1"/>
  <c r="E66" i="326"/>
  <c r="F161" i="317"/>
  <c r="F168" i="317" s="1"/>
  <c r="F57" i="317"/>
  <c r="F64" i="317" s="1"/>
  <c r="F114" i="317"/>
  <c r="F191" i="329"/>
  <c r="F172" i="329"/>
  <c r="G57" i="329"/>
  <c r="G64" i="329" s="1"/>
  <c r="G161" i="329"/>
  <c r="G168" i="329" s="1"/>
  <c r="G114" i="329"/>
  <c r="D194" i="326"/>
  <c r="D194" i="323"/>
  <c r="E52" i="321"/>
  <c r="E172" i="323"/>
  <c r="H14" i="318"/>
  <c r="H16" i="318" s="1"/>
  <c r="H17" i="318" s="1"/>
  <c r="H18" i="318" s="1"/>
  <c r="H20" i="318" s="1"/>
  <c r="E170" i="326"/>
  <c r="F114" i="320"/>
  <c r="F161" i="320"/>
  <c r="F168" i="320" s="1"/>
  <c r="F57" i="320"/>
  <c r="F64" i="320" s="1"/>
  <c r="E21" i="326"/>
  <c r="E33" i="326"/>
  <c r="E33" i="320"/>
  <c r="E41" i="320"/>
  <c r="E52" i="324"/>
  <c r="E172" i="326"/>
  <c r="F32" i="315"/>
  <c r="F55" i="317"/>
  <c r="F62" i="317" s="1"/>
  <c r="F159" i="317"/>
  <c r="F166" i="317" s="1"/>
  <c r="F112" i="317"/>
  <c r="D175" i="320"/>
  <c r="D177" i="320" s="1"/>
  <c r="E173" i="323"/>
  <c r="E53" i="321"/>
  <c r="E192" i="323" s="1"/>
  <c r="E53" i="315"/>
  <c r="E192" i="317" s="1"/>
  <c r="E173" i="317"/>
  <c r="G32" i="327"/>
  <c r="G112" i="329"/>
  <c r="G159" i="329"/>
  <c r="G166" i="329" s="1"/>
  <c r="G55" i="329"/>
  <c r="G62" i="329" s="1"/>
  <c r="D200" i="326"/>
  <c r="D175" i="326"/>
  <c r="D177" i="326" s="1"/>
  <c r="G27" i="324"/>
  <c r="G26" i="324"/>
  <c r="G25" i="324"/>
  <c r="G25" i="321"/>
  <c r="G27" i="321"/>
  <c r="G26" i="321"/>
  <c r="D41" i="313"/>
  <c r="H41" i="314"/>
  <c r="G39" i="314"/>
  <c r="G30" i="314"/>
  <c r="G56" i="314" s="1"/>
  <c r="G48" i="314"/>
  <c r="E78" i="310"/>
  <c r="F181" i="323"/>
  <c r="F185" i="323" s="1"/>
  <c r="F126" i="323"/>
  <c r="F70" i="323"/>
  <c r="F182" i="323"/>
  <c r="F186" i="323" s="1"/>
  <c r="F127" i="323"/>
  <c r="F71" i="323"/>
  <c r="F75" i="323" s="1"/>
  <c r="H22" i="314"/>
  <c r="H14" i="314"/>
  <c r="H28" i="314"/>
  <c r="H14" i="328"/>
  <c r="G50" i="324"/>
  <c r="G48" i="324"/>
  <c r="G49" i="324"/>
  <c r="F71" i="320"/>
  <c r="F75" i="320" s="1"/>
  <c r="F182" i="320"/>
  <c r="F186" i="320" s="1"/>
  <c r="F127" i="320"/>
  <c r="F70" i="329"/>
  <c r="F181" i="329"/>
  <c r="F185" i="329" s="1"/>
  <c r="F126" i="329"/>
  <c r="F183" i="323"/>
  <c r="F187" i="323" s="1"/>
  <c r="F128" i="323"/>
  <c r="F72" i="323"/>
  <c r="F76" i="323" s="1"/>
  <c r="G48" i="318"/>
  <c r="G52" i="318" s="1"/>
  <c r="G50" i="318"/>
  <c r="G49" i="318"/>
  <c r="I3" i="326"/>
  <c r="I1" i="328"/>
  <c r="I3" i="329"/>
  <c r="I1" i="325"/>
  <c r="I3" i="323"/>
  <c r="I1" i="322"/>
  <c r="I3" i="317"/>
  <c r="I1" i="316"/>
  <c r="I3" i="320"/>
  <c r="I1" i="319"/>
  <c r="I3" i="313"/>
  <c r="I1" i="314"/>
  <c r="H14" i="316"/>
  <c r="H14" i="325"/>
  <c r="G49" i="327"/>
  <c r="G48" i="327"/>
  <c r="G52" i="327" s="1"/>
  <c r="G50" i="327"/>
  <c r="E74" i="317"/>
  <c r="E83" i="317"/>
  <c r="E189" i="313"/>
  <c r="E202" i="313"/>
  <c r="D33" i="310"/>
  <c r="E74" i="326"/>
  <c r="E83" i="326"/>
  <c r="E74" i="320"/>
  <c r="F127" i="326"/>
  <c r="F71" i="326"/>
  <c r="F75" i="326" s="1"/>
  <c r="F182" i="326"/>
  <c r="F186" i="326" s="1"/>
  <c r="D83" i="303"/>
  <c r="E189" i="326"/>
  <c r="E202" i="326"/>
  <c r="H151" i="329"/>
  <c r="H150" i="329"/>
  <c r="F183" i="317"/>
  <c r="F187" i="317" s="1"/>
  <c r="F128" i="317"/>
  <c r="F72" i="317"/>
  <c r="F76" i="317" s="1"/>
  <c r="E189" i="317"/>
  <c r="E202" i="317"/>
  <c r="F127" i="313"/>
  <c r="F71" i="313"/>
  <c r="F75" i="313" s="1"/>
  <c r="F182" i="313"/>
  <c r="F186" i="313" s="1"/>
  <c r="F183" i="326"/>
  <c r="F187" i="326" s="1"/>
  <c r="F72" i="326"/>
  <c r="F76" i="326" s="1"/>
  <c r="F128" i="326"/>
  <c r="H14" i="319"/>
  <c r="E74" i="313"/>
  <c r="E83" i="313"/>
  <c r="F181" i="317"/>
  <c r="F185" i="317" s="1"/>
  <c r="F70" i="317"/>
  <c r="F126" i="317"/>
  <c r="F126" i="326"/>
  <c r="F181" i="326"/>
  <c r="F185" i="326" s="1"/>
  <c r="F70" i="326"/>
  <c r="H14" i="322"/>
  <c r="F182" i="317"/>
  <c r="F186" i="317" s="1"/>
  <c r="F127" i="317"/>
  <c r="F71" i="317"/>
  <c r="F75" i="317" s="1"/>
  <c r="F23" i="309"/>
  <c r="F15" i="310" s="1"/>
  <c r="F27" i="310" s="1"/>
  <c r="F39" i="310" s="1"/>
  <c r="D53" i="302"/>
  <c r="D192" i="303" s="1"/>
  <c r="F182" i="310"/>
  <c r="F186" i="310" s="1"/>
  <c r="F127" i="310"/>
  <c r="F55" i="304"/>
  <c r="F22" i="304" s="1"/>
  <c r="F17" i="303" s="1"/>
  <c r="G48" i="308"/>
  <c r="G181" i="310" s="1"/>
  <c r="G185" i="310" s="1"/>
  <c r="G50" i="308"/>
  <c r="G72" i="310" s="1"/>
  <c r="G76" i="310" s="1"/>
  <c r="G49" i="308"/>
  <c r="G127" i="310" s="1"/>
  <c r="D39" i="303"/>
  <c r="D19" i="303"/>
  <c r="D40" i="303"/>
  <c r="D20" i="303"/>
  <c r="D55" i="270"/>
  <c r="D22" i="270" s="1"/>
  <c r="D17" i="269" s="1"/>
  <c r="H38" i="268"/>
  <c r="H38" i="277"/>
  <c r="H38" i="271"/>
  <c r="H38" i="308"/>
  <c r="H38" i="305"/>
  <c r="H38" i="302"/>
  <c r="I10" i="277"/>
  <c r="I10" i="268"/>
  <c r="I15" i="270" s="1"/>
  <c r="I10" i="308"/>
  <c r="I10" i="302"/>
  <c r="K52" i="267"/>
  <c r="K57" i="267"/>
  <c r="H37" i="271"/>
  <c r="H40" i="271" s="1"/>
  <c r="H42" i="271" s="1"/>
  <c r="H43" i="271" s="1"/>
  <c r="H44" i="271" s="1"/>
  <c r="H46" i="271" s="1"/>
  <c r="H37" i="308"/>
  <c r="H40" i="308" s="1"/>
  <c r="H42" i="308" s="1"/>
  <c r="H43" i="308" s="1"/>
  <c r="H44" i="308" s="1"/>
  <c r="H46" i="308" s="1"/>
  <c r="H48" i="308" s="1"/>
  <c r="H37" i="305"/>
  <c r="H40" i="305" s="1"/>
  <c r="H42" i="305" s="1"/>
  <c r="H43" i="305" s="1"/>
  <c r="H44" i="305" s="1"/>
  <c r="H46" i="305" s="1"/>
  <c r="H37" i="302"/>
  <c r="H40" i="302" s="1"/>
  <c r="H42" i="302" s="1"/>
  <c r="H43" i="302" s="1"/>
  <c r="H44" i="302" s="1"/>
  <c r="H46" i="302" s="1"/>
  <c r="H50" i="302" s="1"/>
  <c r="H37" i="268"/>
  <c r="H40" i="268" s="1"/>
  <c r="H42" i="268" s="1"/>
  <c r="H37" i="277"/>
  <c r="H40" i="277" s="1"/>
  <c r="H42" i="277" s="1"/>
  <c r="H43" i="277" s="1"/>
  <c r="H44" i="277" s="1"/>
  <c r="H46" i="277" s="1"/>
  <c r="D29" i="306"/>
  <c r="D33" i="306" s="1"/>
  <c r="D21" i="306"/>
  <c r="F29" i="306"/>
  <c r="F41" i="306" s="1"/>
  <c r="F21" i="306"/>
  <c r="E29" i="306"/>
  <c r="E41" i="306" s="1"/>
  <c r="E21" i="306"/>
  <c r="D27" i="306"/>
  <c r="D31" i="306" s="1"/>
  <c r="D19" i="306"/>
  <c r="E27" i="310"/>
  <c r="E39" i="310" s="1"/>
  <c r="E19" i="310"/>
  <c r="F29" i="310"/>
  <c r="F41" i="310" s="1"/>
  <c r="F21" i="310"/>
  <c r="D27" i="310"/>
  <c r="D39" i="310" s="1"/>
  <c r="D19" i="310"/>
  <c r="E28" i="310"/>
  <c r="E40" i="310" s="1"/>
  <c r="E20" i="310"/>
  <c r="D28" i="310"/>
  <c r="D40" i="310" s="1"/>
  <c r="D20" i="310"/>
  <c r="E33" i="310"/>
  <c r="D29" i="278"/>
  <c r="D41" i="278" s="1"/>
  <c r="D21" i="278"/>
  <c r="L11" i="310"/>
  <c r="K33" i="310"/>
  <c r="K35" i="310" s="1"/>
  <c r="G9" i="278"/>
  <c r="G9" i="269"/>
  <c r="K11" i="278"/>
  <c r="L11" i="306"/>
  <c r="K33" i="306"/>
  <c r="K35" i="306" s="1"/>
  <c r="J10" i="269"/>
  <c r="K11" i="272"/>
  <c r="J11" i="269"/>
  <c r="K10" i="278"/>
  <c r="G9" i="272"/>
  <c r="L11" i="303"/>
  <c r="K33" i="303"/>
  <c r="K35" i="303" s="1"/>
  <c r="K10" i="272"/>
  <c r="E173" i="306"/>
  <c r="E175" i="306" s="1"/>
  <c r="G38" i="309"/>
  <c r="G63" i="304"/>
  <c r="G66" i="304" s="1"/>
  <c r="G67" i="304" s="1"/>
  <c r="G72" i="304" s="1"/>
  <c r="G29" i="309"/>
  <c r="G55" i="309" s="1"/>
  <c r="G22" i="309" s="1"/>
  <c r="G17" i="310" s="1"/>
  <c r="D189" i="306"/>
  <c r="D196" i="306" s="1"/>
  <c r="G159" i="306"/>
  <c r="G166" i="306" s="1"/>
  <c r="G32" i="305"/>
  <c r="G52" i="305" s="1"/>
  <c r="G191" i="306" s="1"/>
  <c r="G26" i="305"/>
  <c r="G113" i="306" s="1"/>
  <c r="G55" i="306"/>
  <c r="G62" i="306" s="1"/>
  <c r="G47" i="304"/>
  <c r="F181" i="303"/>
  <c r="F185" i="303" s="1"/>
  <c r="F182" i="303"/>
  <c r="F186" i="303" s="1"/>
  <c r="F71" i="303"/>
  <c r="F75" i="303" s="1"/>
  <c r="E23" i="307"/>
  <c r="E15" i="306" s="1"/>
  <c r="H14" i="271"/>
  <c r="H16" i="271" s="1"/>
  <c r="H17" i="271" s="1"/>
  <c r="H18" i="271" s="1"/>
  <c r="H20" i="271" s="1"/>
  <c r="H16" i="273"/>
  <c r="F70" i="303"/>
  <c r="F74" i="303" s="1"/>
  <c r="H14" i="277"/>
  <c r="H16" i="277" s="1"/>
  <c r="H17" i="277" s="1"/>
  <c r="H18" i="277" s="1"/>
  <c r="H20" i="277" s="1"/>
  <c r="H16" i="279"/>
  <c r="D24" i="307"/>
  <c r="D16" i="306" s="1"/>
  <c r="G25" i="302"/>
  <c r="G32" i="302" s="1"/>
  <c r="G26" i="302"/>
  <c r="G160" i="303" s="1"/>
  <c r="G167" i="303" s="1"/>
  <c r="E53" i="302"/>
  <c r="E192" i="303" s="1"/>
  <c r="E173" i="303"/>
  <c r="H14" i="268"/>
  <c r="H16" i="268" s="1"/>
  <c r="H16" i="270"/>
  <c r="G40" i="304"/>
  <c r="G31" i="304"/>
  <c r="D17" i="272"/>
  <c r="E23" i="304"/>
  <c r="E15" i="303" s="1"/>
  <c r="E27" i="303" s="1"/>
  <c r="E17" i="303"/>
  <c r="E29" i="303" s="1"/>
  <c r="D202" i="306"/>
  <c r="G27" i="305"/>
  <c r="G114" i="306" s="1"/>
  <c r="G29" i="304"/>
  <c r="F56" i="303"/>
  <c r="F63" i="303" s="1"/>
  <c r="D23" i="279"/>
  <c r="D15" i="278" s="1"/>
  <c r="F113" i="303"/>
  <c r="D24" i="279"/>
  <c r="D16" i="278" s="1"/>
  <c r="F33" i="302"/>
  <c r="F57" i="303"/>
  <c r="F64" i="303" s="1"/>
  <c r="F114" i="303"/>
  <c r="D78" i="306"/>
  <c r="D85" i="306" s="1"/>
  <c r="E189" i="303"/>
  <c r="D201" i="306"/>
  <c r="D175" i="306"/>
  <c r="D177" i="306" s="1"/>
  <c r="F23" i="307"/>
  <c r="F15" i="306" s="1"/>
  <c r="G66" i="307"/>
  <c r="G67" i="307" s="1"/>
  <c r="G72" i="307" s="1"/>
  <c r="H27" i="309"/>
  <c r="H13" i="309"/>
  <c r="H21" i="309"/>
  <c r="D82" i="306"/>
  <c r="F172" i="310"/>
  <c r="F52" i="308"/>
  <c r="F191" i="310" s="1"/>
  <c r="F24" i="307"/>
  <c r="F16" i="306" s="1"/>
  <c r="E82" i="310"/>
  <c r="E66" i="310"/>
  <c r="H21" i="304"/>
  <c r="F160" i="306"/>
  <c r="F167" i="306" s="1"/>
  <c r="F56" i="306"/>
  <c r="F63" i="306" s="1"/>
  <c r="F33" i="305"/>
  <c r="F113" i="306"/>
  <c r="H14" i="305"/>
  <c r="H16" i="305" s="1"/>
  <c r="H17" i="305" s="1"/>
  <c r="H18" i="305" s="1"/>
  <c r="H20" i="305" s="1"/>
  <c r="H27" i="305" s="1"/>
  <c r="H161" i="306" s="1"/>
  <c r="H168" i="306" s="1"/>
  <c r="H60" i="307"/>
  <c r="I60" i="309"/>
  <c r="H27" i="270"/>
  <c r="H13" i="304"/>
  <c r="F32" i="305"/>
  <c r="F159" i="306"/>
  <c r="F166" i="306" s="1"/>
  <c r="F112" i="306"/>
  <c r="F55" i="306"/>
  <c r="F62" i="306" s="1"/>
  <c r="G112" i="310"/>
  <c r="E24" i="307"/>
  <c r="E16" i="306" s="1"/>
  <c r="E194" i="310"/>
  <c r="E196" i="310" s="1"/>
  <c r="I1" i="304"/>
  <c r="I13" i="304" s="1"/>
  <c r="I1" i="309"/>
  <c r="I1" i="307"/>
  <c r="E78" i="303"/>
  <c r="G29" i="307"/>
  <c r="G55" i="307" s="1"/>
  <c r="G22" i="307" s="1"/>
  <c r="G17" i="306" s="1"/>
  <c r="G47" i="307"/>
  <c r="G38" i="307"/>
  <c r="H27" i="307"/>
  <c r="H13" i="307"/>
  <c r="H21" i="307"/>
  <c r="G48" i="302"/>
  <c r="G70" i="303" s="1"/>
  <c r="G74" i="303" s="1"/>
  <c r="E78" i="306"/>
  <c r="G49" i="302"/>
  <c r="G127" i="303" s="1"/>
  <c r="E189" i="306"/>
  <c r="F182" i="306"/>
  <c r="F186" i="306" s="1"/>
  <c r="F127" i="306"/>
  <c r="F71" i="306"/>
  <c r="F75" i="306" s="1"/>
  <c r="E202" i="306"/>
  <c r="E83" i="306"/>
  <c r="D83" i="306"/>
  <c r="E200" i="306"/>
  <c r="F126" i="306"/>
  <c r="F181" i="306"/>
  <c r="F185" i="306" s="1"/>
  <c r="F70" i="306"/>
  <c r="F74" i="306" s="1"/>
  <c r="F183" i="306"/>
  <c r="F187" i="306" s="1"/>
  <c r="F72" i="306"/>
  <c r="F128" i="306"/>
  <c r="E82" i="306"/>
  <c r="E66" i="306"/>
  <c r="E194" i="306"/>
  <c r="I10" i="305"/>
  <c r="E170" i="303"/>
  <c r="E202" i="303"/>
  <c r="E83" i="303"/>
  <c r="E62" i="303"/>
  <c r="E24" i="304"/>
  <c r="E16" i="303" s="1"/>
  <c r="E28" i="303" s="1"/>
  <c r="H60" i="304"/>
  <c r="D66" i="303"/>
  <c r="D85" i="303" s="1"/>
  <c r="D82" i="303"/>
  <c r="G50" i="305"/>
  <c r="G49" i="305"/>
  <c r="G48" i="305"/>
  <c r="F62" i="303"/>
  <c r="F170" i="303"/>
  <c r="I14" i="304"/>
  <c r="G128" i="303"/>
  <c r="G72" i="303"/>
  <c r="G76" i="303" s="1"/>
  <c r="G183" i="303"/>
  <c r="G187" i="303" s="1"/>
  <c r="G161" i="303"/>
  <c r="G168" i="303" s="1"/>
  <c r="G114" i="303"/>
  <c r="G57" i="303"/>
  <c r="G64" i="303" s="1"/>
  <c r="D23" i="273"/>
  <c r="D15" i="272" s="1"/>
  <c r="D24" i="273"/>
  <c r="D16" i="272" s="1"/>
  <c r="H27" i="279"/>
  <c r="H21" i="279"/>
  <c r="H13" i="270"/>
  <c r="R42" i="260"/>
  <c r="E55" i="273"/>
  <c r="E22" i="273" s="1"/>
  <c r="E17" i="272" s="1"/>
  <c r="D144" i="261"/>
  <c r="D145" i="261"/>
  <c r="D148" i="261"/>
  <c r="D147" i="261"/>
  <c r="I3" i="278"/>
  <c r="J58" i="267"/>
  <c r="E55" i="279"/>
  <c r="E22" i="279" s="1"/>
  <c r="E17" i="278" s="1"/>
  <c r="J53" i="267"/>
  <c r="I1" i="273"/>
  <c r="I21" i="273" s="1"/>
  <c r="H27" i="273"/>
  <c r="H21" i="273"/>
  <c r="I1" i="270"/>
  <c r="I21" i="270" s="1"/>
  <c r="I3" i="272"/>
  <c r="K51" i="267"/>
  <c r="I1" i="279"/>
  <c r="K56" i="267"/>
  <c r="L2" i="267"/>
  <c r="F29" i="273"/>
  <c r="F38" i="273"/>
  <c r="F29" i="279"/>
  <c r="F47" i="279"/>
  <c r="F63" i="273"/>
  <c r="F66" i="273" s="1"/>
  <c r="F67" i="273" s="1"/>
  <c r="F72" i="273" s="1"/>
  <c r="G38" i="273"/>
  <c r="G60" i="273"/>
  <c r="G47" i="279"/>
  <c r="G60" i="279"/>
  <c r="I10" i="271"/>
  <c r="I15" i="273" s="1"/>
  <c r="F63" i="279"/>
  <c r="F66" i="279" s="1"/>
  <c r="F67" i="279" s="1"/>
  <c r="F72" i="279" s="1"/>
  <c r="F32" i="277"/>
  <c r="F112" i="278"/>
  <c r="F159" i="278"/>
  <c r="F55" i="278"/>
  <c r="F113" i="278"/>
  <c r="F160" i="278"/>
  <c r="F56" i="278"/>
  <c r="E53" i="277"/>
  <c r="E192" i="278" s="1"/>
  <c r="E173" i="278"/>
  <c r="F182" i="278"/>
  <c r="F127" i="278"/>
  <c r="F71" i="278"/>
  <c r="F183" i="278"/>
  <c r="F128" i="278"/>
  <c r="F72" i="278"/>
  <c r="E52" i="277"/>
  <c r="E191" i="278" s="1"/>
  <c r="E172" i="278"/>
  <c r="F181" i="278"/>
  <c r="F126" i="278"/>
  <c r="F70" i="278"/>
  <c r="F114" i="278"/>
  <c r="F161" i="278"/>
  <c r="F57" i="278"/>
  <c r="F33" i="277"/>
  <c r="K53" i="277"/>
  <c r="K192" i="278" s="1"/>
  <c r="K52" i="277"/>
  <c r="K191" i="278" s="1"/>
  <c r="G49" i="277"/>
  <c r="G48" i="277"/>
  <c r="G50" i="277"/>
  <c r="G25" i="277"/>
  <c r="G27" i="277"/>
  <c r="G26" i="277"/>
  <c r="E53" i="271"/>
  <c r="E192" i="272" s="1"/>
  <c r="E173" i="272"/>
  <c r="E52" i="271"/>
  <c r="E191" i="272" s="1"/>
  <c r="E172" i="272"/>
  <c r="F56" i="272"/>
  <c r="F113" i="272"/>
  <c r="F160" i="272"/>
  <c r="F33" i="271"/>
  <c r="G26" i="271"/>
  <c r="G25" i="271"/>
  <c r="G27" i="271"/>
  <c r="F127" i="272"/>
  <c r="F182" i="272"/>
  <c r="F71" i="272"/>
  <c r="G50" i="271"/>
  <c r="G49" i="271"/>
  <c r="G48" i="271"/>
  <c r="F126" i="272"/>
  <c r="F181" i="272"/>
  <c r="F70" i="272"/>
  <c r="F128" i="272"/>
  <c r="F183" i="272"/>
  <c r="F72" i="272"/>
  <c r="J52" i="271"/>
  <c r="J191" i="272" s="1"/>
  <c r="J53" i="271"/>
  <c r="J192" i="272" s="1"/>
  <c r="F57" i="272"/>
  <c r="F114" i="272"/>
  <c r="F161" i="272"/>
  <c r="F32" i="271"/>
  <c r="F55" i="272"/>
  <c r="F112" i="272"/>
  <c r="F159" i="272"/>
  <c r="H14" i="273"/>
  <c r="H14" i="279"/>
  <c r="F29" i="270"/>
  <c r="F47" i="270"/>
  <c r="I52" i="268"/>
  <c r="I191" i="269" s="1"/>
  <c r="I53" i="268"/>
  <c r="I192" i="269" s="1"/>
  <c r="D168" i="272"/>
  <c r="D64" i="272"/>
  <c r="I6" i="277"/>
  <c r="E168" i="278"/>
  <c r="E166" i="278"/>
  <c r="F40" i="273"/>
  <c r="F31" i="273"/>
  <c r="G59" i="273"/>
  <c r="G59" i="279"/>
  <c r="E63" i="272"/>
  <c r="E167" i="272"/>
  <c r="E167" i="278"/>
  <c r="E63" i="278"/>
  <c r="F40" i="279"/>
  <c r="F31" i="279"/>
  <c r="G47" i="270"/>
  <c r="L2" i="277"/>
  <c r="J3" i="269"/>
  <c r="D27" i="268"/>
  <c r="D25" i="268"/>
  <c r="D26" i="268"/>
  <c r="K2" i="271"/>
  <c r="H60" i="270"/>
  <c r="H14" i="270"/>
  <c r="F17" i="268"/>
  <c r="F18" i="268" s="1"/>
  <c r="F20" i="268" s="1"/>
  <c r="E40" i="270"/>
  <c r="E31" i="270"/>
  <c r="F59" i="270"/>
  <c r="F63" i="270" s="1"/>
  <c r="E66" i="270"/>
  <c r="E67" i="270" s="1"/>
  <c r="E72" i="270" s="1"/>
  <c r="J2" i="268"/>
  <c r="G2" i="264"/>
  <c r="G17" i="264" s="1"/>
  <c r="G32" i="308" l="1"/>
  <c r="G112" i="313"/>
  <c r="G27" i="308"/>
  <c r="G114" i="310" s="1"/>
  <c r="G55" i="310"/>
  <c r="G62" i="310" s="1"/>
  <c r="G55" i="313"/>
  <c r="G62" i="313" s="1"/>
  <c r="G26" i="308"/>
  <c r="G56" i="310" s="1"/>
  <c r="G63" i="310" s="1"/>
  <c r="E141" i="329"/>
  <c r="E189" i="329"/>
  <c r="D202" i="313"/>
  <c r="D194" i="320"/>
  <c r="D39" i="320"/>
  <c r="L8" i="267"/>
  <c r="L10" i="267"/>
  <c r="L9" i="267"/>
  <c r="L7" i="267"/>
  <c r="L12" i="267"/>
  <c r="J6" i="277" s="1"/>
  <c r="L11" i="267"/>
  <c r="D200" i="320"/>
  <c r="H14" i="308"/>
  <c r="H16" i="308" s="1"/>
  <c r="H17" i="308" s="1"/>
  <c r="H18" i="308" s="1"/>
  <c r="H20" i="308" s="1"/>
  <c r="H26" i="308" s="1"/>
  <c r="H113" i="310" s="1"/>
  <c r="I10" i="315"/>
  <c r="H15" i="304"/>
  <c r="H29" i="304" s="1"/>
  <c r="E133" i="329"/>
  <c r="H14" i="302"/>
  <c r="H16" i="302" s="1"/>
  <c r="H17" i="302" s="1"/>
  <c r="H18" i="302" s="1"/>
  <c r="H20" i="302" s="1"/>
  <c r="H26" i="302" s="1"/>
  <c r="H160" i="303" s="1"/>
  <c r="H167" i="303" s="1"/>
  <c r="D31" i="313"/>
  <c r="I10" i="312"/>
  <c r="E143" i="329"/>
  <c r="E142" i="329"/>
  <c r="D142" i="313"/>
  <c r="D40" i="317"/>
  <c r="I10" i="318"/>
  <c r="I16" i="319" s="1"/>
  <c r="J101" i="269"/>
  <c r="J102" i="269"/>
  <c r="J100" i="269"/>
  <c r="J103" i="269"/>
  <c r="J98" i="269"/>
  <c r="J96" i="269"/>
  <c r="J92" i="269"/>
  <c r="J97" i="269"/>
  <c r="J90" i="269"/>
  <c r="J93" i="269"/>
  <c r="J91" i="269"/>
  <c r="J95" i="269"/>
  <c r="H63" i="307"/>
  <c r="H66" i="307" s="1"/>
  <c r="H67" i="307" s="1"/>
  <c r="H72" i="307" s="1"/>
  <c r="D189" i="329"/>
  <c r="D202" i="329"/>
  <c r="D141" i="313"/>
  <c r="D189" i="320"/>
  <c r="D202" i="320"/>
  <c r="H32" i="319"/>
  <c r="H41" i="319"/>
  <c r="D202" i="323"/>
  <c r="D189" i="323"/>
  <c r="D196" i="323" s="1"/>
  <c r="D204" i="323" s="1"/>
  <c r="I11" i="315"/>
  <c r="I18" i="316" s="1"/>
  <c r="I11" i="318"/>
  <c r="I18" i="319" s="1"/>
  <c r="I11" i="312"/>
  <c r="I18" i="314" s="1"/>
  <c r="L44" i="267"/>
  <c r="L46" i="267" s="1"/>
  <c r="L45" i="267"/>
  <c r="L29" i="267"/>
  <c r="L31" i="267" s="1"/>
  <c r="L40" i="267"/>
  <c r="L30" i="267"/>
  <c r="L39" i="267"/>
  <c r="L41" i="267" s="1"/>
  <c r="D189" i="317"/>
  <c r="D196" i="317" s="1"/>
  <c r="D204" i="317" s="1"/>
  <c r="D202" i="317"/>
  <c r="D200" i="313"/>
  <c r="D194" i="313"/>
  <c r="D194" i="329"/>
  <c r="D200" i="329"/>
  <c r="D74" i="326"/>
  <c r="D83" i="326"/>
  <c r="D74" i="323"/>
  <c r="D83" i="323"/>
  <c r="D83" i="313"/>
  <c r="D74" i="317"/>
  <c r="D83" i="317"/>
  <c r="D132" i="313"/>
  <c r="D133" i="313"/>
  <c r="D130" i="313"/>
  <c r="D131" i="313"/>
  <c r="D133" i="329"/>
  <c r="D140" i="329"/>
  <c r="D130" i="329"/>
  <c r="D141" i="329"/>
  <c r="D131" i="329"/>
  <c r="D132" i="329"/>
  <c r="D142" i="329"/>
  <c r="D143" i="329"/>
  <c r="D140" i="313"/>
  <c r="D143" i="313"/>
  <c r="D132" i="320"/>
  <c r="D141" i="320"/>
  <c r="D131" i="320"/>
  <c r="D142" i="320"/>
  <c r="D140" i="320"/>
  <c r="D133" i="320"/>
  <c r="D143" i="320"/>
  <c r="D130" i="320"/>
  <c r="H32" i="316"/>
  <c r="H41" i="316"/>
  <c r="D189" i="326"/>
  <c r="D196" i="326" s="1"/>
  <c r="D204" i="326" s="1"/>
  <c r="D202" i="326"/>
  <c r="D189" i="313"/>
  <c r="D66" i="313"/>
  <c r="D85" i="313" s="1"/>
  <c r="D82" i="313"/>
  <c r="D33" i="317"/>
  <c r="D41" i="317"/>
  <c r="D133" i="317"/>
  <c r="D130" i="317"/>
  <c r="D131" i="317"/>
  <c r="D132" i="317"/>
  <c r="D140" i="317"/>
  <c r="D141" i="317"/>
  <c r="D143" i="317"/>
  <c r="D142" i="317"/>
  <c r="D74" i="329"/>
  <c r="D83" i="329"/>
  <c r="D74" i="320"/>
  <c r="D83" i="320"/>
  <c r="D133" i="326"/>
  <c r="D141" i="326"/>
  <c r="D131" i="326"/>
  <c r="D132" i="326"/>
  <c r="D142" i="326"/>
  <c r="D143" i="326"/>
  <c r="D140" i="326"/>
  <c r="D130" i="323"/>
  <c r="D140" i="323"/>
  <c r="D142" i="323"/>
  <c r="D131" i="323"/>
  <c r="D141" i="323"/>
  <c r="D132" i="323"/>
  <c r="D143" i="323"/>
  <c r="D133" i="323"/>
  <c r="D130" i="326"/>
  <c r="I11" i="308"/>
  <c r="I17" i="309" s="1"/>
  <c r="I11" i="302"/>
  <c r="I17" i="304" s="1"/>
  <c r="I11" i="277"/>
  <c r="I17" i="279" s="1"/>
  <c r="I11" i="268"/>
  <c r="I17" i="270" s="1"/>
  <c r="F86" i="328"/>
  <c r="F27" i="329" s="1"/>
  <c r="E132" i="329"/>
  <c r="E140" i="329"/>
  <c r="E131" i="329"/>
  <c r="E130" i="329"/>
  <c r="G110" i="328"/>
  <c r="F71" i="329"/>
  <c r="F75" i="329" s="1"/>
  <c r="D87" i="314"/>
  <c r="D28" i="313" s="1"/>
  <c r="E83" i="329"/>
  <c r="E140" i="323"/>
  <c r="F72" i="313"/>
  <c r="F76" i="313" s="1"/>
  <c r="F183" i="313"/>
  <c r="F187" i="313" s="1"/>
  <c r="F53" i="312"/>
  <c r="F192" i="313" s="1"/>
  <c r="F194" i="313" s="1"/>
  <c r="I77" i="314"/>
  <c r="I15" i="314"/>
  <c r="J6" i="327"/>
  <c r="J6" i="315"/>
  <c r="J6" i="318"/>
  <c r="J6" i="321"/>
  <c r="J6" i="305"/>
  <c r="J14" i="307" s="1"/>
  <c r="J6" i="302"/>
  <c r="J6" i="308"/>
  <c r="J14" i="309" s="1"/>
  <c r="J6" i="268"/>
  <c r="J6" i="312"/>
  <c r="J6" i="324"/>
  <c r="I77" i="316"/>
  <c r="I15" i="316"/>
  <c r="I77" i="325"/>
  <c r="I15" i="325"/>
  <c r="I77" i="322"/>
  <c r="I15" i="322"/>
  <c r="I77" i="328"/>
  <c r="I15" i="328"/>
  <c r="I77" i="319"/>
  <c r="I15" i="319"/>
  <c r="G49" i="312"/>
  <c r="G182" i="313" s="1"/>
  <c r="G186" i="313" s="1"/>
  <c r="F183" i="329"/>
  <c r="F187" i="329" s="1"/>
  <c r="F202" i="329" s="1"/>
  <c r="I102" i="272"/>
  <c r="I103" i="272"/>
  <c r="I100" i="272"/>
  <c r="I101" i="272"/>
  <c r="I92" i="272"/>
  <c r="I96" i="272"/>
  <c r="I93" i="272"/>
  <c r="I90" i="272"/>
  <c r="I95" i="272"/>
  <c r="I91" i="272"/>
  <c r="I97" i="272"/>
  <c r="I98" i="272"/>
  <c r="I102" i="278"/>
  <c r="I101" i="278"/>
  <c r="I100" i="278"/>
  <c r="I103" i="278"/>
  <c r="I93" i="278"/>
  <c r="I97" i="278"/>
  <c r="I95" i="278"/>
  <c r="I90" i="278"/>
  <c r="I91" i="278"/>
  <c r="I96" i="278"/>
  <c r="I98" i="278"/>
  <c r="I92" i="278"/>
  <c r="I100" i="323"/>
  <c r="I103" i="323"/>
  <c r="I101" i="323"/>
  <c r="I102" i="323"/>
  <c r="I97" i="323"/>
  <c r="I95" i="323"/>
  <c r="I90" i="323"/>
  <c r="I91" i="323"/>
  <c r="I96" i="323"/>
  <c r="I93" i="323"/>
  <c r="I98" i="323"/>
  <c r="I92" i="323"/>
  <c r="I102" i="313"/>
  <c r="I103" i="313"/>
  <c r="I100" i="313"/>
  <c r="I101" i="313"/>
  <c r="I97" i="313"/>
  <c r="I91" i="313"/>
  <c r="I98" i="313"/>
  <c r="I96" i="313"/>
  <c r="I92" i="313"/>
  <c r="I95" i="313"/>
  <c r="I90" i="313"/>
  <c r="I93" i="313"/>
  <c r="I103" i="317"/>
  <c r="I100" i="317"/>
  <c r="I101" i="317"/>
  <c r="I102" i="317"/>
  <c r="I97" i="317"/>
  <c r="I95" i="317"/>
  <c r="I91" i="317"/>
  <c r="I96" i="317"/>
  <c r="I93" i="317"/>
  <c r="I98" i="317"/>
  <c r="I90" i="317"/>
  <c r="I92" i="317"/>
  <c r="I100" i="329"/>
  <c r="I101" i="329"/>
  <c r="I103" i="329"/>
  <c r="I102" i="329"/>
  <c r="I93" i="329"/>
  <c r="I97" i="329"/>
  <c r="I98" i="329"/>
  <c r="I96" i="329"/>
  <c r="I92" i="329"/>
  <c r="I95" i="329"/>
  <c r="I91" i="329"/>
  <c r="I90" i="329"/>
  <c r="G92" i="325"/>
  <c r="I100" i="320"/>
  <c r="I101" i="320"/>
  <c r="I102" i="320"/>
  <c r="I103" i="320"/>
  <c r="I91" i="320"/>
  <c r="I98" i="320"/>
  <c r="I96" i="320"/>
  <c r="I92" i="320"/>
  <c r="I93" i="320"/>
  <c r="I95" i="320"/>
  <c r="I97" i="320"/>
  <c r="I90" i="320"/>
  <c r="I100" i="326"/>
  <c r="I101" i="326"/>
  <c r="I102" i="326"/>
  <c r="I103" i="326"/>
  <c r="I97" i="326"/>
  <c r="I95" i="326"/>
  <c r="I90" i="326"/>
  <c r="I91" i="326"/>
  <c r="I98" i="326"/>
  <c r="I96" i="326"/>
  <c r="I92" i="326"/>
  <c r="I93" i="326"/>
  <c r="G101" i="325"/>
  <c r="G118" i="325" s="1"/>
  <c r="G85" i="325" s="1"/>
  <c r="G29" i="326" s="1"/>
  <c r="H25" i="327"/>
  <c r="H55" i="329" s="1"/>
  <c r="H62" i="329" s="1"/>
  <c r="F126" i="313"/>
  <c r="F141" i="313" s="1"/>
  <c r="E142" i="323"/>
  <c r="F181" i="313"/>
  <c r="F185" i="313" s="1"/>
  <c r="F70" i="313"/>
  <c r="F74" i="313" s="1"/>
  <c r="E141" i="323"/>
  <c r="E143" i="323"/>
  <c r="E83" i="323"/>
  <c r="H60" i="314"/>
  <c r="F116" i="303"/>
  <c r="G118" i="306"/>
  <c r="F142" i="278"/>
  <c r="F118" i="278"/>
  <c r="F143" i="278"/>
  <c r="F119" i="278"/>
  <c r="F140" i="278"/>
  <c r="F116" i="278"/>
  <c r="F117" i="278"/>
  <c r="F141" i="278"/>
  <c r="F142" i="317"/>
  <c r="F118" i="317"/>
  <c r="F143" i="317"/>
  <c r="F119" i="317"/>
  <c r="F140" i="317"/>
  <c r="F116" i="317"/>
  <c r="F141" i="317"/>
  <c r="F117" i="317"/>
  <c r="E133" i="320"/>
  <c r="E143" i="320"/>
  <c r="F142" i="303"/>
  <c r="F140" i="303"/>
  <c r="F142" i="326"/>
  <c r="F118" i="326"/>
  <c r="F143" i="326"/>
  <c r="F119" i="326"/>
  <c r="F140" i="326"/>
  <c r="F116" i="326"/>
  <c r="F141" i="326"/>
  <c r="F117" i="326"/>
  <c r="F119" i="320"/>
  <c r="F116" i="320"/>
  <c r="F117" i="320"/>
  <c r="F118" i="320"/>
  <c r="F132" i="310"/>
  <c r="F133" i="310"/>
  <c r="F130" i="310"/>
  <c r="F131" i="310"/>
  <c r="G119" i="306"/>
  <c r="E131" i="320"/>
  <c r="E142" i="320"/>
  <c r="F117" i="303"/>
  <c r="F119" i="303"/>
  <c r="F131" i="272"/>
  <c r="F132" i="272"/>
  <c r="F133" i="272"/>
  <c r="F130" i="272"/>
  <c r="F133" i="306"/>
  <c r="F131" i="306"/>
  <c r="F132" i="306"/>
  <c r="F130" i="306"/>
  <c r="F142" i="310"/>
  <c r="F143" i="310"/>
  <c r="F140" i="310"/>
  <c r="F117" i="310"/>
  <c r="F141" i="310"/>
  <c r="F118" i="310"/>
  <c r="F119" i="310"/>
  <c r="F116" i="310"/>
  <c r="F117" i="313"/>
  <c r="F142" i="313"/>
  <c r="F118" i="313"/>
  <c r="F119" i="313"/>
  <c r="F116" i="313"/>
  <c r="F143" i="306"/>
  <c r="F142" i="306"/>
  <c r="F140" i="306"/>
  <c r="F117" i="306"/>
  <c r="F118" i="306"/>
  <c r="F141" i="306"/>
  <c r="F119" i="306"/>
  <c r="F116" i="306"/>
  <c r="G117" i="306"/>
  <c r="E130" i="320"/>
  <c r="E141" i="320"/>
  <c r="E130" i="323"/>
  <c r="E131" i="323"/>
  <c r="E132" i="323"/>
  <c r="E133" i="323"/>
  <c r="F141" i="303"/>
  <c r="F143" i="303"/>
  <c r="F131" i="323"/>
  <c r="F132" i="323"/>
  <c r="F133" i="323"/>
  <c r="F130" i="323"/>
  <c r="G119" i="329"/>
  <c r="G116" i="329"/>
  <c r="G117" i="329"/>
  <c r="G118" i="329"/>
  <c r="G116" i="306"/>
  <c r="F132" i="317"/>
  <c r="F133" i="317"/>
  <c r="F130" i="317"/>
  <c r="F131" i="317"/>
  <c r="F140" i="272"/>
  <c r="F141" i="272"/>
  <c r="F142" i="272"/>
  <c r="F118" i="272"/>
  <c r="F143" i="272"/>
  <c r="F119" i="272"/>
  <c r="F116" i="272"/>
  <c r="F117" i="272"/>
  <c r="F132" i="278"/>
  <c r="F133" i="278"/>
  <c r="F130" i="278"/>
  <c r="F131" i="278"/>
  <c r="F132" i="326"/>
  <c r="F133" i="326"/>
  <c r="F130" i="326"/>
  <c r="F131" i="326"/>
  <c r="F141" i="323"/>
  <c r="F117" i="323"/>
  <c r="F142" i="323"/>
  <c r="F118" i="323"/>
  <c r="F143" i="323"/>
  <c r="F119" i="323"/>
  <c r="F116" i="323"/>
  <c r="F140" i="323"/>
  <c r="G118" i="313"/>
  <c r="G119" i="313"/>
  <c r="G116" i="313"/>
  <c r="G117" i="313"/>
  <c r="E132" i="320"/>
  <c r="F118" i="303"/>
  <c r="G101" i="328"/>
  <c r="G110" i="319"/>
  <c r="I107" i="313"/>
  <c r="I106" i="313"/>
  <c r="I108" i="313"/>
  <c r="I105" i="313"/>
  <c r="I107" i="317"/>
  <c r="I106" i="317"/>
  <c r="I105" i="317"/>
  <c r="I108" i="317"/>
  <c r="I107" i="329"/>
  <c r="I108" i="329"/>
  <c r="I106" i="329"/>
  <c r="I105" i="329"/>
  <c r="G92" i="319"/>
  <c r="G92" i="322"/>
  <c r="E202" i="323"/>
  <c r="J107" i="269"/>
  <c r="J105" i="269"/>
  <c r="J108" i="269"/>
  <c r="J106" i="269"/>
  <c r="I108" i="272"/>
  <c r="I107" i="272"/>
  <c r="I106" i="272"/>
  <c r="I105" i="272"/>
  <c r="I107" i="278"/>
  <c r="I106" i="278"/>
  <c r="I108" i="278"/>
  <c r="I105" i="278"/>
  <c r="E83" i="320"/>
  <c r="I107" i="320"/>
  <c r="I106" i="320"/>
  <c r="I105" i="320"/>
  <c r="I108" i="320"/>
  <c r="I107" i="323"/>
  <c r="I106" i="323"/>
  <c r="I105" i="323"/>
  <c r="I108" i="323"/>
  <c r="I106" i="326"/>
  <c r="I105" i="326"/>
  <c r="I108" i="326"/>
  <c r="I107" i="326"/>
  <c r="F126" i="320"/>
  <c r="F127" i="329"/>
  <c r="E189" i="320"/>
  <c r="H79" i="316"/>
  <c r="H78" i="316"/>
  <c r="H92" i="316" s="1"/>
  <c r="G48" i="312"/>
  <c r="G52" i="312" s="1"/>
  <c r="G191" i="313" s="1"/>
  <c r="H26" i="327"/>
  <c r="H113" i="329" s="1"/>
  <c r="H40" i="312"/>
  <c r="H42" i="312" s="1"/>
  <c r="H43" i="312" s="1"/>
  <c r="H44" i="312" s="1"/>
  <c r="H46" i="312" s="1"/>
  <c r="H50" i="312" s="1"/>
  <c r="H79" i="314"/>
  <c r="H78" i="314"/>
  <c r="H78" i="328"/>
  <c r="H92" i="328" s="1"/>
  <c r="H79" i="328"/>
  <c r="I14" i="327"/>
  <c r="I16" i="327" s="1"/>
  <c r="I17" i="327" s="1"/>
  <c r="I18" i="327" s="1"/>
  <c r="I20" i="327" s="1"/>
  <c r="I25" i="327" s="1"/>
  <c r="I16" i="328"/>
  <c r="I17" i="328"/>
  <c r="H78" i="322"/>
  <c r="H92" i="322" s="1"/>
  <c r="H79" i="322"/>
  <c r="E194" i="303"/>
  <c r="E196" i="303" s="1"/>
  <c r="F128" i="329"/>
  <c r="H78" i="319"/>
  <c r="H92" i="319" s="1"/>
  <c r="H79" i="319"/>
  <c r="H60" i="319"/>
  <c r="H126" i="319" s="1"/>
  <c r="H78" i="325"/>
  <c r="H92" i="325" s="1"/>
  <c r="H79" i="325"/>
  <c r="F86" i="316"/>
  <c r="F27" i="317" s="1"/>
  <c r="G64" i="314"/>
  <c r="G126" i="314"/>
  <c r="F72" i="320"/>
  <c r="F76" i="320" s="1"/>
  <c r="F128" i="320"/>
  <c r="F183" i="320"/>
  <c r="F187" i="320" s="1"/>
  <c r="F86" i="322"/>
  <c r="F27" i="323" s="1"/>
  <c r="F170" i="313"/>
  <c r="D204" i="310"/>
  <c r="F181" i="320"/>
  <c r="F185" i="320" s="1"/>
  <c r="F189" i="320" s="1"/>
  <c r="F70" i="320"/>
  <c r="F74" i="320" s="1"/>
  <c r="F53" i="327"/>
  <c r="F192" i="329" s="1"/>
  <c r="F194" i="329" s="1"/>
  <c r="D194" i="303"/>
  <c r="D196" i="303" s="1"/>
  <c r="G50" i="321"/>
  <c r="G183" i="323" s="1"/>
  <c r="G187" i="323" s="1"/>
  <c r="G48" i="321"/>
  <c r="G70" i="323" s="1"/>
  <c r="F170" i="310"/>
  <c r="F86" i="319"/>
  <c r="F27" i="320" s="1"/>
  <c r="F31" i="320" s="1"/>
  <c r="G48" i="315"/>
  <c r="G181" i="317" s="1"/>
  <c r="G185" i="317" s="1"/>
  <c r="E175" i="310"/>
  <c r="E177" i="310" s="1"/>
  <c r="E204" i="310" s="1"/>
  <c r="G160" i="310"/>
  <c r="G167" i="310" s="1"/>
  <c r="G113" i="310"/>
  <c r="G118" i="310" s="1"/>
  <c r="D39" i="313"/>
  <c r="G118" i="328"/>
  <c r="G85" i="328" s="1"/>
  <c r="G29" i="329" s="1"/>
  <c r="H40" i="318"/>
  <c r="H42" i="318" s="1"/>
  <c r="H43" i="318" s="1"/>
  <c r="H44" i="318" s="1"/>
  <c r="H46" i="318" s="1"/>
  <c r="H50" i="318" s="1"/>
  <c r="E40" i="320"/>
  <c r="E23" i="320"/>
  <c r="E41" i="317"/>
  <c r="H40" i="315"/>
  <c r="H42" i="315" s="1"/>
  <c r="H43" i="315" s="1"/>
  <c r="H44" i="315" s="1"/>
  <c r="H46" i="315" s="1"/>
  <c r="H50" i="315" s="1"/>
  <c r="G50" i="315"/>
  <c r="G183" i="317" s="1"/>
  <c r="G187" i="317" s="1"/>
  <c r="I16" i="316"/>
  <c r="I17" i="316"/>
  <c r="I16" i="314"/>
  <c r="I17" i="314"/>
  <c r="I122" i="314" s="1"/>
  <c r="I15" i="279"/>
  <c r="G57" i="310"/>
  <c r="G64" i="310" s="1"/>
  <c r="G161" i="310"/>
  <c r="G168" i="310" s="1"/>
  <c r="I16" i="309"/>
  <c r="I59" i="309" s="1"/>
  <c r="I63" i="309" s="1"/>
  <c r="I66" i="309" s="1"/>
  <c r="I67" i="309" s="1"/>
  <c r="I72" i="309" s="1"/>
  <c r="I15" i="309"/>
  <c r="I16" i="307"/>
  <c r="I59" i="307" s="1"/>
  <c r="I15" i="307"/>
  <c r="I16" i="304"/>
  <c r="I59" i="304" s="1"/>
  <c r="I15" i="304"/>
  <c r="I38" i="304" s="1"/>
  <c r="G52" i="302"/>
  <c r="G191" i="303" s="1"/>
  <c r="G172" i="303"/>
  <c r="I150" i="326"/>
  <c r="I151" i="326"/>
  <c r="I150" i="323"/>
  <c r="I151" i="323"/>
  <c r="I150" i="320"/>
  <c r="I151" i="320"/>
  <c r="I150" i="317"/>
  <c r="I151" i="317"/>
  <c r="I150" i="313"/>
  <c r="I151" i="313"/>
  <c r="I150" i="278"/>
  <c r="I151" i="278"/>
  <c r="I151" i="272"/>
  <c r="I150" i="272"/>
  <c r="D29" i="269"/>
  <c r="D41" i="269" s="1"/>
  <c r="J29" i="269"/>
  <c r="J33" i="269" s="1"/>
  <c r="J150" i="269"/>
  <c r="J28" i="269"/>
  <c r="J32" i="269" s="1"/>
  <c r="J151" i="269"/>
  <c r="J27" i="269"/>
  <c r="F29" i="303"/>
  <c r="F41" i="303" s="1"/>
  <c r="F118" i="314"/>
  <c r="F85" i="314" s="1"/>
  <c r="F87" i="314" s="1"/>
  <c r="F28" i="313" s="1"/>
  <c r="I90" i="325"/>
  <c r="I76" i="325"/>
  <c r="I28" i="325"/>
  <c r="I84" i="325"/>
  <c r="I22" i="325"/>
  <c r="I14" i="312"/>
  <c r="I16" i="312" s="1"/>
  <c r="I17" i="312" s="1"/>
  <c r="I18" i="312" s="1"/>
  <c r="I20" i="312" s="1"/>
  <c r="I25" i="312" s="1"/>
  <c r="I41" i="328"/>
  <c r="I32" i="328"/>
  <c r="H48" i="316"/>
  <c r="H39" i="316"/>
  <c r="H30" i="316"/>
  <c r="H56" i="316" s="1"/>
  <c r="H23" i="316" s="1"/>
  <c r="H17" i="317" s="1"/>
  <c r="H21" i="317" s="1"/>
  <c r="G64" i="322"/>
  <c r="G126" i="322"/>
  <c r="F129" i="322"/>
  <c r="F130" i="322" s="1"/>
  <c r="F135" i="322" s="1"/>
  <c r="F87" i="322" s="1"/>
  <c r="F28" i="323" s="1"/>
  <c r="F67" i="322"/>
  <c r="F68" i="322" s="1"/>
  <c r="F73" i="322" s="1"/>
  <c r="F25" i="322" s="1"/>
  <c r="F24" i="322"/>
  <c r="H48" i="319"/>
  <c r="H39" i="319"/>
  <c r="H56" i="319" s="1"/>
  <c r="H23" i="319" s="1"/>
  <c r="H17" i="320" s="1"/>
  <c r="H21" i="320" s="1"/>
  <c r="H30" i="319"/>
  <c r="F67" i="316"/>
  <c r="F68" i="316" s="1"/>
  <c r="F73" i="316" s="1"/>
  <c r="F25" i="316" s="1"/>
  <c r="F16" i="317" s="1"/>
  <c r="F20" i="317" s="1"/>
  <c r="F129" i="316"/>
  <c r="F130" i="316" s="1"/>
  <c r="F135" i="316" s="1"/>
  <c r="F87" i="316" s="1"/>
  <c r="F28" i="317" s="1"/>
  <c r="F32" i="317" s="1"/>
  <c r="F24" i="316"/>
  <c r="F15" i="317" s="1"/>
  <c r="I90" i="319"/>
  <c r="I84" i="319"/>
  <c r="I22" i="319"/>
  <c r="I76" i="319"/>
  <c r="I28" i="319"/>
  <c r="I76" i="328"/>
  <c r="I28" i="328"/>
  <c r="I22" i="328"/>
  <c r="I90" i="328"/>
  <c r="I84" i="328"/>
  <c r="H48" i="322"/>
  <c r="H30" i="322"/>
  <c r="H39" i="322"/>
  <c r="H56" i="322" s="1"/>
  <c r="H23" i="322" s="1"/>
  <c r="H94" i="316"/>
  <c r="H103" i="316"/>
  <c r="G126" i="328"/>
  <c r="G64" i="328"/>
  <c r="G92" i="316"/>
  <c r="G118" i="316" s="1"/>
  <c r="G85" i="316" s="1"/>
  <c r="G110" i="316"/>
  <c r="G101" i="316"/>
  <c r="G33" i="308"/>
  <c r="G53" i="308" s="1"/>
  <c r="G192" i="310" s="1"/>
  <c r="F86" i="325"/>
  <c r="F27" i="326" s="1"/>
  <c r="F29" i="326"/>
  <c r="F33" i="326" s="1"/>
  <c r="G64" i="325"/>
  <c r="G126" i="325"/>
  <c r="I37" i="321"/>
  <c r="I40" i="321" s="1"/>
  <c r="I42" i="321" s="1"/>
  <c r="I43" i="321" s="1"/>
  <c r="I44" i="321" s="1"/>
  <c r="I46" i="321" s="1"/>
  <c r="K68" i="267"/>
  <c r="I37" i="324"/>
  <c r="I37" i="327"/>
  <c r="F129" i="328"/>
  <c r="F130" i="328" s="1"/>
  <c r="F135" i="328" s="1"/>
  <c r="F87" i="328" s="1"/>
  <c r="F28" i="329" s="1"/>
  <c r="F67" i="328"/>
  <c r="F68" i="328" s="1"/>
  <c r="F73" i="328" s="1"/>
  <c r="F25" i="328" s="1"/>
  <c r="F24" i="328"/>
  <c r="H94" i="328"/>
  <c r="H103" i="328"/>
  <c r="I90" i="316"/>
  <c r="I84" i="316"/>
  <c r="I76" i="316"/>
  <c r="I28" i="316"/>
  <c r="I22" i="316"/>
  <c r="H60" i="322"/>
  <c r="H122" i="322"/>
  <c r="H122" i="328"/>
  <c r="H60" i="328"/>
  <c r="I38" i="324"/>
  <c r="I80" i="325" s="1"/>
  <c r="I38" i="327"/>
  <c r="I80" i="328" s="1"/>
  <c r="I38" i="321"/>
  <c r="I80" i="322" s="1"/>
  <c r="H94" i="319"/>
  <c r="H103" i="319"/>
  <c r="H94" i="322"/>
  <c r="H103" i="322"/>
  <c r="I41" i="322"/>
  <c r="I32" i="322"/>
  <c r="G118" i="319"/>
  <c r="G85" i="319" s="1"/>
  <c r="H122" i="325"/>
  <c r="H60" i="325"/>
  <c r="H122" i="316"/>
  <c r="H60" i="316"/>
  <c r="I38" i="315"/>
  <c r="I80" i="316" s="1"/>
  <c r="I38" i="318"/>
  <c r="I80" i="319" s="1"/>
  <c r="I38" i="312"/>
  <c r="I80" i="314" s="1"/>
  <c r="H94" i="325"/>
  <c r="H103" i="325"/>
  <c r="F67" i="325"/>
  <c r="F68" i="325" s="1"/>
  <c r="F73" i="325" s="1"/>
  <c r="F25" i="325" s="1"/>
  <c r="F129" i="325"/>
  <c r="F130" i="325" s="1"/>
  <c r="F135" i="325" s="1"/>
  <c r="F87" i="325" s="1"/>
  <c r="F28" i="326" s="1"/>
  <c r="F24" i="325"/>
  <c r="G118" i="322"/>
  <c r="G85" i="322" s="1"/>
  <c r="I41" i="325"/>
  <c r="I32" i="325"/>
  <c r="L62" i="267"/>
  <c r="L66" i="267"/>
  <c r="I90" i="322"/>
  <c r="I76" i="322"/>
  <c r="I28" i="322"/>
  <c r="I84" i="322"/>
  <c r="I22" i="322"/>
  <c r="G39" i="325"/>
  <c r="G56" i="325" s="1"/>
  <c r="G23" i="325" s="1"/>
  <c r="G17" i="326" s="1"/>
  <c r="G30" i="325"/>
  <c r="G48" i="325"/>
  <c r="J11" i="324"/>
  <c r="J18" i="325" s="1"/>
  <c r="J11" i="321"/>
  <c r="J18" i="322" s="1"/>
  <c r="J11" i="327"/>
  <c r="J18" i="328" s="1"/>
  <c r="G39" i="328"/>
  <c r="G56" i="328" s="1"/>
  <c r="G23" i="328" s="1"/>
  <c r="G17" i="329" s="1"/>
  <c r="G30" i="328"/>
  <c r="G48" i="328"/>
  <c r="F129" i="319"/>
  <c r="F130" i="319" s="1"/>
  <c r="F135" i="319" s="1"/>
  <c r="F87" i="319" s="1"/>
  <c r="F28" i="320" s="1"/>
  <c r="F32" i="320" s="1"/>
  <c r="F67" i="319"/>
  <c r="F68" i="319" s="1"/>
  <c r="F73" i="319" s="1"/>
  <c r="F25" i="319" s="1"/>
  <c r="F16" i="320" s="1"/>
  <c r="F20" i="320" s="1"/>
  <c r="F24" i="319"/>
  <c r="F15" i="320" s="1"/>
  <c r="F19" i="320" s="1"/>
  <c r="G64" i="319"/>
  <c r="G126" i="319"/>
  <c r="G126" i="316"/>
  <c r="G64" i="316"/>
  <c r="J10" i="324"/>
  <c r="J16" i="325" s="1"/>
  <c r="J10" i="321"/>
  <c r="J16" i="322" s="1"/>
  <c r="J10" i="327"/>
  <c r="J14" i="327" s="1"/>
  <c r="J16" i="327" s="1"/>
  <c r="J17" i="327" s="1"/>
  <c r="J18" i="327" s="1"/>
  <c r="J20" i="327" s="1"/>
  <c r="F173" i="310"/>
  <c r="F175" i="310" s="1"/>
  <c r="H27" i="308"/>
  <c r="H57" i="310" s="1"/>
  <c r="H64" i="310" s="1"/>
  <c r="E177" i="306"/>
  <c r="D138" i="261"/>
  <c r="C154" i="261" s="1"/>
  <c r="G53" i="327"/>
  <c r="G192" i="329" s="1"/>
  <c r="D24" i="270"/>
  <c r="D16" i="269" s="1"/>
  <c r="D28" i="269" s="1"/>
  <c r="D23" i="270"/>
  <c r="D15" i="269" s="1"/>
  <c r="D27" i="269" s="1"/>
  <c r="F24" i="314"/>
  <c r="F15" i="313" s="1"/>
  <c r="F19" i="313" s="1"/>
  <c r="E85" i="310"/>
  <c r="G53" i="318"/>
  <c r="D43" i="320"/>
  <c r="E39" i="320"/>
  <c r="E40" i="317"/>
  <c r="D19" i="313"/>
  <c r="I37" i="318"/>
  <c r="I40" i="318" s="1"/>
  <c r="I42" i="318" s="1"/>
  <c r="I43" i="318" s="1"/>
  <c r="I44" i="318" s="1"/>
  <c r="I46" i="318" s="1"/>
  <c r="I37" i="312"/>
  <c r="I40" i="312" s="1"/>
  <c r="I42" i="312" s="1"/>
  <c r="I43" i="312" s="1"/>
  <c r="I44" i="312" s="1"/>
  <c r="I46" i="312" s="1"/>
  <c r="I37" i="315"/>
  <c r="G110" i="314"/>
  <c r="G101" i="314"/>
  <c r="G92" i="314"/>
  <c r="J10" i="318"/>
  <c r="J16" i="319" s="1"/>
  <c r="J10" i="312"/>
  <c r="J14" i="312" s="1"/>
  <c r="J16" i="312" s="1"/>
  <c r="J17" i="312" s="1"/>
  <c r="J18" i="312" s="1"/>
  <c r="J20" i="312" s="1"/>
  <c r="J10" i="315"/>
  <c r="L61" i="267"/>
  <c r="L63" i="267" s="1"/>
  <c r="I41" i="314"/>
  <c r="H94" i="314"/>
  <c r="H103" i="314"/>
  <c r="G94" i="314"/>
  <c r="G103" i="314"/>
  <c r="I84" i="314"/>
  <c r="I90" i="314"/>
  <c r="I76" i="314"/>
  <c r="G23" i="314"/>
  <c r="E73" i="314"/>
  <c r="E17" i="313"/>
  <c r="E24" i="314"/>
  <c r="E15" i="313" s="1"/>
  <c r="F73" i="314"/>
  <c r="D73" i="314"/>
  <c r="D25" i="314" s="1"/>
  <c r="F66" i="323"/>
  <c r="F20" i="310"/>
  <c r="F83" i="310"/>
  <c r="E196" i="313"/>
  <c r="E204" i="313" s="1"/>
  <c r="E41" i="329"/>
  <c r="F189" i="310"/>
  <c r="F170" i="326"/>
  <c r="F170" i="317"/>
  <c r="F66" i="326"/>
  <c r="F66" i="317"/>
  <c r="E201" i="326"/>
  <c r="F66" i="320"/>
  <c r="E196" i="329"/>
  <c r="E204" i="329" s="1"/>
  <c r="G170" i="329"/>
  <c r="F202" i="310"/>
  <c r="F19" i="310"/>
  <c r="E201" i="323"/>
  <c r="E175" i="326"/>
  <c r="E177" i="326" s="1"/>
  <c r="E191" i="323"/>
  <c r="E194" i="323" s="1"/>
  <c r="E196" i="323" s="1"/>
  <c r="G21" i="320"/>
  <c r="F172" i="320"/>
  <c r="F191" i="320"/>
  <c r="H56" i="313"/>
  <c r="H63" i="313" s="1"/>
  <c r="H160" i="313"/>
  <c r="H167" i="313" s="1"/>
  <c r="H113" i="313"/>
  <c r="H33" i="312"/>
  <c r="H173" i="313" s="1"/>
  <c r="G66" i="313"/>
  <c r="F52" i="315"/>
  <c r="F191" i="317" s="1"/>
  <c r="F172" i="317"/>
  <c r="E175" i="323"/>
  <c r="E177" i="323" s="1"/>
  <c r="G114" i="320"/>
  <c r="G57" i="320"/>
  <c r="G64" i="320" s="1"/>
  <c r="G161" i="320"/>
  <c r="G168" i="320" s="1"/>
  <c r="H32" i="312"/>
  <c r="H172" i="313" s="1"/>
  <c r="H55" i="313"/>
  <c r="H62" i="313" s="1"/>
  <c r="H112" i="313"/>
  <c r="H159" i="313"/>
  <c r="H166" i="313" s="1"/>
  <c r="E200" i="320"/>
  <c r="E175" i="320"/>
  <c r="E177" i="320" s="1"/>
  <c r="G66" i="329"/>
  <c r="E191" i="326"/>
  <c r="F200" i="329"/>
  <c r="F175" i="329"/>
  <c r="F177" i="329" s="1"/>
  <c r="F21" i="326"/>
  <c r="I17" i="322"/>
  <c r="I14" i="321"/>
  <c r="I16" i="321" s="1"/>
  <c r="I17" i="321" s="1"/>
  <c r="I18" i="321" s="1"/>
  <c r="I20" i="321" s="1"/>
  <c r="F173" i="326"/>
  <c r="F53" i="324"/>
  <c r="F192" i="326" s="1"/>
  <c r="F170" i="323"/>
  <c r="H114" i="313"/>
  <c r="H161" i="313"/>
  <c r="H168" i="313" s="1"/>
  <c r="H57" i="313"/>
  <c r="H64" i="313" s="1"/>
  <c r="H27" i="315"/>
  <c r="H26" i="315"/>
  <c r="H25" i="315"/>
  <c r="F200" i="313"/>
  <c r="F175" i="313"/>
  <c r="I17" i="325"/>
  <c r="I14" i="324"/>
  <c r="I16" i="324" s="1"/>
  <c r="I17" i="324" s="1"/>
  <c r="I18" i="324" s="1"/>
  <c r="I20" i="324" s="1"/>
  <c r="F172" i="326"/>
  <c r="F52" i="324"/>
  <c r="F191" i="326" s="1"/>
  <c r="E35" i="320"/>
  <c r="G173" i="313"/>
  <c r="F173" i="317"/>
  <c r="F53" i="315"/>
  <c r="F192" i="317" s="1"/>
  <c r="F173" i="320"/>
  <c r="F192" i="320"/>
  <c r="G32" i="324"/>
  <c r="G112" i="326"/>
  <c r="G159" i="326"/>
  <c r="G166" i="326" s="1"/>
  <c r="G55" i="326"/>
  <c r="G62" i="326" s="1"/>
  <c r="E41" i="326"/>
  <c r="I17" i="319"/>
  <c r="I14" i="318"/>
  <c r="I16" i="318" s="1"/>
  <c r="I17" i="318" s="1"/>
  <c r="I18" i="318" s="1"/>
  <c r="I20" i="318" s="1"/>
  <c r="E201" i="320"/>
  <c r="G160" i="326"/>
  <c r="G167" i="326" s="1"/>
  <c r="G113" i="326"/>
  <c r="G56" i="326"/>
  <c r="G63" i="326" s="1"/>
  <c r="G33" i="324"/>
  <c r="G172" i="329"/>
  <c r="G191" i="329"/>
  <c r="G21" i="317"/>
  <c r="H27" i="324"/>
  <c r="H25" i="324"/>
  <c r="H26" i="324"/>
  <c r="G56" i="317"/>
  <c r="G63" i="317" s="1"/>
  <c r="G113" i="317"/>
  <c r="G160" i="317"/>
  <c r="G167" i="317" s="1"/>
  <c r="G33" i="315"/>
  <c r="F53" i="321"/>
  <c r="F192" i="323" s="1"/>
  <c r="F173" i="323"/>
  <c r="G159" i="323"/>
  <c r="G166" i="323" s="1"/>
  <c r="G112" i="323"/>
  <c r="G32" i="321"/>
  <c r="G55" i="323"/>
  <c r="G62" i="323" s="1"/>
  <c r="G160" i="323"/>
  <c r="G167" i="323" s="1"/>
  <c r="G113" i="323"/>
  <c r="G33" i="321"/>
  <c r="G56" i="323"/>
  <c r="G63" i="323" s="1"/>
  <c r="G114" i="326"/>
  <c r="G161" i="326"/>
  <c r="G168" i="326" s="1"/>
  <c r="G57" i="326"/>
  <c r="G64" i="326" s="1"/>
  <c r="E201" i="317"/>
  <c r="H25" i="318"/>
  <c r="H27" i="318"/>
  <c r="H26" i="318"/>
  <c r="H114" i="329"/>
  <c r="H161" i="329"/>
  <c r="H168" i="329" s="1"/>
  <c r="H57" i="329"/>
  <c r="H64" i="329" s="1"/>
  <c r="G112" i="320"/>
  <c r="G32" i="318"/>
  <c r="G159" i="320"/>
  <c r="G166" i="320" s="1"/>
  <c r="G55" i="320"/>
  <c r="G62" i="320" s="1"/>
  <c r="F170" i="320"/>
  <c r="G112" i="317"/>
  <c r="G55" i="317"/>
  <c r="G62" i="317" s="1"/>
  <c r="G159" i="317"/>
  <c r="G166" i="317" s="1"/>
  <c r="G32" i="315"/>
  <c r="E200" i="317"/>
  <c r="E175" i="317"/>
  <c r="E177" i="317" s="1"/>
  <c r="G172" i="313"/>
  <c r="G173" i="329"/>
  <c r="F41" i="317"/>
  <c r="G57" i="323"/>
  <c r="G64" i="323" s="1"/>
  <c r="G161" i="323"/>
  <c r="G168" i="323" s="1"/>
  <c r="G114" i="323"/>
  <c r="F21" i="329"/>
  <c r="F33" i="329"/>
  <c r="I14" i="315"/>
  <c r="I16" i="315" s="1"/>
  <c r="I17" i="315" s="1"/>
  <c r="I18" i="315" s="1"/>
  <c r="I20" i="315" s="1"/>
  <c r="H26" i="321"/>
  <c r="H25" i="321"/>
  <c r="H27" i="321"/>
  <c r="G113" i="320"/>
  <c r="G160" i="320"/>
  <c r="G167" i="320" s="1"/>
  <c r="G33" i="318"/>
  <c r="G56" i="320"/>
  <c r="G63" i="320" s="1"/>
  <c r="F172" i="323"/>
  <c r="F52" i="321"/>
  <c r="F191" i="323" s="1"/>
  <c r="G57" i="317"/>
  <c r="G64" i="317" s="1"/>
  <c r="G161" i="317"/>
  <c r="G168" i="317" s="1"/>
  <c r="G114" i="317"/>
  <c r="E194" i="317"/>
  <c r="E196" i="317" s="1"/>
  <c r="G170" i="313"/>
  <c r="E194" i="320"/>
  <c r="F41" i="320"/>
  <c r="H39" i="314"/>
  <c r="H30" i="314"/>
  <c r="H56" i="314" s="1"/>
  <c r="H48" i="314"/>
  <c r="F21" i="313"/>
  <c r="F33" i="306"/>
  <c r="D201" i="303"/>
  <c r="F24" i="304"/>
  <c r="F16" i="303" s="1"/>
  <c r="F189" i="326"/>
  <c r="F202" i="326"/>
  <c r="H48" i="324"/>
  <c r="H50" i="324"/>
  <c r="H49" i="324"/>
  <c r="I14" i="322"/>
  <c r="G128" i="320"/>
  <c r="G183" i="320"/>
  <c r="G187" i="320" s="1"/>
  <c r="G72" i="320"/>
  <c r="G76" i="320" s="1"/>
  <c r="E78" i="329"/>
  <c r="E85" i="329" s="1"/>
  <c r="E82" i="329"/>
  <c r="G183" i="310"/>
  <c r="G187" i="310" s="1"/>
  <c r="G182" i="323"/>
  <c r="G186" i="323" s="1"/>
  <c r="G127" i="323"/>
  <c r="G71" i="323"/>
  <c r="G75" i="323" s="1"/>
  <c r="E78" i="320"/>
  <c r="E85" i="320" s="1"/>
  <c r="E82" i="320"/>
  <c r="G183" i="329"/>
  <c r="G187" i="329" s="1"/>
  <c r="G72" i="329"/>
  <c r="G76" i="329" s="1"/>
  <c r="G128" i="329"/>
  <c r="H48" i="327"/>
  <c r="H52" i="327" s="1"/>
  <c r="H191" i="329" s="1"/>
  <c r="H50" i="327"/>
  <c r="H49" i="327"/>
  <c r="G126" i="320"/>
  <c r="G70" i="320"/>
  <c r="G181" i="320"/>
  <c r="G185" i="320" s="1"/>
  <c r="I151" i="329"/>
  <c r="I150" i="329"/>
  <c r="G128" i="310"/>
  <c r="F74" i="326"/>
  <c r="F82" i="326" s="1"/>
  <c r="F83" i="326"/>
  <c r="H48" i="321"/>
  <c r="H50" i="321"/>
  <c r="H49" i="321"/>
  <c r="G182" i="320"/>
  <c r="G186" i="320" s="1"/>
  <c r="G71" i="320"/>
  <c r="G75" i="320" s="1"/>
  <c r="G127" i="320"/>
  <c r="J3" i="326"/>
  <c r="J1" i="325"/>
  <c r="J1" i="328"/>
  <c r="J3" i="329"/>
  <c r="J1" i="319"/>
  <c r="J3" i="323"/>
  <c r="J1" i="316"/>
  <c r="J1" i="322"/>
  <c r="J3" i="317"/>
  <c r="J3" i="320"/>
  <c r="J3" i="313"/>
  <c r="J1" i="314"/>
  <c r="F23" i="304"/>
  <c r="F15" i="303" s="1"/>
  <c r="D21" i="269"/>
  <c r="G72" i="313"/>
  <c r="G76" i="313" s="1"/>
  <c r="G183" i="313"/>
  <c r="G187" i="313" s="1"/>
  <c r="G128" i="313"/>
  <c r="E78" i="313"/>
  <c r="E85" i="313" s="1"/>
  <c r="E82" i="313"/>
  <c r="E78" i="317"/>
  <c r="E85" i="317" s="1"/>
  <c r="E82" i="317"/>
  <c r="G181" i="329"/>
  <c r="G185" i="329" s="1"/>
  <c r="G126" i="329"/>
  <c r="G70" i="329"/>
  <c r="I22" i="314"/>
  <c r="I28" i="314"/>
  <c r="I14" i="314"/>
  <c r="I14" i="325"/>
  <c r="G71" i="326"/>
  <c r="G75" i="326" s="1"/>
  <c r="G182" i="326"/>
  <c r="G186" i="326" s="1"/>
  <c r="G127" i="326"/>
  <c r="F74" i="323"/>
  <c r="F83" i="323"/>
  <c r="E78" i="326"/>
  <c r="E85" i="326" s="1"/>
  <c r="E82" i="326"/>
  <c r="G127" i="329"/>
  <c r="G182" i="329"/>
  <c r="G186" i="329" s="1"/>
  <c r="G71" i="329"/>
  <c r="G75" i="329" s="1"/>
  <c r="G126" i="326"/>
  <c r="G181" i="326"/>
  <c r="G185" i="326" s="1"/>
  <c r="G70" i="326"/>
  <c r="I14" i="319"/>
  <c r="I14" i="328"/>
  <c r="F74" i="329"/>
  <c r="G72" i="326"/>
  <c r="G76" i="326" s="1"/>
  <c r="G183" i="326"/>
  <c r="G187" i="326" s="1"/>
  <c r="G128" i="326"/>
  <c r="F189" i="323"/>
  <c r="F202" i="323"/>
  <c r="E78" i="323"/>
  <c r="E85" i="323" s="1"/>
  <c r="E82" i="323"/>
  <c r="F74" i="317"/>
  <c r="F83" i="317"/>
  <c r="F189" i="317"/>
  <c r="F202" i="317"/>
  <c r="G127" i="317"/>
  <c r="G71" i="317"/>
  <c r="G75" i="317" s="1"/>
  <c r="G182" i="317"/>
  <c r="G186" i="317" s="1"/>
  <c r="I14" i="316"/>
  <c r="G24" i="309"/>
  <c r="G16" i="310" s="1"/>
  <c r="G28" i="310" s="1"/>
  <c r="G40" i="310" s="1"/>
  <c r="D33" i="278"/>
  <c r="F21" i="303"/>
  <c r="G70" i="310"/>
  <c r="G74" i="310" s="1"/>
  <c r="G71" i="310"/>
  <c r="G75" i="310" s="1"/>
  <c r="G126" i="310"/>
  <c r="I14" i="308"/>
  <c r="I16" i="308" s="1"/>
  <c r="I17" i="308" s="1"/>
  <c r="I18" i="308" s="1"/>
  <c r="I20" i="308" s="1"/>
  <c r="I25" i="308" s="1"/>
  <c r="G182" i="310"/>
  <c r="G186" i="310" s="1"/>
  <c r="I38" i="268"/>
  <c r="I38" i="277"/>
  <c r="I38" i="271"/>
  <c r="I38" i="308"/>
  <c r="I38" i="305"/>
  <c r="I38" i="302"/>
  <c r="J10" i="308"/>
  <c r="J10" i="277"/>
  <c r="J10" i="302"/>
  <c r="J10" i="268"/>
  <c r="J15" i="270" s="1"/>
  <c r="I37" i="277"/>
  <c r="I40" i="277" s="1"/>
  <c r="I42" i="277" s="1"/>
  <c r="I43" i="277" s="1"/>
  <c r="I44" i="277" s="1"/>
  <c r="I46" i="277" s="1"/>
  <c r="I37" i="271"/>
  <c r="I40" i="271" s="1"/>
  <c r="I42" i="271" s="1"/>
  <c r="I43" i="271" s="1"/>
  <c r="I44" i="271" s="1"/>
  <c r="I46" i="271" s="1"/>
  <c r="I37" i="308"/>
  <c r="I40" i="308" s="1"/>
  <c r="I42" i="308" s="1"/>
  <c r="I43" i="308" s="1"/>
  <c r="I44" i="308" s="1"/>
  <c r="I46" i="308" s="1"/>
  <c r="I37" i="305"/>
  <c r="I40" i="305" s="1"/>
  <c r="I42" i="305" s="1"/>
  <c r="I43" i="305" s="1"/>
  <c r="I44" i="305" s="1"/>
  <c r="I46" i="305" s="1"/>
  <c r="I37" i="302"/>
  <c r="I40" i="302" s="1"/>
  <c r="I42" i="302" s="1"/>
  <c r="I43" i="302" s="1"/>
  <c r="I44" i="302" s="1"/>
  <c r="I46" i="302" s="1"/>
  <c r="I50" i="302" s="1"/>
  <c r="I37" i="268"/>
  <c r="I40" i="268" s="1"/>
  <c r="I42" i="268" s="1"/>
  <c r="E40" i="303"/>
  <c r="E20" i="303"/>
  <c r="E41" i="303"/>
  <c r="E21" i="303"/>
  <c r="H49" i="308"/>
  <c r="H127" i="310" s="1"/>
  <c r="E39" i="303"/>
  <c r="E19" i="303"/>
  <c r="H50" i="308"/>
  <c r="H183" i="310" s="1"/>
  <c r="H187" i="310" s="1"/>
  <c r="L52" i="267"/>
  <c r="L57" i="267"/>
  <c r="F33" i="310"/>
  <c r="G112" i="303"/>
  <c r="D21" i="272"/>
  <c r="D29" i="272"/>
  <c r="D41" i="272" s="1"/>
  <c r="E21" i="272"/>
  <c r="E29" i="272"/>
  <c r="E41" i="272" s="1"/>
  <c r="I29" i="272"/>
  <c r="I33" i="272" s="1"/>
  <c r="I28" i="272"/>
  <c r="I32" i="272" s="1"/>
  <c r="I27" i="272"/>
  <c r="D20" i="272"/>
  <c r="D28" i="272"/>
  <c r="D40" i="272" s="1"/>
  <c r="D27" i="272"/>
  <c r="D39" i="272" s="1"/>
  <c r="D19" i="272"/>
  <c r="E19" i="306"/>
  <c r="E27" i="306"/>
  <c r="E39" i="306" s="1"/>
  <c r="G29" i="306"/>
  <c r="G41" i="306" s="1"/>
  <c r="G21" i="306"/>
  <c r="E20" i="306"/>
  <c r="E28" i="306"/>
  <c r="E40" i="306" s="1"/>
  <c r="F27" i="306"/>
  <c r="F39" i="306" s="1"/>
  <c r="F19" i="306"/>
  <c r="D28" i="306"/>
  <c r="D32" i="306" s="1"/>
  <c r="D20" i="306"/>
  <c r="F28" i="306"/>
  <c r="F40" i="306" s="1"/>
  <c r="F20" i="306"/>
  <c r="D39" i="306"/>
  <c r="D41" i="306"/>
  <c r="G29" i="310"/>
  <c r="G33" i="310" s="1"/>
  <c r="G21" i="310"/>
  <c r="E21" i="278"/>
  <c r="E29" i="278"/>
  <c r="E41" i="278" s="1"/>
  <c r="D28" i="278"/>
  <c r="D40" i="278" s="1"/>
  <c r="D20" i="278"/>
  <c r="D27" i="278"/>
  <c r="D39" i="278" s="1"/>
  <c r="D19" i="278"/>
  <c r="I28" i="278"/>
  <c r="I32" i="278" s="1"/>
  <c r="I29" i="278"/>
  <c r="I33" i="278" s="1"/>
  <c r="I27" i="278"/>
  <c r="L11" i="278"/>
  <c r="M11" i="303"/>
  <c r="L33" i="303"/>
  <c r="L35" i="303" s="1"/>
  <c r="L11" i="272"/>
  <c r="H9" i="269"/>
  <c r="H9" i="272"/>
  <c r="K10" i="269"/>
  <c r="H9" i="278"/>
  <c r="L10" i="278"/>
  <c r="M11" i="306"/>
  <c r="L33" i="306"/>
  <c r="L35" i="306" s="1"/>
  <c r="L10" i="272"/>
  <c r="M11" i="310"/>
  <c r="L33" i="310"/>
  <c r="L35" i="310" s="1"/>
  <c r="K11" i="269"/>
  <c r="H38" i="309"/>
  <c r="H47" i="309"/>
  <c r="G23" i="309"/>
  <c r="G15" i="310" s="1"/>
  <c r="E201" i="306"/>
  <c r="G160" i="306"/>
  <c r="G167" i="306" s="1"/>
  <c r="G56" i="306"/>
  <c r="G63" i="306" s="1"/>
  <c r="F78" i="303"/>
  <c r="G126" i="303"/>
  <c r="G56" i="303"/>
  <c r="G63" i="303" s="1"/>
  <c r="G113" i="303"/>
  <c r="G159" i="303"/>
  <c r="G166" i="303" s="1"/>
  <c r="G170" i="303" s="1"/>
  <c r="G55" i="303"/>
  <c r="G62" i="303" s="1"/>
  <c r="G33" i="305"/>
  <c r="G173" i="306" s="1"/>
  <c r="G172" i="306"/>
  <c r="G200" i="306" s="1"/>
  <c r="G57" i="306"/>
  <c r="G64" i="306" s="1"/>
  <c r="G161" i="306"/>
  <c r="G168" i="306" s="1"/>
  <c r="F202" i="303"/>
  <c r="F189" i="303"/>
  <c r="H17" i="310"/>
  <c r="H23" i="309"/>
  <c r="H15" i="310" s="1"/>
  <c r="I14" i="277"/>
  <c r="I16" i="277" s="1"/>
  <c r="I17" i="277" s="1"/>
  <c r="I18" i="277" s="1"/>
  <c r="I20" i="277" s="1"/>
  <c r="I16" i="279"/>
  <c r="G33" i="302"/>
  <c r="G53" i="302" s="1"/>
  <c r="G192" i="303" s="1"/>
  <c r="I14" i="271"/>
  <c r="I16" i="271" s="1"/>
  <c r="I17" i="271" s="1"/>
  <c r="I18" i="271" s="1"/>
  <c r="I20" i="271" s="1"/>
  <c r="I16" i="273"/>
  <c r="I13" i="270"/>
  <c r="G182" i="303"/>
  <c r="G186" i="303" s="1"/>
  <c r="I27" i="270"/>
  <c r="H24" i="309"/>
  <c r="H16" i="310" s="1"/>
  <c r="I29" i="309"/>
  <c r="E196" i="306"/>
  <c r="H63" i="304"/>
  <c r="H66" i="304" s="1"/>
  <c r="H67" i="304" s="1"/>
  <c r="H72" i="304" s="1"/>
  <c r="I14" i="268"/>
  <c r="I16" i="268" s="1"/>
  <c r="I16" i="270"/>
  <c r="I59" i="270" s="1"/>
  <c r="H40" i="304"/>
  <c r="H31" i="304"/>
  <c r="H55" i="304" s="1"/>
  <c r="H22" i="304" s="1"/>
  <c r="F53" i="302"/>
  <c r="F192" i="303" s="1"/>
  <c r="F194" i="303" s="1"/>
  <c r="F173" i="303"/>
  <c r="G55" i="304"/>
  <c r="G22" i="304" s="1"/>
  <c r="G17" i="303" s="1"/>
  <c r="G29" i="303" s="1"/>
  <c r="G71" i="303"/>
  <c r="G75" i="303" s="1"/>
  <c r="G78" i="303" s="1"/>
  <c r="F83" i="303"/>
  <c r="I194" i="306"/>
  <c r="D204" i="306"/>
  <c r="H114" i="306"/>
  <c r="F170" i="306"/>
  <c r="E85" i="306"/>
  <c r="F66" i="306"/>
  <c r="F194" i="310"/>
  <c r="G181" i="303"/>
  <c r="G185" i="303" s="1"/>
  <c r="H49" i="302"/>
  <c r="H182" i="303" s="1"/>
  <c r="H186" i="303" s="1"/>
  <c r="H57" i="306"/>
  <c r="H64" i="306" s="1"/>
  <c r="H25" i="305"/>
  <c r="H32" i="305" s="1"/>
  <c r="H26" i="305"/>
  <c r="H113" i="306" s="1"/>
  <c r="I27" i="304"/>
  <c r="H47" i="304"/>
  <c r="H38" i="304"/>
  <c r="I194" i="310"/>
  <c r="I14" i="305"/>
  <c r="I16" i="305" s="1"/>
  <c r="I17" i="305" s="1"/>
  <c r="I18" i="305" s="1"/>
  <c r="I20" i="305" s="1"/>
  <c r="I60" i="307"/>
  <c r="D32" i="310"/>
  <c r="E33" i="306"/>
  <c r="F53" i="305"/>
  <c r="F192" i="306" s="1"/>
  <c r="F173" i="306"/>
  <c r="F31" i="310"/>
  <c r="J60" i="309"/>
  <c r="I194" i="303"/>
  <c r="F66" i="310"/>
  <c r="F85" i="310" s="1"/>
  <c r="F82" i="310"/>
  <c r="J1" i="304"/>
  <c r="J13" i="304" s="1"/>
  <c r="J1" i="309"/>
  <c r="J1" i="307"/>
  <c r="G172" i="310"/>
  <c r="G52" i="308"/>
  <c r="G191" i="310" s="1"/>
  <c r="F200" i="310"/>
  <c r="G23" i="307"/>
  <c r="G15" i="306" s="1"/>
  <c r="G24" i="307"/>
  <c r="G16" i="306" s="1"/>
  <c r="D31" i="310"/>
  <c r="H160" i="310"/>
  <c r="H167" i="310" s="1"/>
  <c r="H56" i="310"/>
  <c r="H63" i="310" s="1"/>
  <c r="H126" i="310"/>
  <c r="H181" i="310"/>
  <c r="H185" i="310" s="1"/>
  <c r="H70" i="310"/>
  <c r="H74" i="310" s="1"/>
  <c r="H47" i="307"/>
  <c r="H38" i="307"/>
  <c r="H29" i="307"/>
  <c r="H55" i="307" s="1"/>
  <c r="H22" i="307" s="1"/>
  <c r="H17" i="306" s="1"/>
  <c r="I21" i="304"/>
  <c r="I13" i="307"/>
  <c r="I21" i="307"/>
  <c r="I27" i="307"/>
  <c r="E31" i="310"/>
  <c r="H48" i="302"/>
  <c r="H181" i="303" s="1"/>
  <c r="H185" i="303" s="1"/>
  <c r="I27" i="309"/>
  <c r="I13" i="309"/>
  <c r="I21" i="309"/>
  <c r="F52" i="305"/>
  <c r="F191" i="306" s="1"/>
  <c r="F172" i="306"/>
  <c r="E32" i="310"/>
  <c r="F32" i="310"/>
  <c r="G71" i="306"/>
  <c r="G75" i="306" s="1"/>
  <c r="G182" i="306"/>
  <c r="G186" i="306" s="1"/>
  <c r="G127" i="306"/>
  <c r="G70" i="306"/>
  <c r="G74" i="306" s="1"/>
  <c r="G126" i="306"/>
  <c r="G181" i="306"/>
  <c r="G185" i="306" s="1"/>
  <c r="G183" i="306"/>
  <c r="G187" i="306" s="1"/>
  <c r="G72" i="306"/>
  <c r="G128" i="306"/>
  <c r="F76" i="306"/>
  <c r="F83" i="306"/>
  <c r="F189" i="306"/>
  <c r="F202" i="306"/>
  <c r="J10" i="305"/>
  <c r="H48" i="305"/>
  <c r="H50" i="305"/>
  <c r="H49" i="305"/>
  <c r="H25" i="302"/>
  <c r="H32" i="302" s="1"/>
  <c r="D33" i="303"/>
  <c r="I60" i="304"/>
  <c r="I14" i="302"/>
  <c r="I16" i="302" s="1"/>
  <c r="I17" i="302" s="1"/>
  <c r="I18" i="302" s="1"/>
  <c r="I20" i="302" s="1"/>
  <c r="I27" i="302" s="1"/>
  <c r="E82" i="303"/>
  <c r="E66" i="303"/>
  <c r="E85" i="303" s="1"/>
  <c r="H56" i="303"/>
  <c r="H63" i="303" s="1"/>
  <c r="F66" i="303"/>
  <c r="F82" i="303"/>
  <c r="J14" i="304"/>
  <c r="H128" i="303"/>
  <c r="H72" i="303"/>
  <c r="H76" i="303" s="1"/>
  <c r="H183" i="303"/>
  <c r="H187" i="303" s="1"/>
  <c r="G47" i="273"/>
  <c r="E23" i="273"/>
  <c r="E15" i="272" s="1"/>
  <c r="E24" i="273"/>
  <c r="E16" i="272" s="1"/>
  <c r="S42" i="260"/>
  <c r="E23" i="279"/>
  <c r="E15" i="278" s="1"/>
  <c r="E24" i="279"/>
  <c r="E16" i="278" s="1"/>
  <c r="G29" i="273"/>
  <c r="I13" i="273"/>
  <c r="I27" i="273"/>
  <c r="J1" i="270"/>
  <c r="J27" i="270" s="1"/>
  <c r="J3" i="278"/>
  <c r="J3" i="272"/>
  <c r="K58" i="267"/>
  <c r="M2" i="267"/>
  <c r="L56" i="267"/>
  <c r="J1" i="273"/>
  <c r="J21" i="273" s="1"/>
  <c r="J1" i="279"/>
  <c r="J27" i="279" s="1"/>
  <c r="L51" i="267"/>
  <c r="F55" i="273"/>
  <c r="F22" i="273" s="1"/>
  <c r="F17" i="272" s="1"/>
  <c r="I27" i="279"/>
  <c r="I13" i="279"/>
  <c r="I21" i="279"/>
  <c r="K53" i="267"/>
  <c r="G29" i="279"/>
  <c r="G38" i="279"/>
  <c r="F55" i="279"/>
  <c r="F22" i="279" s="1"/>
  <c r="F17" i="278" s="1"/>
  <c r="G63" i="279"/>
  <c r="G66" i="279" s="1"/>
  <c r="G67" i="279" s="1"/>
  <c r="G72" i="279" s="1"/>
  <c r="G63" i="273"/>
  <c r="G66" i="273" s="1"/>
  <c r="G67" i="273" s="1"/>
  <c r="G72" i="273" s="1"/>
  <c r="H29" i="279"/>
  <c r="H60" i="279"/>
  <c r="J10" i="271"/>
  <c r="J15" i="273" s="1"/>
  <c r="H38" i="273"/>
  <c r="H60" i="273"/>
  <c r="G114" i="278"/>
  <c r="G57" i="278"/>
  <c r="G161" i="278"/>
  <c r="G113" i="278"/>
  <c r="G56" i="278"/>
  <c r="G160" i="278"/>
  <c r="G32" i="277"/>
  <c r="G112" i="278"/>
  <c r="G159" i="278"/>
  <c r="G55" i="278"/>
  <c r="F53" i="277"/>
  <c r="F192" i="278" s="1"/>
  <c r="F173" i="278"/>
  <c r="G183" i="278"/>
  <c r="G128" i="278"/>
  <c r="G72" i="278"/>
  <c r="G181" i="278"/>
  <c r="G126" i="278"/>
  <c r="G70" i="278"/>
  <c r="G182" i="278"/>
  <c r="G127" i="278"/>
  <c r="G71" i="278"/>
  <c r="F52" i="277"/>
  <c r="F191" i="278" s="1"/>
  <c r="F172" i="278"/>
  <c r="L53" i="277"/>
  <c r="L192" i="278" s="1"/>
  <c r="L52" i="277"/>
  <c r="L191" i="278" s="1"/>
  <c r="G33" i="277"/>
  <c r="H26" i="277"/>
  <c r="H25" i="277"/>
  <c r="H27" i="277"/>
  <c r="H48" i="277"/>
  <c r="H50" i="277"/>
  <c r="H49" i="277"/>
  <c r="F53" i="271"/>
  <c r="F192" i="272" s="1"/>
  <c r="F173" i="272"/>
  <c r="F52" i="271"/>
  <c r="F191" i="272" s="1"/>
  <c r="F172" i="272"/>
  <c r="G32" i="271"/>
  <c r="G55" i="272"/>
  <c r="G112" i="272"/>
  <c r="G159" i="272"/>
  <c r="G126" i="272"/>
  <c r="G181" i="272"/>
  <c r="G70" i="272"/>
  <c r="G56" i="272"/>
  <c r="G113" i="272"/>
  <c r="G160" i="272"/>
  <c r="G33" i="271"/>
  <c r="G127" i="272"/>
  <c r="G182" i="272"/>
  <c r="G71" i="272"/>
  <c r="G128" i="272"/>
  <c r="G183" i="272"/>
  <c r="G72" i="272"/>
  <c r="K53" i="271"/>
  <c r="K192" i="272" s="1"/>
  <c r="K52" i="271"/>
  <c r="K191" i="272" s="1"/>
  <c r="H49" i="271"/>
  <c r="H48" i="271"/>
  <c r="H50" i="271"/>
  <c r="G57" i="272"/>
  <c r="G114" i="272"/>
  <c r="G161" i="272"/>
  <c r="H27" i="271"/>
  <c r="H26" i="271"/>
  <c r="H25" i="271"/>
  <c r="I14" i="273"/>
  <c r="I14" i="279"/>
  <c r="D62" i="272"/>
  <c r="D166" i="272"/>
  <c r="E62" i="272"/>
  <c r="E166" i="272"/>
  <c r="F63" i="278"/>
  <c r="D63" i="272"/>
  <c r="D167" i="272"/>
  <c r="F63" i="272"/>
  <c r="E168" i="272"/>
  <c r="E64" i="272"/>
  <c r="J6" i="271"/>
  <c r="E64" i="278"/>
  <c r="F62" i="278"/>
  <c r="J53" i="268"/>
  <c r="J192" i="269" s="1"/>
  <c r="J52" i="268"/>
  <c r="J191" i="269" s="1"/>
  <c r="E62" i="278"/>
  <c r="F64" i="278"/>
  <c r="F168" i="278"/>
  <c r="G40" i="279"/>
  <c r="G31" i="279"/>
  <c r="F168" i="272"/>
  <c r="F64" i="272"/>
  <c r="G31" i="273"/>
  <c r="G40" i="273"/>
  <c r="G38" i="270"/>
  <c r="G29" i="270"/>
  <c r="F166" i="272"/>
  <c r="E170" i="278"/>
  <c r="H59" i="273"/>
  <c r="H59" i="279"/>
  <c r="F27" i="268"/>
  <c r="M2" i="277"/>
  <c r="E185" i="278"/>
  <c r="E187" i="278"/>
  <c r="E76" i="278"/>
  <c r="E186" i="278"/>
  <c r="E75" i="278"/>
  <c r="K3" i="269"/>
  <c r="E55" i="270"/>
  <c r="E22" i="270" s="1"/>
  <c r="D185" i="272"/>
  <c r="D113" i="269"/>
  <c r="D56" i="269"/>
  <c r="D63" i="269" s="1"/>
  <c r="D160" i="269"/>
  <c r="D167" i="269" s="1"/>
  <c r="D33" i="268"/>
  <c r="D55" i="269"/>
  <c r="D62" i="269" s="1"/>
  <c r="D159" i="269"/>
  <c r="D166" i="269" s="1"/>
  <c r="D112" i="269"/>
  <c r="D32" i="268"/>
  <c r="D57" i="269"/>
  <c r="D64" i="269" s="1"/>
  <c r="D161" i="269"/>
  <c r="D168" i="269" s="1"/>
  <c r="D114" i="269"/>
  <c r="L2" i="271"/>
  <c r="D186" i="272"/>
  <c r="D75" i="272"/>
  <c r="D187" i="272"/>
  <c r="D76" i="272"/>
  <c r="F40" i="270"/>
  <c r="F31" i="270"/>
  <c r="I14" i="270"/>
  <c r="H47" i="270"/>
  <c r="H38" i="270"/>
  <c r="H29" i="270"/>
  <c r="F66" i="270"/>
  <c r="F67" i="270" s="1"/>
  <c r="F72" i="270" s="1"/>
  <c r="H17" i="268"/>
  <c r="H18" i="268" s="1"/>
  <c r="H20" i="268" s="1"/>
  <c r="H59" i="270"/>
  <c r="H63" i="270" s="1"/>
  <c r="G17" i="268"/>
  <c r="G18" i="268" s="1"/>
  <c r="G20" i="268" s="1"/>
  <c r="E26" i="268"/>
  <c r="E27" i="268"/>
  <c r="E25" i="268"/>
  <c r="G59" i="270"/>
  <c r="G63" i="270" s="1"/>
  <c r="K2" i="268"/>
  <c r="H2" i="264"/>
  <c r="H17" i="264" s="1"/>
  <c r="F83" i="329" l="1"/>
  <c r="F201" i="313"/>
  <c r="D196" i="320"/>
  <c r="D204" i="320" s="1"/>
  <c r="L67" i="267"/>
  <c r="M8" i="267"/>
  <c r="M12" i="267"/>
  <c r="M11" i="267"/>
  <c r="K6" i="308" s="1"/>
  <c r="K14" i="309" s="1"/>
  <c r="M7" i="267"/>
  <c r="K6" i="302" s="1"/>
  <c r="K14" i="304" s="1"/>
  <c r="M10" i="267"/>
  <c r="M9" i="267"/>
  <c r="D196" i="329"/>
  <c r="D204" i="329" s="1"/>
  <c r="H113" i="303"/>
  <c r="H25" i="308"/>
  <c r="H112" i="310" s="1"/>
  <c r="H27" i="302"/>
  <c r="H161" i="303" s="1"/>
  <c r="H168" i="303" s="1"/>
  <c r="K102" i="269"/>
  <c r="K103" i="269"/>
  <c r="K101" i="269"/>
  <c r="K100" i="269"/>
  <c r="K93" i="269"/>
  <c r="K96" i="269"/>
  <c r="K91" i="269"/>
  <c r="K98" i="269"/>
  <c r="K95" i="269"/>
  <c r="K90" i="269"/>
  <c r="K97" i="269"/>
  <c r="K92" i="269"/>
  <c r="M44" i="267"/>
  <c r="M46" i="267" s="1"/>
  <c r="M29" i="267"/>
  <c r="M31" i="267" s="1"/>
  <c r="M45" i="267"/>
  <c r="K11" i="327" s="1"/>
  <c r="K18" i="328" s="1"/>
  <c r="M30" i="267"/>
  <c r="M39" i="267"/>
  <c r="M41" i="267" s="1"/>
  <c r="M40" i="267"/>
  <c r="D82" i="320"/>
  <c r="D78" i="320"/>
  <c r="D85" i="320" s="1"/>
  <c r="D78" i="323"/>
  <c r="D85" i="323" s="1"/>
  <c r="D82" i="323"/>
  <c r="J11" i="302"/>
  <c r="J17" i="304" s="1"/>
  <c r="J11" i="277"/>
  <c r="J17" i="279" s="1"/>
  <c r="J11" i="268"/>
  <c r="J17" i="270" s="1"/>
  <c r="J11" i="308"/>
  <c r="J17" i="309" s="1"/>
  <c r="D196" i="313"/>
  <c r="D204" i="313" s="1"/>
  <c r="J11" i="318"/>
  <c r="J18" i="319" s="1"/>
  <c r="J11" i="312"/>
  <c r="J18" i="314" s="1"/>
  <c r="J11" i="315"/>
  <c r="J18" i="316" s="1"/>
  <c r="D78" i="329"/>
  <c r="D85" i="329" s="1"/>
  <c r="D82" i="329"/>
  <c r="D78" i="326"/>
  <c r="D85" i="326" s="1"/>
  <c r="D82" i="326"/>
  <c r="I32" i="319"/>
  <c r="I41" i="319"/>
  <c r="I31" i="309"/>
  <c r="I55" i="309" s="1"/>
  <c r="I22" i="309" s="1"/>
  <c r="I40" i="309"/>
  <c r="D82" i="317"/>
  <c r="D78" i="317"/>
  <c r="D85" i="317" s="1"/>
  <c r="I32" i="316"/>
  <c r="I41" i="316"/>
  <c r="F189" i="329"/>
  <c r="F196" i="329" s="1"/>
  <c r="F204" i="329" s="1"/>
  <c r="H110" i="325"/>
  <c r="H101" i="328"/>
  <c r="H101" i="316"/>
  <c r="H64" i="319"/>
  <c r="H67" i="319" s="1"/>
  <c r="H68" i="319" s="1"/>
  <c r="H73" i="319" s="1"/>
  <c r="H25" i="319" s="1"/>
  <c r="H16" i="320" s="1"/>
  <c r="H159" i="329"/>
  <c r="H166" i="329" s="1"/>
  <c r="F130" i="313"/>
  <c r="F132" i="313"/>
  <c r="F202" i="313"/>
  <c r="H32" i="327"/>
  <c r="H172" i="329" s="1"/>
  <c r="H200" i="329" s="1"/>
  <c r="H112" i="329"/>
  <c r="H117" i="329" s="1"/>
  <c r="G127" i="313"/>
  <c r="F83" i="313"/>
  <c r="G71" i="313"/>
  <c r="G75" i="313" s="1"/>
  <c r="G53" i="312"/>
  <c r="G192" i="313" s="1"/>
  <c r="G201" i="313" s="1"/>
  <c r="J77" i="328"/>
  <c r="J15" i="328"/>
  <c r="K6" i="318"/>
  <c r="K6" i="321"/>
  <c r="K6" i="305"/>
  <c r="K14" i="307" s="1"/>
  <c r="K6" i="324"/>
  <c r="K6" i="312"/>
  <c r="K6" i="277"/>
  <c r="K6" i="315"/>
  <c r="K6" i="327"/>
  <c r="J77" i="319"/>
  <c r="J15" i="319"/>
  <c r="J77" i="322"/>
  <c r="J15" i="322"/>
  <c r="F131" i="313"/>
  <c r="F140" i="313"/>
  <c r="J77" i="325"/>
  <c r="J15" i="325"/>
  <c r="J77" i="314"/>
  <c r="J15" i="314"/>
  <c r="J77" i="316"/>
  <c r="J15" i="316"/>
  <c r="I27" i="327"/>
  <c r="I161" i="329" s="1"/>
  <c r="I168" i="329" s="1"/>
  <c r="F133" i="313"/>
  <c r="F143" i="313"/>
  <c r="J103" i="313"/>
  <c r="J100" i="313"/>
  <c r="J101" i="313"/>
  <c r="J102" i="313"/>
  <c r="J98" i="313"/>
  <c r="J96" i="313"/>
  <c r="J92" i="313"/>
  <c r="J93" i="313"/>
  <c r="J91" i="313"/>
  <c r="J97" i="313"/>
  <c r="J95" i="313"/>
  <c r="J90" i="313"/>
  <c r="F189" i="313"/>
  <c r="F196" i="313" s="1"/>
  <c r="J101" i="320"/>
  <c r="J102" i="320"/>
  <c r="J103" i="320"/>
  <c r="J100" i="320"/>
  <c r="J98" i="320"/>
  <c r="J96" i="320"/>
  <c r="J92" i="320"/>
  <c r="J93" i="320"/>
  <c r="J97" i="320"/>
  <c r="J95" i="320"/>
  <c r="J91" i="320"/>
  <c r="J90" i="320"/>
  <c r="J103" i="323"/>
  <c r="J101" i="323"/>
  <c r="J102" i="323"/>
  <c r="J100" i="323"/>
  <c r="J91" i="323"/>
  <c r="J98" i="323"/>
  <c r="J96" i="323"/>
  <c r="J92" i="323"/>
  <c r="J95" i="323"/>
  <c r="J90" i="323"/>
  <c r="J97" i="323"/>
  <c r="J93" i="323"/>
  <c r="J103" i="272"/>
  <c r="J100" i="272"/>
  <c r="J101" i="272"/>
  <c r="J102" i="272"/>
  <c r="J98" i="272"/>
  <c r="J96" i="272"/>
  <c r="J92" i="272"/>
  <c r="J93" i="272"/>
  <c r="J90" i="272"/>
  <c r="J97" i="272"/>
  <c r="J95" i="272"/>
  <c r="J91" i="272"/>
  <c r="J101" i="326"/>
  <c r="J102" i="326"/>
  <c r="J103" i="326"/>
  <c r="J100" i="326"/>
  <c r="J91" i="326"/>
  <c r="J98" i="326"/>
  <c r="J96" i="326"/>
  <c r="J92" i="326"/>
  <c r="J93" i="326"/>
  <c r="J97" i="326"/>
  <c r="J95" i="326"/>
  <c r="J90" i="326"/>
  <c r="J101" i="317"/>
  <c r="J102" i="317"/>
  <c r="J103" i="317"/>
  <c r="J100" i="317"/>
  <c r="J91" i="317"/>
  <c r="J98" i="317"/>
  <c r="J96" i="317"/>
  <c r="J92" i="317"/>
  <c r="J93" i="317"/>
  <c r="J90" i="317"/>
  <c r="J95" i="317"/>
  <c r="J97" i="317"/>
  <c r="J103" i="278"/>
  <c r="J102" i="278"/>
  <c r="J101" i="278"/>
  <c r="J100" i="278"/>
  <c r="J97" i="278"/>
  <c r="J95" i="278"/>
  <c r="J90" i="278"/>
  <c r="J91" i="278"/>
  <c r="J98" i="278"/>
  <c r="J96" i="278"/>
  <c r="J92" i="278"/>
  <c r="J93" i="278"/>
  <c r="J101" i="329"/>
  <c r="J102" i="329"/>
  <c r="J103" i="329"/>
  <c r="J100" i="329"/>
  <c r="J97" i="329"/>
  <c r="J95" i="329"/>
  <c r="J98" i="329"/>
  <c r="J96" i="329"/>
  <c r="J93" i="329"/>
  <c r="J90" i="329"/>
  <c r="J92" i="329"/>
  <c r="J91" i="329"/>
  <c r="H110" i="319"/>
  <c r="G181" i="313"/>
  <c r="G185" i="313" s="1"/>
  <c r="G202" i="313" s="1"/>
  <c r="I63" i="307"/>
  <c r="I26" i="327"/>
  <c r="I160" i="329" s="1"/>
  <c r="I167" i="329" s="1"/>
  <c r="H110" i="316"/>
  <c r="I60" i="314"/>
  <c r="I126" i="314" s="1"/>
  <c r="H64" i="314"/>
  <c r="H126" i="314"/>
  <c r="H33" i="327"/>
  <c r="H173" i="329" s="1"/>
  <c r="F141" i="320"/>
  <c r="G140" i="306"/>
  <c r="G141" i="329"/>
  <c r="G143" i="329"/>
  <c r="F141" i="329"/>
  <c r="G143" i="306"/>
  <c r="G140" i="310"/>
  <c r="G131" i="272"/>
  <c r="G132" i="272"/>
  <c r="G133" i="272"/>
  <c r="G130" i="272"/>
  <c r="G133" i="278"/>
  <c r="G130" i="278"/>
  <c r="G131" i="278"/>
  <c r="G132" i="278"/>
  <c r="G133" i="310"/>
  <c r="G131" i="310"/>
  <c r="G132" i="310"/>
  <c r="G130" i="310"/>
  <c r="G143" i="278"/>
  <c r="G119" i="278"/>
  <c r="G140" i="278"/>
  <c r="G141" i="278"/>
  <c r="G117" i="278"/>
  <c r="G118" i="278"/>
  <c r="G142" i="278"/>
  <c r="G116" i="278"/>
  <c r="F202" i="320"/>
  <c r="G130" i="320"/>
  <c r="G132" i="320"/>
  <c r="G131" i="320"/>
  <c r="G133" i="320"/>
  <c r="G70" i="313"/>
  <c r="G74" i="313" s="1"/>
  <c r="G118" i="323"/>
  <c r="G119" i="323"/>
  <c r="G116" i="323"/>
  <c r="G117" i="323"/>
  <c r="F133" i="320"/>
  <c r="F131" i="320"/>
  <c r="F132" i="320"/>
  <c r="F130" i="320"/>
  <c r="G117" i="310"/>
  <c r="G142" i="310"/>
  <c r="F131" i="329"/>
  <c r="F140" i="320"/>
  <c r="G130" i="303"/>
  <c r="G131" i="303"/>
  <c r="G132" i="303"/>
  <c r="G133" i="303"/>
  <c r="H116" i="329"/>
  <c r="H119" i="329"/>
  <c r="G141" i="272"/>
  <c r="G142" i="272"/>
  <c r="G143" i="272"/>
  <c r="G119" i="272"/>
  <c r="G116" i="272"/>
  <c r="G117" i="272"/>
  <c r="G140" i="272"/>
  <c r="G118" i="272"/>
  <c r="G132" i="306"/>
  <c r="G133" i="306"/>
  <c r="G130" i="306"/>
  <c r="G131" i="306"/>
  <c r="G133" i="326"/>
  <c r="G130" i="326"/>
  <c r="G131" i="326"/>
  <c r="G132" i="326"/>
  <c r="G133" i="329"/>
  <c r="G130" i="329"/>
  <c r="G131" i="329"/>
  <c r="G132" i="329"/>
  <c r="G128" i="323"/>
  <c r="H119" i="313"/>
  <c r="H116" i="313"/>
  <c r="H117" i="313"/>
  <c r="H118" i="313"/>
  <c r="F143" i="329"/>
  <c r="G116" i="310"/>
  <c r="G141" i="310"/>
  <c r="F142" i="329"/>
  <c r="F130" i="329"/>
  <c r="F143" i="320"/>
  <c r="G140" i="320"/>
  <c r="G141" i="320"/>
  <c r="G142" i="320"/>
  <c r="G119" i="320"/>
  <c r="G117" i="320"/>
  <c r="G118" i="320"/>
  <c r="G116" i="320"/>
  <c r="G143" i="320"/>
  <c r="G143" i="310"/>
  <c r="F132" i="329"/>
  <c r="D119" i="269"/>
  <c r="D117" i="269"/>
  <c r="D118" i="269"/>
  <c r="D116" i="269"/>
  <c r="G140" i="303"/>
  <c r="G116" i="303"/>
  <c r="G141" i="303"/>
  <c r="G117" i="303"/>
  <c r="G118" i="303"/>
  <c r="G142" i="303"/>
  <c r="G143" i="303"/>
  <c r="G119" i="303"/>
  <c r="G126" i="313"/>
  <c r="G119" i="317"/>
  <c r="G116" i="317"/>
  <c r="G117" i="317"/>
  <c r="G118" i="317"/>
  <c r="G143" i="326"/>
  <c r="G119" i="326"/>
  <c r="G140" i="326"/>
  <c r="G116" i="326"/>
  <c r="G141" i="326"/>
  <c r="G117" i="326"/>
  <c r="G118" i="326"/>
  <c r="G142" i="326"/>
  <c r="F140" i="329"/>
  <c r="G119" i="310"/>
  <c r="G142" i="329"/>
  <c r="G140" i="329"/>
  <c r="G141" i="306"/>
  <c r="F133" i="329"/>
  <c r="F142" i="320"/>
  <c r="G142" i="306"/>
  <c r="H110" i="322"/>
  <c r="E196" i="320"/>
  <c r="E204" i="320" s="1"/>
  <c r="J106" i="320"/>
  <c r="J105" i="320"/>
  <c r="J108" i="320"/>
  <c r="J107" i="320"/>
  <c r="J106" i="317"/>
  <c r="J105" i="317"/>
  <c r="J108" i="317"/>
  <c r="J107" i="317"/>
  <c r="J105" i="326"/>
  <c r="J108" i="326"/>
  <c r="J107" i="326"/>
  <c r="J106" i="326"/>
  <c r="J107" i="272"/>
  <c r="J106" i="272"/>
  <c r="J105" i="272"/>
  <c r="J108" i="272"/>
  <c r="J108" i="329"/>
  <c r="J107" i="329"/>
  <c r="J105" i="329"/>
  <c r="J106" i="329"/>
  <c r="H101" i="322"/>
  <c r="H118" i="322" s="1"/>
  <c r="H85" i="322" s="1"/>
  <c r="H101" i="319"/>
  <c r="H118" i="319" s="1"/>
  <c r="H85" i="319" s="1"/>
  <c r="K106" i="269"/>
  <c r="K108" i="269"/>
  <c r="K107" i="269"/>
  <c r="K105" i="269"/>
  <c r="J106" i="323"/>
  <c r="J105" i="323"/>
  <c r="J108" i="323"/>
  <c r="J107" i="323"/>
  <c r="J106" i="278"/>
  <c r="J105" i="278"/>
  <c r="J107" i="278"/>
  <c r="J108" i="278"/>
  <c r="J108" i="313"/>
  <c r="J105" i="313"/>
  <c r="J107" i="313"/>
  <c r="J106" i="313"/>
  <c r="H48" i="312"/>
  <c r="H52" i="312" s="1"/>
  <c r="H191" i="313" s="1"/>
  <c r="H200" i="313" s="1"/>
  <c r="F201" i="329"/>
  <c r="H49" i="312"/>
  <c r="H71" i="313" s="1"/>
  <c r="H75" i="313" s="1"/>
  <c r="I78" i="325"/>
  <c r="I110" i="325" s="1"/>
  <c r="I79" i="325"/>
  <c r="H160" i="329"/>
  <c r="H167" i="329" s="1"/>
  <c r="H170" i="329" s="1"/>
  <c r="I78" i="316"/>
  <c r="I101" i="316" s="1"/>
  <c r="I79" i="316"/>
  <c r="H110" i="328"/>
  <c r="G129" i="314"/>
  <c r="G130" i="314" s="1"/>
  <c r="G135" i="314" s="1"/>
  <c r="G67" i="314"/>
  <c r="G68" i="314" s="1"/>
  <c r="G73" i="314" s="1"/>
  <c r="G25" i="314" s="1"/>
  <c r="G16" i="313" s="1"/>
  <c r="G20" i="313" s="1"/>
  <c r="I40" i="324"/>
  <c r="I42" i="324" s="1"/>
  <c r="I43" i="324" s="1"/>
  <c r="I44" i="324" s="1"/>
  <c r="I46" i="324" s="1"/>
  <c r="I49" i="324" s="1"/>
  <c r="H56" i="329"/>
  <c r="H63" i="329" s="1"/>
  <c r="H66" i="329" s="1"/>
  <c r="I78" i="314"/>
  <c r="I79" i="314"/>
  <c r="H101" i="325"/>
  <c r="H118" i="325" s="1"/>
  <c r="H85" i="325" s="1"/>
  <c r="I78" i="322"/>
  <c r="I101" i="322" s="1"/>
  <c r="I79" i="322"/>
  <c r="J17" i="328"/>
  <c r="J16" i="328"/>
  <c r="G181" i="323"/>
  <c r="G185" i="323" s="1"/>
  <c r="G202" i="323" s="1"/>
  <c r="I78" i="319"/>
  <c r="I110" i="319" s="1"/>
  <c r="I79" i="319"/>
  <c r="I78" i="328"/>
  <c r="I101" i="328" s="1"/>
  <c r="I79" i="328"/>
  <c r="F177" i="313"/>
  <c r="F83" i="320"/>
  <c r="G126" i="323"/>
  <c r="E204" i="306"/>
  <c r="G72" i="323"/>
  <c r="G76" i="323" s="1"/>
  <c r="G70" i="317"/>
  <c r="G74" i="317" s="1"/>
  <c r="F177" i="310"/>
  <c r="G126" i="317"/>
  <c r="H33" i="308"/>
  <c r="H53" i="308" s="1"/>
  <c r="H192" i="310" s="1"/>
  <c r="G170" i="310"/>
  <c r="H161" i="310"/>
  <c r="H168" i="310" s="1"/>
  <c r="H114" i="310"/>
  <c r="G86" i="328"/>
  <c r="G27" i="329" s="1"/>
  <c r="G86" i="325"/>
  <c r="G27" i="326" s="1"/>
  <c r="I27" i="312"/>
  <c r="I57" i="313" s="1"/>
  <c r="I64" i="313" s="1"/>
  <c r="E43" i="320"/>
  <c r="I26" i="312"/>
  <c r="I113" i="313" s="1"/>
  <c r="H48" i="318"/>
  <c r="H52" i="318" s="1"/>
  <c r="H191" i="320" s="1"/>
  <c r="H49" i="318"/>
  <c r="H53" i="318" s="1"/>
  <c r="H192" i="320" s="1"/>
  <c r="H48" i="315"/>
  <c r="H70" i="317" s="1"/>
  <c r="G194" i="303"/>
  <c r="D19" i="269"/>
  <c r="D33" i="269"/>
  <c r="D39" i="269"/>
  <c r="H49" i="315"/>
  <c r="H71" i="317" s="1"/>
  <c r="H75" i="317" s="1"/>
  <c r="G128" i="317"/>
  <c r="G72" i="317"/>
  <c r="G76" i="317" s="1"/>
  <c r="H55" i="310"/>
  <c r="H62" i="310" s="1"/>
  <c r="F86" i="314"/>
  <c r="F27" i="313" s="1"/>
  <c r="F31" i="313" s="1"/>
  <c r="I40" i="327"/>
  <c r="I42" i="327" s="1"/>
  <c r="I43" i="327" s="1"/>
  <c r="I44" i="327" s="1"/>
  <c r="I46" i="327" s="1"/>
  <c r="I50" i="327" s="1"/>
  <c r="H118" i="316"/>
  <c r="H85" i="316" s="1"/>
  <c r="H29" i="317" s="1"/>
  <c r="H33" i="317" s="1"/>
  <c r="J16" i="316"/>
  <c r="J17" i="316"/>
  <c r="F29" i="313"/>
  <c r="F33" i="313" s="1"/>
  <c r="J16" i="314"/>
  <c r="J17" i="314"/>
  <c r="J122" i="314" s="1"/>
  <c r="J15" i="279"/>
  <c r="G173" i="310"/>
  <c r="G175" i="310" s="1"/>
  <c r="J16" i="309"/>
  <c r="J59" i="309" s="1"/>
  <c r="J63" i="309" s="1"/>
  <c r="J66" i="309" s="1"/>
  <c r="J67" i="309" s="1"/>
  <c r="J72" i="309" s="1"/>
  <c r="J15" i="309"/>
  <c r="J47" i="309" s="1"/>
  <c r="J16" i="307"/>
  <c r="J59" i="307" s="1"/>
  <c r="J15" i="307"/>
  <c r="J16" i="304"/>
  <c r="J15" i="304"/>
  <c r="J47" i="304" s="1"/>
  <c r="H52" i="302"/>
  <c r="H191" i="303" s="1"/>
  <c r="H172" i="303"/>
  <c r="J151" i="326"/>
  <c r="J150" i="326"/>
  <c r="J151" i="323"/>
  <c r="J150" i="323"/>
  <c r="J151" i="320"/>
  <c r="J150" i="320"/>
  <c r="J150" i="317"/>
  <c r="J151" i="317"/>
  <c r="J151" i="313"/>
  <c r="J150" i="313"/>
  <c r="J150" i="278"/>
  <c r="J151" i="278"/>
  <c r="F201" i="310"/>
  <c r="J150" i="272"/>
  <c r="J151" i="272"/>
  <c r="K29" i="269"/>
  <c r="K33" i="269" s="1"/>
  <c r="K150" i="269"/>
  <c r="K28" i="269"/>
  <c r="K32" i="269" s="1"/>
  <c r="K151" i="269"/>
  <c r="K27" i="269"/>
  <c r="F28" i="303"/>
  <c r="F40" i="303" s="1"/>
  <c r="F19" i="303"/>
  <c r="F27" i="303"/>
  <c r="F39" i="303" s="1"/>
  <c r="E200" i="323"/>
  <c r="F40" i="317"/>
  <c r="I48" i="319"/>
  <c r="I39" i="319"/>
  <c r="I30" i="319"/>
  <c r="I94" i="319"/>
  <c r="I103" i="319"/>
  <c r="H126" i="325"/>
  <c r="H64" i="325"/>
  <c r="I94" i="328"/>
  <c r="I103" i="328"/>
  <c r="H129" i="319"/>
  <c r="H130" i="319" s="1"/>
  <c r="H135" i="319" s="1"/>
  <c r="H24" i="319"/>
  <c r="H15" i="320" s="1"/>
  <c r="H19" i="320" s="1"/>
  <c r="H48" i="328"/>
  <c r="H39" i="328"/>
  <c r="H56" i="328" s="1"/>
  <c r="H23" i="328" s="1"/>
  <c r="H17" i="329" s="1"/>
  <c r="H30" i="328"/>
  <c r="I122" i="328"/>
  <c r="I60" i="328"/>
  <c r="G129" i="319"/>
  <c r="G130" i="319" s="1"/>
  <c r="G135" i="319" s="1"/>
  <c r="G87" i="319" s="1"/>
  <c r="G28" i="320" s="1"/>
  <c r="G32" i="320" s="1"/>
  <c r="G67" i="319"/>
  <c r="G68" i="319" s="1"/>
  <c r="G73" i="319" s="1"/>
  <c r="G25" i="319" s="1"/>
  <c r="G16" i="320" s="1"/>
  <c r="G20" i="320" s="1"/>
  <c r="G24" i="319"/>
  <c r="G15" i="320" s="1"/>
  <c r="G19" i="320" s="1"/>
  <c r="I122" i="325"/>
  <c r="I60" i="325"/>
  <c r="J90" i="316"/>
  <c r="J84" i="316"/>
  <c r="J76" i="316"/>
  <c r="J22" i="316"/>
  <c r="J28" i="316"/>
  <c r="J41" i="325"/>
  <c r="J32" i="325"/>
  <c r="L68" i="267"/>
  <c r="J37" i="327"/>
  <c r="J37" i="321"/>
  <c r="J37" i="324"/>
  <c r="J40" i="324" s="1"/>
  <c r="J42" i="324" s="1"/>
  <c r="J43" i="324" s="1"/>
  <c r="J44" i="324" s="1"/>
  <c r="J46" i="324" s="1"/>
  <c r="I94" i="316"/>
  <c r="I103" i="316"/>
  <c r="I94" i="325"/>
  <c r="I103" i="325"/>
  <c r="H64" i="322"/>
  <c r="H126" i="322"/>
  <c r="I101" i="325"/>
  <c r="G67" i="328"/>
  <c r="G68" i="328" s="1"/>
  <c r="G73" i="328" s="1"/>
  <c r="G25" i="328" s="1"/>
  <c r="G129" i="328"/>
  <c r="G130" i="328" s="1"/>
  <c r="G135" i="328" s="1"/>
  <c r="G87" i="328" s="1"/>
  <c r="G28" i="329" s="1"/>
  <c r="G24" i="328"/>
  <c r="I94" i="322"/>
  <c r="I103" i="322"/>
  <c r="J90" i="322"/>
  <c r="J76" i="322"/>
  <c r="J84" i="322"/>
  <c r="J28" i="322"/>
  <c r="J22" i="322"/>
  <c r="J32" i="328"/>
  <c r="J41" i="328"/>
  <c r="I48" i="316"/>
  <c r="I39" i="316"/>
  <c r="I30" i="316"/>
  <c r="I56" i="316" s="1"/>
  <c r="I23" i="316" s="1"/>
  <c r="I17" i="317" s="1"/>
  <c r="I21" i="317" s="1"/>
  <c r="J38" i="327"/>
  <c r="J80" i="328" s="1"/>
  <c r="J38" i="321"/>
  <c r="J80" i="322" s="1"/>
  <c r="J38" i="324"/>
  <c r="J80" i="325" s="1"/>
  <c r="G29" i="320"/>
  <c r="G33" i="320" s="1"/>
  <c r="G86" i="319"/>
  <c r="G27" i="320" s="1"/>
  <c r="G67" i="322"/>
  <c r="G68" i="322" s="1"/>
  <c r="G73" i="322" s="1"/>
  <c r="G25" i="322" s="1"/>
  <c r="G129" i="322"/>
  <c r="G130" i="322" s="1"/>
  <c r="G135" i="322" s="1"/>
  <c r="G87" i="322" s="1"/>
  <c r="G28" i="323" s="1"/>
  <c r="G24" i="322"/>
  <c r="J90" i="319"/>
  <c r="J84" i="319"/>
  <c r="J76" i="319"/>
  <c r="J22" i="319"/>
  <c r="J28" i="319"/>
  <c r="I122" i="316"/>
  <c r="I60" i="316"/>
  <c r="I60" i="319"/>
  <c r="I122" i="319"/>
  <c r="J41" i="322"/>
  <c r="J32" i="322"/>
  <c r="J38" i="312"/>
  <c r="J80" i="314" s="1"/>
  <c r="J38" i="315"/>
  <c r="J80" i="316" s="1"/>
  <c r="J38" i="318"/>
  <c r="J80" i="319" s="1"/>
  <c r="F196" i="310"/>
  <c r="I60" i="322"/>
  <c r="I122" i="322"/>
  <c r="I30" i="322"/>
  <c r="I39" i="322"/>
  <c r="I56" i="322" s="1"/>
  <c r="I23" i="322" s="1"/>
  <c r="I48" i="322"/>
  <c r="G67" i="316"/>
  <c r="G68" i="316" s="1"/>
  <c r="G73" i="316" s="1"/>
  <c r="G25" i="316" s="1"/>
  <c r="G16" i="317" s="1"/>
  <c r="G20" i="317" s="1"/>
  <c r="G129" i="316"/>
  <c r="G130" i="316" s="1"/>
  <c r="G135" i="316" s="1"/>
  <c r="G87" i="316" s="1"/>
  <c r="G28" i="317" s="1"/>
  <c r="G32" i="317" s="1"/>
  <c r="G24" i="316"/>
  <c r="G15" i="317" s="1"/>
  <c r="H126" i="316"/>
  <c r="H64" i="316"/>
  <c r="K10" i="324"/>
  <c r="K16" i="325" s="1"/>
  <c r="K10" i="327"/>
  <c r="K10" i="321"/>
  <c r="K16" i="322" s="1"/>
  <c r="J76" i="328"/>
  <c r="J28" i="328"/>
  <c r="J22" i="328"/>
  <c r="J90" i="328"/>
  <c r="J84" i="328"/>
  <c r="K11" i="321"/>
  <c r="K18" i="322" s="1"/>
  <c r="K11" i="324"/>
  <c r="K18" i="325" s="1"/>
  <c r="H118" i="328"/>
  <c r="H85" i="328" s="1"/>
  <c r="G129" i="325"/>
  <c r="G130" i="325" s="1"/>
  <c r="G135" i="325" s="1"/>
  <c r="G87" i="325" s="1"/>
  <c r="G28" i="326" s="1"/>
  <c r="G67" i="325"/>
  <c r="G68" i="325" s="1"/>
  <c r="G73" i="325" s="1"/>
  <c r="G25" i="325" s="1"/>
  <c r="G24" i="325"/>
  <c r="M62" i="267"/>
  <c r="M66" i="267"/>
  <c r="I40" i="315"/>
  <c r="I42" i="315" s="1"/>
  <c r="I43" i="315" s="1"/>
  <c r="I44" i="315" s="1"/>
  <c r="I46" i="315" s="1"/>
  <c r="I48" i="315" s="1"/>
  <c r="J90" i="325"/>
  <c r="J76" i="325"/>
  <c r="J28" i="325"/>
  <c r="J84" i="325"/>
  <c r="J22" i="325"/>
  <c r="H48" i="325"/>
  <c r="H39" i="325"/>
  <c r="H56" i="325" s="1"/>
  <c r="H23" i="325" s="1"/>
  <c r="H17" i="326" s="1"/>
  <c r="H30" i="325"/>
  <c r="G86" i="322"/>
  <c r="G27" i="323" s="1"/>
  <c r="G29" i="323"/>
  <c r="H64" i="328"/>
  <c r="H126" i="328"/>
  <c r="G29" i="317"/>
  <c r="G41" i="317" s="1"/>
  <c r="G86" i="316"/>
  <c r="G27" i="317" s="1"/>
  <c r="G202" i="310"/>
  <c r="G24" i="314"/>
  <c r="G15" i="313" s="1"/>
  <c r="G19" i="313" s="1"/>
  <c r="G17" i="313"/>
  <c r="G21" i="313" s="1"/>
  <c r="H53" i="327"/>
  <c r="H192" i="329" s="1"/>
  <c r="H194" i="329" s="1"/>
  <c r="I32" i="314"/>
  <c r="G118" i="314"/>
  <c r="G85" i="314" s="1"/>
  <c r="G29" i="313" s="1"/>
  <c r="G33" i="313" s="1"/>
  <c r="J41" i="314"/>
  <c r="K10" i="318"/>
  <c r="K16" i="319" s="1"/>
  <c r="K10" i="312"/>
  <c r="K14" i="312" s="1"/>
  <c r="K16" i="312" s="1"/>
  <c r="K17" i="312" s="1"/>
  <c r="K18" i="312" s="1"/>
  <c r="K20" i="312" s="1"/>
  <c r="M61" i="267"/>
  <c r="M63" i="267" s="1"/>
  <c r="K10" i="315"/>
  <c r="J37" i="318"/>
  <c r="J40" i="318" s="1"/>
  <c r="J42" i="318" s="1"/>
  <c r="J43" i="318" s="1"/>
  <c r="J44" i="318" s="1"/>
  <c r="J46" i="318" s="1"/>
  <c r="J37" i="315"/>
  <c r="J37" i="312"/>
  <c r="H110" i="314"/>
  <c r="H92" i="314"/>
  <c r="H118" i="314" s="1"/>
  <c r="H85" i="314" s="1"/>
  <c r="H101" i="314"/>
  <c r="I103" i="314"/>
  <c r="I94" i="314"/>
  <c r="J84" i="314"/>
  <c r="J90" i="314"/>
  <c r="J76" i="314"/>
  <c r="F25" i="314"/>
  <c r="F16" i="313" s="1"/>
  <c r="E19" i="313"/>
  <c r="E21" i="313"/>
  <c r="E25" i="314"/>
  <c r="E16" i="313" s="1"/>
  <c r="H23" i="314"/>
  <c r="D16" i="313"/>
  <c r="H175" i="313"/>
  <c r="H128" i="310"/>
  <c r="H132" i="310" s="1"/>
  <c r="E204" i="317"/>
  <c r="F194" i="323"/>
  <c r="F196" i="323" s="1"/>
  <c r="G201" i="329"/>
  <c r="E204" i="323"/>
  <c r="F41" i="329"/>
  <c r="H170" i="313"/>
  <c r="G78" i="310"/>
  <c r="F201" i="323"/>
  <c r="F78" i="326"/>
  <c r="F85" i="326" s="1"/>
  <c r="H72" i="310"/>
  <c r="H76" i="310" s="1"/>
  <c r="F40" i="320"/>
  <c r="F194" i="320"/>
  <c r="F196" i="320" s="1"/>
  <c r="G83" i="310"/>
  <c r="F201" i="317"/>
  <c r="G170" i="317"/>
  <c r="D31" i="272"/>
  <c r="G66" i="317"/>
  <c r="G194" i="329"/>
  <c r="G66" i="326"/>
  <c r="D17" i="323"/>
  <c r="F20" i="303"/>
  <c r="G170" i="323"/>
  <c r="H112" i="326"/>
  <c r="H159" i="326"/>
  <c r="H166" i="326" s="1"/>
  <c r="H32" i="324"/>
  <c r="H55" i="326"/>
  <c r="H62" i="326" s="1"/>
  <c r="G200" i="329"/>
  <c r="G175" i="329"/>
  <c r="G177" i="329" s="1"/>
  <c r="G20" i="310"/>
  <c r="H33" i="318"/>
  <c r="H173" i="320" s="1"/>
  <c r="H56" i="320"/>
  <c r="H63" i="320" s="1"/>
  <c r="H113" i="320"/>
  <c r="H160" i="320"/>
  <c r="H167" i="320" s="1"/>
  <c r="G53" i="321"/>
  <c r="G192" i="323" s="1"/>
  <c r="G173" i="323"/>
  <c r="H57" i="326"/>
  <c r="H64" i="326" s="1"/>
  <c r="H161" i="326"/>
  <c r="H168" i="326" s="1"/>
  <c r="H114" i="326"/>
  <c r="G173" i="326"/>
  <c r="G53" i="324"/>
  <c r="G192" i="326" s="1"/>
  <c r="G170" i="326"/>
  <c r="I26" i="321"/>
  <c r="I27" i="321"/>
  <c r="I25" i="321"/>
  <c r="F200" i="320"/>
  <c r="F175" i="320"/>
  <c r="F177" i="320" s="1"/>
  <c r="F39" i="320"/>
  <c r="J17" i="319"/>
  <c r="J14" i="318"/>
  <c r="J16" i="318" s="1"/>
  <c r="J17" i="318" s="1"/>
  <c r="J18" i="318" s="1"/>
  <c r="J20" i="318" s="1"/>
  <c r="H57" i="317"/>
  <c r="H64" i="317" s="1"/>
  <c r="H114" i="317"/>
  <c r="H161" i="317"/>
  <c r="H168" i="317" s="1"/>
  <c r="E17" i="323"/>
  <c r="J27" i="312"/>
  <c r="J26" i="312"/>
  <c r="J25" i="312"/>
  <c r="G66" i="320"/>
  <c r="H161" i="320"/>
  <c r="H168" i="320" s="1"/>
  <c r="H57" i="320"/>
  <c r="H64" i="320" s="1"/>
  <c r="H114" i="320"/>
  <c r="F201" i="320"/>
  <c r="H66" i="313"/>
  <c r="F35" i="320"/>
  <c r="G200" i="313"/>
  <c r="G175" i="313"/>
  <c r="G177" i="313" s="1"/>
  <c r="F17" i="323"/>
  <c r="F200" i="323"/>
  <c r="F175" i="323"/>
  <c r="F177" i="323" s="1"/>
  <c r="J14" i="315"/>
  <c r="J16" i="315" s="1"/>
  <c r="J17" i="315" s="1"/>
  <c r="J18" i="315" s="1"/>
  <c r="J20" i="315" s="1"/>
  <c r="G170" i="320"/>
  <c r="H159" i="320"/>
  <c r="H166" i="320" s="1"/>
  <c r="H112" i="320"/>
  <c r="H32" i="318"/>
  <c r="H172" i="320" s="1"/>
  <c r="H55" i="320"/>
  <c r="H62" i="320" s="1"/>
  <c r="G21" i="329"/>
  <c r="G33" i="329"/>
  <c r="G53" i="315"/>
  <c r="G192" i="317" s="1"/>
  <c r="G173" i="317"/>
  <c r="G21" i="326"/>
  <c r="G33" i="326"/>
  <c r="G172" i="326"/>
  <c r="G52" i="324"/>
  <c r="G191" i="326" s="1"/>
  <c r="I32" i="312"/>
  <c r="I172" i="313" s="1"/>
  <c r="I159" i="313"/>
  <c r="I166" i="313" s="1"/>
  <c r="I55" i="313"/>
  <c r="I62" i="313" s="1"/>
  <c r="I112" i="313"/>
  <c r="F41" i="326"/>
  <c r="F23" i="320"/>
  <c r="I26" i="315"/>
  <c r="I25" i="315"/>
  <c r="I27" i="315"/>
  <c r="H56" i="326"/>
  <c r="H63" i="326" s="1"/>
  <c r="H33" i="324"/>
  <c r="H160" i="326"/>
  <c r="H167" i="326" s="1"/>
  <c r="H113" i="326"/>
  <c r="F201" i="326"/>
  <c r="H71" i="310"/>
  <c r="H75" i="310" s="1"/>
  <c r="H161" i="323"/>
  <c r="H168" i="323" s="1"/>
  <c r="H114" i="323"/>
  <c r="H57" i="323"/>
  <c r="H64" i="323" s="1"/>
  <c r="J14" i="324"/>
  <c r="J16" i="324" s="1"/>
  <c r="J17" i="324" s="1"/>
  <c r="J18" i="324" s="1"/>
  <c r="J20" i="324" s="1"/>
  <c r="J17" i="325"/>
  <c r="G172" i="317"/>
  <c r="G52" i="315"/>
  <c r="G191" i="317" s="1"/>
  <c r="G172" i="320"/>
  <c r="G191" i="320"/>
  <c r="F194" i="326"/>
  <c r="F196" i="326" s="1"/>
  <c r="E200" i="326"/>
  <c r="E194" i="326"/>
  <c r="E196" i="326" s="1"/>
  <c r="E204" i="326" s="1"/>
  <c r="I32" i="327"/>
  <c r="I172" i="329" s="1"/>
  <c r="I159" i="329"/>
  <c r="I166" i="329" s="1"/>
  <c r="I112" i="329"/>
  <c r="I55" i="329"/>
  <c r="I62" i="329" s="1"/>
  <c r="G17" i="323"/>
  <c r="H182" i="310"/>
  <c r="H186" i="310" s="1"/>
  <c r="G173" i="320"/>
  <c r="G192" i="320"/>
  <c r="H55" i="323"/>
  <c r="H62" i="323" s="1"/>
  <c r="H159" i="323"/>
  <c r="H166" i="323" s="1"/>
  <c r="H112" i="323"/>
  <c r="H32" i="321"/>
  <c r="J27" i="327"/>
  <c r="J25" i="327"/>
  <c r="J26" i="327"/>
  <c r="G66" i="323"/>
  <c r="H17" i="323"/>
  <c r="I26" i="318"/>
  <c r="I25" i="318"/>
  <c r="I27" i="318"/>
  <c r="F200" i="326"/>
  <c r="F175" i="326"/>
  <c r="F177" i="326" s="1"/>
  <c r="H112" i="317"/>
  <c r="H32" i="315"/>
  <c r="H159" i="317"/>
  <c r="H166" i="317" s="1"/>
  <c r="H55" i="317"/>
  <c r="H62" i="317" s="1"/>
  <c r="F200" i="317"/>
  <c r="F175" i="317"/>
  <c r="F177" i="317" s="1"/>
  <c r="I57" i="329"/>
  <c r="I64" i="329" s="1"/>
  <c r="I114" i="329"/>
  <c r="H113" i="323"/>
  <c r="H33" i="321"/>
  <c r="H56" i="323"/>
  <c r="H63" i="323" s="1"/>
  <c r="H160" i="323"/>
  <c r="H167" i="323" s="1"/>
  <c r="J17" i="322"/>
  <c r="J14" i="321"/>
  <c r="J16" i="321" s="1"/>
  <c r="J17" i="321" s="1"/>
  <c r="J18" i="321" s="1"/>
  <c r="J20" i="321" s="1"/>
  <c r="G172" i="323"/>
  <c r="G52" i="321"/>
  <c r="G191" i="323" s="1"/>
  <c r="I26" i="324"/>
  <c r="I27" i="324"/>
  <c r="I25" i="324"/>
  <c r="H113" i="317"/>
  <c r="H33" i="315"/>
  <c r="H160" i="317"/>
  <c r="H167" i="317" s="1"/>
  <c r="H56" i="317"/>
  <c r="H63" i="317" s="1"/>
  <c r="F194" i="317"/>
  <c r="F196" i="317" s="1"/>
  <c r="I39" i="314"/>
  <c r="I30" i="314"/>
  <c r="I48" i="314"/>
  <c r="J32" i="314"/>
  <c r="I194" i="323"/>
  <c r="H183" i="329"/>
  <c r="H187" i="329" s="1"/>
  <c r="H72" i="329"/>
  <c r="H76" i="329" s="1"/>
  <c r="H128" i="329"/>
  <c r="H183" i="320"/>
  <c r="H187" i="320" s="1"/>
  <c r="H128" i="320"/>
  <c r="H72" i="320"/>
  <c r="H76" i="320" s="1"/>
  <c r="F78" i="320"/>
  <c r="F85" i="320" s="1"/>
  <c r="F82" i="320"/>
  <c r="G189" i="317"/>
  <c r="G202" i="317"/>
  <c r="F78" i="313"/>
  <c r="F85" i="313" s="1"/>
  <c r="F82" i="313"/>
  <c r="G189" i="329"/>
  <c r="G202" i="329"/>
  <c r="J14" i="316"/>
  <c r="G189" i="320"/>
  <c r="G202" i="320"/>
  <c r="H181" i="329"/>
  <c r="H185" i="329" s="1"/>
  <c r="H126" i="329"/>
  <c r="H70" i="329"/>
  <c r="H126" i="326"/>
  <c r="H70" i="326"/>
  <c r="H181" i="326"/>
  <c r="H185" i="326" s="1"/>
  <c r="F78" i="329"/>
  <c r="F85" i="329" s="1"/>
  <c r="F82" i="329"/>
  <c r="F78" i="323"/>
  <c r="F85" i="323" s="1"/>
  <c r="F82" i="323"/>
  <c r="J14" i="322"/>
  <c r="H72" i="326"/>
  <c r="H76" i="326" s="1"/>
  <c r="H183" i="326"/>
  <c r="H187" i="326" s="1"/>
  <c r="H128" i="326"/>
  <c r="G189" i="310"/>
  <c r="G74" i="320"/>
  <c r="G83" i="320"/>
  <c r="H70" i="323"/>
  <c r="H181" i="323"/>
  <c r="H185" i="323" s="1"/>
  <c r="H126" i="323"/>
  <c r="I48" i="312"/>
  <c r="I52" i="312" s="1"/>
  <c r="I191" i="313" s="1"/>
  <c r="I50" i="312"/>
  <c r="I49" i="312"/>
  <c r="J14" i="319"/>
  <c r="F78" i="317"/>
  <c r="F85" i="317" s="1"/>
  <c r="F82" i="317"/>
  <c r="I50" i="321"/>
  <c r="I48" i="321"/>
  <c r="I49" i="321"/>
  <c r="G74" i="326"/>
  <c r="G83" i="326"/>
  <c r="J22" i="314"/>
  <c r="J28" i="314"/>
  <c r="J14" i="314"/>
  <c r="I194" i="326"/>
  <c r="G74" i="323"/>
  <c r="J151" i="329"/>
  <c r="J150" i="329"/>
  <c r="I48" i="318"/>
  <c r="I52" i="318" s="1"/>
  <c r="I191" i="320" s="1"/>
  <c r="I50" i="318"/>
  <c r="I49" i="318"/>
  <c r="H183" i="313"/>
  <c r="H187" i="313" s="1"/>
  <c r="H128" i="313"/>
  <c r="H72" i="313"/>
  <c r="H76" i="313" s="1"/>
  <c r="G189" i="326"/>
  <c r="G202" i="326"/>
  <c r="J14" i="328"/>
  <c r="H183" i="317"/>
  <c r="H187" i="317" s="1"/>
  <c r="H128" i="317"/>
  <c r="H72" i="317"/>
  <c r="H76" i="317" s="1"/>
  <c r="J14" i="325"/>
  <c r="H127" i="323"/>
  <c r="H71" i="323"/>
  <c r="H75" i="323" s="1"/>
  <c r="H182" i="323"/>
  <c r="H186" i="323" s="1"/>
  <c r="I194" i="317"/>
  <c r="K3" i="329"/>
  <c r="K3" i="326"/>
  <c r="K1" i="325"/>
  <c r="K1" i="328"/>
  <c r="K1" i="322"/>
  <c r="K3" i="323"/>
  <c r="K3" i="320"/>
  <c r="K1" i="316"/>
  <c r="K1" i="319"/>
  <c r="K3" i="317"/>
  <c r="K3" i="313"/>
  <c r="K1" i="314"/>
  <c r="G74" i="329"/>
  <c r="G83" i="329"/>
  <c r="H72" i="323"/>
  <c r="H76" i="323" s="1"/>
  <c r="H183" i="323"/>
  <c r="H187" i="323" s="1"/>
  <c r="H128" i="323"/>
  <c r="H127" i="329"/>
  <c r="H182" i="329"/>
  <c r="H186" i="329" s="1"/>
  <c r="H71" i="329"/>
  <c r="H75" i="329" s="1"/>
  <c r="H127" i="326"/>
  <c r="H182" i="326"/>
  <c r="H186" i="326" s="1"/>
  <c r="H71" i="326"/>
  <c r="H75" i="326" s="1"/>
  <c r="G53" i="305"/>
  <c r="G192" i="306" s="1"/>
  <c r="G194" i="306" s="1"/>
  <c r="E33" i="278"/>
  <c r="I27" i="308"/>
  <c r="I114" i="310" s="1"/>
  <c r="I26" i="308"/>
  <c r="I56" i="310" s="1"/>
  <c r="I63" i="310" s="1"/>
  <c r="G66" i="306"/>
  <c r="D33" i="272"/>
  <c r="H70" i="303"/>
  <c r="H74" i="303" s="1"/>
  <c r="G33" i="306"/>
  <c r="E33" i="272"/>
  <c r="J14" i="308"/>
  <c r="J16" i="308" s="1"/>
  <c r="J17" i="308" s="1"/>
  <c r="J18" i="308" s="1"/>
  <c r="J20" i="308" s="1"/>
  <c r="J26" i="308" s="1"/>
  <c r="I49" i="308"/>
  <c r="I182" i="310" s="1"/>
  <c r="I186" i="310" s="1"/>
  <c r="I48" i="308"/>
  <c r="I181" i="310" s="1"/>
  <c r="I185" i="310" s="1"/>
  <c r="I50" i="308"/>
  <c r="I183" i="310" s="1"/>
  <c r="I187" i="310" s="1"/>
  <c r="J38" i="268"/>
  <c r="J38" i="277"/>
  <c r="J38" i="271"/>
  <c r="J38" i="308"/>
  <c r="J38" i="305"/>
  <c r="J38" i="302"/>
  <c r="M52" i="267"/>
  <c r="G41" i="303"/>
  <c r="G21" i="303"/>
  <c r="K10" i="268"/>
  <c r="K15" i="270" s="1"/>
  <c r="K10" i="308"/>
  <c r="K10" i="302"/>
  <c r="K10" i="277"/>
  <c r="J37" i="277"/>
  <c r="J40" i="277" s="1"/>
  <c r="J42" i="277" s="1"/>
  <c r="J43" i="277" s="1"/>
  <c r="J44" i="277" s="1"/>
  <c r="J46" i="277" s="1"/>
  <c r="J37" i="271"/>
  <c r="J40" i="271" s="1"/>
  <c r="J42" i="271" s="1"/>
  <c r="J43" i="271" s="1"/>
  <c r="J44" i="271" s="1"/>
  <c r="J46" i="271" s="1"/>
  <c r="J37" i="308"/>
  <c r="J40" i="308" s="1"/>
  <c r="J42" i="308" s="1"/>
  <c r="J43" i="308" s="1"/>
  <c r="J44" i="308" s="1"/>
  <c r="J46" i="308" s="1"/>
  <c r="J37" i="305"/>
  <c r="J40" i="305" s="1"/>
  <c r="J42" i="305" s="1"/>
  <c r="J43" i="305" s="1"/>
  <c r="J44" i="305" s="1"/>
  <c r="J46" i="305" s="1"/>
  <c r="J37" i="302"/>
  <c r="J40" i="302" s="1"/>
  <c r="J42" i="302" s="1"/>
  <c r="J43" i="302" s="1"/>
  <c r="J44" i="302" s="1"/>
  <c r="J46" i="302" s="1"/>
  <c r="J48" i="302" s="1"/>
  <c r="G41" i="310"/>
  <c r="F21" i="272"/>
  <c r="F29" i="272"/>
  <c r="F41" i="272" s="1"/>
  <c r="E20" i="272"/>
  <c r="E28" i="272"/>
  <c r="E40" i="272" s="1"/>
  <c r="J29" i="272"/>
  <c r="J33" i="272" s="1"/>
  <c r="J28" i="272"/>
  <c r="J32" i="272" s="1"/>
  <c r="J27" i="272"/>
  <c r="E27" i="272"/>
  <c r="E39" i="272" s="1"/>
  <c r="E19" i="272"/>
  <c r="G28" i="306"/>
  <c r="G40" i="306" s="1"/>
  <c r="G20" i="306"/>
  <c r="D40" i="306"/>
  <c r="H29" i="306"/>
  <c r="H41" i="306" s="1"/>
  <c r="H21" i="306"/>
  <c r="G27" i="306"/>
  <c r="G39" i="306" s="1"/>
  <c r="G19" i="306"/>
  <c r="G170" i="306"/>
  <c r="G175" i="306"/>
  <c r="H28" i="310"/>
  <c r="H40" i="310" s="1"/>
  <c r="H20" i="310"/>
  <c r="H19" i="310"/>
  <c r="H27" i="310"/>
  <c r="H39" i="310" s="1"/>
  <c r="G27" i="310"/>
  <c r="G31" i="310" s="1"/>
  <c r="G19" i="310"/>
  <c r="H29" i="310"/>
  <c r="H41" i="310" s="1"/>
  <c r="H21" i="310"/>
  <c r="F21" i="278"/>
  <c r="F29" i="278"/>
  <c r="F41" i="278" s="1"/>
  <c r="J28" i="278"/>
  <c r="J32" i="278" s="1"/>
  <c r="J29" i="278"/>
  <c r="J33" i="278" s="1"/>
  <c r="J27" i="278"/>
  <c r="E20" i="278"/>
  <c r="E28" i="278"/>
  <c r="E40" i="278" s="1"/>
  <c r="E27" i="278"/>
  <c r="E39" i="278" s="1"/>
  <c r="E19" i="278"/>
  <c r="D40" i="269"/>
  <c r="D20" i="269"/>
  <c r="I9" i="278"/>
  <c r="M11" i="272"/>
  <c r="L10" i="269"/>
  <c r="M10" i="272"/>
  <c r="N11" i="306"/>
  <c r="M33" i="306"/>
  <c r="M35" i="306" s="1"/>
  <c r="N11" i="303"/>
  <c r="M33" i="303"/>
  <c r="M35" i="303" s="1"/>
  <c r="L11" i="269"/>
  <c r="I9" i="272"/>
  <c r="M11" i="278"/>
  <c r="N11" i="310"/>
  <c r="M33" i="310"/>
  <c r="M35" i="310" s="1"/>
  <c r="M10" i="278"/>
  <c r="I9" i="269"/>
  <c r="F85" i="303"/>
  <c r="D35" i="310"/>
  <c r="F196" i="303"/>
  <c r="G173" i="303"/>
  <c r="I47" i="309"/>
  <c r="I38" i="309"/>
  <c r="I63" i="304"/>
  <c r="I66" i="304" s="1"/>
  <c r="I67" i="304" s="1"/>
  <c r="I72" i="304" s="1"/>
  <c r="F32" i="306"/>
  <c r="J14" i="277"/>
  <c r="J16" i="277" s="1"/>
  <c r="J17" i="277" s="1"/>
  <c r="J18" i="277" s="1"/>
  <c r="J20" i="277" s="1"/>
  <c r="J16" i="279"/>
  <c r="J59" i="279" s="1"/>
  <c r="G23" i="304"/>
  <c r="G15" i="303" s="1"/>
  <c r="G27" i="303" s="1"/>
  <c r="J14" i="271"/>
  <c r="J16" i="271" s="1"/>
  <c r="J17" i="271" s="1"/>
  <c r="J18" i="271" s="1"/>
  <c r="J20" i="271" s="1"/>
  <c r="J16" i="273"/>
  <c r="J59" i="273" s="1"/>
  <c r="G202" i="303"/>
  <c r="G55" i="273"/>
  <c r="G22" i="273" s="1"/>
  <c r="G17" i="272" s="1"/>
  <c r="D32" i="272"/>
  <c r="G24" i="304"/>
  <c r="G16" i="303" s="1"/>
  <c r="G28" i="303" s="1"/>
  <c r="H17" i="303"/>
  <c r="H29" i="303" s="1"/>
  <c r="H23" i="304"/>
  <c r="H15" i="303" s="1"/>
  <c r="H27" i="303" s="1"/>
  <c r="H24" i="304"/>
  <c r="H16" i="303" s="1"/>
  <c r="H28" i="303" s="1"/>
  <c r="G83" i="303"/>
  <c r="J21" i="304"/>
  <c r="I49" i="302"/>
  <c r="I127" i="303" s="1"/>
  <c r="J27" i="304"/>
  <c r="I40" i="304"/>
  <c r="I31" i="304"/>
  <c r="J14" i="268"/>
  <c r="J16" i="268" s="1"/>
  <c r="J16" i="270"/>
  <c r="J59" i="270" s="1"/>
  <c r="H127" i="303"/>
  <c r="J59" i="304"/>
  <c r="F55" i="270"/>
  <c r="F22" i="270" s="1"/>
  <c r="F17" i="269" s="1"/>
  <c r="F29" i="269" s="1"/>
  <c r="H126" i="303"/>
  <c r="I48" i="302"/>
  <c r="I70" i="303" s="1"/>
  <c r="I74" i="303" s="1"/>
  <c r="I26" i="302"/>
  <c r="I56" i="303" s="1"/>
  <c r="I63" i="303" s="1"/>
  <c r="G55" i="279"/>
  <c r="G22" i="279" s="1"/>
  <c r="G17" i="278" s="1"/>
  <c r="H112" i="306"/>
  <c r="I25" i="302"/>
  <c r="I32" i="302" s="1"/>
  <c r="I172" i="303" s="1"/>
  <c r="H159" i="306"/>
  <c r="H166" i="306" s="1"/>
  <c r="H55" i="306"/>
  <c r="H62" i="306" s="1"/>
  <c r="D23" i="306"/>
  <c r="I29" i="304"/>
  <c r="H160" i="306"/>
  <c r="H167" i="306" s="1"/>
  <c r="H114" i="303"/>
  <c r="G189" i="303"/>
  <c r="H71" i="303"/>
  <c r="H75" i="303" s="1"/>
  <c r="H33" i="305"/>
  <c r="H53" i="305" s="1"/>
  <c r="H192" i="306" s="1"/>
  <c r="H56" i="306"/>
  <c r="H63" i="306" s="1"/>
  <c r="H23" i="307"/>
  <c r="H15" i="306" s="1"/>
  <c r="J194" i="306"/>
  <c r="E35" i="310"/>
  <c r="D35" i="306"/>
  <c r="E32" i="306"/>
  <c r="J194" i="303"/>
  <c r="F200" i="306"/>
  <c r="F175" i="306"/>
  <c r="F177" i="306" s="1"/>
  <c r="E31" i="306"/>
  <c r="J194" i="310"/>
  <c r="F35" i="310"/>
  <c r="H24" i="307"/>
  <c r="H16" i="306" s="1"/>
  <c r="K1" i="309"/>
  <c r="K1" i="307"/>
  <c r="G194" i="310"/>
  <c r="F23" i="310"/>
  <c r="I66" i="307"/>
  <c r="I67" i="307" s="1"/>
  <c r="I72" i="307" s="1"/>
  <c r="D23" i="310"/>
  <c r="G200" i="310"/>
  <c r="J13" i="307"/>
  <c r="J27" i="307"/>
  <c r="J21" i="307"/>
  <c r="F31" i="306"/>
  <c r="I27" i="305"/>
  <c r="I26" i="305"/>
  <c r="I25" i="305"/>
  <c r="E23" i="310"/>
  <c r="J13" i="309"/>
  <c r="J27" i="309"/>
  <c r="J21" i="309"/>
  <c r="F23" i="306"/>
  <c r="G66" i="310"/>
  <c r="G82" i="310"/>
  <c r="I47" i="304"/>
  <c r="I29" i="307"/>
  <c r="I55" i="307" s="1"/>
  <c r="I22" i="307" s="1"/>
  <c r="I17" i="306" s="1"/>
  <c r="I47" i="307"/>
  <c r="I38" i="307"/>
  <c r="I112" i="310"/>
  <c r="I32" i="308"/>
  <c r="I172" i="310" s="1"/>
  <c r="I159" i="310"/>
  <c r="I166" i="310" s="1"/>
  <c r="I55" i="310"/>
  <c r="J14" i="305"/>
  <c r="J16" i="305" s="1"/>
  <c r="J17" i="305" s="1"/>
  <c r="J18" i="305" s="1"/>
  <c r="J20" i="305" s="1"/>
  <c r="J60" i="307"/>
  <c r="F201" i="306"/>
  <c r="K60" i="309"/>
  <c r="G32" i="310"/>
  <c r="F194" i="306"/>
  <c r="F196" i="306" s="1"/>
  <c r="H112" i="303"/>
  <c r="H182" i="306"/>
  <c r="H186" i="306" s="1"/>
  <c r="H127" i="306"/>
  <c r="H71" i="306"/>
  <c r="H75" i="306" s="1"/>
  <c r="H55" i="303"/>
  <c r="H62" i="303" s="1"/>
  <c r="H70" i="306"/>
  <c r="H74" i="306" s="1"/>
  <c r="H126" i="306"/>
  <c r="H181" i="306"/>
  <c r="H185" i="306" s="1"/>
  <c r="H159" i="303"/>
  <c r="H166" i="303" s="1"/>
  <c r="H170" i="303" s="1"/>
  <c r="H52" i="305"/>
  <c r="H191" i="306" s="1"/>
  <c r="H172" i="306"/>
  <c r="F78" i="306"/>
  <c r="F85" i="306" s="1"/>
  <c r="F82" i="306"/>
  <c r="G76" i="306"/>
  <c r="G83" i="306"/>
  <c r="G189" i="306"/>
  <c r="G202" i="306"/>
  <c r="H183" i="306"/>
  <c r="H187" i="306" s="1"/>
  <c r="H72" i="306"/>
  <c r="H128" i="306"/>
  <c r="E17" i="269"/>
  <c r="E29" i="269" s="1"/>
  <c r="K1" i="270"/>
  <c r="K21" i="270" s="1"/>
  <c r="K1" i="304"/>
  <c r="I50" i="305"/>
  <c r="I49" i="305"/>
  <c r="I48" i="305"/>
  <c r="L53" i="267"/>
  <c r="D53" i="268"/>
  <c r="D192" i="269" s="1"/>
  <c r="K10" i="305"/>
  <c r="J60" i="304"/>
  <c r="J14" i="302"/>
  <c r="J16" i="302" s="1"/>
  <c r="J17" i="302" s="1"/>
  <c r="J18" i="302" s="1"/>
  <c r="J20" i="302" s="1"/>
  <c r="J25" i="302" s="1"/>
  <c r="D52" i="268"/>
  <c r="D191" i="269" s="1"/>
  <c r="H189" i="303"/>
  <c r="I183" i="303"/>
  <c r="I187" i="303" s="1"/>
  <c r="I128" i="303"/>
  <c r="I72" i="303"/>
  <c r="I76" i="303" s="1"/>
  <c r="I161" i="303"/>
  <c r="I168" i="303" s="1"/>
  <c r="I114" i="303"/>
  <c r="I57" i="303"/>
  <c r="I64" i="303" s="1"/>
  <c r="G82" i="303"/>
  <c r="G66" i="303"/>
  <c r="G85" i="303" s="1"/>
  <c r="H63" i="279"/>
  <c r="H66" i="279" s="1"/>
  <c r="H67" i="279" s="1"/>
  <c r="H72" i="279" s="1"/>
  <c r="J37" i="268"/>
  <c r="J40" i="268" s="1"/>
  <c r="J42" i="268" s="1"/>
  <c r="J13" i="279"/>
  <c r="T42" i="260"/>
  <c r="K3" i="278"/>
  <c r="J13" i="273"/>
  <c r="J13" i="270"/>
  <c r="J21" i="279"/>
  <c r="J21" i="270"/>
  <c r="J27" i="273"/>
  <c r="L58" i="267"/>
  <c r="F23" i="273"/>
  <c r="F15" i="272" s="1"/>
  <c r="M56" i="267"/>
  <c r="F24" i="273"/>
  <c r="F16" i="272" s="1"/>
  <c r="M51" i="267"/>
  <c r="K1" i="279"/>
  <c r="K27" i="279" s="1"/>
  <c r="N2" i="267"/>
  <c r="K3" i="272"/>
  <c r="K1" i="273"/>
  <c r="F23" i="279"/>
  <c r="F15" i="278" s="1"/>
  <c r="F24" i="279"/>
  <c r="F16" i="278" s="1"/>
  <c r="H29" i="273"/>
  <c r="H63" i="273"/>
  <c r="H66" i="273" s="1"/>
  <c r="H67" i="273" s="1"/>
  <c r="H72" i="273" s="1"/>
  <c r="H38" i="279"/>
  <c r="H47" i="279"/>
  <c r="K10" i="271"/>
  <c r="K15" i="273" s="1"/>
  <c r="H47" i="273"/>
  <c r="I38" i="279"/>
  <c r="I60" i="279"/>
  <c r="I29" i="273"/>
  <c r="I60" i="273"/>
  <c r="G173" i="278"/>
  <c r="G53" i="277"/>
  <c r="G192" i="278" s="1"/>
  <c r="G173" i="272"/>
  <c r="G53" i="271"/>
  <c r="G192" i="272" s="1"/>
  <c r="G172" i="272"/>
  <c r="G52" i="271"/>
  <c r="G191" i="272" s="1"/>
  <c r="G172" i="278"/>
  <c r="G52" i="277"/>
  <c r="G191" i="278" s="1"/>
  <c r="H114" i="278"/>
  <c r="H57" i="278"/>
  <c r="H161" i="278"/>
  <c r="H32" i="277"/>
  <c r="H55" i="278"/>
  <c r="H112" i="278"/>
  <c r="H159" i="278"/>
  <c r="H56" i="278"/>
  <c r="H113" i="278"/>
  <c r="H160" i="278"/>
  <c r="H181" i="278"/>
  <c r="H126" i="278"/>
  <c r="H70" i="278"/>
  <c r="H182" i="278"/>
  <c r="H127" i="278"/>
  <c r="H71" i="278"/>
  <c r="H183" i="278"/>
  <c r="H128" i="278"/>
  <c r="H72" i="278"/>
  <c r="H33" i="277"/>
  <c r="I26" i="277"/>
  <c r="I27" i="277"/>
  <c r="I25" i="277"/>
  <c r="M52" i="277"/>
  <c r="M191" i="278" s="1"/>
  <c r="M53" i="277"/>
  <c r="M192" i="278" s="1"/>
  <c r="I49" i="277"/>
  <c r="I48" i="277"/>
  <c r="I50" i="277"/>
  <c r="H72" i="272"/>
  <c r="H128" i="272"/>
  <c r="H183" i="272"/>
  <c r="H70" i="272"/>
  <c r="H126" i="272"/>
  <c r="H181" i="272"/>
  <c r="H32" i="271"/>
  <c r="H55" i="272"/>
  <c r="H112" i="272"/>
  <c r="H159" i="272"/>
  <c r="H71" i="272"/>
  <c r="H127" i="272"/>
  <c r="H182" i="272"/>
  <c r="H56" i="272"/>
  <c r="H113" i="272"/>
  <c r="H160" i="272"/>
  <c r="H33" i="271"/>
  <c r="I25" i="271"/>
  <c r="I27" i="271"/>
  <c r="I26" i="271"/>
  <c r="L52" i="271"/>
  <c r="L191" i="272" s="1"/>
  <c r="L53" i="271"/>
  <c r="L192" i="272" s="1"/>
  <c r="H57" i="272"/>
  <c r="H114" i="272"/>
  <c r="H161" i="272"/>
  <c r="I48" i="271"/>
  <c r="I50" i="271"/>
  <c r="I49" i="271"/>
  <c r="D23" i="272"/>
  <c r="J14" i="279"/>
  <c r="J14" i="273"/>
  <c r="F62" i="272"/>
  <c r="F66" i="272" s="1"/>
  <c r="D66" i="272"/>
  <c r="G187" i="272"/>
  <c r="D170" i="272"/>
  <c r="F167" i="278"/>
  <c r="E66" i="272"/>
  <c r="F166" i="278"/>
  <c r="F167" i="272"/>
  <c r="F170" i="272" s="1"/>
  <c r="E170" i="272"/>
  <c r="K6" i="268"/>
  <c r="D23" i="278"/>
  <c r="D185" i="278"/>
  <c r="D74" i="278"/>
  <c r="D76" i="278"/>
  <c r="D187" i="278"/>
  <c r="D186" i="278"/>
  <c r="D75" i="278"/>
  <c r="F187" i="272"/>
  <c r="E66" i="278"/>
  <c r="F75" i="272"/>
  <c r="F66" i="278"/>
  <c r="D31" i="278"/>
  <c r="D200" i="272"/>
  <c r="K6" i="271"/>
  <c r="K52" i="268"/>
  <c r="K191" i="269" s="1"/>
  <c r="K53" i="268"/>
  <c r="K192" i="269" s="1"/>
  <c r="D168" i="278"/>
  <c r="D64" i="278"/>
  <c r="D167" i="278"/>
  <c r="D63" i="278"/>
  <c r="D32" i="278"/>
  <c r="D166" i="278"/>
  <c r="E200" i="272"/>
  <c r="I59" i="279"/>
  <c r="H40" i="279"/>
  <c r="H31" i="279"/>
  <c r="H31" i="273"/>
  <c r="H40" i="273"/>
  <c r="I59" i="273"/>
  <c r="G185" i="272"/>
  <c r="G186" i="278"/>
  <c r="G75" i="278"/>
  <c r="G185" i="278"/>
  <c r="G187" i="278"/>
  <c r="G76" i="278"/>
  <c r="F25" i="268"/>
  <c r="F55" i="269" s="1"/>
  <c r="F62" i="269" s="1"/>
  <c r="F26" i="268"/>
  <c r="F160" i="269" s="1"/>
  <c r="F167" i="269" s="1"/>
  <c r="E189" i="278"/>
  <c r="E202" i="278"/>
  <c r="N2" i="277"/>
  <c r="F186" i="272"/>
  <c r="F185" i="272"/>
  <c r="F187" i="278"/>
  <c r="F76" i="278"/>
  <c r="E74" i="278"/>
  <c r="E83" i="278"/>
  <c r="E23" i="270"/>
  <c r="D170" i="269"/>
  <c r="D66" i="269"/>
  <c r="L3" i="269"/>
  <c r="E24" i="270"/>
  <c r="D189" i="272"/>
  <c r="D202" i="272"/>
  <c r="E185" i="272"/>
  <c r="D74" i="272"/>
  <c r="D83" i="272"/>
  <c r="D173" i="269"/>
  <c r="E187" i="272"/>
  <c r="E76" i="272"/>
  <c r="E186" i="272"/>
  <c r="E75" i="272"/>
  <c r="M2" i="271"/>
  <c r="D172" i="269"/>
  <c r="G66" i="270"/>
  <c r="G67" i="270" s="1"/>
  <c r="G72" i="270" s="1"/>
  <c r="I40" i="270"/>
  <c r="I31" i="270"/>
  <c r="I29" i="270"/>
  <c r="I38" i="270"/>
  <c r="I47" i="270"/>
  <c r="G40" i="270"/>
  <c r="G31" i="270"/>
  <c r="E112" i="269"/>
  <c r="E55" i="269"/>
  <c r="E62" i="269" s="1"/>
  <c r="E32" i="268"/>
  <c r="E159" i="269"/>
  <c r="E166" i="269" s="1"/>
  <c r="F114" i="269"/>
  <c r="F57" i="269"/>
  <c r="F64" i="269" s="1"/>
  <c r="F161" i="269"/>
  <c r="F168" i="269" s="1"/>
  <c r="J14" i="270"/>
  <c r="E161" i="269"/>
  <c r="E168" i="269" s="1"/>
  <c r="E114" i="269"/>
  <c r="E57" i="269"/>
  <c r="E64" i="269" s="1"/>
  <c r="E160" i="269"/>
  <c r="E167" i="269" s="1"/>
  <c r="E113" i="269"/>
  <c r="E56" i="269"/>
  <c r="E63" i="269" s="1"/>
  <c r="E33" i="268"/>
  <c r="D31" i="269"/>
  <c r="H66" i="270"/>
  <c r="H67" i="270" s="1"/>
  <c r="H72" i="270" s="1"/>
  <c r="I60" i="270"/>
  <c r="I63" i="270" s="1"/>
  <c r="H40" i="270"/>
  <c r="H31" i="270"/>
  <c r="L2" i="268"/>
  <c r="I2" i="264"/>
  <c r="I17" i="264" s="1"/>
  <c r="H33" i="302" l="1"/>
  <c r="H57" i="303"/>
  <c r="H64" i="303" s="1"/>
  <c r="H175" i="329"/>
  <c r="N10" i="267"/>
  <c r="L6" i="305" s="1"/>
  <c r="L14" i="307" s="1"/>
  <c r="N9" i="267"/>
  <c r="N7" i="267"/>
  <c r="N8" i="267"/>
  <c r="N12" i="267"/>
  <c r="L6" i="277" s="1"/>
  <c r="N11" i="267"/>
  <c r="I23" i="309"/>
  <c r="I15" i="310" s="1"/>
  <c r="I17" i="310"/>
  <c r="H159" i="310"/>
  <c r="H166" i="310" s="1"/>
  <c r="H202" i="310" s="1"/>
  <c r="H32" i="308"/>
  <c r="H172" i="310" s="1"/>
  <c r="L103" i="269"/>
  <c r="L100" i="269"/>
  <c r="L102" i="269"/>
  <c r="L101" i="269"/>
  <c r="L97" i="269"/>
  <c r="L95" i="269"/>
  <c r="L90" i="269"/>
  <c r="L96" i="269"/>
  <c r="L93" i="269"/>
  <c r="L91" i="269"/>
  <c r="L98" i="269"/>
  <c r="L92" i="269"/>
  <c r="H173" i="310"/>
  <c r="G83" i="323"/>
  <c r="I56" i="319"/>
  <c r="I23" i="319" s="1"/>
  <c r="I17" i="320" s="1"/>
  <c r="I21" i="320" s="1"/>
  <c r="J32" i="316"/>
  <c r="J41" i="316"/>
  <c r="J40" i="309"/>
  <c r="J31" i="309"/>
  <c r="K11" i="308"/>
  <c r="K17" i="309" s="1"/>
  <c r="K11" i="302"/>
  <c r="K17" i="304" s="1"/>
  <c r="K11" i="277"/>
  <c r="K17" i="279" s="1"/>
  <c r="K11" i="268"/>
  <c r="K17" i="270" s="1"/>
  <c r="N40" i="267"/>
  <c r="N39" i="267"/>
  <c r="N41" i="267" s="1"/>
  <c r="N44" i="267"/>
  <c r="N46" i="267" s="1"/>
  <c r="N45" i="267"/>
  <c r="L11" i="327" s="1"/>
  <c r="L18" i="328" s="1"/>
  <c r="N30" i="267"/>
  <c r="N29" i="267"/>
  <c r="N31" i="267" s="1"/>
  <c r="J63" i="307"/>
  <c r="J66" i="307" s="1"/>
  <c r="J67" i="307" s="1"/>
  <c r="J72" i="307" s="1"/>
  <c r="I24" i="309"/>
  <c r="I16" i="310" s="1"/>
  <c r="I40" i="310" s="1"/>
  <c r="K11" i="315"/>
  <c r="K18" i="316" s="1"/>
  <c r="K11" i="318"/>
  <c r="K18" i="319" s="1"/>
  <c r="K11" i="312"/>
  <c r="K18" i="314" s="1"/>
  <c r="K32" i="314" s="1"/>
  <c r="M57" i="267"/>
  <c r="M67" i="267"/>
  <c r="J41" i="319"/>
  <c r="J32" i="319"/>
  <c r="G189" i="313"/>
  <c r="I110" i="316"/>
  <c r="H53" i="312"/>
  <c r="H192" i="313" s="1"/>
  <c r="H201" i="313" s="1"/>
  <c r="H118" i="329"/>
  <c r="G194" i="313"/>
  <c r="G196" i="313" s="1"/>
  <c r="G204" i="313" s="1"/>
  <c r="H126" i="313"/>
  <c r="I92" i="316"/>
  <c r="I118" i="316" s="1"/>
  <c r="I85" i="316" s="1"/>
  <c r="I29" i="317" s="1"/>
  <c r="I33" i="317" s="1"/>
  <c r="I92" i="325"/>
  <c r="I113" i="329"/>
  <c r="I117" i="329" s="1"/>
  <c r="K77" i="316"/>
  <c r="K15" i="316"/>
  <c r="K77" i="314"/>
  <c r="K15" i="314"/>
  <c r="K77" i="319"/>
  <c r="K15" i="319"/>
  <c r="K77" i="322"/>
  <c r="K15" i="322"/>
  <c r="L6" i="321"/>
  <c r="L6" i="324"/>
  <c r="L6" i="312"/>
  <c r="L6" i="308"/>
  <c r="L14" i="309" s="1"/>
  <c r="L6" i="327"/>
  <c r="L6" i="315"/>
  <c r="L6" i="318"/>
  <c r="L6" i="268"/>
  <c r="L6" i="302"/>
  <c r="K77" i="325"/>
  <c r="K15" i="325"/>
  <c r="H86" i="322"/>
  <c r="H27" i="323" s="1"/>
  <c r="H31" i="323" s="1"/>
  <c r="K77" i="328"/>
  <c r="K15" i="328"/>
  <c r="I56" i="329"/>
  <c r="I63" i="329" s="1"/>
  <c r="I66" i="329" s="1"/>
  <c r="K100" i="278"/>
  <c r="K102" i="278"/>
  <c r="K103" i="278"/>
  <c r="K101" i="278"/>
  <c r="K91" i="278"/>
  <c r="K98" i="278"/>
  <c r="K96" i="278"/>
  <c r="K92" i="278"/>
  <c r="K93" i="278"/>
  <c r="K95" i="278"/>
  <c r="K97" i="278"/>
  <c r="K90" i="278"/>
  <c r="I101" i="319"/>
  <c r="I118" i="319" s="1"/>
  <c r="I85" i="319" s="1"/>
  <c r="I29" i="320" s="1"/>
  <c r="I33" i="320" s="1"/>
  <c r="K103" i="313"/>
  <c r="K101" i="313"/>
  <c r="K100" i="313"/>
  <c r="K102" i="313"/>
  <c r="K98" i="313"/>
  <c r="K96" i="313"/>
  <c r="K93" i="313"/>
  <c r="K97" i="313"/>
  <c r="K95" i="313"/>
  <c r="K90" i="313"/>
  <c r="K91" i="313"/>
  <c r="K92" i="313"/>
  <c r="K102" i="320"/>
  <c r="K103" i="320"/>
  <c r="K100" i="320"/>
  <c r="K101" i="320"/>
  <c r="K93" i="320"/>
  <c r="K97" i="320"/>
  <c r="K95" i="320"/>
  <c r="K90" i="320"/>
  <c r="K91" i="320"/>
  <c r="K98" i="320"/>
  <c r="K96" i="320"/>
  <c r="K92" i="320"/>
  <c r="K102" i="317"/>
  <c r="K103" i="317"/>
  <c r="K100" i="317"/>
  <c r="K101" i="317"/>
  <c r="K98" i="317"/>
  <c r="K96" i="317"/>
  <c r="K92" i="317"/>
  <c r="K93" i="317"/>
  <c r="K91" i="317"/>
  <c r="K90" i="317"/>
  <c r="K95" i="317"/>
  <c r="K97" i="317"/>
  <c r="K103" i="323"/>
  <c r="K102" i="323"/>
  <c r="K100" i="323"/>
  <c r="K98" i="323"/>
  <c r="K96" i="323"/>
  <c r="K92" i="323"/>
  <c r="K93" i="323"/>
  <c r="K101" i="323"/>
  <c r="K95" i="323"/>
  <c r="K90" i="323"/>
  <c r="K97" i="323"/>
  <c r="K91" i="323"/>
  <c r="K102" i="326"/>
  <c r="K103" i="326"/>
  <c r="K101" i="326"/>
  <c r="K100" i="326"/>
  <c r="K98" i="326"/>
  <c r="K96" i="326"/>
  <c r="K92" i="326"/>
  <c r="K93" i="326"/>
  <c r="K97" i="326"/>
  <c r="K95" i="326"/>
  <c r="K90" i="326"/>
  <c r="K91" i="326"/>
  <c r="I92" i="319"/>
  <c r="K100" i="272"/>
  <c r="K103" i="272"/>
  <c r="K101" i="272"/>
  <c r="K102" i="272"/>
  <c r="K98" i="272"/>
  <c r="K93" i="272"/>
  <c r="K96" i="272"/>
  <c r="K90" i="272"/>
  <c r="K97" i="272"/>
  <c r="K95" i="272"/>
  <c r="K91" i="272"/>
  <c r="K92" i="272"/>
  <c r="K102" i="329"/>
  <c r="K103" i="329"/>
  <c r="K101" i="329"/>
  <c r="K100" i="329"/>
  <c r="K98" i="329"/>
  <c r="K96" i="329"/>
  <c r="K97" i="329"/>
  <c r="K95" i="329"/>
  <c r="K93" i="329"/>
  <c r="K90" i="329"/>
  <c r="K92" i="329"/>
  <c r="K91" i="329"/>
  <c r="H127" i="313"/>
  <c r="I33" i="327"/>
  <c r="I173" i="329" s="1"/>
  <c r="I175" i="329" s="1"/>
  <c r="I50" i="324"/>
  <c r="I128" i="326" s="1"/>
  <c r="H182" i="313"/>
  <c r="H186" i="313" s="1"/>
  <c r="H52" i="308"/>
  <c r="H191" i="310" s="1"/>
  <c r="H200" i="310" s="1"/>
  <c r="G83" i="313"/>
  <c r="I64" i="314"/>
  <c r="I67" i="314" s="1"/>
  <c r="I68" i="314" s="1"/>
  <c r="I73" i="314" s="1"/>
  <c r="H129" i="314"/>
  <c r="H130" i="314" s="1"/>
  <c r="H135" i="314" s="1"/>
  <c r="H87" i="314" s="1"/>
  <c r="H28" i="313" s="1"/>
  <c r="H32" i="313" s="1"/>
  <c r="H67" i="314"/>
  <c r="H68" i="314" s="1"/>
  <c r="H73" i="314" s="1"/>
  <c r="H25" i="314" s="1"/>
  <c r="H16" i="313" s="1"/>
  <c r="H140" i="329"/>
  <c r="H130" i="310"/>
  <c r="H142" i="329"/>
  <c r="H140" i="310"/>
  <c r="G140" i="317"/>
  <c r="H116" i="317"/>
  <c r="H117" i="317"/>
  <c r="H118" i="317"/>
  <c r="H119" i="317"/>
  <c r="H118" i="310"/>
  <c r="H119" i="310"/>
  <c r="E119" i="269"/>
  <c r="E118" i="269"/>
  <c r="E116" i="269"/>
  <c r="E117" i="269"/>
  <c r="H140" i="278"/>
  <c r="H116" i="278"/>
  <c r="H141" i="278"/>
  <c r="H142" i="278"/>
  <c r="H118" i="278"/>
  <c r="H117" i="278"/>
  <c r="H143" i="278"/>
  <c r="H119" i="278"/>
  <c r="H141" i="306"/>
  <c r="H142" i="306"/>
  <c r="H143" i="306"/>
  <c r="H119" i="306"/>
  <c r="H116" i="306"/>
  <c r="H117" i="306"/>
  <c r="H118" i="306"/>
  <c r="H140" i="306"/>
  <c r="H131" i="303"/>
  <c r="H132" i="303"/>
  <c r="H133" i="303"/>
  <c r="H130" i="303"/>
  <c r="H133" i="323"/>
  <c r="H130" i="323"/>
  <c r="H131" i="323"/>
  <c r="H132" i="323"/>
  <c r="H130" i="329"/>
  <c r="H131" i="329"/>
  <c r="H132" i="329"/>
  <c r="H133" i="329"/>
  <c r="H173" i="317"/>
  <c r="H53" i="315"/>
  <c r="H192" i="317" s="1"/>
  <c r="H173" i="323"/>
  <c r="H53" i="321"/>
  <c r="H192" i="323" s="1"/>
  <c r="G132" i="323"/>
  <c r="G133" i="323"/>
  <c r="G130" i="323"/>
  <c r="G131" i="323"/>
  <c r="H133" i="310"/>
  <c r="H143" i="329"/>
  <c r="G140" i="323"/>
  <c r="G142" i="323"/>
  <c r="H143" i="310"/>
  <c r="H142" i="310"/>
  <c r="H143" i="323"/>
  <c r="H119" i="323"/>
  <c r="H140" i="323"/>
  <c r="H116" i="323"/>
  <c r="H141" i="323"/>
  <c r="H117" i="323"/>
  <c r="H142" i="323"/>
  <c r="H118" i="323"/>
  <c r="G133" i="317"/>
  <c r="G130" i="317"/>
  <c r="G131" i="317"/>
  <c r="G132" i="317"/>
  <c r="H133" i="306"/>
  <c r="H130" i="306"/>
  <c r="H131" i="306"/>
  <c r="H132" i="306"/>
  <c r="H173" i="326"/>
  <c r="H53" i="324"/>
  <c r="H192" i="326" s="1"/>
  <c r="H140" i="326"/>
  <c r="H116" i="326"/>
  <c r="H141" i="326"/>
  <c r="H117" i="326"/>
  <c r="H142" i="326"/>
  <c r="H118" i="326"/>
  <c r="H143" i="326"/>
  <c r="H119" i="326"/>
  <c r="H131" i="310"/>
  <c r="H141" i="329"/>
  <c r="G141" i="323"/>
  <c r="H117" i="310"/>
  <c r="H141" i="310"/>
  <c r="H141" i="303"/>
  <c r="H117" i="303"/>
  <c r="H142" i="303"/>
  <c r="H118" i="303"/>
  <c r="H143" i="303"/>
  <c r="H119" i="303"/>
  <c r="H116" i="303"/>
  <c r="H140" i="303"/>
  <c r="H172" i="326"/>
  <c r="H52" i="324"/>
  <c r="H191" i="326" s="1"/>
  <c r="G142" i="317"/>
  <c r="G132" i="313"/>
  <c r="G133" i="313"/>
  <c r="G130" i="313"/>
  <c r="G131" i="313"/>
  <c r="G143" i="313"/>
  <c r="G141" i="313"/>
  <c r="G142" i="313"/>
  <c r="G140" i="313"/>
  <c r="H142" i="272"/>
  <c r="H143" i="272"/>
  <c r="H140" i="272"/>
  <c r="H116" i="272"/>
  <c r="H117" i="272"/>
  <c r="H141" i="272"/>
  <c r="H118" i="272"/>
  <c r="H119" i="272"/>
  <c r="H132" i="272"/>
  <c r="H133" i="272"/>
  <c r="H131" i="272"/>
  <c r="H130" i="272"/>
  <c r="H130" i="278"/>
  <c r="H131" i="278"/>
  <c r="H132" i="278"/>
  <c r="H133" i="278"/>
  <c r="H130" i="326"/>
  <c r="H131" i="326"/>
  <c r="H132" i="326"/>
  <c r="H133" i="326"/>
  <c r="H172" i="317"/>
  <c r="H52" i="315"/>
  <c r="H191" i="317" s="1"/>
  <c r="H172" i="323"/>
  <c r="H52" i="321"/>
  <c r="H191" i="323" s="1"/>
  <c r="H119" i="320"/>
  <c r="H118" i="320"/>
  <c r="H116" i="320"/>
  <c r="H117" i="320"/>
  <c r="G141" i="317"/>
  <c r="G143" i="317"/>
  <c r="G143" i="323"/>
  <c r="H116" i="310"/>
  <c r="I48" i="324"/>
  <c r="I70" i="326" s="1"/>
  <c r="H70" i="313"/>
  <c r="H74" i="313" s="1"/>
  <c r="H181" i="313"/>
  <c r="H185" i="313" s="1"/>
  <c r="K108" i="272"/>
  <c r="K106" i="272"/>
  <c r="K105" i="272"/>
  <c r="K107" i="272"/>
  <c r="K108" i="313"/>
  <c r="K105" i="313"/>
  <c r="K107" i="313"/>
  <c r="K106" i="313"/>
  <c r="K105" i="320"/>
  <c r="K108" i="320"/>
  <c r="K107" i="320"/>
  <c r="K106" i="320"/>
  <c r="I110" i="328"/>
  <c r="K105" i="278"/>
  <c r="K108" i="278"/>
  <c r="K106" i="278"/>
  <c r="K107" i="278"/>
  <c r="K105" i="317"/>
  <c r="K108" i="317"/>
  <c r="K107" i="317"/>
  <c r="K106" i="317"/>
  <c r="K105" i="323"/>
  <c r="K108" i="323"/>
  <c r="K107" i="323"/>
  <c r="K106" i="323"/>
  <c r="K108" i="326"/>
  <c r="K107" i="326"/>
  <c r="K106" i="326"/>
  <c r="K105" i="326"/>
  <c r="L105" i="269"/>
  <c r="L107" i="269"/>
  <c r="L108" i="269"/>
  <c r="L106" i="269"/>
  <c r="K107" i="329"/>
  <c r="K108" i="329"/>
  <c r="K106" i="329"/>
  <c r="K105" i="329"/>
  <c r="G189" i="323"/>
  <c r="I92" i="322"/>
  <c r="F204" i="313"/>
  <c r="J78" i="328"/>
  <c r="J110" i="328" s="1"/>
  <c r="J79" i="328"/>
  <c r="J79" i="319"/>
  <c r="J78" i="319"/>
  <c r="J110" i="319" s="1"/>
  <c r="K14" i="327"/>
  <c r="K16" i="327" s="1"/>
  <c r="K17" i="327" s="1"/>
  <c r="K18" i="327" s="1"/>
  <c r="K20" i="327" s="1"/>
  <c r="K26" i="327" s="1"/>
  <c r="K16" i="328"/>
  <c r="K17" i="328"/>
  <c r="H29" i="323"/>
  <c r="H33" i="323" s="1"/>
  <c r="I110" i="322"/>
  <c r="J78" i="325"/>
  <c r="J101" i="325" s="1"/>
  <c r="J79" i="325"/>
  <c r="I92" i="328"/>
  <c r="J79" i="316"/>
  <c r="J78" i="316"/>
  <c r="J92" i="316" s="1"/>
  <c r="J40" i="327"/>
  <c r="J42" i="327" s="1"/>
  <c r="J43" i="327" s="1"/>
  <c r="J44" i="327" s="1"/>
  <c r="J46" i="327" s="1"/>
  <c r="J48" i="327" s="1"/>
  <c r="J52" i="327" s="1"/>
  <c r="J191" i="329" s="1"/>
  <c r="J40" i="312"/>
  <c r="J42" i="312" s="1"/>
  <c r="J43" i="312" s="1"/>
  <c r="J44" i="312" s="1"/>
  <c r="J46" i="312" s="1"/>
  <c r="J50" i="312" s="1"/>
  <c r="J78" i="314"/>
  <c r="J79" i="314"/>
  <c r="J78" i="322"/>
  <c r="J92" i="322" s="1"/>
  <c r="J79" i="322"/>
  <c r="J60" i="314"/>
  <c r="H71" i="320"/>
  <c r="H75" i="320" s="1"/>
  <c r="H182" i="320"/>
  <c r="H186" i="320" s="1"/>
  <c r="H127" i="320"/>
  <c r="G177" i="310"/>
  <c r="H126" i="320"/>
  <c r="H181" i="320"/>
  <c r="H185" i="320" s="1"/>
  <c r="H202" i="320" s="1"/>
  <c r="H70" i="320"/>
  <c r="F204" i="310"/>
  <c r="I161" i="313"/>
  <c r="I168" i="313" s="1"/>
  <c r="H194" i="320"/>
  <c r="I114" i="313"/>
  <c r="I116" i="313" s="1"/>
  <c r="I33" i="312"/>
  <c r="I173" i="313" s="1"/>
  <c r="I175" i="313" s="1"/>
  <c r="I160" i="313"/>
  <c r="I167" i="313" s="1"/>
  <c r="I56" i="313"/>
  <c r="I63" i="313" s="1"/>
  <c r="I66" i="313" s="1"/>
  <c r="I48" i="327"/>
  <c r="I52" i="327" s="1"/>
  <c r="I191" i="329" s="1"/>
  <c r="I200" i="329" s="1"/>
  <c r="I49" i="327"/>
  <c r="I53" i="327" s="1"/>
  <c r="I192" i="329" s="1"/>
  <c r="H181" i="317"/>
  <c r="H185" i="317" s="1"/>
  <c r="G196" i="303"/>
  <c r="F39" i="313"/>
  <c r="F41" i="313"/>
  <c r="H126" i="317"/>
  <c r="H182" i="317"/>
  <c r="H186" i="317" s="1"/>
  <c r="H127" i="317"/>
  <c r="G83" i="317"/>
  <c r="H86" i="316"/>
  <c r="H27" i="317" s="1"/>
  <c r="H31" i="317" s="1"/>
  <c r="G201" i="310"/>
  <c r="I118" i="328"/>
  <c r="I85" i="328" s="1"/>
  <c r="I29" i="329" s="1"/>
  <c r="I33" i="329" s="1"/>
  <c r="G40" i="320"/>
  <c r="G23" i="320"/>
  <c r="G39" i="320"/>
  <c r="I49" i="315"/>
  <c r="I182" i="317" s="1"/>
  <c r="I186" i="317" s="1"/>
  <c r="G33" i="317"/>
  <c r="I50" i="315"/>
  <c r="I72" i="317" s="1"/>
  <c r="I76" i="317" s="1"/>
  <c r="K16" i="316"/>
  <c r="K17" i="316"/>
  <c r="K17" i="314"/>
  <c r="K122" i="314" s="1"/>
  <c r="K16" i="314"/>
  <c r="K15" i="279"/>
  <c r="K16" i="309"/>
  <c r="K59" i="309" s="1"/>
  <c r="K63" i="309" s="1"/>
  <c r="K66" i="309" s="1"/>
  <c r="K67" i="309" s="1"/>
  <c r="K72" i="309" s="1"/>
  <c r="K15" i="309"/>
  <c r="K38" i="309" s="1"/>
  <c r="K16" i="307"/>
  <c r="K59" i="307" s="1"/>
  <c r="K15" i="307"/>
  <c r="K16" i="304"/>
  <c r="K59" i="304" s="1"/>
  <c r="K15" i="304"/>
  <c r="K47" i="304" s="1"/>
  <c r="K150" i="326"/>
  <c r="K151" i="326"/>
  <c r="K151" i="323"/>
  <c r="K150" i="323"/>
  <c r="K151" i="320"/>
  <c r="K150" i="320"/>
  <c r="K151" i="317"/>
  <c r="K150" i="317"/>
  <c r="K150" i="313"/>
  <c r="K151" i="313"/>
  <c r="K150" i="278"/>
  <c r="K151" i="278"/>
  <c r="K151" i="272"/>
  <c r="K150" i="272"/>
  <c r="L27" i="269"/>
  <c r="L29" i="269"/>
  <c r="L33" i="269" s="1"/>
  <c r="L150" i="269"/>
  <c r="L28" i="269"/>
  <c r="L32" i="269" s="1"/>
  <c r="L151" i="269"/>
  <c r="D32" i="269"/>
  <c r="D35" i="269" s="1"/>
  <c r="G41" i="320"/>
  <c r="I118" i="325"/>
  <c r="I85" i="325" s="1"/>
  <c r="H41" i="317"/>
  <c r="J94" i="319"/>
  <c r="J103" i="319"/>
  <c r="K28" i="325"/>
  <c r="K84" i="325"/>
  <c r="K22" i="325"/>
  <c r="K90" i="325"/>
  <c r="K76" i="325"/>
  <c r="J40" i="315"/>
  <c r="J42" i="315" s="1"/>
  <c r="J43" i="315" s="1"/>
  <c r="J44" i="315" s="1"/>
  <c r="J46" i="315" s="1"/>
  <c r="J50" i="315" s="1"/>
  <c r="H86" i="328"/>
  <c r="H27" i="329" s="1"/>
  <c r="H31" i="329" s="1"/>
  <c r="H29" i="329"/>
  <c r="H33" i="329" s="1"/>
  <c r="J103" i="316"/>
  <c r="J94" i="316"/>
  <c r="J94" i="328"/>
  <c r="J103" i="328"/>
  <c r="K28" i="328"/>
  <c r="K22" i="328"/>
  <c r="K90" i="328"/>
  <c r="K84" i="328"/>
  <c r="K76" i="328"/>
  <c r="I64" i="322"/>
  <c r="I126" i="322"/>
  <c r="J40" i="321"/>
  <c r="J42" i="321" s="1"/>
  <c r="J43" i="321" s="1"/>
  <c r="J44" i="321" s="1"/>
  <c r="J46" i="321" s="1"/>
  <c r="J48" i="321" s="1"/>
  <c r="J39" i="316"/>
  <c r="J30" i="316"/>
  <c r="J56" i="316" s="1"/>
  <c r="J23" i="316" s="1"/>
  <c r="J17" i="317" s="1"/>
  <c r="J21" i="317" s="1"/>
  <c r="J48" i="316"/>
  <c r="J122" i="325"/>
  <c r="J60" i="325"/>
  <c r="H67" i="328"/>
  <c r="H68" i="328" s="1"/>
  <c r="H73" i="328" s="1"/>
  <c r="H25" i="328" s="1"/>
  <c r="H16" i="329" s="1"/>
  <c r="H129" i="328"/>
  <c r="H130" i="328" s="1"/>
  <c r="H135" i="328" s="1"/>
  <c r="H87" i="328" s="1"/>
  <c r="H28" i="329" s="1"/>
  <c r="H32" i="329" s="1"/>
  <c r="H24" i="328"/>
  <c r="H15" i="329" s="1"/>
  <c r="H67" i="316"/>
  <c r="H68" i="316" s="1"/>
  <c r="H73" i="316" s="1"/>
  <c r="H25" i="316" s="1"/>
  <c r="H16" i="317" s="1"/>
  <c r="H20" i="317" s="1"/>
  <c r="H129" i="316"/>
  <c r="H130" i="316" s="1"/>
  <c r="H135" i="316" s="1"/>
  <c r="H87" i="316" s="1"/>
  <c r="H28" i="317" s="1"/>
  <c r="H32" i="317" s="1"/>
  <c r="H24" i="316"/>
  <c r="H15" i="317" s="1"/>
  <c r="I126" i="319"/>
  <c r="I64" i="319"/>
  <c r="H67" i="322"/>
  <c r="H68" i="322" s="1"/>
  <c r="H73" i="322" s="1"/>
  <c r="H25" i="322" s="1"/>
  <c r="H16" i="323" s="1"/>
  <c r="H129" i="322"/>
  <c r="H130" i="322" s="1"/>
  <c r="H135" i="322" s="1"/>
  <c r="H87" i="322" s="1"/>
  <c r="H28" i="323" s="1"/>
  <c r="H32" i="323" s="1"/>
  <c r="H24" i="322"/>
  <c r="H15" i="323" s="1"/>
  <c r="G31" i="320"/>
  <c r="G35" i="320" s="1"/>
  <c r="H87" i="319"/>
  <c r="H28" i="320" s="1"/>
  <c r="H32" i="320" s="1"/>
  <c r="H29" i="320"/>
  <c r="H86" i="319"/>
  <c r="H27" i="320" s="1"/>
  <c r="H31" i="320" s="1"/>
  <c r="I64" i="325"/>
  <c r="I126" i="325"/>
  <c r="H189" i="310"/>
  <c r="K90" i="319"/>
  <c r="K84" i="319"/>
  <c r="K76" i="319"/>
  <c r="K28" i="319"/>
  <c r="K22" i="319"/>
  <c r="J30" i="322"/>
  <c r="J39" i="322"/>
  <c r="J56" i="322" s="1"/>
  <c r="J23" i="322" s="1"/>
  <c r="J17" i="323" s="1"/>
  <c r="J21" i="323" s="1"/>
  <c r="J48" i="322"/>
  <c r="J122" i="328"/>
  <c r="J60" i="328"/>
  <c r="K37" i="321"/>
  <c r="K40" i="321" s="1"/>
  <c r="K42" i="321" s="1"/>
  <c r="K43" i="321" s="1"/>
  <c r="K44" i="321" s="1"/>
  <c r="K46" i="321" s="1"/>
  <c r="K37" i="327"/>
  <c r="K37" i="324"/>
  <c r="M68" i="267"/>
  <c r="L11" i="321"/>
  <c r="L18" i="322" s="1"/>
  <c r="I126" i="316"/>
  <c r="I64" i="316"/>
  <c r="K90" i="316"/>
  <c r="K84" i="316"/>
  <c r="K28" i="316"/>
  <c r="K76" i="316"/>
  <c r="K22" i="316"/>
  <c r="K32" i="325"/>
  <c r="K41" i="325"/>
  <c r="J60" i="322"/>
  <c r="J122" i="322"/>
  <c r="J30" i="319"/>
  <c r="J48" i="319"/>
  <c r="J39" i="319"/>
  <c r="J56" i="319" s="1"/>
  <c r="J23" i="319" s="1"/>
  <c r="J17" i="320" s="1"/>
  <c r="J21" i="320" s="1"/>
  <c r="K38" i="324"/>
  <c r="K80" i="325" s="1"/>
  <c r="K38" i="327"/>
  <c r="K80" i="328" s="1"/>
  <c r="K38" i="321"/>
  <c r="K80" i="322" s="1"/>
  <c r="N62" i="267"/>
  <c r="N66" i="267"/>
  <c r="K32" i="328"/>
  <c r="K41" i="328"/>
  <c r="K38" i="312"/>
  <c r="K80" i="314" s="1"/>
  <c r="K38" i="315"/>
  <c r="K80" i="316" s="1"/>
  <c r="K38" i="318"/>
  <c r="K80" i="319" s="1"/>
  <c r="I126" i="328"/>
  <c r="I64" i="328"/>
  <c r="J94" i="322"/>
  <c r="J103" i="322"/>
  <c r="I48" i="328"/>
  <c r="I39" i="328"/>
  <c r="I56" i="328" s="1"/>
  <c r="I23" i="328" s="1"/>
  <c r="I17" i="329" s="1"/>
  <c r="I30" i="328"/>
  <c r="H201" i="320"/>
  <c r="K41" i="322"/>
  <c r="K32" i="322"/>
  <c r="I118" i="322"/>
  <c r="I85" i="322" s="1"/>
  <c r="H29" i="326"/>
  <c r="H33" i="326" s="1"/>
  <c r="H86" i="325"/>
  <c r="H27" i="326" s="1"/>
  <c r="H31" i="326" s="1"/>
  <c r="K90" i="322"/>
  <c r="K76" i="322"/>
  <c r="K84" i="322"/>
  <c r="K28" i="322"/>
  <c r="K22" i="322"/>
  <c r="J122" i="316"/>
  <c r="J60" i="316"/>
  <c r="I48" i="325"/>
  <c r="I39" i="325"/>
  <c r="I56" i="325" s="1"/>
  <c r="I23" i="325" s="1"/>
  <c r="I17" i="326" s="1"/>
  <c r="I30" i="325"/>
  <c r="J60" i="319"/>
  <c r="J122" i="319"/>
  <c r="J94" i="325"/>
  <c r="J103" i="325"/>
  <c r="H129" i="325"/>
  <c r="H130" i="325" s="1"/>
  <c r="H135" i="325" s="1"/>
  <c r="H87" i="325" s="1"/>
  <c r="H28" i="326" s="1"/>
  <c r="H32" i="326" s="1"/>
  <c r="H67" i="325"/>
  <c r="H68" i="325" s="1"/>
  <c r="H73" i="325" s="1"/>
  <c r="H25" i="325" s="1"/>
  <c r="H16" i="326" s="1"/>
  <c r="H24" i="325"/>
  <c r="H15" i="326" s="1"/>
  <c r="D35" i="272"/>
  <c r="D43" i="272" s="1"/>
  <c r="F33" i="278"/>
  <c r="I53" i="312"/>
  <c r="I192" i="313" s="1"/>
  <c r="I194" i="313" s="1"/>
  <c r="H78" i="310"/>
  <c r="G86" i="314"/>
  <c r="G27" i="313" s="1"/>
  <c r="G31" i="313" s="1"/>
  <c r="G87" i="314"/>
  <c r="G28" i="313" s="1"/>
  <c r="G32" i="313" s="1"/>
  <c r="I53" i="318"/>
  <c r="I192" i="320" s="1"/>
  <c r="I194" i="320" s="1"/>
  <c r="G201" i="306"/>
  <c r="I200" i="313"/>
  <c r="H201" i="329"/>
  <c r="I56" i="314"/>
  <c r="I23" i="314" s="1"/>
  <c r="I92" i="314"/>
  <c r="I118" i="314" s="1"/>
  <c r="I85" i="314" s="1"/>
  <c r="I110" i="314"/>
  <c r="I101" i="314"/>
  <c r="J103" i="314"/>
  <c r="J94" i="314"/>
  <c r="H29" i="313"/>
  <c r="H33" i="313" s="1"/>
  <c r="H86" i="314"/>
  <c r="H27" i="313" s="1"/>
  <c r="H31" i="313" s="1"/>
  <c r="L10" i="315"/>
  <c r="L10" i="318"/>
  <c r="L16" i="319" s="1"/>
  <c r="L10" i="312"/>
  <c r="L14" i="312" s="1"/>
  <c r="L16" i="312" s="1"/>
  <c r="L17" i="312" s="1"/>
  <c r="L18" i="312" s="1"/>
  <c r="L20" i="312" s="1"/>
  <c r="N61" i="267"/>
  <c r="K37" i="315"/>
  <c r="K37" i="312"/>
  <c r="K40" i="312" s="1"/>
  <c r="K42" i="312" s="1"/>
  <c r="K43" i="312" s="1"/>
  <c r="K44" i="312" s="1"/>
  <c r="K46" i="312" s="1"/>
  <c r="K37" i="318"/>
  <c r="H177" i="313"/>
  <c r="K84" i="314"/>
  <c r="K90" i="314"/>
  <c r="K76" i="314"/>
  <c r="E31" i="313"/>
  <c r="E39" i="313"/>
  <c r="E32" i="313"/>
  <c r="E20" i="313"/>
  <c r="E23" i="313" s="1"/>
  <c r="F20" i="313"/>
  <c r="F23" i="313" s="1"/>
  <c r="H24" i="314"/>
  <c r="H15" i="313" s="1"/>
  <c r="H19" i="313" s="1"/>
  <c r="H17" i="313"/>
  <c r="H21" i="313" s="1"/>
  <c r="E33" i="313"/>
  <c r="E41" i="313"/>
  <c r="D20" i="313"/>
  <c r="D23" i="313" s="1"/>
  <c r="D32" i="313"/>
  <c r="D35" i="313" s="1"/>
  <c r="F24" i="270"/>
  <c r="F16" i="269" s="1"/>
  <c r="F28" i="269" s="1"/>
  <c r="I113" i="310"/>
  <c r="I116" i="310" s="1"/>
  <c r="G85" i="310"/>
  <c r="I126" i="310"/>
  <c r="F204" i="323"/>
  <c r="I17" i="323"/>
  <c r="H66" i="320"/>
  <c r="H20" i="320"/>
  <c r="H23" i="320" s="1"/>
  <c r="F204" i="320"/>
  <c r="F204" i="326"/>
  <c r="G194" i="326"/>
  <c r="G196" i="326" s="1"/>
  <c r="G41" i="326"/>
  <c r="I57" i="310"/>
  <c r="I64" i="310" s="1"/>
  <c r="G194" i="323"/>
  <c r="H170" i="320"/>
  <c r="F204" i="317"/>
  <c r="G201" i="323"/>
  <c r="G196" i="310"/>
  <c r="E31" i="278"/>
  <c r="I160" i="310"/>
  <c r="I167" i="310" s="1"/>
  <c r="G196" i="329"/>
  <c r="G204" i="329" s="1"/>
  <c r="H83" i="310"/>
  <c r="I70" i="310"/>
  <c r="I74" i="310" s="1"/>
  <c r="H170" i="317"/>
  <c r="G194" i="317"/>
  <c r="G196" i="317" s="1"/>
  <c r="H66" i="323"/>
  <c r="H189" i="329"/>
  <c r="H196" i="329" s="1"/>
  <c r="G201" i="317"/>
  <c r="H170" i="326"/>
  <c r="E16" i="329"/>
  <c r="E15" i="329"/>
  <c r="G200" i="326"/>
  <c r="G175" i="326"/>
  <c r="G177" i="326" s="1"/>
  <c r="E16" i="326"/>
  <c r="E15" i="326"/>
  <c r="J33" i="312"/>
  <c r="J173" i="313" s="1"/>
  <c r="J160" i="313"/>
  <c r="J167" i="313" s="1"/>
  <c r="J113" i="313"/>
  <c r="J56" i="313"/>
  <c r="J63" i="313" s="1"/>
  <c r="G15" i="329"/>
  <c r="G16" i="329"/>
  <c r="I32" i="324"/>
  <c r="I172" i="326" s="1"/>
  <c r="I159" i="326"/>
  <c r="I166" i="326" s="1"/>
  <c r="I112" i="326"/>
  <c r="I55" i="326"/>
  <c r="I62" i="326" s="1"/>
  <c r="J26" i="321"/>
  <c r="J27" i="321"/>
  <c r="J25" i="321"/>
  <c r="H21" i="326"/>
  <c r="J114" i="313"/>
  <c r="J57" i="313"/>
  <c r="J64" i="313" s="1"/>
  <c r="J161" i="313"/>
  <c r="J168" i="313" s="1"/>
  <c r="K17" i="319"/>
  <c r="K14" i="318"/>
  <c r="K16" i="318" s="1"/>
  <c r="K17" i="318" s="1"/>
  <c r="K18" i="318" s="1"/>
  <c r="K20" i="318" s="1"/>
  <c r="F15" i="326"/>
  <c r="F16" i="326"/>
  <c r="G200" i="323"/>
  <c r="G175" i="323"/>
  <c r="G177" i="323" s="1"/>
  <c r="G15" i="326"/>
  <c r="G16" i="326"/>
  <c r="H21" i="323"/>
  <c r="G200" i="317"/>
  <c r="G175" i="317"/>
  <c r="G177" i="317" s="1"/>
  <c r="G24" i="273"/>
  <c r="G16" i="272" s="1"/>
  <c r="G20" i="272" s="1"/>
  <c r="I72" i="310"/>
  <c r="I76" i="310" s="1"/>
  <c r="I161" i="326"/>
  <c r="I168" i="326" s="1"/>
  <c r="I57" i="326"/>
  <c r="I64" i="326" s="1"/>
  <c r="I114" i="326"/>
  <c r="D16" i="329"/>
  <c r="D15" i="329"/>
  <c r="J33" i="327"/>
  <c r="J173" i="329" s="1"/>
  <c r="J113" i="329"/>
  <c r="J160" i="329"/>
  <c r="J167" i="329" s="1"/>
  <c r="J56" i="329"/>
  <c r="J63" i="329" s="1"/>
  <c r="G201" i="320"/>
  <c r="I114" i="317"/>
  <c r="I161" i="317"/>
  <c r="I168" i="317" s="1"/>
  <c r="I57" i="317"/>
  <c r="I64" i="317" s="1"/>
  <c r="E21" i="323"/>
  <c r="E33" i="323"/>
  <c r="G40" i="317"/>
  <c r="G21" i="323"/>
  <c r="G33" i="323"/>
  <c r="I160" i="326"/>
  <c r="I167" i="326" s="1"/>
  <c r="I113" i="326"/>
  <c r="I56" i="326"/>
  <c r="I63" i="326" s="1"/>
  <c r="I33" i="324"/>
  <c r="I173" i="326" s="1"/>
  <c r="I201" i="326" s="1"/>
  <c r="J32" i="327"/>
  <c r="J172" i="329" s="1"/>
  <c r="J112" i="329"/>
  <c r="J159" i="329"/>
  <c r="J166" i="329" s="1"/>
  <c r="J55" i="329"/>
  <c r="J62" i="329" s="1"/>
  <c r="I170" i="329"/>
  <c r="I112" i="317"/>
  <c r="I55" i="317"/>
  <c r="I62" i="317" s="1"/>
  <c r="I159" i="317"/>
  <c r="I166" i="317" s="1"/>
  <c r="I32" i="315"/>
  <c r="I172" i="317" s="1"/>
  <c r="H200" i="320"/>
  <c r="H175" i="320"/>
  <c r="H177" i="329"/>
  <c r="E16" i="323"/>
  <c r="E15" i="323"/>
  <c r="H21" i="329"/>
  <c r="H66" i="317"/>
  <c r="J57" i="329"/>
  <c r="J64" i="329" s="1"/>
  <c r="J161" i="329"/>
  <c r="J168" i="329" s="1"/>
  <c r="J114" i="329"/>
  <c r="I56" i="317"/>
  <c r="I63" i="317" s="1"/>
  <c r="I160" i="317"/>
  <c r="I167" i="317" s="1"/>
  <c r="I33" i="315"/>
  <c r="I173" i="317" s="1"/>
  <c r="I201" i="317" s="1"/>
  <c r="I113" i="317"/>
  <c r="K14" i="315"/>
  <c r="K16" i="315" s="1"/>
  <c r="K17" i="315" s="1"/>
  <c r="K18" i="315" s="1"/>
  <c r="K20" i="315" s="1"/>
  <c r="J26" i="318"/>
  <c r="J25" i="318"/>
  <c r="J27" i="318"/>
  <c r="D33" i="323"/>
  <c r="D21" i="323"/>
  <c r="I161" i="320"/>
  <c r="I168" i="320" s="1"/>
  <c r="I114" i="320"/>
  <c r="I57" i="320"/>
  <c r="I64" i="320" s="1"/>
  <c r="G194" i="320"/>
  <c r="G196" i="320" s="1"/>
  <c r="F21" i="323"/>
  <c r="F33" i="323"/>
  <c r="K25" i="312"/>
  <c r="K26" i="312"/>
  <c r="K27" i="312"/>
  <c r="I32" i="321"/>
  <c r="I172" i="323" s="1"/>
  <c r="I159" i="323"/>
  <c r="I166" i="323" s="1"/>
  <c r="I55" i="323"/>
  <c r="I62" i="323" s="1"/>
  <c r="I112" i="323"/>
  <c r="G201" i="326"/>
  <c r="K14" i="308"/>
  <c r="K16" i="308" s="1"/>
  <c r="K17" i="308" s="1"/>
  <c r="K18" i="308" s="1"/>
  <c r="K20" i="308" s="1"/>
  <c r="K27" i="308" s="1"/>
  <c r="I55" i="320"/>
  <c r="I62" i="320" s="1"/>
  <c r="I159" i="320"/>
  <c r="I166" i="320" s="1"/>
  <c r="I32" i="318"/>
  <c r="I172" i="320" s="1"/>
  <c r="I112" i="320"/>
  <c r="G16" i="323"/>
  <c r="G15" i="323"/>
  <c r="G200" i="320"/>
  <c r="G175" i="320"/>
  <c r="G177" i="320" s="1"/>
  <c r="J26" i="324"/>
  <c r="J25" i="324"/>
  <c r="J27" i="324"/>
  <c r="F43" i="320"/>
  <c r="K17" i="325"/>
  <c r="K14" i="324"/>
  <c r="K16" i="324" s="1"/>
  <c r="K17" i="324" s="1"/>
  <c r="K18" i="324" s="1"/>
  <c r="K20" i="324" s="1"/>
  <c r="I161" i="323"/>
  <c r="I168" i="323" s="1"/>
  <c r="I57" i="323"/>
  <c r="I64" i="323" s="1"/>
  <c r="I114" i="323"/>
  <c r="H66" i="326"/>
  <c r="D16" i="323"/>
  <c r="D15" i="323"/>
  <c r="K17" i="322"/>
  <c r="K14" i="321"/>
  <c r="K16" i="321" s="1"/>
  <c r="K17" i="321" s="1"/>
  <c r="K18" i="321" s="1"/>
  <c r="K20" i="321" s="1"/>
  <c r="I33" i="318"/>
  <c r="I173" i="320" s="1"/>
  <c r="I160" i="320"/>
  <c r="I167" i="320" s="1"/>
  <c r="I56" i="320"/>
  <c r="I63" i="320" s="1"/>
  <c r="I113" i="320"/>
  <c r="H170" i="323"/>
  <c r="D15" i="326"/>
  <c r="D16" i="326"/>
  <c r="G41" i="329"/>
  <c r="J25" i="315"/>
  <c r="J27" i="315"/>
  <c r="J26" i="315"/>
  <c r="F16" i="323"/>
  <c r="F15" i="323"/>
  <c r="J112" i="313"/>
  <c r="J159" i="313"/>
  <c r="J166" i="313" s="1"/>
  <c r="J55" i="313"/>
  <c r="J62" i="313" s="1"/>
  <c r="J32" i="312"/>
  <c r="J172" i="313" s="1"/>
  <c r="F15" i="329"/>
  <c r="F16" i="329"/>
  <c r="I56" i="323"/>
  <c r="I63" i="323" s="1"/>
  <c r="I113" i="323"/>
  <c r="I160" i="323"/>
  <c r="I167" i="323" s="1"/>
  <c r="I33" i="321"/>
  <c r="I173" i="323" s="1"/>
  <c r="I201" i="323" s="1"/>
  <c r="G41" i="313"/>
  <c r="K41" i="314"/>
  <c r="J39" i="314"/>
  <c r="J48" i="314"/>
  <c r="J30" i="314"/>
  <c r="J56" i="314" s="1"/>
  <c r="G23" i="313"/>
  <c r="I181" i="303"/>
  <c r="I185" i="303" s="1"/>
  <c r="I126" i="303"/>
  <c r="K14" i="314"/>
  <c r="K22" i="314"/>
  <c r="K28" i="314"/>
  <c r="I72" i="329"/>
  <c r="I76" i="329" s="1"/>
  <c r="I183" i="329"/>
  <c r="I187" i="329" s="1"/>
  <c r="I128" i="329"/>
  <c r="K14" i="316"/>
  <c r="J194" i="326"/>
  <c r="I126" i="323"/>
  <c r="I70" i="323"/>
  <c r="I181" i="323"/>
  <c r="I185" i="323" s="1"/>
  <c r="I71" i="313"/>
  <c r="I75" i="313" s="1"/>
  <c r="I182" i="313"/>
  <c r="I186" i="313" s="1"/>
  <c r="I127" i="313"/>
  <c r="H189" i="323"/>
  <c r="H202" i="323"/>
  <c r="G78" i="317"/>
  <c r="G85" i="317" s="1"/>
  <c r="G82" i="317"/>
  <c r="H31" i="310"/>
  <c r="I161" i="310"/>
  <c r="I168" i="310" s="1"/>
  <c r="I183" i="323"/>
  <c r="I187" i="323" s="1"/>
  <c r="I72" i="323"/>
  <c r="I76" i="323" s="1"/>
  <c r="I128" i="323"/>
  <c r="I183" i="313"/>
  <c r="I187" i="313" s="1"/>
  <c r="I128" i="313"/>
  <c r="I72" i="313"/>
  <c r="I76" i="313" s="1"/>
  <c r="H74" i="323"/>
  <c r="H83" i="323"/>
  <c r="G78" i="320"/>
  <c r="G85" i="320" s="1"/>
  <c r="G82" i="320"/>
  <c r="H74" i="329"/>
  <c r="H83" i="329"/>
  <c r="G78" i="329"/>
  <c r="G85" i="329" s="1"/>
  <c r="G82" i="329"/>
  <c r="K14" i="328"/>
  <c r="L3" i="329"/>
  <c r="L1" i="325"/>
  <c r="L1" i="328"/>
  <c r="L3" i="323"/>
  <c r="L3" i="320"/>
  <c r="L3" i="326"/>
  <c r="L1" i="319"/>
  <c r="L3" i="317"/>
  <c r="L1" i="316"/>
  <c r="L1" i="322"/>
  <c r="L1" i="314"/>
  <c r="L3" i="313"/>
  <c r="I70" i="320"/>
  <c r="I181" i="320"/>
  <c r="I185" i="320" s="1"/>
  <c r="I126" i="320"/>
  <c r="I182" i="323"/>
  <c r="I186" i="323" s="1"/>
  <c r="I71" i="323"/>
  <c r="I75" i="323" s="1"/>
  <c r="I127" i="323"/>
  <c r="K151" i="329"/>
  <c r="K150" i="329"/>
  <c r="I33" i="308"/>
  <c r="I173" i="310" s="1"/>
  <c r="I201" i="310" s="1"/>
  <c r="H74" i="317"/>
  <c r="H83" i="317"/>
  <c r="K14" i="322"/>
  <c r="G78" i="326"/>
  <c r="G85" i="326" s="1"/>
  <c r="G82" i="326"/>
  <c r="I181" i="313"/>
  <c r="I185" i="313" s="1"/>
  <c r="I126" i="313"/>
  <c r="I70" i="313"/>
  <c r="K14" i="325"/>
  <c r="J48" i="318"/>
  <c r="J52" i="318" s="1"/>
  <c r="J191" i="320" s="1"/>
  <c r="J49" i="318"/>
  <c r="J50" i="318"/>
  <c r="H189" i="326"/>
  <c r="H202" i="326"/>
  <c r="H202" i="329"/>
  <c r="I127" i="320"/>
  <c r="I71" i="320"/>
  <c r="I75" i="320" s="1"/>
  <c r="I182" i="320"/>
  <c r="I186" i="320" s="1"/>
  <c r="J48" i="324"/>
  <c r="J50" i="324"/>
  <c r="J49" i="324"/>
  <c r="H74" i="326"/>
  <c r="H83" i="326"/>
  <c r="J194" i="317"/>
  <c r="G78" i="323"/>
  <c r="G85" i="323" s="1"/>
  <c r="G82" i="323"/>
  <c r="K14" i="319"/>
  <c r="I182" i="326"/>
  <c r="I186" i="326" s="1"/>
  <c r="I71" i="326"/>
  <c r="I75" i="326" s="1"/>
  <c r="I127" i="326"/>
  <c r="I72" i="320"/>
  <c r="I76" i="320" s="1"/>
  <c r="I183" i="320"/>
  <c r="I187" i="320" s="1"/>
  <c r="I128" i="320"/>
  <c r="J194" i="323"/>
  <c r="G78" i="313"/>
  <c r="G85" i="313" s="1"/>
  <c r="G82" i="313"/>
  <c r="I181" i="317"/>
  <c r="I185" i="317" s="1"/>
  <c r="I70" i="317"/>
  <c r="I126" i="317"/>
  <c r="H33" i="306"/>
  <c r="H78" i="303"/>
  <c r="J27" i="308"/>
  <c r="J57" i="310" s="1"/>
  <c r="J64" i="310" s="1"/>
  <c r="J25" i="308"/>
  <c r="J159" i="310" s="1"/>
  <c r="J166" i="310" s="1"/>
  <c r="E31" i="272"/>
  <c r="G177" i="306"/>
  <c r="F33" i="272"/>
  <c r="I160" i="303"/>
  <c r="I167" i="303" s="1"/>
  <c r="I71" i="310"/>
  <c r="I75" i="310" s="1"/>
  <c r="I127" i="310"/>
  <c r="I128" i="310"/>
  <c r="H32" i="310"/>
  <c r="J63" i="304"/>
  <c r="J66" i="304" s="1"/>
  <c r="J67" i="304" s="1"/>
  <c r="J72" i="304" s="1"/>
  <c r="H33" i="310"/>
  <c r="J50" i="308"/>
  <c r="J183" i="310" s="1"/>
  <c r="J187" i="310" s="1"/>
  <c r="J49" i="308"/>
  <c r="J71" i="310" s="1"/>
  <c r="J75" i="310" s="1"/>
  <c r="J48" i="308"/>
  <c r="J70" i="310" s="1"/>
  <c r="J74" i="310" s="1"/>
  <c r="K37" i="277"/>
  <c r="K40" i="277" s="1"/>
  <c r="K42" i="277" s="1"/>
  <c r="K43" i="277" s="1"/>
  <c r="K44" i="277" s="1"/>
  <c r="K46" i="277" s="1"/>
  <c r="K37" i="271"/>
  <c r="K40" i="271" s="1"/>
  <c r="K42" i="271" s="1"/>
  <c r="K43" i="271" s="1"/>
  <c r="K44" i="271" s="1"/>
  <c r="K46" i="271" s="1"/>
  <c r="K37" i="308"/>
  <c r="K40" i="308" s="1"/>
  <c r="K42" i="308" s="1"/>
  <c r="K43" i="308" s="1"/>
  <c r="K44" i="308" s="1"/>
  <c r="K46" i="308" s="1"/>
  <c r="K37" i="305"/>
  <c r="K40" i="305" s="1"/>
  <c r="K42" i="305" s="1"/>
  <c r="K43" i="305" s="1"/>
  <c r="K44" i="305" s="1"/>
  <c r="K46" i="305" s="1"/>
  <c r="K37" i="302"/>
  <c r="K40" i="302" s="1"/>
  <c r="K42" i="302" s="1"/>
  <c r="K43" i="302" s="1"/>
  <c r="K44" i="302" s="1"/>
  <c r="K46" i="302" s="1"/>
  <c r="K49" i="302" s="1"/>
  <c r="H39" i="303"/>
  <c r="H19" i="303"/>
  <c r="L10" i="277"/>
  <c r="L10" i="268"/>
  <c r="L15" i="270" s="1"/>
  <c r="L10" i="308"/>
  <c r="L10" i="302"/>
  <c r="H41" i="303"/>
  <c r="H21" i="303"/>
  <c r="G39" i="303"/>
  <c r="G19" i="303"/>
  <c r="G40" i="303"/>
  <c r="G20" i="303"/>
  <c r="K38" i="305"/>
  <c r="K38" i="268"/>
  <c r="K38" i="277"/>
  <c r="K38" i="271"/>
  <c r="K38" i="308"/>
  <c r="K38" i="302"/>
  <c r="N52" i="267"/>
  <c r="N57" i="267"/>
  <c r="G55" i="270"/>
  <c r="G22" i="270" s="1"/>
  <c r="G24" i="270" s="1"/>
  <c r="H40" i="303"/>
  <c r="H20" i="303"/>
  <c r="E23" i="278"/>
  <c r="K29" i="272"/>
  <c r="K33" i="272" s="1"/>
  <c r="K28" i="272"/>
  <c r="K32" i="272" s="1"/>
  <c r="K27" i="272"/>
  <c r="G21" i="272"/>
  <c r="G29" i="272"/>
  <c r="G33" i="272" s="1"/>
  <c r="F20" i="272"/>
  <c r="F28" i="272"/>
  <c r="F40" i="272" s="1"/>
  <c r="F27" i="272"/>
  <c r="F39" i="272" s="1"/>
  <c r="F19" i="272"/>
  <c r="I41" i="306"/>
  <c r="I21" i="306"/>
  <c r="H27" i="306"/>
  <c r="H39" i="306" s="1"/>
  <c r="H19" i="306"/>
  <c r="H28" i="306"/>
  <c r="H40" i="306" s="1"/>
  <c r="H20" i="306"/>
  <c r="G39" i="310"/>
  <c r="I39" i="310"/>
  <c r="I19" i="310"/>
  <c r="I41" i="310"/>
  <c r="I21" i="310"/>
  <c r="F20" i="278"/>
  <c r="F28" i="278"/>
  <c r="F40" i="278" s="1"/>
  <c r="K27" i="278"/>
  <c r="K28" i="278"/>
  <c r="K32" i="278" s="1"/>
  <c r="K29" i="278"/>
  <c r="K33" i="278" s="1"/>
  <c r="G21" i="278"/>
  <c r="G29" i="278"/>
  <c r="G33" i="278" s="1"/>
  <c r="F27" i="278"/>
  <c r="F39" i="278" s="1"/>
  <c r="F19" i="278"/>
  <c r="F33" i="269"/>
  <c r="F21" i="269"/>
  <c r="E41" i="269"/>
  <c r="E21" i="269"/>
  <c r="N10" i="278"/>
  <c r="M11" i="269"/>
  <c r="N10" i="272"/>
  <c r="O11" i="310"/>
  <c r="N33" i="310"/>
  <c r="N35" i="310" s="1"/>
  <c r="M10" i="269"/>
  <c r="O11" i="303"/>
  <c r="N33" i="303"/>
  <c r="N35" i="303" s="1"/>
  <c r="N11" i="278"/>
  <c r="N11" i="272"/>
  <c r="J9" i="269"/>
  <c r="I31" i="269"/>
  <c r="I35" i="269" s="1"/>
  <c r="O11" i="306"/>
  <c r="N33" i="306"/>
  <c r="N35" i="306" s="1"/>
  <c r="J9" i="272"/>
  <c r="I31" i="272"/>
  <c r="I35" i="272" s="1"/>
  <c r="J9" i="278"/>
  <c r="I31" i="278"/>
  <c r="I35" i="278" s="1"/>
  <c r="D43" i="310"/>
  <c r="J29" i="309"/>
  <c r="J55" i="309" s="1"/>
  <c r="J22" i="309" s="1"/>
  <c r="J17" i="310" s="1"/>
  <c r="J38" i="309"/>
  <c r="H55" i="270"/>
  <c r="H22" i="270" s="1"/>
  <c r="H24" i="270" s="1"/>
  <c r="K27" i="270"/>
  <c r="I55" i="304"/>
  <c r="I22" i="304" s="1"/>
  <c r="I23" i="304" s="1"/>
  <c r="I15" i="303" s="1"/>
  <c r="G196" i="306"/>
  <c r="K13" i="270"/>
  <c r="I55" i="303"/>
  <c r="I62" i="303" s="1"/>
  <c r="I112" i="303"/>
  <c r="F23" i="270"/>
  <c r="F15" i="269" s="1"/>
  <c r="F27" i="269" s="1"/>
  <c r="G23" i="273"/>
  <c r="G15" i="272" s="1"/>
  <c r="K14" i="271"/>
  <c r="K16" i="271" s="1"/>
  <c r="K17" i="271" s="1"/>
  <c r="K18" i="271" s="1"/>
  <c r="K20" i="271" s="1"/>
  <c r="K16" i="273"/>
  <c r="K59" i="273" s="1"/>
  <c r="I71" i="303"/>
  <c r="I75" i="303" s="1"/>
  <c r="I78" i="303" s="1"/>
  <c r="I159" i="303"/>
  <c r="I166" i="303" s="1"/>
  <c r="K14" i="277"/>
  <c r="K16" i="277" s="1"/>
  <c r="K17" i="277" s="1"/>
  <c r="K18" i="277" s="1"/>
  <c r="K20" i="277" s="1"/>
  <c r="K16" i="279"/>
  <c r="K59" i="279" s="1"/>
  <c r="I182" i="303"/>
  <c r="I186" i="303" s="1"/>
  <c r="E23" i="306"/>
  <c r="H173" i="306"/>
  <c r="H201" i="306" s="1"/>
  <c r="H53" i="302"/>
  <c r="H192" i="303" s="1"/>
  <c r="H194" i="303" s="1"/>
  <c r="H196" i="303" s="1"/>
  <c r="H173" i="303"/>
  <c r="K14" i="268"/>
  <c r="K16" i="268" s="1"/>
  <c r="K16" i="270"/>
  <c r="K59" i="270" s="1"/>
  <c r="J40" i="304"/>
  <c r="J31" i="304"/>
  <c r="E35" i="306"/>
  <c r="G23" i="279"/>
  <c r="G15" i="278" s="1"/>
  <c r="I33" i="302"/>
  <c r="I173" i="303" s="1"/>
  <c r="H170" i="306"/>
  <c r="I113" i="303"/>
  <c r="G24" i="279"/>
  <c r="G16" i="278" s="1"/>
  <c r="H202" i="303"/>
  <c r="H66" i="306"/>
  <c r="D43" i="306"/>
  <c r="J27" i="302"/>
  <c r="J161" i="303" s="1"/>
  <c r="J168" i="303" s="1"/>
  <c r="E43" i="310"/>
  <c r="F35" i="306"/>
  <c r="F43" i="306" s="1"/>
  <c r="K194" i="303"/>
  <c r="J29" i="304"/>
  <c r="F204" i="306"/>
  <c r="K194" i="310"/>
  <c r="J38" i="304"/>
  <c r="H23" i="310"/>
  <c r="K13" i="279"/>
  <c r="G32" i="306"/>
  <c r="I160" i="306"/>
  <c r="I167" i="306" s="1"/>
  <c r="I56" i="306"/>
  <c r="I63" i="306" s="1"/>
  <c r="I113" i="306"/>
  <c r="I33" i="305"/>
  <c r="I173" i="306" s="1"/>
  <c r="I201" i="306" s="1"/>
  <c r="G31" i="306"/>
  <c r="I189" i="310"/>
  <c r="I196" i="310" s="1"/>
  <c r="J113" i="310"/>
  <c r="J160" i="310"/>
  <c r="J167" i="310" s="1"/>
  <c r="J56" i="310"/>
  <c r="J63" i="310" s="1"/>
  <c r="I114" i="306"/>
  <c r="I161" i="306"/>
  <c r="I168" i="306" s="1"/>
  <c r="I57" i="306"/>
  <c r="I64" i="306" s="1"/>
  <c r="K13" i="307"/>
  <c r="K27" i="307"/>
  <c r="K21" i="307"/>
  <c r="J49" i="302"/>
  <c r="J182" i="303" s="1"/>
  <c r="J186" i="303" s="1"/>
  <c r="H201" i="310"/>
  <c r="I23" i="307"/>
  <c r="I15" i="306" s="1"/>
  <c r="K13" i="309"/>
  <c r="K27" i="309"/>
  <c r="K21" i="309"/>
  <c r="L1" i="304"/>
  <c r="L27" i="304" s="1"/>
  <c r="L1" i="309"/>
  <c r="L1" i="307"/>
  <c r="K14" i="305"/>
  <c r="K16" i="305" s="1"/>
  <c r="K17" i="305" s="1"/>
  <c r="K18" i="305" s="1"/>
  <c r="K20" i="305" s="1"/>
  <c r="K25" i="305" s="1"/>
  <c r="K112" i="306" s="1"/>
  <c r="K60" i="307"/>
  <c r="I62" i="310"/>
  <c r="I24" i="307"/>
  <c r="I16" i="306" s="1"/>
  <c r="H175" i="310"/>
  <c r="I32" i="305"/>
  <c r="I172" i="306" s="1"/>
  <c r="I112" i="306"/>
  <c r="I55" i="306"/>
  <c r="I62" i="306" s="1"/>
  <c r="I159" i="306"/>
  <c r="I166" i="306" s="1"/>
  <c r="L60" i="309"/>
  <c r="J47" i="307"/>
  <c r="J38" i="307"/>
  <c r="J29" i="307"/>
  <c r="J55" i="307" s="1"/>
  <c r="J22" i="307" s="1"/>
  <c r="J17" i="306" s="1"/>
  <c r="J27" i="305"/>
  <c r="J25" i="305"/>
  <c r="J26" i="305"/>
  <c r="K194" i="306"/>
  <c r="J50" i="302"/>
  <c r="J128" i="303" s="1"/>
  <c r="H82" i="310"/>
  <c r="H66" i="310"/>
  <c r="I200" i="310"/>
  <c r="F43" i="310"/>
  <c r="G35" i="310"/>
  <c r="G23" i="310"/>
  <c r="J26" i="302"/>
  <c r="J160" i="303" s="1"/>
  <c r="J167" i="303" s="1"/>
  <c r="H83" i="303"/>
  <c r="H200" i="306"/>
  <c r="H194" i="306"/>
  <c r="I182" i="306"/>
  <c r="I186" i="306" s="1"/>
  <c r="I127" i="306"/>
  <c r="I71" i="306"/>
  <c r="I75" i="306" s="1"/>
  <c r="I70" i="306"/>
  <c r="I74" i="306" s="1"/>
  <c r="I126" i="306"/>
  <c r="I181" i="306"/>
  <c r="I185" i="306" s="1"/>
  <c r="H189" i="306"/>
  <c r="H202" i="306"/>
  <c r="G78" i="306"/>
  <c r="G85" i="306" s="1"/>
  <c r="G82" i="306"/>
  <c r="I183" i="306"/>
  <c r="I187" i="306" s="1"/>
  <c r="I72" i="306"/>
  <c r="I128" i="306"/>
  <c r="H76" i="306"/>
  <c r="H83" i="306"/>
  <c r="E15" i="269"/>
  <c r="E27" i="269" s="1"/>
  <c r="D175" i="303"/>
  <c r="D177" i="303" s="1"/>
  <c r="D204" i="303" s="1"/>
  <c r="D200" i="303"/>
  <c r="L10" i="305"/>
  <c r="D31" i="303"/>
  <c r="F33" i="303"/>
  <c r="E53" i="268"/>
  <c r="E192" i="269" s="1"/>
  <c r="E201" i="303"/>
  <c r="K13" i="304"/>
  <c r="K21" i="304"/>
  <c r="K27" i="304"/>
  <c r="E33" i="303"/>
  <c r="E52" i="268"/>
  <c r="E191" i="269" s="1"/>
  <c r="E16" i="269"/>
  <c r="E28" i="269" s="1"/>
  <c r="J50" i="305"/>
  <c r="J49" i="305"/>
  <c r="J48" i="305"/>
  <c r="K60" i="304"/>
  <c r="K14" i="302"/>
  <c r="K16" i="302" s="1"/>
  <c r="K17" i="302" s="1"/>
  <c r="K18" i="302" s="1"/>
  <c r="K20" i="302" s="1"/>
  <c r="K26" i="302" s="1"/>
  <c r="J32" i="302"/>
  <c r="J172" i="303" s="1"/>
  <c r="J159" i="303"/>
  <c r="J166" i="303" s="1"/>
  <c r="J112" i="303"/>
  <c r="J55" i="303"/>
  <c r="L14" i="304"/>
  <c r="J126" i="303"/>
  <c r="J70" i="303"/>
  <c r="J74" i="303" s="1"/>
  <c r="J181" i="303"/>
  <c r="J185" i="303" s="1"/>
  <c r="H82" i="303"/>
  <c r="H66" i="303"/>
  <c r="H172" i="278"/>
  <c r="H52" i="277"/>
  <c r="H191" i="278" s="1"/>
  <c r="H173" i="272"/>
  <c r="H53" i="271"/>
  <c r="H192" i="272" s="1"/>
  <c r="H172" i="272"/>
  <c r="H52" i="271"/>
  <c r="H191" i="272" s="1"/>
  <c r="H173" i="278"/>
  <c r="H53" i="277"/>
  <c r="H192" i="278" s="1"/>
  <c r="H55" i="273"/>
  <c r="H22" i="273" s="1"/>
  <c r="H17" i="272" s="1"/>
  <c r="N56" i="267"/>
  <c r="N58" i="267" s="1"/>
  <c r="U42" i="260"/>
  <c r="E32" i="278"/>
  <c r="M58" i="267"/>
  <c r="K21" i="279"/>
  <c r="L1" i="279"/>
  <c r="N51" i="267"/>
  <c r="L3" i="272"/>
  <c r="L1" i="270"/>
  <c r="L3" i="278"/>
  <c r="O2" i="267"/>
  <c r="L1" i="273"/>
  <c r="K37" i="268"/>
  <c r="K40" i="268" s="1"/>
  <c r="K42" i="268" s="1"/>
  <c r="M53" i="267"/>
  <c r="K21" i="273"/>
  <c r="K13" i="273"/>
  <c r="K27" i="273"/>
  <c r="I63" i="273"/>
  <c r="I66" i="273" s="1"/>
  <c r="I67" i="273" s="1"/>
  <c r="I72" i="273" s="1"/>
  <c r="H55" i="279"/>
  <c r="H22" i="279" s="1"/>
  <c r="H17" i="278" s="1"/>
  <c r="I47" i="273"/>
  <c r="I38" i="273"/>
  <c r="I47" i="279"/>
  <c r="I29" i="279"/>
  <c r="L10" i="271"/>
  <c r="L15" i="273" s="1"/>
  <c r="J29" i="279"/>
  <c r="J60" i="279"/>
  <c r="J63" i="279" s="1"/>
  <c r="J66" i="279" s="1"/>
  <c r="J67" i="279" s="1"/>
  <c r="J72" i="279" s="1"/>
  <c r="I63" i="279"/>
  <c r="I66" i="279" s="1"/>
  <c r="I67" i="279" s="1"/>
  <c r="I72" i="279" s="1"/>
  <c r="J38" i="273"/>
  <c r="J60" i="273"/>
  <c r="J63" i="273" s="1"/>
  <c r="J66" i="273" s="1"/>
  <c r="J67" i="273" s="1"/>
  <c r="J72" i="273" s="1"/>
  <c r="I181" i="278"/>
  <c r="I185" i="278" s="1"/>
  <c r="I126" i="278"/>
  <c r="I70" i="278"/>
  <c r="I74" i="278" s="1"/>
  <c r="I182" i="278"/>
  <c r="I186" i="278" s="1"/>
  <c r="I127" i="278"/>
  <c r="I71" i="278"/>
  <c r="I75" i="278" s="1"/>
  <c r="I32" i="277"/>
  <c r="I172" i="278" s="1"/>
  <c r="I55" i="278"/>
  <c r="I159" i="278"/>
  <c r="I112" i="278"/>
  <c r="I161" i="278"/>
  <c r="I114" i="278"/>
  <c r="I57" i="278"/>
  <c r="I183" i="278"/>
  <c r="I128" i="278"/>
  <c r="I72" i="278"/>
  <c r="I33" i="277"/>
  <c r="I173" i="278" s="1"/>
  <c r="I56" i="278"/>
  <c r="I160" i="278"/>
  <c r="I113" i="278"/>
  <c r="J50" i="277"/>
  <c r="J48" i="277"/>
  <c r="J49" i="277"/>
  <c r="J27" i="277"/>
  <c r="J26" i="277"/>
  <c r="J25" i="277"/>
  <c r="N52" i="277"/>
  <c r="N191" i="278" s="1"/>
  <c r="N53" i="277"/>
  <c r="N192" i="278" s="1"/>
  <c r="J50" i="271"/>
  <c r="J49" i="271"/>
  <c r="J48" i="271"/>
  <c r="J26" i="271"/>
  <c r="J27" i="271"/>
  <c r="J25" i="271"/>
  <c r="I71" i="272"/>
  <c r="I127" i="272"/>
  <c r="I182" i="272"/>
  <c r="I160" i="272"/>
  <c r="I56" i="272"/>
  <c r="I113" i="272"/>
  <c r="I33" i="271"/>
  <c r="I173" i="272" s="1"/>
  <c r="I72" i="272"/>
  <c r="I128" i="272"/>
  <c r="I183" i="272"/>
  <c r="I161" i="272"/>
  <c r="I57" i="272"/>
  <c r="I114" i="272"/>
  <c r="I70" i="272"/>
  <c r="I126" i="272"/>
  <c r="I181" i="272"/>
  <c r="I32" i="271"/>
  <c r="I172" i="272" s="1"/>
  <c r="I159" i="272"/>
  <c r="I55" i="272"/>
  <c r="I112" i="272"/>
  <c r="M52" i="271"/>
  <c r="M191" i="272" s="1"/>
  <c r="M53" i="271"/>
  <c r="M192" i="272" s="1"/>
  <c r="E200" i="278"/>
  <c r="K14" i="279"/>
  <c r="K14" i="273"/>
  <c r="F185" i="278"/>
  <c r="G76" i="272"/>
  <c r="F56" i="269"/>
  <c r="F63" i="269" s="1"/>
  <c r="F66" i="269" s="1"/>
  <c r="G186" i="272"/>
  <c r="G189" i="272" s="1"/>
  <c r="G75" i="272"/>
  <c r="F170" i="278"/>
  <c r="D201" i="272"/>
  <c r="F76" i="272"/>
  <c r="E201" i="278"/>
  <c r="F201" i="278"/>
  <c r="F159" i="269"/>
  <c r="F166" i="269" s="1"/>
  <c r="F170" i="269" s="1"/>
  <c r="F112" i="269"/>
  <c r="F32" i="268"/>
  <c r="F186" i="278"/>
  <c r="D78" i="278"/>
  <c r="E201" i="272"/>
  <c r="F75" i="278"/>
  <c r="H62" i="278"/>
  <c r="D189" i="278"/>
  <c r="L52" i="268"/>
  <c r="L191" i="269" s="1"/>
  <c r="L53" i="268"/>
  <c r="L192" i="269" s="1"/>
  <c r="F33" i="268"/>
  <c r="D62" i="278"/>
  <c r="D83" i="278"/>
  <c r="F113" i="269"/>
  <c r="H63" i="272"/>
  <c r="D170" i="278"/>
  <c r="D202" i="278"/>
  <c r="L6" i="271"/>
  <c r="D35" i="278"/>
  <c r="D43" i="278" s="1"/>
  <c r="J40" i="279"/>
  <c r="J31" i="279"/>
  <c r="F200" i="278"/>
  <c r="G166" i="278"/>
  <c r="G62" i="278"/>
  <c r="E32" i="272"/>
  <c r="H168" i="272"/>
  <c r="H64" i="272"/>
  <c r="G167" i="272"/>
  <c r="G201" i="272"/>
  <c r="G63" i="272"/>
  <c r="I40" i="273"/>
  <c r="I31" i="273"/>
  <c r="E23" i="272"/>
  <c r="G168" i="278"/>
  <c r="G64" i="278"/>
  <c r="G166" i="272"/>
  <c r="G62" i="272"/>
  <c r="H167" i="278"/>
  <c r="H63" i="278"/>
  <c r="G167" i="278"/>
  <c r="G63" i="278"/>
  <c r="G201" i="278"/>
  <c r="F201" i="272"/>
  <c r="G168" i="272"/>
  <c r="G64" i="272"/>
  <c r="J31" i="273"/>
  <c r="J40" i="273"/>
  <c r="H168" i="278"/>
  <c r="H64" i="278"/>
  <c r="I40" i="279"/>
  <c r="I31" i="279"/>
  <c r="G74" i="278"/>
  <c r="H76" i="272"/>
  <c r="H187" i="272"/>
  <c r="G74" i="272"/>
  <c r="G189" i="278"/>
  <c r="D23" i="269"/>
  <c r="E78" i="278"/>
  <c r="E85" i="278" s="1"/>
  <c r="E82" i="278"/>
  <c r="F74" i="278"/>
  <c r="O2" i="277"/>
  <c r="F74" i="272"/>
  <c r="F202" i="272"/>
  <c r="F189" i="272"/>
  <c r="M3" i="269"/>
  <c r="D200" i="269"/>
  <c r="D201" i="269"/>
  <c r="E170" i="269"/>
  <c r="N2" i="271"/>
  <c r="E189" i="272"/>
  <c r="E202" i="272"/>
  <c r="D78" i="272"/>
  <c r="D85" i="272" s="1"/>
  <c r="D82" i="272"/>
  <c r="E74" i="272"/>
  <c r="E83" i="272"/>
  <c r="I66" i="270"/>
  <c r="I67" i="270" s="1"/>
  <c r="I72" i="270" s="1"/>
  <c r="J47" i="270"/>
  <c r="J38" i="270"/>
  <c r="J29" i="270"/>
  <c r="K14" i="270"/>
  <c r="E66" i="269"/>
  <c r="E172" i="269"/>
  <c r="H26" i="268"/>
  <c r="H27" i="268"/>
  <c r="H25" i="268"/>
  <c r="J60" i="270"/>
  <c r="J63" i="270" s="1"/>
  <c r="J40" i="270"/>
  <c r="J31" i="270"/>
  <c r="G25" i="268"/>
  <c r="G27" i="268"/>
  <c r="G26" i="268"/>
  <c r="I55" i="270"/>
  <c r="I22" i="270" s="1"/>
  <c r="I17" i="268"/>
  <c r="I18" i="268" s="1"/>
  <c r="I20" i="268" s="1"/>
  <c r="E173" i="269"/>
  <c r="M2" i="268"/>
  <c r="J2" i="264"/>
  <c r="J17" i="264" s="1"/>
  <c r="H170" i="310" l="1"/>
  <c r="I116" i="329"/>
  <c r="O7" i="267"/>
  <c r="O8" i="267"/>
  <c r="O10" i="267"/>
  <c r="O11" i="267"/>
  <c r="O9" i="267"/>
  <c r="O12" i="267"/>
  <c r="M6" i="277" s="1"/>
  <c r="M6" i="305"/>
  <c r="M14" i="307" s="1"/>
  <c r="L11" i="324"/>
  <c r="L18" i="325" s="1"/>
  <c r="L32" i="325" s="1"/>
  <c r="N67" i="267"/>
  <c r="L38" i="327" s="1"/>
  <c r="L80" i="328" s="1"/>
  <c r="M100" i="269"/>
  <c r="M101" i="269"/>
  <c r="M103" i="269"/>
  <c r="M102" i="269"/>
  <c r="M91" i="269"/>
  <c r="M98" i="269"/>
  <c r="M95" i="269"/>
  <c r="M92" i="269"/>
  <c r="M97" i="269"/>
  <c r="M90" i="269"/>
  <c r="M93" i="269"/>
  <c r="M96" i="269"/>
  <c r="I20" i="310"/>
  <c r="I23" i="310" s="1"/>
  <c r="I43" i="310" s="1"/>
  <c r="J110" i="322"/>
  <c r="O40" i="267"/>
  <c r="O29" i="267"/>
  <c r="O31" i="267" s="1"/>
  <c r="O44" i="267"/>
  <c r="O46" i="267" s="1"/>
  <c r="O45" i="267"/>
  <c r="O30" i="267"/>
  <c r="O57" i="267" s="1"/>
  <c r="O39" i="267"/>
  <c r="O41" i="267" s="1"/>
  <c r="L10" i="327"/>
  <c r="K32" i="319"/>
  <c r="K41" i="319"/>
  <c r="L10" i="324"/>
  <c r="L16" i="325" s="1"/>
  <c r="K41" i="316"/>
  <c r="K32" i="316"/>
  <c r="L11" i="268"/>
  <c r="L17" i="270" s="1"/>
  <c r="L11" i="308"/>
  <c r="L17" i="309" s="1"/>
  <c r="L11" i="302"/>
  <c r="L17" i="304" s="1"/>
  <c r="L11" i="277"/>
  <c r="L17" i="279" s="1"/>
  <c r="L11" i="315"/>
  <c r="L18" i="316" s="1"/>
  <c r="L11" i="318"/>
  <c r="L18" i="319" s="1"/>
  <c r="L11" i="312"/>
  <c r="L18" i="314" s="1"/>
  <c r="K40" i="309"/>
  <c r="K31" i="309"/>
  <c r="K63" i="307"/>
  <c r="K66" i="307" s="1"/>
  <c r="K67" i="307" s="1"/>
  <c r="K72" i="307" s="1"/>
  <c r="L10" i="321"/>
  <c r="L16" i="322" s="1"/>
  <c r="H194" i="313"/>
  <c r="H140" i="313"/>
  <c r="H130" i="313"/>
  <c r="H175" i="326"/>
  <c r="H177" i="326" s="1"/>
  <c r="H175" i="323"/>
  <c r="H177" i="323" s="1"/>
  <c r="H133" i="313"/>
  <c r="H131" i="313"/>
  <c r="I119" i="329"/>
  <c r="I129" i="314"/>
  <c r="I130" i="314" s="1"/>
  <c r="I135" i="314" s="1"/>
  <c r="I87" i="314" s="1"/>
  <c r="I28" i="313" s="1"/>
  <c r="I32" i="313" s="1"/>
  <c r="I118" i="329"/>
  <c r="J92" i="319"/>
  <c r="I72" i="326"/>
  <c r="I76" i="326" s="1"/>
  <c r="I86" i="319"/>
  <c r="I27" i="320" s="1"/>
  <c r="I31" i="320" s="1"/>
  <c r="I181" i="326"/>
  <c r="I185" i="326" s="1"/>
  <c r="J101" i="316"/>
  <c r="J92" i="325"/>
  <c r="I183" i="326"/>
  <c r="I187" i="326" s="1"/>
  <c r="H142" i="313"/>
  <c r="H141" i="313"/>
  <c r="L77" i="316"/>
  <c r="L15" i="316"/>
  <c r="J110" i="325"/>
  <c r="J101" i="322"/>
  <c r="J118" i="322" s="1"/>
  <c r="J85" i="322" s="1"/>
  <c r="L77" i="328"/>
  <c r="L15" i="328"/>
  <c r="L77" i="325"/>
  <c r="L15" i="325"/>
  <c r="M6" i="324"/>
  <c r="M6" i="312"/>
  <c r="M6" i="308"/>
  <c r="M14" i="309" s="1"/>
  <c r="M6" i="327"/>
  <c r="M6" i="315"/>
  <c r="M6" i="318"/>
  <c r="M6" i="302"/>
  <c r="M14" i="304" s="1"/>
  <c r="M6" i="321"/>
  <c r="M6" i="268"/>
  <c r="I126" i="326"/>
  <c r="I132" i="326" s="1"/>
  <c r="G196" i="323"/>
  <c r="G204" i="323" s="1"/>
  <c r="J110" i="316"/>
  <c r="H189" i="313"/>
  <c r="L77" i="319"/>
  <c r="L15" i="319"/>
  <c r="L77" i="322"/>
  <c r="L15" i="322"/>
  <c r="L77" i="314"/>
  <c r="L15" i="314"/>
  <c r="H143" i="313"/>
  <c r="H132" i="313"/>
  <c r="L103" i="326"/>
  <c r="L100" i="326"/>
  <c r="L102" i="326"/>
  <c r="L101" i="326"/>
  <c r="L93" i="326"/>
  <c r="L97" i="326"/>
  <c r="L95" i="326"/>
  <c r="L90" i="326"/>
  <c r="L91" i="326"/>
  <c r="L98" i="326"/>
  <c r="L96" i="326"/>
  <c r="L92" i="326"/>
  <c r="L101" i="272"/>
  <c r="L102" i="272"/>
  <c r="L103" i="272"/>
  <c r="L100" i="272"/>
  <c r="L97" i="272"/>
  <c r="L95" i="272"/>
  <c r="L93" i="272"/>
  <c r="L91" i="272"/>
  <c r="L98" i="272"/>
  <c r="L92" i="272"/>
  <c r="L96" i="272"/>
  <c r="L90" i="272"/>
  <c r="L103" i="320"/>
  <c r="L100" i="320"/>
  <c r="L101" i="320"/>
  <c r="L102" i="320"/>
  <c r="L97" i="320"/>
  <c r="L95" i="320"/>
  <c r="L90" i="320"/>
  <c r="L91" i="320"/>
  <c r="L98" i="320"/>
  <c r="L96" i="320"/>
  <c r="L92" i="320"/>
  <c r="L93" i="320"/>
  <c r="L103" i="329"/>
  <c r="L100" i="329"/>
  <c r="L102" i="329"/>
  <c r="L101" i="329"/>
  <c r="L98" i="329"/>
  <c r="L96" i="329"/>
  <c r="L92" i="329"/>
  <c r="L97" i="329"/>
  <c r="L93" i="329"/>
  <c r="L90" i="329"/>
  <c r="L91" i="329"/>
  <c r="L95" i="329"/>
  <c r="L102" i="313"/>
  <c r="L103" i="313"/>
  <c r="L101" i="313"/>
  <c r="L100" i="313"/>
  <c r="L97" i="313"/>
  <c r="L95" i="313"/>
  <c r="L90" i="313"/>
  <c r="L91" i="313"/>
  <c r="L96" i="313"/>
  <c r="L93" i="313"/>
  <c r="L98" i="313"/>
  <c r="L92" i="313"/>
  <c r="L103" i="317"/>
  <c r="L100" i="317"/>
  <c r="L101" i="317"/>
  <c r="L102" i="317"/>
  <c r="L93" i="317"/>
  <c r="L97" i="317"/>
  <c r="L95" i="317"/>
  <c r="L96" i="317"/>
  <c r="L98" i="317"/>
  <c r="L92" i="317"/>
  <c r="L91" i="317"/>
  <c r="L90" i="317"/>
  <c r="L103" i="323"/>
  <c r="L100" i="323"/>
  <c r="L101" i="323"/>
  <c r="L102" i="323"/>
  <c r="L93" i="323"/>
  <c r="L97" i="323"/>
  <c r="L95" i="323"/>
  <c r="L90" i="323"/>
  <c r="L98" i="323"/>
  <c r="L92" i="323"/>
  <c r="L91" i="323"/>
  <c r="L96" i="323"/>
  <c r="L101" i="278"/>
  <c r="L103" i="278"/>
  <c r="L100" i="278"/>
  <c r="L102" i="278"/>
  <c r="L98" i="278"/>
  <c r="L96" i="278"/>
  <c r="L92" i="278"/>
  <c r="L93" i="278"/>
  <c r="L97" i="278"/>
  <c r="L95" i="278"/>
  <c r="L90" i="278"/>
  <c r="L91" i="278"/>
  <c r="H200" i="326"/>
  <c r="H194" i="310"/>
  <c r="H196" i="310" s="1"/>
  <c r="J49" i="327"/>
  <c r="J182" i="329" s="1"/>
  <c r="J186" i="329" s="1"/>
  <c r="H83" i="313"/>
  <c r="H194" i="323"/>
  <c r="H196" i="323" s="1"/>
  <c r="H200" i="317"/>
  <c r="I86" i="325"/>
  <c r="I27" i="326" s="1"/>
  <c r="I31" i="326" s="1"/>
  <c r="H143" i="317"/>
  <c r="H142" i="320"/>
  <c r="J101" i="328"/>
  <c r="J118" i="328" s="1"/>
  <c r="J85" i="328" s="1"/>
  <c r="J29" i="329" s="1"/>
  <c r="J33" i="329" s="1"/>
  <c r="H189" i="320"/>
  <c r="H196" i="320" s="1"/>
  <c r="K25" i="327"/>
  <c r="K32" i="327" s="1"/>
  <c r="K172" i="329" s="1"/>
  <c r="K27" i="327"/>
  <c r="K161" i="329" s="1"/>
  <c r="K168" i="329" s="1"/>
  <c r="H194" i="317"/>
  <c r="I119" i="310"/>
  <c r="H201" i="323"/>
  <c r="I140" i="313"/>
  <c r="I141" i="310"/>
  <c r="H141" i="317"/>
  <c r="H201" i="317"/>
  <c r="I143" i="272"/>
  <c r="I140" i="272"/>
  <c r="I141" i="272"/>
  <c r="I117" i="272"/>
  <c r="I142" i="272"/>
  <c r="I118" i="272"/>
  <c r="I119" i="272"/>
  <c r="I116" i="272"/>
  <c r="I141" i="278"/>
  <c r="I117" i="278"/>
  <c r="I142" i="278"/>
  <c r="I118" i="278"/>
  <c r="I143" i="278"/>
  <c r="I119" i="278"/>
  <c r="I116" i="278"/>
  <c r="I140" i="278"/>
  <c r="I131" i="278"/>
  <c r="I132" i="278"/>
  <c r="I133" i="278"/>
  <c r="I130" i="278"/>
  <c r="I133" i="306"/>
  <c r="I130" i="306"/>
  <c r="I131" i="306"/>
  <c r="I132" i="306"/>
  <c r="J118" i="329"/>
  <c r="J119" i="329"/>
  <c r="J116" i="329"/>
  <c r="J117" i="329"/>
  <c r="I142" i="313"/>
  <c r="I133" i="272"/>
  <c r="I132" i="272"/>
  <c r="I131" i="272"/>
  <c r="I130" i="272"/>
  <c r="I142" i="303"/>
  <c r="I118" i="303"/>
  <c r="I116" i="303"/>
  <c r="I143" i="303"/>
  <c r="I119" i="303"/>
  <c r="I140" i="303"/>
  <c r="I117" i="303"/>
  <c r="I141" i="303"/>
  <c r="H202" i="313"/>
  <c r="H200" i="323"/>
  <c r="I117" i="326"/>
  <c r="I118" i="326"/>
  <c r="I119" i="326"/>
  <c r="I116" i="326"/>
  <c r="H143" i="320"/>
  <c r="I118" i="310"/>
  <c r="I143" i="310"/>
  <c r="H194" i="326"/>
  <c r="H196" i="326" s="1"/>
  <c r="H201" i="326"/>
  <c r="I119" i="313"/>
  <c r="I117" i="313"/>
  <c r="I142" i="306"/>
  <c r="I143" i="306"/>
  <c r="I141" i="306"/>
  <c r="I116" i="306"/>
  <c r="I117" i="306"/>
  <c r="I140" i="306"/>
  <c r="I118" i="306"/>
  <c r="I119" i="306"/>
  <c r="I130" i="313"/>
  <c r="I131" i="313"/>
  <c r="I132" i="313"/>
  <c r="I133" i="313"/>
  <c r="I130" i="323"/>
  <c r="I131" i="323"/>
  <c r="I132" i="323"/>
  <c r="I133" i="323"/>
  <c r="I142" i="320"/>
  <c r="I143" i="320"/>
  <c r="I140" i="320"/>
  <c r="I141" i="320"/>
  <c r="I116" i="320"/>
  <c r="I117" i="320"/>
  <c r="I119" i="320"/>
  <c r="I118" i="320"/>
  <c r="H175" i="317"/>
  <c r="H177" i="317" s="1"/>
  <c r="I140" i="323"/>
  <c r="I116" i="323"/>
  <c r="I141" i="323"/>
  <c r="I117" i="323"/>
  <c r="I142" i="323"/>
  <c r="I118" i="323"/>
  <c r="I143" i="323"/>
  <c r="I119" i="323"/>
  <c r="H130" i="317"/>
  <c r="H131" i="317"/>
  <c r="H132" i="317"/>
  <c r="H133" i="317"/>
  <c r="I117" i="310"/>
  <c r="I142" i="310"/>
  <c r="I143" i="313"/>
  <c r="I141" i="313"/>
  <c r="I117" i="317"/>
  <c r="I118" i="317"/>
  <c r="I119" i="317"/>
  <c r="I116" i="317"/>
  <c r="H131" i="320"/>
  <c r="H133" i="320"/>
  <c r="H130" i="320"/>
  <c r="H132" i="320"/>
  <c r="F119" i="269"/>
  <c r="F116" i="269"/>
  <c r="F117" i="269"/>
  <c r="F118" i="269"/>
  <c r="I132" i="320"/>
  <c r="I130" i="320"/>
  <c r="I131" i="320"/>
  <c r="I133" i="320"/>
  <c r="I132" i="303"/>
  <c r="I133" i="303"/>
  <c r="I130" i="303"/>
  <c r="I131" i="303"/>
  <c r="J117" i="313"/>
  <c r="J118" i="313"/>
  <c r="J119" i="313"/>
  <c r="J116" i="313"/>
  <c r="I131" i="310"/>
  <c r="I133" i="310"/>
  <c r="I130" i="310"/>
  <c r="I132" i="310"/>
  <c r="H140" i="320"/>
  <c r="H141" i="320"/>
  <c r="I140" i="310"/>
  <c r="I118" i="313"/>
  <c r="H142" i="317"/>
  <c r="H140" i="317"/>
  <c r="I127" i="317"/>
  <c r="J92" i="328"/>
  <c r="I71" i="317"/>
  <c r="I75" i="317" s="1"/>
  <c r="L107" i="272"/>
  <c r="L105" i="272"/>
  <c r="L108" i="272"/>
  <c r="L106" i="272"/>
  <c r="L108" i="320"/>
  <c r="L107" i="320"/>
  <c r="L106" i="320"/>
  <c r="L105" i="320"/>
  <c r="L108" i="329"/>
  <c r="L106" i="329"/>
  <c r="L105" i="329"/>
  <c r="L107" i="329"/>
  <c r="L108" i="278"/>
  <c r="L107" i="278"/>
  <c r="L105" i="278"/>
  <c r="L106" i="278"/>
  <c r="L108" i="313"/>
  <c r="L107" i="313"/>
  <c r="L106" i="313"/>
  <c r="L105" i="313"/>
  <c r="L108" i="317"/>
  <c r="L107" i="317"/>
  <c r="L106" i="317"/>
  <c r="L105" i="317"/>
  <c r="L108" i="323"/>
  <c r="L107" i="323"/>
  <c r="L106" i="323"/>
  <c r="L105" i="323"/>
  <c r="H83" i="320"/>
  <c r="L107" i="326"/>
  <c r="L106" i="326"/>
  <c r="L108" i="326"/>
  <c r="L105" i="326"/>
  <c r="M108" i="269"/>
  <c r="M106" i="269"/>
  <c r="M107" i="269"/>
  <c r="M105" i="269"/>
  <c r="J48" i="312"/>
  <c r="J52" i="312" s="1"/>
  <c r="J191" i="313" s="1"/>
  <c r="J200" i="313" s="1"/>
  <c r="J50" i="327"/>
  <c r="J128" i="329" s="1"/>
  <c r="G204" i="310"/>
  <c r="H74" i="320"/>
  <c r="H78" i="320" s="1"/>
  <c r="H85" i="320" s="1"/>
  <c r="H41" i="323"/>
  <c r="K78" i="314"/>
  <c r="K79" i="314"/>
  <c r="K78" i="325"/>
  <c r="K110" i="325" s="1"/>
  <c r="K79" i="325"/>
  <c r="K60" i="314"/>
  <c r="K78" i="319"/>
  <c r="K101" i="319" s="1"/>
  <c r="K79" i="319"/>
  <c r="J49" i="312"/>
  <c r="J71" i="313" s="1"/>
  <c r="J75" i="313" s="1"/>
  <c r="K78" i="316"/>
  <c r="K92" i="316" s="1"/>
  <c r="K79" i="316"/>
  <c r="L14" i="327"/>
  <c r="L16" i="327" s="1"/>
  <c r="L17" i="327" s="1"/>
  <c r="L18" i="327" s="1"/>
  <c r="L20" i="327" s="1"/>
  <c r="L27" i="327" s="1"/>
  <c r="L17" i="328"/>
  <c r="L16" i="328"/>
  <c r="K78" i="328"/>
  <c r="K92" i="328" s="1"/>
  <c r="K79" i="328"/>
  <c r="H35" i="323"/>
  <c r="J101" i="319"/>
  <c r="J118" i="319" s="1"/>
  <c r="J85" i="319" s="1"/>
  <c r="K78" i="322"/>
  <c r="K110" i="322" s="1"/>
  <c r="K79" i="322"/>
  <c r="J126" i="314"/>
  <c r="J64" i="314"/>
  <c r="H202" i="317"/>
  <c r="H177" i="310"/>
  <c r="I170" i="313"/>
  <c r="I177" i="313" s="1"/>
  <c r="I127" i="329"/>
  <c r="I71" i="329"/>
  <c r="I75" i="329" s="1"/>
  <c r="I182" i="329"/>
  <c r="I186" i="329" s="1"/>
  <c r="G43" i="320"/>
  <c r="H189" i="317"/>
  <c r="I181" i="329"/>
  <c r="I185" i="329" s="1"/>
  <c r="I70" i="329"/>
  <c r="I74" i="329" s="1"/>
  <c r="I126" i="329"/>
  <c r="I194" i="329"/>
  <c r="I86" i="328"/>
  <c r="I27" i="329" s="1"/>
  <c r="I31" i="329" s="1"/>
  <c r="H35" i="317"/>
  <c r="I183" i="317"/>
  <c r="I187" i="317" s="1"/>
  <c r="I189" i="317" s="1"/>
  <c r="I196" i="317" s="1"/>
  <c r="I128" i="317"/>
  <c r="I201" i="320"/>
  <c r="J48" i="315"/>
  <c r="J70" i="317" s="1"/>
  <c r="G40" i="313"/>
  <c r="I29" i="326"/>
  <c r="I33" i="326" s="1"/>
  <c r="H85" i="310"/>
  <c r="I86" i="316"/>
  <c r="I27" i="317" s="1"/>
  <c r="I31" i="317" s="1"/>
  <c r="H41" i="329"/>
  <c r="K40" i="327"/>
  <c r="K42" i="327" s="1"/>
  <c r="K43" i="327" s="1"/>
  <c r="K44" i="327" s="1"/>
  <c r="K46" i="327" s="1"/>
  <c r="K49" i="327" s="1"/>
  <c r="H39" i="320"/>
  <c r="H40" i="317"/>
  <c r="L17" i="316"/>
  <c r="L16" i="316"/>
  <c r="I24" i="314"/>
  <c r="I15" i="313" s="1"/>
  <c r="I19" i="313" s="1"/>
  <c r="I17" i="313"/>
  <c r="I21" i="313" s="1"/>
  <c r="L17" i="314"/>
  <c r="L122" i="314" s="1"/>
  <c r="L16" i="314"/>
  <c r="G35" i="313"/>
  <c r="G43" i="313" s="1"/>
  <c r="L15" i="279"/>
  <c r="L16" i="309"/>
  <c r="L59" i="309" s="1"/>
  <c r="L63" i="309" s="1"/>
  <c r="L66" i="309" s="1"/>
  <c r="L67" i="309" s="1"/>
  <c r="L72" i="309" s="1"/>
  <c r="L15" i="309"/>
  <c r="L29" i="309" s="1"/>
  <c r="L16" i="307"/>
  <c r="L59" i="307" s="1"/>
  <c r="L15" i="307"/>
  <c r="L16" i="304"/>
  <c r="L59" i="304" s="1"/>
  <c r="L15" i="304"/>
  <c r="L38" i="304" s="1"/>
  <c r="L150" i="326"/>
  <c r="L151" i="326"/>
  <c r="H41" i="326"/>
  <c r="L150" i="323"/>
  <c r="L151" i="323"/>
  <c r="L151" i="320"/>
  <c r="L150" i="320"/>
  <c r="L150" i="317"/>
  <c r="L151" i="317"/>
  <c r="G39" i="313"/>
  <c r="L150" i="313"/>
  <c r="L151" i="313"/>
  <c r="L150" i="278"/>
  <c r="L151" i="278"/>
  <c r="L150" i="272"/>
  <c r="L151" i="272"/>
  <c r="M27" i="269"/>
  <c r="M29" i="269"/>
  <c r="M33" i="269" s="1"/>
  <c r="M150" i="269"/>
  <c r="M28" i="269"/>
  <c r="M32" i="269" s="1"/>
  <c r="M151" i="269"/>
  <c r="I41" i="320"/>
  <c r="I41" i="317"/>
  <c r="J49" i="321"/>
  <c r="J182" i="323" s="1"/>
  <c r="J186" i="323" s="1"/>
  <c r="K40" i="315"/>
  <c r="K42" i="315" s="1"/>
  <c r="K43" i="315" s="1"/>
  <c r="K44" i="315" s="1"/>
  <c r="K46" i="315" s="1"/>
  <c r="K48" i="315" s="1"/>
  <c r="J50" i="321"/>
  <c r="J183" i="323" s="1"/>
  <c r="J187" i="323" s="1"/>
  <c r="K40" i="324"/>
  <c r="K42" i="324" s="1"/>
  <c r="K43" i="324" s="1"/>
  <c r="K44" i="324" s="1"/>
  <c r="K46" i="324" s="1"/>
  <c r="K48" i="324" s="1"/>
  <c r="J118" i="325"/>
  <c r="J85" i="325" s="1"/>
  <c r="J29" i="326" s="1"/>
  <c r="J33" i="326" s="1"/>
  <c r="K30" i="322"/>
  <c r="K39" i="322"/>
  <c r="K56" i="322" s="1"/>
  <c r="K23" i="322" s="1"/>
  <c r="K17" i="323" s="1"/>
  <c r="K21" i="323" s="1"/>
  <c r="K48" i="322"/>
  <c r="L22" i="328"/>
  <c r="L90" i="328"/>
  <c r="L84" i="328"/>
  <c r="L76" i="328"/>
  <c r="L28" i="328"/>
  <c r="H35" i="326"/>
  <c r="K94" i="316"/>
  <c r="K103" i="316"/>
  <c r="M11" i="327"/>
  <c r="M18" i="328" s="1"/>
  <c r="M11" i="321"/>
  <c r="M18" i="322" s="1"/>
  <c r="M11" i="324"/>
  <c r="L32" i="328"/>
  <c r="L41" i="328"/>
  <c r="O62" i="267"/>
  <c r="G28" i="272"/>
  <c r="G40" i="272" s="1"/>
  <c r="L90" i="322"/>
  <c r="L76" i="322"/>
  <c r="L84" i="322"/>
  <c r="L28" i="322"/>
  <c r="L22" i="322"/>
  <c r="L84" i="325"/>
  <c r="L22" i="325"/>
  <c r="L90" i="325"/>
  <c r="L76" i="325"/>
  <c r="L28" i="325"/>
  <c r="I129" i="325"/>
  <c r="I130" i="325" s="1"/>
  <c r="I135" i="325" s="1"/>
  <c r="I87" i="325" s="1"/>
  <c r="I28" i="326" s="1"/>
  <c r="I32" i="326" s="1"/>
  <c r="I67" i="325"/>
  <c r="I68" i="325" s="1"/>
  <c r="I73" i="325" s="1"/>
  <c r="I25" i="325" s="1"/>
  <c r="I16" i="326" s="1"/>
  <c r="I20" i="326" s="1"/>
  <c r="I24" i="325"/>
  <c r="I15" i="326" s="1"/>
  <c r="I19" i="326" s="1"/>
  <c r="L38" i="315"/>
  <c r="L80" i="316" s="1"/>
  <c r="L38" i="318"/>
  <c r="L80" i="319" s="1"/>
  <c r="L38" i="312"/>
  <c r="L80" i="314" s="1"/>
  <c r="L32" i="322"/>
  <c r="L41" i="322"/>
  <c r="L76" i="316"/>
  <c r="L90" i="316"/>
  <c r="L84" i="316"/>
  <c r="L28" i="316"/>
  <c r="L22" i="316"/>
  <c r="K40" i="318"/>
  <c r="K42" i="318" s="1"/>
  <c r="K43" i="318" s="1"/>
  <c r="K44" i="318" s="1"/>
  <c r="K46" i="318" s="1"/>
  <c r="K49" i="318" s="1"/>
  <c r="K122" i="319"/>
  <c r="K60" i="319"/>
  <c r="J64" i="319"/>
  <c r="J126" i="319"/>
  <c r="J64" i="322"/>
  <c r="J126" i="322"/>
  <c r="M10" i="324"/>
  <c r="M16" i="325" s="1"/>
  <c r="M10" i="327"/>
  <c r="M14" i="327" s="1"/>
  <c r="M10" i="321"/>
  <c r="M16" i="322" s="1"/>
  <c r="I129" i="319"/>
  <c r="I130" i="319" s="1"/>
  <c r="I135" i="319" s="1"/>
  <c r="I87" i="319" s="1"/>
  <c r="I28" i="320" s="1"/>
  <c r="I32" i="320" s="1"/>
  <c r="I67" i="319"/>
  <c r="I68" i="319" s="1"/>
  <c r="I73" i="319" s="1"/>
  <c r="I25" i="319" s="1"/>
  <c r="I16" i="320" s="1"/>
  <c r="I20" i="320" s="1"/>
  <c r="I24" i="319"/>
  <c r="I15" i="320" s="1"/>
  <c r="I19" i="320" s="1"/>
  <c r="H35" i="329"/>
  <c r="K94" i="319"/>
  <c r="K103" i="319"/>
  <c r="K103" i="322"/>
  <c r="K94" i="322"/>
  <c r="J118" i="316"/>
  <c r="J85" i="316" s="1"/>
  <c r="J48" i="328"/>
  <c r="J39" i="328"/>
  <c r="J56" i="328" s="1"/>
  <c r="J23" i="328" s="1"/>
  <c r="J17" i="329" s="1"/>
  <c r="J30" i="328"/>
  <c r="H40" i="320"/>
  <c r="K103" i="328"/>
  <c r="K94" i="328"/>
  <c r="J64" i="325"/>
  <c r="J126" i="325"/>
  <c r="I129" i="322"/>
  <c r="I130" i="322" s="1"/>
  <c r="I135" i="322" s="1"/>
  <c r="I87" i="322" s="1"/>
  <c r="I28" i="323" s="1"/>
  <c r="I32" i="323" s="1"/>
  <c r="I67" i="322"/>
  <c r="I68" i="322" s="1"/>
  <c r="I73" i="322" s="1"/>
  <c r="I25" i="322" s="1"/>
  <c r="I16" i="323" s="1"/>
  <c r="I20" i="323" s="1"/>
  <c r="I24" i="322"/>
  <c r="I15" i="323" s="1"/>
  <c r="I19" i="323" s="1"/>
  <c r="L84" i="319"/>
  <c r="L76" i="319"/>
  <c r="L28" i="319"/>
  <c r="L90" i="319"/>
  <c r="L22" i="319"/>
  <c r="J49" i="315"/>
  <c r="J71" i="317" s="1"/>
  <c r="J75" i="317" s="1"/>
  <c r="K30" i="316"/>
  <c r="K56" i="316" s="1"/>
  <c r="K23" i="316" s="1"/>
  <c r="K17" i="317" s="1"/>
  <c r="K21" i="317" s="1"/>
  <c r="K48" i="316"/>
  <c r="K39" i="316"/>
  <c r="K60" i="322"/>
  <c r="K122" i="322"/>
  <c r="K122" i="325"/>
  <c r="K60" i="325"/>
  <c r="J30" i="325"/>
  <c r="J39" i="325"/>
  <c r="J56" i="325" s="1"/>
  <c r="J23" i="325" s="1"/>
  <c r="J48" i="325"/>
  <c r="I29" i="323"/>
  <c r="I33" i="323" s="1"/>
  <c r="I86" i="322"/>
  <c r="I27" i="323" s="1"/>
  <c r="I31" i="323" s="1"/>
  <c r="L38" i="321"/>
  <c r="L80" i="322" s="1"/>
  <c r="K103" i="325"/>
  <c r="K94" i="325"/>
  <c r="I67" i="316"/>
  <c r="I68" i="316" s="1"/>
  <c r="I73" i="316" s="1"/>
  <c r="I25" i="316" s="1"/>
  <c r="I16" i="317" s="1"/>
  <c r="I20" i="317" s="1"/>
  <c r="I129" i="316"/>
  <c r="I130" i="316" s="1"/>
  <c r="I135" i="316" s="1"/>
  <c r="I87" i="316" s="1"/>
  <c r="I28" i="317" s="1"/>
  <c r="I32" i="317" s="1"/>
  <c r="I24" i="316"/>
  <c r="I15" i="317" s="1"/>
  <c r="J126" i="328"/>
  <c r="J64" i="328"/>
  <c r="K39" i="319"/>
  <c r="K56" i="319" s="1"/>
  <c r="K23" i="319" s="1"/>
  <c r="K17" i="320" s="1"/>
  <c r="K21" i="320" s="1"/>
  <c r="K48" i="319"/>
  <c r="K30" i="319"/>
  <c r="K122" i="328"/>
  <c r="K60" i="328"/>
  <c r="K122" i="316"/>
  <c r="K60" i="316"/>
  <c r="J126" i="316"/>
  <c r="J64" i="316"/>
  <c r="I129" i="328"/>
  <c r="I130" i="328" s="1"/>
  <c r="I135" i="328" s="1"/>
  <c r="I87" i="328" s="1"/>
  <c r="I28" i="329" s="1"/>
  <c r="I32" i="329" s="1"/>
  <c r="I67" i="328"/>
  <c r="I68" i="328" s="1"/>
  <c r="I73" i="328" s="1"/>
  <c r="I25" i="328" s="1"/>
  <c r="I16" i="329" s="1"/>
  <c r="I24" i="328"/>
  <c r="I15" i="329" s="1"/>
  <c r="N68" i="267"/>
  <c r="L37" i="327"/>
  <c r="L40" i="327" s="1"/>
  <c r="L42" i="327" s="1"/>
  <c r="L43" i="327" s="1"/>
  <c r="L44" i="327" s="1"/>
  <c r="L46" i="327" s="1"/>
  <c r="L37" i="324"/>
  <c r="L37" i="321"/>
  <c r="L40" i="321" s="1"/>
  <c r="L42" i="321" s="1"/>
  <c r="L43" i="321" s="1"/>
  <c r="L44" i="321" s="1"/>
  <c r="L46" i="321" s="1"/>
  <c r="H33" i="320"/>
  <c r="H35" i="320" s="1"/>
  <c r="H43" i="320" s="1"/>
  <c r="H41" i="320"/>
  <c r="H41" i="313"/>
  <c r="I201" i="313"/>
  <c r="I201" i="329"/>
  <c r="J175" i="329"/>
  <c r="J170" i="313"/>
  <c r="J53" i="318"/>
  <c r="J192" i="320" s="1"/>
  <c r="J194" i="320" s="1"/>
  <c r="I177" i="329"/>
  <c r="J114" i="310"/>
  <c r="J200" i="329"/>
  <c r="H39" i="313"/>
  <c r="J92" i="314"/>
  <c r="J118" i="314" s="1"/>
  <c r="J85" i="314" s="1"/>
  <c r="J110" i="314"/>
  <c r="J101" i="314"/>
  <c r="M10" i="312"/>
  <c r="M14" i="312" s="1"/>
  <c r="M16" i="312" s="1"/>
  <c r="M17" i="312" s="1"/>
  <c r="M18" i="312" s="1"/>
  <c r="M20" i="312" s="1"/>
  <c r="L37" i="318"/>
  <c r="L40" i="318" s="1"/>
  <c r="L42" i="318" s="1"/>
  <c r="L43" i="318" s="1"/>
  <c r="L44" i="318" s="1"/>
  <c r="L46" i="318" s="1"/>
  <c r="L37" i="315"/>
  <c r="L37" i="312"/>
  <c r="K94" i="314"/>
  <c r="K103" i="314"/>
  <c r="I29" i="313"/>
  <c r="I33" i="313" s="1"/>
  <c r="I86" i="314"/>
  <c r="I27" i="313" s="1"/>
  <c r="I31" i="313" s="1"/>
  <c r="N63" i="267"/>
  <c r="H35" i="313"/>
  <c r="L76" i="314"/>
  <c r="L84" i="314"/>
  <c r="L90" i="314"/>
  <c r="E40" i="313"/>
  <c r="H20" i="313"/>
  <c r="H23" i="313" s="1"/>
  <c r="H40" i="313"/>
  <c r="E35" i="313"/>
  <c r="E43" i="313" s="1"/>
  <c r="J23" i="314"/>
  <c r="F32" i="313"/>
  <c r="F35" i="313" s="1"/>
  <c r="F43" i="313" s="1"/>
  <c r="F40" i="313"/>
  <c r="I25" i="314"/>
  <c r="I16" i="313" s="1"/>
  <c r="D40" i="313"/>
  <c r="D43" i="313"/>
  <c r="I189" i="303"/>
  <c r="I196" i="303" s="1"/>
  <c r="I170" i="303"/>
  <c r="H177" i="320"/>
  <c r="F31" i="278"/>
  <c r="I202" i="310"/>
  <c r="I170" i="310"/>
  <c r="K25" i="308"/>
  <c r="K159" i="310" s="1"/>
  <c r="K166" i="310" s="1"/>
  <c r="H204" i="329"/>
  <c r="K26" i="308"/>
  <c r="K160" i="310" s="1"/>
  <c r="K167" i="310" s="1"/>
  <c r="E35" i="278"/>
  <c r="E43" i="278" s="1"/>
  <c r="J175" i="313"/>
  <c r="G204" i="326"/>
  <c r="E41" i="323"/>
  <c r="E101" i="260" s="1"/>
  <c r="G204" i="317"/>
  <c r="J112" i="310"/>
  <c r="J66" i="313"/>
  <c r="E35" i="272"/>
  <c r="E43" i="272" s="1"/>
  <c r="K47" i="309"/>
  <c r="G204" i="320"/>
  <c r="D41" i="323"/>
  <c r="D101" i="260" s="1"/>
  <c r="J170" i="329"/>
  <c r="I170" i="317"/>
  <c r="J57" i="323"/>
  <c r="J64" i="323" s="1"/>
  <c r="J161" i="323"/>
  <c r="J168" i="323" s="1"/>
  <c r="J114" i="323"/>
  <c r="J55" i="317"/>
  <c r="J62" i="317" s="1"/>
  <c r="J112" i="317"/>
  <c r="J159" i="317"/>
  <c r="J166" i="317" s="1"/>
  <c r="J32" i="315"/>
  <c r="J172" i="317" s="1"/>
  <c r="J55" i="326"/>
  <c r="J62" i="326" s="1"/>
  <c r="J112" i="326"/>
  <c r="J32" i="324"/>
  <c r="J172" i="326" s="1"/>
  <c r="J159" i="326"/>
  <c r="J166" i="326" s="1"/>
  <c r="I200" i="320"/>
  <c r="I175" i="320"/>
  <c r="F41" i="323"/>
  <c r="K25" i="315"/>
  <c r="K27" i="315"/>
  <c r="K26" i="315"/>
  <c r="L26" i="312"/>
  <c r="L27" i="312"/>
  <c r="L25" i="312"/>
  <c r="I66" i="317"/>
  <c r="D31" i="329"/>
  <c r="D19" i="329"/>
  <c r="J33" i="321"/>
  <c r="J173" i="323" s="1"/>
  <c r="J201" i="323" s="1"/>
  <c r="J160" i="323"/>
  <c r="J167" i="323" s="1"/>
  <c r="J113" i="323"/>
  <c r="J56" i="323"/>
  <c r="J63" i="323" s="1"/>
  <c r="E19" i="329"/>
  <c r="E31" i="329"/>
  <c r="G20" i="323"/>
  <c r="G32" i="323"/>
  <c r="F19" i="326"/>
  <c r="F31" i="326"/>
  <c r="J113" i="326"/>
  <c r="J160" i="326"/>
  <c r="J167" i="326" s="1"/>
  <c r="J33" i="324"/>
  <c r="J173" i="326" s="1"/>
  <c r="J201" i="326" s="1"/>
  <c r="J56" i="326"/>
  <c r="J63" i="326" s="1"/>
  <c r="I170" i="320"/>
  <c r="K161" i="313"/>
  <c r="K168" i="313" s="1"/>
  <c r="K57" i="313"/>
  <c r="K64" i="313" s="1"/>
  <c r="K114" i="313"/>
  <c r="L14" i="315"/>
  <c r="L16" i="315" s="1"/>
  <c r="L17" i="315" s="1"/>
  <c r="L18" i="315" s="1"/>
  <c r="L20" i="315" s="1"/>
  <c r="D32" i="329"/>
  <c r="D20" i="329"/>
  <c r="I66" i="326"/>
  <c r="E20" i="329"/>
  <c r="E32" i="329"/>
  <c r="H20" i="326"/>
  <c r="H40" i="326"/>
  <c r="G19" i="329"/>
  <c r="G31" i="329"/>
  <c r="I66" i="320"/>
  <c r="I66" i="323"/>
  <c r="K33" i="312"/>
  <c r="K173" i="313" s="1"/>
  <c r="K113" i="313"/>
  <c r="K56" i="313"/>
  <c r="K63" i="313" s="1"/>
  <c r="K160" i="313"/>
  <c r="K167" i="313" s="1"/>
  <c r="I21" i="329"/>
  <c r="I41" i="329"/>
  <c r="L17" i="319"/>
  <c r="L14" i="318"/>
  <c r="L16" i="318" s="1"/>
  <c r="L17" i="318" s="1"/>
  <c r="L18" i="318" s="1"/>
  <c r="L20" i="318" s="1"/>
  <c r="K26" i="318"/>
  <c r="K25" i="318"/>
  <c r="K27" i="318"/>
  <c r="E19" i="326"/>
  <c r="E31" i="326"/>
  <c r="K56" i="329"/>
  <c r="K63" i="329" s="1"/>
  <c r="K160" i="329"/>
  <c r="K167" i="329" s="1"/>
  <c r="K113" i="329"/>
  <c r="K26" i="321"/>
  <c r="K25" i="321"/>
  <c r="K27" i="321"/>
  <c r="I170" i="323"/>
  <c r="K55" i="313"/>
  <c r="K62" i="313" s="1"/>
  <c r="K159" i="313"/>
  <c r="K166" i="313" s="1"/>
  <c r="K112" i="313"/>
  <c r="K32" i="312"/>
  <c r="K172" i="313" s="1"/>
  <c r="J57" i="320"/>
  <c r="J64" i="320" s="1"/>
  <c r="J114" i="320"/>
  <c r="J161" i="320"/>
  <c r="J168" i="320" s="1"/>
  <c r="L17" i="325"/>
  <c r="I170" i="326"/>
  <c r="E20" i="326"/>
  <c r="E32" i="326"/>
  <c r="J114" i="317"/>
  <c r="J57" i="317"/>
  <c r="J64" i="317" s="1"/>
  <c r="J161" i="317"/>
  <c r="J168" i="317" s="1"/>
  <c r="J181" i="310"/>
  <c r="J185" i="310" s="1"/>
  <c r="J72" i="310"/>
  <c r="J76" i="310" s="1"/>
  <c r="J78" i="310" s="1"/>
  <c r="F20" i="329"/>
  <c r="F32" i="329"/>
  <c r="F19" i="323"/>
  <c r="F31" i="323"/>
  <c r="I200" i="323"/>
  <c r="I175" i="323"/>
  <c r="J112" i="320"/>
  <c r="J32" i="318"/>
  <c r="J172" i="320" s="1"/>
  <c r="J55" i="320"/>
  <c r="J62" i="320" s="1"/>
  <c r="J159" i="320"/>
  <c r="J166" i="320" s="1"/>
  <c r="E19" i="323"/>
  <c r="E31" i="323"/>
  <c r="G41" i="323"/>
  <c r="H19" i="329"/>
  <c r="H39" i="329"/>
  <c r="I200" i="326"/>
  <c r="I175" i="326"/>
  <c r="G19" i="326"/>
  <c r="G31" i="326"/>
  <c r="F19" i="329"/>
  <c r="F31" i="329"/>
  <c r="F20" i="323"/>
  <c r="F32" i="323"/>
  <c r="D20" i="326"/>
  <c r="D32" i="326"/>
  <c r="D19" i="323"/>
  <c r="D31" i="323"/>
  <c r="K27" i="324"/>
  <c r="K26" i="324"/>
  <c r="K25" i="324"/>
  <c r="H19" i="323"/>
  <c r="H39" i="323"/>
  <c r="J56" i="320"/>
  <c r="J63" i="320" s="1"/>
  <c r="J33" i="318"/>
  <c r="J173" i="320" s="1"/>
  <c r="J113" i="320"/>
  <c r="J160" i="320"/>
  <c r="J167" i="320" s="1"/>
  <c r="L17" i="322"/>
  <c r="L14" i="321"/>
  <c r="L16" i="321" s="1"/>
  <c r="L17" i="321" s="1"/>
  <c r="L18" i="321" s="1"/>
  <c r="L20" i="321" s="1"/>
  <c r="E20" i="323"/>
  <c r="E32" i="323"/>
  <c r="H20" i="329"/>
  <c r="H40" i="329"/>
  <c r="J57" i="326"/>
  <c r="J64" i="326" s="1"/>
  <c r="J161" i="326"/>
  <c r="J168" i="326" s="1"/>
  <c r="J114" i="326"/>
  <c r="I78" i="310"/>
  <c r="J160" i="317"/>
  <c r="J167" i="317" s="1"/>
  <c r="J56" i="317"/>
  <c r="J63" i="317" s="1"/>
  <c r="J33" i="315"/>
  <c r="J173" i="317" s="1"/>
  <c r="J201" i="317" s="1"/>
  <c r="J113" i="317"/>
  <c r="D31" i="326"/>
  <c r="D19" i="326"/>
  <c r="D20" i="323"/>
  <c r="D32" i="323"/>
  <c r="G19" i="323"/>
  <c r="G31" i="323"/>
  <c r="I21" i="323"/>
  <c r="H20" i="323"/>
  <c r="H40" i="323"/>
  <c r="I21" i="326"/>
  <c r="H19" i="326"/>
  <c r="H39" i="326"/>
  <c r="I200" i="317"/>
  <c r="I175" i="317"/>
  <c r="J66" i="329"/>
  <c r="G20" i="326"/>
  <c r="G32" i="326"/>
  <c r="F20" i="326"/>
  <c r="F32" i="326"/>
  <c r="J32" i="321"/>
  <c r="J172" i="323" s="1"/>
  <c r="J159" i="323"/>
  <c r="J166" i="323" s="1"/>
  <c r="J112" i="323"/>
  <c r="J55" i="323"/>
  <c r="J62" i="323" s="1"/>
  <c r="G20" i="329"/>
  <c r="G32" i="329"/>
  <c r="K30" i="314"/>
  <c r="K56" i="314" s="1"/>
  <c r="K48" i="314"/>
  <c r="K39" i="314"/>
  <c r="L41" i="314"/>
  <c r="L32" i="314"/>
  <c r="G204" i="306"/>
  <c r="H85" i="303"/>
  <c r="K194" i="323"/>
  <c r="K48" i="321"/>
  <c r="K50" i="321"/>
  <c r="K49" i="321"/>
  <c r="L151" i="329"/>
  <c r="L150" i="329"/>
  <c r="J32" i="308"/>
  <c r="J172" i="310" s="1"/>
  <c r="J200" i="310" s="1"/>
  <c r="J181" i="323"/>
  <c r="J185" i="323" s="1"/>
  <c r="J126" i="323"/>
  <c r="J70" i="323"/>
  <c r="J33" i="308"/>
  <c r="J173" i="310" s="1"/>
  <c r="J201" i="310" s="1"/>
  <c r="J181" i="326"/>
  <c r="J185" i="326" s="1"/>
  <c r="J70" i="326"/>
  <c r="J126" i="326"/>
  <c r="M3" i="329"/>
  <c r="M1" i="328"/>
  <c r="M3" i="326"/>
  <c r="M1" i="325"/>
  <c r="M3" i="323"/>
  <c r="M3" i="320"/>
  <c r="M1" i="319"/>
  <c r="M1" i="322"/>
  <c r="M3" i="317"/>
  <c r="M1" i="316"/>
  <c r="M3" i="313"/>
  <c r="M1" i="314"/>
  <c r="J126" i="329"/>
  <c r="J70" i="329"/>
  <c r="J181" i="329"/>
  <c r="J185" i="329" s="1"/>
  <c r="J71" i="326"/>
  <c r="J75" i="326" s="1"/>
  <c r="J127" i="326"/>
  <c r="J182" i="326"/>
  <c r="J186" i="326" s="1"/>
  <c r="H78" i="317"/>
  <c r="H85" i="317" s="1"/>
  <c r="H82" i="317"/>
  <c r="L14" i="319"/>
  <c r="J72" i="326"/>
  <c r="J76" i="326" s="1"/>
  <c r="J183" i="326"/>
  <c r="J187" i="326" s="1"/>
  <c r="J128" i="326"/>
  <c r="I175" i="310"/>
  <c r="J128" i="310"/>
  <c r="J183" i="320"/>
  <c r="J187" i="320" s="1"/>
  <c r="J128" i="320"/>
  <c r="J72" i="320"/>
  <c r="J76" i="320" s="1"/>
  <c r="J183" i="317"/>
  <c r="J187" i="317" s="1"/>
  <c r="J128" i="317"/>
  <c r="J72" i="317"/>
  <c r="J76" i="317" s="1"/>
  <c r="K194" i="326"/>
  <c r="I74" i="326"/>
  <c r="H78" i="313"/>
  <c r="H85" i="313" s="1"/>
  <c r="H82" i="313"/>
  <c r="J182" i="320"/>
  <c r="J186" i="320" s="1"/>
  <c r="J127" i="320"/>
  <c r="J71" i="320"/>
  <c r="J75" i="320" s="1"/>
  <c r="I189" i="320"/>
  <c r="I196" i="320" s="1"/>
  <c r="I202" i="320"/>
  <c r="L14" i="314"/>
  <c r="L28" i="314"/>
  <c r="L22" i="314"/>
  <c r="F31" i="272"/>
  <c r="J70" i="320"/>
  <c r="J181" i="320"/>
  <c r="J185" i="320" s="1"/>
  <c r="J126" i="320"/>
  <c r="I74" i="313"/>
  <c r="I83" i="313"/>
  <c r="I74" i="320"/>
  <c r="I83" i="320"/>
  <c r="L14" i="322"/>
  <c r="L14" i="325"/>
  <c r="H78" i="323"/>
  <c r="H85" i="323" s="1"/>
  <c r="H82" i="323"/>
  <c r="K48" i="312"/>
  <c r="K52" i="312" s="1"/>
  <c r="K191" i="313" s="1"/>
  <c r="K49" i="312"/>
  <c r="K50" i="312"/>
  <c r="L14" i="328"/>
  <c r="J161" i="310"/>
  <c r="J168" i="310" s="1"/>
  <c r="J170" i="310" s="1"/>
  <c r="J55" i="310"/>
  <c r="J127" i="329"/>
  <c r="K194" i="317"/>
  <c r="L14" i="316"/>
  <c r="I189" i="323"/>
  <c r="I196" i="323" s="1"/>
  <c r="I202" i="323"/>
  <c r="I74" i="317"/>
  <c r="H78" i="326"/>
  <c r="H85" i="326" s="1"/>
  <c r="H82" i="326"/>
  <c r="I189" i="313"/>
  <c r="I196" i="313" s="1"/>
  <c r="I202" i="313"/>
  <c r="H78" i="329"/>
  <c r="H85" i="329" s="1"/>
  <c r="H82" i="329"/>
  <c r="J128" i="313"/>
  <c r="J72" i="313"/>
  <c r="J76" i="313" s="1"/>
  <c r="J183" i="313"/>
  <c r="J187" i="313" s="1"/>
  <c r="I74" i="323"/>
  <c r="I83" i="323"/>
  <c r="K63" i="304"/>
  <c r="K66" i="304" s="1"/>
  <c r="K67" i="304" s="1"/>
  <c r="K72" i="304" s="1"/>
  <c r="F32" i="272"/>
  <c r="G17" i="269"/>
  <c r="J182" i="310"/>
  <c r="J186" i="310" s="1"/>
  <c r="I83" i="310"/>
  <c r="J127" i="310"/>
  <c r="G23" i="270"/>
  <c r="G15" i="269" s="1"/>
  <c r="G27" i="269" s="1"/>
  <c r="H35" i="310"/>
  <c r="H43" i="310" s="1"/>
  <c r="L14" i="308"/>
  <c r="L16" i="308" s="1"/>
  <c r="L17" i="308" s="1"/>
  <c r="L18" i="308" s="1"/>
  <c r="L20" i="308" s="1"/>
  <c r="L25" i="308" s="1"/>
  <c r="H17" i="269"/>
  <c r="H21" i="269" s="1"/>
  <c r="H23" i="270"/>
  <c r="H15" i="269" s="1"/>
  <c r="H27" i="269" s="1"/>
  <c r="J126" i="310"/>
  <c r="J57" i="303"/>
  <c r="J64" i="303" s="1"/>
  <c r="J114" i="303"/>
  <c r="F23" i="278"/>
  <c r="H31" i="306"/>
  <c r="G41" i="278"/>
  <c r="K48" i="308"/>
  <c r="K181" i="310" s="1"/>
  <c r="K185" i="310" s="1"/>
  <c r="K50" i="308"/>
  <c r="K72" i="310" s="1"/>
  <c r="K76" i="310" s="1"/>
  <c r="K49" i="308"/>
  <c r="K71" i="310" s="1"/>
  <c r="K75" i="310" s="1"/>
  <c r="M10" i="268"/>
  <c r="M15" i="270" s="1"/>
  <c r="L37" i="277"/>
  <c r="L40" i="277" s="1"/>
  <c r="L42" i="277" s="1"/>
  <c r="L43" i="277" s="1"/>
  <c r="L44" i="277" s="1"/>
  <c r="L46" i="277" s="1"/>
  <c r="L37" i="271"/>
  <c r="L40" i="271" s="1"/>
  <c r="L42" i="271" s="1"/>
  <c r="L43" i="271" s="1"/>
  <c r="L44" i="271" s="1"/>
  <c r="L46" i="271" s="1"/>
  <c r="L37" i="308"/>
  <c r="L40" i="308" s="1"/>
  <c r="L42" i="308" s="1"/>
  <c r="L43" i="308" s="1"/>
  <c r="L44" i="308" s="1"/>
  <c r="L46" i="308" s="1"/>
  <c r="L37" i="305"/>
  <c r="L40" i="305" s="1"/>
  <c r="L42" i="305" s="1"/>
  <c r="L43" i="305" s="1"/>
  <c r="L44" i="305" s="1"/>
  <c r="L46" i="305" s="1"/>
  <c r="L37" i="302"/>
  <c r="L40" i="302" s="1"/>
  <c r="L42" i="302" s="1"/>
  <c r="L43" i="302" s="1"/>
  <c r="L44" i="302" s="1"/>
  <c r="L46" i="302" s="1"/>
  <c r="L48" i="302" s="1"/>
  <c r="L38" i="305"/>
  <c r="L38" i="268"/>
  <c r="L38" i="277"/>
  <c r="L38" i="271"/>
  <c r="L38" i="308"/>
  <c r="L38" i="302"/>
  <c r="J23" i="309"/>
  <c r="J15" i="310" s="1"/>
  <c r="J39" i="310" s="1"/>
  <c r="I39" i="303"/>
  <c r="I19" i="303"/>
  <c r="O52" i="267"/>
  <c r="E33" i="269"/>
  <c r="H21" i="272"/>
  <c r="H29" i="272"/>
  <c r="H33" i="272" s="1"/>
  <c r="G41" i="272"/>
  <c r="G27" i="272"/>
  <c r="G31" i="272" s="1"/>
  <c r="G19" i="272"/>
  <c r="L29" i="272"/>
  <c r="L33" i="272" s="1"/>
  <c r="L28" i="272"/>
  <c r="L32" i="272" s="1"/>
  <c r="L27" i="272"/>
  <c r="I40" i="306"/>
  <c r="I20" i="306"/>
  <c r="I39" i="306"/>
  <c r="I19" i="306"/>
  <c r="J41" i="306"/>
  <c r="J21" i="306"/>
  <c r="J41" i="310"/>
  <c r="J21" i="310"/>
  <c r="G20" i="278"/>
  <c r="G28" i="278"/>
  <c r="G40" i="278" s="1"/>
  <c r="L27" i="278"/>
  <c r="L29" i="278"/>
  <c r="L33" i="278" s="1"/>
  <c r="L28" i="278"/>
  <c r="L32" i="278" s="1"/>
  <c r="H21" i="278"/>
  <c r="H29" i="278"/>
  <c r="H41" i="278" s="1"/>
  <c r="G27" i="278"/>
  <c r="G31" i="278" s="1"/>
  <c r="G19" i="278"/>
  <c r="F40" i="269"/>
  <c r="F20" i="269"/>
  <c r="F31" i="269"/>
  <c r="F19" i="269"/>
  <c r="E40" i="269"/>
  <c r="E20" i="269"/>
  <c r="E31" i="269"/>
  <c r="E19" i="269"/>
  <c r="F41" i="269"/>
  <c r="P11" i="310"/>
  <c r="O33" i="310"/>
  <c r="O35" i="310" s="1"/>
  <c r="P11" i="306"/>
  <c r="O33" i="306"/>
  <c r="O35" i="306" s="1"/>
  <c r="O11" i="278"/>
  <c r="O10" i="272"/>
  <c r="K9" i="278"/>
  <c r="J31" i="278"/>
  <c r="J35" i="278" s="1"/>
  <c r="P11" i="303"/>
  <c r="O33" i="303"/>
  <c r="O35" i="303" s="1"/>
  <c r="K9" i="269"/>
  <c r="J31" i="269"/>
  <c r="J35" i="269" s="1"/>
  <c r="N11" i="269"/>
  <c r="N10" i="269"/>
  <c r="K9" i="272"/>
  <c r="J31" i="272"/>
  <c r="J35" i="272" s="1"/>
  <c r="O11" i="272"/>
  <c r="O10" i="278"/>
  <c r="E43" i="306"/>
  <c r="K29" i="309"/>
  <c r="J24" i="309"/>
  <c r="J16" i="310" s="1"/>
  <c r="J56" i="303"/>
  <c r="J63" i="303" s="1"/>
  <c r="I83" i="303"/>
  <c r="J55" i="304"/>
  <c r="J22" i="304" s="1"/>
  <c r="J23" i="304" s="1"/>
  <c r="J15" i="303" s="1"/>
  <c r="H175" i="306"/>
  <c r="H177" i="306" s="1"/>
  <c r="I17" i="303"/>
  <c r="I24" i="304"/>
  <c r="I16" i="303" s="1"/>
  <c r="L14" i="277"/>
  <c r="L16" i="277" s="1"/>
  <c r="L17" i="277" s="1"/>
  <c r="L18" i="277" s="1"/>
  <c r="L20" i="277" s="1"/>
  <c r="L16" i="279"/>
  <c r="L59" i="279" s="1"/>
  <c r="L14" i="271"/>
  <c r="L16" i="271" s="1"/>
  <c r="L17" i="271" s="1"/>
  <c r="L18" i="271" s="1"/>
  <c r="L20" i="271" s="1"/>
  <c r="L16" i="273"/>
  <c r="L59" i="273" s="1"/>
  <c r="I202" i="303"/>
  <c r="K29" i="304"/>
  <c r="H32" i="306"/>
  <c r="J72" i="303"/>
  <c r="J76" i="303" s="1"/>
  <c r="K38" i="304"/>
  <c r="J183" i="303"/>
  <c r="J187" i="303" s="1"/>
  <c r="J189" i="303" s="1"/>
  <c r="J196" i="303" s="1"/>
  <c r="K40" i="304"/>
  <c r="K31" i="304"/>
  <c r="L14" i="268"/>
  <c r="L16" i="268" s="1"/>
  <c r="L16" i="270"/>
  <c r="L59" i="270" s="1"/>
  <c r="L21" i="304"/>
  <c r="L13" i="304"/>
  <c r="J33" i="302"/>
  <c r="J173" i="303" s="1"/>
  <c r="I66" i="306"/>
  <c r="G23" i="306"/>
  <c r="J113" i="303"/>
  <c r="I170" i="306"/>
  <c r="K32" i="305"/>
  <c r="K172" i="306" s="1"/>
  <c r="K200" i="306" s="1"/>
  <c r="J127" i="303"/>
  <c r="J133" i="303" s="1"/>
  <c r="L194" i="306"/>
  <c r="J71" i="303"/>
  <c r="J75" i="303" s="1"/>
  <c r="L194" i="310"/>
  <c r="K55" i="306"/>
  <c r="K62" i="306" s="1"/>
  <c r="K159" i="306"/>
  <c r="K166" i="306" s="1"/>
  <c r="J160" i="306"/>
  <c r="J167" i="306" s="1"/>
  <c r="J113" i="306"/>
  <c r="J56" i="306"/>
  <c r="J63" i="306" s="1"/>
  <c r="J33" i="305"/>
  <c r="J173" i="306" s="1"/>
  <c r="J201" i="306" s="1"/>
  <c r="L27" i="307"/>
  <c r="L13" i="307"/>
  <c r="L21" i="307"/>
  <c r="J32" i="305"/>
  <c r="J172" i="306" s="1"/>
  <c r="J159" i="306"/>
  <c r="J166" i="306" s="1"/>
  <c r="J112" i="306"/>
  <c r="J55" i="306"/>
  <c r="J62" i="306" s="1"/>
  <c r="L27" i="309"/>
  <c r="L13" i="309"/>
  <c r="L21" i="309"/>
  <c r="J114" i="306"/>
  <c r="J161" i="306"/>
  <c r="J168" i="306" s="1"/>
  <c r="J57" i="306"/>
  <c r="J64" i="306" s="1"/>
  <c r="I82" i="310"/>
  <c r="I66" i="310"/>
  <c r="K48" i="302"/>
  <c r="K181" i="303" s="1"/>
  <c r="K185" i="303" s="1"/>
  <c r="G43" i="310"/>
  <c r="J23" i="307"/>
  <c r="J15" i="306" s="1"/>
  <c r="K47" i="307"/>
  <c r="K38" i="307"/>
  <c r="K29" i="307"/>
  <c r="K55" i="307" s="1"/>
  <c r="K22" i="307" s="1"/>
  <c r="K17" i="306" s="1"/>
  <c r="M60" i="309"/>
  <c r="M1" i="304"/>
  <c r="M21" i="304" s="1"/>
  <c r="M1" i="309"/>
  <c r="M1" i="307"/>
  <c r="K50" i="302"/>
  <c r="K72" i="303" s="1"/>
  <c r="K76" i="303" s="1"/>
  <c r="K25" i="302"/>
  <c r="K32" i="302" s="1"/>
  <c r="K172" i="303" s="1"/>
  <c r="J24" i="307"/>
  <c r="J16" i="306" s="1"/>
  <c r="L14" i="305"/>
  <c r="L16" i="305" s="1"/>
  <c r="L17" i="305" s="1"/>
  <c r="L18" i="305" s="1"/>
  <c r="L20" i="305" s="1"/>
  <c r="L27" i="305" s="1"/>
  <c r="L114" i="306" s="1"/>
  <c r="L60" i="307"/>
  <c r="K27" i="302"/>
  <c r="K33" i="302" s="1"/>
  <c r="K173" i="303" s="1"/>
  <c r="K161" i="310"/>
  <c r="K168" i="310" s="1"/>
  <c r="K57" i="310"/>
  <c r="K64" i="310" s="1"/>
  <c r="K114" i="310"/>
  <c r="I200" i="306"/>
  <c r="I175" i="306"/>
  <c r="K27" i="305"/>
  <c r="K26" i="305"/>
  <c r="G35" i="306"/>
  <c r="H23" i="306"/>
  <c r="D32" i="303"/>
  <c r="D35" i="303" s="1"/>
  <c r="J182" i="306"/>
  <c r="J186" i="306" s="1"/>
  <c r="J127" i="306"/>
  <c r="J71" i="306"/>
  <c r="J75" i="306" s="1"/>
  <c r="H196" i="306"/>
  <c r="J70" i="306"/>
  <c r="J74" i="306" s="1"/>
  <c r="J126" i="306"/>
  <c r="J181" i="306"/>
  <c r="J185" i="306" s="1"/>
  <c r="J183" i="306"/>
  <c r="J187" i="306" s="1"/>
  <c r="J72" i="306"/>
  <c r="J128" i="306"/>
  <c r="H78" i="306"/>
  <c r="H85" i="306" s="1"/>
  <c r="H82" i="306"/>
  <c r="I76" i="306"/>
  <c r="I83" i="306"/>
  <c r="I189" i="306"/>
  <c r="I196" i="306" s="1"/>
  <c r="I202" i="306"/>
  <c r="L60" i="304"/>
  <c r="L14" i="302"/>
  <c r="L16" i="302" s="1"/>
  <c r="L17" i="302" s="1"/>
  <c r="L18" i="302" s="1"/>
  <c r="L20" i="302" s="1"/>
  <c r="L27" i="302" s="1"/>
  <c r="F53" i="268"/>
  <c r="F192" i="269" s="1"/>
  <c r="F201" i="303"/>
  <c r="F52" i="268"/>
  <c r="F191" i="269" s="1"/>
  <c r="G33" i="303"/>
  <c r="H33" i="303"/>
  <c r="I17" i="269"/>
  <c r="K48" i="305"/>
  <c r="K50" i="305"/>
  <c r="K49" i="305"/>
  <c r="G16" i="269"/>
  <c r="G28" i="269" s="1"/>
  <c r="H16" i="269"/>
  <c r="D23" i="303"/>
  <c r="L194" i="303"/>
  <c r="E175" i="303"/>
  <c r="E177" i="303" s="1"/>
  <c r="E204" i="303" s="1"/>
  <c r="E200" i="303"/>
  <c r="K71" i="303"/>
  <c r="K182" i="303"/>
  <c r="K186" i="303" s="1"/>
  <c r="K127" i="303"/>
  <c r="J170" i="303"/>
  <c r="K160" i="303"/>
  <c r="K167" i="303" s="1"/>
  <c r="K113" i="303"/>
  <c r="K56" i="303"/>
  <c r="K63" i="303" s="1"/>
  <c r="I66" i="303"/>
  <c r="I85" i="303" s="1"/>
  <c r="I82" i="303"/>
  <c r="J62" i="303"/>
  <c r="H24" i="273"/>
  <c r="H16" i="272" s="1"/>
  <c r="H23" i="273"/>
  <c r="H15" i="272" s="1"/>
  <c r="H27" i="272" s="1"/>
  <c r="H201" i="278"/>
  <c r="I55" i="279"/>
  <c r="I22" i="279" s="1"/>
  <c r="I17" i="278" s="1"/>
  <c r="V42" i="260"/>
  <c r="F23" i="272"/>
  <c r="F32" i="278"/>
  <c r="J47" i="279"/>
  <c r="J55" i="279" s="1"/>
  <c r="J22" i="279" s="1"/>
  <c r="J17" i="278" s="1"/>
  <c r="L21" i="270"/>
  <c r="L27" i="270"/>
  <c r="L13" i="270"/>
  <c r="H23" i="279"/>
  <c r="H15" i="278" s="1"/>
  <c r="L13" i="273"/>
  <c r="L27" i="273"/>
  <c r="L21" i="273"/>
  <c r="L37" i="268"/>
  <c r="L40" i="268" s="1"/>
  <c r="L42" i="268" s="1"/>
  <c r="N53" i="267"/>
  <c r="H24" i="279"/>
  <c r="H16" i="278" s="1"/>
  <c r="M3" i="278"/>
  <c r="O51" i="267"/>
  <c r="M1" i="273"/>
  <c r="P2" i="267"/>
  <c r="M1" i="270"/>
  <c r="M1" i="279"/>
  <c r="M3" i="272"/>
  <c r="L21" i="279"/>
  <c r="L27" i="279"/>
  <c r="L13" i="279"/>
  <c r="I55" i="273"/>
  <c r="I22" i="273" s="1"/>
  <c r="I17" i="272" s="1"/>
  <c r="J29" i="273"/>
  <c r="J55" i="273" s="1"/>
  <c r="J22" i="273" s="1"/>
  <c r="J24" i="273" s="1"/>
  <c r="J16" i="272" s="1"/>
  <c r="J47" i="273"/>
  <c r="J38" i="279"/>
  <c r="K29" i="279"/>
  <c r="K60" i="279"/>
  <c r="K63" i="279" s="1"/>
  <c r="K66" i="279" s="1"/>
  <c r="K67" i="279" s="1"/>
  <c r="K72" i="279" s="1"/>
  <c r="K60" i="273"/>
  <c r="K63" i="273" s="1"/>
  <c r="K66" i="273" s="1"/>
  <c r="K67" i="273" s="1"/>
  <c r="K72" i="273" s="1"/>
  <c r="F172" i="269"/>
  <c r="J161" i="278"/>
  <c r="J114" i="278"/>
  <c r="J57" i="278"/>
  <c r="J182" i="278"/>
  <c r="J127" i="278"/>
  <c r="J71" i="278"/>
  <c r="J181" i="278"/>
  <c r="J126" i="278"/>
  <c r="J70" i="278"/>
  <c r="J183" i="278"/>
  <c r="J128" i="278"/>
  <c r="J72" i="278"/>
  <c r="J32" i="277"/>
  <c r="J172" i="278" s="1"/>
  <c r="J159" i="278"/>
  <c r="J55" i="278"/>
  <c r="J112" i="278"/>
  <c r="J160" i="278"/>
  <c r="J56" i="278"/>
  <c r="J113" i="278"/>
  <c r="J33" i="277"/>
  <c r="J173" i="278" s="1"/>
  <c r="O53" i="277"/>
  <c r="O192" i="278" s="1"/>
  <c r="O52" i="277"/>
  <c r="O191" i="278" s="1"/>
  <c r="K48" i="277"/>
  <c r="K50" i="277"/>
  <c r="K49" i="277"/>
  <c r="K25" i="277"/>
  <c r="K27" i="277"/>
  <c r="K26" i="277"/>
  <c r="J32" i="271"/>
  <c r="J172" i="272" s="1"/>
  <c r="J159" i="272"/>
  <c r="J166" i="272" s="1"/>
  <c r="J55" i="272"/>
  <c r="J62" i="272" s="1"/>
  <c r="J112" i="272"/>
  <c r="N52" i="271"/>
  <c r="N191" i="272" s="1"/>
  <c r="N53" i="271"/>
  <c r="N192" i="272" s="1"/>
  <c r="K25" i="271"/>
  <c r="K26" i="271"/>
  <c r="K27" i="271"/>
  <c r="J161" i="272"/>
  <c r="J57" i="272"/>
  <c r="J114" i="272"/>
  <c r="K50" i="271"/>
  <c r="K49" i="271"/>
  <c r="K48" i="271"/>
  <c r="J33" i="271"/>
  <c r="J173" i="272" s="1"/>
  <c r="J160" i="272"/>
  <c r="J167" i="272" s="1"/>
  <c r="J56" i="272"/>
  <c r="J113" i="272"/>
  <c r="J70" i="272"/>
  <c r="J74" i="272" s="1"/>
  <c r="J126" i="272"/>
  <c r="J181" i="272"/>
  <c r="J185" i="272" s="1"/>
  <c r="J71" i="272"/>
  <c r="J75" i="272" s="1"/>
  <c r="J127" i="272"/>
  <c r="J182" i="272"/>
  <c r="J186" i="272" s="1"/>
  <c r="J72" i="272"/>
  <c r="J76" i="272" s="1"/>
  <c r="J128" i="272"/>
  <c r="J183" i="272"/>
  <c r="J187" i="272" s="1"/>
  <c r="I187" i="278"/>
  <c r="I189" i="278" s="1"/>
  <c r="I76" i="278"/>
  <c r="I78" i="278" s="1"/>
  <c r="L14" i="279"/>
  <c r="L14" i="273"/>
  <c r="F200" i="272"/>
  <c r="F189" i="278"/>
  <c r="F173" i="269"/>
  <c r="F202" i="278"/>
  <c r="F83" i="272"/>
  <c r="F83" i="278"/>
  <c r="H166" i="278"/>
  <c r="H170" i="278" s="1"/>
  <c r="H166" i="272"/>
  <c r="H200" i="272"/>
  <c r="H62" i="272"/>
  <c r="H66" i="272" s="1"/>
  <c r="H201" i="272"/>
  <c r="H167" i="272"/>
  <c r="I64" i="272"/>
  <c r="I63" i="272"/>
  <c r="D201" i="278"/>
  <c r="D112" i="260" s="1"/>
  <c r="H185" i="272"/>
  <c r="M6" i="271"/>
  <c r="D66" i="278"/>
  <c r="D85" i="278" s="1"/>
  <c r="D82" i="278"/>
  <c r="M52" i="268"/>
  <c r="M191" i="269" s="1"/>
  <c r="M53" i="268"/>
  <c r="M192" i="269" s="1"/>
  <c r="D200" i="278"/>
  <c r="D111" i="260" s="1"/>
  <c r="G202" i="278"/>
  <c r="G83" i="272"/>
  <c r="G83" i="278"/>
  <c r="G202" i="272"/>
  <c r="G170" i="278"/>
  <c r="I166" i="272"/>
  <c r="I62" i="272"/>
  <c r="G66" i="278"/>
  <c r="K47" i="270"/>
  <c r="K31" i="273"/>
  <c r="K40" i="273"/>
  <c r="H66" i="278"/>
  <c r="G200" i="272"/>
  <c r="H186" i="272"/>
  <c r="K40" i="279"/>
  <c r="K31" i="279"/>
  <c r="G66" i="272"/>
  <c r="H75" i="272"/>
  <c r="G170" i="272"/>
  <c r="G200" i="278"/>
  <c r="I186" i="272"/>
  <c r="I75" i="272"/>
  <c r="I185" i="272"/>
  <c r="H74" i="272"/>
  <c r="I187" i="272"/>
  <c r="I76" i="272"/>
  <c r="H185" i="278"/>
  <c r="G78" i="272"/>
  <c r="G82" i="272"/>
  <c r="H187" i="278"/>
  <c r="H76" i="278"/>
  <c r="G78" i="278"/>
  <c r="G82" i="278"/>
  <c r="H186" i="278"/>
  <c r="H75" i="278"/>
  <c r="D43" i="269"/>
  <c r="F78" i="272"/>
  <c r="F85" i="272" s="1"/>
  <c r="F82" i="272"/>
  <c r="P2" i="277"/>
  <c r="F78" i="278"/>
  <c r="F85" i="278" s="1"/>
  <c r="F82" i="278"/>
  <c r="N3" i="269"/>
  <c r="J55" i="270"/>
  <c r="J22" i="270" s="1"/>
  <c r="I24" i="270"/>
  <c r="E78" i="272"/>
  <c r="E85" i="272" s="1"/>
  <c r="E82" i="272"/>
  <c r="I26" i="268"/>
  <c r="O2" i="271"/>
  <c r="G114" i="269"/>
  <c r="G161" i="269"/>
  <c r="G168" i="269" s="1"/>
  <c r="G57" i="269"/>
  <c r="G64" i="269" s="1"/>
  <c r="E201" i="269"/>
  <c r="E112" i="260" s="1"/>
  <c r="J17" i="268"/>
  <c r="J18" i="268" s="1"/>
  <c r="J20" i="268" s="1"/>
  <c r="J66" i="270"/>
  <c r="J67" i="270" s="1"/>
  <c r="J72" i="270" s="1"/>
  <c r="G112" i="269"/>
  <c r="G32" i="268"/>
  <c r="G55" i="269"/>
  <c r="G62" i="269" s="1"/>
  <c r="G159" i="269"/>
  <c r="G166" i="269" s="1"/>
  <c r="H159" i="269"/>
  <c r="H166" i="269" s="1"/>
  <c r="H112" i="269"/>
  <c r="H55" i="269"/>
  <c r="H62" i="269" s="1"/>
  <c r="H32" i="268"/>
  <c r="L14" i="270"/>
  <c r="K60" i="270"/>
  <c r="K63" i="270" s="1"/>
  <c r="H161" i="269"/>
  <c r="H168" i="269" s="1"/>
  <c r="H114" i="269"/>
  <c r="H57" i="269"/>
  <c r="H64" i="269" s="1"/>
  <c r="I23" i="270"/>
  <c r="K40" i="270"/>
  <c r="K31" i="270"/>
  <c r="H113" i="269"/>
  <c r="H56" i="269"/>
  <c r="H63" i="269" s="1"/>
  <c r="H33" i="268"/>
  <c r="H201" i="303" s="1"/>
  <c r="H160" i="269"/>
  <c r="H167" i="269" s="1"/>
  <c r="G160" i="269"/>
  <c r="G167" i="269" s="1"/>
  <c r="G33" i="268"/>
  <c r="G201" i="303" s="1"/>
  <c r="G113" i="269"/>
  <c r="G56" i="269"/>
  <c r="G63" i="269" s="1"/>
  <c r="E200" i="269"/>
  <c r="N2" i="268"/>
  <c r="K2" i="264"/>
  <c r="K17" i="264" s="1"/>
  <c r="K159" i="329" l="1"/>
  <c r="K166" i="329" s="1"/>
  <c r="I83" i="326"/>
  <c r="O67" i="267"/>
  <c r="P12" i="267"/>
  <c r="N6" i="277" s="1"/>
  <c r="P11" i="267"/>
  <c r="P8" i="267"/>
  <c r="P10" i="267"/>
  <c r="P7" i="267"/>
  <c r="N6" i="302" s="1"/>
  <c r="N14" i="304" s="1"/>
  <c r="P9" i="267"/>
  <c r="L41" i="325"/>
  <c r="K55" i="309"/>
  <c r="K22" i="309" s="1"/>
  <c r="K17" i="310" s="1"/>
  <c r="J53" i="312"/>
  <c r="J192" i="313" s="1"/>
  <c r="J194" i="313" s="1"/>
  <c r="M10" i="305"/>
  <c r="M10" i="277"/>
  <c r="L14" i="324"/>
  <c r="L16" i="324" s="1"/>
  <c r="L17" i="324" s="1"/>
  <c r="L18" i="324" s="1"/>
  <c r="L20" i="324" s="1"/>
  <c r="M10" i="318"/>
  <c r="M16" i="319" s="1"/>
  <c r="L38" i="324"/>
  <c r="L80" i="325" s="1"/>
  <c r="O56" i="267"/>
  <c r="M10" i="302"/>
  <c r="J181" i="313"/>
  <c r="J185" i="313" s="1"/>
  <c r="M10" i="315"/>
  <c r="M16" i="327"/>
  <c r="M17" i="327" s="1"/>
  <c r="M18" i="327" s="1"/>
  <c r="M20" i="327" s="1"/>
  <c r="M10" i="271"/>
  <c r="M15" i="273" s="1"/>
  <c r="M10" i="308"/>
  <c r="O61" i="267"/>
  <c r="O66" i="267"/>
  <c r="H196" i="313"/>
  <c r="H204" i="313" s="1"/>
  <c r="N101" i="269"/>
  <c r="N102" i="269"/>
  <c r="N103" i="269"/>
  <c r="N100" i="269"/>
  <c r="N98" i="269"/>
  <c r="N96" i="269"/>
  <c r="N92" i="269"/>
  <c r="N95" i="269"/>
  <c r="N97" i="269"/>
  <c r="N90" i="269"/>
  <c r="N93" i="269"/>
  <c r="N91" i="269"/>
  <c r="L41" i="319"/>
  <c r="L32" i="319"/>
  <c r="L31" i="309"/>
  <c r="L55" i="309" s="1"/>
  <c r="L22" i="309" s="1"/>
  <c r="L40" i="309"/>
  <c r="L32" i="316"/>
  <c r="L41" i="316"/>
  <c r="P44" i="267"/>
  <c r="P46" i="267" s="1"/>
  <c r="P29" i="267"/>
  <c r="P31" i="267" s="1"/>
  <c r="P30" i="267"/>
  <c r="P39" i="267"/>
  <c r="P41" i="267" s="1"/>
  <c r="P45" i="267"/>
  <c r="N11" i="324" s="1"/>
  <c r="N18" i="325" s="1"/>
  <c r="P40" i="267"/>
  <c r="M11" i="302"/>
  <c r="M17" i="304" s="1"/>
  <c r="M11" i="277"/>
  <c r="M17" i="279" s="1"/>
  <c r="M11" i="268"/>
  <c r="M17" i="270" s="1"/>
  <c r="M11" i="308"/>
  <c r="M17" i="309" s="1"/>
  <c r="M11" i="318"/>
  <c r="M18" i="319" s="1"/>
  <c r="M11" i="312"/>
  <c r="M18" i="314" s="1"/>
  <c r="M32" i="314" s="1"/>
  <c r="M11" i="315"/>
  <c r="M18" i="316" s="1"/>
  <c r="O63" i="267"/>
  <c r="O58" i="267"/>
  <c r="I35" i="320"/>
  <c r="I131" i="326"/>
  <c r="L25" i="327"/>
  <c r="J24" i="314"/>
  <c r="J15" i="313" s="1"/>
  <c r="J19" i="313" s="1"/>
  <c r="K101" i="316"/>
  <c r="J70" i="313"/>
  <c r="J74" i="313" s="1"/>
  <c r="I189" i="326"/>
  <c r="I196" i="326" s="1"/>
  <c r="I141" i="326"/>
  <c r="K110" i="316"/>
  <c r="I143" i="326"/>
  <c r="K112" i="329"/>
  <c r="K55" i="329"/>
  <c r="K62" i="329" s="1"/>
  <c r="L63" i="307"/>
  <c r="L66" i="307" s="1"/>
  <c r="L67" i="307" s="1"/>
  <c r="L72" i="307" s="1"/>
  <c r="I130" i="326"/>
  <c r="I140" i="326"/>
  <c r="I202" i="326"/>
  <c r="I133" i="326"/>
  <c r="I142" i="326"/>
  <c r="H29" i="269"/>
  <c r="H33" i="269" s="1"/>
  <c r="M77" i="322"/>
  <c r="M15" i="322"/>
  <c r="M77" i="319"/>
  <c r="M15" i="319"/>
  <c r="J71" i="329"/>
  <c r="J75" i="329" s="1"/>
  <c r="J126" i="313"/>
  <c r="M77" i="314"/>
  <c r="M15" i="314"/>
  <c r="N6" i="327"/>
  <c r="N6" i="315"/>
  <c r="N6" i="318"/>
  <c r="N6" i="321"/>
  <c r="N6" i="305"/>
  <c r="N14" i="307" s="1"/>
  <c r="N6" i="308"/>
  <c r="N14" i="309" s="1"/>
  <c r="N6" i="268"/>
  <c r="N6" i="324"/>
  <c r="N6" i="312"/>
  <c r="M77" i="316"/>
  <c r="M15" i="316"/>
  <c r="M77" i="325"/>
  <c r="M15" i="325"/>
  <c r="M77" i="328"/>
  <c r="M15" i="328"/>
  <c r="I83" i="317"/>
  <c r="M103" i="317"/>
  <c r="M100" i="317"/>
  <c r="M101" i="317"/>
  <c r="M102" i="317"/>
  <c r="M97" i="317"/>
  <c r="M95" i="317"/>
  <c r="M91" i="317"/>
  <c r="M98" i="317"/>
  <c r="M92" i="317"/>
  <c r="M90" i="317"/>
  <c r="M96" i="317"/>
  <c r="M93" i="317"/>
  <c r="M100" i="323"/>
  <c r="M101" i="323"/>
  <c r="M102" i="323"/>
  <c r="M103" i="323"/>
  <c r="M97" i="323"/>
  <c r="M95" i="323"/>
  <c r="M90" i="323"/>
  <c r="M91" i="323"/>
  <c r="M92" i="323"/>
  <c r="M96" i="323"/>
  <c r="M93" i="323"/>
  <c r="M98" i="323"/>
  <c r="M100" i="329"/>
  <c r="M101" i="329"/>
  <c r="M102" i="329"/>
  <c r="M103" i="329"/>
  <c r="M93" i="329"/>
  <c r="M97" i="329"/>
  <c r="M98" i="329"/>
  <c r="M96" i="329"/>
  <c r="M92" i="329"/>
  <c r="M91" i="329"/>
  <c r="M95" i="329"/>
  <c r="M90" i="329"/>
  <c r="M102" i="272"/>
  <c r="M103" i="272"/>
  <c r="M100" i="272"/>
  <c r="M101" i="272"/>
  <c r="M97" i="272"/>
  <c r="M95" i="272"/>
  <c r="M98" i="272"/>
  <c r="M92" i="272"/>
  <c r="M96" i="272"/>
  <c r="M90" i="272"/>
  <c r="M93" i="272"/>
  <c r="M91" i="272"/>
  <c r="M102" i="313"/>
  <c r="M100" i="313"/>
  <c r="M103" i="313"/>
  <c r="M101" i="313"/>
  <c r="M97" i="313"/>
  <c r="M91" i="313"/>
  <c r="M98" i="313"/>
  <c r="M96" i="313"/>
  <c r="M92" i="313"/>
  <c r="M93" i="313"/>
  <c r="M95" i="313"/>
  <c r="M90" i="313"/>
  <c r="M100" i="326"/>
  <c r="M101" i="326"/>
  <c r="M102" i="326"/>
  <c r="M103" i="326"/>
  <c r="M97" i="326"/>
  <c r="M95" i="326"/>
  <c r="M90" i="326"/>
  <c r="M91" i="326"/>
  <c r="M98" i="326"/>
  <c r="M96" i="326"/>
  <c r="M92" i="326"/>
  <c r="M93" i="326"/>
  <c r="M102" i="278"/>
  <c r="M103" i="278"/>
  <c r="M100" i="278"/>
  <c r="M101" i="278"/>
  <c r="M93" i="278"/>
  <c r="M97" i="278"/>
  <c r="M95" i="278"/>
  <c r="M90" i="278"/>
  <c r="M91" i="278"/>
  <c r="M98" i="278"/>
  <c r="M92" i="278"/>
  <c r="M96" i="278"/>
  <c r="M100" i="320"/>
  <c r="M101" i="320"/>
  <c r="M102" i="320"/>
  <c r="M103" i="320"/>
  <c r="M91" i="320"/>
  <c r="M98" i="320"/>
  <c r="M96" i="320"/>
  <c r="M92" i="320"/>
  <c r="M93" i="320"/>
  <c r="M97" i="320"/>
  <c r="M95" i="320"/>
  <c r="M90" i="320"/>
  <c r="L26" i="327"/>
  <c r="H204" i="323"/>
  <c r="K57" i="329"/>
  <c r="K64" i="329" s="1"/>
  <c r="I132" i="317"/>
  <c r="J183" i="329"/>
  <c r="J187" i="329" s="1"/>
  <c r="J202" i="329" s="1"/>
  <c r="K114" i="329"/>
  <c r="K33" i="327"/>
  <c r="K173" i="329" s="1"/>
  <c r="K175" i="329" s="1"/>
  <c r="K49" i="324"/>
  <c r="K71" i="326" s="1"/>
  <c r="K75" i="326" s="1"/>
  <c r="J143" i="303"/>
  <c r="H196" i="317"/>
  <c r="H204" i="317" s="1"/>
  <c r="I141" i="317"/>
  <c r="J118" i="303"/>
  <c r="J116" i="303"/>
  <c r="I130" i="317"/>
  <c r="G119" i="269"/>
  <c r="G116" i="269"/>
  <c r="G117" i="269"/>
  <c r="G118" i="269"/>
  <c r="J132" i="329"/>
  <c r="J133" i="329"/>
  <c r="J130" i="329"/>
  <c r="J131" i="329"/>
  <c r="J132" i="303"/>
  <c r="J131" i="272"/>
  <c r="J132" i="272"/>
  <c r="J130" i="272"/>
  <c r="J133" i="272"/>
  <c r="J72" i="329"/>
  <c r="J76" i="329" s="1"/>
  <c r="J132" i="326"/>
  <c r="J133" i="326"/>
  <c r="J130" i="326"/>
  <c r="J131" i="326"/>
  <c r="K118" i="313"/>
  <c r="K119" i="313"/>
  <c r="K116" i="313"/>
  <c r="K117" i="313"/>
  <c r="J53" i="327"/>
  <c r="J192" i="329" s="1"/>
  <c r="J194" i="329" s="1"/>
  <c r="I133" i="317"/>
  <c r="J142" i="303"/>
  <c r="J140" i="303"/>
  <c r="J131" i="303"/>
  <c r="I140" i="317"/>
  <c r="I142" i="317"/>
  <c r="J141" i="329"/>
  <c r="J117" i="323"/>
  <c r="J118" i="323"/>
  <c r="J119" i="323"/>
  <c r="J116" i="323"/>
  <c r="H204" i="326"/>
  <c r="J141" i="303"/>
  <c r="J119" i="303"/>
  <c r="J130" i="303"/>
  <c r="J142" i="329"/>
  <c r="J133" i="306"/>
  <c r="J131" i="306"/>
  <c r="J132" i="306"/>
  <c r="J130" i="306"/>
  <c r="J143" i="306"/>
  <c r="J117" i="306"/>
  <c r="J140" i="306"/>
  <c r="J118" i="306"/>
  <c r="J119" i="306"/>
  <c r="J141" i="306"/>
  <c r="J116" i="306"/>
  <c r="J142" i="306"/>
  <c r="J140" i="272"/>
  <c r="J141" i="272"/>
  <c r="J142" i="272"/>
  <c r="J143" i="272"/>
  <c r="J118" i="272"/>
  <c r="J119" i="272"/>
  <c r="J116" i="272"/>
  <c r="J117" i="272"/>
  <c r="J142" i="278"/>
  <c r="J118" i="278"/>
  <c r="J143" i="278"/>
  <c r="J119" i="278"/>
  <c r="J140" i="278"/>
  <c r="J116" i="278"/>
  <c r="J141" i="278"/>
  <c r="J117" i="278"/>
  <c r="J132" i="278"/>
  <c r="J133" i="278"/>
  <c r="J130" i="278"/>
  <c r="J131" i="278"/>
  <c r="H119" i="269"/>
  <c r="H117" i="269"/>
  <c r="H118" i="269"/>
  <c r="H116" i="269"/>
  <c r="J132" i="310"/>
  <c r="J133" i="310"/>
  <c r="J130" i="310"/>
  <c r="J131" i="310"/>
  <c r="J133" i="320"/>
  <c r="J131" i="320"/>
  <c r="J130" i="320"/>
  <c r="J132" i="320"/>
  <c r="J143" i="320"/>
  <c r="J119" i="320"/>
  <c r="J141" i="320"/>
  <c r="J116" i="320"/>
  <c r="J117" i="320"/>
  <c r="J118" i="320"/>
  <c r="J142" i="320"/>
  <c r="J140" i="320"/>
  <c r="J142" i="326"/>
  <c r="J118" i="326"/>
  <c r="J143" i="326"/>
  <c r="J119" i="326"/>
  <c r="J140" i="326"/>
  <c r="J116" i="326"/>
  <c r="J117" i="326"/>
  <c r="J141" i="326"/>
  <c r="J118" i="317"/>
  <c r="J119" i="317"/>
  <c r="J116" i="317"/>
  <c r="J117" i="317"/>
  <c r="J142" i="310"/>
  <c r="J143" i="310"/>
  <c r="J140" i="310"/>
  <c r="J141" i="310"/>
  <c r="J117" i="310"/>
  <c r="J118" i="310"/>
  <c r="J119" i="310"/>
  <c r="J116" i="310"/>
  <c r="I131" i="329"/>
  <c r="I132" i="329"/>
  <c r="I133" i="329"/>
  <c r="I130" i="329"/>
  <c r="I140" i="329"/>
  <c r="I142" i="329"/>
  <c r="I143" i="329"/>
  <c r="I141" i="329"/>
  <c r="I131" i="317"/>
  <c r="J117" i="303"/>
  <c r="I143" i="317"/>
  <c r="J140" i="329"/>
  <c r="J143" i="329"/>
  <c r="I35" i="329"/>
  <c r="K50" i="327"/>
  <c r="K128" i="329" s="1"/>
  <c r="K101" i="325"/>
  <c r="K118" i="325" s="1"/>
  <c r="K85" i="325" s="1"/>
  <c r="K92" i="325"/>
  <c r="I41" i="326"/>
  <c r="M107" i="320"/>
  <c r="M106" i="320"/>
  <c r="M105" i="320"/>
  <c r="M108" i="320"/>
  <c r="K50" i="324"/>
  <c r="K72" i="326" s="1"/>
  <c r="K76" i="326" s="1"/>
  <c r="M107" i="317"/>
  <c r="M106" i="317"/>
  <c r="M105" i="317"/>
  <c r="M108" i="317"/>
  <c r="M107" i="323"/>
  <c r="M106" i="323"/>
  <c r="M105" i="323"/>
  <c r="M108" i="323"/>
  <c r="M107" i="329"/>
  <c r="M106" i="329"/>
  <c r="M105" i="329"/>
  <c r="M108" i="329"/>
  <c r="K92" i="319"/>
  <c r="M108" i="272"/>
  <c r="M107" i="272"/>
  <c r="M106" i="272"/>
  <c r="M105" i="272"/>
  <c r="N107" i="269"/>
  <c r="N105" i="269"/>
  <c r="N106" i="269"/>
  <c r="N108" i="269"/>
  <c r="M107" i="278"/>
  <c r="M106" i="278"/>
  <c r="M108" i="278"/>
  <c r="M105" i="278"/>
  <c r="M107" i="313"/>
  <c r="M106" i="313"/>
  <c r="M108" i="313"/>
  <c r="M105" i="313"/>
  <c r="M106" i="326"/>
  <c r="M105" i="326"/>
  <c r="M107" i="326"/>
  <c r="M108" i="326"/>
  <c r="K101" i="322"/>
  <c r="K118" i="322" s="1"/>
  <c r="K85" i="322" s="1"/>
  <c r="K29" i="323" s="1"/>
  <c r="K33" i="323" s="1"/>
  <c r="I40" i="320"/>
  <c r="J127" i="313"/>
  <c r="K50" i="318"/>
  <c r="K53" i="318" s="1"/>
  <c r="K192" i="320" s="1"/>
  <c r="H82" i="320"/>
  <c r="J182" i="313"/>
  <c r="J186" i="313" s="1"/>
  <c r="J189" i="313" s="1"/>
  <c r="J196" i="313" s="1"/>
  <c r="K48" i="327"/>
  <c r="K52" i="327" s="1"/>
  <c r="K191" i="329" s="1"/>
  <c r="K200" i="329" s="1"/>
  <c r="H204" i="310"/>
  <c r="L78" i="322"/>
  <c r="L92" i="322" s="1"/>
  <c r="L79" i="322"/>
  <c r="H204" i="320"/>
  <c r="L40" i="312"/>
  <c r="L42" i="312" s="1"/>
  <c r="L43" i="312" s="1"/>
  <c r="L44" i="312" s="1"/>
  <c r="L46" i="312" s="1"/>
  <c r="L48" i="312" s="1"/>
  <c r="L52" i="312" s="1"/>
  <c r="L191" i="313" s="1"/>
  <c r="L79" i="314"/>
  <c r="L78" i="314"/>
  <c r="L78" i="325"/>
  <c r="L92" i="325" s="1"/>
  <c r="L79" i="325"/>
  <c r="K92" i="322"/>
  <c r="K110" i="328"/>
  <c r="M16" i="328"/>
  <c r="M17" i="328"/>
  <c r="L60" i="314"/>
  <c r="L126" i="314" s="1"/>
  <c r="J129" i="314"/>
  <c r="J130" i="314" s="1"/>
  <c r="J135" i="314" s="1"/>
  <c r="J87" i="314" s="1"/>
  <c r="J28" i="313" s="1"/>
  <c r="J32" i="313" s="1"/>
  <c r="J67" i="314"/>
  <c r="J68" i="314" s="1"/>
  <c r="J73" i="314" s="1"/>
  <c r="J25" i="314" s="1"/>
  <c r="J16" i="313" s="1"/>
  <c r="K126" i="314"/>
  <c r="K64" i="314"/>
  <c r="L79" i="316"/>
  <c r="L78" i="316"/>
  <c r="L92" i="316" s="1"/>
  <c r="L78" i="328"/>
  <c r="L110" i="328" s="1"/>
  <c r="L79" i="328"/>
  <c r="K101" i="328"/>
  <c r="K118" i="328" s="1"/>
  <c r="K85" i="328" s="1"/>
  <c r="K110" i="319"/>
  <c r="L78" i="319"/>
  <c r="L101" i="319" s="1"/>
  <c r="L79" i="319"/>
  <c r="I202" i="329"/>
  <c r="J86" i="328"/>
  <c r="J27" i="329" s="1"/>
  <c r="J31" i="329" s="1"/>
  <c r="I189" i="329"/>
  <c r="I196" i="329" s="1"/>
  <c r="I204" i="329" s="1"/>
  <c r="I83" i="329"/>
  <c r="J72" i="323"/>
  <c r="J76" i="323" s="1"/>
  <c r="J128" i="323"/>
  <c r="K48" i="318"/>
  <c r="K52" i="318" s="1"/>
  <c r="K191" i="320" s="1"/>
  <c r="J201" i="320"/>
  <c r="I35" i="326"/>
  <c r="J126" i="317"/>
  <c r="I23" i="320"/>
  <c r="I202" i="317"/>
  <c r="J181" i="317"/>
  <c r="J185" i="317" s="1"/>
  <c r="J182" i="317"/>
  <c r="J186" i="317" s="1"/>
  <c r="J127" i="317"/>
  <c r="I35" i="317"/>
  <c r="K49" i="315"/>
  <c r="K71" i="317" s="1"/>
  <c r="K75" i="317" s="1"/>
  <c r="J71" i="323"/>
  <c r="J75" i="323" s="1"/>
  <c r="J127" i="323"/>
  <c r="K50" i="315"/>
  <c r="K183" i="317" s="1"/>
  <c r="K187" i="317" s="1"/>
  <c r="L40" i="324"/>
  <c r="L42" i="324" s="1"/>
  <c r="L43" i="324" s="1"/>
  <c r="L44" i="324" s="1"/>
  <c r="L46" i="324" s="1"/>
  <c r="L50" i="324" s="1"/>
  <c r="I41" i="323"/>
  <c r="M16" i="316"/>
  <c r="M17" i="316"/>
  <c r="H43" i="313"/>
  <c r="M16" i="314"/>
  <c r="M17" i="314"/>
  <c r="M122" i="314" s="1"/>
  <c r="L64" i="314"/>
  <c r="M15" i="279"/>
  <c r="M16" i="309"/>
  <c r="M59" i="309" s="1"/>
  <c r="M63" i="309" s="1"/>
  <c r="M66" i="309" s="1"/>
  <c r="M67" i="309" s="1"/>
  <c r="M72" i="309" s="1"/>
  <c r="M15" i="309"/>
  <c r="M16" i="307"/>
  <c r="M59" i="307" s="1"/>
  <c r="M15" i="307"/>
  <c r="M16" i="304"/>
  <c r="M59" i="304" s="1"/>
  <c r="M15" i="304"/>
  <c r="M150" i="326"/>
  <c r="M151" i="326"/>
  <c r="M150" i="323"/>
  <c r="M151" i="323"/>
  <c r="M150" i="320"/>
  <c r="M151" i="320"/>
  <c r="M150" i="317"/>
  <c r="M151" i="317"/>
  <c r="M150" i="313"/>
  <c r="M151" i="313"/>
  <c r="M150" i="278"/>
  <c r="M151" i="278"/>
  <c r="J177" i="329"/>
  <c r="M150" i="272"/>
  <c r="M151" i="272"/>
  <c r="N151" i="269"/>
  <c r="N27" i="269"/>
  <c r="N28" i="269"/>
  <c r="N32" i="269" s="1"/>
  <c r="N29" i="269"/>
  <c r="N33" i="269" s="1"/>
  <c r="N150" i="269"/>
  <c r="G21" i="269"/>
  <c r="G29" i="269"/>
  <c r="G41" i="269" s="1"/>
  <c r="G101" i="260" s="1"/>
  <c r="I39" i="320"/>
  <c r="M18" i="325"/>
  <c r="M41" i="325" s="1"/>
  <c r="J86" i="325"/>
  <c r="J27" i="326" s="1"/>
  <c r="J31" i="326" s="1"/>
  <c r="G32" i="272"/>
  <c r="G35" i="272" s="1"/>
  <c r="I40" i="329"/>
  <c r="I20" i="329"/>
  <c r="I35" i="323"/>
  <c r="K126" i="325"/>
  <c r="K64" i="325"/>
  <c r="M84" i="316"/>
  <c r="M76" i="316"/>
  <c r="M28" i="316"/>
  <c r="M22" i="316"/>
  <c r="M90" i="316"/>
  <c r="M22" i="328"/>
  <c r="M90" i="328"/>
  <c r="M84" i="328"/>
  <c r="M76" i="328"/>
  <c r="M28" i="328"/>
  <c r="L122" i="325"/>
  <c r="L60" i="325"/>
  <c r="L92" i="319"/>
  <c r="J86" i="316"/>
  <c r="J27" i="317" s="1"/>
  <c r="J31" i="317" s="1"/>
  <c r="J29" i="317"/>
  <c r="N10" i="324"/>
  <c r="N16" i="325" s="1"/>
  <c r="L103" i="319"/>
  <c r="L94" i="319"/>
  <c r="K118" i="316"/>
  <c r="K85" i="316" s="1"/>
  <c r="N11" i="321"/>
  <c r="N18" i="322" s="1"/>
  <c r="K39" i="328"/>
  <c r="K56" i="328" s="1"/>
  <c r="K23" i="328" s="1"/>
  <c r="K30" i="328"/>
  <c r="K48" i="328"/>
  <c r="L122" i="328"/>
  <c r="L60" i="328"/>
  <c r="J129" i="325"/>
  <c r="J130" i="325" s="1"/>
  <c r="J135" i="325" s="1"/>
  <c r="J87" i="325" s="1"/>
  <c r="J28" i="326" s="1"/>
  <c r="J32" i="326" s="1"/>
  <c r="J67" i="325"/>
  <c r="J68" i="325" s="1"/>
  <c r="J73" i="325" s="1"/>
  <c r="J25" i="325" s="1"/>
  <c r="J16" i="326" s="1"/>
  <c r="J20" i="326" s="1"/>
  <c r="J24" i="325"/>
  <c r="J15" i="326" s="1"/>
  <c r="J129" i="319"/>
  <c r="J130" i="319" s="1"/>
  <c r="J135" i="319" s="1"/>
  <c r="J87" i="319" s="1"/>
  <c r="J28" i="320" s="1"/>
  <c r="J32" i="320" s="1"/>
  <c r="J67" i="319"/>
  <c r="J68" i="319" s="1"/>
  <c r="J73" i="319" s="1"/>
  <c r="J25" i="319" s="1"/>
  <c r="J16" i="320" s="1"/>
  <c r="J20" i="320" s="1"/>
  <c r="J24" i="319"/>
  <c r="J15" i="320" s="1"/>
  <c r="J19" i="320" s="1"/>
  <c r="L103" i="316"/>
  <c r="L94" i="316"/>
  <c r="L39" i="319"/>
  <c r="L56" i="319" s="1"/>
  <c r="L23" i="319" s="1"/>
  <c r="L17" i="320" s="1"/>
  <c r="L21" i="320" s="1"/>
  <c r="L30" i="319"/>
  <c r="L48" i="319"/>
  <c r="L40" i="315"/>
  <c r="L42" i="315" s="1"/>
  <c r="L43" i="315" s="1"/>
  <c r="L44" i="315" s="1"/>
  <c r="L46" i="315" s="1"/>
  <c r="L50" i="315" s="1"/>
  <c r="M84" i="322"/>
  <c r="M90" i="322"/>
  <c r="M76" i="322"/>
  <c r="M22" i="322"/>
  <c r="M28" i="322"/>
  <c r="I40" i="317"/>
  <c r="L122" i="316"/>
  <c r="L60" i="316"/>
  <c r="M32" i="328"/>
  <c r="M41" i="328"/>
  <c r="J86" i="322"/>
  <c r="J27" i="323" s="1"/>
  <c r="J31" i="323" s="1"/>
  <c r="J29" i="323"/>
  <c r="K126" i="322"/>
  <c r="K64" i="322"/>
  <c r="K126" i="319"/>
  <c r="K64" i="319"/>
  <c r="M38" i="327"/>
  <c r="M80" i="328" s="1"/>
  <c r="M38" i="321"/>
  <c r="M80" i="322" s="1"/>
  <c r="M38" i="324"/>
  <c r="M80" i="325" s="1"/>
  <c r="M32" i="322"/>
  <c r="M41" i="322"/>
  <c r="P62" i="267"/>
  <c r="F35" i="278"/>
  <c r="F43" i="278" s="1"/>
  <c r="M84" i="319"/>
  <c r="M76" i="319"/>
  <c r="M90" i="319"/>
  <c r="M28" i="319"/>
  <c r="M22" i="319"/>
  <c r="K126" i="316"/>
  <c r="K64" i="316"/>
  <c r="L103" i="322"/>
  <c r="L94" i="322"/>
  <c r="K118" i="319"/>
  <c r="K85" i="319" s="1"/>
  <c r="O68" i="267"/>
  <c r="M37" i="324"/>
  <c r="M40" i="324" s="1"/>
  <c r="M42" i="324" s="1"/>
  <c r="M43" i="324" s="1"/>
  <c r="M44" i="324" s="1"/>
  <c r="M46" i="324" s="1"/>
  <c r="M37" i="321"/>
  <c r="M40" i="321" s="1"/>
  <c r="M42" i="321" s="1"/>
  <c r="M43" i="321" s="1"/>
  <c r="M44" i="321" s="1"/>
  <c r="M46" i="321" s="1"/>
  <c r="M37" i="327"/>
  <c r="J67" i="316"/>
  <c r="J68" i="316" s="1"/>
  <c r="J73" i="316" s="1"/>
  <c r="J25" i="316" s="1"/>
  <c r="J16" i="317" s="1"/>
  <c r="J20" i="317" s="1"/>
  <c r="J129" i="316"/>
  <c r="J130" i="316" s="1"/>
  <c r="J135" i="316" s="1"/>
  <c r="J87" i="316" s="1"/>
  <c r="J28" i="317" s="1"/>
  <c r="J24" i="316"/>
  <c r="J15" i="317" s="1"/>
  <c r="J129" i="328"/>
  <c r="J130" i="328" s="1"/>
  <c r="J135" i="328" s="1"/>
  <c r="J87" i="328" s="1"/>
  <c r="J28" i="329" s="1"/>
  <c r="J32" i="329" s="1"/>
  <c r="J67" i="328"/>
  <c r="J68" i="328" s="1"/>
  <c r="J73" i="328" s="1"/>
  <c r="J25" i="328" s="1"/>
  <c r="J16" i="329" s="1"/>
  <c r="J24" i="328"/>
  <c r="J15" i="329" s="1"/>
  <c r="J19" i="329" s="1"/>
  <c r="L103" i="325"/>
  <c r="L94" i="325"/>
  <c r="J86" i="319"/>
  <c r="J27" i="320" s="1"/>
  <c r="J31" i="320" s="1"/>
  <c r="J29" i="320"/>
  <c r="M38" i="318"/>
  <c r="M80" i="319" s="1"/>
  <c r="M38" i="312"/>
  <c r="M80" i="314" s="1"/>
  <c r="M38" i="315"/>
  <c r="M80" i="316" s="1"/>
  <c r="L60" i="322"/>
  <c r="L122" i="322"/>
  <c r="L122" i="319"/>
  <c r="L60" i="319"/>
  <c r="L30" i="316"/>
  <c r="L56" i="316" s="1"/>
  <c r="L23" i="316" s="1"/>
  <c r="L17" i="317" s="1"/>
  <c r="L21" i="317" s="1"/>
  <c r="L39" i="316"/>
  <c r="L48" i="316"/>
  <c r="L101" i="325"/>
  <c r="K126" i="328"/>
  <c r="K64" i="328"/>
  <c r="L103" i="328"/>
  <c r="L94" i="328"/>
  <c r="J129" i="322"/>
  <c r="J130" i="322" s="1"/>
  <c r="J135" i="322" s="1"/>
  <c r="J87" i="322" s="1"/>
  <c r="J28" i="323" s="1"/>
  <c r="J67" i="322"/>
  <c r="J68" i="322" s="1"/>
  <c r="J73" i="322" s="1"/>
  <c r="J25" i="322" s="1"/>
  <c r="J16" i="323" s="1"/>
  <c r="J20" i="323" s="1"/>
  <c r="J24" i="322"/>
  <c r="J15" i="323" s="1"/>
  <c r="J19" i="323" s="1"/>
  <c r="M22" i="325"/>
  <c r="M28" i="325"/>
  <c r="M84" i="325"/>
  <c r="M76" i="325"/>
  <c r="M90" i="325"/>
  <c r="I39" i="323"/>
  <c r="K39" i="325"/>
  <c r="K56" i="325" s="1"/>
  <c r="K23" i="325" s="1"/>
  <c r="K48" i="325"/>
  <c r="K30" i="325"/>
  <c r="L39" i="322"/>
  <c r="L56" i="322" s="1"/>
  <c r="L23" i="322" s="1"/>
  <c r="L17" i="323" s="1"/>
  <c r="L21" i="323" s="1"/>
  <c r="L48" i="322"/>
  <c r="L30" i="322"/>
  <c r="I40" i="323"/>
  <c r="I39" i="313"/>
  <c r="K113" i="310"/>
  <c r="J177" i="313"/>
  <c r="J175" i="310"/>
  <c r="J177" i="310" s="1"/>
  <c r="K112" i="310"/>
  <c r="K33" i="308"/>
  <c r="K173" i="310" s="1"/>
  <c r="K201" i="310" s="1"/>
  <c r="K56" i="310"/>
  <c r="K63" i="310" s="1"/>
  <c r="F101" i="260"/>
  <c r="K53" i="312"/>
  <c r="K192" i="313" s="1"/>
  <c r="K201" i="313" s="1"/>
  <c r="E111" i="260"/>
  <c r="K200" i="313"/>
  <c r="I41" i="313"/>
  <c r="J29" i="313"/>
  <c r="J33" i="313" s="1"/>
  <c r="J86" i="314"/>
  <c r="J27" i="313" s="1"/>
  <c r="J31" i="313" s="1"/>
  <c r="M37" i="318"/>
  <c r="M40" i="318" s="1"/>
  <c r="M42" i="318" s="1"/>
  <c r="M43" i="318" s="1"/>
  <c r="M44" i="318" s="1"/>
  <c r="M46" i="318" s="1"/>
  <c r="M37" i="315"/>
  <c r="M37" i="312"/>
  <c r="K101" i="314"/>
  <c r="K92" i="314"/>
  <c r="K118" i="314" s="1"/>
  <c r="K85" i="314" s="1"/>
  <c r="K110" i="314"/>
  <c r="I35" i="313"/>
  <c r="N10" i="315"/>
  <c r="N10" i="318"/>
  <c r="N16" i="319" s="1"/>
  <c r="N10" i="312"/>
  <c r="P61" i="267"/>
  <c r="P63" i="267" s="1"/>
  <c r="M76" i="314"/>
  <c r="M84" i="314"/>
  <c r="M90" i="314"/>
  <c r="K23" i="314"/>
  <c r="J17" i="313"/>
  <c r="I20" i="313"/>
  <c r="I23" i="313" s="1"/>
  <c r="I40" i="313"/>
  <c r="G23" i="329"/>
  <c r="I177" i="310"/>
  <c r="I204" i="310" s="1"/>
  <c r="F35" i="272"/>
  <c r="F43" i="272" s="1"/>
  <c r="I204" i="313"/>
  <c r="G35" i="323"/>
  <c r="I177" i="323"/>
  <c r="I204" i="323" s="1"/>
  <c r="G23" i="323"/>
  <c r="I39" i="326"/>
  <c r="I85" i="310"/>
  <c r="J83" i="310"/>
  <c r="K32" i="308"/>
  <c r="K172" i="310" s="1"/>
  <c r="K175" i="313"/>
  <c r="K55" i="310"/>
  <c r="K62" i="310" s="1"/>
  <c r="I40" i="326"/>
  <c r="J202" i="310"/>
  <c r="F39" i="329"/>
  <c r="F40" i="329"/>
  <c r="F35" i="329"/>
  <c r="K170" i="313"/>
  <c r="E40" i="329"/>
  <c r="J66" i="320"/>
  <c r="G40" i="323"/>
  <c r="I177" i="317"/>
  <c r="I204" i="317" s="1"/>
  <c r="J170" i="323"/>
  <c r="E39" i="329"/>
  <c r="J62" i="310"/>
  <c r="J66" i="310" s="1"/>
  <c r="J85" i="310" s="1"/>
  <c r="G39" i="329"/>
  <c r="H23" i="326"/>
  <c r="H43" i="326" s="1"/>
  <c r="K66" i="313"/>
  <c r="F40" i="326"/>
  <c r="H23" i="323"/>
  <c r="H43" i="323" s="1"/>
  <c r="G40" i="329"/>
  <c r="F23" i="323"/>
  <c r="E40" i="326"/>
  <c r="E39" i="326"/>
  <c r="J170" i="317"/>
  <c r="G40" i="326"/>
  <c r="D39" i="326"/>
  <c r="E39" i="323"/>
  <c r="F39" i="326"/>
  <c r="D23" i="326"/>
  <c r="D39" i="323"/>
  <c r="G35" i="326"/>
  <c r="K114" i="326"/>
  <c r="K161" i="326"/>
  <c r="K168" i="326" s="1"/>
  <c r="K57" i="326"/>
  <c r="K64" i="326" s="1"/>
  <c r="M17" i="319"/>
  <c r="M14" i="318"/>
  <c r="M16" i="318" s="1"/>
  <c r="M17" i="318" s="1"/>
  <c r="M18" i="318" s="1"/>
  <c r="M20" i="318" s="1"/>
  <c r="I23" i="326"/>
  <c r="K159" i="317"/>
  <c r="K166" i="317" s="1"/>
  <c r="K32" i="315"/>
  <c r="K172" i="317" s="1"/>
  <c r="K112" i="317"/>
  <c r="K55" i="317"/>
  <c r="K62" i="317" s="1"/>
  <c r="M17" i="325"/>
  <c r="M14" i="324"/>
  <c r="M16" i="324" s="1"/>
  <c r="M17" i="324" s="1"/>
  <c r="M18" i="324" s="1"/>
  <c r="M20" i="324" s="1"/>
  <c r="J200" i="320"/>
  <c r="J175" i="320"/>
  <c r="L27" i="324"/>
  <c r="L26" i="324"/>
  <c r="L25" i="324"/>
  <c r="J21" i="329"/>
  <c r="J41" i="329"/>
  <c r="F35" i="326"/>
  <c r="L159" i="313"/>
  <c r="L166" i="313" s="1"/>
  <c r="L112" i="313"/>
  <c r="L32" i="312"/>
  <c r="L172" i="313" s="1"/>
  <c r="L55" i="313"/>
  <c r="L62" i="313" s="1"/>
  <c r="K127" i="310"/>
  <c r="L25" i="321"/>
  <c r="L27" i="321"/>
  <c r="L26" i="321"/>
  <c r="D35" i="323"/>
  <c r="M27" i="327"/>
  <c r="M25" i="327"/>
  <c r="M26" i="327"/>
  <c r="E35" i="323"/>
  <c r="L25" i="318"/>
  <c r="L27" i="318"/>
  <c r="L26" i="318"/>
  <c r="F23" i="326"/>
  <c r="L114" i="313"/>
  <c r="L161" i="313"/>
  <c r="L168" i="313" s="1"/>
  <c r="L57" i="313"/>
  <c r="L64" i="313" s="1"/>
  <c r="I177" i="320"/>
  <c r="I204" i="320" s="1"/>
  <c r="J66" i="317"/>
  <c r="D23" i="323"/>
  <c r="M14" i="321"/>
  <c r="M16" i="321" s="1"/>
  <c r="M17" i="321" s="1"/>
  <c r="M18" i="321" s="1"/>
  <c r="M20" i="321" s="1"/>
  <c r="M17" i="322"/>
  <c r="E23" i="323"/>
  <c r="K161" i="323"/>
  <c r="K168" i="323" s="1"/>
  <c r="K114" i="323"/>
  <c r="K57" i="323"/>
  <c r="K64" i="323" s="1"/>
  <c r="K114" i="320"/>
  <c r="K161" i="320"/>
  <c r="K168" i="320" s="1"/>
  <c r="K57" i="320"/>
  <c r="K64" i="320" s="1"/>
  <c r="L33" i="312"/>
  <c r="L173" i="313" s="1"/>
  <c r="L113" i="313"/>
  <c r="L160" i="313"/>
  <c r="L167" i="313" s="1"/>
  <c r="L56" i="313"/>
  <c r="L63" i="313" s="1"/>
  <c r="J66" i="323"/>
  <c r="G39" i="323"/>
  <c r="D40" i="326"/>
  <c r="F23" i="329"/>
  <c r="G39" i="326"/>
  <c r="I177" i="326"/>
  <c r="L113" i="329"/>
  <c r="L56" i="329"/>
  <c r="L63" i="329" s="1"/>
  <c r="L160" i="329"/>
  <c r="L167" i="329" s="1"/>
  <c r="L33" i="327"/>
  <c r="L173" i="329" s="1"/>
  <c r="K55" i="323"/>
  <c r="K62" i="323" s="1"/>
  <c r="K159" i="323"/>
  <c r="K166" i="323" s="1"/>
  <c r="K32" i="321"/>
  <c r="K172" i="323" s="1"/>
  <c r="K112" i="323"/>
  <c r="E35" i="326"/>
  <c r="K112" i="320"/>
  <c r="K159" i="320"/>
  <c r="K166" i="320" s="1"/>
  <c r="K32" i="318"/>
  <c r="K172" i="320" s="1"/>
  <c r="K55" i="320"/>
  <c r="K62" i="320" s="1"/>
  <c r="G35" i="329"/>
  <c r="K170" i="329"/>
  <c r="J170" i="326"/>
  <c r="L112" i="329"/>
  <c r="L159" i="329"/>
  <c r="L166" i="329" s="1"/>
  <c r="L55" i="329"/>
  <c r="L62" i="329" s="1"/>
  <c r="L32" i="327"/>
  <c r="L172" i="329" s="1"/>
  <c r="I19" i="329"/>
  <c r="I39" i="329"/>
  <c r="K56" i="323"/>
  <c r="K63" i="323" s="1"/>
  <c r="K33" i="321"/>
  <c r="K173" i="323" s="1"/>
  <c r="K201" i="323" s="1"/>
  <c r="K160" i="323"/>
  <c r="K167" i="323" s="1"/>
  <c r="K113" i="323"/>
  <c r="E23" i="326"/>
  <c r="K33" i="318"/>
  <c r="K173" i="320" s="1"/>
  <c r="K56" i="320"/>
  <c r="K63" i="320" s="1"/>
  <c r="K160" i="320"/>
  <c r="K167" i="320" s="1"/>
  <c r="K113" i="320"/>
  <c r="D39" i="329"/>
  <c r="J200" i="326"/>
  <c r="J175" i="326"/>
  <c r="K32" i="324"/>
  <c r="K172" i="326" s="1"/>
  <c r="K159" i="326"/>
  <c r="K166" i="326" s="1"/>
  <c r="K112" i="326"/>
  <c r="K55" i="326"/>
  <c r="K62" i="326" s="1"/>
  <c r="M25" i="312"/>
  <c r="M27" i="312"/>
  <c r="M26" i="312"/>
  <c r="G23" i="326"/>
  <c r="L57" i="329"/>
  <c r="L64" i="329" s="1"/>
  <c r="L114" i="329"/>
  <c r="L161" i="329"/>
  <c r="L168" i="329" s="1"/>
  <c r="F39" i="323"/>
  <c r="J17" i="326"/>
  <c r="D40" i="329"/>
  <c r="E35" i="329"/>
  <c r="D23" i="329"/>
  <c r="K113" i="317"/>
  <c r="K160" i="317"/>
  <c r="K167" i="317" s="1"/>
  <c r="K56" i="317"/>
  <c r="K63" i="317" s="1"/>
  <c r="K33" i="315"/>
  <c r="K173" i="317" s="1"/>
  <c r="K201" i="317" s="1"/>
  <c r="J200" i="323"/>
  <c r="J175" i="323"/>
  <c r="D40" i="323"/>
  <c r="D35" i="326"/>
  <c r="E40" i="323"/>
  <c r="K160" i="326"/>
  <c r="K167" i="326" s="1"/>
  <c r="K56" i="326"/>
  <c r="K63" i="326" s="1"/>
  <c r="K113" i="326"/>
  <c r="K33" i="324"/>
  <c r="K173" i="326" s="1"/>
  <c r="K201" i="326" s="1"/>
  <c r="F40" i="323"/>
  <c r="M14" i="315"/>
  <c r="M16" i="315" s="1"/>
  <c r="M17" i="315" s="1"/>
  <c r="M18" i="315" s="1"/>
  <c r="M20" i="315" s="1"/>
  <c r="H23" i="329"/>
  <c r="H43" i="329" s="1"/>
  <c r="J170" i="320"/>
  <c r="F35" i="323"/>
  <c r="I23" i="323"/>
  <c r="L25" i="315"/>
  <c r="L27" i="315"/>
  <c r="L26" i="315"/>
  <c r="E23" i="329"/>
  <c r="D35" i="329"/>
  <c r="K161" i="317"/>
  <c r="K168" i="317" s="1"/>
  <c r="K114" i="317"/>
  <c r="K57" i="317"/>
  <c r="K64" i="317" s="1"/>
  <c r="J66" i="326"/>
  <c r="J200" i="317"/>
  <c r="J175" i="317"/>
  <c r="M41" i="314"/>
  <c r="L39" i="314"/>
  <c r="L48" i="314"/>
  <c r="L30" i="314"/>
  <c r="L56" i="314" s="1"/>
  <c r="E32" i="269"/>
  <c r="E35" i="269" s="1"/>
  <c r="I78" i="323"/>
  <c r="I85" i="323" s="1"/>
  <c r="I82" i="323"/>
  <c r="M14" i="319"/>
  <c r="I78" i="329"/>
  <c r="I85" i="329" s="1"/>
  <c r="I82" i="329"/>
  <c r="J189" i="326"/>
  <c r="J196" i="326" s="1"/>
  <c r="J202" i="326"/>
  <c r="L194" i="323"/>
  <c r="J74" i="326"/>
  <c r="J83" i="326"/>
  <c r="K70" i="326"/>
  <c r="K181" i="326"/>
  <c r="K185" i="326" s="1"/>
  <c r="K126" i="326"/>
  <c r="L49" i="318"/>
  <c r="L48" i="318"/>
  <c r="L52" i="318" s="1"/>
  <c r="L191" i="320" s="1"/>
  <c r="L50" i="318"/>
  <c r="J189" i="320"/>
  <c r="J196" i="320" s="1"/>
  <c r="J202" i="320"/>
  <c r="K71" i="329"/>
  <c r="K75" i="329" s="1"/>
  <c r="K182" i="329"/>
  <c r="K186" i="329" s="1"/>
  <c r="K127" i="329"/>
  <c r="K182" i="320"/>
  <c r="K186" i="320" s="1"/>
  <c r="K127" i="320"/>
  <c r="K71" i="320"/>
  <c r="K75" i="320" s="1"/>
  <c r="K126" i="317"/>
  <c r="K181" i="317"/>
  <c r="K185" i="317" s="1"/>
  <c r="K70" i="317"/>
  <c r="J74" i="320"/>
  <c r="J83" i="320"/>
  <c r="M28" i="314"/>
  <c r="M22" i="314"/>
  <c r="M14" i="314"/>
  <c r="M14" i="325"/>
  <c r="K183" i="320"/>
  <c r="K187" i="320" s="1"/>
  <c r="L50" i="321"/>
  <c r="L48" i="321"/>
  <c r="L49" i="321"/>
  <c r="K128" i="313"/>
  <c r="K72" i="313"/>
  <c r="K76" i="313" s="1"/>
  <c r="K183" i="313"/>
  <c r="K187" i="313" s="1"/>
  <c r="I78" i="320"/>
  <c r="I85" i="320" s="1"/>
  <c r="I82" i="320"/>
  <c r="J74" i="323"/>
  <c r="L194" i="326"/>
  <c r="L26" i="308"/>
  <c r="L160" i="310" s="1"/>
  <c r="L167" i="310" s="1"/>
  <c r="L50" i="327"/>
  <c r="L49" i="327"/>
  <c r="L48" i="327"/>
  <c r="L52" i="327" s="1"/>
  <c r="L191" i="329" s="1"/>
  <c r="K182" i="313"/>
  <c r="K186" i="313" s="1"/>
  <c r="K127" i="313"/>
  <c r="K71" i="313"/>
  <c r="K75" i="313" s="1"/>
  <c r="I78" i="326"/>
  <c r="I85" i="326" s="1"/>
  <c r="I82" i="326"/>
  <c r="M14" i="316"/>
  <c r="M14" i="328"/>
  <c r="L194" i="317"/>
  <c r="K71" i="323"/>
  <c r="K75" i="323" s="1"/>
  <c r="K127" i="323"/>
  <c r="K182" i="323"/>
  <c r="K186" i="323" s="1"/>
  <c r="N3" i="329"/>
  <c r="N1" i="328"/>
  <c r="N3" i="326"/>
  <c r="N1" i="325"/>
  <c r="N1" i="322"/>
  <c r="N1" i="319"/>
  <c r="N3" i="317"/>
  <c r="N3" i="323"/>
  <c r="N3" i="320"/>
  <c r="N1" i="316"/>
  <c r="N3" i="313"/>
  <c r="N1" i="314"/>
  <c r="K182" i="310"/>
  <c r="K186" i="310" s="1"/>
  <c r="L27" i="308"/>
  <c r="L57" i="310" s="1"/>
  <c r="L64" i="310" s="1"/>
  <c r="I78" i="317"/>
  <c r="I85" i="317" s="1"/>
  <c r="I82" i="317"/>
  <c r="K181" i="313"/>
  <c r="K185" i="313" s="1"/>
  <c r="K70" i="313"/>
  <c r="K126" i="313"/>
  <c r="K140" i="313" s="1"/>
  <c r="I78" i="313"/>
  <c r="I85" i="313" s="1"/>
  <c r="I82" i="313"/>
  <c r="J83" i="313"/>
  <c r="J189" i="329"/>
  <c r="J196" i="329" s="1"/>
  <c r="J189" i="323"/>
  <c r="J196" i="323" s="1"/>
  <c r="J202" i="323"/>
  <c r="K72" i="323"/>
  <c r="K76" i="323" s="1"/>
  <c r="K183" i="323"/>
  <c r="K187" i="323" s="1"/>
  <c r="K128" i="323"/>
  <c r="M150" i="329"/>
  <c r="M151" i="329"/>
  <c r="J74" i="317"/>
  <c r="J83" i="317"/>
  <c r="J74" i="329"/>
  <c r="M14" i="322"/>
  <c r="K181" i="323"/>
  <c r="K185" i="323" s="1"/>
  <c r="K70" i="323"/>
  <c r="K126" i="323"/>
  <c r="M14" i="308"/>
  <c r="M16" i="308" s="1"/>
  <c r="M17" i="308" s="1"/>
  <c r="M18" i="308" s="1"/>
  <c r="M20" i="308" s="1"/>
  <c r="M26" i="308" s="1"/>
  <c r="M27" i="304"/>
  <c r="K23" i="309"/>
  <c r="K15" i="310" s="1"/>
  <c r="K39" i="310" s="1"/>
  <c r="J189" i="310"/>
  <c r="J196" i="310" s="1"/>
  <c r="K183" i="310"/>
  <c r="K187" i="310" s="1"/>
  <c r="K126" i="303"/>
  <c r="H35" i="306"/>
  <c r="H43" i="306" s="1"/>
  <c r="H33" i="278"/>
  <c r="K126" i="310"/>
  <c r="K70" i="310"/>
  <c r="K74" i="310" s="1"/>
  <c r="K78" i="310" s="1"/>
  <c r="K128" i="310"/>
  <c r="F32" i="269"/>
  <c r="F35" i="269" s="1"/>
  <c r="L49" i="308"/>
  <c r="L182" i="310" s="1"/>
  <c r="L186" i="310" s="1"/>
  <c r="L50" i="308"/>
  <c r="L183" i="310" s="1"/>
  <c r="L187" i="310" s="1"/>
  <c r="L48" i="308"/>
  <c r="L126" i="310" s="1"/>
  <c r="N10" i="277"/>
  <c r="N10" i="268"/>
  <c r="N15" i="270" s="1"/>
  <c r="N10" i="308"/>
  <c r="N10" i="302"/>
  <c r="M37" i="305"/>
  <c r="M40" i="305" s="1"/>
  <c r="M42" i="305" s="1"/>
  <c r="M43" i="305" s="1"/>
  <c r="M44" i="305" s="1"/>
  <c r="M46" i="305" s="1"/>
  <c r="M37" i="302"/>
  <c r="M40" i="302" s="1"/>
  <c r="M42" i="302" s="1"/>
  <c r="M43" i="302" s="1"/>
  <c r="M44" i="302" s="1"/>
  <c r="M46" i="302" s="1"/>
  <c r="M50" i="302" s="1"/>
  <c r="M37" i="277"/>
  <c r="M40" i="277" s="1"/>
  <c r="M42" i="277" s="1"/>
  <c r="M43" i="277" s="1"/>
  <c r="M44" i="277" s="1"/>
  <c r="M46" i="277" s="1"/>
  <c r="M37" i="271"/>
  <c r="M40" i="271" s="1"/>
  <c r="M42" i="271" s="1"/>
  <c r="M43" i="271" s="1"/>
  <c r="M44" i="271" s="1"/>
  <c r="M46" i="271" s="1"/>
  <c r="M37" i="308"/>
  <c r="M40" i="308" s="1"/>
  <c r="M42" i="308" s="1"/>
  <c r="M43" i="308" s="1"/>
  <c r="M44" i="308" s="1"/>
  <c r="M46" i="308" s="1"/>
  <c r="I40" i="303"/>
  <c r="I20" i="303"/>
  <c r="I41" i="303"/>
  <c r="I21" i="303"/>
  <c r="K24" i="309"/>
  <c r="K16" i="310" s="1"/>
  <c r="K40" i="310" s="1"/>
  <c r="J19" i="310"/>
  <c r="J39" i="303"/>
  <c r="J19" i="303"/>
  <c r="P57" i="267"/>
  <c r="P52" i="267"/>
  <c r="G32" i="278"/>
  <c r="G35" i="278" s="1"/>
  <c r="M38" i="308"/>
  <c r="M38" i="305"/>
  <c r="M38" i="268"/>
  <c r="M38" i="277"/>
  <c r="M38" i="302"/>
  <c r="M38" i="271"/>
  <c r="M29" i="272"/>
  <c r="M33" i="272" s="1"/>
  <c r="M28" i="272"/>
  <c r="M32" i="272" s="1"/>
  <c r="M27" i="272"/>
  <c r="G39" i="272"/>
  <c r="J40" i="272"/>
  <c r="J20" i="272"/>
  <c r="I41" i="272"/>
  <c r="I21" i="272"/>
  <c r="H31" i="272"/>
  <c r="H19" i="272"/>
  <c r="H20" i="272"/>
  <c r="H28" i="272"/>
  <c r="H40" i="272" s="1"/>
  <c r="H41" i="272"/>
  <c r="K41" i="306"/>
  <c r="K21" i="306"/>
  <c r="J39" i="306"/>
  <c r="J19" i="306"/>
  <c r="J40" i="306"/>
  <c r="J20" i="306"/>
  <c r="J40" i="310"/>
  <c r="J20" i="310"/>
  <c r="K41" i="310"/>
  <c r="K21" i="310"/>
  <c r="M27" i="278"/>
  <c r="M29" i="278"/>
  <c r="M33" i="278" s="1"/>
  <c r="M28" i="278"/>
  <c r="M32" i="278" s="1"/>
  <c r="J41" i="278"/>
  <c r="J21" i="278"/>
  <c r="G39" i="278"/>
  <c r="H20" i="278"/>
  <c r="H28" i="278"/>
  <c r="H40" i="278" s="1"/>
  <c r="H27" i="278"/>
  <c r="H39" i="278" s="1"/>
  <c r="H19" i="278"/>
  <c r="I41" i="278"/>
  <c r="I21" i="278"/>
  <c r="I41" i="269"/>
  <c r="I21" i="269"/>
  <c r="G31" i="269"/>
  <c r="G19" i="269"/>
  <c r="H31" i="269"/>
  <c r="H19" i="269"/>
  <c r="H41" i="269"/>
  <c r="F39" i="269"/>
  <c r="H20" i="269"/>
  <c r="H28" i="269"/>
  <c r="H40" i="269" s="1"/>
  <c r="E39" i="269"/>
  <c r="G40" i="269"/>
  <c r="G20" i="269"/>
  <c r="L9" i="272"/>
  <c r="K31" i="272"/>
  <c r="K35" i="272" s="1"/>
  <c r="P11" i="278"/>
  <c r="O10" i="269"/>
  <c r="Q11" i="303"/>
  <c r="P33" i="303"/>
  <c r="P35" i="303" s="1"/>
  <c r="P10" i="278"/>
  <c r="Q11" i="306"/>
  <c r="P33" i="306"/>
  <c r="P35" i="306" s="1"/>
  <c r="O11" i="269"/>
  <c r="P11" i="272"/>
  <c r="L9" i="278"/>
  <c r="K31" i="278"/>
  <c r="K35" i="278" s="1"/>
  <c r="Q11" i="310"/>
  <c r="P33" i="310"/>
  <c r="P35" i="310" s="1"/>
  <c r="L9" i="269"/>
  <c r="K31" i="269"/>
  <c r="K35" i="269" s="1"/>
  <c r="P10" i="272"/>
  <c r="F23" i="269"/>
  <c r="J78" i="303"/>
  <c r="J202" i="303"/>
  <c r="E23" i="269"/>
  <c r="K70" i="303"/>
  <c r="K74" i="303" s="1"/>
  <c r="J83" i="303"/>
  <c r="L25" i="302"/>
  <c r="L112" i="303" s="1"/>
  <c r="J24" i="304"/>
  <c r="J16" i="303" s="1"/>
  <c r="L47" i="309"/>
  <c r="L38" i="309"/>
  <c r="H204" i="306"/>
  <c r="J17" i="303"/>
  <c r="K55" i="304"/>
  <c r="K22" i="304" s="1"/>
  <c r="K17" i="303" s="1"/>
  <c r="M14" i="271"/>
  <c r="M16" i="271" s="1"/>
  <c r="M17" i="271" s="1"/>
  <c r="M18" i="271" s="1"/>
  <c r="M20" i="271" s="1"/>
  <c r="M16" i="273"/>
  <c r="M59" i="273" s="1"/>
  <c r="M14" i="277"/>
  <c r="M16" i="277" s="1"/>
  <c r="M17" i="277" s="1"/>
  <c r="M18" i="277" s="1"/>
  <c r="M20" i="277" s="1"/>
  <c r="M16" i="279"/>
  <c r="M59" i="279" s="1"/>
  <c r="M38" i="309"/>
  <c r="K23" i="307"/>
  <c r="K15" i="306" s="1"/>
  <c r="L63" i="304"/>
  <c r="L66" i="304" s="1"/>
  <c r="L67" i="304" s="1"/>
  <c r="L72" i="304" s="1"/>
  <c r="K114" i="303"/>
  <c r="L40" i="304"/>
  <c r="L31" i="304"/>
  <c r="M14" i="268"/>
  <c r="M16" i="268" s="1"/>
  <c r="M16" i="270"/>
  <c r="M59" i="270" s="1"/>
  <c r="L26" i="302"/>
  <c r="L113" i="303" s="1"/>
  <c r="I177" i="306"/>
  <c r="I204" i="306" s="1"/>
  <c r="M13" i="304"/>
  <c r="G43" i="306"/>
  <c r="M194" i="306"/>
  <c r="K55" i="303"/>
  <c r="K62" i="303" s="1"/>
  <c r="K112" i="303"/>
  <c r="J66" i="306"/>
  <c r="L57" i="306"/>
  <c r="L64" i="306" s="1"/>
  <c r="F200" i="269"/>
  <c r="K183" i="303"/>
  <c r="K187" i="303" s="1"/>
  <c r="K189" i="303" s="1"/>
  <c r="K196" i="303" s="1"/>
  <c r="L47" i="304"/>
  <c r="K159" i="303"/>
  <c r="K166" i="303" s="1"/>
  <c r="L25" i="305"/>
  <c r="L32" i="305" s="1"/>
  <c r="L172" i="306" s="1"/>
  <c r="L200" i="306" s="1"/>
  <c r="K128" i="303"/>
  <c r="L29" i="304"/>
  <c r="M194" i="310"/>
  <c r="L50" i="302"/>
  <c r="L72" i="303" s="1"/>
  <c r="L76" i="303" s="1"/>
  <c r="K161" i="303"/>
  <c r="K168" i="303" s="1"/>
  <c r="L161" i="306"/>
  <c r="L168" i="306" s="1"/>
  <c r="K161" i="306"/>
  <c r="K168" i="306" s="1"/>
  <c r="K114" i="306"/>
  <c r="K57" i="306"/>
  <c r="K64" i="306" s="1"/>
  <c r="K57" i="303"/>
  <c r="K64" i="303" s="1"/>
  <c r="M14" i="305"/>
  <c r="M16" i="305" s="1"/>
  <c r="M17" i="305" s="1"/>
  <c r="M18" i="305" s="1"/>
  <c r="M20" i="305" s="1"/>
  <c r="M60" i="307"/>
  <c r="M63" i="307" s="1"/>
  <c r="K170" i="310"/>
  <c r="N60" i="309"/>
  <c r="M194" i="303"/>
  <c r="M27" i="307"/>
  <c r="M13" i="307"/>
  <c r="M21" i="307"/>
  <c r="L112" i="310"/>
  <c r="L159" i="310"/>
  <c r="L166" i="310" s="1"/>
  <c r="L55" i="310"/>
  <c r="L32" i="308"/>
  <c r="L172" i="310" s="1"/>
  <c r="M27" i="309"/>
  <c r="M21" i="309"/>
  <c r="M13" i="309"/>
  <c r="N1" i="304"/>
  <c r="N27" i="304" s="1"/>
  <c r="N1" i="309"/>
  <c r="N1" i="307"/>
  <c r="K56" i="306"/>
  <c r="K63" i="306" s="1"/>
  <c r="K113" i="306"/>
  <c r="K33" i="305"/>
  <c r="K173" i="306" s="1"/>
  <c r="K160" i="306"/>
  <c r="K167" i="306" s="1"/>
  <c r="J200" i="306"/>
  <c r="J175" i="306"/>
  <c r="L47" i="307"/>
  <c r="L38" i="307"/>
  <c r="L29" i="307"/>
  <c r="L55" i="307" s="1"/>
  <c r="L22" i="307" s="1"/>
  <c r="L17" i="306" s="1"/>
  <c r="K24" i="307"/>
  <c r="K16" i="306" s="1"/>
  <c r="L26" i="305"/>
  <c r="L33" i="305" s="1"/>
  <c r="L173" i="306" s="1"/>
  <c r="L201" i="306" s="1"/>
  <c r="J170" i="306"/>
  <c r="D43" i="303"/>
  <c r="L49" i="302"/>
  <c r="L127" i="303" s="1"/>
  <c r="K182" i="306"/>
  <c r="K186" i="306" s="1"/>
  <c r="K127" i="306"/>
  <c r="K71" i="306"/>
  <c r="K75" i="306" s="1"/>
  <c r="K181" i="306"/>
  <c r="K185" i="306" s="1"/>
  <c r="K70" i="306"/>
  <c r="K74" i="306" s="1"/>
  <c r="K126" i="306"/>
  <c r="J76" i="306"/>
  <c r="J83" i="306"/>
  <c r="I78" i="306"/>
  <c r="I85" i="306" s="1"/>
  <c r="I82" i="306"/>
  <c r="J189" i="306"/>
  <c r="J196" i="306" s="1"/>
  <c r="J202" i="306"/>
  <c r="K183" i="306"/>
  <c r="K187" i="306" s="1"/>
  <c r="K72" i="306"/>
  <c r="K128" i="306"/>
  <c r="E31" i="303"/>
  <c r="M60" i="304"/>
  <c r="M14" i="302"/>
  <c r="M16" i="302" s="1"/>
  <c r="M17" i="302" s="1"/>
  <c r="M18" i="302" s="1"/>
  <c r="M20" i="302" s="1"/>
  <c r="M27" i="302" s="1"/>
  <c r="E32" i="303"/>
  <c r="M47" i="304"/>
  <c r="F175" i="303"/>
  <c r="F177" i="303" s="1"/>
  <c r="F204" i="303" s="1"/>
  <c r="F200" i="303"/>
  <c r="I15" i="269"/>
  <c r="I16" i="269"/>
  <c r="H175" i="303"/>
  <c r="H177" i="303" s="1"/>
  <c r="H204" i="303" s="1"/>
  <c r="H200" i="303"/>
  <c r="J17" i="269"/>
  <c r="N10" i="305"/>
  <c r="F31" i="303"/>
  <c r="G175" i="303"/>
  <c r="G177" i="303" s="1"/>
  <c r="G204" i="303" s="1"/>
  <c r="G200" i="303"/>
  <c r="F32" i="303"/>
  <c r="L48" i="305"/>
  <c r="L50" i="305"/>
  <c r="L49" i="305"/>
  <c r="L161" i="303"/>
  <c r="L168" i="303" s="1"/>
  <c r="L114" i="303"/>
  <c r="L57" i="303"/>
  <c r="L64" i="303" s="1"/>
  <c r="L126" i="303"/>
  <c r="L70" i="303"/>
  <c r="L74" i="303" s="1"/>
  <c r="L181" i="303"/>
  <c r="L185" i="303" s="1"/>
  <c r="J82" i="303"/>
  <c r="J66" i="303"/>
  <c r="K75" i="303"/>
  <c r="I24" i="279"/>
  <c r="I16" i="278" s="1"/>
  <c r="I23" i="279"/>
  <c r="I15" i="278" s="1"/>
  <c r="H172" i="269"/>
  <c r="H52" i="268"/>
  <c r="H191" i="269" s="1"/>
  <c r="H173" i="269"/>
  <c r="H53" i="268"/>
  <c r="H192" i="269" s="1"/>
  <c r="K38" i="279"/>
  <c r="W42" i="260"/>
  <c r="I24" i="273"/>
  <c r="I16" i="272" s="1"/>
  <c r="I23" i="273"/>
  <c r="I15" i="272" s="1"/>
  <c r="P56" i="267"/>
  <c r="Q2" i="267"/>
  <c r="N3" i="272"/>
  <c r="N1" i="270"/>
  <c r="N3" i="278"/>
  <c r="N1" i="273"/>
  <c r="P51" i="267"/>
  <c r="N1" i="279"/>
  <c r="M13" i="279"/>
  <c r="M27" i="279"/>
  <c r="M21" i="279"/>
  <c r="M37" i="268"/>
  <c r="M40" i="268" s="1"/>
  <c r="M42" i="268" s="1"/>
  <c r="O53" i="267"/>
  <c r="M13" i="270"/>
  <c r="M21" i="270"/>
  <c r="M27" i="270"/>
  <c r="M13" i="273"/>
  <c r="M27" i="273"/>
  <c r="M21" i="273"/>
  <c r="K47" i="279"/>
  <c r="K55" i="279" s="1"/>
  <c r="K22" i="279" s="1"/>
  <c r="J23" i="273"/>
  <c r="J15" i="272" s="1"/>
  <c r="J17" i="272"/>
  <c r="G85" i="272"/>
  <c r="K38" i="273"/>
  <c r="K29" i="273"/>
  <c r="K47" i="273"/>
  <c r="N10" i="271"/>
  <c r="N15" i="273" s="1"/>
  <c r="L29" i="273"/>
  <c r="L60" i="273"/>
  <c r="L63" i="273" s="1"/>
  <c r="L66" i="273" s="1"/>
  <c r="L67" i="273" s="1"/>
  <c r="L72" i="273" s="1"/>
  <c r="L47" i="279"/>
  <c r="L60" i="279"/>
  <c r="L63" i="279" s="1"/>
  <c r="L66" i="279" s="1"/>
  <c r="L67" i="279" s="1"/>
  <c r="L72" i="279" s="1"/>
  <c r="G172" i="269"/>
  <c r="G52" i="268"/>
  <c r="G191" i="269" s="1"/>
  <c r="G173" i="269"/>
  <c r="G53" i="268"/>
  <c r="G192" i="269" s="1"/>
  <c r="J24" i="279"/>
  <c r="J16" i="278" s="1"/>
  <c r="J23" i="279"/>
  <c r="J15" i="278" s="1"/>
  <c r="F201" i="269"/>
  <c r="F112" i="260" s="1"/>
  <c r="J189" i="272"/>
  <c r="K33" i="277"/>
  <c r="K173" i="278" s="1"/>
  <c r="K160" i="278"/>
  <c r="K56" i="278"/>
  <c r="K113" i="278"/>
  <c r="K161" i="278"/>
  <c r="K114" i="278"/>
  <c r="K57" i="278"/>
  <c r="K32" i="277"/>
  <c r="K172" i="278" s="1"/>
  <c r="K159" i="278"/>
  <c r="K112" i="278"/>
  <c r="K55" i="278"/>
  <c r="K71" i="278"/>
  <c r="K75" i="278" s="1"/>
  <c r="K182" i="278"/>
  <c r="K186" i="278" s="1"/>
  <c r="K127" i="278"/>
  <c r="K72" i="278"/>
  <c r="K183" i="278"/>
  <c r="K128" i="278"/>
  <c r="K70" i="278"/>
  <c r="K181" i="278"/>
  <c r="K185" i="278" s="1"/>
  <c r="K126" i="278"/>
  <c r="L48" i="277"/>
  <c r="L50" i="277"/>
  <c r="L49" i="277"/>
  <c r="L26" i="277"/>
  <c r="L27" i="277"/>
  <c r="L25" i="277"/>
  <c r="P52" i="277"/>
  <c r="P191" i="278" s="1"/>
  <c r="P53" i="277"/>
  <c r="P192" i="278" s="1"/>
  <c r="K113" i="272"/>
  <c r="K160" i="272"/>
  <c r="K56" i="272"/>
  <c r="K33" i="271"/>
  <c r="K173" i="272" s="1"/>
  <c r="K71" i="272"/>
  <c r="K75" i="272" s="1"/>
  <c r="K127" i="272"/>
  <c r="K182" i="272"/>
  <c r="K186" i="272" s="1"/>
  <c r="K32" i="271"/>
  <c r="K172" i="272" s="1"/>
  <c r="K112" i="272"/>
  <c r="K159" i="272"/>
  <c r="K55" i="272"/>
  <c r="O53" i="271"/>
  <c r="O192" i="272" s="1"/>
  <c r="O52" i="271"/>
  <c r="O191" i="272" s="1"/>
  <c r="K72" i="272"/>
  <c r="K76" i="272" s="1"/>
  <c r="K128" i="272"/>
  <c r="K183" i="272"/>
  <c r="L27" i="271"/>
  <c r="L26" i="271"/>
  <c r="L25" i="271"/>
  <c r="K70" i="272"/>
  <c r="K126" i="272"/>
  <c r="K181" i="272"/>
  <c r="K185" i="272" s="1"/>
  <c r="L50" i="271"/>
  <c r="L48" i="271"/>
  <c r="L49" i="271"/>
  <c r="K114" i="272"/>
  <c r="K161" i="272"/>
  <c r="K168" i="272" s="1"/>
  <c r="K57" i="272"/>
  <c r="K64" i="272" s="1"/>
  <c r="H200" i="278"/>
  <c r="M14" i="279"/>
  <c r="M14" i="273"/>
  <c r="K29" i="270"/>
  <c r="K38" i="270"/>
  <c r="J168" i="272"/>
  <c r="J170" i="272" s="1"/>
  <c r="J64" i="272"/>
  <c r="H170" i="272"/>
  <c r="I168" i="272"/>
  <c r="H83" i="272"/>
  <c r="J201" i="272"/>
  <c r="J63" i="272"/>
  <c r="H202" i="272"/>
  <c r="H189" i="272"/>
  <c r="I167" i="272"/>
  <c r="G85" i="278"/>
  <c r="I201" i="272"/>
  <c r="N53" i="268"/>
  <c r="N192" i="269" s="1"/>
  <c r="N52" i="268"/>
  <c r="N191" i="269" s="1"/>
  <c r="N6" i="271"/>
  <c r="I66" i="272"/>
  <c r="G23" i="272"/>
  <c r="G23" i="278"/>
  <c r="J200" i="272"/>
  <c r="I63" i="278"/>
  <c r="I201" i="278"/>
  <c r="I167" i="278"/>
  <c r="I200" i="272"/>
  <c r="L40" i="273"/>
  <c r="L31" i="273"/>
  <c r="J167" i="278"/>
  <c r="J63" i="278"/>
  <c r="J201" i="278"/>
  <c r="L40" i="279"/>
  <c r="L31" i="279"/>
  <c r="J83" i="272"/>
  <c r="J166" i="278"/>
  <c r="J62" i="278"/>
  <c r="J168" i="278"/>
  <c r="J64" i="278"/>
  <c r="I166" i="278"/>
  <c r="I168" i="278"/>
  <c r="I64" i="278"/>
  <c r="J185" i="278"/>
  <c r="H74" i="278"/>
  <c r="H83" i="278"/>
  <c r="J187" i="278"/>
  <c r="J76" i="278"/>
  <c r="H78" i="272"/>
  <c r="H85" i="272" s="1"/>
  <c r="H82" i="272"/>
  <c r="I189" i="272"/>
  <c r="J75" i="278"/>
  <c r="J186" i="278"/>
  <c r="H189" i="278"/>
  <c r="H202" i="278"/>
  <c r="J78" i="272"/>
  <c r="I74" i="272"/>
  <c r="I83" i="272"/>
  <c r="Q2" i="277"/>
  <c r="I27" i="268"/>
  <c r="I161" i="269" s="1"/>
  <c r="I168" i="269" s="1"/>
  <c r="J23" i="270"/>
  <c r="J24" i="270"/>
  <c r="G66" i="269"/>
  <c r="O3" i="269"/>
  <c r="I25" i="268"/>
  <c r="I112" i="269" s="1"/>
  <c r="P2" i="271"/>
  <c r="M14" i="270"/>
  <c r="I160" i="269"/>
  <c r="I167" i="269" s="1"/>
  <c r="I113" i="269"/>
  <c r="I56" i="269"/>
  <c r="I63" i="269" s="1"/>
  <c r="K66" i="270"/>
  <c r="K67" i="270" s="1"/>
  <c r="K72" i="270" s="1"/>
  <c r="L47" i="270"/>
  <c r="L38" i="270"/>
  <c r="L29" i="270"/>
  <c r="G170" i="269"/>
  <c r="H66" i="269"/>
  <c r="L60" i="270"/>
  <c r="L63" i="270" s="1"/>
  <c r="K17" i="268"/>
  <c r="K18" i="268" s="1"/>
  <c r="K20" i="268" s="1"/>
  <c r="H170" i="269"/>
  <c r="L40" i="270"/>
  <c r="L31" i="270"/>
  <c r="O2" i="268"/>
  <c r="L2" i="264"/>
  <c r="L17" i="264" s="1"/>
  <c r="J201" i="313" l="1"/>
  <c r="L17" i="310"/>
  <c r="L23" i="309"/>
  <c r="L15" i="310" s="1"/>
  <c r="L24" i="309"/>
  <c r="L16" i="310" s="1"/>
  <c r="L40" i="310" s="1"/>
  <c r="Q11" i="267"/>
  <c r="Q8" i="267"/>
  <c r="Q10" i="267"/>
  <c r="Q7" i="267"/>
  <c r="Q9" i="267"/>
  <c r="Q12" i="267"/>
  <c r="M32" i="325"/>
  <c r="P66" i="267"/>
  <c r="N10" i="321"/>
  <c r="N16" i="322" s="1"/>
  <c r="I43" i="320"/>
  <c r="P67" i="267"/>
  <c r="N11" i="327"/>
  <c r="N18" i="328" s="1"/>
  <c r="N10" i="327"/>
  <c r="N14" i="327" s="1"/>
  <c r="N16" i="327" s="1"/>
  <c r="N17" i="327" s="1"/>
  <c r="N18" i="327" s="1"/>
  <c r="N20" i="327" s="1"/>
  <c r="J140" i="313"/>
  <c r="O102" i="269"/>
  <c r="O103" i="269"/>
  <c r="O101" i="269"/>
  <c r="O100" i="269"/>
  <c r="O93" i="269"/>
  <c r="O97" i="269"/>
  <c r="O92" i="269"/>
  <c r="O90" i="269"/>
  <c r="O96" i="269"/>
  <c r="O91" i="269"/>
  <c r="O95" i="269"/>
  <c r="O98" i="269"/>
  <c r="K24" i="314"/>
  <c r="K15" i="313" s="1"/>
  <c r="M41" i="316"/>
  <c r="M32" i="316"/>
  <c r="N11" i="268"/>
  <c r="N17" i="270" s="1"/>
  <c r="N11" i="308"/>
  <c r="N17" i="309" s="1"/>
  <c r="N11" i="302"/>
  <c r="N17" i="304" s="1"/>
  <c r="N11" i="277"/>
  <c r="N17" i="279" s="1"/>
  <c r="Q39" i="267"/>
  <c r="Q41" i="267" s="1"/>
  <c r="Q40" i="267"/>
  <c r="Q44" i="267"/>
  <c r="Q46" i="267" s="1"/>
  <c r="Q29" i="267"/>
  <c r="Q31" i="267" s="1"/>
  <c r="Q30" i="267"/>
  <c r="Q45" i="267"/>
  <c r="N11" i="315"/>
  <c r="N18" i="316" s="1"/>
  <c r="N11" i="318"/>
  <c r="N18" i="319" s="1"/>
  <c r="N11" i="312"/>
  <c r="N18" i="314" s="1"/>
  <c r="M41" i="319"/>
  <c r="M32" i="319"/>
  <c r="M31" i="309"/>
  <c r="M40" i="309"/>
  <c r="K72" i="320"/>
  <c r="K76" i="320" s="1"/>
  <c r="L110" i="319"/>
  <c r="L101" i="322"/>
  <c r="L118" i="322" s="1"/>
  <c r="L85" i="322" s="1"/>
  <c r="K66" i="329"/>
  <c r="K117" i="329"/>
  <c r="I204" i="326"/>
  <c r="K116" i="329"/>
  <c r="K86" i="322"/>
  <c r="K27" i="323" s="1"/>
  <c r="K31" i="323" s="1"/>
  <c r="L110" i="325"/>
  <c r="L101" i="316"/>
  <c r="J35" i="329"/>
  <c r="L110" i="316"/>
  <c r="N77" i="325"/>
  <c r="N15" i="325"/>
  <c r="N77" i="316"/>
  <c r="N15" i="316"/>
  <c r="O6" i="318"/>
  <c r="O6" i="321"/>
  <c r="O6" i="305"/>
  <c r="O14" i="307" s="1"/>
  <c r="O6" i="324"/>
  <c r="O6" i="312"/>
  <c r="O6" i="308"/>
  <c r="O14" i="309" s="1"/>
  <c r="O6" i="315"/>
  <c r="O6" i="268"/>
  <c r="O6" i="327"/>
  <c r="O6" i="302"/>
  <c r="O14" i="304" s="1"/>
  <c r="I43" i="326"/>
  <c r="L110" i="322"/>
  <c r="N77" i="322"/>
  <c r="N15" i="322"/>
  <c r="N77" i="328"/>
  <c r="N15" i="328"/>
  <c r="N77" i="314"/>
  <c r="N15" i="314"/>
  <c r="N77" i="319"/>
  <c r="N15" i="319"/>
  <c r="K128" i="320"/>
  <c r="L49" i="312"/>
  <c r="L127" i="313" s="1"/>
  <c r="N103" i="313"/>
  <c r="N102" i="313"/>
  <c r="N100" i="313"/>
  <c r="N101" i="313"/>
  <c r="N98" i="313"/>
  <c r="N96" i="313"/>
  <c r="N92" i="313"/>
  <c r="N93" i="313"/>
  <c r="N95" i="313"/>
  <c r="N90" i="313"/>
  <c r="N97" i="313"/>
  <c r="N91" i="313"/>
  <c r="N103" i="317"/>
  <c r="N101" i="317"/>
  <c r="N102" i="317"/>
  <c r="N100" i="317"/>
  <c r="N91" i="317"/>
  <c r="N98" i="317"/>
  <c r="N96" i="317"/>
  <c r="N92" i="317"/>
  <c r="N95" i="317"/>
  <c r="N97" i="317"/>
  <c r="N90" i="317"/>
  <c r="N93" i="317"/>
  <c r="N101" i="326"/>
  <c r="N102" i="326"/>
  <c r="N103" i="326"/>
  <c r="N100" i="326"/>
  <c r="N91" i="326"/>
  <c r="N98" i="326"/>
  <c r="N96" i="326"/>
  <c r="N92" i="326"/>
  <c r="N93" i="326"/>
  <c r="N97" i="326"/>
  <c r="N95" i="326"/>
  <c r="N90" i="326"/>
  <c r="N103" i="278"/>
  <c r="N101" i="278"/>
  <c r="N102" i="278"/>
  <c r="N97" i="278"/>
  <c r="N95" i="278"/>
  <c r="N90" i="278"/>
  <c r="N91" i="278"/>
  <c r="N100" i="278"/>
  <c r="N98" i="278"/>
  <c r="N96" i="278"/>
  <c r="N92" i="278"/>
  <c r="N93" i="278"/>
  <c r="N101" i="320"/>
  <c r="N102" i="320"/>
  <c r="N103" i="320"/>
  <c r="N100" i="320"/>
  <c r="N98" i="320"/>
  <c r="N96" i="320"/>
  <c r="N92" i="320"/>
  <c r="N93" i="320"/>
  <c r="N97" i="320"/>
  <c r="N95" i="320"/>
  <c r="N91" i="320"/>
  <c r="N90" i="320"/>
  <c r="N101" i="329"/>
  <c r="N102" i="329"/>
  <c r="N100" i="329"/>
  <c r="N103" i="329"/>
  <c r="N97" i="329"/>
  <c r="N95" i="329"/>
  <c r="N98" i="329"/>
  <c r="N96" i="329"/>
  <c r="N93" i="329"/>
  <c r="N92" i="329"/>
  <c r="N90" i="329"/>
  <c r="N91" i="329"/>
  <c r="N103" i="272"/>
  <c r="N102" i="272"/>
  <c r="N100" i="272"/>
  <c r="N101" i="272"/>
  <c r="N98" i="272"/>
  <c r="N96" i="272"/>
  <c r="N92" i="272"/>
  <c r="N90" i="272"/>
  <c r="N93" i="272"/>
  <c r="N91" i="272"/>
  <c r="N97" i="272"/>
  <c r="N95" i="272"/>
  <c r="N101" i="323"/>
  <c r="N102" i="323"/>
  <c r="N103" i="323"/>
  <c r="N100" i="323"/>
  <c r="N91" i="323"/>
  <c r="N98" i="323"/>
  <c r="N96" i="323"/>
  <c r="N92" i="323"/>
  <c r="N97" i="323"/>
  <c r="N93" i="323"/>
  <c r="N95" i="323"/>
  <c r="N90" i="323"/>
  <c r="K182" i="326"/>
  <c r="K186" i="326" s="1"/>
  <c r="K128" i="326"/>
  <c r="K183" i="329"/>
  <c r="K187" i="329" s="1"/>
  <c r="K126" i="329"/>
  <c r="K131" i="329" s="1"/>
  <c r="K119" i="329"/>
  <c r="K118" i="329"/>
  <c r="K183" i="326"/>
  <c r="K187" i="326" s="1"/>
  <c r="K70" i="329"/>
  <c r="K74" i="329" s="1"/>
  <c r="K72" i="329"/>
  <c r="K76" i="329" s="1"/>
  <c r="K127" i="326"/>
  <c r="K143" i="326" s="1"/>
  <c r="K53" i="327"/>
  <c r="K192" i="329" s="1"/>
  <c r="K194" i="329" s="1"/>
  <c r="J83" i="329"/>
  <c r="K181" i="329"/>
  <c r="K185" i="329" s="1"/>
  <c r="J132" i="323"/>
  <c r="J143" i="317"/>
  <c r="J141" i="313"/>
  <c r="K142" i="313"/>
  <c r="J141" i="317"/>
  <c r="J141" i="323"/>
  <c r="J130" i="313"/>
  <c r="J143" i="323"/>
  <c r="J131" i="323"/>
  <c r="K143" i="278"/>
  <c r="K119" i="278"/>
  <c r="K140" i="278"/>
  <c r="K141" i="278"/>
  <c r="K117" i="278"/>
  <c r="K116" i="278"/>
  <c r="K142" i="278"/>
  <c r="K118" i="278"/>
  <c r="K140" i="303"/>
  <c r="K116" i="303"/>
  <c r="K141" i="303"/>
  <c r="K117" i="303"/>
  <c r="K142" i="303"/>
  <c r="K118" i="303"/>
  <c r="K119" i="303"/>
  <c r="K143" i="303"/>
  <c r="L117" i="303"/>
  <c r="L119" i="303"/>
  <c r="L118" i="303"/>
  <c r="L116" i="303"/>
  <c r="K132" i="323"/>
  <c r="K133" i="323"/>
  <c r="K130" i="323"/>
  <c r="K131" i="323"/>
  <c r="K119" i="326"/>
  <c r="K116" i="326"/>
  <c r="K117" i="326"/>
  <c r="K118" i="326"/>
  <c r="K143" i="310"/>
  <c r="K140" i="310"/>
  <c r="K141" i="310"/>
  <c r="K118" i="310"/>
  <c r="K119" i="310"/>
  <c r="K116" i="310"/>
  <c r="K142" i="310"/>
  <c r="K117" i="310"/>
  <c r="K131" i="272"/>
  <c r="K132" i="272"/>
  <c r="K133" i="272"/>
  <c r="K130" i="272"/>
  <c r="K141" i="272"/>
  <c r="K142" i="272"/>
  <c r="K143" i="272"/>
  <c r="K119" i="272"/>
  <c r="K116" i="272"/>
  <c r="K140" i="272"/>
  <c r="K117" i="272"/>
  <c r="K118" i="272"/>
  <c r="K132" i="313"/>
  <c r="K133" i="313"/>
  <c r="K130" i="313"/>
  <c r="K131" i="313"/>
  <c r="K142" i="323"/>
  <c r="K118" i="323"/>
  <c r="K143" i="323"/>
  <c r="K119" i="323"/>
  <c r="K140" i="323"/>
  <c r="K116" i="323"/>
  <c r="K141" i="323"/>
  <c r="K117" i="323"/>
  <c r="J133" i="313"/>
  <c r="J140" i="323"/>
  <c r="J130" i="323"/>
  <c r="K141" i="313"/>
  <c r="L116" i="329"/>
  <c r="L117" i="329"/>
  <c r="L118" i="329"/>
  <c r="L119" i="329"/>
  <c r="K119" i="317"/>
  <c r="K116" i="317"/>
  <c r="K117" i="317"/>
  <c r="K118" i="317"/>
  <c r="K140" i="306"/>
  <c r="K143" i="306"/>
  <c r="K142" i="306"/>
  <c r="K141" i="306"/>
  <c r="K118" i="306"/>
  <c r="K116" i="306"/>
  <c r="K119" i="306"/>
  <c r="K117" i="306"/>
  <c r="K130" i="303"/>
  <c r="K131" i="303"/>
  <c r="K132" i="303"/>
  <c r="K133" i="303"/>
  <c r="J132" i="317"/>
  <c r="J133" i="317"/>
  <c r="J130" i="317"/>
  <c r="J131" i="317"/>
  <c r="J132" i="313"/>
  <c r="J142" i="323"/>
  <c r="J133" i="323"/>
  <c r="K143" i="313"/>
  <c r="K133" i="278"/>
  <c r="K130" i="278"/>
  <c r="K131" i="278"/>
  <c r="K132" i="278"/>
  <c r="K132" i="306"/>
  <c r="K130" i="306"/>
  <c r="K133" i="306"/>
  <c r="K131" i="306"/>
  <c r="K133" i="310"/>
  <c r="K131" i="310"/>
  <c r="K130" i="310"/>
  <c r="K132" i="310"/>
  <c r="K117" i="320"/>
  <c r="K118" i="320"/>
  <c r="K119" i="320"/>
  <c r="K116" i="320"/>
  <c r="L119" i="313"/>
  <c r="L116" i="313"/>
  <c r="L117" i="313"/>
  <c r="L118" i="313"/>
  <c r="J201" i="329"/>
  <c r="J143" i="313"/>
  <c r="J140" i="317"/>
  <c r="J142" i="317"/>
  <c r="J131" i="313"/>
  <c r="J142" i="313"/>
  <c r="N106" i="313"/>
  <c r="N107" i="313"/>
  <c r="N105" i="313"/>
  <c r="N108" i="313"/>
  <c r="N105" i="326"/>
  <c r="N106" i="326"/>
  <c r="N108" i="326"/>
  <c r="N107" i="326"/>
  <c r="O106" i="269"/>
  <c r="O108" i="269"/>
  <c r="O105" i="269"/>
  <c r="O107" i="269"/>
  <c r="N106" i="317"/>
  <c r="N105" i="317"/>
  <c r="N108" i="317"/>
  <c r="N107" i="317"/>
  <c r="N107" i="272"/>
  <c r="N108" i="272"/>
  <c r="N106" i="272"/>
  <c r="N105" i="272"/>
  <c r="N106" i="320"/>
  <c r="N105" i="320"/>
  <c r="N108" i="320"/>
  <c r="N107" i="320"/>
  <c r="N108" i="329"/>
  <c r="N105" i="329"/>
  <c r="N106" i="329"/>
  <c r="N107" i="329"/>
  <c r="N106" i="278"/>
  <c r="N105" i="278"/>
  <c r="N108" i="278"/>
  <c r="N107" i="278"/>
  <c r="N106" i="323"/>
  <c r="N105" i="323"/>
  <c r="N108" i="323"/>
  <c r="N107" i="323"/>
  <c r="J202" i="313"/>
  <c r="I23" i="329"/>
  <c r="I43" i="329" s="1"/>
  <c r="J82" i="310"/>
  <c r="M78" i="328"/>
  <c r="M92" i="328" s="1"/>
  <c r="M79" i="328"/>
  <c r="L50" i="312"/>
  <c r="L72" i="313" s="1"/>
  <c r="L76" i="313" s="1"/>
  <c r="L92" i="328"/>
  <c r="M78" i="322"/>
  <c r="M110" i="322" s="1"/>
  <c r="M79" i="322"/>
  <c r="M40" i="312"/>
  <c r="M42" i="312" s="1"/>
  <c r="M43" i="312" s="1"/>
  <c r="M44" i="312" s="1"/>
  <c r="M46" i="312" s="1"/>
  <c r="M48" i="312" s="1"/>
  <c r="M52" i="312" s="1"/>
  <c r="M191" i="313" s="1"/>
  <c r="M78" i="314"/>
  <c r="M79" i="314"/>
  <c r="L101" i="328"/>
  <c r="L118" i="328" s="1"/>
  <c r="L85" i="328" s="1"/>
  <c r="L29" i="329" s="1"/>
  <c r="L33" i="329" s="1"/>
  <c r="M78" i="325"/>
  <c r="M110" i="325" s="1"/>
  <c r="M79" i="325"/>
  <c r="M60" i="314"/>
  <c r="M78" i="319"/>
  <c r="M110" i="319" s="1"/>
  <c r="M79" i="319"/>
  <c r="Q67" i="267"/>
  <c r="M78" i="316"/>
  <c r="M92" i="316" s="1"/>
  <c r="M79" i="316"/>
  <c r="N17" i="328"/>
  <c r="N16" i="328"/>
  <c r="K129" i="314"/>
  <c r="K130" i="314" s="1"/>
  <c r="K135" i="314" s="1"/>
  <c r="K87" i="314" s="1"/>
  <c r="K28" i="313" s="1"/>
  <c r="K32" i="313" s="1"/>
  <c r="K67" i="314"/>
  <c r="K68" i="314" s="1"/>
  <c r="K73" i="314" s="1"/>
  <c r="K25" i="314" s="1"/>
  <c r="K16" i="313" s="1"/>
  <c r="K20" i="313" s="1"/>
  <c r="K127" i="317"/>
  <c r="K182" i="317"/>
  <c r="K186" i="317" s="1"/>
  <c r="K189" i="317" s="1"/>
  <c r="K196" i="317" s="1"/>
  <c r="L48" i="324"/>
  <c r="L70" i="326" s="1"/>
  <c r="J40" i="326"/>
  <c r="L49" i="324"/>
  <c r="L71" i="326" s="1"/>
  <c r="L75" i="326" s="1"/>
  <c r="E100" i="260"/>
  <c r="K41" i="323"/>
  <c r="G33" i="269"/>
  <c r="K181" i="320"/>
  <c r="K185" i="320" s="1"/>
  <c r="K189" i="320" s="1"/>
  <c r="K194" i="320"/>
  <c r="K72" i="317"/>
  <c r="K76" i="317" s="1"/>
  <c r="K128" i="317"/>
  <c r="K126" i="320"/>
  <c r="K70" i="320"/>
  <c r="K74" i="320" s="1"/>
  <c r="K82" i="320" s="1"/>
  <c r="J189" i="317"/>
  <c r="J196" i="317" s="1"/>
  <c r="J202" i="317"/>
  <c r="L48" i="315"/>
  <c r="L181" i="317" s="1"/>
  <c r="L185" i="317" s="1"/>
  <c r="J83" i="323"/>
  <c r="J35" i="326"/>
  <c r="M40" i="327"/>
  <c r="M42" i="327" s="1"/>
  <c r="M43" i="327" s="1"/>
  <c r="M44" i="327" s="1"/>
  <c r="M46" i="327" s="1"/>
  <c r="M49" i="327" s="1"/>
  <c r="J23" i="320"/>
  <c r="J40" i="320"/>
  <c r="J39" i="320"/>
  <c r="L49" i="315"/>
  <c r="L127" i="317" s="1"/>
  <c r="N16" i="316"/>
  <c r="N17" i="316"/>
  <c r="N16" i="314"/>
  <c r="N17" i="314"/>
  <c r="N122" i="314" s="1"/>
  <c r="L129" i="314"/>
  <c r="L130" i="314" s="1"/>
  <c r="L135" i="314" s="1"/>
  <c r="L67" i="314"/>
  <c r="L68" i="314" s="1"/>
  <c r="L73" i="314" s="1"/>
  <c r="N15" i="279"/>
  <c r="N16" i="309"/>
  <c r="N59" i="309" s="1"/>
  <c r="N63" i="309" s="1"/>
  <c r="N66" i="309" s="1"/>
  <c r="N67" i="309" s="1"/>
  <c r="N72" i="309" s="1"/>
  <c r="N15" i="309"/>
  <c r="N29" i="309" s="1"/>
  <c r="N16" i="307"/>
  <c r="N59" i="307" s="1"/>
  <c r="N15" i="307"/>
  <c r="N16" i="304"/>
  <c r="N59" i="304" s="1"/>
  <c r="N15" i="304"/>
  <c r="N47" i="304" s="1"/>
  <c r="J204" i="329"/>
  <c r="J204" i="313"/>
  <c r="N150" i="326"/>
  <c r="N151" i="326"/>
  <c r="N151" i="323"/>
  <c r="N150" i="323"/>
  <c r="N151" i="320"/>
  <c r="N150" i="320"/>
  <c r="N151" i="317"/>
  <c r="N150" i="317"/>
  <c r="J39" i="313"/>
  <c r="N150" i="313"/>
  <c r="N151" i="313"/>
  <c r="N151" i="278"/>
  <c r="N150" i="278"/>
  <c r="N151" i="272"/>
  <c r="N150" i="272"/>
  <c r="O150" i="269"/>
  <c r="O28" i="269"/>
  <c r="O32" i="269" s="1"/>
  <c r="O151" i="269"/>
  <c r="O27" i="269"/>
  <c r="O29" i="269"/>
  <c r="O33" i="269" s="1"/>
  <c r="G43" i="272"/>
  <c r="F100" i="260"/>
  <c r="L118" i="319"/>
  <c r="L85" i="319" s="1"/>
  <c r="L29" i="320" s="1"/>
  <c r="L33" i="320" s="1"/>
  <c r="M40" i="315"/>
  <c r="M42" i="315" s="1"/>
  <c r="M43" i="315" s="1"/>
  <c r="M44" i="315" s="1"/>
  <c r="M46" i="315" s="1"/>
  <c r="M50" i="315" s="1"/>
  <c r="J32" i="323"/>
  <c r="J40" i="323"/>
  <c r="J32" i="317"/>
  <c r="J40" i="317"/>
  <c r="N90" i="325"/>
  <c r="N76" i="325"/>
  <c r="N84" i="325"/>
  <c r="N22" i="325"/>
  <c r="N28" i="325"/>
  <c r="J39" i="323"/>
  <c r="M122" i="322"/>
  <c r="M60" i="322"/>
  <c r="M122" i="328"/>
  <c r="M60" i="328"/>
  <c r="L39" i="325"/>
  <c r="L56" i="325" s="1"/>
  <c r="L23" i="325" s="1"/>
  <c r="L30" i="325"/>
  <c r="L48" i="325"/>
  <c r="L29" i="323"/>
  <c r="L33" i="323" s="1"/>
  <c r="N38" i="315"/>
  <c r="N80" i="316" s="1"/>
  <c r="N38" i="318"/>
  <c r="N80" i="319" s="1"/>
  <c r="N38" i="312"/>
  <c r="N80" i="314" s="1"/>
  <c r="K29" i="329"/>
  <c r="K33" i="329" s="1"/>
  <c r="K86" i="328"/>
  <c r="K27" i="329" s="1"/>
  <c r="K31" i="329" s="1"/>
  <c r="O11" i="321"/>
  <c r="O18" i="322" s="1"/>
  <c r="O11" i="324"/>
  <c r="O18" i="325" s="1"/>
  <c r="O11" i="327"/>
  <c r="O18" i="328" s="1"/>
  <c r="L118" i="316"/>
  <c r="L85" i="316" s="1"/>
  <c r="N32" i="328"/>
  <c r="N41" i="328"/>
  <c r="M103" i="319"/>
  <c r="M94" i="319"/>
  <c r="N37" i="324"/>
  <c r="N40" i="324" s="1"/>
  <c r="N42" i="324" s="1"/>
  <c r="N43" i="324" s="1"/>
  <c r="N44" i="324" s="1"/>
  <c r="N46" i="324" s="1"/>
  <c r="P68" i="267"/>
  <c r="N37" i="327"/>
  <c r="N37" i="321"/>
  <c r="N40" i="321" s="1"/>
  <c r="N42" i="321" s="1"/>
  <c r="N43" i="321" s="1"/>
  <c r="N44" i="321" s="1"/>
  <c r="N46" i="321" s="1"/>
  <c r="M48" i="316"/>
  <c r="M30" i="316"/>
  <c r="M56" i="316" s="1"/>
  <c r="M23" i="316" s="1"/>
  <c r="M17" i="317" s="1"/>
  <c r="M21" i="317" s="1"/>
  <c r="M39" i="316"/>
  <c r="K129" i="322"/>
  <c r="K130" i="322" s="1"/>
  <c r="K135" i="322" s="1"/>
  <c r="K87" i="322" s="1"/>
  <c r="K28" i="323" s="1"/>
  <c r="K32" i="323" s="1"/>
  <c r="K67" i="322"/>
  <c r="K68" i="322" s="1"/>
  <c r="K73" i="322" s="1"/>
  <c r="K25" i="322" s="1"/>
  <c r="K16" i="323" s="1"/>
  <c r="K20" i="323" s="1"/>
  <c r="K24" i="322"/>
  <c r="K15" i="323" s="1"/>
  <c r="L64" i="325"/>
  <c r="L126" i="325"/>
  <c r="N84" i="322"/>
  <c r="N90" i="322"/>
  <c r="N76" i="322"/>
  <c r="N22" i="322"/>
  <c r="N28" i="322"/>
  <c r="L48" i="328"/>
  <c r="L39" i="328"/>
  <c r="L56" i="328" s="1"/>
  <c r="L23" i="328" s="1"/>
  <c r="L30" i="328"/>
  <c r="N90" i="316"/>
  <c r="N84" i="316"/>
  <c r="N76" i="316"/>
  <c r="N28" i="316"/>
  <c r="N22" i="316"/>
  <c r="N90" i="328"/>
  <c r="N84" i="328"/>
  <c r="N76" i="328"/>
  <c r="N28" i="328"/>
  <c r="N22" i="328"/>
  <c r="M30" i="322"/>
  <c r="M48" i="322"/>
  <c r="M39" i="322"/>
  <c r="M56" i="322" s="1"/>
  <c r="M23" i="322" s="1"/>
  <c r="M17" i="323" s="1"/>
  <c r="M21" i="323" s="1"/>
  <c r="M122" i="325"/>
  <c r="M60" i="325"/>
  <c r="M30" i="319"/>
  <c r="M48" i="319"/>
  <c r="M39" i="319"/>
  <c r="M56" i="319" s="1"/>
  <c r="M23" i="319" s="1"/>
  <c r="M17" i="320" s="1"/>
  <c r="M21" i="320" s="1"/>
  <c r="L64" i="322"/>
  <c r="L126" i="322"/>
  <c r="L86" i="322" s="1"/>
  <c r="L27" i="323" s="1"/>
  <c r="L31" i="323" s="1"/>
  <c r="K86" i="325"/>
  <c r="K27" i="326" s="1"/>
  <c r="K31" i="326" s="1"/>
  <c r="K29" i="326"/>
  <c r="K33" i="326" s="1"/>
  <c r="K86" i="316"/>
  <c r="K27" i="317" s="1"/>
  <c r="K31" i="317" s="1"/>
  <c r="K29" i="317"/>
  <c r="J33" i="317"/>
  <c r="J41" i="317"/>
  <c r="M103" i="325"/>
  <c r="M94" i="325"/>
  <c r="L126" i="316"/>
  <c r="L64" i="316"/>
  <c r="K17" i="313"/>
  <c r="K21" i="313" s="1"/>
  <c r="M122" i="319"/>
  <c r="M60" i="319"/>
  <c r="K129" i="328"/>
  <c r="K130" i="328" s="1"/>
  <c r="K135" i="328" s="1"/>
  <c r="K87" i="328" s="1"/>
  <c r="K28" i="329" s="1"/>
  <c r="K67" i="328"/>
  <c r="K68" i="328" s="1"/>
  <c r="K73" i="328" s="1"/>
  <c r="K25" i="328" s="1"/>
  <c r="K16" i="329" s="1"/>
  <c r="K20" i="329" s="1"/>
  <c r="K24" i="328"/>
  <c r="K15" i="329" s="1"/>
  <c r="J33" i="320"/>
  <c r="J35" i="320" s="1"/>
  <c r="J41" i="320"/>
  <c r="M103" i="322"/>
  <c r="M94" i="322"/>
  <c r="I43" i="323"/>
  <c r="M122" i="316"/>
  <c r="M60" i="316"/>
  <c r="L126" i="319"/>
  <c r="L64" i="319"/>
  <c r="M103" i="316"/>
  <c r="M94" i="316"/>
  <c r="K86" i="319"/>
  <c r="K27" i="320" s="1"/>
  <c r="K31" i="320" s="1"/>
  <c r="K29" i="320"/>
  <c r="K129" i="316"/>
  <c r="K130" i="316" s="1"/>
  <c r="K135" i="316" s="1"/>
  <c r="K87" i="316" s="1"/>
  <c r="K28" i="317" s="1"/>
  <c r="K67" i="316"/>
  <c r="K68" i="316" s="1"/>
  <c r="K73" i="316" s="1"/>
  <c r="K25" i="316" s="1"/>
  <c r="K16" i="317" s="1"/>
  <c r="K20" i="317" s="1"/>
  <c r="K24" i="316"/>
  <c r="K15" i="317" s="1"/>
  <c r="M103" i="328"/>
  <c r="M94" i="328"/>
  <c r="J33" i="323"/>
  <c r="J41" i="323"/>
  <c r="L64" i="328"/>
  <c r="L126" i="328"/>
  <c r="K129" i="325"/>
  <c r="K130" i="325" s="1"/>
  <c r="K135" i="325" s="1"/>
  <c r="K87" i="325" s="1"/>
  <c r="K28" i="326" s="1"/>
  <c r="K32" i="326" s="1"/>
  <c r="K67" i="325"/>
  <c r="K68" i="325" s="1"/>
  <c r="K73" i="325" s="1"/>
  <c r="K25" i="325" s="1"/>
  <c r="K16" i="326" s="1"/>
  <c r="K24" i="325"/>
  <c r="K15" i="326" s="1"/>
  <c r="N32" i="322"/>
  <c r="N41" i="322"/>
  <c r="Q62" i="267"/>
  <c r="Q66" i="267"/>
  <c r="N76" i="319"/>
  <c r="N28" i="319"/>
  <c r="N90" i="319"/>
  <c r="N22" i="319"/>
  <c r="N84" i="319"/>
  <c r="N32" i="325"/>
  <c r="N41" i="325"/>
  <c r="K201" i="320"/>
  <c r="L118" i="325"/>
  <c r="L85" i="325" s="1"/>
  <c r="N38" i="324"/>
  <c r="N80" i="325" s="1"/>
  <c r="N38" i="321"/>
  <c r="N80" i="322" s="1"/>
  <c r="N38" i="327"/>
  <c r="N80" i="328" s="1"/>
  <c r="K129" i="319"/>
  <c r="K130" i="319" s="1"/>
  <c r="K135" i="319" s="1"/>
  <c r="K87" i="319" s="1"/>
  <c r="K28" i="320" s="1"/>
  <c r="K32" i="320" s="1"/>
  <c r="K67" i="319"/>
  <c r="K68" i="319" s="1"/>
  <c r="K73" i="319" s="1"/>
  <c r="K25" i="319" s="1"/>
  <c r="K16" i="320" s="1"/>
  <c r="K24" i="319"/>
  <c r="K15" i="320" s="1"/>
  <c r="O10" i="324"/>
  <c r="O16" i="325" s="1"/>
  <c r="O10" i="321"/>
  <c r="O16" i="322" s="1"/>
  <c r="O10" i="327"/>
  <c r="J41" i="313"/>
  <c r="D100" i="260"/>
  <c r="I101" i="260"/>
  <c r="K175" i="310"/>
  <c r="K177" i="310" s="1"/>
  <c r="H100" i="260"/>
  <c r="K194" i="313"/>
  <c r="L161" i="310"/>
  <c r="L168" i="310" s="1"/>
  <c r="L170" i="310" s="1"/>
  <c r="H101" i="260"/>
  <c r="G100" i="260"/>
  <c r="L53" i="327"/>
  <c r="L192" i="329" s="1"/>
  <c r="L194" i="329" s="1"/>
  <c r="K201" i="329"/>
  <c r="L53" i="318"/>
  <c r="L192" i="320" s="1"/>
  <c r="L194" i="320" s="1"/>
  <c r="L200" i="313"/>
  <c r="F111" i="260"/>
  <c r="M27" i="308"/>
  <c r="M161" i="310" s="1"/>
  <c r="M168" i="310" s="1"/>
  <c r="L200" i="329"/>
  <c r="G43" i="329"/>
  <c r="G43" i="326"/>
  <c r="F43" i="323"/>
  <c r="J21" i="313"/>
  <c r="N14" i="312"/>
  <c r="N16" i="312" s="1"/>
  <c r="N17" i="312" s="1"/>
  <c r="N18" i="312" s="1"/>
  <c r="N20" i="312" s="1"/>
  <c r="N27" i="312" s="1"/>
  <c r="J35" i="313"/>
  <c r="I43" i="313"/>
  <c r="L101" i="314"/>
  <c r="L92" i="314"/>
  <c r="L110" i="314"/>
  <c r="N37" i="318"/>
  <c r="N37" i="312"/>
  <c r="N40" i="312" s="1"/>
  <c r="N42" i="312" s="1"/>
  <c r="N43" i="312" s="1"/>
  <c r="N44" i="312" s="1"/>
  <c r="N46" i="312" s="1"/>
  <c r="N37" i="315"/>
  <c r="O10" i="315"/>
  <c r="O10" i="318"/>
  <c r="O16" i="319" s="1"/>
  <c r="Q61" i="267"/>
  <c r="Q63" i="267" s="1"/>
  <c r="O10" i="312"/>
  <c r="L103" i="314"/>
  <c r="L94" i="314"/>
  <c r="M94" i="314"/>
  <c r="M103" i="314"/>
  <c r="K29" i="313"/>
  <c r="K33" i="313" s="1"/>
  <c r="K86" i="314"/>
  <c r="K27" i="313" s="1"/>
  <c r="K31" i="313" s="1"/>
  <c r="K177" i="313"/>
  <c r="N76" i="314"/>
  <c r="N84" i="314"/>
  <c r="N90" i="314"/>
  <c r="J20" i="313"/>
  <c r="J40" i="313"/>
  <c r="L23" i="314"/>
  <c r="G43" i="323"/>
  <c r="F43" i="329"/>
  <c r="L181" i="310"/>
  <c r="L185" i="310" s="1"/>
  <c r="J177" i="323"/>
  <c r="J204" i="323" s="1"/>
  <c r="L70" i="310"/>
  <c r="L74" i="310" s="1"/>
  <c r="K200" i="310"/>
  <c r="K177" i="329"/>
  <c r="M25" i="308"/>
  <c r="M112" i="310" s="1"/>
  <c r="J85" i="303"/>
  <c r="L33" i="308"/>
  <c r="L173" i="310" s="1"/>
  <c r="L201" i="310" s="1"/>
  <c r="L114" i="310"/>
  <c r="J177" i="317"/>
  <c r="J39" i="329"/>
  <c r="H32" i="272"/>
  <c r="H35" i="272" s="1"/>
  <c r="L175" i="313"/>
  <c r="J23" i="323"/>
  <c r="K83" i="310"/>
  <c r="N14" i="308"/>
  <c r="N16" i="308" s="1"/>
  <c r="N17" i="308" s="1"/>
  <c r="N18" i="308" s="1"/>
  <c r="N20" i="308" s="1"/>
  <c r="N26" i="308" s="1"/>
  <c r="J177" i="326"/>
  <c r="J204" i="326" s="1"/>
  <c r="D43" i="326"/>
  <c r="L175" i="329"/>
  <c r="K170" i="326"/>
  <c r="L159" i="303"/>
  <c r="L166" i="303" s="1"/>
  <c r="L170" i="329"/>
  <c r="K170" i="317"/>
  <c r="K189" i="310"/>
  <c r="K196" i="310" s="1"/>
  <c r="D43" i="329"/>
  <c r="L71" i="310"/>
  <c r="L75" i="310" s="1"/>
  <c r="E43" i="329"/>
  <c r="L127" i="310"/>
  <c r="L56" i="323"/>
  <c r="L63" i="323" s="1"/>
  <c r="L33" i="321"/>
  <c r="L173" i="323" s="1"/>
  <c r="L201" i="323" s="1"/>
  <c r="L113" i="323"/>
  <c r="L160" i="323"/>
  <c r="L167" i="323" s="1"/>
  <c r="L113" i="310"/>
  <c r="K66" i="320"/>
  <c r="K200" i="323"/>
  <c r="K175" i="323"/>
  <c r="L114" i="323"/>
  <c r="L161" i="323"/>
  <c r="L168" i="323" s="1"/>
  <c r="L57" i="323"/>
  <c r="L64" i="323" s="1"/>
  <c r="N17" i="319"/>
  <c r="N14" i="318"/>
  <c r="N16" i="318" s="1"/>
  <c r="N17" i="318" s="1"/>
  <c r="N18" i="318" s="1"/>
  <c r="N20" i="318" s="1"/>
  <c r="L66" i="313"/>
  <c r="M25" i="324"/>
  <c r="M26" i="324"/>
  <c r="M27" i="324"/>
  <c r="L56" i="310"/>
  <c r="L63" i="310" s="1"/>
  <c r="M56" i="313"/>
  <c r="M63" i="313" s="1"/>
  <c r="M160" i="313"/>
  <c r="M167" i="313" s="1"/>
  <c r="M33" i="312"/>
  <c r="M173" i="313" s="1"/>
  <c r="M113" i="313"/>
  <c r="K200" i="320"/>
  <c r="K175" i="320"/>
  <c r="K170" i="323"/>
  <c r="M26" i="321"/>
  <c r="M25" i="321"/>
  <c r="M27" i="321"/>
  <c r="L56" i="320"/>
  <c r="L63" i="320" s="1"/>
  <c r="L33" i="318"/>
  <c r="L173" i="320" s="1"/>
  <c r="L160" i="320"/>
  <c r="L167" i="320" s="1"/>
  <c r="L113" i="320"/>
  <c r="L112" i="323"/>
  <c r="L55" i="323"/>
  <c r="L62" i="323" s="1"/>
  <c r="L159" i="323"/>
  <c r="L166" i="323" s="1"/>
  <c r="L32" i="321"/>
  <c r="L172" i="323" s="1"/>
  <c r="N14" i="324"/>
  <c r="N16" i="324" s="1"/>
  <c r="N17" i="324" s="1"/>
  <c r="N18" i="324" s="1"/>
  <c r="N20" i="324" s="1"/>
  <c r="N17" i="325"/>
  <c r="M25" i="318"/>
  <c r="M27" i="318"/>
  <c r="M26" i="318"/>
  <c r="K17" i="329"/>
  <c r="L113" i="317"/>
  <c r="L33" i="315"/>
  <c r="L173" i="317" s="1"/>
  <c r="L201" i="317" s="1"/>
  <c r="L56" i="317"/>
  <c r="L63" i="317" s="1"/>
  <c r="L160" i="317"/>
  <c r="L167" i="317" s="1"/>
  <c r="M25" i="315"/>
  <c r="M26" i="315"/>
  <c r="M27" i="315"/>
  <c r="J19" i="326"/>
  <c r="J39" i="326"/>
  <c r="M114" i="313"/>
  <c r="M161" i="313"/>
  <c r="M168" i="313" s="1"/>
  <c r="M57" i="313"/>
  <c r="M64" i="313" s="1"/>
  <c r="K170" i="320"/>
  <c r="K66" i="323"/>
  <c r="L161" i="320"/>
  <c r="L168" i="320" s="1"/>
  <c r="L114" i="320"/>
  <c r="L57" i="320"/>
  <c r="L64" i="320" s="1"/>
  <c r="E43" i="323"/>
  <c r="N26" i="327"/>
  <c r="N27" i="327"/>
  <c r="N25" i="327"/>
  <c r="L112" i="326"/>
  <c r="L32" i="324"/>
  <c r="L172" i="326" s="1"/>
  <c r="L159" i="326"/>
  <c r="L166" i="326" s="1"/>
  <c r="L55" i="326"/>
  <c r="L62" i="326" s="1"/>
  <c r="K17" i="326"/>
  <c r="N17" i="322"/>
  <c r="N14" i="321"/>
  <c r="N16" i="321" s="1"/>
  <c r="N17" i="321" s="1"/>
  <c r="N18" i="321" s="1"/>
  <c r="N20" i="321" s="1"/>
  <c r="L57" i="317"/>
  <c r="L64" i="317" s="1"/>
  <c r="L161" i="317"/>
  <c r="L168" i="317" s="1"/>
  <c r="L114" i="317"/>
  <c r="J21" i="326"/>
  <c r="J41" i="326"/>
  <c r="M55" i="313"/>
  <c r="M62" i="313" s="1"/>
  <c r="M112" i="313"/>
  <c r="M32" i="312"/>
  <c r="M172" i="313" s="1"/>
  <c r="M159" i="313"/>
  <c r="M166" i="313" s="1"/>
  <c r="D43" i="323"/>
  <c r="L55" i="320"/>
  <c r="L62" i="320" s="1"/>
  <c r="L159" i="320"/>
  <c r="L166" i="320" s="1"/>
  <c r="L112" i="320"/>
  <c r="L32" i="318"/>
  <c r="L172" i="320" s="1"/>
  <c r="M33" i="327"/>
  <c r="M173" i="329" s="1"/>
  <c r="M113" i="329"/>
  <c r="M56" i="329"/>
  <c r="M63" i="329" s="1"/>
  <c r="M160" i="329"/>
  <c r="M167" i="329" s="1"/>
  <c r="L170" i="313"/>
  <c r="L113" i="326"/>
  <c r="L33" i="324"/>
  <c r="L173" i="326" s="1"/>
  <c r="L201" i="326" s="1"/>
  <c r="L160" i="326"/>
  <c r="L167" i="326" s="1"/>
  <c r="L56" i="326"/>
  <c r="L63" i="326" s="1"/>
  <c r="K66" i="317"/>
  <c r="K200" i="326"/>
  <c r="K175" i="326"/>
  <c r="K19" i="310"/>
  <c r="L159" i="317"/>
  <c r="L166" i="317" s="1"/>
  <c r="L55" i="317"/>
  <c r="L62" i="317" s="1"/>
  <c r="L32" i="315"/>
  <c r="L172" i="317" s="1"/>
  <c r="L112" i="317"/>
  <c r="K66" i="326"/>
  <c r="E43" i="326"/>
  <c r="M32" i="327"/>
  <c r="M172" i="329" s="1"/>
  <c r="M55" i="329"/>
  <c r="M62" i="329" s="1"/>
  <c r="M159" i="329"/>
  <c r="M166" i="329" s="1"/>
  <c r="M112" i="329"/>
  <c r="F43" i="326"/>
  <c r="L57" i="326"/>
  <c r="L64" i="326" s="1"/>
  <c r="L161" i="326"/>
  <c r="L168" i="326" s="1"/>
  <c r="L114" i="326"/>
  <c r="L66" i="329"/>
  <c r="M114" i="329"/>
  <c r="M161" i="329"/>
  <c r="M168" i="329" s="1"/>
  <c r="M57" i="329"/>
  <c r="M64" i="329" s="1"/>
  <c r="N14" i="315"/>
  <c r="N16" i="315" s="1"/>
  <c r="N17" i="315" s="1"/>
  <c r="N18" i="315" s="1"/>
  <c r="N20" i="315" s="1"/>
  <c r="J20" i="329"/>
  <c r="J23" i="329" s="1"/>
  <c r="J43" i="329" s="1"/>
  <c r="J40" i="329"/>
  <c r="J177" i="320"/>
  <c r="J204" i="320" s="1"/>
  <c r="K200" i="317"/>
  <c r="K175" i="317"/>
  <c r="M48" i="314"/>
  <c r="M30" i="314"/>
  <c r="M56" i="314" s="1"/>
  <c r="M39" i="314"/>
  <c r="N41" i="314"/>
  <c r="N32" i="314"/>
  <c r="K19" i="313"/>
  <c r="K202" i="310"/>
  <c r="K78" i="303"/>
  <c r="K74" i="313"/>
  <c r="K83" i="313"/>
  <c r="N14" i="316"/>
  <c r="N14" i="328"/>
  <c r="L181" i="329"/>
  <c r="L185" i="329" s="1"/>
  <c r="L70" i="329"/>
  <c r="L126" i="329"/>
  <c r="J78" i="323"/>
  <c r="J85" i="323" s="1"/>
  <c r="J82" i="323"/>
  <c r="L183" i="326"/>
  <c r="L187" i="326" s="1"/>
  <c r="L128" i="326"/>
  <c r="L72" i="326"/>
  <c r="L76" i="326" s="1"/>
  <c r="L126" i="313"/>
  <c r="L70" i="313"/>
  <c r="L181" i="313"/>
  <c r="L185" i="313" s="1"/>
  <c r="K189" i="313"/>
  <c r="K202" i="313"/>
  <c r="L71" i="329"/>
  <c r="L75" i="329" s="1"/>
  <c r="L182" i="329"/>
  <c r="L186" i="329" s="1"/>
  <c r="L127" i="329"/>
  <c r="L182" i="323"/>
  <c r="L186" i="323" s="1"/>
  <c r="L127" i="323"/>
  <c r="L71" i="323"/>
  <c r="L75" i="323" s="1"/>
  <c r="J78" i="320"/>
  <c r="J85" i="320" s="1"/>
  <c r="J82" i="320"/>
  <c r="L32" i="302"/>
  <c r="L172" i="303" s="1"/>
  <c r="J204" i="310"/>
  <c r="M194" i="323"/>
  <c r="M48" i="318"/>
  <c r="M52" i="318" s="1"/>
  <c r="M191" i="320" s="1"/>
  <c r="M50" i="318"/>
  <c r="M49" i="318"/>
  <c r="L183" i="329"/>
  <c r="L187" i="329" s="1"/>
  <c r="L128" i="329"/>
  <c r="L72" i="329"/>
  <c r="L76" i="329" s="1"/>
  <c r="L70" i="323"/>
  <c r="L126" i="323"/>
  <c r="L181" i="323"/>
  <c r="L185" i="323" s="1"/>
  <c r="K74" i="317"/>
  <c r="L128" i="320"/>
  <c r="L72" i="320"/>
  <c r="L76" i="320" s="1"/>
  <c r="L183" i="320"/>
  <c r="L187" i="320" s="1"/>
  <c r="K189" i="326"/>
  <c r="K196" i="326" s="1"/>
  <c r="M194" i="317"/>
  <c r="K74" i="323"/>
  <c r="K83" i="323"/>
  <c r="M50" i="321"/>
  <c r="M48" i="321"/>
  <c r="M49" i="321"/>
  <c r="L183" i="323"/>
  <c r="L187" i="323" s="1"/>
  <c r="L128" i="323"/>
  <c r="L72" i="323"/>
  <c r="L76" i="323" s="1"/>
  <c r="L181" i="320"/>
  <c r="L185" i="320" s="1"/>
  <c r="L126" i="320"/>
  <c r="L70" i="320"/>
  <c r="K74" i="326"/>
  <c r="K83" i="326"/>
  <c r="N150" i="329"/>
  <c r="N151" i="329"/>
  <c r="O3" i="329"/>
  <c r="O1" i="328"/>
  <c r="O3" i="326"/>
  <c r="O1" i="325"/>
  <c r="O1" i="322"/>
  <c r="O3" i="323"/>
  <c r="O3" i="317"/>
  <c r="O1" i="316"/>
  <c r="O1" i="319"/>
  <c r="O3" i="320"/>
  <c r="O1" i="314"/>
  <c r="O3" i="313"/>
  <c r="K189" i="323"/>
  <c r="K196" i="323" s="1"/>
  <c r="K202" i="323"/>
  <c r="J78" i="313"/>
  <c r="J85" i="313" s="1"/>
  <c r="J82" i="313"/>
  <c r="M49" i="324"/>
  <c r="M48" i="324"/>
  <c r="M50" i="324"/>
  <c r="N14" i="319"/>
  <c r="L182" i="320"/>
  <c r="L186" i="320" s="1"/>
  <c r="L127" i="320"/>
  <c r="L71" i="320"/>
  <c r="L75" i="320" s="1"/>
  <c r="N14" i="322"/>
  <c r="J78" i="326"/>
  <c r="J85" i="326" s="1"/>
  <c r="J82" i="326"/>
  <c r="L72" i="317"/>
  <c r="L76" i="317" s="1"/>
  <c r="L183" i="317"/>
  <c r="L187" i="317" s="1"/>
  <c r="L128" i="317"/>
  <c r="J78" i="329"/>
  <c r="J85" i="329" s="1"/>
  <c r="J82" i="329"/>
  <c r="M194" i="326"/>
  <c r="J78" i="317"/>
  <c r="J85" i="317" s="1"/>
  <c r="J82" i="317"/>
  <c r="N22" i="314"/>
  <c r="N14" i="314"/>
  <c r="N28" i="314"/>
  <c r="N14" i="325"/>
  <c r="K20" i="310"/>
  <c r="H31" i="278"/>
  <c r="F43" i="269"/>
  <c r="H32" i="269"/>
  <c r="H35" i="269" s="1"/>
  <c r="L33" i="302"/>
  <c r="L173" i="303" s="1"/>
  <c r="L128" i="310"/>
  <c r="L56" i="303"/>
  <c r="L63" i="303" s="1"/>
  <c r="L72" i="310"/>
  <c r="L76" i="310" s="1"/>
  <c r="L160" i="303"/>
  <c r="L167" i="303" s="1"/>
  <c r="G43" i="278"/>
  <c r="J23" i="310"/>
  <c r="J43" i="310" s="1"/>
  <c r="M29" i="309"/>
  <c r="M55" i="309" s="1"/>
  <c r="M22" i="309" s="1"/>
  <c r="M17" i="310" s="1"/>
  <c r="M41" i="310" s="1"/>
  <c r="M50" i="308"/>
  <c r="M128" i="310" s="1"/>
  <c r="M49" i="308"/>
  <c r="M71" i="310" s="1"/>
  <c r="M75" i="310" s="1"/>
  <c r="M48" i="308"/>
  <c r="M70" i="310" s="1"/>
  <c r="M74" i="310" s="1"/>
  <c r="N37" i="305"/>
  <c r="N40" i="305" s="1"/>
  <c r="N42" i="305" s="1"/>
  <c r="N43" i="305" s="1"/>
  <c r="N44" i="305" s="1"/>
  <c r="N46" i="305" s="1"/>
  <c r="N37" i="302"/>
  <c r="N40" i="302" s="1"/>
  <c r="N42" i="302" s="1"/>
  <c r="N43" i="302" s="1"/>
  <c r="N44" i="302" s="1"/>
  <c r="N46" i="302" s="1"/>
  <c r="N48" i="302" s="1"/>
  <c r="N37" i="277"/>
  <c r="N40" i="277" s="1"/>
  <c r="N42" i="277" s="1"/>
  <c r="N43" i="277" s="1"/>
  <c r="N44" i="277" s="1"/>
  <c r="N46" i="277" s="1"/>
  <c r="N37" i="271"/>
  <c r="N40" i="271" s="1"/>
  <c r="N42" i="271" s="1"/>
  <c r="N43" i="271" s="1"/>
  <c r="N44" i="271" s="1"/>
  <c r="N46" i="271" s="1"/>
  <c r="N37" i="308"/>
  <c r="N40" i="308" s="1"/>
  <c r="N42" i="308" s="1"/>
  <c r="N43" i="308" s="1"/>
  <c r="N44" i="308" s="1"/>
  <c r="N46" i="308" s="1"/>
  <c r="J40" i="303"/>
  <c r="J20" i="303"/>
  <c r="K41" i="303"/>
  <c r="K21" i="303"/>
  <c r="J41" i="303"/>
  <c r="J21" i="303"/>
  <c r="O10" i="277"/>
  <c r="O10" i="268"/>
  <c r="O15" i="270" s="1"/>
  <c r="O10" i="308"/>
  <c r="O10" i="302"/>
  <c r="Q57" i="267"/>
  <c r="Q52" i="267"/>
  <c r="G32" i="269"/>
  <c r="N38" i="271"/>
  <c r="N38" i="308"/>
  <c r="N38" i="305"/>
  <c r="N38" i="268"/>
  <c r="N38" i="302"/>
  <c r="N38" i="277"/>
  <c r="L55" i="303"/>
  <c r="L62" i="303" s="1"/>
  <c r="J39" i="272"/>
  <c r="J19" i="272"/>
  <c r="I39" i="272"/>
  <c r="I19" i="272"/>
  <c r="I40" i="272"/>
  <c r="I20" i="272"/>
  <c r="H39" i="272"/>
  <c r="J41" i="272"/>
  <c r="J21" i="272"/>
  <c r="N29" i="272"/>
  <c r="N33" i="272" s="1"/>
  <c r="N28" i="272"/>
  <c r="N32" i="272" s="1"/>
  <c r="N27" i="272"/>
  <c r="L41" i="306"/>
  <c r="L21" i="306"/>
  <c r="K39" i="306"/>
  <c r="K19" i="306"/>
  <c r="K40" i="306"/>
  <c r="K20" i="306"/>
  <c r="L39" i="310"/>
  <c r="L19" i="310"/>
  <c r="I39" i="278"/>
  <c r="I19" i="278"/>
  <c r="I40" i="278"/>
  <c r="I20" i="278"/>
  <c r="J39" i="278"/>
  <c r="J19" i="278"/>
  <c r="J40" i="278"/>
  <c r="J20" i="278"/>
  <c r="N28" i="278"/>
  <c r="N32" i="278" s="1"/>
  <c r="N27" i="278"/>
  <c r="N29" i="278"/>
  <c r="N33" i="278" s="1"/>
  <c r="I39" i="269"/>
  <c r="I19" i="269"/>
  <c r="J41" i="269"/>
  <c r="J21" i="269"/>
  <c r="G39" i="269"/>
  <c r="H39" i="269"/>
  <c r="I40" i="269"/>
  <c r="I20" i="269"/>
  <c r="E43" i="269"/>
  <c r="R11" i="310"/>
  <c r="Q33" i="310"/>
  <c r="Q35" i="310" s="1"/>
  <c r="P11" i="269"/>
  <c r="R11" i="303"/>
  <c r="Q33" i="303"/>
  <c r="Q35" i="303" s="1"/>
  <c r="P10" i="269"/>
  <c r="Q10" i="272"/>
  <c r="R11" i="306"/>
  <c r="Q33" i="306"/>
  <c r="Q35" i="306" s="1"/>
  <c r="M9" i="278"/>
  <c r="L31" i="278"/>
  <c r="L35" i="278" s="1"/>
  <c r="Q11" i="278"/>
  <c r="Q10" i="278"/>
  <c r="Q11" i="272"/>
  <c r="M9" i="269"/>
  <c r="L31" i="269"/>
  <c r="L35" i="269" s="1"/>
  <c r="M9" i="272"/>
  <c r="L31" i="272"/>
  <c r="L35" i="272" s="1"/>
  <c r="M47" i="309"/>
  <c r="K66" i="303"/>
  <c r="K23" i="304"/>
  <c r="K15" i="303" s="1"/>
  <c r="K24" i="304"/>
  <c r="K16" i="303" s="1"/>
  <c r="M63" i="304"/>
  <c r="M66" i="304" s="1"/>
  <c r="M67" i="304" s="1"/>
  <c r="M72" i="304" s="1"/>
  <c r="N14" i="277"/>
  <c r="N16" i="277" s="1"/>
  <c r="N17" i="277" s="1"/>
  <c r="N18" i="277" s="1"/>
  <c r="N20" i="277" s="1"/>
  <c r="N16" i="279"/>
  <c r="N59" i="279" s="1"/>
  <c r="N21" i="304"/>
  <c r="N14" i="271"/>
  <c r="N16" i="271" s="1"/>
  <c r="N17" i="271" s="1"/>
  <c r="N18" i="271" s="1"/>
  <c r="N20" i="271" s="1"/>
  <c r="N16" i="273"/>
  <c r="N59" i="273" s="1"/>
  <c r="N13" i="304"/>
  <c r="L55" i="304"/>
  <c r="L22" i="304" s="1"/>
  <c r="L24" i="304" s="1"/>
  <c r="L16" i="303" s="1"/>
  <c r="N14" i="268"/>
  <c r="N16" i="268" s="1"/>
  <c r="N16" i="270"/>
  <c r="N59" i="270" s="1"/>
  <c r="M31" i="304"/>
  <c r="M40" i="304"/>
  <c r="H23" i="269"/>
  <c r="N194" i="310"/>
  <c r="N194" i="306"/>
  <c r="K83" i="303"/>
  <c r="K66" i="306"/>
  <c r="M29" i="304"/>
  <c r="M38" i="304"/>
  <c r="K170" i="303"/>
  <c r="K202" i="303"/>
  <c r="L71" i="303"/>
  <c r="L75" i="303" s="1"/>
  <c r="L78" i="303" s="1"/>
  <c r="L56" i="306"/>
  <c r="L63" i="306" s="1"/>
  <c r="L182" i="303"/>
  <c r="L186" i="303" s="1"/>
  <c r="L112" i="306"/>
  <c r="L159" i="306"/>
  <c r="L166" i="306" s="1"/>
  <c r="L128" i="303"/>
  <c r="L141" i="303" s="1"/>
  <c r="L55" i="306"/>
  <c r="L62" i="306" s="1"/>
  <c r="L175" i="306"/>
  <c r="L183" i="303"/>
  <c r="L187" i="303" s="1"/>
  <c r="J177" i="306"/>
  <c r="J204" i="306" s="1"/>
  <c r="O1" i="304"/>
  <c r="O13" i="304" s="1"/>
  <c r="O1" i="309"/>
  <c r="O1" i="307"/>
  <c r="N27" i="307"/>
  <c r="N13" i="307"/>
  <c r="N21" i="307"/>
  <c r="N27" i="309"/>
  <c r="N13" i="309"/>
  <c r="N21" i="309"/>
  <c r="M26" i="302"/>
  <c r="M160" i="303" s="1"/>
  <c r="M167" i="303" s="1"/>
  <c r="M113" i="310"/>
  <c r="M160" i="310"/>
  <c r="M167" i="310" s="1"/>
  <c r="M56" i="310"/>
  <c r="M63" i="310" s="1"/>
  <c r="M66" i="307"/>
  <c r="M67" i="307" s="1"/>
  <c r="M72" i="307" s="1"/>
  <c r="L23" i="307"/>
  <c r="L15" i="306" s="1"/>
  <c r="I23" i="306"/>
  <c r="I43" i="306" s="1"/>
  <c r="L200" i="310"/>
  <c r="M26" i="305"/>
  <c r="M25" i="305"/>
  <c r="M27" i="305"/>
  <c r="L24" i="307"/>
  <c r="L16" i="306" s="1"/>
  <c r="M47" i="307"/>
  <c r="M38" i="307"/>
  <c r="M29" i="307"/>
  <c r="M55" i="307" s="1"/>
  <c r="M22" i="307" s="1"/>
  <c r="M17" i="306" s="1"/>
  <c r="L113" i="306"/>
  <c r="K170" i="306"/>
  <c r="L62" i="310"/>
  <c r="O60" i="309"/>
  <c r="M25" i="302"/>
  <c r="M159" i="303" s="1"/>
  <c r="M166" i="303" s="1"/>
  <c r="K201" i="306"/>
  <c r="K175" i="306"/>
  <c r="N14" i="305"/>
  <c r="N16" i="305" s="1"/>
  <c r="N17" i="305" s="1"/>
  <c r="N18" i="305" s="1"/>
  <c r="N20" i="305" s="1"/>
  <c r="N26" i="305" s="1"/>
  <c r="N113" i="306" s="1"/>
  <c r="N60" i="307"/>
  <c r="L160" i="306"/>
  <c r="L167" i="306" s="1"/>
  <c r="K82" i="310"/>
  <c r="K66" i="310"/>
  <c r="K85" i="310" s="1"/>
  <c r="F23" i="303"/>
  <c r="H201" i="269"/>
  <c r="H112" i="260" s="1"/>
  <c r="M48" i="302"/>
  <c r="M126" i="303" s="1"/>
  <c r="M49" i="302"/>
  <c r="M182" i="303" s="1"/>
  <c r="M186" i="303" s="1"/>
  <c r="E35" i="303"/>
  <c r="L182" i="306"/>
  <c r="L186" i="306" s="1"/>
  <c r="L127" i="306"/>
  <c r="L71" i="306"/>
  <c r="L75" i="306" s="1"/>
  <c r="H200" i="269"/>
  <c r="H111" i="260" s="1"/>
  <c r="L181" i="306"/>
  <c r="L185" i="306" s="1"/>
  <c r="L126" i="306"/>
  <c r="L70" i="306"/>
  <c r="L74" i="306" s="1"/>
  <c r="L128" i="306"/>
  <c r="L183" i="306"/>
  <c r="L187" i="306" s="1"/>
  <c r="L72" i="306"/>
  <c r="K76" i="306"/>
  <c r="K83" i="306"/>
  <c r="J78" i="306"/>
  <c r="J85" i="306" s="1"/>
  <c r="J82" i="306"/>
  <c r="K189" i="306"/>
  <c r="K196" i="306" s="1"/>
  <c r="K202" i="306"/>
  <c r="O10" i="305"/>
  <c r="L47" i="273"/>
  <c r="J16" i="269"/>
  <c r="G32" i="303"/>
  <c r="G31" i="303"/>
  <c r="H31" i="303"/>
  <c r="J15" i="269"/>
  <c r="H32" i="303"/>
  <c r="F35" i="303"/>
  <c r="M48" i="305"/>
  <c r="M50" i="305"/>
  <c r="M49" i="305"/>
  <c r="K55" i="273"/>
  <c r="K22" i="273" s="1"/>
  <c r="K23" i="273" s="1"/>
  <c r="K15" i="272" s="1"/>
  <c r="K82" i="303"/>
  <c r="N60" i="304"/>
  <c r="N14" i="302"/>
  <c r="N16" i="302" s="1"/>
  <c r="N17" i="302" s="1"/>
  <c r="N18" i="302" s="1"/>
  <c r="N20" i="302" s="1"/>
  <c r="N26" i="302" s="1"/>
  <c r="N194" i="303"/>
  <c r="E23" i="303"/>
  <c r="M161" i="303"/>
  <c r="M168" i="303" s="1"/>
  <c r="M114" i="303"/>
  <c r="M57" i="303"/>
  <c r="M64" i="303" s="1"/>
  <c r="M128" i="303"/>
  <c r="M72" i="303"/>
  <c r="M76" i="303" s="1"/>
  <c r="M183" i="303"/>
  <c r="M187" i="303" s="1"/>
  <c r="H23" i="278"/>
  <c r="H32" i="278"/>
  <c r="K55" i="270"/>
  <c r="K22" i="270" s="1"/>
  <c r="K24" i="270" s="1"/>
  <c r="X42" i="260"/>
  <c r="P58" i="267"/>
  <c r="Q56" i="267"/>
  <c r="K17" i="278"/>
  <c r="K23" i="279"/>
  <c r="K15" i="278" s="1"/>
  <c r="N21" i="279"/>
  <c r="N27" i="279"/>
  <c r="N13" i="279"/>
  <c r="N37" i="268"/>
  <c r="N40" i="268" s="1"/>
  <c r="N42" i="268" s="1"/>
  <c r="P53" i="267"/>
  <c r="R2" i="267"/>
  <c r="O3" i="278"/>
  <c r="O1" i="279"/>
  <c r="Q51" i="267"/>
  <c r="O3" i="272"/>
  <c r="O1" i="270"/>
  <c r="O1" i="273"/>
  <c r="N13" i="270"/>
  <c r="N27" i="270"/>
  <c r="N21" i="270"/>
  <c r="N13" i="273"/>
  <c r="N21" i="273"/>
  <c r="N27" i="273"/>
  <c r="L38" i="273"/>
  <c r="L55" i="273" s="1"/>
  <c r="L22" i="273" s="1"/>
  <c r="L24" i="273" s="1"/>
  <c r="L16" i="272" s="1"/>
  <c r="K24" i="279"/>
  <c r="K16" i="278" s="1"/>
  <c r="L29" i="279"/>
  <c r="L55" i="279" s="1"/>
  <c r="L22" i="279" s="1"/>
  <c r="L24" i="279" s="1"/>
  <c r="L16" i="278" s="1"/>
  <c r="L38" i="279"/>
  <c r="M47" i="273"/>
  <c r="M60" i="273"/>
  <c r="M63" i="273" s="1"/>
  <c r="M66" i="273" s="1"/>
  <c r="M67" i="273" s="1"/>
  <c r="M72" i="273" s="1"/>
  <c r="O10" i="271"/>
  <c r="O15" i="273" s="1"/>
  <c r="M38" i="279"/>
  <c r="M60" i="279"/>
  <c r="M63" i="279" s="1"/>
  <c r="M66" i="279" s="1"/>
  <c r="M67" i="279" s="1"/>
  <c r="M72" i="279" s="1"/>
  <c r="G200" i="269"/>
  <c r="G111" i="260" s="1"/>
  <c r="G201" i="269"/>
  <c r="G112" i="260" s="1"/>
  <c r="J202" i="272"/>
  <c r="L160" i="278"/>
  <c r="L56" i="278"/>
  <c r="L113" i="278"/>
  <c r="L71" i="278"/>
  <c r="L127" i="278"/>
  <c r="L182" i="278"/>
  <c r="L72" i="278"/>
  <c r="L128" i="278"/>
  <c r="L183" i="278"/>
  <c r="L70" i="278"/>
  <c r="L74" i="278" s="1"/>
  <c r="L126" i="278"/>
  <c r="L181" i="278"/>
  <c r="L185" i="278" s="1"/>
  <c r="L32" i="277"/>
  <c r="L172" i="278" s="1"/>
  <c r="L159" i="278"/>
  <c r="L112" i="278"/>
  <c r="L55" i="278"/>
  <c r="L161" i="278"/>
  <c r="L168" i="278" s="1"/>
  <c r="L57" i="278"/>
  <c r="L64" i="278" s="1"/>
  <c r="L114" i="278"/>
  <c r="L33" i="277"/>
  <c r="L173" i="278" s="1"/>
  <c r="Q52" i="277"/>
  <c r="Q191" i="278" s="1"/>
  <c r="Q53" i="277"/>
  <c r="Q192" i="278" s="1"/>
  <c r="M49" i="277"/>
  <c r="M50" i="277"/>
  <c r="M48" i="277"/>
  <c r="M27" i="277"/>
  <c r="M26" i="277"/>
  <c r="M25" i="277"/>
  <c r="P53" i="271"/>
  <c r="P192" i="272" s="1"/>
  <c r="P52" i="271"/>
  <c r="P191" i="272" s="1"/>
  <c r="L32" i="271"/>
  <c r="L172" i="272" s="1"/>
  <c r="L112" i="272"/>
  <c r="L159" i="272"/>
  <c r="L55" i="272"/>
  <c r="L113" i="272"/>
  <c r="L160" i="272"/>
  <c r="L56" i="272"/>
  <c r="L33" i="271"/>
  <c r="L173" i="272" s="1"/>
  <c r="L182" i="272"/>
  <c r="L186" i="272" s="1"/>
  <c r="L71" i="272"/>
  <c r="L127" i="272"/>
  <c r="L114" i="272"/>
  <c r="L161" i="272"/>
  <c r="L57" i="272"/>
  <c r="L64" i="272" s="1"/>
  <c r="L181" i="272"/>
  <c r="L70" i="272"/>
  <c r="L126" i="272"/>
  <c r="M50" i="271"/>
  <c r="M49" i="271"/>
  <c r="M48" i="271"/>
  <c r="I170" i="272"/>
  <c r="L183" i="272"/>
  <c r="L187" i="272" s="1"/>
  <c r="L72" i="272"/>
  <c r="L76" i="272" s="1"/>
  <c r="L128" i="272"/>
  <c r="M25" i="271"/>
  <c r="M26" i="271"/>
  <c r="M27" i="271"/>
  <c r="J82" i="272"/>
  <c r="N14" i="279"/>
  <c r="K187" i="272"/>
  <c r="K189" i="272" s="1"/>
  <c r="N14" i="273"/>
  <c r="J66" i="272"/>
  <c r="J85" i="272" s="1"/>
  <c r="K187" i="278"/>
  <c r="K189" i="278" s="1"/>
  <c r="K200" i="272"/>
  <c r="K76" i="278"/>
  <c r="K201" i="272"/>
  <c r="K62" i="272"/>
  <c r="K166" i="272"/>
  <c r="K63" i="272"/>
  <c r="K167" i="272"/>
  <c r="K74" i="278"/>
  <c r="I202" i="272"/>
  <c r="I33" i="268"/>
  <c r="O6" i="277"/>
  <c r="O6" i="271"/>
  <c r="O53" i="268"/>
  <c r="O192" i="269" s="1"/>
  <c r="O52" i="268"/>
  <c r="O191" i="269" s="1"/>
  <c r="J66" i="278"/>
  <c r="K167" i="278"/>
  <c r="K63" i="278"/>
  <c r="K201" i="278"/>
  <c r="J170" i="278"/>
  <c r="I170" i="278"/>
  <c r="I202" i="278"/>
  <c r="J200" i="278"/>
  <c r="I200" i="278"/>
  <c r="I62" i="278"/>
  <c r="I83" i="278"/>
  <c r="M40" i="279"/>
  <c r="M31" i="279"/>
  <c r="H23" i="272"/>
  <c r="K166" i="278"/>
  <c r="K62" i="278"/>
  <c r="I57" i="269"/>
  <c r="I64" i="269" s="1"/>
  <c r="K168" i="278"/>
  <c r="K64" i="278"/>
  <c r="M40" i="273"/>
  <c r="M31" i="273"/>
  <c r="I114" i="269"/>
  <c r="I119" i="269" s="1"/>
  <c r="K74" i="272"/>
  <c r="J202" i="278"/>
  <c r="J189" i="278"/>
  <c r="I78" i="272"/>
  <c r="I85" i="272" s="1"/>
  <c r="I82" i="272"/>
  <c r="H78" i="278"/>
  <c r="H85" i="278" s="1"/>
  <c r="H82" i="278"/>
  <c r="J74" i="278"/>
  <c r="J83" i="278"/>
  <c r="R2" i="277"/>
  <c r="K27" i="268"/>
  <c r="I55" i="269"/>
  <c r="I62" i="269" s="1"/>
  <c r="I159" i="269"/>
  <c r="I166" i="269" s="1"/>
  <c r="I170" i="269" s="1"/>
  <c r="I32" i="268"/>
  <c r="P3" i="269"/>
  <c r="Q2" i="271"/>
  <c r="L66" i="270"/>
  <c r="L67" i="270" s="1"/>
  <c r="L72" i="270" s="1"/>
  <c r="M60" i="270"/>
  <c r="M63" i="270" s="1"/>
  <c r="M40" i="270"/>
  <c r="M31" i="270"/>
  <c r="G23" i="269"/>
  <c r="L17" i="268"/>
  <c r="L18" i="268" s="1"/>
  <c r="L20" i="268" s="1"/>
  <c r="J26" i="268"/>
  <c r="J25" i="268"/>
  <c r="J27" i="268"/>
  <c r="L55" i="270"/>
  <c r="L22" i="270" s="1"/>
  <c r="M47" i="270"/>
  <c r="M38" i="270"/>
  <c r="M29" i="270"/>
  <c r="N14" i="270"/>
  <c r="P2" i="268"/>
  <c r="M2" i="264"/>
  <c r="M17" i="264" s="1"/>
  <c r="L20" i="310" l="1"/>
  <c r="M92" i="319"/>
  <c r="R8" i="267"/>
  <c r="R7" i="267"/>
  <c r="R12" i="267"/>
  <c r="R9" i="267"/>
  <c r="R11" i="267"/>
  <c r="R10" i="267"/>
  <c r="P6" i="305" s="1"/>
  <c r="P14" i="307" s="1"/>
  <c r="L21" i="310"/>
  <c r="L41" i="310"/>
  <c r="P103" i="269"/>
  <c r="P100" i="269"/>
  <c r="P102" i="269"/>
  <c r="P101" i="269"/>
  <c r="P97" i="269"/>
  <c r="P95" i="269"/>
  <c r="P90" i="269"/>
  <c r="P96" i="269"/>
  <c r="P93" i="269"/>
  <c r="P91" i="269"/>
  <c r="P98" i="269"/>
  <c r="P92" i="269"/>
  <c r="N41" i="319"/>
  <c r="N32" i="319"/>
  <c r="N41" i="316"/>
  <c r="N32" i="316"/>
  <c r="R39" i="267"/>
  <c r="R41" i="267" s="1"/>
  <c r="R40" i="267"/>
  <c r="R44" i="267"/>
  <c r="R46" i="267" s="1"/>
  <c r="R45" i="267"/>
  <c r="P11" i="327" s="1"/>
  <c r="P18" i="328" s="1"/>
  <c r="R30" i="267"/>
  <c r="R29" i="267"/>
  <c r="R31" i="267" s="1"/>
  <c r="O11" i="318"/>
  <c r="O18" i="319" s="1"/>
  <c r="O11" i="312"/>
  <c r="O18" i="314" s="1"/>
  <c r="O32" i="314" s="1"/>
  <c r="O11" i="315"/>
  <c r="O18" i="316" s="1"/>
  <c r="N31" i="309"/>
  <c r="N55" i="309" s="1"/>
  <c r="N22" i="309" s="1"/>
  <c r="N40" i="309"/>
  <c r="O11" i="302"/>
  <c r="O17" i="304" s="1"/>
  <c r="O11" i="277"/>
  <c r="O17" i="279" s="1"/>
  <c r="O11" i="268"/>
  <c r="O17" i="270" s="1"/>
  <c r="O11" i="308"/>
  <c r="O17" i="309" s="1"/>
  <c r="K35" i="323"/>
  <c r="K143" i="320"/>
  <c r="L182" i="313"/>
  <c r="L186" i="313" s="1"/>
  <c r="K39" i="323"/>
  <c r="M92" i="325"/>
  <c r="M110" i="316"/>
  <c r="L71" i="313"/>
  <c r="L75" i="313" s="1"/>
  <c r="K133" i="329"/>
  <c r="O77" i="316"/>
  <c r="O15" i="316"/>
  <c r="P6" i="321"/>
  <c r="P6" i="324"/>
  <c r="P6" i="312"/>
  <c r="P6" i="308"/>
  <c r="P14" i="309" s="1"/>
  <c r="P6" i="327"/>
  <c r="P6" i="315"/>
  <c r="P6" i="318"/>
  <c r="P6" i="302"/>
  <c r="P14" i="304" s="1"/>
  <c r="O77" i="328"/>
  <c r="O15" i="328"/>
  <c r="O77" i="322"/>
  <c r="O15" i="322"/>
  <c r="O77" i="325"/>
  <c r="O15" i="325"/>
  <c r="K140" i="329"/>
  <c r="O77" i="314"/>
  <c r="O15" i="314"/>
  <c r="O77" i="319"/>
  <c r="O15" i="319"/>
  <c r="K132" i="326"/>
  <c r="K202" i="326"/>
  <c r="L131" i="310"/>
  <c r="O102" i="317"/>
  <c r="O100" i="317"/>
  <c r="O101" i="317"/>
  <c r="O103" i="317"/>
  <c r="O98" i="317"/>
  <c r="O96" i="317"/>
  <c r="O92" i="317"/>
  <c r="O93" i="317"/>
  <c r="O97" i="317"/>
  <c r="O90" i="317"/>
  <c r="O91" i="317"/>
  <c r="O95" i="317"/>
  <c r="O103" i="323"/>
  <c r="O102" i="323"/>
  <c r="O100" i="323"/>
  <c r="O101" i="323"/>
  <c r="O98" i="323"/>
  <c r="O96" i="323"/>
  <c r="O92" i="323"/>
  <c r="O93" i="323"/>
  <c r="O91" i="323"/>
  <c r="O95" i="323"/>
  <c r="O90" i="323"/>
  <c r="O97" i="323"/>
  <c r="O100" i="272"/>
  <c r="O103" i="272"/>
  <c r="O101" i="272"/>
  <c r="O98" i="272"/>
  <c r="O93" i="272"/>
  <c r="O92" i="272"/>
  <c r="O90" i="272"/>
  <c r="O102" i="272"/>
  <c r="O96" i="272"/>
  <c r="O91" i="272"/>
  <c r="O97" i="272"/>
  <c r="O95" i="272"/>
  <c r="O102" i="329"/>
  <c r="O103" i="329"/>
  <c r="O101" i="329"/>
  <c r="O100" i="329"/>
  <c r="O98" i="329"/>
  <c r="O96" i="329"/>
  <c r="O97" i="329"/>
  <c r="O95" i="329"/>
  <c r="O92" i="329"/>
  <c r="O90" i="329"/>
  <c r="O91" i="329"/>
  <c r="O93" i="329"/>
  <c r="N60" i="314"/>
  <c r="O102" i="326"/>
  <c r="O103" i="326"/>
  <c r="O101" i="326"/>
  <c r="O100" i="326"/>
  <c r="O98" i="326"/>
  <c r="O96" i="326"/>
  <c r="O92" i="326"/>
  <c r="O93" i="326"/>
  <c r="O97" i="326"/>
  <c r="O95" i="326"/>
  <c r="O90" i="326"/>
  <c r="O91" i="326"/>
  <c r="O100" i="278"/>
  <c r="O102" i="278"/>
  <c r="O103" i="278"/>
  <c r="O101" i="278"/>
  <c r="O91" i="278"/>
  <c r="O98" i="278"/>
  <c r="O96" i="278"/>
  <c r="O92" i="278"/>
  <c r="O93" i="278"/>
  <c r="O95" i="278"/>
  <c r="O97" i="278"/>
  <c r="O90" i="278"/>
  <c r="O102" i="320"/>
  <c r="O103" i="320"/>
  <c r="O101" i="320"/>
  <c r="O93" i="320"/>
  <c r="O100" i="320"/>
  <c r="O97" i="320"/>
  <c r="O95" i="320"/>
  <c r="O90" i="320"/>
  <c r="O91" i="320"/>
  <c r="O98" i="320"/>
  <c r="O96" i="320"/>
  <c r="O92" i="320"/>
  <c r="O101" i="313"/>
  <c r="O103" i="313"/>
  <c r="O100" i="313"/>
  <c r="O102" i="313"/>
  <c r="O98" i="313"/>
  <c r="O96" i="313"/>
  <c r="O93" i="313"/>
  <c r="O97" i="313"/>
  <c r="O95" i="313"/>
  <c r="O90" i="313"/>
  <c r="O92" i="313"/>
  <c r="O91" i="313"/>
  <c r="K141" i="329"/>
  <c r="K130" i="329"/>
  <c r="K189" i="329"/>
  <c r="K196" i="329" s="1"/>
  <c r="K204" i="329" s="1"/>
  <c r="K202" i="329"/>
  <c r="K83" i="329"/>
  <c r="K143" i="329"/>
  <c r="K142" i="329"/>
  <c r="K132" i="329"/>
  <c r="K131" i="326"/>
  <c r="K142" i="326"/>
  <c r="K140" i="326"/>
  <c r="K130" i="326"/>
  <c r="L128" i="313"/>
  <c r="L141" i="313" s="1"/>
  <c r="K133" i="326"/>
  <c r="K141" i="326"/>
  <c r="K140" i="317"/>
  <c r="L140" i="310"/>
  <c r="I118" i="269"/>
  <c r="L142" i="303"/>
  <c r="L130" i="310"/>
  <c r="L130" i="303"/>
  <c r="L130" i="306"/>
  <c r="L133" i="306"/>
  <c r="L131" i="306"/>
  <c r="L132" i="306"/>
  <c r="L130" i="329"/>
  <c r="L131" i="329"/>
  <c r="L132" i="329"/>
  <c r="L133" i="329"/>
  <c r="L143" i="323"/>
  <c r="L119" i="323"/>
  <c r="L140" i="323"/>
  <c r="L116" i="323"/>
  <c r="L141" i="323"/>
  <c r="L117" i="323"/>
  <c r="L142" i="323"/>
  <c r="L118" i="323"/>
  <c r="L142" i="329"/>
  <c r="L140" i="329"/>
  <c r="L119" i="310"/>
  <c r="L131" i="320"/>
  <c r="L133" i="320"/>
  <c r="L130" i="320"/>
  <c r="L132" i="320"/>
  <c r="M49" i="312"/>
  <c r="M182" i="313" s="1"/>
  <c r="M186" i="313" s="1"/>
  <c r="M117" i="329"/>
  <c r="M118" i="329"/>
  <c r="M119" i="329"/>
  <c r="M116" i="329"/>
  <c r="L141" i="320"/>
  <c r="L142" i="320"/>
  <c r="L143" i="320"/>
  <c r="L119" i="320"/>
  <c r="L118" i="320"/>
  <c r="L140" i="320"/>
  <c r="L116" i="320"/>
  <c r="L117" i="320"/>
  <c r="K140" i="320"/>
  <c r="K133" i="317"/>
  <c r="K141" i="317"/>
  <c r="K143" i="317"/>
  <c r="L143" i="329"/>
  <c r="L133" i="310"/>
  <c r="L117" i="310"/>
  <c r="L142" i="310"/>
  <c r="L133" i="303"/>
  <c r="L140" i="303"/>
  <c r="L116" i="326"/>
  <c r="L117" i="326"/>
  <c r="L118" i="326"/>
  <c r="L119" i="326"/>
  <c r="L118" i="310"/>
  <c r="L130" i="313"/>
  <c r="M50" i="312"/>
  <c r="M72" i="313" s="1"/>
  <c r="M76" i="313" s="1"/>
  <c r="I117" i="269"/>
  <c r="K132" i="317"/>
  <c r="K142" i="317"/>
  <c r="L141" i="329"/>
  <c r="L132" i="310"/>
  <c r="L143" i="310"/>
  <c r="L141" i="310"/>
  <c r="L132" i="303"/>
  <c r="L143" i="303"/>
  <c r="L133" i="323"/>
  <c r="L130" i="323"/>
  <c r="L131" i="323"/>
  <c r="L132" i="323"/>
  <c r="K130" i="320"/>
  <c r="K132" i="320"/>
  <c r="K133" i="320"/>
  <c r="K131" i="320"/>
  <c r="K141" i="320"/>
  <c r="K130" i="317"/>
  <c r="L142" i="272"/>
  <c r="L143" i="272"/>
  <c r="L140" i="272"/>
  <c r="L116" i="272"/>
  <c r="L141" i="272"/>
  <c r="L117" i="272"/>
  <c r="L118" i="272"/>
  <c r="L119" i="272"/>
  <c r="L132" i="272"/>
  <c r="L133" i="272"/>
  <c r="L130" i="272"/>
  <c r="L131" i="272"/>
  <c r="L140" i="278"/>
  <c r="L116" i="278"/>
  <c r="L141" i="278"/>
  <c r="L142" i="278"/>
  <c r="L118" i="278"/>
  <c r="L143" i="278"/>
  <c r="L119" i="278"/>
  <c r="L117" i="278"/>
  <c r="L130" i="278"/>
  <c r="L131" i="278"/>
  <c r="L132" i="278"/>
  <c r="L133" i="278"/>
  <c r="L141" i="306"/>
  <c r="L142" i="306"/>
  <c r="L143" i="306"/>
  <c r="L140" i="306"/>
  <c r="L119" i="306"/>
  <c r="L116" i="306"/>
  <c r="L117" i="306"/>
  <c r="L118" i="306"/>
  <c r="L116" i="317"/>
  <c r="L117" i="317"/>
  <c r="L118" i="317"/>
  <c r="L119" i="317"/>
  <c r="M116" i="313"/>
  <c r="M117" i="313"/>
  <c r="M118" i="313"/>
  <c r="M119" i="313"/>
  <c r="K142" i="320"/>
  <c r="I116" i="269"/>
  <c r="K131" i="317"/>
  <c r="L116" i="310"/>
  <c r="L131" i="303"/>
  <c r="M101" i="325"/>
  <c r="M101" i="319"/>
  <c r="M118" i="319" s="1"/>
  <c r="M85" i="319" s="1"/>
  <c r="L126" i="326"/>
  <c r="M110" i="328"/>
  <c r="O107" i="329"/>
  <c r="O105" i="329"/>
  <c r="O108" i="329"/>
  <c r="O106" i="329"/>
  <c r="M101" i="328"/>
  <c r="M118" i="328" s="1"/>
  <c r="M85" i="328" s="1"/>
  <c r="O105" i="320"/>
  <c r="O108" i="320"/>
  <c r="O107" i="320"/>
  <c r="O106" i="320"/>
  <c r="P105" i="269"/>
  <c r="P107" i="269"/>
  <c r="P108" i="269"/>
  <c r="P106" i="269"/>
  <c r="L181" i="326"/>
  <c r="L185" i="326" s="1"/>
  <c r="O108" i="313"/>
  <c r="O106" i="313"/>
  <c r="O105" i="313"/>
  <c r="O107" i="313"/>
  <c r="M101" i="316"/>
  <c r="O108" i="272"/>
  <c r="O106" i="272"/>
  <c r="O107" i="272"/>
  <c r="O105" i="272"/>
  <c r="O105" i="323"/>
  <c r="O108" i="323"/>
  <c r="O107" i="323"/>
  <c r="O106" i="323"/>
  <c r="O105" i="278"/>
  <c r="O108" i="278"/>
  <c r="O107" i="278"/>
  <c r="O106" i="278"/>
  <c r="O105" i="317"/>
  <c r="O108" i="317"/>
  <c r="O107" i="317"/>
  <c r="O106" i="317"/>
  <c r="O108" i="326"/>
  <c r="O105" i="326"/>
  <c r="O107" i="326"/>
  <c r="O106" i="326"/>
  <c r="M101" i="322"/>
  <c r="M118" i="322" s="1"/>
  <c r="M85" i="322" s="1"/>
  <c r="K83" i="320"/>
  <c r="K202" i="317"/>
  <c r="N78" i="319"/>
  <c r="N101" i="319" s="1"/>
  <c r="N79" i="319"/>
  <c r="N63" i="307"/>
  <c r="N66" i="307" s="1"/>
  <c r="N67" i="307" s="1"/>
  <c r="N72" i="307" s="1"/>
  <c r="K202" i="320"/>
  <c r="L183" i="313"/>
  <c r="L187" i="313" s="1"/>
  <c r="L189" i="313" s="1"/>
  <c r="L53" i="312"/>
  <c r="L192" i="313" s="1"/>
  <c r="L194" i="313" s="1"/>
  <c r="M118" i="325"/>
  <c r="M85" i="325" s="1"/>
  <c r="M29" i="326" s="1"/>
  <c r="M33" i="326" s="1"/>
  <c r="N40" i="318"/>
  <c r="N42" i="318" s="1"/>
  <c r="N43" i="318" s="1"/>
  <c r="N44" i="318" s="1"/>
  <c r="N46" i="318" s="1"/>
  <c r="N48" i="318" s="1"/>
  <c r="N52" i="318" s="1"/>
  <c r="N191" i="320" s="1"/>
  <c r="M50" i="327"/>
  <c r="M53" i="327" s="1"/>
  <c r="M192" i="329" s="1"/>
  <c r="L201" i="320"/>
  <c r="N78" i="316"/>
  <c r="N110" i="316" s="1"/>
  <c r="N79" i="316"/>
  <c r="M92" i="322"/>
  <c r="N78" i="325"/>
  <c r="N110" i="325" s="1"/>
  <c r="N79" i="325"/>
  <c r="N78" i="328"/>
  <c r="N110" i="328" s="1"/>
  <c r="N79" i="328"/>
  <c r="N40" i="327"/>
  <c r="N42" i="327" s="1"/>
  <c r="N43" i="327" s="1"/>
  <c r="N44" i="327" s="1"/>
  <c r="N46" i="327" s="1"/>
  <c r="N50" i="327" s="1"/>
  <c r="N79" i="314"/>
  <c r="N78" i="314"/>
  <c r="O14" i="327"/>
  <c r="O16" i="327" s="1"/>
  <c r="O17" i="327" s="1"/>
  <c r="O18" i="327" s="1"/>
  <c r="O20" i="327" s="1"/>
  <c r="O26" i="327" s="1"/>
  <c r="O16" i="328"/>
  <c r="O17" i="328"/>
  <c r="N78" i="322"/>
  <c r="N92" i="322" s="1"/>
  <c r="N79" i="322"/>
  <c r="M126" i="314"/>
  <c r="M64" i="314"/>
  <c r="L182" i="326"/>
  <c r="L186" i="326" s="1"/>
  <c r="L127" i="326"/>
  <c r="L41" i="323"/>
  <c r="G35" i="269"/>
  <c r="G43" i="269" s="1"/>
  <c r="L126" i="317"/>
  <c r="L140" i="317" s="1"/>
  <c r="K196" i="320"/>
  <c r="L86" i="328"/>
  <c r="L27" i="329" s="1"/>
  <c r="L31" i="329" s="1"/>
  <c r="L70" i="317"/>
  <c r="L74" i="317" s="1"/>
  <c r="M49" i="315"/>
  <c r="M127" i="317" s="1"/>
  <c r="K83" i="317"/>
  <c r="J204" i="317"/>
  <c r="M48" i="315"/>
  <c r="M70" i="317" s="1"/>
  <c r="M48" i="327"/>
  <c r="M52" i="327" s="1"/>
  <c r="M191" i="329" s="1"/>
  <c r="M200" i="329" s="1"/>
  <c r="K40" i="323"/>
  <c r="J43" i="320"/>
  <c r="L202" i="310"/>
  <c r="K19" i="323"/>
  <c r="L182" i="317"/>
  <c r="L186" i="317" s="1"/>
  <c r="L189" i="317" s="1"/>
  <c r="L196" i="317" s="1"/>
  <c r="L71" i="317"/>
  <c r="L75" i="317" s="1"/>
  <c r="L86" i="319"/>
  <c r="L27" i="320" s="1"/>
  <c r="L31" i="320" s="1"/>
  <c r="N40" i="315"/>
  <c r="N42" i="315" s="1"/>
  <c r="N43" i="315" s="1"/>
  <c r="N44" i="315" s="1"/>
  <c r="N46" i="315" s="1"/>
  <c r="N49" i="315" s="1"/>
  <c r="O16" i="316"/>
  <c r="O17" i="316"/>
  <c r="K41" i="313"/>
  <c r="J23" i="313"/>
  <c r="J43" i="313" s="1"/>
  <c r="O16" i="314"/>
  <c r="O17" i="314"/>
  <c r="O122" i="314" s="1"/>
  <c r="O15" i="279"/>
  <c r="M159" i="310"/>
  <c r="M166" i="310" s="1"/>
  <c r="M170" i="310" s="1"/>
  <c r="M55" i="310"/>
  <c r="M62" i="310" s="1"/>
  <c r="M32" i="308"/>
  <c r="M172" i="310" s="1"/>
  <c r="M200" i="310" s="1"/>
  <c r="O16" i="309"/>
  <c r="O59" i="309" s="1"/>
  <c r="O63" i="309" s="1"/>
  <c r="O66" i="309" s="1"/>
  <c r="O67" i="309" s="1"/>
  <c r="O72" i="309" s="1"/>
  <c r="O15" i="309"/>
  <c r="O47" i="309" s="1"/>
  <c r="O16" i="307"/>
  <c r="O59" i="307" s="1"/>
  <c r="O15" i="307"/>
  <c r="O16" i="304"/>
  <c r="O59" i="304" s="1"/>
  <c r="O15" i="304"/>
  <c r="O47" i="304" s="1"/>
  <c r="J35" i="317"/>
  <c r="O151" i="326"/>
  <c r="O150" i="326"/>
  <c r="O150" i="323"/>
  <c r="O151" i="323"/>
  <c r="O150" i="320"/>
  <c r="O151" i="320"/>
  <c r="O150" i="317"/>
  <c r="O151" i="317"/>
  <c r="O150" i="313"/>
  <c r="O151" i="313"/>
  <c r="O150" i="278"/>
  <c r="O151" i="278"/>
  <c r="O150" i="272"/>
  <c r="O151" i="272"/>
  <c r="P150" i="269"/>
  <c r="P28" i="269"/>
  <c r="P32" i="269" s="1"/>
  <c r="P151" i="269"/>
  <c r="P27" i="269"/>
  <c r="P29" i="269"/>
  <c r="P33" i="269" s="1"/>
  <c r="K196" i="313"/>
  <c r="K204" i="313" s="1"/>
  <c r="J35" i="323"/>
  <c r="J43" i="323" s="1"/>
  <c r="O14" i="312"/>
  <c r="O16" i="312" s="1"/>
  <c r="O17" i="312" s="1"/>
  <c r="O18" i="312" s="1"/>
  <c r="O20" i="312" s="1"/>
  <c r="O25" i="312" s="1"/>
  <c r="K204" i="310"/>
  <c r="K32" i="329"/>
  <c r="K35" i="329" s="1"/>
  <c r="K40" i="329"/>
  <c r="N30" i="319"/>
  <c r="N48" i="319"/>
  <c r="N39" i="319"/>
  <c r="N56" i="319" s="1"/>
  <c r="N23" i="319" s="1"/>
  <c r="N17" i="320" s="1"/>
  <c r="N21" i="320" s="1"/>
  <c r="K32" i="317"/>
  <c r="K40" i="317"/>
  <c r="N122" i="325"/>
  <c r="N60" i="325"/>
  <c r="P10" i="327"/>
  <c r="P14" i="327" s="1"/>
  <c r="P16" i="327" s="1"/>
  <c r="P17" i="327" s="1"/>
  <c r="P18" i="327" s="1"/>
  <c r="P20" i="327" s="1"/>
  <c r="P10" i="321"/>
  <c r="P16" i="322" s="1"/>
  <c r="P10" i="324"/>
  <c r="P16" i="325" s="1"/>
  <c r="O90" i="316"/>
  <c r="O84" i="316"/>
  <c r="O76" i="316"/>
  <c r="O22" i="316"/>
  <c r="O28" i="316"/>
  <c r="N122" i="322"/>
  <c r="N60" i="322"/>
  <c r="O32" i="325"/>
  <c r="O41" i="325"/>
  <c r="L29" i="326"/>
  <c r="L33" i="326" s="1"/>
  <c r="L86" i="325"/>
  <c r="L27" i="326" s="1"/>
  <c r="L31" i="326" s="1"/>
  <c r="K33" i="320"/>
  <c r="K35" i="320" s="1"/>
  <c r="K41" i="320"/>
  <c r="M126" i="316"/>
  <c r="M64" i="316"/>
  <c r="M64" i="325"/>
  <c r="M126" i="325"/>
  <c r="N92" i="325"/>
  <c r="O32" i="328"/>
  <c r="O41" i="328"/>
  <c r="M64" i="328"/>
  <c r="M126" i="328"/>
  <c r="R62" i="267"/>
  <c r="R66" i="267"/>
  <c r="N60" i="328"/>
  <c r="N122" i="328"/>
  <c r="L41" i="320"/>
  <c r="L129" i="316"/>
  <c r="L130" i="316" s="1"/>
  <c r="L135" i="316" s="1"/>
  <c r="L87" i="316" s="1"/>
  <c r="L28" i="317" s="1"/>
  <c r="L67" i="316"/>
  <c r="L68" i="316" s="1"/>
  <c r="L73" i="316" s="1"/>
  <c r="L25" i="316" s="1"/>
  <c r="L16" i="317" s="1"/>
  <c r="L20" i="317" s="1"/>
  <c r="L24" i="316"/>
  <c r="L15" i="317" s="1"/>
  <c r="K33" i="317"/>
  <c r="K41" i="317"/>
  <c r="K35" i="326"/>
  <c r="L129" i="325"/>
  <c r="L130" i="325" s="1"/>
  <c r="L135" i="325" s="1"/>
  <c r="L87" i="325" s="1"/>
  <c r="L28" i="326" s="1"/>
  <c r="L67" i="325"/>
  <c r="L68" i="325" s="1"/>
  <c r="L73" i="325" s="1"/>
  <c r="L25" i="325" s="1"/>
  <c r="L16" i="326" s="1"/>
  <c r="L20" i="326" s="1"/>
  <c r="L24" i="325"/>
  <c r="L15" i="326" s="1"/>
  <c r="M126" i="322"/>
  <c r="M64" i="322"/>
  <c r="O90" i="319"/>
  <c r="O84" i="319"/>
  <c r="O28" i="319"/>
  <c r="O76" i="319"/>
  <c r="O22" i="319"/>
  <c r="N122" i="316"/>
  <c r="N60" i="316"/>
  <c r="K19" i="320"/>
  <c r="K39" i="320"/>
  <c r="N103" i="319"/>
  <c r="N94" i="319"/>
  <c r="M118" i="316"/>
  <c r="M85" i="316" s="1"/>
  <c r="O84" i="322"/>
  <c r="O76" i="322"/>
  <c r="O90" i="322"/>
  <c r="O28" i="322"/>
  <c r="O22" i="322"/>
  <c r="M30" i="328"/>
  <c r="M48" i="328"/>
  <c r="M39" i="328"/>
  <c r="M56" i="328" s="1"/>
  <c r="M23" i="328" s="1"/>
  <c r="N48" i="316"/>
  <c r="N30" i="316"/>
  <c r="N39" i="316"/>
  <c r="K20" i="320"/>
  <c r="K40" i="320"/>
  <c r="O32" i="322"/>
  <c r="O41" i="322"/>
  <c r="N94" i="316"/>
  <c r="N103" i="316"/>
  <c r="O90" i="325"/>
  <c r="O76" i="325"/>
  <c r="O28" i="325"/>
  <c r="O22" i="325"/>
  <c r="O84" i="325"/>
  <c r="M39" i="325"/>
  <c r="M56" i="325" s="1"/>
  <c r="M23" i="325" s="1"/>
  <c r="M30" i="325"/>
  <c r="M48" i="325"/>
  <c r="N39" i="322"/>
  <c r="N56" i="322" s="1"/>
  <c r="N23" i="322" s="1"/>
  <c r="N17" i="323" s="1"/>
  <c r="N21" i="323" s="1"/>
  <c r="N48" i="322"/>
  <c r="N30" i="322"/>
  <c r="O38" i="321"/>
  <c r="O80" i="322" s="1"/>
  <c r="O38" i="324"/>
  <c r="O80" i="325" s="1"/>
  <c r="O38" i="327"/>
  <c r="O80" i="328" s="1"/>
  <c r="L129" i="322"/>
  <c r="L130" i="322" s="1"/>
  <c r="L135" i="322" s="1"/>
  <c r="L87" i="322" s="1"/>
  <c r="L28" i="323" s="1"/>
  <c r="L32" i="323" s="1"/>
  <c r="L35" i="323" s="1"/>
  <c r="L67" i="322"/>
  <c r="L68" i="322" s="1"/>
  <c r="L73" i="322" s="1"/>
  <c r="L25" i="322" s="1"/>
  <c r="L16" i="323" s="1"/>
  <c r="L20" i="323" s="1"/>
  <c r="L24" i="322"/>
  <c r="L15" i="323" s="1"/>
  <c r="L39" i="323" s="1"/>
  <c r="P11" i="321"/>
  <c r="P18" i="322" s="1"/>
  <c r="N103" i="325"/>
  <c r="N94" i="325"/>
  <c r="N103" i="328"/>
  <c r="N94" i="328"/>
  <c r="Q68" i="267"/>
  <c r="O37" i="324"/>
  <c r="O40" i="324" s="1"/>
  <c r="O42" i="324" s="1"/>
  <c r="O43" i="324" s="1"/>
  <c r="O44" i="324" s="1"/>
  <c r="O46" i="324" s="1"/>
  <c r="O37" i="327"/>
  <c r="O37" i="321"/>
  <c r="L67" i="328"/>
  <c r="L68" i="328" s="1"/>
  <c r="L73" i="328" s="1"/>
  <c r="L25" i="328" s="1"/>
  <c r="L16" i="329" s="1"/>
  <c r="L20" i="329" s="1"/>
  <c r="L129" i="328"/>
  <c r="L130" i="328" s="1"/>
  <c r="L135" i="328" s="1"/>
  <c r="L87" i="328" s="1"/>
  <c r="L28" i="329" s="1"/>
  <c r="L32" i="329" s="1"/>
  <c r="L24" i="328"/>
  <c r="L15" i="329" s="1"/>
  <c r="L129" i="319"/>
  <c r="L130" i="319" s="1"/>
  <c r="L135" i="319" s="1"/>
  <c r="L87" i="319" s="1"/>
  <c r="L28" i="320" s="1"/>
  <c r="L32" i="320" s="1"/>
  <c r="L67" i="319"/>
  <c r="L68" i="319" s="1"/>
  <c r="L73" i="319" s="1"/>
  <c r="L25" i="319" s="1"/>
  <c r="L16" i="320" s="1"/>
  <c r="L20" i="320" s="1"/>
  <c r="L24" i="319"/>
  <c r="L15" i="320" s="1"/>
  <c r="L19" i="320" s="1"/>
  <c r="N110" i="322"/>
  <c r="L29" i="317"/>
  <c r="L86" i="316"/>
  <c r="L27" i="317" s="1"/>
  <c r="L31" i="317" s="1"/>
  <c r="N122" i="319"/>
  <c r="N60" i="319"/>
  <c r="O84" i="328"/>
  <c r="O76" i="328"/>
  <c r="O28" i="328"/>
  <c r="O22" i="328"/>
  <c r="O90" i="328"/>
  <c r="N103" i="322"/>
  <c r="N94" i="322"/>
  <c r="O38" i="318"/>
  <c r="O80" i="319" s="1"/>
  <c r="O38" i="312"/>
  <c r="O80" i="314" s="1"/>
  <c r="O38" i="315"/>
  <c r="O80" i="316" s="1"/>
  <c r="M126" i="319"/>
  <c r="M64" i="319"/>
  <c r="K40" i="313"/>
  <c r="I100" i="260"/>
  <c r="L201" i="329"/>
  <c r="K39" i="313"/>
  <c r="M57" i="310"/>
  <c r="M64" i="310" s="1"/>
  <c r="M114" i="310"/>
  <c r="M33" i="308"/>
  <c r="M173" i="310" s="1"/>
  <c r="M201" i="310" s="1"/>
  <c r="L189" i="310"/>
  <c r="L196" i="310" s="1"/>
  <c r="L175" i="310"/>
  <c r="L177" i="310" s="1"/>
  <c r="N25" i="312"/>
  <c r="N55" i="313" s="1"/>
  <c r="N62" i="313" s="1"/>
  <c r="J101" i="260"/>
  <c r="N26" i="312"/>
  <c r="N56" i="313" s="1"/>
  <c r="N63" i="313" s="1"/>
  <c r="M53" i="318"/>
  <c r="M192" i="320" s="1"/>
  <c r="M194" i="320" s="1"/>
  <c r="N27" i="308"/>
  <c r="N57" i="310" s="1"/>
  <c r="N64" i="310" s="1"/>
  <c r="N25" i="308"/>
  <c r="N32" i="308" s="1"/>
  <c r="N172" i="310" s="1"/>
  <c r="L78" i="310"/>
  <c r="M200" i="313"/>
  <c r="L118" i="314"/>
  <c r="L85" i="314" s="1"/>
  <c r="L86" i="314" s="1"/>
  <c r="L27" i="313" s="1"/>
  <c r="L31" i="313" s="1"/>
  <c r="P10" i="318"/>
  <c r="P16" i="319" s="1"/>
  <c r="P10" i="312"/>
  <c r="P10" i="315"/>
  <c r="R61" i="267"/>
  <c r="R63" i="267" s="1"/>
  <c r="N103" i="314"/>
  <c r="N94" i="314"/>
  <c r="K35" i="313"/>
  <c r="M101" i="314"/>
  <c r="M92" i="314"/>
  <c r="M118" i="314" s="1"/>
  <c r="M85" i="314" s="1"/>
  <c r="M110" i="314"/>
  <c r="O37" i="312"/>
  <c r="O37" i="318"/>
  <c r="O40" i="318" s="1"/>
  <c r="O42" i="318" s="1"/>
  <c r="O43" i="318" s="1"/>
  <c r="O44" i="318" s="1"/>
  <c r="O46" i="318" s="1"/>
  <c r="O37" i="315"/>
  <c r="L177" i="313"/>
  <c r="O76" i="314"/>
  <c r="O84" i="314"/>
  <c r="O90" i="314"/>
  <c r="L25" i="314"/>
  <c r="L16" i="313" s="1"/>
  <c r="L20" i="313" s="1"/>
  <c r="L24" i="314"/>
  <c r="L15" i="313" s="1"/>
  <c r="L19" i="313" s="1"/>
  <c r="L17" i="313"/>
  <c r="L21" i="313" s="1"/>
  <c r="M23" i="314"/>
  <c r="M17" i="313" s="1"/>
  <c r="K177" i="326"/>
  <c r="K204" i="326" s="1"/>
  <c r="K23" i="310"/>
  <c r="K43" i="310" s="1"/>
  <c r="H43" i="272"/>
  <c r="L177" i="329"/>
  <c r="L170" i="303"/>
  <c r="L170" i="317"/>
  <c r="K85" i="303"/>
  <c r="L66" i="320"/>
  <c r="M175" i="313"/>
  <c r="M175" i="329"/>
  <c r="K177" i="320"/>
  <c r="K177" i="317"/>
  <c r="K204" i="317" s="1"/>
  <c r="M66" i="313"/>
  <c r="L170" i="320"/>
  <c r="K23" i="323"/>
  <c r="J23" i="326"/>
  <c r="J43" i="326" s="1"/>
  <c r="M170" i="313"/>
  <c r="K21" i="326"/>
  <c r="K41" i="326"/>
  <c r="N33" i="327"/>
  <c r="N173" i="329" s="1"/>
  <c r="N56" i="329"/>
  <c r="N63" i="329" s="1"/>
  <c r="N113" i="329"/>
  <c r="N160" i="329"/>
  <c r="N167" i="329" s="1"/>
  <c r="O17" i="325"/>
  <c r="O14" i="324"/>
  <c r="O16" i="324" s="1"/>
  <c r="O17" i="324" s="1"/>
  <c r="O18" i="324" s="1"/>
  <c r="O20" i="324" s="1"/>
  <c r="M114" i="326"/>
  <c r="M161" i="326"/>
  <c r="M168" i="326" s="1"/>
  <c r="M57" i="326"/>
  <c r="M64" i="326" s="1"/>
  <c r="N161" i="329"/>
  <c r="N168" i="329" s="1"/>
  <c r="N57" i="329"/>
  <c r="N64" i="329" s="1"/>
  <c r="N114" i="329"/>
  <c r="O17" i="319"/>
  <c r="O14" i="318"/>
  <c r="O16" i="318" s="1"/>
  <c r="O17" i="318" s="1"/>
  <c r="O18" i="318" s="1"/>
  <c r="O20" i="318" s="1"/>
  <c r="M126" i="310"/>
  <c r="L200" i="320"/>
  <c r="L175" i="320"/>
  <c r="N27" i="324"/>
  <c r="N26" i="324"/>
  <c r="N25" i="324"/>
  <c r="M33" i="324"/>
  <c r="M173" i="326" s="1"/>
  <c r="M201" i="326" s="1"/>
  <c r="M113" i="326"/>
  <c r="M56" i="326"/>
  <c r="M63" i="326" s="1"/>
  <c r="M160" i="326"/>
  <c r="M167" i="326" s="1"/>
  <c r="M170" i="329"/>
  <c r="M182" i="310"/>
  <c r="M186" i="310" s="1"/>
  <c r="K78" i="320"/>
  <c r="K85" i="320" s="1"/>
  <c r="L66" i="326"/>
  <c r="M161" i="317"/>
  <c r="M168" i="317" s="1"/>
  <c r="M57" i="317"/>
  <c r="M64" i="317" s="1"/>
  <c r="M114" i="317"/>
  <c r="K19" i="329"/>
  <c r="K39" i="329"/>
  <c r="M159" i="326"/>
  <c r="M166" i="326" s="1"/>
  <c r="M55" i="326"/>
  <c r="M62" i="326" s="1"/>
  <c r="M112" i="326"/>
  <c r="M32" i="324"/>
  <c r="M172" i="326" s="1"/>
  <c r="L17" i="329"/>
  <c r="M66" i="329"/>
  <c r="L170" i="326"/>
  <c r="M56" i="317"/>
  <c r="M63" i="317" s="1"/>
  <c r="M33" i="315"/>
  <c r="M173" i="317" s="1"/>
  <c r="M201" i="317" s="1"/>
  <c r="M113" i="317"/>
  <c r="M160" i="317"/>
  <c r="M167" i="317" s="1"/>
  <c r="K21" i="329"/>
  <c r="K41" i="329"/>
  <c r="M33" i="318"/>
  <c r="M173" i="320" s="1"/>
  <c r="M113" i="320"/>
  <c r="M56" i="320"/>
  <c r="M63" i="320" s="1"/>
  <c r="M160" i="320"/>
  <c r="M167" i="320" s="1"/>
  <c r="L200" i="323"/>
  <c r="L175" i="323"/>
  <c r="M114" i="323"/>
  <c r="M161" i="323"/>
  <c r="M168" i="323" s="1"/>
  <c r="M57" i="323"/>
  <c r="M64" i="323" s="1"/>
  <c r="L17" i="326"/>
  <c r="K20" i="326"/>
  <c r="K40" i="326"/>
  <c r="L200" i="317"/>
  <c r="L175" i="317"/>
  <c r="N161" i="313"/>
  <c r="N168" i="313" s="1"/>
  <c r="N114" i="313"/>
  <c r="N57" i="313"/>
  <c r="N64" i="313" s="1"/>
  <c r="N25" i="321"/>
  <c r="N27" i="321"/>
  <c r="N26" i="321"/>
  <c r="L200" i="326"/>
  <c r="L175" i="326"/>
  <c r="M32" i="315"/>
  <c r="M172" i="317" s="1"/>
  <c r="M159" i="317"/>
  <c r="M166" i="317" s="1"/>
  <c r="M112" i="317"/>
  <c r="M55" i="317"/>
  <c r="M62" i="317" s="1"/>
  <c r="M57" i="320"/>
  <c r="M64" i="320" s="1"/>
  <c r="M161" i="320"/>
  <c r="M168" i="320" s="1"/>
  <c r="M114" i="320"/>
  <c r="L170" i="323"/>
  <c r="M159" i="323"/>
  <c r="M166" i="323" s="1"/>
  <c r="M55" i="323"/>
  <c r="M62" i="323" s="1"/>
  <c r="M32" i="321"/>
  <c r="M172" i="323" s="1"/>
  <c r="M112" i="323"/>
  <c r="N26" i="318"/>
  <c r="N25" i="318"/>
  <c r="N27" i="318"/>
  <c r="K177" i="323"/>
  <c r="K204" i="323" s="1"/>
  <c r="K19" i="326"/>
  <c r="K39" i="326"/>
  <c r="N32" i="327"/>
  <c r="N172" i="329" s="1"/>
  <c r="N112" i="329"/>
  <c r="N55" i="329"/>
  <c r="N62" i="329" s="1"/>
  <c r="N159" i="329"/>
  <c r="N166" i="329" s="1"/>
  <c r="O17" i="322"/>
  <c r="O14" i="321"/>
  <c r="O16" i="321" s="1"/>
  <c r="O17" i="321" s="1"/>
  <c r="O18" i="321" s="1"/>
  <c r="O20" i="321" s="1"/>
  <c r="N27" i="315"/>
  <c r="N25" i="315"/>
  <c r="N26" i="315"/>
  <c r="L66" i="317"/>
  <c r="O14" i="315"/>
  <c r="O16" i="315" s="1"/>
  <c r="O17" i="315" s="1"/>
  <c r="O18" i="315" s="1"/>
  <c r="O20" i="315" s="1"/>
  <c r="M112" i="320"/>
  <c r="M159" i="320"/>
  <c r="M166" i="320" s="1"/>
  <c r="M32" i="318"/>
  <c r="M172" i="320" s="1"/>
  <c r="M55" i="320"/>
  <c r="M62" i="320" s="1"/>
  <c r="L66" i="323"/>
  <c r="M56" i="323"/>
  <c r="M63" i="323" s="1"/>
  <c r="M160" i="323"/>
  <c r="M167" i="323" s="1"/>
  <c r="M113" i="323"/>
  <c r="M33" i="321"/>
  <c r="M173" i="323" s="1"/>
  <c r="M201" i="323" s="1"/>
  <c r="O41" i="314"/>
  <c r="K23" i="313"/>
  <c r="N48" i="314"/>
  <c r="N30" i="314"/>
  <c r="N56" i="314" s="1"/>
  <c r="N39" i="314"/>
  <c r="O21" i="304"/>
  <c r="O14" i="322"/>
  <c r="N49" i="312"/>
  <c r="N48" i="312"/>
  <c r="N52" i="312" s="1"/>
  <c r="N191" i="313" s="1"/>
  <c r="N50" i="312"/>
  <c r="M182" i="329"/>
  <c r="M186" i="329" s="1"/>
  <c r="M127" i="329"/>
  <c r="M71" i="329"/>
  <c r="M75" i="329" s="1"/>
  <c r="O14" i="325"/>
  <c r="K78" i="323"/>
  <c r="K85" i="323" s="1"/>
  <c r="K82" i="323"/>
  <c r="K78" i="313"/>
  <c r="K85" i="313" s="1"/>
  <c r="K82" i="313"/>
  <c r="M127" i="320"/>
  <c r="M71" i="320"/>
  <c r="M75" i="320" s="1"/>
  <c r="M182" i="320"/>
  <c r="M186" i="320" s="1"/>
  <c r="K78" i="329"/>
  <c r="K85" i="329" s="1"/>
  <c r="K82" i="329"/>
  <c r="O14" i="328"/>
  <c r="L189" i="323"/>
  <c r="L196" i="323" s="1"/>
  <c r="L202" i="323"/>
  <c r="M72" i="320"/>
  <c r="M76" i="320" s="1"/>
  <c r="M128" i="320"/>
  <c r="M183" i="320"/>
  <c r="M187" i="320" s="1"/>
  <c r="L74" i="329"/>
  <c r="L83" i="329"/>
  <c r="O22" i="314"/>
  <c r="O28" i="314"/>
  <c r="O14" i="314"/>
  <c r="K78" i="317"/>
  <c r="K85" i="317" s="1"/>
  <c r="K82" i="317"/>
  <c r="L74" i="326"/>
  <c r="L83" i="326"/>
  <c r="N49" i="324"/>
  <c r="N48" i="324"/>
  <c r="N50" i="324"/>
  <c r="O14" i="319"/>
  <c r="N194" i="323"/>
  <c r="K78" i="326"/>
  <c r="K85" i="326" s="1"/>
  <c r="K82" i="326"/>
  <c r="M182" i="323"/>
  <c r="M186" i="323" s="1"/>
  <c r="M71" i="323"/>
  <c r="M75" i="323" s="1"/>
  <c r="M127" i="323"/>
  <c r="M181" i="320"/>
  <c r="M185" i="320" s="1"/>
  <c r="M126" i="320"/>
  <c r="M70" i="320"/>
  <c r="L74" i="313"/>
  <c r="L83" i="313"/>
  <c r="L189" i="329"/>
  <c r="L196" i="329" s="1"/>
  <c r="L202" i="329"/>
  <c r="L74" i="320"/>
  <c r="L83" i="320"/>
  <c r="M126" i="323"/>
  <c r="M181" i="323"/>
  <c r="M185" i="323" s="1"/>
  <c r="M70" i="323"/>
  <c r="L74" i="323"/>
  <c r="L83" i="323"/>
  <c r="N50" i="321"/>
  <c r="N49" i="321"/>
  <c r="N48" i="321"/>
  <c r="M128" i="326"/>
  <c r="M183" i="326"/>
  <c r="M187" i="326" s="1"/>
  <c r="M72" i="326"/>
  <c r="M76" i="326" s="1"/>
  <c r="O14" i="316"/>
  <c r="N194" i="326"/>
  <c r="P3" i="329"/>
  <c r="P1" i="325"/>
  <c r="P3" i="320"/>
  <c r="P3" i="323"/>
  <c r="P1" i="322"/>
  <c r="P1" i="328"/>
  <c r="P3" i="326"/>
  <c r="P3" i="317"/>
  <c r="P1" i="316"/>
  <c r="P1" i="319"/>
  <c r="P3" i="313"/>
  <c r="P1" i="314"/>
  <c r="H35" i="278"/>
  <c r="H43" i="278" s="1"/>
  <c r="M126" i="326"/>
  <c r="M181" i="326"/>
  <c r="M185" i="326" s="1"/>
  <c r="M70" i="326"/>
  <c r="M128" i="323"/>
  <c r="M183" i="323"/>
  <c r="M187" i="323" s="1"/>
  <c r="M72" i="323"/>
  <c r="M76" i="323" s="1"/>
  <c r="O150" i="329"/>
  <c r="O151" i="329"/>
  <c r="L83" i="310"/>
  <c r="M71" i="326"/>
  <c r="M75" i="326" s="1"/>
  <c r="M127" i="326"/>
  <c r="M182" i="326"/>
  <c r="M186" i="326" s="1"/>
  <c r="N194" i="317"/>
  <c r="L189" i="320"/>
  <c r="L196" i="320" s="1"/>
  <c r="L202" i="320"/>
  <c r="M128" i="317"/>
  <c r="M72" i="317"/>
  <c r="M76" i="317" s="1"/>
  <c r="M183" i="317"/>
  <c r="M187" i="317" s="1"/>
  <c r="M70" i="313"/>
  <c r="M181" i="313"/>
  <c r="M185" i="313" s="1"/>
  <c r="M126" i="313"/>
  <c r="O14" i="308"/>
  <c r="O16" i="308" s="1"/>
  <c r="O17" i="308" s="1"/>
  <c r="O18" i="308" s="1"/>
  <c r="O20" i="308" s="1"/>
  <c r="O27" i="308" s="1"/>
  <c r="M181" i="310"/>
  <c r="M185" i="310" s="1"/>
  <c r="N49" i="308"/>
  <c r="N182" i="310" s="1"/>
  <c r="N186" i="310" s="1"/>
  <c r="N48" i="308"/>
  <c r="N126" i="310" s="1"/>
  <c r="N50" i="308"/>
  <c r="N128" i="310" s="1"/>
  <c r="M72" i="310"/>
  <c r="M76" i="310" s="1"/>
  <c r="M78" i="310" s="1"/>
  <c r="M183" i="310"/>
  <c r="M187" i="310" s="1"/>
  <c r="M127" i="310"/>
  <c r="L83" i="303"/>
  <c r="M21" i="310"/>
  <c r="O27" i="304"/>
  <c r="M24" i="309"/>
  <c r="M16" i="310" s="1"/>
  <c r="M40" i="310" s="1"/>
  <c r="M23" i="309"/>
  <c r="M15" i="310" s="1"/>
  <c r="M39" i="310" s="1"/>
  <c r="P10" i="277"/>
  <c r="P10" i="268"/>
  <c r="P15" i="270" s="1"/>
  <c r="P10" i="308"/>
  <c r="P10" i="302"/>
  <c r="K40" i="303"/>
  <c r="K20" i="303"/>
  <c r="K39" i="303"/>
  <c r="K19" i="303"/>
  <c r="O38" i="277"/>
  <c r="O38" i="271"/>
  <c r="O38" i="308"/>
  <c r="O38" i="305"/>
  <c r="O38" i="302"/>
  <c r="O38" i="268"/>
  <c r="O37" i="308"/>
  <c r="O40" i="308" s="1"/>
  <c r="O42" i="308" s="1"/>
  <c r="O43" i="308" s="1"/>
  <c r="O44" i="308" s="1"/>
  <c r="O46" i="308" s="1"/>
  <c r="O37" i="305"/>
  <c r="O40" i="305" s="1"/>
  <c r="O42" i="305" s="1"/>
  <c r="O43" i="305" s="1"/>
  <c r="O44" i="305" s="1"/>
  <c r="O46" i="305" s="1"/>
  <c r="O37" i="277"/>
  <c r="O40" i="277" s="1"/>
  <c r="O42" i="277" s="1"/>
  <c r="O43" i="277" s="1"/>
  <c r="O44" i="277" s="1"/>
  <c r="O46" i="277" s="1"/>
  <c r="O37" i="302"/>
  <c r="O40" i="302" s="1"/>
  <c r="O42" i="302" s="1"/>
  <c r="O43" i="302" s="1"/>
  <c r="O44" i="302" s="1"/>
  <c r="O46" i="302" s="1"/>
  <c r="O49" i="302" s="1"/>
  <c r="O37" i="271"/>
  <c r="O40" i="271" s="1"/>
  <c r="O42" i="271" s="1"/>
  <c r="O43" i="271" s="1"/>
  <c r="O44" i="271" s="1"/>
  <c r="O46" i="271" s="1"/>
  <c r="L40" i="303"/>
  <c r="L20" i="303"/>
  <c r="R57" i="267"/>
  <c r="R52" i="267"/>
  <c r="H43" i="269"/>
  <c r="J23" i="278"/>
  <c r="J43" i="278" s="1"/>
  <c r="K39" i="272"/>
  <c r="K19" i="272"/>
  <c r="L40" i="272"/>
  <c r="L20" i="272"/>
  <c r="O27" i="272"/>
  <c r="O29" i="272"/>
  <c r="O33" i="272" s="1"/>
  <c r="O28" i="272"/>
  <c r="O32" i="272" s="1"/>
  <c r="L40" i="306"/>
  <c r="L20" i="306"/>
  <c r="L39" i="306"/>
  <c r="L19" i="306"/>
  <c r="M41" i="306"/>
  <c r="M21" i="306"/>
  <c r="K41" i="278"/>
  <c r="K21" i="278"/>
  <c r="O29" i="278"/>
  <c r="O33" i="278" s="1"/>
  <c r="O28" i="278"/>
  <c r="O32" i="278" s="1"/>
  <c r="O27" i="278"/>
  <c r="K39" i="278"/>
  <c r="K19" i="278"/>
  <c r="L40" i="278"/>
  <c r="L20" i="278"/>
  <c r="K40" i="278"/>
  <c r="K20" i="278"/>
  <c r="J40" i="269"/>
  <c r="J100" i="260" s="1"/>
  <c r="J20" i="269"/>
  <c r="J39" i="269"/>
  <c r="J19" i="269"/>
  <c r="N9" i="278"/>
  <c r="M31" i="278"/>
  <c r="M35" i="278" s="1"/>
  <c r="R11" i="272"/>
  <c r="S11" i="306"/>
  <c r="R33" i="306"/>
  <c r="R35" i="306" s="1"/>
  <c r="S11" i="303"/>
  <c r="R33" i="303"/>
  <c r="R35" i="303" s="1"/>
  <c r="R10" i="278"/>
  <c r="M127" i="303"/>
  <c r="M131" i="303" s="1"/>
  <c r="N9" i="272"/>
  <c r="M31" i="272"/>
  <c r="M35" i="272" s="1"/>
  <c r="Q11" i="269"/>
  <c r="M71" i="303"/>
  <c r="M75" i="303" s="1"/>
  <c r="R11" i="278"/>
  <c r="R10" i="272"/>
  <c r="S11" i="310"/>
  <c r="R33" i="310"/>
  <c r="R35" i="310" s="1"/>
  <c r="N9" i="269"/>
  <c r="M31" i="269"/>
  <c r="M35" i="269" s="1"/>
  <c r="Q10" i="269"/>
  <c r="M55" i="303"/>
  <c r="M62" i="303" s="1"/>
  <c r="N38" i="309"/>
  <c r="N47" i="309"/>
  <c r="M32" i="302"/>
  <c r="M172" i="303" s="1"/>
  <c r="I23" i="269"/>
  <c r="I43" i="269" s="1"/>
  <c r="O14" i="271"/>
  <c r="O16" i="271" s="1"/>
  <c r="O17" i="271" s="1"/>
  <c r="O18" i="271" s="1"/>
  <c r="O20" i="271" s="1"/>
  <c r="O16" i="273"/>
  <c r="O59" i="273" s="1"/>
  <c r="O14" i="277"/>
  <c r="O16" i="277" s="1"/>
  <c r="O17" i="277" s="1"/>
  <c r="O18" i="277" s="1"/>
  <c r="O20" i="277" s="1"/>
  <c r="O16" i="279"/>
  <c r="O59" i="279" s="1"/>
  <c r="M112" i="303"/>
  <c r="N27" i="305"/>
  <c r="N33" i="305" s="1"/>
  <c r="N173" i="306" s="1"/>
  <c r="L17" i="303"/>
  <c r="L23" i="304"/>
  <c r="L15" i="303" s="1"/>
  <c r="M55" i="304"/>
  <c r="M22" i="304" s="1"/>
  <c r="M17" i="303" s="1"/>
  <c r="N31" i="304"/>
  <c r="N40" i="304"/>
  <c r="O14" i="268"/>
  <c r="O16" i="268" s="1"/>
  <c r="O16" i="270"/>
  <c r="O59" i="270" s="1"/>
  <c r="N63" i="304"/>
  <c r="N66" i="304" s="1"/>
  <c r="N67" i="304" s="1"/>
  <c r="N72" i="304" s="1"/>
  <c r="I23" i="278"/>
  <c r="I43" i="278" s="1"/>
  <c r="M33" i="302"/>
  <c r="M173" i="303" s="1"/>
  <c r="M56" i="303"/>
  <c r="M63" i="303" s="1"/>
  <c r="M113" i="303"/>
  <c r="K23" i="270"/>
  <c r="K15" i="269" s="1"/>
  <c r="O194" i="303"/>
  <c r="N49" i="302"/>
  <c r="N127" i="303" s="1"/>
  <c r="L66" i="306"/>
  <c r="K23" i="306"/>
  <c r="K43" i="306" s="1"/>
  <c r="L23" i="310"/>
  <c r="L43" i="310" s="1"/>
  <c r="L189" i="303"/>
  <c r="L196" i="303" s="1"/>
  <c r="O194" i="306"/>
  <c r="N56" i="306"/>
  <c r="N63" i="306" s="1"/>
  <c r="N160" i="306"/>
  <c r="N167" i="306" s="1"/>
  <c r="K177" i="306"/>
  <c r="K204" i="306" s="1"/>
  <c r="L202" i="303"/>
  <c r="L170" i="306"/>
  <c r="L177" i="306" s="1"/>
  <c r="N50" i="302"/>
  <c r="N72" i="303" s="1"/>
  <c r="N76" i="303" s="1"/>
  <c r="M70" i="303"/>
  <c r="M74" i="303" s="1"/>
  <c r="M181" i="303"/>
  <c r="M185" i="303" s="1"/>
  <c r="M189" i="303" s="1"/>
  <c r="M196" i="303" s="1"/>
  <c r="N27" i="302"/>
  <c r="N161" i="303" s="1"/>
  <c r="N168" i="303" s="1"/>
  <c r="M170" i="303"/>
  <c r="O194" i="310"/>
  <c r="E43" i="303"/>
  <c r="N25" i="302"/>
  <c r="N32" i="302" s="1"/>
  <c r="N172" i="303" s="1"/>
  <c r="K17" i="272"/>
  <c r="P60" i="309"/>
  <c r="N47" i="307"/>
  <c r="N38" i="307"/>
  <c r="N29" i="307"/>
  <c r="N55" i="307" s="1"/>
  <c r="N22" i="307" s="1"/>
  <c r="N17" i="306" s="1"/>
  <c r="O14" i="305"/>
  <c r="O16" i="305" s="1"/>
  <c r="O17" i="305" s="1"/>
  <c r="O18" i="305" s="1"/>
  <c r="O20" i="305" s="1"/>
  <c r="O60" i="307"/>
  <c r="O27" i="307"/>
  <c r="O13" i="307"/>
  <c r="O21" i="307"/>
  <c r="J23" i="306"/>
  <c r="J43" i="306" s="1"/>
  <c r="O27" i="309"/>
  <c r="O13" i="309"/>
  <c r="O21" i="309"/>
  <c r="N29" i="304"/>
  <c r="N160" i="310"/>
  <c r="N167" i="310" s="1"/>
  <c r="N113" i="310"/>
  <c r="N56" i="310"/>
  <c r="N63" i="310" s="1"/>
  <c r="P1" i="304"/>
  <c r="P27" i="304" s="1"/>
  <c r="P1" i="309"/>
  <c r="P1" i="307"/>
  <c r="N38" i="304"/>
  <c r="G35" i="303"/>
  <c r="M114" i="306"/>
  <c r="M161" i="306"/>
  <c r="M168" i="306" s="1"/>
  <c r="M57" i="306"/>
  <c r="M64" i="306" s="1"/>
  <c r="M23" i="307"/>
  <c r="M15" i="306" s="1"/>
  <c r="K24" i="273"/>
  <c r="K16" i="272" s="1"/>
  <c r="M32" i="305"/>
  <c r="M172" i="306" s="1"/>
  <c r="M159" i="306"/>
  <c r="M166" i="306" s="1"/>
  <c r="M112" i="306"/>
  <c r="M55" i="306"/>
  <c r="M62" i="306" s="1"/>
  <c r="M24" i="307"/>
  <c r="M16" i="306" s="1"/>
  <c r="F43" i="303"/>
  <c r="N25" i="305"/>
  <c r="N32" i="305" s="1"/>
  <c r="N172" i="306" s="1"/>
  <c r="N200" i="306" s="1"/>
  <c r="L82" i="310"/>
  <c r="L66" i="310"/>
  <c r="M33" i="305"/>
  <c r="M173" i="306" s="1"/>
  <c r="M201" i="306" s="1"/>
  <c r="M160" i="306"/>
  <c r="M167" i="306" s="1"/>
  <c r="M56" i="306"/>
  <c r="M63" i="306" s="1"/>
  <c r="M113" i="306"/>
  <c r="G23" i="303"/>
  <c r="M182" i="306"/>
  <c r="M186" i="306" s="1"/>
  <c r="M71" i="306"/>
  <c r="M75" i="306" s="1"/>
  <c r="M127" i="306"/>
  <c r="M126" i="306"/>
  <c r="M181" i="306"/>
  <c r="M185" i="306" s="1"/>
  <c r="M70" i="306"/>
  <c r="M74" i="306" s="1"/>
  <c r="K78" i="306"/>
  <c r="K85" i="306" s="1"/>
  <c r="K82" i="306"/>
  <c r="M128" i="306"/>
  <c r="M72" i="306"/>
  <c r="M183" i="306"/>
  <c r="M187" i="306" s="1"/>
  <c r="L76" i="306"/>
  <c r="L83" i="306"/>
  <c r="L189" i="306"/>
  <c r="L196" i="306" s="1"/>
  <c r="L202" i="306"/>
  <c r="I172" i="269"/>
  <c r="I200" i="269" s="1"/>
  <c r="L17" i="269"/>
  <c r="P10" i="305"/>
  <c r="K16" i="269"/>
  <c r="H35" i="303"/>
  <c r="H23" i="303"/>
  <c r="O60" i="304"/>
  <c r="O14" i="302"/>
  <c r="O16" i="302" s="1"/>
  <c r="O17" i="302" s="1"/>
  <c r="O18" i="302" s="1"/>
  <c r="O20" i="302" s="1"/>
  <c r="O27" i="302" s="1"/>
  <c r="I173" i="269"/>
  <c r="I201" i="269" s="1"/>
  <c r="I201" i="303"/>
  <c r="K17" i="269"/>
  <c r="N50" i="305"/>
  <c r="N48" i="305"/>
  <c r="N49" i="305"/>
  <c r="N70" i="303"/>
  <c r="N74" i="303" s="1"/>
  <c r="N181" i="303"/>
  <c r="N185" i="303" s="1"/>
  <c r="N126" i="303"/>
  <c r="N160" i="303"/>
  <c r="N167" i="303" s="1"/>
  <c r="N113" i="303"/>
  <c r="N56" i="303"/>
  <c r="N63" i="303" s="1"/>
  <c r="L82" i="303"/>
  <c r="L66" i="303"/>
  <c r="L85" i="303" s="1"/>
  <c r="I23" i="272"/>
  <c r="I43" i="272" s="1"/>
  <c r="Y42" i="260"/>
  <c r="M29" i="279"/>
  <c r="Q58" i="267"/>
  <c r="P1" i="273"/>
  <c r="R51" i="267"/>
  <c r="P1" i="270"/>
  <c r="S2" i="267"/>
  <c r="P1" i="279"/>
  <c r="P3" i="278"/>
  <c r="P3" i="272"/>
  <c r="Q53" i="267"/>
  <c r="O37" i="268"/>
  <c r="O40" i="268" s="1"/>
  <c r="O42" i="268" s="1"/>
  <c r="O27" i="270"/>
  <c r="O13" i="270"/>
  <c r="O21" i="270"/>
  <c r="O27" i="279"/>
  <c r="O13" i="279"/>
  <c r="O21" i="279"/>
  <c r="R56" i="267"/>
  <c r="O21" i="273"/>
  <c r="O13" i="273"/>
  <c r="O27" i="273"/>
  <c r="M29" i="273"/>
  <c r="M38" i="273"/>
  <c r="P10" i="271"/>
  <c r="P15" i="273" s="1"/>
  <c r="M47" i="279"/>
  <c r="N47" i="273"/>
  <c r="N60" i="273"/>
  <c r="N63" i="273" s="1"/>
  <c r="N66" i="273" s="1"/>
  <c r="N67" i="273" s="1"/>
  <c r="N72" i="273" s="1"/>
  <c r="N29" i="279"/>
  <c r="N60" i="279"/>
  <c r="N63" i="279" s="1"/>
  <c r="N66" i="279" s="1"/>
  <c r="N67" i="279" s="1"/>
  <c r="N72" i="279" s="1"/>
  <c r="M182" i="278"/>
  <c r="M186" i="278" s="1"/>
  <c r="M71" i="278"/>
  <c r="M75" i="278" s="1"/>
  <c r="M127" i="278"/>
  <c r="M32" i="277"/>
  <c r="M172" i="278" s="1"/>
  <c r="M112" i="278"/>
  <c r="M159" i="278"/>
  <c r="M166" i="278" s="1"/>
  <c r="M55" i="278"/>
  <c r="M183" i="278"/>
  <c r="M187" i="278" s="1"/>
  <c r="M72" i="278"/>
  <c r="M76" i="278" s="1"/>
  <c r="M128" i="278"/>
  <c r="M113" i="278"/>
  <c r="M160" i="278"/>
  <c r="M167" i="278" s="1"/>
  <c r="M56" i="278"/>
  <c r="M63" i="278" s="1"/>
  <c r="M114" i="278"/>
  <c r="M161" i="278"/>
  <c r="M57" i="278"/>
  <c r="M181" i="278"/>
  <c r="M185" i="278" s="1"/>
  <c r="M70" i="278"/>
  <c r="M126" i="278"/>
  <c r="R52" i="277"/>
  <c r="R191" i="278" s="1"/>
  <c r="R53" i="277"/>
  <c r="R192" i="278" s="1"/>
  <c r="N48" i="277"/>
  <c r="N50" i="277"/>
  <c r="N49" i="277"/>
  <c r="N26" i="277"/>
  <c r="N25" i="277"/>
  <c r="N27" i="277"/>
  <c r="M33" i="277"/>
  <c r="M173" i="278" s="1"/>
  <c r="M181" i="272"/>
  <c r="M185" i="272" s="1"/>
  <c r="M70" i="272"/>
  <c r="M126" i="272"/>
  <c r="Q52" i="271"/>
  <c r="Q191" i="272" s="1"/>
  <c r="Q53" i="271"/>
  <c r="Q192" i="272" s="1"/>
  <c r="M57" i="272"/>
  <c r="M114" i="272"/>
  <c r="M161" i="272"/>
  <c r="M182" i="272"/>
  <c r="M71" i="272"/>
  <c r="M127" i="272"/>
  <c r="M56" i="272"/>
  <c r="M113" i="272"/>
  <c r="M160" i="272"/>
  <c r="M33" i="271"/>
  <c r="M173" i="272" s="1"/>
  <c r="M183" i="272"/>
  <c r="M187" i="272" s="1"/>
  <c r="M72" i="272"/>
  <c r="M76" i="272" s="1"/>
  <c r="M128" i="272"/>
  <c r="M32" i="271"/>
  <c r="M172" i="272" s="1"/>
  <c r="M55" i="272"/>
  <c r="M112" i="272"/>
  <c r="M159" i="272"/>
  <c r="N26" i="271"/>
  <c r="N25" i="271"/>
  <c r="N27" i="271"/>
  <c r="N50" i="271"/>
  <c r="N49" i="271"/>
  <c r="N48" i="271"/>
  <c r="L168" i="272"/>
  <c r="L167" i="272"/>
  <c r="L166" i="272"/>
  <c r="O14" i="273"/>
  <c r="I66" i="269"/>
  <c r="O14" i="279"/>
  <c r="K83" i="272"/>
  <c r="L75" i="272"/>
  <c r="L185" i="272"/>
  <c r="L189" i="272" s="1"/>
  <c r="L167" i="278"/>
  <c r="K66" i="272"/>
  <c r="K202" i="272"/>
  <c r="K170" i="272"/>
  <c r="L63" i="272"/>
  <c r="L201" i="272"/>
  <c r="L62" i="278"/>
  <c r="L63" i="278"/>
  <c r="L166" i="278"/>
  <c r="L201" i="278"/>
  <c r="L187" i="278"/>
  <c r="L76" i="278"/>
  <c r="P6" i="268"/>
  <c r="L75" i="278"/>
  <c r="L186" i="278"/>
  <c r="K25" i="268"/>
  <c r="K112" i="269" s="1"/>
  <c r="K26" i="268"/>
  <c r="K113" i="269" s="1"/>
  <c r="P6" i="271"/>
  <c r="M55" i="270"/>
  <c r="M22" i="270" s="1"/>
  <c r="K83" i="278"/>
  <c r="P6" i="277"/>
  <c r="P52" i="268"/>
  <c r="P191" i="269" s="1"/>
  <c r="P53" i="268"/>
  <c r="P192" i="269" s="1"/>
  <c r="K202" i="278"/>
  <c r="I66" i="278"/>
  <c r="I85" i="278" s="1"/>
  <c r="I82" i="278"/>
  <c r="J23" i="272"/>
  <c r="J43" i="272" s="1"/>
  <c r="K200" i="278"/>
  <c r="K66" i="278"/>
  <c r="N40" i="273"/>
  <c r="N31" i="273"/>
  <c r="L17" i="278"/>
  <c r="L23" i="279"/>
  <c r="L15" i="278" s="1"/>
  <c r="L200" i="278"/>
  <c r="L17" i="272"/>
  <c r="L23" i="273"/>
  <c r="L15" i="272" s="1"/>
  <c r="K170" i="278"/>
  <c r="N40" i="279"/>
  <c r="N31" i="279"/>
  <c r="K78" i="272"/>
  <c r="K82" i="272"/>
  <c r="J82" i="278"/>
  <c r="J78" i="278"/>
  <c r="J85" i="278" s="1"/>
  <c r="L74" i="272"/>
  <c r="K78" i="278"/>
  <c r="K82" i="278"/>
  <c r="S2" i="277"/>
  <c r="Q3" i="269"/>
  <c r="R2" i="271"/>
  <c r="K114" i="269"/>
  <c r="K161" i="269"/>
  <c r="K168" i="269" s="1"/>
  <c r="K57" i="269"/>
  <c r="K64" i="269" s="1"/>
  <c r="J160" i="269"/>
  <c r="J167" i="269" s="1"/>
  <c r="J33" i="268"/>
  <c r="J113" i="269"/>
  <c r="J56" i="269"/>
  <c r="J63" i="269" s="1"/>
  <c r="N60" i="270"/>
  <c r="N63" i="270" s="1"/>
  <c r="L24" i="270"/>
  <c r="L23" i="270"/>
  <c r="N29" i="270"/>
  <c r="N38" i="270"/>
  <c r="N47" i="270"/>
  <c r="M66" i="270"/>
  <c r="M67" i="270" s="1"/>
  <c r="M72" i="270" s="1"/>
  <c r="M17" i="268"/>
  <c r="M18" i="268" s="1"/>
  <c r="M20" i="268" s="1"/>
  <c r="O14" i="270"/>
  <c r="J161" i="269"/>
  <c r="J168" i="269" s="1"/>
  <c r="J114" i="269"/>
  <c r="J57" i="269"/>
  <c r="J64" i="269" s="1"/>
  <c r="J159" i="269"/>
  <c r="J166" i="269" s="1"/>
  <c r="J112" i="269"/>
  <c r="J55" i="269"/>
  <c r="J62" i="269" s="1"/>
  <c r="J32" i="268"/>
  <c r="N40" i="270"/>
  <c r="N31" i="270"/>
  <c r="Q2" i="268"/>
  <c r="N2" i="264"/>
  <c r="N17" i="264" s="1"/>
  <c r="S8" i="267" l="1"/>
  <c r="S11" i="267"/>
  <c r="S12" i="267"/>
  <c r="Q6" i="277" s="1"/>
  <c r="S10" i="267"/>
  <c r="Q6" i="305" s="1"/>
  <c r="Q14" i="307" s="1"/>
  <c r="S7" i="267"/>
  <c r="S9" i="267"/>
  <c r="P11" i="324"/>
  <c r="P18" i="325" s="1"/>
  <c r="R67" i="267"/>
  <c r="Q100" i="269"/>
  <c r="Q101" i="269"/>
  <c r="Q103" i="269"/>
  <c r="Q102" i="269"/>
  <c r="Q91" i="269"/>
  <c r="Q96" i="269"/>
  <c r="Q93" i="269"/>
  <c r="Q98" i="269"/>
  <c r="Q95" i="269"/>
  <c r="Q92" i="269"/>
  <c r="Q97" i="269"/>
  <c r="Q90" i="269"/>
  <c r="K43" i="323"/>
  <c r="N56" i="316"/>
  <c r="N23" i="316" s="1"/>
  <c r="N17" i="317" s="1"/>
  <c r="N21" i="317" s="1"/>
  <c r="N17" i="310"/>
  <c r="N24" i="309"/>
  <c r="N16" i="310" s="1"/>
  <c r="N20" i="310" s="1"/>
  <c r="N23" i="309"/>
  <c r="N15" i="310" s="1"/>
  <c r="S30" i="267"/>
  <c r="S45" i="267"/>
  <c r="S44" i="267"/>
  <c r="S46" i="267" s="1"/>
  <c r="S29" i="267"/>
  <c r="S31" i="267" s="1"/>
  <c r="S40" i="267"/>
  <c r="S39" i="267"/>
  <c r="S41" i="267" s="1"/>
  <c r="O40" i="309"/>
  <c r="O31" i="309"/>
  <c r="O41" i="316"/>
  <c r="O32" i="316"/>
  <c r="P11" i="315"/>
  <c r="P18" i="316" s="1"/>
  <c r="P11" i="312"/>
  <c r="P18" i="314" s="1"/>
  <c r="P11" i="318"/>
  <c r="P18" i="319" s="1"/>
  <c r="O41" i="319"/>
  <c r="O32" i="319"/>
  <c r="P11" i="302"/>
  <c r="P17" i="304" s="1"/>
  <c r="P11" i="268"/>
  <c r="P17" i="270" s="1"/>
  <c r="P11" i="308"/>
  <c r="P17" i="309" s="1"/>
  <c r="P11" i="277"/>
  <c r="P17" i="279" s="1"/>
  <c r="N101" i="328"/>
  <c r="L140" i="313"/>
  <c r="N110" i="319"/>
  <c r="Q6" i="324"/>
  <c r="Q6" i="312"/>
  <c r="Q6" i="308"/>
  <c r="Q14" i="309" s="1"/>
  <c r="Q6" i="327"/>
  <c r="Q6" i="315"/>
  <c r="Q6" i="318"/>
  <c r="Q6" i="302"/>
  <c r="Q14" i="304" s="1"/>
  <c r="Q6" i="321"/>
  <c r="Q6" i="268"/>
  <c r="P77" i="314"/>
  <c r="P15" i="314"/>
  <c r="L142" i="313"/>
  <c r="P77" i="319"/>
  <c r="P15" i="319"/>
  <c r="P77" i="316"/>
  <c r="P15" i="316"/>
  <c r="P77" i="325"/>
  <c r="P15" i="325"/>
  <c r="N101" i="322"/>
  <c r="N118" i="322" s="1"/>
  <c r="N85" i="322" s="1"/>
  <c r="N29" i="323" s="1"/>
  <c r="N33" i="323" s="1"/>
  <c r="N92" i="319"/>
  <c r="M70" i="329"/>
  <c r="M74" i="329" s="1"/>
  <c r="L132" i="313"/>
  <c r="P77" i="328"/>
  <c r="P15" i="328"/>
  <c r="L131" i="313"/>
  <c r="P77" i="322"/>
  <c r="P15" i="322"/>
  <c r="L143" i="313"/>
  <c r="M127" i="313"/>
  <c r="L133" i="313"/>
  <c r="P103" i="313"/>
  <c r="P100" i="313"/>
  <c r="P102" i="313"/>
  <c r="P101" i="313"/>
  <c r="P97" i="313"/>
  <c r="P95" i="313"/>
  <c r="P90" i="313"/>
  <c r="P91" i="313"/>
  <c r="P92" i="313"/>
  <c r="P98" i="313"/>
  <c r="P96" i="313"/>
  <c r="P93" i="313"/>
  <c r="P103" i="326"/>
  <c r="P100" i="326"/>
  <c r="P101" i="326"/>
  <c r="P102" i="326"/>
  <c r="P93" i="326"/>
  <c r="P97" i="326"/>
  <c r="P95" i="326"/>
  <c r="P90" i="326"/>
  <c r="P91" i="326"/>
  <c r="P98" i="326"/>
  <c r="P96" i="326"/>
  <c r="P92" i="326"/>
  <c r="P103" i="320"/>
  <c r="P100" i="320"/>
  <c r="P101" i="320"/>
  <c r="P102" i="320"/>
  <c r="P97" i="320"/>
  <c r="P95" i="320"/>
  <c r="P90" i="320"/>
  <c r="P91" i="320"/>
  <c r="P98" i="320"/>
  <c r="P96" i="320"/>
  <c r="P92" i="320"/>
  <c r="P93" i="320"/>
  <c r="P101" i="272"/>
  <c r="P103" i="272"/>
  <c r="P100" i="272"/>
  <c r="P102" i="272"/>
  <c r="P97" i="272"/>
  <c r="P95" i="272"/>
  <c r="P98" i="272"/>
  <c r="P96" i="272"/>
  <c r="P91" i="272"/>
  <c r="P93" i="272"/>
  <c r="P90" i="272"/>
  <c r="P92" i="272"/>
  <c r="P103" i="329"/>
  <c r="P100" i="329"/>
  <c r="P102" i="329"/>
  <c r="P101" i="329"/>
  <c r="P98" i="329"/>
  <c r="P96" i="329"/>
  <c r="P92" i="329"/>
  <c r="P97" i="329"/>
  <c r="P90" i="329"/>
  <c r="P95" i="329"/>
  <c r="P91" i="329"/>
  <c r="P93" i="329"/>
  <c r="M86" i="325"/>
  <c r="M27" i="326" s="1"/>
  <c r="M31" i="326" s="1"/>
  <c r="P101" i="278"/>
  <c r="P102" i="278"/>
  <c r="P103" i="278"/>
  <c r="P100" i="278"/>
  <c r="P98" i="278"/>
  <c r="P96" i="278"/>
  <c r="P92" i="278"/>
  <c r="P93" i="278"/>
  <c r="P97" i="278"/>
  <c r="P95" i="278"/>
  <c r="P90" i="278"/>
  <c r="P91" i="278"/>
  <c r="P100" i="317"/>
  <c r="P103" i="317"/>
  <c r="P101" i="317"/>
  <c r="P102" i="317"/>
  <c r="P93" i="317"/>
  <c r="P97" i="317"/>
  <c r="P95" i="317"/>
  <c r="P92" i="317"/>
  <c r="P91" i="317"/>
  <c r="P96" i="317"/>
  <c r="P98" i="317"/>
  <c r="P90" i="317"/>
  <c r="P103" i="323"/>
  <c r="P100" i="323"/>
  <c r="P101" i="323"/>
  <c r="P102" i="323"/>
  <c r="P93" i="323"/>
  <c r="P97" i="323"/>
  <c r="P95" i="323"/>
  <c r="P90" i="323"/>
  <c r="P91" i="323"/>
  <c r="P96" i="323"/>
  <c r="P98" i="323"/>
  <c r="P92" i="323"/>
  <c r="N126" i="314"/>
  <c r="N64" i="314"/>
  <c r="M183" i="329"/>
  <c r="M187" i="329" s="1"/>
  <c r="M182" i="317"/>
  <c r="M186" i="317" s="1"/>
  <c r="M194" i="329"/>
  <c r="L189" i="326"/>
  <c r="L196" i="326" s="1"/>
  <c r="L202" i="313"/>
  <c r="M126" i="329"/>
  <c r="M128" i="329"/>
  <c r="M181" i="329"/>
  <c r="M185" i="329" s="1"/>
  <c r="M72" i="329"/>
  <c r="M76" i="329" s="1"/>
  <c r="M53" i="312"/>
  <c r="M192" i="313" s="1"/>
  <c r="M194" i="313" s="1"/>
  <c r="L143" i="317"/>
  <c r="L141" i="317"/>
  <c r="M128" i="313"/>
  <c r="N48" i="327"/>
  <c r="N52" i="327" s="1"/>
  <c r="N191" i="329" s="1"/>
  <c r="N200" i="329" s="1"/>
  <c r="L140" i="326"/>
  <c r="M130" i="303"/>
  <c r="L141" i="326"/>
  <c r="M183" i="313"/>
  <c r="M187" i="313" s="1"/>
  <c r="M202" i="313" s="1"/>
  <c r="M141" i="310"/>
  <c r="L142" i="317"/>
  <c r="L143" i="326"/>
  <c r="M119" i="310"/>
  <c r="M140" i="310"/>
  <c r="M133" i="272"/>
  <c r="M131" i="272"/>
  <c r="M132" i="272"/>
  <c r="M130" i="272"/>
  <c r="M131" i="278"/>
  <c r="M132" i="278"/>
  <c r="M133" i="278"/>
  <c r="M130" i="278"/>
  <c r="M142" i="306"/>
  <c r="M143" i="306"/>
  <c r="M116" i="306"/>
  <c r="M141" i="306"/>
  <c r="M117" i="306"/>
  <c r="M118" i="306"/>
  <c r="M140" i="306"/>
  <c r="M119" i="306"/>
  <c r="M142" i="303"/>
  <c r="M118" i="303"/>
  <c r="M143" i="303"/>
  <c r="M119" i="303"/>
  <c r="M140" i="303"/>
  <c r="M116" i="303"/>
  <c r="M141" i="303"/>
  <c r="M117" i="303"/>
  <c r="M130" i="323"/>
  <c r="M131" i="323"/>
  <c r="M132" i="323"/>
  <c r="M133" i="323"/>
  <c r="M132" i="320"/>
  <c r="M130" i="320"/>
  <c r="M131" i="320"/>
  <c r="M133" i="320"/>
  <c r="N49" i="318"/>
  <c r="N71" i="320" s="1"/>
  <c r="N75" i="320" s="1"/>
  <c r="M117" i="317"/>
  <c r="M118" i="317"/>
  <c r="M119" i="317"/>
  <c r="M116" i="317"/>
  <c r="M133" i="303"/>
  <c r="M118" i="310"/>
  <c r="M143" i="310"/>
  <c r="N118" i="329"/>
  <c r="N119" i="329"/>
  <c r="N116" i="329"/>
  <c r="N117" i="329"/>
  <c r="M130" i="306"/>
  <c r="M133" i="306"/>
  <c r="M131" i="306"/>
  <c r="M132" i="306"/>
  <c r="M71" i="313"/>
  <c r="M75" i="313" s="1"/>
  <c r="M142" i="320"/>
  <c r="M143" i="320"/>
  <c r="M140" i="320"/>
  <c r="M119" i="320"/>
  <c r="M116" i="320"/>
  <c r="M117" i="320"/>
  <c r="M118" i="320"/>
  <c r="M141" i="320"/>
  <c r="M141" i="326"/>
  <c r="M117" i="326"/>
  <c r="M142" i="326"/>
  <c r="M118" i="326"/>
  <c r="M143" i="326"/>
  <c r="M119" i="326"/>
  <c r="M116" i="326"/>
  <c r="M140" i="326"/>
  <c r="M132" i="303"/>
  <c r="L142" i="326"/>
  <c r="M117" i="310"/>
  <c r="M142" i="310"/>
  <c r="M131" i="326"/>
  <c r="M132" i="326"/>
  <c r="M133" i="326"/>
  <c r="M130" i="326"/>
  <c r="M140" i="323"/>
  <c r="M116" i="323"/>
  <c r="M141" i="323"/>
  <c r="M117" i="323"/>
  <c r="M142" i="323"/>
  <c r="M118" i="323"/>
  <c r="M119" i="323"/>
  <c r="M143" i="323"/>
  <c r="M131" i="310"/>
  <c r="M132" i="310"/>
  <c r="M133" i="310"/>
  <c r="M130" i="310"/>
  <c r="J119" i="269"/>
  <c r="J116" i="269"/>
  <c r="J117" i="269"/>
  <c r="J118" i="269"/>
  <c r="K119" i="269"/>
  <c r="K116" i="269"/>
  <c r="K117" i="269"/>
  <c r="K118" i="269"/>
  <c r="M143" i="272"/>
  <c r="M140" i="272"/>
  <c r="M141" i="272"/>
  <c r="M142" i="272"/>
  <c r="M117" i="272"/>
  <c r="M118" i="272"/>
  <c r="M119" i="272"/>
  <c r="M116" i="272"/>
  <c r="M141" i="278"/>
  <c r="M117" i="278"/>
  <c r="M142" i="278"/>
  <c r="M118" i="278"/>
  <c r="M143" i="278"/>
  <c r="M119" i="278"/>
  <c r="M140" i="278"/>
  <c r="M116" i="278"/>
  <c r="L130" i="317"/>
  <c r="L131" i="317"/>
  <c r="L132" i="317"/>
  <c r="L133" i="317"/>
  <c r="L130" i="326"/>
  <c r="L131" i="326"/>
  <c r="L132" i="326"/>
  <c r="L133" i="326"/>
  <c r="M116" i="310"/>
  <c r="L202" i="326"/>
  <c r="M181" i="317"/>
  <c r="M185" i="317" s="1"/>
  <c r="M126" i="317"/>
  <c r="M142" i="317" s="1"/>
  <c r="N50" i="318"/>
  <c r="N72" i="320" s="1"/>
  <c r="N76" i="320" s="1"/>
  <c r="L35" i="320"/>
  <c r="P108" i="329"/>
  <c r="P106" i="329"/>
  <c r="P107" i="329"/>
  <c r="P105" i="329"/>
  <c r="P108" i="278"/>
  <c r="P107" i="278"/>
  <c r="P106" i="278"/>
  <c r="P105" i="278"/>
  <c r="P108" i="317"/>
  <c r="P107" i="317"/>
  <c r="P106" i="317"/>
  <c r="P105" i="317"/>
  <c r="P108" i="323"/>
  <c r="P107" i="323"/>
  <c r="P106" i="323"/>
  <c r="P105" i="323"/>
  <c r="O27" i="327"/>
  <c r="O33" i="327" s="1"/>
  <c r="O173" i="329" s="1"/>
  <c r="N118" i="319"/>
  <c r="N85" i="319" s="1"/>
  <c r="N29" i="320" s="1"/>
  <c r="N33" i="320" s="1"/>
  <c r="P107" i="272"/>
  <c r="P108" i="272"/>
  <c r="P105" i="272"/>
  <c r="P106" i="272"/>
  <c r="P108" i="313"/>
  <c r="P107" i="313"/>
  <c r="P105" i="313"/>
  <c r="P106" i="313"/>
  <c r="P107" i="326"/>
  <c r="P108" i="326"/>
  <c r="P106" i="326"/>
  <c r="P105" i="326"/>
  <c r="P108" i="320"/>
  <c r="P107" i="320"/>
  <c r="P106" i="320"/>
  <c r="P105" i="320"/>
  <c r="Q108" i="269"/>
  <c r="Q106" i="269"/>
  <c r="Q107" i="269"/>
  <c r="Q105" i="269"/>
  <c r="N101" i="325"/>
  <c r="N118" i="325" s="1"/>
  <c r="N85" i="325" s="1"/>
  <c r="L196" i="313"/>
  <c r="L204" i="313" s="1"/>
  <c r="L201" i="313"/>
  <c r="O25" i="327"/>
  <c r="O55" i="329" s="1"/>
  <c r="O62" i="329" s="1"/>
  <c r="M129" i="314"/>
  <c r="M130" i="314" s="1"/>
  <c r="M135" i="314" s="1"/>
  <c r="M87" i="314" s="1"/>
  <c r="M28" i="313" s="1"/>
  <c r="M32" i="313" s="1"/>
  <c r="M67" i="314"/>
  <c r="M68" i="314" s="1"/>
  <c r="M73" i="314" s="1"/>
  <c r="M25" i="314" s="1"/>
  <c r="M16" i="313" s="1"/>
  <c r="O78" i="316"/>
  <c r="O92" i="316" s="1"/>
  <c r="O79" i="316"/>
  <c r="N92" i="328"/>
  <c r="O40" i="315"/>
  <c r="O42" i="315" s="1"/>
  <c r="O43" i="315" s="1"/>
  <c r="O44" i="315" s="1"/>
  <c r="O46" i="315" s="1"/>
  <c r="O49" i="315" s="1"/>
  <c r="N49" i="327"/>
  <c r="N127" i="329" s="1"/>
  <c r="O78" i="319"/>
  <c r="O110" i="319" s="1"/>
  <c r="O79" i="319"/>
  <c r="O78" i="325"/>
  <c r="O92" i="325" s="1"/>
  <c r="O79" i="325"/>
  <c r="N92" i="316"/>
  <c r="N118" i="316" s="1"/>
  <c r="N85" i="316" s="1"/>
  <c r="N29" i="317" s="1"/>
  <c r="N33" i="317" s="1"/>
  <c r="O78" i="322"/>
  <c r="O92" i="322" s="1"/>
  <c r="O79" i="322"/>
  <c r="O78" i="328"/>
  <c r="O101" i="328" s="1"/>
  <c r="O79" i="328"/>
  <c r="N101" i="316"/>
  <c r="O63" i="307"/>
  <c r="O66" i="307" s="1"/>
  <c r="O67" i="307" s="1"/>
  <c r="O72" i="307" s="1"/>
  <c r="M201" i="320"/>
  <c r="K204" i="320"/>
  <c r="O40" i="312"/>
  <c r="O42" i="312" s="1"/>
  <c r="O43" i="312" s="1"/>
  <c r="O44" i="312" s="1"/>
  <c r="O46" i="312" s="1"/>
  <c r="O48" i="312" s="1"/>
  <c r="O52" i="312" s="1"/>
  <c r="O191" i="313" s="1"/>
  <c r="O78" i="314"/>
  <c r="O79" i="314"/>
  <c r="P16" i="328"/>
  <c r="P17" i="328"/>
  <c r="L35" i="329"/>
  <c r="M71" i="317"/>
  <c r="M75" i="317" s="1"/>
  <c r="N48" i="315"/>
  <c r="N70" i="317" s="1"/>
  <c r="L202" i="317"/>
  <c r="L83" i="317"/>
  <c r="N50" i="315"/>
  <c r="N183" i="317" s="1"/>
  <c r="N187" i="317" s="1"/>
  <c r="L40" i="320"/>
  <c r="O27" i="312"/>
  <c r="O57" i="313" s="1"/>
  <c r="O64" i="313" s="1"/>
  <c r="O26" i="312"/>
  <c r="O113" i="313" s="1"/>
  <c r="L204" i="310"/>
  <c r="N113" i="313"/>
  <c r="L85" i="310"/>
  <c r="N118" i="328"/>
  <c r="N85" i="328" s="1"/>
  <c r="N29" i="329" s="1"/>
  <c r="N33" i="329" s="1"/>
  <c r="L40" i="329"/>
  <c r="L19" i="323"/>
  <c r="L23" i="323" s="1"/>
  <c r="L43" i="323" s="1"/>
  <c r="L23" i="320"/>
  <c r="L39" i="320"/>
  <c r="P17" i="316"/>
  <c r="P16" i="316"/>
  <c r="P16" i="314"/>
  <c r="P17" i="314"/>
  <c r="P122" i="314" s="1"/>
  <c r="O60" i="314"/>
  <c r="P15" i="279"/>
  <c r="M175" i="310"/>
  <c r="M177" i="310" s="1"/>
  <c r="N55" i="310"/>
  <c r="N62" i="310" s="1"/>
  <c r="N159" i="310"/>
  <c r="N166" i="310" s="1"/>
  <c r="P16" i="309"/>
  <c r="P59" i="309" s="1"/>
  <c r="P15" i="309"/>
  <c r="P29" i="309" s="1"/>
  <c r="N112" i="310"/>
  <c r="P16" i="307"/>
  <c r="P59" i="307" s="1"/>
  <c r="P15" i="307"/>
  <c r="P16" i="304"/>
  <c r="P59" i="304" s="1"/>
  <c r="P15" i="304"/>
  <c r="P29" i="304" s="1"/>
  <c r="P150" i="326"/>
  <c r="P151" i="326"/>
  <c r="P150" i="323"/>
  <c r="P151" i="323"/>
  <c r="P150" i="320"/>
  <c r="P151" i="320"/>
  <c r="P150" i="317"/>
  <c r="P151" i="317"/>
  <c r="P151" i="313"/>
  <c r="P150" i="313"/>
  <c r="P150" i="278"/>
  <c r="P151" i="278"/>
  <c r="P150" i="272"/>
  <c r="P151" i="272"/>
  <c r="Q150" i="269"/>
  <c r="Q28" i="269"/>
  <c r="Q32" i="269" s="1"/>
  <c r="Q151" i="269"/>
  <c r="Q29" i="269"/>
  <c r="Q33" i="269" s="1"/>
  <c r="Q27" i="269"/>
  <c r="K23" i="320"/>
  <c r="K43" i="320" s="1"/>
  <c r="O40" i="321"/>
  <c r="O42" i="321" s="1"/>
  <c r="O43" i="321" s="1"/>
  <c r="O44" i="321" s="1"/>
  <c r="O46" i="321" s="1"/>
  <c r="O49" i="321" s="1"/>
  <c r="K35" i="317"/>
  <c r="L32" i="317"/>
  <c r="L40" i="317"/>
  <c r="L32" i="326"/>
  <c r="L35" i="326" s="1"/>
  <c r="L40" i="326"/>
  <c r="N126" i="319"/>
  <c r="N64" i="319"/>
  <c r="N33" i="308"/>
  <c r="N173" i="310" s="1"/>
  <c r="N201" i="310" s="1"/>
  <c r="O39" i="322"/>
  <c r="O56" i="322" s="1"/>
  <c r="O23" i="322" s="1"/>
  <c r="O17" i="323" s="1"/>
  <c r="O21" i="323" s="1"/>
  <c r="O48" i="322"/>
  <c r="O30" i="322"/>
  <c r="L40" i="323"/>
  <c r="P32" i="322"/>
  <c r="P41" i="322"/>
  <c r="P90" i="316"/>
  <c r="P84" i="316"/>
  <c r="P76" i="316"/>
  <c r="P22" i="316"/>
  <c r="P28" i="316"/>
  <c r="O122" i="316"/>
  <c r="O60" i="316"/>
  <c r="O30" i="319"/>
  <c r="O48" i="319"/>
  <c r="O39" i="319"/>
  <c r="O56" i="319" s="1"/>
  <c r="O23" i="319" s="1"/>
  <c r="O17" i="320" s="1"/>
  <c r="O21" i="320" s="1"/>
  <c r="N48" i="325"/>
  <c r="N39" i="325"/>
  <c r="N56" i="325" s="1"/>
  <c r="N23" i="325" s="1"/>
  <c r="N30" i="325"/>
  <c r="S62" i="267"/>
  <c r="S66" i="267"/>
  <c r="P84" i="328"/>
  <c r="P76" i="328"/>
  <c r="P28" i="328"/>
  <c r="P22" i="328"/>
  <c r="P90" i="328"/>
  <c r="N48" i="328"/>
  <c r="N39" i="328"/>
  <c r="N56" i="328" s="1"/>
  <c r="N23" i="328" s="1"/>
  <c r="N30" i="328"/>
  <c r="M129" i="319"/>
  <c r="M130" i="319" s="1"/>
  <c r="M135" i="319" s="1"/>
  <c r="M87" i="319" s="1"/>
  <c r="M28" i="320" s="1"/>
  <c r="M67" i="319"/>
  <c r="M68" i="319" s="1"/>
  <c r="M73" i="319" s="1"/>
  <c r="M25" i="319" s="1"/>
  <c r="M16" i="320" s="1"/>
  <c r="M20" i="320" s="1"/>
  <c r="M24" i="319"/>
  <c r="M15" i="320" s="1"/>
  <c r="M19" i="320" s="1"/>
  <c r="O94" i="328"/>
  <c r="O103" i="328"/>
  <c r="P38" i="324"/>
  <c r="P80" i="325" s="1"/>
  <c r="P38" i="327"/>
  <c r="P80" i="328" s="1"/>
  <c r="P38" i="321"/>
  <c r="P80" i="322" s="1"/>
  <c r="N64" i="322"/>
  <c r="N126" i="322"/>
  <c r="N64" i="325"/>
  <c r="N126" i="325"/>
  <c r="P90" i="322"/>
  <c r="P76" i="322"/>
  <c r="P84" i="322"/>
  <c r="P28" i="322"/>
  <c r="P22" i="322"/>
  <c r="Q11" i="324"/>
  <c r="Q18" i="325" s="1"/>
  <c r="Q11" i="327"/>
  <c r="Q18" i="328" s="1"/>
  <c r="Q11" i="321"/>
  <c r="Q18" i="322" s="1"/>
  <c r="O94" i="325"/>
  <c r="O103" i="325"/>
  <c r="M86" i="322"/>
  <c r="M27" i="323" s="1"/>
  <c r="M31" i="323" s="1"/>
  <c r="M29" i="323"/>
  <c r="N126" i="316"/>
  <c r="N64" i="316"/>
  <c r="R68" i="267"/>
  <c r="P37" i="321"/>
  <c r="P37" i="324"/>
  <c r="P40" i="324" s="1"/>
  <c r="P42" i="324" s="1"/>
  <c r="P43" i="324" s="1"/>
  <c r="P44" i="324" s="1"/>
  <c r="P46" i="324" s="1"/>
  <c r="P37" i="327"/>
  <c r="O103" i="319"/>
  <c r="O94" i="319"/>
  <c r="N114" i="310"/>
  <c r="P41" i="328"/>
  <c r="P32" i="328"/>
  <c r="O122" i="319"/>
  <c r="O60" i="319"/>
  <c r="O122" i="328"/>
  <c r="O60" i="328"/>
  <c r="L33" i="317"/>
  <c r="L41" i="317"/>
  <c r="M29" i="320"/>
  <c r="M86" i="319"/>
  <c r="M27" i="320" s="1"/>
  <c r="M31" i="320" s="1"/>
  <c r="O103" i="322"/>
  <c r="O94" i="322"/>
  <c r="M29" i="317"/>
  <c r="M86" i="316"/>
  <c r="M27" i="317" s="1"/>
  <c r="M31" i="317" s="1"/>
  <c r="M129" i="322"/>
  <c r="M130" i="322" s="1"/>
  <c r="M135" i="322" s="1"/>
  <c r="M87" i="322" s="1"/>
  <c r="M28" i="323" s="1"/>
  <c r="M67" i="322"/>
  <c r="M68" i="322" s="1"/>
  <c r="M73" i="322" s="1"/>
  <c r="M25" i="322" s="1"/>
  <c r="M16" i="323" s="1"/>
  <c r="M20" i="323" s="1"/>
  <c r="M24" i="322"/>
  <c r="M15" i="323" s="1"/>
  <c r="M19" i="323" s="1"/>
  <c r="N126" i="328"/>
  <c r="N64" i="328"/>
  <c r="P38" i="318"/>
  <c r="P80" i="319" s="1"/>
  <c r="P38" i="312"/>
  <c r="P80" i="314" s="1"/>
  <c r="P38" i="315"/>
  <c r="P80" i="316" s="1"/>
  <c r="N161" i="310"/>
  <c r="N168" i="310" s="1"/>
  <c r="P41" i="325"/>
  <c r="P32" i="325"/>
  <c r="O122" i="325"/>
  <c r="O60" i="325"/>
  <c r="O94" i="316"/>
  <c r="O103" i="316"/>
  <c r="M129" i="325"/>
  <c r="M130" i="325" s="1"/>
  <c r="M135" i="325" s="1"/>
  <c r="M87" i="325" s="1"/>
  <c r="M28" i="326" s="1"/>
  <c r="M32" i="326" s="1"/>
  <c r="M67" i="325"/>
  <c r="M68" i="325" s="1"/>
  <c r="M73" i="325" s="1"/>
  <c r="M25" i="325" s="1"/>
  <c r="M16" i="326" s="1"/>
  <c r="M20" i="326" s="1"/>
  <c r="M24" i="325"/>
  <c r="M15" i="326" s="1"/>
  <c r="O48" i="316"/>
  <c r="O39" i="316"/>
  <c r="O30" i="316"/>
  <c r="O56" i="316" s="1"/>
  <c r="O23" i="316" s="1"/>
  <c r="O17" i="317" s="1"/>
  <c r="O21" i="317" s="1"/>
  <c r="P90" i="319"/>
  <c r="P76" i="319"/>
  <c r="P28" i="319"/>
  <c r="P22" i="319"/>
  <c r="P84" i="319"/>
  <c r="P90" i="325"/>
  <c r="P76" i="325"/>
  <c r="P28" i="325"/>
  <c r="P84" i="325"/>
  <c r="P22" i="325"/>
  <c r="O40" i="327"/>
  <c r="O42" i="327" s="1"/>
  <c r="O43" i="327" s="1"/>
  <c r="O44" i="327" s="1"/>
  <c r="O46" i="327" s="1"/>
  <c r="O48" i="327" s="1"/>
  <c r="O52" i="327" s="1"/>
  <c r="O191" i="329" s="1"/>
  <c r="O122" i="322"/>
  <c r="O60" i="322"/>
  <c r="P14" i="312"/>
  <c r="P16" i="312" s="1"/>
  <c r="P17" i="312" s="1"/>
  <c r="P18" i="312" s="1"/>
  <c r="P20" i="312" s="1"/>
  <c r="P27" i="312" s="1"/>
  <c r="O110" i="322"/>
  <c r="O101" i="322"/>
  <c r="M29" i="329"/>
  <c r="M33" i="329" s="1"/>
  <c r="M86" i="328"/>
  <c r="M27" i="329" s="1"/>
  <c r="M31" i="329" s="1"/>
  <c r="M129" i="328"/>
  <c r="M130" i="328" s="1"/>
  <c r="M135" i="328" s="1"/>
  <c r="M87" i="328" s="1"/>
  <c r="M28" i="329" s="1"/>
  <c r="M32" i="329" s="1"/>
  <c r="M67" i="328"/>
  <c r="M68" i="328" s="1"/>
  <c r="M73" i="328" s="1"/>
  <c r="M25" i="328" s="1"/>
  <c r="M16" i="329" s="1"/>
  <c r="M24" i="328"/>
  <c r="M15" i="329" s="1"/>
  <c r="M129" i="316"/>
  <c r="M130" i="316" s="1"/>
  <c r="M135" i="316" s="1"/>
  <c r="M87" i="316" s="1"/>
  <c r="M28" i="317" s="1"/>
  <c r="M67" i="316"/>
  <c r="M68" i="316" s="1"/>
  <c r="M73" i="316" s="1"/>
  <c r="M25" i="316" s="1"/>
  <c r="M16" i="317" s="1"/>
  <c r="M20" i="317" s="1"/>
  <c r="M24" i="316"/>
  <c r="M15" i="317" s="1"/>
  <c r="Q10" i="324"/>
  <c r="Q16" i="325" s="1"/>
  <c r="Q10" i="327"/>
  <c r="Q10" i="321"/>
  <c r="Q16" i="322" s="1"/>
  <c r="N33" i="312"/>
  <c r="N173" i="313" s="1"/>
  <c r="N160" i="313"/>
  <c r="N167" i="313" s="1"/>
  <c r="L204" i="329"/>
  <c r="N32" i="312"/>
  <c r="N172" i="313" s="1"/>
  <c r="N200" i="313" s="1"/>
  <c r="N112" i="313"/>
  <c r="N159" i="313"/>
  <c r="N166" i="313" s="1"/>
  <c r="L177" i="317"/>
  <c r="L204" i="317" s="1"/>
  <c r="M201" i="329"/>
  <c r="L87" i="314"/>
  <c r="L28" i="313" s="1"/>
  <c r="L32" i="313" s="1"/>
  <c r="L29" i="313"/>
  <c r="L33" i="313" s="1"/>
  <c r="M177" i="329"/>
  <c r="N53" i="312"/>
  <c r="N192" i="313" s="1"/>
  <c r="N194" i="313" s="1"/>
  <c r="I112" i="260"/>
  <c r="K43" i="313"/>
  <c r="M29" i="313"/>
  <c r="M33" i="313" s="1"/>
  <c r="M86" i="314"/>
  <c r="M27" i="313" s="1"/>
  <c r="M31" i="313" s="1"/>
  <c r="N110" i="314"/>
  <c r="N101" i="314"/>
  <c r="N92" i="314"/>
  <c r="N118" i="314" s="1"/>
  <c r="N85" i="314" s="1"/>
  <c r="P37" i="318"/>
  <c r="P40" i="318" s="1"/>
  <c r="P42" i="318" s="1"/>
  <c r="P43" i="318" s="1"/>
  <c r="P44" i="318" s="1"/>
  <c r="P46" i="318" s="1"/>
  <c r="P37" i="312"/>
  <c r="P40" i="312" s="1"/>
  <c r="P42" i="312" s="1"/>
  <c r="P43" i="312" s="1"/>
  <c r="P44" i="312" s="1"/>
  <c r="P46" i="312" s="1"/>
  <c r="P37" i="315"/>
  <c r="O94" i="314"/>
  <c r="O103" i="314"/>
  <c r="Q10" i="318"/>
  <c r="Q16" i="319" s="1"/>
  <c r="Q10" i="312"/>
  <c r="Q14" i="312" s="1"/>
  <c r="Q10" i="315"/>
  <c r="S61" i="267"/>
  <c r="S63" i="267" s="1"/>
  <c r="M177" i="313"/>
  <c r="P84" i="314"/>
  <c r="P90" i="314"/>
  <c r="P76" i="314"/>
  <c r="M24" i="314"/>
  <c r="M15" i="313" s="1"/>
  <c r="M19" i="313" s="1"/>
  <c r="L39" i="313"/>
  <c r="N23" i="314"/>
  <c r="N17" i="313" s="1"/>
  <c r="K23" i="326"/>
  <c r="K43" i="326" s="1"/>
  <c r="L177" i="320"/>
  <c r="L204" i="320" s="1"/>
  <c r="N70" i="310"/>
  <c r="N74" i="310" s="1"/>
  <c r="M66" i="326"/>
  <c r="N66" i="313"/>
  <c r="K23" i="329"/>
  <c r="K43" i="329" s="1"/>
  <c r="M170" i="326"/>
  <c r="M83" i="310"/>
  <c r="M170" i="317"/>
  <c r="N66" i="329"/>
  <c r="N181" i="310"/>
  <c r="N185" i="310" s="1"/>
  <c r="M170" i="323"/>
  <c r="M200" i="323"/>
  <c r="M175" i="323"/>
  <c r="N160" i="326"/>
  <c r="N167" i="326" s="1"/>
  <c r="N56" i="326"/>
  <c r="N63" i="326" s="1"/>
  <c r="N33" i="324"/>
  <c r="N173" i="326" s="1"/>
  <c r="N201" i="326" s="1"/>
  <c r="N113" i="326"/>
  <c r="M66" i="320"/>
  <c r="M66" i="323"/>
  <c r="O159" i="313"/>
  <c r="O166" i="313" s="1"/>
  <c r="O32" i="312"/>
  <c r="O172" i="313" s="1"/>
  <c r="O112" i="313"/>
  <c r="O55" i="313"/>
  <c r="O62" i="313" s="1"/>
  <c r="N57" i="323"/>
  <c r="N64" i="323" s="1"/>
  <c r="N114" i="323"/>
  <c r="N161" i="323"/>
  <c r="N168" i="323" s="1"/>
  <c r="P17" i="319"/>
  <c r="P14" i="318"/>
  <c r="P16" i="318" s="1"/>
  <c r="P17" i="318" s="1"/>
  <c r="P18" i="318" s="1"/>
  <c r="P20" i="318" s="1"/>
  <c r="N57" i="326"/>
  <c r="N64" i="326" s="1"/>
  <c r="N114" i="326"/>
  <c r="N161" i="326"/>
  <c r="N168" i="326" s="1"/>
  <c r="N161" i="317"/>
  <c r="N168" i="317" s="1"/>
  <c r="N57" i="317"/>
  <c r="N64" i="317" s="1"/>
  <c r="N114" i="317"/>
  <c r="N56" i="323"/>
  <c r="N63" i="323" s="1"/>
  <c r="N113" i="323"/>
  <c r="N33" i="321"/>
  <c r="N173" i="323" s="1"/>
  <c r="N201" i="323" s="1"/>
  <c r="N160" i="323"/>
  <c r="N167" i="323" s="1"/>
  <c r="N127" i="310"/>
  <c r="N133" i="310" s="1"/>
  <c r="M200" i="320"/>
  <c r="M175" i="320"/>
  <c r="O26" i="321"/>
  <c r="O25" i="321"/>
  <c r="O27" i="321"/>
  <c r="M66" i="317"/>
  <c r="N32" i="321"/>
  <c r="N172" i="323" s="1"/>
  <c r="N159" i="323"/>
  <c r="N166" i="323" s="1"/>
  <c r="N55" i="323"/>
  <c r="N62" i="323" s="1"/>
  <c r="N112" i="323"/>
  <c r="M200" i="326"/>
  <c r="M175" i="326"/>
  <c r="O25" i="324"/>
  <c r="O27" i="324"/>
  <c r="O26" i="324"/>
  <c r="N71" i="310"/>
  <c r="N75" i="310" s="1"/>
  <c r="M170" i="320"/>
  <c r="O56" i="329"/>
  <c r="O63" i="329" s="1"/>
  <c r="O160" i="329"/>
  <c r="O167" i="329" s="1"/>
  <c r="O113" i="329"/>
  <c r="M17" i="326"/>
  <c r="L21" i="326"/>
  <c r="L41" i="326"/>
  <c r="N170" i="329"/>
  <c r="N161" i="320"/>
  <c r="N168" i="320" s="1"/>
  <c r="N114" i="320"/>
  <c r="N57" i="320"/>
  <c r="N64" i="320" s="1"/>
  <c r="P14" i="315"/>
  <c r="P16" i="315" s="1"/>
  <c r="P17" i="315" s="1"/>
  <c r="P18" i="315" s="1"/>
  <c r="P20" i="315" s="1"/>
  <c r="M17" i="329"/>
  <c r="P26" i="327"/>
  <c r="P25" i="327"/>
  <c r="P27" i="327"/>
  <c r="N159" i="320"/>
  <c r="N166" i="320" s="1"/>
  <c r="N55" i="320"/>
  <c r="N62" i="320" s="1"/>
  <c r="N112" i="320"/>
  <c r="N32" i="318"/>
  <c r="N172" i="320" s="1"/>
  <c r="M200" i="317"/>
  <c r="M175" i="317"/>
  <c r="L177" i="323"/>
  <c r="L204" i="323" s="1"/>
  <c r="N32" i="315"/>
  <c r="N172" i="317" s="1"/>
  <c r="N112" i="317"/>
  <c r="N55" i="317"/>
  <c r="N62" i="317" s="1"/>
  <c r="N159" i="317"/>
  <c r="N166" i="317" s="1"/>
  <c r="L19" i="326"/>
  <c r="L39" i="326"/>
  <c r="L19" i="329"/>
  <c r="L39" i="329"/>
  <c r="N159" i="326"/>
  <c r="N166" i="326" s="1"/>
  <c r="N112" i="326"/>
  <c r="N32" i="324"/>
  <c r="N172" i="326" s="1"/>
  <c r="N55" i="326"/>
  <c r="N62" i="326" s="1"/>
  <c r="L21" i="329"/>
  <c r="L41" i="329"/>
  <c r="P14" i="321"/>
  <c r="P16" i="321" s="1"/>
  <c r="P17" i="321" s="1"/>
  <c r="P18" i="321" s="1"/>
  <c r="P20" i="321" s="1"/>
  <c r="P17" i="322"/>
  <c r="N175" i="329"/>
  <c r="O26" i="315"/>
  <c r="O25" i="315"/>
  <c r="O27" i="315"/>
  <c r="N33" i="315"/>
  <c r="N173" i="317" s="1"/>
  <c r="N201" i="317" s="1"/>
  <c r="N160" i="317"/>
  <c r="N167" i="317" s="1"/>
  <c r="N113" i="317"/>
  <c r="N56" i="317"/>
  <c r="N63" i="317" s="1"/>
  <c r="N33" i="318"/>
  <c r="N173" i="320" s="1"/>
  <c r="N160" i="320"/>
  <c r="N167" i="320" s="1"/>
  <c r="N56" i="320"/>
  <c r="N63" i="320" s="1"/>
  <c r="N113" i="320"/>
  <c r="L177" i="326"/>
  <c r="P14" i="324"/>
  <c r="P16" i="324" s="1"/>
  <c r="P17" i="324" s="1"/>
  <c r="P18" i="324" s="1"/>
  <c r="P20" i="324" s="1"/>
  <c r="P17" i="325"/>
  <c r="O27" i="318"/>
  <c r="O26" i="318"/>
  <c r="O25" i="318"/>
  <c r="P41" i="314"/>
  <c r="P32" i="314"/>
  <c r="L23" i="313"/>
  <c r="M21" i="313"/>
  <c r="O48" i="314"/>
  <c r="O30" i="314"/>
  <c r="O56" i="314" s="1"/>
  <c r="O39" i="314"/>
  <c r="M189" i="310"/>
  <c r="M196" i="310" s="1"/>
  <c r="O25" i="308"/>
  <c r="O112" i="310" s="1"/>
  <c r="N72" i="310"/>
  <c r="N76" i="310" s="1"/>
  <c r="L78" i="317"/>
  <c r="L85" i="317" s="1"/>
  <c r="L82" i="317"/>
  <c r="P14" i="319"/>
  <c r="P14" i="325"/>
  <c r="M189" i="326"/>
  <c r="M196" i="326" s="1"/>
  <c r="N183" i="326"/>
  <c r="N187" i="326" s="1"/>
  <c r="N128" i="326"/>
  <c r="N72" i="326"/>
  <c r="N76" i="326" s="1"/>
  <c r="O48" i="318"/>
  <c r="O52" i="318" s="1"/>
  <c r="O191" i="320" s="1"/>
  <c r="O50" i="318"/>
  <c r="O49" i="318"/>
  <c r="N183" i="329"/>
  <c r="N187" i="329" s="1"/>
  <c r="N72" i="329"/>
  <c r="N76" i="329" s="1"/>
  <c r="N128" i="329"/>
  <c r="O194" i="323"/>
  <c r="M189" i="323"/>
  <c r="M196" i="323" s="1"/>
  <c r="M202" i="323"/>
  <c r="N182" i="317"/>
  <c r="N186" i="317" s="1"/>
  <c r="N127" i="317"/>
  <c r="N71" i="317"/>
  <c r="N75" i="317" s="1"/>
  <c r="Q3" i="326"/>
  <c r="Q3" i="329"/>
  <c r="Q1" i="325"/>
  <c r="Q3" i="323"/>
  <c r="Q1" i="328"/>
  <c r="Q1" i="319"/>
  <c r="Q3" i="317"/>
  <c r="Q1" i="316"/>
  <c r="Q1" i="322"/>
  <c r="Q3" i="320"/>
  <c r="Q3" i="313"/>
  <c r="Q1" i="314"/>
  <c r="O26" i="308"/>
  <c r="O56" i="310" s="1"/>
  <c r="O63" i="310" s="1"/>
  <c r="M20" i="310"/>
  <c r="M74" i="326"/>
  <c r="M83" i="326"/>
  <c r="P14" i="316"/>
  <c r="L78" i="313"/>
  <c r="L85" i="313" s="1"/>
  <c r="L82" i="313"/>
  <c r="M74" i="320"/>
  <c r="M83" i="320"/>
  <c r="N70" i="326"/>
  <c r="N181" i="326"/>
  <c r="N185" i="326" s="1"/>
  <c r="N126" i="326"/>
  <c r="M202" i="326"/>
  <c r="N181" i="323"/>
  <c r="N185" i="323" s="1"/>
  <c r="N126" i="323"/>
  <c r="N70" i="323"/>
  <c r="L78" i="320"/>
  <c r="L85" i="320" s="1"/>
  <c r="L82" i="320"/>
  <c r="N182" i="326"/>
  <c r="N186" i="326" s="1"/>
  <c r="N127" i="326"/>
  <c r="N71" i="326"/>
  <c r="N75" i="326" s="1"/>
  <c r="O50" i="324"/>
  <c r="O49" i="324"/>
  <c r="O48" i="324"/>
  <c r="L78" i="329"/>
  <c r="L85" i="329" s="1"/>
  <c r="L82" i="329"/>
  <c r="O194" i="317"/>
  <c r="N182" i="323"/>
  <c r="N186" i="323" s="1"/>
  <c r="N71" i="323"/>
  <c r="N75" i="323" s="1"/>
  <c r="N127" i="323"/>
  <c r="M189" i="320"/>
  <c r="M196" i="320" s="1"/>
  <c r="M202" i="320"/>
  <c r="N126" i="320"/>
  <c r="N70" i="320"/>
  <c r="N181" i="320"/>
  <c r="N185" i="320" s="1"/>
  <c r="N72" i="313"/>
  <c r="N76" i="313" s="1"/>
  <c r="N183" i="313"/>
  <c r="N187" i="313" s="1"/>
  <c r="N128" i="313"/>
  <c r="P151" i="329"/>
  <c r="P150" i="329"/>
  <c r="M74" i="313"/>
  <c r="O194" i="326"/>
  <c r="P14" i="328"/>
  <c r="N183" i="323"/>
  <c r="N187" i="323" s="1"/>
  <c r="N128" i="323"/>
  <c r="N72" i="323"/>
  <c r="N76" i="323" s="1"/>
  <c r="N182" i="320"/>
  <c r="N186" i="320" s="1"/>
  <c r="N181" i="313"/>
  <c r="N185" i="313" s="1"/>
  <c r="N126" i="313"/>
  <c r="N70" i="313"/>
  <c r="P14" i="322"/>
  <c r="L78" i="323"/>
  <c r="L85" i="323" s="1"/>
  <c r="L82" i="323"/>
  <c r="L78" i="326"/>
  <c r="L85" i="326" s="1"/>
  <c r="L82" i="326"/>
  <c r="N182" i="313"/>
  <c r="N186" i="313" s="1"/>
  <c r="N127" i="313"/>
  <c r="N71" i="313"/>
  <c r="N75" i="313" s="1"/>
  <c r="M74" i="317"/>
  <c r="P22" i="314"/>
  <c r="P14" i="314"/>
  <c r="P28" i="314"/>
  <c r="M74" i="323"/>
  <c r="M83" i="323"/>
  <c r="P14" i="308"/>
  <c r="P16" i="308" s="1"/>
  <c r="P17" i="308" s="1"/>
  <c r="P18" i="308" s="1"/>
  <c r="P20" i="308" s="1"/>
  <c r="P27" i="308" s="1"/>
  <c r="N183" i="310"/>
  <c r="N187" i="310" s="1"/>
  <c r="M202" i="310"/>
  <c r="M78" i="303"/>
  <c r="M19" i="310"/>
  <c r="N55" i="304"/>
  <c r="N22" i="304" s="1"/>
  <c r="N23" i="304" s="1"/>
  <c r="N15" i="303" s="1"/>
  <c r="N71" i="303"/>
  <c r="N75" i="303" s="1"/>
  <c r="N78" i="303" s="1"/>
  <c r="N114" i="303"/>
  <c r="O48" i="308"/>
  <c r="O181" i="310" s="1"/>
  <c r="O185" i="310" s="1"/>
  <c r="O50" i="308"/>
  <c r="O72" i="310" s="1"/>
  <c r="O76" i="310" s="1"/>
  <c r="O49" i="308"/>
  <c r="O182" i="310" s="1"/>
  <c r="O186" i="310" s="1"/>
  <c r="P37" i="271"/>
  <c r="P40" i="271" s="1"/>
  <c r="P42" i="271" s="1"/>
  <c r="P43" i="271" s="1"/>
  <c r="P44" i="271" s="1"/>
  <c r="P46" i="271" s="1"/>
  <c r="P37" i="308"/>
  <c r="P40" i="308" s="1"/>
  <c r="P42" i="308" s="1"/>
  <c r="P43" i="308" s="1"/>
  <c r="P44" i="308" s="1"/>
  <c r="P46" i="308" s="1"/>
  <c r="P37" i="305"/>
  <c r="P40" i="305" s="1"/>
  <c r="P42" i="305" s="1"/>
  <c r="P43" i="305" s="1"/>
  <c r="P44" i="305" s="1"/>
  <c r="P46" i="305" s="1"/>
  <c r="P37" i="302"/>
  <c r="P40" i="302" s="1"/>
  <c r="P42" i="302" s="1"/>
  <c r="P43" i="302" s="1"/>
  <c r="P44" i="302" s="1"/>
  <c r="P46" i="302" s="1"/>
  <c r="P49" i="302" s="1"/>
  <c r="P37" i="277"/>
  <c r="P40" i="277" s="1"/>
  <c r="P42" i="277" s="1"/>
  <c r="P43" i="277" s="1"/>
  <c r="P44" i="277" s="1"/>
  <c r="P46" i="277" s="1"/>
  <c r="P38" i="268"/>
  <c r="P38" i="277"/>
  <c r="P38" i="271"/>
  <c r="P38" i="308"/>
  <c r="P38" i="305"/>
  <c r="P38" i="302"/>
  <c r="Q10" i="277"/>
  <c r="Q10" i="268"/>
  <c r="Q15" i="270" s="1"/>
  <c r="Q10" i="308"/>
  <c r="Q10" i="302"/>
  <c r="Q15" i="304" s="1"/>
  <c r="M41" i="303"/>
  <c r="M21" i="303"/>
  <c r="L39" i="303"/>
  <c r="L19" i="303"/>
  <c r="L41" i="303"/>
  <c r="L21" i="303"/>
  <c r="S57" i="267"/>
  <c r="S52" i="267"/>
  <c r="P63" i="309"/>
  <c r="P66" i="309" s="1"/>
  <c r="P67" i="309" s="1"/>
  <c r="P72" i="309" s="1"/>
  <c r="L41" i="272"/>
  <c r="L21" i="272"/>
  <c r="K40" i="272"/>
  <c r="K20" i="272"/>
  <c r="P28" i="272"/>
  <c r="P32" i="272" s="1"/>
  <c r="P27" i="272"/>
  <c r="P29" i="272"/>
  <c r="P33" i="272" s="1"/>
  <c r="L39" i="272"/>
  <c r="L19" i="272"/>
  <c r="K41" i="272"/>
  <c r="K21" i="272"/>
  <c r="N41" i="306"/>
  <c r="N21" i="306"/>
  <c r="M40" i="306"/>
  <c r="M20" i="306"/>
  <c r="M39" i="306"/>
  <c r="M19" i="306"/>
  <c r="N39" i="310"/>
  <c r="N19" i="310"/>
  <c r="N40" i="310"/>
  <c r="N41" i="310"/>
  <c r="N21" i="310"/>
  <c r="P27" i="278"/>
  <c r="P29" i="278"/>
  <c r="P33" i="278" s="1"/>
  <c r="P28" i="278"/>
  <c r="P32" i="278" s="1"/>
  <c r="L39" i="278"/>
  <c r="L19" i="278"/>
  <c r="L41" i="278"/>
  <c r="L21" i="278"/>
  <c r="K41" i="269"/>
  <c r="K21" i="269"/>
  <c r="L41" i="269"/>
  <c r="L21" i="269"/>
  <c r="K39" i="269"/>
  <c r="K19" i="269"/>
  <c r="K40" i="269"/>
  <c r="K20" i="269"/>
  <c r="R10" i="269"/>
  <c r="S10" i="272"/>
  <c r="O9" i="272"/>
  <c r="N31" i="272"/>
  <c r="N35" i="272" s="1"/>
  <c r="T11" i="306"/>
  <c r="S33" i="306"/>
  <c r="S35" i="306" s="1"/>
  <c r="S11" i="278"/>
  <c r="O9" i="269"/>
  <c r="N31" i="269"/>
  <c r="N35" i="269" s="1"/>
  <c r="S10" i="278"/>
  <c r="S11" i="272"/>
  <c r="T11" i="310"/>
  <c r="S33" i="310"/>
  <c r="S35" i="310" s="1"/>
  <c r="R11" i="269"/>
  <c r="T11" i="303"/>
  <c r="S33" i="303"/>
  <c r="S35" i="303" s="1"/>
  <c r="O9" i="278"/>
  <c r="N31" i="278"/>
  <c r="N35" i="278" s="1"/>
  <c r="O38" i="309"/>
  <c r="J23" i="269"/>
  <c r="J43" i="269" s="1"/>
  <c r="M202" i="303"/>
  <c r="N57" i="306"/>
  <c r="N64" i="306" s="1"/>
  <c r="N161" i="306"/>
  <c r="N168" i="306" s="1"/>
  <c r="M23" i="304"/>
  <c r="M15" i="303" s="1"/>
  <c r="N114" i="306"/>
  <c r="O29" i="309"/>
  <c r="O55" i="309" s="1"/>
  <c r="O22" i="309" s="1"/>
  <c r="O17" i="310" s="1"/>
  <c r="M83" i="303"/>
  <c r="P14" i="271"/>
  <c r="P16" i="271" s="1"/>
  <c r="P17" i="271" s="1"/>
  <c r="P18" i="271" s="1"/>
  <c r="P20" i="271" s="1"/>
  <c r="P16" i="273"/>
  <c r="P59" i="273" s="1"/>
  <c r="P14" i="277"/>
  <c r="P16" i="277" s="1"/>
  <c r="P17" i="277" s="1"/>
  <c r="P18" i="277" s="1"/>
  <c r="P20" i="277" s="1"/>
  <c r="P16" i="279"/>
  <c r="P59" i="279" s="1"/>
  <c r="M24" i="304"/>
  <c r="M16" i="303" s="1"/>
  <c r="O63" i="304"/>
  <c r="O66" i="304" s="1"/>
  <c r="O67" i="304" s="1"/>
  <c r="O72" i="304" s="1"/>
  <c r="O40" i="304"/>
  <c r="O31" i="304"/>
  <c r="N55" i="303"/>
  <c r="N62" i="303" s="1"/>
  <c r="P14" i="268"/>
  <c r="P16" i="268" s="1"/>
  <c r="P16" i="270"/>
  <c r="P59" i="270" s="1"/>
  <c r="N112" i="303"/>
  <c r="N159" i="303"/>
  <c r="N166" i="303" s="1"/>
  <c r="N170" i="303" s="1"/>
  <c r="N128" i="303"/>
  <c r="N131" i="303" s="1"/>
  <c r="N57" i="303"/>
  <c r="N64" i="303" s="1"/>
  <c r="N33" i="302"/>
  <c r="N173" i="303" s="1"/>
  <c r="N182" i="303"/>
  <c r="N186" i="303" s="1"/>
  <c r="G43" i="303"/>
  <c r="M55" i="279"/>
  <c r="M22" i="279" s="1"/>
  <c r="M17" i="278" s="1"/>
  <c r="O50" i="302"/>
  <c r="O72" i="303" s="1"/>
  <c r="O76" i="303" s="1"/>
  <c r="N183" i="303"/>
  <c r="N187" i="303" s="1"/>
  <c r="P13" i="304"/>
  <c r="N55" i="306"/>
  <c r="N62" i="306" s="1"/>
  <c r="L204" i="306"/>
  <c r="N112" i="306"/>
  <c r="N159" i="306"/>
  <c r="N166" i="306" s="1"/>
  <c r="M66" i="306"/>
  <c r="O25" i="302"/>
  <c r="O159" i="303" s="1"/>
  <c r="O166" i="303" s="1"/>
  <c r="N23" i="307"/>
  <c r="N15" i="306" s="1"/>
  <c r="P21" i="304"/>
  <c r="M170" i="306"/>
  <c r="N24" i="307"/>
  <c r="N16" i="306" s="1"/>
  <c r="O29" i="304"/>
  <c r="P14" i="305"/>
  <c r="P16" i="305" s="1"/>
  <c r="P17" i="305" s="1"/>
  <c r="P18" i="305" s="1"/>
  <c r="P20" i="305" s="1"/>
  <c r="P60" i="307"/>
  <c r="O114" i="310"/>
  <c r="O57" i="310"/>
  <c r="O64" i="310" s="1"/>
  <c r="O161" i="310"/>
  <c r="O168" i="310" s="1"/>
  <c r="O38" i="304"/>
  <c r="Q60" i="309"/>
  <c r="O26" i="302"/>
  <c r="O160" i="303" s="1"/>
  <c r="O167" i="303" s="1"/>
  <c r="O25" i="305"/>
  <c r="O26" i="305"/>
  <c r="O27" i="305"/>
  <c r="P27" i="309"/>
  <c r="P13" i="309"/>
  <c r="P21" i="309"/>
  <c r="P194" i="306"/>
  <c r="Q1" i="304"/>
  <c r="Q27" i="304" s="1"/>
  <c r="Q1" i="309"/>
  <c r="Q1" i="307"/>
  <c r="O29" i="307"/>
  <c r="O55" i="307" s="1"/>
  <c r="O22" i="307" s="1"/>
  <c r="O17" i="306" s="1"/>
  <c r="O38" i="307"/>
  <c r="O47" i="307"/>
  <c r="M200" i="306"/>
  <c r="M175" i="306"/>
  <c r="N200" i="310"/>
  <c r="P27" i="307"/>
  <c r="P13" i="307"/>
  <c r="P21" i="307"/>
  <c r="M82" i="310"/>
  <c r="M66" i="310"/>
  <c r="M85" i="310" s="1"/>
  <c r="P194" i="310"/>
  <c r="M55" i="273"/>
  <c r="M22" i="273" s="1"/>
  <c r="M17" i="272" s="1"/>
  <c r="N182" i="306"/>
  <c r="N186" i="306" s="1"/>
  <c r="N127" i="306"/>
  <c r="N71" i="306"/>
  <c r="N75" i="306" s="1"/>
  <c r="N126" i="306"/>
  <c r="N181" i="306"/>
  <c r="N185" i="306" s="1"/>
  <c r="N70" i="306"/>
  <c r="N74" i="306" s="1"/>
  <c r="M76" i="306"/>
  <c r="M83" i="306"/>
  <c r="M189" i="306"/>
  <c r="M196" i="306" s="1"/>
  <c r="M202" i="306"/>
  <c r="N183" i="306"/>
  <c r="N187" i="306" s="1"/>
  <c r="N72" i="306"/>
  <c r="N76" i="306" s="1"/>
  <c r="N128" i="306"/>
  <c r="L78" i="306"/>
  <c r="L85" i="306" s="1"/>
  <c r="L82" i="306"/>
  <c r="N201" i="306"/>
  <c r="N175" i="306"/>
  <c r="L16" i="269"/>
  <c r="O49" i="305"/>
  <c r="O48" i="305"/>
  <c r="O50" i="305"/>
  <c r="H43" i="303"/>
  <c r="I175" i="303"/>
  <c r="I177" i="303" s="1"/>
  <c r="I204" i="303" s="1"/>
  <c r="I200" i="303"/>
  <c r="I111" i="260" s="1"/>
  <c r="P60" i="304"/>
  <c r="P14" i="302"/>
  <c r="P16" i="302" s="1"/>
  <c r="P17" i="302" s="1"/>
  <c r="P18" i="302" s="1"/>
  <c r="P20" i="302" s="1"/>
  <c r="P27" i="302" s="1"/>
  <c r="J172" i="269"/>
  <c r="J200" i="269" s="1"/>
  <c r="J173" i="269"/>
  <c r="J201" i="269" s="1"/>
  <c r="J201" i="303"/>
  <c r="O48" i="302"/>
  <c r="O126" i="303" s="1"/>
  <c r="M17" i="269"/>
  <c r="P194" i="303"/>
  <c r="L15" i="269"/>
  <c r="Q10" i="305"/>
  <c r="J23" i="303"/>
  <c r="J43" i="303" s="1"/>
  <c r="I23" i="303"/>
  <c r="I43" i="303" s="1"/>
  <c r="O127" i="303"/>
  <c r="O71" i="303"/>
  <c r="O75" i="303" s="1"/>
  <c r="O182" i="303"/>
  <c r="O186" i="303" s="1"/>
  <c r="O161" i="303"/>
  <c r="O168" i="303" s="1"/>
  <c r="O57" i="303"/>
  <c r="O64" i="303" s="1"/>
  <c r="O114" i="303"/>
  <c r="M82" i="303"/>
  <c r="M66" i="303"/>
  <c r="Z42" i="260"/>
  <c r="S56" i="267"/>
  <c r="S58" i="267" s="1"/>
  <c r="R58" i="267"/>
  <c r="P21" i="279"/>
  <c r="P27" i="279"/>
  <c r="P13" i="279"/>
  <c r="T2" i="267"/>
  <c r="Q3" i="278"/>
  <c r="S51" i="267"/>
  <c r="Q3" i="272"/>
  <c r="Q1" i="273"/>
  <c r="Q1" i="270"/>
  <c r="Q1" i="279"/>
  <c r="P21" i="270"/>
  <c r="P27" i="270"/>
  <c r="P13" i="270"/>
  <c r="P37" i="268"/>
  <c r="P40" i="268" s="1"/>
  <c r="P42" i="268" s="1"/>
  <c r="R53" i="267"/>
  <c r="P27" i="273"/>
  <c r="P21" i="273"/>
  <c r="P13" i="273"/>
  <c r="N29" i="273"/>
  <c r="N38" i="279"/>
  <c r="N38" i="273"/>
  <c r="K85" i="272"/>
  <c r="O38" i="273"/>
  <c r="O60" i="273"/>
  <c r="O63" i="273" s="1"/>
  <c r="O66" i="273" s="1"/>
  <c r="O67" i="273" s="1"/>
  <c r="O72" i="273" s="1"/>
  <c r="N47" i="279"/>
  <c r="N55" i="279" s="1"/>
  <c r="N22" i="279" s="1"/>
  <c r="O29" i="279"/>
  <c r="O60" i="279"/>
  <c r="O63" i="279" s="1"/>
  <c r="O66" i="279" s="1"/>
  <c r="O67" i="279" s="1"/>
  <c r="O72" i="279" s="1"/>
  <c r="Q10" i="271"/>
  <c r="Q15" i="273" s="1"/>
  <c r="L170" i="278"/>
  <c r="N183" i="278"/>
  <c r="N187" i="278" s="1"/>
  <c r="N72" i="278"/>
  <c r="N76" i="278" s="1"/>
  <c r="N128" i="278"/>
  <c r="N181" i="278"/>
  <c r="N70" i="278"/>
  <c r="N126" i="278"/>
  <c r="N114" i="278"/>
  <c r="N161" i="278"/>
  <c r="N168" i="278" s="1"/>
  <c r="N57" i="278"/>
  <c r="N64" i="278" s="1"/>
  <c r="N182" i="278"/>
  <c r="N186" i="278" s="1"/>
  <c r="N127" i="278"/>
  <c r="N71" i="278"/>
  <c r="N75" i="278" s="1"/>
  <c r="N32" i="277"/>
  <c r="N172" i="278" s="1"/>
  <c r="N112" i="278"/>
  <c r="N159" i="278"/>
  <c r="N55" i="278"/>
  <c r="N62" i="278" s="1"/>
  <c r="N33" i="277"/>
  <c r="N173" i="278" s="1"/>
  <c r="N113" i="278"/>
  <c r="N160" i="278"/>
  <c r="N167" i="278" s="1"/>
  <c r="N56" i="278"/>
  <c r="O49" i="277"/>
  <c r="O48" i="277"/>
  <c r="O50" i="277"/>
  <c r="O25" i="277"/>
  <c r="O27" i="277"/>
  <c r="O26" i="277"/>
  <c r="S53" i="277"/>
  <c r="S192" i="278" s="1"/>
  <c r="S52" i="277"/>
  <c r="S191" i="278" s="1"/>
  <c r="L170" i="272"/>
  <c r="O25" i="271"/>
  <c r="O27" i="271"/>
  <c r="O26" i="271"/>
  <c r="N126" i="272"/>
  <c r="N181" i="272"/>
  <c r="N185" i="272" s="1"/>
  <c r="N70" i="272"/>
  <c r="O50" i="271"/>
  <c r="O49" i="271"/>
  <c r="O48" i="271"/>
  <c r="R52" i="271"/>
  <c r="R191" i="272" s="1"/>
  <c r="R53" i="271"/>
  <c r="R192" i="272" s="1"/>
  <c r="N127" i="272"/>
  <c r="N182" i="272"/>
  <c r="N186" i="272" s="1"/>
  <c r="N71" i="272"/>
  <c r="N75" i="272" s="1"/>
  <c r="N128" i="272"/>
  <c r="N183" i="272"/>
  <c r="N187" i="272" s="1"/>
  <c r="N72" i="272"/>
  <c r="N76" i="272" s="1"/>
  <c r="L202" i="272"/>
  <c r="N57" i="272"/>
  <c r="N114" i="272"/>
  <c r="N161" i="272"/>
  <c r="N168" i="272" s="1"/>
  <c r="N32" i="271"/>
  <c r="N172" i="272" s="1"/>
  <c r="N55" i="272"/>
  <c r="N112" i="272"/>
  <c r="N159" i="272"/>
  <c r="N56" i="272"/>
  <c r="N113" i="272"/>
  <c r="N160" i="272"/>
  <c r="N33" i="271"/>
  <c r="N173" i="272" s="1"/>
  <c r="L200" i="272"/>
  <c r="L62" i="272"/>
  <c r="L66" i="272" s="1"/>
  <c r="P14" i="279"/>
  <c r="P14" i="273"/>
  <c r="K159" i="269"/>
  <c r="K166" i="269" s="1"/>
  <c r="K32" i="268"/>
  <c r="K55" i="269"/>
  <c r="K62" i="269" s="1"/>
  <c r="M75" i="272"/>
  <c r="M74" i="272"/>
  <c r="M186" i="272"/>
  <c r="M189" i="272" s="1"/>
  <c r="M23" i="270"/>
  <c r="M24" i="270"/>
  <c r="L83" i="272"/>
  <c r="M200" i="278"/>
  <c r="M168" i="278"/>
  <c r="M170" i="278" s="1"/>
  <c r="L66" i="278"/>
  <c r="L82" i="278"/>
  <c r="K85" i="278"/>
  <c r="M64" i="278"/>
  <c r="M62" i="278"/>
  <c r="M201" i="278"/>
  <c r="L78" i="278"/>
  <c r="L202" i="278"/>
  <c r="L83" i="278"/>
  <c r="L189" i="278"/>
  <c r="K33" i="268"/>
  <c r="K160" i="269"/>
  <c r="K167" i="269" s="1"/>
  <c r="K56" i="269"/>
  <c r="K63" i="269" s="1"/>
  <c r="K23" i="278"/>
  <c r="K43" i="278" s="1"/>
  <c r="Q52" i="268"/>
  <c r="Q191" i="269" s="1"/>
  <c r="Q53" i="268"/>
  <c r="Q192" i="269" s="1"/>
  <c r="Q6" i="271"/>
  <c r="M201" i="272"/>
  <c r="M167" i="272"/>
  <c r="M63" i="272"/>
  <c r="O31" i="279"/>
  <c r="O40" i="279"/>
  <c r="M166" i="272"/>
  <c r="M64" i="272"/>
  <c r="M168" i="272"/>
  <c r="O40" i="273"/>
  <c r="O31" i="273"/>
  <c r="L78" i="272"/>
  <c r="M189" i="278"/>
  <c r="M74" i="278"/>
  <c r="T2" i="277"/>
  <c r="R3" i="269"/>
  <c r="S2" i="271"/>
  <c r="J66" i="269"/>
  <c r="O38" i="270"/>
  <c r="O29" i="270"/>
  <c r="O47" i="270"/>
  <c r="N55" i="270"/>
  <c r="N22" i="270" s="1"/>
  <c r="N66" i="270"/>
  <c r="N67" i="270" s="1"/>
  <c r="N72" i="270" s="1"/>
  <c r="O40" i="270"/>
  <c r="O31" i="270"/>
  <c r="N17" i="268"/>
  <c r="N18" i="268" s="1"/>
  <c r="N20" i="268" s="1"/>
  <c r="O60" i="270"/>
  <c r="O63" i="270" s="1"/>
  <c r="P14" i="270"/>
  <c r="J170" i="269"/>
  <c r="L27" i="268"/>
  <c r="L25" i="268"/>
  <c r="L26" i="268"/>
  <c r="R2" i="268"/>
  <c r="O2" i="264"/>
  <c r="O17" i="264" s="1"/>
  <c r="T12" i="267" l="1"/>
  <c r="T7" i="267"/>
  <c r="T8" i="267"/>
  <c r="T9" i="267"/>
  <c r="R6" i="271" s="1"/>
  <c r="T10" i="267"/>
  <c r="R6" i="305" s="1"/>
  <c r="R14" i="307" s="1"/>
  <c r="T11" i="267"/>
  <c r="R6" i="308" s="1"/>
  <c r="R14" i="309" s="1"/>
  <c r="S67" i="267"/>
  <c r="Q16" i="312"/>
  <c r="Q17" i="312" s="1"/>
  <c r="Q18" i="312" s="1"/>
  <c r="Q20" i="312" s="1"/>
  <c r="Q25" i="312" s="1"/>
  <c r="R101" i="269"/>
  <c r="R102" i="269"/>
  <c r="R100" i="269"/>
  <c r="R98" i="269"/>
  <c r="R96" i="269"/>
  <c r="R92" i="269"/>
  <c r="R103" i="269"/>
  <c r="R91" i="269"/>
  <c r="R95" i="269"/>
  <c r="R97" i="269"/>
  <c r="R90" i="269"/>
  <c r="R93" i="269"/>
  <c r="P32" i="319"/>
  <c r="P41" i="319"/>
  <c r="Q11" i="318"/>
  <c r="Q18" i="319" s="1"/>
  <c r="Q11" i="312"/>
  <c r="Q18" i="314" s="1"/>
  <c r="Q11" i="315"/>
  <c r="Q18" i="316" s="1"/>
  <c r="Q11" i="308"/>
  <c r="Q17" i="309" s="1"/>
  <c r="Q11" i="302"/>
  <c r="Q17" i="304" s="1"/>
  <c r="Q11" i="277"/>
  <c r="Q17" i="279" s="1"/>
  <c r="Q11" i="268"/>
  <c r="Q17" i="270" s="1"/>
  <c r="T45" i="267"/>
  <c r="T39" i="267"/>
  <c r="T41" i="267" s="1"/>
  <c r="T30" i="267"/>
  <c r="T44" i="267"/>
  <c r="T46" i="267" s="1"/>
  <c r="T40" i="267"/>
  <c r="T29" i="267"/>
  <c r="T31" i="267" s="1"/>
  <c r="M78" i="329"/>
  <c r="M85" i="329" s="1"/>
  <c r="P32" i="316"/>
  <c r="P41" i="316"/>
  <c r="P40" i="309"/>
  <c r="P31" i="309"/>
  <c r="P55" i="309" s="1"/>
  <c r="P22" i="309" s="1"/>
  <c r="O101" i="319"/>
  <c r="M83" i="313"/>
  <c r="O92" i="319"/>
  <c r="N86" i="319"/>
  <c r="N27" i="320" s="1"/>
  <c r="N31" i="320" s="1"/>
  <c r="M83" i="329"/>
  <c r="N126" i="317"/>
  <c r="L43" i="320"/>
  <c r="M189" i="313"/>
  <c r="M196" i="313" s="1"/>
  <c r="M204" i="313" s="1"/>
  <c r="M201" i="313"/>
  <c r="M189" i="317"/>
  <c r="M196" i="317" s="1"/>
  <c r="M35" i="326"/>
  <c r="M140" i="313"/>
  <c r="Q77" i="322"/>
  <c r="Q15" i="322"/>
  <c r="M142" i="329"/>
  <c r="Q77" i="314"/>
  <c r="Q15" i="314"/>
  <c r="R6" i="327"/>
  <c r="R6" i="315"/>
  <c r="R6" i="277"/>
  <c r="R6" i="318"/>
  <c r="R6" i="321"/>
  <c r="R6" i="312"/>
  <c r="R6" i="302"/>
  <c r="R14" i="304" s="1"/>
  <c r="R6" i="268"/>
  <c r="R6" i="324"/>
  <c r="Q77" i="316"/>
  <c r="Q15" i="316"/>
  <c r="Q77" i="325"/>
  <c r="Q15" i="325"/>
  <c r="Q77" i="319"/>
  <c r="Q15" i="319"/>
  <c r="Q16" i="304"/>
  <c r="Q59" i="304" s="1"/>
  <c r="M131" i="329"/>
  <c r="Q77" i="328"/>
  <c r="Q15" i="328"/>
  <c r="M189" i="329"/>
  <c r="M196" i="329" s="1"/>
  <c r="M204" i="329" s="1"/>
  <c r="N182" i="329"/>
  <c r="N186" i="329" s="1"/>
  <c r="O114" i="329"/>
  <c r="M140" i="329"/>
  <c r="M133" i="313"/>
  <c r="M143" i="313"/>
  <c r="Q102" i="278"/>
  <c r="Q103" i="278"/>
  <c r="Q100" i="278"/>
  <c r="Q101" i="278"/>
  <c r="Q93" i="278"/>
  <c r="Q97" i="278"/>
  <c r="Q95" i="278"/>
  <c r="Q90" i="278"/>
  <c r="Q91" i="278"/>
  <c r="Q96" i="278"/>
  <c r="Q92" i="278"/>
  <c r="Q98" i="278"/>
  <c r="Q100" i="323"/>
  <c r="Q103" i="323"/>
  <c r="Q101" i="323"/>
  <c r="Q102" i="323"/>
  <c r="Q97" i="323"/>
  <c r="Q95" i="323"/>
  <c r="Q90" i="323"/>
  <c r="Q91" i="323"/>
  <c r="Q96" i="323"/>
  <c r="Q93" i="323"/>
  <c r="Q98" i="323"/>
  <c r="Q92" i="323"/>
  <c r="Q102" i="313"/>
  <c r="Q100" i="313"/>
  <c r="Q101" i="313"/>
  <c r="Q103" i="313"/>
  <c r="Q97" i="313"/>
  <c r="Q91" i="313"/>
  <c r="Q98" i="313"/>
  <c r="Q96" i="313"/>
  <c r="Q92" i="313"/>
  <c r="Q95" i="313"/>
  <c r="Q90" i="313"/>
  <c r="Q93" i="313"/>
  <c r="Q103" i="317"/>
  <c r="Q100" i="317"/>
  <c r="Q101" i="317"/>
  <c r="Q102" i="317"/>
  <c r="Q97" i="317"/>
  <c r="Q95" i="317"/>
  <c r="Q90" i="317"/>
  <c r="Q91" i="317"/>
  <c r="Q96" i="317"/>
  <c r="Q93" i="317"/>
  <c r="Q98" i="317"/>
  <c r="Q92" i="317"/>
  <c r="N129" i="314"/>
  <c r="N130" i="314" s="1"/>
  <c r="N135" i="314" s="1"/>
  <c r="N87" i="314" s="1"/>
  <c r="N28" i="313" s="1"/>
  <c r="N32" i="313" s="1"/>
  <c r="N67" i="314"/>
  <c r="N68" i="314" s="1"/>
  <c r="N73" i="314" s="1"/>
  <c r="Q102" i="272"/>
  <c r="Q101" i="272"/>
  <c r="Q100" i="272"/>
  <c r="Q103" i="272"/>
  <c r="Q93" i="272"/>
  <c r="Q97" i="272"/>
  <c r="Q95" i="272"/>
  <c r="Q92" i="272"/>
  <c r="Q90" i="272"/>
  <c r="Q98" i="272"/>
  <c r="Q91" i="272"/>
  <c r="Q96" i="272"/>
  <c r="Q100" i="320"/>
  <c r="Q101" i="320"/>
  <c r="Q102" i="320"/>
  <c r="Q103" i="320"/>
  <c r="Q91" i="320"/>
  <c r="Q98" i="320"/>
  <c r="Q96" i="320"/>
  <c r="Q92" i="320"/>
  <c r="Q93" i="320"/>
  <c r="Q97" i="320"/>
  <c r="Q95" i="320"/>
  <c r="Q90" i="320"/>
  <c r="Q100" i="329"/>
  <c r="Q101" i="329"/>
  <c r="Q103" i="329"/>
  <c r="Q102" i="329"/>
  <c r="Q93" i="329"/>
  <c r="Q97" i="329"/>
  <c r="Q98" i="329"/>
  <c r="Q96" i="329"/>
  <c r="Q92" i="329"/>
  <c r="Q95" i="329"/>
  <c r="Q91" i="329"/>
  <c r="Q90" i="329"/>
  <c r="Q100" i="326"/>
  <c r="Q101" i="326"/>
  <c r="Q102" i="326"/>
  <c r="Q103" i="326"/>
  <c r="Q97" i="326"/>
  <c r="Q95" i="326"/>
  <c r="Q90" i="326"/>
  <c r="Q91" i="326"/>
  <c r="Q98" i="326"/>
  <c r="Q96" i="326"/>
  <c r="Q92" i="326"/>
  <c r="Q93" i="326"/>
  <c r="O112" i="329"/>
  <c r="L204" i="326"/>
  <c r="M202" i="329"/>
  <c r="N181" i="317"/>
  <c r="N185" i="317" s="1"/>
  <c r="N189" i="317" s="1"/>
  <c r="N196" i="317" s="1"/>
  <c r="O32" i="327"/>
  <c r="O172" i="329" s="1"/>
  <c r="O200" i="329" s="1"/>
  <c r="O159" i="329"/>
  <c r="O166" i="329" s="1"/>
  <c r="N126" i="329"/>
  <c r="N142" i="329" s="1"/>
  <c r="M141" i="329"/>
  <c r="M130" i="329"/>
  <c r="N128" i="320"/>
  <c r="N181" i="329"/>
  <c r="N185" i="329" s="1"/>
  <c r="M143" i="329"/>
  <c r="M133" i="329"/>
  <c r="N70" i="329"/>
  <c r="N74" i="329" s="1"/>
  <c r="M132" i="329"/>
  <c r="N41" i="320"/>
  <c r="O92" i="328"/>
  <c r="P60" i="314"/>
  <c r="P126" i="314" s="1"/>
  <c r="N132" i="310"/>
  <c r="N183" i="320"/>
  <c r="N187" i="320" s="1"/>
  <c r="N189" i="320" s="1"/>
  <c r="M132" i="313"/>
  <c r="M142" i="313"/>
  <c r="M140" i="317"/>
  <c r="M131" i="313"/>
  <c r="O50" i="312"/>
  <c r="O183" i="313" s="1"/>
  <c r="O187" i="313" s="1"/>
  <c r="M141" i="313"/>
  <c r="M130" i="313"/>
  <c r="N140" i="272"/>
  <c r="N141" i="272"/>
  <c r="N142" i="272"/>
  <c r="N118" i="272"/>
  <c r="N119" i="272"/>
  <c r="N116" i="272"/>
  <c r="N117" i="272"/>
  <c r="N143" i="272"/>
  <c r="N131" i="313"/>
  <c r="N132" i="313"/>
  <c r="N133" i="313"/>
  <c r="N130" i="313"/>
  <c r="N133" i="303"/>
  <c r="N143" i="306"/>
  <c r="N141" i="306"/>
  <c r="N117" i="306"/>
  <c r="N118" i="306"/>
  <c r="N142" i="306"/>
  <c r="N140" i="306"/>
  <c r="N119" i="306"/>
  <c r="N116" i="306"/>
  <c r="M202" i="317"/>
  <c r="N119" i="320"/>
  <c r="N116" i="320"/>
  <c r="N117" i="320"/>
  <c r="N118" i="320"/>
  <c r="O57" i="329"/>
  <c r="O64" i="329" s="1"/>
  <c r="O66" i="329" s="1"/>
  <c r="N132" i="303"/>
  <c r="N131" i="310"/>
  <c r="N133" i="306"/>
  <c r="N131" i="306"/>
  <c r="N132" i="306"/>
  <c r="N130" i="306"/>
  <c r="M83" i="317"/>
  <c r="N127" i="320"/>
  <c r="N131" i="323"/>
  <c r="N132" i="323"/>
  <c r="N133" i="323"/>
  <c r="N130" i="323"/>
  <c r="N132" i="326"/>
  <c r="N133" i="326"/>
  <c r="N130" i="326"/>
  <c r="N131" i="326"/>
  <c r="O161" i="329"/>
  <c r="O168" i="329" s="1"/>
  <c r="N53" i="318"/>
  <c r="N192" i="320" s="1"/>
  <c r="N194" i="320" s="1"/>
  <c r="N141" i="313"/>
  <c r="N117" i="313"/>
  <c r="N142" i="313"/>
  <c r="N118" i="313"/>
  <c r="N143" i="313"/>
  <c r="N119" i="313"/>
  <c r="N116" i="313"/>
  <c r="N140" i="313"/>
  <c r="N142" i="310"/>
  <c r="N143" i="310"/>
  <c r="N140" i="310"/>
  <c r="N117" i="310"/>
  <c r="N118" i="310"/>
  <c r="N119" i="310"/>
  <c r="N141" i="310"/>
  <c r="N116" i="310"/>
  <c r="N130" i="303"/>
  <c r="N130" i="310"/>
  <c r="N131" i="272"/>
  <c r="N132" i="272"/>
  <c r="N133" i="272"/>
  <c r="N130" i="272"/>
  <c r="N143" i="303"/>
  <c r="N119" i="303"/>
  <c r="N117" i="303"/>
  <c r="N140" i="303"/>
  <c r="N116" i="303"/>
  <c r="N141" i="303"/>
  <c r="N142" i="303"/>
  <c r="N118" i="303"/>
  <c r="N142" i="278"/>
  <c r="N118" i="278"/>
  <c r="N143" i="278"/>
  <c r="N119" i="278"/>
  <c r="N140" i="278"/>
  <c r="N116" i="278"/>
  <c r="N141" i="278"/>
  <c r="N117" i="278"/>
  <c r="N132" i="278"/>
  <c r="N133" i="278"/>
  <c r="N130" i="278"/>
  <c r="N131" i="278"/>
  <c r="N130" i="329"/>
  <c r="N142" i="326"/>
  <c r="N118" i="326"/>
  <c r="N143" i="326"/>
  <c r="N119" i="326"/>
  <c r="N140" i="326"/>
  <c r="N116" i="326"/>
  <c r="N141" i="326"/>
  <c r="N117" i="326"/>
  <c r="N118" i="317"/>
  <c r="N119" i="317"/>
  <c r="N116" i="317"/>
  <c r="N117" i="317"/>
  <c r="N141" i="323"/>
  <c r="N117" i="323"/>
  <c r="N142" i="323"/>
  <c r="N118" i="323"/>
  <c r="N143" i="323"/>
  <c r="N119" i="323"/>
  <c r="N140" i="323"/>
  <c r="N116" i="323"/>
  <c r="M131" i="317"/>
  <c r="M132" i="317"/>
  <c r="M133" i="317"/>
  <c r="M130" i="317"/>
  <c r="M143" i="317"/>
  <c r="M141" i="317"/>
  <c r="O110" i="328"/>
  <c r="O101" i="316"/>
  <c r="O101" i="325"/>
  <c r="O118" i="325" s="1"/>
  <c r="O85" i="325" s="1"/>
  <c r="Q108" i="272"/>
  <c r="Q107" i="272"/>
  <c r="Q106" i="272"/>
  <c r="Q105" i="272"/>
  <c r="Q107" i="320"/>
  <c r="Q106" i="320"/>
  <c r="Q105" i="320"/>
  <c r="Q108" i="320"/>
  <c r="Q107" i="329"/>
  <c r="Q108" i="329"/>
  <c r="Q106" i="329"/>
  <c r="Q105" i="329"/>
  <c r="O50" i="315"/>
  <c r="O128" i="317" s="1"/>
  <c r="Q106" i="326"/>
  <c r="Q107" i="326"/>
  <c r="Q105" i="326"/>
  <c r="Q108" i="326"/>
  <c r="O160" i="313"/>
  <c r="O167" i="313" s="1"/>
  <c r="O110" i="325"/>
  <c r="Q107" i="278"/>
  <c r="Q106" i="278"/>
  <c r="Q108" i="278"/>
  <c r="Q105" i="278"/>
  <c r="O48" i="315"/>
  <c r="O181" i="317" s="1"/>
  <c r="O185" i="317" s="1"/>
  <c r="Q107" i="323"/>
  <c r="Q106" i="323"/>
  <c r="Q105" i="323"/>
  <c r="Q108" i="323"/>
  <c r="R107" i="269"/>
  <c r="R105" i="269"/>
  <c r="R108" i="269"/>
  <c r="R106" i="269"/>
  <c r="Q107" i="313"/>
  <c r="Q106" i="313"/>
  <c r="Q108" i="313"/>
  <c r="Q105" i="313"/>
  <c r="Q107" i="317"/>
  <c r="Q106" i="317"/>
  <c r="Q105" i="317"/>
  <c r="Q108" i="317"/>
  <c r="O49" i="327"/>
  <c r="O182" i="329" s="1"/>
  <c r="O186" i="329" s="1"/>
  <c r="P64" i="314"/>
  <c r="P67" i="314" s="1"/>
  <c r="P68" i="314" s="1"/>
  <c r="P79" i="316"/>
  <c r="P78" i="316"/>
  <c r="P92" i="316" s="1"/>
  <c r="T67" i="267"/>
  <c r="P63" i="307"/>
  <c r="O49" i="312"/>
  <c r="O50" i="321"/>
  <c r="O128" i="323" s="1"/>
  <c r="N71" i="329"/>
  <c r="N75" i="329" s="1"/>
  <c r="P79" i="314"/>
  <c r="P78" i="314"/>
  <c r="N53" i="327"/>
  <c r="N192" i="329" s="1"/>
  <c r="N194" i="329" s="1"/>
  <c r="Q14" i="327"/>
  <c r="Q16" i="327" s="1"/>
  <c r="Q17" i="327" s="1"/>
  <c r="Q18" i="327" s="1"/>
  <c r="Q20" i="327" s="1"/>
  <c r="Q25" i="327" s="1"/>
  <c r="Q16" i="328"/>
  <c r="Q17" i="328"/>
  <c r="O110" i="316"/>
  <c r="P78" i="325"/>
  <c r="P101" i="325" s="1"/>
  <c r="P79" i="325"/>
  <c r="O48" i="321"/>
  <c r="O181" i="323" s="1"/>
  <c r="O185" i="323" s="1"/>
  <c r="P78" i="322"/>
  <c r="P110" i="322" s="1"/>
  <c r="P79" i="322"/>
  <c r="P40" i="321"/>
  <c r="P42" i="321" s="1"/>
  <c r="P43" i="321" s="1"/>
  <c r="P44" i="321" s="1"/>
  <c r="P46" i="321" s="1"/>
  <c r="P50" i="321" s="1"/>
  <c r="O56" i="313"/>
  <c r="O63" i="313" s="1"/>
  <c r="O66" i="313" s="1"/>
  <c r="P78" i="319"/>
  <c r="P92" i="319" s="1"/>
  <c r="P79" i="319"/>
  <c r="P78" i="328"/>
  <c r="P92" i="328" s="1"/>
  <c r="P79" i="328"/>
  <c r="N72" i="317"/>
  <c r="N76" i="317" s="1"/>
  <c r="N128" i="317"/>
  <c r="N132" i="317" s="1"/>
  <c r="O161" i="313"/>
  <c r="O168" i="313" s="1"/>
  <c r="O170" i="313" s="1"/>
  <c r="N170" i="310"/>
  <c r="O114" i="313"/>
  <c r="O118" i="313" s="1"/>
  <c r="O33" i="312"/>
  <c r="O173" i="313" s="1"/>
  <c r="O175" i="313" s="1"/>
  <c r="N86" i="328"/>
  <c r="N27" i="329" s="1"/>
  <c r="N31" i="329" s="1"/>
  <c r="N86" i="316"/>
  <c r="N27" i="317" s="1"/>
  <c r="N31" i="317" s="1"/>
  <c r="N175" i="310"/>
  <c r="P25" i="312"/>
  <c r="P112" i="313" s="1"/>
  <c r="P26" i="312"/>
  <c r="P113" i="313" s="1"/>
  <c r="O50" i="327"/>
  <c r="O128" i="329" s="1"/>
  <c r="N86" i="322"/>
  <c r="N27" i="323" s="1"/>
  <c r="N31" i="323" s="1"/>
  <c r="N175" i="313"/>
  <c r="L35" i="317"/>
  <c r="O118" i="322"/>
  <c r="O85" i="322" s="1"/>
  <c r="O29" i="323" s="1"/>
  <c r="M32" i="320"/>
  <c r="M40" i="320"/>
  <c r="M39" i="320"/>
  <c r="Q16" i="316"/>
  <c r="Q17" i="316"/>
  <c r="O126" i="314"/>
  <c r="O64" i="314"/>
  <c r="Q16" i="314"/>
  <c r="Q17" i="314"/>
  <c r="Q122" i="314" s="1"/>
  <c r="Q15" i="279"/>
  <c r="Q16" i="309"/>
  <c r="Q59" i="309" s="1"/>
  <c r="Q15" i="309"/>
  <c r="Q29" i="309" s="1"/>
  <c r="Q16" i="307"/>
  <c r="Q59" i="307" s="1"/>
  <c r="Q15" i="307"/>
  <c r="Q150" i="326"/>
  <c r="Q151" i="326"/>
  <c r="M40" i="326"/>
  <c r="Q150" i="323"/>
  <c r="Q151" i="323"/>
  <c r="M39" i="323"/>
  <c r="Q150" i="320"/>
  <c r="Q151" i="320"/>
  <c r="Q150" i="317"/>
  <c r="Q151" i="317"/>
  <c r="Q150" i="313"/>
  <c r="Q151" i="313"/>
  <c r="L41" i="313"/>
  <c r="L101" i="260" s="1"/>
  <c r="Q150" i="278"/>
  <c r="Q151" i="278"/>
  <c r="Q150" i="272"/>
  <c r="Q151" i="272"/>
  <c r="R29" i="269"/>
  <c r="R33" i="269" s="1"/>
  <c r="R150" i="269"/>
  <c r="R28" i="269"/>
  <c r="R32" i="269" s="1"/>
  <c r="R151" i="269"/>
  <c r="R27" i="269"/>
  <c r="N170" i="313"/>
  <c r="L35" i="313"/>
  <c r="L43" i="313" s="1"/>
  <c r="P40" i="327"/>
  <c r="P42" i="327" s="1"/>
  <c r="P43" i="327" s="1"/>
  <c r="P44" i="327" s="1"/>
  <c r="P46" i="327" s="1"/>
  <c r="P50" i="327" s="1"/>
  <c r="O118" i="328"/>
  <c r="O85" i="328" s="1"/>
  <c r="O29" i="329" s="1"/>
  <c r="O33" i="329" s="1"/>
  <c r="M32" i="323"/>
  <c r="M40" i="323"/>
  <c r="M32" i="317"/>
  <c r="M40" i="317"/>
  <c r="P39" i="322"/>
  <c r="P56" i="322" s="1"/>
  <c r="P23" i="322" s="1"/>
  <c r="P17" i="323" s="1"/>
  <c r="P21" i="323" s="1"/>
  <c r="P48" i="322"/>
  <c r="P30" i="322"/>
  <c r="N41" i="323"/>
  <c r="M35" i="329"/>
  <c r="P94" i="319"/>
  <c r="P103" i="319"/>
  <c r="O126" i="328"/>
  <c r="O64" i="328"/>
  <c r="M33" i="323"/>
  <c r="M41" i="323"/>
  <c r="N129" i="325"/>
  <c r="N130" i="325" s="1"/>
  <c r="N135" i="325" s="1"/>
  <c r="N87" i="325" s="1"/>
  <c r="N28" i="326" s="1"/>
  <c r="N32" i="326" s="1"/>
  <c r="N67" i="325"/>
  <c r="N68" i="325" s="1"/>
  <c r="N73" i="325" s="1"/>
  <c r="N25" i="325" s="1"/>
  <c r="N16" i="326" s="1"/>
  <c r="N24" i="325"/>
  <c r="N15" i="326" s="1"/>
  <c r="P94" i="325"/>
  <c r="P103" i="325"/>
  <c r="T62" i="267"/>
  <c r="T66" i="267"/>
  <c r="Q90" i="322"/>
  <c r="Q76" i="322"/>
  <c r="Q84" i="322"/>
  <c r="Q28" i="322"/>
  <c r="Q22" i="322"/>
  <c r="P122" i="328"/>
  <c r="P60" i="328"/>
  <c r="P60" i="322"/>
  <c r="P122" i="322"/>
  <c r="N129" i="328"/>
  <c r="N130" i="328" s="1"/>
  <c r="N135" i="328" s="1"/>
  <c r="N87" i="328" s="1"/>
  <c r="N28" i="329" s="1"/>
  <c r="N32" i="329" s="1"/>
  <c r="N67" i="328"/>
  <c r="N68" i="328" s="1"/>
  <c r="N73" i="328" s="1"/>
  <c r="N25" i="328" s="1"/>
  <c r="N16" i="329" s="1"/>
  <c r="N20" i="329" s="1"/>
  <c r="N24" i="328"/>
  <c r="N15" i="329" s="1"/>
  <c r="R11" i="327"/>
  <c r="R18" i="328" s="1"/>
  <c r="R11" i="324"/>
  <c r="R18" i="325" s="1"/>
  <c r="R11" i="321"/>
  <c r="R18" i="322" s="1"/>
  <c r="S68" i="267"/>
  <c r="Q37" i="324"/>
  <c r="Q37" i="321"/>
  <c r="Q37" i="327"/>
  <c r="Q40" i="327" s="1"/>
  <c r="Q42" i="327" s="1"/>
  <c r="Q43" i="327" s="1"/>
  <c r="Q44" i="327" s="1"/>
  <c r="Q46" i="327" s="1"/>
  <c r="O126" i="316"/>
  <c r="O64" i="316"/>
  <c r="P122" i="316"/>
  <c r="P60" i="316"/>
  <c r="N67" i="319"/>
  <c r="N68" i="319" s="1"/>
  <c r="N73" i="319" s="1"/>
  <c r="N25" i="319" s="1"/>
  <c r="N16" i="320" s="1"/>
  <c r="N20" i="320" s="1"/>
  <c r="N129" i="319"/>
  <c r="N130" i="319" s="1"/>
  <c r="N135" i="319" s="1"/>
  <c r="N87" i="319" s="1"/>
  <c r="N28" i="320" s="1"/>
  <c r="N32" i="320" s="1"/>
  <c r="N24" i="319"/>
  <c r="N15" i="320" s="1"/>
  <c r="N19" i="320" s="1"/>
  <c r="Q90" i="316"/>
  <c r="Q84" i="316"/>
  <c r="Q76" i="316"/>
  <c r="Q28" i="316"/>
  <c r="Q22" i="316"/>
  <c r="P122" i="325"/>
  <c r="P60" i="325"/>
  <c r="O48" i="325"/>
  <c r="O39" i="325"/>
  <c r="O56" i="325" s="1"/>
  <c r="O23" i="325" s="1"/>
  <c r="O30" i="325"/>
  <c r="R10" i="321"/>
  <c r="R16" i="322" s="1"/>
  <c r="R10" i="324"/>
  <c r="R16" i="325" s="1"/>
  <c r="R10" i="327"/>
  <c r="R14" i="327" s="1"/>
  <c r="R16" i="327" s="1"/>
  <c r="R17" i="327" s="1"/>
  <c r="R18" i="327" s="1"/>
  <c r="R20" i="327" s="1"/>
  <c r="O126" i="325"/>
  <c r="O64" i="325"/>
  <c r="O126" i="319"/>
  <c r="O64" i="319"/>
  <c r="N129" i="322"/>
  <c r="N130" i="322" s="1"/>
  <c r="N135" i="322" s="1"/>
  <c r="N87" i="322" s="1"/>
  <c r="N28" i="323" s="1"/>
  <c r="N32" i="323" s="1"/>
  <c r="N67" i="322"/>
  <c r="N68" i="322" s="1"/>
  <c r="N73" i="322" s="1"/>
  <c r="N25" i="322" s="1"/>
  <c r="N16" i="323" s="1"/>
  <c r="N20" i="323" s="1"/>
  <c r="N24" i="322"/>
  <c r="N15" i="323" s="1"/>
  <c r="N19" i="323" s="1"/>
  <c r="Q38" i="324"/>
  <c r="Q80" i="325" s="1"/>
  <c r="Q38" i="327"/>
  <c r="Q80" i="328" s="1"/>
  <c r="Q38" i="321"/>
  <c r="Q80" i="322" s="1"/>
  <c r="Q90" i="325"/>
  <c r="Q76" i="325"/>
  <c r="Q28" i="325"/>
  <c r="Q84" i="325"/>
  <c r="Q22" i="325"/>
  <c r="M41" i="313"/>
  <c r="O48" i="328"/>
  <c r="O39" i="328"/>
  <c r="O56" i="328" s="1"/>
  <c r="O23" i="328" s="1"/>
  <c r="O30" i="328"/>
  <c r="O64" i="322"/>
  <c r="O126" i="322"/>
  <c r="Q38" i="315"/>
  <c r="Q80" i="316" s="1"/>
  <c r="Q38" i="312"/>
  <c r="Q80" i="314" s="1"/>
  <c r="Q38" i="318"/>
  <c r="Q80" i="319" s="1"/>
  <c r="Q90" i="319"/>
  <c r="Q84" i="319"/>
  <c r="Q76" i="319"/>
  <c r="Q22" i="319"/>
  <c r="Q28" i="319"/>
  <c r="N29" i="326"/>
  <c r="N33" i="326" s="1"/>
  <c r="N86" i="325"/>
  <c r="N27" i="326" s="1"/>
  <c r="N31" i="326" s="1"/>
  <c r="M33" i="317"/>
  <c r="M41" i="317"/>
  <c r="P40" i="315"/>
  <c r="P42" i="315" s="1"/>
  <c r="P43" i="315" s="1"/>
  <c r="P44" i="315" s="1"/>
  <c r="P46" i="315" s="1"/>
  <c r="P48" i="315" s="1"/>
  <c r="Q76" i="328"/>
  <c r="Q28" i="328"/>
  <c r="Q22" i="328"/>
  <c r="Q90" i="328"/>
  <c r="Q84" i="328"/>
  <c r="Q41" i="325"/>
  <c r="Q32" i="325"/>
  <c r="N41" i="317"/>
  <c r="P60" i="319"/>
  <c r="P122" i="319"/>
  <c r="O118" i="319"/>
  <c r="O85" i="319" s="1"/>
  <c r="N67" i="316"/>
  <c r="N68" i="316" s="1"/>
  <c r="N73" i="316" s="1"/>
  <c r="N25" i="316" s="1"/>
  <c r="N16" i="317" s="1"/>
  <c r="N20" i="317" s="1"/>
  <c r="N129" i="316"/>
  <c r="N130" i="316" s="1"/>
  <c r="N135" i="316" s="1"/>
  <c r="N87" i="316" s="1"/>
  <c r="N28" i="317" s="1"/>
  <c r="N32" i="317" s="1"/>
  <c r="N24" i="316"/>
  <c r="N15" i="317" s="1"/>
  <c r="O118" i="316"/>
  <c r="O85" i="316" s="1"/>
  <c r="P94" i="322"/>
  <c r="P103" i="322"/>
  <c r="P48" i="319"/>
  <c r="P39" i="319"/>
  <c r="P56" i="319" s="1"/>
  <c r="P23" i="319" s="1"/>
  <c r="P17" i="320" s="1"/>
  <c r="P21" i="320" s="1"/>
  <c r="P30" i="319"/>
  <c r="Q41" i="328"/>
  <c r="Q32" i="328"/>
  <c r="P30" i="316"/>
  <c r="P56" i="316" s="1"/>
  <c r="P23" i="316" s="1"/>
  <c r="P17" i="317" s="1"/>
  <c r="P21" i="317" s="1"/>
  <c r="P48" i="316"/>
  <c r="P39" i="316"/>
  <c r="P94" i="316"/>
  <c r="P103" i="316"/>
  <c r="M33" i="320"/>
  <c r="M41" i="320"/>
  <c r="Q41" i="322"/>
  <c r="Q32" i="322"/>
  <c r="P94" i="328"/>
  <c r="P103" i="328"/>
  <c r="N202" i="310"/>
  <c r="K100" i="260"/>
  <c r="M23" i="310"/>
  <c r="M43" i="310" s="1"/>
  <c r="O53" i="318"/>
  <c r="O192" i="320" s="1"/>
  <c r="O194" i="320" s="1"/>
  <c r="N201" i="313"/>
  <c r="L40" i="313"/>
  <c r="J112" i="260"/>
  <c r="K101" i="260"/>
  <c r="N201" i="320"/>
  <c r="O200" i="313"/>
  <c r="L23" i="326"/>
  <c r="L43" i="326" s="1"/>
  <c r="M39" i="313"/>
  <c r="M177" i="323"/>
  <c r="M204" i="323" s="1"/>
  <c r="M35" i="313"/>
  <c r="P94" i="314"/>
  <c r="P103" i="314"/>
  <c r="N29" i="313"/>
  <c r="N33" i="313" s="1"/>
  <c r="N86" i="314"/>
  <c r="N27" i="313" s="1"/>
  <c r="N31" i="313" s="1"/>
  <c r="R10" i="315"/>
  <c r="R10" i="318"/>
  <c r="R16" i="319" s="1"/>
  <c r="R10" i="312"/>
  <c r="R14" i="312" s="1"/>
  <c r="R16" i="312" s="1"/>
  <c r="R17" i="312" s="1"/>
  <c r="R18" i="312" s="1"/>
  <c r="R20" i="312" s="1"/>
  <c r="T61" i="267"/>
  <c r="Q37" i="312"/>
  <c r="Q37" i="318"/>
  <c r="Q37" i="315"/>
  <c r="O110" i="314"/>
  <c r="O101" i="314"/>
  <c r="O92" i="314"/>
  <c r="O118" i="314" s="1"/>
  <c r="O85" i="314" s="1"/>
  <c r="Q84" i="314"/>
  <c r="Q90" i="314"/>
  <c r="Q76" i="314"/>
  <c r="N24" i="314"/>
  <c r="N15" i="313" s="1"/>
  <c r="N19" i="313" s="1"/>
  <c r="N25" i="314"/>
  <c r="N16" i="313" s="1"/>
  <c r="O23" i="314"/>
  <c r="M20" i="313"/>
  <c r="M23" i="313" s="1"/>
  <c r="M40" i="313"/>
  <c r="O160" i="310"/>
  <c r="O167" i="310" s="1"/>
  <c r="M177" i="317"/>
  <c r="N66" i="326"/>
  <c r="O126" i="310"/>
  <c r="P26" i="308"/>
  <c r="P33" i="308" s="1"/>
  <c r="P173" i="310" s="1"/>
  <c r="P201" i="310" s="1"/>
  <c r="M177" i="326"/>
  <c r="M204" i="326" s="1"/>
  <c r="O70" i="310"/>
  <c r="O74" i="310" s="1"/>
  <c r="N177" i="329"/>
  <c r="N189" i="310"/>
  <c r="N196" i="310" s="1"/>
  <c r="Q14" i="308"/>
  <c r="Q16" i="308" s="1"/>
  <c r="Q17" i="308" s="1"/>
  <c r="Q18" i="308" s="1"/>
  <c r="Q20" i="308" s="1"/>
  <c r="Q27" i="308" s="1"/>
  <c r="M204" i="310"/>
  <c r="O159" i="310"/>
  <c r="O166" i="310" s="1"/>
  <c r="P25" i="308"/>
  <c r="P32" i="308" s="1"/>
  <c r="P172" i="310" s="1"/>
  <c r="N66" i="323"/>
  <c r="N78" i="310"/>
  <c r="M177" i="320"/>
  <c r="M204" i="320" s="1"/>
  <c r="N170" i="317"/>
  <c r="O114" i="320"/>
  <c r="O161" i="320"/>
  <c r="O168" i="320" s="1"/>
  <c r="O57" i="320"/>
  <c r="O64" i="320" s="1"/>
  <c r="M21" i="329"/>
  <c r="M41" i="329"/>
  <c r="M20" i="329"/>
  <c r="M40" i="329"/>
  <c r="O32" i="315"/>
  <c r="O172" i="317" s="1"/>
  <c r="O55" i="317"/>
  <c r="O62" i="317" s="1"/>
  <c r="O112" i="317"/>
  <c r="O159" i="317"/>
  <c r="O166" i="317" s="1"/>
  <c r="L23" i="329"/>
  <c r="L43" i="329" s="1"/>
  <c r="O161" i="323"/>
  <c r="O168" i="323" s="1"/>
  <c r="O57" i="323"/>
  <c r="O64" i="323" s="1"/>
  <c r="O114" i="323"/>
  <c r="N83" i="310"/>
  <c r="O33" i="315"/>
  <c r="O173" i="317" s="1"/>
  <c r="O201" i="317" s="1"/>
  <c r="O113" i="317"/>
  <c r="O160" i="317"/>
  <c r="O167" i="317" s="1"/>
  <c r="O56" i="317"/>
  <c r="O63" i="317" s="1"/>
  <c r="N66" i="317"/>
  <c r="N17" i="326"/>
  <c r="O159" i="323"/>
  <c r="O166" i="323" s="1"/>
  <c r="O112" i="323"/>
  <c r="O55" i="323"/>
  <c r="O62" i="323" s="1"/>
  <c r="O32" i="321"/>
  <c r="O172" i="323" s="1"/>
  <c r="Q14" i="315"/>
  <c r="Q16" i="315" s="1"/>
  <c r="Q17" i="315" s="1"/>
  <c r="Q18" i="315" s="1"/>
  <c r="Q20" i="315" s="1"/>
  <c r="M23" i="323"/>
  <c r="N17" i="329"/>
  <c r="M23" i="320"/>
  <c r="O56" i="323"/>
  <c r="O63" i="323" s="1"/>
  <c r="O113" i="323"/>
  <c r="O33" i="321"/>
  <c r="O173" i="323" s="1"/>
  <c r="O201" i="323" s="1"/>
  <c r="O160" i="323"/>
  <c r="O167" i="323" s="1"/>
  <c r="N200" i="317"/>
  <c r="N175" i="317"/>
  <c r="P114" i="329"/>
  <c r="P161" i="329"/>
  <c r="P168" i="329" s="1"/>
  <c r="P57" i="329"/>
  <c r="P64" i="329" s="1"/>
  <c r="O55" i="310"/>
  <c r="O62" i="310" s="1"/>
  <c r="N200" i="326"/>
  <c r="N175" i="326"/>
  <c r="P32" i="327"/>
  <c r="P172" i="329" s="1"/>
  <c r="P159" i="329"/>
  <c r="P166" i="329" s="1"/>
  <c r="P55" i="329"/>
  <c r="P62" i="329" s="1"/>
  <c r="P112" i="329"/>
  <c r="O57" i="326"/>
  <c r="O64" i="326" s="1"/>
  <c r="O114" i="326"/>
  <c r="O161" i="326"/>
  <c r="O168" i="326" s="1"/>
  <c r="Q17" i="322"/>
  <c r="Q14" i="321"/>
  <c r="Q16" i="321" s="1"/>
  <c r="Q17" i="321" s="1"/>
  <c r="Q18" i="321" s="1"/>
  <c r="Q20" i="321" s="1"/>
  <c r="O160" i="326"/>
  <c r="O167" i="326" s="1"/>
  <c r="O56" i="326"/>
  <c r="O63" i="326" s="1"/>
  <c r="O113" i="326"/>
  <c r="O33" i="324"/>
  <c r="O173" i="326" s="1"/>
  <c r="O201" i="326" s="1"/>
  <c r="O32" i="308"/>
  <c r="O172" i="310" s="1"/>
  <c r="O200" i="310" s="1"/>
  <c r="O32" i="318"/>
  <c r="O172" i="320" s="1"/>
  <c r="O55" i="320"/>
  <c r="O62" i="320" s="1"/>
  <c r="O112" i="320"/>
  <c r="O159" i="320"/>
  <c r="O166" i="320" s="1"/>
  <c r="P114" i="313"/>
  <c r="P161" i="313"/>
  <c r="P168" i="313" s="1"/>
  <c r="P57" i="313"/>
  <c r="P64" i="313" s="1"/>
  <c r="N66" i="320"/>
  <c r="P160" i="329"/>
  <c r="P167" i="329" s="1"/>
  <c r="P56" i="329"/>
  <c r="P63" i="329" s="1"/>
  <c r="P113" i="329"/>
  <c r="P33" i="327"/>
  <c r="P173" i="329" s="1"/>
  <c r="P27" i="315"/>
  <c r="P26" i="315"/>
  <c r="P25" i="315"/>
  <c r="M19" i="326"/>
  <c r="M39" i="326"/>
  <c r="O112" i="326"/>
  <c r="O55" i="326"/>
  <c r="O62" i="326" s="1"/>
  <c r="O159" i="326"/>
  <c r="O166" i="326" s="1"/>
  <c r="O32" i="324"/>
  <c r="O172" i="326" s="1"/>
  <c r="N170" i="323"/>
  <c r="Q17" i="319"/>
  <c r="Q14" i="318"/>
  <c r="Q16" i="318" s="1"/>
  <c r="Q17" i="318" s="1"/>
  <c r="Q18" i="318" s="1"/>
  <c r="Q20" i="318" s="1"/>
  <c r="O57" i="317"/>
  <c r="O64" i="317" s="1"/>
  <c r="O161" i="317"/>
  <c r="O168" i="317" s="1"/>
  <c r="O114" i="317"/>
  <c r="P26" i="324"/>
  <c r="P27" i="324"/>
  <c r="P25" i="324"/>
  <c r="N200" i="320"/>
  <c r="N175" i="320"/>
  <c r="O56" i="320"/>
  <c r="O63" i="320" s="1"/>
  <c r="O33" i="318"/>
  <c r="O173" i="320" s="1"/>
  <c r="O160" i="320"/>
  <c r="O167" i="320" s="1"/>
  <c r="O113" i="320"/>
  <c r="P25" i="321"/>
  <c r="P26" i="321"/>
  <c r="P27" i="321"/>
  <c r="N170" i="326"/>
  <c r="N170" i="320"/>
  <c r="M19" i="329"/>
  <c r="M39" i="329"/>
  <c r="M21" i="326"/>
  <c r="M41" i="326"/>
  <c r="N200" i="323"/>
  <c r="N175" i="323"/>
  <c r="Q17" i="325"/>
  <c r="Q14" i="324"/>
  <c r="Q16" i="324" s="1"/>
  <c r="Q17" i="324" s="1"/>
  <c r="Q18" i="324" s="1"/>
  <c r="Q20" i="324" s="1"/>
  <c r="P27" i="318"/>
  <c r="P26" i="318"/>
  <c r="P25" i="318"/>
  <c r="N21" i="313"/>
  <c r="Q41" i="314"/>
  <c r="Q32" i="314"/>
  <c r="P39" i="314"/>
  <c r="P30" i="314"/>
  <c r="P56" i="314" s="1"/>
  <c r="P48" i="314"/>
  <c r="O113" i="310"/>
  <c r="O33" i="308"/>
  <c r="O173" i="310" s="1"/>
  <c r="O201" i="310" s="1"/>
  <c r="P49" i="324"/>
  <c r="P48" i="324"/>
  <c r="P50" i="324"/>
  <c r="N74" i="313"/>
  <c r="N83" i="313"/>
  <c r="P194" i="323"/>
  <c r="O72" i="326"/>
  <c r="O76" i="326" s="1"/>
  <c r="O183" i="326"/>
  <c r="O187" i="326" s="1"/>
  <c r="O128" i="326"/>
  <c r="N189" i="313"/>
  <c r="N196" i="313" s="1"/>
  <c r="N202" i="313"/>
  <c r="P194" i="326"/>
  <c r="Q151" i="329"/>
  <c r="Q150" i="329"/>
  <c r="P50" i="318"/>
  <c r="P49" i="318"/>
  <c r="P48" i="318"/>
  <c r="P52" i="318" s="1"/>
  <c r="P191" i="320" s="1"/>
  <c r="R3" i="326"/>
  <c r="R1" i="325"/>
  <c r="R3" i="329"/>
  <c r="R1" i="328"/>
  <c r="R1" i="319"/>
  <c r="R1" i="322"/>
  <c r="R3" i="317"/>
  <c r="R1" i="316"/>
  <c r="R3" i="323"/>
  <c r="R3" i="320"/>
  <c r="R3" i="313"/>
  <c r="R1" i="314"/>
  <c r="M78" i="313"/>
  <c r="M85" i="313" s="1"/>
  <c r="M82" i="313"/>
  <c r="N74" i="323"/>
  <c r="N83" i="323"/>
  <c r="Q14" i="322"/>
  <c r="N189" i="323"/>
  <c r="N196" i="323" s="1"/>
  <c r="N202" i="323"/>
  <c r="O183" i="320"/>
  <c r="O187" i="320" s="1"/>
  <c r="O72" i="320"/>
  <c r="O76" i="320" s="1"/>
  <c r="O128" i="320"/>
  <c r="Q14" i="316"/>
  <c r="O127" i="320"/>
  <c r="O182" i="320"/>
  <c r="O186" i="320" s="1"/>
  <c r="O71" i="320"/>
  <c r="O75" i="320" s="1"/>
  <c r="O127" i="323"/>
  <c r="O71" i="323"/>
  <c r="O75" i="323" s="1"/>
  <c r="O182" i="323"/>
  <c r="O186" i="323" s="1"/>
  <c r="O71" i="310"/>
  <c r="O75" i="310" s="1"/>
  <c r="N74" i="317"/>
  <c r="O71" i="317"/>
  <c r="O75" i="317" s="1"/>
  <c r="O182" i="317"/>
  <c r="O186" i="317" s="1"/>
  <c r="O127" i="317"/>
  <c r="M78" i="320"/>
  <c r="M85" i="320" s="1"/>
  <c r="M82" i="320"/>
  <c r="Q14" i="319"/>
  <c r="O181" i="320"/>
  <c r="O185" i="320" s="1"/>
  <c r="O70" i="320"/>
  <c r="O126" i="320"/>
  <c r="P194" i="317"/>
  <c r="N189" i="326"/>
  <c r="N196" i="326" s="1"/>
  <c r="N202" i="326"/>
  <c r="Q14" i="328"/>
  <c r="O127" i="310"/>
  <c r="P48" i="312"/>
  <c r="P52" i="312" s="1"/>
  <c r="P191" i="313" s="1"/>
  <c r="P50" i="312"/>
  <c r="P49" i="312"/>
  <c r="O181" i="329"/>
  <c r="O185" i="329" s="1"/>
  <c r="O126" i="329"/>
  <c r="O70" i="329"/>
  <c r="O70" i="326"/>
  <c r="O181" i="326"/>
  <c r="O185" i="326" s="1"/>
  <c r="O126" i="326"/>
  <c r="N74" i="326"/>
  <c r="N83" i="326"/>
  <c r="M78" i="326"/>
  <c r="M85" i="326" s="1"/>
  <c r="M82" i="326"/>
  <c r="Q22" i="314"/>
  <c r="Q28" i="314"/>
  <c r="Q14" i="314"/>
  <c r="M82" i="329"/>
  <c r="O181" i="313"/>
  <c r="O185" i="313" s="1"/>
  <c r="O70" i="313"/>
  <c r="O126" i="313"/>
  <c r="M78" i="317"/>
  <c r="M85" i="317" s="1"/>
  <c r="M82" i="317"/>
  <c r="O128" i="310"/>
  <c r="M78" i="323"/>
  <c r="M85" i="323" s="1"/>
  <c r="M82" i="323"/>
  <c r="N74" i="320"/>
  <c r="N83" i="320"/>
  <c r="O71" i="326"/>
  <c r="O75" i="326" s="1"/>
  <c r="O182" i="326"/>
  <c r="O186" i="326" s="1"/>
  <c r="O127" i="326"/>
  <c r="Q14" i="325"/>
  <c r="M85" i="303"/>
  <c r="P47" i="309"/>
  <c r="N17" i="303"/>
  <c r="N41" i="303" s="1"/>
  <c r="N24" i="304"/>
  <c r="N16" i="303" s="1"/>
  <c r="N40" i="303" s="1"/>
  <c r="K23" i="272"/>
  <c r="K43" i="272" s="1"/>
  <c r="O183" i="303"/>
  <c r="O187" i="303" s="1"/>
  <c r="Q63" i="309"/>
  <c r="Q66" i="309" s="1"/>
  <c r="Q67" i="309" s="1"/>
  <c r="Q72" i="309" s="1"/>
  <c r="P48" i="308"/>
  <c r="P181" i="310" s="1"/>
  <c r="P185" i="310" s="1"/>
  <c r="P50" i="308"/>
  <c r="P183" i="310" s="1"/>
  <c r="P187" i="310" s="1"/>
  <c r="P49" i="308"/>
  <c r="P127" i="310" s="1"/>
  <c r="T52" i="267"/>
  <c r="T57" i="267"/>
  <c r="M40" i="303"/>
  <c r="M20" i="303"/>
  <c r="M39" i="303"/>
  <c r="M19" i="303"/>
  <c r="Q38" i="268"/>
  <c r="Q38" i="277"/>
  <c r="Q38" i="271"/>
  <c r="Q38" i="308"/>
  <c r="Q38" i="305"/>
  <c r="Q38" i="302"/>
  <c r="R10" i="308"/>
  <c r="R10" i="277"/>
  <c r="R10" i="302"/>
  <c r="R10" i="268"/>
  <c r="R15" i="270" s="1"/>
  <c r="O183" i="310"/>
  <c r="O187" i="310" s="1"/>
  <c r="O189" i="310" s="1"/>
  <c r="O196" i="310" s="1"/>
  <c r="N39" i="303"/>
  <c r="N19" i="303"/>
  <c r="Q37" i="277"/>
  <c r="Q40" i="277" s="1"/>
  <c r="Q42" i="277" s="1"/>
  <c r="Q43" i="277" s="1"/>
  <c r="Q44" i="277" s="1"/>
  <c r="Q46" i="277" s="1"/>
  <c r="Q37" i="271"/>
  <c r="Q40" i="271" s="1"/>
  <c r="Q42" i="271" s="1"/>
  <c r="Q43" i="271" s="1"/>
  <c r="Q44" i="271" s="1"/>
  <c r="Q46" i="271" s="1"/>
  <c r="Q37" i="308"/>
  <c r="Q40" i="308" s="1"/>
  <c r="Q42" i="308" s="1"/>
  <c r="Q43" i="308" s="1"/>
  <c r="Q44" i="308" s="1"/>
  <c r="Q46" i="308" s="1"/>
  <c r="Q37" i="305"/>
  <c r="Q40" i="305" s="1"/>
  <c r="Q42" i="305" s="1"/>
  <c r="Q43" i="305" s="1"/>
  <c r="Q44" i="305" s="1"/>
  <c r="Q46" i="305" s="1"/>
  <c r="Q37" i="302"/>
  <c r="Q40" i="302" s="1"/>
  <c r="Q42" i="302" s="1"/>
  <c r="Q43" i="302" s="1"/>
  <c r="Q44" i="302" s="1"/>
  <c r="Q46" i="302" s="1"/>
  <c r="Q48" i="302" s="1"/>
  <c r="M41" i="272"/>
  <c r="M21" i="272"/>
  <c r="Q29" i="272"/>
  <c r="Q33" i="272" s="1"/>
  <c r="Q28" i="272"/>
  <c r="Q32" i="272" s="1"/>
  <c r="Q27" i="272"/>
  <c r="N39" i="306"/>
  <c r="N19" i="306"/>
  <c r="O41" i="306"/>
  <c r="O21" i="306"/>
  <c r="N40" i="306"/>
  <c r="N20" i="306"/>
  <c r="O41" i="310"/>
  <c r="O21" i="310"/>
  <c r="Q28" i="278"/>
  <c r="Q32" i="278" s="1"/>
  <c r="Q29" i="278"/>
  <c r="Q33" i="278" s="1"/>
  <c r="Q27" i="278"/>
  <c r="M41" i="278"/>
  <c r="M21" i="278"/>
  <c r="L39" i="269"/>
  <c r="L19" i="269"/>
  <c r="M41" i="269"/>
  <c r="M21" i="269"/>
  <c r="L40" i="269"/>
  <c r="L20" i="269"/>
  <c r="T10" i="278"/>
  <c r="S11" i="269"/>
  <c r="U11" i="310"/>
  <c r="T33" i="310"/>
  <c r="T35" i="310" s="1"/>
  <c r="P9" i="269"/>
  <c r="O31" i="269"/>
  <c r="O35" i="269" s="1"/>
  <c r="P9" i="272"/>
  <c r="O31" i="272"/>
  <c r="O35" i="272" s="1"/>
  <c r="P9" i="278"/>
  <c r="O31" i="278"/>
  <c r="O35" i="278" s="1"/>
  <c r="T11" i="278"/>
  <c r="T10" i="272"/>
  <c r="T11" i="272"/>
  <c r="U11" i="303"/>
  <c r="T33" i="303"/>
  <c r="T35" i="303" s="1"/>
  <c r="U11" i="306"/>
  <c r="T33" i="306"/>
  <c r="T35" i="306" s="1"/>
  <c r="S10" i="269"/>
  <c r="M24" i="279"/>
  <c r="M16" i="278" s="1"/>
  <c r="N170" i="306"/>
  <c r="N177" i="306" s="1"/>
  <c r="P63" i="304"/>
  <c r="P66" i="304" s="1"/>
  <c r="P67" i="304" s="1"/>
  <c r="P72" i="304" s="1"/>
  <c r="P38" i="309"/>
  <c r="O24" i="309"/>
  <c r="O16" i="310" s="1"/>
  <c r="O23" i="309"/>
  <c r="O15" i="310" s="1"/>
  <c r="Q14" i="277"/>
  <c r="Q16" i="277" s="1"/>
  <c r="Q17" i="277" s="1"/>
  <c r="Q18" i="277" s="1"/>
  <c r="Q20" i="277" s="1"/>
  <c r="Q16" i="279"/>
  <c r="Q59" i="279" s="1"/>
  <c r="N83" i="303"/>
  <c r="Q14" i="271"/>
  <c r="Q16" i="271" s="1"/>
  <c r="Q17" i="271" s="1"/>
  <c r="Q18" i="271" s="1"/>
  <c r="Q20" i="271" s="1"/>
  <c r="Q16" i="273"/>
  <c r="Q59" i="273" s="1"/>
  <c r="M23" i="279"/>
  <c r="M15" i="278" s="1"/>
  <c r="O55" i="304"/>
  <c r="O22" i="304" s="1"/>
  <c r="O17" i="303" s="1"/>
  <c r="O128" i="303"/>
  <c r="O133" i="303" s="1"/>
  <c r="P40" i="304"/>
  <c r="P31" i="304"/>
  <c r="P55" i="304" s="1"/>
  <c r="P22" i="304" s="1"/>
  <c r="Q14" i="268"/>
  <c r="Q16" i="268" s="1"/>
  <c r="Q16" i="270"/>
  <c r="Q59" i="270" s="1"/>
  <c r="M24" i="273"/>
  <c r="M16" i="272" s="1"/>
  <c r="M23" i="273"/>
  <c r="M15" i="272" s="1"/>
  <c r="N189" i="303"/>
  <c r="N196" i="303" s="1"/>
  <c r="P50" i="302"/>
  <c r="P128" i="303" s="1"/>
  <c r="K23" i="269"/>
  <c r="K43" i="269" s="1"/>
  <c r="P48" i="302"/>
  <c r="P181" i="303" s="1"/>
  <c r="P185" i="303" s="1"/>
  <c r="N202" i="303"/>
  <c r="M177" i="306"/>
  <c r="M204" i="306" s="1"/>
  <c r="Q13" i="304"/>
  <c r="O55" i="303"/>
  <c r="O112" i="303"/>
  <c r="Q194" i="303"/>
  <c r="O33" i="302"/>
  <c r="O173" i="303" s="1"/>
  <c r="O32" i="302"/>
  <c r="O172" i="303" s="1"/>
  <c r="O56" i="303"/>
  <c r="O63" i="303" s="1"/>
  <c r="P47" i="304"/>
  <c r="O113" i="303"/>
  <c r="P38" i="304"/>
  <c r="O181" i="303"/>
  <c r="O185" i="303" s="1"/>
  <c r="O70" i="303"/>
  <c r="O74" i="303" s="1"/>
  <c r="O78" i="303" s="1"/>
  <c r="Q21" i="304"/>
  <c r="N78" i="306"/>
  <c r="Q194" i="310"/>
  <c r="R60" i="309"/>
  <c r="Q194" i="306"/>
  <c r="R1" i="304"/>
  <c r="R21" i="304" s="1"/>
  <c r="R1" i="309"/>
  <c r="R1" i="307"/>
  <c r="Q13" i="307"/>
  <c r="Q27" i="307"/>
  <c r="Q21" i="307"/>
  <c r="N82" i="310"/>
  <c r="N66" i="310"/>
  <c r="Q14" i="305"/>
  <c r="Q16" i="305" s="1"/>
  <c r="Q17" i="305" s="1"/>
  <c r="Q18" i="305" s="1"/>
  <c r="Q20" i="305" s="1"/>
  <c r="Q27" i="305" s="1"/>
  <c r="Q114" i="306" s="1"/>
  <c r="Q60" i="307"/>
  <c r="Q27" i="309"/>
  <c r="Q13" i="309"/>
  <c r="Q21" i="309"/>
  <c r="O114" i="306"/>
  <c r="O161" i="306"/>
  <c r="O168" i="306" s="1"/>
  <c r="O57" i="306"/>
  <c r="O64" i="306" s="1"/>
  <c r="L23" i="306"/>
  <c r="L43" i="306" s="1"/>
  <c r="P161" i="310"/>
  <c r="P168" i="310" s="1"/>
  <c r="P57" i="310"/>
  <c r="P64" i="310" s="1"/>
  <c r="P114" i="310"/>
  <c r="O113" i="306"/>
  <c r="O160" i="306"/>
  <c r="O167" i="306" s="1"/>
  <c r="O33" i="305"/>
  <c r="O173" i="306" s="1"/>
  <c r="O201" i="306" s="1"/>
  <c r="O56" i="306"/>
  <c r="O63" i="306" s="1"/>
  <c r="O23" i="307"/>
  <c r="O15" i="306" s="1"/>
  <c r="P38" i="307"/>
  <c r="P29" i="307"/>
  <c r="P55" i="307" s="1"/>
  <c r="P22" i="307" s="1"/>
  <c r="P17" i="306" s="1"/>
  <c r="P47" i="307"/>
  <c r="O32" i="305"/>
  <c r="O172" i="306" s="1"/>
  <c r="O159" i="306"/>
  <c r="O166" i="306" s="1"/>
  <c r="O112" i="306"/>
  <c r="O55" i="306"/>
  <c r="O62" i="306" s="1"/>
  <c r="O24" i="307"/>
  <c r="O16" i="306" s="1"/>
  <c r="P66" i="307"/>
  <c r="P67" i="307" s="1"/>
  <c r="P72" i="307" s="1"/>
  <c r="N189" i="306"/>
  <c r="N196" i="306" s="1"/>
  <c r="P26" i="305"/>
  <c r="P25" i="305"/>
  <c r="P27" i="305"/>
  <c r="N23" i="310"/>
  <c r="N43" i="310" s="1"/>
  <c r="N202" i="306"/>
  <c r="O71" i="306"/>
  <c r="O75" i="306" s="1"/>
  <c r="O182" i="306"/>
  <c r="O186" i="306" s="1"/>
  <c r="O127" i="306"/>
  <c r="O70" i="306"/>
  <c r="O74" i="306" s="1"/>
  <c r="O126" i="306"/>
  <c r="O181" i="306"/>
  <c r="O185" i="306" s="1"/>
  <c r="O183" i="306"/>
  <c r="O187" i="306" s="1"/>
  <c r="O72" i="306"/>
  <c r="O128" i="306"/>
  <c r="N82" i="306"/>
  <c r="N66" i="306"/>
  <c r="M78" i="306"/>
  <c r="M85" i="306" s="1"/>
  <c r="M82" i="306"/>
  <c r="N83" i="306"/>
  <c r="M16" i="269"/>
  <c r="M15" i="269"/>
  <c r="Q47" i="304"/>
  <c r="P25" i="302"/>
  <c r="P32" i="302" s="1"/>
  <c r="P172" i="303" s="1"/>
  <c r="K172" i="269"/>
  <c r="K200" i="269" s="1"/>
  <c r="P26" i="302"/>
  <c r="P113" i="303" s="1"/>
  <c r="K173" i="269"/>
  <c r="K201" i="269" s="1"/>
  <c r="K201" i="303"/>
  <c r="J175" i="303"/>
  <c r="J177" i="303" s="1"/>
  <c r="J204" i="303" s="1"/>
  <c r="J200" i="303"/>
  <c r="J111" i="260" s="1"/>
  <c r="N17" i="269"/>
  <c r="R10" i="305"/>
  <c r="Q60" i="304"/>
  <c r="Q14" i="302"/>
  <c r="Q16" i="302" s="1"/>
  <c r="Q17" i="302" s="1"/>
  <c r="Q18" i="302" s="1"/>
  <c r="Q20" i="302" s="1"/>
  <c r="Q26" i="302" s="1"/>
  <c r="P50" i="305"/>
  <c r="P49" i="305"/>
  <c r="P48" i="305"/>
  <c r="O170" i="303"/>
  <c r="P127" i="303"/>
  <c r="P182" i="303"/>
  <c r="P186" i="303" s="1"/>
  <c r="P71" i="303"/>
  <c r="P75" i="303" s="1"/>
  <c r="P161" i="303"/>
  <c r="P168" i="303" s="1"/>
  <c r="P114" i="303"/>
  <c r="P57" i="303"/>
  <c r="P64" i="303" s="1"/>
  <c r="N82" i="303"/>
  <c r="N66" i="303"/>
  <c r="N85" i="303" s="1"/>
  <c r="N55" i="273"/>
  <c r="N22" i="273" s="1"/>
  <c r="N17" i="272" s="1"/>
  <c r="AA42" i="260"/>
  <c r="T56" i="267"/>
  <c r="O29" i="273"/>
  <c r="O55" i="273" s="1"/>
  <c r="O22" i="273" s="1"/>
  <c r="O17" i="272" s="1"/>
  <c r="Q27" i="279"/>
  <c r="Q21" i="279"/>
  <c r="Q13" i="279"/>
  <c r="S53" i="267"/>
  <c r="Q37" i="268"/>
  <c r="Q40" i="268" s="1"/>
  <c r="Q42" i="268" s="1"/>
  <c r="Q13" i="270"/>
  <c r="Q27" i="270"/>
  <c r="Q21" i="270"/>
  <c r="R1" i="270"/>
  <c r="U2" i="267"/>
  <c r="R1" i="273"/>
  <c r="R3" i="272"/>
  <c r="R3" i="278"/>
  <c r="R1" i="279"/>
  <c r="T51" i="267"/>
  <c r="Q27" i="273"/>
  <c r="Q13" i="273"/>
  <c r="Q21" i="273"/>
  <c r="O47" i="273"/>
  <c r="L82" i="272"/>
  <c r="L85" i="272"/>
  <c r="N17" i="278"/>
  <c r="N23" i="279"/>
  <c r="N15" i="278" s="1"/>
  <c r="N24" i="279"/>
  <c r="N16" i="278" s="1"/>
  <c r="R10" i="271"/>
  <c r="R15" i="273" s="1"/>
  <c r="P47" i="279"/>
  <c r="P60" i="279"/>
  <c r="P63" i="279" s="1"/>
  <c r="P66" i="279" s="1"/>
  <c r="P67" i="279" s="1"/>
  <c r="P72" i="279" s="1"/>
  <c r="O47" i="279"/>
  <c r="O55" i="279" s="1"/>
  <c r="O22" i="279" s="1"/>
  <c r="O17" i="278" s="1"/>
  <c r="P29" i="273"/>
  <c r="P60" i="273"/>
  <c r="P63" i="273" s="1"/>
  <c r="P66" i="273" s="1"/>
  <c r="P67" i="273" s="1"/>
  <c r="P72" i="273" s="1"/>
  <c r="O38" i="279"/>
  <c r="K170" i="269"/>
  <c r="O182" i="278"/>
  <c r="O127" i="278"/>
  <c r="O71" i="278"/>
  <c r="O181" i="278"/>
  <c r="O185" i="278" s="1"/>
  <c r="O70" i="278"/>
  <c r="O126" i="278"/>
  <c r="O33" i="277"/>
  <c r="O173" i="278" s="1"/>
  <c r="O113" i="278"/>
  <c r="O160" i="278"/>
  <c r="O167" i="278" s="1"/>
  <c r="O56" i="278"/>
  <c r="O63" i="278" s="1"/>
  <c r="O114" i="278"/>
  <c r="O161" i="278"/>
  <c r="O168" i="278" s="1"/>
  <c r="O57" i="278"/>
  <c r="O64" i="278" s="1"/>
  <c r="O32" i="277"/>
  <c r="O172" i="278" s="1"/>
  <c r="O112" i="278"/>
  <c r="O55" i="278"/>
  <c r="O159" i="278"/>
  <c r="O166" i="278" s="1"/>
  <c r="O183" i="278"/>
  <c r="O187" i="278" s="1"/>
  <c r="O72" i="278"/>
  <c r="O128" i="278"/>
  <c r="P48" i="277"/>
  <c r="P50" i="277"/>
  <c r="P49" i="277"/>
  <c r="T53" i="277"/>
  <c r="T192" i="278" s="1"/>
  <c r="T52" i="277"/>
  <c r="T191" i="278" s="1"/>
  <c r="P25" i="277"/>
  <c r="P27" i="277"/>
  <c r="P26" i="277"/>
  <c r="P48" i="271"/>
  <c r="P50" i="271"/>
  <c r="P49" i="271"/>
  <c r="P27" i="271"/>
  <c r="P26" i="271"/>
  <c r="P25" i="271"/>
  <c r="O126" i="272"/>
  <c r="O181" i="272"/>
  <c r="O70" i="272"/>
  <c r="O56" i="272"/>
  <c r="O113" i="272"/>
  <c r="O160" i="272"/>
  <c r="O33" i="271"/>
  <c r="O173" i="272" s="1"/>
  <c r="S53" i="271"/>
  <c r="S192" i="272" s="1"/>
  <c r="S52" i="271"/>
  <c r="S191" i="272" s="1"/>
  <c r="O127" i="272"/>
  <c r="O182" i="272"/>
  <c r="O186" i="272" s="1"/>
  <c r="O71" i="272"/>
  <c r="O57" i="272"/>
  <c r="O114" i="272"/>
  <c r="O161" i="272"/>
  <c r="O128" i="272"/>
  <c r="O183" i="272"/>
  <c r="O187" i="272" s="1"/>
  <c r="O72" i="272"/>
  <c r="O76" i="272" s="1"/>
  <c r="O32" i="271"/>
  <c r="O172" i="272" s="1"/>
  <c r="O55" i="272"/>
  <c r="O62" i="272" s="1"/>
  <c r="O112" i="272"/>
  <c r="O159" i="272"/>
  <c r="K66" i="269"/>
  <c r="Q14" i="279"/>
  <c r="Q14" i="273"/>
  <c r="N185" i="278"/>
  <c r="N189" i="278" s="1"/>
  <c r="M78" i="272"/>
  <c r="N166" i="278"/>
  <c r="N170" i="278" s="1"/>
  <c r="N200" i="278"/>
  <c r="N64" i="272"/>
  <c r="N201" i="278"/>
  <c r="N63" i="278"/>
  <c r="N66" i="278" s="1"/>
  <c r="M202" i="278"/>
  <c r="L85" i="278"/>
  <c r="M66" i="278"/>
  <c r="M83" i="278"/>
  <c r="N166" i="272"/>
  <c r="N62" i="272"/>
  <c r="N63" i="272"/>
  <c r="N201" i="272"/>
  <c r="N167" i="272"/>
  <c r="R52" i="268"/>
  <c r="R191" i="269" s="1"/>
  <c r="R53" i="268"/>
  <c r="R192" i="269" s="1"/>
  <c r="P40" i="273"/>
  <c r="P31" i="273"/>
  <c r="M170" i="272"/>
  <c r="M202" i="272"/>
  <c r="N200" i="272"/>
  <c r="M200" i="272"/>
  <c r="P40" i="279"/>
  <c r="P31" i="279"/>
  <c r="M62" i="272"/>
  <c r="M83" i="272"/>
  <c r="N74" i="278"/>
  <c r="M78" i="278"/>
  <c r="M82" i="278"/>
  <c r="N189" i="272"/>
  <c r="N74" i="272"/>
  <c r="O55" i="270"/>
  <c r="O22" i="270" s="1"/>
  <c r="U2" i="277"/>
  <c r="S3" i="269"/>
  <c r="N23" i="270"/>
  <c r="T2" i="271"/>
  <c r="O17" i="268"/>
  <c r="O18" i="268" s="1"/>
  <c r="O20" i="268" s="1"/>
  <c r="N24" i="270"/>
  <c r="Q14" i="270"/>
  <c r="L56" i="269"/>
  <c r="L63" i="269" s="1"/>
  <c r="L33" i="268"/>
  <c r="L113" i="269"/>
  <c r="L160" i="269"/>
  <c r="L167" i="269" s="1"/>
  <c r="P60" i="270"/>
  <c r="P63" i="270" s="1"/>
  <c r="O66" i="270"/>
  <c r="O67" i="270" s="1"/>
  <c r="O72" i="270" s="1"/>
  <c r="L32" i="268"/>
  <c r="L55" i="269"/>
  <c r="L62" i="269" s="1"/>
  <c r="L159" i="269"/>
  <c r="L166" i="269" s="1"/>
  <c r="L112" i="269"/>
  <c r="L114" i="269"/>
  <c r="L161" i="269"/>
  <c r="L168" i="269" s="1"/>
  <c r="L57" i="269"/>
  <c r="L64" i="269" s="1"/>
  <c r="P40" i="270"/>
  <c r="P31" i="270"/>
  <c r="P47" i="270"/>
  <c r="P38" i="270"/>
  <c r="P29" i="270"/>
  <c r="M27" i="268"/>
  <c r="M25" i="268"/>
  <c r="M26" i="268"/>
  <c r="S2" i="268"/>
  <c r="P2" i="264"/>
  <c r="P17" i="264" s="1"/>
  <c r="N202" i="320" l="1"/>
  <c r="Q26" i="312"/>
  <c r="Q27" i="312"/>
  <c r="U8" i="267"/>
  <c r="S6" i="268" s="1"/>
  <c r="U7" i="267"/>
  <c r="U9" i="267"/>
  <c r="U10" i="267"/>
  <c r="S6" i="305" s="1"/>
  <c r="S14" i="307" s="1"/>
  <c r="U12" i="267"/>
  <c r="U11" i="267"/>
  <c r="Q63" i="307"/>
  <c r="S102" i="269"/>
  <c r="S103" i="269"/>
  <c r="S101" i="269"/>
  <c r="S100" i="269"/>
  <c r="S93" i="269"/>
  <c r="S98" i="269"/>
  <c r="S95" i="269"/>
  <c r="S97" i="269"/>
  <c r="S92" i="269"/>
  <c r="S90" i="269"/>
  <c r="S91" i="269"/>
  <c r="S96" i="269"/>
  <c r="P17" i="310"/>
  <c r="P41" i="310" s="1"/>
  <c r="P23" i="309"/>
  <c r="P15" i="310" s="1"/>
  <c r="P39" i="310" s="1"/>
  <c r="P24" i="309"/>
  <c r="P16" i="310" s="1"/>
  <c r="P40" i="310" s="1"/>
  <c r="U39" i="267"/>
  <c r="U41" i="267" s="1"/>
  <c r="U40" i="267"/>
  <c r="U62" i="267" s="1"/>
  <c r="U44" i="267"/>
  <c r="U46" i="267" s="1"/>
  <c r="U29" i="267"/>
  <c r="U31" i="267" s="1"/>
  <c r="U45" i="267"/>
  <c r="U30" i="267"/>
  <c r="R11" i="318"/>
  <c r="R18" i="319" s="1"/>
  <c r="R11" i="312"/>
  <c r="R18" i="314" s="1"/>
  <c r="R11" i="315"/>
  <c r="R18" i="316" s="1"/>
  <c r="Q41" i="319"/>
  <c r="Q32" i="319"/>
  <c r="Q31" i="309"/>
  <c r="Q55" i="309" s="1"/>
  <c r="Q22" i="309" s="1"/>
  <c r="Q40" i="309"/>
  <c r="R11" i="277"/>
  <c r="R17" i="279" s="1"/>
  <c r="R11" i="268"/>
  <c r="R17" i="270" s="1"/>
  <c r="R11" i="308"/>
  <c r="R17" i="309" s="1"/>
  <c r="R11" i="302"/>
  <c r="R17" i="304" s="1"/>
  <c r="Q32" i="316"/>
  <c r="Q41" i="316"/>
  <c r="N35" i="320"/>
  <c r="O175" i="329"/>
  <c r="N189" i="329"/>
  <c r="N196" i="329" s="1"/>
  <c r="N204" i="329" s="1"/>
  <c r="O116" i="329"/>
  <c r="N202" i="329"/>
  <c r="M204" i="317"/>
  <c r="P92" i="325"/>
  <c r="P129" i="314"/>
  <c r="P130" i="314" s="1"/>
  <c r="P135" i="314" s="1"/>
  <c r="O117" i="329"/>
  <c r="P110" i="325"/>
  <c r="O119" i="329"/>
  <c r="R77" i="322"/>
  <c r="R15" i="322"/>
  <c r="R77" i="316"/>
  <c r="R15" i="316"/>
  <c r="Q26" i="327"/>
  <c r="Q160" i="329" s="1"/>
  <c r="Q167" i="329" s="1"/>
  <c r="O53" i="312"/>
  <c r="O192" i="313" s="1"/>
  <c r="O201" i="313" s="1"/>
  <c r="O118" i="329"/>
  <c r="R77" i="328"/>
  <c r="R15" i="328"/>
  <c r="R77" i="325"/>
  <c r="R15" i="325"/>
  <c r="U67" i="267"/>
  <c r="S6" i="318"/>
  <c r="S6" i="321"/>
  <c r="S6" i="324"/>
  <c r="S6" i="312"/>
  <c r="S6" i="308"/>
  <c r="S14" i="309" s="1"/>
  <c r="S6" i="327"/>
  <c r="S6" i="302"/>
  <c r="S6" i="315"/>
  <c r="R77" i="314"/>
  <c r="R15" i="314"/>
  <c r="R77" i="319"/>
  <c r="R15" i="319"/>
  <c r="R103" i="313"/>
  <c r="R100" i="313"/>
  <c r="R102" i="313"/>
  <c r="R101" i="313"/>
  <c r="R98" i="313"/>
  <c r="R96" i="313"/>
  <c r="R92" i="313"/>
  <c r="R93" i="313"/>
  <c r="R97" i="313"/>
  <c r="R91" i="313"/>
  <c r="R95" i="313"/>
  <c r="R90" i="313"/>
  <c r="R101" i="317"/>
  <c r="R103" i="317"/>
  <c r="R102" i="317"/>
  <c r="R100" i="317"/>
  <c r="R91" i="317"/>
  <c r="R98" i="317"/>
  <c r="R96" i="317"/>
  <c r="R92" i="317"/>
  <c r="R93" i="317"/>
  <c r="R95" i="317"/>
  <c r="R90" i="317"/>
  <c r="R97" i="317"/>
  <c r="R101" i="329"/>
  <c r="R102" i="329"/>
  <c r="R103" i="329"/>
  <c r="R100" i="329"/>
  <c r="R97" i="329"/>
  <c r="R95" i="329"/>
  <c r="R98" i="329"/>
  <c r="R96" i="329"/>
  <c r="R93" i="329"/>
  <c r="R90" i="329"/>
  <c r="R92" i="329"/>
  <c r="R91" i="329"/>
  <c r="N143" i="329"/>
  <c r="N133" i="329"/>
  <c r="R103" i="278"/>
  <c r="R100" i="278"/>
  <c r="R101" i="278"/>
  <c r="R102" i="278"/>
  <c r="R97" i="278"/>
  <c r="R95" i="278"/>
  <c r="R90" i="278"/>
  <c r="R91" i="278"/>
  <c r="R98" i="278"/>
  <c r="R96" i="278"/>
  <c r="R92" i="278"/>
  <c r="R93" i="278"/>
  <c r="R101" i="320"/>
  <c r="R102" i="320"/>
  <c r="R103" i="320"/>
  <c r="R100" i="320"/>
  <c r="R98" i="320"/>
  <c r="R96" i="320"/>
  <c r="R92" i="320"/>
  <c r="R93" i="320"/>
  <c r="R97" i="320"/>
  <c r="R95" i="320"/>
  <c r="R90" i="320"/>
  <c r="R91" i="320"/>
  <c r="N140" i="329"/>
  <c r="N132" i="329"/>
  <c r="N141" i="329"/>
  <c r="R103" i="272"/>
  <c r="R102" i="272"/>
  <c r="R100" i="272"/>
  <c r="R101" i="272"/>
  <c r="R98" i="272"/>
  <c r="R96" i="272"/>
  <c r="R92" i="272"/>
  <c r="R97" i="272"/>
  <c r="R95" i="272"/>
  <c r="R90" i="272"/>
  <c r="R91" i="272"/>
  <c r="R93" i="272"/>
  <c r="R103" i="323"/>
  <c r="R101" i="323"/>
  <c r="R102" i="323"/>
  <c r="R100" i="323"/>
  <c r="R91" i="323"/>
  <c r="R98" i="323"/>
  <c r="R96" i="323"/>
  <c r="R92" i="323"/>
  <c r="R95" i="323"/>
  <c r="R90" i="323"/>
  <c r="R97" i="323"/>
  <c r="R93" i="323"/>
  <c r="R101" i="326"/>
  <c r="R102" i="326"/>
  <c r="R103" i="326"/>
  <c r="R100" i="326"/>
  <c r="R91" i="326"/>
  <c r="R98" i="326"/>
  <c r="R96" i="326"/>
  <c r="R92" i="326"/>
  <c r="R93" i="326"/>
  <c r="R97" i="326"/>
  <c r="R95" i="326"/>
  <c r="R90" i="326"/>
  <c r="N131" i="329"/>
  <c r="N202" i="317"/>
  <c r="O170" i="329"/>
  <c r="O183" i="317"/>
  <c r="O187" i="317" s="1"/>
  <c r="O189" i="317" s="1"/>
  <c r="O196" i="317" s="1"/>
  <c r="O72" i="313"/>
  <c r="O76" i="313" s="1"/>
  <c r="N196" i="320"/>
  <c r="O72" i="329"/>
  <c r="O76" i="329" s="1"/>
  <c r="O128" i="313"/>
  <c r="O182" i="313"/>
  <c r="O186" i="313" s="1"/>
  <c r="O202" i="313" s="1"/>
  <c r="N132" i="320"/>
  <c r="P92" i="322"/>
  <c r="P101" i="316"/>
  <c r="P110" i="319"/>
  <c r="O143" i="310"/>
  <c r="O117" i="310"/>
  <c r="O118" i="310"/>
  <c r="O132" i="303"/>
  <c r="O140" i="306"/>
  <c r="O142" i="306"/>
  <c r="O118" i="306"/>
  <c r="O143" i="306"/>
  <c r="O119" i="306"/>
  <c r="O116" i="306"/>
  <c r="O117" i="306"/>
  <c r="O141" i="306"/>
  <c r="O143" i="326"/>
  <c r="O119" i="326"/>
  <c r="O140" i="326"/>
  <c r="O116" i="326"/>
  <c r="O141" i="326"/>
  <c r="O117" i="326"/>
  <c r="O142" i="326"/>
  <c r="O118" i="326"/>
  <c r="N131" i="317"/>
  <c r="N131" i="320"/>
  <c r="O141" i="272"/>
  <c r="O142" i="272"/>
  <c r="O143" i="272"/>
  <c r="O119" i="272"/>
  <c r="O140" i="272"/>
  <c r="O116" i="272"/>
  <c r="O117" i="272"/>
  <c r="O118" i="272"/>
  <c r="O131" i="272"/>
  <c r="O132" i="272"/>
  <c r="O133" i="272"/>
  <c r="O130" i="272"/>
  <c r="O143" i="278"/>
  <c r="O119" i="278"/>
  <c r="O140" i="278"/>
  <c r="O141" i="278"/>
  <c r="O117" i="278"/>
  <c r="O142" i="278"/>
  <c r="O118" i="278"/>
  <c r="O116" i="278"/>
  <c r="O140" i="303"/>
  <c r="O116" i="303"/>
  <c r="O141" i="303"/>
  <c r="O117" i="303"/>
  <c r="O118" i="303"/>
  <c r="O142" i="303"/>
  <c r="O119" i="303"/>
  <c r="O143" i="303"/>
  <c r="O127" i="329"/>
  <c r="O142" i="329" s="1"/>
  <c r="O133" i="326"/>
  <c r="O130" i="326"/>
  <c r="O131" i="326"/>
  <c r="O132" i="326"/>
  <c r="O72" i="317"/>
  <c r="O76" i="317" s="1"/>
  <c r="O130" i="320"/>
  <c r="O132" i="320"/>
  <c r="O131" i="320"/>
  <c r="O133" i="320"/>
  <c r="Q27" i="327"/>
  <c r="Q57" i="329" s="1"/>
  <c r="Q64" i="329" s="1"/>
  <c r="N143" i="317"/>
  <c r="O116" i="310"/>
  <c r="O141" i="310"/>
  <c r="N130" i="317"/>
  <c r="O117" i="313"/>
  <c r="O119" i="313"/>
  <c r="N140" i="320"/>
  <c r="N143" i="320"/>
  <c r="N133" i="320"/>
  <c r="O131" i="303"/>
  <c r="P119" i="313"/>
  <c r="P116" i="313"/>
  <c r="P117" i="313"/>
  <c r="P118" i="313"/>
  <c r="O133" i="278"/>
  <c r="O130" i="278"/>
  <c r="O131" i="278"/>
  <c r="O132" i="278"/>
  <c r="O71" i="329"/>
  <c r="O75" i="329" s="1"/>
  <c r="P116" i="329"/>
  <c r="P117" i="329"/>
  <c r="P118" i="329"/>
  <c r="P119" i="329"/>
  <c r="O118" i="323"/>
  <c r="O119" i="323"/>
  <c r="O116" i="323"/>
  <c r="O117" i="323"/>
  <c r="O133" i="310"/>
  <c r="O131" i="310"/>
  <c r="O132" i="310"/>
  <c r="O130" i="310"/>
  <c r="O142" i="310"/>
  <c r="O140" i="310"/>
  <c r="N133" i="317"/>
  <c r="N130" i="320"/>
  <c r="O130" i="303"/>
  <c r="O133" i="306"/>
  <c r="O132" i="306"/>
  <c r="O130" i="306"/>
  <c r="O131" i="306"/>
  <c r="O119" i="317"/>
  <c r="O116" i="317"/>
  <c r="O117" i="317"/>
  <c r="O118" i="317"/>
  <c r="N141" i="317"/>
  <c r="L119" i="269"/>
  <c r="L117" i="269"/>
  <c r="L118" i="269"/>
  <c r="L116" i="269"/>
  <c r="N83" i="329"/>
  <c r="O140" i="320"/>
  <c r="O141" i="320"/>
  <c r="O142" i="320"/>
  <c r="O119" i="320"/>
  <c r="O117" i="320"/>
  <c r="O143" i="320"/>
  <c r="O118" i="320"/>
  <c r="O116" i="320"/>
  <c r="N140" i="317"/>
  <c r="N142" i="317"/>
  <c r="O119" i="310"/>
  <c r="O116" i="313"/>
  <c r="N142" i="320"/>
  <c r="N141" i="320"/>
  <c r="O183" i="329"/>
  <c r="O187" i="329" s="1"/>
  <c r="O189" i="329" s="1"/>
  <c r="O71" i="313"/>
  <c r="O75" i="313" s="1"/>
  <c r="O70" i="323"/>
  <c r="O74" i="323" s="1"/>
  <c r="R106" i="313"/>
  <c r="R108" i="313"/>
  <c r="R105" i="313"/>
  <c r="R107" i="313"/>
  <c r="O126" i="317"/>
  <c r="O143" i="317" s="1"/>
  <c r="R106" i="320"/>
  <c r="R105" i="320"/>
  <c r="R108" i="320"/>
  <c r="R107" i="320"/>
  <c r="P101" i="319"/>
  <c r="P118" i="319" s="1"/>
  <c r="P85" i="319" s="1"/>
  <c r="P29" i="320" s="1"/>
  <c r="R106" i="329"/>
  <c r="R108" i="329"/>
  <c r="R107" i="329"/>
  <c r="R105" i="329"/>
  <c r="O70" i="317"/>
  <c r="O74" i="317" s="1"/>
  <c r="R106" i="323"/>
  <c r="R105" i="323"/>
  <c r="R108" i="323"/>
  <c r="R107" i="323"/>
  <c r="R105" i="326"/>
  <c r="R108" i="326"/>
  <c r="R106" i="326"/>
  <c r="R107" i="326"/>
  <c r="P118" i="325"/>
  <c r="P85" i="325" s="1"/>
  <c r="P29" i="326" s="1"/>
  <c r="P33" i="326" s="1"/>
  <c r="R107" i="272"/>
  <c r="R106" i="272"/>
  <c r="R105" i="272"/>
  <c r="R108" i="272"/>
  <c r="R106" i="317"/>
  <c r="R105" i="317"/>
  <c r="R108" i="317"/>
  <c r="R107" i="317"/>
  <c r="S106" i="269"/>
  <c r="S108" i="269"/>
  <c r="S107" i="269"/>
  <c r="S105" i="269"/>
  <c r="R106" i="278"/>
  <c r="R105" i="278"/>
  <c r="R107" i="278"/>
  <c r="R108" i="278"/>
  <c r="P101" i="322"/>
  <c r="P118" i="322" s="1"/>
  <c r="P85" i="322" s="1"/>
  <c r="N83" i="317"/>
  <c r="P49" i="321"/>
  <c r="P182" i="323" s="1"/>
  <c r="P186" i="323" s="1"/>
  <c r="O183" i="323"/>
  <c r="O187" i="323" s="1"/>
  <c r="O189" i="323" s="1"/>
  <c r="O196" i="323" s="1"/>
  <c r="Q78" i="316"/>
  <c r="Q92" i="316" s="1"/>
  <c r="Q79" i="316"/>
  <c r="Q78" i="328"/>
  <c r="Q110" i="328" s="1"/>
  <c r="Q79" i="328"/>
  <c r="P101" i="328"/>
  <c r="P118" i="328" s="1"/>
  <c r="P85" i="328" s="1"/>
  <c r="P29" i="329" s="1"/>
  <c r="P33" i="329" s="1"/>
  <c r="O127" i="313"/>
  <c r="O126" i="323"/>
  <c r="P48" i="321"/>
  <c r="P126" i="323" s="1"/>
  <c r="O72" i="323"/>
  <c r="O76" i="323" s="1"/>
  <c r="Q78" i="319"/>
  <c r="Q101" i="319" s="1"/>
  <c r="Q79" i="319"/>
  <c r="P110" i="316"/>
  <c r="Q78" i="322"/>
  <c r="Q110" i="322" s="1"/>
  <c r="Q79" i="322"/>
  <c r="P110" i="328"/>
  <c r="O53" i="327"/>
  <c r="O192" i="329" s="1"/>
  <c r="O194" i="329" s="1"/>
  <c r="P50" i="315"/>
  <c r="P183" i="317" s="1"/>
  <c r="P187" i="317" s="1"/>
  <c r="Q40" i="315"/>
  <c r="Q42" i="315" s="1"/>
  <c r="Q43" i="315" s="1"/>
  <c r="Q44" i="315" s="1"/>
  <c r="Q46" i="315" s="1"/>
  <c r="Q48" i="315" s="1"/>
  <c r="O201" i="320"/>
  <c r="Q40" i="312"/>
  <c r="Q42" i="312" s="1"/>
  <c r="Q43" i="312" s="1"/>
  <c r="Q44" i="312" s="1"/>
  <c r="Q46" i="312" s="1"/>
  <c r="Q48" i="312" s="1"/>
  <c r="Q52" i="312" s="1"/>
  <c r="Q191" i="313" s="1"/>
  <c r="Q78" i="314"/>
  <c r="Q79" i="314"/>
  <c r="N201" i="329"/>
  <c r="R17" i="328"/>
  <c r="R16" i="328"/>
  <c r="Q78" i="325"/>
  <c r="Q110" i="325" s="1"/>
  <c r="Q79" i="325"/>
  <c r="P48" i="327"/>
  <c r="P52" i="327" s="1"/>
  <c r="P191" i="329" s="1"/>
  <c r="P200" i="329" s="1"/>
  <c r="N35" i="329"/>
  <c r="N177" i="310"/>
  <c r="N204" i="310" s="1"/>
  <c r="P33" i="312"/>
  <c r="P173" i="313" s="1"/>
  <c r="M35" i="320"/>
  <c r="M43" i="320" s="1"/>
  <c r="N39" i="323"/>
  <c r="P112" i="310"/>
  <c r="P32" i="312"/>
  <c r="P172" i="313" s="1"/>
  <c r="P200" i="313" s="1"/>
  <c r="P159" i="313"/>
  <c r="P166" i="313" s="1"/>
  <c r="N39" i="320"/>
  <c r="P55" i="310"/>
  <c r="P62" i="310" s="1"/>
  <c r="N35" i="317"/>
  <c r="N35" i="323"/>
  <c r="P55" i="313"/>
  <c r="P62" i="313" s="1"/>
  <c r="L100" i="260"/>
  <c r="P56" i="313"/>
  <c r="P63" i="313" s="1"/>
  <c r="P160" i="313"/>
  <c r="P167" i="313" s="1"/>
  <c r="P160" i="310"/>
  <c r="P167" i="310" s="1"/>
  <c r="N177" i="313"/>
  <c r="N204" i="313" s="1"/>
  <c r="O33" i="323"/>
  <c r="O41" i="323"/>
  <c r="P49" i="327"/>
  <c r="P53" i="327" s="1"/>
  <c r="P192" i="329" s="1"/>
  <c r="O86" i="322"/>
  <c r="O27" i="323" s="1"/>
  <c r="O31" i="323" s="1"/>
  <c r="N40" i="317"/>
  <c r="N40" i="329"/>
  <c r="N40" i="320"/>
  <c r="P49" i="315"/>
  <c r="P182" i="317" s="1"/>
  <c r="P186" i="317" s="1"/>
  <c r="R16" i="316"/>
  <c r="R17" i="316"/>
  <c r="R17" i="314"/>
  <c r="R122" i="314" s="1"/>
  <c r="R16" i="314"/>
  <c r="Q60" i="314"/>
  <c r="O129" i="314"/>
  <c r="O130" i="314" s="1"/>
  <c r="O135" i="314" s="1"/>
  <c r="O87" i="314" s="1"/>
  <c r="O28" i="313" s="1"/>
  <c r="O32" i="313" s="1"/>
  <c r="O67" i="314"/>
  <c r="O68" i="314" s="1"/>
  <c r="O73" i="314" s="1"/>
  <c r="O25" i="314" s="1"/>
  <c r="O16" i="313" s="1"/>
  <c r="O20" i="313" s="1"/>
  <c r="R15" i="279"/>
  <c r="P56" i="310"/>
  <c r="P63" i="310" s="1"/>
  <c r="P113" i="310"/>
  <c r="Q25" i="308"/>
  <c r="Q32" i="308" s="1"/>
  <c r="Q172" i="310" s="1"/>
  <c r="R16" i="309"/>
  <c r="R59" i="309" s="1"/>
  <c r="R63" i="309" s="1"/>
  <c r="R66" i="309" s="1"/>
  <c r="R67" i="309" s="1"/>
  <c r="R72" i="309" s="1"/>
  <c r="R15" i="309"/>
  <c r="R29" i="309" s="1"/>
  <c r="R16" i="307"/>
  <c r="R59" i="307" s="1"/>
  <c r="R15" i="307"/>
  <c r="R16" i="304"/>
  <c r="R59" i="304" s="1"/>
  <c r="R15" i="304"/>
  <c r="R29" i="304" s="1"/>
  <c r="R151" i="326"/>
  <c r="R150" i="326"/>
  <c r="M35" i="323"/>
  <c r="M43" i="323" s="1"/>
  <c r="R151" i="323"/>
  <c r="R150" i="323"/>
  <c r="N23" i="323"/>
  <c r="R150" i="320"/>
  <c r="R151" i="320"/>
  <c r="R150" i="317"/>
  <c r="R151" i="317"/>
  <c r="N41" i="313"/>
  <c r="R151" i="313"/>
  <c r="R150" i="313"/>
  <c r="R150" i="278"/>
  <c r="R151" i="278"/>
  <c r="R150" i="272"/>
  <c r="R151" i="272"/>
  <c r="S29" i="269"/>
  <c r="S33" i="269" s="1"/>
  <c r="S150" i="269"/>
  <c r="S28" i="269"/>
  <c r="S32" i="269" s="1"/>
  <c r="S27" i="269"/>
  <c r="S151" i="269"/>
  <c r="N40" i="323"/>
  <c r="M35" i="317"/>
  <c r="Q40" i="318"/>
  <c r="Q42" i="318" s="1"/>
  <c r="Q43" i="318" s="1"/>
  <c r="Q44" i="318" s="1"/>
  <c r="Q46" i="318" s="1"/>
  <c r="Q50" i="318" s="1"/>
  <c r="Q40" i="321"/>
  <c r="Q42" i="321" s="1"/>
  <c r="Q43" i="321" s="1"/>
  <c r="Q44" i="321" s="1"/>
  <c r="Q46" i="321" s="1"/>
  <c r="Q49" i="321" s="1"/>
  <c r="O86" i="328"/>
  <c r="O27" i="329" s="1"/>
  <c r="O31" i="329" s="1"/>
  <c r="R90" i="325"/>
  <c r="R76" i="325"/>
  <c r="R28" i="325"/>
  <c r="R84" i="325"/>
  <c r="R22" i="325"/>
  <c r="P39" i="325"/>
  <c r="P56" i="325" s="1"/>
  <c r="P23" i="325" s="1"/>
  <c r="P48" i="325"/>
  <c r="P30" i="325"/>
  <c r="P64" i="319"/>
  <c r="P126" i="319"/>
  <c r="Q94" i="322"/>
  <c r="Q103" i="322"/>
  <c r="P126" i="316"/>
  <c r="P64" i="316"/>
  <c r="N39" i="313"/>
  <c r="P48" i="328"/>
  <c r="P39" i="328"/>
  <c r="P56" i="328" s="1"/>
  <c r="P23" i="328" s="1"/>
  <c r="P30" i="328"/>
  <c r="Q122" i="316"/>
  <c r="Q60" i="316"/>
  <c r="O29" i="317"/>
  <c r="O86" i="316"/>
  <c r="O27" i="317" s="1"/>
  <c r="O31" i="317" s="1"/>
  <c r="Q94" i="328"/>
  <c r="Q103" i="328"/>
  <c r="O129" i="319"/>
  <c r="O130" i="319" s="1"/>
  <c r="O135" i="319" s="1"/>
  <c r="O87" i="319" s="1"/>
  <c r="O28" i="320" s="1"/>
  <c r="O32" i="320" s="1"/>
  <c r="O67" i="319"/>
  <c r="O68" i="319" s="1"/>
  <c r="O73" i="319" s="1"/>
  <c r="O25" i="319" s="1"/>
  <c r="O16" i="320" s="1"/>
  <c r="O20" i="320" s="1"/>
  <c r="O24" i="319"/>
  <c r="O15" i="320" s="1"/>
  <c r="O19" i="320" s="1"/>
  <c r="S10" i="324"/>
  <c r="S16" i="325" s="1"/>
  <c r="S10" i="321"/>
  <c r="S16" i="322" s="1"/>
  <c r="S10" i="327"/>
  <c r="S14" i="327" s="1"/>
  <c r="S16" i="327" s="1"/>
  <c r="S17" i="327" s="1"/>
  <c r="S18" i="327" s="1"/>
  <c r="S20" i="327" s="1"/>
  <c r="R90" i="316"/>
  <c r="R84" i="316"/>
  <c r="R76" i="316"/>
  <c r="R22" i="316"/>
  <c r="R28" i="316"/>
  <c r="Q122" i="328"/>
  <c r="Q60" i="328"/>
  <c r="O86" i="325"/>
  <c r="O27" i="326" s="1"/>
  <c r="O31" i="326" s="1"/>
  <c r="O29" i="326"/>
  <c r="O33" i="326" s="1"/>
  <c r="Q94" i="325"/>
  <c r="Q103" i="325"/>
  <c r="P64" i="325"/>
  <c r="P126" i="325"/>
  <c r="O67" i="316"/>
  <c r="O68" i="316" s="1"/>
  <c r="O73" i="316" s="1"/>
  <c r="O25" i="316" s="1"/>
  <c r="O16" i="317" s="1"/>
  <c r="O20" i="317" s="1"/>
  <c r="O129" i="316"/>
  <c r="O130" i="316" s="1"/>
  <c r="O135" i="316" s="1"/>
  <c r="O87" i="316" s="1"/>
  <c r="O28" i="317" s="1"/>
  <c r="O24" i="316"/>
  <c r="O15" i="317" s="1"/>
  <c r="S11" i="327"/>
  <c r="S18" i="328" s="1"/>
  <c r="S11" i="324"/>
  <c r="S18" i="325" s="1"/>
  <c r="S11" i="321"/>
  <c r="S18" i="322" s="1"/>
  <c r="T68" i="267"/>
  <c r="R37" i="327"/>
  <c r="R37" i="324"/>
  <c r="R40" i="324" s="1"/>
  <c r="R42" i="324" s="1"/>
  <c r="R43" i="324" s="1"/>
  <c r="R44" i="324" s="1"/>
  <c r="R46" i="324" s="1"/>
  <c r="R37" i="321"/>
  <c r="Q60" i="319"/>
  <c r="Q122" i="319"/>
  <c r="Q30" i="316"/>
  <c r="Q56" i="316" s="1"/>
  <c r="Q23" i="316" s="1"/>
  <c r="Q17" i="317" s="1"/>
  <c r="Q21" i="317" s="1"/>
  <c r="Q48" i="316"/>
  <c r="Q39" i="316"/>
  <c r="Q60" i="322"/>
  <c r="Q122" i="322"/>
  <c r="Q94" i="319"/>
  <c r="Q103" i="319"/>
  <c r="O67" i="322"/>
  <c r="O68" i="322" s="1"/>
  <c r="O73" i="322" s="1"/>
  <c r="O25" i="322" s="1"/>
  <c r="O16" i="323" s="1"/>
  <c r="O20" i="323" s="1"/>
  <c r="O129" i="322"/>
  <c r="O130" i="322" s="1"/>
  <c r="O135" i="322" s="1"/>
  <c r="O87" i="322" s="1"/>
  <c r="O28" i="323" s="1"/>
  <c r="O32" i="323" s="1"/>
  <c r="O24" i="322"/>
  <c r="O15" i="323" s="1"/>
  <c r="O19" i="323" s="1"/>
  <c r="O129" i="325"/>
  <c r="O130" i="325" s="1"/>
  <c r="O135" i="325" s="1"/>
  <c r="O87" i="325" s="1"/>
  <c r="O28" i="326" s="1"/>
  <c r="O67" i="325"/>
  <c r="O68" i="325" s="1"/>
  <c r="O73" i="325" s="1"/>
  <c r="O25" i="325" s="1"/>
  <c r="O16" i="326" s="1"/>
  <c r="O20" i="326" s="1"/>
  <c r="O24" i="325"/>
  <c r="O15" i="326" s="1"/>
  <c r="R41" i="322"/>
  <c r="R32" i="322"/>
  <c r="R38" i="321"/>
  <c r="R80" i="322" s="1"/>
  <c r="R38" i="324"/>
  <c r="R80" i="325" s="1"/>
  <c r="R38" i="327"/>
  <c r="R80" i="328" s="1"/>
  <c r="R90" i="322"/>
  <c r="R76" i="322"/>
  <c r="R84" i="322"/>
  <c r="R28" i="322"/>
  <c r="R22" i="322"/>
  <c r="Q122" i="325"/>
  <c r="Q60" i="325"/>
  <c r="R41" i="325"/>
  <c r="R32" i="325"/>
  <c r="Q48" i="319"/>
  <c r="Q39" i="319"/>
  <c r="Q56" i="319" s="1"/>
  <c r="Q23" i="319" s="1"/>
  <c r="Q17" i="320" s="1"/>
  <c r="Q21" i="320" s="1"/>
  <c r="Q30" i="319"/>
  <c r="R38" i="315"/>
  <c r="R80" i="316" s="1"/>
  <c r="R38" i="318"/>
  <c r="R80" i="319" s="1"/>
  <c r="R38" i="312"/>
  <c r="R80" i="314" s="1"/>
  <c r="Q40" i="324"/>
  <c r="Q42" i="324" s="1"/>
  <c r="Q43" i="324" s="1"/>
  <c r="Q44" i="324" s="1"/>
  <c r="Q46" i="324" s="1"/>
  <c r="Q48" i="324" s="1"/>
  <c r="R90" i="319"/>
  <c r="R84" i="319"/>
  <c r="R76" i="319"/>
  <c r="R22" i="319"/>
  <c r="R28" i="319"/>
  <c r="R32" i="328"/>
  <c r="R41" i="328"/>
  <c r="Q39" i="322"/>
  <c r="Q56" i="322" s="1"/>
  <c r="Q23" i="322" s="1"/>
  <c r="Q17" i="323" s="1"/>
  <c r="Q21" i="323" s="1"/>
  <c r="Q48" i="322"/>
  <c r="Q30" i="322"/>
  <c r="O29" i="320"/>
  <c r="O86" i="319"/>
  <c r="O27" i="320" s="1"/>
  <c r="O31" i="320" s="1"/>
  <c r="N35" i="326"/>
  <c r="Q94" i="316"/>
  <c r="Q103" i="316"/>
  <c r="P64" i="322"/>
  <c r="P126" i="322"/>
  <c r="U66" i="267"/>
  <c r="R76" i="328"/>
  <c r="R28" i="328"/>
  <c r="R22" i="328"/>
  <c r="R90" i="328"/>
  <c r="R84" i="328"/>
  <c r="P118" i="316"/>
  <c r="P85" i="316" s="1"/>
  <c r="Q101" i="322"/>
  <c r="Q92" i="322"/>
  <c r="P126" i="328"/>
  <c r="P64" i="328"/>
  <c r="O67" i="328"/>
  <c r="O68" i="328" s="1"/>
  <c r="O73" i="328" s="1"/>
  <c r="O25" i="328" s="1"/>
  <c r="O16" i="329" s="1"/>
  <c r="O20" i="329" s="1"/>
  <c r="O129" i="328"/>
  <c r="O130" i="328" s="1"/>
  <c r="O135" i="328" s="1"/>
  <c r="O87" i="328" s="1"/>
  <c r="O28" i="329" s="1"/>
  <c r="O32" i="329" s="1"/>
  <c r="O24" i="328"/>
  <c r="O15" i="329" s="1"/>
  <c r="Q26" i="308"/>
  <c r="Q113" i="310" s="1"/>
  <c r="M101" i="260"/>
  <c r="M43" i="313"/>
  <c r="P53" i="312"/>
  <c r="P192" i="313" s="1"/>
  <c r="P194" i="313" s="1"/>
  <c r="O170" i="310"/>
  <c r="P159" i="310"/>
  <c r="P166" i="310" s="1"/>
  <c r="K112" i="260"/>
  <c r="P53" i="318"/>
  <c r="P192" i="320" s="1"/>
  <c r="P194" i="320" s="1"/>
  <c r="N35" i="313"/>
  <c r="R37" i="318"/>
  <c r="R37" i="315"/>
  <c r="R37" i="312"/>
  <c r="R40" i="312" s="1"/>
  <c r="R42" i="312" s="1"/>
  <c r="R43" i="312" s="1"/>
  <c r="R44" i="312" s="1"/>
  <c r="R46" i="312" s="1"/>
  <c r="T63" i="267"/>
  <c r="Q103" i="314"/>
  <c r="Q94" i="314"/>
  <c r="P110" i="314"/>
  <c r="P101" i="314"/>
  <c r="P92" i="314"/>
  <c r="P118" i="314" s="1"/>
  <c r="P85" i="314" s="1"/>
  <c r="S10" i="318"/>
  <c r="S16" i="319" s="1"/>
  <c r="S10" i="312"/>
  <c r="U61" i="267"/>
  <c r="U63" i="267" s="1"/>
  <c r="S10" i="315"/>
  <c r="O29" i="313"/>
  <c r="O33" i="313" s="1"/>
  <c r="O86" i="314"/>
  <c r="O27" i="313" s="1"/>
  <c r="O31" i="313" s="1"/>
  <c r="P73" i="314"/>
  <c r="R84" i="314"/>
  <c r="R90" i="314"/>
  <c r="R76" i="314"/>
  <c r="O24" i="314"/>
  <c r="O15" i="313" s="1"/>
  <c r="O19" i="313" s="1"/>
  <c r="O17" i="313"/>
  <c r="O21" i="313" s="1"/>
  <c r="P23" i="314"/>
  <c r="P17" i="313" s="1"/>
  <c r="N20" i="313"/>
  <c r="N23" i="313" s="1"/>
  <c r="N40" i="313"/>
  <c r="P128" i="310"/>
  <c r="N85" i="310"/>
  <c r="O78" i="310"/>
  <c r="O175" i="310"/>
  <c r="N177" i="317"/>
  <c r="N204" i="317" s="1"/>
  <c r="N177" i="323"/>
  <c r="N204" i="323" s="1"/>
  <c r="R14" i="308"/>
  <c r="R16" i="308" s="1"/>
  <c r="R17" i="308" s="1"/>
  <c r="R18" i="308" s="1"/>
  <c r="R20" i="308" s="1"/>
  <c r="R26" i="308" s="1"/>
  <c r="O177" i="313"/>
  <c r="O202" i="310"/>
  <c r="P170" i="329"/>
  <c r="N177" i="320"/>
  <c r="O170" i="317"/>
  <c r="R25" i="312"/>
  <c r="R27" i="312"/>
  <c r="R26" i="312"/>
  <c r="Q55" i="313"/>
  <c r="Q62" i="313" s="1"/>
  <c r="Q159" i="313"/>
  <c r="Q166" i="313" s="1"/>
  <c r="Q112" i="313"/>
  <c r="Q32" i="312"/>
  <c r="Q172" i="313" s="1"/>
  <c r="P126" i="310"/>
  <c r="M23" i="326"/>
  <c r="M43" i="326" s="1"/>
  <c r="O66" i="320"/>
  <c r="R14" i="315"/>
  <c r="R16" i="315" s="1"/>
  <c r="R17" i="315" s="1"/>
  <c r="R18" i="315" s="1"/>
  <c r="R20" i="315" s="1"/>
  <c r="N177" i="326"/>
  <c r="N204" i="326" s="1"/>
  <c r="P33" i="318"/>
  <c r="P173" i="320" s="1"/>
  <c r="P160" i="320"/>
  <c r="P167" i="320" s="1"/>
  <c r="P113" i="320"/>
  <c r="P56" i="320"/>
  <c r="P63" i="320" s="1"/>
  <c r="O170" i="320"/>
  <c r="O170" i="323"/>
  <c r="P175" i="329"/>
  <c r="Q26" i="324"/>
  <c r="Q27" i="324"/>
  <c r="Q25" i="324"/>
  <c r="O200" i="326"/>
  <c r="O175" i="326"/>
  <c r="O200" i="320"/>
  <c r="O175" i="320"/>
  <c r="R14" i="324"/>
  <c r="R16" i="324" s="1"/>
  <c r="R17" i="324" s="1"/>
  <c r="R18" i="324" s="1"/>
  <c r="R20" i="324" s="1"/>
  <c r="R17" i="325"/>
  <c r="N19" i="329"/>
  <c r="N39" i="329"/>
  <c r="Q26" i="315"/>
  <c r="Q25" i="315"/>
  <c r="Q27" i="315"/>
  <c r="O17" i="326"/>
  <c r="O66" i="317"/>
  <c r="P112" i="320"/>
  <c r="P55" i="320"/>
  <c r="P62" i="320" s="1"/>
  <c r="P32" i="318"/>
  <c r="P172" i="320" s="1"/>
  <c r="P159" i="320"/>
  <c r="P166" i="320" s="1"/>
  <c r="P114" i="317"/>
  <c r="P57" i="317"/>
  <c r="P64" i="317" s="1"/>
  <c r="P161" i="317"/>
  <c r="P168" i="317" s="1"/>
  <c r="Q57" i="313"/>
  <c r="Q64" i="313" s="1"/>
  <c r="Q114" i="313"/>
  <c r="Q161" i="313"/>
  <c r="Q168" i="313" s="1"/>
  <c r="N23" i="320"/>
  <c r="N43" i="320" s="1"/>
  <c r="Q25" i="321"/>
  <c r="Q26" i="321"/>
  <c r="Q27" i="321"/>
  <c r="P114" i="323"/>
  <c r="P57" i="323"/>
  <c r="P64" i="323" s="1"/>
  <c r="P161" i="323"/>
  <c r="P168" i="323" s="1"/>
  <c r="P112" i="326"/>
  <c r="P55" i="326"/>
  <c r="P62" i="326" s="1"/>
  <c r="P159" i="326"/>
  <c r="P166" i="326" s="1"/>
  <c r="P32" i="324"/>
  <c r="P172" i="326" s="1"/>
  <c r="Q26" i="318"/>
  <c r="Q25" i="318"/>
  <c r="Q27" i="318"/>
  <c r="O170" i="326"/>
  <c r="Q55" i="329"/>
  <c r="Q62" i="329" s="1"/>
  <c r="Q32" i="327"/>
  <c r="Q172" i="329" s="1"/>
  <c r="Q112" i="329"/>
  <c r="Q159" i="329"/>
  <c r="Q166" i="329" s="1"/>
  <c r="R25" i="327"/>
  <c r="R27" i="327"/>
  <c r="R26" i="327"/>
  <c r="N21" i="329"/>
  <c r="N41" i="329"/>
  <c r="O200" i="317"/>
  <c r="O175" i="317"/>
  <c r="Q160" i="313"/>
  <c r="Q167" i="313" s="1"/>
  <c r="Q33" i="312"/>
  <c r="Q173" i="313" s="1"/>
  <c r="Q56" i="313"/>
  <c r="Q63" i="313" s="1"/>
  <c r="Q113" i="313"/>
  <c r="P114" i="320"/>
  <c r="P57" i="320"/>
  <c r="P64" i="320" s="1"/>
  <c r="P161" i="320"/>
  <c r="P168" i="320" s="1"/>
  <c r="M23" i="329"/>
  <c r="M43" i="329" s="1"/>
  <c r="P160" i="323"/>
  <c r="P167" i="323" s="1"/>
  <c r="P113" i="323"/>
  <c r="P33" i="321"/>
  <c r="P173" i="323" s="1"/>
  <c r="P201" i="323" s="1"/>
  <c r="P56" i="323"/>
  <c r="P63" i="323" s="1"/>
  <c r="P161" i="326"/>
  <c r="P168" i="326" s="1"/>
  <c r="P57" i="326"/>
  <c r="P64" i="326" s="1"/>
  <c r="P114" i="326"/>
  <c r="O66" i="326"/>
  <c r="P32" i="315"/>
  <c r="P172" i="317" s="1"/>
  <c r="P159" i="317"/>
  <c r="P166" i="317" s="1"/>
  <c r="P55" i="317"/>
  <c r="P62" i="317" s="1"/>
  <c r="P112" i="317"/>
  <c r="R14" i="321"/>
  <c r="R16" i="321" s="1"/>
  <c r="R17" i="321" s="1"/>
  <c r="R18" i="321" s="1"/>
  <c r="R20" i="321" s="1"/>
  <c r="R17" i="322"/>
  <c r="O200" i="323"/>
  <c r="O175" i="323"/>
  <c r="N21" i="326"/>
  <c r="N41" i="326"/>
  <c r="P70" i="310"/>
  <c r="P74" i="310" s="1"/>
  <c r="O177" i="329"/>
  <c r="P112" i="323"/>
  <c r="P55" i="323"/>
  <c r="P62" i="323" s="1"/>
  <c r="P32" i="321"/>
  <c r="P172" i="323" s="1"/>
  <c r="P159" i="323"/>
  <c r="P166" i="323" s="1"/>
  <c r="P56" i="326"/>
  <c r="P63" i="326" s="1"/>
  <c r="P160" i="326"/>
  <c r="P167" i="326" s="1"/>
  <c r="P113" i="326"/>
  <c r="P33" i="324"/>
  <c r="P173" i="326" s="1"/>
  <c r="P201" i="326" s="1"/>
  <c r="P33" i="315"/>
  <c r="P173" i="317" s="1"/>
  <c r="P201" i="317" s="1"/>
  <c r="P160" i="317"/>
  <c r="P167" i="317" s="1"/>
  <c r="P56" i="317"/>
  <c r="P63" i="317" s="1"/>
  <c r="P113" i="317"/>
  <c r="R17" i="319"/>
  <c r="R14" i="318"/>
  <c r="R16" i="318" s="1"/>
  <c r="R17" i="318" s="1"/>
  <c r="R18" i="318" s="1"/>
  <c r="R20" i="318" s="1"/>
  <c r="P66" i="329"/>
  <c r="N20" i="326"/>
  <c r="N40" i="326"/>
  <c r="O17" i="329"/>
  <c r="O66" i="323"/>
  <c r="N19" i="326"/>
  <c r="N39" i="326"/>
  <c r="Q39" i="314"/>
  <c r="Q30" i="314"/>
  <c r="Q56" i="314" s="1"/>
  <c r="Q48" i="314"/>
  <c r="R41" i="314"/>
  <c r="R32" i="314"/>
  <c r="N20" i="303"/>
  <c r="P71" i="313"/>
  <c r="P75" i="313" s="1"/>
  <c r="P182" i="313"/>
  <c r="P186" i="313" s="1"/>
  <c r="P127" i="313"/>
  <c r="P182" i="320"/>
  <c r="P186" i="320" s="1"/>
  <c r="P127" i="320"/>
  <c r="P71" i="320"/>
  <c r="P75" i="320" s="1"/>
  <c r="S3" i="329"/>
  <c r="S3" i="326"/>
  <c r="S1" i="325"/>
  <c r="S1" i="328"/>
  <c r="S1" i="322"/>
  <c r="S3" i="323"/>
  <c r="S1" i="316"/>
  <c r="S3" i="320"/>
  <c r="S3" i="317"/>
  <c r="S1" i="319"/>
  <c r="S3" i="313"/>
  <c r="S1" i="314"/>
  <c r="Q63" i="304"/>
  <c r="Q66" i="304" s="1"/>
  <c r="Q67" i="304" s="1"/>
  <c r="Q72" i="304" s="1"/>
  <c r="R14" i="322"/>
  <c r="P183" i="320"/>
  <c r="P187" i="320" s="1"/>
  <c r="P128" i="320"/>
  <c r="P72" i="320"/>
  <c r="P76" i="320" s="1"/>
  <c r="N78" i="313"/>
  <c r="N85" i="313" s="1"/>
  <c r="N82" i="313"/>
  <c r="O74" i="329"/>
  <c r="P128" i="329"/>
  <c r="P183" i="329"/>
  <c r="P187" i="329" s="1"/>
  <c r="P72" i="329"/>
  <c r="P76" i="329" s="1"/>
  <c r="O83" i="310"/>
  <c r="P181" i="317"/>
  <c r="P185" i="317" s="1"/>
  <c r="P126" i="317"/>
  <c r="P70" i="317"/>
  <c r="P128" i="313"/>
  <c r="P72" i="313"/>
  <c r="P76" i="313" s="1"/>
  <c r="P183" i="313"/>
  <c r="P187" i="313" s="1"/>
  <c r="N78" i="323"/>
  <c r="N85" i="323" s="1"/>
  <c r="N82" i="323"/>
  <c r="R22" i="314"/>
  <c r="R28" i="314"/>
  <c r="R14" i="314"/>
  <c r="R14" i="328"/>
  <c r="Q194" i="326"/>
  <c r="Q48" i="327"/>
  <c r="Q52" i="327" s="1"/>
  <c r="Q191" i="329" s="1"/>
  <c r="Q50" i="327"/>
  <c r="Q49" i="327"/>
  <c r="N78" i="326"/>
  <c r="N85" i="326" s="1"/>
  <c r="N82" i="326"/>
  <c r="P126" i="313"/>
  <c r="P70" i="313"/>
  <c r="P181" i="313"/>
  <c r="P185" i="313" s="1"/>
  <c r="Q194" i="323"/>
  <c r="N78" i="320"/>
  <c r="N85" i="320" s="1"/>
  <c r="N82" i="320"/>
  <c r="O74" i="320"/>
  <c r="O83" i="320"/>
  <c r="P128" i="323"/>
  <c r="P72" i="323"/>
  <c r="P76" i="323" s="1"/>
  <c r="P183" i="323"/>
  <c r="P187" i="323" s="1"/>
  <c r="R14" i="325"/>
  <c r="P72" i="326"/>
  <c r="P76" i="326" s="1"/>
  <c r="P183" i="326"/>
  <c r="P187" i="326" s="1"/>
  <c r="P128" i="326"/>
  <c r="R14" i="319"/>
  <c r="R151" i="329"/>
  <c r="R150" i="329"/>
  <c r="O74" i="313"/>
  <c r="N78" i="329"/>
  <c r="N85" i="329" s="1"/>
  <c r="N82" i="329"/>
  <c r="O189" i="326"/>
  <c r="O196" i="326" s="1"/>
  <c r="O202" i="326"/>
  <c r="O189" i="320"/>
  <c r="O196" i="320" s="1"/>
  <c r="O202" i="320"/>
  <c r="Q194" i="317"/>
  <c r="P181" i="326"/>
  <c r="P185" i="326" s="1"/>
  <c r="P126" i="326"/>
  <c r="P70" i="326"/>
  <c r="O74" i="326"/>
  <c r="O83" i="326"/>
  <c r="N78" i="317"/>
  <c r="N85" i="317" s="1"/>
  <c r="N82" i="317"/>
  <c r="R14" i="316"/>
  <c r="P181" i="320"/>
  <c r="P185" i="320" s="1"/>
  <c r="P70" i="320"/>
  <c r="P126" i="320"/>
  <c r="P182" i="326"/>
  <c r="P186" i="326" s="1"/>
  <c r="P127" i="326"/>
  <c r="P71" i="326"/>
  <c r="P75" i="326" s="1"/>
  <c r="N21" i="303"/>
  <c r="P72" i="310"/>
  <c r="P76" i="310" s="1"/>
  <c r="O189" i="303"/>
  <c r="O196" i="303" s="1"/>
  <c r="P71" i="310"/>
  <c r="P75" i="310" s="1"/>
  <c r="P182" i="310"/>
  <c r="P186" i="310" s="1"/>
  <c r="P126" i="303"/>
  <c r="Q49" i="308"/>
  <c r="Q127" i="310" s="1"/>
  <c r="Q48" i="308"/>
  <c r="Q70" i="310" s="1"/>
  <c r="Q74" i="310" s="1"/>
  <c r="Q50" i="308"/>
  <c r="Q128" i="310" s="1"/>
  <c r="O41" i="303"/>
  <c r="O21" i="303"/>
  <c r="U52" i="267"/>
  <c r="U57" i="267"/>
  <c r="S10" i="268"/>
  <c r="S15" i="270" s="1"/>
  <c r="S10" i="308"/>
  <c r="S10" i="302"/>
  <c r="S10" i="277"/>
  <c r="R37" i="277"/>
  <c r="R40" i="277" s="1"/>
  <c r="R42" i="277" s="1"/>
  <c r="R43" i="277" s="1"/>
  <c r="R44" i="277" s="1"/>
  <c r="R46" i="277" s="1"/>
  <c r="R37" i="271"/>
  <c r="R40" i="271" s="1"/>
  <c r="R42" i="271" s="1"/>
  <c r="R43" i="271" s="1"/>
  <c r="R44" i="271" s="1"/>
  <c r="R46" i="271" s="1"/>
  <c r="R37" i="308"/>
  <c r="R40" i="308" s="1"/>
  <c r="R42" i="308" s="1"/>
  <c r="R43" i="308" s="1"/>
  <c r="R44" i="308" s="1"/>
  <c r="R46" i="308" s="1"/>
  <c r="R37" i="305"/>
  <c r="R40" i="305" s="1"/>
  <c r="R42" i="305" s="1"/>
  <c r="R43" i="305" s="1"/>
  <c r="R44" i="305" s="1"/>
  <c r="R46" i="305" s="1"/>
  <c r="R37" i="302"/>
  <c r="R40" i="302" s="1"/>
  <c r="R42" i="302" s="1"/>
  <c r="R43" i="302" s="1"/>
  <c r="R44" i="302" s="1"/>
  <c r="R46" i="302" s="1"/>
  <c r="R48" i="302" s="1"/>
  <c r="R38" i="268"/>
  <c r="R38" i="277"/>
  <c r="R38" i="271"/>
  <c r="R38" i="308"/>
  <c r="R38" i="305"/>
  <c r="R38" i="302"/>
  <c r="P70" i="303"/>
  <c r="P74" i="303" s="1"/>
  <c r="N41" i="272"/>
  <c r="N21" i="272"/>
  <c r="M39" i="272"/>
  <c r="M19" i="272"/>
  <c r="M40" i="272"/>
  <c r="M20" i="272"/>
  <c r="R29" i="272"/>
  <c r="R33" i="272" s="1"/>
  <c r="R28" i="272"/>
  <c r="R32" i="272" s="1"/>
  <c r="R27" i="272"/>
  <c r="O41" i="272"/>
  <c r="O21" i="272"/>
  <c r="O39" i="306"/>
  <c r="O19" i="306"/>
  <c r="N85" i="306"/>
  <c r="O40" i="306"/>
  <c r="O20" i="306"/>
  <c r="P41" i="306"/>
  <c r="P21" i="306"/>
  <c r="P21" i="310"/>
  <c r="O39" i="310"/>
  <c r="O19" i="310"/>
  <c r="O40" i="310"/>
  <c r="O20" i="310"/>
  <c r="P20" i="310"/>
  <c r="N40" i="278"/>
  <c r="N20" i="278"/>
  <c r="N39" i="278"/>
  <c r="N19" i="278"/>
  <c r="N41" i="278"/>
  <c r="N21" i="278"/>
  <c r="R28" i="278"/>
  <c r="R32" i="278" s="1"/>
  <c r="R29" i="278"/>
  <c r="R33" i="278" s="1"/>
  <c r="R27" i="278"/>
  <c r="O41" i="278"/>
  <c r="O21" i="278"/>
  <c r="M40" i="278"/>
  <c r="M20" i="278"/>
  <c r="M39" i="278"/>
  <c r="M19" i="278"/>
  <c r="M39" i="269"/>
  <c r="M19" i="269"/>
  <c r="N41" i="269"/>
  <c r="N21" i="269"/>
  <c r="M40" i="269"/>
  <c r="M20" i="269"/>
  <c r="Q9" i="269"/>
  <c r="P31" i="269"/>
  <c r="P35" i="269" s="1"/>
  <c r="V11" i="303"/>
  <c r="U33" i="303"/>
  <c r="U35" i="303" s="1"/>
  <c r="Q9" i="278"/>
  <c r="P31" i="278"/>
  <c r="P35" i="278" s="1"/>
  <c r="V11" i="310"/>
  <c r="U33" i="310"/>
  <c r="U35" i="310" s="1"/>
  <c r="T10" i="269"/>
  <c r="U11" i="272"/>
  <c r="V11" i="306"/>
  <c r="U33" i="306"/>
  <c r="U35" i="306" s="1"/>
  <c r="U10" i="272"/>
  <c r="Q9" i="272"/>
  <c r="P31" i="272"/>
  <c r="P35" i="272" s="1"/>
  <c r="T11" i="269"/>
  <c r="U11" i="278"/>
  <c r="U10" i="278"/>
  <c r="O83" i="303"/>
  <c r="O62" i="303"/>
  <c r="O66" i="303" s="1"/>
  <c r="O85" i="303" s="1"/>
  <c r="Q25" i="305"/>
  <c r="Q159" i="306" s="1"/>
  <c r="Q166" i="306" s="1"/>
  <c r="Q57" i="306"/>
  <c r="Q64" i="306" s="1"/>
  <c r="Q161" i="306"/>
  <c r="Q168" i="306" s="1"/>
  <c r="Q38" i="309"/>
  <c r="P183" i="303"/>
  <c r="P187" i="303" s="1"/>
  <c r="P189" i="303" s="1"/>
  <c r="P196" i="303" s="1"/>
  <c r="P72" i="303"/>
  <c r="P76" i="303" s="1"/>
  <c r="Q47" i="309"/>
  <c r="R14" i="271"/>
  <c r="R16" i="271" s="1"/>
  <c r="R17" i="271" s="1"/>
  <c r="R18" i="271" s="1"/>
  <c r="R20" i="271" s="1"/>
  <c r="R16" i="273"/>
  <c r="R59" i="273" s="1"/>
  <c r="O23" i="304"/>
  <c r="O15" i="303" s="1"/>
  <c r="R14" i="277"/>
  <c r="R16" i="277" s="1"/>
  <c r="R17" i="277" s="1"/>
  <c r="R18" i="277" s="1"/>
  <c r="R20" i="277" s="1"/>
  <c r="R16" i="279"/>
  <c r="R59" i="279" s="1"/>
  <c r="O24" i="304"/>
  <c r="O16" i="303" s="1"/>
  <c r="N23" i="306"/>
  <c r="N43" i="306" s="1"/>
  <c r="P17" i="303"/>
  <c r="P23" i="304"/>
  <c r="P15" i="303" s="1"/>
  <c r="P24" i="304"/>
  <c r="P16" i="303" s="1"/>
  <c r="R14" i="268"/>
  <c r="R16" i="268" s="1"/>
  <c r="R16" i="270"/>
  <c r="R59" i="270" s="1"/>
  <c r="Q40" i="304"/>
  <c r="Q31" i="304"/>
  <c r="P23" i="307"/>
  <c r="P15" i="306" s="1"/>
  <c r="O202" i="303"/>
  <c r="Q49" i="302"/>
  <c r="Q127" i="303" s="1"/>
  <c r="Q26" i="305"/>
  <c r="Q33" i="305" s="1"/>
  <c r="Q173" i="306" s="1"/>
  <c r="Q201" i="306" s="1"/>
  <c r="Q38" i="304"/>
  <c r="R13" i="304"/>
  <c r="R27" i="304"/>
  <c r="Q29" i="304"/>
  <c r="O170" i="306"/>
  <c r="N204" i="306"/>
  <c r="O66" i="306"/>
  <c r="Q27" i="302"/>
  <c r="Q114" i="303" s="1"/>
  <c r="P24" i="307"/>
  <c r="P16" i="306" s="1"/>
  <c r="Q50" i="302"/>
  <c r="Q183" i="303" s="1"/>
  <c r="Q187" i="303" s="1"/>
  <c r="P56" i="303"/>
  <c r="P63" i="303" s="1"/>
  <c r="P160" i="303"/>
  <c r="P167" i="303" s="1"/>
  <c r="R194" i="306"/>
  <c r="R13" i="309"/>
  <c r="R21" i="309"/>
  <c r="R27" i="309"/>
  <c r="S1" i="304"/>
  <c r="S27" i="304" s="1"/>
  <c r="S1" i="309"/>
  <c r="S1" i="307"/>
  <c r="R14" i="305"/>
  <c r="R16" i="305" s="1"/>
  <c r="R17" i="305" s="1"/>
  <c r="R18" i="305" s="1"/>
  <c r="R20" i="305" s="1"/>
  <c r="R60" i="307"/>
  <c r="R63" i="307" s="1"/>
  <c r="Q114" i="310"/>
  <c r="Q161" i="310"/>
  <c r="Q168" i="310" s="1"/>
  <c r="Q57" i="310"/>
  <c r="Q64" i="310" s="1"/>
  <c r="P114" i="306"/>
  <c r="P161" i="306"/>
  <c r="P168" i="306" s="1"/>
  <c r="P57" i="306"/>
  <c r="P64" i="306" s="1"/>
  <c r="P32" i="305"/>
  <c r="P172" i="306" s="1"/>
  <c r="P159" i="306"/>
  <c r="P166" i="306" s="1"/>
  <c r="P112" i="306"/>
  <c r="P55" i="306"/>
  <c r="P62" i="306" s="1"/>
  <c r="R194" i="310"/>
  <c r="P113" i="306"/>
  <c r="P160" i="306"/>
  <c r="P167" i="306" s="1"/>
  <c r="P33" i="305"/>
  <c r="P173" i="306" s="1"/>
  <c r="P201" i="306" s="1"/>
  <c r="P56" i="306"/>
  <c r="P63" i="306" s="1"/>
  <c r="O82" i="310"/>
  <c r="O66" i="310"/>
  <c r="Q66" i="307"/>
  <c r="Q67" i="307" s="1"/>
  <c r="Q72" i="307" s="1"/>
  <c r="P175" i="310"/>
  <c r="P200" i="310"/>
  <c r="Q29" i="307"/>
  <c r="Q55" i="307" s="1"/>
  <c r="Q22" i="307" s="1"/>
  <c r="Q17" i="306" s="1"/>
  <c r="Q47" i="307"/>
  <c r="Q38" i="307"/>
  <c r="O200" i="306"/>
  <c r="O175" i="306"/>
  <c r="M23" i="306"/>
  <c r="M43" i="306" s="1"/>
  <c r="S60" i="309"/>
  <c r="R13" i="307"/>
  <c r="R21" i="307"/>
  <c r="R27" i="307"/>
  <c r="P33" i="302"/>
  <c r="P173" i="303" s="1"/>
  <c r="P182" i="306"/>
  <c r="P186" i="306" s="1"/>
  <c r="P127" i="306"/>
  <c r="P71" i="306"/>
  <c r="P75" i="306" s="1"/>
  <c r="N23" i="273"/>
  <c r="N15" i="272" s="1"/>
  <c r="N24" i="273"/>
  <c r="N16" i="272" s="1"/>
  <c r="P70" i="306"/>
  <c r="P74" i="306" s="1"/>
  <c r="P126" i="306"/>
  <c r="P181" i="306"/>
  <c r="P185" i="306" s="1"/>
  <c r="P55" i="303"/>
  <c r="P62" i="303" s="1"/>
  <c r="P112" i="303"/>
  <c r="P159" i="303"/>
  <c r="P166" i="303" s="1"/>
  <c r="P183" i="306"/>
  <c r="P187" i="306" s="1"/>
  <c r="P72" i="306"/>
  <c r="P128" i="306"/>
  <c r="O76" i="306"/>
  <c r="O83" i="306"/>
  <c r="O189" i="306"/>
  <c r="O196" i="306" s="1"/>
  <c r="O202" i="306"/>
  <c r="N16" i="269"/>
  <c r="N15" i="269"/>
  <c r="O17" i="269"/>
  <c r="R194" i="303"/>
  <c r="Q50" i="305"/>
  <c r="Q49" i="305"/>
  <c r="Q48" i="305"/>
  <c r="S10" i="305"/>
  <c r="K23" i="303"/>
  <c r="K43" i="303" s="1"/>
  <c r="R60" i="304"/>
  <c r="R14" i="302"/>
  <c r="R16" i="302" s="1"/>
  <c r="R17" i="302" s="1"/>
  <c r="R18" i="302" s="1"/>
  <c r="R20" i="302" s="1"/>
  <c r="R27" i="302" s="1"/>
  <c r="K175" i="303"/>
  <c r="K177" i="303" s="1"/>
  <c r="K204" i="303" s="1"/>
  <c r="K200" i="303"/>
  <c r="K111" i="260" s="1"/>
  <c r="L172" i="269"/>
  <c r="L200" i="269" s="1"/>
  <c r="Q25" i="302"/>
  <c r="Q159" i="303" s="1"/>
  <c r="Q166" i="303" s="1"/>
  <c r="L173" i="269"/>
  <c r="L201" i="269" s="1"/>
  <c r="L201" i="303"/>
  <c r="Q126" i="303"/>
  <c r="Q181" i="303"/>
  <c r="Q185" i="303" s="1"/>
  <c r="Q70" i="303"/>
  <c r="Q74" i="303" s="1"/>
  <c r="S14" i="304"/>
  <c r="Q113" i="303"/>
  <c r="Q160" i="303"/>
  <c r="Q167" i="303" s="1"/>
  <c r="Q56" i="303"/>
  <c r="Q63" i="303" s="1"/>
  <c r="T58" i="267"/>
  <c r="U56" i="267"/>
  <c r="U58" i="267" s="1"/>
  <c r="AB42" i="260"/>
  <c r="O23" i="273"/>
  <c r="O15" i="272" s="1"/>
  <c r="R13" i="273"/>
  <c r="R21" i="273"/>
  <c r="R27" i="273"/>
  <c r="T53" i="267"/>
  <c r="R37" i="268"/>
  <c r="R40" i="268" s="1"/>
  <c r="R42" i="268" s="1"/>
  <c r="R13" i="279"/>
  <c r="R21" i="279"/>
  <c r="R27" i="279"/>
  <c r="U51" i="267"/>
  <c r="S3" i="272"/>
  <c r="V2" i="267"/>
  <c r="S1" i="273"/>
  <c r="S1" i="270"/>
  <c r="S1" i="279"/>
  <c r="S3" i="278"/>
  <c r="R13" i="270"/>
  <c r="R27" i="270"/>
  <c r="R21" i="270"/>
  <c r="P29" i="279"/>
  <c r="P55" i="279" s="1"/>
  <c r="P22" i="279" s="1"/>
  <c r="P17" i="278" s="1"/>
  <c r="P38" i="279"/>
  <c r="O24" i="273"/>
  <c r="O16" i="272" s="1"/>
  <c r="P38" i="273"/>
  <c r="P55" i="273" s="1"/>
  <c r="P22" i="273" s="1"/>
  <c r="P47" i="273"/>
  <c r="S10" i="271"/>
  <c r="S15" i="273" s="1"/>
  <c r="O24" i="279"/>
  <c r="O16" i="278" s="1"/>
  <c r="O23" i="279"/>
  <c r="O15" i="278" s="1"/>
  <c r="Q47" i="279"/>
  <c r="Q60" i="279"/>
  <c r="Q63" i="279" s="1"/>
  <c r="Q66" i="279" s="1"/>
  <c r="Q67" i="279" s="1"/>
  <c r="Q72" i="279" s="1"/>
  <c r="Q38" i="273"/>
  <c r="Q60" i="273"/>
  <c r="Q63" i="273" s="1"/>
  <c r="Q66" i="273" s="1"/>
  <c r="Q67" i="273" s="1"/>
  <c r="Q72" i="273" s="1"/>
  <c r="P182" i="278"/>
  <c r="P127" i="278"/>
  <c r="P71" i="278"/>
  <c r="P183" i="278"/>
  <c r="P128" i="278"/>
  <c r="P72" i="278"/>
  <c r="P181" i="278"/>
  <c r="P126" i="278"/>
  <c r="P70" i="278"/>
  <c r="P33" i="277"/>
  <c r="P173" i="278" s="1"/>
  <c r="P201" i="278" s="1"/>
  <c r="P56" i="278"/>
  <c r="P63" i="278" s="1"/>
  <c r="P113" i="278"/>
  <c r="P160" i="278"/>
  <c r="P167" i="278" s="1"/>
  <c r="P114" i="278"/>
  <c r="P161" i="278"/>
  <c r="P57" i="278"/>
  <c r="P32" i="277"/>
  <c r="P172" i="278" s="1"/>
  <c r="P55" i="278"/>
  <c r="P112" i="278"/>
  <c r="P159" i="278"/>
  <c r="P166" i="278" s="1"/>
  <c r="N202" i="278"/>
  <c r="U52" i="277"/>
  <c r="U191" i="278" s="1"/>
  <c r="U53" i="277"/>
  <c r="U192" i="278" s="1"/>
  <c r="Q25" i="277"/>
  <c r="Q27" i="277"/>
  <c r="Q26" i="277"/>
  <c r="Q50" i="277"/>
  <c r="Q49" i="277"/>
  <c r="Q48" i="277"/>
  <c r="Q27" i="271"/>
  <c r="Q26" i="271"/>
  <c r="Q25" i="271"/>
  <c r="P32" i="271"/>
  <c r="P172" i="272" s="1"/>
  <c r="P55" i="272"/>
  <c r="P112" i="272"/>
  <c r="P159" i="272"/>
  <c r="P56" i="272"/>
  <c r="P113" i="272"/>
  <c r="P160" i="272"/>
  <c r="P33" i="271"/>
  <c r="P173" i="272" s="1"/>
  <c r="P57" i="272"/>
  <c r="P114" i="272"/>
  <c r="P161" i="272"/>
  <c r="P71" i="272"/>
  <c r="P75" i="272" s="1"/>
  <c r="P127" i="272"/>
  <c r="P182" i="272"/>
  <c r="P186" i="272" s="1"/>
  <c r="P72" i="272"/>
  <c r="P128" i="272"/>
  <c r="P183" i="272"/>
  <c r="P70" i="272"/>
  <c r="P126" i="272"/>
  <c r="P181" i="272"/>
  <c r="T52" i="271"/>
  <c r="T191" i="272" s="1"/>
  <c r="T53" i="271"/>
  <c r="T192" i="272" s="1"/>
  <c r="Q48" i="271"/>
  <c r="Q50" i="271"/>
  <c r="Q49" i="271"/>
  <c r="O166" i="272"/>
  <c r="O185" i="272"/>
  <c r="O189" i="272" s="1"/>
  <c r="R14" i="279"/>
  <c r="R14" i="273"/>
  <c r="O63" i="272"/>
  <c r="O167" i="272"/>
  <c r="N66" i="272"/>
  <c r="O168" i="272"/>
  <c r="O75" i="272"/>
  <c r="M85" i="278"/>
  <c r="N83" i="278"/>
  <c r="O201" i="278"/>
  <c r="N202" i="272"/>
  <c r="N170" i="272"/>
  <c r="O200" i="278"/>
  <c r="O62" i="278"/>
  <c r="O66" i="278" s="1"/>
  <c r="O24" i="270"/>
  <c r="O201" i="272"/>
  <c r="O64" i="272"/>
  <c r="O186" i="278"/>
  <c r="O202" i="278" s="1"/>
  <c r="O75" i="278"/>
  <c r="N83" i="272"/>
  <c r="P55" i="270"/>
  <c r="P22" i="270" s="1"/>
  <c r="O76" i="278"/>
  <c r="S52" i="268"/>
  <c r="S191" i="269" s="1"/>
  <c r="S53" i="268"/>
  <c r="S192" i="269" s="1"/>
  <c r="S6" i="277"/>
  <c r="S6" i="271"/>
  <c r="Q31" i="273"/>
  <c r="Q40" i="273"/>
  <c r="O200" i="272"/>
  <c r="M66" i="272"/>
  <c r="M85" i="272" s="1"/>
  <c r="M82" i="272"/>
  <c r="Q40" i="279"/>
  <c r="Q31" i="279"/>
  <c r="O170" i="278"/>
  <c r="L23" i="272"/>
  <c r="L43" i="272" s="1"/>
  <c r="L23" i="278"/>
  <c r="L43" i="278" s="1"/>
  <c r="O23" i="270"/>
  <c r="O74" i="278"/>
  <c r="O74" i="272"/>
  <c r="N78" i="272"/>
  <c r="N82" i="272"/>
  <c r="N78" i="278"/>
  <c r="N85" i="278" s="1"/>
  <c r="N82" i="278"/>
  <c r="V2" i="277"/>
  <c r="T3" i="269"/>
  <c r="L170" i="269"/>
  <c r="U2" i="271"/>
  <c r="M114" i="269"/>
  <c r="M57" i="269"/>
  <c r="M64" i="269" s="1"/>
  <c r="M161" i="269"/>
  <c r="M168" i="269" s="1"/>
  <c r="N25" i="268"/>
  <c r="N26" i="268"/>
  <c r="N27" i="268"/>
  <c r="Q60" i="270"/>
  <c r="Q63" i="270" s="1"/>
  <c r="L23" i="269"/>
  <c r="L43" i="269" s="1"/>
  <c r="L66" i="269"/>
  <c r="Q40" i="270"/>
  <c r="Q31" i="270"/>
  <c r="P17" i="268"/>
  <c r="P18" i="268" s="1"/>
  <c r="P20" i="268" s="1"/>
  <c r="Q38" i="270"/>
  <c r="Q29" i="270"/>
  <c r="Q47" i="270"/>
  <c r="M160" i="269"/>
  <c r="M167" i="269" s="1"/>
  <c r="M113" i="269"/>
  <c r="M33" i="268"/>
  <c r="M56" i="269"/>
  <c r="M63" i="269" s="1"/>
  <c r="M112" i="269"/>
  <c r="M55" i="269"/>
  <c r="M62" i="269" s="1"/>
  <c r="M32" i="268"/>
  <c r="M159" i="269"/>
  <c r="M166" i="269" s="1"/>
  <c r="R14" i="270"/>
  <c r="P66" i="270"/>
  <c r="P67" i="270" s="1"/>
  <c r="P72" i="270" s="1"/>
  <c r="T2" i="268"/>
  <c r="Q2" i="264"/>
  <c r="Q17" i="264" s="1"/>
  <c r="P19" i="310" l="1"/>
  <c r="O132" i="313"/>
  <c r="V11" i="267"/>
  <c r="V9" i="267"/>
  <c r="T6" i="271" s="1"/>
  <c r="V8" i="267"/>
  <c r="V10" i="267"/>
  <c r="T6" i="305" s="1"/>
  <c r="T14" i="307" s="1"/>
  <c r="V12" i="267"/>
  <c r="V7" i="267"/>
  <c r="T6" i="302" s="1"/>
  <c r="T14" i="304" s="1"/>
  <c r="T103" i="269"/>
  <c r="T100" i="269"/>
  <c r="T102" i="269"/>
  <c r="T101" i="269"/>
  <c r="T97" i="269"/>
  <c r="T95" i="269"/>
  <c r="T90" i="269"/>
  <c r="T92" i="269"/>
  <c r="T96" i="269"/>
  <c r="T93" i="269"/>
  <c r="T91" i="269"/>
  <c r="T98" i="269"/>
  <c r="Q17" i="310"/>
  <c r="Q23" i="309"/>
  <c r="Q15" i="310" s="1"/>
  <c r="Q39" i="310" s="1"/>
  <c r="Q24" i="309"/>
  <c r="Q16" i="310" s="1"/>
  <c r="V45" i="267"/>
  <c r="V30" i="267"/>
  <c r="V44" i="267"/>
  <c r="V46" i="267" s="1"/>
  <c r="V39" i="267"/>
  <c r="V41" i="267" s="1"/>
  <c r="V40" i="267"/>
  <c r="V29" i="267"/>
  <c r="V31" i="267" s="1"/>
  <c r="R40" i="309"/>
  <c r="R31" i="309"/>
  <c r="R32" i="316"/>
  <c r="R41" i="316"/>
  <c r="S11" i="308"/>
  <c r="S17" i="309" s="1"/>
  <c r="S11" i="268"/>
  <c r="S17" i="270" s="1"/>
  <c r="S11" i="302"/>
  <c r="S17" i="304" s="1"/>
  <c r="S11" i="277"/>
  <c r="S17" i="279" s="1"/>
  <c r="S11" i="315"/>
  <c r="S18" i="316" s="1"/>
  <c r="S11" i="318"/>
  <c r="S18" i="319" s="1"/>
  <c r="S11" i="312"/>
  <c r="S18" i="314" s="1"/>
  <c r="R55" i="309"/>
  <c r="R22" i="309" s="1"/>
  <c r="R41" i="319"/>
  <c r="R32" i="319"/>
  <c r="Q161" i="329"/>
  <c r="Q168" i="329" s="1"/>
  <c r="Q170" i="329" s="1"/>
  <c r="P72" i="317"/>
  <c r="P76" i="317" s="1"/>
  <c r="Q33" i="327"/>
  <c r="Q173" i="329" s="1"/>
  <c r="Q110" i="319"/>
  <c r="Q101" i="316"/>
  <c r="Q110" i="316"/>
  <c r="Q113" i="329"/>
  <c r="Q56" i="329"/>
  <c r="Q63" i="329" s="1"/>
  <c r="Q66" i="329" s="1"/>
  <c r="Q49" i="315"/>
  <c r="Q71" i="317" s="1"/>
  <c r="Q75" i="317" s="1"/>
  <c r="O202" i="317"/>
  <c r="Q92" i="325"/>
  <c r="Q92" i="319"/>
  <c r="N204" i="320"/>
  <c r="P181" i="329"/>
  <c r="P185" i="329" s="1"/>
  <c r="R60" i="314"/>
  <c r="R126" i="314" s="1"/>
  <c r="Q101" i="325"/>
  <c r="Q118" i="325" s="1"/>
  <c r="Q85" i="325" s="1"/>
  <c r="Q29" i="326" s="1"/>
  <c r="Q33" i="326" s="1"/>
  <c r="S77" i="322"/>
  <c r="S15" i="322"/>
  <c r="T6" i="321"/>
  <c r="T6" i="324"/>
  <c r="T6" i="312"/>
  <c r="T6" i="308"/>
  <c r="T14" i="309" s="1"/>
  <c r="T6" i="327"/>
  <c r="T6" i="315"/>
  <c r="T6" i="318"/>
  <c r="T6" i="268"/>
  <c r="O194" i="313"/>
  <c r="S77" i="314"/>
  <c r="S15" i="314"/>
  <c r="S77" i="319"/>
  <c r="S15" i="319"/>
  <c r="S77" i="325"/>
  <c r="S15" i="325"/>
  <c r="Q92" i="328"/>
  <c r="O189" i="313"/>
  <c r="S77" i="316"/>
  <c r="S15" i="316"/>
  <c r="S77" i="328"/>
  <c r="S15" i="328"/>
  <c r="S100" i="272"/>
  <c r="S102" i="272"/>
  <c r="S103" i="272"/>
  <c r="S101" i="272"/>
  <c r="S98" i="272"/>
  <c r="S93" i="272"/>
  <c r="S90" i="272"/>
  <c r="S92" i="272"/>
  <c r="S91" i="272"/>
  <c r="S96" i="272"/>
  <c r="S97" i="272"/>
  <c r="S95" i="272"/>
  <c r="S102" i="320"/>
  <c r="S103" i="320"/>
  <c r="S101" i="320"/>
  <c r="S100" i="320"/>
  <c r="S93" i="320"/>
  <c r="S97" i="320"/>
  <c r="S95" i="320"/>
  <c r="S90" i="320"/>
  <c r="S91" i="320"/>
  <c r="S98" i="320"/>
  <c r="S96" i="320"/>
  <c r="S92" i="320"/>
  <c r="S102" i="313"/>
  <c r="S101" i="313"/>
  <c r="S103" i="313"/>
  <c r="S100" i="313"/>
  <c r="S98" i="313"/>
  <c r="S96" i="313"/>
  <c r="S93" i="313"/>
  <c r="S97" i="313"/>
  <c r="S95" i="313"/>
  <c r="S90" i="313"/>
  <c r="S91" i="313"/>
  <c r="S92" i="313"/>
  <c r="S103" i="323"/>
  <c r="S102" i="323"/>
  <c r="S100" i="323"/>
  <c r="S101" i="323"/>
  <c r="S98" i="323"/>
  <c r="S96" i="323"/>
  <c r="S92" i="323"/>
  <c r="S93" i="323"/>
  <c r="S95" i="323"/>
  <c r="S90" i="323"/>
  <c r="S97" i="323"/>
  <c r="S91" i="323"/>
  <c r="S102" i="326"/>
  <c r="S103" i="326"/>
  <c r="S101" i="326"/>
  <c r="S100" i="326"/>
  <c r="S98" i="326"/>
  <c r="S96" i="326"/>
  <c r="S92" i="326"/>
  <c r="S93" i="326"/>
  <c r="S97" i="326"/>
  <c r="S95" i="326"/>
  <c r="S90" i="326"/>
  <c r="S91" i="326"/>
  <c r="S100" i="278"/>
  <c r="S103" i="278"/>
  <c r="S101" i="278"/>
  <c r="S102" i="278"/>
  <c r="S91" i="278"/>
  <c r="S98" i="278"/>
  <c r="S96" i="278"/>
  <c r="S92" i="278"/>
  <c r="S93" i="278"/>
  <c r="S97" i="278"/>
  <c r="S90" i="278"/>
  <c r="S95" i="278"/>
  <c r="S103" i="317"/>
  <c r="S102" i="317"/>
  <c r="S100" i="317"/>
  <c r="S98" i="317"/>
  <c r="S96" i="317"/>
  <c r="S92" i="317"/>
  <c r="S93" i="317"/>
  <c r="S91" i="317"/>
  <c r="S95" i="317"/>
  <c r="S90" i="317"/>
  <c r="S101" i="317"/>
  <c r="S97" i="317"/>
  <c r="S102" i="329"/>
  <c r="S103" i="329"/>
  <c r="S101" i="329"/>
  <c r="S100" i="329"/>
  <c r="S98" i="329"/>
  <c r="S96" i="329"/>
  <c r="S97" i="329"/>
  <c r="S95" i="329"/>
  <c r="S93" i="329"/>
  <c r="S90" i="329"/>
  <c r="S92" i="329"/>
  <c r="S91" i="329"/>
  <c r="O83" i="313"/>
  <c r="O83" i="329"/>
  <c r="P128" i="317"/>
  <c r="O202" i="329"/>
  <c r="Q114" i="329"/>
  <c r="P140" i="313"/>
  <c r="O83" i="317"/>
  <c r="O140" i="313"/>
  <c r="O143" i="313"/>
  <c r="O132" i="329"/>
  <c r="O131" i="313"/>
  <c r="P142" i="313"/>
  <c r="M119" i="269"/>
  <c r="M118" i="269"/>
  <c r="M116" i="269"/>
  <c r="M117" i="269"/>
  <c r="P132" i="272"/>
  <c r="P133" i="272"/>
  <c r="P131" i="272"/>
  <c r="P130" i="272"/>
  <c r="P142" i="272"/>
  <c r="P143" i="272"/>
  <c r="P140" i="272"/>
  <c r="P141" i="272"/>
  <c r="P116" i="272"/>
  <c r="P117" i="272"/>
  <c r="P118" i="272"/>
  <c r="P119" i="272"/>
  <c r="P140" i="278"/>
  <c r="P116" i="278"/>
  <c r="P141" i="278"/>
  <c r="P142" i="278"/>
  <c r="P118" i="278"/>
  <c r="P117" i="278"/>
  <c r="P119" i="278"/>
  <c r="P143" i="278"/>
  <c r="P131" i="320"/>
  <c r="P133" i="320"/>
  <c r="P130" i="320"/>
  <c r="P132" i="320"/>
  <c r="P133" i="313"/>
  <c r="P130" i="313"/>
  <c r="P131" i="313"/>
  <c r="P132" i="313"/>
  <c r="Q116" i="313"/>
  <c r="Q117" i="313"/>
  <c r="Q118" i="313"/>
  <c r="Q119" i="313"/>
  <c r="P140" i="310"/>
  <c r="P141" i="310"/>
  <c r="P142" i="310"/>
  <c r="P119" i="310"/>
  <c r="P143" i="310"/>
  <c r="P116" i="310"/>
  <c r="P117" i="310"/>
  <c r="P118" i="310"/>
  <c r="O132" i="323"/>
  <c r="O133" i="323"/>
  <c r="O130" i="323"/>
  <c r="O131" i="323"/>
  <c r="O141" i="317"/>
  <c r="O141" i="313"/>
  <c r="O143" i="329"/>
  <c r="O140" i="323"/>
  <c r="O142" i="323"/>
  <c r="O140" i="329"/>
  <c r="O131" i="329"/>
  <c r="O130" i="313"/>
  <c r="P131" i="303"/>
  <c r="P132" i="303"/>
  <c r="P133" i="303"/>
  <c r="P130" i="303"/>
  <c r="P130" i="326"/>
  <c r="P131" i="326"/>
  <c r="P132" i="326"/>
  <c r="P133" i="326"/>
  <c r="P119" i="323"/>
  <c r="P116" i="323"/>
  <c r="P117" i="323"/>
  <c r="P118" i="323"/>
  <c r="P140" i="326"/>
  <c r="P116" i="326"/>
  <c r="P141" i="326"/>
  <c r="P117" i="326"/>
  <c r="P142" i="326"/>
  <c r="P118" i="326"/>
  <c r="P119" i="326"/>
  <c r="P143" i="326"/>
  <c r="O141" i="329"/>
  <c r="P141" i="313"/>
  <c r="P143" i="313"/>
  <c r="O130" i="329"/>
  <c r="O142" i="313"/>
  <c r="O133" i="313"/>
  <c r="P130" i="278"/>
  <c r="P131" i="278"/>
  <c r="P132" i="278"/>
  <c r="P133" i="278"/>
  <c r="O133" i="317"/>
  <c r="O130" i="317"/>
  <c r="O131" i="317"/>
  <c r="O132" i="317"/>
  <c r="P130" i="306"/>
  <c r="P131" i="306"/>
  <c r="P133" i="306"/>
  <c r="P132" i="306"/>
  <c r="P141" i="303"/>
  <c r="P117" i="303"/>
  <c r="P142" i="303"/>
  <c r="P118" i="303"/>
  <c r="P119" i="303"/>
  <c r="P143" i="303"/>
  <c r="P140" i="303"/>
  <c r="P116" i="303"/>
  <c r="P141" i="306"/>
  <c r="P142" i="306"/>
  <c r="P143" i="306"/>
  <c r="P119" i="306"/>
  <c r="P140" i="306"/>
  <c r="P116" i="306"/>
  <c r="P117" i="306"/>
  <c r="P118" i="306"/>
  <c r="Q49" i="312"/>
  <c r="Q182" i="313" s="1"/>
  <c r="Q186" i="313" s="1"/>
  <c r="P116" i="317"/>
  <c r="P117" i="317"/>
  <c r="P118" i="317"/>
  <c r="P119" i="317"/>
  <c r="P141" i="320"/>
  <c r="P142" i="320"/>
  <c r="P143" i="320"/>
  <c r="P119" i="320"/>
  <c r="P140" i="320"/>
  <c r="P118" i="320"/>
  <c r="P116" i="320"/>
  <c r="P117" i="320"/>
  <c r="P130" i="310"/>
  <c r="P132" i="310"/>
  <c r="P133" i="310"/>
  <c r="P131" i="310"/>
  <c r="O142" i="317"/>
  <c r="O140" i="317"/>
  <c r="O141" i="323"/>
  <c r="O143" i="323"/>
  <c r="O133" i="329"/>
  <c r="Q50" i="312"/>
  <c r="Q183" i="313" s="1"/>
  <c r="Q187" i="313" s="1"/>
  <c r="P126" i="329"/>
  <c r="S105" i="278"/>
  <c r="S108" i="278"/>
  <c r="S106" i="278"/>
  <c r="S107" i="278"/>
  <c r="S105" i="323"/>
  <c r="S108" i="323"/>
  <c r="S107" i="323"/>
  <c r="S106" i="323"/>
  <c r="T105" i="269"/>
  <c r="T107" i="269"/>
  <c r="T108" i="269"/>
  <c r="T106" i="269"/>
  <c r="S108" i="272"/>
  <c r="S106" i="272"/>
  <c r="S105" i="272"/>
  <c r="S107" i="272"/>
  <c r="P127" i="323"/>
  <c r="P132" i="323" s="1"/>
  <c r="S105" i="317"/>
  <c r="S108" i="317"/>
  <c r="S107" i="317"/>
  <c r="S106" i="317"/>
  <c r="S107" i="329"/>
  <c r="S106" i="329"/>
  <c r="S108" i="329"/>
  <c r="S105" i="329"/>
  <c r="P86" i="325"/>
  <c r="P27" i="326" s="1"/>
  <c r="P31" i="326" s="1"/>
  <c r="S108" i="326"/>
  <c r="S107" i="326"/>
  <c r="S105" i="326"/>
  <c r="S106" i="326"/>
  <c r="P71" i="323"/>
  <c r="P75" i="323" s="1"/>
  <c r="S105" i="320"/>
  <c r="S108" i="320"/>
  <c r="S107" i="320"/>
  <c r="S106" i="320"/>
  <c r="S108" i="313"/>
  <c r="S105" i="313"/>
  <c r="S107" i="313"/>
  <c r="S106" i="313"/>
  <c r="O83" i="323"/>
  <c r="R78" i="328"/>
  <c r="R101" i="328" s="1"/>
  <c r="R79" i="328"/>
  <c r="Q50" i="315"/>
  <c r="Q183" i="317" s="1"/>
  <c r="Q187" i="317" s="1"/>
  <c r="P181" i="323"/>
  <c r="P185" i="323" s="1"/>
  <c r="P189" i="323" s="1"/>
  <c r="P196" i="323" s="1"/>
  <c r="Q49" i="324"/>
  <c r="Q127" i="326" s="1"/>
  <c r="R78" i="319"/>
  <c r="R92" i="319" s="1"/>
  <c r="R79" i="319"/>
  <c r="P70" i="323"/>
  <c r="P74" i="323" s="1"/>
  <c r="O196" i="329"/>
  <c r="O204" i="329" s="1"/>
  <c r="O202" i="323"/>
  <c r="Q101" i="328"/>
  <c r="R78" i="322"/>
  <c r="R101" i="322" s="1"/>
  <c r="R79" i="322"/>
  <c r="P194" i="329"/>
  <c r="R79" i="316"/>
  <c r="R78" i="316"/>
  <c r="R110" i="316" s="1"/>
  <c r="P70" i="329"/>
  <c r="P74" i="329" s="1"/>
  <c r="R78" i="314"/>
  <c r="R79" i="314"/>
  <c r="O201" i="329"/>
  <c r="R78" i="325"/>
  <c r="R101" i="325" s="1"/>
  <c r="R79" i="325"/>
  <c r="S16" i="328"/>
  <c r="S17" i="328"/>
  <c r="Q50" i="321"/>
  <c r="Q128" i="323" s="1"/>
  <c r="P175" i="313"/>
  <c r="P127" i="329"/>
  <c r="Q50" i="324"/>
  <c r="Q72" i="326" s="1"/>
  <c r="Q76" i="326" s="1"/>
  <c r="P66" i="313"/>
  <c r="P170" i="313"/>
  <c r="Q118" i="328"/>
  <c r="Q85" i="328" s="1"/>
  <c r="Q29" i="329" s="1"/>
  <c r="Q33" i="329" s="1"/>
  <c r="N43" i="323"/>
  <c r="Q48" i="321"/>
  <c r="Q181" i="323" s="1"/>
  <c r="Q185" i="323" s="1"/>
  <c r="Q112" i="310"/>
  <c r="Q55" i="310"/>
  <c r="Q62" i="310" s="1"/>
  <c r="Q159" i="310"/>
  <c r="Q166" i="310" s="1"/>
  <c r="Q49" i="318"/>
  <c r="Q182" i="320" s="1"/>
  <c r="Q186" i="320" s="1"/>
  <c r="Q48" i="318"/>
  <c r="Q52" i="318" s="1"/>
  <c r="Q191" i="320" s="1"/>
  <c r="P201" i="320"/>
  <c r="P170" i="310"/>
  <c r="P177" i="310" s="1"/>
  <c r="P71" i="329"/>
  <c r="P75" i="329" s="1"/>
  <c r="P182" i="329"/>
  <c r="P186" i="329" s="1"/>
  <c r="Q33" i="308"/>
  <c r="Q173" i="310" s="1"/>
  <c r="Q201" i="310" s="1"/>
  <c r="Q56" i="310"/>
  <c r="Q63" i="310" s="1"/>
  <c r="Q160" i="310"/>
  <c r="Q167" i="310" s="1"/>
  <c r="O196" i="313"/>
  <c r="O204" i="313" s="1"/>
  <c r="P86" i="328"/>
  <c r="P27" i="329" s="1"/>
  <c r="P31" i="329" s="1"/>
  <c r="O23" i="323"/>
  <c r="O35" i="323"/>
  <c r="P71" i="317"/>
  <c r="P75" i="317" s="1"/>
  <c r="P127" i="317"/>
  <c r="O40" i="320"/>
  <c r="O40" i="329"/>
  <c r="R40" i="327"/>
  <c r="R42" i="327" s="1"/>
  <c r="R43" i="327" s="1"/>
  <c r="R44" i="327" s="1"/>
  <c r="R46" i="327" s="1"/>
  <c r="R48" i="327" s="1"/>
  <c r="R52" i="327" s="1"/>
  <c r="R191" i="329" s="1"/>
  <c r="O40" i="323"/>
  <c r="O39" i="323"/>
  <c r="Q118" i="322"/>
  <c r="Q85" i="322" s="1"/>
  <c r="Q29" i="323" s="1"/>
  <c r="Q33" i="323" s="1"/>
  <c r="O39" i="320"/>
  <c r="R40" i="318"/>
  <c r="R42" i="318" s="1"/>
  <c r="R43" i="318" s="1"/>
  <c r="R44" i="318" s="1"/>
  <c r="R46" i="318" s="1"/>
  <c r="R48" i="318" s="1"/>
  <c r="R52" i="318" s="1"/>
  <c r="R191" i="320" s="1"/>
  <c r="R40" i="315"/>
  <c r="R42" i="315" s="1"/>
  <c r="R43" i="315" s="1"/>
  <c r="R44" i="315" s="1"/>
  <c r="R46" i="315" s="1"/>
  <c r="R49" i="315" s="1"/>
  <c r="S16" i="316"/>
  <c r="S17" i="316"/>
  <c r="S17" i="314"/>
  <c r="S122" i="314" s="1"/>
  <c r="S16" i="314"/>
  <c r="Q126" i="314"/>
  <c r="Q64" i="314"/>
  <c r="S60" i="314"/>
  <c r="S126" i="314" s="1"/>
  <c r="S15" i="279"/>
  <c r="S16" i="309"/>
  <c r="S59" i="309" s="1"/>
  <c r="S63" i="309" s="1"/>
  <c r="S66" i="309" s="1"/>
  <c r="S67" i="309" s="1"/>
  <c r="S72" i="309" s="1"/>
  <c r="S15" i="309"/>
  <c r="S29" i="309" s="1"/>
  <c r="S16" i="307"/>
  <c r="S59" i="307" s="1"/>
  <c r="S15" i="307"/>
  <c r="S16" i="304"/>
  <c r="S15" i="304"/>
  <c r="S47" i="304" s="1"/>
  <c r="S150" i="326"/>
  <c r="S151" i="326"/>
  <c r="S151" i="323"/>
  <c r="S150" i="323"/>
  <c r="S150" i="320"/>
  <c r="S151" i="320"/>
  <c r="S150" i="317"/>
  <c r="S151" i="317"/>
  <c r="S150" i="313"/>
  <c r="S151" i="313"/>
  <c r="S150" i="278"/>
  <c r="S151" i="278"/>
  <c r="S151" i="272"/>
  <c r="S150" i="272"/>
  <c r="T27" i="269"/>
  <c r="T29" i="269"/>
  <c r="T33" i="269" s="1"/>
  <c r="T150" i="269"/>
  <c r="T28" i="269"/>
  <c r="T32" i="269" s="1"/>
  <c r="T151" i="269"/>
  <c r="P33" i="320"/>
  <c r="P41" i="320"/>
  <c r="R40" i="321"/>
  <c r="R42" i="321" s="1"/>
  <c r="R43" i="321" s="1"/>
  <c r="R44" i="321" s="1"/>
  <c r="R46" i="321" s="1"/>
  <c r="R49" i="321" s="1"/>
  <c r="O35" i="329"/>
  <c r="P202" i="310"/>
  <c r="P86" i="319"/>
  <c r="P27" i="320" s="1"/>
  <c r="P31" i="320" s="1"/>
  <c r="S14" i="312"/>
  <c r="S16" i="312" s="1"/>
  <c r="S17" i="312" s="1"/>
  <c r="S18" i="312" s="1"/>
  <c r="S20" i="312" s="1"/>
  <c r="S27" i="312" s="1"/>
  <c r="O32" i="326"/>
  <c r="O35" i="326" s="1"/>
  <c r="O40" i="326"/>
  <c r="O32" i="317"/>
  <c r="O40" i="317"/>
  <c r="S28" i="325"/>
  <c r="S84" i="325"/>
  <c r="S22" i="325"/>
  <c r="S90" i="325"/>
  <c r="S76" i="325"/>
  <c r="S32" i="328"/>
  <c r="S41" i="328"/>
  <c r="Q126" i="319"/>
  <c r="Q64" i="319"/>
  <c r="S41" i="322"/>
  <c r="S32" i="322"/>
  <c r="P67" i="325"/>
  <c r="P68" i="325" s="1"/>
  <c r="P73" i="325" s="1"/>
  <c r="P25" i="325" s="1"/>
  <c r="P16" i="326" s="1"/>
  <c r="P20" i="326" s="1"/>
  <c r="P129" i="325"/>
  <c r="P130" i="325" s="1"/>
  <c r="P135" i="325" s="1"/>
  <c r="P87" i="325" s="1"/>
  <c r="P28" i="326" s="1"/>
  <c r="P32" i="326" s="1"/>
  <c r="P24" i="325"/>
  <c r="P15" i="326" s="1"/>
  <c r="V62" i="267"/>
  <c r="V66" i="267"/>
  <c r="S90" i="319"/>
  <c r="S84" i="319"/>
  <c r="S76" i="319"/>
  <c r="S28" i="319"/>
  <c r="S22" i="319"/>
  <c r="P67" i="328"/>
  <c r="P68" i="328" s="1"/>
  <c r="P73" i="328" s="1"/>
  <c r="P25" i="328" s="1"/>
  <c r="P16" i="329" s="1"/>
  <c r="P20" i="329" s="1"/>
  <c r="P129" i="328"/>
  <c r="P130" i="328" s="1"/>
  <c r="P135" i="328" s="1"/>
  <c r="P87" i="328" s="1"/>
  <c r="P28" i="329" s="1"/>
  <c r="P32" i="329" s="1"/>
  <c r="P24" i="328"/>
  <c r="P15" i="329" s="1"/>
  <c r="U68" i="267"/>
  <c r="S37" i="321"/>
  <c r="S37" i="327"/>
  <c r="S40" i="327" s="1"/>
  <c r="S42" i="327" s="1"/>
  <c r="S43" i="327" s="1"/>
  <c r="S44" i="327" s="1"/>
  <c r="S46" i="327" s="1"/>
  <c r="S37" i="324"/>
  <c r="S40" i="324" s="1"/>
  <c r="S42" i="324" s="1"/>
  <c r="S43" i="324" s="1"/>
  <c r="S44" i="324" s="1"/>
  <c r="S46" i="324" s="1"/>
  <c r="T11" i="324"/>
  <c r="T18" i="325" s="1"/>
  <c r="T11" i="321"/>
  <c r="T18" i="322" s="1"/>
  <c r="T11" i="327"/>
  <c r="T18" i="328" s="1"/>
  <c r="Q118" i="319"/>
  <c r="Q85" i="319" s="1"/>
  <c r="Q126" i="316"/>
  <c r="Q64" i="316"/>
  <c r="P67" i="319"/>
  <c r="P68" i="319" s="1"/>
  <c r="P73" i="319" s="1"/>
  <c r="P25" i="319" s="1"/>
  <c r="P16" i="320" s="1"/>
  <c r="P20" i="320" s="1"/>
  <c r="P129" i="319"/>
  <c r="P130" i="319" s="1"/>
  <c r="P135" i="319" s="1"/>
  <c r="P87" i="319" s="1"/>
  <c r="P28" i="320" s="1"/>
  <c r="P32" i="320" s="1"/>
  <c r="P24" i="319"/>
  <c r="P15" i="320" s="1"/>
  <c r="P19" i="320" s="1"/>
  <c r="S38" i="327"/>
  <c r="S80" i="328" s="1"/>
  <c r="S38" i="321"/>
  <c r="S80" i="322" s="1"/>
  <c r="S38" i="324"/>
  <c r="S80" i="325" s="1"/>
  <c r="P86" i="322"/>
  <c r="P27" i="323" s="1"/>
  <c r="P31" i="323" s="1"/>
  <c r="P29" i="323"/>
  <c r="R39" i="316"/>
  <c r="R48" i="316"/>
  <c r="R30" i="316"/>
  <c r="R56" i="316" s="1"/>
  <c r="R23" i="316" s="1"/>
  <c r="R17" i="317" s="1"/>
  <c r="R21" i="317" s="1"/>
  <c r="S38" i="312"/>
  <c r="S80" i="314" s="1"/>
  <c r="S38" i="315"/>
  <c r="S80" i="316" s="1"/>
  <c r="S38" i="318"/>
  <c r="S80" i="319" s="1"/>
  <c r="Q64" i="322"/>
  <c r="Q126" i="322"/>
  <c r="S90" i="316"/>
  <c r="S84" i="316"/>
  <c r="S28" i="316"/>
  <c r="S76" i="316"/>
  <c r="S22" i="316"/>
  <c r="R39" i="322"/>
  <c r="R56" i="322" s="1"/>
  <c r="R23" i="322" s="1"/>
  <c r="R17" i="323" s="1"/>
  <c r="R21" i="323" s="1"/>
  <c r="R48" i="322"/>
  <c r="R30" i="322"/>
  <c r="R94" i="319"/>
  <c r="R103" i="319"/>
  <c r="Q126" i="328"/>
  <c r="Q64" i="328"/>
  <c r="O33" i="317"/>
  <c r="O41" i="317"/>
  <c r="P67" i="316"/>
  <c r="P68" i="316" s="1"/>
  <c r="P73" i="316" s="1"/>
  <c r="P25" i="316" s="1"/>
  <c r="P16" i="317" s="1"/>
  <c r="P20" i="317" s="1"/>
  <c r="P129" i="316"/>
  <c r="P130" i="316" s="1"/>
  <c r="P135" i="316" s="1"/>
  <c r="P87" i="316" s="1"/>
  <c r="P28" i="317" s="1"/>
  <c r="P24" i="316"/>
  <c r="P15" i="317" s="1"/>
  <c r="R60" i="319"/>
  <c r="R122" i="319"/>
  <c r="R30" i="319"/>
  <c r="R48" i="319"/>
  <c r="R39" i="319"/>
  <c r="R56" i="319" s="1"/>
  <c r="R23" i="319" s="1"/>
  <c r="R17" i="320" s="1"/>
  <c r="R21" i="320" s="1"/>
  <c r="P67" i="322"/>
  <c r="P68" i="322" s="1"/>
  <c r="P73" i="322" s="1"/>
  <c r="P25" i="322" s="1"/>
  <c r="P16" i="323" s="1"/>
  <c r="P20" i="323" s="1"/>
  <c r="P129" i="322"/>
  <c r="P130" i="322" s="1"/>
  <c r="P135" i="322" s="1"/>
  <c r="P87" i="322" s="1"/>
  <c r="P28" i="323" s="1"/>
  <c r="P32" i="323" s="1"/>
  <c r="P24" i="322"/>
  <c r="P15" i="323" s="1"/>
  <c r="P19" i="323" s="1"/>
  <c r="R103" i="316"/>
  <c r="R94" i="316"/>
  <c r="Q126" i="325"/>
  <c r="Q64" i="325"/>
  <c r="R94" i="328"/>
  <c r="R103" i="328"/>
  <c r="S90" i="322"/>
  <c r="S76" i="322"/>
  <c r="S84" i="322"/>
  <c r="S28" i="322"/>
  <c r="S22" i="322"/>
  <c r="Q48" i="328"/>
  <c r="Q39" i="328"/>
  <c r="Q56" i="328" s="1"/>
  <c r="Q23" i="328" s="1"/>
  <c r="Q30" i="328"/>
  <c r="R122" i="328"/>
  <c r="R60" i="328"/>
  <c r="R122" i="316"/>
  <c r="R60" i="316"/>
  <c r="O33" i="320"/>
  <c r="O35" i="320" s="1"/>
  <c r="O41" i="320"/>
  <c r="R94" i="325"/>
  <c r="R103" i="325"/>
  <c r="Q118" i="316"/>
  <c r="Q85" i="316" s="1"/>
  <c r="S28" i="328"/>
  <c r="S22" i="328"/>
  <c r="S90" i="328"/>
  <c r="S84" i="328"/>
  <c r="S76" i="328"/>
  <c r="Q48" i="325"/>
  <c r="Q30" i="325"/>
  <c r="Q39" i="325"/>
  <c r="Q56" i="325" s="1"/>
  <c r="Q23" i="325" s="1"/>
  <c r="R60" i="322"/>
  <c r="R122" i="322"/>
  <c r="S32" i="325"/>
  <c r="S41" i="325"/>
  <c r="R122" i="325"/>
  <c r="R60" i="325"/>
  <c r="P29" i="317"/>
  <c r="P86" i="316"/>
  <c r="P27" i="317" s="1"/>
  <c r="P31" i="317" s="1"/>
  <c r="R94" i="322"/>
  <c r="R103" i="322"/>
  <c r="N101" i="260"/>
  <c r="M100" i="260"/>
  <c r="P24" i="314"/>
  <c r="P15" i="313" s="1"/>
  <c r="P19" i="313" s="1"/>
  <c r="P201" i="313"/>
  <c r="O177" i="310"/>
  <c r="O204" i="310" s="1"/>
  <c r="Q200" i="329"/>
  <c r="P201" i="329"/>
  <c r="Q53" i="327"/>
  <c r="Q192" i="329" s="1"/>
  <c r="L112" i="260"/>
  <c r="Q200" i="313"/>
  <c r="O23" i="320"/>
  <c r="N43" i="313"/>
  <c r="O35" i="313"/>
  <c r="Q92" i="314"/>
  <c r="Q118" i="314" s="1"/>
  <c r="Q85" i="314" s="1"/>
  <c r="Q110" i="314"/>
  <c r="Q101" i="314"/>
  <c r="P29" i="313"/>
  <c r="P33" i="313" s="1"/>
  <c r="P86" i="314"/>
  <c r="P27" i="313" s="1"/>
  <c r="P31" i="313" s="1"/>
  <c r="P87" i="314"/>
  <c r="P28" i="313" s="1"/>
  <c r="P32" i="313" s="1"/>
  <c r="T10" i="315"/>
  <c r="T10" i="318"/>
  <c r="T16" i="319" s="1"/>
  <c r="T10" i="312"/>
  <c r="T14" i="312" s="1"/>
  <c r="V61" i="267"/>
  <c r="V63" i="267" s="1"/>
  <c r="S37" i="315"/>
  <c r="S37" i="318"/>
  <c r="S40" i="318" s="1"/>
  <c r="S42" i="318" s="1"/>
  <c r="S43" i="318" s="1"/>
  <c r="S44" i="318" s="1"/>
  <c r="S46" i="318" s="1"/>
  <c r="S37" i="312"/>
  <c r="O41" i="313"/>
  <c r="O40" i="313"/>
  <c r="S84" i="314"/>
  <c r="S90" i="314"/>
  <c r="S76" i="314"/>
  <c r="O39" i="313"/>
  <c r="Q23" i="314"/>
  <c r="Q17" i="313" s="1"/>
  <c r="P25" i="314"/>
  <c r="P16" i="313" s="1"/>
  <c r="O85" i="310"/>
  <c r="O177" i="317"/>
  <c r="O204" i="317" s="1"/>
  <c r="R27" i="308"/>
  <c r="R114" i="310" s="1"/>
  <c r="R25" i="308"/>
  <c r="R55" i="310" s="1"/>
  <c r="Q181" i="310"/>
  <c r="Q185" i="310" s="1"/>
  <c r="P177" i="329"/>
  <c r="Q175" i="313"/>
  <c r="O177" i="326"/>
  <c r="O204" i="326" s="1"/>
  <c r="S17" i="319"/>
  <c r="S14" i="318"/>
  <c r="S16" i="318" s="1"/>
  <c r="S17" i="318" s="1"/>
  <c r="S18" i="318" s="1"/>
  <c r="S20" i="318" s="1"/>
  <c r="R26" i="321"/>
  <c r="R25" i="321"/>
  <c r="R27" i="321"/>
  <c r="Q161" i="320"/>
  <c r="Q168" i="320" s="1"/>
  <c r="Q114" i="320"/>
  <c r="Q57" i="320"/>
  <c r="Q64" i="320" s="1"/>
  <c r="Q32" i="321"/>
  <c r="Q172" i="323" s="1"/>
  <c r="Q55" i="323"/>
  <c r="Q62" i="323" s="1"/>
  <c r="Q159" i="323"/>
  <c r="Q166" i="323" s="1"/>
  <c r="Q112" i="323"/>
  <c r="O19" i="326"/>
  <c r="O39" i="326"/>
  <c r="P170" i="323"/>
  <c r="Q112" i="320"/>
  <c r="Q159" i="320"/>
  <c r="Q166" i="320" s="1"/>
  <c r="Q55" i="320"/>
  <c r="Q62" i="320" s="1"/>
  <c r="Q32" i="318"/>
  <c r="Q172" i="320" s="1"/>
  <c r="O21" i="326"/>
  <c r="O41" i="326"/>
  <c r="Q170" i="313"/>
  <c r="N23" i="326"/>
  <c r="N43" i="326" s="1"/>
  <c r="R25" i="318"/>
  <c r="R27" i="318"/>
  <c r="R26" i="318"/>
  <c r="P66" i="323"/>
  <c r="S14" i="315"/>
  <c r="S16" i="315" s="1"/>
  <c r="S17" i="315" s="1"/>
  <c r="S18" i="315" s="1"/>
  <c r="S20" i="315" s="1"/>
  <c r="O177" i="323"/>
  <c r="O204" i="323" s="1"/>
  <c r="P200" i="326"/>
  <c r="P175" i="326"/>
  <c r="P170" i="320"/>
  <c r="Q32" i="315"/>
  <c r="Q172" i="317" s="1"/>
  <c r="Q55" i="317"/>
  <c r="Q62" i="317" s="1"/>
  <c r="Q112" i="317"/>
  <c r="Q159" i="317"/>
  <c r="Q166" i="317" s="1"/>
  <c r="R25" i="324"/>
  <c r="R27" i="324"/>
  <c r="R26" i="324"/>
  <c r="Q32" i="324"/>
  <c r="Q172" i="326" s="1"/>
  <c r="Q159" i="326"/>
  <c r="Q166" i="326" s="1"/>
  <c r="Q112" i="326"/>
  <c r="Q55" i="326"/>
  <c r="Q62" i="326" s="1"/>
  <c r="R160" i="313"/>
  <c r="R167" i="313" s="1"/>
  <c r="R33" i="312"/>
  <c r="R173" i="313" s="1"/>
  <c r="R113" i="313"/>
  <c r="R56" i="313"/>
  <c r="R63" i="313" s="1"/>
  <c r="Q66" i="313"/>
  <c r="Q32" i="305"/>
  <c r="Q172" i="306" s="1"/>
  <c r="Q200" i="306" s="1"/>
  <c r="Q71" i="310"/>
  <c r="Q75" i="310" s="1"/>
  <c r="P17" i="329"/>
  <c r="P170" i="326"/>
  <c r="P200" i="320"/>
  <c r="P175" i="320"/>
  <c r="Q33" i="315"/>
  <c r="Q173" i="317" s="1"/>
  <c r="Q201" i="317" s="1"/>
  <c r="Q160" i="317"/>
  <c r="Q167" i="317" s="1"/>
  <c r="Q56" i="317"/>
  <c r="Q63" i="317" s="1"/>
  <c r="Q113" i="317"/>
  <c r="Q114" i="326"/>
  <c r="Q161" i="326"/>
  <c r="Q168" i="326" s="1"/>
  <c r="Q57" i="326"/>
  <c r="Q64" i="326" s="1"/>
  <c r="R114" i="313"/>
  <c r="R161" i="313"/>
  <c r="R168" i="313" s="1"/>
  <c r="R57" i="313"/>
  <c r="R64" i="313" s="1"/>
  <c r="Q175" i="329"/>
  <c r="S17" i="325"/>
  <c r="S14" i="324"/>
  <c r="S16" i="324" s="1"/>
  <c r="S17" i="324" s="1"/>
  <c r="S18" i="324" s="1"/>
  <c r="S20" i="324" s="1"/>
  <c r="P66" i="317"/>
  <c r="R113" i="329"/>
  <c r="R160" i="329"/>
  <c r="R167" i="329" s="1"/>
  <c r="R56" i="329"/>
  <c r="R63" i="329" s="1"/>
  <c r="R33" i="327"/>
  <c r="R173" i="329" s="1"/>
  <c r="P66" i="326"/>
  <c r="P17" i="326"/>
  <c r="P66" i="320"/>
  <c r="Q33" i="324"/>
  <c r="Q173" i="326" s="1"/>
  <c r="Q201" i="326" s="1"/>
  <c r="Q56" i="326"/>
  <c r="Q63" i="326" s="1"/>
  <c r="Q113" i="326"/>
  <c r="Q160" i="326"/>
  <c r="Q167" i="326" s="1"/>
  <c r="R112" i="313"/>
  <c r="R159" i="313"/>
  <c r="R166" i="313" s="1"/>
  <c r="R32" i="312"/>
  <c r="R172" i="313" s="1"/>
  <c r="R55" i="313"/>
  <c r="R62" i="313" s="1"/>
  <c r="Q160" i="320"/>
  <c r="Q167" i="320" s="1"/>
  <c r="Q56" i="320"/>
  <c r="Q63" i="320" s="1"/>
  <c r="Q33" i="318"/>
  <c r="Q173" i="320" s="1"/>
  <c r="Q113" i="320"/>
  <c r="O23" i="313"/>
  <c r="O19" i="329"/>
  <c r="O39" i="329"/>
  <c r="S27" i="327"/>
  <c r="S25" i="327"/>
  <c r="S26" i="327"/>
  <c r="P170" i="317"/>
  <c r="R114" i="329"/>
  <c r="R57" i="329"/>
  <c r="R64" i="329" s="1"/>
  <c r="R161" i="329"/>
  <c r="R168" i="329" s="1"/>
  <c r="Q161" i="323"/>
  <c r="Q168" i="323" s="1"/>
  <c r="Q114" i="323"/>
  <c r="Q57" i="323"/>
  <c r="Q64" i="323" s="1"/>
  <c r="N23" i="329"/>
  <c r="N43" i="329" s="1"/>
  <c r="P200" i="323"/>
  <c r="P175" i="323"/>
  <c r="Q57" i="317"/>
  <c r="Q64" i="317" s="1"/>
  <c r="Q114" i="317"/>
  <c r="Q161" i="317"/>
  <c r="Q168" i="317" s="1"/>
  <c r="O21" i="329"/>
  <c r="O41" i="329"/>
  <c r="S17" i="322"/>
  <c r="S14" i="321"/>
  <c r="S16" i="321" s="1"/>
  <c r="S17" i="321" s="1"/>
  <c r="S18" i="321" s="1"/>
  <c r="S20" i="321" s="1"/>
  <c r="P200" i="317"/>
  <c r="P175" i="317"/>
  <c r="R159" i="329"/>
  <c r="R166" i="329" s="1"/>
  <c r="R32" i="327"/>
  <c r="R172" i="329" s="1"/>
  <c r="R55" i="329"/>
  <c r="R62" i="329" s="1"/>
  <c r="R112" i="329"/>
  <c r="Q113" i="323"/>
  <c r="Q56" i="323"/>
  <c r="Q63" i="323" s="1"/>
  <c r="Q33" i="321"/>
  <c r="Q173" i="323" s="1"/>
  <c r="Q201" i="323" s="1"/>
  <c r="Q160" i="323"/>
  <c r="Q167" i="323" s="1"/>
  <c r="O177" i="320"/>
  <c r="O204" i="320" s="1"/>
  <c r="R26" i="315"/>
  <c r="R25" i="315"/>
  <c r="R27" i="315"/>
  <c r="S41" i="314"/>
  <c r="S32" i="314"/>
  <c r="P21" i="313"/>
  <c r="R30" i="314"/>
  <c r="R56" i="314" s="1"/>
  <c r="R39" i="314"/>
  <c r="R48" i="314"/>
  <c r="P83" i="310"/>
  <c r="P78" i="310"/>
  <c r="R194" i="317"/>
  <c r="Q181" i="329"/>
  <c r="Q185" i="329" s="1"/>
  <c r="Q70" i="329"/>
  <c r="Q126" i="329"/>
  <c r="P74" i="317"/>
  <c r="S14" i="316"/>
  <c r="O78" i="317"/>
  <c r="O85" i="317" s="1"/>
  <c r="O82" i="317"/>
  <c r="R48" i="312"/>
  <c r="R52" i="312" s="1"/>
  <c r="R191" i="313" s="1"/>
  <c r="R50" i="312"/>
  <c r="R49" i="312"/>
  <c r="Q181" i="326"/>
  <c r="Q185" i="326" s="1"/>
  <c r="Q126" i="326"/>
  <c r="Q70" i="326"/>
  <c r="T3" i="329"/>
  <c r="T1" i="325"/>
  <c r="T1" i="328"/>
  <c r="T1" i="322"/>
  <c r="T3" i="326"/>
  <c r="T3" i="323"/>
  <c r="T3" i="320"/>
  <c r="T1" i="316"/>
  <c r="T1" i="319"/>
  <c r="T3" i="317"/>
  <c r="T3" i="313"/>
  <c r="T1" i="314"/>
  <c r="O78" i="313"/>
  <c r="O85" i="313" s="1"/>
  <c r="O82" i="313"/>
  <c r="P189" i="317"/>
  <c r="P196" i="317" s="1"/>
  <c r="P202" i="317"/>
  <c r="O78" i="329"/>
  <c r="O85" i="329" s="1"/>
  <c r="O82" i="329"/>
  <c r="S14" i="322"/>
  <c r="R194" i="323"/>
  <c r="O78" i="323"/>
  <c r="O85" i="323" s="1"/>
  <c r="O82" i="323"/>
  <c r="P189" i="313"/>
  <c r="P196" i="313" s="1"/>
  <c r="P202" i="313"/>
  <c r="Q72" i="320"/>
  <c r="Q76" i="320" s="1"/>
  <c r="Q183" i="320"/>
  <c r="Q187" i="320" s="1"/>
  <c r="Q128" i="320"/>
  <c r="S14" i="314"/>
  <c r="S22" i="314"/>
  <c r="S28" i="314"/>
  <c r="S14" i="328"/>
  <c r="R48" i="324"/>
  <c r="R50" i="324"/>
  <c r="R49" i="324"/>
  <c r="P74" i="313"/>
  <c r="P83" i="313"/>
  <c r="S14" i="325"/>
  <c r="Q181" i="313"/>
  <c r="Q185" i="313" s="1"/>
  <c r="Q126" i="313"/>
  <c r="Q70" i="313"/>
  <c r="P74" i="320"/>
  <c r="P83" i="320"/>
  <c r="Q181" i="317"/>
  <c r="Q185" i="317" s="1"/>
  <c r="Q70" i="317"/>
  <c r="Q126" i="317"/>
  <c r="P74" i="326"/>
  <c r="P83" i="326"/>
  <c r="Q71" i="323"/>
  <c r="Q75" i="323" s="1"/>
  <c r="Q182" i="323"/>
  <c r="Q186" i="323" s="1"/>
  <c r="Q127" i="323"/>
  <c r="S14" i="319"/>
  <c r="S151" i="329"/>
  <c r="S150" i="329"/>
  <c r="P189" i="320"/>
  <c r="P196" i="320" s="1"/>
  <c r="P202" i="320"/>
  <c r="O78" i="326"/>
  <c r="O85" i="326" s="1"/>
  <c r="O82" i="326"/>
  <c r="Q127" i="329"/>
  <c r="Q71" i="329"/>
  <c r="Q75" i="329" s="1"/>
  <c r="Q182" i="329"/>
  <c r="Q186" i="329" s="1"/>
  <c r="P189" i="326"/>
  <c r="P196" i="326" s="1"/>
  <c r="P202" i="326"/>
  <c r="R194" i="326"/>
  <c r="O78" i="320"/>
  <c r="O85" i="320" s="1"/>
  <c r="O82" i="320"/>
  <c r="Q72" i="329"/>
  <c r="Q76" i="329" s="1"/>
  <c r="Q183" i="329"/>
  <c r="Q187" i="329" s="1"/>
  <c r="Q128" i="329"/>
  <c r="Q182" i="310"/>
  <c r="Q186" i="310" s="1"/>
  <c r="P189" i="310"/>
  <c r="P196" i="310" s="1"/>
  <c r="O82" i="303"/>
  <c r="Q72" i="310"/>
  <c r="Q76" i="310" s="1"/>
  <c r="M23" i="272"/>
  <c r="M43" i="272" s="1"/>
  <c r="Q183" i="310"/>
  <c r="Q187" i="310" s="1"/>
  <c r="Q126" i="310"/>
  <c r="R50" i="308"/>
  <c r="R183" i="310" s="1"/>
  <c r="R187" i="310" s="1"/>
  <c r="R48" i="308"/>
  <c r="R181" i="310" s="1"/>
  <c r="R185" i="310" s="1"/>
  <c r="R49" i="308"/>
  <c r="R127" i="310" s="1"/>
  <c r="P78" i="303"/>
  <c r="S14" i="308"/>
  <c r="S16" i="308" s="1"/>
  <c r="S17" i="308" s="1"/>
  <c r="S18" i="308" s="1"/>
  <c r="S20" i="308" s="1"/>
  <c r="S27" i="308" s="1"/>
  <c r="P39" i="303"/>
  <c r="P19" i="303"/>
  <c r="O39" i="303"/>
  <c r="O19" i="303"/>
  <c r="V52" i="267"/>
  <c r="V57" i="267"/>
  <c r="P41" i="303"/>
  <c r="P21" i="303"/>
  <c r="S37" i="277"/>
  <c r="S40" i="277" s="1"/>
  <c r="S42" i="277" s="1"/>
  <c r="S43" i="277" s="1"/>
  <c r="S44" i="277" s="1"/>
  <c r="S46" i="277" s="1"/>
  <c r="S37" i="271"/>
  <c r="S40" i="271" s="1"/>
  <c r="S42" i="271" s="1"/>
  <c r="S43" i="271" s="1"/>
  <c r="S44" i="271" s="1"/>
  <c r="S46" i="271" s="1"/>
  <c r="S37" i="308"/>
  <c r="S40" i="308" s="1"/>
  <c r="S42" i="308" s="1"/>
  <c r="S43" i="308" s="1"/>
  <c r="S44" i="308" s="1"/>
  <c r="S46" i="308" s="1"/>
  <c r="S37" i="305"/>
  <c r="S40" i="305" s="1"/>
  <c r="S42" i="305" s="1"/>
  <c r="S43" i="305" s="1"/>
  <c r="S44" i="305" s="1"/>
  <c r="S46" i="305" s="1"/>
  <c r="S37" i="302"/>
  <c r="S40" i="302" s="1"/>
  <c r="S42" i="302" s="1"/>
  <c r="S43" i="302" s="1"/>
  <c r="S44" i="302" s="1"/>
  <c r="S46" i="302" s="1"/>
  <c r="S50" i="302" s="1"/>
  <c r="O40" i="303"/>
  <c r="O20" i="303"/>
  <c r="S38" i="305"/>
  <c r="S38" i="268"/>
  <c r="S38" i="277"/>
  <c r="S38" i="271"/>
  <c r="S38" i="308"/>
  <c r="S38" i="302"/>
  <c r="T10" i="277"/>
  <c r="T10" i="268"/>
  <c r="T15" i="270" s="1"/>
  <c r="T10" i="308"/>
  <c r="T10" i="302"/>
  <c r="P40" i="303"/>
  <c r="P20" i="303"/>
  <c r="Q182" i="303"/>
  <c r="Q186" i="303" s="1"/>
  <c r="Q189" i="303" s="1"/>
  <c r="Q196" i="303" s="1"/>
  <c r="O40" i="272"/>
  <c r="O20" i="272"/>
  <c r="N40" i="272"/>
  <c r="N20" i="272"/>
  <c r="O39" i="272"/>
  <c r="O19" i="272"/>
  <c r="N39" i="272"/>
  <c r="N19" i="272"/>
  <c r="S29" i="272"/>
  <c r="S33" i="272" s="1"/>
  <c r="S28" i="272"/>
  <c r="S32" i="272" s="1"/>
  <c r="S27" i="272"/>
  <c r="P39" i="306"/>
  <c r="P19" i="306"/>
  <c r="P40" i="306"/>
  <c r="P20" i="306"/>
  <c r="Q41" i="306"/>
  <c r="Q21" i="306"/>
  <c r="Q41" i="310"/>
  <c r="Q21" i="310"/>
  <c r="Q40" i="310"/>
  <c r="Q20" i="310"/>
  <c r="O39" i="278"/>
  <c r="O19" i="278"/>
  <c r="P41" i="278"/>
  <c r="P21" i="278"/>
  <c r="O40" i="278"/>
  <c r="O20" i="278"/>
  <c r="S27" i="278"/>
  <c r="S28" i="278"/>
  <c r="S32" i="278" s="1"/>
  <c r="S29" i="278"/>
  <c r="S33" i="278" s="1"/>
  <c r="O41" i="269"/>
  <c r="O21" i="269"/>
  <c r="N39" i="269"/>
  <c r="N19" i="269"/>
  <c r="N40" i="269"/>
  <c r="N20" i="269"/>
  <c r="W11" i="306"/>
  <c r="V33" i="306"/>
  <c r="V35" i="306" s="1"/>
  <c r="Q55" i="306"/>
  <c r="Q62" i="306" s="1"/>
  <c r="Q112" i="306"/>
  <c r="V11" i="272"/>
  <c r="R9" i="278"/>
  <c r="Q31" i="278"/>
  <c r="Q35" i="278" s="1"/>
  <c r="R9" i="272"/>
  <c r="Q31" i="272"/>
  <c r="Q35" i="272" s="1"/>
  <c r="V10" i="278"/>
  <c r="U10" i="269"/>
  <c r="V10" i="272"/>
  <c r="W11" i="303"/>
  <c r="V33" i="303"/>
  <c r="V35" i="303" s="1"/>
  <c r="V11" i="278"/>
  <c r="W11" i="310"/>
  <c r="V33" i="310"/>
  <c r="V35" i="310" s="1"/>
  <c r="U11" i="269"/>
  <c r="R9" i="269"/>
  <c r="Q31" i="269"/>
  <c r="Q35" i="269" s="1"/>
  <c r="Q71" i="303"/>
  <c r="Q75" i="303" s="1"/>
  <c r="Q56" i="306"/>
  <c r="Q63" i="306" s="1"/>
  <c r="O177" i="306"/>
  <c r="O204" i="306" s="1"/>
  <c r="Q160" i="306"/>
  <c r="Q167" i="306" s="1"/>
  <c r="Q170" i="306" s="1"/>
  <c r="Q113" i="306"/>
  <c r="R47" i="309"/>
  <c r="R38" i="309"/>
  <c r="Q55" i="304"/>
  <c r="Q22" i="304" s="1"/>
  <c r="Q17" i="303" s="1"/>
  <c r="R63" i="304"/>
  <c r="R66" i="304" s="1"/>
  <c r="R67" i="304" s="1"/>
  <c r="R72" i="304" s="1"/>
  <c r="R17" i="310"/>
  <c r="R23" i="309"/>
  <c r="R15" i="310" s="1"/>
  <c r="R24" i="309"/>
  <c r="R16" i="310" s="1"/>
  <c r="S14" i="271"/>
  <c r="S16" i="271" s="1"/>
  <c r="S17" i="271" s="1"/>
  <c r="S18" i="271" s="1"/>
  <c r="S20" i="271" s="1"/>
  <c r="S16" i="273"/>
  <c r="S59" i="273" s="1"/>
  <c r="S14" i="277"/>
  <c r="S16" i="277" s="1"/>
  <c r="S17" i="277" s="1"/>
  <c r="S18" i="277" s="1"/>
  <c r="S20" i="277" s="1"/>
  <c r="S16" i="279"/>
  <c r="S59" i="279" s="1"/>
  <c r="Q55" i="303"/>
  <c r="Q62" i="303" s="1"/>
  <c r="R40" i="304"/>
  <c r="R31" i="304"/>
  <c r="R55" i="304" s="1"/>
  <c r="R22" i="304" s="1"/>
  <c r="S59" i="304"/>
  <c r="S14" i="268"/>
  <c r="S16" i="268" s="1"/>
  <c r="S16" i="270"/>
  <c r="S59" i="270" s="1"/>
  <c r="M23" i="269"/>
  <c r="M43" i="269" s="1"/>
  <c r="Q128" i="303"/>
  <c r="Q131" i="303" s="1"/>
  <c r="Q33" i="302"/>
  <c r="Q173" i="303" s="1"/>
  <c r="Q57" i="303"/>
  <c r="Q64" i="303" s="1"/>
  <c r="Q161" i="303"/>
  <c r="Q168" i="303" s="1"/>
  <c r="Q170" i="303" s="1"/>
  <c r="P66" i="306"/>
  <c r="P170" i="303"/>
  <c r="S13" i="304"/>
  <c r="L23" i="303"/>
  <c r="L43" i="303" s="1"/>
  <c r="Q72" i="303"/>
  <c r="Q76" i="303" s="1"/>
  <c r="P202" i="303"/>
  <c r="S21" i="304"/>
  <c r="S194" i="310"/>
  <c r="P23" i="310"/>
  <c r="P43" i="310" s="1"/>
  <c r="S194" i="306"/>
  <c r="Q24" i="307"/>
  <c r="Q16" i="306" s="1"/>
  <c r="P170" i="306"/>
  <c r="R26" i="305"/>
  <c r="R27" i="305"/>
  <c r="R25" i="305"/>
  <c r="R113" i="310"/>
  <c r="R160" i="310"/>
  <c r="R167" i="310" s="1"/>
  <c r="R56" i="310"/>
  <c r="R63" i="310" s="1"/>
  <c r="P200" i="306"/>
  <c r="P175" i="306"/>
  <c r="S13" i="307"/>
  <c r="S27" i="307"/>
  <c r="S21" i="307"/>
  <c r="S13" i="309"/>
  <c r="S21" i="309"/>
  <c r="S27" i="309"/>
  <c r="T1" i="304"/>
  <c r="T13" i="304" s="1"/>
  <c r="T1" i="309"/>
  <c r="T1" i="307"/>
  <c r="S14" i="305"/>
  <c r="S16" i="305" s="1"/>
  <c r="S17" i="305" s="1"/>
  <c r="S18" i="305" s="1"/>
  <c r="S20" i="305" s="1"/>
  <c r="S60" i="307"/>
  <c r="S63" i="307" s="1"/>
  <c r="O23" i="310"/>
  <c r="O43" i="310" s="1"/>
  <c r="T60" i="309"/>
  <c r="Q200" i="310"/>
  <c r="R29" i="307"/>
  <c r="R55" i="307" s="1"/>
  <c r="R22" i="307" s="1"/>
  <c r="R17" i="306" s="1"/>
  <c r="R47" i="307"/>
  <c r="R38" i="307"/>
  <c r="P82" i="310"/>
  <c r="P66" i="310"/>
  <c r="Q112" i="303"/>
  <c r="S194" i="303"/>
  <c r="Q23" i="307"/>
  <c r="Q15" i="306" s="1"/>
  <c r="R66" i="307"/>
  <c r="R67" i="307" s="1"/>
  <c r="R72" i="307" s="1"/>
  <c r="Q32" i="302"/>
  <c r="Q172" i="303" s="1"/>
  <c r="R25" i="302"/>
  <c r="R32" i="302" s="1"/>
  <c r="R172" i="303" s="1"/>
  <c r="R50" i="302"/>
  <c r="R128" i="303" s="1"/>
  <c r="R26" i="302"/>
  <c r="R33" i="302" s="1"/>
  <c r="R173" i="303" s="1"/>
  <c r="R49" i="302"/>
  <c r="R127" i="303" s="1"/>
  <c r="Q182" i="306"/>
  <c r="Q186" i="306" s="1"/>
  <c r="Q127" i="306"/>
  <c r="Q71" i="306"/>
  <c r="Q75" i="306" s="1"/>
  <c r="P83" i="303"/>
  <c r="Q70" i="306"/>
  <c r="Q74" i="306" s="1"/>
  <c r="Q126" i="306"/>
  <c r="Q181" i="306"/>
  <c r="Q185" i="306" s="1"/>
  <c r="Q183" i="306"/>
  <c r="Q187" i="306" s="1"/>
  <c r="Q72" i="306"/>
  <c r="Q128" i="306"/>
  <c r="O78" i="306"/>
  <c r="O85" i="306" s="1"/>
  <c r="O82" i="306"/>
  <c r="P76" i="306"/>
  <c r="P83" i="306"/>
  <c r="P189" i="306"/>
  <c r="P196" i="306" s="1"/>
  <c r="P202" i="306"/>
  <c r="R38" i="304"/>
  <c r="R47" i="304"/>
  <c r="M173" i="269"/>
  <c r="M201" i="269" s="1"/>
  <c r="M201" i="303"/>
  <c r="T10" i="305"/>
  <c r="R49" i="305"/>
  <c r="R50" i="305"/>
  <c r="R48" i="305"/>
  <c r="S60" i="304"/>
  <c r="S14" i="302"/>
  <c r="S16" i="302" s="1"/>
  <c r="S17" i="302" s="1"/>
  <c r="S18" i="302" s="1"/>
  <c r="S20" i="302" s="1"/>
  <c r="S27" i="302" s="1"/>
  <c r="O15" i="269"/>
  <c r="O16" i="269"/>
  <c r="M172" i="269"/>
  <c r="M200" i="269" s="1"/>
  <c r="P17" i="269"/>
  <c r="L175" i="303"/>
  <c r="L177" i="303" s="1"/>
  <c r="L204" i="303" s="1"/>
  <c r="L200" i="303"/>
  <c r="L111" i="260" s="1"/>
  <c r="R161" i="303"/>
  <c r="R168" i="303" s="1"/>
  <c r="R114" i="303"/>
  <c r="R57" i="303"/>
  <c r="R64" i="303" s="1"/>
  <c r="R126" i="303"/>
  <c r="R70" i="303"/>
  <c r="R74" i="303" s="1"/>
  <c r="R181" i="303"/>
  <c r="R185" i="303" s="1"/>
  <c r="P82" i="303"/>
  <c r="P66" i="303"/>
  <c r="V56" i="267"/>
  <c r="V58" i="267" s="1"/>
  <c r="AC42" i="260"/>
  <c r="P24" i="279"/>
  <c r="P16" i="278" s="1"/>
  <c r="P23" i="279"/>
  <c r="P15" i="278" s="1"/>
  <c r="S27" i="270"/>
  <c r="S21" i="270"/>
  <c r="S13" i="270"/>
  <c r="S13" i="273"/>
  <c r="S27" i="273"/>
  <c r="S21" i="273"/>
  <c r="T1" i="279"/>
  <c r="W2" i="267"/>
  <c r="T1" i="270"/>
  <c r="T3" i="272"/>
  <c r="V51" i="267"/>
  <c r="T3" i="278"/>
  <c r="T1" i="273"/>
  <c r="U53" i="267"/>
  <c r="S37" i="268"/>
  <c r="S40" i="268" s="1"/>
  <c r="S42" i="268" s="1"/>
  <c r="S27" i="279"/>
  <c r="S21" i="279"/>
  <c r="S13" i="279"/>
  <c r="P17" i="272"/>
  <c r="P23" i="273"/>
  <c r="P15" i="272" s="1"/>
  <c r="P24" i="273"/>
  <c r="P16" i="272" s="1"/>
  <c r="Q38" i="279"/>
  <c r="Q29" i="279"/>
  <c r="Q55" i="279" s="1"/>
  <c r="Q22" i="279" s="1"/>
  <c r="N85" i="272"/>
  <c r="Q47" i="273"/>
  <c r="M23" i="278"/>
  <c r="M43" i="278" s="1"/>
  <c r="R47" i="273"/>
  <c r="R60" i="273"/>
  <c r="R63" i="273" s="1"/>
  <c r="R66" i="273" s="1"/>
  <c r="R67" i="273" s="1"/>
  <c r="R72" i="273" s="1"/>
  <c r="R47" i="279"/>
  <c r="R60" i="279"/>
  <c r="R63" i="279" s="1"/>
  <c r="R66" i="279" s="1"/>
  <c r="R67" i="279" s="1"/>
  <c r="R72" i="279" s="1"/>
  <c r="Q29" i="273"/>
  <c r="Q55" i="273" s="1"/>
  <c r="Q22" i="273" s="1"/>
  <c r="Q17" i="272" s="1"/>
  <c r="T10" i="271"/>
  <c r="T15" i="273" s="1"/>
  <c r="O189" i="278"/>
  <c r="O66" i="272"/>
  <c r="Q32" i="277"/>
  <c r="Q172" i="278" s="1"/>
  <c r="Q55" i="278"/>
  <c r="Q159" i="278"/>
  <c r="Q112" i="278"/>
  <c r="Q161" i="278"/>
  <c r="Q168" i="278" s="1"/>
  <c r="Q57" i="278"/>
  <c r="Q64" i="278" s="1"/>
  <c r="Q114" i="278"/>
  <c r="Q181" i="278"/>
  <c r="Q185" i="278" s="1"/>
  <c r="Q126" i="278"/>
  <c r="Q70" i="278"/>
  <c r="Q182" i="278"/>
  <c r="Q186" i="278" s="1"/>
  <c r="Q127" i="278"/>
  <c r="Q71" i="278"/>
  <c r="Q183" i="278"/>
  <c r="Q187" i="278" s="1"/>
  <c r="Q128" i="278"/>
  <c r="Q72" i="278"/>
  <c r="Q76" i="278" s="1"/>
  <c r="Q56" i="278"/>
  <c r="Q160" i="278"/>
  <c r="Q113" i="278"/>
  <c r="Q33" i="277"/>
  <c r="Q173" i="278" s="1"/>
  <c r="R50" i="277"/>
  <c r="R48" i="277"/>
  <c r="R49" i="277"/>
  <c r="V52" i="277"/>
  <c r="V191" i="278" s="1"/>
  <c r="V53" i="277"/>
  <c r="V192" i="278" s="1"/>
  <c r="R26" i="277"/>
  <c r="R27" i="277"/>
  <c r="R25" i="277"/>
  <c r="Q71" i="272"/>
  <c r="Q75" i="272" s="1"/>
  <c r="Q127" i="272"/>
  <c r="Q182" i="272"/>
  <c r="Q186" i="272" s="1"/>
  <c r="U52" i="271"/>
  <c r="U191" i="272" s="1"/>
  <c r="U53" i="271"/>
  <c r="U192" i="272" s="1"/>
  <c r="Q72" i="272"/>
  <c r="Q128" i="272"/>
  <c r="Q183" i="272"/>
  <c r="Q187" i="272" s="1"/>
  <c r="Q70" i="272"/>
  <c r="Q126" i="272"/>
  <c r="Q181" i="272"/>
  <c r="Q185" i="272" s="1"/>
  <c r="R49" i="271"/>
  <c r="R48" i="271"/>
  <c r="R50" i="271"/>
  <c r="Q32" i="271"/>
  <c r="Q172" i="272" s="1"/>
  <c r="Q159" i="272"/>
  <c r="Q55" i="272"/>
  <c r="Q112" i="272"/>
  <c r="R25" i="271"/>
  <c r="R27" i="271"/>
  <c r="R26" i="271"/>
  <c r="Q160" i="272"/>
  <c r="Q56" i="272"/>
  <c r="Q113" i="272"/>
  <c r="Q33" i="271"/>
  <c r="Q173" i="272" s="1"/>
  <c r="Q161" i="272"/>
  <c r="Q57" i="272"/>
  <c r="Q114" i="272"/>
  <c r="O202" i="272"/>
  <c r="O170" i="272"/>
  <c r="S14" i="273"/>
  <c r="S14" i="279"/>
  <c r="O83" i="272"/>
  <c r="P62" i="278"/>
  <c r="P168" i="278"/>
  <c r="P170" i="278" s="1"/>
  <c r="P64" i="278"/>
  <c r="P23" i="270"/>
  <c r="O83" i="278"/>
  <c r="P24" i="270"/>
  <c r="P187" i="272"/>
  <c r="P76" i="272"/>
  <c r="P185" i="272"/>
  <c r="P74" i="272"/>
  <c r="T52" i="268"/>
  <c r="T191" i="269" s="1"/>
  <c r="T53" i="268"/>
  <c r="T192" i="269" s="1"/>
  <c r="T6" i="277"/>
  <c r="P167" i="272"/>
  <c r="P63" i="272"/>
  <c r="P201" i="272"/>
  <c r="P166" i="272"/>
  <c r="R40" i="279"/>
  <c r="R31" i="279"/>
  <c r="P168" i="272"/>
  <c r="P64" i="272"/>
  <c r="R31" i="273"/>
  <c r="R40" i="273"/>
  <c r="N23" i="278"/>
  <c r="N43" i="278" s="1"/>
  <c r="P186" i="278"/>
  <c r="P75" i="278"/>
  <c r="P185" i="278"/>
  <c r="O78" i="272"/>
  <c r="O82" i="272"/>
  <c r="P187" i="278"/>
  <c r="P76" i="278"/>
  <c r="O78" i="278"/>
  <c r="O85" i="278" s="1"/>
  <c r="O82" i="278"/>
  <c r="W2" i="277"/>
  <c r="U3" i="269"/>
  <c r="Q55" i="270"/>
  <c r="Q22" i="270" s="1"/>
  <c r="V2" i="271"/>
  <c r="M170" i="269"/>
  <c r="M66" i="269"/>
  <c r="N161" i="269"/>
  <c r="N168" i="269" s="1"/>
  <c r="N114" i="269"/>
  <c r="N57" i="269"/>
  <c r="N64" i="269" s="1"/>
  <c r="R40" i="270"/>
  <c r="R31" i="270"/>
  <c r="O27" i="268"/>
  <c r="O25" i="268"/>
  <c r="O26" i="268"/>
  <c r="N159" i="269"/>
  <c r="N166" i="269" s="1"/>
  <c r="N112" i="269"/>
  <c r="N55" i="269"/>
  <c r="N62" i="269" s="1"/>
  <c r="N32" i="268"/>
  <c r="Q66" i="270"/>
  <c r="Q67" i="270" s="1"/>
  <c r="Q72" i="270" s="1"/>
  <c r="S14" i="270"/>
  <c r="N160" i="269"/>
  <c r="N167" i="269" s="1"/>
  <c r="N113" i="269"/>
  <c r="N56" i="269"/>
  <c r="N63" i="269" s="1"/>
  <c r="N33" i="268"/>
  <c r="R47" i="270"/>
  <c r="R38" i="270"/>
  <c r="R29" i="270"/>
  <c r="Q17" i="268"/>
  <c r="Q18" i="268" s="1"/>
  <c r="Q20" i="268" s="1"/>
  <c r="R60" i="270"/>
  <c r="R63" i="270" s="1"/>
  <c r="U2" i="268"/>
  <c r="R2" i="264"/>
  <c r="R17" i="264" s="1"/>
  <c r="T16" i="312" l="1"/>
  <c r="T17" i="312" s="1"/>
  <c r="T18" i="312" s="1"/>
  <c r="T20" i="312" s="1"/>
  <c r="P202" i="329"/>
  <c r="Q19" i="310"/>
  <c r="Q201" i="329"/>
  <c r="T10" i="321"/>
  <c r="T16" i="322" s="1"/>
  <c r="W10" i="267"/>
  <c r="W11" i="267"/>
  <c r="W7" i="267"/>
  <c r="U6" i="302" s="1"/>
  <c r="U14" i="304" s="1"/>
  <c r="W8" i="267"/>
  <c r="W12" i="267"/>
  <c r="W9" i="267"/>
  <c r="T10" i="324"/>
  <c r="T16" i="325" s="1"/>
  <c r="T10" i="327"/>
  <c r="R64" i="314"/>
  <c r="R129" i="314" s="1"/>
  <c r="R130" i="314" s="1"/>
  <c r="R135" i="314" s="1"/>
  <c r="V67" i="267"/>
  <c r="U100" i="269"/>
  <c r="U101" i="269"/>
  <c r="U103" i="269"/>
  <c r="U102" i="269"/>
  <c r="U91" i="269"/>
  <c r="U97" i="269"/>
  <c r="U90" i="269"/>
  <c r="U96" i="269"/>
  <c r="U93" i="269"/>
  <c r="U98" i="269"/>
  <c r="U95" i="269"/>
  <c r="U92" i="269"/>
  <c r="T11" i="315"/>
  <c r="T18" i="316" s="1"/>
  <c r="T11" i="318"/>
  <c r="T18" i="319" s="1"/>
  <c r="T11" i="312"/>
  <c r="T18" i="314" s="1"/>
  <c r="W45" i="267"/>
  <c r="W30" i="267"/>
  <c r="W40" i="267"/>
  <c r="W62" i="267" s="1"/>
  <c r="W44" i="267"/>
  <c r="W46" i="267" s="1"/>
  <c r="W29" i="267"/>
  <c r="W31" i="267" s="1"/>
  <c r="W39" i="267"/>
  <c r="W41" i="267" s="1"/>
  <c r="S41" i="319"/>
  <c r="S32" i="319"/>
  <c r="S32" i="316"/>
  <c r="S41" i="316"/>
  <c r="S31" i="309"/>
  <c r="S55" i="309" s="1"/>
  <c r="S22" i="309" s="1"/>
  <c r="S40" i="309"/>
  <c r="T11" i="302"/>
  <c r="T17" i="304" s="1"/>
  <c r="T11" i="277"/>
  <c r="T17" i="279" s="1"/>
  <c r="T11" i="268"/>
  <c r="T17" i="270" s="1"/>
  <c r="T11" i="308"/>
  <c r="T17" i="309" s="1"/>
  <c r="Q116" i="329"/>
  <c r="Q182" i="317"/>
  <c r="Q186" i="317" s="1"/>
  <c r="Q189" i="317" s="1"/>
  <c r="Q196" i="317" s="1"/>
  <c r="Q127" i="317"/>
  <c r="Q72" i="313"/>
  <c r="Q76" i="313" s="1"/>
  <c r="R50" i="318"/>
  <c r="R183" i="320" s="1"/>
  <c r="R187" i="320" s="1"/>
  <c r="P35" i="326"/>
  <c r="Q118" i="329"/>
  <c r="R92" i="316"/>
  <c r="R118" i="316" s="1"/>
  <c r="R85" i="316" s="1"/>
  <c r="Q117" i="329"/>
  <c r="Q119" i="329"/>
  <c r="R110" i="328"/>
  <c r="Q126" i="323"/>
  <c r="Q130" i="323" s="1"/>
  <c r="R92" i="325"/>
  <c r="T77" i="322"/>
  <c r="T15" i="322"/>
  <c r="T77" i="314"/>
  <c r="T15" i="314"/>
  <c r="P177" i="313"/>
  <c r="P204" i="313" s="1"/>
  <c r="U6" i="324"/>
  <c r="U6" i="312"/>
  <c r="U6" i="308"/>
  <c r="U14" i="309" s="1"/>
  <c r="U6" i="327"/>
  <c r="U6" i="315"/>
  <c r="U6" i="318"/>
  <c r="U6" i="321"/>
  <c r="U6" i="268"/>
  <c r="U6" i="305"/>
  <c r="U14" i="307" s="1"/>
  <c r="R92" i="328"/>
  <c r="R110" i="325"/>
  <c r="T77" i="316"/>
  <c r="T15" i="316"/>
  <c r="T77" i="325"/>
  <c r="T15" i="325"/>
  <c r="T77" i="319"/>
  <c r="T15" i="319"/>
  <c r="Q71" i="326"/>
  <c r="Q75" i="326" s="1"/>
  <c r="R67" i="314"/>
  <c r="R68" i="314" s="1"/>
  <c r="P130" i="317"/>
  <c r="T77" i="328"/>
  <c r="T15" i="328"/>
  <c r="T103" i="326"/>
  <c r="T100" i="326"/>
  <c r="T102" i="326"/>
  <c r="T101" i="326"/>
  <c r="T93" i="326"/>
  <c r="T97" i="326"/>
  <c r="T95" i="326"/>
  <c r="T90" i="326"/>
  <c r="T91" i="326"/>
  <c r="T98" i="326"/>
  <c r="T96" i="326"/>
  <c r="T92" i="326"/>
  <c r="T103" i="329"/>
  <c r="T100" i="329"/>
  <c r="T102" i="329"/>
  <c r="T101" i="329"/>
  <c r="T98" i="329"/>
  <c r="T96" i="329"/>
  <c r="T92" i="329"/>
  <c r="T97" i="329"/>
  <c r="T95" i="329"/>
  <c r="T93" i="329"/>
  <c r="T90" i="329"/>
  <c r="T91" i="329"/>
  <c r="T101" i="278"/>
  <c r="T102" i="278"/>
  <c r="T103" i="278"/>
  <c r="T100" i="278"/>
  <c r="T98" i="278"/>
  <c r="T96" i="278"/>
  <c r="T92" i="278"/>
  <c r="T93" i="278"/>
  <c r="T97" i="278"/>
  <c r="T95" i="278"/>
  <c r="T90" i="278"/>
  <c r="T91" i="278"/>
  <c r="T103" i="313"/>
  <c r="T102" i="313"/>
  <c r="T101" i="313"/>
  <c r="T100" i="313"/>
  <c r="T97" i="313"/>
  <c r="T95" i="313"/>
  <c r="T90" i="313"/>
  <c r="T91" i="313"/>
  <c r="T98" i="313"/>
  <c r="T93" i="313"/>
  <c r="T96" i="313"/>
  <c r="T92" i="313"/>
  <c r="T103" i="320"/>
  <c r="T100" i="320"/>
  <c r="T101" i="320"/>
  <c r="T102" i="320"/>
  <c r="T97" i="320"/>
  <c r="T95" i="320"/>
  <c r="T90" i="320"/>
  <c r="T91" i="320"/>
  <c r="T98" i="320"/>
  <c r="T96" i="320"/>
  <c r="T92" i="320"/>
  <c r="T93" i="320"/>
  <c r="T101" i="272"/>
  <c r="T103" i="272"/>
  <c r="T100" i="272"/>
  <c r="T102" i="272"/>
  <c r="T97" i="272"/>
  <c r="T95" i="272"/>
  <c r="T92" i="272"/>
  <c r="T91" i="272"/>
  <c r="T96" i="272"/>
  <c r="T98" i="272"/>
  <c r="T93" i="272"/>
  <c r="T90" i="272"/>
  <c r="T103" i="317"/>
  <c r="T100" i="317"/>
  <c r="T101" i="317"/>
  <c r="T102" i="317"/>
  <c r="T93" i="317"/>
  <c r="T97" i="317"/>
  <c r="T95" i="317"/>
  <c r="T90" i="317"/>
  <c r="T96" i="317"/>
  <c r="T98" i="317"/>
  <c r="T92" i="317"/>
  <c r="T91" i="317"/>
  <c r="T103" i="323"/>
  <c r="T100" i="323"/>
  <c r="T101" i="323"/>
  <c r="T102" i="323"/>
  <c r="T93" i="323"/>
  <c r="T97" i="323"/>
  <c r="T95" i="323"/>
  <c r="T90" i="323"/>
  <c r="T98" i="323"/>
  <c r="T92" i="323"/>
  <c r="T91" i="323"/>
  <c r="T96" i="323"/>
  <c r="S64" i="314"/>
  <c r="S129" i="314" s="1"/>
  <c r="S130" i="314" s="1"/>
  <c r="S135" i="314" s="1"/>
  <c r="R49" i="318"/>
  <c r="R182" i="320" s="1"/>
  <c r="R186" i="320" s="1"/>
  <c r="Q128" i="313"/>
  <c r="Q128" i="317"/>
  <c r="Q72" i="317"/>
  <c r="Q76" i="317" s="1"/>
  <c r="P202" i="323"/>
  <c r="Q133" i="303"/>
  <c r="Q141" i="329"/>
  <c r="P133" i="317"/>
  <c r="N119" i="269"/>
  <c r="N116" i="269"/>
  <c r="N117" i="269"/>
  <c r="N118" i="269"/>
  <c r="Q141" i="278"/>
  <c r="Q117" i="278"/>
  <c r="Q142" i="278"/>
  <c r="Q118" i="278"/>
  <c r="Q143" i="278"/>
  <c r="Q119" i="278"/>
  <c r="Q140" i="278"/>
  <c r="Q116" i="278"/>
  <c r="Q142" i="303"/>
  <c r="Q118" i="303"/>
  <c r="Q143" i="303"/>
  <c r="Q119" i="303"/>
  <c r="Q116" i="303"/>
  <c r="Q140" i="303"/>
  <c r="Q117" i="303"/>
  <c r="Q141" i="303"/>
  <c r="Q131" i="310"/>
  <c r="Q132" i="310"/>
  <c r="Q133" i="310"/>
  <c r="Q130" i="310"/>
  <c r="P140" i="323"/>
  <c r="Q142" i="329"/>
  <c r="Q142" i="306"/>
  <c r="Q143" i="306"/>
  <c r="Q140" i="306"/>
  <c r="Q116" i="306"/>
  <c r="Q117" i="306"/>
  <c r="Q141" i="306"/>
  <c r="Q118" i="306"/>
  <c r="Q119" i="306"/>
  <c r="Q182" i="326"/>
  <c r="Q186" i="326" s="1"/>
  <c r="Q72" i="323"/>
  <c r="Q76" i="323" s="1"/>
  <c r="Q71" i="313"/>
  <c r="Q75" i="313" s="1"/>
  <c r="R118" i="329"/>
  <c r="R119" i="329"/>
  <c r="R116" i="329"/>
  <c r="R117" i="329"/>
  <c r="R117" i="313"/>
  <c r="R118" i="313"/>
  <c r="R119" i="313"/>
  <c r="R116" i="313"/>
  <c r="Q117" i="326"/>
  <c r="Q118" i="326"/>
  <c r="Q119" i="326"/>
  <c r="Q116" i="326"/>
  <c r="Q53" i="312"/>
  <c r="Q192" i="313" s="1"/>
  <c r="Q194" i="313" s="1"/>
  <c r="P130" i="329"/>
  <c r="P131" i="329"/>
  <c r="P132" i="329"/>
  <c r="P133" i="329"/>
  <c r="P141" i="329"/>
  <c r="P143" i="329"/>
  <c r="P140" i="329"/>
  <c r="P142" i="329"/>
  <c r="P143" i="317"/>
  <c r="P141" i="317"/>
  <c r="P130" i="323"/>
  <c r="Q130" i="303"/>
  <c r="Q140" i="329"/>
  <c r="P132" i="317"/>
  <c r="Q117" i="317"/>
  <c r="Q118" i="317"/>
  <c r="Q119" i="317"/>
  <c r="Q116" i="317"/>
  <c r="Q143" i="272"/>
  <c r="Q140" i="272"/>
  <c r="Q141" i="272"/>
  <c r="Q117" i="272"/>
  <c r="Q118" i="272"/>
  <c r="Q119" i="272"/>
  <c r="Q142" i="272"/>
  <c r="Q116" i="272"/>
  <c r="Q70" i="323"/>
  <c r="Q74" i="323" s="1"/>
  <c r="Q183" i="323"/>
  <c r="Q187" i="323" s="1"/>
  <c r="Q189" i="323" s="1"/>
  <c r="Q196" i="323" s="1"/>
  <c r="Q127" i="313"/>
  <c r="Q116" i="320"/>
  <c r="Q117" i="320"/>
  <c r="Q118" i="320"/>
  <c r="Q119" i="320"/>
  <c r="Q116" i="323"/>
  <c r="Q117" i="323"/>
  <c r="Q118" i="323"/>
  <c r="Q119" i="323"/>
  <c r="P141" i="323"/>
  <c r="P143" i="323"/>
  <c r="P133" i="323"/>
  <c r="Q132" i="303"/>
  <c r="P131" i="317"/>
  <c r="Q131" i="329"/>
  <c r="Q132" i="329"/>
  <c r="Q133" i="329"/>
  <c r="Q130" i="329"/>
  <c r="P131" i="323"/>
  <c r="Q133" i="272"/>
  <c r="Q132" i="272"/>
  <c r="Q130" i="272"/>
  <c r="Q131" i="272"/>
  <c r="R133" i="303"/>
  <c r="R130" i="303"/>
  <c r="R131" i="303"/>
  <c r="R132" i="303"/>
  <c r="Q130" i="306"/>
  <c r="Q131" i="306"/>
  <c r="Q133" i="306"/>
  <c r="Q132" i="306"/>
  <c r="Q131" i="278"/>
  <c r="Q132" i="278"/>
  <c r="Q133" i="278"/>
  <c r="Q130" i="278"/>
  <c r="Q141" i="310"/>
  <c r="Q142" i="310"/>
  <c r="Q143" i="310"/>
  <c r="Q116" i="310"/>
  <c r="Q117" i="310"/>
  <c r="Q118" i="310"/>
  <c r="Q140" i="310"/>
  <c r="Q119" i="310"/>
  <c r="P142" i="317"/>
  <c r="P140" i="317"/>
  <c r="P142" i="323"/>
  <c r="Q143" i="329"/>
  <c r="R110" i="319"/>
  <c r="T108" i="329"/>
  <c r="T106" i="329"/>
  <c r="T107" i="329"/>
  <c r="T105" i="329"/>
  <c r="Q128" i="326"/>
  <c r="Q142" i="326" s="1"/>
  <c r="P83" i="323"/>
  <c r="R101" i="316"/>
  <c r="R92" i="322"/>
  <c r="T107" i="326"/>
  <c r="T106" i="326"/>
  <c r="T108" i="326"/>
  <c r="T105" i="326"/>
  <c r="T108" i="278"/>
  <c r="T107" i="278"/>
  <c r="T105" i="278"/>
  <c r="T106" i="278"/>
  <c r="T108" i="313"/>
  <c r="T107" i="313"/>
  <c r="T106" i="313"/>
  <c r="T105" i="313"/>
  <c r="T108" i="320"/>
  <c r="T107" i="320"/>
  <c r="T106" i="320"/>
  <c r="T105" i="320"/>
  <c r="Q183" i="326"/>
  <c r="Q187" i="326" s="1"/>
  <c r="R110" i="322"/>
  <c r="T107" i="272"/>
  <c r="T105" i="272"/>
  <c r="T108" i="272"/>
  <c r="T106" i="272"/>
  <c r="U108" i="269"/>
  <c r="U106" i="269"/>
  <c r="U107" i="269"/>
  <c r="U105" i="269"/>
  <c r="T108" i="317"/>
  <c r="T107" i="317"/>
  <c r="T106" i="317"/>
  <c r="T105" i="317"/>
  <c r="T108" i="323"/>
  <c r="T107" i="323"/>
  <c r="T106" i="323"/>
  <c r="T105" i="323"/>
  <c r="P23" i="320"/>
  <c r="S40" i="312"/>
  <c r="S42" i="312" s="1"/>
  <c r="S43" i="312" s="1"/>
  <c r="S44" i="312" s="1"/>
  <c r="S46" i="312" s="1"/>
  <c r="S50" i="312" s="1"/>
  <c r="S78" i="314"/>
  <c r="S79" i="314"/>
  <c r="S78" i="325"/>
  <c r="S92" i="325" s="1"/>
  <c r="S79" i="325"/>
  <c r="S78" i="319"/>
  <c r="S101" i="319" s="1"/>
  <c r="S79" i="319"/>
  <c r="R101" i="319"/>
  <c r="S78" i="328"/>
  <c r="S101" i="328" s="1"/>
  <c r="S79" i="328"/>
  <c r="W67" i="267"/>
  <c r="S78" i="316"/>
  <c r="S101" i="316" s="1"/>
  <c r="S79" i="316"/>
  <c r="T14" i="327"/>
  <c r="T16" i="327" s="1"/>
  <c r="T17" i="327" s="1"/>
  <c r="T18" i="327" s="1"/>
  <c r="T20" i="327" s="1"/>
  <c r="T25" i="327" s="1"/>
  <c r="T17" i="328"/>
  <c r="T16" i="328"/>
  <c r="S78" i="322"/>
  <c r="S110" i="322" s="1"/>
  <c r="S79" i="322"/>
  <c r="Q86" i="325"/>
  <c r="Q27" i="326" s="1"/>
  <c r="Q31" i="326" s="1"/>
  <c r="P189" i="329"/>
  <c r="P196" i="329" s="1"/>
  <c r="P204" i="329" s="1"/>
  <c r="P83" i="317"/>
  <c r="Q175" i="310"/>
  <c r="Q71" i="320"/>
  <c r="Q75" i="320" s="1"/>
  <c r="P40" i="320"/>
  <c r="Q53" i="318"/>
  <c r="Q192" i="320" s="1"/>
  <c r="Q194" i="320" s="1"/>
  <c r="P35" i="320"/>
  <c r="Q127" i="320"/>
  <c r="Q86" i="328"/>
  <c r="Q27" i="329" s="1"/>
  <c r="Q31" i="329" s="1"/>
  <c r="R48" i="315"/>
  <c r="R181" i="317" s="1"/>
  <c r="R185" i="317" s="1"/>
  <c r="R50" i="315"/>
  <c r="R72" i="317" s="1"/>
  <c r="R76" i="317" s="1"/>
  <c r="Q126" i="320"/>
  <c r="Q143" i="320" s="1"/>
  <c r="Q70" i="320"/>
  <c r="Q74" i="320" s="1"/>
  <c r="Q181" i="320"/>
  <c r="Q185" i="320" s="1"/>
  <c r="Q202" i="320" s="1"/>
  <c r="R48" i="321"/>
  <c r="R126" i="323" s="1"/>
  <c r="P39" i="323"/>
  <c r="P83" i="329"/>
  <c r="Q170" i="310"/>
  <c r="R50" i="321"/>
  <c r="R128" i="323" s="1"/>
  <c r="O43" i="323"/>
  <c r="P35" i="329"/>
  <c r="S25" i="312"/>
  <c r="S32" i="312" s="1"/>
  <c r="S172" i="313" s="1"/>
  <c r="O43" i="313"/>
  <c r="S26" i="312"/>
  <c r="S56" i="313" s="1"/>
  <c r="S63" i="313" s="1"/>
  <c r="R49" i="327"/>
  <c r="R71" i="329" s="1"/>
  <c r="R75" i="329" s="1"/>
  <c r="R50" i="327"/>
  <c r="R72" i="329" s="1"/>
  <c r="R76" i="329" s="1"/>
  <c r="Q86" i="322"/>
  <c r="Q27" i="323" s="1"/>
  <c r="Q31" i="323" s="1"/>
  <c r="S40" i="321"/>
  <c r="S42" i="321" s="1"/>
  <c r="S43" i="321" s="1"/>
  <c r="S44" i="321" s="1"/>
  <c r="S46" i="321" s="1"/>
  <c r="S50" i="321" s="1"/>
  <c r="R118" i="319"/>
  <c r="R85" i="319" s="1"/>
  <c r="R29" i="320" s="1"/>
  <c r="R33" i="320" s="1"/>
  <c r="S40" i="315"/>
  <c r="S42" i="315" s="1"/>
  <c r="S43" i="315" s="1"/>
  <c r="S44" i="315" s="1"/>
  <c r="S46" i="315" s="1"/>
  <c r="S48" i="315" s="1"/>
  <c r="T17" i="316"/>
  <c r="T16" i="316"/>
  <c r="P32" i="317"/>
  <c r="P40" i="317"/>
  <c r="T17" i="314"/>
  <c r="T122" i="314" s="1"/>
  <c r="T16" i="314"/>
  <c r="P39" i="313"/>
  <c r="Q129" i="314"/>
  <c r="Q130" i="314" s="1"/>
  <c r="Q135" i="314" s="1"/>
  <c r="Q87" i="314" s="1"/>
  <c r="Q28" i="313" s="1"/>
  <c r="Q32" i="313" s="1"/>
  <c r="Q67" i="314"/>
  <c r="Q68" i="314" s="1"/>
  <c r="Q73" i="314" s="1"/>
  <c r="Q25" i="314" s="1"/>
  <c r="Q16" i="313" s="1"/>
  <c r="T15" i="279"/>
  <c r="T16" i="309"/>
  <c r="T59" i="309" s="1"/>
  <c r="T63" i="309" s="1"/>
  <c r="T66" i="309" s="1"/>
  <c r="T67" i="309" s="1"/>
  <c r="T72" i="309" s="1"/>
  <c r="T15" i="309"/>
  <c r="T38" i="309" s="1"/>
  <c r="T16" i="307"/>
  <c r="T59" i="307" s="1"/>
  <c r="T15" i="307"/>
  <c r="T16" i="304"/>
  <c r="T59" i="304" s="1"/>
  <c r="T15" i="304"/>
  <c r="T29" i="304" s="1"/>
  <c r="T150" i="326"/>
  <c r="T151" i="326"/>
  <c r="P40" i="326"/>
  <c r="T150" i="323"/>
  <c r="T151" i="323"/>
  <c r="P39" i="320"/>
  <c r="T151" i="320"/>
  <c r="T150" i="320"/>
  <c r="T150" i="317"/>
  <c r="T151" i="317"/>
  <c r="T150" i="313"/>
  <c r="T151" i="313"/>
  <c r="T151" i="278"/>
  <c r="T150" i="278"/>
  <c r="T150" i="272"/>
  <c r="T151" i="272"/>
  <c r="U27" i="269"/>
  <c r="U29" i="269"/>
  <c r="U33" i="269" s="1"/>
  <c r="U151" i="269"/>
  <c r="U150" i="269"/>
  <c r="U28" i="269"/>
  <c r="U32" i="269" s="1"/>
  <c r="O35" i="317"/>
  <c r="P40" i="329"/>
  <c r="Q41" i="323"/>
  <c r="P40" i="323"/>
  <c r="T90" i="322"/>
  <c r="T76" i="322"/>
  <c r="T84" i="322"/>
  <c r="T28" i="322"/>
  <c r="T22" i="322"/>
  <c r="S122" i="325"/>
  <c r="S60" i="325"/>
  <c r="T32" i="328"/>
  <c r="T41" i="328"/>
  <c r="R126" i="316"/>
  <c r="R64" i="316"/>
  <c r="Q129" i="325"/>
  <c r="Q130" i="325" s="1"/>
  <c r="Q135" i="325" s="1"/>
  <c r="Q87" i="325" s="1"/>
  <c r="Q28" i="326" s="1"/>
  <c r="Q32" i="326" s="1"/>
  <c r="Q67" i="325"/>
  <c r="Q68" i="325" s="1"/>
  <c r="Q73" i="325" s="1"/>
  <c r="Q25" i="325" s="1"/>
  <c r="Q16" i="326" s="1"/>
  <c r="Q20" i="326" s="1"/>
  <c r="Q24" i="325"/>
  <c r="Q15" i="326" s="1"/>
  <c r="S94" i="319"/>
  <c r="S103" i="319"/>
  <c r="S103" i="328"/>
  <c r="S94" i="328"/>
  <c r="T22" i="328"/>
  <c r="T90" i="328"/>
  <c r="T84" i="328"/>
  <c r="T76" i="328"/>
  <c r="T28" i="328"/>
  <c r="S48" i="316"/>
  <c r="S39" i="316"/>
  <c r="S30" i="316"/>
  <c r="S56" i="316" s="1"/>
  <c r="S23" i="316" s="1"/>
  <c r="S17" i="317" s="1"/>
  <c r="S21" i="317" s="1"/>
  <c r="T32" i="325"/>
  <c r="T41" i="325"/>
  <c r="R64" i="322"/>
  <c r="R126" i="322"/>
  <c r="S94" i="316"/>
  <c r="S103" i="316"/>
  <c r="T84" i="325"/>
  <c r="T22" i="325"/>
  <c r="T90" i="325"/>
  <c r="T76" i="325"/>
  <c r="T28" i="325"/>
  <c r="S30" i="319"/>
  <c r="S48" i="319"/>
  <c r="S39" i="319"/>
  <c r="S56" i="319" s="1"/>
  <c r="S23" i="319" s="1"/>
  <c r="S17" i="320" s="1"/>
  <c r="S21" i="320" s="1"/>
  <c r="R64" i="328"/>
  <c r="R126" i="328"/>
  <c r="R126" i="319"/>
  <c r="R64" i="319"/>
  <c r="Q67" i="328"/>
  <c r="Q68" i="328" s="1"/>
  <c r="Q73" i="328" s="1"/>
  <c r="Q25" i="328" s="1"/>
  <c r="Q16" i="329" s="1"/>
  <c r="Q129" i="328"/>
  <c r="Q130" i="328" s="1"/>
  <c r="Q135" i="328" s="1"/>
  <c r="Q87" i="328" s="1"/>
  <c r="Q28" i="329" s="1"/>
  <c r="Q32" i="329" s="1"/>
  <c r="Q24" i="328"/>
  <c r="Q15" i="329" s="1"/>
  <c r="P33" i="323"/>
  <c r="P35" i="323" s="1"/>
  <c r="P41" i="323"/>
  <c r="T84" i="319"/>
  <c r="T76" i="319"/>
  <c r="T28" i="319"/>
  <c r="T90" i="319"/>
  <c r="T22" i="319"/>
  <c r="S48" i="322"/>
  <c r="S39" i="322"/>
  <c r="S56" i="322" s="1"/>
  <c r="S23" i="322" s="1"/>
  <c r="S17" i="323" s="1"/>
  <c r="S21" i="323" s="1"/>
  <c r="S30" i="322"/>
  <c r="P33" i="317"/>
  <c r="P41" i="317"/>
  <c r="Q86" i="319"/>
  <c r="Q27" i="320" s="1"/>
  <c r="Q31" i="320" s="1"/>
  <c r="Q29" i="320"/>
  <c r="W66" i="267"/>
  <c r="T76" i="316"/>
  <c r="T90" i="316"/>
  <c r="T84" i="316"/>
  <c r="T28" i="316"/>
  <c r="T22" i="316"/>
  <c r="S60" i="322"/>
  <c r="S122" i="322"/>
  <c r="R126" i="325"/>
  <c r="R64" i="325"/>
  <c r="Q86" i="316"/>
  <c r="Q27" i="317" s="1"/>
  <c r="Q31" i="317" s="1"/>
  <c r="Q29" i="317"/>
  <c r="R118" i="328"/>
  <c r="R85" i="328" s="1"/>
  <c r="T38" i="327"/>
  <c r="T80" i="328" s="1"/>
  <c r="T38" i="324"/>
  <c r="T80" i="325" s="1"/>
  <c r="T38" i="321"/>
  <c r="T80" i="322" s="1"/>
  <c r="Q129" i="319"/>
  <c r="Q130" i="319" s="1"/>
  <c r="Q135" i="319" s="1"/>
  <c r="Q87" i="319" s="1"/>
  <c r="Q28" i="320" s="1"/>
  <c r="Q67" i="319"/>
  <c r="Q68" i="319" s="1"/>
  <c r="Q73" i="319" s="1"/>
  <c r="Q25" i="319" s="1"/>
  <c r="Q16" i="320" s="1"/>
  <c r="Q20" i="320" s="1"/>
  <c r="Q24" i="319"/>
  <c r="Q15" i="320" s="1"/>
  <c r="Q19" i="320" s="1"/>
  <c r="R48" i="325"/>
  <c r="R39" i="325"/>
  <c r="R56" i="325" s="1"/>
  <c r="R23" i="325" s="1"/>
  <c r="R30" i="325"/>
  <c r="S122" i="316"/>
  <c r="S60" i="316"/>
  <c r="R118" i="325"/>
  <c r="R85" i="325" s="1"/>
  <c r="R118" i="322"/>
  <c r="R85" i="322" s="1"/>
  <c r="Q129" i="316"/>
  <c r="Q130" i="316" s="1"/>
  <c r="Q135" i="316" s="1"/>
  <c r="Q87" i="316" s="1"/>
  <c r="Q28" i="317" s="1"/>
  <c r="Q67" i="316"/>
  <c r="Q68" i="316" s="1"/>
  <c r="Q73" i="316" s="1"/>
  <c r="Q25" i="316" s="1"/>
  <c r="Q16" i="317" s="1"/>
  <c r="Q20" i="317" s="1"/>
  <c r="Q24" i="316"/>
  <c r="Q15" i="317" s="1"/>
  <c r="T32" i="322"/>
  <c r="T41" i="322"/>
  <c r="T37" i="327"/>
  <c r="T37" i="321"/>
  <c r="T37" i="324"/>
  <c r="T40" i="324" s="1"/>
  <c r="T42" i="324" s="1"/>
  <c r="T43" i="324" s="1"/>
  <c r="T44" i="324" s="1"/>
  <c r="T46" i="324" s="1"/>
  <c r="V68" i="267"/>
  <c r="R48" i="328"/>
  <c r="R39" i="328"/>
  <c r="R56" i="328" s="1"/>
  <c r="R23" i="328" s="1"/>
  <c r="R30" i="328"/>
  <c r="S103" i="325"/>
  <c r="S94" i="325"/>
  <c r="T38" i="318"/>
  <c r="T80" i="319" s="1"/>
  <c r="T38" i="315"/>
  <c r="T80" i="316" s="1"/>
  <c r="T38" i="312"/>
  <c r="T80" i="314" s="1"/>
  <c r="S122" i="328"/>
  <c r="S60" i="328"/>
  <c r="S122" i="319"/>
  <c r="S60" i="319"/>
  <c r="O43" i="320"/>
  <c r="Q129" i="322"/>
  <c r="Q130" i="322" s="1"/>
  <c r="Q135" i="322" s="1"/>
  <c r="Q87" i="322" s="1"/>
  <c r="Q28" i="323" s="1"/>
  <c r="Q32" i="323" s="1"/>
  <c r="Q67" i="322"/>
  <c r="Q68" i="322" s="1"/>
  <c r="Q73" i="322" s="1"/>
  <c r="Q25" i="322" s="1"/>
  <c r="Q16" i="323" s="1"/>
  <c r="Q20" i="323" s="1"/>
  <c r="Q24" i="322"/>
  <c r="Q15" i="323" s="1"/>
  <c r="Q19" i="323" s="1"/>
  <c r="S103" i="322"/>
  <c r="S94" i="322"/>
  <c r="U10" i="321"/>
  <c r="U16" i="322" s="1"/>
  <c r="U10" i="324"/>
  <c r="U16" i="325" s="1"/>
  <c r="U10" i="327"/>
  <c r="U11" i="321"/>
  <c r="U18" i="322" s="1"/>
  <c r="U11" i="324"/>
  <c r="U18" i="325" s="1"/>
  <c r="U11" i="327"/>
  <c r="U18" i="328" s="1"/>
  <c r="P85" i="310"/>
  <c r="P41" i="313"/>
  <c r="O101" i="260"/>
  <c r="Q194" i="329"/>
  <c r="N100" i="260"/>
  <c r="M112" i="260"/>
  <c r="R159" i="310"/>
  <c r="R166" i="310" s="1"/>
  <c r="Q175" i="306"/>
  <c r="Q177" i="306" s="1"/>
  <c r="R200" i="329"/>
  <c r="R53" i="312"/>
  <c r="R192" i="313" s="1"/>
  <c r="R194" i="313" s="1"/>
  <c r="R200" i="313"/>
  <c r="U10" i="315"/>
  <c r="U10" i="318"/>
  <c r="U16" i="319" s="1"/>
  <c r="U10" i="312"/>
  <c r="W61" i="267"/>
  <c r="W63" i="267" s="1"/>
  <c r="T41" i="314"/>
  <c r="S103" i="314"/>
  <c r="S94" i="314"/>
  <c r="T37" i="312"/>
  <c r="T37" i="315"/>
  <c r="T37" i="318"/>
  <c r="T40" i="318" s="1"/>
  <c r="T42" i="318" s="1"/>
  <c r="T43" i="318" s="1"/>
  <c r="T44" i="318" s="1"/>
  <c r="T46" i="318" s="1"/>
  <c r="R101" i="314"/>
  <c r="R92" i="314"/>
  <c r="R110" i="314"/>
  <c r="Q29" i="313"/>
  <c r="Q33" i="313" s="1"/>
  <c r="Q86" i="314"/>
  <c r="Q27" i="313" s="1"/>
  <c r="Q31" i="313" s="1"/>
  <c r="R94" i="314"/>
  <c r="R103" i="314"/>
  <c r="P35" i="313"/>
  <c r="Q24" i="314"/>
  <c r="Q15" i="313" s="1"/>
  <c r="Q19" i="313" s="1"/>
  <c r="T76" i="314"/>
  <c r="T84" i="314"/>
  <c r="T90" i="314"/>
  <c r="P20" i="313"/>
  <c r="P23" i="313" s="1"/>
  <c r="P40" i="313"/>
  <c r="R73" i="314"/>
  <c r="R23" i="314"/>
  <c r="R72" i="310"/>
  <c r="R76" i="310" s="1"/>
  <c r="Q78" i="310"/>
  <c r="R57" i="310"/>
  <c r="R64" i="310" s="1"/>
  <c r="R33" i="308"/>
  <c r="R173" i="310" s="1"/>
  <c r="R201" i="310" s="1"/>
  <c r="R161" i="310"/>
  <c r="R168" i="310" s="1"/>
  <c r="R112" i="310"/>
  <c r="R32" i="308"/>
  <c r="R172" i="310" s="1"/>
  <c r="Q177" i="313"/>
  <c r="R128" i="310"/>
  <c r="R66" i="329"/>
  <c r="P177" i="323"/>
  <c r="P204" i="323" s="1"/>
  <c r="R170" i="329"/>
  <c r="Q177" i="329"/>
  <c r="P177" i="317"/>
  <c r="P204" i="317" s="1"/>
  <c r="P23" i="323"/>
  <c r="Q170" i="323"/>
  <c r="S26" i="324"/>
  <c r="S25" i="324"/>
  <c r="S27" i="324"/>
  <c r="Q200" i="326"/>
  <c r="Q175" i="326"/>
  <c r="S161" i="329"/>
  <c r="S168" i="329" s="1"/>
  <c r="S57" i="329"/>
  <c r="S64" i="329" s="1"/>
  <c r="S114" i="329"/>
  <c r="P21" i="329"/>
  <c r="P41" i="329"/>
  <c r="S114" i="313"/>
  <c r="S161" i="313"/>
  <c r="S168" i="313" s="1"/>
  <c r="S57" i="313"/>
  <c r="S64" i="313" s="1"/>
  <c r="R161" i="326"/>
  <c r="R168" i="326" s="1"/>
  <c r="R57" i="326"/>
  <c r="R64" i="326" s="1"/>
  <c r="R114" i="326"/>
  <c r="P177" i="326"/>
  <c r="P204" i="326" s="1"/>
  <c r="R114" i="320"/>
  <c r="R161" i="320"/>
  <c r="R168" i="320" s="1"/>
  <c r="R57" i="320"/>
  <c r="R64" i="320" s="1"/>
  <c r="O23" i="326"/>
  <c r="O43" i="326" s="1"/>
  <c r="S32" i="327"/>
  <c r="S172" i="329" s="1"/>
  <c r="S159" i="329"/>
  <c r="S166" i="329" s="1"/>
  <c r="S55" i="329"/>
  <c r="S62" i="329" s="1"/>
  <c r="S112" i="329"/>
  <c r="T17" i="322"/>
  <c r="T14" i="321"/>
  <c r="T16" i="321" s="1"/>
  <c r="T17" i="321" s="1"/>
  <c r="T18" i="321" s="1"/>
  <c r="T20" i="321" s="1"/>
  <c r="P19" i="329"/>
  <c r="P39" i="329"/>
  <c r="R113" i="326"/>
  <c r="R160" i="326"/>
  <c r="R167" i="326" s="1"/>
  <c r="R56" i="326"/>
  <c r="R63" i="326" s="1"/>
  <c r="R33" i="324"/>
  <c r="R173" i="326" s="1"/>
  <c r="R201" i="326" s="1"/>
  <c r="R56" i="320"/>
  <c r="R63" i="320" s="1"/>
  <c r="R33" i="318"/>
  <c r="R173" i="320" s="1"/>
  <c r="R113" i="320"/>
  <c r="R160" i="320"/>
  <c r="R167" i="320" s="1"/>
  <c r="R126" i="310"/>
  <c r="R114" i="317"/>
  <c r="R57" i="317"/>
  <c r="R64" i="317" s="1"/>
  <c r="R161" i="317"/>
  <c r="R168" i="317" s="1"/>
  <c r="O23" i="329"/>
  <c r="O43" i="329" s="1"/>
  <c r="R66" i="313"/>
  <c r="T26" i="312"/>
  <c r="T25" i="312"/>
  <c r="T27" i="312"/>
  <c r="R112" i="326"/>
  <c r="R55" i="326"/>
  <c r="R62" i="326" s="1"/>
  <c r="R159" i="326"/>
  <c r="R166" i="326" s="1"/>
  <c r="R32" i="324"/>
  <c r="R172" i="326" s="1"/>
  <c r="R32" i="318"/>
  <c r="R172" i="320" s="1"/>
  <c r="R159" i="320"/>
  <c r="R166" i="320" s="1"/>
  <c r="R55" i="320"/>
  <c r="R62" i="320" s="1"/>
  <c r="R112" i="320"/>
  <c r="T14" i="315"/>
  <c r="T16" i="315" s="1"/>
  <c r="T17" i="315" s="1"/>
  <c r="T18" i="315" s="1"/>
  <c r="T20" i="315" s="1"/>
  <c r="P85" i="303"/>
  <c r="R175" i="329"/>
  <c r="R175" i="313"/>
  <c r="R160" i="317"/>
  <c r="R167" i="317" s="1"/>
  <c r="R113" i="317"/>
  <c r="R56" i="317"/>
  <c r="R63" i="317" s="1"/>
  <c r="R33" i="315"/>
  <c r="R173" i="317" s="1"/>
  <c r="R201" i="317" s="1"/>
  <c r="S27" i="321"/>
  <c r="S26" i="321"/>
  <c r="S25" i="321"/>
  <c r="R170" i="313"/>
  <c r="T17" i="319"/>
  <c r="T14" i="318"/>
  <c r="T16" i="318" s="1"/>
  <c r="T17" i="318" s="1"/>
  <c r="T18" i="318" s="1"/>
  <c r="T20" i="318" s="1"/>
  <c r="Q66" i="326"/>
  <c r="Q66" i="320"/>
  <c r="Q66" i="323"/>
  <c r="R112" i="323"/>
  <c r="R55" i="323"/>
  <c r="R62" i="323" s="1"/>
  <c r="R32" i="321"/>
  <c r="R172" i="323" s="1"/>
  <c r="R159" i="323"/>
  <c r="R166" i="323" s="1"/>
  <c r="Q170" i="317"/>
  <c r="R57" i="323"/>
  <c r="R64" i="323" s="1"/>
  <c r="R114" i="323"/>
  <c r="R161" i="323"/>
  <c r="R168" i="323" s="1"/>
  <c r="Q189" i="310"/>
  <c r="Q196" i="310" s="1"/>
  <c r="P19" i="326"/>
  <c r="P39" i="326"/>
  <c r="Q17" i="329"/>
  <c r="T14" i="324"/>
  <c r="T16" i="324" s="1"/>
  <c r="T17" i="324" s="1"/>
  <c r="T18" i="324" s="1"/>
  <c r="T20" i="324" s="1"/>
  <c r="T17" i="325"/>
  <c r="P177" i="320"/>
  <c r="P204" i="320" s="1"/>
  <c r="Q66" i="317"/>
  <c r="S26" i="315"/>
  <c r="S27" i="315"/>
  <c r="S25" i="315"/>
  <c r="Q170" i="320"/>
  <c r="Q200" i="323"/>
  <c r="Q175" i="323"/>
  <c r="R113" i="323"/>
  <c r="R160" i="323"/>
  <c r="R167" i="323" s="1"/>
  <c r="R56" i="323"/>
  <c r="R63" i="323" s="1"/>
  <c r="R33" i="321"/>
  <c r="R173" i="323" s="1"/>
  <c r="R201" i="323" s="1"/>
  <c r="R32" i="315"/>
  <c r="R172" i="317" s="1"/>
  <c r="R55" i="317"/>
  <c r="R62" i="317" s="1"/>
  <c r="R112" i="317"/>
  <c r="R159" i="317"/>
  <c r="R166" i="317" s="1"/>
  <c r="Q200" i="320"/>
  <c r="Q175" i="320"/>
  <c r="S56" i="329"/>
  <c r="S63" i="329" s="1"/>
  <c r="S33" i="327"/>
  <c r="S173" i="329" s="1"/>
  <c r="S113" i="329"/>
  <c r="S160" i="329"/>
  <c r="S167" i="329" s="1"/>
  <c r="Q17" i="326"/>
  <c r="P21" i="326"/>
  <c r="P41" i="326"/>
  <c r="Q170" i="326"/>
  <c r="Q200" i="317"/>
  <c r="Q175" i="317"/>
  <c r="S26" i="318"/>
  <c r="S25" i="318"/>
  <c r="S27" i="318"/>
  <c r="Q21" i="313"/>
  <c r="T32" i="314"/>
  <c r="S48" i="314"/>
  <c r="S39" i="314"/>
  <c r="S30" i="314"/>
  <c r="S56" i="314" s="1"/>
  <c r="Q202" i="310"/>
  <c r="S26" i="308"/>
  <c r="S56" i="310" s="1"/>
  <c r="S63" i="310" s="1"/>
  <c r="S25" i="308"/>
  <c r="S32" i="308" s="1"/>
  <c r="S172" i="310" s="1"/>
  <c r="T14" i="308"/>
  <c r="T16" i="308" s="1"/>
  <c r="T17" i="308" s="1"/>
  <c r="T18" i="308" s="1"/>
  <c r="T20" i="308" s="1"/>
  <c r="T25" i="308" s="1"/>
  <c r="R182" i="310"/>
  <c r="R186" i="310" s="1"/>
  <c r="R71" i="323"/>
  <c r="R75" i="323" s="1"/>
  <c r="R182" i="323"/>
  <c r="R186" i="323" s="1"/>
  <c r="R127" i="323"/>
  <c r="R72" i="326"/>
  <c r="R76" i="326" s="1"/>
  <c r="R183" i="326"/>
  <c r="R187" i="326" s="1"/>
  <c r="R128" i="326"/>
  <c r="S50" i="318"/>
  <c r="S49" i="318"/>
  <c r="S48" i="318"/>
  <c r="S52" i="318" s="1"/>
  <c r="S191" i="320" s="1"/>
  <c r="R126" i="320"/>
  <c r="R181" i="320"/>
  <c r="R185" i="320" s="1"/>
  <c r="R70" i="320"/>
  <c r="T28" i="314"/>
  <c r="T22" i="314"/>
  <c r="T14" i="314"/>
  <c r="T14" i="322"/>
  <c r="R182" i="313"/>
  <c r="R186" i="313" s="1"/>
  <c r="R127" i="313"/>
  <c r="R71" i="313"/>
  <c r="R75" i="313" s="1"/>
  <c r="U3" i="329"/>
  <c r="U1" i="328"/>
  <c r="U3" i="326"/>
  <c r="U3" i="323"/>
  <c r="U1" i="322"/>
  <c r="U1" i="325"/>
  <c r="U3" i="320"/>
  <c r="U1" i="319"/>
  <c r="U1" i="316"/>
  <c r="U3" i="317"/>
  <c r="U3" i="313"/>
  <c r="U1" i="314"/>
  <c r="P78" i="320"/>
  <c r="P85" i="320" s="1"/>
  <c r="P82" i="320"/>
  <c r="R181" i="326"/>
  <c r="R185" i="326" s="1"/>
  <c r="R126" i="326"/>
  <c r="R70" i="326"/>
  <c r="S50" i="327"/>
  <c r="S49" i="327"/>
  <c r="S48" i="327"/>
  <c r="S52" i="327" s="1"/>
  <c r="S191" i="329" s="1"/>
  <c r="R128" i="320"/>
  <c r="T14" i="328"/>
  <c r="R72" i="313"/>
  <c r="R76" i="313" s="1"/>
  <c r="R183" i="313"/>
  <c r="R187" i="313" s="1"/>
  <c r="R128" i="313"/>
  <c r="P78" i="323"/>
  <c r="P85" i="323" s="1"/>
  <c r="P82" i="323"/>
  <c r="P78" i="313"/>
  <c r="P85" i="313" s="1"/>
  <c r="P82" i="313"/>
  <c r="R181" i="313"/>
  <c r="R185" i="313" s="1"/>
  <c r="R126" i="313"/>
  <c r="R70" i="313"/>
  <c r="S194" i="323"/>
  <c r="T14" i="319"/>
  <c r="P78" i="326"/>
  <c r="P85" i="326" s="1"/>
  <c r="P82" i="326"/>
  <c r="Q189" i="313"/>
  <c r="Q202" i="313"/>
  <c r="R127" i="317"/>
  <c r="R71" i="317"/>
  <c r="R75" i="317" s="1"/>
  <c r="R182" i="317"/>
  <c r="R186" i="317" s="1"/>
  <c r="T14" i="316"/>
  <c r="P78" i="317"/>
  <c r="P85" i="317" s="1"/>
  <c r="P82" i="317"/>
  <c r="S194" i="326"/>
  <c r="Q83" i="310"/>
  <c r="T151" i="329"/>
  <c r="T150" i="329"/>
  <c r="S194" i="317"/>
  <c r="Q74" i="313"/>
  <c r="T14" i="325"/>
  <c r="R71" i="310"/>
  <c r="R75" i="310" s="1"/>
  <c r="P204" i="310"/>
  <c r="R181" i="329"/>
  <c r="R185" i="329" s="1"/>
  <c r="R70" i="329"/>
  <c r="R126" i="329"/>
  <c r="Q74" i="317"/>
  <c r="P78" i="329"/>
  <c r="P85" i="329" s="1"/>
  <c r="P82" i="329"/>
  <c r="S50" i="324"/>
  <c r="S49" i="324"/>
  <c r="S48" i="324"/>
  <c r="Q74" i="326"/>
  <c r="Q74" i="329"/>
  <c r="Q78" i="329" s="1"/>
  <c r="Q85" i="329" s="1"/>
  <c r="Q83" i="329"/>
  <c r="R71" i="326"/>
  <c r="R75" i="326" s="1"/>
  <c r="R127" i="326"/>
  <c r="R182" i="326"/>
  <c r="R186" i="326" s="1"/>
  <c r="Q189" i="329"/>
  <c r="Q202" i="329"/>
  <c r="R70" i="310"/>
  <c r="R74" i="310" s="1"/>
  <c r="O23" i="278"/>
  <c r="O43" i="278" s="1"/>
  <c r="P23" i="306"/>
  <c r="P43" i="306" s="1"/>
  <c r="S50" i="308"/>
  <c r="S128" i="310" s="1"/>
  <c r="S49" i="308"/>
  <c r="S182" i="310" s="1"/>
  <c r="S186" i="310" s="1"/>
  <c r="S48" i="308"/>
  <c r="S181" i="310" s="1"/>
  <c r="S185" i="310" s="1"/>
  <c r="S38" i="309"/>
  <c r="S47" i="309"/>
  <c r="T37" i="277"/>
  <c r="T40" i="277" s="1"/>
  <c r="T42" i="277" s="1"/>
  <c r="T43" i="277" s="1"/>
  <c r="T44" i="277" s="1"/>
  <c r="T46" i="277" s="1"/>
  <c r="T37" i="271"/>
  <c r="T40" i="271" s="1"/>
  <c r="T42" i="271" s="1"/>
  <c r="T43" i="271" s="1"/>
  <c r="T44" i="271" s="1"/>
  <c r="T46" i="271" s="1"/>
  <c r="T37" i="308"/>
  <c r="T40" i="308" s="1"/>
  <c r="T42" i="308" s="1"/>
  <c r="T43" i="308" s="1"/>
  <c r="T44" i="308" s="1"/>
  <c r="T46" i="308" s="1"/>
  <c r="T37" i="302"/>
  <c r="T40" i="302" s="1"/>
  <c r="T42" i="302" s="1"/>
  <c r="T43" i="302" s="1"/>
  <c r="T44" i="302" s="1"/>
  <c r="T46" i="302" s="1"/>
  <c r="T48" i="302" s="1"/>
  <c r="T37" i="305"/>
  <c r="T40" i="305" s="1"/>
  <c r="T42" i="305" s="1"/>
  <c r="T43" i="305" s="1"/>
  <c r="T44" i="305" s="1"/>
  <c r="T46" i="305" s="1"/>
  <c r="U10" i="277"/>
  <c r="U10" i="268"/>
  <c r="U15" i="270" s="1"/>
  <c r="U10" i="308"/>
  <c r="U10" i="302"/>
  <c r="Q66" i="306"/>
  <c r="W52" i="267"/>
  <c r="W57" i="267"/>
  <c r="T38" i="305"/>
  <c r="T38" i="268"/>
  <c r="T38" i="277"/>
  <c r="T38" i="271"/>
  <c r="T38" i="308"/>
  <c r="T38" i="302"/>
  <c r="Q41" i="303"/>
  <c r="Q21" i="303"/>
  <c r="S63" i="304"/>
  <c r="S66" i="304" s="1"/>
  <c r="S67" i="304" s="1"/>
  <c r="S72" i="304" s="1"/>
  <c r="N23" i="272"/>
  <c r="N43" i="272" s="1"/>
  <c r="Q41" i="272"/>
  <c r="Q21" i="272"/>
  <c r="T29" i="272"/>
  <c r="T33" i="272" s="1"/>
  <c r="T28" i="272"/>
  <c r="T32" i="272" s="1"/>
  <c r="T27" i="272"/>
  <c r="P40" i="272"/>
  <c r="P20" i="272"/>
  <c r="P39" i="272"/>
  <c r="P19" i="272"/>
  <c r="P41" i="272"/>
  <c r="P21" i="272"/>
  <c r="Q39" i="306"/>
  <c r="Q19" i="306"/>
  <c r="Q40" i="306"/>
  <c r="Q20" i="306"/>
  <c r="R41" i="306"/>
  <c r="R21" i="306"/>
  <c r="R40" i="310"/>
  <c r="R20" i="310"/>
  <c r="R39" i="310"/>
  <c r="R19" i="310"/>
  <c r="R41" i="310"/>
  <c r="R21" i="310"/>
  <c r="P40" i="278"/>
  <c r="P20" i="278"/>
  <c r="P39" i="278"/>
  <c r="P19" i="278"/>
  <c r="T27" i="278"/>
  <c r="T28" i="278"/>
  <c r="T32" i="278" s="1"/>
  <c r="T29" i="278"/>
  <c r="T33" i="278" s="1"/>
  <c r="P41" i="269"/>
  <c r="P21" i="269"/>
  <c r="O40" i="269"/>
  <c r="O100" i="260" s="1"/>
  <c r="O20" i="269"/>
  <c r="O39" i="269"/>
  <c r="O19" i="269"/>
  <c r="V10" i="269"/>
  <c r="S9" i="278"/>
  <c r="R31" i="278"/>
  <c r="R35" i="278" s="1"/>
  <c r="W11" i="278"/>
  <c r="S9" i="269"/>
  <c r="R31" i="269"/>
  <c r="R35" i="269" s="1"/>
  <c r="W10" i="278"/>
  <c r="W11" i="272"/>
  <c r="V11" i="269"/>
  <c r="X11" i="303"/>
  <c r="W33" i="303"/>
  <c r="W35" i="303" s="1"/>
  <c r="S9" i="272"/>
  <c r="R31" i="272"/>
  <c r="R35" i="272" s="1"/>
  <c r="X11" i="310"/>
  <c r="W33" i="310"/>
  <c r="W35" i="310" s="1"/>
  <c r="W10" i="272"/>
  <c r="X11" i="306"/>
  <c r="W33" i="306"/>
  <c r="W35" i="306" s="1"/>
  <c r="Q78" i="303"/>
  <c r="Q24" i="304"/>
  <c r="Q16" i="303" s="1"/>
  <c r="Q23" i="304"/>
  <c r="Q15" i="303" s="1"/>
  <c r="R71" i="303"/>
  <c r="R75" i="303" s="1"/>
  <c r="T27" i="304"/>
  <c r="T14" i="277"/>
  <c r="T16" i="277" s="1"/>
  <c r="T17" i="277" s="1"/>
  <c r="T18" i="277" s="1"/>
  <c r="T20" i="277" s="1"/>
  <c r="T16" i="279"/>
  <c r="T59" i="279" s="1"/>
  <c r="T14" i="271"/>
  <c r="T16" i="271" s="1"/>
  <c r="T17" i="271" s="1"/>
  <c r="T18" i="271" s="1"/>
  <c r="T20" i="271" s="1"/>
  <c r="T16" i="273"/>
  <c r="T59" i="273" s="1"/>
  <c r="Q83" i="303"/>
  <c r="N23" i="269"/>
  <c r="N43" i="269" s="1"/>
  <c r="R159" i="303"/>
  <c r="R166" i="303" s="1"/>
  <c r="R17" i="303"/>
  <c r="R23" i="304"/>
  <c r="R15" i="303" s="1"/>
  <c r="R24" i="304"/>
  <c r="R16" i="303" s="1"/>
  <c r="S49" i="302"/>
  <c r="S71" i="303" s="1"/>
  <c r="S75" i="303" s="1"/>
  <c r="T14" i="268"/>
  <c r="T16" i="268" s="1"/>
  <c r="T16" i="270"/>
  <c r="T59" i="270" s="1"/>
  <c r="S40" i="304"/>
  <c r="S31" i="304"/>
  <c r="Q202" i="303"/>
  <c r="R72" i="303"/>
  <c r="R76" i="303" s="1"/>
  <c r="R182" i="303"/>
  <c r="R186" i="303" s="1"/>
  <c r="S29" i="304"/>
  <c r="S38" i="304"/>
  <c r="R160" i="303"/>
  <c r="R167" i="303" s="1"/>
  <c r="R183" i="303"/>
  <c r="R187" i="303" s="1"/>
  <c r="M23" i="303"/>
  <c r="M43" i="303" s="1"/>
  <c r="R113" i="303"/>
  <c r="T194" i="303"/>
  <c r="R55" i="303"/>
  <c r="R62" i="303" s="1"/>
  <c r="R112" i="303"/>
  <c r="R56" i="303"/>
  <c r="R63" i="303" s="1"/>
  <c r="U60" i="309"/>
  <c r="R24" i="307"/>
  <c r="R16" i="306" s="1"/>
  <c r="T14" i="305"/>
  <c r="T16" i="305" s="1"/>
  <c r="T17" i="305" s="1"/>
  <c r="T18" i="305" s="1"/>
  <c r="T20" i="305" s="1"/>
  <c r="T25" i="305" s="1"/>
  <c r="T32" i="305" s="1"/>
  <c r="T172" i="306" s="1"/>
  <c r="T200" i="306" s="1"/>
  <c r="T60" i="307"/>
  <c r="S66" i="307"/>
  <c r="S67" i="307" s="1"/>
  <c r="S72" i="307" s="1"/>
  <c r="S161" i="310"/>
  <c r="S168" i="310" s="1"/>
  <c r="S114" i="310"/>
  <c r="S57" i="310"/>
  <c r="S64" i="310" s="1"/>
  <c r="T194" i="310"/>
  <c r="T21" i="304"/>
  <c r="O23" i="306"/>
  <c r="O43" i="306" s="1"/>
  <c r="S26" i="305"/>
  <c r="S27" i="305"/>
  <c r="S25" i="305"/>
  <c r="Q82" i="310"/>
  <c r="Q66" i="310"/>
  <c r="R62" i="310"/>
  <c r="T27" i="307"/>
  <c r="T21" i="307"/>
  <c r="T13" i="307"/>
  <c r="R112" i="306"/>
  <c r="R55" i="306"/>
  <c r="R62" i="306" s="1"/>
  <c r="R159" i="306"/>
  <c r="R166" i="306" s="1"/>
  <c r="R32" i="305"/>
  <c r="R172" i="306" s="1"/>
  <c r="U1" i="304"/>
  <c r="U13" i="304" s="1"/>
  <c r="U1" i="309"/>
  <c r="U1" i="307"/>
  <c r="T13" i="309"/>
  <c r="T27" i="309"/>
  <c r="T21" i="309"/>
  <c r="R114" i="306"/>
  <c r="R161" i="306"/>
  <c r="R168" i="306" s="1"/>
  <c r="R57" i="306"/>
  <c r="R64" i="306" s="1"/>
  <c r="R33" i="305"/>
  <c r="R173" i="306" s="1"/>
  <c r="R201" i="306" s="1"/>
  <c r="R113" i="306"/>
  <c r="R160" i="306"/>
  <c r="R167" i="306" s="1"/>
  <c r="R56" i="306"/>
  <c r="R63" i="306" s="1"/>
  <c r="S47" i="307"/>
  <c r="S38" i="307"/>
  <c r="S29" i="307"/>
  <c r="S55" i="307" s="1"/>
  <c r="S22" i="307" s="1"/>
  <c r="S17" i="306" s="1"/>
  <c r="Q23" i="310"/>
  <c r="Q43" i="310" s="1"/>
  <c r="P177" i="306"/>
  <c r="P204" i="306" s="1"/>
  <c r="R23" i="307"/>
  <c r="R15" i="306" s="1"/>
  <c r="T194" i="306"/>
  <c r="R182" i="306"/>
  <c r="R186" i="306" s="1"/>
  <c r="R127" i="306"/>
  <c r="R71" i="306"/>
  <c r="R75" i="306" s="1"/>
  <c r="R70" i="306"/>
  <c r="R74" i="306" s="1"/>
  <c r="R126" i="306"/>
  <c r="R181" i="306"/>
  <c r="R185" i="306" s="1"/>
  <c r="R183" i="306"/>
  <c r="R187" i="306" s="1"/>
  <c r="R72" i="306"/>
  <c r="R128" i="306"/>
  <c r="P78" i="306"/>
  <c r="P85" i="306" s="1"/>
  <c r="P82" i="306"/>
  <c r="Q76" i="306"/>
  <c r="Q83" i="306"/>
  <c r="Q189" i="306"/>
  <c r="Q196" i="306" s="1"/>
  <c r="Q202" i="306"/>
  <c r="M175" i="303"/>
  <c r="M177" i="303" s="1"/>
  <c r="M204" i="303" s="1"/>
  <c r="M200" i="303"/>
  <c r="M111" i="260" s="1"/>
  <c r="P16" i="269"/>
  <c r="S25" i="302"/>
  <c r="S32" i="302" s="1"/>
  <c r="S172" i="303" s="1"/>
  <c r="U10" i="305"/>
  <c r="N173" i="269"/>
  <c r="N201" i="269" s="1"/>
  <c r="N201" i="303"/>
  <c r="Q17" i="269"/>
  <c r="S26" i="302"/>
  <c r="S160" i="303" s="1"/>
  <c r="S167" i="303" s="1"/>
  <c r="N172" i="269"/>
  <c r="N200" i="269" s="1"/>
  <c r="P15" i="269"/>
  <c r="S48" i="302"/>
  <c r="S181" i="303" s="1"/>
  <c r="S185" i="303" s="1"/>
  <c r="T60" i="304"/>
  <c r="T14" i="302"/>
  <c r="T16" i="302" s="1"/>
  <c r="T17" i="302" s="1"/>
  <c r="T18" i="302" s="1"/>
  <c r="T20" i="302" s="1"/>
  <c r="T25" i="302" s="1"/>
  <c r="S49" i="305"/>
  <c r="S48" i="305"/>
  <c r="S50" i="305"/>
  <c r="S57" i="303"/>
  <c r="S64" i="303" s="1"/>
  <c r="S114" i="303"/>
  <c r="S161" i="303"/>
  <c r="S168" i="303" s="1"/>
  <c r="S128" i="303"/>
  <c r="S183" i="303"/>
  <c r="S187" i="303" s="1"/>
  <c r="S72" i="303"/>
  <c r="S76" i="303" s="1"/>
  <c r="Q82" i="303"/>
  <c r="Q66" i="303"/>
  <c r="R38" i="279"/>
  <c r="Q17" i="278"/>
  <c r="Q23" i="279"/>
  <c r="Q15" i="278" s="1"/>
  <c r="Q24" i="279"/>
  <c r="Q16" i="278" s="1"/>
  <c r="AD42" i="260"/>
  <c r="W56" i="267"/>
  <c r="W58" i="267" s="1"/>
  <c r="T27" i="273"/>
  <c r="T13" i="273"/>
  <c r="T21" i="273"/>
  <c r="U1" i="273"/>
  <c r="U1" i="270"/>
  <c r="X2" i="267"/>
  <c r="U1" i="279"/>
  <c r="W51" i="267"/>
  <c r="U3" i="272"/>
  <c r="U3" i="278"/>
  <c r="T13" i="270"/>
  <c r="T27" i="270"/>
  <c r="T21" i="270"/>
  <c r="V53" i="267"/>
  <c r="T37" i="268"/>
  <c r="T40" i="268" s="1"/>
  <c r="T42" i="268" s="1"/>
  <c r="T13" i="279"/>
  <c r="T21" i="279"/>
  <c r="T27" i="279"/>
  <c r="R29" i="279"/>
  <c r="R55" i="279" s="1"/>
  <c r="R22" i="279" s="1"/>
  <c r="R17" i="278" s="1"/>
  <c r="Q24" i="273"/>
  <c r="Q16" i="272" s="1"/>
  <c r="R38" i="273"/>
  <c r="R29" i="273"/>
  <c r="Q23" i="273"/>
  <c r="Q15" i="272" s="1"/>
  <c r="O85" i="272"/>
  <c r="S47" i="273"/>
  <c r="S60" i="273"/>
  <c r="S63" i="273" s="1"/>
  <c r="S66" i="273" s="1"/>
  <c r="S67" i="273" s="1"/>
  <c r="S72" i="273" s="1"/>
  <c r="U10" i="271"/>
  <c r="U15" i="273" s="1"/>
  <c r="S38" i="279"/>
  <c r="S60" i="279"/>
  <c r="S63" i="279" s="1"/>
  <c r="S66" i="279" s="1"/>
  <c r="S67" i="279" s="1"/>
  <c r="S72" i="279" s="1"/>
  <c r="R32" i="277"/>
  <c r="R172" i="278" s="1"/>
  <c r="R55" i="278"/>
  <c r="R159" i="278"/>
  <c r="R112" i="278"/>
  <c r="R161" i="278"/>
  <c r="R57" i="278"/>
  <c r="R114" i="278"/>
  <c r="R33" i="277"/>
  <c r="R173" i="278" s="1"/>
  <c r="R113" i="278"/>
  <c r="R56" i="278"/>
  <c r="R160" i="278"/>
  <c r="R183" i="278"/>
  <c r="R128" i="278"/>
  <c r="R72" i="278"/>
  <c r="R182" i="278"/>
  <c r="R127" i="278"/>
  <c r="R71" i="278"/>
  <c r="R181" i="278"/>
  <c r="R126" i="278"/>
  <c r="R70" i="278"/>
  <c r="W52" i="277"/>
  <c r="W191" i="278" s="1"/>
  <c r="W53" i="277"/>
  <c r="W192" i="278" s="1"/>
  <c r="S48" i="277"/>
  <c r="S50" i="277"/>
  <c r="S49" i="277"/>
  <c r="S27" i="277"/>
  <c r="S26" i="277"/>
  <c r="S25" i="277"/>
  <c r="R160" i="272"/>
  <c r="R167" i="272" s="1"/>
  <c r="R56" i="272"/>
  <c r="R63" i="272" s="1"/>
  <c r="R113" i="272"/>
  <c r="R33" i="271"/>
  <c r="R173" i="272" s="1"/>
  <c r="R201" i="272" s="1"/>
  <c r="R70" i="272"/>
  <c r="R126" i="272"/>
  <c r="R181" i="272"/>
  <c r="V52" i="271"/>
  <c r="V191" i="272" s="1"/>
  <c r="V53" i="271"/>
  <c r="V192" i="272" s="1"/>
  <c r="R161" i="272"/>
  <c r="R57" i="272"/>
  <c r="R114" i="272"/>
  <c r="R71" i="272"/>
  <c r="R127" i="272"/>
  <c r="R182" i="272"/>
  <c r="R32" i="271"/>
  <c r="R172" i="272" s="1"/>
  <c r="R159" i="272"/>
  <c r="R55" i="272"/>
  <c r="R112" i="272"/>
  <c r="R72" i="272"/>
  <c r="R128" i="272"/>
  <c r="R183" i="272"/>
  <c r="S27" i="271"/>
  <c r="S26" i="271"/>
  <c r="S25" i="271"/>
  <c r="S48" i="271"/>
  <c r="S50" i="271"/>
  <c r="S49" i="271"/>
  <c r="P200" i="278"/>
  <c r="T14" i="273"/>
  <c r="T14" i="279"/>
  <c r="Q75" i="278"/>
  <c r="Q74" i="272"/>
  <c r="Q189" i="272"/>
  <c r="Q74" i="278"/>
  <c r="P66" i="278"/>
  <c r="Q76" i="272"/>
  <c r="Q62" i="278"/>
  <c r="Q166" i="278"/>
  <c r="P78" i="272"/>
  <c r="P189" i="272"/>
  <c r="Q201" i="278"/>
  <c r="Q63" i="278"/>
  <c r="Q167" i="278"/>
  <c r="U6" i="277"/>
  <c r="U52" i="268"/>
  <c r="U191" i="269" s="1"/>
  <c r="U53" i="268"/>
  <c r="U192" i="269" s="1"/>
  <c r="U6" i="271"/>
  <c r="P200" i="272"/>
  <c r="Q63" i="272"/>
  <c r="Q201" i="272"/>
  <c r="Q167" i="272"/>
  <c r="Q200" i="278"/>
  <c r="S40" i="279"/>
  <c r="S31" i="279"/>
  <c r="O23" i="272"/>
  <c r="O43" i="272" s="1"/>
  <c r="Q168" i="272"/>
  <c r="Q64" i="272"/>
  <c r="P170" i="272"/>
  <c r="P202" i="272"/>
  <c r="Q166" i="272"/>
  <c r="S40" i="273"/>
  <c r="S31" i="273"/>
  <c r="P62" i="272"/>
  <c r="P83" i="272"/>
  <c r="Q24" i="270"/>
  <c r="Q23" i="270"/>
  <c r="P74" i="278"/>
  <c r="P83" i="278"/>
  <c r="P189" i="278"/>
  <c r="P202" i="278"/>
  <c r="Q189" i="278"/>
  <c r="Q27" i="268"/>
  <c r="X2" i="277"/>
  <c r="V3" i="269"/>
  <c r="W2" i="271"/>
  <c r="R66" i="270"/>
  <c r="R67" i="270" s="1"/>
  <c r="R72" i="270" s="1"/>
  <c r="S40" i="270"/>
  <c r="S31" i="270"/>
  <c r="R55" i="270"/>
  <c r="R22" i="270" s="1"/>
  <c r="N66" i="269"/>
  <c r="S60" i="270"/>
  <c r="S63" i="270" s="1"/>
  <c r="S47" i="270"/>
  <c r="S38" i="270"/>
  <c r="S29" i="270"/>
  <c r="N170" i="269"/>
  <c r="P25" i="268"/>
  <c r="P26" i="268"/>
  <c r="P27" i="268"/>
  <c r="R17" i="268"/>
  <c r="R18" i="268" s="1"/>
  <c r="R20" i="268" s="1"/>
  <c r="T14" i="270"/>
  <c r="O56" i="269"/>
  <c r="O63" i="269" s="1"/>
  <c r="O33" i="268"/>
  <c r="O113" i="269"/>
  <c r="O160" i="269"/>
  <c r="O167" i="269" s="1"/>
  <c r="O32" i="268"/>
  <c r="O159" i="269"/>
  <c r="O166" i="269" s="1"/>
  <c r="O55" i="269"/>
  <c r="O62" i="269" s="1"/>
  <c r="O112" i="269"/>
  <c r="O161" i="269"/>
  <c r="O168" i="269" s="1"/>
  <c r="O57" i="269"/>
  <c r="O64" i="269" s="1"/>
  <c r="O114" i="269"/>
  <c r="V2" i="268"/>
  <c r="S2" i="264"/>
  <c r="S17" i="264" s="1"/>
  <c r="R72" i="320" l="1"/>
  <c r="R76" i="320" s="1"/>
  <c r="Q202" i="317"/>
  <c r="X7" i="267"/>
  <c r="X9" i="267"/>
  <c r="V6" i="271" s="1"/>
  <c r="X8" i="267"/>
  <c r="X10" i="267"/>
  <c r="V6" i="305" s="1"/>
  <c r="V14" i="307" s="1"/>
  <c r="X12" i="267"/>
  <c r="X11" i="267"/>
  <c r="V6" i="308" s="1"/>
  <c r="V14" i="309" s="1"/>
  <c r="Q141" i="317"/>
  <c r="V101" i="269"/>
  <c r="V102" i="269"/>
  <c r="V103" i="269"/>
  <c r="V100" i="269"/>
  <c r="V98" i="269"/>
  <c r="V96" i="269"/>
  <c r="V92" i="269"/>
  <c r="V93" i="269"/>
  <c r="V91" i="269"/>
  <c r="V95" i="269"/>
  <c r="V90" i="269"/>
  <c r="V97" i="269"/>
  <c r="S17" i="310"/>
  <c r="S21" i="310" s="1"/>
  <c r="S23" i="309"/>
  <c r="S15" i="310" s="1"/>
  <c r="S24" i="309"/>
  <c r="S16" i="310" s="1"/>
  <c r="S40" i="310" s="1"/>
  <c r="T31" i="309"/>
  <c r="T40" i="309"/>
  <c r="U11" i="318"/>
  <c r="U18" i="319" s="1"/>
  <c r="U11" i="312"/>
  <c r="U18" i="314" s="1"/>
  <c r="U11" i="315"/>
  <c r="U18" i="316" s="1"/>
  <c r="T41" i="319"/>
  <c r="T32" i="319"/>
  <c r="U11" i="268"/>
  <c r="U17" i="270" s="1"/>
  <c r="U11" i="308"/>
  <c r="U17" i="309" s="1"/>
  <c r="U11" i="302"/>
  <c r="U17" i="304" s="1"/>
  <c r="U11" i="277"/>
  <c r="U17" i="279" s="1"/>
  <c r="T32" i="316"/>
  <c r="T41" i="316"/>
  <c r="X39" i="267"/>
  <c r="X41" i="267" s="1"/>
  <c r="X30" i="267"/>
  <c r="X44" i="267"/>
  <c r="X46" i="267" s="1"/>
  <c r="X45" i="267"/>
  <c r="X29" i="267"/>
  <c r="X31" i="267" s="1"/>
  <c r="X40" i="267"/>
  <c r="Q132" i="323"/>
  <c r="Q143" i="323"/>
  <c r="Q140" i="323"/>
  <c r="Q131" i="323"/>
  <c r="Q141" i="323"/>
  <c r="Q133" i="323"/>
  <c r="Q142" i="323"/>
  <c r="Q83" i="326"/>
  <c r="R128" i="329"/>
  <c r="Q189" i="320"/>
  <c r="S110" i="316"/>
  <c r="Q133" i="317"/>
  <c r="Q201" i="320"/>
  <c r="S101" i="322"/>
  <c r="Q131" i="317"/>
  <c r="Q140" i="317"/>
  <c r="Q142" i="317"/>
  <c r="Q130" i="317"/>
  <c r="T26" i="327"/>
  <c r="T56" i="329" s="1"/>
  <c r="T63" i="329" s="1"/>
  <c r="S67" i="314"/>
  <c r="S68" i="314" s="1"/>
  <c r="S110" i="325"/>
  <c r="U77" i="319"/>
  <c r="U15" i="319"/>
  <c r="R71" i="320"/>
  <c r="R75" i="320" s="1"/>
  <c r="R53" i="318"/>
  <c r="R192" i="320" s="1"/>
  <c r="R194" i="320" s="1"/>
  <c r="U77" i="314"/>
  <c r="U15" i="314"/>
  <c r="V6" i="327"/>
  <c r="V6" i="315"/>
  <c r="V6" i="318"/>
  <c r="V6" i="321"/>
  <c r="V6" i="324"/>
  <c r="V6" i="302"/>
  <c r="V14" i="304" s="1"/>
  <c r="V6" i="268"/>
  <c r="V6" i="312"/>
  <c r="R127" i="320"/>
  <c r="R133" i="320" s="1"/>
  <c r="S110" i="319"/>
  <c r="U77" i="322"/>
  <c r="U15" i="322"/>
  <c r="U77" i="316"/>
  <c r="U15" i="316"/>
  <c r="U77" i="325"/>
  <c r="U15" i="325"/>
  <c r="S92" i="319"/>
  <c r="U77" i="328"/>
  <c r="U15" i="328"/>
  <c r="Q132" i="317"/>
  <c r="Q143" i="317"/>
  <c r="U102" i="278"/>
  <c r="U103" i="278"/>
  <c r="U100" i="278"/>
  <c r="U101" i="278"/>
  <c r="U93" i="278"/>
  <c r="U97" i="278"/>
  <c r="U95" i="278"/>
  <c r="U90" i="278"/>
  <c r="U91" i="278"/>
  <c r="U96" i="278"/>
  <c r="U98" i="278"/>
  <c r="U92" i="278"/>
  <c r="U100" i="323"/>
  <c r="U101" i="323"/>
  <c r="U102" i="323"/>
  <c r="U103" i="323"/>
  <c r="U97" i="323"/>
  <c r="U95" i="323"/>
  <c r="U90" i="323"/>
  <c r="U91" i="323"/>
  <c r="U92" i="323"/>
  <c r="U96" i="323"/>
  <c r="U93" i="323"/>
  <c r="U98" i="323"/>
  <c r="U102" i="272"/>
  <c r="U103" i="272"/>
  <c r="U100" i="272"/>
  <c r="U101" i="272"/>
  <c r="U96" i="272"/>
  <c r="U98" i="272"/>
  <c r="U93" i="272"/>
  <c r="U97" i="272"/>
  <c r="U95" i="272"/>
  <c r="U90" i="272"/>
  <c r="U92" i="272"/>
  <c r="U91" i="272"/>
  <c r="U102" i="313"/>
  <c r="U103" i="313"/>
  <c r="U100" i="313"/>
  <c r="U101" i="313"/>
  <c r="U98" i="313"/>
  <c r="U97" i="313"/>
  <c r="U91" i="313"/>
  <c r="U96" i="313"/>
  <c r="U92" i="313"/>
  <c r="U93" i="313"/>
  <c r="U95" i="313"/>
  <c r="U90" i="313"/>
  <c r="U100" i="320"/>
  <c r="U101" i="320"/>
  <c r="U102" i="320"/>
  <c r="U103" i="320"/>
  <c r="U91" i="320"/>
  <c r="U98" i="320"/>
  <c r="U96" i="320"/>
  <c r="U92" i="320"/>
  <c r="U93" i="320"/>
  <c r="U97" i="320"/>
  <c r="U90" i="320"/>
  <c r="U95" i="320"/>
  <c r="U100" i="326"/>
  <c r="U101" i="326"/>
  <c r="U102" i="326"/>
  <c r="U103" i="326"/>
  <c r="U97" i="326"/>
  <c r="U95" i="326"/>
  <c r="U90" i="326"/>
  <c r="U91" i="326"/>
  <c r="U98" i="326"/>
  <c r="U96" i="326"/>
  <c r="U92" i="326"/>
  <c r="U93" i="326"/>
  <c r="U103" i="317"/>
  <c r="U100" i="317"/>
  <c r="U101" i="317"/>
  <c r="U102" i="317"/>
  <c r="U97" i="317"/>
  <c r="U95" i="317"/>
  <c r="U90" i="317"/>
  <c r="U91" i="317"/>
  <c r="U98" i="317"/>
  <c r="U92" i="317"/>
  <c r="U96" i="317"/>
  <c r="U93" i="317"/>
  <c r="U100" i="329"/>
  <c r="U101" i="329"/>
  <c r="U102" i="329"/>
  <c r="U103" i="329"/>
  <c r="U93" i="329"/>
  <c r="U97" i="329"/>
  <c r="U95" i="329"/>
  <c r="U98" i="329"/>
  <c r="U96" i="329"/>
  <c r="U92" i="329"/>
  <c r="U91" i="329"/>
  <c r="U90" i="329"/>
  <c r="T60" i="314"/>
  <c r="T126" i="314" s="1"/>
  <c r="Q141" i="313"/>
  <c r="Q83" i="317"/>
  <c r="Q143" i="313"/>
  <c r="Q83" i="323"/>
  <c r="T63" i="307"/>
  <c r="T66" i="307" s="1"/>
  <c r="T67" i="307" s="1"/>
  <c r="T72" i="307" s="1"/>
  <c r="Q83" i="313"/>
  <c r="Q132" i="326"/>
  <c r="Q202" i="323"/>
  <c r="T27" i="327"/>
  <c r="T114" i="329" s="1"/>
  <c r="R183" i="323"/>
  <c r="R187" i="323" s="1"/>
  <c r="Q196" i="313"/>
  <c r="Q204" i="313" s="1"/>
  <c r="R141" i="313"/>
  <c r="Q201" i="313"/>
  <c r="Q130" i="326"/>
  <c r="Q189" i="326"/>
  <c r="Q196" i="326" s="1"/>
  <c r="R132" i="278"/>
  <c r="R133" i="278"/>
  <c r="R130" i="278"/>
  <c r="R131" i="278"/>
  <c r="R142" i="326"/>
  <c r="R118" i="326"/>
  <c r="R143" i="326"/>
  <c r="R119" i="326"/>
  <c r="R140" i="326"/>
  <c r="R116" i="326"/>
  <c r="R141" i="326"/>
  <c r="R117" i="326"/>
  <c r="Q132" i="313"/>
  <c r="O119" i="269"/>
  <c r="O116" i="269"/>
  <c r="O117" i="269"/>
  <c r="O118" i="269"/>
  <c r="R131" i="272"/>
  <c r="R132" i="272"/>
  <c r="R133" i="272"/>
  <c r="R130" i="272"/>
  <c r="Q202" i="326"/>
  <c r="R130" i="320"/>
  <c r="R119" i="320"/>
  <c r="R141" i="320"/>
  <c r="R116" i="320"/>
  <c r="R117" i="320"/>
  <c r="R118" i="320"/>
  <c r="R132" i="310"/>
  <c r="R133" i="310"/>
  <c r="R130" i="310"/>
  <c r="R131" i="310"/>
  <c r="R142" i="310"/>
  <c r="R143" i="310"/>
  <c r="R140" i="310"/>
  <c r="R117" i="310"/>
  <c r="R118" i="310"/>
  <c r="R141" i="310"/>
  <c r="R119" i="310"/>
  <c r="R116" i="310"/>
  <c r="R131" i="323"/>
  <c r="R132" i="323"/>
  <c r="R133" i="323"/>
  <c r="R130" i="323"/>
  <c r="Q133" i="326"/>
  <c r="Q140" i="320"/>
  <c r="Q131" i="313"/>
  <c r="Q143" i="326"/>
  <c r="Q141" i="326"/>
  <c r="R143" i="313"/>
  <c r="R118" i="317"/>
  <c r="R119" i="317"/>
  <c r="R116" i="317"/>
  <c r="R117" i="317"/>
  <c r="R141" i="323"/>
  <c r="R117" i="323"/>
  <c r="R142" i="323"/>
  <c r="R118" i="323"/>
  <c r="R143" i="323"/>
  <c r="R119" i="323"/>
  <c r="R140" i="323"/>
  <c r="R116" i="323"/>
  <c r="R170" i="310"/>
  <c r="Q140" i="313"/>
  <c r="Q130" i="313"/>
  <c r="R140" i="272"/>
  <c r="R141" i="272"/>
  <c r="R142" i="272"/>
  <c r="R118" i="272"/>
  <c r="R119" i="272"/>
  <c r="R143" i="272"/>
  <c r="R116" i="272"/>
  <c r="R117" i="272"/>
  <c r="Q132" i="320"/>
  <c r="Q130" i="320"/>
  <c r="Q131" i="320"/>
  <c r="Q133" i="320"/>
  <c r="R131" i="313"/>
  <c r="R132" i="313"/>
  <c r="R133" i="313"/>
  <c r="R130" i="313"/>
  <c r="R132" i="326"/>
  <c r="R133" i="326"/>
  <c r="R130" i="326"/>
  <c r="R131" i="326"/>
  <c r="R142" i="278"/>
  <c r="R118" i="278"/>
  <c r="R143" i="278"/>
  <c r="R119" i="278"/>
  <c r="R140" i="278"/>
  <c r="R116" i="278"/>
  <c r="R141" i="278"/>
  <c r="R117" i="278"/>
  <c r="R133" i="306"/>
  <c r="R131" i="306"/>
  <c r="R132" i="306"/>
  <c r="R130" i="306"/>
  <c r="R143" i="306"/>
  <c r="R117" i="306"/>
  <c r="R142" i="306"/>
  <c r="R141" i="306"/>
  <c r="R118" i="306"/>
  <c r="R119" i="306"/>
  <c r="R116" i="306"/>
  <c r="R140" i="306"/>
  <c r="R143" i="303"/>
  <c r="R119" i="303"/>
  <c r="R140" i="303"/>
  <c r="R116" i="303"/>
  <c r="R117" i="303"/>
  <c r="R141" i="303"/>
  <c r="R118" i="303"/>
  <c r="R142" i="303"/>
  <c r="S49" i="321"/>
  <c r="S127" i="323" s="1"/>
  <c r="S119" i="329"/>
  <c r="S116" i="329"/>
  <c r="S117" i="329"/>
  <c r="S118" i="329"/>
  <c r="Q131" i="326"/>
  <c r="Q142" i="313"/>
  <c r="Q141" i="320"/>
  <c r="Q142" i="320"/>
  <c r="Q133" i="313"/>
  <c r="Q140" i="326"/>
  <c r="R140" i="313"/>
  <c r="R142" i="313"/>
  <c r="S92" i="316"/>
  <c r="S118" i="316" s="1"/>
  <c r="S85" i="316" s="1"/>
  <c r="S101" i="325"/>
  <c r="S118" i="325" s="1"/>
  <c r="S85" i="325" s="1"/>
  <c r="S29" i="326" s="1"/>
  <c r="S33" i="326" s="1"/>
  <c r="R127" i="329"/>
  <c r="U107" i="278"/>
  <c r="U106" i="278"/>
  <c r="U108" i="278"/>
  <c r="U105" i="278"/>
  <c r="U107" i="313"/>
  <c r="U106" i="313"/>
  <c r="U108" i="313"/>
  <c r="U105" i="313"/>
  <c r="U106" i="326"/>
  <c r="U105" i="326"/>
  <c r="U108" i="326"/>
  <c r="U107" i="326"/>
  <c r="V107" i="269"/>
  <c r="V105" i="269"/>
  <c r="V106" i="269"/>
  <c r="V108" i="269"/>
  <c r="U108" i="272"/>
  <c r="U107" i="272"/>
  <c r="U106" i="272"/>
  <c r="U105" i="272"/>
  <c r="S48" i="312"/>
  <c r="S52" i="312" s="1"/>
  <c r="S191" i="313" s="1"/>
  <c r="S200" i="313" s="1"/>
  <c r="U107" i="317"/>
  <c r="U106" i="317"/>
  <c r="U105" i="317"/>
  <c r="U108" i="317"/>
  <c r="S92" i="322"/>
  <c r="S92" i="328"/>
  <c r="U107" i="320"/>
  <c r="U106" i="320"/>
  <c r="U105" i="320"/>
  <c r="U108" i="320"/>
  <c r="S49" i="312"/>
  <c r="S71" i="313" s="1"/>
  <c r="S75" i="313" s="1"/>
  <c r="U107" i="329"/>
  <c r="U106" i="329"/>
  <c r="U105" i="329"/>
  <c r="U108" i="329"/>
  <c r="U107" i="323"/>
  <c r="U106" i="323"/>
  <c r="U105" i="323"/>
  <c r="U108" i="323"/>
  <c r="S118" i="319"/>
  <c r="S85" i="319" s="1"/>
  <c r="S29" i="320" s="1"/>
  <c r="S33" i="320" s="1"/>
  <c r="Q35" i="326"/>
  <c r="Q177" i="310"/>
  <c r="Q204" i="310" s="1"/>
  <c r="P43" i="320"/>
  <c r="T79" i="316"/>
  <c r="T78" i="316"/>
  <c r="T92" i="316" s="1"/>
  <c r="T78" i="328"/>
  <c r="T110" i="328" s="1"/>
  <c r="T79" i="328"/>
  <c r="R183" i="329"/>
  <c r="R187" i="329" s="1"/>
  <c r="T79" i="314"/>
  <c r="T78" i="314"/>
  <c r="T40" i="312"/>
  <c r="T42" i="312" s="1"/>
  <c r="T43" i="312" s="1"/>
  <c r="T44" i="312" s="1"/>
  <c r="T46" i="312" s="1"/>
  <c r="T49" i="312" s="1"/>
  <c r="R182" i="329"/>
  <c r="R186" i="329" s="1"/>
  <c r="R189" i="329" s="1"/>
  <c r="R128" i="317"/>
  <c r="Q39" i="323"/>
  <c r="T78" i="325"/>
  <c r="T101" i="325" s="1"/>
  <c r="T79" i="325"/>
  <c r="S110" i="328"/>
  <c r="Q83" i="320"/>
  <c r="T40" i="315"/>
  <c r="T42" i="315" s="1"/>
  <c r="T43" i="315" s="1"/>
  <c r="T44" i="315" s="1"/>
  <c r="T46" i="315" s="1"/>
  <c r="T49" i="315" s="1"/>
  <c r="T78" i="319"/>
  <c r="T92" i="319" s="1"/>
  <c r="T79" i="319"/>
  <c r="U14" i="327"/>
  <c r="U16" i="327" s="1"/>
  <c r="U17" i="327" s="1"/>
  <c r="U18" i="327" s="1"/>
  <c r="U20" i="327" s="1"/>
  <c r="U25" i="327" s="1"/>
  <c r="U16" i="328"/>
  <c r="U17" i="328"/>
  <c r="T78" i="322"/>
  <c r="T101" i="322" s="1"/>
  <c r="T79" i="322"/>
  <c r="R70" i="317"/>
  <c r="R74" i="317" s="1"/>
  <c r="R126" i="317"/>
  <c r="R183" i="317"/>
  <c r="R187" i="317" s="1"/>
  <c r="R189" i="317" s="1"/>
  <c r="R196" i="317" s="1"/>
  <c r="Q196" i="320"/>
  <c r="S49" i="315"/>
  <c r="S182" i="317" s="1"/>
  <c r="S186" i="317" s="1"/>
  <c r="Q35" i="329"/>
  <c r="S160" i="310"/>
  <c r="S167" i="310" s="1"/>
  <c r="R181" i="323"/>
  <c r="R185" i="323" s="1"/>
  <c r="R70" i="323"/>
  <c r="R74" i="323" s="1"/>
  <c r="R72" i="323"/>
  <c r="R76" i="323" s="1"/>
  <c r="S48" i="321"/>
  <c r="S70" i="323" s="1"/>
  <c r="R53" i="327"/>
  <c r="R192" i="329" s="1"/>
  <c r="R194" i="329" s="1"/>
  <c r="S159" i="313"/>
  <c r="S166" i="313" s="1"/>
  <c r="S50" i="315"/>
  <c r="S72" i="317" s="1"/>
  <c r="S76" i="317" s="1"/>
  <c r="S113" i="313"/>
  <c r="S160" i="313"/>
  <c r="S167" i="313" s="1"/>
  <c r="S33" i="312"/>
  <c r="S173" i="313" s="1"/>
  <c r="S175" i="313" s="1"/>
  <c r="S55" i="313"/>
  <c r="S62" i="313" s="1"/>
  <c r="S66" i="313" s="1"/>
  <c r="Q35" i="323"/>
  <c r="P35" i="317"/>
  <c r="S112" i="313"/>
  <c r="S55" i="310"/>
  <c r="S62" i="310" s="1"/>
  <c r="R86" i="319"/>
  <c r="R27" i="320" s="1"/>
  <c r="R31" i="320" s="1"/>
  <c r="Q196" i="329"/>
  <c r="Q204" i="329" s="1"/>
  <c r="S159" i="310"/>
  <c r="S166" i="310" s="1"/>
  <c r="S112" i="310"/>
  <c r="R41" i="320"/>
  <c r="Q40" i="326"/>
  <c r="U16" i="316"/>
  <c r="U17" i="316"/>
  <c r="U16" i="314"/>
  <c r="U17" i="314"/>
  <c r="U122" i="314" s="1"/>
  <c r="U14" i="312"/>
  <c r="U16" i="312" s="1"/>
  <c r="U17" i="312" s="1"/>
  <c r="U18" i="312" s="1"/>
  <c r="U20" i="312" s="1"/>
  <c r="U26" i="312" s="1"/>
  <c r="U15" i="279"/>
  <c r="U16" i="309"/>
  <c r="U59" i="309" s="1"/>
  <c r="U15" i="309"/>
  <c r="U38" i="309" s="1"/>
  <c r="U16" i="307"/>
  <c r="U59" i="307" s="1"/>
  <c r="U15" i="307"/>
  <c r="U16" i="304"/>
  <c r="U59" i="304" s="1"/>
  <c r="U15" i="304"/>
  <c r="U38" i="304" s="1"/>
  <c r="U150" i="326"/>
  <c r="U151" i="326"/>
  <c r="U150" i="323"/>
  <c r="U151" i="323"/>
  <c r="U150" i="320"/>
  <c r="U151" i="320"/>
  <c r="U150" i="317"/>
  <c r="U151" i="317"/>
  <c r="U150" i="313"/>
  <c r="U151" i="313"/>
  <c r="U150" i="278"/>
  <c r="U151" i="278"/>
  <c r="U150" i="272"/>
  <c r="U151" i="272"/>
  <c r="V151" i="269"/>
  <c r="V28" i="269"/>
  <c r="V32" i="269" s="1"/>
  <c r="V27" i="269"/>
  <c r="V29" i="269"/>
  <c r="V33" i="269" s="1"/>
  <c r="V150" i="269"/>
  <c r="Q23" i="320"/>
  <c r="Q39" i="320"/>
  <c r="P43" i="323"/>
  <c r="S118" i="328"/>
  <c r="S85" i="328" s="1"/>
  <c r="S29" i="329" s="1"/>
  <c r="S33" i="329" s="1"/>
  <c r="T40" i="321"/>
  <c r="T42" i="321" s="1"/>
  <c r="T43" i="321" s="1"/>
  <c r="T44" i="321" s="1"/>
  <c r="T46" i="321" s="1"/>
  <c r="T48" i="321" s="1"/>
  <c r="P101" i="260"/>
  <c r="Q40" i="323"/>
  <c r="Q32" i="317"/>
  <c r="Q40" i="317"/>
  <c r="Q32" i="320"/>
  <c r="Q40" i="320"/>
  <c r="U22" i="328"/>
  <c r="U90" i="328"/>
  <c r="U84" i="328"/>
  <c r="U76" i="328"/>
  <c r="U28" i="328"/>
  <c r="T30" i="316"/>
  <c r="T56" i="316" s="1"/>
  <c r="T23" i="316" s="1"/>
  <c r="T17" i="317" s="1"/>
  <c r="T21" i="317" s="1"/>
  <c r="T48" i="316"/>
  <c r="T39" i="316"/>
  <c r="U32" i="328"/>
  <c r="U41" i="328"/>
  <c r="R29" i="326"/>
  <c r="R33" i="326" s="1"/>
  <c r="R86" i="325"/>
  <c r="R27" i="326" s="1"/>
  <c r="R31" i="326" s="1"/>
  <c r="R29" i="329"/>
  <c r="R33" i="329" s="1"/>
  <c r="R86" i="328"/>
  <c r="R27" i="329" s="1"/>
  <c r="R31" i="329" s="1"/>
  <c r="U38" i="315"/>
  <c r="U80" i="316" s="1"/>
  <c r="U38" i="318"/>
  <c r="U80" i="319" s="1"/>
  <c r="U38" i="312"/>
  <c r="U80" i="314" s="1"/>
  <c r="U84" i="316"/>
  <c r="U76" i="316"/>
  <c r="U28" i="316"/>
  <c r="U22" i="316"/>
  <c r="U90" i="316"/>
  <c r="T30" i="322"/>
  <c r="T39" i="322"/>
  <c r="T56" i="322" s="1"/>
  <c r="T23" i="322" s="1"/>
  <c r="T17" i="323" s="1"/>
  <c r="T21" i="323" s="1"/>
  <c r="T48" i="322"/>
  <c r="S48" i="325"/>
  <c r="S39" i="325"/>
  <c r="S56" i="325" s="1"/>
  <c r="S23" i="325" s="1"/>
  <c r="S30" i="325"/>
  <c r="V11" i="327"/>
  <c r="V18" i="328" s="1"/>
  <c r="V11" i="321"/>
  <c r="V18" i="322" s="1"/>
  <c r="V11" i="324"/>
  <c r="V18" i="325" s="1"/>
  <c r="Q33" i="317"/>
  <c r="Q41" i="317"/>
  <c r="S118" i="322"/>
  <c r="S85" i="322" s="1"/>
  <c r="R129" i="319"/>
  <c r="R130" i="319" s="1"/>
  <c r="R135" i="319" s="1"/>
  <c r="R87" i="319" s="1"/>
  <c r="R28" i="320" s="1"/>
  <c r="R32" i="320" s="1"/>
  <c r="R67" i="319"/>
  <c r="R68" i="319" s="1"/>
  <c r="R73" i="319" s="1"/>
  <c r="R25" i="319" s="1"/>
  <c r="R16" i="320" s="1"/>
  <c r="R24" i="319"/>
  <c r="R15" i="320" s="1"/>
  <c r="R19" i="320" s="1"/>
  <c r="R129" i="316"/>
  <c r="R130" i="316" s="1"/>
  <c r="R135" i="316" s="1"/>
  <c r="R87" i="316" s="1"/>
  <c r="R28" i="317" s="1"/>
  <c r="R32" i="317" s="1"/>
  <c r="R67" i="316"/>
  <c r="R68" i="316" s="1"/>
  <c r="R73" i="316" s="1"/>
  <c r="R25" i="316" s="1"/>
  <c r="R16" i="317" s="1"/>
  <c r="R20" i="317" s="1"/>
  <c r="R24" i="316"/>
  <c r="R15" i="317" s="1"/>
  <c r="T40" i="327"/>
  <c r="T42" i="327" s="1"/>
  <c r="T43" i="327" s="1"/>
  <c r="T44" i="327" s="1"/>
  <c r="T46" i="327" s="1"/>
  <c r="T50" i="327" s="1"/>
  <c r="U84" i="319"/>
  <c r="U76" i="319"/>
  <c r="U90" i="319"/>
  <c r="U28" i="319"/>
  <c r="U22" i="319"/>
  <c r="T39" i="319"/>
  <c r="T56" i="319" s="1"/>
  <c r="T23" i="319" s="1"/>
  <c r="T17" i="320" s="1"/>
  <c r="T21" i="320" s="1"/>
  <c r="T30" i="319"/>
  <c r="T48" i="319"/>
  <c r="S48" i="328"/>
  <c r="S39" i="328"/>
  <c r="S56" i="328" s="1"/>
  <c r="S23" i="328" s="1"/>
  <c r="S30" i="328"/>
  <c r="R67" i="322"/>
  <c r="R68" i="322" s="1"/>
  <c r="R73" i="322" s="1"/>
  <c r="R25" i="322" s="1"/>
  <c r="R16" i="323" s="1"/>
  <c r="R20" i="323" s="1"/>
  <c r="R129" i="322"/>
  <c r="R130" i="322" s="1"/>
  <c r="R135" i="322" s="1"/>
  <c r="R87" i="322" s="1"/>
  <c r="R28" i="323" s="1"/>
  <c r="R24" i="322"/>
  <c r="R15" i="323" s="1"/>
  <c r="T122" i="316"/>
  <c r="T60" i="316"/>
  <c r="T103" i="316"/>
  <c r="T94" i="316"/>
  <c r="U22" i="325"/>
  <c r="U28" i="325"/>
  <c r="U84" i="325"/>
  <c r="U76" i="325"/>
  <c r="U90" i="325"/>
  <c r="T122" i="319"/>
  <c r="T60" i="319"/>
  <c r="T60" i="322"/>
  <c r="T122" i="322"/>
  <c r="U32" i="322"/>
  <c r="U41" i="322"/>
  <c r="S126" i="319"/>
  <c r="S64" i="319"/>
  <c r="T103" i="319"/>
  <c r="T94" i="319"/>
  <c r="S126" i="316"/>
  <c r="S64" i="316"/>
  <c r="T103" i="322"/>
  <c r="T94" i="322"/>
  <c r="R67" i="325"/>
  <c r="R68" i="325" s="1"/>
  <c r="R73" i="325" s="1"/>
  <c r="R25" i="325" s="1"/>
  <c r="R16" i="326" s="1"/>
  <c r="R20" i="326" s="1"/>
  <c r="R129" i="325"/>
  <c r="R130" i="325" s="1"/>
  <c r="R135" i="325" s="1"/>
  <c r="R87" i="325" s="1"/>
  <c r="R28" i="326" s="1"/>
  <c r="R24" i="325"/>
  <c r="R15" i="326" s="1"/>
  <c r="Q33" i="320"/>
  <c r="Q41" i="320"/>
  <c r="R129" i="328"/>
  <c r="R130" i="328" s="1"/>
  <c r="R135" i="328" s="1"/>
  <c r="R87" i="328" s="1"/>
  <c r="R28" i="329" s="1"/>
  <c r="R67" i="328"/>
  <c r="R68" i="328" s="1"/>
  <c r="R73" i="328" s="1"/>
  <c r="R25" i="328" s="1"/>
  <c r="R16" i="329" s="1"/>
  <c r="R20" i="329" s="1"/>
  <c r="R24" i="328"/>
  <c r="R15" i="329" s="1"/>
  <c r="U84" i="322"/>
  <c r="U90" i="322"/>
  <c r="U76" i="322"/>
  <c r="U22" i="322"/>
  <c r="U28" i="322"/>
  <c r="T101" i="316"/>
  <c r="T103" i="325"/>
  <c r="T94" i="325"/>
  <c r="X62" i="267"/>
  <c r="T122" i="325"/>
  <c r="T60" i="325"/>
  <c r="V10" i="321"/>
  <c r="V16" i="322" s="1"/>
  <c r="V10" i="324"/>
  <c r="V16" i="325" s="1"/>
  <c r="V10" i="327"/>
  <c r="S126" i="328"/>
  <c r="S64" i="328"/>
  <c r="T103" i="328"/>
  <c r="T94" i="328"/>
  <c r="W68" i="267"/>
  <c r="U37" i="324"/>
  <c r="U37" i="327"/>
  <c r="U40" i="327" s="1"/>
  <c r="U42" i="327" s="1"/>
  <c r="U43" i="327" s="1"/>
  <c r="U44" i="327" s="1"/>
  <c r="U46" i="327" s="1"/>
  <c r="U37" i="321"/>
  <c r="U40" i="321" s="1"/>
  <c r="U42" i="321" s="1"/>
  <c r="U43" i="321" s="1"/>
  <c r="U44" i="321" s="1"/>
  <c r="U46" i="321" s="1"/>
  <c r="S126" i="325"/>
  <c r="S64" i="325"/>
  <c r="T122" i="328"/>
  <c r="T60" i="328"/>
  <c r="U32" i="325"/>
  <c r="U41" i="325"/>
  <c r="T110" i="322"/>
  <c r="R86" i="322"/>
  <c r="R27" i="323" s="1"/>
  <c r="R31" i="323" s="1"/>
  <c r="R29" i="323"/>
  <c r="R29" i="317"/>
  <c r="R86" i="316"/>
  <c r="R27" i="317" s="1"/>
  <c r="R31" i="317" s="1"/>
  <c r="S126" i="322"/>
  <c r="S64" i="322"/>
  <c r="U38" i="327"/>
  <c r="U80" i="328" s="1"/>
  <c r="U38" i="321"/>
  <c r="U80" i="322" s="1"/>
  <c r="U38" i="324"/>
  <c r="U80" i="325" s="1"/>
  <c r="R175" i="310"/>
  <c r="Q85" i="310"/>
  <c r="R200" i="310"/>
  <c r="S53" i="318"/>
  <c r="S192" i="320" s="1"/>
  <c r="S194" i="320" s="1"/>
  <c r="N112" i="260"/>
  <c r="S200" i="329"/>
  <c r="S53" i="327"/>
  <c r="S192" i="329" s="1"/>
  <c r="S194" i="329" s="1"/>
  <c r="R201" i="313"/>
  <c r="Q41" i="313"/>
  <c r="Q39" i="313"/>
  <c r="R118" i="314"/>
  <c r="R85" i="314" s="1"/>
  <c r="R87" i="314" s="1"/>
  <c r="R28" i="313" s="1"/>
  <c r="R32" i="313" s="1"/>
  <c r="T103" i="314"/>
  <c r="T94" i="314"/>
  <c r="S101" i="314"/>
  <c r="S92" i="314"/>
  <c r="S118" i="314" s="1"/>
  <c r="S85" i="314" s="1"/>
  <c r="S87" i="314" s="1"/>
  <c r="S28" i="313" s="1"/>
  <c r="S32" i="313" s="1"/>
  <c r="S110" i="314"/>
  <c r="U37" i="315"/>
  <c r="U40" i="315" s="1"/>
  <c r="U42" i="315" s="1"/>
  <c r="U43" i="315" s="1"/>
  <c r="U44" i="315" s="1"/>
  <c r="U46" i="315" s="1"/>
  <c r="U37" i="312"/>
  <c r="U40" i="312" s="1"/>
  <c r="U42" i="312" s="1"/>
  <c r="U43" i="312" s="1"/>
  <c r="U44" i="312" s="1"/>
  <c r="U46" i="312" s="1"/>
  <c r="U37" i="318"/>
  <c r="V10" i="318"/>
  <c r="V16" i="319" s="1"/>
  <c r="P43" i="313"/>
  <c r="Q35" i="313"/>
  <c r="S73" i="314"/>
  <c r="U76" i="314"/>
  <c r="U84" i="314"/>
  <c r="U90" i="314"/>
  <c r="R24" i="314"/>
  <c r="R15" i="313" s="1"/>
  <c r="R19" i="313" s="1"/>
  <c r="R17" i="313"/>
  <c r="R21" i="313" s="1"/>
  <c r="R25" i="314"/>
  <c r="R16" i="313" s="1"/>
  <c r="R20" i="313" s="1"/>
  <c r="Q20" i="313"/>
  <c r="Q23" i="313" s="1"/>
  <c r="Q40" i="313"/>
  <c r="S23" i="314"/>
  <c r="S24" i="314" s="1"/>
  <c r="S15" i="313" s="1"/>
  <c r="R202" i="310"/>
  <c r="R78" i="310"/>
  <c r="R177" i="329"/>
  <c r="R66" i="320"/>
  <c r="Q177" i="317"/>
  <c r="Q204" i="317" s="1"/>
  <c r="P23" i="329"/>
  <c r="P43" i="329" s="1"/>
  <c r="R170" i="317"/>
  <c r="R189" i="310"/>
  <c r="R196" i="310" s="1"/>
  <c r="Q177" i="323"/>
  <c r="Q204" i="323" s="1"/>
  <c r="S127" i="310"/>
  <c r="R177" i="313"/>
  <c r="S57" i="320"/>
  <c r="S64" i="320" s="1"/>
  <c r="S114" i="320"/>
  <c r="S161" i="320"/>
  <c r="S168" i="320" s="1"/>
  <c r="T26" i="324"/>
  <c r="T27" i="324"/>
  <c r="T25" i="324"/>
  <c r="S113" i="310"/>
  <c r="S112" i="320"/>
  <c r="S159" i="320"/>
  <c r="S166" i="320" s="1"/>
  <c r="S55" i="320"/>
  <c r="S62" i="320" s="1"/>
  <c r="S32" i="318"/>
  <c r="S172" i="320" s="1"/>
  <c r="Q177" i="320"/>
  <c r="Q19" i="329"/>
  <c r="Q39" i="329"/>
  <c r="S160" i="320"/>
  <c r="S167" i="320" s="1"/>
  <c r="S56" i="320"/>
  <c r="S63" i="320" s="1"/>
  <c r="S113" i="320"/>
  <c r="S33" i="318"/>
  <c r="S173" i="320" s="1"/>
  <c r="T25" i="318"/>
  <c r="T26" i="318"/>
  <c r="T27" i="318"/>
  <c r="T57" i="313"/>
  <c r="T64" i="313" s="1"/>
  <c r="T114" i="313"/>
  <c r="T161" i="313"/>
  <c r="T168" i="313" s="1"/>
  <c r="T27" i="321"/>
  <c r="T25" i="321"/>
  <c r="T26" i="321"/>
  <c r="S170" i="329"/>
  <c r="S161" i="317"/>
  <c r="S168" i="317" s="1"/>
  <c r="S114" i="317"/>
  <c r="S57" i="317"/>
  <c r="S64" i="317" s="1"/>
  <c r="U14" i="315"/>
  <c r="U16" i="315" s="1"/>
  <c r="U17" i="315" s="1"/>
  <c r="U18" i="315" s="1"/>
  <c r="U20" i="315" s="1"/>
  <c r="T27" i="315"/>
  <c r="T26" i="315"/>
  <c r="T25" i="315"/>
  <c r="R170" i="320"/>
  <c r="T32" i="312"/>
  <c r="T172" i="313" s="1"/>
  <c r="T159" i="313"/>
  <c r="T166" i="313" s="1"/>
  <c r="T55" i="313"/>
  <c r="T62" i="313" s="1"/>
  <c r="T112" i="313"/>
  <c r="Q177" i="326"/>
  <c r="Q21" i="329"/>
  <c r="Q41" i="329"/>
  <c r="U14" i="308"/>
  <c r="U16" i="308" s="1"/>
  <c r="U17" i="308" s="1"/>
  <c r="U18" i="308" s="1"/>
  <c r="U20" i="308" s="1"/>
  <c r="U26" i="308" s="1"/>
  <c r="S56" i="317"/>
  <c r="S63" i="317" s="1"/>
  <c r="S33" i="315"/>
  <c r="S173" i="317" s="1"/>
  <c r="S201" i="317" s="1"/>
  <c r="S113" i="317"/>
  <c r="S160" i="317"/>
  <c r="S167" i="317" s="1"/>
  <c r="P23" i="326"/>
  <c r="P43" i="326" s="1"/>
  <c r="U17" i="319"/>
  <c r="U14" i="318"/>
  <c r="U16" i="318" s="1"/>
  <c r="U17" i="318" s="1"/>
  <c r="U18" i="318" s="1"/>
  <c r="U20" i="318" s="1"/>
  <c r="R170" i="323"/>
  <c r="R200" i="320"/>
  <c r="R175" i="320"/>
  <c r="T160" i="313"/>
  <c r="T167" i="313" s="1"/>
  <c r="T33" i="312"/>
  <c r="T173" i="313" s="1"/>
  <c r="T113" i="313"/>
  <c r="T56" i="313"/>
  <c r="T63" i="313" s="1"/>
  <c r="S32" i="315"/>
  <c r="S172" i="317" s="1"/>
  <c r="S159" i="317"/>
  <c r="S166" i="317" s="1"/>
  <c r="S112" i="317"/>
  <c r="S55" i="317"/>
  <c r="S62" i="317" s="1"/>
  <c r="T26" i="308"/>
  <c r="T160" i="310" s="1"/>
  <c r="T167" i="310" s="1"/>
  <c r="R170" i="303"/>
  <c r="Q23" i="323"/>
  <c r="U17" i="325"/>
  <c r="U14" i="324"/>
  <c r="U16" i="324" s="1"/>
  <c r="U17" i="324" s="1"/>
  <c r="U18" i="324" s="1"/>
  <c r="U20" i="324" s="1"/>
  <c r="R200" i="323"/>
  <c r="R175" i="323"/>
  <c r="S112" i="323"/>
  <c r="S32" i="321"/>
  <c r="S172" i="323" s="1"/>
  <c r="S55" i="323"/>
  <c r="S62" i="323" s="1"/>
  <c r="S159" i="323"/>
  <c r="S166" i="323" s="1"/>
  <c r="R200" i="326"/>
  <c r="R175" i="326"/>
  <c r="S66" i="329"/>
  <c r="R17" i="326"/>
  <c r="S114" i="326"/>
  <c r="S57" i="326"/>
  <c r="S64" i="326" s="1"/>
  <c r="S161" i="326"/>
  <c r="S168" i="326" s="1"/>
  <c r="S33" i="308"/>
  <c r="S173" i="310" s="1"/>
  <c r="S201" i="310" s="1"/>
  <c r="T27" i="308"/>
  <c r="T57" i="310" s="1"/>
  <c r="T64" i="310" s="1"/>
  <c r="S175" i="329"/>
  <c r="Q19" i="326"/>
  <c r="Q39" i="326"/>
  <c r="R66" i="317"/>
  <c r="R66" i="323"/>
  <c r="S33" i="321"/>
  <c r="S173" i="323" s="1"/>
  <c r="S201" i="323" s="1"/>
  <c r="S113" i="323"/>
  <c r="S56" i="323"/>
  <c r="S63" i="323" s="1"/>
  <c r="S160" i="323"/>
  <c r="S167" i="323" s="1"/>
  <c r="R170" i="326"/>
  <c r="R17" i="329"/>
  <c r="S32" i="324"/>
  <c r="S172" i="326" s="1"/>
  <c r="S112" i="326"/>
  <c r="S159" i="326"/>
  <c r="S166" i="326" s="1"/>
  <c r="S55" i="326"/>
  <c r="S62" i="326" s="1"/>
  <c r="T112" i="329"/>
  <c r="T32" i="327"/>
  <c r="T172" i="329" s="1"/>
  <c r="T159" i="329"/>
  <c r="T166" i="329" s="1"/>
  <c r="T55" i="329"/>
  <c r="T62" i="329" s="1"/>
  <c r="Q21" i="326"/>
  <c r="Q41" i="326"/>
  <c r="R200" i="317"/>
  <c r="R175" i="317"/>
  <c r="Q20" i="329"/>
  <c r="Q40" i="329"/>
  <c r="U14" i="321"/>
  <c r="U16" i="321" s="1"/>
  <c r="U17" i="321" s="1"/>
  <c r="U18" i="321" s="1"/>
  <c r="U20" i="321" s="1"/>
  <c r="U17" i="322"/>
  <c r="S57" i="323"/>
  <c r="S64" i="323" s="1"/>
  <c r="S161" i="323"/>
  <c r="S168" i="323" s="1"/>
  <c r="S114" i="323"/>
  <c r="R66" i="326"/>
  <c r="S56" i="326"/>
  <c r="S63" i="326" s="1"/>
  <c r="S113" i="326"/>
  <c r="S160" i="326"/>
  <c r="S167" i="326" s="1"/>
  <c r="S33" i="324"/>
  <c r="S173" i="326" s="1"/>
  <c r="S201" i="326" s="1"/>
  <c r="Q82" i="329"/>
  <c r="U41" i="314"/>
  <c r="U32" i="314"/>
  <c r="T39" i="314"/>
  <c r="T48" i="314"/>
  <c r="T30" i="314"/>
  <c r="T56" i="314" s="1"/>
  <c r="U14" i="322"/>
  <c r="T49" i="324"/>
  <c r="T48" i="324"/>
  <c r="T50" i="324"/>
  <c r="R74" i="329"/>
  <c r="R83" i="329"/>
  <c r="Q78" i="323"/>
  <c r="Q85" i="323" s="1"/>
  <c r="Q82" i="323"/>
  <c r="U28" i="314"/>
  <c r="U22" i="314"/>
  <c r="U14" i="314"/>
  <c r="S182" i="326"/>
  <c r="S186" i="326" s="1"/>
  <c r="S127" i="326"/>
  <c r="S71" i="326"/>
  <c r="S75" i="326" s="1"/>
  <c r="U150" i="329"/>
  <c r="U151" i="329"/>
  <c r="S72" i="326"/>
  <c r="S76" i="326" s="1"/>
  <c r="S128" i="326"/>
  <c r="S183" i="326"/>
  <c r="S187" i="326" s="1"/>
  <c r="Q78" i="317"/>
  <c r="Q85" i="317" s="1"/>
  <c r="Q82" i="317"/>
  <c r="S70" i="317"/>
  <c r="S126" i="317"/>
  <c r="S181" i="317"/>
  <c r="S185" i="317" s="1"/>
  <c r="R74" i="313"/>
  <c r="R83" i="313"/>
  <c r="S126" i="329"/>
  <c r="S70" i="329"/>
  <c r="S181" i="329"/>
  <c r="S185" i="329" s="1"/>
  <c r="R74" i="320"/>
  <c r="Q78" i="326"/>
  <c r="Q85" i="326" s="1"/>
  <c r="Q82" i="326"/>
  <c r="Q82" i="320"/>
  <c r="Q78" i="320"/>
  <c r="Q85" i="320" s="1"/>
  <c r="T194" i="323"/>
  <c r="S71" i="329"/>
  <c r="S75" i="329" s="1"/>
  <c r="S182" i="329"/>
  <c r="S186" i="329" s="1"/>
  <c r="S127" i="329"/>
  <c r="U14" i="328"/>
  <c r="R189" i="320"/>
  <c r="R196" i="320" s="1"/>
  <c r="R202" i="320"/>
  <c r="R189" i="313"/>
  <c r="R196" i="313" s="1"/>
  <c r="R202" i="313"/>
  <c r="S183" i="329"/>
  <c r="S187" i="329" s="1"/>
  <c r="S128" i="329"/>
  <c r="S72" i="329"/>
  <c r="S76" i="329" s="1"/>
  <c r="U14" i="316"/>
  <c r="V3" i="329"/>
  <c r="V1" i="328"/>
  <c r="V3" i="326"/>
  <c r="V1" i="322"/>
  <c r="V1" i="325"/>
  <c r="V3" i="320"/>
  <c r="V3" i="323"/>
  <c r="V1" i="319"/>
  <c r="V3" i="317"/>
  <c r="V1" i="316"/>
  <c r="V3" i="313"/>
  <c r="V1" i="314"/>
  <c r="S128" i="323"/>
  <c r="S183" i="323"/>
  <c r="S187" i="323" s="1"/>
  <c r="S72" i="323"/>
  <c r="S76" i="323" s="1"/>
  <c r="T194" i="326"/>
  <c r="R74" i="326"/>
  <c r="R83" i="326"/>
  <c r="U14" i="319"/>
  <c r="S70" i="320"/>
  <c r="S126" i="320"/>
  <c r="S181" i="320"/>
  <c r="S185" i="320" s="1"/>
  <c r="S182" i="313"/>
  <c r="S186" i="313" s="1"/>
  <c r="S71" i="320"/>
  <c r="S75" i="320" s="1"/>
  <c r="S182" i="320"/>
  <c r="S186" i="320" s="1"/>
  <c r="S127" i="320"/>
  <c r="R83" i="310"/>
  <c r="S70" i="326"/>
  <c r="S181" i="326"/>
  <c r="S185" i="326" s="1"/>
  <c r="S126" i="326"/>
  <c r="T48" i="318"/>
  <c r="T52" i="318" s="1"/>
  <c r="T191" i="320" s="1"/>
  <c r="T50" i="318"/>
  <c r="T49" i="318"/>
  <c r="Q78" i="313"/>
  <c r="Q85" i="313" s="1"/>
  <c r="Q82" i="313"/>
  <c r="T194" i="317"/>
  <c r="S128" i="313"/>
  <c r="S183" i="313"/>
  <c r="S187" i="313" s="1"/>
  <c r="S72" i="313"/>
  <c r="S76" i="313" s="1"/>
  <c r="R189" i="326"/>
  <c r="R196" i="326" s="1"/>
  <c r="R202" i="326"/>
  <c r="U14" i="325"/>
  <c r="S183" i="320"/>
  <c r="S187" i="320" s="1"/>
  <c r="S128" i="320"/>
  <c r="S72" i="320"/>
  <c r="S76" i="320" s="1"/>
  <c r="S183" i="310"/>
  <c r="S187" i="310" s="1"/>
  <c r="S72" i="310"/>
  <c r="S76" i="310" s="1"/>
  <c r="S70" i="310"/>
  <c r="S74" i="310" s="1"/>
  <c r="S126" i="310"/>
  <c r="Q204" i="306"/>
  <c r="S71" i="310"/>
  <c r="S75" i="310" s="1"/>
  <c r="Q85" i="303"/>
  <c r="T47" i="309"/>
  <c r="U63" i="309"/>
  <c r="U66" i="309" s="1"/>
  <c r="U67" i="309" s="1"/>
  <c r="U72" i="309" s="1"/>
  <c r="T50" i="308"/>
  <c r="T72" i="310" s="1"/>
  <c r="T76" i="310" s="1"/>
  <c r="T49" i="308"/>
  <c r="T71" i="310" s="1"/>
  <c r="T75" i="310" s="1"/>
  <c r="T48" i="308"/>
  <c r="T181" i="310" s="1"/>
  <c r="T185" i="310" s="1"/>
  <c r="R40" i="303"/>
  <c r="R20" i="303"/>
  <c r="Q39" i="303"/>
  <c r="Q19" i="303"/>
  <c r="U37" i="305"/>
  <c r="U40" i="305" s="1"/>
  <c r="U42" i="305" s="1"/>
  <c r="U43" i="305" s="1"/>
  <c r="U44" i="305" s="1"/>
  <c r="U46" i="305" s="1"/>
  <c r="U37" i="302"/>
  <c r="U40" i="302" s="1"/>
  <c r="U42" i="302" s="1"/>
  <c r="U43" i="302" s="1"/>
  <c r="U44" i="302" s="1"/>
  <c r="U46" i="302" s="1"/>
  <c r="U48" i="302" s="1"/>
  <c r="U37" i="277"/>
  <c r="U40" i="277" s="1"/>
  <c r="U42" i="277" s="1"/>
  <c r="U43" i="277" s="1"/>
  <c r="U44" i="277" s="1"/>
  <c r="U46" i="277" s="1"/>
  <c r="U37" i="271"/>
  <c r="U40" i="271" s="1"/>
  <c r="U42" i="271" s="1"/>
  <c r="U43" i="271" s="1"/>
  <c r="U44" i="271" s="1"/>
  <c r="U46" i="271" s="1"/>
  <c r="U37" i="308"/>
  <c r="U40" i="308" s="1"/>
  <c r="U42" i="308" s="1"/>
  <c r="U43" i="308" s="1"/>
  <c r="U44" i="308" s="1"/>
  <c r="U46" i="308" s="1"/>
  <c r="R39" i="303"/>
  <c r="R19" i="303"/>
  <c r="Q40" i="303"/>
  <c r="Q20" i="303"/>
  <c r="U38" i="308"/>
  <c r="U38" i="305"/>
  <c r="U38" i="268"/>
  <c r="U38" i="277"/>
  <c r="U38" i="302"/>
  <c r="U38" i="271"/>
  <c r="R41" i="303"/>
  <c r="R21" i="303"/>
  <c r="X57" i="267"/>
  <c r="X52" i="267"/>
  <c r="V10" i="277"/>
  <c r="S182" i="303"/>
  <c r="S186" i="303" s="1"/>
  <c r="S189" i="303" s="1"/>
  <c r="S196" i="303" s="1"/>
  <c r="S127" i="303"/>
  <c r="T26" i="305"/>
  <c r="T160" i="306" s="1"/>
  <c r="T167" i="306" s="1"/>
  <c r="Q39" i="272"/>
  <c r="Q19" i="272"/>
  <c r="Q40" i="272"/>
  <c r="Q20" i="272"/>
  <c r="U29" i="272"/>
  <c r="U33" i="272" s="1"/>
  <c r="U28" i="272"/>
  <c r="U32" i="272" s="1"/>
  <c r="U27" i="272"/>
  <c r="R40" i="306"/>
  <c r="R20" i="306"/>
  <c r="S41" i="306"/>
  <c r="S21" i="306"/>
  <c r="R39" i="306"/>
  <c r="R19" i="306"/>
  <c r="S39" i="310"/>
  <c r="S19" i="310"/>
  <c r="Q41" i="278"/>
  <c r="Q21" i="278"/>
  <c r="U27" i="278"/>
  <c r="U28" i="278"/>
  <c r="U32" i="278" s="1"/>
  <c r="U29" i="278"/>
  <c r="U33" i="278" s="1"/>
  <c r="Q40" i="278"/>
  <c r="Q20" i="278"/>
  <c r="R41" i="278"/>
  <c r="R21" i="278"/>
  <c r="Q39" i="278"/>
  <c r="Q19" i="278"/>
  <c r="P40" i="269"/>
  <c r="P100" i="260" s="1"/>
  <c r="P20" i="269"/>
  <c r="Q41" i="269"/>
  <c r="Q21" i="269"/>
  <c r="P39" i="269"/>
  <c r="P19" i="269"/>
  <c r="Y11" i="310"/>
  <c r="X33" i="310"/>
  <c r="X35" i="310" s="1"/>
  <c r="T9" i="269"/>
  <c r="S31" i="269"/>
  <c r="S35" i="269" s="1"/>
  <c r="W11" i="269"/>
  <c r="X11" i="278"/>
  <c r="Y11" i="306"/>
  <c r="X33" i="306"/>
  <c r="X35" i="306" s="1"/>
  <c r="X11" i="272"/>
  <c r="T9" i="272"/>
  <c r="S31" i="272"/>
  <c r="S35" i="272" s="1"/>
  <c r="X10" i="278"/>
  <c r="T9" i="278"/>
  <c r="S31" i="278"/>
  <c r="S35" i="278" s="1"/>
  <c r="X10" i="272"/>
  <c r="Y11" i="303"/>
  <c r="X33" i="303"/>
  <c r="X35" i="303" s="1"/>
  <c r="W10" i="269"/>
  <c r="R78" i="303"/>
  <c r="T29" i="309"/>
  <c r="T55" i="309" s="1"/>
  <c r="T22" i="309" s="1"/>
  <c r="T17" i="310" s="1"/>
  <c r="U14" i="271"/>
  <c r="U16" i="271" s="1"/>
  <c r="U17" i="271" s="1"/>
  <c r="U18" i="271" s="1"/>
  <c r="U20" i="271" s="1"/>
  <c r="U16" i="273"/>
  <c r="U59" i="273" s="1"/>
  <c r="U14" i="277"/>
  <c r="U16" i="277" s="1"/>
  <c r="U17" i="277" s="1"/>
  <c r="U18" i="277" s="1"/>
  <c r="U20" i="277" s="1"/>
  <c r="U16" i="279"/>
  <c r="U59" i="279" s="1"/>
  <c r="R189" i="303"/>
  <c r="R196" i="303" s="1"/>
  <c r="T27" i="305"/>
  <c r="T114" i="306" s="1"/>
  <c r="T159" i="306"/>
  <c r="T166" i="306" s="1"/>
  <c r="T38" i="304"/>
  <c r="R202" i="303"/>
  <c r="U14" i="268"/>
  <c r="U16" i="268" s="1"/>
  <c r="U16" i="270"/>
  <c r="U59" i="270" s="1"/>
  <c r="T40" i="304"/>
  <c r="T31" i="304"/>
  <c r="T55" i="304" s="1"/>
  <c r="T22" i="304" s="1"/>
  <c r="T17" i="303" s="1"/>
  <c r="T47" i="304"/>
  <c r="R83" i="303"/>
  <c r="T55" i="306"/>
  <c r="T62" i="306" s="1"/>
  <c r="S55" i="304"/>
  <c r="S22" i="304" s="1"/>
  <c r="S17" i="303" s="1"/>
  <c r="T63" i="304"/>
  <c r="T66" i="304" s="1"/>
  <c r="T67" i="304" s="1"/>
  <c r="T72" i="304" s="1"/>
  <c r="O23" i="269"/>
  <c r="O43" i="269" s="1"/>
  <c r="T26" i="302"/>
  <c r="T56" i="303" s="1"/>
  <c r="T63" i="303" s="1"/>
  <c r="U194" i="310"/>
  <c r="U21" i="304"/>
  <c r="U194" i="303"/>
  <c r="T112" i="306"/>
  <c r="R66" i="306"/>
  <c r="T27" i="302"/>
  <c r="T114" i="303" s="1"/>
  <c r="T49" i="302"/>
  <c r="T127" i="303" s="1"/>
  <c r="T50" i="302"/>
  <c r="T183" i="303" s="1"/>
  <c r="T187" i="303" s="1"/>
  <c r="R23" i="310"/>
  <c r="R43" i="310" s="1"/>
  <c r="U27" i="304"/>
  <c r="R200" i="306"/>
  <c r="R175" i="306"/>
  <c r="S160" i="306"/>
  <c r="S167" i="306" s="1"/>
  <c r="S33" i="305"/>
  <c r="S173" i="306" s="1"/>
  <c r="S201" i="306" s="1"/>
  <c r="S56" i="306"/>
  <c r="S63" i="306" s="1"/>
  <c r="S113" i="306"/>
  <c r="T32" i="308"/>
  <c r="T172" i="310" s="1"/>
  <c r="T112" i="310"/>
  <c r="T159" i="310"/>
  <c r="T166" i="310" s="1"/>
  <c r="T55" i="310"/>
  <c r="V60" i="309"/>
  <c r="R170" i="306"/>
  <c r="V1" i="304"/>
  <c r="V27" i="304" s="1"/>
  <c r="V1" i="309"/>
  <c r="V1" i="307"/>
  <c r="S33" i="302"/>
  <c r="S173" i="303" s="1"/>
  <c r="U27" i="307"/>
  <c r="U13" i="307"/>
  <c r="U21" i="307"/>
  <c r="U194" i="306"/>
  <c r="S23" i="307"/>
  <c r="S15" i="306" s="1"/>
  <c r="U14" i="305"/>
  <c r="U16" i="305" s="1"/>
  <c r="U17" i="305" s="1"/>
  <c r="U18" i="305" s="1"/>
  <c r="U20" i="305" s="1"/>
  <c r="U25" i="305" s="1"/>
  <c r="U60" i="307"/>
  <c r="U13" i="309"/>
  <c r="U27" i="309"/>
  <c r="U21" i="309"/>
  <c r="S24" i="307"/>
  <c r="S16" i="306" s="1"/>
  <c r="S200" i="310"/>
  <c r="S32" i="305"/>
  <c r="S172" i="306" s="1"/>
  <c r="S159" i="306"/>
  <c r="S166" i="306" s="1"/>
  <c r="S112" i="306"/>
  <c r="S55" i="306"/>
  <c r="S62" i="306" s="1"/>
  <c r="T29" i="307"/>
  <c r="T55" i="307" s="1"/>
  <c r="T22" i="307" s="1"/>
  <c r="T17" i="306" s="1"/>
  <c r="T38" i="307"/>
  <c r="T47" i="307"/>
  <c r="R82" i="310"/>
  <c r="R66" i="310"/>
  <c r="S161" i="306"/>
  <c r="S168" i="306" s="1"/>
  <c r="S57" i="306"/>
  <c r="S64" i="306" s="1"/>
  <c r="S114" i="306"/>
  <c r="S182" i="306"/>
  <c r="S186" i="306" s="1"/>
  <c r="S127" i="306"/>
  <c r="S71" i="306"/>
  <c r="S75" i="306" s="1"/>
  <c r="S70" i="306"/>
  <c r="S74" i="306" s="1"/>
  <c r="S181" i="306"/>
  <c r="S185" i="306" s="1"/>
  <c r="S126" i="306"/>
  <c r="S159" i="303"/>
  <c r="S166" i="303" s="1"/>
  <c r="S55" i="303"/>
  <c r="S62" i="303" s="1"/>
  <c r="S112" i="303"/>
  <c r="S183" i="306"/>
  <c r="S187" i="306" s="1"/>
  <c r="S72" i="306"/>
  <c r="S128" i="306"/>
  <c r="Q78" i="306"/>
  <c r="Q85" i="306" s="1"/>
  <c r="Q82" i="306"/>
  <c r="R76" i="306"/>
  <c r="R83" i="306"/>
  <c r="R189" i="306"/>
  <c r="R196" i="306" s="1"/>
  <c r="R202" i="306"/>
  <c r="U60" i="304"/>
  <c r="U14" i="302"/>
  <c r="U16" i="302" s="1"/>
  <c r="U17" i="302" s="1"/>
  <c r="U18" i="302" s="1"/>
  <c r="U20" i="302" s="1"/>
  <c r="U25" i="302" s="1"/>
  <c r="R55" i="273"/>
  <c r="R22" i="273" s="1"/>
  <c r="R17" i="272" s="1"/>
  <c r="O173" i="269"/>
  <c r="O201" i="269" s="1"/>
  <c r="O201" i="303"/>
  <c r="S70" i="303"/>
  <c r="S74" i="303" s="1"/>
  <c r="S78" i="303" s="1"/>
  <c r="T48" i="305"/>
  <c r="T50" i="305"/>
  <c r="T49" i="305"/>
  <c r="Q16" i="269"/>
  <c r="S126" i="303"/>
  <c r="S56" i="303"/>
  <c r="S63" i="303" s="1"/>
  <c r="N23" i="303"/>
  <c r="N43" i="303" s="1"/>
  <c r="R17" i="269"/>
  <c r="O172" i="269"/>
  <c r="O200" i="269" s="1"/>
  <c r="S113" i="303"/>
  <c r="N175" i="303"/>
  <c r="N177" i="303" s="1"/>
  <c r="N204" i="303" s="1"/>
  <c r="N200" i="303"/>
  <c r="N111" i="260" s="1"/>
  <c r="Q15" i="269"/>
  <c r="T32" i="302"/>
  <c r="T172" i="303" s="1"/>
  <c r="T159" i="303"/>
  <c r="T166" i="303" s="1"/>
  <c r="T112" i="303"/>
  <c r="T55" i="303"/>
  <c r="T62" i="303" s="1"/>
  <c r="R82" i="303"/>
  <c r="R66" i="303"/>
  <c r="T126" i="303"/>
  <c r="T181" i="303"/>
  <c r="T185" i="303" s="1"/>
  <c r="T70" i="303"/>
  <c r="AE42" i="260"/>
  <c r="P23" i="278"/>
  <c r="P43" i="278" s="1"/>
  <c r="P23" i="272"/>
  <c r="P43" i="272" s="1"/>
  <c r="W53" i="267"/>
  <c r="U37" i="268"/>
  <c r="U40" i="268" s="1"/>
  <c r="U42" i="268" s="1"/>
  <c r="U13" i="279"/>
  <c r="U27" i="279"/>
  <c r="U21" i="279"/>
  <c r="U21" i="273"/>
  <c r="U27" i="273"/>
  <c r="U13" i="273"/>
  <c r="V1" i="270"/>
  <c r="V3" i="278"/>
  <c r="Y2" i="267"/>
  <c r="V1" i="273"/>
  <c r="X51" i="267"/>
  <c r="V1" i="279"/>
  <c r="V3" i="272"/>
  <c r="U27" i="270"/>
  <c r="U21" i="270"/>
  <c r="U13" i="270"/>
  <c r="S47" i="279"/>
  <c r="R24" i="279"/>
  <c r="R16" i="278" s="1"/>
  <c r="S38" i="273"/>
  <c r="R23" i="279"/>
  <c r="R15" i="278" s="1"/>
  <c r="S29" i="273"/>
  <c r="S29" i="279"/>
  <c r="T38" i="279"/>
  <c r="T60" i="279"/>
  <c r="T63" i="279" s="1"/>
  <c r="T66" i="279" s="1"/>
  <c r="T67" i="279" s="1"/>
  <c r="T72" i="279" s="1"/>
  <c r="T38" i="273"/>
  <c r="T60" i="273"/>
  <c r="T63" i="273" s="1"/>
  <c r="T66" i="273" s="1"/>
  <c r="T67" i="273" s="1"/>
  <c r="T72" i="273" s="1"/>
  <c r="S161" i="278"/>
  <c r="S114" i="278"/>
  <c r="S57" i="278"/>
  <c r="S64" i="278" s="1"/>
  <c r="S71" i="278"/>
  <c r="S75" i="278" s="1"/>
  <c r="S182" i="278"/>
  <c r="S127" i="278"/>
  <c r="S33" i="277"/>
  <c r="S173" i="278" s="1"/>
  <c r="S160" i="278"/>
  <c r="S167" i="278" s="1"/>
  <c r="S113" i="278"/>
  <c r="S56" i="278"/>
  <c r="S72" i="278"/>
  <c r="S76" i="278" s="1"/>
  <c r="S183" i="278"/>
  <c r="S128" i="278"/>
  <c r="S70" i="278"/>
  <c r="S181" i="278"/>
  <c r="S185" i="278" s="1"/>
  <c r="S126" i="278"/>
  <c r="S32" i="277"/>
  <c r="S172" i="278" s="1"/>
  <c r="S159" i="278"/>
  <c r="S112" i="278"/>
  <c r="S55" i="278"/>
  <c r="T50" i="277"/>
  <c r="T49" i="277"/>
  <c r="T48" i="277"/>
  <c r="T25" i="277"/>
  <c r="T26" i="277"/>
  <c r="T27" i="277"/>
  <c r="X52" i="277"/>
  <c r="X191" i="278" s="1"/>
  <c r="X53" i="277"/>
  <c r="X192" i="278" s="1"/>
  <c r="Q170" i="278"/>
  <c r="S72" i="272"/>
  <c r="S128" i="272"/>
  <c r="S183" i="272"/>
  <c r="S70" i="272"/>
  <c r="S126" i="272"/>
  <c r="S181" i="272"/>
  <c r="S32" i="271"/>
  <c r="S172" i="272" s="1"/>
  <c r="S112" i="272"/>
  <c r="S159" i="272"/>
  <c r="S55" i="272"/>
  <c r="S71" i="272"/>
  <c r="S127" i="272"/>
  <c r="S182" i="272"/>
  <c r="S113" i="272"/>
  <c r="S160" i="272"/>
  <c r="S56" i="272"/>
  <c r="S33" i="271"/>
  <c r="S173" i="272" s="1"/>
  <c r="S114" i="272"/>
  <c r="S161" i="272"/>
  <c r="S57" i="272"/>
  <c r="W53" i="271"/>
  <c r="W192" i="272" s="1"/>
  <c r="W52" i="271"/>
  <c r="W191" i="272" s="1"/>
  <c r="T26" i="271"/>
  <c r="T25" i="271"/>
  <c r="T27" i="271"/>
  <c r="T50" i="271"/>
  <c r="T49" i="271"/>
  <c r="T48" i="271"/>
  <c r="R166" i="272"/>
  <c r="R200" i="272"/>
  <c r="R62" i="272"/>
  <c r="U14" i="279"/>
  <c r="R168" i="272"/>
  <c r="U14" i="273"/>
  <c r="Q78" i="272"/>
  <c r="Q66" i="278"/>
  <c r="Q202" i="278"/>
  <c r="R64" i="272"/>
  <c r="Q83" i="278"/>
  <c r="V6" i="277"/>
  <c r="V53" i="268"/>
  <c r="V192" i="269" s="1"/>
  <c r="V52" i="268"/>
  <c r="V191" i="269" s="1"/>
  <c r="T38" i="270"/>
  <c r="Q170" i="272"/>
  <c r="Q202" i="272"/>
  <c r="R168" i="278"/>
  <c r="R64" i="278"/>
  <c r="P66" i="272"/>
  <c r="P85" i="272" s="1"/>
  <c r="P82" i="272"/>
  <c r="Q200" i="272"/>
  <c r="R63" i="278"/>
  <c r="R201" i="278"/>
  <c r="R167" i="278"/>
  <c r="T40" i="273"/>
  <c r="T31" i="273"/>
  <c r="Q62" i="272"/>
  <c r="Q83" i="272"/>
  <c r="R166" i="278"/>
  <c r="R62" i="278"/>
  <c r="T40" i="279"/>
  <c r="T31" i="279"/>
  <c r="R75" i="278"/>
  <c r="R186" i="278"/>
  <c r="R185" i="272"/>
  <c r="P78" i="278"/>
  <c r="P85" i="278" s="1"/>
  <c r="P82" i="278"/>
  <c r="R185" i="278"/>
  <c r="R187" i="272"/>
  <c r="R76" i="272"/>
  <c r="Q78" i="278"/>
  <c r="Q82" i="278"/>
  <c r="R187" i="278"/>
  <c r="R76" i="278"/>
  <c r="R75" i="272"/>
  <c r="R186" i="272"/>
  <c r="Q25" i="268"/>
  <c r="Q32" i="268" s="1"/>
  <c r="Q26" i="268"/>
  <c r="Q113" i="269" s="1"/>
  <c r="Y2" i="277"/>
  <c r="O170" i="269"/>
  <c r="W3" i="269"/>
  <c r="R24" i="270"/>
  <c r="X2" i="271"/>
  <c r="S66" i="270"/>
  <c r="S67" i="270" s="1"/>
  <c r="S72" i="270" s="1"/>
  <c r="S17" i="268"/>
  <c r="S18" i="268" s="1"/>
  <c r="S20" i="268" s="1"/>
  <c r="U14" i="270"/>
  <c r="Q161" i="269"/>
  <c r="Q168" i="269" s="1"/>
  <c r="Q114" i="269"/>
  <c r="Q57" i="269"/>
  <c r="Q64" i="269" s="1"/>
  <c r="P114" i="269"/>
  <c r="P57" i="269"/>
  <c r="P64" i="269" s="1"/>
  <c r="P161" i="269"/>
  <c r="P168" i="269" s="1"/>
  <c r="T60" i="270"/>
  <c r="T63" i="270" s="1"/>
  <c r="P112" i="269"/>
  <c r="P32" i="268"/>
  <c r="P55" i="269"/>
  <c r="P62" i="269" s="1"/>
  <c r="P159" i="269"/>
  <c r="P166" i="269" s="1"/>
  <c r="T40" i="270"/>
  <c r="T31" i="270"/>
  <c r="P56" i="269"/>
  <c r="P63" i="269" s="1"/>
  <c r="P33" i="268"/>
  <c r="P113" i="269"/>
  <c r="P160" i="269"/>
  <c r="P167" i="269" s="1"/>
  <c r="O66" i="269"/>
  <c r="S55" i="270"/>
  <c r="S22" i="270" s="1"/>
  <c r="R23" i="270"/>
  <c r="W2" i="268"/>
  <c r="T2" i="264"/>
  <c r="T17" i="264" s="1"/>
  <c r="R131" i="320" l="1"/>
  <c r="S20" i="310"/>
  <c r="Q204" i="326"/>
  <c r="R201" i="320"/>
  <c r="R142" i="329"/>
  <c r="R142" i="320"/>
  <c r="R143" i="320"/>
  <c r="R140" i="320"/>
  <c r="R132" i="320"/>
  <c r="S41" i="310"/>
  <c r="T113" i="329"/>
  <c r="V10" i="302"/>
  <c r="V15" i="304" s="1"/>
  <c r="X61" i="267"/>
  <c r="X63" i="267" s="1"/>
  <c r="X66" i="267"/>
  <c r="Y10" i="267"/>
  <c r="Y9" i="267"/>
  <c r="W6" i="271" s="1"/>
  <c r="Y8" i="267"/>
  <c r="W6" i="268" s="1"/>
  <c r="Y7" i="267"/>
  <c r="Y12" i="267"/>
  <c r="W6" i="277" s="1"/>
  <c r="Y11" i="267"/>
  <c r="W6" i="308" s="1"/>
  <c r="W14" i="309" s="1"/>
  <c r="V10" i="308"/>
  <c r="V10" i="315"/>
  <c r="V10" i="271"/>
  <c r="V15" i="273" s="1"/>
  <c r="X56" i="267"/>
  <c r="V10" i="305"/>
  <c r="V10" i="268"/>
  <c r="V15" i="270" s="1"/>
  <c r="V10" i="312"/>
  <c r="V14" i="312" s="1"/>
  <c r="V16" i="312" s="1"/>
  <c r="V17" i="312" s="1"/>
  <c r="V18" i="312" s="1"/>
  <c r="V20" i="312" s="1"/>
  <c r="V27" i="312" s="1"/>
  <c r="X67" i="267"/>
  <c r="W102" i="269"/>
  <c r="W103" i="269"/>
  <c r="W101" i="269"/>
  <c r="W100" i="269"/>
  <c r="W93" i="269"/>
  <c r="W96" i="269"/>
  <c r="W91" i="269"/>
  <c r="W98" i="269"/>
  <c r="W95" i="269"/>
  <c r="W97" i="269"/>
  <c r="W92" i="269"/>
  <c r="W90" i="269"/>
  <c r="U32" i="319"/>
  <c r="U41" i="319"/>
  <c r="U40" i="309"/>
  <c r="U31" i="309"/>
  <c r="Y44" i="267"/>
  <c r="Y46" i="267" s="1"/>
  <c r="Y29" i="267"/>
  <c r="Y31" i="267" s="1"/>
  <c r="Y45" i="267"/>
  <c r="W11" i="321" s="1"/>
  <c r="W18" i="322" s="1"/>
  <c r="Y30" i="267"/>
  <c r="Y40" i="267"/>
  <c r="Y39" i="267"/>
  <c r="Y41" i="267" s="1"/>
  <c r="U41" i="316"/>
  <c r="U32" i="316"/>
  <c r="V11" i="315"/>
  <c r="V18" i="316" s="1"/>
  <c r="V11" i="318"/>
  <c r="V18" i="319" s="1"/>
  <c r="V11" i="312"/>
  <c r="V18" i="314" s="1"/>
  <c r="V41" i="314" s="1"/>
  <c r="V11" i="302"/>
  <c r="V17" i="304" s="1"/>
  <c r="V11" i="277"/>
  <c r="V17" i="279" s="1"/>
  <c r="V11" i="268"/>
  <c r="V17" i="270" s="1"/>
  <c r="V11" i="308"/>
  <c r="V17" i="309" s="1"/>
  <c r="T101" i="319"/>
  <c r="T118" i="319" s="1"/>
  <c r="T85" i="319" s="1"/>
  <c r="T29" i="320" s="1"/>
  <c r="T33" i="320" s="1"/>
  <c r="S182" i="323"/>
  <c r="S186" i="323" s="1"/>
  <c r="S71" i="323"/>
  <c r="S75" i="323" s="1"/>
  <c r="U26" i="327"/>
  <c r="U56" i="329" s="1"/>
  <c r="U63" i="329" s="1"/>
  <c r="T161" i="329"/>
  <c r="T168" i="329" s="1"/>
  <c r="T170" i="329" s="1"/>
  <c r="T33" i="327"/>
  <c r="T173" i="329" s="1"/>
  <c r="T175" i="329" s="1"/>
  <c r="T57" i="329"/>
  <c r="T64" i="329" s="1"/>
  <c r="T66" i="329" s="1"/>
  <c r="T160" i="329"/>
  <c r="T167" i="329" s="1"/>
  <c r="T92" i="322"/>
  <c r="S86" i="319"/>
  <c r="S27" i="320" s="1"/>
  <c r="S31" i="320" s="1"/>
  <c r="T64" i="314"/>
  <c r="T92" i="328"/>
  <c r="R83" i="320"/>
  <c r="V77" i="328"/>
  <c r="V15" i="328"/>
  <c r="V77" i="314"/>
  <c r="V15" i="314"/>
  <c r="V77" i="325"/>
  <c r="V15" i="325"/>
  <c r="V77" i="319"/>
  <c r="V15" i="319"/>
  <c r="W6" i="318"/>
  <c r="W6" i="321"/>
  <c r="W6" i="305"/>
  <c r="W14" i="307" s="1"/>
  <c r="W6" i="324"/>
  <c r="W6" i="312"/>
  <c r="W6" i="315"/>
  <c r="W6" i="327"/>
  <c r="W6" i="302"/>
  <c r="W14" i="304" s="1"/>
  <c r="V77" i="322"/>
  <c r="V15" i="322"/>
  <c r="V77" i="316"/>
  <c r="V15" i="316"/>
  <c r="V101" i="317"/>
  <c r="V102" i="317"/>
  <c r="V100" i="317"/>
  <c r="V103" i="317"/>
  <c r="V91" i="317"/>
  <c r="V98" i="317"/>
  <c r="V96" i="317"/>
  <c r="V92" i="317"/>
  <c r="V95" i="317"/>
  <c r="V90" i="317"/>
  <c r="V97" i="317"/>
  <c r="V93" i="317"/>
  <c r="V101" i="329"/>
  <c r="V102" i="329"/>
  <c r="V100" i="329"/>
  <c r="V103" i="329"/>
  <c r="V97" i="329"/>
  <c r="V95" i="329"/>
  <c r="V98" i="329"/>
  <c r="V96" i="329"/>
  <c r="V93" i="329"/>
  <c r="V92" i="329"/>
  <c r="V90" i="329"/>
  <c r="V91" i="329"/>
  <c r="V103" i="272"/>
  <c r="V101" i="272"/>
  <c r="V102" i="272"/>
  <c r="V100" i="272"/>
  <c r="V98" i="272"/>
  <c r="V96" i="272"/>
  <c r="V92" i="272"/>
  <c r="V93" i="272"/>
  <c r="V97" i="272"/>
  <c r="V95" i="272"/>
  <c r="V90" i="272"/>
  <c r="V91" i="272"/>
  <c r="V103" i="313"/>
  <c r="V100" i="313"/>
  <c r="V101" i="313"/>
  <c r="V102" i="313"/>
  <c r="V96" i="313"/>
  <c r="V92" i="313"/>
  <c r="V98" i="313"/>
  <c r="V93" i="313"/>
  <c r="V97" i="313"/>
  <c r="V95" i="313"/>
  <c r="V90" i="313"/>
  <c r="V91" i="313"/>
  <c r="V101" i="323"/>
  <c r="V102" i="323"/>
  <c r="V103" i="323"/>
  <c r="V100" i="323"/>
  <c r="V91" i="323"/>
  <c r="V98" i="323"/>
  <c r="V96" i="323"/>
  <c r="V92" i="323"/>
  <c r="V97" i="323"/>
  <c r="V93" i="323"/>
  <c r="V95" i="323"/>
  <c r="V90" i="323"/>
  <c r="V101" i="326"/>
  <c r="V102" i="326"/>
  <c r="V103" i="326"/>
  <c r="V100" i="326"/>
  <c r="V91" i="326"/>
  <c r="V98" i="326"/>
  <c r="V96" i="326"/>
  <c r="V92" i="326"/>
  <c r="V93" i="326"/>
  <c r="V97" i="326"/>
  <c r="V95" i="326"/>
  <c r="V90" i="326"/>
  <c r="V103" i="278"/>
  <c r="V102" i="278"/>
  <c r="V100" i="278"/>
  <c r="V101" i="278"/>
  <c r="V97" i="278"/>
  <c r="V95" i="278"/>
  <c r="V90" i="278"/>
  <c r="V91" i="278"/>
  <c r="V98" i="278"/>
  <c r="V96" i="278"/>
  <c r="V92" i="278"/>
  <c r="V93" i="278"/>
  <c r="V101" i="320"/>
  <c r="V102" i="320"/>
  <c r="V103" i="320"/>
  <c r="V100" i="320"/>
  <c r="V98" i="320"/>
  <c r="V96" i="320"/>
  <c r="V92" i="320"/>
  <c r="V93" i="320"/>
  <c r="V97" i="320"/>
  <c r="V95" i="320"/>
  <c r="V90" i="320"/>
  <c r="V91" i="320"/>
  <c r="R202" i="317"/>
  <c r="S181" i="323"/>
  <c r="S185" i="323" s="1"/>
  <c r="R177" i="310"/>
  <c r="R204" i="310" s="1"/>
  <c r="S141" i="329"/>
  <c r="T48" i="312"/>
  <c r="T52" i="312" s="1"/>
  <c r="T191" i="313" s="1"/>
  <c r="T200" i="313" s="1"/>
  <c r="R189" i="323"/>
  <c r="R196" i="323" s="1"/>
  <c r="U63" i="307"/>
  <c r="T101" i="328"/>
  <c r="T118" i="328" s="1"/>
  <c r="T85" i="328" s="1"/>
  <c r="U27" i="327"/>
  <c r="U57" i="329" s="1"/>
  <c r="U64" i="329" s="1"/>
  <c r="S170" i="310"/>
  <c r="R133" i="329"/>
  <c r="S133" i="310"/>
  <c r="S131" i="310"/>
  <c r="S132" i="310"/>
  <c r="S130" i="310"/>
  <c r="S141" i="272"/>
  <c r="S142" i="272"/>
  <c r="S143" i="272"/>
  <c r="S140" i="272"/>
  <c r="S119" i="272"/>
  <c r="S116" i="272"/>
  <c r="S117" i="272"/>
  <c r="S118" i="272"/>
  <c r="S140" i="306"/>
  <c r="S142" i="306"/>
  <c r="S143" i="306"/>
  <c r="S141" i="306"/>
  <c r="S118" i="306"/>
  <c r="S119" i="306"/>
  <c r="S116" i="306"/>
  <c r="S117" i="306"/>
  <c r="S143" i="326"/>
  <c r="S119" i="326"/>
  <c r="S140" i="326"/>
  <c r="S116" i="326"/>
  <c r="S141" i="326"/>
  <c r="S117" i="326"/>
  <c r="S118" i="326"/>
  <c r="S142" i="326"/>
  <c r="S118" i="323"/>
  <c r="S119" i="323"/>
  <c r="S116" i="323"/>
  <c r="S117" i="323"/>
  <c r="T119" i="313"/>
  <c r="T116" i="313"/>
  <c r="T117" i="313"/>
  <c r="T118" i="313"/>
  <c r="S143" i="310"/>
  <c r="S140" i="310"/>
  <c r="S141" i="310"/>
  <c r="S118" i="310"/>
  <c r="S142" i="310"/>
  <c r="S119" i="310"/>
  <c r="S116" i="310"/>
  <c r="S117" i="310"/>
  <c r="R132" i="317"/>
  <c r="R133" i="317"/>
  <c r="R130" i="317"/>
  <c r="R131" i="317"/>
  <c r="S142" i="329"/>
  <c r="R140" i="317"/>
  <c r="R142" i="317"/>
  <c r="R132" i="329"/>
  <c r="S126" i="323"/>
  <c r="S143" i="323" s="1"/>
  <c r="S130" i="320"/>
  <c r="S132" i="320"/>
  <c r="S133" i="320"/>
  <c r="S131" i="320"/>
  <c r="T116" i="329"/>
  <c r="T117" i="329"/>
  <c r="T118" i="329"/>
  <c r="T119" i="329"/>
  <c r="S118" i="313"/>
  <c r="S119" i="313"/>
  <c r="S116" i="313"/>
  <c r="S117" i="313"/>
  <c r="R141" i="329"/>
  <c r="R131" i="329"/>
  <c r="R140" i="329"/>
  <c r="P119" i="269"/>
  <c r="P117" i="269"/>
  <c r="P118" i="269"/>
  <c r="P116" i="269"/>
  <c r="S131" i="272"/>
  <c r="S132" i="272"/>
  <c r="S133" i="272"/>
  <c r="S130" i="272"/>
  <c r="S119" i="317"/>
  <c r="S116" i="317"/>
  <c r="S117" i="317"/>
  <c r="S118" i="317"/>
  <c r="S140" i="320"/>
  <c r="S141" i="320"/>
  <c r="S142" i="320"/>
  <c r="S143" i="320"/>
  <c r="S117" i="320"/>
  <c r="S118" i="320"/>
  <c r="S119" i="320"/>
  <c r="S116" i="320"/>
  <c r="S133" i="278"/>
  <c r="S130" i="278"/>
  <c r="S131" i="278"/>
  <c r="S132" i="278"/>
  <c r="S130" i="303"/>
  <c r="S131" i="303"/>
  <c r="S132" i="303"/>
  <c r="S133" i="303"/>
  <c r="S132" i="306"/>
  <c r="S133" i="306"/>
  <c r="S130" i="306"/>
  <c r="S131" i="306"/>
  <c r="S143" i="278"/>
  <c r="S119" i="278"/>
  <c r="S140" i="278"/>
  <c r="S141" i="278"/>
  <c r="S117" i="278"/>
  <c r="S116" i="278"/>
  <c r="S118" i="278"/>
  <c r="S142" i="278"/>
  <c r="S140" i="303"/>
  <c r="S116" i="303"/>
  <c r="S118" i="303"/>
  <c r="S141" i="303"/>
  <c r="S117" i="303"/>
  <c r="S142" i="303"/>
  <c r="S119" i="303"/>
  <c r="S143" i="303"/>
  <c r="S133" i="326"/>
  <c r="S130" i="326"/>
  <c r="S131" i="326"/>
  <c r="S132" i="326"/>
  <c r="S133" i="329"/>
  <c r="S130" i="329"/>
  <c r="S131" i="329"/>
  <c r="S132" i="329"/>
  <c r="S143" i="329"/>
  <c r="S140" i="329"/>
  <c r="R141" i="317"/>
  <c r="R143" i="317"/>
  <c r="R130" i="329"/>
  <c r="R143" i="329"/>
  <c r="S126" i="313"/>
  <c r="T110" i="319"/>
  <c r="S181" i="313"/>
  <c r="S185" i="313" s="1"/>
  <c r="S202" i="313" s="1"/>
  <c r="S70" i="313"/>
  <c r="S74" i="313" s="1"/>
  <c r="V106" i="329"/>
  <c r="V108" i="329"/>
  <c r="V105" i="329"/>
  <c r="V107" i="329"/>
  <c r="V107" i="272"/>
  <c r="V108" i="272"/>
  <c r="V106" i="272"/>
  <c r="V105" i="272"/>
  <c r="T48" i="315"/>
  <c r="T181" i="317" s="1"/>
  <c r="T185" i="317" s="1"/>
  <c r="T50" i="312"/>
  <c r="T128" i="313" s="1"/>
  <c r="T92" i="325"/>
  <c r="V106" i="317"/>
  <c r="V105" i="317"/>
  <c r="V108" i="317"/>
  <c r="V107" i="317"/>
  <c r="V106" i="278"/>
  <c r="V105" i="278"/>
  <c r="V108" i="278"/>
  <c r="V107" i="278"/>
  <c r="S127" i="313"/>
  <c r="T50" i="315"/>
  <c r="T72" i="317" s="1"/>
  <c r="T76" i="317" s="1"/>
  <c r="V106" i="313"/>
  <c r="V107" i="313"/>
  <c r="V105" i="313"/>
  <c r="V108" i="313"/>
  <c r="V106" i="323"/>
  <c r="V105" i="323"/>
  <c r="V108" i="323"/>
  <c r="V107" i="323"/>
  <c r="V105" i="326"/>
  <c r="V108" i="326"/>
  <c r="V107" i="326"/>
  <c r="V106" i="326"/>
  <c r="S71" i="317"/>
  <c r="S75" i="317" s="1"/>
  <c r="S53" i="312"/>
  <c r="S192" i="313" s="1"/>
  <c r="S194" i="313" s="1"/>
  <c r="T110" i="325"/>
  <c r="W106" i="269"/>
  <c r="W108" i="269"/>
  <c r="W105" i="269"/>
  <c r="W107" i="269"/>
  <c r="V106" i="320"/>
  <c r="V105" i="320"/>
  <c r="V108" i="320"/>
  <c r="V107" i="320"/>
  <c r="R202" i="329"/>
  <c r="U78" i="325"/>
  <c r="U92" i="325" s="1"/>
  <c r="U79" i="325"/>
  <c r="R83" i="317"/>
  <c r="U78" i="319"/>
  <c r="U92" i="319" s="1"/>
  <c r="U79" i="319"/>
  <c r="V14" i="327"/>
  <c r="V16" i="327" s="1"/>
  <c r="V17" i="327" s="1"/>
  <c r="V18" i="327" s="1"/>
  <c r="V20" i="327" s="1"/>
  <c r="V27" i="327" s="1"/>
  <c r="V17" i="328"/>
  <c r="V16" i="328"/>
  <c r="T110" i="316"/>
  <c r="U40" i="324"/>
  <c r="U42" i="324" s="1"/>
  <c r="U43" i="324" s="1"/>
  <c r="U44" i="324" s="1"/>
  <c r="U46" i="324" s="1"/>
  <c r="U48" i="324" s="1"/>
  <c r="S127" i="317"/>
  <c r="R196" i="329"/>
  <c r="R204" i="329" s="1"/>
  <c r="U78" i="314"/>
  <c r="U79" i="314"/>
  <c r="U78" i="322"/>
  <c r="U110" i="322" s="1"/>
  <c r="U79" i="322"/>
  <c r="U60" i="314"/>
  <c r="U40" i="318"/>
  <c r="U42" i="318" s="1"/>
  <c r="U43" i="318" s="1"/>
  <c r="U44" i="318" s="1"/>
  <c r="U46" i="318" s="1"/>
  <c r="U50" i="318" s="1"/>
  <c r="U78" i="316"/>
  <c r="U110" i="316" s="1"/>
  <c r="U79" i="316"/>
  <c r="U78" i="328"/>
  <c r="U92" i="328" s="1"/>
  <c r="U79" i="328"/>
  <c r="R202" i="323"/>
  <c r="S170" i="313"/>
  <c r="S177" i="313" s="1"/>
  <c r="R83" i="323"/>
  <c r="Q204" i="320"/>
  <c r="R35" i="320"/>
  <c r="R201" i="329"/>
  <c r="S183" i="317"/>
  <c r="S187" i="317" s="1"/>
  <c r="S189" i="317" s="1"/>
  <c r="S196" i="317" s="1"/>
  <c r="S128" i="317"/>
  <c r="T114" i="310"/>
  <c r="R39" i="320"/>
  <c r="Q43" i="323"/>
  <c r="U27" i="312"/>
  <c r="U114" i="313" s="1"/>
  <c r="S202" i="310"/>
  <c r="T48" i="327"/>
  <c r="T52" i="327" s="1"/>
  <c r="T191" i="329" s="1"/>
  <c r="T200" i="329" s="1"/>
  <c r="T49" i="327"/>
  <c r="T53" i="327" s="1"/>
  <c r="T192" i="329" s="1"/>
  <c r="U25" i="312"/>
  <c r="U112" i="313" s="1"/>
  <c r="T161" i="310"/>
  <c r="T168" i="310" s="1"/>
  <c r="T170" i="310" s="1"/>
  <c r="R40" i="320"/>
  <c r="S86" i="328"/>
  <c r="S27" i="329" s="1"/>
  <c r="S31" i="329" s="1"/>
  <c r="S86" i="325"/>
  <c r="S27" i="326" s="1"/>
  <c r="S31" i="326" s="1"/>
  <c r="T118" i="322"/>
  <c r="T85" i="322" s="1"/>
  <c r="T29" i="323" s="1"/>
  <c r="T33" i="323" s="1"/>
  <c r="R39" i="323"/>
  <c r="T50" i="321"/>
  <c r="T183" i="323" s="1"/>
  <c r="T187" i="323" s="1"/>
  <c r="T49" i="321"/>
  <c r="T182" i="323" s="1"/>
  <c r="T186" i="323" s="1"/>
  <c r="R19" i="323"/>
  <c r="R23" i="323" s="1"/>
  <c r="S201" i="320"/>
  <c r="R20" i="320"/>
  <c r="R23" i="320" s="1"/>
  <c r="V16" i="316"/>
  <c r="V17" i="316"/>
  <c r="V15" i="279"/>
  <c r="V16" i="309"/>
  <c r="V59" i="309" s="1"/>
  <c r="V63" i="309" s="1"/>
  <c r="V66" i="309" s="1"/>
  <c r="V67" i="309" s="1"/>
  <c r="V72" i="309" s="1"/>
  <c r="V15" i="309"/>
  <c r="V47" i="309" s="1"/>
  <c r="V16" i="307"/>
  <c r="V59" i="307" s="1"/>
  <c r="V15" i="307"/>
  <c r="V16" i="304"/>
  <c r="V59" i="304" s="1"/>
  <c r="V151" i="326"/>
  <c r="V150" i="326"/>
  <c r="V151" i="323"/>
  <c r="V150" i="323"/>
  <c r="V150" i="320"/>
  <c r="V151" i="320"/>
  <c r="Q35" i="320"/>
  <c r="Q43" i="320" s="1"/>
  <c r="V151" i="317"/>
  <c r="V150" i="317"/>
  <c r="R40" i="317"/>
  <c r="V150" i="313"/>
  <c r="V151" i="313"/>
  <c r="V151" i="278"/>
  <c r="V150" i="278"/>
  <c r="V151" i="272"/>
  <c r="V150" i="272"/>
  <c r="W150" i="269"/>
  <c r="W28" i="269"/>
  <c r="W32" i="269" s="1"/>
  <c r="W151" i="269"/>
  <c r="W27" i="269"/>
  <c r="W29" i="269"/>
  <c r="W33" i="269" s="1"/>
  <c r="S41" i="320"/>
  <c r="Q35" i="317"/>
  <c r="R32" i="323"/>
  <c r="R40" i="323"/>
  <c r="R32" i="326"/>
  <c r="R35" i="326" s="1"/>
  <c r="R40" i="326"/>
  <c r="U30" i="319"/>
  <c r="U48" i="319"/>
  <c r="U39" i="319"/>
  <c r="U56" i="319" s="1"/>
  <c r="U23" i="319" s="1"/>
  <c r="U17" i="320" s="1"/>
  <c r="U21" i="320" s="1"/>
  <c r="R32" i="329"/>
  <c r="R35" i="329" s="1"/>
  <c r="R40" i="329"/>
  <c r="Y62" i="267"/>
  <c r="Y66" i="267"/>
  <c r="V90" i="325"/>
  <c r="V76" i="325"/>
  <c r="V84" i="325"/>
  <c r="V22" i="325"/>
  <c r="V28" i="325"/>
  <c r="V38" i="321"/>
  <c r="V80" i="322" s="1"/>
  <c r="V38" i="324"/>
  <c r="V80" i="325" s="1"/>
  <c r="V38" i="327"/>
  <c r="V80" i="328" s="1"/>
  <c r="T126" i="316"/>
  <c r="T64" i="316"/>
  <c r="W11" i="324"/>
  <c r="W18" i="325" s="1"/>
  <c r="V84" i="322"/>
  <c r="V90" i="322"/>
  <c r="V76" i="322"/>
  <c r="V22" i="322"/>
  <c r="V28" i="322"/>
  <c r="U122" i="322"/>
  <c r="U60" i="322"/>
  <c r="S129" i="325"/>
  <c r="S130" i="325" s="1"/>
  <c r="S135" i="325" s="1"/>
  <c r="S87" i="325" s="1"/>
  <c r="S28" i="326" s="1"/>
  <c r="S32" i="326" s="1"/>
  <c r="S67" i="325"/>
  <c r="S68" i="325" s="1"/>
  <c r="S73" i="325" s="1"/>
  <c r="S25" i="325" s="1"/>
  <c r="S16" i="326" s="1"/>
  <c r="S20" i="326" s="1"/>
  <c r="S24" i="325"/>
  <c r="S15" i="326" s="1"/>
  <c r="W10" i="327"/>
  <c r="W14" i="327" s="1"/>
  <c r="W10" i="321"/>
  <c r="W16" i="322" s="1"/>
  <c r="W10" i="324"/>
  <c r="W16" i="325" s="1"/>
  <c r="V38" i="318"/>
  <c r="V80" i="319" s="1"/>
  <c r="V38" i="312"/>
  <c r="V80" i="314" s="1"/>
  <c r="V38" i="315"/>
  <c r="V80" i="316" s="1"/>
  <c r="S67" i="316"/>
  <c r="S68" i="316" s="1"/>
  <c r="S73" i="316" s="1"/>
  <c r="S25" i="316" s="1"/>
  <c r="S16" i="317" s="1"/>
  <c r="S20" i="317" s="1"/>
  <c r="S129" i="316"/>
  <c r="S130" i="316" s="1"/>
  <c r="S135" i="316" s="1"/>
  <c r="S87" i="316" s="1"/>
  <c r="S28" i="317" s="1"/>
  <c r="S24" i="316"/>
  <c r="S15" i="317" s="1"/>
  <c r="S29" i="323"/>
  <c r="S86" i="322"/>
  <c r="S27" i="323" s="1"/>
  <c r="S31" i="323" s="1"/>
  <c r="U122" i="328"/>
  <c r="U60" i="328"/>
  <c r="T48" i="328"/>
  <c r="T39" i="328"/>
  <c r="T56" i="328" s="1"/>
  <c r="T23" i="328" s="1"/>
  <c r="T30" i="328"/>
  <c r="R33" i="317"/>
  <c r="R35" i="317" s="1"/>
  <c r="R41" i="317"/>
  <c r="V90" i="316"/>
  <c r="V84" i="316"/>
  <c r="V76" i="316"/>
  <c r="V28" i="316"/>
  <c r="V22" i="316"/>
  <c r="V90" i="328"/>
  <c r="V84" i="328"/>
  <c r="V76" i="328"/>
  <c r="V28" i="328"/>
  <c r="V22" i="328"/>
  <c r="T30" i="325"/>
  <c r="T39" i="325"/>
  <c r="T56" i="325" s="1"/>
  <c r="T23" i="325" s="1"/>
  <c r="T48" i="325"/>
  <c r="V32" i="325"/>
  <c r="V41" i="325"/>
  <c r="U30" i="316"/>
  <c r="U56" i="316" s="1"/>
  <c r="U23" i="316" s="1"/>
  <c r="U17" i="317" s="1"/>
  <c r="U21" i="317" s="1"/>
  <c r="U48" i="316"/>
  <c r="U39" i="316"/>
  <c r="U103" i="325"/>
  <c r="U94" i="325"/>
  <c r="R33" i="323"/>
  <c r="R41" i="323"/>
  <c r="S29" i="317"/>
  <c r="S86" i="316"/>
  <c r="S27" i="317" s="1"/>
  <c r="S31" i="317" s="1"/>
  <c r="U94" i="319"/>
  <c r="U103" i="319"/>
  <c r="U122" i="325"/>
  <c r="U60" i="325"/>
  <c r="U122" i="319"/>
  <c r="U60" i="319"/>
  <c r="V32" i="328"/>
  <c r="V41" i="328"/>
  <c r="U48" i="322"/>
  <c r="U39" i="322"/>
  <c r="U56" i="322" s="1"/>
  <c r="U23" i="322" s="1"/>
  <c r="U17" i="323" s="1"/>
  <c r="U21" i="323" s="1"/>
  <c r="U30" i="322"/>
  <c r="U94" i="322"/>
  <c r="U103" i="322"/>
  <c r="U103" i="316"/>
  <c r="U94" i="316"/>
  <c r="V76" i="319"/>
  <c r="V90" i="319"/>
  <c r="V84" i="319"/>
  <c r="V28" i="319"/>
  <c r="V22" i="319"/>
  <c r="U103" i="328"/>
  <c r="U94" i="328"/>
  <c r="T118" i="325"/>
  <c r="T85" i="325" s="1"/>
  <c r="T64" i="325"/>
  <c r="T126" i="325"/>
  <c r="T118" i="316"/>
  <c r="T85" i="316" s="1"/>
  <c r="S67" i="322"/>
  <c r="S68" i="322" s="1"/>
  <c r="S73" i="322" s="1"/>
  <c r="S25" i="322" s="1"/>
  <c r="S16" i="323" s="1"/>
  <c r="S20" i="323" s="1"/>
  <c r="S129" i="322"/>
  <c r="S130" i="322" s="1"/>
  <c r="S135" i="322" s="1"/>
  <c r="S87" i="322" s="1"/>
  <c r="S28" i="323" s="1"/>
  <c r="S24" i="322"/>
  <c r="S15" i="323" s="1"/>
  <c r="S19" i="323" s="1"/>
  <c r="S129" i="328"/>
  <c r="S130" i="328" s="1"/>
  <c r="S135" i="328" s="1"/>
  <c r="S87" i="328" s="1"/>
  <c r="S28" i="329" s="1"/>
  <c r="S32" i="329" s="1"/>
  <c r="S67" i="328"/>
  <c r="S68" i="328" s="1"/>
  <c r="S73" i="328" s="1"/>
  <c r="S25" i="328" s="1"/>
  <c r="S16" i="329" s="1"/>
  <c r="S20" i="329" s="1"/>
  <c r="S24" i="328"/>
  <c r="S15" i="329" s="1"/>
  <c r="S129" i="319"/>
  <c r="S130" i="319" s="1"/>
  <c r="S135" i="319" s="1"/>
  <c r="S87" i="319" s="1"/>
  <c r="S28" i="320" s="1"/>
  <c r="S32" i="320" s="1"/>
  <c r="S67" i="319"/>
  <c r="S68" i="319" s="1"/>
  <c r="S73" i="319" s="1"/>
  <c r="S25" i="319" s="1"/>
  <c r="S16" i="320" s="1"/>
  <c r="S20" i="320" s="1"/>
  <c r="S24" i="319"/>
  <c r="S15" i="320" s="1"/>
  <c r="S19" i="320" s="1"/>
  <c r="T126" i="322"/>
  <c r="T64" i="322"/>
  <c r="U122" i="316"/>
  <c r="U60" i="316"/>
  <c r="T126" i="328"/>
  <c r="T64" i="328"/>
  <c r="X68" i="267"/>
  <c r="V37" i="324"/>
  <c r="V40" i="324" s="1"/>
  <c r="V42" i="324" s="1"/>
  <c r="V43" i="324" s="1"/>
  <c r="V44" i="324" s="1"/>
  <c r="V46" i="324" s="1"/>
  <c r="V37" i="327"/>
  <c r="V40" i="327" s="1"/>
  <c r="V42" i="327" s="1"/>
  <c r="V43" i="327" s="1"/>
  <c r="V44" i="327" s="1"/>
  <c r="V46" i="327" s="1"/>
  <c r="V37" i="321"/>
  <c r="V40" i="321" s="1"/>
  <c r="V42" i="321" s="1"/>
  <c r="V43" i="321" s="1"/>
  <c r="V44" i="321" s="1"/>
  <c r="V46" i="321" s="1"/>
  <c r="T126" i="319"/>
  <c r="T64" i="319"/>
  <c r="V32" i="322"/>
  <c r="V41" i="322"/>
  <c r="S17" i="313"/>
  <c r="S21" i="313" s="1"/>
  <c r="R85" i="310"/>
  <c r="Q101" i="260"/>
  <c r="R177" i="317"/>
  <c r="R204" i="317" s="1"/>
  <c r="S25" i="314"/>
  <c r="S16" i="313" s="1"/>
  <c r="S40" i="313" s="1"/>
  <c r="S201" i="329"/>
  <c r="O112" i="260"/>
  <c r="T53" i="318"/>
  <c r="T192" i="320" s="1"/>
  <c r="T194" i="320" s="1"/>
  <c r="Q43" i="313"/>
  <c r="R29" i="313"/>
  <c r="R40" i="313"/>
  <c r="R86" i="314"/>
  <c r="R27" i="313" s="1"/>
  <c r="W10" i="315"/>
  <c r="W10" i="312"/>
  <c r="W10" i="318"/>
  <c r="W16" i="319" s="1"/>
  <c r="Y61" i="267"/>
  <c r="T101" i="314"/>
  <c r="T92" i="314"/>
  <c r="T118" i="314" s="1"/>
  <c r="T85" i="314" s="1"/>
  <c r="T110" i="314"/>
  <c r="V37" i="318"/>
  <c r="V40" i="318" s="1"/>
  <c r="V42" i="318" s="1"/>
  <c r="V43" i="318" s="1"/>
  <c r="V44" i="318" s="1"/>
  <c r="V46" i="318" s="1"/>
  <c r="V37" i="312"/>
  <c r="V40" i="312" s="1"/>
  <c r="V42" i="312" s="1"/>
  <c r="V43" i="312" s="1"/>
  <c r="V44" i="312" s="1"/>
  <c r="V46" i="312" s="1"/>
  <c r="V37" i="315"/>
  <c r="V40" i="315" s="1"/>
  <c r="V42" i="315" s="1"/>
  <c r="V43" i="315" s="1"/>
  <c r="V44" i="315" s="1"/>
  <c r="V46" i="315" s="1"/>
  <c r="S29" i="313"/>
  <c r="S33" i="313" s="1"/>
  <c r="S86" i="314"/>
  <c r="S27" i="313" s="1"/>
  <c r="S31" i="313" s="1"/>
  <c r="U103" i="314"/>
  <c r="U94" i="314"/>
  <c r="V76" i="314"/>
  <c r="V84" i="314"/>
  <c r="V90" i="314"/>
  <c r="T23" i="314"/>
  <c r="T17" i="313" s="1"/>
  <c r="R177" i="323"/>
  <c r="T175" i="313"/>
  <c r="S175" i="310"/>
  <c r="S66" i="317"/>
  <c r="T56" i="310"/>
  <c r="T63" i="310" s="1"/>
  <c r="T113" i="310"/>
  <c r="S177" i="329"/>
  <c r="U25" i="308"/>
  <c r="U159" i="310" s="1"/>
  <c r="U166" i="310" s="1"/>
  <c r="R177" i="326"/>
  <c r="R204" i="326" s="1"/>
  <c r="U27" i="308"/>
  <c r="U114" i="310" s="1"/>
  <c r="T183" i="310"/>
  <c r="T187" i="310" s="1"/>
  <c r="S78" i="310"/>
  <c r="R204" i="313"/>
  <c r="T33" i="308"/>
  <c r="T173" i="310" s="1"/>
  <c r="T201" i="310" s="1"/>
  <c r="T127" i="310"/>
  <c r="R177" i="320"/>
  <c r="R204" i="320" s="1"/>
  <c r="T182" i="310"/>
  <c r="T186" i="310" s="1"/>
  <c r="S83" i="310"/>
  <c r="T170" i="313"/>
  <c r="T113" i="320"/>
  <c r="T33" i="318"/>
  <c r="T173" i="320" s="1"/>
  <c r="T56" i="320"/>
  <c r="T63" i="320" s="1"/>
  <c r="T160" i="320"/>
  <c r="T167" i="320" s="1"/>
  <c r="R19" i="329"/>
  <c r="R39" i="329"/>
  <c r="S200" i="323"/>
  <c r="S175" i="323"/>
  <c r="S17" i="329"/>
  <c r="T66" i="313"/>
  <c r="T55" i="320"/>
  <c r="T62" i="320" s="1"/>
  <c r="T32" i="318"/>
  <c r="T172" i="320" s="1"/>
  <c r="T112" i="320"/>
  <c r="T159" i="320"/>
  <c r="T166" i="320" s="1"/>
  <c r="R21" i="329"/>
  <c r="R41" i="329"/>
  <c r="U25" i="315"/>
  <c r="U26" i="315"/>
  <c r="U27" i="315"/>
  <c r="S17" i="326"/>
  <c r="V14" i="315"/>
  <c r="V16" i="315" s="1"/>
  <c r="V17" i="315" s="1"/>
  <c r="V18" i="315" s="1"/>
  <c r="V20" i="315" s="1"/>
  <c r="U160" i="313"/>
  <c r="U167" i="313" s="1"/>
  <c r="U113" i="313"/>
  <c r="U56" i="313"/>
  <c r="U63" i="313" s="1"/>
  <c r="S66" i="323"/>
  <c r="U32" i="327"/>
  <c r="U172" i="329" s="1"/>
  <c r="U159" i="329"/>
  <c r="U166" i="329" s="1"/>
  <c r="U55" i="329"/>
  <c r="U62" i="329" s="1"/>
  <c r="U112" i="329"/>
  <c r="S170" i="317"/>
  <c r="V25" i="312"/>
  <c r="S200" i="320"/>
  <c r="S175" i="320"/>
  <c r="S200" i="326"/>
  <c r="S175" i="326"/>
  <c r="T113" i="326"/>
  <c r="T160" i="326"/>
  <c r="T167" i="326" s="1"/>
  <c r="T33" i="324"/>
  <c r="T173" i="326" s="1"/>
  <c r="T201" i="326" s="1"/>
  <c r="T56" i="326"/>
  <c r="T63" i="326" s="1"/>
  <c r="S66" i="326"/>
  <c r="U160" i="329"/>
  <c r="U167" i="329" s="1"/>
  <c r="S200" i="317"/>
  <c r="S175" i="317"/>
  <c r="T159" i="317"/>
  <c r="T166" i="317" s="1"/>
  <c r="T55" i="317"/>
  <c r="T62" i="317" s="1"/>
  <c r="T112" i="317"/>
  <c r="T32" i="315"/>
  <c r="T172" i="317" s="1"/>
  <c r="V14" i="321"/>
  <c r="V16" i="321" s="1"/>
  <c r="V17" i="321" s="1"/>
  <c r="V18" i="321" s="1"/>
  <c r="V20" i="321" s="1"/>
  <c r="V17" i="322"/>
  <c r="T113" i="323"/>
  <c r="T160" i="323"/>
  <c r="T167" i="323" s="1"/>
  <c r="T33" i="321"/>
  <c r="T173" i="323" s="1"/>
  <c r="T201" i="323" s="1"/>
  <c r="T56" i="323"/>
  <c r="T63" i="323" s="1"/>
  <c r="S66" i="320"/>
  <c r="R21" i="326"/>
  <c r="R41" i="326"/>
  <c r="U25" i="321"/>
  <c r="U27" i="321"/>
  <c r="U26" i="321"/>
  <c r="S170" i="326"/>
  <c r="Q23" i="326"/>
  <c r="Q43" i="326" s="1"/>
  <c r="T113" i="317"/>
  <c r="T33" i="315"/>
  <c r="T173" i="317" s="1"/>
  <c r="T201" i="317" s="1"/>
  <c r="T160" i="317"/>
  <c r="T167" i="317" s="1"/>
  <c r="T56" i="317"/>
  <c r="T63" i="317" s="1"/>
  <c r="V17" i="319"/>
  <c r="V14" i="318"/>
  <c r="V16" i="318" s="1"/>
  <c r="V17" i="318" s="1"/>
  <c r="V18" i="318" s="1"/>
  <c r="V20" i="318" s="1"/>
  <c r="T32" i="321"/>
  <c r="T172" i="323" s="1"/>
  <c r="T159" i="323"/>
  <c r="T166" i="323" s="1"/>
  <c r="T112" i="323"/>
  <c r="T55" i="323"/>
  <c r="T62" i="323" s="1"/>
  <c r="S170" i="320"/>
  <c r="T55" i="326"/>
  <c r="T62" i="326" s="1"/>
  <c r="T32" i="324"/>
  <c r="T172" i="326" s="1"/>
  <c r="T112" i="326"/>
  <c r="T159" i="326"/>
  <c r="T166" i="326" s="1"/>
  <c r="R19" i="326"/>
  <c r="R39" i="326"/>
  <c r="S170" i="323"/>
  <c r="U27" i="324"/>
  <c r="U26" i="324"/>
  <c r="U25" i="324"/>
  <c r="U25" i="318"/>
  <c r="U26" i="318"/>
  <c r="U27" i="318"/>
  <c r="T114" i="317"/>
  <c r="T161" i="317"/>
  <c r="T168" i="317" s="1"/>
  <c r="T57" i="317"/>
  <c r="T64" i="317" s="1"/>
  <c r="V14" i="324"/>
  <c r="V16" i="324" s="1"/>
  <c r="V17" i="324" s="1"/>
  <c r="V18" i="324" s="1"/>
  <c r="V20" i="324" s="1"/>
  <c r="V17" i="325"/>
  <c r="T161" i="323"/>
  <c r="T168" i="323" s="1"/>
  <c r="T57" i="323"/>
  <c r="T64" i="323" s="1"/>
  <c r="T114" i="323"/>
  <c r="T114" i="320"/>
  <c r="T161" i="320"/>
  <c r="T168" i="320" s="1"/>
  <c r="T57" i="320"/>
  <c r="T64" i="320" s="1"/>
  <c r="Q23" i="329"/>
  <c r="Q43" i="329" s="1"/>
  <c r="T114" i="326"/>
  <c r="T161" i="326"/>
  <c r="T168" i="326" s="1"/>
  <c r="T57" i="326"/>
  <c r="T64" i="326" s="1"/>
  <c r="U48" i="314"/>
  <c r="U30" i="314"/>
  <c r="U56" i="314" s="1"/>
  <c r="U39" i="314"/>
  <c r="S19" i="313"/>
  <c r="R23" i="313"/>
  <c r="R78" i="320"/>
  <c r="R85" i="320" s="1"/>
  <c r="R82" i="320"/>
  <c r="U49" i="312"/>
  <c r="U48" i="312"/>
  <c r="U52" i="312" s="1"/>
  <c r="U191" i="313" s="1"/>
  <c r="U50" i="312"/>
  <c r="S189" i="329"/>
  <c r="S196" i="329" s="1"/>
  <c r="S202" i="329"/>
  <c r="T183" i="329"/>
  <c r="T187" i="329" s="1"/>
  <c r="T128" i="329"/>
  <c r="T72" i="329"/>
  <c r="T76" i="329" s="1"/>
  <c r="S74" i="317"/>
  <c r="W3" i="329"/>
  <c r="W1" i="328"/>
  <c r="W3" i="326"/>
  <c r="W1" i="325"/>
  <c r="W1" i="322"/>
  <c r="W3" i="323"/>
  <c r="W3" i="320"/>
  <c r="W1" i="319"/>
  <c r="W3" i="317"/>
  <c r="W1" i="316"/>
  <c r="W1" i="314"/>
  <c r="W3" i="313"/>
  <c r="S74" i="320"/>
  <c r="S83" i="320"/>
  <c r="V14" i="325"/>
  <c r="U49" i="315"/>
  <c r="U50" i="315"/>
  <c r="U48" i="315"/>
  <c r="S74" i="329"/>
  <c r="S78" i="329" s="1"/>
  <c r="S85" i="329" s="1"/>
  <c r="S83" i="329"/>
  <c r="V150" i="329"/>
  <c r="V151" i="329"/>
  <c r="T56" i="306"/>
  <c r="T63" i="306" s="1"/>
  <c r="S189" i="310"/>
  <c r="S196" i="310" s="1"/>
  <c r="T182" i="320"/>
  <c r="T186" i="320" s="1"/>
  <c r="T71" i="320"/>
  <c r="T75" i="320" s="1"/>
  <c r="T127" i="320"/>
  <c r="V22" i="314"/>
  <c r="V28" i="314"/>
  <c r="V14" i="314"/>
  <c r="V14" i="322"/>
  <c r="T70" i="323"/>
  <c r="T181" i="323"/>
  <c r="T185" i="323" s="1"/>
  <c r="T126" i="323"/>
  <c r="T72" i="320"/>
  <c r="T76" i="320" s="1"/>
  <c r="T128" i="320"/>
  <c r="T183" i="320"/>
  <c r="T187" i="320" s="1"/>
  <c r="S74" i="323"/>
  <c r="S83" i="323"/>
  <c r="U194" i="317"/>
  <c r="U194" i="326"/>
  <c r="R78" i="317"/>
  <c r="R85" i="317" s="1"/>
  <c r="R82" i="317"/>
  <c r="R78" i="323"/>
  <c r="R85" i="323" s="1"/>
  <c r="R82" i="323"/>
  <c r="T71" i="326"/>
  <c r="T75" i="326" s="1"/>
  <c r="T182" i="326"/>
  <c r="T186" i="326" s="1"/>
  <c r="T127" i="326"/>
  <c r="T181" i="320"/>
  <c r="T185" i="320" s="1"/>
  <c r="T126" i="320"/>
  <c r="T70" i="320"/>
  <c r="T182" i="317"/>
  <c r="T186" i="317" s="1"/>
  <c r="T127" i="317"/>
  <c r="T71" i="317"/>
  <c r="T75" i="317" s="1"/>
  <c r="T182" i="313"/>
  <c r="T186" i="313" s="1"/>
  <c r="T71" i="313"/>
  <c r="T75" i="313" s="1"/>
  <c r="T127" i="313"/>
  <c r="V14" i="316"/>
  <c r="V14" i="328"/>
  <c r="U49" i="321"/>
  <c r="U48" i="321"/>
  <c r="U50" i="321"/>
  <c r="R78" i="313"/>
  <c r="R85" i="313" s="1"/>
  <c r="R82" i="313"/>
  <c r="U194" i="323"/>
  <c r="R78" i="329"/>
  <c r="R85" i="329" s="1"/>
  <c r="R82" i="329"/>
  <c r="S189" i="320"/>
  <c r="S196" i="320" s="1"/>
  <c r="S202" i="320"/>
  <c r="U49" i="327"/>
  <c r="U48" i="327"/>
  <c r="U52" i="327" s="1"/>
  <c r="U191" i="329" s="1"/>
  <c r="U50" i="327"/>
  <c r="T128" i="326"/>
  <c r="T72" i="326"/>
  <c r="T76" i="326" s="1"/>
  <c r="T183" i="326"/>
  <c r="T187" i="326" s="1"/>
  <c r="S74" i="326"/>
  <c r="S83" i="326"/>
  <c r="S189" i="326"/>
  <c r="S196" i="326" s="1"/>
  <c r="S202" i="326"/>
  <c r="R78" i="326"/>
  <c r="R85" i="326" s="1"/>
  <c r="R82" i="326"/>
  <c r="V14" i="319"/>
  <c r="T70" i="326"/>
  <c r="T181" i="326"/>
  <c r="T185" i="326" s="1"/>
  <c r="T126" i="326"/>
  <c r="U48" i="308"/>
  <c r="U70" i="310" s="1"/>
  <c r="U74" i="310" s="1"/>
  <c r="U50" i="308"/>
  <c r="U183" i="310" s="1"/>
  <c r="U187" i="310" s="1"/>
  <c r="U49" i="308"/>
  <c r="U71" i="310" s="1"/>
  <c r="U75" i="310" s="1"/>
  <c r="V14" i="308"/>
  <c r="V16" i="308" s="1"/>
  <c r="V17" i="308" s="1"/>
  <c r="V18" i="308" s="1"/>
  <c r="V20" i="308" s="1"/>
  <c r="V26" i="308" s="1"/>
  <c r="T70" i="310"/>
  <c r="T74" i="310" s="1"/>
  <c r="T78" i="310" s="1"/>
  <c r="P23" i="269"/>
  <c r="P43" i="269" s="1"/>
  <c r="T126" i="310"/>
  <c r="R85" i="303"/>
  <c r="U29" i="309"/>
  <c r="U55" i="309" s="1"/>
  <c r="U22" i="309" s="1"/>
  <c r="U17" i="310" s="1"/>
  <c r="U21" i="310" s="1"/>
  <c r="S202" i="303"/>
  <c r="U47" i="309"/>
  <c r="T128" i="310"/>
  <c r="T33" i="305"/>
  <c r="T173" i="306" s="1"/>
  <c r="T175" i="306" s="1"/>
  <c r="T113" i="306"/>
  <c r="T57" i="306"/>
  <c r="T64" i="306" s="1"/>
  <c r="T161" i="306"/>
  <c r="T168" i="306" s="1"/>
  <c r="T170" i="306" s="1"/>
  <c r="T24" i="309"/>
  <c r="T16" i="310" s="1"/>
  <c r="T40" i="310" s="1"/>
  <c r="Y57" i="267"/>
  <c r="Y52" i="267"/>
  <c r="W10" i="277"/>
  <c r="W10" i="268"/>
  <c r="W15" i="270" s="1"/>
  <c r="W10" i="308"/>
  <c r="W10" i="302"/>
  <c r="V38" i="271"/>
  <c r="V38" i="308"/>
  <c r="V38" i="305"/>
  <c r="V38" i="268"/>
  <c r="V38" i="302"/>
  <c r="V38" i="277"/>
  <c r="T41" i="303"/>
  <c r="T21" i="303"/>
  <c r="V37" i="305"/>
  <c r="V40" i="305" s="1"/>
  <c r="V42" i="305" s="1"/>
  <c r="V43" i="305" s="1"/>
  <c r="V44" i="305" s="1"/>
  <c r="V46" i="305" s="1"/>
  <c r="V37" i="302"/>
  <c r="V40" i="302" s="1"/>
  <c r="V42" i="302" s="1"/>
  <c r="V43" i="302" s="1"/>
  <c r="V44" i="302" s="1"/>
  <c r="V46" i="302" s="1"/>
  <c r="V49" i="302" s="1"/>
  <c r="V37" i="277"/>
  <c r="V40" i="277" s="1"/>
  <c r="V42" i="277" s="1"/>
  <c r="V43" i="277" s="1"/>
  <c r="V44" i="277" s="1"/>
  <c r="V46" i="277" s="1"/>
  <c r="V37" i="271"/>
  <c r="V40" i="271" s="1"/>
  <c r="V42" i="271" s="1"/>
  <c r="V43" i="271" s="1"/>
  <c r="V44" i="271" s="1"/>
  <c r="V46" i="271" s="1"/>
  <c r="V37" i="308"/>
  <c r="V40" i="308" s="1"/>
  <c r="V42" i="308" s="1"/>
  <c r="V43" i="308" s="1"/>
  <c r="V44" i="308" s="1"/>
  <c r="V46" i="308" s="1"/>
  <c r="V49" i="308" s="1"/>
  <c r="S41" i="303"/>
  <c r="S21" i="303"/>
  <c r="S170" i="303"/>
  <c r="V27" i="272"/>
  <c r="V29" i="272"/>
  <c r="V33" i="272" s="1"/>
  <c r="V28" i="272"/>
  <c r="V32" i="272" s="1"/>
  <c r="R41" i="272"/>
  <c r="R21" i="272"/>
  <c r="S39" i="306"/>
  <c r="S19" i="306"/>
  <c r="S40" i="306"/>
  <c r="S20" i="306"/>
  <c r="T41" i="306"/>
  <c r="T21" i="306"/>
  <c r="T41" i="310"/>
  <c r="T21" i="310"/>
  <c r="R39" i="278"/>
  <c r="R19" i="278"/>
  <c r="R40" i="278"/>
  <c r="R20" i="278"/>
  <c r="V27" i="278"/>
  <c r="V29" i="278"/>
  <c r="V33" i="278" s="1"/>
  <c r="V28" i="278"/>
  <c r="V32" i="278" s="1"/>
  <c r="Q39" i="269"/>
  <c r="Q19" i="269"/>
  <c r="R41" i="269"/>
  <c r="R21" i="269"/>
  <c r="Q40" i="269"/>
  <c r="Q100" i="260" s="1"/>
  <c r="Q20" i="269"/>
  <c r="Y10" i="272"/>
  <c r="U9" i="272"/>
  <c r="T31" i="272"/>
  <c r="T35" i="272" s="1"/>
  <c r="X11" i="269"/>
  <c r="Y11" i="272"/>
  <c r="X10" i="269"/>
  <c r="U9" i="278"/>
  <c r="T31" i="278"/>
  <c r="T35" i="278" s="1"/>
  <c r="Z11" i="306"/>
  <c r="Y33" i="306"/>
  <c r="Y35" i="306" s="1"/>
  <c r="U9" i="269"/>
  <c r="T31" i="269"/>
  <c r="T35" i="269" s="1"/>
  <c r="Y10" i="278"/>
  <c r="Z11" i="303"/>
  <c r="Y33" i="303"/>
  <c r="Y35" i="303" s="1"/>
  <c r="Z11" i="310"/>
  <c r="Y33" i="310"/>
  <c r="Y35" i="310" s="1"/>
  <c r="Y11" i="278"/>
  <c r="S23" i="310"/>
  <c r="S43" i="310" s="1"/>
  <c r="U50" i="302"/>
  <c r="U72" i="303" s="1"/>
  <c r="U76" i="303" s="1"/>
  <c r="T72" i="303"/>
  <c r="T76" i="303" s="1"/>
  <c r="U49" i="302"/>
  <c r="U71" i="303" s="1"/>
  <c r="U75" i="303" s="1"/>
  <c r="T160" i="303"/>
  <c r="T167" i="303" s="1"/>
  <c r="T23" i="309"/>
  <c r="T15" i="310" s="1"/>
  <c r="T161" i="303"/>
  <c r="T168" i="303" s="1"/>
  <c r="T113" i="303"/>
  <c r="U63" i="304"/>
  <c r="U66" i="304" s="1"/>
  <c r="U67" i="304" s="1"/>
  <c r="U72" i="304" s="1"/>
  <c r="U27" i="302"/>
  <c r="U114" i="303" s="1"/>
  <c r="V14" i="277"/>
  <c r="V16" i="277" s="1"/>
  <c r="V17" i="277" s="1"/>
  <c r="V18" i="277" s="1"/>
  <c r="V20" i="277" s="1"/>
  <c r="V16" i="279"/>
  <c r="V59" i="279" s="1"/>
  <c r="T23" i="304"/>
  <c r="T15" i="303" s="1"/>
  <c r="S24" i="304"/>
  <c r="S16" i="303" s="1"/>
  <c r="T24" i="304"/>
  <c r="T16" i="303" s="1"/>
  <c r="V14" i="268"/>
  <c r="V16" i="268" s="1"/>
  <c r="V16" i="270"/>
  <c r="V59" i="270" s="1"/>
  <c r="T33" i="302"/>
  <c r="T173" i="303" s="1"/>
  <c r="S23" i="304"/>
  <c r="S15" i="303" s="1"/>
  <c r="U31" i="304"/>
  <c r="U40" i="304"/>
  <c r="V13" i="304"/>
  <c r="T57" i="303"/>
  <c r="T64" i="303" s="1"/>
  <c r="T66" i="303" s="1"/>
  <c r="V21" i="304"/>
  <c r="R24" i="273"/>
  <c r="R16" i="272" s="1"/>
  <c r="T71" i="303"/>
  <c r="T75" i="303" s="1"/>
  <c r="T182" i="303"/>
  <c r="T186" i="303" s="1"/>
  <c r="T189" i="303" s="1"/>
  <c r="T196" i="303" s="1"/>
  <c r="R23" i="273"/>
  <c r="R15" i="272" s="1"/>
  <c r="T128" i="303"/>
  <c r="T131" i="303" s="1"/>
  <c r="S66" i="306"/>
  <c r="V194" i="306"/>
  <c r="S170" i="306"/>
  <c r="R177" i="306"/>
  <c r="R204" i="306" s="1"/>
  <c r="U159" i="306"/>
  <c r="U166" i="306" s="1"/>
  <c r="U32" i="305"/>
  <c r="U172" i="306" s="1"/>
  <c r="U200" i="306" s="1"/>
  <c r="U26" i="302"/>
  <c r="U29" i="304"/>
  <c r="U47" i="304"/>
  <c r="U27" i="305"/>
  <c r="U26" i="305"/>
  <c r="T24" i="307"/>
  <c r="T16" i="306" s="1"/>
  <c r="V27" i="307"/>
  <c r="V13" i="307"/>
  <c r="V21" i="307"/>
  <c r="T200" i="310"/>
  <c r="W60" i="309"/>
  <c r="W1" i="304"/>
  <c r="W13" i="304" s="1"/>
  <c r="W1" i="309"/>
  <c r="W1" i="307"/>
  <c r="O23" i="303"/>
  <c r="O43" i="303" s="1"/>
  <c r="V27" i="309"/>
  <c r="V13" i="309"/>
  <c r="V21" i="309"/>
  <c r="V194" i="310"/>
  <c r="S82" i="310"/>
  <c r="S66" i="310"/>
  <c r="Q23" i="306"/>
  <c r="Q43" i="306" s="1"/>
  <c r="U38" i="307"/>
  <c r="U29" i="307"/>
  <c r="U55" i="307" s="1"/>
  <c r="U22" i="307" s="1"/>
  <c r="U17" i="306" s="1"/>
  <c r="U47" i="307"/>
  <c r="V14" i="305"/>
  <c r="V16" i="305" s="1"/>
  <c r="V17" i="305" s="1"/>
  <c r="V18" i="305" s="1"/>
  <c r="V20" i="305" s="1"/>
  <c r="V26" i="305" s="1"/>
  <c r="V113" i="306" s="1"/>
  <c r="V60" i="307"/>
  <c r="U56" i="310"/>
  <c r="U63" i="310" s="1"/>
  <c r="U113" i="310"/>
  <c r="U160" i="310"/>
  <c r="U167" i="310" s="1"/>
  <c r="S200" i="306"/>
  <c r="S175" i="306"/>
  <c r="S83" i="303"/>
  <c r="U55" i="306"/>
  <c r="U62" i="306" s="1"/>
  <c r="U66" i="307"/>
  <c r="U67" i="307" s="1"/>
  <c r="U72" i="307" s="1"/>
  <c r="T23" i="307"/>
  <c r="T15" i="306" s="1"/>
  <c r="T62" i="310"/>
  <c r="U112" i="306"/>
  <c r="T182" i="306"/>
  <c r="T186" i="306" s="1"/>
  <c r="T127" i="306"/>
  <c r="T71" i="306"/>
  <c r="T75" i="306" s="1"/>
  <c r="S55" i="279"/>
  <c r="S22" i="279" s="1"/>
  <c r="S17" i="278" s="1"/>
  <c r="T181" i="306"/>
  <c r="T185" i="306" s="1"/>
  <c r="T126" i="306"/>
  <c r="T70" i="306"/>
  <c r="T74" i="306" s="1"/>
  <c r="S76" i="306"/>
  <c r="S83" i="306"/>
  <c r="T128" i="306"/>
  <c r="T183" i="306"/>
  <c r="T187" i="306" s="1"/>
  <c r="T72" i="306"/>
  <c r="T76" i="306" s="1"/>
  <c r="S189" i="306"/>
  <c r="S196" i="306" s="1"/>
  <c r="S202" i="306"/>
  <c r="R78" i="306"/>
  <c r="R85" i="306" s="1"/>
  <c r="R82" i="306"/>
  <c r="O175" i="303"/>
  <c r="O177" i="303" s="1"/>
  <c r="O204" i="303" s="1"/>
  <c r="O200" i="303"/>
  <c r="O111" i="260" s="1"/>
  <c r="P173" i="269"/>
  <c r="P201" i="269" s="1"/>
  <c r="P201" i="303"/>
  <c r="R16" i="269"/>
  <c r="V194" i="303"/>
  <c r="W10" i="305"/>
  <c r="Q172" i="269"/>
  <c r="Q200" i="269" s="1"/>
  <c r="V60" i="304"/>
  <c r="V14" i="302"/>
  <c r="V16" i="302" s="1"/>
  <c r="V17" i="302" s="1"/>
  <c r="V18" i="302" s="1"/>
  <c r="V20" i="302" s="1"/>
  <c r="V27" i="302" s="1"/>
  <c r="R15" i="269"/>
  <c r="P172" i="269"/>
  <c r="P200" i="269" s="1"/>
  <c r="S17" i="269"/>
  <c r="V47" i="304"/>
  <c r="Q23" i="278"/>
  <c r="Q43" i="278" s="1"/>
  <c r="U49" i="305"/>
  <c r="U48" i="305"/>
  <c r="U50" i="305"/>
  <c r="S82" i="303"/>
  <c r="S66" i="303"/>
  <c r="S85" i="303" s="1"/>
  <c r="U32" i="302"/>
  <c r="U172" i="303" s="1"/>
  <c r="U112" i="303"/>
  <c r="U55" i="303"/>
  <c r="U159" i="303"/>
  <c r="U166" i="303" s="1"/>
  <c r="T74" i="303"/>
  <c r="U126" i="303"/>
  <c r="U181" i="303"/>
  <c r="U185" i="303" s="1"/>
  <c r="U70" i="303"/>
  <c r="U74" i="303" s="1"/>
  <c r="X58" i="267"/>
  <c r="S55" i="273"/>
  <c r="S22" i="273" s="1"/>
  <c r="S24" i="273" s="1"/>
  <c r="S16" i="272" s="1"/>
  <c r="T47" i="279"/>
  <c r="AE93" i="260"/>
  <c r="AE76" i="260"/>
  <c r="AE98" i="260"/>
  <c r="AE59" i="260"/>
  <c r="AF42" i="260"/>
  <c r="W1" i="279"/>
  <c r="Z2" i="267"/>
  <c r="W3" i="278"/>
  <c r="W3" i="272"/>
  <c r="W1" i="270"/>
  <c r="W1" i="273"/>
  <c r="Y51" i="267"/>
  <c r="V13" i="270"/>
  <c r="V27" i="270"/>
  <c r="V21" i="270"/>
  <c r="V27" i="279"/>
  <c r="V13" i="279"/>
  <c r="V21" i="279"/>
  <c r="V37" i="268"/>
  <c r="V40" i="268" s="1"/>
  <c r="V42" i="268" s="1"/>
  <c r="X53" i="267"/>
  <c r="Y56" i="267"/>
  <c r="V27" i="273"/>
  <c r="V13" i="273"/>
  <c r="V21" i="273"/>
  <c r="T47" i="273"/>
  <c r="U47" i="273"/>
  <c r="U60" i="273"/>
  <c r="U63" i="273" s="1"/>
  <c r="U66" i="273" s="1"/>
  <c r="U67" i="273" s="1"/>
  <c r="U72" i="273" s="1"/>
  <c r="T29" i="273"/>
  <c r="T55" i="273" s="1"/>
  <c r="T22" i="273" s="1"/>
  <c r="T17" i="272" s="1"/>
  <c r="U47" i="279"/>
  <c r="U60" i="279"/>
  <c r="U63" i="279" s="1"/>
  <c r="U66" i="279" s="1"/>
  <c r="U67" i="279" s="1"/>
  <c r="U72" i="279" s="1"/>
  <c r="W10" i="271"/>
  <c r="W15" i="273" s="1"/>
  <c r="T29" i="279"/>
  <c r="T55" i="279" s="1"/>
  <c r="T22" i="279" s="1"/>
  <c r="T17" i="278" s="1"/>
  <c r="T72" i="278"/>
  <c r="T183" i="278"/>
  <c r="T187" i="278" s="1"/>
  <c r="T128" i="278"/>
  <c r="T71" i="278"/>
  <c r="T75" i="278" s="1"/>
  <c r="T182" i="278"/>
  <c r="T186" i="278" s="1"/>
  <c r="T127" i="278"/>
  <c r="T161" i="278"/>
  <c r="T57" i="278"/>
  <c r="T114" i="278"/>
  <c r="T160" i="278"/>
  <c r="T113" i="278"/>
  <c r="T56" i="278"/>
  <c r="T32" i="277"/>
  <c r="T172" i="278" s="1"/>
  <c r="T159" i="278"/>
  <c r="T112" i="278"/>
  <c r="T55" i="278"/>
  <c r="T70" i="278"/>
  <c r="T181" i="278"/>
  <c r="T126" i="278"/>
  <c r="T33" i="277"/>
  <c r="T173" i="278" s="1"/>
  <c r="U49" i="277"/>
  <c r="U48" i="277"/>
  <c r="U50" i="277"/>
  <c r="Y52" i="277"/>
  <c r="Y191" i="278" s="1"/>
  <c r="Y53" i="277"/>
  <c r="Y192" i="278" s="1"/>
  <c r="U27" i="277"/>
  <c r="U26" i="277"/>
  <c r="U25" i="277"/>
  <c r="R170" i="272"/>
  <c r="T181" i="272"/>
  <c r="T70" i="272"/>
  <c r="T126" i="272"/>
  <c r="X53" i="271"/>
  <c r="X192" i="272" s="1"/>
  <c r="X52" i="271"/>
  <c r="X191" i="272" s="1"/>
  <c r="T182" i="272"/>
  <c r="T71" i="272"/>
  <c r="T127" i="272"/>
  <c r="T183" i="272"/>
  <c r="T72" i="272"/>
  <c r="T128" i="272"/>
  <c r="T114" i="272"/>
  <c r="T161" i="272"/>
  <c r="T57" i="272"/>
  <c r="T32" i="271"/>
  <c r="T172" i="272" s="1"/>
  <c r="T112" i="272"/>
  <c r="T159" i="272"/>
  <c r="T55" i="272"/>
  <c r="U50" i="271"/>
  <c r="U49" i="271"/>
  <c r="U48" i="271"/>
  <c r="T33" i="271"/>
  <c r="T173" i="272" s="1"/>
  <c r="T113" i="272"/>
  <c r="T160" i="272"/>
  <c r="T56" i="272"/>
  <c r="U27" i="271"/>
  <c r="U26" i="271"/>
  <c r="U25" i="271"/>
  <c r="R66" i="272"/>
  <c r="V14" i="273"/>
  <c r="Q85" i="278"/>
  <c r="V14" i="279"/>
  <c r="T47" i="270"/>
  <c r="T29" i="270"/>
  <c r="T55" i="270" s="1"/>
  <c r="T22" i="270" s="1"/>
  <c r="S200" i="278"/>
  <c r="S166" i="278"/>
  <c r="S62" i="278"/>
  <c r="S168" i="278"/>
  <c r="S187" i="278"/>
  <c r="S186" i="278"/>
  <c r="S201" i="278"/>
  <c r="S63" i="278"/>
  <c r="R170" i="278"/>
  <c r="W52" i="268"/>
  <c r="W191" i="269" s="1"/>
  <c r="W53" i="268"/>
  <c r="W192" i="269" s="1"/>
  <c r="Q160" i="269"/>
  <c r="Q167" i="269" s="1"/>
  <c r="Q56" i="269"/>
  <c r="Q63" i="269" s="1"/>
  <c r="Q112" i="269"/>
  <c r="Q159" i="269"/>
  <c r="Q166" i="269" s="1"/>
  <c r="Q55" i="269"/>
  <c r="Q62" i="269" s="1"/>
  <c r="U40" i="279"/>
  <c r="U31" i="279"/>
  <c r="S168" i="272"/>
  <c r="S64" i="272"/>
  <c r="S62" i="272"/>
  <c r="S166" i="272"/>
  <c r="R200" i="278"/>
  <c r="S167" i="272"/>
  <c r="S63" i="272"/>
  <c r="S201" i="272"/>
  <c r="R66" i="278"/>
  <c r="Q23" i="272"/>
  <c r="Q43" i="272" s="1"/>
  <c r="U31" i="273"/>
  <c r="U40" i="273"/>
  <c r="Q66" i="272"/>
  <c r="Q85" i="272" s="1"/>
  <c r="Q82" i="272"/>
  <c r="Q33" i="268"/>
  <c r="R202" i="278"/>
  <c r="R189" i="278"/>
  <c r="R189" i="272"/>
  <c r="R202" i="272"/>
  <c r="S187" i="272"/>
  <c r="S76" i="272"/>
  <c r="S74" i="278"/>
  <c r="S185" i="272"/>
  <c r="R74" i="278"/>
  <c r="R83" i="278"/>
  <c r="S75" i="272"/>
  <c r="S186" i="272"/>
  <c r="R74" i="272"/>
  <c r="R83" i="272"/>
  <c r="Z2" i="277"/>
  <c r="X3" i="269"/>
  <c r="P170" i="269"/>
  <c r="Y2" i="271"/>
  <c r="P66" i="269"/>
  <c r="T17" i="268"/>
  <c r="T18" i="268" s="1"/>
  <c r="T20" i="268" s="1"/>
  <c r="R26" i="268"/>
  <c r="R25" i="268"/>
  <c r="R27" i="268"/>
  <c r="U60" i="270"/>
  <c r="U63" i="270" s="1"/>
  <c r="U47" i="270"/>
  <c r="U38" i="270"/>
  <c r="U29" i="270"/>
  <c r="U31" i="270"/>
  <c r="U40" i="270"/>
  <c r="T66" i="270"/>
  <c r="T67" i="270" s="1"/>
  <c r="T72" i="270" s="1"/>
  <c r="V14" i="270"/>
  <c r="S23" i="270"/>
  <c r="S24" i="270"/>
  <c r="X2" i="268"/>
  <c r="U2" i="264"/>
  <c r="U17" i="264" s="1"/>
  <c r="U114" i="329" l="1"/>
  <c r="S202" i="323"/>
  <c r="W16" i="327"/>
  <c r="W17" i="327" s="1"/>
  <c r="W18" i="327" s="1"/>
  <c r="W20" i="327" s="1"/>
  <c r="W26" i="327" s="1"/>
  <c r="T183" i="313"/>
  <c r="T187" i="313" s="1"/>
  <c r="U113" i="329"/>
  <c r="V26" i="312"/>
  <c r="W11" i="327"/>
  <c r="W18" i="328" s="1"/>
  <c r="V17" i="314"/>
  <c r="V122" i="314" s="1"/>
  <c r="V16" i="273"/>
  <c r="V59" i="273" s="1"/>
  <c r="V16" i="314"/>
  <c r="Z11" i="267"/>
  <c r="Z8" i="267"/>
  <c r="X6" i="268" s="1"/>
  <c r="Z10" i="267"/>
  <c r="Z7" i="267"/>
  <c r="Z9" i="267"/>
  <c r="X6" i="271" s="1"/>
  <c r="Z12" i="267"/>
  <c r="X6" i="277" s="1"/>
  <c r="V14" i="271"/>
  <c r="V16" i="271" s="1"/>
  <c r="V17" i="271" s="1"/>
  <c r="V18" i="271" s="1"/>
  <c r="V20" i="271" s="1"/>
  <c r="U49" i="324"/>
  <c r="Y67" i="267"/>
  <c r="X103" i="269"/>
  <c r="X100" i="269"/>
  <c r="X102" i="269"/>
  <c r="X97" i="269"/>
  <c r="X95" i="269"/>
  <c r="X90" i="269"/>
  <c r="X101" i="269"/>
  <c r="X98" i="269"/>
  <c r="X92" i="269"/>
  <c r="X96" i="269"/>
  <c r="X93" i="269"/>
  <c r="X91" i="269"/>
  <c r="Z44" i="267"/>
  <c r="Z46" i="267" s="1"/>
  <c r="Z29" i="267"/>
  <c r="Z31" i="267" s="1"/>
  <c r="Z45" i="267"/>
  <c r="Z30" i="267"/>
  <c r="Z39" i="267"/>
  <c r="Z41" i="267" s="1"/>
  <c r="Z40" i="267"/>
  <c r="V31" i="309"/>
  <c r="V40" i="309"/>
  <c r="V41" i="319"/>
  <c r="V32" i="319"/>
  <c r="V32" i="316"/>
  <c r="V41" i="316"/>
  <c r="W11" i="318"/>
  <c r="W18" i="319" s="1"/>
  <c r="W11" i="312"/>
  <c r="W18" i="314" s="1"/>
  <c r="W11" i="315"/>
  <c r="W18" i="316" s="1"/>
  <c r="W11" i="308"/>
  <c r="W17" i="309" s="1"/>
  <c r="W11" i="302"/>
  <c r="W17" i="304" s="1"/>
  <c r="W11" i="277"/>
  <c r="W17" i="279" s="1"/>
  <c r="W11" i="268"/>
  <c r="W17" i="270" s="1"/>
  <c r="S189" i="323"/>
  <c r="S196" i="323" s="1"/>
  <c r="T182" i="329"/>
  <c r="T186" i="329" s="1"/>
  <c r="U110" i="325"/>
  <c r="S189" i="313"/>
  <c r="S196" i="313" s="1"/>
  <c r="S204" i="313" s="1"/>
  <c r="S35" i="320"/>
  <c r="V25" i="327"/>
  <c r="V32" i="327" s="1"/>
  <c r="V172" i="329" s="1"/>
  <c r="U48" i="318"/>
  <c r="U52" i="318" s="1"/>
  <c r="U191" i="320" s="1"/>
  <c r="V26" i="327"/>
  <c r="T86" i="319"/>
  <c r="T27" i="320" s="1"/>
  <c r="T31" i="320" s="1"/>
  <c r="U110" i="319"/>
  <c r="R204" i="323"/>
  <c r="T129" i="314"/>
  <c r="T130" i="314" s="1"/>
  <c r="T135" i="314" s="1"/>
  <c r="T87" i="314" s="1"/>
  <c r="T28" i="313" s="1"/>
  <c r="T32" i="313" s="1"/>
  <c r="T67" i="314"/>
  <c r="T68" i="314" s="1"/>
  <c r="T73" i="314" s="1"/>
  <c r="T181" i="313"/>
  <c r="T185" i="313" s="1"/>
  <c r="T202" i="313" s="1"/>
  <c r="T41" i="320"/>
  <c r="V63" i="307"/>
  <c r="V66" i="307" s="1"/>
  <c r="V67" i="307" s="1"/>
  <c r="V72" i="307" s="1"/>
  <c r="U49" i="318"/>
  <c r="U182" i="320" s="1"/>
  <c r="U186" i="320" s="1"/>
  <c r="U50" i="324"/>
  <c r="U72" i="326" s="1"/>
  <c r="U76" i="326" s="1"/>
  <c r="T70" i="313"/>
  <c r="T74" i="313" s="1"/>
  <c r="S201" i="313"/>
  <c r="T126" i="313"/>
  <c r="T140" i="313" s="1"/>
  <c r="W77" i="328"/>
  <c r="W15" i="328"/>
  <c r="W77" i="316"/>
  <c r="W15" i="316"/>
  <c r="W77" i="322"/>
  <c r="W15" i="322"/>
  <c r="W77" i="314"/>
  <c r="W15" i="314"/>
  <c r="W77" i="319"/>
  <c r="W15" i="319"/>
  <c r="Z67" i="267"/>
  <c r="X6" i="321"/>
  <c r="X6" i="305"/>
  <c r="X14" i="307" s="1"/>
  <c r="X6" i="324"/>
  <c r="X6" i="312"/>
  <c r="X6" i="308"/>
  <c r="X14" i="309" s="1"/>
  <c r="X6" i="327"/>
  <c r="X6" i="315"/>
  <c r="X6" i="318"/>
  <c r="X6" i="302"/>
  <c r="X14" i="304" s="1"/>
  <c r="W77" i="325"/>
  <c r="W15" i="325"/>
  <c r="S141" i="313"/>
  <c r="W103" i="323"/>
  <c r="W102" i="323"/>
  <c r="W100" i="323"/>
  <c r="W101" i="323"/>
  <c r="W98" i="323"/>
  <c r="W96" i="323"/>
  <c r="W92" i="323"/>
  <c r="W93" i="323"/>
  <c r="W91" i="323"/>
  <c r="W95" i="323"/>
  <c r="W90" i="323"/>
  <c r="W97" i="323"/>
  <c r="W100" i="272"/>
  <c r="W102" i="272"/>
  <c r="W101" i="272"/>
  <c r="W103" i="272"/>
  <c r="W98" i="272"/>
  <c r="W93" i="272"/>
  <c r="W97" i="272"/>
  <c r="W95" i="272"/>
  <c r="W90" i="272"/>
  <c r="W91" i="272"/>
  <c r="W92" i="272"/>
  <c r="W96" i="272"/>
  <c r="W102" i="329"/>
  <c r="W103" i="329"/>
  <c r="W101" i="329"/>
  <c r="W100" i="329"/>
  <c r="W91" i="329"/>
  <c r="W98" i="329"/>
  <c r="W96" i="329"/>
  <c r="W97" i="329"/>
  <c r="W95" i="329"/>
  <c r="W92" i="329"/>
  <c r="W90" i="329"/>
  <c r="W93" i="329"/>
  <c r="W100" i="278"/>
  <c r="W103" i="278"/>
  <c r="W101" i="278"/>
  <c r="W102" i="278"/>
  <c r="W91" i="278"/>
  <c r="W98" i="278"/>
  <c r="W96" i="278"/>
  <c r="W92" i="278"/>
  <c r="W93" i="278"/>
  <c r="W90" i="278"/>
  <c r="W95" i="278"/>
  <c r="W97" i="278"/>
  <c r="W101" i="313"/>
  <c r="W102" i="313"/>
  <c r="W103" i="313"/>
  <c r="W100" i="313"/>
  <c r="W98" i="313"/>
  <c r="W96" i="313"/>
  <c r="W93" i="313"/>
  <c r="W97" i="313"/>
  <c r="W95" i="313"/>
  <c r="W90" i="313"/>
  <c r="W92" i="313"/>
  <c r="W91" i="313"/>
  <c r="U101" i="319"/>
  <c r="U118" i="319" s="1"/>
  <c r="U85" i="319" s="1"/>
  <c r="W102" i="317"/>
  <c r="W103" i="317"/>
  <c r="W100" i="317"/>
  <c r="W101" i="317"/>
  <c r="W98" i="317"/>
  <c r="W96" i="317"/>
  <c r="W92" i="317"/>
  <c r="W93" i="317"/>
  <c r="W97" i="317"/>
  <c r="W91" i="317"/>
  <c r="W95" i="317"/>
  <c r="W90" i="317"/>
  <c r="W102" i="320"/>
  <c r="W103" i="320"/>
  <c r="W101" i="320"/>
  <c r="W100" i="320"/>
  <c r="W93" i="320"/>
  <c r="W97" i="320"/>
  <c r="W95" i="320"/>
  <c r="W90" i="320"/>
  <c r="W91" i="320"/>
  <c r="W98" i="320"/>
  <c r="W96" i="320"/>
  <c r="W92" i="320"/>
  <c r="W102" i="326"/>
  <c r="W103" i="326"/>
  <c r="W101" i="326"/>
  <c r="W100" i="326"/>
  <c r="W98" i="326"/>
  <c r="W96" i="326"/>
  <c r="W92" i="326"/>
  <c r="W93" i="326"/>
  <c r="W97" i="326"/>
  <c r="W95" i="326"/>
  <c r="W90" i="326"/>
  <c r="W91" i="326"/>
  <c r="T183" i="317"/>
  <c r="T187" i="317" s="1"/>
  <c r="T189" i="317" s="1"/>
  <c r="T196" i="317" s="1"/>
  <c r="U161" i="329"/>
  <c r="U168" i="329" s="1"/>
  <c r="U170" i="329" s="1"/>
  <c r="U33" i="327"/>
  <c r="U173" i="329" s="1"/>
  <c r="U175" i="329" s="1"/>
  <c r="T70" i="317"/>
  <c r="T74" i="317" s="1"/>
  <c r="T128" i="317"/>
  <c r="S177" i="310"/>
  <c r="S204" i="310" s="1"/>
  <c r="T126" i="317"/>
  <c r="U57" i="313"/>
  <c r="U64" i="313" s="1"/>
  <c r="U101" i="325"/>
  <c r="U118" i="325" s="1"/>
  <c r="U85" i="325" s="1"/>
  <c r="U110" i="328"/>
  <c r="U101" i="328"/>
  <c r="U118" i="328" s="1"/>
  <c r="U85" i="328" s="1"/>
  <c r="U29" i="329" s="1"/>
  <c r="U33" i="329" s="1"/>
  <c r="S133" i="317"/>
  <c r="T140" i="310"/>
  <c r="T141" i="303"/>
  <c r="T118" i="303"/>
  <c r="T141" i="306"/>
  <c r="S132" i="317"/>
  <c r="T130" i="303"/>
  <c r="S143" i="313"/>
  <c r="T118" i="310"/>
  <c r="U33" i="312"/>
  <c r="U173" i="313" s="1"/>
  <c r="T143" i="310"/>
  <c r="T140" i="303"/>
  <c r="T142" i="272"/>
  <c r="T143" i="272"/>
  <c r="T140" i="272"/>
  <c r="T116" i="272"/>
  <c r="T117" i="272"/>
  <c r="T118" i="272"/>
  <c r="T119" i="272"/>
  <c r="T141" i="272"/>
  <c r="T119" i="306"/>
  <c r="T132" i="272"/>
  <c r="T133" i="272"/>
  <c r="T130" i="272"/>
  <c r="T131" i="272"/>
  <c r="T181" i="329"/>
  <c r="T185" i="329" s="1"/>
  <c r="T189" i="329" s="1"/>
  <c r="T131" i="320"/>
  <c r="T133" i="320"/>
  <c r="T130" i="320"/>
  <c r="T132" i="320"/>
  <c r="T72" i="313"/>
  <c r="T76" i="313" s="1"/>
  <c r="S83" i="317"/>
  <c r="T140" i="326"/>
  <c r="T116" i="326"/>
  <c r="T141" i="326"/>
  <c r="T117" i="326"/>
  <c r="T142" i="326"/>
  <c r="T118" i="326"/>
  <c r="T119" i="326"/>
  <c r="T143" i="326"/>
  <c r="T53" i="312"/>
  <c r="T192" i="313" s="1"/>
  <c r="T194" i="313" s="1"/>
  <c r="S132" i="313"/>
  <c r="S133" i="313"/>
  <c r="S130" i="313"/>
  <c r="S131" i="313"/>
  <c r="T133" i="303"/>
  <c r="T117" i="306"/>
  <c r="T143" i="306"/>
  <c r="S142" i="317"/>
  <c r="S140" i="317"/>
  <c r="S131" i="317"/>
  <c r="T117" i="310"/>
  <c r="T142" i="310"/>
  <c r="S141" i="323"/>
  <c r="T116" i="303"/>
  <c r="T142" i="303"/>
  <c r="T118" i="306"/>
  <c r="Q118" i="269"/>
  <c r="Q119" i="269"/>
  <c r="Q116" i="269"/>
  <c r="Q117" i="269"/>
  <c r="T140" i="278"/>
  <c r="T116" i="278"/>
  <c r="T141" i="278"/>
  <c r="T142" i="278"/>
  <c r="T118" i="278"/>
  <c r="T119" i="278"/>
  <c r="T143" i="278"/>
  <c r="T117" i="278"/>
  <c r="T130" i="326"/>
  <c r="T131" i="326"/>
  <c r="T132" i="326"/>
  <c r="T133" i="326"/>
  <c r="T70" i="329"/>
  <c r="T74" i="329" s="1"/>
  <c r="T119" i="323"/>
  <c r="T116" i="323"/>
  <c r="T117" i="323"/>
  <c r="T118" i="323"/>
  <c r="T116" i="317"/>
  <c r="T117" i="317"/>
  <c r="T118" i="317"/>
  <c r="T119" i="317"/>
  <c r="U116" i="313"/>
  <c r="U117" i="313"/>
  <c r="U118" i="313"/>
  <c r="U119" i="313"/>
  <c r="T132" i="303"/>
  <c r="T140" i="306"/>
  <c r="T142" i="306"/>
  <c r="S140" i="313"/>
  <c r="S142" i="313"/>
  <c r="S130" i="317"/>
  <c r="T116" i="310"/>
  <c r="T141" i="310"/>
  <c r="T119" i="303"/>
  <c r="T117" i="303"/>
  <c r="T130" i="278"/>
  <c r="T131" i="278"/>
  <c r="T132" i="278"/>
  <c r="T133" i="278"/>
  <c r="T133" i="306"/>
  <c r="T130" i="306"/>
  <c r="T131" i="306"/>
  <c r="T132" i="306"/>
  <c r="T130" i="310"/>
  <c r="T132" i="310"/>
  <c r="T131" i="310"/>
  <c r="T133" i="310"/>
  <c r="T126" i="329"/>
  <c r="U117" i="329"/>
  <c r="U118" i="329"/>
  <c r="U119" i="329"/>
  <c r="U116" i="329"/>
  <c r="T141" i="320"/>
  <c r="T142" i="320"/>
  <c r="T143" i="320"/>
  <c r="T119" i="320"/>
  <c r="T118" i="320"/>
  <c r="T140" i="320"/>
  <c r="T116" i="320"/>
  <c r="T117" i="320"/>
  <c r="T116" i="306"/>
  <c r="S141" i="317"/>
  <c r="S143" i="317"/>
  <c r="S132" i="323"/>
  <c r="S133" i="323"/>
  <c r="S130" i="323"/>
  <c r="S131" i="323"/>
  <c r="T119" i="310"/>
  <c r="S140" i="323"/>
  <c r="S142" i="323"/>
  <c r="T143" i="303"/>
  <c r="S83" i="313"/>
  <c r="U101" i="322"/>
  <c r="U118" i="322" s="1"/>
  <c r="U85" i="322" s="1"/>
  <c r="W105" i="278"/>
  <c r="W108" i="278"/>
  <c r="W107" i="278"/>
  <c r="W106" i="278"/>
  <c r="W105" i="320"/>
  <c r="W108" i="320"/>
  <c r="W107" i="320"/>
  <c r="W106" i="320"/>
  <c r="W108" i="326"/>
  <c r="W105" i="326"/>
  <c r="W107" i="326"/>
  <c r="W106" i="326"/>
  <c r="U161" i="313"/>
  <c r="U168" i="313" s="1"/>
  <c r="U92" i="322"/>
  <c r="U92" i="316"/>
  <c r="U118" i="316" s="1"/>
  <c r="U85" i="316" s="1"/>
  <c r="U29" i="317" s="1"/>
  <c r="W108" i="272"/>
  <c r="W106" i="272"/>
  <c r="W107" i="272"/>
  <c r="W105" i="272"/>
  <c r="W108" i="313"/>
  <c r="W106" i="313"/>
  <c r="W105" i="313"/>
  <c r="W107" i="313"/>
  <c r="X105" i="269"/>
  <c r="X107" i="269"/>
  <c r="X108" i="269"/>
  <c r="X106" i="269"/>
  <c r="W105" i="323"/>
  <c r="W108" i="323"/>
  <c r="W107" i="323"/>
  <c r="W106" i="323"/>
  <c r="U101" i="316"/>
  <c r="W105" i="317"/>
  <c r="W108" i="317"/>
  <c r="W107" i="317"/>
  <c r="W106" i="317"/>
  <c r="W107" i="329"/>
  <c r="W105" i="329"/>
  <c r="W108" i="329"/>
  <c r="W106" i="329"/>
  <c r="R43" i="320"/>
  <c r="V78" i="316"/>
  <c r="V92" i="316" s="1"/>
  <c r="V79" i="316"/>
  <c r="V78" i="322"/>
  <c r="V101" i="322" s="1"/>
  <c r="V79" i="322"/>
  <c r="U126" i="314"/>
  <c r="U64" i="314"/>
  <c r="V79" i="314"/>
  <c r="V78" i="314"/>
  <c r="V78" i="328"/>
  <c r="V110" i="328" s="1"/>
  <c r="V79" i="328"/>
  <c r="W16" i="328"/>
  <c r="W17" i="328"/>
  <c r="V78" i="319"/>
  <c r="V92" i="319" s="1"/>
  <c r="V79" i="319"/>
  <c r="V78" i="325"/>
  <c r="V92" i="325" s="1"/>
  <c r="V79" i="325"/>
  <c r="T72" i="323"/>
  <c r="T76" i="323" s="1"/>
  <c r="T128" i="323"/>
  <c r="S202" i="317"/>
  <c r="U159" i="313"/>
  <c r="U166" i="313" s="1"/>
  <c r="U32" i="312"/>
  <c r="U172" i="313" s="1"/>
  <c r="T71" i="323"/>
  <c r="T75" i="323" s="1"/>
  <c r="T127" i="323"/>
  <c r="T177" i="329"/>
  <c r="T127" i="329"/>
  <c r="T71" i="329"/>
  <c r="T75" i="329" s="1"/>
  <c r="U55" i="313"/>
  <c r="U62" i="313" s="1"/>
  <c r="S20" i="313"/>
  <c r="S23" i="313" s="1"/>
  <c r="T194" i="329"/>
  <c r="S35" i="329"/>
  <c r="S40" i="326"/>
  <c r="S35" i="326"/>
  <c r="T86" i="322"/>
  <c r="T27" i="323" s="1"/>
  <c r="T31" i="323" s="1"/>
  <c r="U112" i="310"/>
  <c r="T189" i="310"/>
  <c r="T196" i="310" s="1"/>
  <c r="S23" i="323"/>
  <c r="T41" i="323"/>
  <c r="S23" i="320"/>
  <c r="S43" i="320" s="1"/>
  <c r="S39" i="320"/>
  <c r="S40" i="320"/>
  <c r="W16" i="316"/>
  <c r="W17" i="316"/>
  <c r="W16" i="314"/>
  <c r="W17" i="314"/>
  <c r="W122" i="314" s="1"/>
  <c r="W15" i="279"/>
  <c r="U161" i="310"/>
  <c r="U168" i="310" s="1"/>
  <c r="U170" i="310" s="1"/>
  <c r="U57" i="310"/>
  <c r="U64" i="310" s="1"/>
  <c r="U33" i="308"/>
  <c r="U173" i="310" s="1"/>
  <c r="U201" i="310" s="1"/>
  <c r="T175" i="310"/>
  <c r="T177" i="310" s="1"/>
  <c r="W16" i="309"/>
  <c r="W59" i="309" s="1"/>
  <c r="W63" i="309" s="1"/>
  <c r="W66" i="309" s="1"/>
  <c r="W67" i="309" s="1"/>
  <c r="W72" i="309" s="1"/>
  <c r="W15" i="309"/>
  <c r="W38" i="309" s="1"/>
  <c r="W16" i="307"/>
  <c r="W59" i="307" s="1"/>
  <c r="W15" i="307"/>
  <c r="W16" i="304"/>
  <c r="W59" i="304" s="1"/>
  <c r="W15" i="304"/>
  <c r="W29" i="304" s="1"/>
  <c r="W150" i="326"/>
  <c r="W151" i="326"/>
  <c r="W150" i="323"/>
  <c r="W151" i="323"/>
  <c r="R35" i="323"/>
  <c r="R43" i="323" s="1"/>
  <c r="W151" i="320"/>
  <c r="W150" i="320"/>
  <c r="W150" i="317"/>
  <c r="W151" i="317"/>
  <c r="W150" i="313"/>
  <c r="W151" i="313"/>
  <c r="W150" i="278"/>
  <c r="W151" i="278"/>
  <c r="W151" i="272"/>
  <c r="W150" i="272"/>
  <c r="X150" i="269"/>
  <c r="X28" i="269"/>
  <c r="X32" i="269" s="1"/>
  <c r="X151" i="269"/>
  <c r="X27" i="269"/>
  <c r="X29" i="269"/>
  <c r="X33" i="269" s="1"/>
  <c r="S32" i="317"/>
  <c r="S40" i="317"/>
  <c r="S32" i="323"/>
  <c r="S40" i="323"/>
  <c r="W90" i="325"/>
  <c r="W76" i="325"/>
  <c r="W28" i="325"/>
  <c r="W22" i="325"/>
  <c r="W84" i="325"/>
  <c r="V30" i="316"/>
  <c r="V56" i="316" s="1"/>
  <c r="V23" i="316" s="1"/>
  <c r="V17" i="317" s="1"/>
  <c r="V21" i="317" s="1"/>
  <c r="V48" i="316"/>
  <c r="V39" i="316"/>
  <c r="U48" i="325"/>
  <c r="U39" i="325"/>
  <c r="U56" i="325" s="1"/>
  <c r="U23" i="325" s="1"/>
  <c r="U30" i="325"/>
  <c r="T29" i="326"/>
  <c r="T33" i="326" s="1"/>
  <c r="T86" i="325"/>
  <c r="T27" i="326" s="1"/>
  <c r="T31" i="326" s="1"/>
  <c r="V103" i="319"/>
  <c r="V94" i="319"/>
  <c r="T129" i="316"/>
  <c r="T130" i="316" s="1"/>
  <c r="T135" i="316" s="1"/>
  <c r="T87" i="316" s="1"/>
  <c r="T28" i="317" s="1"/>
  <c r="T32" i="317" s="1"/>
  <c r="T67" i="316"/>
  <c r="T68" i="316" s="1"/>
  <c r="T73" i="316" s="1"/>
  <c r="T25" i="316" s="1"/>
  <c r="T16" i="317" s="1"/>
  <c r="T20" i="317" s="1"/>
  <c r="T24" i="316"/>
  <c r="T15" i="317" s="1"/>
  <c r="V39" i="322"/>
  <c r="V56" i="322" s="1"/>
  <c r="V23" i="322" s="1"/>
  <c r="V17" i="323" s="1"/>
  <c r="V21" i="323" s="1"/>
  <c r="V48" i="322"/>
  <c r="V30" i="322"/>
  <c r="U126" i="316"/>
  <c r="U64" i="316"/>
  <c r="T129" i="322"/>
  <c r="T130" i="322" s="1"/>
  <c r="T135" i="322" s="1"/>
  <c r="T87" i="322" s="1"/>
  <c r="T28" i="323" s="1"/>
  <c r="T32" i="323" s="1"/>
  <c r="T67" i="322"/>
  <c r="T68" i="322" s="1"/>
  <c r="T73" i="322" s="1"/>
  <c r="T25" i="322" s="1"/>
  <c r="T16" i="323" s="1"/>
  <c r="T20" i="323" s="1"/>
  <c r="T24" i="322"/>
  <c r="T15" i="323" s="1"/>
  <c r="T19" i="323" s="1"/>
  <c r="U126" i="325"/>
  <c r="U64" i="325"/>
  <c r="S41" i="323"/>
  <c r="S33" i="323"/>
  <c r="W37" i="324"/>
  <c r="W40" i="324" s="1"/>
  <c r="W42" i="324" s="1"/>
  <c r="W43" i="324" s="1"/>
  <c r="W44" i="324" s="1"/>
  <c r="W46" i="324" s="1"/>
  <c r="W37" i="327"/>
  <c r="W37" i="321"/>
  <c r="Y68" i="267"/>
  <c r="Z62" i="267"/>
  <c r="W90" i="316"/>
  <c r="W84" i="316"/>
  <c r="W76" i="316"/>
  <c r="W22" i="316"/>
  <c r="W28" i="316"/>
  <c r="W84" i="328"/>
  <c r="W76" i="328"/>
  <c r="W28" i="328"/>
  <c r="W22" i="328"/>
  <c r="W90" i="328"/>
  <c r="V122" i="319"/>
  <c r="V60" i="319"/>
  <c r="V30" i="319"/>
  <c r="V48" i="319"/>
  <c r="V39" i="319"/>
  <c r="V56" i="319" s="1"/>
  <c r="V23" i="319" s="1"/>
  <c r="V17" i="320" s="1"/>
  <c r="V21" i="320" s="1"/>
  <c r="V122" i="316"/>
  <c r="V60" i="316"/>
  <c r="V103" i="328"/>
  <c r="V94" i="328"/>
  <c r="W38" i="324"/>
  <c r="W80" i="325" s="1"/>
  <c r="W38" i="327"/>
  <c r="W80" i="328" s="1"/>
  <c r="W38" i="321"/>
  <c r="W80" i="322" s="1"/>
  <c r="V32" i="314"/>
  <c r="T201" i="320"/>
  <c r="X10" i="321"/>
  <c r="X16" i="322" s="1"/>
  <c r="U126" i="322"/>
  <c r="U64" i="322"/>
  <c r="V103" i="325"/>
  <c r="V94" i="325"/>
  <c r="W38" i="315"/>
  <c r="W80" i="316" s="1"/>
  <c r="W38" i="318"/>
  <c r="W80" i="319" s="1"/>
  <c r="W38" i="312"/>
  <c r="W80" i="314" s="1"/>
  <c r="W28" i="319"/>
  <c r="W90" i="319"/>
  <c r="W84" i="319"/>
  <c r="W76" i="319"/>
  <c r="W22" i="319"/>
  <c r="V122" i="325"/>
  <c r="V60" i="325"/>
  <c r="V122" i="322"/>
  <c r="V60" i="322"/>
  <c r="T86" i="316"/>
  <c r="T27" i="317" s="1"/>
  <c r="T31" i="317" s="1"/>
  <c r="T29" i="317"/>
  <c r="V103" i="322"/>
  <c r="V94" i="322"/>
  <c r="W32" i="328"/>
  <c r="W41" i="328"/>
  <c r="S40" i="329"/>
  <c r="T67" i="319"/>
  <c r="T68" i="319" s="1"/>
  <c r="T73" i="319" s="1"/>
  <c r="T25" i="319" s="1"/>
  <c r="T16" i="320" s="1"/>
  <c r="T20" i="320" s="1"/>
  <c r="T129" i="319"/>
  <c r="T130" i="319" s="1"/>
  <c r="T135" i="319" s="1"/>
  <c r="T87" i="319" s="1"/>
  <c r="T28" i="320" s="1"/>
  <c r="T32" i="320" s="1"/>
  <c r="T24" i="319"/>
  <c r="T15" i="320" s="1"/>
  <c r="T19" i="320" s="1"/>
  <c r="V60" i="328"/>
  <c r="V122" i="328"/>
  <c r="W32" i="325"/>
  <c r="W41" i="325"/>
  <c r="S39" i="323"/>
  <c r="T29" i="329"/>
  <c r="T33" i="329" s="1"/>
  <c r="T86" i="328"/>
  <c r="T27" i="329" s="1"/>
  <c r="T31" i="329" s="1"/>
  <c r="S33" i="317"/>
  <c r="S41" i="317"/>
  <c r="U64" i="328"/>
  <c r="U126" i="328"/>
  <c r="V94" i="316"/>
  <c r="V103" i="316"/>
  <c r="X11" i="321"/>
  <c r="X18" i="322" s="1"/>
  <c r="X11" i="324"/>
  <c r="X18" i="325" s="1"/>
  <c r="X11" i="327"/>
  <c r="X18" i="328" s="1"/>
  <c r="W84" i="322"/>
  <c r="W76" i="322"/>
  <c r="W90" i="322"/>
  <c r="W28" i="322"/>
  <c r="W22" i="322"/>
  <c r="U39" i="328"/>
  <c r="U56" i="328" s="1"/>
  <c r="U23" i="328" s="1"/>
  <c r="U30" i="328"/>
  <c r="U48" i="328"/>
  <c r="T129" i="328"/>
  <c r="T130" i="328" s="1"/>
  <c r="T135" i="328" s="1"/>
  <c r="T87" i="328" s="1"/>
  <c r="T28" i="329" s="1"/>
  <c r="T32" i="329" s="1"/>
  <c r="T67" i="328"/>
  <c r="T68" i="328" s="1"/>
  <c r="T73" i="328" s="1"/>
  <c r="T25" i="328" s="1"/>
  <c r="T16" i="329" s="1"/>
  <c r="T24" i="328"/>
  <c r="T15" i="329" s="1"/>
  <c r="T67" i="325"/>
  <c r="T68" i="325" s="1"/>
  <c r="T73" i="325" s="1"/>
  <c r="T25" i="325" s="1"/>
  <c r="T16" i="326" s="1"/>
  <c r="T129" i="325"/>
  <c r="T130" i="325" s="1"/>
  <c r="T135" i="325" s="1"/>
  <c r="T87" i="325" s="1"/>
  <c r="T28" i="326" s="1"/>
  <c r="T32" i="326" s="1"/>
  <c r="T24" i="325"/>
  <c r="T15" i="326" s="1"/>
  <c r="U64" i="319"/>
  <c r="U126" i="319"/>
  <c r="W32" i="322"/>
  <c r="W41" i="322"/>
  <c r="S204" i="329"/>
  <c r="U53" i="327"/>
  <c r="U192" i="329" s="1"/>
  <c r="U194" i="329" s="1"/>
  <c r="U181" i="310"/>
  <c r="U185" i="310" s="1"/>
  <c r="S39" i="313"/>
  <c r="U126" i="310"/>
  <c r="V25" i="308"/>
  <c r="V32" i="308" s="1"/>
  <c r="V172" i="310" s="1"/>
  <c r="S85" i="310"/>
  <c r="U182" i="310"/>
  <c r="U186" i="310" s="1"/>
  <c r="U127" i="310"/>
  <c r="P112" i="260"/>
  <c r="T202" i="310"/>
  <c r="U200" i="329"/>
  <c r="U53" i="312"/>
  <c r="U192" i="313" s="1"/>
  <c r="U194" i="313" s="1"/>
  <c r="T201" i="329"/>
  <c r="W14" i="312"/>
  <c r="W16" i="312" s="1"/>
  <c r="W17" i="312" s="1"/>
  <c r="W18" i="312" s="1"/>
  <c r="W20" i="312" s="1"/>
  <c r="W26" i="312" s="1"/>
  <c r="S41" i="313"/>
  <c r="R31" i="313"/>
  <c r="R39" i="313"/>
  <c r="R33" i="313"/>
  <c r="R41" i="313"/>
  <c r="R101" i="260" s="1"/>
  <c r="U101" i="314"/>
  <c r="U92" i="314"/>
  <c r="U118" i="314" s="1"/>
  <c r="U85" i="314" s="1"/>
  <c r="U110" i="314"/>
  <c r="S35" i="313"/>
  <c r="T29" i="313"/>
  <c r="T33" i="313" s="1"/>
  <c r="T86" i="314"/>
  <c r="T27" i="313" s="1"/>
  <c r="T31" i="313" s="1"/>
  <c r="W37" i="318"/>
  <c r="W40" i="318" s="1"/>
  <c r="W42" i="318" s="1"/>
  <c r="W43" i="318" s="1"/>
  <c r="W44" i="318" s="1"/>
  <c r="W46" i="318" s="1"/>
  <c r="W37" i="312"/>
  <c r="W40" i="312" s="1"/>
  <c r="W42" i="312" s="1"/>
  <c r="W43" i="312" s="1"/>
  <c r="W44" i="312" s="1"/>
  <c r="W46" i="312" s="1"/>
  <c r="W37" i="315"/>
  <c r="X10" i="318"/>
  <c r="X16" i="319" s="1"/>
  <c r="Y63" i="267"/>
  <c r="V94" i="314"/>
  <c r="V103" i="314"/>
  <c r="T177" i="313"/>
  <c r="W76" i="314"/>
  <c r="W84" i="314"/>
  <c r="W90" i="314"/>
  <c r="T24" i="314"/>
  <c r="T15" i="313" s="1"/>
  <c r="U23" i="314"/>
  <c r="T25" i="314"/>
  <c r="T16" i="313" s="1"/>
  <c r="R23" i="326"/>
  <c r="R43" i="326" s="1"/>
  <c r="U55" i="310"/>
  <c r="U62" i="310" s="1"/>
  <c r="U32" i="308"/>
  <c r="U172" i="310" s="1"/>
  <c r="U128" i="303"/>
  <c r="S177" i="317"/>
  <c r="S204" i="317" s="1"/>
  <c r="U183" i="303"/>
  <c r="U187" i="303" s="1"/>
  <c r="U41" i="310"/>
  <c r="U24" i="309"/>
  <c r="U16" i="310" s="1"/>
  <c r="U40" i="310" s="1"/>
  <c r="U128" i="310"/>
  <c r="U72" i="310"/>
  <c r="U76" i="310" s="1"/>
  <c r="U78" i="310" s="1"/>
  <c r="V27" i="308"/>
  <c r="V57" i="310" s="1"/>
  <c r="V64" i="310" s="1"/>
  <c r="S82" i="329"/>
  <c r="S177" i="320"/>
  <c r="S204" i="320" s="1"/>
  <c r="U66" i="329"/>
  <c r="T170" i="326"/>
  <c r="T170" i="323"/>
  <c r="T170" i="320"/>
  <c r="T200" i="326"/>
  <c r="T175" i="326"/>
  <c r="V27" i="318"/>
  <c r="V26" i="318"/>
  <c r="V25" i="318"/>
  <c r="V27" i="321"/>
  <c r="V25" i="321"/>
  <c r="V26" i="321"/>
  <c r="V56" i="313"/>
  <c r="V63" i="313" s="1"/>
  <c r="V33" i="312"/>
  <c r="V173" i="313" s="1"/>
  <c r="V113" i="313"/>
  <c r="V160" i="313"/>
  <c r="V167" i="313" s="1"/>
  <c r="V160" i="329"/>
  <c r="V167" i="329" s="1"/>
  <c r="V56" i="329"/>
  <c r="V63" i="329" s="1"/>
  <c r="V113" i="329"/>
  <c r="V33" i="327"/>
  <c r="V173" i="329" s="1"/>
  <c r="T200" i="320"/>
  <c r="T175" i="320"/>
  <c r="S177" i="323"/>
  <c r="T17" i="326"/>
  <c r="U159" i="326"/>
  <c r="U166" i="326" s="1"/>
  <c r="U112" i="326"/>
  <c r="U55" i="326"/>
  <c r="U62" i="326" s="1"/>
  <c r="U32" i="324"/>
  <c r="U172" i="326" s="1"/>
  <c r="T66" i="326"/>
  <c r="T200" i="317"/>
  <c r="T175" i="317"/>
  <c r="S19" i="326"/>
  <c r="S39" i="326"/>
  <c r="T66" i="320"/>
  <c r="T17" i="329"/>
  <c r="S19" i="329"/>
  <c r="S39" i="329"/>
  <c r="T200" i="323"/>
  <c r="T175" i="323"/>
  <c r="V26" i="324"/>
  <c r="V25" i="324"/>
  <c r="V27" i="324"/>
  <c r="U113" i="326"/>
  <c r="U160" i="326"/>
  <c r="U167" i="326" s="1"/>
  <c r="U33" i="324"/>
  <c r="U173" i="326" s="1"/>
  <c r="U201" i="326" s="1"/>
  <c r="U56" i="326"/>
  <c r="U63" i="326" s="1"/>
  <c r="W14" i="315"/>
  <c r="W16" i="315" s="1"/>
  <c r="W17" i="315" s="1"/>
  <c r="W18" i="315" s="1"/>
  <c r="W20" i="315" s="1"/>
  <c r="V25" i="315"/>
  <c r="V26" i="315"/>
  <c r="V27" i="315"/>
  <c r="S21" i="326"/>
  <c r="S41" i="326"/>
  <c r="U32" i="318"/>
  <c r="U172" i="320" s="1"/>
  <c r="U159" i="320"/>
  <c r="U166" i="320" s="1"/>
  <c r="U55" i="320"/>
  <c r="U62" i="320" s="1"/>
  <c r="U112" i="320"/>
  <c r="U114" i="326"/>
  <c r="U57" i="326"/>
  <c r="U64" i="326" s="1"/>
  <c r="U161" i="326"/>
  <c r="U168" i="326" s="1"/>
  <c r="U56" i="323"/>
  <c r="U63" i="323" s="1"/>
  <c r="U33" i="321"/>
  <c r="U173" i="323" s="1"/>
  <c r="U201" i="323" s="1"/>
  <c r="U160" i="323"/>
  <c r="U167" i="323" s="1"/>
  <c r="U113" i="323"/>
  <c r="T66" i="317"/>
  <c r="W17" i="319"/>
  <c r="W14" i="318"/>
  <c r="W16" i="318" s="1"/>
  <c r="W17" i="318" s="1"/>
  <c r="W18" i="318" s="1"/>
  <c r="W20" i="318" s="1"/>
  <c r="S177" i="326"/>
  <c r="S204" i="326" s="1"/>
  <c r="U161" i="317"/>
  <c r="U168" i="317" s="1"/>
  <c r="U57" i="317"/>
  <c r="U64" i="317" s="1"/>
  <c r="U114" i="317"/>
  <c r="R23" i="329"/>
  <c r="R43" i="329" s="1"/>
  <c r="W27" i="327"/>
  <c r="V114" i="313"/>
  <c r="V161" i="313"/>
  <c r="V168" i="313" s="1"/>
  <c r="V57" i="313"/>
  <c r="V64" i="313" s="1"/>
  <c r="V161" i="329"/>
  <c r="V168" i="329" s="1"/>
  <c r="V114" i="329"/>
  <c r="V57" i="329"/>
  <c r="V64" i="329" s="1"/>
  <c r="V32" i="312"/>
  <c r="V172" i="313" s="1"/>
  <c r="V159" i="313"/>
  <c r="V166" i="313" s="1"/>
  <c r="V55" i="313"/>
  <c r="V62" i="313" s="1"/>
  <c r="V112" i="313"/>
  <c r="U57" i="320"/>
  <c r="U64" i="320" s="1"/>
  <c r="U114" i="320"/>
  <c r="U161" i="320"/>
  <c r="U168" i="320" s="1"/>
  <c r="T66" i="323"/>
  <c r="U114" i="323"/>
  <c r="U57" i="323"/>
  <c r="U64" i="323" s="1"/>
  <c r="U161" i="323"/>
  <c r="U168" i="323" s="1"/>
  <c r="T170" i="317"/>
  <c r="W14" i="321"/>
  <c r="W16" i="321" s="1"/>
  <c r="W17" i="321" s="1"/>
  <c r="W18" i="321" s="1"/>
  <c r="W20" i="321" s="1"/>
  <c r="W17" i="322"/>
  <c r="U160" i="317"/>
  <c r="U167" i="317" s="1"/>
  <c r="U33" i="315"/>
  <c r="U173" i="317" s="1"/>
  <c r="U201" i="317" s="1"/>
  <c r="U113" i="317"/>
  <c r="U56" i="317"/>
  <c r="U63" i="317" s="1"/>
  <c r="S21" i="329"/>
  <c r="S41" i="329"/>
  <c r="U33" i="318"/>
  <c r="U173" i="320" s="1"/>
  <c r="U113" i="320"/>
  <c r="U56" i="320"/>
  <c r="U63" i="320" s="1"/>
  <c r="U160" i="320"/>
  <c r="U167" i="320" s="1"/>
  <c r="U32" i="321"/>
  <c r="U172" i="323" s="1"/>
  <c r="U159" i="323"/>
  <c r="U166" i="323" s="1"/>
  <c r="U112" i="323"/>
  <c r="U55" i="323"/>
  <c r="U62" i="323" s="1"/>
  <c r="W17" i="325"/>
  <c r="W14" i="324"/>
  <c r="W16" i="324" s="1"/>
  <c r="W17" i="324" s="1"/>
  <c r="W18" i="324" s="1"/>
  <c r="W20" i="324" s="1"/>
  <c r="U55" i="317"/>
  <c r="U62" i="317" s="1"/>
  <c r="U112" i="317"/>
  <c r="U32" i="315"/>
  <c r="U172" i="317" s="1"/>
  <c r="U159" i="317"/>
  <c r="U166" i="317" s="1"/>
  <c r="R23" i="278"/>
  <c r="R43" i="278" s="1"/>
  <c r="T21" i="313"/>
  <c r="V39" i="314"/>
  <c r="V30" i="314"/>
  <c r="V48" i="314"/>
  <c r="W32" i="314"/>
  <c r="W41" i="314"/>
  <c r="V49" i="312"/>
  <c r="V50" i="312"/>
  <c r="V48" i="312"/>
  <c r="V52" i="312" s="1"/>
  <c r="V191" i="313" s="1"/>
  <c r="U183" i="323"/>
  <c r="U187" i="323" s="1"/>
  <c r="U128" i="323"/>
  <c r="U72" i="323"/>
  <c r="U76" i="323" s="1"/>
  <c r="U181" i="317"/>
  <c r="U185" i="317" s="1"/>
  <c r="U70" i="317"/>
  <c r="U126" i="317"/>
  <c r="W14" i="322"/>
  <c r="S78" i="317"/>
  <c r="S85" i="317" s="1"/>
  <c r="S82" i="317"/>
  <c r="V48" i="315"/>
  <c r="V49" i="315"/>
  <c r="V50" i="315"/>
  <c r="U181" i="323"/>
  <c r="U185" i="323" s="1"/>
  <c r="U70" i="323"/>
  <c r="U126" i="323"/>
  <c r="V194" i="317"/>
  <c r="U128" i="317"/>
  <c r="U72" i="317"/>
  <c r="U76" i="317" s="1"/>
  <c r="U183" i="317"/>
  <c r="U187" i="317" s="1"/>
  <c r="W14" i="325"/>
  <c r="V48" i="318"/>
  <c r="V52" i="318" s="1"/>
  <c r="V191" i="320" s="1"/>
  <c r="V50" i="318"/>
  <c r="V49" i="318"/>
  <c r="S78" i="313"/>
  <c r="S85" i="313" s="1"/>
  <c r="S82" i="313"/>
  <c r="U127" i="323"/>
  <c r="U182" i="323"/>
  <c r="U186" i="323" s="1"/>
  <c r="U71" i="323"/>
  <c r="U75" i="323" s="1"/>
  <c r="U128" i="320"/>
  <c r="U183" i="320"/>
  <c r="U187" i="320" s="1"/>
  <c r="U72" i="320"/>
  <c r="U76" i="320" s="1"/>
  <c r="U182" i="317"/>
  <c r="U186" i="317" s="1"/>
  <c r="U127" i="317"/>
  <c r="U71" i="317"/>
  <c r="U75" i="317" s="1"/>
  <c r="W22" i="314"/>
  <c r="W28" i="314"/>
  <c r="W14" i="314"/>
  <c r="W40" i="327"/>
  <c r="W42" i="327" s="1"/>
  <c r="W43" i="327" s="1"/>
  <c r="W44" i="327" s="1"/>
  <c r="W46" i="327" s="1"/>
  <c r="W40" i="321"/>
  <c r="W42" i="321" s="1"/>
  <c r="W43" i="321" s="1"/>
  <c r="W44" i="321" s="1"/>
  <c r="W46" i="321" s="1"/>
  <c r="V49" i="324"/>
  <c r="V48" i="324"/>
  <c r="V50" i="324"/>
  <c r="U183" i="329"/>
  <c r="U187" i="329" s="1"/>
  <c r="U72" i="329"/>
  <c r="U76" i="329" s="1"/>
  <c r="U128" i="329"/>
  <c r="U181" i="320"/>
  <c r="U185" i="320" s="1"/>
  <c r="W14" i="316"/>
  <c r="W14" i="328"/>
  <c r="V50" i="321"/>
  <c r="V48" i="321"/>
  <c r="V49" i="321"/>
  <c r="U70" i="329"/>
  <c r="U181" i="329"/>
  <c r="U185" i="329" s="1"/>
  <c r="U126" i="329"/>
  <c r="V194" i="323"/>
  <c r="S78" i="320"/>
  <c r="S85" i="320" s="1"/>
  <c r="S82" i="320"/>
  <c r="U72" i="313"/>
  <c r="U76" i="313" s="1"/>
  <c r="U183" i="313"/>
  <c r="U187" i="313" s="1"/>
  <c r="U128" i="313"/>
  <c r="V50" i="327"/>
  <c r="V49" i="327"/>
  <c r="V48" i="327"/>
  <c r="V52" i="327" s="1"/>
  <c r="V191" i="329" s="1"/>
  <c r="U182" i="329"/>
  <c r="U186" i="329" s="1"/>
  <c r="U127" i="329"/>
  <c r="U71" i="329"/>
  <c r="U75" i="329" s="1"/>
  <c r="T74" i="320"/>
  <c r="T83" i="320"/>
  <c r="T189" i="323"/>
  <c r="T196" i="323" s="1"/>
  <c r="T202" i="323"/>
  <c r="W14" i="319"/>
  <c r="U181" i="313"/>
  <c r="U185" i="313" s="1"/>
  <c r="U70" i="313"/>
  <c r="U126" i="313"/>
  <c r="W150" i="329"/>
  <c r="W151" i="329"/>
  <c r="T189" i="326"/>
  <c r="T196" i="326" s="1"/>
  <c r="T202" i="326"/>
  <c r="T74" i="323"/>
  <c r="U70" i="326"/>
  <c r="U181" i="326"/>
  <c r="U185" i="326" s="1"/>
  <c r="U126" i="326"/>
  <c r="V194" i="326"/>
  <c r="U182" i="313"/>
  <c r="U186" i="313" s="1"/>
  <c r="U71" i="313"/>
  <c r="U75" i="313" s="1"/>
  <c r="U127" i="313"/>
  <c r="X3" i="329"/>
  <c r="X1" i="325"/>
  <c r="X3" i="320"/>
  <c r="X1" i="328"/>
  <c r="X3" i="326"/>
  <c r="X3" i="323"/>
  <c r="X1" i="322"/>
  <c r="X1" i="319"/>
  <c r="X3" i="317"/>
  <c r="X1" i="316"/>
  <c r="X3" i="313"/>
  <c r="X1" i="314"/>
  <c r="T74" i="326"/>
  <c r="T83" i="326"/>
  <c r="S78" i="326"/>
  <c r="S85" i="326" s="1"/>
  <c r="S82" i="326"/>
  <c r="T189" i="320"/>
  <c r="T196" i="320" s="1"/>
  <c r="T202" i="320"/>
  <c r="S78" i="323"/>
  <c r="S85" i="323" s="1"/>
  <c r="S82" i="323"/>
  <c r="U71" i="326"/>
  <c r="U75" i="326" s="1"/>
  <c r="U182" i="326"/>
  <c r="U186" i="326" s="1"/>
  <c r="U127" i="326"/>
  <c r="U33" i="302"/>
  <c r="U173" i="303" s="1"/>
  <c r="W27" i="304"/>
  <c r="U161" i="303"/>
  <c r="U168" i="303" s="1"/>
  <c r="U23" i="309"/>
  <c r="U15" i="310" s="1"/>
  <c r="U39" i="310" s="1"/>
  <c r="U127" i="303"/>
  <c r="T201" i="306"/>
  <c r="U182" i="303"/>
  <c r="U186" i="303" s="1"/>
  <c r="T83" i="310"/>
  <c r="U57" i="303"/>
  <c r="U64" i="303" s="1"/>
  <c r="W14" i="308"/>
  <c r="W16" i="308" s="1"/>
  <c r="W17" i="308" s="1"/>
  <c r="W18" i="308" s="1"/>
  <c r="W20" i="308" s="1"/>
  <c r="W25" i="308" s="1"/>
  <c r="T170" i="303"/>
  <c r="T20" i="310"/>
  <c r="V50" i="308"/>
  <c r="V72" i="310" s="1"/>
  <c r="V76" i="310" s="1"/>
  <c r="V48" i="308"/>
  <c r="V70" i="310" s="1"/>
  <c r="V74" i="310" s="1"/>
  <c r="T40" i="303"/>
  <c r="T20" i="303"/>
  <c r="S40" i="303"/>
  <c r="S20" i="303"/>
  <c r="X10" i="277"/>
  <c r="X10" i="268"/>
  <c r="X15" i="270" s="1"/>
  <c r="X10" i="308"/>
  <c r="X10" i="302"/>
  <c r="W37" i="308"/>
  <c r="W40" i="308" s="1"/>
  <c r="W42" i="308" s="1"/>
  <c r="W43" i="308" s="1"/>
  <c r="W44" i="308" s="1"/>
  <c r="W46" i="308" s="1"/>
  <c r="W37" i="305"/>
  <c r="W40" i="305" s="1"/>
  <c r="W42" i="305" s="1"/>
  <c r="W43" i="305" s="1"/>
  <c r="W44" i="305" s="1"/>
  <c r="W46" i="305" s="1"/>
  <c r="W37" i="277"/>
  <c r="W40" i="277" s="1"/>
  <c r="W42" i="277" s="1"/>
  <c r="W43" i="277" s="1"/>
  <c r="W44" i="277" s="1"/>
  <c r="W46" i="277" s="1"/>
  <c r="W37" i="302"/>
  <c r="W40" i="302" s="1"/>
  <c r="W42" i="302" s="1"/>
  <c r="W43" i="302" s="1"/>
  <c r="W44" i="302" s="1"/>
  <c r="W46" i="302" s="1"/>
  <c r="W48" i="302" s="1"/>
  <c r="W37" i="271"/>
  <c r="W40" i="271" s="1"/>
  <c r="W42" i="271" s="1"/>
  <c r="W43" i="271" s="1"/>
  <c r="W44" i="271" s="1"/>
  <c r="W46" i="271" s="1"/>
  <c r="T39" i="303"/>
  <c r="T19" i="303"/>
  <c r="S39" i="303"/>
  <c r="S19" i="303"/>
  <c r="W38" i="277"/>
  <c r="W38" i="271"/>
  <c r="W38" i="308"/>
  <c r="W38" i="305"/>
  <c r="W38" i="302"/>
  <c r="W38" i="268"/>
  <c r="Z57" i="267"/>
  <c r="Z52" i="267"/>
  <c r="T78" i="303"/>
  <c r="T85" i="303" s="1"/>
  <c r="T83" i="303"/>
  <c r="T41" i="272"/>
  <c r="T21" i="272"/>
  <c r="W27" i="272"/>
  <c r="W29" i="272"/>
  <c r="W33" i="272" s="1"/>
  <c r="W28" i="272"/>
  <c r="W32" i="272" s="1"/>
  <c r="R40" i="272"/>
  <c r="R20" i="272"/>
  <c r="S40" i="272"/>
  <c r="S20" i="272"/>
  <c r="R39" i="272"/>
  <c r="R19" i="272"/>
  <c r="T40" i="306"/>
  <c r="T20" i="306"/>
  <c r="T39" i="306"/>
  <c r="T19" i="306"/>
  <c r="U41" i="306"/>
  <c r="U21" i="306"/>
  <c r="T39" i="310"/>
  <c r="T19" i="310"/>
  <c r="S41" i="278"/>
  <c r="S21" i="278"/>
  <c r="W29" i="278"/>
  <c r="W33" i="278" s="1"/>
  <c r="W27" i="278"/>
  <c r="W28" i="278"/>
  <c r="W32" i="278" s="1"/>
  <c r="T41" i="278"/>
  <c r="T21" i="278"/>
  <c r="R40" i="269"/>
  <c r="R20" i="269"/>
  <c r="R39" i="269"/>
  <c r="R19" i="269"/>
  <c r="S41" i="269"/>
  <c r="S21" i="269"/>
  <c r="AA11" i="306"/>
  <c r="Z33" i="306"/>
  <c r="Z35" i="306" s="1"/>
  <c r="Z11" i="272"/>
  <c r="AA11" i="303"/>
  <c r="Z33" i="303"/>
  <c r="Z35" i="303" s="1"/>
  <c r="Y11" i="269"/>
  <c r="Z11" i="278"/>
  <c r="Z10" i="278"/>
  <c r="V9" i="278"/>
  <c r="U31" i="278"/>
  <c r="U35" i="278" s="1"/>
  <c r="AA11" i="310"/>
  <c r="Z33" i="310"/>
  <c r="Z35" i="310" s="1"/>
  <c r="V9" i="272"/>
  <c r="U31" i="272"/>
  <c r="U35" i="272" s="1"/>
  <c r="V9" i="269"/>
  <c r="U31" i="269"/>
  <c r="U35" i="269" s="1"/>
  <c r="Y10" i="269"/>
  <c r="Z10" i="272"/>
  <c r="S177" i="306"/>
  <c r="S204" i="306" s="1"/>
  <c r="T202" i="303"/>
  <c r="W21" i="304"/>
  <c r="W14" i="271"/>
  <c r="W16" i="271" s="1"/>
  <c r="W17" i="271" s="1"/>
  <c r="W18" i="271" s="1"/>
  <c r="W20" i="271" s="1"/>
  <c r="W16" i="273"/>
  <c r="W59" i="273" s="1"/>
  <c r="V27" i="305"/>
  <c r="V114" i="306" s="1"/>
  <c r="V38" i="309"/>
  <c r="V63" i="304"/>
  <c r="V66" i="304" s="1"/>
  <c r="V67" i="304" s="1"/>
  <c r="V72" i="304" s="1"/>
  <c r="V29" i="309"/>
  <c r="V55" i="309" s="1"/>
  <c r="V22" i="309" s="1"/>
  <c r="V24" i="309" s="1"/>
  <c r="V16" i="310" s="1"/>
  <c r="W14" i="277"/>
  <c r="W16" i="277" s="1"/>
  <c r="W17" i="277" s="1"/>
  <c r="W18" i="277" s="1"/>
  <c r="W20" i="277" s="1"/>
  <c r="W16" i="279"/>
  <c r="W59" i="279" s="1"/>
  <c r="Q23" i="269"/>
  <c r="Q43" i="269" s="1"/>
  <c r="V31" i="304"/>
  <c r="V40" i="304"/>
  <c r="U55" i="304"/>
  <c r="U22" i="304" s="1"/>
  <c r="U17" i="303" s="1"/>
  <c r="W14" i="268"/>
  <c r="W16" i="268" s="1"/>
  <c r="W16" i="270"/>
  <c r="W59" i="270" s="1"/>
  <c r="V25" i="302"/>
  <c r="V32" i="302" s="1"/>
  <c r="V172" i="303" s="1"/>
  <c r="U113" i="303"/>
  <c r="U119" i="303" s="1"/>
  <c r="V48" i="302"/>
  <c r="V181" i="303" s="1"/>
  <c r="V185" i="303" s="1"/>
  <c r="V50" i="302"/>
  <c r="V128" i="303" s="1"/>
  <c r="V25" i="305"/>
  <c r="V32" i="305" s="1"/>
  <c r="V172" i="306" s="1"/>
  <c r="V200" i="306" s="1"/>
  <c r="P23" i="303"/>
  <c r="P43" i="303" s="1"/>
  <c r="U56" i="303"/>
  <c r="U63" i="303" s="1"/>
  <c r="U160" i="303"/>
  <c r="U167" i="303" s="1"/>
  <c r="U23" i="307"/>
  <c r="U15" i="306" s="1"/>
  <c r="S23" i="273"/>
  <c r="S15" i="272" s="1"/>
  <c r="S17" i="272"/>
  <c r="S23" i="279"/>
  <c r="S15" i="278" s="1"/>
  <c r="S24" i="279"/>
  <c r="S16" i="278" s="1"/>
  <c r="V56" i="306"/>
  <c r="V63" i="306" s="1"/>
  <c r="V160" i="306"/>
  <c r="V167" i="306" s="1"/>
  <c r="V38" i="304"/>
  <c r="R23" i="306"/>
  <c r="R43" i="306" s="1"/>
  <c r="T78" i="306"/>
  <c r="T189" i="306"/>
  <c r="T196" i="306" s="1"/>
  <c r="W194" i="310"/>
  <c r="X1" i="304"/>
  <c r="X27" i="304" s="1"/>
  <c r="X1" i="309"/>
  <c r="X1" i="307"/>
  <c r="W14" i="305"/>
  <c r="W16" i="305" s="1"/>
  <c r="W17" i="305" s="1"/>
  <c r="W18" i="305" s="1"/>
  <c r="W20" i="305" s="1"/>
  <c r="W25" i="305" s="1"/>
  <c r="W159" i="306" s="1"/>
  <c r="W166" i="306" s="1"/>
  <c r="W60" i="307"/>
  <c r="V127" i="310"/>
  <c r="V182" i="310"/>
  <c r="V186" i="310" s="1"/>
  <c r="V71" i="310"/>
  <c r="V75" i="310" s="1"/>
  <c r="U33" i="305"/>
  <c r="U173" i="306" s="1"/>
  <c r="U160" i="306"/>
  <c r="U167" i="306" s="1"/>
  <c r="U56" i="306"/>
  <c r="U63" i="306" s="1"/>
  <c r="U113" i="306"/>
  <c r="X60" i="309"/>
  <c r="V160" i="310"/>
  <c r="V167" i="310" s="1"/>
  <c r="V113" i="310"/>
  <c r="V56" i="310"/>
  <c r="V63" i="310" s="1"/>
  <c r="W27" i="307"/>
  <c r="W13" i="307"/>
  <c r="W21" i="307"/>
  <c r="U114" i="306"/>
  <c r="U161" i="306"/>
  <c r="U168" i="306" s="1"/>
  <c r="U57" i="306"/>
  <c r="U64" i="306" s="1"/>
  <c r="V26" i="302"/>
  <c r="V160" i="303" s="1"/>
  <c r="V167" i="303" s="1"/>
  <c r="U24" i="307"/>
  <c r="U16" i="306" s="1"/>
  <c r="W27" i="309"/>
  <c r="W13" i="309"/>
  <c r="W21" i="309"/>
  <c r="V38" i="307"/>
  <c r="V47" i="307"/>
  <c r="V29" i="307"/>
  <c r="V55" i="307" s="1"/>
  <c r="V22" i="307" s="1"/>
  <c r="V17" i="306" s="1"/>
  <c r="T82" i="310"/>
  <c r="T66" i="310"/>
  <c r="T85" i="310" s="1"/>
  <c r="W194" i="306"/>
  <c r="U182" i="306"/>
  <c r="U186" i="306" s="1"/>
  <c r="U71" i="306"/>
  <c r="U75" i="306" s="1"/>
  <c r="U127" i="306"/>
  <c r="U126" i="306"/>
  <c r="U181" i="306"/>
  <c r="U185" i="306" s="1"/>
  <c r="U70" i="306"/>
  <c r="U74" i="306" s="1"/>
  <c r="T83" i="306"/>
  <c r="S78" i="306"/>
  <c r="S85" i="306" s="1"/>
  <c r="S82" i="306"/>
  <c r="T82" i="306"/>
  <c r="T66" i="306"/>
  <c r="U128" i="306"/>
  <c r="U72" i="306"/>
  <c r="U183" i="306"/>
  <c r="U187" i="306" s="1"/>
  <c r="T202" i="306"/>
  <c r="T177" i="306"/>
  <c r="P200" i="303"/>
  <c r="P111" i="260" s="1"/>
  <c r="P175" i="303"/>
  <c r="P177" i="303" s="1"/>
  <c r="P204" i="303" s="1"/>
  <c r="V29" i="304"/>
  <c r="Q200" i="303"/>
  <c r="Q111" i="260" s="1"/>
  <c r="X10" i="305"/>
  <c r="U78" i="303"/>
  <c r="T82" i="303"/>
  <c r="W60" i="304"/>
  <c r="W14" i="302"/>
  <c r="W16" i="302" s="1"/>
  <c r="W17" i="302" s="1"/>
  <c r="W18" i="302" s="1"/>
  <c r="W20" i="302" s="1"/>
  <c r="W25" i="302" s="1"/>
  <c r="S16" i="269"/>
  <c r="S15" i="269"/>
  <c r="Q173" i="269"/>
  <c r="Q201" i="269" s="1"/>
  <c r="Q201" i="303"/>
  <c r="T17" i="269"/>
  <c r="V50" i="305"/>
  <c r="V49" i="305"/>
  <c r="V48" i="305"/>
  <c r="W194" i="303"/>
  <c r="U62" i="303"/>
  <c r="V127" i="303"/>
  <c r="V71" i="303"/>
  <c r="V75" i="303" s="1"/>
  <c r="V182" i="303"/>
  <c r="V186" i="303" s="1"/>
  <c r="V161" i="303"/>
  <c r="V168" i="303" s="1"/>
  <c r="V114" i="303"/>
  <c r="V57" i="303"/>
  <c r="V64" i="303" s="1"/>
  <c r="AF93" i="260"/>
  <c r="AF76" i="260"/>
  <c r="AF59" i="260"/>
  <c r="AF98" i="260"/>
  <c r="AG42" i="260"/>
  <c r="T23" i="273"/>
  <c r="T15" i="272" s="1"/>
  <c r="T24" i="273"/>
  <c r="T16" i="272" s="1"/>
  <c r="Z56" i="267"/>
  <c r="Z58" i="267" s="1"/>
  <c r="Y58" i="267"/>
  <c r="W37" i="268"/>
  <c r="W40" i="268" s="1"/>
  <c r="W42" i="268" s="1"/>
  <c r="Y53" i="267"/>
  <c r="W21" i="273"/>
  <c r="W13" i="273"/>
  <c r="W27" i="273"/>
  <c r="X3" i="278"/>
  <c r="X1" i="273"/>
  <c r="Z51" i="267"/>
  <c r="X3" i="272"/>
  <c r="AA2" i="267"/>
  <c r="X1" i="270"/>
  <c r="X1" i="279"/>
  <c r="W21" i="270"/>
  <c r="W27" i="270"/>
  <c r="W13" i="270"/>
  <c r="W27" i="279"/>
  <c r="W13" i="279"/>
  <c r="W21" i="279"/>
  <c r="T24" i="279"/>
  <c r="T16" i="278" s="1"/>
  <c r="T23" i="279"/>
  <c r="T15" i="278" s="1"/>
  <c r="U29" i="273"/>
  <c r="U38" i="273"/>
  <c r="U29" i="279"/>
  <c r="U55" i="279" s="1"/>
  <c r="U22" i="279" s="1"/>
  <c r="U38" i="279"/>
  <c r="V47" i="273"/>
  <c r="V60" i="273"/>
  <c r="V63" i="273" s="1"/>
  <c r="V66" i="273" s="1"/>
  <c r="V67" i="273" s="1"/>
  <c r="V72" i="273" s="1"/>
  <c r="V47" i="279"/>
  <c r="V60" i="279"/>
  <c r="V63" i="279" s="1"/>
  <c r="V66" i="279" s="1"/>
  <c r="V67" i="279" s="1"/>
  <c r="V72" i="279" s="1"/>
  <c r="X10" i="271"/>
  <c r="X15" i="273" s="1"/>
  <c r="U181" i="278"/>
  <c r="U185" i="278" s="1"/>
  <c r="U70" i="278"/>
  <c r="U126" i="278"/>
  <c r="U182" i="278"/>
  <c r="U186" i="278" s="1"/>
  <c r="U71" i="278"/>
  <c r="U75" i="278" s="1"/>
  <c r="U127" i="278"/>
  <c r="U32" i="277"/>
  <c r="U172" i="278" s="1"/>
  <c r="U112" i="278"/>
  <c r="U159" i="278"/>
  <c r="U55" i="278"/>
  <c r="U33" i="277"/>
  <c r="U173" i="278" s="1"/>
  <c r="U113" i="278"/>
  <c r="U160" i="278"/>
  <c r="U56" i="278"/>
  <c r="U114" i="278"/>
  <c r="U161" i="278"/>
  <c r="U57" i="278"/>
  <c r="U183" i="278"/>
  <c r="U187" i="278" s="1"/>
  <c r="U72" i="278"/>
  <c r="U76" i="278" s="1"/>
  <c r="U128" i="278"/>
  <c r="Z52" i="277"/>
  <c r="Z191" i="278" s="1"/>
  <c r="Z53" i="277"/>
  <c r="Z192" i="278" s="1"/>
  <c r="V50" i="277"/>
  <c r="V49" i="277"/>
  <c r="V48" i="277"/>
  <c r="V26" i="277"/>
  <c r="V25" i="277"/>
  <c r="V27" i="277"/>
  <c r="S66" i="278"/>
  <c r="S170" i="278"/>
  <c r="U181" i="272"/>
  <c r="U185" i="272" s="1"/>
  <c r="U70" i="272"/>
  <c r="U126" i="272"/>
  <c r="U32" i="271"/>
  <c r="U172" i="272" s="1"/>
  <c r="U55" i="272"/>
  <c r="U112" i="272"/>
  <c r="U159" i="272"/>
  <c r="U182" i="272"/>
  <c r="U186" i="272" s="1"/>
  <c r="U71" i="272"/>
  <c r="U75" i="272" s="1"/>
  <c r="U127" i="272"/>
  <c r="U33" i="271"/>
  <c r="U173" i="272" s="1"/>
  <c r="U56" i="272"/>
  <c r="U113" i="272"/>
  <c r="U160" i="272"/>
  <c r="U183" i="272"/>
  <c r="U72" i="272"/>
  <c r="U76" i="272" s="1"/>
  <c r="U128" i="272"/>
  <c r="V50" i="271"/>
  <c r="V49" i="271"/>
  <c r="V48" i="271"/>
  <c r="U57" i="272"/>
  <c r="U114" i="272"/>
  <c r="U161" i="272"/>
  <c r="V27" i="271"/>
  <c r="V25" i="271"/>
  <c r="V26" i="271"/>
  <c r="Y52" i="271"/>
  <c r="Y191" i="272" s="1"/>
  <c r="Y53" i="271"/>
  <c r="Y192" i="272" s="1"/>
  <c r="Q66" i="269"/>
  <c r="W14" i="273"/>
  <c r="W14" i="279"/>
  <c r="T24" i="270"/>
  <c r="T23" i="270"/>
  <c r="S83" i="278"/>
  <c r="S189" i="278"/>
  <c r="Q170" i="269"/>
  <c r="S202" i="278"/>
  <c r="T185" i="278"/>
  <c r="T189" i="278" s="1"/>
  <c r="T76" i="278"/>
  <c r="X52" i="268"/>
  <c r="X191" i="269" s="1"/>
  <c r="X53" i="268"/>
  <c r="X192" i="269" s="1"/>
  <c r="T201" i="272"/>
  <c r="T167" i="272"/>
  <c r="T63" i="272"/>
  <c r="T168" i="278"/>
  <c r="T64" i="278"/>
  <c r="S200" i="272"/>
  <c r="S170" i="272"/>
  <c r="T201" i="278"/>
  <c r="T167" i="278"/>
  <c r="T63" i="278"/>
  <c r="S66" i="272"/>
  <c r="T64" i="272"/>
  <c r="T168" i="272"/>
  <c r="V40" i="273"/>
  <c r="V31" i="273"/>
  <c r="T166" i="272"/>
  <c r="T62" i="272"/>
  <c r="V31" i="279"/>
  <c r="V40" i="279"/>
  <c r="R78" i="272"/>
  <c r="R85" i="272" s="1"/>
  <c r="R82" i="272"/>
  <c r="S189" i="272"/>
  <c r="S202" i="272"/>
  <c r="S78" i="278"/>
  <c r="S82" i="278"/>
  <c r="T187" i="272"/>
  <c r="T76" i="272"/>
  <c r="T185" i="272"/>
  <c r="T74" i="278"/>
  <c r="R82" i="278"/>
  <c r="R78" i="278"/>
  <c r="R85" i="278" s="1"/>
  <c r="S74" i="272"/>
  <c r="S83" i="272"/>
  <c r="T186" i="272"/>
  <c r="T75" i="272"/>
  <c r="AA2" i="277"/>
  <c r="Y3" i="269"/>
  <c r="U55" i="270"/>
  <c r="U22" i="270" s="1"/>
  <c r="Z2" i="271"/>
  <c r="V60" i="270"/>
  <c r="V63" i="270" s="1"/>
  <c r="R114" i="269"/>
  <c r="R57" i="269"/>
  <c r="R64" i="269" s="1"/>
  <c r="R161" i="269"/>
  <c r="R168" i="269" s="1"/>
  <c r="S26" i="268"/>
  <c r="S25" i="268"/>
  <c r="S27" i="268"/>
  <c r="W14" i="270"/>
  <c r="U17" i="268"/>
  <c r="U18" i="268" s="1"/>
  <c r="U20" i="268" s="1"/>
  <c r="R159" i="269"/>
  <c r="R166" i="269" s="1"/>
  <c r="R112" i="269"/>
  <c r="R55" i="269"/>
  <c r="R62" i="269" s="1"/>
  <c r="R32" i="268"/>
  <c r="U66" i="270"/>
  <c r="U67" i="270" s="1"/>
  <c r="U72" i="270" s="1"/>
  <c r="V29" i="270"/>
  <c r="V38" i="270"/>
  <c r="V47" i="270"/>
  <c r="V40" i="270"/>
  <c r="V31" i="270"/>
  <c r="R160" i="269"/>
  <c r="R167" i="269" s="1"/>
  <c r="R113" i="269"/>
  <c r="R56" i="269"/>
  <c r="R63" i="269" s="1"/>
  <c r="R33" i="268"/>
  <c r="Y2" i="268"/>
  <c r="V2" i="264"/>
  <c r="V17" i="264" s="1"/>
  <c r="W25" i="327" l="1"/>
  <c r="U128" i="326"/>
  <c r="T189" i="313"/>
  <c r="T196" i="313" s="1"/>
  <c r="T204" i="313" s="1"/>
  <c r="T35" i="320"/>
  <c r="S204" i="323"/>
  <c r="V159" i="329"/>
  <c r="V166" i="329" s="1"/>
  <c r="Z61" i="267"/>
  <c r="Z66" i="267"/>
  <c r="V60" i="314"/>
  <c r="V126" i="314" s="1"/>
  <c r="AA12" i="267"/>
  <c r="AA10" i="267"/>
  <c r="AA7" i="267"/>
  <c r="Y6" i="302" s="1"/>
  <c r="Y14" i="304" s="1"/>
  <c r="AA8" i="267"/>
  <c r="Y6" i="268" s="1"/>
  <c r="AA9" i="267"/>
  <c r="AA11" i="267"/>
  <c r="Y6" i="308" s="1"/>
  <c r="Y14" i="309" s="1"/>
  <c r="U183" i="326"/>
  <c r="U187" i="326" s="1"/>
  <c r="U189" i="326" s="1"/>
  <c r="U196" i="326" s="1"/>
  <c r="V55" i="329"/>
  <c r="V62" i="329" s="1"/>
  <c r="X10" i="315"/>
  <c r="X10" i="327"/>
  <c r="X10" i="312"/>
  <c r="X14" i="312" s="1"/>
  <c r="X16" i="312" s="1"/>
  <c r="X17" i="312" s="1"/>
  <c r="X18" i="312" s="1"/>
  <c r="X20" i="312" s="1"/>
  <c r="X25" i="312" s="1"/>
  <c r="X10" i="324"/>
  <c r="X16" i="325" s="1"/>
  <c r="Y100" i="269"/>
  <c r="Y101" i="269"/>
  <c r="Y103" i="269"/>
  <c r="Y102" i="269"/>
  <c r="Y91" i="269"/>
  <c r="Y95" i="269"/>
  <c r="Y92" i="269"/>
  <c r="Y97" i="269"/>
  <c r="Y90" i="269"/>
  <c r="Y96" i="269"/>
  <c r="Y93" i="269"/>
  <c r="Y98" i="269"/>
  <c r="AA44" i="267"/>
  <c r="AA46" i="267" s="1"/>
  <c r="AA40" i="267"/>
  <c r="AA39" i="267"/>
  <c r="AA41" i="267" s="1"/>
  <c r="AA29" i="267"/>
  <c r="AA31" i="267" s="1"/>
  <c r="AA45" i="267"/>
  <c r="AA30" i="267"/>
  <c r="W31" i="309"/>
  <c r="W40" i="309"/>
  <c r="W41" i="319"/>
  <c r="W32" i="319"/>
  <c r="X11" i="308"/>
  <c r="X17" i="309" s="1"/>
  <c r="X11" i="277"/>
  <c r="X17" i="279" s="1"/>
  <c r="X11" i="302"/>
  <c r="X17" i="304" s="1"/>
  <c r="X11" i="268"/>
  <c r="X17" i="270" s="1"/>
  <c r="W32" i="316"/>
  <c r="W41" i="316"/>
  <c r="X11" i="318"/>
  <c r="X18" i="319" s="1"/>
  <c r="X11" i="315"/>
  <c r="X18" i="316" s="1"/>
  <c r="X11" i="312"/>
  <c r="X18" i="314" s="1"/>
  <c r="U126" i="320"/>
  <c r="V112" i="329"/>
  <c r="U70" i="320"/>
  <c r="V56" i="314"/>
  <c r="V23" i="314" s="1"/>
  <c r="V17" i="313" s="1"/>
  <c r="T39" i="320"/>
  <c r="T130" i="313"/>
  <c r="U71" i="320"/>
  <c r="U75" i="320" s="1"/>
  <c r="U53" i="318"/>
  <c r="U192" i="320" s="1"/>
  <c r="U194" i="320" s="1"/>
  <c r="V110" i="325"/>
  <c r="T143" i="313"/>
  <c r="T133" i="313"/>
  <c r="U127" i="320"/>
  <c r="T141" i="313"/>
  <c r="T132" i="313"/>
  <c r="T142" i="313"/>
  <c r="T131" i="313"/>
  <c r="X77" i="322"/>
  <c r="X15" i="322"/>
  <c r="Y6" i="324"/>
  <c r="Y6" i="312"/>
  <c r="Y6" i="327"/>
  <c r="Y6" i="315"/>
  <c r="Y6" i="318"/>
  <c r="Y6" i="321"/>
  <c r="Y6" i="305"/>
  <c r="Y14" i="307" s="1"/>
  <c r="X77" i="314"/>
  <c r="X15" i="314"/>
  <c r="T202" i="317"/>
  <c r="V92" i="322"/>
  <c r="T143" i="317"/>
  <c r="X77" i="316"/>
  <c r="X15" i="316"/>
  <c r="X77" i="325"/>
  <c r="X15" i="325"/>
  <c r="X77" i="319"/>
  <c r="X15" i="319"/>
  <c r="X77" i="328"/>
  <c r="X15" i="328"/>
  <c r="X102" i="313"/>
  <c r="X103" i="313"/>
  <c r="X100" i="313"/>
  <c r="X101" i="313"/>
  <c r="X98" i="313"/>
  <c r="X97" i="313"/>
  <c r="X95" i="313"/>
  <c r="X90" i="313"/>
  <c r="X91" i="313"/>
  <c r="X92" i="313"/>
  <c r="X96" i="313"/>
  <c r="X93" i="313"/>
  <c r="X103" i="323"/>
  <c r="X100" i="323"/>
  <c r="X101" i="323"/>
  <c r="X102" i="323"/>
  <c r="X93" i="323"/>
  <c r="X97" i="323"/>
  <c r="X95" i="323"/>
  <c r="X90" i="323"/>
  <c r="X91" i="323"/>
  <c r="X96" i="323"/>
  <c r="X98" i="323"/>
  <c r="X92" i="323"/>
  <c r="X103" i="320"/>
  <c r="X100" i="320"/>
  <c r="X101" i="320"/>
  <c r="X97" i="320"/>
  <c r="X95" i="320"/>
  <c r="X90" i="320"/>
  <c r="X91" i="320"/>
  <c r="X102" i="320"/>
  <c r="X98" i="320"/>
  <c r="X96" i="320"/>
  <c r="X92" i="320"/>
  <c r="X93" i="320"/>
  <c r="X101" i="272"/>
  <c r="X102" i="272"/>
  <c r="X103" i="272"/>
  <c r="X100" i="272"/>
  <c r="X97" i="272"/>
  <c r="X95" i="272"/>
  <c r="X98" i="272"/>
  <c r="X91" i="272"/>
  <c r="X92" i="272"/>
  <c r="X96" i="272"/>
  <c r="X93" i="272"/>
  <c r="X90" i="272"/>
  <c r="X103" i="317"/>
  <c r="X100" i="317"/>
  <c r="X101" i="317"/>
  <c r="X102" i="317"/>
  <c r="X93" i="317"/>
  <c r="X97" i="317"/>
  <c r="X95" i="317"/>
  <c r="X90" i="317"/>
  <c r="X92" i="317"/>
  <c r="X91" i="317"/>
  <c r="X96" i="317"/>
  <c r="X98" i="317"/>
  <c r="X103" i="326"/>
  <c r="X100" i="326"/>
  <c r="X102" i="326"/>
  <c r="X101" i="326"/>
  <c r="X93" i="326"/>
  <c r="X97" i="326"/>
  <c r="X95" i="326"/>
  <c r="X90" i="326"/>
  <c r="X91" i="326"/>
  <c r="X98" i="326"/>
  <c r="X96" i="326"/>
  <c r="X92" i="326"/>
  <c r="X103" i="329"/>
  <c r="X100" i="329"/>
  <c r="X102" i="329"/>
  <c r="X101" i="329"/>
  <c r="X98" i="329"/>
  <c r="X96" i="329"/>
  <c r="X92" i="329"/>
  <c r="X97" i="329"/>
  <c r="X95" i="329"/>
  <c r="X91" i="329"/>
  <c r="X90" i="329"/>
  <c r="X93" i="329"/>
  <c r="T202" i="329"/>
  <c r="X101" i="278"/>
  <c r="X103" i="278"/>
  <c r="X100" i="278"/>
  <c r="X102" i="278"/>
  <c r="X98" i="278"/>
  <c r="X96" i="278"/>
  <c r="X92" i="278"/>
  <c r="X93" i="278"/>
  <c r="X97" i="278"/>
  <c r="X95" i="278"/>
  <c r="X90" i="278"/>
  <c r="X91" i="278"/>
  <c r="U170" i="313"/>
  <c r="U66" i="313"/>
  <c r="T130" i="317"/>
  <c r="T83" i="317"/>
  <c r="T201" i="313"/>
  <c r="T140" i="317"/>
  <c r="T133" i="317"/>
  <c r="U175" i="313"/>
  <c r="T142" i="317"/>
  <c r="T132" i="317"/>
  <c r="T141" i="317"/>
  <c r="T131" i="317"/>
  <c r="T40" i="323"/>
  <c r="V101" i="316"/>
  <c r="U132" i="303"/>
  <c r="AA67" i="267"/>
  <c r="W63" i="307"/>
  <c r="T83" i="313"/>
  <c r="U200" i="313"/>
  <c r="T131" i="323"/>
  <c r="U140" i="306"/>
  <c r="U142" i="329"/>
  <c r="T130" i="323"/>
  <c r="U131" i="303"/>
  <c r="U117" i="303"/>
  <c r="U143" i="303"/>
  <c r="U141" i="329"/>
  <c r="U133" i="272"/>
  <c r="U131" i="272"/>
  <c r="U132" i="272"/>
  <c r="U130" i="272"/>
  <c r="V118" i="329"/>
  <c r="V119" i="329"/>
  <c r="V116" i="329"/>
  <c r="V117" i="329"/>
  <c r="U141" i="310"/>
  <c r="U142" i="310"/>
  <c r="U143" i="310"/>
  <c r="U116" i="310"/>
  <c r="U117" i="310"/>
  <c r="U140" i="310"/>
  <c r="U118" i="310"/>
  <c r="U119" i="310"/>
  <c r="U119" i="306"/>
  <c r="U116" i="306"/>
  <c r="U143" i="272"/>
  <c r="U140" i="272"/>
  <c r="U141" i="272"/>
  <c r="U117" i="272"/>
  <c r="U118" i="272"/>
  <c r="U142" i="272"/>
  <c r="U119" i="272"/>
  <c r="U116" i="272"/>
  <c r="U141" i="278"/>
  <c r="U117" i="278"/>
  <c r="U142" i="278"/>
  <c r="U118" i="278"/>
  <c r="U143" i="278"/>
  <c r="U119" i="278"/>
  <c r="U140" i="278"/>
  <c r="U116" i="278"/>
  <c r="U131" i="326"/>
  <c r="U132" i="326"/>
  <c r="U133" i="326"/>
  <c r="U130" i="326"/>
  <c r="U130" i="313"/>
  <c r="U131" i="313"/>
  <c r="U132" i="313"/>
  <c r="U133" i="313"/>
  <c r="U130" i="323"/>
  <c r="U131" i="323"/>
  <c r="U132" i="323"/>
  <c r="U133" i="323"/>
  <c r="U141" i="317"/>
  <c r="U117" i="317"/>
  <c r="U142" i="317"/>
  <c r="U118" i="317"/>
  <c r="U143" i="317"/>
  <c r="U119" i="317"/>
  <c r="U140" i="317"/>
  <c r="U116" i="317"/>
  <c r="U140" i="323"/>
  <c r="U116" i="323"/>
  <c r="U141" i="323"/>
  <c r="U117" i="323"/>
  <c r="U142" i="323"/>
  <c r="U118" i="323"/>
  <c r="U143" i="323"/>
  <c r="U119" i="323"/>
  <c r="V117" i="313"/>
  <c r="V118" i="313"/>
  <c r="V119" i="313"/>
  <c r="V116" i="313"/>
  <c r="U119" i="320"/>
  <c r="U116" i="320"/>
  <c r="U117" i="320"/>
  <c r="U118" i="320"/>
  <c r="U130" i="303"/>
  <c r="U142" i="313"/>
  <c r="U140" i="313"/>
  <c r="T141" i="323"/>
  <c r="T143" i="323"/>
  <c r="T133" i="323"/>
  <c r="U118" i="306"/>
  <c r="U143" i="306"/>
  <c r="U116" i="303"/>
  <c r="U118" i="303"/>
  <c r="U131" i="278"/>
  <c r="U132" i="278"/>
  <c r="U133" i="278"/>
  <c r="U130" i="278"/>
  <c r="U130" i="306"/>
  <c r="U131" i="306"/>
  <c r="U132" i="306"/>
  <c r="U133" i="306"/>
  <c r="U131" i="317"/>
  <c r="U132" i="317"/>
  <c r="U133" i="317"/>
  <c r="U130" i="317"/>
  <c r="U141" i="326"/>
  <c r="U117" i="326"/>
  <c r="U142" i="326"/>
  <c r="U118" i="326"/>
  <c r="U143" i="326"/>
  <c r="U119" i="326"/>
  <c r="U140" i="326"/>
  <c r="U116" i="326"/>
  <c r="U143" i="329"/>
  <c r="U133" i="303"/>
  <c r="U143" i="313"/>
  <c r="T142" i="323"/>
  <c r="T132" i="323"/>
  <c r="U117" i="306"/>
  <c r="U142" i="306"/>
  <c r="U140" i="303"/>
  <c r="U142" i="303"/>
  <c r="R119" i="269"/>
  <c r="R118" i="269"/>
  <c r="R116" i="269"/>
  <c r="R117" i="269"/>
  <c r="U131" i="329"/>
  <c r="U132" i="329"/>
  <c r="U133" i="329"/>
  <c r="U130" i="329"/>
  <c r="U131" i="310"/>
  <c r="U132" i="310"/>
  <c r="U133" i="310"/>
  <c r="U130" i="310"/>
  <c r="U140" i="329"/>
  <c r="T130" i="329"/>
  <c r="T131" i="329"/>
  <c r="T132" i="329"/>
  <c r="T133" i="329"/>
  <c r="T141" i="329"/>
  <c r="T143" i="329"/>
  <c r="T140" i="329"/>
  <c r="T142" i="329"/>
  <c r="U141" i="313"/>
  <c r="T140" i="323"/>
  <c r="U141" i="306"/>
  <c r="U141" i="303"/>
  <c r="V110" i="316"/>
  <c r="V110" i="319"/>
  <c r="X108" i="278"/>
  <c r="X107" i="278"/>
  <c r="X106" i="278"/>
  <c r="X105" i="278"/>
  <c r="X107" i="272"/>
  <c r="X108" i="272"/>
  <c r="X105" i="272"/>
  <c r="X106" i="272"/>
  <c r="X108" i="323"/>
  <c r="X107" i="323"/>
  <c r="X106" i="323"/>
  <c r="X105" i="323"/>
  <c r="X108" i="313"/>
  <c r="X107" i="313"/>
  <c r="X105" i="313"/>
  <c r="X106" i="313"/>
  <c r="X108" i="320"/>
  <c r="X107" i="320"/>
  <c r="X106" i="320"/>
  <c r="X105" i="320"/>
  <c r="X108" i="317"/>
  <c r="X107" i="317"/>
  <c r="X106" i="317"/>
  <c r="X105" i="317"/>
  <c r="X107" i="326"/>
  <c r="X108" i="326"/>
  <c r="X106" i="326"/>
  <c r="X105" i="326"/>
  <c r="X108" i="329"/>
  <c r="X106" i="329"/>
  <c r="X107" i="329"/>
  <c r="X105" i="329"/>
  <c r="V101" i="325"/>
  <c r="V118" i="325" s="1"/>
  <c r="V85" i="325" s="1"/>
  <c r="V110" i="322"/>
  <c r="Y108" i="269"/>
  <c r="Y106" i="269"/>
  <c r="Y107" i="269"/>
  <c r="Y105" i="269"/>
  <c r="T83" i="323"/>
  <c r="T40" i="320"/>
  <c r="W78" i="316"/>
  <c r="W101" i="316" s="1"/>
  <c r="W79" i="316"/>
  <c r="W78" i="322"/>
  <c r="W101" i="322" s="1"/>
  <c r="W79" i="322"/>
  <c r="U129" i="314"/>
  <c r="U130" i="314" s="1"/>
  <c r="U135" i="314" s="1"/>
  <c r="U87" i="314" s="1"/>
  <c r="U28" i="313" s="1"/>
  <c r="U32" i="313" s="1"/>
  <c r="U67" i="314"/>
  <c r="U68" i="314" s="1"/>
  <c r="U73" i="314" s="1"/>
  <c r="U25" i="314" s="1"/>
  <c r="U16" i="313" s="1"/>
  <c r="U20" i="313" s="1"/>
  <c r="U24" i="314"/>
  <c r="U15" i="313" s="1"/>
  <c r="U19" i="313" s="1"/>
  <c r="W78" i="314"/>
  <c r="W79" i="314"/>
  <c r="V101" i="319"/>
  <c r="V118" i="319" s="1"/>
  <c r="V85" i="319" s="1"/>
  <c r="W78" i="328"/>
  <c r="W110" i="328" s="1"/>
  <c r="W79" i="328"/>
  <c r="V101" i="328"/>
  <c r="V118" i="328" s="1"/>
  <c r="V85" i="328" s="1"/>
  <c r="V29" i="329" s="1"/>
  <c r="V33" i="329" s="1"/>
  <c r="W40" i="315"/>
  <c r="W42" i="315" s="1"/>
  <c r="W43" i="315" s="1"/>
  <c r="W44" i="315" s="1"/>
  <c r="W46" i="315" s="1"/>
  <c r="W50" i="315" s="1"/>
  <c r="W78" i="319"/>
  <c r="W110" i="319" s="1"/>
  <c r="W79" i="319"/>
  <c r="X14" i="327"/>
  <c r="X16" i="327" s="1"/>
  <c r="X17" i="327" s="1"/>
  <c r="X18" i="327" s="1"/>
  <c r="X20" i="327" s="1"/>
  <c r="X27" i="327" s="1"/>
  <c r="X16" i="328"/>
  <c r="X17" i="328"/>
  <c r="W78" i="325"/>
  <c r="W110" i="325" s="1"/>
  <c r="W79" i="325"/>
  <c r="V92" i="328"/>
  <c r="T23" i="320"/>
  <c r="W60" i="314"/>
  <c r="T83" i="329"/>
  <c r="T196" i="329"/>
  <c r="T204" i="329" s="1"/>
  <c r="T35" i="323"/>
  <c r="T39" i="323"/>
  <c r="U17" i="313"/>
  <c r="U21" i="313" s="1"/>
  <c r="U86" i="328"/>
  <c r="U27" i="329" s="1"/>
  <c r="U31" i="329" s="1"/>
  <c r="T41" i="313"/>
  <c r="T204" i="310"/>
  <c r="U201" i="329"/>
  <c r="U33" i="317"/>
  <c r="U41" i="317"/>
  <c r="U175" i="310"/>
  <c r="U177" i="310" s="1"/>
  <c r="X16" i="316"/>
  <c r="X17" i="316"/>
  <c r="U86" i="316"/>
  <c r="U27" i="317" s="1"/>
  <c r="U31" i="317" s="1"/>
  <c r="S35" i="317"/>
  <c r="X16" i="314"/>
  <c r="X17" i="314"/>
  <c r="X122" i="314" s="1"/>
  <c r="X15" i="279"/>
  <c r="V55" i="310"/>
  <c r="V83" i="310" s="1"/>
  <c r="V159" i="310"/>
  <c r="V166" i="310" s="1"/>
  <c r="U189" i="310"/>
  <c r="U196" i="310" s="1"/>
  <c r="V112" i="310"/>
  <c r="X16" i="309"/>
  <c r="X59" i="309" s="1"/>
  <c r="X15" i="309"/>
  <c r="X38" i="309" s="1"/>
  <c r="U202" i="310"/>
  <c r="U200" i="310"/>
  <c r="U20" i="310"/>
  <c r="X16" i="307"/>
  <c r="X59" i="307" s="1"/>
  <c r="X15" i="307"/>
  <c r="U189" i="303"/>
  <c r="U196" i="303" s="1"/>
  <c r="X16" i="304"/>
  <c r="X15" i="304"/>
  <c r="X29" i="304" s="1"/>
  <c r="X150" i="326"/>
  <c r="X151" i="326"/>
  <c r="X150" i="323"/>
  <c r="X151" i="323"/>
  <c r="X150" i="320"/>
  <c r="X151" i="320"/>
  <c r="X150" i="317"/>
  <c r="X151" i="317"/>
  <c r="T40" i="317"/>
  <c r="X151" i="313"/>
  <c r="X150" i="313"/>
  <c r="X150" i="278"/>
  <c r="X151" i="278"/>
  <c r="X151" i="272"/>
  <c r="X150" i="272"/>
  <c r="Y29" i="269"/>
  <c r="Y33" i="269" s="1"/>
  <c r="Y28" i="269"/>
  <c r="Y32" i="269" s="1"/>
  <c r="Y150" i="269"/>
  <c r="Y151" i="269"/>
  <c r="Y27" i="269"/>
  <c r="S35" i="323"/>
  <c r="S43" i="323" s="1"/>
  <c r="V39" i="325"/>
  <c r="V56" i="325" s="1"/>
  <c r="V23" i="325" s="1"/>
  <c r="V30" i="325"/>
  <c r="V48" i="325"/>
  <c r="V64" i="328"/>
  <c r="V126" i="328"/>
  <c r="V126" i="325"/>
  <c r="V64" i="325"/>
  <c r="Y10" i="321"/>
  <c r="Y16" i="322" s="1"/>
  <c r="Y10" i="327"/>
  <c r="Y10" i="324"/>
  <c r="Y16" i="325" s="1"/>
  <c r="W94" i="328"/>
  <c r="W103" i="328"/>
  <c r="X38" i="318"/>
  <c r="X80" i="319" s="1"/>
  <c r="X38" i="312"/>
  <c r="X80" i="314" s="1"/>
  <c r="X38" i="315"/>
  <c r="X80" i="316" s="1"/>
  <c r="AA62" i="267"/>
  <c r="X90" i="319"/>
  <c r="X76" i="319"/>
  <c r="X84" i="319"/>
  <c r="X28" i="319"/>
  <c r="X22" i="319"/>
  <c r="X41" i="328"/>
  <c r="X32" i="328"/>
  <c r="W30" i="316"/>
  <c r="W56" i="316" s="1"/>
  <c r="W23" i="316" s="1"/>
  <c r="W17" i="317" s="1"/>
  <c r="W21" i="317" s="1"/>
  <c r="W48" i="316"/>
  <c r="W39" i="316"/>
  <c r="V48" i="328"/>
  <c r="V39" i="328"/>
  <c r="V56" i="328" s="1"/>
  <c r="V23" i="328" s="1"/>
  <c r="V30" i="328"/>
  <c r="W92" i="319"/>
  <c r="W94" i="319"/>
  <c r="W103" i="319"/>
  <c r="W94" i="325"/>
  <c r="W103" i="325"/>
  <c r="U29" i="326"/>
  <c r="U33" i="326" s="1"/>
  <c r="U86" i="325"/>
  <c r="U27" i="326" s="1"/>
  <c r="U31" i="326" s="1"/>
  <c r="X90" i="322"/>
  <c r="X76" i="322"/>
  <c r="X84" i="322"/>
  <c r="X28" i="322"/>
  <c r="X22" i="322"/>
  <c r="X41" i="325"/>
  <c r="X32" i="325"/>
  <c r="W30" i="322"/>
  <c r="W39" i="322"/>
  <c r="W56" i="322" s="1"/>
  <c r="W23" i="322" s="1"/>
  <c r="W17" i="323" s="1"/>
  <c r="W21" i="323" s="1"/>
  <c r="W48" i="322"/>
  <c r="U67" i="328"/>
  <c r="U68" i="328" s="1"/>
  <c r="U73" i="328" s="1"/>
  <c r="U25" i="328" s="1"/>
  <c r="U16" i="329" s="1"/>
  <c r="U129" i="328"/>
  <c r="U130" i="328" s="1"/>
  <c r="U135" i="328" s="1"/>
  <c r="U87" i="328" s="1"/>
  <c r="U28" i="329" s="1"/>
  <c r="U32" i="329" s="1"/>
  <c r="U24" i="328"/>
  <c r="U15" i="329" s="1"/>
  <c r="T33" i="317"/>
  <c r="T35" i="317" s="1"/>
  <c r="T41" i="317"/>
  <c r="W94" i="316"/>
  <c r="W103" i="316"/>
  <c r="V64" i="319"/>
  <c r="V126" i="319"/>
  <c r="U29" i="320"/>
  <c r="U86" i="319"/>
  <c r="U27" i="320" s="1"/>
  <c r="U31" i="320" s="1"/>
  <c r="W30" i="319"/>
  <c r="W48" i="319"/>
  <c r="W39" i="319"/>
  <c r="W56" i="319" s="1"/>
  <c r="W23" i="319" s="1"/>
  <c r="W17" i="320" s="1"/>
  <c r="W21" i="320" s="1"/>
  <c r="W122" i="322"/>
  <c r="W60" i="322"/>
  <c r="T35" i="326"/>
  <c r="W122" i="328"/>
  <c r="W60" i="328"/>
  <c r="U29" i="323"/>
  <c r="U86" i="322"/>
  <c r="U27" i="323" s="1"/>
  <c r="U31" i="323" s="1"/>
  <c r="X84" i="328"/>
  <c r="X76" i="328"/>
  <c r="X28" i="328"/>
  <c r="X22" i="328"/>
  <c r="X90" i="328"/>
  <c r="W122" i="325"/>
  <c r="W60" i="325"/>
  <c r="U129" i="319"/>
  <c r="U130" i="319" s="1"/>
  <c r="U135" i="319" s="1"/>
  <c r="U87" i="319" s="1"/>
  <c r="U28" i="320" s="1"/>
  <c r="U67" i="319"/>
  <c r="U68" i="319" s="1"/>
  <c r="U73" i="319" s="1"/>
  <c r="U25" i="319" s="1"/>
  <c r="U16" i="320" s="1"/>
  <c r="U20" i="320" s="1"/>
  <c r="U24" i="319"/>
  <c r="U15" i="320" s="1"/>
  <c r="U19" i="320" s="1"/>
  <c r="X32" i="322"/>
  <c r="X41" i="322"/>
  <c r="U67" i="322"/>
  <c r="U68" i="322" s="1"/>
  <c r="U73" i="322" s="1"/>
  <c r="U25" i="322" s="1"/>
  <c r="U16" i="323" s="1"/>
  <c r="U20" i="323" s="1"/>
  <c r="U129" i="322"/>
  <c r="U130" i="322" s="1"/>
  <c r="U135" i="322" s="1"/>
  <c r="U87" i="322" s="1"/>
  <c r="U28" i="323" s="1"/>
  <c r="U24" i="322"/>
  <c r="U15" i="323" s="1"/>
  <c r="U19" i="323" s="1"/>
  <c r="V126" i="316"/>
  <c r="V64" i="316"/>
  <c r="W122" i="319"/>
  <c r="W60" i="319"/>
  <c r="W122" i="316"/>
  <c r="W60" i="316"/>
  <c r="U83" i="310"/>
  <c r="Y11" i="324"/>
  <c r="Y18" i="325" s="1"/>
  <c r="Y11" i="321"/>
  <c r="Y18" i="322" s="1"/>
  <c r="Y11" i="327"/>
  <c r="Y18" i="328" s="1"/>
  <c r="V126" i="322"/>
  <c r="V64" i="322"/>
  <c r="X38" i="324"/>
  <c r="X80" i="325" s="1"/>
  <c r="X38" i="321"/>
  <c r="X80" i="322" s="1"/>
  <c r="X38" i="327"/>
  <c r="X80" i="328" s="1"/>
  <c r="U129" i="316"/>
  <c r="U130" i="316" s="1"/>
  <c r="U135" i="316" s="1"/>
  <c r="U87" i="316" s="1"/>
  <c r="U28" i="317" s="1"/>
  <c r="U32" i="317" s="1"/>
  <c r="U67" i="316"/>
  <c r="U68" i="316" s="1"/>
  <c r="U73" i="316" s="1"/>
  <c r="U25" i="316" s="1"/>
  <c r="U16" i="317" s="1"/>
  <c r="U20" i="317" s="1"/>
  <c r="U24" i="316"/>
  <c r="U15" i="317" s="1"/>
  <c r="V118" i="322"/>
  <c r="V85" i="322" s="1"/>
  <c r="X90" i="316"/>
  <c r="X84" i="316"/>
  <c r="X76" i="316"/>
  <c r="X22" i="316"/>
  <c r="X28" i="316"/>
  <c r="X76" i="325"/>
  <c r="X28" i="325"/>
  <c r="X90" i="325"/>
  <c r="X84" i="325"/>
  <c r="X22" i="325"/>
  <c r="T35" i="329"/>
  <c r="V118" i="316"/>
  <c r="V85" i="316" s="1"/>
  <c r="W103" i="322"/>
  <c r="W94" i="322"/>
  <c r="Z68" i="267"/>
  <c r="X37" i="327"/>
  <c r="X40" i="327" s="1"/>
  <c r="X42" i="327" s="1"/>
  <c r="X43" i="327" s="1"/>
  <c r="X44" i="327" s="1"/>
  <c r="X46" i="327" s="1"/>
  <c r="X37" i="324"/>
  <c r="X40" i="324" s="1"/>
  <c r="X42" i="324" s="1"/>
  <c r="X43" i="324" s="1"/>
  <c r="X44" i="324" s="1"/>
  <c r="X46" i="324" s="1"/>
  <c r="X37" i="321"/>
  <c r="U129" i="325"/>
  <c r="U130" i="325" s="1"/>
  <c r="U135" i="325" s="1"/>
  <c r="U87" i="325" s="1"/>
  <c r="U28" i="326" s="1"/>
  <c r="U67" i="325"/>
  <c r="U68" i="325" s="1"/>
  <c r="U73" i="325" s="1"/>
  <c r="U25" i="325" s="1"/>
  <c r="U16" i="326" s="1"/>
  <c r="U20" i="326" s="1"/>
  <c r="U24" i="325"/>
  <c r="U15" i="326" s="1"/>
  <c r="W25" i="312"/>
  <c r="W112" i="313" s="1"/>
  <c r="T39" i="313"/>
  <c r="R100" i="260"/>
  <c r="T19" i="313"/>
  <c r="Q112" i="260"/>
  <c r="T35" i="313"/>
  <c r="U201" i="313"/>
  <c r="W27" i="312"/>
  <c r="W161" i="313" s="1"/>
  <c r="W168" i="313" s="1"/>
  <c r="V53" i="312"/>
  <c r="V192" i="313" s="1"/>
  <c r="V194" i="313" s="1"/>
  <c r="V200" i="329"/>
  <c r="V53" i="327"/>
  <c r="V192" i="329" s="1"/>
  <c r="V194" i="329" s="1"/>
  <c r="V200" i="313"/>
  <c r="V53" i="318"/>
  <c r="V192" i="320" s="1"/>
  <c r="V194" i="320" s="1"/>
  <c r="S43" i="313"/>
  <c r="R35" i="313"/>
  <c r="R43" i="313" s="1"/>
  <c r="V101" i="314"/>
  <c r="V110" i="314"/>
  <c r="V92" i="314"/>
  <c r="V118" i="314" s="1"/>
  <c r="V85" i="314" s="1"/>
  <c r="X32" i="314"/>
  <c r="Y10" i="318"/>
  <c r="Y16" i="319" s="1"/>
  <c r="Y10" i="312"/>
  <c r="Y10" i="315"/>
  <c r="X37" i="318"/>
  <c r="X37" i="312"/>
  <c r="X37" i="315"/>
  <c r="X40" i="315" s="1"/>
  <c r="X42" i="315" s="1"/>
  <c r="X43" i="315" s="1"/>
  <c r="X44" i="315" s="1"/>
  <c r="X46" i="315" s="1"/>
  <c r="U29" i="313"/>
  <c r="U33" i="313" s="1"/>
  <c r="U86" i="314"/>
  <c r="U27" i="313" s="1"/>
  <c r="U31" i="313" s="1"/>
  <c r="Z63" i="267"/>
  <c r="X84" i="314"/>
  <c r="X90" i="314"/>
  <c r="X76" i="314"/>
  <c r="T40" i="313"/>
  <c r="T20" i="313"/>
  <c r="U177" i="329"/>
  <c r="V33" i="308"/>
  <c r="V173" i="310" s="1"/>
  <c r="V201" i="310" s="1"/>
  <c r="V126" i="310"/>
  <c r="V181" i="310"/>
  <c r="V185" i="310" s="1"/>
  <c r="X14" i="308"/>
  <c r="X16" i="308" s="1"/>
  <c r="X17" i="308" s="1"/>
  <c r="X18" i="308" s="1"/>
  <c r="X20" i="308" s="1"/>
  <c r="X25" i="308" s="1"/>
  <c r="U170" i="317"/>
  <c r="V175" i="329"/>
  <c r="T177" i="323"/>
  <c r="T204" i="323" s="1"/>
  <c r="V112" i="306"/>
  <c r="V114" i="310"/>
  <c r="U170" i="303"/>
  <c r="V161" i="310"/>
  <c r="V168" i="310" s="1"/>
  <c r="V183" i="310"/>
  <c r="V187" i="310" s="1"/>
  <c r="U66" i="323"/>
  <c r="S23" i="329"/>
  <c r="S43" i="329" s="1"/>
  <c r="U170" i="326"/>
  <c r="T177" i="320"/>
  <c r="T204" i="320" s="1"/>
  <c r="V170" i="329"/>
  <c r="S23" i="326"/>
  <c r="S43" i="326" s="1"/>
  <c r="T177" i="317"/>
  <c r="T204" i="317" s="1"/>
  <c r="U170" i="323"/>
  <c r="V66" i="329"/>
  <c r="V170" i="313"/>
  <c r="T177" i="326"/>
  <c r="T204" i="326" s="1"/>
  <c r="W25" i="321"/>
  <c r="W26" i="321"/>
  <c r="W27" i="321"/>
  <c r="T21" i="326"/>
  <c r="T41" i="326"/>
  <c r="W26" i="318"/>
  <c r="W25" i="318"/>
  <c r="W27" i="318"/>
  <c r="T19" i="326"/>
  <c r="T39" i="326"/>
  <c r="T20" i="329"/>
  <c r="T40" i="329"/>
  <c r="W26" i="324"/>
  <c r="W27" i="324"/>
  <c r="W25" i="324"/>
  <c r="T20" i="326"/>
  <c r="T40" i="326"/>
  <c r="W25" i="315"/>
  <c r="W27" i="315"/>
  <c r="W26" i="315"/>
  <c r="V57" i="326"/>
  <c r="V64" i="326" s="1"/>
  <c r="V114" i="326"/>
  <c r="V161" i="326"/>
  <c r="V168" i="326" s="1"/>
  <c r="V32" i="315"/>
  <c r="V172" i="317" s="1"/>
  <c r="V112" i="317"/>
  <c r="V55" i="317"/>
  <c r="V62" i="317" s="1"/>
  <c r="V159" i="317"/>
  <c r="V166" i="317" s="1"/>
  <c r="U200" i="323"/>
  <c r="U175" i="323"/>
  <c r="U17" i="326"/>
  <c r="U17" i="329"/>
  <c r="V159" i="326"/>
  <c r="V166" i="326" s="1"/>
  <c r="V55" i="326"/>
  <c r="V62" i="326" s="1"/>
  <c r="V112" i="326"/>
  <c r="V32" i="324"/>
  <c r="V172" i="326" s="1"/>
  <c r="X14" i="321"/>
  <c r="X16" i="321" s="1"/>
  <c r="X17" i="321" s="1"/>
  <c r="X18" i="321" s="1"/>
  <c r="X20" i="321" s="1"/>
  <c r="X17" i="322"/>
  <c r="T23" i="323"/>
  <c r="V32" i="318"/>
  <c r="V172" i="320" s="1"/>
  <c r="V55" i="320"/>
  <c r="V62" i="320" s="1"/>
  <c r="V159" i="320"/>
  <c r="V166" i="320" s="1"/>
  <c r="V112" i="320"/>
  <c r="U200" i="320"/>
  <c r="U175" i="320"/>
  <c r="U200" i="317"/>
  <c r="U175" i="317"/>
  <c r="W57" i="329"/>
  <c r="W64" i="329" s="1"/>
  <c r="W161" i="329"/>
  <c r="W168" i="329" s="1"/>
  <c r="W114" i="329"/>
  <c r="V56" i="326"/>
  <c r="V63" i="326" s="1"/>
  <c r="V33" i="324"/>
  <c r="V173" i="326" s="1"/>
  <c r="V201" i="326" s="1"/>
  <c r="V160" i="326"/>
  <c r="V167" i="326" s="1"/>
  <c r="V113" i="326"/>
  <c r="X17" i="319"/>
  <c r="X14" i="318"/>
  <c r="X16" i="318" s="1"/>
  <c r="X17" i="318" s="1"/>
  <c r="X18" i="318" s="1"/>
  <c r="X20" i="318" s="1"/>
  <c r="U200" i="326"/>
  <c r="U175" i="326"/>
  <c r="V56" i="320"/>
  <c r="V63" i="320" s="1"/>
  <c r="V33" i="318"/>
  <c r="V173" i="320" s="1"/>
  <c r="V113" i="320"/>
  <c r="V160" i="320"/>
  <c r="V167" i="320" s="1"/>
  <c r="X14" i="315"/>
  <c r="X16" i="315" s="1"/>
  <c r="X17" i="315" s="1"/>
  <c r="X18" i="315" s="1"/>
  <c r="X20" i="315" s="1"/>
  <c r="U19" i="310"/>
  <c r="V175" i="313"/>
  <c r="W112" i="329"/>
  <c r="W55" i="329"/>
  <c r="W62" i="329" s="1"/>
  <c r="W159" i="329"/>
  <c r="W166" i="329" s="1"/>
  <c r="W32" i="327"/>
  <c r="W172" i="329" s="1"/>
  <c r="U66" i="320"/>
  <c r="T19" i="329"/>
  <c r="T39" i="329"/>
  <c r="W56" i="313"/>
  <c r="W63" i="313" s="1"/>
  <c r="W113" i="313"/>
  <c r="W160" i="313"/>
  <c r="W167" i="313" s="1"/>
  <c r="U66" i="326"/>
  <c r="V161" i="320"/>
  <c r="V168" i="320" s="1"/>
  <c r="V114" i="320"/>
  <c r="V57" i="320"/>
  <c r="V64" i="320" s="1"/>
  <c r="V56" i="317"/>
  <c r="V63" i="317" s="1"/>
  <c r="V160" i="317"/>
  <c r="V167" i="317" s="1"/>
  <c r="V113" i="317"/>
  <c r="V33" i="315"/>
  <c r="V173" i="317" s="1"/>
  <c r="V201" i="317" s="1"/>
  <c r="V112" i="323"/>
  <c r="V55" i="323"/>
  <c r="V62" i="323" s="1"/>
  <c r="V159" i="323"/>
  <c r="V166" i="323" s="1"/>
  <c r="V32" i="321"/>
  <c r="V172" i="323" s="1"/>
  <c r="V161" i="323"/>
  <c r="V168" i="323" s="1"/>
  <c r="V114" i="323"/>
  <c r="V57" i="323"/>
  <c r="V64" i="323" s="1"/>
  <c r="U66" i="317"/>
  <c r="V66" i="313"/>
  <c r="W160" i="329"/>
  <c r="W167" i="329" s="1"/>
  <c r="W113" i="329"/>
  <c r="W56" i="329"/>
  <c r="W63" i="329" s="1"/>
  <c r="W33" i="327"/>
  <c r="W173" i="329" s="1"/>
  <c r="U170" i="320"/>
  <c r="V114" i="317"/>
  <c r="V57" i="317"/>
  <c r="V64" i="317" s="1"/>
  <c r="V161" i="317"/>
  <c r="V168" i="317" s="1"/>
  <c r="T21" i="329"/>
  <c r="T41" i="329"/>
  <c r="V33" i="321"/>
  <c r="V173" i="323" s="1"/>
  <c r="V201" i="323" s="1"/>
  <c r="V113" i="323"/>
  <c r="V160" i="323"/>
  <c r="V167" i="323" s="1"/>
  <c r="V56" i="323"/>
  <c r="V63" i="323" s="1"/>
  <c r="W30" i="314"/>
  <c r="W56" i="314" s="1"/>
  <c r="W48" i="314"/>
  <c r="W39" i="314"/>
  <c r="X41" i="314"/>
  <c r="T82" i="317"/>
  <c r="T78" i="317"/>
  <c r="T85" i="317" s="1"/>
  <c r="V182" i="329"/>
  <c r="V186" i="329" s="1"/>
  <c r="V127" i="329"/>
  <c r="V71" i="329"/>
  <c r="V75" i="329" s="1"/>
  <c r="U74" i="329"/>
  <c r="U83" i="329"/>
  <c r="U74" i="320"/>
  <c r="U83" i="320"/>
  <c r="W49" i="312"/>
  <c r="W50" i="312"/>
  <c r="W48" i="312"/>
  <c r="W52" i="312" s="1"/>
  <c r="W191" i="313" s="1"/>
  <c r="V71" i="320"/>
  <c r="V75" i="320" s="1"/>
  <c r="V127" i="320"/>
  <c r="V182" i="320"/>
  <c r="V186" i="320" s="1"/>
  <c r="U189" i="323"/>
  <c r="U196" i="323" s="1"/>
  <c r="U202" i="323"/>
  <c r="V127" i="317"/>
  <c r="V71" i="317"/>
  <c r="V75" i="317" s="1"/>
  <c r="V182" i="317"/>
  <c r="V186" i="317" s="1"/>
  <c r="V128" i="310"/>
  <c r="X14" i="319"/>
  <c r="V183" i="329"/>
  <c r="V187" i="329" s="1"/>
  <c r="V72" i="329"/>
  <c r="V76" i="329" s="1"/>
  <c r="V128" i="329"/>
  <c r="V127" i="323"/>
  <c r="V71" i="323"/>
  <c r="V75" i="323" s="1"/>
  <c r="V182" i="323"/>
  <c r="V186" i="323" s="1"/>
  <c r="U189" i="320"/>
  <c r="U202" i="320"/>
  <c r="W48" i="321"/>
  <c r="W49" i="321"/>
  <c r="W50" i="321"/>
  <c r="V72" i="320"/>
  <c r="V76" i="320" s="1"/>
  <c r="V183" i="320"/>
  <c r="V187" i="320" s="1"/>
  <c r="V128" i="320"/>
  <c r="T78" i="313"/>
  <c r="T85" i="313" s="1"/>
  <c r="T82" i="313"/>
  <c r="V126" i="317"/>
  <c r="V70" i="317"/>
  <c r="V181" i="317"/>
  <c r="V185" i="317" s="1"/>
  <c r="X40" i="321"/>
  <c r="X42" i="321" s="1"/>
  <c r="X43" i="321" s="1"/>
  <c r="X44" i="321" s="1"/>
  <c r="X46" i="321" s="1"/>
  <c r="X14" i="322"/>
  <c r="U74" i="313"/>
  <c r="U83" i="313"/>
  <c r="V126" i="323"/>
  <c r="V70" i="323"/>
  <c r="V181" i="323"/>
  <c r="V185" i="323" s="1"/>
  <c r="W48" i="318"/>
  <c r="W52" i="318" s="1"/>
  <c r="W191" i="320" s="1"/>
  <c r="W50" i="318"/>
  <c r="W49" i="318"/>
  <c r="V181" i="320"/>
  <c r="V185" i="320" s="1"/>
  <c r="V126" i="320"/>
  <c r="V70" i="320"/>
  <c r="U74" i="317"/>
  <c r="U83" i="317"/>
  <c r="U74" i="326"/>
  <c r="U83" i="326"/>
  <c r="W194" i="326"/>
  <c r="U189" i="313"/>
  <c r="U196" i="313" s="1"/>
  <c r="U202" i="313"/>
  <c r="T78" i="329"/>
  <c r="T85" i="329" s="1"/>
  <c r="T82" i="329"/>
  <c r="V183" i="323"/>
  <c r="V187" i="323" s="1"/>
  <c r="V128" i="323"/>
  <c r="V72" i="323"/>
  <c r="V76" i="323" s="1"/>
  <c r="W49" i="324"/>
  <c r="W50" i="324"/>
  <c r="W48" i="324"/>
  <c r="U189" i="317"/>
  <c r="U196" i="317" s="1"/>
  <c r="U202" i="317"/>
  <c r="Y3" i="326"/>
  <c r="Y3" i="329"/>
  <c r="Y1" i="328"/>
  <c r="Y3" i="323"/>
  <c r="Y1" i="322"/>
  <c r="Y1" i="325"/>
  <c r="Y3" i="317"/>
  <c r="Y1" i="316"/>
  <c r="Y3" i="320"/>
  <c r="Y1" i="319"/>
  <c r="Y3" i="313"/>
  <c r="Y1" i="314"/>
  <c r="X151" i="329"/>
  <c r="X150" i="329"/>
  <c r="T78" i="326"/>
  <c r="T85" i="326" s="1"/>
  <c r="T82" i="326"/>
  <c r="W194" i="317"/>
  <c r="V72" i="326"/>
  <c r="V76" i="326" s="1"/>
  <c r="V183" i="326"/>
  <c r="V187" i="326" s="1"/>
  <c r="V128" i="326"/>
  <c r="W49" i="327"/>
  <c r="W48" i="327"/>
  <c r="W52" i="327" s="1"/>
  <c r="W191" i="329" s="1"/>
  <c r="W50" i="327"/>
  <c r="X22" i="314"/>
  <c r="X14" i="314"/>
  <c r="X28" i="314"/>
  <c r="X14" i="328"/>
  <c r="T78" i="323"/>
  <c r="T85" i="323" s="1"/>
  <c r="T82" i="323"/>
  <c r="V126" i="326"/>
  <c r="V70" i="326"/>
  <c r="V181" i="326"/>
  <c r="V185" i="326" s="1"/>
  <c r="V70" i="313"/>
  <c r="V126" i="313"/>
  <c r="V181" i="313"/>
  <c r="V185" i="313" s="1"/>
  <c r="V127" i="326"/>
  <c r="V71" i="326"/>
  <c r="V75" i="326" s="1"/>
  <c r="V182" i="326"/>
  <c r="V186" i="326" s="1"/>
  <c r="V72" i="313"/>
  <c r="V76" i="313" s="1"/>
  <c r="V183" i="313"/>
  <c r="V187" i="313" s="1"/>
  <c r="V128" i="313"/>
  <c r="X14" i="316"/>
  <c r="X14" i="325"/>
  <c r="W194" i="323"/>
  <c r="T78" i="320"/>
  <c r="T85" i="320" s="1"/>
  <c r="T82" i="320"/>
  <c r="V70" i="329"/>
  <c r="V181" i="329"/>
  <c r="V185" i="329" s="1"/>
  <c r="V126" i="329"/>
  <c r="U189" i="329"/>
  <c r="U196" i="329" s="1"/>
  <c r="U202" i="329"/>
  <c r="U74" i="323"/>
  <c r="U83" i="323"/>
  <c r="V183" i="317"/>
  <c r="V187" i="317" s="1"/>
  <c r="V128" i="317"/>
  <c r="V72" i="317"/>
  <c r="V76" i="317" s="1"/>
  <c r="V71" i="313"/>
  <c r="V75" i="313" s="1"/>
  <c r="V182" i="313"/>
  <c r="V186" i="313" s="1"/>
  <c r="V127" i="313"/>
  <c r="X21" i="304"/>
  <c r="X13" i="304"/>
  <c r="W26" i="308"/>
  <c r="W113" i="310" s="1"/>
  <c r="W27" i="308"/>
  <c r="W114" i="310" s="1"/>
  <c r="V70" i="303"/>
  <c r="V74" i="303" s="1"/>
  <c r="W49" i="308"/>
  <c r="W127" i="310" s="1"/>
  <c r="W48" i="308"/>
  <c r="W70" i="310" s="1"/>
  <c r="W74" i="310" s="1"/>
  <c r="W50" i="308"/>
  <c r="W183" i="310" s="1"/>
  <c r="W187" i="310" s="1"/>
  <c r="X63" i="309"/>
  <c r="X66" i="309" s="1"/>
  <c r="X67" i="309" s="1"/>
  <c r="X72" i="309" s="1"/>
  <c r="V55" i="306"/>
  <c r="V62" i="306" s="1"/>
  <c r="AA57" i="267"/>
  <c r="AA52" i="267"/>
  <c r="U41" i="303"/>
  <c r="U21" i="303"/>
  <c r="X37" i="271"/>
  <c r="X40" i="271" s="1"/>
  <c r="X42" i="271" s="1"/>
  <c r="X43" i="271" s="1"/>
  <c r="X44" i="271" s="1"/>
  <c r="X46" i="271" s="1"/>
  <c r="X37" i="308"/>
  <c r="X40" i="308" s="1"/>
  <c r="X42" i="308" s="1"/>
  <c r="X43" i="308" s="1"/>
  <c r="X44" i="308" s="1"/>
  <c r="X46" i="308" s="1"/>
  <c r="X37" i="305"/>
  <c r="X40" i="305" s="1"/>
  <c r="X42" i="305" s="1"/>
  <c r="X43" i="305" s="1"/>
  <c r="X44" i="305" s="1"/>
  <c r="X46" i="305" s="1"/>
  <c r="X37" i="302"/>
  <c r="X40" i="302" s="1"/>
  <c r="X42" i="302" s="1"/>
  <c r="X43" i="302" s="1"/>
  <c r="X44" i="302" s="1"/>
  <c r="X46" i="302" s="1"/>
  <c r="X49" i="302" s="1"/>
  <c r="X37" i="277"/>
  <c r="X40" i="277" s="1"/>
  <c r="X42" i="277" s="1"/>
  <c r="X43" i="277" s="1"/>
  <c r="X44" i="277" s="1"/>
  <c r="X46" i="277" s="1"/>
  <c r="Y10" i="277"/>
  <c r="X38" i="268"/>
  <c r="X38" i="277"/>
  <c r="X38" i="271"/>
  <c r="X38" i="308"/>
  <c r="X38" i="305"/>
  <c r="X38" i="302"/>
  <c r="V57" i="306"/>
  <c r="V64" i="306" s="1"/>
  <c r="R23" i="272"/>
  <c r="R43" i="272" s="1"/>
  <c r="T40" i="272"/>
  <c r="T20" i="272"/>
  <c r="T39" i="272"/>
  <c r="T19" i="272"/>
  <c r="S41" i="272"/>
  <c r="S101" i="260" s="1"/>
  <c r="S21" i="272"/>
  <c r="X28" i="272"/>
  <c r="X32" i="272" s="1"/>
  <c r="X27" i="272"/>
  <c r="X29" i="272"/>
  <c r="X33" i="272" s="1"/>
  <c r="S39" i="272"/>
  <c r="S19" i="272"/>
  <c r="U40" i="306"/>
  <c r="U20" i="306"/>
  <c r="V41" i="306"/>
  <c r="V21" i="306"/>
  <c r="U39" i="306"/>
  <c r="U19" i="306"/>
  <c r="V40" i="310"/>
  <c r="V20" i="310"/>
  <c r="T39" i="278"/>
  <c r="T19" i="278"/>
  <c r="S40" i="278"/>
  <c r="S20" i="278"/>
  <c r="S39" i="278"/>
  <c r="S19" i="278"/>
  <c r="T40" i="278"/>
  <c r="T20" i="278"/>
  <c r="X29" i="278"/>
  <c r="X33" i="278" s="1"/>
  <c r="X27" i="278"/>
  <c r="X28" i="278"/>
  <c r="X32" i="278" s="1"/>
  <c r="T41" i="269"/>
  <c r="T21" i="269"/>
  <c r="S39" i="269"/>
  <c r="S19" i="269"/>
  <c r="S40" i="269"/>
  <c r="S20" i="269"/>
  <c r="W9" i="269"/>
  <c r="V31" i="269"/>
  <c r="V35" i="269" s="1"/>
  <c r="W9" i="278"/>
  <c r="V31" i="278"/>
  <c r="V35" i="278" s="1"/>
  <c r="AB11" i="303"/>
  <c r="AA33" i="303"/>
  <c r="AA35" i="303" s="1"/>
  <c r="AA10" i="272"/>
  <c r="W9" i="272"/>
  <c r="V31" i="272"/>
  <c r="V35" i="272" s="1"/>
  <c r="AA10" i="278"/>
  <c r="AA11" i="272"/>
  <c r="Z10" i="269"/>
  <c r="AB11" i="310"/>
  <c r="AA33" i="310"/>
  <c r="AA35" i="310" s="1"/>
  <c r="AA11" i="278"/>
  <c r="V56" i="303"/>
  <c r="V63" i="303" s="1"/>
  <c r="AB11" i="306"/>
  <c r="AA33" i="306"/>
  <c r="AA35" i="306" s="1"/>
  <c r="Z11" i="269"/>
  <c r="V33" i="305"/>
  <c r="V173" i="306" s="1"/>
  <c r="V159" i="306"/>
  <c r="V166" i="306" s="1"/>
  <c r="V161" i="306"/>
  <c r="V168" i="306" s="1"/>
  <c r="W50" i="302"/>
  <c r="W128" i="303" s="1"/>
  <c r="V55" i="304"/>
  <c r="V22" i="304" s="1"/>
  <c r="V17" i="303" s="1"/>
  <c r="W29" i="309"/>
  <c r="W55" i="309" s="1"/>
  <c r="W22" i="309" s="1"/>
  <c r="W17" i="310" s="1"/>
  <c r="V33" i="302"/>
  <c r="V173" i="303" s="1"/>
  <c r="V113" i="303"/>
  <c r="W47" i="309"/>
  <c r="V126" i="303"/>
  <c r="T23" i="310"/>
  <c r="T43" i="310" s="1"/>
  <c r="W63" i="304"/>
  <c r="W66" i="304" s="1"/>
  <c r="W67" i="304" s="1"/>
  <c r="W72" i="304" s="1"/>
  <c r="V55" i="303"/>
  <c r="V62" i="303" s="1"/>
  <c r="V112" i="303"/>
  <c r="V159" i="303"/>
  <c r="V166" i="303" s="1"/>
  <c r="U83" i="303"/>
  <c r="X14" i="271"/>
  <c r="X16" i="271" s="1"/>
  <c r="X17" i="271" s="1"/>
  <c r="X18" i="271" s="1"/>
  <c r="X20" i="271" s="1"/>
  <c r="X16" i="273"/>
  <c r="X59" i="273" s="1"/>
  <c r="X14" i="277"/>
  <c r="X16" i="277" s="1"/>
  <c r="X17" i="277" s="1"/>
  <c r="X18" i="277" s="1"/>
  <c r="X20" i="277" s="1"/>
  <c r="X16" i="279"/>
  <c r="X59" i="279" s="1"/>
  <c r="V17" i="310"/>
  <c r="V23" i="309"/>
  <c r="V15" i="310" s="1"/>
  <c r="U23" i="304"/>
  <c r="U15" i="303" s="1"/>
  <c r="U24" i="304"/>
  <c r="U16" i="303" s="1"/>
  <c r="W40" i="304"/>
  <c r="W31" i="304"/>
  <c r="W55" i="304" s="1"/>
  <c r="W22" i="304" s="1"/>
  <c r="V183" i="303"/>
  <c r="V187" i="303" s="1"/>
  <c r="V189" i="303" s="1"/>
  <c r="V196" i="303" s="1"/>
  <c r="V72" i="303"/>
  <c r="V76" i="303" s="1"/>
  <c r="X14" i="268"/>
  <c r="X16" i="268" s="1"/>
  <c r="X16" i="270"/>
  <c r="X59" i="270" s="1"/>
  <c r="W49" i="302"/>
  <c r="W127" i="303" s="1"/>
  <c r="X59" i="304"/>
  <c r="U202" i="303"/>
  <c r="T204" i="306"/>
  <c r="V78" i="310"/>
  <c r="T85" i="306"/>
  <c r="U66" i="306"/>
  <c r="S23" i="306"/>
  <c r="S43" i="306" s="1"/>
  <c r="W55" i="306"/>
  <c r="W62" i="306" s="1"/>
  <c r="W32" i="305"/>
  <c r="W172" i="306" s="1"/>
  <c r="W200" i="306" s="1"/>
  <c r="W26" i="305"/>
  <c r="W113" i="306" s="1"/>
  <c r="U170" i="306"/>
  <c r="X194" i="310"/>
  <c r="V24" i="307"/>
  <c r="V16" i="306" s="1"/>
  <c r="X194" i="306"/>
  <c r="X27" i="307"/>
  <c r="X13" i="307"/>
  <c r="X21" i="307"/>
  <c r="Y1" i="304"/>
  <c r="Y27" i="304" s="1"/>
  <c r="Y1" i="309"/>
  <c r="Y1" i="307"/>
  <c r="X27" i="309"/>
  <c r="X13" i="309"/>
  <c r="X21" i="309"/>
  <c r="W32" i="308"/>
  <c r="W172" i="310" s="1"/>
  <c r="W55" i="310"/>
  <c r="W159" i="310"/>
  <c r="W166" i="310" s="1"/>
  <c r="W112" i="310"/>
  <c r="U82" i="310"/>
  <c r="U66" i="310"/>
  <c r="U85" i="310" s="1"/>
  <c r="R23" i="303"/>
  <c r="R43" i="303" s="1"/>
  <c r="W29" i="307"/>
  <c r="W55" i="307" s="1"/>
  <c r="W22" i="307" s="1"/>
  <c r="W17" i="306" s="1"/>
  <c r="W47" i="307"/>
  <c r="W38" i="307"/>
  <c r="Y60" i="309"/>
  <c r="U201" i="306"/>
  <c r="U175" i="306"/>
  <c r="W112" i="306"/>
  <c r="V200" i="310"/>
  <c r="X14" i="305"/>
  <c r="X16" i="305" s="1"/>
  <c r="X17" i="305" s="1"/>
  <c r="X18" i="305" s="1"/>
  <c r="X20" i="305" s="1"/>
  <c r="X26" i="305" s="1"/>
  <c r="X60" i="307"/>
  <c r="W27" i="305"/>
  <c r="V23" i="307"/>
  <c r="V15" i="306" s="1"/>
  <c r="W66" i="307"/>
  <c r="W67" i="307" s="1"/>
  <c r="W72" i="307" s="1"/>
  <c r="V182" i="306"/>
  <c r="V186" i="306" s="1"/>
  <c r="V127" i="306"/>
  <c r="V71" i="306"/>
  <c r="V75" i="306" s="1"/>
  <c r="V126" i="306"/>
  <c r="V70" i="306"/>
  <c r="V74" i="306" s="1"/>
  <c r="V181" i="306"/>
  <c r="V185" i="306" s="1"/>
  <c r="U76" i="306"/>
  <c r="U83" i="306"/>
  <c r="V183" i="306"/>
  <c r="V187" i="306" s="1"/>
  <c r="V72" i="306"/>
  <c r="V128" i="306"/>
  <c r="U189" i="306"/>
  <c r="U196" i="306" s="1"/>
  <c r="U202" i="306"/>
  <c r="X194" i="303"/>
  <c r="X60" i="304"/>
  <c r="X14" i="302"/>
  <c r="X16" i="302" s="1"/>
  <c r="X17" i="302" s="1"/>
  <c r="X18" i="302" s="1"/>
  <c r="X20" i="302" s="1"/>
  <c r="X26" i="302" s="1"/>
  <c r="W26" i="302"/>
  <c r="W160" i="303" s="1"/>
  <c r="W167" i="303" s="1"/>
  <c r="U17" i="269"/>
  <c r="T15" i="269"/>
  <c r="W47" i="304"/>
  <c r="W27" i="302"/>
  <c r="W114" i="303" s="1"/>
  <c r="R173" i="269"/>
  <c r="R201" i="269" s="1"/>
  <c r="R201" i="303"/>
  <c r="AA56" i="267"/>
  <c r="AA58" i="267" s="1"/>
  <c r="W38" i="304"/>
  <c r="T16" i="269"/>
  <c r="Q23" i="303"/>
  <c r="Q43" i="303" s="1"/>
  <c r="Q175" i="303"/>
  <c r="Q177" i="303" s="1"/>
  <c r="Q204" i="303" s="1"/>
  <c r="R172" i="269"/>
  <c r="R200" i="269" s="1"/>
  <c r="W49" i="305"/>
  <c r="W50" i="305"/>
  <c r="W48" i="305"/>
  <c r="U82" i="303"/>
  <c r="U66" i="303"/>
  <c r="U85" i="303" s="1"/>
  <c r="W126" i="303"/>
  <c r="W70" i="303"/>
  <c r="W74" i="303" s="1"/>
  <c r="W181" i="303"/>
  <c r="W185" i="303" s="1"/>
  <c r="W32" i="302"/>
  <c r="W172" i="303" s="1"/>
  <c r="W159" i="303"/>
  <c r="W166" i="303" s="1"/>
  <c r="W112" i="303"/>
  <c r="W55" i="303"/>
  <c r="W62" i="303" s="1"/>
  <c r="U55" i="273"/>
  <c r="U22" i="273" s="1"/>
  <c r="U24" i="273" s="1"/>
  <c r="U16" i="272" s="1"/>
  <c r="U17" i="278"/>
  <c r="U24" i="279"/>
  <c r="U16" i="278" s="1"/>
  <c r="U23" i="279"/>
  <c r="U15" i="278" s="1"/>
  <c r="AH42" i="260"/>
  <c r="AG93" i="260"/>
  <c r="AG98" i="260"/>
  <c r="AG59" i="260"/>
  <c r="AG76" i="260"/>
  <c r="V38" i="273"/>
  <c r="X21" i="270"/>
  <c r="X27" i="270"/>
  <c r="X13" i="270"/>
  <c r="V29" i="273"/>
  <c r="Y3" i="278"/>
  <c r="Y1" i="273"/>
  <c r="Y1" i="270"/>
  <c r="AA51" i="267"/>
  <c r="AB2" i="267"/>
  <c r="Y1" i="279"/>
  <c r="Y3" i="272"/>
  <c r="X21" i="273"/>
  <c r="X27" i="273"/>
  <c r="X13" i="273"/>
  <c r="X13" i="279"/>
  <c r="X27" i="279"/>
  <c r="X21" i="279"/>
  <c r="X37" i="268"/>
  <c r="X40" i="268" s="1"/>
  <c r="X42" i="268" s="1"/>
  <c r="Z53" i="267"/>
  <c r="S85" i="278"/>
  <c r="W47" i="279"/>
  <c r="W60" i="279"/>
  <c r="W63" i="279" s="1"/>
  <c r="W66" i="279" s="1"/>
  <c r="W67" i="279" s="1"/>
  <c r="W72" i="279" s="1"/>
  <c r="Y10" i="271"/>
  <c r="Y15" i="273" s="1"/>
  <c r="V29" i="279"/>
  <c r="V55" i="279" s="1"/>
  <c r="V22" i="279" s="1"/>
  <c r="V17" i="278" s="1"/>
  <c r="V38" i="279"/>
  <c r="W29" i="273"/>
  <c r="W60" i="273"/>
  <c r="W63" i="273" s="1"/>
  <c r="W66" i="273" s="1"/>
  <c r="W67" i="273" s="1"/>
  <c r="W72" i="273" s="1"/>
  <c r="V114" i="278"/>
  <c r="V161" i="278"/>
  <c r="V168" i="278" s="1"/>
  <c r="V57" i="278"/>
  <c r="V32" i="277"/>
  <c r="V172" i="278" s="1"/>
  <c r="V112" i="278"/>
  <c r="V159" i="278"/>
  <c r="V55" i="278"/>
  <c r="V62" i="278" s="1"/>
  <c r="V113" i="278"/>
  <c r="V160" i="278"/>
  <c r="V167" i="278" s="1"/>
  <c r="V56" i="278"/>
  <c r="V183" i="278"/>
  <c r="V128" i="278"/>
  <c r="V72" i="278"/>
  <c r="V181" i="278"/>
  <c r="V185" i="278" s="1"/>
  <c r="V126" i="278"/>
  <c r="V70" i="278"/>
  <c r="V182" i="278"/>
  <c r="V186" i="278" s="1"/>
  <c r="V127" i="278"/>
  <c r="V71" i="278"/>
  <c r="W49" i="277"/>
  <c r="W50" i="277"/>
  <c r="W48" i="277"/>
  <c r="AA53" i="277"/>
  <c r="AA192" i="278" s="1"/>
  <c r="AA52" i="277"/>
  <c r="AA191" i="278" s="1"/>
  <c r="W25" i="277"/>
  <c r="W27" i="277"/>
  <c r="W26" i="277"/>
  <c r="V33" i="277"/>
  <c r="V173" i="278" s="1"/>
  <c r="V126" i="272"/>
  <c r="V181" i="272"/>
  <c r="V185" i="272" s="1"/>
  <c r="V70" i="272"/>
  <c r="V74" i="272" s="1"/>
  <c r="V127" i="272"/>
  <c r="V182" i="272"/>
  <c r="V71" i="272"/>
  <c r="V75" i="272" s="1"/>
  <c r="V56" i="272"/>
  <c r="V113" i="272"/>
  <c r="V160" i="272"/>
  <c r="V33" i="271"/>
  <c r="V173" i="272" s="1"/>
  <c r="V128" i="272"/>
  <c r="V183" i="272"/>
  <c r="V187" i="272" s="1"/>
  <c r="V72" i="272"/>
  <c r="V76" i="272" s="1"/>
  <c r="W25" i="271"/>
  <c r="W27" i="271"/>
  <c r="W26" i="271"/>
  <c r="V32" i="271"/>
  <c r="V172" i="272" s="1"/>
  <c r="V55" i="272"/>
  <c r="V112" i="272"/>
  <c r="V159" i="272"/>
  <c r="W50" i="271"/>
  <c r="W49" i="271"/>
  <c r="W48" i="271"/>
  <c r="V57" i="272"/>
  <c r="V114" i="272"/>
  <c r="V161" i="272"/>
  <c r="Z52" i="271"/>
  <c r="Z191" i="272" s="1"/>
  <c r="Z53" i="271"/>
  <c r="Z192" i="272" s="1"/>
  <c r="U74" i="278"/>
  <c r="T166" i="278"/>
  <c r="T202" i="278" s="1"/>
  <c r="U64" i="272"/>
  <c r="X14" i="273"/>
  <c r="X14" i="279"/>
  <c r="T62" i="278"/>
  <c r="T82" i="278" s="1"/>
  <c r="U187" i="272"/>
  <c r="U189" i="272" s="1"/>
  <c r="Y52" i="268"/>
  <c r="Y191" i="269" s="1"/>
  <c r="Y53" i="268"/>
  <c r="Y192" i="269" s="1"/>
  <c r="Y6" i="271"/>
  <c r="Y6" i="277"/>
  <c r="T66" i="272"/>
  <c r="T200" i="278"/>
  <c r="U167" i="278"/>
  <c r="U63" i="278"/>
  <c r="U201" i="278"/>
  <c r="T170" i="272"/>
  <c r="U168" i="278"/>
  <c r="U64" i="278"/>
  <c r="W40" i="279"/>
  <c r="W31" i="279"/>
  <c r="U62" i="278"/>
  <c r="U166" i="278"/>
  <c r="U166" i="272"/>
  <c r="U62" i="272"/>
  <c r="U167" i="272"/>
  <c r="U63" i="272"/>
  <c r="T200" i="272"/>
  <c r="W40" i="273"/>
  <c r="W31" i="273"/>
  <c r="T74" i="272"/>
  <c r="T83" i="272"/>
  <c r="U189" i="278"/>
  <c r="T202" i="272"/>
  <c r="T189" i="272"/>
  <c r="T78" i="278"/>
  <c r="U74" i="272"/>
  <c r="S82" i="272"/>
  <c r="S78" i="272"/>
  <c r="S85" i="272" s="1"/>
  <c r="AB2" i="277"/>
  <c r="R66" i="269"/>
  <c r="R23" i="269"/>
  <c r="R43" i="269" s="1"/>
  <c r="U26" i="268"/>
  <c r="Z3" i="269"/>
  <c r="V55" i="270"/>
  <c r="V22" i="270" s="1"/>
  <c r="U23" i="270"/>
  <c r="U24" i="270"/>
  <c r="AA2" i="271"/>
  <c r="V66" i="270"/>
  <c r="V67" i="270" s="1"/>
  <c r="V72" i="270" s="1"/>
  <c r="S160" i="269"/>
  <c r="S167" i="269" s="1"/>
  <c r="S56" i="269"/>
  <c r="S63" i="269" s="1"/>
  <c r="S113" i="269"/>
  <c r="S33" i="268"/>
  <c r="T27" i="268"/>
  <c r="T25" i="268"/>
  <c r="T26" i="268"/>
  <c r="S112" i="269"/>
  <c r="S55" i="269"/>
  <c r="S62" i="269" s="1"/>
  <c r="S159" i="269"/>
  <c r="S166" i="269" s="1"/>
  <c r="S32" i="268"/>
  <c r="R170" i="269"/>
  <c r="V17" i="268"/>
  <c r="V18" i="268" s="1"/>
  <c r="V20" i="268" s="1"/>
  <c r="W29" i="270"/>
  <c r="W47" i="270"/>
  <c r="W38" i="270"/>
  <c r="W31" i="270"/>
  <c r="W40" i="270"/>
  <c r="X14" i="270"/>
  <c r="W60" i="270"/>
  <c r="W63" i="270" s="1"/>
  <c r="S57" i="269"/>
  <c r="S64" i="269" s="1"/>
  <c r="S161" i="269"/>
  <c r="S168" i="269" s="1"/>
  <c r="S114" i="269"/>
  <c r="Z2" i="268"/>
  <c r="W2" i="264"/>
  <c r="W17" i="264" s="1"/>
  <c r="T43" i="320" l="1"/>
  <c r="U202" i="326"/>
  <c r="X27" i="312"/>
  <c r="X26" i="312"/>
  <c r="X113" i="313" s="1"/>
  <c r="Y10" i="308"/>
  <c r="X14" i="324"/>
  <c r="X16" i="324" s="1"/>
  <c r="X17" i="324" s="1"/>
  <c r="X18" i="324" s="1"/>
  <c r="X20" i="324" s="1"/>
  <c r="AA61" i="267"/>
  <c r="AA63" i="267" s="1"/>
  <c r="V64" i="314"/>
  <c r="U131" i="320"/>
  <c r="AB8" i="267"/>
  <c r="AB9" i="267"/>
  <c r="AB7" i="267"/>
  <c r="Z6" i="302" s="1"/>
  <c r="Z14" i="304" s="1"/>
  <c r="AB10" i="267"/>
  <c r="Z6" i="305" s="1"/>
  <c r="Z14" i="307" s="1"/>
  <c r="AB12" i="267"/>
  <c r="AB11" i="267"/>
  <c r="Y10" i="302"/>
  <c r="Y16" i="304" s="1"/>
  <c r="Y59" i="304" s="1"/>
  <c r="X17" i="325"/>
  <c r="AA66" i="267"/>
  <c r="Y10" i="305"/>
  <c r="Y10" i="268"/>
  <c r="Y15" i="270" s="1"/>
  <c r="Z101" i="269"/>
  <c r="Z102" i="269"/>
  <c r="Z100" i="269"/>
  <c r="Z98" i="269"/>
  <c r="Z96" i="269"/>
  <c r="Z92" i="269"/>
  <c r="Z103" i="269"/>
  <c r="Z97" i="269"/>
  <c r="Z90" i="269"/>
  <c r="Z93" i="269"/>
  <c r="Z91" i="269"/>
  <c r="Z95" i="269"/>
  <c r="AB40" i="267"/>
  <c r="AB30" i="267"/>
  <c r="AB44" i="267"/>
  <c r="AB46" i="267" s="1"/>
  <c r="AB29" i="267"/>
  <c r="AB31" i="267" s="1"/>
  <c r="AB45" i="267"/>
  <c r="AB39" i="267"/>
  <c r="AB41" i="267" s="1"/>
  <c r="X32" i="316"/>
  <c r="X41" i="316"/>
  <c r="X40" i="309"/>
  <c r="X31" i="309"/>
  <c r="X41" i="319"/>
  <c r="X32" i="319"/>
  <c r="Y11" i="268"/>
  <c r="Y17" i="270" s="1"/>
  <c r="Y11" i="308"/>
  <c r="Y17" i="309" s="1"/>
  <c r="Y11" i="277"/>
  <c r="Y17" i="279" s="1"/>
  <c r="Y11" i="302"/>
  <c r="Y17" i="304" s="1"/>
  <c r="Y11" i="315"/>
  <c r="Y18" i="316" s="1"/>
  <c r="Y11" i="312"/>
  <c r="Y18" i="314" s="1"/>
  <c r="Y11" i="318"/>
  <c r="Y18" i="319" s="1"/>
  <c r="U143" i="320"/>
  <c r="U130" i="320"/>
  <c r="U196" i="320"/>
  <c r="U201" i="320"/>
  <c r="U142" i="320"/>
  <c r="U132" i="320"/>
  <c r="U141" i="320"/>
  <c r="U133" i="320"/>
  <c r="U140" i="320"/>
  <c r="U177" i="313"/>
  <c r="U204" i="313" s="1"/>
  <c r="X60" i="314"/>
  <c r="X126" i="314" s="1"/>
  <c r="W92" i="328"/>
  <c r="W110" i="316"/>
  <c r="W92" i="316"/>
  <c r="W118" i="316" s="1"/>
  <c r="W85" i="316" s="1"/>
  <c r="W101" i="328"/>
  <c r="W118" i="328" s="1"/>
  <c r="W85" i="328" s="1"/>
  <c r="W29" i="329" s="1"/>
  <c r="W33" i="329" s="1"/>
  <c r="X63" i="307"/>
  <c r="W101" i="319"/>
  <c r="W118" i="319" s="1"/>
  <c r="W85" i="319" s="1"/>
  <c r="W92" i="325"/>
  <c r="Y77" i="314"/>
  <c r="Y15" i="314"/>
  <c r="Y77" i="322"/>
  <c r="Y15" i="322"/>
  <c r="Y77" i="316"/>
  <c r="Y15" i="316"/>
  <c r="Y77" i="325"/>
  <c r="Y15" i="325"/>
  <c r="Y77" i="328"/>
  <c r="Y15" i="328"/>
  <c r="Z6" i="327"/>
  <c r="Z6" i="315"/>
  <c r="Z6" i="318"/>
  <c r="Z6" i="321"/>
  <c r="Z6" i="308"/>
  <c r="Z14" i="309" s="1"/>
  <c r="Z6" i="312"/>
  <c r="Z6" i="324"/>
  <c r="Y77" i="319"/>
  <c r="Y15" i="319"/>
  <c r="Y100" i="329"/>
  <c r="Y101" i="329"/>
  <c r="Y103" i="329"/>
  <c r="Y102" i="329"/>
  <c r="Y93" i="329"/>
  <c r="Y97" i="329"/>
  <c r="Y95" i="329"/>
  <c r="Y98" i="329"/>
  <c r="Y96" i="329"/>
  <c r="Y92" i="329"/>
  <c r="Y91" i="329"/>
  <c r="Y90" i="329"/>
  <c r="Y102" i="272"/>
  <c r="Y103" i="272"/>
  <c r="Y100" i="272"/>
  <c r="Y101" i="272"/>
  <c r="Y92" i="272"/>
  <c r="Y96" i="272"/>
  <c r="Y93" i="272"/>
  <c r="Y90" i="272"/>
  <c r="Y91" i="272"/>
  <c r="Y98" i="272"/>
  <c r="Y95" i="272"/>
  <c r="Y97" i="272"/>
  <c r="Y100" i="320"/>
  <c r="Y101" i="320"/>
  <c r="Y102" i="320"/>
  <c r="Y103" i="320"/>
  <c r="Y91" i="320"/>
  <c r="Y98" i="320"/>
  <c r="Y96" i="320"/>
  <c r="Y92" i="320"/>
  <c r="Y93" i="320"/>
  <c r="Y97" i="320"/>
  <c r="Y95" i="320"/>
  <c r="Y90" i="320"/>
  <c r="Y100" i="326"/>
  <c r="Y101" i="326"/>
  <c r="Y102" i="326"/>
  <c r="Y103" i="326"/>
  <c r="Y97" i="326"/>
  <c r="Y95" i="326"/>
  <c r="Y90" i="326"/>
  <c r="Y91" i="326"/>
  <c r="Y98" i="326"/>
  <c r="Y96" i="326"/>
  <c r="Y92" i="326"/>
  <c r="Y93" i="326"/>
  <c r="W92" i="322"/>
  <c r="Y100" i="323"/>
  <c r="Y103" i="323"/>
  <c r="Y101" i="323"/>
  <c r="Y102" i="323"/>
  <c r="Y97" i="323"/>
  <c r="Y95" i="323"/>
  <c r="Y90" i="323"/>
  <c r="Y91" i="323"/>
  <c r="Y96" i="323"/>
  <c r="Y93" i="323"/>
  <c r="Y98" i="323"/>
  <c r="Y92" i="323"/>
  <c r="W110" i="322"/>
  <c r="Y102" i="278"/>
  <c r="Y101" i="278"/>
  <c r="Y100" i="278"/>
  <c r="Y93" i="278"/>
  <c r="Y103" i="278"/>
  <c r="Y97" i="278"/>
  <c r="Y95" i="278"/>
  <c r="Y90" i="278"/>
  <c r="Y91" i="278"/>
  <c r="Y96" i="278"/>
  <c r="Y98" i="278"/>
  <c r="Y92" i="278"/>
  <c r="Y102" i="313"/>
  <c r="Y103" i="313"/>
  <c r="Y100" i="313"/>
  <c r="Y101" i="313"/>
  <c r="Y98" i="313"/>
  <c r="Y97" i="313"/>
  <c r="Y91" i="313"/>
  <c r="Y96" i="313"/>
  <c r="Y92" i="313"/>
  <c r="Y95" i="313"/>
  <c r="Y90" i="313"/>
  <c r="Y93" i="313"/>
  <c r="Y103" i="317"/>
  <c r="Y100" i="317"/>
  <c r="Y101" i="317"/>
  <c r="Y102" i="317"/>
  <c r="Y97" i="317"/>
  <c r="Y95" i="317"/>
  <c r="Y90" i="317"/>
  <c r="Y91" i="317"/>
  <c r="Y96" i="317"/>
  <c r="Y93" i="317"/>
  <c r="Y98" i="317"/>
  <c r="Y92" i="317"/>
  <c r="X25" i="327"/>
  <c r="X159" i="329" s="1"/>
  <c r="X166" i="329" s="1"/>
  <c r="X26" i="327"/>
  <c r="X33" i="327" s="1"/>
  <c r="X173" i="329" s="1"/>
  <c r="V141" i="313"/>
  <c r="V142" i="329"/>
  <c r="V140" i="272"/>
  <c r="V141" i="272"/>
  <c r="V142" i="272"/>
  <c r="V118" i="272"/>
  <c r="V143" i="272"/>
  <c r="V119" i="272"/>
  <c r="V116" i="272"/>
  <c r="V117" i="272"/>
  <c r="V132" i="278"/>
  <c r="V133" i="278"/>
  <c r="V130" i="278"/>
  <c r="V131" i="278"/>
  <c r="W118" i="310"/>
  <c r="W119" i="310"/>
  <c r="W116" i="310"/>
  <c r="W117" i="310"/>
  <c r="V142" i="317"/>
  <c r="V118" i="317"/>
  <c r="V143" i="317"/>
  <c r="V119" i="317"/>
  <c r="V140" i="317"/>
  <c r="V116" i="317"/>
  <c r="V141" i="317"/>
  <c r="V117" i="317"/>
  <c r="V142" i="310"/>
  <c r="V143" i="310"/>
  <c r="V140" i="310"/>
  <c r="V117" i="310"/>
  <c r="V141" i="310"/>
  <c r="V118" i="310"/>
  <c r="V119" i="310"/>
  <c r="V116" i="310"/>
  <c r="V131" i="323"/>
  <c r="V132" i="323"/>
  <c r="V133" i="323"/>
  <c r="V130" i="323"/>
  <c r="V132" i="317"/>
  <c r="V133" i="317"/>
  <c r="V130" i="317"/>
  <c r="V131" i="317"/>
  <c r="W119" i="329"/>
  <c r="W116" i="329"/>
  <c r="W117" i="329"/>
  <c r="W118" i="329"/>
  <c r="V143" i="306"/>
  <c r="V142" i="306"/>
  <c r="V140" i="306"/>
  <c r="V117" i="306"/>
  <c r="V118" i="306"/>
  <c r="V141" i="306"/>
  <c r="V119" i="306"/>
  <c r="V116" i="306"/>
  <c r="V143" i="313"/>
  <c r="V141" i="329"/>
  <c r="V132" i="310"/>
  <c r="V133" i="310"/>
  <c r="V130" i="310"/>
  <c r="V131" i="310"/>
  <c r="V142" i="278"/>
  <c r="V118" i="278"/>
  <c r="V143" i="278"/>
  <c r="V119" i="278"/>
  <c r="V140" i="278"/>
  <c r="V116" i="278"/>
  <c r="V117" i="278"/>
  <c r="V141" i="278"/>
  <c r="V133" i="303"/>
  <c r="V130" i="303"/>
  <c r="V131" i="303"/>
  <c r="V132" i="303"/>
  <c r="V131" i="313"/>
  <c r="V132" i="313"/>
  <c r="V133" i="313"/>
  <c r="V130" i="313"/>
  <c r="V132" i="326"/>
  <c r="V133" i="326"/>
  <c r="V130" i="326"/>
  <c r="V131" i="326"/>
  <c r="V133" i="320"/>
  <c r="V131" i="320"/>
  <c r="V132" i="320"/>
  <c r="V130" i="320"/>
  <c r="W130" i="303"/>
  <c r="W131" i="303"/>
  <c r="W132" i="303"/>
  <c r="W133" i="303"/>
  <c r="V133" i="306"/>
  <c r="V131" i="306"/>
  <c r="V132" i="306"/>
  <c r="V130" i="306"/>
  <c r="S119" i="269"/>
  <c r="S116" i="269"/>
  <c r="S117" i="269"/>
  <c r="S118" i="269"/>
  <c r="V131" i="272"/>
  <c r="V132" i="272"/>
  <c r="V133" i="272"/>
  <c r="V130" i="272"/>
  <c r="V143" i="303"/>
  <c r="V119" i="303"/>
  <c r="V140" i="303"/>
  <c r="V116" i="303"/>
  <c r="V141" i="303"/>
  <c r="V117" i="303"/>
  <c r="V118" i="303"/>
  <c r="V142" i="303"/>
  <c r="V132" i="329"/>
  <c r="V133" i="329"/>
  <c r="V130" i="329"/>
  <c r="V131" i="329"/>
  <c r="V141" i="323"/>
  <c r="V117" i="323"/>
  <c r="V142" i="323"/>
  <c r="V118" i="323"/>
  <c r="V143" i="323"/>
  <c r="V119" i="323"/>
  <c r="V116" i="323"/>
  <c r="V140" i="323"/>
  <c r="V143" i="320"/>
  <c r="V119" i="320"/>
  <c r="V140" i="320"/>
  <c r="V141" i="320"/>
  <c r="V142" i="320"/>
  <c r="V116" i="320"/>
  <c r="V117" i="320"/>
  <c r="V118" i="320"/>
  <c r="V142" i="326"/>
  <c r="V118" i="326"/>
  <c r="V143" i="326"/>
  <c r="V119" i="326"/>
  <c r="V140" i="326"/>
  <c r="V116" i="326"/>
  <c r="V117" i="326"/>
  <c r="V141" i="326"/>
  <c r="V140" i="313"/>
  <c r="V142" i="313"/>
  <c r="V140" i="329"/>
  <c r="V143" i="329"/>
  <c r="W101" i="325"/>
  <c r="W118" i="325" s="1"/>
  <c r="W85" i="325" s="1"/>
  <c r="W29" i="326" s="1"/>
  <c r="W33" i="326" s="1"/>
  <c r="Z107" i="269"/>
  <c r="Z105" i="269"/>
  <c r="Z108" i="269"/>
  <c r="Z106" i="269"/>
  <c r="Y107" i="278"/>
  <c r="Y106" i="278"/>
  <c r="Y108" i="278"/>
  <c r="Y105" i="278"/>
  <c r="W49" i="315"/>
  <c r="W127" i="317" s="1"/>
  <c r="Y107" i="323"/>
  <c r="Y106" i="323"/>
  <c r="Y105" i="323"/>
  <c r="Y108" i="323"/>
  <c r="Y108" i="272"/>
  <c r="Y107" i="272"/>
  <c r="Y106" i="272"/>
  <c r="Y105" i="272"/>
  <c r="Y107" i="320"/>
  <c r="Y106" i="320"/>
  <c r="Y105" i="320"/>
  <c r="Y108" i="320"/>
  <c r="Y106" i="326"/>
  <c r="Y105" i="326"/>
  <c r="Y107" i="326"/>
  <c r="Y108" i="326"/>
  <c r="Y107" i="313"/>
  <c r="Y106" i="313"/>
  <c r="Y108" i="313"/>
  <c r="Y105" i="313"/>
  <c r="Y107" i="317"/>
  <c r="Y106" i="317"/>
  <c r="Y105" i="317"/>
  <c r="Y108" i="317"/>
  <c r="Y107" i="329"/>
  <c r="Y108" i="329"/>
  <c r="Y106" i="329"/>
  <c r="Y105" i="329"/>
  <c r="X78" i="322"/>
  <c r="X110" i="322" s="1"/>
  <c r="X79" i="322"/>
  <c r="Y14" i="327"/>
  <c r="Y16" i="327" s="1"/>
  <c r="Y17" i="327" s="1"/>
  <c r="Y18" i="327" s="1"/>
  <c r="Y20" i="327" s="1"/>
  <c r="Y27" i="327" s="1"/>
  <c r="Y16" i="328"/>
  <c r="Y17" i="328"/>
  <c r="W126" i="314"/>
  <c r="W64" i="314"/>
  <c r="X79" i="316"/>
  <c r="X78" i="316"/>
  <c r="X92" i="316" s="1"/>
  <c r="X78" i="325"/>
  <c r="X110" i="325" s="1"/>
  <c r="X79" i="325"/>
  <c r="V129" i="314"/>
  <c r="V130" i="314" s="1"/>
  <c r="V135" i="314" s="1"/>
  <c r="V87" i="314" s="1"/>
  <c r="V28" i="313" s="1"/>
  <c r="V32" i="313" s="1"/>
  <c r="V67" i="314"/>
  <c r="V68" i="314" s="1"/>
  <c r="V73" i="314" s="1"/>
  <c r="V25" i="314" s="1"/>
  <c r="V16" i="313" s="1"/>
  <c r="V20" i="313" s="1"/>
  <c r="AB67" i="267"/>
  <c r="W48" i="315"/>
  <c r="W70" i="317" s="1"/>
  <c r="X40" i="312"/>
  <c r="X42" i="312" s="1"/>
  <c r="X43" i="312" s="1"/>
  <c r="X44" i="312" s="1"/>
  <c r="X46" i="312" s="1"/>
  <c r="X48" i="312" s="1"/>
  <c r="X52" i="312" s="1"/>
  <c r="X191" i="313" s="1"/>
  <c r="X79" i="314"/>
  <c r="X78" i="314"/>
  <c r="X78" i="328"/>
  <c r="X92" i="328" s="1"/>
  <c r="X79" i="328"/>
  <c r="X78" i="319"/>
  <c r="X110" i="319" s="1"/>
  <c r="X79" i="319"/>
  <c r="U35" i="329"/>
  <c r="T43" i="323"/>
  <c r="U23" i="323"/>
  <c r="X27" i="308"/>
  <c r="X57" i="310" s="1"/>
  <c r="X64" i="310" s="1"/>
  <c r="U40" i="313"/>
  <c r="W55" i="313"/>
  <c r="W62" i="313" s="1"/>
  <c r="U23" i="310"/>
  <c r="U43" i="310" s="1"/>
  <c r="V62" i="310"/>
  <c r="V66" i="310" s="1"/>
  <c r="V85" i="310" s="1"/>
  <c r="V170" i="310"/>
  <c r="T101" i="260"/>
  <c r="U204" i="310"/>
  <c r="X26" i="308"/>
  <c r="X113" i="310" s="1"/>
  <c r="U35" i="317"/>
  <c r="W159" i="313"/>
  <c r="W166" i="313" s="1"/>
  <c r="W170" i="313" s="1"/>
  <c r="W32" i="312"/>
  <c r="W172" i="313" s="1"/>
  <c r="W200" i="313" s="1"/>
  <c r="U39" i="313"/>
  <c r="U39" i="323"/>
  <c r="X40" i="318"/>
  <c r="X42" i="318" s="1"/>
  <c r="X43" i="318" s="1"/>
  <c r="X44" i="318" s="1"/>
  <c r="X46" i="318" s="1"/>
  <c r="X48" i="318" s="1"/>
  <c r="X52" i="318" s="1"/>
  <c r="X191" i="320" s="1"/>
  <c r="U23" i="320"/>
  <c r="U39" i="320"/>
  <c r="Y16" i="316"/>
  <c r="Y17" i="316"/>
  <c r="U40" i="317"/>
  <c r="Y16" i="314"/>
  <c r="Y17" i="314"/>
  <c r="Y122" i="314" s="1"/>
  <c r="Y14" i="312"/>
  <c r="Y16" i="312" s="1"/>
  <c r="Y17" i="312" s="1"/>
  <c r="Y18" i="312" s="1"/>
  <c r="Y20" i="312" s="1"/>
  <c r="Y25" i="312" s="1"/>
  <c r="Y15" i="279"/>
  <c r="Y14" i="308"/>
  <c r="Y16" i="308" s="1"/>
  <c r="Y17" i="308" s="1"/>
  <c r="Y18" i="308" s="1"/>
  <c r="Y20" i="308" s="1"/>
  <c r="Y26" i="308" s="1"/>
  <c r="Y15" i="309"/>
  <c r="Y29" i="309" s="1"/>
  <c r="Y16" i="307"/>
  <c r="Y59" i="307" s="1"/>
  <c r="Y15" i="307"/>
  <c r="Y15" i="304"/>
  <c r="Y150" i="326"/>
  <c r="Y151" i="326"/>
  <c r="Y150" i="323"/>
  <c r="Y151" i="323"/>
  <c r="Y150" i="320"/>
  <c r="Y151" i="320"/>
  <c r="Y150" i="317"/>
  <c r="Y151" i="317"/>
  <c r="Y151" i="313"/>
  <c r="Y150" i="313"/>
  <c r="Y150" i="278"/>
  <c r="Y151" i="278"/>
  <c r="Y150" i="272"/>
  <c r="Y151" i="272"/>
  <c r="Z29" i="269"/>
  <c r="Z33" i="269" s="1"/>
  <c r="Z150" i="269"/>
  <c r="Z28" i="269"/>
  <c r="Z32" i="269" s="1"/>
  <c r="Z151" i="269"/>
  <c r="Z27" i="269"/>
  <c r="V86" i="328"/>
  <c r="V27" i="329" s="1"/>
  <c r="V31" i="329" s="1"/>
  <c r="U32" i="326"/>
  <c r="U35" i="326" s="1"/>
  <c r="U40" i="326"/>
  <c r="U32" i="320"/>
  <c r="U40" i="320"/>
  <c r="U32" i="323"/>
  <c r="U40" i="323"/>
  <c r="X110" i="328"/>
  <c r="W126" i="316"/>
  <c r="W64" i="316"/>
  <c r="W64" i="325"/>
  <c r="W126" i="325"/>
  <c r="W126" i="328"/>
  <c r="W64" i="328"/>
  <c r="X122" i="325"/>
  <c r="X60" i="325"/>
  <c r="V129" i="319"/>
  <c r="V130" i="319" s="1"/>
  <c r="V135" i="319" s="1"/>
  <c r="V87" i="319" s="1"/>
  <c r="V28" i="320" s="1"/>
  <c r="V67" i="319"/>
  <c r="V68" i="319" s="1"/>
  <c r="V73" i="319" s="1"/>
  <c r="V25" i="319" s="1"/>
  <c r="V16" i="320" s="1"/>
  <c r="V20" i="320" s="1"/>
  <c r="V24" i="319"/>
  <c r="V15" i="320" s="1"/>
  <c r="V19" i="320" s="1"/>
  <c r="Y38" i="315"/>
  <c r="Y80" i="316" s="1"/>
  <c r="Y38" i="318"/>
  <c r="Y80" i="319" s="1"/>
  <c r="Y38" i="312"/>
  <c r="Y80" i="314" s="1"/>
  <c r="Y90" i="322"/>
  <c r="Y76" i="322"/>
  <c r="Y84" i="322"/>
  <c r="Y28" i="322"/>
  <c r="Y22" i="322"/>
  <c r="Y76" i="328"/>
  <c r="Y28" i="328"/>
  <c r="Y22" i="328"/>
  <c r="Y90" i="328"/>
  <c r="Y84" i="328"/>
  <c r="W48" i="325"/>
  <c r="W39" i="325"/>
  <c r="W56" i="325" s="1"/>
  <c r="W23" i="325" s="1"/>
  <c r="W30" i="325"/>
  <c r="X122" i="328"/>
  <c r="X60" i="328"/>
  <c r="W126" i="319"/>
  <c r="W64" i="319"/>
  <c r="V29" i="326"/>
  <c r="V33" i="326" s="1"/>
  <c r="V86" i="325"/>
  <c r="V27" i="326" s="1"/>
  <c r="V31" i="326" s="1"/>
  <c r="V129" i="328"/>
  <c r="V130" i="328" s="1"/>
  <c r="V135" i="328" s="1"/>
  <c r="V87" i="328" s="1"/>
  <c r="V28" i="329" s="1"/>
  <c r="V32" i="329" s="1"/>
  <c r="V67" i="328"/>
  <c r="V68" i="328" s="1"/>
  <c r="V73" i="328" s="1"/>
  <c r="V25" i="328" s="1"/>
  <c r="V16" i="329" s="1"/>
  <c r="V24" i="328"/>
  <c r="V15" i="329" s="1"/>
  <c r="X60" i="322"/>
  <c r="X122" i="322"/>
  <c r="AA68" i="267"/>
  <c r="Y37" i="324"/>
  <c r="Y37" i="321"/>
  <c r="Y40" i="321" s="1"/>
  <c r="Y42" i="321" s="1"/>
  <c r="Y43" i="321" s="1"/>
  <c r="Y44" i="321" s="1"/>
  <c r="Y46" i="321" s="1"/>
  <c r="Y37" i="327"/>
  <c r="Y40" i="327" s="1"/>
  <c r="Y42" i="327" s="1"/>
  <c r="Y43" i="327" s="1"/>
  <c r="Y44" i="327" s="1"/>
  <c r="Y46" i="327" s="1"/>
  <c r="AB62" i="267"/>
  <c r="Y90" i="319"/>
  <c r="Y84" i="319"/>
  <c r="Y28" i="319"/>
  <c r="Y22" i="319"/>
  <c r="Y76" i="319"/>
  <c r="W48" i="328"/>
  <c r="W39" i="328"/>
  <c r="W56" i="328" s="1"/>
  <c r="W23" i="328" s="1"/>
  <c r="W30" i="328"/>
  <c r="X122" i="316"/>
  <c r="X60" i="316"/>
  <c r="X94" i="328"/>
  <c r="X103" i="328"/>
  <c r="Y41" i="322"/>
  <c r="Y32" i="322"/>
  <c r="V86" i="319"/>
  <c r="V27" i="320" s="1"/>
  <c r="V31" i="320" s="1"/>
  <c r="V29" i="320"/>
  <c r="X94" i="319"/>
  <c r="X103" i="319"/>
  <c r="Y41" i="325"/>
  <c r="Y32" i="325"/>
  <c r="X94" i="322"/>
  <c r="X103" i="322"/>
  <c r="Z11" i="324"/>
  <c r="Z11" i="321"/>
  <c r="Z18" i="322" s="1"/>
  <c r="Z11" i="327"/>
  <c r="Z18" i="328" s="1"/>
  <c r="V67" i="316"/>
  <c r="V68" i="316" s="1"/>
  <c r="V73" i="316" s="1"/>
  <c r="V25" i="316" s="1"/>
  <c r="V16" i="317" s="1"/>
  <c r="V20" i="317" s="1"/>
  <c r="V129" i="316"/>
  <c r="V130" i="316" s="1"/>
  <c r="V135" i="316" s="1"/>
  <c r="V87" i="316" s="1"/>
  <c r="V28" i="317" s="1"/>
  <c r="V32" i="317" s="1"/>
  <c r="V24" i="316"/>
  <c r="V15" i="317" s="1"/>
  <c r="U33" i="320"/>
  <c r="U41" i="320"/>
  <c r="Y90" i="316"/>
  <c r="Y84" i="316"/>
  <c r="Y76" i="316"/>
  <c r="Y28" i="316"/>
  <c r="Y22" i="316"/>
  <c r="Y41" i="328"/>
  <c r="Y32" i="328"/>
  <c r="X60" i="319"/>
  <c r="X122" i="319"/>
  <c r="X30" i="316"/>
  <c r="X56" i="316" s="1"/>
  <c r="X23" i="316" s="1"/>
  <c r="X17" i="317" s="1"/>
  <c r="X21" i="317" s="1"/>
  <c r="X48" i="316"/>
  <c r="X39" i="316"/>
  <c r="V86" i="316"/>
  <c r="V27" i="317" s="1"/>
  <c r="V31" i="317" s="1"/>
  <c r="V29" i="317"/>
  <c r="X94" i="325"/>
  <c r="X103" i="325"/>
  <c r="W64" i="322"/>
  <c r="W126" i="322"/>
  <c r="Z10" i="321"/>
  <c r="Z16" i="322" s="1"/>
  <c r="Z10" i="324"/>
  <c r="Z16" i="325" s="1"/>
  <c r="Z10" i="327"/>
  <c r="X48" i="319"/>
  <c r="X39" i="319"/>
  <c r="X56" i="319" s="1"/>
  <c r="X23" i="319" s="1"/>
  <c r="X17" i="320" s="1"/>
  <c r="X21" i="320" s="1"/>
  <c r="X30" i="319"/>
  <c r="U33" i="323"/>
  <c r="U41" i="323"/>
  <c r="X94" i="316"/>
  <c r="X103" i="316"/>
  <c r="Y90" i="325"/>
  <c r="Y76" i="325"/>
  <c r="Y28" i="325"/>
  <c r="Y84" i="325"/>
  <c r="Y22" i="325"/>
  <c r="X39" i="322"/>
  <c r="X56" i="322" s="1"/>
  <c r="X23" i="322" s="1"/>
  <c r="X17" i="323" s="1"/>
  <c r="X21" i="323" s="1"/>
  <c r="X48" i="322"/>
  <c r="X30" i="322"/>
  <c r="X92" i="325"/>
  <c r="X101" i="325"/>
  <c r="V29" i="323"/>
  <c r="V86" i="322"/>
  <c r="V27" i="323" s="1"/>
  <c r="V31" i="323" s="1"/>
  <c r="V129" i="322"/>
  <c r="V130" i="322" s="1"/>
  <c r="V135" i="322" s="1"/>
  <c r="V87" i="322" s="1"/>
  <c r="V28" i="323" s="1"/>
  <c r="V32" i="323" s="1"/>
  <c r="V67" i="322"/>
  <c r="V68" i="322" s="1"/>
  <c r="V73" i="322" s="1"/>
  <c r="V25" i="322" s="1"/>
  <c r="V16" i="323" s="1"/>
  <c r="V20" i="323" s="1"/>
  <c r="V24" i="322"/>
  <c r="V15" i="323" s="1"/>
  <c r="V19" i="323" s="1"/>
  <c r="W118" i="322"/>
  <c r="W85" i="322" s="1"/>
  <c r="Y38" i="324"/>
  <c r="Y80" i="325" s="1"/>
  <c r="Y38" i="321"/>
  <c r="Y80" i="322" s="1"/>
  <c r="Y38" i="327"/>
  <c r="Y80" i="328" s="1"/>
  <c r="V67" i="325"/>
  <c r="V68" i="325" s="1"/>
  <c r="V73" i="325" s="1"/>
  <c r="V25" i="325" s="1"/>
  <c r="V16" i="326" s="1"/>
  <c r="V20" i="326" s="1"/>
  <c r="V129" i="325"/>
  <c r="V130" i="325" s="1"/>
  <c r="V135" i="325" s="1"/>
  <c r="V87" i="325" s="1"/>
  <c r="V28" i="326" s="1"/>
  <c r="V24" i="325"/>
  <c r="V15" i="326" s="1"/>
  <c r="U177" i="317"/>
  <c r="U204" i="317" s="1"/>
  <c r="U177" i="323"/>
  <c r="U204" i="323" s="1"/>
  <c r="W53" i="327"/>
  <c r="W192" i="329" s="1"/>
  <c r="W194" i="329" s="1"/>
  <c r="U41" i="313"/>
  <c r="W57" i="313"/>
  <c r="W64" i="313" s="1"/>
  <c r="W114" i="313"/>
  <c r="W33" i="312"/>
  <c r="W173" i="313" s="1"/>
  <c r="T23" i="313"/>
  <c r="T43" i="313" s="1"/>
  <c r="V201" i="329"/>
  <c r="V175" i="310"/>
  <c r="S100" i="260"/>
  <c r="R112" i="260"/>
  <c r="W200" i="329"/>
  <c r="V201" i="320"/>
  <c r="W53" i="318"/>
  <c r="W192" i="320" s="1"/>
  <c r="W194" i="320" s="1"/>
  <c r="W53" i="312"/>
  <c r="W192" i="313" s="1"/>
  <c r="W194" i="313" s="1"/>
  <c r="V201" i="313"/>
  <c r="U204" i="329"/>
  <c r="W128" i="310"/>
  <c r="V24" i="314"/>
  <c r="V15" i="313" s="1"/>
  <c r="V19" i="313" s="1"/>
  <c r="V177" i="329"/>
  <c r="U35" i="313"/>
  <c r="V29" i="313"/>
  <c r="V33" i="313" s="1"/>
  <c r="V86" i="314"/>
  <c r="V27" i="313" s="1"/>
  <c r="V31" i="313" s="1"/>
  <c r="W94" i="314"/>
  <c r="W103" i="314"/>
  <c r="W110" i="314"/>
  <c r="W101" i="314"/>
  <c r="W92" i="314"/>
  <c r="Z10" i="312"/>
  <c r="Z10" i="315"/>
  <c r="AB61" i="267"/>
  <c r="Z10" i="318"/>
  <c r="Z16" i="319" s="1"/>
  <c r="Y37" i="318"/>
  <c r="Y37" i="312"/>
  <c r="Y40" i="312" s="1"/>
  <c r="Y42" i="312" s="1"/>
  <c r="Y43" i="312" s="1"/>
  <c r="Y44" i="312" s="1"/>
  <c r="Y46" i="312" s="1"/>
  <c r="Y37" i="315"/>
  <c r="Y40" i="315" s="1"/>
  <c r="Y42" i="315" s="1"/>
  <c r="Y43" i="315" s="1"/>
  <c r="Y44" i="315" s="1"/>
  <c r="Y46" i="315" s="1"/>
  <c r="V177" i="313"/>
  <c r="Y84" i="314"/>
  <c r="Y90" i="314"/>
  <c r="Y76" i="314"/>
  <c r="W23" i="314"/>
  <c r="W17" i="313" s="1"/>
  <c r="V202" i="310"/>
  <c r="W57" i="310"/>
  <c r="W64" i="310" s="1"/>
  <c r="W161" i="310"/>
  <c r="W168" i="310" s="1"/>
  <c r="V189" i="310"/>
  <c r="V196" i="310" s="1"/>
  <c r="W126" i="310"/>
  <c r="U177" i="326"/>
  <c r="U204" i="326" s="1"/>
  <c r="W175" i="329"/>
  <c r="W66" i="329"/>
  <c r="V170" i="320"/>
  <c r="W170" i="329"/>
  <c r="Y17" i="319"/>
  <c r="Y14" i="318"/>
  <c r="Y16" i="318" s="1"/>
  <c r="Y17" i="318" s="1"/>
  <c r="Y18" i="318" s="1"/>
  <c r="Y20" i="318" s="1"/>
  <c r="X26" i="318"/>
  <c r="X27" i="318"/>
  <c r="X25" i="318"/>
  <c r="X27" i="321"/>
  <c r="X25" i="321"/>
  <c r="X26" i="321"/>
  <c r="V66" i="317"/>
  <c r="V200" i="326"/>
  <c r="V175" i="326"/>
  <c r="U19" i="326"/>
  <c r="U39" i="326"/>
  <c r="W161" i="320"/>
  <c r="W168" i="320" s="1"/>
  <c r="W57" i="320"/>
  <c r="W64" i="320" s="1"/>
  <c r="W114" i="320"/>
  <c r="W159" i="320"/>
  <c r="W166" i="320" s="1"/>
  <c r="W112" i="320"/>
  <c r="W32" i="318"/>
  <c r="W172" i="320" s="1"/>
  <c r="W55" i="320"/>
  <c r="W62" i="320" s="1"/>
  <c r="W56" i="310"/>
  <c r="W63" i="310" s="1"/>
  <c r="V170" i="323"/>
  <c r="X26" i="315"/>
  <c r="X27" i="315"/>
  <c r="X25" i="315"/>
  <c r="V66" i="320"/>
  <c r="V66" i="326"/>
  <c r="W33" i="315"/>
  <c r="W173" i="317" s="1"/>
  <c r="W201" i="317" s="1"/>
  <c r="W56" i="317"/>
  <c r="W63" i="317" s="1"/>
  <c r="W113" i="317"/>
  <c r="W160" i="317"/>
  <c r="W167" i="317" s="1"/>
  <c r="W56" i="320"/>
  <c r="W63" i="320" s="1"/>
  <c r="W33" i="318"/>
  <c r="W173" i="320" s="1"/>
  <c r="W113" i="320"/>
  <c r="W160" i="320"/>
  <c r="W167" i="320" s="1"/>
  <c r="W160" i="323"/>
  <c r="W167" i="323" s="1"/>
  <c r="W113" i="323"/>
  <c r="W56" i="323"/>
  <c r="W63" i="323" s="1"/>
  <c r="W33" i="321"/>
  <c r="W173" i="323" s="1"/>
  <c r="W201" i="323" s="1"/>
  <c r="Y14" i="315"/>
  <c r="Y16" i="315" s="1"/>
  <c r="Y17" i="315" s="1"/>
  <c r="Y18" i="315" s="1"/>
  <c r="Y20" i="315" s="1"/>
  <c r="V66" i="323"/>
  <c r="V200" i="320"/>
  <c r="V175" i="320"/>
  <c r="V170" i="326"/>
  <c r="X161" i="329"/>
  <c r="X168" i="329" s="1"/>
  <c r="X114" i="329"/>
  <c r="X57" i="329"/>
  <c r="X64" i="329" s="1"/>
  <c r="W57" i="317"/>
  <c r="W64" i="317" s="1"/>
  <c r="W161" i="317"/>
  <c r="W168" i="317" s="1"/>
  <c r="W114" i="317"/>
  <c r="W159" i="323"/>
  <c r="W166" i="323" s="1"/>
  <c r="W112" i="323"/>
  <c r="W32" i="321"/>
  <c r="W172" i="323" s="1"/>
  <c r="W55" i="323"/>
  <c r="W62" i="323" s="1"/>
  <c r="U21" i="326"/>
  <c r="U41" i="326"/>
  <c r="V200" i="317"/>
  <c r="V175" i="317"/>
  <c r="X26" i="324"/>
  <c r="X25" i="324"/>
  <c r="X27" i="324"/>
  <c r="X57" i="313"/>
  <c r="X64" i="313" s="1"/>
  <c r="X114" i="313"/>
  <c r="X161" i="313"/>
  <c r="X168" i="313" s="1"/>
  <c r="T23" i="329"/>
  <c r="T43" i="329" s="1"/>
  <c r="U19" i="329"/>
  <c r="U39" i="329"/>
  <c r="W55" i="317"/>
  <c r="W62" i="317" s="1"/>
  <c r="W32" i="315"/>
  <c r="W172" i="317" s="1"/>
  <c r="W159" i="317"/>
  <c r="W166" i="317" s="1"/>
  <c r="W112" i="317"/>
  <c r="W55" i="326"/>
  <c r="W62" i="326" s="1"/>
  <c r="W159" i="326"/>
  <c r="W166" i="326" s="1"/>
  <c r="W32" i="324"/>
  <c r="W172" i="326" s="1"/>
  <c r="W112" i="326"/>
  <c r="T23" i="326"/>
  <c r="T43" i="326" s="1"/>
  <c r="W57" i="323"/>
  <c r="W64" i="323" s="1"/>
  <c r="W161" i="323"/>
  <c r="W168" i="323" s="1"/>
  <c r="W114" i="323"/>
  <c r="Y17" i="325"/>
  <c r="Y14" i="324"/>
  <c r="Y16" i="324" s="1"/>
  <c r="Y17" i="324" s="1"/>
  <c r="Y18" i="324" s="1"/>
  <c r="Y20" i="324" s="1"/>
  <c r="X33" i="312"/>
  <c r="X173" i="313" s="1"/>
  <c r="U20" i="329"/>
  <c r="U40" i="329"/>
  <c r="U21" i="329"/>
  <c r="U41" i="329"/>
  <c r="V17" i="329"/>
  <c r="W57" i="326"/>
  <c r="W64" i="326" s="1"/>
  <c r="W161" i="326"/>
  <c r="W168" i="326" s="1"/>
  <c r="W114" i="326"/>
  <c r="V17" i="326"/>
  <c r="V200" i="323"/>
  <c r="V175" i="323"/>
  <c r="S23" i="272"/>
  <c r="S43" i="272" s="1"/>
  <c r="Y17" i="322"/>
  <c r="Y14" i="321"/>
  <c r="Y16" i="321" s="1"/>
  <c r="Y17" i="321" s="1"/>
  <c r="Y18" i="321" s="1"/>
  <c r="Y20" i="321" s="1"/>
  <c r="X55" i="313"/>
  <c r="X62" i="313" s="1"/>
  <c r="X32" i="312"/>
  <c r="X172" i="313" s="1"/>
  <c r="X112" i="313"/>
  <c r="X159" i="313"/>
  <c r="X166" i="313" s="1"/>
  <c r="Z18" i="325"/>
  <c r="U177" i="320"/>
  <c r="U204" i="320" s="1"/>
  <c r="V170" i="317"/>
  <c r="W56" i="326"/>
  <c r="W63" i="326" s="1"/>
  <c r="W160" i="326"/>
  <c r="W167" i="326" s="1"/>
  <c r="W113" i="326"/>
  <c r="W33" i="324"/>
  <c r="W173" i="326" s="1"/>
  <c r="W201" i="326" s="1"/>
  <c r="U23" i="313"/>
  <c r="X48" i="314"/>
  <c r="X30" i="314"/>
  <c r="X56" i="314" s="1"/>
  <c r="X39" i="314"/>
  <c r="Y41" i="314"/>
  <c r="Y32" i="314"/>
  <c r="V21" i="313"/>
  <c r="Z3" i="326"/>
  <c r="Z3" i="329"/>
  <c r="Z1" i="325"/>
  <c r="Z1" i="328"/>
  <c r="Z1" i="319"/>
  <c r="Z3" i="323"/>
  <c r="Z3" i="317"/>
  <c r="Z1" i="322"/>
  <c r="Z1" i="316"/>
  <c r="Z3" i="320"/>
  <c r="Z1" i="314"/>
  <c r="Z3" i="313"/>
  <c r="V24" i="304"/>
  <c r="V16" i="303" s="1"/>
  <c r="V40" i="303" s="1"/>
  <c r="V78" i="303"/>
  <c r="V189" i="329"/>
  <c r="V196" i="329" s="1"/>
  <c r="V202" i="329"/>
  <c r="X194" i="326"/>
  <c r="Y14" i="316"/>
  <c r="W128" i="326"/>
  <c r="W183" i="326"/>
  <c r="W187" i="326" s="1"/>
  <c r="W72" i="326"/>
  <c r="W76" i="326" s="1"/>
  <c r="W127" i="320"/>
  <c r="W71" i="320"/>
  <c r="W75" i="320" s="1"/>
  <c r="W182" i="320"/>
  <c r="W186" i="320" s="1"/>
  <c r="V189" i="317"/>
  <c r="V196" i="317" s="1"/>
  <c r="V202" i="317"/>
  <c r="V74" i="329"/>
  <c r="V83" i="329"/>
  <c r="W183" i="329"/>
  <c r="W187" i="329" s="1"/>
  <c r="W72" i="329"/>
  <c r="W76" i="329" s="1"/>
  <c r="W128" i="329"/>
  <c r="W182" i="326"/>
  <c r="W186" i="326" s="1"/>
  <c r="W127" i="326"/>
  <c r="W71" i="326"/>
  <c r="W75" i="326" s="1"/>
  <c r="W72" i="320"/>
  <c r="W76" i="320" s="1"/>
  <c r="W183" i="320"/>
  <c r="W187" i="320" s="1"/>
  <c r="W128" i="320"/>
  <c r="X49" i="315"/>
  <c r="X50" i="315"/>
  <c r="X48" i="315"/>
  <c r="V74" i="317"/>
  <c r="V83" i="317"/>
  <c r="W126" i="313"/>
  <c r="W70" i="313"/>
  <c r="W181" i="313"/>
  <c r="W185" i="313" s="1"/>
  <c r="W33" i="308"/>
  <c r="W173" i="310" s="1"/>
  <c r="W201" i="310" s="1"/>
  <c r="V189" i="326"/>
  <c r="V196" i="326" s="1"/>
  <c r="V202" i="326"/>
  <c r="W72" i="313"/>
  <c r="W76" i="313" s="1"/>
  <c r="W183" i="313"/>
  <c r="W187" i="313" s="1"/>
  <c r="W128" i="313"/>
  <c r="W181" i="329"/>
  <c r="W185" i="329" s="1"/>
  <c r="W126" i="329"/>
  <c r="W70" i="329"/>
  <c r="Y14" i="325"/>
  <c r="U78" i="326"/>
  <c r="U85" i="326" s="1"/>
  <c r="U82" i="326"/>
  <c r="W126" i="320"/>
  <c r="W70" i="320"/>
  <c r="W181" i="320"/>
  <c r="W185" i="320" s="1"/>
  <c r="W160" i="310"/>
  <c r="W167" i="310" s="1"/>
  <c r="V74" i="326"/>
  <c r="V83" i="326"/>
  <c r="W182" i="329"/>
  <c r="W186" i="329" s="1"/>
  <c r="W71" i="329"/>
  <c r="W75" i="329" s="1"/>
  <c r="W127" i="329"/>
  <c r="X194" i="317"/>
  <c r="Y14" i="322"/>
  <c r="U78" i="317"/>
  <c r="U85" i="317" s="1"/>
  <c r="U82" i="317"/>
  <c r="X50" i="321"/>
  <c r="X49" i="321"/>
  <c r="X48" i="321"/>
  <c r="W183" i="323"/>
  <c r="W187" i="323" s="1"/>
  <c r="W72" i="323"/>
  <c r="W76" i="323" s="1"/>
  <c r="W128" i="323"/>
  <c r="W182" i="313"/>
  <c r="W186" i="313" s="1"/>
  <c r="W127" i="313"/>
  <c r="W71" i="313"/>
  <c r="W75" i="313" s="1"/>
  <c r="Y22" i="314"/>
  <c r="Y28" i="314"/>
  <c r="Y14" i="314"/>
  <c r="V74" i="320"/>
  <c r="V83" i="320"/>
  <c r="V189" i="323"/>
  <c r="V196" i="323" s="1"/>
  <c r="V202" i="323"/>
  <c r="X48" i="324"/>
  <c r="X50" i="324"/>
  <c r="X49" i="324"/>
  <c r="W182" i="323"/>
  <c r="W186" i="323" s="1"/>
  <c r="W71" i="323"/>
  <c r="W75" i="323" s="1"/>
  <c r="W127" i="323"/>
  <c r="Y151" i="329"/>
  <c r="Y150" i="329"/>
  <c r="V189" i="313"/>
  <c r="V196" i="313" s="1"/>
  <c r="V202" i="313"/>
  <c r="Y14" i="328"/>
  <c r="V74" i="323"/>
  <c r="V83" i="323"/>
  <c r="X48" i="327"/>
  <c r="X52" i="327" s="1"/>
  <c r="X191" i="329" s="1"/>
  <c r="X50" i="327"/>
  <c r="X49" i="327"/>
  <c r="W181" i="323"/>
  <c r="W185" i="323" s="1"/>
  <c r="W126" i="323"/>
  <c r="W70" i="323"/>
  <c r="U78" i="320"/>
  <c r="U85" i="320" s="1"/>
  <c r="U82" i="320"/>
  <c r="U78" i="323"/>
  <c r="U85" i="323" s="1"/>
  <c r="U82" i="323"/>
  <c r="Y14" i="319"/>
  <c r="V189" i="320"/>
  <c r="V196" i="320" s="1"/>
  <c r="V202" i="320"/>
  <c r="W183" i="317"/>
  <c r="W187" i="317" s="1"/>
  <c r="W128" i="317"/>
  <c r="W72" i="317"/>
  <c r="W76" i="317" s="1"/>
  <c r="V74" i="313"/>
  <c r="V83" i="313"/>
  <c r="X194" i="323"/>
  <c r="W70" i="326"/>
  <c r="W126" i="326"/>
  <c r="W181" i="326"/>
  <c r="W185" i="326" s="1"/>
  <c r="U78" i="313"/>
  <c r="U85" i="313" s="1"/>
  <c r="U82" i="313"/>
  <c r="U78" i="329"/>
  <c r="U85" i="329" s="1"/>
  <c r="U82" i="329"/>
  <c r="W71" i="310"/>
  <c r="W75" i="310" s="1"/>
  <c r="W182" i="310"/>
  <c r="W186" i="310" s="1"/>
  <c r="W181" i="310"/>
  <c r="W185" i="310" s="1"/>
  <c r="W72" i="310"/>
  <c r="W76" i="310" s="1"/>
  <c r="W160" i="306"/>
  <c r="W167" i="306" s="1"/>
  <c r="V170" i="306"/>
  <c r="T23" i="272"/>
  <c r="T43" i="272" s="1"/>
  <c r="V66" i="306"/>
  <c r="Y16" i="309"/>
  <c r="Y59" i="309" s="1"/>
  <c r="Y63" i="309" s="1"/>
  <c r="Y66" i="309" s="1"/>
  <c r="Y67" i="309" s="1"/>
  <c r="Y72" i="309" s="1"/>
  <c r="V41" i="303"/>
  <c r="V21" i="303"/>
  <c r="X49" i="308"/>
  <c r="X127" i="310" s="1"/>
  <c r="X50" i="308"/>
  <c r="X183" i="310" s="1"/>
  <c r="X187" i="310" s="1"/>
  <c r="X48" i="308"/>
  <c r="X126" i="310" s="1"/>
  <c r="U40" i="303"/>
  <c r="U20" i="303"/>
  <c r="AB52" i="267"/>
  <c r="AB57" i="267"/>
  <c r="Y37" i="277"/>
  <c r="Y40" i="277" s="1"/>
  <c r="Y42" i="277" s="1"/>
  <c r="Y43" i="277" s="1"/>
  <c r="Y44" i="277" s="1"/>
  <c r="Y46" i="277" s="1"/>
  <c r="Y37" i="271"/>
  <c r="Y40" i="271" s="1"/>
  <c r="Y42" i="271" s="1"/>
  <c r="Y43" i="271" s="1"/>
  <c r="Y44" i="271" s="1"/>
  <c r="Y46" i="271" s="1"/>
  <c r="Y37" i="308"/>
  <c r="Y40" i="308" s="1"/>
  <c r="Y42" i="308" s="1"/>
  <c r="Y43" i="308" s="1"/>
  <c r="Y44" i="308" s="1"/>
  <c r="Y46" i="308" s="1"/>
  <c r="Y37" i="305"/>
  <c r="Y40" i="305" s="1"/>
  <c r="Y42" i="305" s="1"/>
  <c r="Y43" i="305" s="1"/>
  <c r="Y44" i="305" s="1"/>
  <c r="Y46" i="305" s="1"/>
  <c r="Y37" i="302"/>
  <c r="Y40" i="302" s="1"/>
  <c r="Y42" i="302" s="1"/>
  <c r="Y43" i="302" s="1"/>
  <c r="Y44" i="302" s="1"/>
  <c r="Y46" i="302" s="1"/>
  <c r="Y50" i="302" s="1"/>
  <c r="U39" i="303"/>
  <c r="U19" i="303"/>
  <c r="Y38" i="268"/>
  <c r="Y38" i="277"/>
  <c r="Y38" i="271"/>
  <c r="Y38" i="308"/>
  <c r="Y38" i="305"/>
  <c r="Y38" i="302"/>
  <c r="Z10" i="277"/>
  <c r="Z10" i="302"/>
  <c r="V23" i="304"/>
  <c r="V15" i="303" s="1"/>
  <c r="W72" i="303"/>
  <c r="W76" i="303" s="1"/>
  <c r="W183" i="303"/>
  <c r="W187" i="303" s="1"/>
  <c r="U40" i="272"/>
  <c r="U20" i="272"/>
  <c r="Y29" i="272"/>
  <c r="Y33" i="272" s="1"/>
  <c r="Y28" i="272"/>
  <c r="Y32" i="272" s="1"/>
  <c r="Y27" i="272"/>
  <c r="W41" i="306"/>
  <c r="W21" i="306"/>
  <c r="V40" i="306"/>
  <c r="V20" i="306"/>
  <c r="V39" i="306"/>
  <c r="V19" i="306"/>
  <c r="V39" i="310"/>
  <c r="V19" i="310"/>
  <c r="V41" i="310"/>
  <c r="V21" i="310"/>
  <c r="W41" i="310"/>
  <c r="W21" i="310"/>
  <c r="U39" i="278"/>
  <c r="U19" i="278"/>
  <c r="U40" i="278"/>
  <c r="U20" i="278"/>
  <c r="U41" i="278"/>
  <c r="U21" i="278"/>
  <c r="Y28" i="278"/>
  <c r="Y32" i="278" s="1"/>
  <c r="Y27" i="278"/>
  <c r="Y29" i="278"/>
  <c r="Y33" i="278" s="1"/>
  <c r="V41" i="278"/>
  <c r="V21" i="278"/>
  <c r="T40" i="269"/>
  <c r="T100" i="260" s="1"/>
  <c r="T20" i="269"/>
  <c r="T39" i="269"/>
  <c r="T19" i="269"/>
  <c r="U41" i="269"/>
  <c r="U21" i="269"/>
  <c r="AB11" i="278"/>
  <c r="AB10" i="278"/>
  <c r="AC11" i="303"/>
  <c r="AB33" i="303"/>
  <c r="AB35" i="303" s="1"/>
  <c r="AA11" i="269"/>
  <c r="AC11" i="310"/>
  <c r="AB33" i="310"/>
  <c r="AB35" i="310" s="1"/>
  <c r="AC11" i="306"/>
  <c r="AB33" i="306"/>
  <c r="AB35" i="306" s="1"/>
  <c r="X9" i="272"/>
  <c r="W31" i="272"/>
  <c r="W35" i="272" s="1"/>
  <c r="X9" i="278"/>
  <c r="W31" i="278"/>
  <c r="W35" i="278" s="1"/>
  <c r="AA10" i="269"/>
  <c r="AB10" i="272"/>
  <c r="AB11" i="272"/>
  <c r="X9" i="269"/>
  <c r="W31" i="269"/>
  <c r="W35" i="269" s="1"/>
  <c r="W24" i="309"/>
  <c r="W16" i="310" s="1"/>
  <c r="W23" i="309"/>
  <c r="W15" i="310" s="1"/>
  <c r="V201" i="306"/>
  <c r="V175" i="306"/>
  <c r="V202" i="303"/>
  <c r="V170" i="303"/>
  <c r="X63" i="304"/>
  <c r="X66" i="304" s="1"/>
  <c r="X67" i="304" s="1"/>
  <c r="X72" i="304" s="1"/>
  <c r="X29" i="309"/>
  <c r="X55" i="309" s="1"/>
  <c r="X22" i="309" s="1"/>
  <c r="X17" i="310" s="1"/>
  <c r="X47" i="309"/>
  <c r="S23" i="278"/>
  <c r="S43" i="278" s="1"/>
  <c r="W56" i="306"/>
  <c r="W63" i="306" s="1"/>
  <c r="W182" i="303"/>
  <c r="W186" i="303" s="1"/>
  <c r="W71" i="303"/>
  <c r="W75" i="303" s="1"/>
  <c r="W17" i="303"/>
  <c r="W23" i="304"/>
  <c r="W15" i="303" s="1"/>
  <c r="Y14" i="277"/>
  <c r="Y16" i="277" s="1"/>
  <c r="Y17" i="277" s="1"/>
  <c r="Y18" i="277" s="1"/>
  <c r="Y20" i="277" s="1"/>
  <c r="Y16" i="279"/>
  <c r="Y59" i="279" s="1"/>
  <c r="Y14" i="271"/>
  <c r="Y16" i="271" s="1"/>
  <c r="Y17" i="271" s="1"/>
  <c r="Y18" i="271" s="1"/>
  <c r="Y20" i="271" s="1"/>
  <c r="Y16" i="273"/>
  <c r="Y59" i="273" s="1"/>
  <c r="W24" i="304"/>
  <c r="W16" i="303" s="1"/>
  <c r="X40" i="304"/>
  <c r="X31" i="304"/>
  <c r="X55" i="304" s="1"/>
  <c r="X22" i="304" s="1"/>
  <c r="Y14" i="268"/>
  <c r="Y16" i="268" s="1"/>
  <c r="Y16" i="270"/>
  <c r="Y59" i="270" s="1"/>
  <c r="X38" i="304"/>
  <c r="V83" i="303"/>
  <c r="U23" i="273"/>
  <c r="U15" i="272" s="1"/>
  <c r="U17" i="272"/>
  <c r="T23" i="306"/>
  <c r="T43" i="306" s="1"/>
  <c r="Y194" i="310"/>
  <c r="W23" i="307"/>
  <c r="W15" i="306" s="1"/>
  <c r="W57" i="303"/>
  <c r="W64" i="303" s="1"/>
  <c r="U177" i="306"/>
  <c r="U204" i="306" s="1"/>
  <c r="X48" i="302"/>
  <c r="X126" i="303" s="1"/>
  <c r="X50" i="302"/>
  <c r="X128" i="303" s="1"/>
  <c r="W161" i="303"/>
  <c r="W168" i="303" s="1"/>
  <c r="W170" i="303" s="1"/>
  <c r="Y194" i="306"/>
  <c r="X27" i="302"/>
  <c r="X57" i="303" s="1"/>
  <c r="X64" i="303" s="1"/>
  <c r="Y13" i="304"/>
  <c r="Y21" i="304"/>
  <c r="Y14" i="305"/>
  <c r="Y16" i="305" s="1"/>
  <c r="Y17" i="305" s="1"/>
  <c r="Y18" i="305" s="1"/>
  <c r="Y20" i="305" s="1"/>
  <c r="Y27" i="305" s="1"/>
  <c r="Y60" i="307"/>
  <c r="U23" i="306"/>
  <c r="U43" i="306" s="1"/>
  <c r="W62" i="310"/>
  <c r="Z1" i="304"/>
  <c r="Z13" i="304" s="1"/>
  <c r="Z1" i="309"/>
  <c r="Z1" i="307"/>
  <c r="W200" i="310"/>
  <c r="W114" i="306"/>
  <c r="W118" i="306" s="1"/>
  <c r="W161" i="306"/>
  <c r="W168" i="306" s="1"/>
  <c r="W57" i="306"/>
  <c r="W64" i="306" s="1"/>
  <c r="W33" i="305"/>
  <c r="W173" i="306" s="1"/>
  <c r="Y13" i="307"/>
  <c r="Y27" i="307"/>
  <c r="Y21" i="307"/>
  <c r="X32" i="308"/>
  <c r="X172" i="310" s="1"/>
  <c r="X55" i="310"/>
  <c r="X159" i="310"/>
  <c r="X166" i="310" s="1"/>
  <c r="X112" i="310"/>
  <c r="X47" i="304"/>
  <c r="X29" i="307"/>
  <c r="X55" i="307" s="1"/>
  <c r="X22" i="307" s="1"/>
  <c r="X17" i="306" s="1"/>
  <c r="X47" i="307"/>
  <c r="X38" i="307"/>
  <c r="W24" i="307"/>
  <c r="W16" i="306" s="1"/>
  <c r="X66" i="307"/>
  <c r="X67" i="307" s="1"/>
  <c r="X72" i="307" s="1"/>
  <c r="Y27" i="309"/>
  <c r="Y13" i="309"/>
  <c r="Y21" i="309"/>
  <c r="Z60" i="309"/>
  <c r="X25" i="305"/>
  <c r="X27" i="305"/>
  <c r="X25" i="302"/>
  <c r="X55" i="303" s="1"/>
  <c r="W71" i="306"/>
  <c r="W75" i="306" s="1"/>
  <c r="W182" i="306"/>
  <c r="W186" i="306" s="1"/>
  <c r="W127" i="306"/>
  <c r="X113" i="306"/>
  <c r="X160" i="306"/>
  <c r="X167" i="306" s="1"/>
  <c r="X56" i="306"/>
  <c r="X63" i="306" s="1"/>
  <c r="W70" i="306"/>
  <c r="W74" i="306" s="1"/>
  <c r="W126" i="306"/>
  <c r="W181" i="306"/>
  <c r="W185" i="306" s="1"/>
  <c r="W183" i="306"/>
  <c r="W187" i="306" s="1"/>
  <c r="W72" i="306"/>
  <c r="W128" i="306"/>
  <c r="V76" i="306"/>
  <c r="V83" i="306"/>
  <c r="V189" i="306"/>
  <c r="V196" i="306" s="1"/>
  <c r="V202" i="306"/>
  <c r="U78" i="306"/>
  <c r="U85" i="306" s="1"/>
  <c r="U82" i="306"/>
  <c r="V17" i="269"/>
  <c r="U15" i="269"/>
  <c r="X48" i="305"/>
  <c r="X49" i="305"/>
  <c r="X50" i="305"/>
  <c r="Y38" i="304"/>
  <c r="Y60" i="304"/>
  <c r="S172" i="269"/>
  <c r="S200" i="269" s="1"/>
  <c r="W33" i="302"/>
  <c r="W173" i="303" s="1"/>
  <c r="W56" i="303"/>
  <c r="W63" i="303" s="1"/>
  <c r="Y194" i="303"/>
  <c r="S173" i="269"/>
  <c r="S201" i="269" s="1"/>
  <c r="S201" i="303"/>
  <c r="W113" i="303"/>
  <c r="W140" i="303" s="1"/>
  <c r="U16" i="269"/>
  <c r="R175" i="303"/>
  <c r="R177" i="303" s="1"/>
  <c r="R204" i="303" s="1"/>
  <c r="R200" i="303"/>
  <c r="R111" i="260" s="1"/>
  <c r="V82" i="303"/>
  <c r="V66" i="303"/>
  <c r="X127" i="303"/>
  <c r="X71" i="303"/>
  <c r="X75" i="303" s="1"/>
  <c r="X182" i="303"/>
  <c r="X186" i="303" s="1"/>
  <c r="X160" i="303"/>
  <c r="X167" i="303" s="1"/>
  <c r="X113" i="303"/>
  <c r="X56" i="303"/>
  <c r="X63" i="303" s="1"/>
  <c r="AB56" i="267"/>
  <c r="AB58" i="267" s="1"/>
  <c r="V55" i="273"/>
  <c r="V22" i="273" s="1"/>
  <c r="V23" i="273" s="1"/>
  <c r="V15" i="272" s="1"/>
  <c r="AI42" i="260"/>
  <c r="AH93" i="260"/>
  <c r="AH76" i="260"/>
  <c r="AH59" i="260"/>
  <c r="AH98" i="260"/>
  <c r="Y27" i="273"/>
  <c r="Y21" i="273"/>
  <c r="Y13" i="273"/>
  <c r="Y27" i="279"/>
  <c r="Y13" i="279"/>
  <c r="Y21" i="279"/>
  <c r="Z1" i="273"/>
  <c r="Z1" i="279"/>
  <c r="AB51" i="267"/>
  <c r="Z3" i="272"/>
  <c r="Z3" i="278"/>
  <c r="AC2" i="267"/>
  <c r="Z1" i="270"/>
  <c r="Y37" i="268"/>
  <c r="Y40" i="268" s="1"/>
  <c r="Y42" i="268" s="1"/>
  <c r="AA53" i="267"/>
  <c r="Y13" i="270"/>
  <c r="Y21" i="270"/>
  <c r="Y27" i="270"/>
  <c r="W29" i="279"/>
  <c r="W55" i="279" s="1"/>
  <c r="W22" i="279" s="1"/>
  <c r="W38" i="279"/>
  <c r="W38" i="273"/>
  <c r="W55" i="273" s="1"/>
  <c r="W22" i="273" s="1"/>
  <c r="W17" i="272" s="1"/>
  <c r="V24" i="279"/>
  <c r="V16" i="278" s="1"/>
  <c r="V23" i="279"/>
  <c r="V15" i="278" s="1"/>
  <c r="W47" i="273"/>
  <c r="X29" i="279"/>
  <c r="X60" i="279"/>
  <c r="X63" i="279" s="1"/>
  <c r="X66" i="279" s="1"/>
  <c r="X67" i="279" s="1"/>
  <c r="X72" i="279" s="1"/>
  <c r="X29" i="273"/>
  <c r="X60" i="273"/>
  <c r="X63" i="273" s="1"/>
  <c r="X66" i="273" s="1"/>
  <c r="X67" i="273" s="1"/>
  <c r="X72" i="273" s="1"/>
  <c r="T170" i="278"/>
  <c r="W181" i="278"/>
  <c r="W126" i="278"/>
  <c r="W70" i="278"/>
  <c r="W183" i="278"/>
  <c r="W187" i="278" s="1"/>
  <c r="W128" i="278"/>
  <c r="W72" i="278"/>
  <c r="W76" i="278" s="1"/>
  <c r="W182" i="278"/>
  <c r="W186" i="278" s="1"/>
  <c r="W127" i="278"/>
  <c r="W71" i="278"/>
  <c r="W113" i="278"/>
  <c r="W56" i="278"/>
  <c r="W160" i="278"/>
  <c r="W114" i="278"/>
  <c r="W57" i="278"/>
  <c r="W161" i="278"/>
  <c r="W32" i="277"/>
  <c r="W172" i="278" s="1"/>
  <c r="W112" i="278"/>
  <c r="W159" i="278"/>
  <c r="W55" i="278"/>
  <c r="T66" i="278"/>
  <c r="T85" i="278" s="1"/>
  <c r="W33" i="277"/>
  <c r="W173" i="278" s="1"/>
  <c r="AB53" i="277"/>
  <c r="AB192" i="278" s="1"/>
  <c r="AB52" i="277"/>
  <c r="AB191" i="278" s="1"/>
  <c r="X26" i="277"/>
  <c r="X25" i="277"/>
  <c r="X27" i="277"/>
  <c r="X48" i="277"/>
  <c r="X50" i="277"/>
  <c r="X49" i="277"/>
  <c r="T83" i="278"/>
  <c r="AA53" i="271"/>
  <c r="AA192" i="272" s="1"/>
  <c r="AA52" i="271"/>
  <c r="AA191" i="272" s="1"/>
  <c r="W128" i="272"/>
  <c r="W183" i="272"/>
  <c r="W72" i="272"/>
  <c r="X48" i="271"/>
  <c r="X50" i="271"/>
  <c r="X49" i="271"/>
  <c r="X26" i="271"/>
  <c r="X25" i="271"/>
  <c r="X27" i="271"/>
  <c r="W127" i="272"/>
  <c r="W182" i="272"/>
  <c r="W186" i="272" s="1"/>
  <c r="W71" i="272"/>
  <c r="W75" i="272" s="1"/>
  <c r="W32" i="271"/>
  <c r="W172" i="272" s="1"/>
  <c r="W55" i="272"/>
  <c r="W62" i="272" s="1"/>
  <c r="W112" i="272"/>
  <c r="W159" i="272"/>
  <c r="W166" i="272" s="1"/>
  <c r="W56" i="272"/>
  <c r="W113" i="272"/>
  <c r="W160" i="272"/>
  <c r="W33" i="271"/>
  <c r="W173" i="272" s="1"/>
  <c r="W126" i="272"/>
  <c r="W181" i="272"/>
  <c r="W70" i="272"/>
  <c r="W57" i="272"/>
  <c r="W114" i="272"/>
  <c r="W161" i="272"/>
  <c r="W168" i="272" s="1"/>
  <c r="V186" i="272"/>
  <c r="V189" i="272" s="1"/>
  <c r="U168" i="272"/>
  <c r="U202" i="272" s="1"/>
  <c r="U201" i="272"/>
  <c r="Y14" i="273"/>
  <c r="Y14" i="279"/>
  <c r="V187" i="278"/>
  <c r="V189" i="278" s="1"/>
  <c r="V76" i="278"/>
  <c r="V75" i="278"/>
  <c r="V63" i="278"/>
  <c r="V166" i="278"/>
  <c r="V170" i="278" s="1"/>
  <c r="V201" i="278"/>
  <c r="V200" i="278"/>
  <c r="V64" i="278"/>
  <c r="Z6" i="268"/>
  <c r="U170" i="278"/>
  <c r="U202" i="278"/>
  <c r="U83" i="272"/>
  <c r="U83" i="278"/>
  <c r="Z6" i="277"/>
  <c r="Z6" i="271"/>
  <c r="Z53" i="268"/>
  <c r="Z192" i="269" s="1"/>
  <c r="Z52" i="268"/>
  <c r="Z191" i="269" s="1"/>
  <c r="U66" i="272"/>
  <c r="U66" i="278"/>
  <c r="W55" i="270"/>
  <c r="W22" i="270" s="1"/>
  <c r="V64" i="272"/>
  <c r="V168" i="272"/>
  <c r="V166" i="272"/>
  <c r="U200" i="272"/>
  <c r="V167" i="272"/>
  <c r="V63" i="272"/>
  <c r="V201" i="272"/>
  <c r="U200" i="278"/>
  <c r="T23" i="278"/>
  <c r="T43" i="278" s="1"/>
  <c r="X40" i="273"/>
  <c r="X31" i="273"/>
  <c r="X31" i="279"/>
  <c r="X40" i="279"/>
  <c r="U27" i="268"/>
  <c r="U57" i="269" s="1"/>
  <c r="U64" i="269" s="1"/>
  <c r="U82" i="272"/>
  <c r="U78" i="272"/>
  <c r="V78" i="272"/>
  <c r="T78" i="272"/>
  <c r="T85" i="272" s="1"/>
  <c r="T82" i="272"/>
  <c r="U78" i="278"/>
  <c r="U82" i="278"/>
  <c r="V74" i="278"/>
  <c r="AC2" i="277"/>
  <c r="U25" i="268"/>
  <c r="U159" i="269" s="1"/>
  <c r="U166" i="269" s="1"/>
  <c r="AA3" i="269"/>
  <c r="V23" i="270"/>
  <c r="V24" i="270"/>
  <c r="V25" i="268"/>
  <c r="AB2" i="271"/>
  <c r="W66" i="270"/>
  <c r="W67" i="270" s="1"/>
  <c r="W72" i="270" s="1"/>
  <c r="T55" i="269"/>
  <c r="T62" i="269" s="1"/>
  <c r="T32" i="268"/>
  <c r="T112" i="269"/>
  <c r="T159" i="269"/>
  <c r="T166" i="269" s="1"/>
  <c r="W17" i="268"/>
  <c r="W18" i="268" s="1"/>
  <c r="W20" i="268" s="1"/>
  <c r="T160" i="269"/>
  <c r="T167" i="269" s="1"/>
  <c r="T113" i="269"/>
  <c r="T33" i="268"/>
  <c r="T56" i="269"/>
  <c r="T63" i="269" s="1"/>
  <c r="X47" i="270"/>
  <c r="X38" i="270"/>
  <c r="X29" i="270"/>
  <c r="Y14" i="270"/>
  <c r="S23" i="269"/>
  <c r="S43" i="269" s="1"/>
  <c r="T161" i="269"/>
  <c r="T168" i="269" s="1"/>
  <c r="T114" i="269"/>
  <c r="T57" i="269"/>
  <c r="T64" i="269" s="1"/>
  <c r="X31" i="270"/>
  <c r="X40" i="270"/>
  <c r="X60" i="270"/>
  <c r="X63" i="270" s="1"/>
  <c r="U160" i="269"/>
  <c r="U167" i="269" s="1"/>
  <c r="U56" i="269"/>
  <c r="U63" i="269" s="1"/>
  <c r="U113" i="269"/>
  <c r="S170" i="269"/>
  <c r="S66" i="269"/>
  <c r="AA2" i="268"/>
  <c r="X2" i="264"/>
  <c r="X17" i="264" s="1"/>
  <c r="X56" i="313" l="1"/>
  <c r="X63" i="313" s="1"/>
  <c r="X160" i="313"/>
  <c r="X167" i="313" s="1"/>
  <c r="X56" i="329"/>
  <c r="X63" i="329" s="1"/>
  <c r="X160" i="329"/>
  <c r="X167" i="329" s="1"/>
  <c r="X170" i="329" s="1"/>
  <c r="Z10" i="271"/>
  <c r="Z15" i="273" s="1"/>
  <c r="Z10" i="305"/>
  <c r="Y14" i="302"/>
  <c r="Y16" i="302" s="1"/>
  <c r="Y17" i="302" s="1"/>
  <c r="Y18" i="302" s="1"/>
  <c r="Y20" i="302" s="1"/>
  <c r="Y25" i="302" s="1"/>
  <c r="Y159" i="303" s="1"/>
  <c r="Y166" i="303" s="1"/>
  <c r="Z10" i="308"/>
  <c r="Z16" i="309" s="1"/>
  <c r="Z59" i="309" s="1"/>
  <c r="Z63" i="309" s="1"/>
  <c r="Z66" i="309" s="1"/>
  <c r="Z67" i="309" s="1"/>
  <c r="Z72" i="309" s="1"/>
  <c r="AB66" i="267"/>
  <c r="AC7" i="267"/>
  <c r="AC12" i="267"/>
  <c r="AC11" i="267"/>
  <c r="AA6" i="308" s="1"/>
  <c r="AA14" i="309" s="1"/>
  <c r="AC8" i="267"/>
  <c r="AA6" i="268" s="1"/>
  <c r="AC10" i="267"/>
  <c r="AC9" i="267"/>
  <c r="Z10" i="268"/>
  <c r="Z15" i="270" s="1"/>
  <c r="AA102" i="269"/>
  <c r="AA103" i="269"/>
  <c r="AA101" i="269"/>
  <c r="AA100" i="269"/>
  <c r="AA93" i="269"/>
  <c r="AA96" i="269"/>
  <c r="AA91" i="269"/>
  <c r="AA98" i="269"/>
  <c r="AA95" i="269"/>
  <c r="AA92" i="269"/>
  <c r="AA90" i="269"/>
  <c r="AA97" i="269"/>
  <c r="AC44" i="267"/>
  <c r="AC46" i="267" s="1"/>
  <c r="AC29" i="267"/>
  <c r="AC31" i="267" s="1"/>
  <c r="AC45" i="267"/>
  <c r="AC30" i="267"/>
  <c r="AC67" i="267" s="1"/>
  <c r="AC39" i="267"/>
  <c r="AC41" i="267" s="1"/>
  <c r="AC40" i="267"/>
  <c r="Y41" i="319"/>
  <c r="Y32" i="319"/>
  <c r="Y40" i="309"/>
  <c r="Y31" i="309"/>
  <c r="Y55" i="309" s="1"/>
  <c r="Y22" i="309" s="1"/>
  <c r="Z11" i="268"/>
  <c r="Z17" i="270" s="1"/>
  <c r="Z11" i="308"/>
  <c r="Z17" i="309" s="1"/>
  <c r="Z11" i="302"/>
  <c r="Z17" i="304" s="1"/>
  <c r="Z11" i="277"/>
  <c r="Z17" i="279" s="1"/>
  <c r="Y41" i="316"/>
  <c r="Y32" i="316"/>
  <c r="Z11" i="318"/>
  <c r="Z18" i="319" s="1"/>
  <c r="Z11" i="312"/>
  <c r="Z18" i="314" s="1"/>
  <c r="Z11" i="315"/>
  <c r="Z18" i="316" s="1"/>
  <c r="X55" i="329"/>
  <c r="X62" i="329" s="1"/>
  <c r="X66" i="329" s="1"/>
  <c r="X101" i="316"/>
  <c r="X113" i="329"/>
  <c r="X64" i="314"/>
  <c r="X129" i="314" s="1"/>
  <c r="X130" i="314" s="1"/>
  <c r="X135" i="314" s="1"/>
  <c r="X101" i="319"/>
  <c r="X118" i="319" s="1"/>
  <c r="X85" i="319" s="1"/>
  <c r="X110" i="316"/>
  <c r="X92" i="319"/>
  <c r="W86" i="325"/>
  <c r="W27" i="326" s="1"/>
  <c r="W31" i="326" s="1"/>
  <c r="Y63" i="307"/>
  <c r="Y66" i="307" s="1"/>
  <c r="Y67" i="307" s="1"/>
  <c r="Y72" i="307" s="1"/>
  <c r="X32" i="327"/>
  <c r="X172" i="329" s="1"/>
  <c r="X175" i="329" s="1"/>
  <c r="X112" i="329"/>
  <c r="X116" i="329" s="1"/>
  <c r="W86" i="328"/>
  <c r="W27" i="329" s="1"/>
  <c r="W31" i="329" s="1"/>
  <c r="W126" i="317"/>
  <c r="W142" i="317" s="1"/>
  <c r="W182" i="317"/>
  <c r="W186" i="317" s="1"/>
  <c r="AA6" i="318"/>
  <c r="AA6" i="321"/>
  <c r="AA6" i="305"/>
  <c r="AA14" i="307" s="1"/>
  <c r="AA6" i="324"/>
  <c r="AA6" i="312"/>
  <c r="AA6" i="327"/>
  <c r="AA6" i="315"/>
  <c r="AA6" i="302"/>
  <c r="W141" i="310"/>
  <c r="Z77" i="322"/>
  <c r="Z15" i="322"/>
  <c r="Z77" i="316"/>
  <c r="Z15" i="316"/>
  <c r="Z77" i="328"/>
  <c r="Z15" i="328"/>
  <c r="Z77" i="325"/>
  <c r="Z15" i="325"/>
  <c r="Z77" i="319"/>
  <c r="Z15" i="319"/>
  <c r="Z77" i="314"/>
  <c r="Z15" i="314"/>
  <c r="Z103" i="272"/>
  <c r="Z100" i="272"/>
  <c r="Z101" i="272"/>
  <c r="Z102" i="272"/>
  <c r="Z98" i="272"/>
  <c r="Z96" i="272"/>
  <c r="Z92" i="272"/>
  <c r="Z93" i="272"/>
  <c r="Z90" i="272"/>
  <c r="Z97" i="272"/>
  <c r="Z95" i="272"/>
  <c r="Z91" i="272"/>
  <c r="W181" i="317"/>
  <c r="W185" i="317" s="1"/>
  <c r="Z101" i="320"/>
  <c r="Z102" i="320"/>
  <c r="Z103" i="320"/>
  <c r="Z100" i="320"/>
  <c r="Z98" i="320"/>
  <c r="Z96" i="320"/>
  <c r="Z92" i="320"/>
  <c r="Z93" i="320"/>
  <c r="Z97" i="320"/>
  <c r="Z95" i="320"/>
  <c r="Z90" i="320"/>
  <c r="Z91" i="320"/>
  <c r="Z103" i="323"/>
  <c r="Z101" i="323"/>
  <c r="Z102" i="323"/>
  <c r="Z100" i="323"/>
  <c r="Z91" i="323"/>
  <c r="Z98" i="323"/>
  <c r="Z96" i="323"/>
  <c r="Z92" i="323"/>
  <c r="Z95" i="323"/>
  <c r="Z90" i="323"/>
  <c r="Z97" i="323"/>
  <c r="Z93" i="323"/>
  <c r="Z101" i="329"/>
  <c r="Z102" i="329"/>
  <c r="Z103" i="329"/>
  <c r="Z100" i="329"/>
  <c r="Z97" i="329"/>
  <c r="Z95" i="329"/>
  <c r="Z98" i="329"/>
  <c r="Z96" i="329"/>
  <c r="Z93" i="329"/>
  <c r="Z91" i="329"/>
  <c r="Z90" i="329"/>
  <c r="Z92" i="329"/>
  <c r="X118" i="325"/>
  <c r="X85" i="325" s="1"/>
  <c r="X29" i="326" s="1"/>
  <c r="X33" i="326" s="1"/>
  <c r="X101" i="328"/>
  <c r="Z103" i="313"/>
  <c r="Z100" i="313"/>
  <c r="Z101" i="313"/>
  <c r="Z102" i="313"/>
  <c r="Z98" i="313"/>
  <c r="Z96" i="313"/>
  <c r="Z92" i="313"/>
  <c r="Z93" i="313"/>
  <c r="Z91" i="313"/>
  <c r="Z97" i="313"/>
  <c r="Z95" i="313"/>
  <c r="Z90" i="313"/>
  <c r="Z101" i="326"/>
  <c r="Z102" i="326"/>
  <c r="Z103" i="326"/>
  <c r="Z100" i="326"/>
  <c r="Z91" i="326"/>
  <c r="Z98" i="326"/>
  <c r="Z96" i="326"/>
  <c r="Z92" i="326"/>
  <c r="Z93" i="326"/>
  <c r="Z97" i="326"/>
  <c r="Z95" i="326"/>
  <c r="Z90" i="326"/>
  <c r="Z103" i="278"/>
  <c r="Z102" i="278"/>
  <c r="Z100" i="278"/>
  <c r="Z101" i="278"/>
  <c r="Z97" i="278"/>
  <c r="Z95" i="278"/>
  <c r="Z90" i="278"/>
  <c r="Z91" i="278"/>
  <c r="Z98" i="278"/>
  <c r="Z96" i="278"/>
  <c r="Z92" i="278"/>
  <c r="Z93" i="278"/>
  <c r="Z101" i="317"/>
  <c r="Z103" i="317"/>
  <c r="Z102" i="317"/>
  <c r="Z100" i="317"/>
  <c r="Z91" i="317"/>
  <c r="Z98" i="317"/>
  <c r="Z96" i="317"/>
  <c r="Z92" i="317"/>
  <c r="Z93" i="317"/>
  <c r="Z95" i="317"/>
  <c r="Z90" i="317"/>
  <c r="Z97" i="317"/>
  <c r="X67" i="314"/>
  <c r="X68" i="314" s="1"/>
  <c r="W71" i="317"/>
  <c r="W75" i="317" s="1"/>
  <c r="X161" i="310"/>
  <c r="X168" i="310" s="1"/>
  <c r="X50" i="312"/>
  <c r="X183" i="313" s="1"/>
  <c r="X187" i="313" s="1"/>
  <c r="W142" i="306"/>
  <c r="X49" i="318"/>
  <c r="X182" i="320" s="1"/>
  <c r="X186" i="320" s="1"/>
  <c r="W143" i="313"/>
  <c r="W118" i="313"/>
  <c r="W119" i="303"/>
  <c r="W116" i="306"/>
  <c r="W117" i="303"/>
  <c r="V82" i="310"/>
  <c r="W140" i="329"/>
  <c r="W142" i="310"/>
  <c r="W116" i="313"/>
  <c r="T119" i="269"/>
  <c r="T117" i="269"/>
  <c r="T118" i="269"/>
  <c r="T116" i="269"/>
  <c r="W119" i="317"/>
  <c r="W116" i="317"/>
  <c r="W117" i="317"/>
  <c r="W118" i="317"/>
  <c r="W141" i="272"/>
  <c r="W142" i="272"/>
  <c r="W143" i="272"/>
  <c r="W119" i="272"/>
  <c r="W116" i="272"/>
  <c r="W117" i="272"/>
  <c r="W140" i="272"/>
  <c r="W118" i="272"/>
  <c r="X114" i="310"/>
  <c r="X117" i="310" s="1"/>
  <c r="W133" i="326"/>
  <c r="W130" i="326"/>
  <c r="W131" i="326"/>
  <c r="W132" i="326"/>
  <c r="W140" i="320"/>
  <c r="W141" i="320"/>
  <c r="W142" i="320"/>
  <c r="W119" i="320"/>
  <c r="W117" i="320"/>
  <c r="W118" i="320"/>
  <c r="W116" i="320"/>
  <c r="W143" i="320"/>
  <c r="W140" i="313"/>
  <c r="W142" i="313"/>
  <c r="W119" i="306"/>
  <c r="W140" i="306"/>
  <c r="W142" i="329"/>
  <c r="W143" i="303"/>
  <c r="W141" i="303"/>
  <c r="X131" i="303"/>
  <c r="X132" i="303"/>
  <c r="X133" i="303"/>
  <c r="X130" i="303"/>
  <c r="W132" i="323"/>
  <c r="W133" i="323"/>
  <c r="W130" i="323"/>
  <c r="W131" i="323"/>
  <c r="W133" i="329"/>
  <c r="W130" i="329"/>
  <c r="W131" i="329"/>
  <c r="W132" i="329"/>
  <c r="W132" i="313"/>
  <c r="W133" i="313"/>
  <c r="W130" i="313"/>
  <c r="W131" i="313"/>
  <c r="W133" i="310"/>
  <c r="W131" i="310"/>
  <c r="W132" i="310"/>
  <c r="W130" i="310"/>
  <c r="W141" i="313"/>
  <c r="W119" i="313"/>
  <c r="W117" i="306"/>
  <c r="W141" i="306"/>
  <c r="W143" i="329"/>
  <c r="W118" i="303"/>
  <c r="W116" i="303"/>
  <c r="W140" i="310"/>
  <c r="W143" i="326"/>
  <c r="W119" i="326"/>
  <c r="W140" i="326"/>
  <c r="W116" i="326"/>
  <c r="W141" i="326"/>
  <c r="W117" i="326"/>
  <c r="W118" i="326"/>
  <c r="W142" i="326"/>
  <c r="W133" i="278"/>
  <c r="W130" i="278"/>
  <c r="W131" i="278"/>
  <c r="W132" i="278"/>
  <c r="W131" i="272"/>
  <c r="W132" i="272"/>
  <c r="W133" i="272"/>
  <c r="W130" i="272"/>
  <c r="W143" i="278"/>
  <c r="W119" i="278"/>
  <c r="W140" i="278"/>
  <c r="W141" i="278"/>
  <c r="W117" i="278"/>
  <c r="W118" i="278"/>
  <c r="W142" i="278"/>
  <c r="W116" i="278"/>
  <c r="W132" i="306"/>
  <c r="W133" i="306"/>
  <c r="W130" i="306"/>
  <c r="W131" i="306"/>
  <c r="X119" i="310"/>
  <c r="W130" i="320"/>
  <c r="W132" i="320"/>
  <c r="W131" i="320"/>
  <c r="W133" i="320"/>
  <c r="X119" i="313"/>
  <c r="X116" i="313"/>
  <c r="X117" i="313"/>
  <c r="X118" i="313"/>
  <c r="W142" i="323"/>
  <c r="W118" i="323"/>
  <c r="W143" i="323"/>
  <c r="W119" i="323"/>
  <c r="W140" i="323"/>
  <c r="W116" i="323"/>
  <c r="W117" i="323"/>
  <c r="W141" i="323"/>
  <c r="Y25" i="327"/>
  <c r="Y159" i="329" s="1"/>
  <c r="Y166" i="329" s="1"/>
  <c r="W117" i="313"/>
  <c r="W143" i="306"/>
  <c r="W141" i="329"/>
  <c r="W142" i="303"/>
  <c r="W143" i="310"/>
  <c r="X49" i="312"/>
  <c r="X71" i="313" s="1"/>
  <c r="X75" i="313" s="1"/>
  <c r="X101" i="322"/>
  <c r="X118" i="322" s="1"/>
  <c r="X85" i="322" s="1"/>
  <c r="X29" i="323" s="1"/>
  <c r="X33" i="323" s="1"/>
  <c r="X92" i="322"/>
  <c r="Z106" i="313"/>
  <c r="Z108" i="313"/>
  <c r="Z105" i="313"/>
  <c r="Z107" i="313"/>
  <c r="Z106" i="278"/>
  <c r="Z105" i="278"/>
  <c r="Z107" i="278"/>
  <c r="Z108" i="278"/>
  <c r="AA106" i="269"/>
  <c r="AA108" i="269"/>
  <c r="AA107" i="269"/>
  <c r="AA105" i="269"/>
  <c r="Z107" i="272"/>
  <c r="Z106" i="272"/>
  <c r="Z105" i="272"/>
  <c r="Z108" i="272"/>
  <c r="Z106" i="317"/>
  <c r="Z105" i="317"/>
  <c r="Z108" i="317"/>
  <c r="Z107" i="317"/>
  <c r="Y26" i="327"/>
  <c r="Y56" i="329" s="1"/>
  <c r="Y63" i="329" s="1"/>
  <c r="Z106" i="320"/>
  <c r="Z105" i="320"/>
  <c r="Z108" i="320"/>
  <c r="Z107" i="320"/>
  <c r="Z106" i="323"/>
  <c r="Z105" i="323"/>
  <c r="Z108" i="323"/>
  <c r="Z107" i="323"/>
  <c r="Z106" i="329"/>
  <c r="Z108" i="329"/>
  <c r="Z107" i="329"/>
  <c r="Z105" i="329"/>
  <c r="Z105" i="326"/>
  <c r="Z108" i="326"/>
  <c r="Z106" i="326"/>
  <c r="Z107" i="326"/>
  <c r="Y78" i="319"/>
  <c r="Y79" i="319"/>
  <c r="Z14" i="327"/>
  <c r="Z16" i="327" s="1"/>
  <c r="Z17" i="327" s="1"/>
  <c r="Z18" i="327" s="1"/>
  <c r="Z20" i="327" s="1"/>
  <c r="Z25" i="327" s="1"/>
  <c r="Z17" i="328"/>
  <c r="Z16" i="328"/>
  <c r="Y78" i="328"/>
  <c r="Y110" i="328" s="1"/>
  <c r="Y79" i="328"/>
  <c r="W129" i="314"/>
  <c r="W130" i="314" s="1"/>
  <c r="W135" i="314" s="1"/>
  <c r="W67" i="314"/>
  <c r="W68" i="314" s="1"/>
  <c r="W73" i="314" s="1"/>
  <c r="Y78" i="322"/>
  <c r="Y101" i="322" s="1"/>
  <c r="Y79" i="322"/>
  <c r="Y40" i="318"/>
  <c r="Y42" i="318" s="1"/>
  <c r="Y43" i="318" s="1"/>
  <c r="Y44" i="318" s="1"/>
  <c r="Y46" i="318" s="1"/>
  <c r="Y48" i="318" s="1"/>
  <c r="Y52" i="318" s="1"/>
  <c r="Y191" i="320" s="1"/>
  <c r="Y78" i="316"/>
  <c r="Y101" i="316" s="1"/>
  <c r="Y79" i="316"/>
  <c r="Y78" i="325"/>
  <c r="Y101" i="325" s="1"/>
  <c r="Y79" i="325"/>
  <c r="Y60" i="314"/>
  <c r="Y78" i="314"/>
  <c r="Y79" i="314"/>
  <c r="X33" i="308"/>
  <c r="X173" i="310" s="1"/>
  <c r="X201" i="310" s="1"/>
  <c r="W201" i="320"/>
  <c r="X50" i="318"/>
  <c r="X56" i="310"/>
  <c r="X63" i="310" s="1"/>
  <c r="Y26" i="312"/>
  <c r="Y160" i="313" s="1"/>
  <c r="Y167" i="313" s="1"/>
  <c r="X160" i="310"/>
  <c r="X167" i="310" s="1"/>
  <c r="X170" i="310" s="1"/>
  <c r="Y27" i="312"/>
  <c r="Y114" i="313" s="1"/>
  <c r="W66" i="313"/>
  <c r="W201" i="329"/>
  <c r="V177" i="310"/>
  <c r="V204" i="310" s="1"/>
  <c r="W175" i="313"/>
  <c r="W177" i="313" s="1"/>
  <c r="U43" i="313"/>
  <c r="X128" i="310"/>
  <c r="X130" i="310" s="1"/>
  <c r="Y25" i="308"/>
  <c r="Y159" i="310" s="1"/>
  <c r="Y166" i="310" s="1"/>
  <c r="Y27" i="308"/>
  <c r="Y114" i="310" s="1"/>
  <c r="W118" i="314"/>
  <c r="W85" i="314" s="1"/>
  <c r="V39" i="320"/>
  <c r="W86" i="316"/>
  <c r="W27" i="317" s="1"/>
  <c r="W31" i="317" s="1"/>
  <c r="W29" i="317"/>
  <c r="Z16" i="316"/>
  <c r="Z17" i="316"/>
  <c r="Z17" i="314"/>
  <c r="Z122" i="314" s="1"/>
  <c r="Z16" i="314"/>
  <c r="Z15" i="279"/>
  <c r="Z16" i="307"/>
  <c r="Z59" i="307" s="1"/>
  <c r="Z15" i="307"/>
  <c r="Z16" i="304"/>
  <c r="Z59" i="304" s="1"/>
  <c r="Z15" i="304"/>
  <c r="V35" i="329"/>
  <c r="Z151" i="326"/>
  <c r="Z150" i="326"/>
  <c r="Z150" i="323"/>
  <c r="Z151" i="323"/>
  <c r="Z151" i="320"/>
  <c r="Z150" i="320"/>
  <c r="Z150" i="317"/>
  <c r="Z151" i="317"/>
  <c r="Z150" i="313"/>
  <c r="Z151" i="313"/>
  <c r="Z150" i="278"/>
  <c r="Z151" i="278"/>
  <c r="Z151" i="272"/>
  <c r="Z150" i="272"/>
  <c r="AA29" i="269"/>
  <c r="AA33" i="269" s="1"/>
  <c r="AA27" i="269"/>
  <c r="AA150" i="269"/>
  <c r="AA28" i="269"/>
  <c r="AA32" i="269" s="1"/>
  <c r="AA151" i="269"/>
  <c r="V39" i="323"/>
  <c r="U35" i="320"/>
  <c r="U43" i="320" s="1"/>
  <c r="Z14" i="312"/>
  <c r="Z16" i="312" s="1"/>
  <c r="Z17" i="312" s="1"/>
  <c r="Z18" i="312" s="1"/>
  <c r="Z20" i="312" s="1"/>
  <c r="Z25" i="312" s="1"/>
  <c r="U35" i="323"/>
  <c r="U43" i="323" s="1"/>
  <c r="V32" i="326"/>
  <c r="V35" i="326" s="1"/>
  <c r="V40" i="326"/>
  <c r="V32" i="320"/>
  <c r="V40" i="320"/>
  <c r="Z76" i="325"/>
  <c r="Z28" i="325"/>
  <c r="Z84" i="325"/>
  <c r="Z90" i="325"/>
  <c r="Z22" i="325"/>
  <c r="Y122" i="325"/>
  <c r="Y60" i="325"/>
  <c r="Y30" i="316"/>
  <c r="Y56" i="316" s="1"/>
  <c r="Y23" i="316" s="1"/>
  <c r="Y17" i="317" s="1"/>
  <c r="Y21" i="317" s="1"/>
  <c r="Y48" i="316"/>
  <c r="Y39" i="316"/>
  <c r="Y92" i="316"/>
  <c r="Y110" i="316"/>
  <c r="Y94" i="322"/>
  <c r="Y103" i="322"/>
  <c r="V33" i="317"/>
  <c r="V35" i="317" s="1"/>
  <c r="V41" i="317"/>
  <c r="X126" i="316"/>
  <c r="X64" i="316"/>
  <c r="X126" i="328"/>
  <c r="X64" i="328"/>
  <c r="X118" i="316"/>
  <c r="X85" i="316" s="1"/>
  <c r="Y30" i="319"/>
  <c r="Y39" i="319"/>
  <c r="Y56" i="319" s="1"/>
  <c r="Y23" i="319" s="1"/>
  <c r="Y17" i="320" s="1"/>
  <c r="Y21" i="320" s="1"/>
  <c r="Y48" i="319"/>
  <c r="Y40" i="324"/>
  <c r="Y42" i="324" s="1"/>
  <c r="Y43" i="324" s="1"/>
  <c r="Y44" i="324" s="1"/>
  <c r="Y46" i="324" s="1"/>
  <c r="Y50" i="324" s="1"/>
  <c r="Z90" i="316"/>
  <c r="Z84" i="316"/>
  <c r="Z76" i="316"/>
  <c r="Z22" i="316"/>
  <c r="Z28" i="316"/>
  <c r="Y122" i="316"/>
  <c r="Y60" i="316"/>
  <c r="Y48" i="322"/>
  <c r="Y30" i="322"/>
  <c r="Y39" i="322"/>
  <c r="Y56" i="322" s="1"/>
  <c r="Y23" i="322" s="1"/>
  <c r="Y17" i="323" s="1"/>
  <c r="Y21" i="323" s="1"/>
  <c r="Y60" i="319"/>
  <c r="Y122" i="319"/>
  <c r="V40" i="317"/>
  <c r="Y110" i="319"/>
  <c r="Y92" i="319"/>
  <c r="Y101" i="319"/>
  <c r="W29" i="323"/>
  <c r="W86" i="322"/>
  <c r="W27" i="323" s="1"/>
  <c r="W31" i="323" s="1"/>
  <c r="W129" i="322"/>
  <c r="W130" i="322" s="1"/>
  <c r="W135" i="322" s="1"/>
  <c r="W87" i="322" s="1"/>
  <c r="W28" i="323" s="1"/>
  <c r="W67" i="322"/>
  <c r="W68" i="322" s="1"/>
  <c r="W73" i="322" s="1"/>
  <c r="W25" i="322" s="1"/>
  <c r="W16" i="323" s="1"/>
  <c r="W20" i="323" s="1"/>
  <c r="W24" i="322"/>
  <c r="W15" i="323" s="1"/>
  <c r="W19" i="323" s="1"/>
  <c r="Z37" i="321"/>
  <c r="Z40" i="321" s="1"/>
  <c r="Z42" i="321" s="1"/>
  <c r="Z43" i="321" s="1"/>
  <c r="Z44" i="321" s="1"/>
  <c r="Z46" i="321" s="1"/>
  <c r="AB68" i="267"/>
  <c r="Z37" i="324"/>
  <c r="Z40" i="324" s="1"/>
  <c r="Z42" i="324" s="1"/>
  <c r="Z43" i="324" s="1"/>
  <c r="Z44" i="324" s="1"/>
  <c r="Z46" i="324" s="1"/>
  <c r="Z37" i="327"/>
  <c r="Z40" i="327" s="1"/>
  <c r="Z42" i="327" s="1"/>
  <c r="Z43" i="327" s="1"/>
  <c r="Z44" i="327" s="1"/>
  <c r="Z46" i="327" s="1"/>
  <c r="X64" i="322"/>
  <c r="X126" i="322"/>
  <c r="Y94" i="319"/>
  <c r="Y103" i="319"/>
  <c r="W67" i="316"/>
  <c r="W68" i="316" s="1"/>
  <c r="W73" i="316" s="1"/>
  <c r="W25" i="316" s="1"/>
  <c r="W16" i="317" s="1"/>
  <c r="W20" i="317" s="1"/>
  <c r="W129" i="316"/>
  <c r="W130" i="316" s="1"/>
  <c r="W135" i="316" s="1"/>
  <c r="W87" i="316" s="1"/>
  <c r="W28" i="317" s="1"/>
  <c r="W32" i="317" s="1"/>
  <c r="W24" i="316"/>
  <c r="W15" i="317" s="1"/>
  <c r="AA11" i="327"/>
  <c r="AA18" i="328" s="1"/>
  <c r="AA11" i="321"/>
  <c r="AA18" i="322" s="1"/>
  <c r="AA11" i="324"/>
  <c r="AA18" i="325" s="1"/>
  <c r="Z90" i="322"/>
  <c r="Z76" i="322"/>
  <c r="Z84" i="322"/>
  <c r="Z28" i="322"/>
  <c r="Z22" i="322"/>
  <c r="V40" i="323"/>
  <c r="Z38" i="324"/>
  <c r="Z80" i="325" s="1"/>
  <c r="Z38" i="321"/>
  <c r="Z80" i="322" s="1"/>
  <c r="Z38" i="327"/>
  <c r="Z80" i="328" s="1"/>
  <c r="Y94" i="316"/>
  <c r="Y103" i="316"/>
  <c r="X126" i="325"/>
  <c r="X64" i="325"/>
  <c r="Z76" i="328"/>
  <c r="Z28" i="328"/>
  <c r="Z22" i="328"/>
  <c r="Z90" i="328"/>
  <c r="Z84" i="328"/>
  <c r="Y94" i="328"/>
  <c r="Y103" i="328"/>
  <c r="W86" i="319"/>
  <c r="W27" i="320" s="1"/>
  <c r="W31" i="320" s="1"/>
  <c r="W29" i="320"/>
  <c r="Z41" i="322"/>
  <c r="Z32" i="322"/>
  <c r="Y94" i="325"/>
  <c r="Y103" i="325"/>
  <c r="V33" i="320"/>
  <c r="V41" i="320"/>
  <c r="Y60" i="322"/>
  <c r="Y122" i="322"/>
  <c r="X48" i="325"/>
  <c r="X39" i="325"/>
  <c r="X56" i="325" s="1"/>
  <c r="X23" i="325" s="1"/>
  <c r="X30" i="325"/>
  <c r="Z38" i="315"/>
  <c r="Z80" i="316" s="1"/>
  <c r="Z38" i="312"/>
  <c r="Z80" i="314" s="1"/>
  <c r="Z38" i="318"/>
  <c r="Z80" i="319" s="1"/>
  <c r="X64" i="319"/>
  <c r="X126" i="319"/>
  <c r="AC66" i="267"/>
  <c r="W129" i="325"/>
  <c r="W130" i="325" s="1"/>
  <c r="W135" i="325" s="1"/>
  <c r="W87" i="325" s="1"/>
  <c r="W28" i="326" s="1"/>
  <c r="W32" i="326" s="1"/>
  <c r="W67" i="325"/>
  <c r="W68" i="325" s="1"/>
  <c r="W73" i="325" s="1"/>
  <c r="W25" i="325" s="1"/>
  <c r="W16" i="326" s="1"/>
  <c r="W20" i="326" s="1"/>
  <c r="W24" i="325"/>
  <c r="W15" i="326" s="1"/>
  <c r="Z41" i="325"/>
  <c r="Z32" i="325"/>
  <c r="X39" i="328"/>
  <c r="X56" i="328" s="1"/>
  <c r="X23" i="328" s="1"/>
  <c r="X30" i="328"/>
  <c r="X48" i="328"/>
  <c r="AA10" i="324"/>
  <c r="AA16" i="325" s="1"/>
  <c r="AA10" i="327"/>
  <c r="AA10" i="321"/>
  <c r="AA16" i="322" s="1"/>
  <c r="X118" i="328"/>
  <c r="X85" i="328" s="1"/>
  <c r="V33" i="323"/>
  <c r="V35" i="323" s="1"/>
  <c r="V41" i="323"/>
  <c r="Z90" i="319"/>
  <c r="Z84" i="319"/>
  <c r="Z76" i="319"/>
  <c r="Z28" i="319"/>
  <c r="Z22" i="319"/>
  <c r="Z32" i="328"/>
  <c r="Z41" i="328"/>
  <c r="Y122" i="328"/>
  <c r="Y60" i="328"/>
  <c r="W129" i="319"/>
  <c r="W130" i="319" s="1"/>
  <c r="W135" i="319" s="1"/>
  <c r="W87" i="319" s="1"/>
  <c r="W28" i="320" s="1"/>
  <c r="W32" i="320" s="1"/>
  <c r="W67" i="319"/>
  <c r="W68" i="319" s="1"/>
  <c r="W73" i="319" s="1"/>
  <c r="W25" i="319" s="1"/>
  <c r="W16" i="320" s="1"/>
  <c r="W20" i="320" s="1"/>
  <c r="W24" i="319"/>
  <c r="W15" i="320" s="1"/>
  <c r="W19" i="320" s="1"/>
  <c r="W129" i="328"/>
  <c r="W130" i="328" s="1"/>
  <c r="W135" i="328" s="1"/>
  <c r="W87" i="328" s="1"/>
  <c r="W28" i="329" s="1"/>
  <c r="W32" i="329" s="1"/>
  <c r="W67" i="328"/>
  <c r="W68" i="328" s="1"/>
  <c r="W73" i="328" s="1"/>
  <c r="W25" i="328" s="1"/>
  <c r="W16" i="329" s="1"/>
  <c r="W24" i="328"/>
  <c r="W15" i="329" s="1"/>
  <c r="V204" i="313"/>
  <c r="V204" i="329"/>
  <c r="V39" i="313"/>
  <c r="V41" i="313"/>
  <c r="W170" i="310"/>
  <c r="W201" i="313"/>
  <c r="V40" i="313"/>
  <c r="W170" i="306"/>
  <c r="W78" i="303"/>
  <c r="S112" i="260"/>
  <c r="X53" i="327"/>
  <c r="X192" i="329" s="1"/>
  <c r="X194" i="329" s="1"/>
  <c r="X200" i="313"/>
  <c r="Z37" i="315"/>
  <c r="Z37" i="318"/>
  <c r="Z40" i="318" s="1"/>
  <c r="Z42" i="318" s="1"/>
  <c r="Z43" i="318" s="1"/>
  <c r="Z44" i="318" s="1"/>
  <c r="Z46" i="318" s="1"/>
  <c r="Z37" i="312"/>
  <c r="Y94" i="314"/>
  <c r="Y103" i="314"/>
  <c r="AA10" i="318"/>
  <c r="AA16" i="319" s="1"/>
  <c r="AA10" i="312"/>
  <c r="AC61" i="267"/>
  <c r="AA10" i="315"/>
  <c r="X110" i="314"/>
  <c r="X92" i="314"/>
  <c r="X101" i="314"/>
  <c r="Z32" i="314"/>
  <c r="X103" i="314"/>
  <c r="X94" i="314"/>
  <c r="AB63" i="267"/>
  <c r="V35" i="313"/>
  <c r="W25" i="314"/>
  <c r="W16" i="313" s="1"/>
  <c r="W20" i="313" s="1"/>
  <c r="W24" i="314"/>
  <c r="W15" i="313" s="1"/>
  <c r="W19" i="313" s="1"/>
  <c r="Z84" i="314"/>
  <c r="Z90" i="314"/>
  <c r="Z76" i="314"/>
  <c r="X73" i="314"/>
  <c r="X23" i="314"/>
  <c r="X24" i="314" s="1"/>
  <c r="X15" i="313" s="1"/>
  <c r="W177" i="329"/>
  <c r="X72" i="310"/>
  <c r="X76" i="310" s="1"/>
  <c r="W78" i="310"/>
  <c r="X175" i="313"/>
  <c r="V177" i="323"/>
  <c r="V204" i="323" s="1"/>
  <c r="W170" i="320"/>
  <c r="V23" i="323"/>
  <c r="V177" i="320"/>
  <c r="V204" i="320" s="1"/>
  <c r="W83" i="310"/>
  <c r="X66" i="313"/>
  <c r="W175" i="310"/>
  <c r="W66" i="317"/>
  <c r="Z14" i="315"/>
  <c r="Z16" i="315" s="1"/>
  <c r="Z17" i="315" s="1"/>
  <c r="Z18" i="315" s="1"/>
  <c r="Z20" i="315" s="1"/>
  <c r="X160" i="326"/>
  <c r="X167" i="326" s="1"/>
  <c r="X113" i="326"/>
  <c r="X56" i="326"/>
  <c r="X63" i="326" s="1"/>
  <c r="X33" i="324"/>
  <c r="X173" i="326" s="1"/>
  <c r="X201" i="326" s="1"/>
  <c r="W17" i="329"/>
  <c r="Y27" i="321"/>
  <c r="Y26" i="321"/>
  <c r="Y25" i="321"/>
  <c r="Z14" i="324"/>
  <c r="Z16" i="324" s="1"/>
  <c r="Z17" i="324" s="1"/>
  <c r="Z18" i="324" s="1"/>
  <c r="Z20" i="324" s="1"/>
  <c r="Z17" i="325"/>
  <c r="W17" i="326"/>
  <c r="W200" i="326"/>
  <c r="W175" i="326"/>
  <c r="U23" i="329"/>
  <c r="U43" i="329" s="1"/>
  <c r="W66" i="323"/>
  <c r="X72" i="303"/>
  <c r="X76" i="303" s="1"/>
  <c r="X71" i="310"/>
  <c r="X75" i="310" s="1"/>
  <c r="T23" i="269"/>
  <c r="T43" i="269" s="1"/>
  <c r="W189" i="310"/>
  <c r="W196" i="310" s="1"/>
  <c r="Z14" i="321"/>
  <c r="Z16" i="321" s="1"/>
  <c r="Z17" i="321" s="1"/>
  <c r="Z18" i="321" s="1"/>
  <c r="Z20" i="321" s="1"/>
  <c r="Z17" i="322"/>
  <c r="V21" i="329"/>
  <c r="V41" i="329"/>
  <c r="W66" i="326"/>
  <c r="Y112" i="313"/>
  <c r="Y32" i="312"/>
  <c r="Y172" i="313" s="1"/>
  <c r="Y55" i="313"/>
  <c r="Y62" i="313" s="1"/>
  <c r="Y159" i="313"/>
  <c r="Y166" i="313" s="1"/>
  <c r="X112" i="320"/>
  <c r="X32" i="318"/>
  <c r="X172" i="320" s="1"/>
  <c r="X55" i="320"/>
  <c r="X62" i="320" s="1"/>
  <c r="X159" i="320"/>
  <c r="X166" i="320" s="1"/>
  <c r="W170" i="326"/>
  <c r="X182" i="310"/>
  <c r="X186" i="310" s="1"/>
  <c r="Z17" i="319"/>
  <c r="Z14" i="318"/>
  <c r="Z16" i="318" s="1"/>
  <c r="Z17" i="318" s="1"/>
  <c r="Z18" i="318" s="1"/>
  <c r="Z20" i="318" s="1"/>
  <c r="W170" i="323"/>
  <c r="Y25" i="315"/>
  <c r="Y26" i="315"/>
  <c r="Y27" i="315"/>
  <c r="Y161" i="329"/>
  <c r="Y168" i="329" s="1"/>
  <c r="Y114" i="329"/>
  <c r="Y57" i="329"/>
  <c r="Y64" i="329" s="1"/>
  <c r="X114" i="320"/>
  <c r="X161" i="320"/>
  <c r="X168" i="320" s="1"/>
  <c r="X57" i="320"/>
  <c r="X64" i="320" s="1"/>
  <c r="X170" i="313"/>
  <c r="V19" i="326"/>
  <c r="V39" i="326"/>
  <c r="W170" i="317"/>
  <c r="V177" i="317"/>
  <c r="V204" i="317" s="1"/>
  <c r="X159" i="317"/>
  <c r="X166" i="317" s="1"/>
  <c r="X112" i="317"/>
  <c r="X55" i="317"/>
  <c r="X62" i="317" s="1"/>
  <c r="X32" i="315"/>
  <c r="X172" i="317" s="1"/>
  <c r="W66" i="320"/>
  <c r="X160" i="323"/>
  <c r="X167" i="323" s="1"/>
  <c r="X113" i="323"/>
  <c r="X56" i="323"/>
  <c r="X63" i="323" s="1"/>
  <c r="X33" i="321"/>
  <c r="X173" i="323" s="1"/>
  <c r="X201" i="323" s="1"/>
  <c r="X33" i="318"/>
  <c r="X173" i="320" s="1"/>
  <c r="X56" i="320"/>
  <c r="X63" i="320" s="1"/>
  <c r="X160" i="320"/>
  <c r="X167" i="320" s="1"/>
  <c r="X113" i="320"/>
  <c r="V19" i="329"/>
  <c r="V39" i="329"/>
  <c r="W200" i="323"/>
  <c r="W175" i="323"/>
  <c r="V21" i="326"/>
  <c r="V41" i="326"/>
  <c r="Y25" i="324"/>
  <c r="Y26" i="324"/>
  <c r="Y27" i="324"/>
  <c r="W200" i="317"/>
  <c r="W175" i="317"/>
  <c r="X161" i="326"/>
  <c r="X168" i="326" s="1"/>
  <c r="X57" i="326"/>
  <c r="X64" i="326" s="1"/>
  <c r="X114" i="326"/>
  <c r="X114" i="317"/>
  <c r="X161" i="317"/>
  <c r="X168" i="317" s="1"/>
  <c r="X57" i="317"/>
  <c r="X64" i="317" s="1"/>
  <c r="W200" i="320"/>
  <c r="W175" i="320"/>
  <c r="U23" i="326"/>
  <c r="U43" i="326" s="1"/>
  <c r="X55" i="323"/>
  <c r="X62" i="323" s="1"/>
  <c r="X112" i="323"/>
  <c r="X32" i="321"/>
  <c r="X172" i="323" s="1"/>
  <c r="X159" i="323"/>
  <c r="X166" i="323" s="1"/>
  <c r="Y25" i="318"/>
  <c r="Y27" i="318"/>
  <c r="Y26" i="318"/>
  <c r="V20" i="329"/>
  <c r="V40" i="329"/>
  <c r="X112" i="326"/>
  <c r="X32" i="324"/>
  <c r="X172" i="326" s="1"/>
  <c r="X159" i="326"/>
  <c r="X166" i="326" s="1"/>
  <c r="X55" i="326"/>
  <c r="X62" i="326" s="1"/>
  <c r="X33" i="315"/>
  <c r="X173" i="317" s="1"/>
  <c r="X201" i="317" s="1"/>
  <c r="X160" i="317"/>
  <c r="X167" i="317" s="1"/>
  <c r="X56" i="317"/>
  <c r="X63" i="317" s="1"/>
  <c r="X113" i="317"/>
  <c r="V23" i="320"/>
  <c r="V177" i="326"/>
  <c r="V204" i="326" s="1"/>
  <c r="X161" i="323"/>
  <c r="X168" i="323" s="1"/>
  <c r="X57" i="323"/>
  <c r="X64" i="323" s="1"/>
  <c r="X114" i="323"/>
  <c r="W189" i="329"/>
  <c r="W196" i="329" s="1"/>
  <c r="Y30" i="314"/>
  <c r="Y56" i="314" s="1"/>
  <c r="Y48" i="314"/>
  <c r="Y39" i="314"/>
  <c r="W21" i="313"/>
  <c r="V23" i="313"/>
  <c r="W202" i="310"/>
  <c r="V20" i="303"/>
  <c r="V85" i="303"/>
  <c r="Z14" i="322"/>
  <c r="W74" i="326"/>
  <c r="W83" i="326"/>
  <c r="W74" i="317"/>
  <c r="X181" i="329"/>
  <c r="X185" i="329" s="1"/>
  <c r="X126" i="329"/>
  <c r="X70" i="329"/>
  <c r="X182" i="323"/>
  <c r="X186" i="323" s="1"/>
  <c r="X71" i="323"/>
  <c r="X75" i="323" s="1"/>
  <c r="X127" i="323"/>
  <c r="W74" i="329"/>
  <c r="W83" i="329"/>
  <c r="Y48" i="321"/>
  <c r="Y50" i="321"/>
  <c r="Y49" i="321"/>
  <c r="V78" i="320"/>
  <c r="V85" i="320" s="1"/>
  <c r="V82" i="320"/>
  <c r="X181" i="323"/>
  <c r="X185" i="323" s="1"/>
  <c r="X126" i="323"/>
  <c r="X70" i="323"/>
  <c r="Y48" i="312"/>
  <c r="Y52" i="312" s="1"/>
  <c r="Y191" i="313" s="1"/>
  <c r="Y50" i="312"/>
  <c r="Y49" i="312"/>
  <c r="X182" i="326"/>
  <c r="X186" i="326" s="1"/>
  <c r="X127" i="326"/>
  <c r="X71" i="326"/>
  <c r="X75" i="326" s="1"/>
  <c r="X72" i="323"/>
  <c r="X76" i="323" s="1"/>
  <c r="X128" i="323"/>
  <c r="X183" i="323"/>
  <c r="X187" i="323" s="1"/>
  <c r="AA3" i="329"/>
  <c r="AA3" i="326"/>
  <c r="AA1" i="325"/>
  <c r="AA1" i="328"/>
  <c r="AA3" i="323"/>
  <c r="AA1" i="319"/>
  <c r="AA3" i="317"/>
  <c r="AA1" i="316"/>
  <c r="AA1" i="322"/>
  <c r="AA3" i="320"/>
  <c r="AA3" i="313"/>
  <c r="AA1" i="314"/>
  <c r="V78" i="313"/>
  <c r="V85" i="313" s="1"/>
  <c r="V82" i="313"/>
  <c r="V78" i="323"/>
  <c r="V85" i="323" s="1"/>
  <c r="V82" i="323"/>
  <c r="Y194" i="317"/>
  <c r="X183" i="326"/>
  <c r="X187" i="326" s="1"/>
  <c r="X128" i="326"/>
  <c r="X72" i="326"/>
  <c r="X76" i="326" s="1"/>
  <c r="X70" i="320"/>
  <c r="X181" i="320"/>
  <c r="X185" i="320" s="1"/>
  <c r="X126" i="320"/>
  <c r="W202" i="329"/>
  <c r="W189" i="313"/>
  <c r="W196" i="313" s="1"/>
  <c r="W202" i="313"/>
  <c r="V78" i="317"/>
  <c r="V85" i="317" s="1"/>
  <c r="V82" i="317"/>
  <c r="Z14" i="319"/>
  <c r="Z151" i="329"/>
  <c r="Z150" i="329"/>
  <c r="W74" i="323"/>
  <c r="W83" i="323"/>
  <c r="X126" i="326"/>
  <c r="X70" i="326"/>
  <c r="X181" i="326"/>
  <c r="X185" i="326" s="1"/>
  <c r="V78" i="326"/>
  <c r="V85" i="326" s="1"/>
  <c r="V82" i="326"/>
  <c r="Y50" i="327"/>
  <c r="Y49" i="327"/>
  <c r="Y48" i="327"/>
  <c r="Y52" i="327" s="1"/>
  <c r="Y191" i="329" s="1"/>
  <c r="W74" i="313"/>
  <c r="W83" i="313"/>
  <c r="X181" i="317"/>
  <c r="X185" i="317" s="1"/>
  <c r="X126" i="317"/>
  <c r="X70" i="317"/>
  <c r="Z14" i="328"/>
  <c r="Y194" i="323"/>
  <c r="W189" i="320"/>
  <c r="W196" i="320" s="1"/>
  <c r="W202" i="320"/>
  <c r="X128" i="317"/>
  <c r="X72" i="317"/>
  <c r="X76" i="317" s="1"/>
  <c r="X183" i="317"/>
  <c r="X187" i="317" s="1"/>
  <c r="V78" i="329"/>
  <c r="V85" i="329" s="1"/>
  <c r="V82" i="329"/>
  <c r="Z22" i="314"/>
  <c r="Z28" i="314"/>
  <c r="Z14" i="314"/>
  <c r="Z14" i="325"/>
  <c r="X183" i="329"/>
  <c r="X187" i="329" s="1"/>
  <c r="X72" i="329"/>
  <c r="X76" i="329" s="1"/>
  <c r="X128" i="329"/>
  <c r="W189" i="323"/>
  <c r="W196" i="323" s="1"/>
  <c r="W202" i="323"/>
  <c r="W74" i="320"/>
  <c r="W83" i="320"/>
  <c r="X182" i="317"/>
  <c r="X186" i="317" s="1"/>
  <c r="X127" i="317"/>
  <c r="X71" i="317"/>
  <c r="X75" i="317" s="1"/>
  <c r="W189" i="326"/>
  <c r="W196" i="326" s="1"/>
  <c r="W202" i="326"/>
  <c r="X182" i="329"/>
  <c r="X186" i="329" s="1"/>
  <c r="X71" i="329"/>
  <c r="X75" i="329" s="1"/>
  <c r="X127" i="329"/>
  <c r="Y194" i="326"/>
  <c r="Y49" i="315"/>
  <c r="Y48" i="315"/>
  <c r="Y50" i="315"/>
  <c r="X181" i="313"/>
  <c r="X185" i="313" s="1"/>
  <c r="X70" i="313"/>
  <c r="X126" i="313"/>
  <c r="Z14" i="316"/>
  <c r="X70" i="310"/>
  <c r="X74" i="310" s="1"/>
  <c r="V177" i="306"/>
  <c r="V204" i="306" s="1"/>
  <c r="X181" i="310"/>
  <c r="X185" i="310" s="1"/>
  <c r="W189" i="303"/>
  <c r="W196" i="303" s="1"/>
  <c r="Y48" i="308"/>
  <c r="Y181" i="310" s="1"/>
  <c r="Y185" i="310" s="1"/>
  <c r="Y50" i="308"/>
  <c r="Y72" i="310" s="1"/>
  <c r="Y76" i="310" s="1"/>
  <c r="Y49" i="308"/>
  <c r="Y71" i="310" s="1"/>
  <c r="Y75" i="310" s="1"/>
  <c r="X183" i="303"/>
  <c r="X187" i="303" s="1"/>
  <c r="W40" i="303"/>
  <c r="W20" i="303"/>
  <c r="AC52" i="267"/>
  <c r="W66" i="303"/>
  <c r="V39" i="303"/>
  <c r="V19" i="303"/>
  <c r="AA10" i="268"/>
  <c r="AA15" i="270" s="1"/>
  <c r="AA10" i="308"/>
  <c r="AA10" i="302"/>
  <c r="AA10" i="277"/>
  <c r="Z38" i="268"/>
  <c r="Z38" i="277"/>
  <c r="Z38" i="271"/>
  <c r="Z38" i="308"/>
  <c r="Z38" i="305"/>
  <c r="Z38" i="302"/>
  <c r="Z37" i="277"/>
  <c r="Z40" i="277" s="1"/>
  <c r="Z42" i="277" s="1"/>
  <c r="Z43" i="277" s="1"/>
  <c r="Z44" i="277" s="1"/>
  <c r="Z46" i="277" s="1"/>
  <c r="Z37" i="271"/>
  <c r="Z40" i="271" s="1"/>
  <c r="Z42" i="271" s="1"/>
  <c r="Z43" i="271" s="1"/>
  <c r="Z44" i="271" s="1"/>
  <c r="Z46" i="271" s="1"/>
  <c r="Z37" i="308"/>
  <c r="Z40" i="308" s="1"/>
  <c r="Z42" i="308" s="1"/>
  <c r="Z43" i="308" s="1"/>
  <c r="Z44" i="308" s="1"/>
  <c r="Z46" i="308" s="1"/>
  <c r="Z50" i="308" s="1"/>
  <c r="Z37" i="305"/>
  <c r="Z40" i="305" s="1"/>
  <c r="Z42" i="305" s="1"/>
  <c r="Z43" i="305" s="1"/>
  <c r="Z44" i="305" s="1"/>
  <c r="Z46" i="305" s="1"/>
  <c r="Z37" i="302"/>
  <c r="Z40" i="302" s="1"/>
  <c r="Z42" i="302" s="1"/>
  <c r="Z43" i="302" s="1"/>
  <c r="Z44" i="302" s="1"/>
  <c r="Z46" i="302" s="1"/>
  <c r="Z50" i="302" s="1"/>
  <c r="W39" i="303"/>
  <c r="W19" i="303"/>
  <c r="X24" i="309"/>
  <c r="X16" i="310" s="1"/>
  <c r="X20" i="310" s="1"/>
  <c r="W41" i="303"/>
  <c r="W21" i="303"/>
  <c r="W66" i="306"/>
  <c r="Z29" i="272"/>
  <c r="Z33" i="272" s="1"/>
  <c r="Z28" i="272"/>
  <c r="Z32" i="272" s="1"/>
  <c r="Z27" i="272"/>
  <c r="U41" i="272"/>
  <c r="U101" i="260" s="1"/>
  <c r="U21" i="272"/>
  <c r="V39" i="272"/>
  <c r="V19" i="272"/>
  <c r="U39" i="272"/>
  <c r="U19" i="272"/>
  <c r="W41" i="272"/>
  <c r="W21" i="272"/>
  <c r="W40" i="306"/>
  <c r="W20" i="306"/>
  <c r="W39" i="306"/>
  <c r="W19" i="306"/>
  <c r="X41" i="306"/>
  <c r="X21" i="306"/>
  <c r="W39" i="310"/>
  <c r="W19" i="310"/>
  <c r="X41" i="310"/>
  <c r="X21" i="310"/>
  <c r="W40" i="310"/>
  <c r="W20" i="310"/>
  <c r="Z28" i="278"/>
  <c r="Z32" i="278" s="1"/>
  <c r="Z29" i="278"/>
  <c r="Z33" i="278" s="1"/>
  <c r="Z27" i="278"/>
  <c r="V39" i="278"/>
  <c r="V19" i="278"/>
  <c r="V40" i="278"/>
  <c r="V20" i="278"/>
  <c r="U40" i="269"/>
  <c r="U100" i="260" s="1"/>
  <c r="U20" i="269"/>
  <c r="U39" i="269"/>
  <c r="U19" i="269"/>
  <c r="V41" i="269"/>
  <c r="V21" i="269"/>
  <c r="AC10" i="272"/>
  <c r="Y9" i="272"/>
  <c r="X31" i="272"/>
  <c r="X35" i="272" s="1"/>
  <c r="AB11" i="269"/>
  <c r="AB10" i="269"/>
  <c r="AD11" i="306"/>
  <c r="AC33" i="306"/>
  <c r="AC35" i="306" s="1"/>
  <c r="AD11" i="303"/>
  <c r="AC33" i="303"/>
  <c r="AC35" i="303" s="1"/>
  <c r="Y9" i="269"/>
  <c r="X31" i="269"/>
  <c r="X35" i="269" s="1"/>
  <c r="Y9" i="278"/>
  <c r="X31" i="278"/>
  <c r="X35" i="278" s="1"/>
  <c r="AD11" i="310"/>
  <c r="AC33" i="310"/>
  <c r="AC35" i="310" s="1"/>
  <c r="AC10" i="278"/>
  <c r="AC11" i="272"/>
  <c r="AC11" i="278"/>
  <c r="X23" i="309"/>
  <c r="X15" i="310" s="1"/>
  <c r="Y63" i="304"/>
  <c r="Y66" i="304" s="1"/>
  <c r="Y67" i="304" s="1"/>
  <c r="Y72" i="304" s="1"/>
  <c r="X181" i="303"/>
  <c r="X185" i="303" s="1"/>
  <c r="W202" i="303"/>
  <c r="Y47" i="309"/>
  <c r="Y38" i="309"/>
  <c r="X159" i="303"/>
  <c r="X166" i="303" s="1"/>
  <c r="Z21" i="304"/>
  <c r="Z14" i="277"/>
  <c r="Z16" i="277" s="1"/>
  <c r="Z17" i="277" s="1"/>
  <c r="Z18" i="277" s="1"/>
  <c r="Z20" i="277" s="1"/>
  <c r="Z16" i="279"/>
  <c r="Z59" i="279" s="1"/>
  <c r="Y29" i="304"/>
  <c r="Z14" i="271"/>
  <c r="Z16" i="271" s="1"/>
  <c r="Z17" i="271" s="1"/>
  <c r="Z18" i="271" s="1"/>
  <c r="Z20" i="271" s="1"/>
  <c r="Z16" i="273"/>
  <c r="Z59" i="273" s="1"/>
  <c r="Z27" i="304"/>
  <c r="Y47" i="304"/>
  <c r="X17" i="303"/>
  <c r="X23" i="304"/>
  <c r="X15" i="303" s="1"/>
  <c r="X24" i="304"/>
  <c r="X16" i="303" s="1"/>
  <c r="Y40" i="304"/>
  <c r="Y31" i="304"/>
  <c r="X70" i="303"/>
  <c r="X74" i="303" s="1"/>
  <c r="X161" i="303"/>
  <c r="X168" i="303" s="1"/>
  <c r="X33" i="302"/>
  <c r="X173" i="303" s="1"/>
  <c r="Z194" i="306"/>
  <c r="X32" i="302"/>
  <c r="X172" i="303" s="1"/>
  <c r="X114" i="303"/>
  <c r="X112" i="303"/>
  <c r="Z194" i="310"/>
  <c r="Z194" i="303"/>
  <c r="X23" i="307"/>
  <c r="X15" i="306" s="1"/>
  <c r="X24" i="307"/>
  <c r="X16" i="306" s="1"/>
  <c r="Y27" i="302"/>
  <c r="Y114" i="303" s="1"/>
  <c r="S23" i="303"/>
  <c r="S43" i="303" s="1"/>
  <c r="AA1" i="304"/>
  <c r="AA13" i="304" s="1"/>
  <c r="AA1" i="309"/>
  <c r="AA1" i="307"/>
  <c r="Y25" i="305"/>
  <c r="Y26" i="305"/>
  <c r="Y33" i="305" s="1"/>
  <c r="Y173" i="306" s="1"/>
  <c r="Y49" i="302"/>
  <c r="Y71" i="303" s="1"/>
  <c r="Y75" i="303" s="1"/>
  <c r="Y29" i="307"/>
  <c r="Y55" i="307" s="1"/>
  <c r="Y22" i="307" s="1"/>
  <c r="Y17" i="306" s="1"/>
  <c r="Y47" i="307"/>
  <c r="Y38" i="307"/>
  <c r="W82" i="310"/>
  <c r="W66" i="310"/>
  <c r="X33" i="305"/>
  <c r="X173" i="306" s="1"/>
  <c r="X201" i="306" s="1"/>
  <c r="X114" i="306"/>
  <c r="X161" i="306"/>
  <c r="X168" i="306" s="1"/>
  <c r="X57" i="306"/>
  <c r="X64" i="306" s="1"/>
  <c r="W175" i="306"/>
  <c r="W201" i="306"/>
  <c r="Y56" i="310"/>
  <c r="Y63" i="310" s="1"/>
  <c r="Y113" i="310"/>
  <c r="Y160" i="310"/>
  <c r="Y167" i="310" s="1"/>
  <c r="Z14" i="305"/>
  <c r="Z16" i="305" s="1"/>
  <c r="Z17" i="305" s="1"/>
  <c r="Z18" i="305" s="1"/>
  <c r="Z20" i="305" s="1"/>
  <c r="Z27" i="305" s="1"/>
  <c r="Z114" i="306" s="1"/>
  <c r="Z60" i="307"/>
  <c r="X112" i="306"/>
  <c r="X159" i="306"/>
  <c r="X166" i="306" s="1"/>
  <c r="X55" i="306"/>
  <c r="X62" i="306" s="1"/>
  <c r="X32" i="305"/>
  <c r="X172" i="306" s="1"/>
  <c r="X62" i="310"/>
  <c r="X200" i="310"/>
  <c r="Z13" i="307"/>
  <c r="Z21" i="307"/>
  <c r="Z27" i="307"/>
  <c r="Z13" i="309"/>
  <c r="Z27" i="309"/>
  <c r="Z21" i="309"/>
  <c r="AA60" i="309"/>
  <c r="Y48" i="302"/>
  <c r="Y70" i="303" s="1"/>
  <c r="Y74" i="303" s="1"/>
  <c r="X182" i="306"/>
  <c r="X186" i="306" s="1"/>
  <c r="X127" i="306"/>
  <c r="X71" i="306"/>
  <c r="X75" i="306" s="1"/>
  <c r="X70" i="306"/>
  <c r="X74" i="306" s="1"/>
  <c r="X126" i="306"/>
  <c r="X181" i="306"/>
  <c r="X185" i="306" s="1"/>
  <c r="W76" i="306"/>
  <c r="W83" i="306"/>
  <c r="Y114" i="306"/>
  <c r="Y161" i="306"/>
  <c r="Y168" i="306" s="1"/>
  <c r="Y57" i="306"/>
  <c r="W189" i="306"/>
  <c r="W196" i="306" s="1"/>
  <c r="W202" i="306"/>
  <c r="X183" i="306"/>
  <c r="X187" i="306" s="1"/>
  <c r="X72" i="306"/>
  <c r="X128" i="306"/>
  <c r="V78" i="306"/>
  <c r="V85" i="306" s="1"/>
  <c r="V82" i="306"/>
  <c r="W17" i="269"/>
  <c r="Y48" i="305"/>
  <c r="Y49" i="305"/>
  <c r="Y50" i="305"/>
  <c r="AC56" i="267"/>
  <c r="AC58" i="267" s="1"/>
  <c r="AA10" i="305"/>
  <c r="Z29" i="304"/>
  <c r="W82" i="303"/>
  <c r="T173" i="269"/>
  <c r="T201" i="269" s="1"/>
  <c r="T201" i="303"/>
  <c r="W83" i="303"/>
  <c r="V16" i="269"/>
  <c r="T172" i="269"/>
  <c r="T200" i="269" s="1"/>
  <c r="V15" i="269"/>
  <c r="Z60" i="304"/>
  <c r="Z14" i="302"/>
  <c r="Z16" i="302" s="1"/>
  <c r="Z17" i="302" s="1"/>
  <c r="Z18" i="302" s="1"/>
  <c r="Z20" i="302" s="1"/>
  <c r="Z26" i="302" s="1"/>
  <c r="S175" i="303"/>
  <c r="S177" i="303" s="1"/>
  <c r="S204" i="303" s="1"/>
  <c r="S200" i="303"/>
  <c r="S111" i="260" s="1"/>
  <c r="AA14" i="304"/>
  <c r="Y183" i="303"/>
  <c r="Y187" i="303" s="1"/>
  <c r="Y128" i="303"/>
  <c r="Y72" i="303"/>
  <c r="Y76" i="303" s="1"/>
  <c r="X62" i="303"/>
  <c r="Y32" i="302"/>
  <c r="Y172" i="303" s="1"/>
  <c r="V24" i="273"/>
  <c r="V16" i="272" s="1"/>
  <c r="V17" i="272"/>
  <c r="W17" i="278"/>
  <c r="W24" i="279"/>
  <c r="W16" i="278" s="1"/>
  <c r="W23" i="279"/>
  <c r="W15" i="278" s="1"/>
  <c r="AJ42" i="260"/>
  <c r="AK42" i="260" s="1"/>
  <c r="AI93" i="260"/>
  <c r="AI98" i="260"/>
  <c r="AI76" i="260"/>
  <c r="AI59" i="260"/>
  <c r="Z27" i="270"/>
  <c r="Z21" i="270"/>
  <c r="Z13" i="270"/>
  <c r="AB53" i="267"/>
  <c r="Z37" i="268"/>
  <c r="Z40" i="268" s="1"/>
  <c r="Z42" i="268" s="1"/>
  <c r="AA1" i="273"/>
  <c r="AD2" i="267"/>
  <c r="AA1" i="279"/>
  <c r="AC51" i="267"/>
  <c r="AA3" i="278"/>
  <c r="AA3" i="272"/>
  <c r="AA1" i="270"/>
  <c r="Z21" i="279"/>
  <c r="Z27" i="279"/>
  <c r="Z13" i="279"/>
  <c r="Z13" i="273"/>
  <c r="Z27" i="273"/>
  <c r="Z21" i="273"/>
  <c r="W23" i="273"/>
  <c r="W15" i="272" s="1"/>
  <c r="X47" i="279"/>
  <c r="X55" i="279" s="1"/>
  <c r="X22" i="279" s="1"/>
  <c r="X17" i="278" s="1"/>
  <c r="W24" i="273"/>
  <c r="W16" i="272" s="1"/>
  <c r="X38" i="279"/>
  <c r="U85" i="272"/>
  <c r="X38" i="273"/>
  <c r="X55" i="273" s="1"/>
  <c r="X22" i="273" s="1"/>
  <c r="X17" i="272" s="1"/>
  <c r="Y38" i="279"/>
  <c r="Y60" i="279"/>
  <c r="Y63" i="279" s="1"/>
  <c r="Y66" i="279" s="1"/>
  <c r="Y67" i="279" s="1"/>
  <c r="Y72" i="279" s="1"/>
  <c r="Y47" i="273"/>
  <c r="Y60" i="273"/>
  <c r="Y63" i="273" s="1"/>
  <c r="Y66" i="273" s="1"/>
  <c r="Y67" i="273" s="1"/>
  <c r="Y72" i="273" s="1"/>
  <c r="X47" i="273"/>
  <c r="AA10" i="271"/>
  <c r="AA15" i="273" s="1"/>
  <c r="U170" i="272"/>
  <c r="X182" i="278"/>
  <c r="X186" i="278" s="1"/>
  <c r="X127" i="278"/>
  <c r="X71" i="278"/>
  <c r="X75" i="278" s="1"/>
  <c r="X183" i="278"/>
  <c r="X187" i="278" s="1"/>
  <c r="X128" i="278"/>
  <c r="X72" i="278"/>
  <c r="X76" i="278" s="1"/>
  <c r="X181" i="278"/>
  <c r="X185" i="278" s="1"/>
  <c r="X126" i="278"/>
  <c r="X70" i="278"/>
  <c r="X74" i="278" s="1"/>
  <c r="X114" i="278"/>
  <c r="X57" i="278"/>
  <c r="X161" i="278"/>
  <c r="X32" i="277"/>
  <c r="X172" i="278" s="1"/>
  <c r="X55" i="278"/>
  <c r="X112" i="278"/>
  <c r="X159" i="278"/>
  <c r="X56" i="278"/>
  <c r="X113" i="278"/>
  <c r="X160" i="278"/>
  <c r="V66" i="278"/>
  <c r="AC52" i="277"/>
  <c r="AC191" i="278" s="1"/>
  <c r="AC53" i="277"/>
  <c r="AC192" i="278" s="1"/>
  <c r="X33" i="277"/>
  <c r="X173" i="278" s="1"/>
  <c r="Y25" i="277"/>
  <c r="Y26" i="277"/>
  <c r="Y27" i="277"/>
  <c r="Y49" i="277"/>
  <c r="Y48" i="277"/>
  <c r="Y50" i="277"/>
  <c r="Y25" i="271"/>
  <c r="Y27" i="271"/>
  <c r="Y26" i="271"/>
  <c r="X72" i="272"/>
  <c r="X128" i="272"/>
  <c r="X183" i="272"/>
  <c r="X187" i="272" s="1"/>
  <c r="Y48" i="271"/>
  <c r="Y49" i="271"/>
  <c r="Y50" i="271"/>
  <c r="X70" i="272"/>
  <c r="X74" i="272" s="1"/>
  <c r="X126" i="272"/>
  <c r="X181" i="272"/>
  <c r="X185" i="272" s="1"/>
  <c r="AB52" i="271"/>
  <c r="AB191" i="272" s="1"/>
  <c r="AB53" i="271"/>
  <c r="AB192" i="272" s="1"/>
  <c r="X57" i="272"/>
  <c r="X114" i="272"/>
  <c r="X161" i="272"/>
  <c r="X168" i="272" s="1"/>
  <c r="X71" i="272"/>
  <c r="X75" i="272" s="1"/>
  <c r="X127" i="272"/>
  <c r="X182" i="272"/>
  <c r="X186" i="272" s="1"/>
  <c r="X32" i="271"/>
  <c r="X172" i="272" s="1"/>
  <c r="X55" i="272"/>
  <c r="X62" i="272" s="1"/>
  <c r="X112" i="272"/>
  <c r="X159" i="272"/>
  <c r="X166" i="272" s="1"/>
  <c r="X33" i="271"/>
  <c r="X173" i="272" s="1"/>
  <c r="X56" i="272"/>
  <c r="X113" i="272"/>
  <c r="X160" i="272"/>
  <c r="X167" i="272" s="1"/>
  <c r="Z14" i="279"/>
  <c r="W75" i="278"/>
  <c r="Z14" i="273"/>
  <c r="W167" i="272"/>
  <c r="W170" i="272" s="1"/>
  <c r="W185" i="272"/>
  <c r="V83" i="278"/>
  <c r="W74" i="272"/>
  <c r="U114" i="269"/>
  <c r="V202" i="278"/>
  <c r="U33" i="268"/>
  <c r="U161" i="269"/>
  <c r="U168" i="269" s="1"/>
  <c r="U170" i="269" s="1"/>
  <c r="W23" i="270"/>
  <c r="W24" i="270"/>
  <c r="W63" i="272"/>
  <c r="W185" i="278"/>
  <c r="W189" i="278" s="1"/>
  <c r="W64" i="272"/>
  <c r="W201" i="272"/>
  <c r="U85" i="278"/>
  <c r="W76" i="272"/>
  <c r="W187" i="272"/>
  <c r="U55" i="269"/>
  <c r="U62" i="269" s="1"/>
  <c r="U66" i="269" s="1"/>
  <c r="U112" i="269"/>
  <c r="AA6" i="271"/>
  <c r="AA52" i="268"/>
  <c r="AA191" i="269" s="1"/>
  <c r="AA53" i="268"/>
  <c r="AA192" i="269" s="1"/>
  <c r="AA6" i="277"/>
  <c r="U32" i="268"/>
  <c r="W201" i="278"/>
  <c r="W63" i="278"/>
  <c r="W167" i="278"/>
  <c r="V200" i="272"/>
  <c r="Y40" i="279"/>
  <c r="Y31" i="279"/>
  <c r="W166" i="278"/>
  <c r="W62" i="278"/>
  <c r="W168" i="278"/>
  <c r="W64" i="278"/>
  <c r="W200" i="272"/>
  <c r="V170" i="272"/>
  <c r="V202" i="272"/>
  <c r="V62" i="272"/>
  <c r="V83" i="272"/>
  <c r="U23" i="278"/>
  <c r="U43" i="278" s="1"/>
  <c r="Y40" i="273"/>
  <c r="Y31" i="273"/>
  <c r="W74" i="278"/>
  <c r="V82" i="278"/>
  <c r="V78" i="278"/>
  <c r="AD2" i="277"/>
  <c r="AB3" i="269"/>
  <c r="V26" i="268"/>
  <c r="V56" i="269" s="1"/>
  <c r="V63" i="269" s="1"/>
  <c r="V27" i="268"/>
  <c r="V114" i="269" s="1"/>
  <c r="AC2" i="271"/>
  <c r="T170" i="269"/>
  <c r="X66" i="270"/>
  <c r="X67" i="270" s="1"/>
  <c r="X72" i="270" s="1"/>
  <c r="Y47" i="270"/>
  <c r="Y29" i="270"/>
  <c r="Y38" i="270"/>
  <c r="V159" i="269"/>
  <c r="V166" i="269" s="1"/>
  <c r="V32" i="268"/>
  <c r="V55" i="269"/>
  <c r="V62" i="269" s="1"/>
  <c r="V112" i="269"/>
  <c r="T66" i="269"/>
  <c r="Z14" i="270"/>
  <c r="Y60" i="270"/>
  <c r="Y63" i="270" s="1"/>
  <c r="X17" i="268"/>
  <c r="X18" i="268" s="1"/>
  <c r="X20" i="268" s="1"/>
  <c r="X55" i="270"/>
  <c r="X22" i="270" s="1"/>
  <c r="Y31" i="270"/>
  <c r="Y40" i="270"/>
  <c r="AB2" i="268"/>
  <c r="Y2" i="264"/>
  <c r="Y17" i="264" s="1"/>
  <c r="X200" i="329" l="1"/>
  <c r="Y160" i="329"/>
  <c r="Y167" i="329" s="1"/>
  <c r="X86" i="325"/>
  <c r="X27" i="326" s="1"/>
  <c r="X31" i="326" s="1"/>
  <c r="X128" i="313"/>
  <c r="X72" i="313"/>
  <c r="X76" i="313" s="1"/>
  <c r="W189" i="317"/>
  <c r="W196" i="317" s="1"/>
  <c r="X119" i="329"/>
  <c r="Y55" i="303"/>
  <c r="Y112" i="303"/>
  <c r="Y26" i="302"/>
  <c r="Y160" i="303" s="1"/>
  <c r="Y167" i="303" s="1"/>
  <c r="Y57" i="310"/>
  <c r="Y64" i="310" s="1"/>
  <c r="AC57" i="267"/>
  <c r="Z14" i="308"/>
  <c r="Z16" i="308" s="1"/>
  <c r="Z17" i="308" s="1"/>
  <c r="Z18" i="308" s="1"/>
  <c r="Z20" i="308" s="1"/>
  <c r="Z25" i="308" s="1"/>
  <c r="Z15" i="309"/>
  <c r="Z38" i="309" s="1"/>
  <c r="AD10" i="267"/>
  <c r="AB6" i="305" s="1"/>
  <c r="AB14" i="307" s="1"/>
  <c r="AD9" i="267"/>
  <c r="AD8" i="267"/>
  <c r="AD12" i="267"/>
  <c r="AD11" i="267"/>
  <c r="AD7" i="267"/>
  <c r="AB6" i="302" s="1"/>
  <c r="AB14" i="304" s="1"/>
  <c r="Z16" i="270"/>
  <c r="Z59" i="270" s="1"/>
  <c r="AC62" i="267"/>
  <c r="Z63" i="307"/>
  <c r="Z14" i="268"/>
  <c r="Z16" i="268" s="1"/>
  <c r="Y17" i="310"/>
  <c r="Y23" i="309"/>
  <c r="Y15" i="310" s="1"/>
  <c r="Y24" i="309"/>
  <c r="Y16" i="310" s="1"/>
  <c r="Y40" i="310" s="1"/>
  <c r="X116" i="310"/>
  <c r="AB103" i="269"/>
  <c r="AB100" i="269"/>
  <c r="AB102" i="269"/>
  <c r="AB101" i="269"/>
  <c r="AB97" i="269"/>
  <c r="AB95" i="269"/>
  <c r="AB90" i="269"/>
  <c r="AB96" i="269"/>
  <c r="AB93" i="269"/>
  <c r="AB91" i="269"/>
  <c r="AB98" i="269"/>
  <c r="AB92" i="269"/>
  <c r="Y92" i="322"/>
  <c r="X118" i="310"/>
  <c r="Z32" i="316"/>
  <c r="Z41" i="316"/>
  <c r="Z31" i="309"/>
  <c r="Z40" i="309"/>
  <c r="AA11" i="308"/>
  <c r="AA17" i="309" s="1"/>
  <c r="AA11" i="268"/>
  <c r="AA17" i="270" s="1"/>
  <c r="AA11" i="302"/>
  <c r="AA17" i="304" s="1"/>
  <c r="AA11" i="277"/>
  <c r="AA17" i="279" s="1"/>
  <c r="AD40" i="267"/>
  <c r="AD39" i="267"/>
  <c r="AD41" i="267" s="1"/>
  <c r="AD29" i="267"/>
  <c r="AD31" i="267" s="1"/>
  <c r="AD45" i="267"/>
  <c r="AD30" i="267"/>
  <c r="AD57" i="267" s="1"/>
  <c r="AD44" i="267"/>
  <c r="AD46" i="267" s="1"/>
  <c r="Z41" i="319"/>
  <c r="Z32" i="319"/>
  <c r="AA11" i="315"/>
  <c r="AA18" i="316" s="1"/>
  <c r="AA11" i="318"/>
  <c r="AA18" i="319" s="1"/>
  <c r="AA11" i="312"/>
  <c r="AA18" i="314" s="1"/>
  <c r="Y110" i="322"/>
  <c r="Y92" i="328"/>
  <c r="Y101" i="328"/>
  <c r="Y118" i="328" s="1"/>
  <c r="Y85" i="328" s="1"/>
  <c r="Y29" i="329" s="1"/>
  <c r="Y33" i="329" s="1"/>
  <c r="Y118" i="322"/>
  <c r="Y85" i="322" s="1"/>
  <c r="Y29" i="323" s="1"/>
  <c r="Y33" i="323" s="1"/>
  <c r="Z26" i="327"/>
  <c r="Z56" i="329" s="1"/>
  <c r="Z63" i="329" s="1"/>
  <c r="Y112" i="329"/>
  <c r="W130" i="317"/>
  <c r="Y57" i="313"/>
  <c r="Y64" i="313" s="1"/>
  <c r="X53" i="312"/>
  <c r="X192" i="313" s="1"/>
  <c r="X194" i="313" s="1"/>
  <c r="X118" i="329"/>
  <c r="X117" i="329"/>
  <c r="Y32" i="327"/>
  <c r="Y172" i="329" s="1"/>
  <c r="Z27" i="327"/>
  <c r="Z57" i="329" s="1"/>
  <c r="Z64" i="329" s="1"/>
  <c r="Y55" i="329"/>
  <c r="Y62" i="329" s="1"/>
  <c r="Y66" i="329" s="1"/>
  <c r="W35" i="329"/>
  <c r="W35" i="326"/>
  <c r="W83" i="317"/>
  <c r="W133" i="317"/>
  <c r="W140" i="317"/>
  <c r="W132" i="317"/>
  <c r="Y110" i="325"/>
  <c r="W131" i="317"/>
  <c r="Y113" i="329"/>
  <c r="W87" i="314"/>
  <c r="W28" i="313" s="1"/>
  <c r="W32" i="313" s="1"/>
  <c r="Y33" i="327"/>
  <c r="Y173" i="329" s="1"/>
  <c r="Y50" i="318"/>
  <c r="Y72" i="320" s="1"/>
  <c r="Y76" i="320" s="1"/>
  <c r="W141" i="317"/>
  <c r="W143" i="317"/>
  <c r="Y49" i="318"/>
  <c r="Y127" i="320" s="1"/>
  <c r="W202" i="317"/>
  <c r="AA77" i="325"/>
  <c r="AA15" i="325"/>
  <c r="AA77" i="316"/>
  <c r="AA15" i="316"/>
  <c r="AA77" i="322"/>
  <c r="AA15" i="322"/>
  <c r="AB6" i="321"/>
  <c r="AB6" i="324"/>
  <c r="AB6" i="312"/>
  <c r="AB6" i="308"/>
  <c r="AB14" i="309" s="1"/>
  <c r="AB6" i="327"/>
  <c r="AB6" i="315"/>
  <c r="AB6" i="318"/>
  <c r="AB6" i="268"/>
  <c r="AA77" i="328"/>
  <c r="AA15" i="328"/>
  <c r="AA77" i="314"/>
  <c r="AA15" i="314"/>
  <c r="AA77" i="319"/>
  <c r="AA15" i="319"/>
  <c r="AA100" i="272"/>
  <c r="AA103" i="272"/>
  <c r="AA101" i="272"/>
  <c r="AA102" i="272"/>
  <c r="AA98" i="272"/>
  <c r="AA93" i="272"/>
  <c r="AA96" i="272"/>
  <c r="AA90" i="272"/>
  <c r="AA97" i="272"/>
  <c r="AA95" i="272"/>
  <c r="AA91" i="272"/>
  <c r="AA92" i="272"/>
  <c r="AA103" i="313"/>
  <c r="AA101" i="313"/>
  <c r="AA102" i="313"/>
  <c r="AA100" i="313"/>
  <c r="AA98" i="313"/>
  <c r="AA96" i="313"/>
  <c r="AA93" i="313"/>
  <c r="AA97" i="313"/>
  <c r="AA95" i="313"/>
  <c r="AA90" i="313"/>
  <c r="AA91" i="313"/>
  <c r="AA92" i="313"/>
  <c r="AA103" i="317"/>
  <c r="AA102" i="317"/>
  <c r="AA100" i="317"/>
  <c r="AA101" i="317"/>
  <c r="AA98" i="317"/>
  <c r="AA96" i="317"/>
  <c r="AA92" i="317"/>
  <c r="AA93" i="317"/>
  <c r="AA91" i="317"/>
  <c r="AA95" i="317"/>
  <c r="AA90" i="317"/>
  <c r="AA97" i="317"/>
  <c r="AA100" i="278"/>
  <c r="AA102" i="278"/>
  <c r="AA103" i="278"/>
  <c r="AA101" i="278"/>
  <c r="AA91" i="278"/>
  <c r="AA98" i="278"/>
  <c r="AA96" i="278"/>
  <c r="AA92" i="278"/>
  <c r="AA93" i="278"/>
  <c r="AA95" i="278"/>
  <c r="AA97" i="278"/>
  <c r="AA90" i="278"/>
  <c r="AA102" i="320"/>
  <c r="AA103" i="320"/>
  <c r="AA100" i="320"/>
  <c r="AA101" i="320"/>
  <c r="AA93" i="320"/>
  <c r="AA97" i="320"/>
  <c r="AA95" i="320"/>
  <c r="AA90" i="320"/>
  <c r="AA91" i="320"/>
  <c r="AA98" i="320"/>
  <c r="AA96" i="320"/>
  <c r="AA92" i="320"/>
  <c r="AA102" i="326"/>
  <c r="AA103" i="326"/>
  <c r="AA101" i="326"/>
  <c r="AA100" i="326"/>
  <c r="AA98" i="326"/>
  <c r="AA96" i="326"/>
  <c r="AA92" i="326"/>
  <c r="AA93" i="326"/>
  <c r="AA97" i="326"/>
  <c r="AA95" i="326"/>
  <c r="AA90" i="326"/>
  <c r="AA91" i="326"/>
  <c r="AA103" i="323"/>
  <c r="AA102" i="323"/>
  <c r="AA100" i="323"/>
  <c r="AA101" i="323"/>
  <c r="AA98" i="323"/>
  <c r="AA96" i="323"/>
  <c r="AA92" i="323"/>
  <c r="AA93" i="323"/>
  <c r="AA95" i="323"/>
  <c r="AA90" i="323"/>
  <c r="AA97" i="323"/>
  <c r="AA91" i="323"/>
  <c r="AA102" i="329"/>
  <c r="AA103" i="329"/>
  <c r="AA101" i="329"/>
  <c r="AA100" i="329"/>
  <c r="AA91" i="329"/>
  <c r="AA98" i="329"/>
  <c r="AA96" i="329"/>
  <c r="AA97" i="329"/>
  <c r="AA95" i="329"/>
  <c r="AA93" i="329"/>
  <c r="AA90" i="329"/>
  <c r="AA92" i="329"/>
  <c r="X127" i="320"/>
  <c r="X182" i="313"/>
  <c r="X186" i="313" s="1"/>
  <c r="X202" i="313" s="1"/>
  <c r="X71" i="320"/>
  <c r="X75" i="320" s="1"/>
  <c r="Y32" i="308"/>
  <c r="Y172" i="310" s="1"/>
  <c r="Y200" i="310" s="1"/>
  <c r="X127" i="313"/>
  <c r="X140" i="313" s="1"/>
  <c r="X53" i="318"/>
  <c r="X192" i="320" s="1"/>
  <c r="X194" i="320" s="1"/>
  <c r="Y161" i="310"/>
  <c r="Y168" i="310" s="1"/>
  <c r="Y170" i="310" s="1"/>
  <c r="X72" i="320"/>
  <c r="X76" i="320" s="1"/>
  <c r="Y33" i="308"/>
  <c r="Y173" i="310" s="1"/>
  <c r="Y201" i="310" s="1"/>
  <c r="X128" i="320"/>
  <c r="X183" i="320"/>
  <c r="X187" i="320" s="1"/>
  <c r="X202" i="320" s="1"/>
  <c r="X86" i="322"/>
  <c r="X27" i="323" s="1"/>
  <c r="X31" i="323" s="1"/>
  <c r="X141" i="329"/>
  <c r="X140" i="329"/>
  <c r="X133" i="310"/>
  <c r="X140" i="317"/>
  <c r="X116" i="317"/>
  <c r="X141" i="317"/>
  <c r="X117" i="317"/>
  <c r="X142" i="317"/>
  <c r="X118" i="317"/>
  <c r="X119" i="317"/>
  <c r="X143" i="317"/>
  <c r="X142" i="272"/>
  <c r="X143" i="272"/>
  <c r="X140" i="272"/>
  <c r="X116" i="272"/>
  <c r="X117" i="272"/>
  <c r="X141" i="272"/>
  <c r="X118" i="272"/>
  <c r="X119" i="272"/>
  <c r="X132" i="272"/>
  <c r="X133" i="272"/>
  <c r="X130" i="272"/>
  <c r="X131" i="272"/>
  <c r="X130" i="278"/>
  <c r="X131" i="278"/>
  <c r="X132" i="278"/>
  <c r="X133" i="278"/>
  <c r="X141" i="306"/>
  <c r="X142" i="306"/>
  <c r="X143" i="306"/>
  <c r="X119" i="306"/>
  <c r="X116" i="306"/>
  <c r="X117" i="306"/>
  <c r="X140" i="306"/>
  <c r="X118" i="306"/>
  <c r="Y112" i="310"/>
  <c r="X141" i="303"/>
  <c r="X117" i="303"/>
  <c r="X142" i="303"/>
  <c r="X118" i="303"/>
  <c r="X119" i="303"/>
  <c r="X143" i="303"/>
  <c r="X116" i="303"/>
  <c r="X140" i="303"/>
  <c r="X143" i="310"/>
  <c r="X142" i="310"/>
  <c r="X131" i="310"/>
  <c r="X133" i="306"/>
  <c r="X130" i="306"/>
  <c r="X131" i="306"/>
  <c r="X132" i="306"/>
  <c r="Y55" i="310"/>
  <c r="X130" i="326"/>
  <c r="X131" i="326"/>
  <c r="X132" i="326"/>
  <c r="X133" i="326"/>
  <c r="X133" i="323"/>
  <c r="X130" i="323"/>
  <c r="X131" i="323"/>
  <c r="X132" i="323"/>
  <c r="X141" i="320"/>
  <c r="X119" i="320"/>
  <c r="X118" i="320"/>
  <c r="X116" i="320"/>
  <c r="X117" i="320"/>
  <c r="X142" i="329"/>
  <c r="X141" i="310"/>
  <c r="X132" i="310"/>
  <c r="X130" i="317"/>
  <c r="X131" i="317"/>
  <c r="X132" i="317"/>
  <c r="X133" i="317"/>
  <c r="X140" i="326"/>
  <c r="X116" i="326"/>
  <c r="X141" i="326"/>
  <c r="X117" i="326"/>
  <c r="X142" i="326"/>
  <c r="X118" i="326"/>
  <c r="X143" i="326"/>
  <c r="X119" i="326"/>
  <c r="U118" i="269"/>
  <c r="U119" i="269"/>
  <c r="U116" i="269"/>
  <c r="U117" i="269"/>
  <c r="X140" i="278"/>
  <c r="X116" i="278"/>
  <c r="X141" i="278"/>
  <c r="X142" i="278"/>
  <c r="X118" i="278"/>
  <c r="X117" i="278"/>
  <c r="X143" i="278"/>
  <c r="X119" i="278"/>
  <c r="X133" i="313"/>
  <c r="X130" i="329"/>
  <c r="X131" i="329"/>
  <c r="X132" i="329"/>
  <c r="X133" i="329"/>
  <c r="X143" i="323"/>
  <c r="X119" i="323"/>
  <c r="X140" i="323"/>
  <c r="X116" i="323"/>
  <c r="X141" i="323"/>
  <c r="X117" i="323"/>
  <c r="X118" i="323"/>
  <c r="X142" i="323"/>
  <c r="X143" i="329"/>
  <c r="X140" i="310"/>
  <c r="Y92" i="325"/>
  <c r="AB105" i="269"/>
  <c r="AB107" i="269"/>
  <c r="AB108" i="269"/>
  <c r="AB106" i="269"/>
  <c r="AA105" i="278"/>
  <c r="AA108" i="278"/>
  <c r="AA106" i="278"/>
  <c r="AA107" i="278"/>
  <c r="AA108" i="313"/>
  <c r="AA105" i="313"/>
  <c r="AA107" i="313"/>
  <c r="AA106" i="313"/>
  <c r="AA105" i="317"/>
  <c r="AA108" i="317"/>
  <c r="AA107" i="317"/>
  <c r="AA106" i="317"/>
  <c r="AA105" i="320"/>
  <c r="AA108" i="320"/>
  <c r="AA107" i="320"/>
  <c r="AA106" i="320"/>
  <c r="AA108" i="326"/>
  <c r="AA107" i="326"/>
  <c r="AA106" i="326"/>
  <c r="AA105" i="326"/>
  <c r="AA105" i="323"/>
  <c r="AA108" i="323"/>
  <c r="AA107" i="323"/>
  <c r="AA106" i="323"/>
  <c r="AA107" i="329"/>
  <c r="AA106" i="329"/>
  <c r="AA108" i="329"/>
  <c r="AA105" i="329"/>
  <c r="AA108" i="272"/>
  <c r="AA106" i="272"/>
  <c r="AA105" i="272"/>
  <c r="AA107" i="272"/>
  <c r="X175" i="310"/>
  <c r="X177" i="310" s="1"/>
  <c r="Z78" i="319"/>
  <c r="Z92" i="319" s="1"/>
  <c r="Z79" i="319"/>
  <c r="Z78" i="325"/>
  <c r="Z110" i="325" s="1"/>
  <c r="Z79" i="325"/>
  <c r="Z79" i="316"/>
  <c r="Z78" i="316"/>
  <c r="Z92" i="316" s="1"/>
  <c r="AA14" i="327"/>
  <c r="AA16" i="327" s="1"/>
  <c r="AA17" i="327" s="1"/>
  <c r="AA18" i="327" s="1"/>
  <c r="AA20" i="327" s="1"/>
  <c r="AA27" i="327" s="1"/>
  <c r="AA16" i="328"/>
  <c r="AA17" i="328"/>
  <c r="Z78" i="322"/>
  <c r="Z110" i="322" s="1"/>
  <c r="Z79" i="322"/>
  <c r="Y126" i="314"/>
  <c r="Y64" i="314"/>
  <c r="H70" i="261"/>
  <c r="D1057" i="261"/>
  <c r="H67" i="261"/>
  <c r="H71" i="261"/>
  <c r="H66" i="261"/>
  <c r="H83" i="261"/>
  <c r="D1058" i="261"/>
  <c r="H88" i="261"/>
  <c r="H72" i="261"/>
  <c r="D1054" i="261"/>
  <c r="H82" i="261"/>
  <c r="D1065" i="261"/>
  <c r="H56" i="261"/>
  <c r="H87" i="261"/>
  <c r="D1066" i="261"/>
  <c r="D1083" i="261"/>
  <c r="D1068" i="261"/>
  <c r="D1073" i="261"/>
  <c r="D1070" i="261"/>
  <c r="D1062" i="261"/>
  <c r="H74" i="261"/>
  <c r="H81" i="261"/>
  <c r="D1067" i="261"/>
  <c r="H58" i="261"/>
  <c r="H59" i="261"/>
  <c r="H57" i="261"/>
  <c r="D1052" i="261"/>
  <c r="H64" i="261"/>
  <c r="D1069" i="261"/>
  <c r="H73" i="261"/>
  <c r="D1063" i="261"/>
  <c r="D1085" i="261"/>
  <c r="H69" i="261"/>
  <c r="D1074" i="261"/>
  <c r="D1077" i="261"/>
  <c r="H85" i="261"/>
  <c r="D1075" i="261"/>
  <c r="D1084" i="261"/>
  <c r="D1081" i="261"/>
  <c r="H76" i="261"/>
  <c r="D1053" i="261"/>
  <c r="D1072" i="261"/>
  <c r="H60" i="261"/>
  <c r="D1079" i="261"/>
  <c r="H80" i="261"/>
  <c r="D1082" i="261"/>
  <c r="H86" i="261"/>
  <c r="D1071" i="261"/>
  <c r="D1078" i="261"/>
  <c r="H84" i="261"/>
  <c r="H65" i="261"/>
  <c r="D1064" i="261"/>
  <c r="D1059" i="261"/>
  <c r="D1061" i="261"/>
  <c r="H61" i="261"/>
  <c r="H78" i="261"/>
  <c r="H79" i="261"/>
  <c r="H55" i="261"/>
  <c r="H77" i="261"/>
  <c r="D1055" i="261"/>
  <c r="H75" i="261"/>
  <c r="D1076" i="261"/>
  <c r="D1056" i="261"/>
  <c r="H68" i="261"/>
  <c r="H62" i="261"/>
  <c r="D1060" i="261"/>
  <c r="H63" i="261"/>
  <c r="D1080" i="261"/>
  <c r="Z40" i="312"/>
  <c r="Z42" i="312" s="1"/>
  <c r="Z43" i="312" s="1"/>
  <c r="Z44" i="312" s="1"/>
  <c r="Z46" i="312" s="1"/>
  <c r="Z50" i="312" s="1"/>
  <c r="Z78" i="314"/>
  <c r="Z79" i="314"/>
  <c r="Z78" i="328"/>
  <c r="Z110" i="328" s="1"/>
  <c r="Z79" i="328"/>
  <c r="Z60" i="314"/>
  <c r="Y161" i="313"/>
  <c r="Y168" i="313" s="1"/>
  <c r="Y170" i="313" s="1"/>
  <c r="Y113" i="313"/>
  <c r="Y117" i="313" s="1"/>
  <c r="Y56" i="313"/>
  <c r="Y63" i="313" s="1"/>
  <c r="Z26" i="312"/>
  <c r="Z113" i="313" s="1"/>
  <c r="Z27" i="312"/>
  <c r="Z114" i="313" s="1"/>
  <c r="Y33" i="312"/>
  <c r="Y173" i="313" s="1"/>
  <c r="Y175" i="313" s="1"/>
  <c r="W29" i="313"/>
  <c r="W33" i="313" s="1"/>
  <c r="W85" i="303"/>
  <c r="W86" i="314"/>
  <c r="W27" i="313" s="1"/>
  <c r="W31" i="313" s="1"/>
  <c r="W39" i="323"/>
  <c r="Y48" i="324"/>
  <c r="Y181" i="326" s="1"/>
  <c r="Y185" i="326" s="1"/>
  <c r="Y49" i="324"/>
  <c r="Y127" i="326" s="1"/>
  <c r="W40" i="326"/>
  <c r="X201" i="320"/>
  <c r="W33" i="317"/>
  <c r="W35" i="317" s="1"/>
  <c r="W41" i="317"/>
  <c r="Z40" i="315"/>
  <c r="Z42" i="315" s="1"/>
  <c r="Z43" i="315" s="1"/>
  <c r="Z44" i="315" s="1"/>
  <c r="Z46" i="315" s="1"/>
  <c r="Z48" i="315" s="1"/>
  <c r="AA17" i="316"/>
  <c r="AA16" i="316"/>
  <c r="AA16" i="314"/>
  <c r="AA17" i="314"/>
  <c r="AA122" i="314" s="1"/>
  <c r="AA15" i="279"/>
  <c r="AA16" i="309"/>
  <c r="AA59" i="309" s="1"/>
  <c r="AA15" i="309"/>
  <c r="W177" i="306"/>
  <c r="W204" i="306" s="1"/>
  <c r="AA16" i="307"/>
  <c r="AA59" i="307" s="1"/>
  <c r="AA15" i="307"/>
  <c r="AA16" i="304"/>
  <c r="AA59" i="304" s="1"/>
  <c r="AA15" i="304"/>
  <c r="AA150" i="326"/>
  <c r="AA151" i="326"/>
  <c r="AA150" i="323"/>
  <c r="AA151" i="323"/>
  <c r="AA150" i="320"/>
  <c r="AA151" i="320"/>
  <c r="V35" i="320"/>
  <c r="V43" i="320" s="1"/>
  <c r="AA151" i="317"/>
  <c r="AA150" i="317"/>
  <c r="AA150" i="313"/>
  <c r="AA151" i="313"/>
  <c r="AA150" i="278"/>
  <c r="AA151" i="278"/>
  <c r="AA151" i="272"/>
  <c r="AA150" i="272"/>
  <c r="AB27" i="269"/>
  <c r="AB29" i="269"/>
  <c r="AB33" i="269" s="1"/>
  <c r="AB150" i="269"/>
  <c r="AB28" i="269"/>
  <c r="AB32" i="269" s="1"/>
  <c r="AB151" i="269"/>
  <c r="W204" i="329"/>
  <c r="V43" i="323"/>
  <c r="X118" i="314"/>
  <c r="X85" i="314" s="1"/>
  <c r="X87" i="314" s="1"/>
  <c r="X28" i="313" s="1"/>
  <c r="X32" i="313" s="1"/>
  <c r="W32" i="323"/>
  <c r="W40" i="323"/>
  <c r="Z30" i="319"/>
  <c r="Z39" i="319"/>
  <c r="Z56" i="319" s="1"/>
  <c r="Z23" i="319" s="1"/>
  <c r="Z17" i="320" s="1"/>
  <c r="Z21" i="320" s="1"/>
  <c r="Z48" i="319"/>
  <c r="AA90" i="322"/>
  <c r="AA76" i="322"/>
  <c r="AA84" i="322"/>
  <c r="AA28" i="322"/>
  <c r="AA22" i="322"/>
  <c r="AB10" i="327"/>
  <c r="AB14" i="327" s="1"/>
  <c r="AB10" i="324"/>
  <c r="AB16" i="325" s="1"/>
  <c r="AB10" i="321"/>
  <c r="AB16" i="322" s="1"/>
  <c r="Z94" i="328"/>
  <c r="Z103" i="328"/>
  <c r="Z94" i="322"/>
  <c r="Z103" i="322"/>
  <c r="X67" i="322"/>
  <c r="X68" i="322" s="1"/>
  <c r="X73" i="322" s="1"/>
  <c r="X25" i="322" s="1"/>
  <c r="X16" i="323" s="1"/>
  <c r="X20" i="323" s="1"/>
  <c r="X129" i="322"/>
  <c r="X130" i="322" s="1"/>
  <c r="X135" i="322" s="1"/>
  <c r="X87" i="322" s="1"/>
  <c r="X28" i="323" s="1"/>
  <c r="X32" i="323" s="1"/>
  <c r="X24" i="322"/>
  <c r="X15" i="323" s="1"/>
  <c r="X19" i="323" s="1"/>
  <c r="AA32" i="328"/>
  <c r="AA41" i="328"/>
  <c r="Z48" i="322"/>
  <c r="Z39" i="322"/>
  <c r="Z56" i="322" s="1"/>
  <c r="Z23" i="322" s="1"/>
  <c r="Z17" i="323" s="1"/>
  <c r="Z21" i="323" s="1"/>
  <c r="Z30" i="322"/>
  <c r="Z122" i="328"/>
  <c r="Z60" i="328"/>
  <c r="X129" i="319"/>
  <c r="X130" i="319" s="1"/>
  <c r="X135" i="319" s="1"/>
  <c r="X87" i="319" s="1"/>
  <c r="X28" i="320" s="1"/>
  <c r="X32" i="320" s="1"/>
  <c r="X67" i="319"/>
  <c r="X68" i="319" s="1"/>
  <c r="X73" i="319" s="1"/>
  <c r="X25" i="319" s="1"/>
  <c r="X16" i="320" s="1"/>
  <c r="X20" i="320" s="1"/>
  <c r="X24" i="319"/>
  <c r="X15" i="320" s="1"/>
  <c r="X19" i="320" s="1"/>
  <c r="W33" i="320"/>
  <c r="W35" i="320" s="1"/>
  <c r="W41" i="320"/>
  <c r="Z94" i="325"/>
  <c r="Z103" i="325"/>
  <c r="Y64" i="325"/>
  <c r="Y126" i="325"/>
  <c r="X29" i="329"/>
  <c r="X33" i="329" s="1"/>
  <c r="X86" i="328"/>
  <c r="X27" i="329" s="1"/>
  <c r="X31" i="329" s="1"/>
  <c r="AA90" i="316"/>
  <c r="AA84" i="316"/>
  <c r="AA28" i="316"/>
  <c r="AA22" i="316"/>
  <c r="AA76" i="316"/>
  <c r="AA32" i="325"/>
  <c r="AA41" i="325"/>
  <c r="Z48" i="316"/>
  <c r="Z30" i="316"/>
  <c r="Z56" i="316" s="1"/>
  <c r="Z23" i="316" s="1"/>
  <c r="Z17" i="317" s="1"/>
  <c r="Z21" i="317" s="1"/>
  <c r="Z39" i="316"/>
  <c r="Y126" i="328"/>
  <c r="Y64" i="328"/>
  <c r="AA90" i="319"/>
  <c r="AA84" i="319"/>
  <c r="AA76" i="319"/>
  <c r="AA28" i="319"/>
  <c r="AA22" i="319"/>
  <c r="W40" i="320"/>
  <c r="Z60" i="322"/>
  <c r="Z122" i="322"/>
  <c r="Z122" i="325"/>
  <c r="Z60" i="325"/>
  <c r="Z122" i="316"/>
  <c r="Z60" i="316"/>
  <c r="X41" i="323"/>
  <c r="W39" i="320"/>
  <c r="X129" i="325"/>
  <c r="X130" i="325" s="1"/>
  <c r="X135" i="325" s="1"/>
  <c r="X87" i="325" s="1"/>
  <c r="X28" i="326" s="1"/>
  <c r="X32" i="326" s="1"/>
  <c r="X35" i="326" s="1"/>
  <c r="X67" i="325"/>
  <c r="X68" i="325" s="1"/>
  <c r="X73" i="325" s="1"/>
  <c r="X25" i="325" s="1"/>
  <c r="X16" i="326" s="1"/>
  <c r="X20" i="326" s="1"/>
  <c r="X24" i="325"/>
  <c r="X15" i="326" s="1"/>
  <c r="AB11" i="321"/>
  <c r="AB18" i="322" s="1"/>
  <c r="AB11" i="324"/>
  <c r="AB18" i="325" s="1"/>
  <c r="AB11" i="327"/>
  <c r="AB18" i="328" s="1"/>
  <c r="Y64" i="319"/>
  <c r="Y126" i="319"/>
  <c r="X67" i="316"/>
  <c r="X68" i="316" s="1"/>
  <c r="X73" i="316" s="1"/>
  <c r="X25" i="316" s="1"/>
  <c r="X16" i="317" s="1"/>
  <c r="X20" i="317" s="1"/>
  <c r="X129" i="316"/>
  <c r="X130" i="316" s="1"/>
  <c r="X135" i="316" s="1"/>
  <c r="X87" i="316" s="1"/>
  <c r="X28" i="317" s="1"/>
  <c r="X24" i="316"/>
  <c r="X15" i="317" s="1"/>
  <c r="AD62" i="267"/>
  <c r="AD66" i="267"/>
  <c r="AA28" i="328"/>
  <c r="AA22" i="328"/>
  <c r="AA90" i="328"/>
  <c r="AA84" i="328"/>
  <c r="AA76" i="328"/>
  <c r="Z60" i="319"/>
  <c r="Z122" i="319"/>
  <c r="Z94" i="319"/>
  <c r="Z103" i="319"/>
  <c r="AA41" i="322"/>
  <c r="AA32" i="322"/>
  <c r="X86" i="316"/>
  <c r="X27" i="317" s="1"/>
  <c r="X31" i="317" s="1"/>
  <c r="X29" i="317"/>
  <c r="AA90" i="325"/>
  <c r="AA28" i="325"/>
  <c r="AA84" i="325"/>
  <c r="AA22" i="325"/>
  <c r="AA76" i="325"/>
  <c r="Y48" i="328"/>
  <c r="Y39" i="328"/>
  <c r="Y56" i="328" s="1"/>
  <c r="Y23" i="328" s="1"/>
  <c r="Y30" i="328"/>
  <c r="W40" i="317"/>
  <c r="X29" i="320"/>
  <c r="X86" i="319"/>
  <c r="X27" i="320" s="1"/>
  <c r="X31" i="320" s="1"/>
  <c r="AC68" i="267"/>
  <c r="AA37" i="321"/>
  <c r="AA40" i="321" s="1"/>
  <c r="AA42" i="321" s="1"/>
  <c r="AA43" i="321" s="1"/>
  <c r="AA44" i="321" s="1"/>
  <c r="AA46" i="321" s="1"/>
  <c r="AA37" i="327"/>
  <c r="AA40" i="327" s="1"/>
  <c r="AA42" i="327" s="1"/>
  <c r="AA43" i="327" s="1"/>
  <c r="AA44" i="327" s="1"/>
  <c r="AA46" i="327" s="1"/>
  <c r="AA37" i="324"/>
  <c r="AA40" i="324" s="1"/>
  <c r="AA42" i="324" s="1"/>
  <c r="AA43" i="324" s="1"/>
  <c r="AA44" i="324" s="1"/>
  <c r="AA46" i="324" s="1"/>
  <c r="Y118" i="325"/>
  <c r="Y85" i="325" s="1"/>
  <c r="W33" i="323"/>
  <c r="W41" i="323"/>
  <c r="Y118" i="316"/>
  <c r="Y85" i="316" s="1"/>
  <c r="AA38" i="318"/>
  <c r="AA80" i="319" s="1"/>
  <c r="AA38" i="312"/>
  <c r="AA80" i="314" s="1"/>
  <c r="AA38" i="315"/>
  <c r="AA80" i="316" s="1"/>
  <c r="Y64" i="322"/>
  <c r="Y126" i="322"/>
  <c r="Y126" i="316"/>
  <c r="Y64" i="316"/>
  <c r="Y48" i="325"/>
  <c r="Y39" i="325"/>
  <c r="Y56" i="325" s="1"/>
  <c r="Y23" i="325" s="1"/>
  <c r="Y30" i="325"/>
  <c r="AA38" i="327"/>
  <c r="AA80" i="328" s="1"/>
  <c r="AA38" i="321"/>
  <c r="AA80" i="322" s="1"/>
  <c r="AA38" i="324"/>
  <c r="AA80" i="325" s="1"/>
  <c r="Z103" i="316"/>
  <c r="Z94" i="316"/>
  <c r="Y118" i="319"/>
  <c r="Y85" i="319" s="1"/>
  <c r="X67" i="328"/>
  <c r="X68" i="328" s="1"/>
  <c r="X73" i="328" s="1"/>
  <c r="X25" i="328" s="1"/>
  <c r="X16" i="329" s="1"/>
  <c r="X20" i="329" s="1"/>
  <c r="X129" i="328"/>
  <c r="X130" i="328" s="1"/>
  <c r="X135" i="328" s="1"/>
  <c r="X87" i="328" s="1"/>
  <c r="X28" i="329" s="1"/>
  <c r="X32" i="329" s="1"/>
  <c r="X24" i="328"/>
  <c r="X15" i="329" s="1"/>
  <c r="W85" i="310"/>
  <c r="W177" i="310"/>
  <c r="W204" i="310" s="1"/>
  <c r="X201" i="329"/>
  <c r="Y53" i="327"/>
  <c r="Y192" i="329" s="1"/>
  <c r="Y194" i="329" s="1"/>
  <c r="T112" i="260"/>
  <c r="X201" i="313"/>
  <c r="Y53" i="312"/>
  <c r="Y192" i="313" s="1"/>
  <c r="Y194" i="313" s="1"/>
  <c r="Y200" i="313"/>
  <c r="V43" i="313"/>
  <c r="Z41" i="314"/>
  <c r="AA14" i="312"/>
  <c r="AA16" i="312" s="1"/>
  <c r="AA17" i="312" s="1"/>
  <c r="AA18" i="312" s="1"/>
  <c r="AA20" i="312" s="1"/>
  <c r="AA25" i="312" s="1"/>
  <c r="AA37" i="315"/>
  <c r="AA40" i="315" s="1"/>
  <c r="AA42" i="315" s="1"/>
  <c r="AA43" i="315" s="1"/>
  <c r="AA44" i="315" s="1"/>
  <c r="AA46" i="315" s="1"/>
  <c r="AA37" i="318"/>
  <c r="AA40" i="318" s="1"/>
  <c r="AA42" i="318" s="1"/>
  <c r="AA43" i="318" s="1"/>
  <c r="AA44" i="318" s="1"/>
  <c r="AA46" i="318" s="1"/>
  <c r="AA37" i="312"/>
  <c r="AA40" i="312" s="1"/>
  <c r="AA42" i="312" s="1"/>
  <c r="AA43" i="312" s="1"/>
  <c r="AA44" i="312" s="1"/>
  <c r="AA46" i="312" s="1"/>
  <c r="AB10" i="315"/>
  <c r="AB10" i="318"/>
  <c r="AB16" i="319" s="1"/>
  <c r="AB10" i="312"/>
  <c r="AB14" i="312" s="1"/>
  <c r="AD61" i="267"/>
  <c r="AA41" i="314"/>
  <c r="AC63" i="267"/>
  <c r="Y92" i="314"/>
  <c r="Y118" i="314" s="1"/>
  <c r="Y85" i="314" s="1"/>
  <c r="Y110" i="314"/>
  <c r="Y101" i="314"/>
  <c r="X17" i="313"/>
  <c r="X21" i="313" s="1"/>
  <c r="AA84" i="314"/>
  <c r="AA90" i="314"/>
  <c r="AA76" i="314"/>
  <c r="Y23" i="314"/>
  <c r="Y17" i="313" s="1"/>
  <c r="X25" i="314"/>
  <c r="X16" i="313" s="1"/>
  <c r="X177" i="329"/>
  <c r="X177" i="313"/>
  <c r="Y127" i="310"/>
  <c r="W177" i="320"/>
  <c r="W204" i="320" s="1"/>
  <c r="W23" i="323"/>
  <c r="W177" i="317"/>
  <c r="X78" i="303"/>
  <c r="W204" i="313"/>
  <c r="X66" i="326"/>
  <c r="Z26" i="308"/>
  <c r="Z56" i="310" s="1"/>
  <c r="Z63" i="310" s="1"/>
  <c r="X66" i="323"/>
  <c r="Y170" i="329"/>
  <c r="W177" i="326"/>
  <c r="W204" i="326" s="1"/>
  <c r="X189" i="310"/>
  <c r="X196" i="310" s="1"/>
  <c r="X170" i="326"/>
  <c r="Z112" i="329"/>
  <c r="Z32" i="327"/>
  <c r="Z172" i="329" s="1"/>
  <c r="Z55" i="329"/>
  <c r="Z62" i="329" s="1"/>
  <c r="Z159" i="329"/>
  <c r="Z166" i="329" s="1"/>
  <c r="X200" i="323"/>
  <c r="X175" i="323"/>
  <c r="AA17" i="322"/>
  <c r="AA14" i="321"/>
  <c r="AA16" i="321" s="1"/>
  <c r="AA17" i="321" s="1"/>
  <c r="AA18" i="321" s="1"/>
  <c r="AA20" i="321" s="1"/>
  <c r="X66" i="317"/>
  <c r="Y33" i="315"/>
  <c r="Y173" i="317" s="1"/>
  <c r="Y201" i="317" s="1"/>
  <c r="Y160" i="317"/>
  <c r="Y167" i="317" s="1"/>
  <c r="Y56" i="317"/>
  <c r="Y63" i="317" s="1"/>
  <c r="Y113" i="317"/>
  <c r="X200" i="320"/>
  <c r="X175" i="320"/>
  <c r="AA29" i="309"/>
  <c r="X202" i="310"/>
  <c r="Z55" i="313"/>
  <c r="Z62" i="313" s="1"/>
  <c r="Z112" i="313"/>
  <c r="Z159" i="313"/>
  <c r="Z166" i="313" s="1"/>
  <c r="Z32" i="312"/>
  <c r="Z172" i="313" s="1"/>
  <c r="Z33" i="327"/>
  <c r="Z173" i="329" s="1"/>
  <c r="Z160" i="329"/>
  <c r="Z167" i="329" s="1"/>
  <c r="AA17" i="319"/>
  <c r="AA14" i="318"/>
  <c r="AA16" i="318" s="1"/>
  <c r="AA17" i="318" s="1"/>
  <c r="AA18" i="318" s="1"/>
  <c r="AA20" i="318" s="1"/>
  <c r="V23" i="329"/>
  <c r="V43" i="329" s="1"/>
  <c r="Y32" i="315"/>
  <c r="Y172" i="317" s="1"/>
  <c r="Y55" i="317"/>
  <c r="Y62" i="317" s="1"/>
  <c r="Y112" i="317"/>
  <c r="Y159" i="317"/>
  <c r="Y166" i="317" s="1"/>
  <c r="Z25" i="324"/>
  <c r="Z27" i="324"/>
  <c r="Z26" i="324"/>
  <c r="Z25" i="318"/>
  <c r="Z26" i="318"/>
  <c r="Z27" i="318"/>
  <c r="Y160" i="323"/>
  <c r="Y167" i="323" s="1"/>
  <c r="Y33" i="321"/>
  <c r="Y173" i="323" s="1"/>
  <c r="Y201" i="323" s="1"/>
  <c r="Y113" i="323"/>
  <c r="Y56" i="323"/>
  <c r="Y63" i="323" s="1"/>
  <c r="W21" i="329"/>
  <c r="W41" i="329"/>
  <c r="Y56" i="320"/>
  <c r="Y63" i="320" s="1"/>
  <c r="Y33" i="318"/>
  <c r="Y173" i="320" s="1"/>
  <c r="Y160" i="320"/>
  <c r="Y167" i="320" s="1"/>
  <c r="Y113" i="320"/>
  <c r="Y161" i="326"/>
  <c r="Y168" i="326" s="1"/>
  <c r="Y57" i="326"/>
  <c r="Y64" i="326" s="1"/>
  <c r="Y114" i="326"/>
  <c r="AA14" i="315"/>
  <c r="AA16" i="315" s="1"/>
  <c r="AA17" i="315" s="1"/>
  <c r="AA18" i="315" s="1"/>
  <c r="AA20" i="315" s="1"/>
  <c r="W177" i="323"/>
  <c r="W204" i="323" s="1"/>
  <c r="Z25" i="321"/>
  <c r="Z27" i="321"/>
  <c r="Z26" i="321"/>
  <c r="Y57" i="323"/>
  <c r="Y64" i="323" s="1"/>
  <c r="Y161" i="323"/>
  <c r="Y168" i="323" s="1"/>
  <c r="Y114" i="323"/>
  <c r="X200" i="326"/>
  <c r="X175" i="326"/>
  <c r="Y57" i="320"/>
  <c r="Y64" i="320" s="1"/>
  <c r="Y161" i="320"/>
  <c r="Y168" i="320" s="1"/>
  <c r="Y114" i="320"/>
  <c r="Y56" i="326"/>
  <c r="Y63" i="326" s="1"/>
  <c r="Y160" i="326"/>
  <c r="Y167" i="326" s="1"/>
  <c r="Y113" i="326"/>
  <c r="Y33" i="324"/>
  <c r="Y173" i="326" s="1"/>
  <c r="Y201" i="326" s="1"/>
  <c r="V23" i="326"/>
  <c r="V43" i="326" s="1"/>
  <c r="W19" i="326"/>
  <c r="W39" i="326"/>
  <c r="X17" i="326"/>
  <c r="X17" i="329"/>
  <c r="Y32" i="321"/>
  <c r="Y172" i="323" s="1"/>
  <c r="Y55" i="323"/>
  <c r="Y62" i="323" s="1"/>
  <c r="Y159" i="323"/>
  <c r="Y166" i="323" s="1"/>
  <c r="Y112" i="323"/>
  <c r="W19" i="329"/>
  <c r="W39" i="329"/>
  <c r="Y159" i="320"/>
  <c r="Y166" i="320" s="1"/>
  <c r="Y55" i="320"/>
  <c r="Y62" i="320" s="1"/>
  <c r="Y112" i="320"/>
  <c r="Y32" i="318"/>
  <c r="Y172" i="320" s="1"/>
  <c r="Y112" i="326"/>
  <c r="Y32" i="324"/>
  <c r="Y172" i="326" s="1"/>
  <c r="Y159" i="326"/>
  <c r="Y166" i="326" s="1"/>
  <c r="Y55" i="326"/>
  <c r="Y62" i="326" s="1"/>
  <c r="AA14" i="324"/>
  <c r="AA16" i="324" s="1"/>
  <c r="AA17" i="324" s="1"/>
  <c r="AA18" i="324" s="1"/>
  <c r="AA20" i="324" s="1"/>
  <c r="AA17" i="325"/>
  <c r="X170" i="320"/>
  <c r="W21" i="326"/>
  <c r="W41" i="326"/>
  <c r="Z27" i="315"/>
  <c r="Z26" i="315"/>
  <c r="Z25" i="315"/>
  <c r="Z114" i="329"/>
  <c r="Z161" i="329"/>
  <c r="Z168" i="329" s="1"/>
  <c r="X170" i="317"/>
  <c r="W20" i="329"/>
  <c r="W40" i="329"/>
  <c r="X83" i="303"/>
  <c r="X78" i="310"/>
  <c r="X170" i="323"/>
  <c r="X200" i="317"/>
  <c r="X175" i="317"/>
  <c r="W23" i="320"/>
  <c r="Y57" i="317"/>
  <c r="Y64" i="317" s="1"/>
  <c r="Y161" i="317"/>
  <c r="Y168" i="317" s="1"/>
  <c r="Y114" i="317"/>
  <c r="X66" i="320"/>
  <c r="AA32" i="314"/>
  <c r="Z30" i="314"/>
  <c r="Z56" i="314" s="1"/>
  <c r="Z39" i="314"/>
  <c r="Z48" i="314"/>
  <c r="W23" i="313"/>
  <c r="X19" i="313"/>
  <c r="Y182" i="310"/>
  <c r="Y186" i="310" s="1"/>
  <c r="Y182" i="329"/>
  <c r="Y186" i="329" s="1"/>
  <c r="Y71" i="329"/>
  <c r="Y75" i="329" s="1"/>
  <c r="Y127" i="329"/>
  <c r="X74" i="320"/>
  <c r="X74" i="323"/>
  <c r="X83" i="323"/>
  <c r="X74" i="329"/>
  <c r="X83" i="329"/>
  <c r="AB3" i="329"/>
  <c r="AB1" i="325"/>
  <c r="AB3" i="326"/>
  <c r="AB1" i="328"/>
  <c r="AB3" i="323"/>
  <c r="AB1" i="316"/>
  <c r="AB1" i="322"/>
  <c r="AB1" i="319"/>
  <c r="AB3" i="320"/>
  <c r="AB3" i="317"/>
  <c r="AB1" i="314"/>
  <c r="AB3" i="313"/>
  <c r="X74" i="313"/>
  <c r="X83" i="313"/>
  <c r="Y72" i="329"/>
  <c r="Y76" i="329" s="1"/>
  <c r="Y128" i="329"/>
  <c r="Y183" i="329"/>
  <c r="Y187" i="329" s="1"/>
  <c r="AA14" i="314"/>
  <c r="AA22" i="314"/>
  <c r="AA28" i="314"/>
  <c r="AA14" i="328"/>
  <c r="X189" i="313"/>
  <c r="X196" i="313" s="1"/>
  <c r="Z48" i="318"/>
  <c r="Z52" i="318" s="1"/>
  <c r="Z191" i="320" s="1"/>
  <c r="Z49" i="318"/>
  <c r="Z50" i="318"/>
  <c r="X74" i="317"/>
  <c r="X83" i="317"/>
  <c r="AA14" i="325"/>
  <c r="X189" i="323"/>
  <c r="X196" i="323" s="1"/>
  <c r="X202" i="323"/>
  <c r="X189" i="329"/>
  <c r="X196" i="329" s="1"/>
  <c r="X202" i="329"/>
  <c r="X83" i="310"/>
  <c r="Z50" i="324"/>
  <c r="Z49" i="324"/>
  <c r="Z48" i="324"/>
  <c r="X189" i="326"/>
  <c r="X196" i="326" s="1"/>
  <c r="X202" i="326"/>
  <c r="W78" i="323"/>
  <c r="W85" i="323" s="1"/>
  <c r="W82" i="323"/>
  <c r="Z194" i="323"/>
  <c r="Y71" i="320"/>
  <c r="Y75" i="320" s="1"/>
  <c r="Y182" i="323"/>
  <c r="Y186" i="323" s="1"/>
  <c r="Y127" i="323"/>
  <c r="Y71" i="323"/>
  <c r="Y75" i="323" s="1"/>
  <c r="Y183" i="317"/>
  <c r="Y187" i="317" s="1"/>
  <c r="Y128" i="317"/>
  <c r="Y72" i="317"/>
  <c r="Y76" i="317" s="1"/>
  <c r="W78" i="320"/>
  <c r="W85" i="320" s="1"/>
  <c r="W82" i="320"/>
  <c r="Z49" i="321"/>
  <c r="Z48" i="321"/>
  <c r="Z50" i="321"/>
  <c r="X189" i="317"/>
  <c r="X196" i="317" s="1"/>
  <c r="X202" i="317"/>
  <c r="X74" i="326"/>
  <c r="X83" i="326"/>
  <c r="Z194" i="326"/>
  <c r="Y183" i="326"/>
  <c r="Y187" i="326" s="1"/>
  <c r="Y72" i="326"/>
  <c r="Y76" i="326" s="1"/>
  <c r="Y128" i="326"/>
  <c r="AA14" i="322"/>
  <c r="Y181" i="320"/>
  <c r="Y185" i="320" s="1"/>
  <c r="Y126" i="320"/>
  <c r="Y70" i="320"/>
  <c r="Y183" i="323"/>
  <c r="Y187" i="323" s="1"/>
  <c r="Y72" i="323"/>
  <c r="Y76" i="323" s="1"/>
  <c r="Y128" i="323"/>
  <c r="W78" i="317"/>
  <c r="W85" i="317" s="1"/>
  <c r="W82" i="317"/>
  <c r="W78" i="326"/>
  <c r="W85" i="326" s="1"/>
  <c r="W82" i="326"/>
  <c r="AA151" i="329"/>
  <c r="AA150" i="329"/>
  <c r="Z27" i="308"/>
  <c r="Z114" i="310" s="1"/>
  <c r="Y70" i="317"/>
  <c r="Y181" i="317"/>
  <c r="Y185" i="317" s="1"/>
  <c r="Y126" i="317"/>
  <c r="Z48" i="327"/>
  <c r="Z52" i="327" s="1"/>
  <c r="Z191" i="329" s="1"/>
  <c r="Z50" i="327"/>
  <c r="Z49" i="327"/>
  <c r="AA14" i="316"/>
  <c r="Y182" i="313"/>
  <c r="Y186" i="313" s="1"/>
  <c r="Y127" i="313"/>
  <c r="Y71" i="313"/>
  <c r="Y75" i="313" s="1"/>
  <c r="Y70" i="323"/>
  <c r="Y181" i="323"/>
  <c r="Y185" i="323" s="1"/>
  <c r="Y126" i="323"/>
  <c r="Y127" i="317"/>
  <c r="Y71" i="317"/>
  <c r="Y75" i="317" s="1"/>
  <c r="Y182" i="317"/>
  <c r="Y186" i="317" s="1"/>
  <c r="W78" i="313"/>
  <c r="W85" i="313" s="1"/>
  <c r="W82" i="313"/>
  <c r="Y128" i="313"/>
  <c r="Y183" i="313"/>
  <c r="Y187" i="313" s="1"/>
  <c r="Y72" i="313"/>
  <c r="Y76" i="313" s="1"/>
  <c r="Y181" i="329"/>
  <c r="Y185" i="329" s="1"/>
  <c r="Y70" i="329"/>
  <c r="Y126" i="329"/>
  <c r="Z194" i="317"/>
  <c r="AA14" i="319"/>
  <c r="Y181" i="313"/>
  <c r="Y185" i="313" s="1"/>
  <c r="Y126" i="313"/>
  <c r="Y70" i="313"/>
  <c r="W78" i="329"/>
  <c r="W85" i="329" s="1"/>
  <c r="W82" i="329"/>
  <c r="Y183" i="310"/>
  <c r="Y187" i="310" s="1"/>
  <c r="Y126" i="310"/>
  <c r="Y128" i="310"/>
  <c r="AA14" i="308"/>
  <c r="AA16" i="308" s="1"/>
  <c r="AA17" i="308" s="1"/>
  <c r="AA18" i="308" s="1"/>
  <c r="AA20" i="308" s="1"/>
  <c r="AA25" i="308" s="1"/>
  <c r="X189" i="303"/>
  <c r="X196" i="303" s="1"/>
  <c r="Y70" i="310"/>
  <c r="Y74" i="310" s="1"/>
  <c r="Y78" i="310" s="1"/>
  <c r="X40" i="310"/>
  <c r="Z47" i="309"/>
  <c r="Z48" i="308"/>
  <c r="Z126" i="310" s="1"/>
  <c r="Z49" i="308"/>
  <c r="Z127" i="310" s="1"/>
  <c r="AA63" i="309"/>
  <c r="AA66" i="309" s="1"/>
  <c r="AA67" i="309" s="1"/>
  <c r="AA72" i="309" s="1"/>
  <c r="AA37" i="277"/>
  <c r="AA40" i="277" s="1"/>
  <c r="AA42" i="277" s="1"/>
  <c r="AA43" i="277" s="1"/>
  <c r="AA44" i="277" s="1"/>
  <c r="AA46" i="277" s="1"/>
  <c r="AA37" i="271"/>
  <c r="AA40" i="271" s="1"/>
  <c r="AA42" i="271" s="1"/>
  <c r="AA43" i="271" s="1"/>
  <c r="AA44" i="271" s="1"/>
  <c r="AA46" i="271" s="1"/>
  <c r="AA37" i="308"/>
  <c r="AA40" i="308" s="1"/>
  <c r="AA42" i="308" s="1"/>
  <c r="AA43" i="308" s="1"/>
  <c r="AA44" i="308" s="1"/>
  <c r="AA46" i="308" s="1"/>
  <c r="AA37" i="305"/>
  <c r="AA40" i="305" s="1"/>
  <c r="AA42" i="305" s="1"/>
  <c r="AA43" i="305" s="1"/>
  <c r="AA44" i="305" s="1"/>
  <c r="AA46" i="305" s="1"/>
  <c r="AA37" i="302"/>
  <c r="AA40" i="302" s="1"/>
  <c r="AA42" i="302" s="1"/>
  <c r="AA43" i="302" s="1"/>
  <c r="AA44" i="302" s="1"/>
  <c r="AA46" i="302" s="1"/>
  <c r="AA48" i="302" s="1"/>
  <c r="AB10" i="277"/>
  <c r="AB10" i="268"/>
  <c r="AB15" i="270" s="1"/>
  <c r="AB10" i="308"/>
  <c r="AB10" i="302"/>
  <c r="AD52" i="267"/>
  <c r="X40" i="303"/>
  <c r="X20" i="303"/>
  <c r="X39" i="303"/>
  <c r="X19" i="303"/>
  <c r="X41" i="303"/>
  <c r="X21" i="303"/>
  <c r="U23" i="269"/>
  <c r="U43" i="269" s="1"/>
  <c r="W23" i="310"/>
  <c r="W43" i="310" s="1"/>
  <c r="AA38" i="305"/>
  <c r="AA38" i="268"/>
  <c r="AA38" i="277"/>
  <c r="AA38" i="271"/>
  <c r="AA38" i="308"/>
  <c r="AA38" i="302"/>
  <c r="V40" i="272"/>
  <c r="V20" i="272"/>
  <c r="W40" i="272"/>
  <c r="W20" i="272"/>
  <c r="W39" i="272"/>
  <c r="W19" i="272"/>
  <c r="X41" i="272"/>
  <c r="X21" i="272"/>
  <c r="AA29" i="272"/>
  <c r="AA33" i="272" s="1"/>
  <c r="AA28" i="272"/>
  <c r="AA32" i="272" s="1"/>
  <c r="AA27" i="272"/>
  <c r="V41" i="272"/>
  <c r="V101" i="260" s="1"/>
  <c r="V21" i="272"/>
  <c r="X39" i="306"/>
  <c r="X19" i="306"/>
  <c r="Y41" i="306"/>
  <c r="Y21" i="306"/>
  <c r="X40" i="306"/>
  <c r="X20" i="306"/>
  <c r="Y20" i="310"/>
  <c r="Y39" i="310"/>
  <c r="Y19" i="310"/>
  <c r="Y41" i="310"/>
  <c r="Y21" i="310"/>
  <c r="X39" i="310"/>
  <c r="X19" i="310"/>
  <c r="W39" i="278"/>
  <c r="W19" i="278"/>
  <c r="W40" i="278"/>
  <c r="W20" i="278"/>
  <c r="AA27" i="278"/>
  <c r="AA28" i="278"/>
  <c r="AA32" i="278" s="1"/>
  <c r="AA29" i="278"/>
  <c r="AA33" i="278" s="1"/>
  <c r="W41" i="278"/>
  <c r="W21" i="278"/>
  <c r="X41" i="278"/>
  <c r="X21" i="278"/>
  <c r="W41" i="269"/>
  <c r="W21" i="269"/>
  <c r="V39" i="269"/>
  <c r="V19" i="269"/>
  <c r="V40" i="269"/>
  <c r="V20" i="269"/>
  <c r="Z9" i="269"/>
  <c r="Y31" i="269"/>
  <c r="Y35" i="269" s="1"/>
  <c r="AC10" i="269"/>
  <c r="AC11" i="269"/>
  <c r="AD11" i="278"/>
  <c r="AE11" i="303"/>
  <c r="AD33" i="303"/>
  <c r="AD35" i="303" s="1"/>
  <c r="AE11" i="310"/>
  <c r="AD33" i="310"/>
  <c r="AD35" i="310" s="1"/>
  <c r="AD11" i="272"/>
  <c r="Z9" i="278"/>
  <c r="Y31" i="278"/>
  <c r="Y35" i="278" s="1"/>
  <c r="AE11" i="306"/>
  <c r="AD33" i="306"/>
  <c r="AD35" i="306" s="1"/>
  <c r="Z9" i="272"/>
  <c r="Y31" i="272"/>
  <c r="Y35" i="272" s="1"/>
  <c r="AD10" i="278"/>
  <c r="AD10" i="272"/>
  <c r="V23" i="310"/>
  <c r="V43" i="310" s="1"/>
  <c r="Y24" i="307"/>
  <c r="Y16" i="306" s="1"/>
  <c r="X170" i="303"/>
  <c r="Z63" i="304"/>
  <c r="Z66" i="304" s="1"/>
  <c r="Z67" i="304" s="1"/>
  <c r="Z72" i="304" s="1"/>
  <c r="AA21" i="304"/>
  <c r="AA27" i="304"/>
  <c r="Y56" i="303"/>
  <c r="Y63" i="303" s="1"/>
  <c r="Y181" i="303"/>
  <c r="Y185" i="303" s="1"/>
  <c r="Z29" i="309"/>
  <c r="Z55" i="309" s="1"/>
  <c r="Z22" i="309" s="1"/>
  <c r="AA14" i="271"/>
  <c r="AA16" i="271" s="1"/>
  <c r="AA17" i="271" s="1"/>
  <c r="AA18" i="271" s="1"/>
  <c r="AA20" i="271" s="1"/>
  <c r="AA16" i="273"/>
  <c r="AA59" i="273" s="1"/>
  <c r="AA14" i="277"/>
  <c r="AA16" i="277" s="1"/>
  <c r="AA17" i="277" s="1"/>
  <c r="AA18" i="277" s="1"/>
  <c r="AA20" i="277" s="1"/>
  <c r="AA16" i="279"/>
  <c r="AA59" i="279" s="1"/>
  <c r="Y126" i="303"/>
  <c r="Y55" i="304"/>
  <c r="Y22" i="304" s="1"/>
  <c r="Y24" i="304" s="1"/>
  <c r="Y16" i="303" s="1"/>
  <c r="Z49" i="302"/>
  <c r="Z182" i="303" s="1"/>
  <c r="Z186" i="303" s="1"/>
  <c r="Z48" i="302"/>
  <c r="Z181" i="303" s="1"/>
  <c r="Z185" i="303" s="1"/>
  <c r="Z47" i="304"/>
  <c r="AA14" i="268"/>
  <c r="AA16" i="268" s="1"/>
  <c r="AA16" i="270"/>
  <c r="AA59" i="270" s="1"/>
  <c r="X202" i="303"/>
  <c r="Z26" i="305"/>
  <c r="Z33" i="305" s="1"/>
  <c r="Z173" i="306" s="1"/>
  <c r="Z25" i="305"/>
  <c r="Z159" i="306" s="1"/>
  <c r="Z166" i="306" s="1"/>
  <c r="Z57" i="306"/>
  <c r="Z64" i="306" s="1"/>
  <c r="Z40" i="304"/>
  <c r="Z31" i="304"/>
  <c r="Z55" i="304" s="1"/>
  <c r="Z22" i="304" s="1"/>
  <c r="Y161" i="303"/>
  <c r="Y168" i="303" s="1"/>
  <c r="Y170" i="303" s="1"/>
  <c r="Y113" i="303"/>
  <c r="Z161" i="306"/>
  <c r="Z168" i="306" s="1"/>
  <c r="X66" i="306"/>
  <c r="Y57" i="303"/>
  <c r="Y64" i="303" s="1"/>
  <c r="Y33" i="302"/>
  <c r="Y173" i="303" s="1"/>
  <c r="AA194" i="310"/>
  <c r="W23" i="306"/>
  <c r="W43" i="306" s="1"/>
  <c r="Y182" i="303"/>
  <c r="Y186" i="303" s="1"/>
  <c r="AA194" i="303"/>
  <c r="X170" i="306"/>
  <c r="Y127" i="303"/>
  <c r="Z38" i="304"/>
  <c r="AA27" i="307"/>
  <c r="AA13" i="307"/>
  <c r="AA21" i="307"/>
  <c r="AB1" i="304"/>
  <c r="AB27" i="304" s="1"/>
  <c r="AB1" i="309"/>
  <c r="AB1" i="307"/>
  <c r="Z66" i="307"/>
  <c r="Z67" i="307" s="1"/>
  <c r="Z72" i="307" s="1"/>
  <c r="AA13" i="309"/>
  <c r="AA27" i="309"/>
  <c r="AA21" i="309"/>
  <c r="AB60" i="309"/>
  <c r="Z47" i="307"/>
  <c r="Z38" i="307"/>
  <c r="Z29" i="307"/>
  <c r="Z55" i="307" s="1"/>
  <c r="Z22" i="307" s="1"/>
  <c r="Z17" i="306" s="1"/>
  <c r="Z32" i="308"/>
  <c r="Z172" i="310" s="1"/>
  <c r="Z112" i="310"/>
  <c r="Z159" i="310"/>
  <c r="Z166" i="310" s="1"/>
  <c r="Z55" i="310"/>
  <c r="Y113" i="306"/>
  <c r="Y160" i="306"/>
  <c r="Y167" i="306" s="1"/>
  <c r="Y56" i="306"/>
  <c r="Y63" i="306" s="1"/>
  <c r="Z128" i="310"/>
  <c r="Z72" i="310"/>
  <c r="Z76" i="310" s="1"/>
  <c r="Z183" i="310"/>
  <c r="Z187" i="310" s="1"/>
  <c r="V23" i="306"/>
  <c r="V43" i="306" s="1"/>
  <c r="Y32" i="305"/>
  <c r="Y172" i="306" s="1"/>
  <c r="Y200" i="306" s="1"/>
  <c r="Y112" i="306"/>
  <c r="Y55" i="306"/>
  <c r="Y62" i="306" s="1"/>
  <c r="Y159" i="306"/>
  <c r="Y166" i="306" s="1"/>
  <c r="AA14" i="305"/>
  <c r="AA16" i="305" s="1"/>
  <c r="AA17" i="305" s="1"/>
  <c r="AA18" i="305" s="1"/>
  <c r="AA20" i="305" s="1"/>
  <c r="AA27" i="305" s="1"/>
  <c r="AA114" i="306" s="1"/>
  <c r="AA60" i="307"/>
  <c r="Y23" i="307"/>
  <c r="Y15" i="306" s="1"/>
  <c r="X82" i="310"/>
  <c r="X66" i="310"/>
  <c r="X200" i="306"/>
  <c r="X175" i="306"/>
  <c r="Y62" i="310"/>
  <c r="AA194" i="306"/>
  <c r="Z25" i="302"/>
  <c r="Z32" i="302" s="1"/>
  <c r="Z172" i="303" s="1"/>
  <c r="Z27" i="302"/>
  <c r="Z114" i="303" s="1"/>
  <c r="Y182" i="306"/>
  <c r="Y186" i="306" s="1"/>
  <c r="Y127" i="306"/>
  <c r="Y71" i="306"/>
  <c r="Y75" i="306" s="1"/>
  <c r="Y70" i="306"/>
  <c r="Y74" i="306" s="1"/>
  <c r="Y126" i="306"/>
  <c r="Y181" i="306"/>
  <c r="Y185" i="306" s="1"/>
  <c r="X189" i="306"/>
  <c r="X196" i="306" s="1"/>
  <c r="X202" i="306"/>
  <c r="Y201" i="306"/>
  <c r="Y64" i="306"/>
  <c r="Y183" i="306"/>
  <c r="Y187" i="306" s="1"/>
  <c r="Y72" i="306"/>
  <c r="Y76" i="306" s="1"/>
  <c r="Y128" i="306"/>
  <c r="X76" i="306"/>
  <c r="X83" i="306"/>
  <c r="W78" i="306"/>
  <c r="W85" i="306" s="1"/>
  <c r="W82" i="306"/>
  <c r="W16" i="269"/>
  <c r="W15" i="269"/>
  <c r="T175" i="303"/>
  <c r="T177" i="303" s="1"/>
  <c r="T204" i="303" s="1"/>
  <c r="T200" i="303"/>
  <c r="T111" i="260" s="1"/>
  <c r="AA47" i="304"/>
  <c r="AA60" i="304"/>
  <c r="AA14" i="302"/>
  <c r="AA16" i="302" s="1"/>
  <c r="AA17" i="302" s="1"/>
  <c r="AA18" i="302" s="1"/>
  <c r="AA20" i="302" s="1"/>
  <c r="AA27" i="302" s="1"/>
  <c r="V172" i="269"/>
  <c r="V200" i="269" s="1"/>
  <c r="U173" i="269"/>
  <c r="U201" i="269" s="1"/>
  <c r="U201" i="303"/>
  <c r="Z49" i="305"/>
  <c r="Z48" i="305"/>
  <c r="Z50" i="305"/>
  <c r="X17" i="269"/>
  <c r="U172" i="269"/>
  <c r="U200" i="269" s="1"/>
  <c r="Y78" i="303"/>
  <c r="AB10" i="305"/>
  <c r="T23" i="303"/>
  <c r="T43" i="303" s="1"/>
  <c r="Z183" i="303"/>
  <c r="Z187" i="303" s="1"/>
  <c r="Z128" i="303"/>
  <c r="Z72" i="303"/>
  <c r="Z76" i="303" s="1"/>
  <c r="Y62" i="303"/>
  <c r="X82" i="303"/>
  <c r="X66" i="303"/>
  <c r="Z160" i="303"/>
  <c r="Z167" i="303" s="1"/>
  <c r="Z113" i="303"/>
  <c r="Z56" i="303"/>
  <c r="Z63" i="303" s="1"/>
  <c r="AK59" i="260"/>
  <c r="AK76" i="260"/>
  <c r="AK93" i="260"/>
  <c r="AK98" i="260"/>
  <c r="AJ98" i="260"/>
  <c r="AJ59" i="260"/>
  <c r="AJ76" i="260"/>
  <c r="AJ93" i="260"/>
  <c r="AD56" i="267"/>
  <c r="AA37" i="268"/>
  <c r="AA40" i="268" s="1"/>
  <c r="AA42" i="268" s="1"/>
  <c r="AC53" i="267"/>
  <c r="AA21" i="270"/>
  <c r="AA13" i="270"/>
  <c r="AA27" i="270"/>
  <c r="Y47" i="279"/>
  <c r="AA27" i="279"/>
  <c r="AA13" i="279"/>
  <c r="AA21" i="279"/>
  <c r="AE2" i="267"/>
  <c r="AB3" i="272"/>
  <c r="AD51" i="267"/>
  <c r="AB3" i="278"/>
  <c r="AB1" i="273"/>
  <c r="AB1" i="270"/>
  <c r="AB1" i="279"/>
  <c r="AA27" i="273"/>
  <c r="AA13" i="273"/>
  <c r="AA21" i="273"/>
  <c r="Y29" i="279"/>
  <c r="Y38" i="273"/>
  <c r="X23" i="273"/>
  <c r="X15" i="272" s="1"/>
  <c r="Y29" i="273"/>
  <c r="X24" i="273"/>
  <c r="X16" i="272" s="1"/>
  <c r="Z47" i="273"/>
  <c r="Z60" i="273"/>
  <c r="Z63" i="273" s="1"/>
  <c r="Z66" i="273" s="1"/>
  <c r="Z67" i="273" s="1"/>
  <c r="Z72" i="273" s="1"/>
  <c r="Z47" i="279"/>
  <c r="Z60" i="279"/>
  <c r="Z63" i="279" s="1"/>
  <c r="Z66" i="279" s="1"/>
  <c r="Z67" i="279" s="1"/>
  <c r="Z72" i="279" s="1"/>
  <c r="AB10" i="271"/>
  <c r="AB15" i="273" s="1"/>
  <c r="V85" i="278"/>
  <c r="X189" i="278"/>
  <c r="X23" i="279"/>
  <c r="X15" i="278" s="1"/>
  <c r="X24" i="279"/>
  <c r="X16" i="278" s="1"/>
  <c r="Y183" i="278"/>
  <c r="Y187" i="278" s="1"/>
  <c r="Y128" i="278"/>
  <c r="Y72" i="278"/>
  <c r="Y76" i="278" s="1"/>
  <c r="Y181" i="278"/>
  <c r="Y126" i="278"/>
  <c r="Y70" i="278"/>
  <c r="Y74" i="278" s="1"/>
  <c r="Y182" i="278"/>
  <c r="Y186" i="278" s="1"/>
  <c r="Y127" i="278"/>
  <c r="Y71" i="278"/>
  <c r="Y161" i="278"/>
  <c r="Y114" i="278"/>
  <c r="Y57" i="278"/>
  <c r="Y160" i="278"/>
  <c r="Y113" i="278"/>
  <c r="Y56" i="278"/>
  <c r="Y32" i="277"/>
  <c r="Y172" i="278" s="1"/>
  <c r="Y55" i="278"/>
  <c r="Y159" i="278"/>
  <c r="Y112" i="278"/>
  <c r="AD52" i="277"/>
  <c r="AD191" i="278" s="1"/>
  <c r="AD53" i="277"/>
  <c r="AD192" i="278" s="1"/>
  <c r="Y33" i="277"/>
  <c r="Y173" i="278" s="1"/>
  <c r="Z48" i="277"/>
  <c r="Z50" i="277"/>
  <c r="Z49" i="277"/>
  <c r="Z26" i="277"/>
  <c r="Z25" i="277"/>
  <c r="Z27" i="277"/>
  <c r="X189" i="272"/>
  <c r="Z50" i="271"/>
  <c r="Z49" i="271"/>
  <c r="Z48" i="271"/>
  <c r="Y70" i="272"/>
  <c r="Y126" i="272"/>
  <c r="Y181" i="272"/>
  <c r="Z27" i="271"/>
  <c r="Z26" i="271"/>
  <c r="Z25" i="271"/>
  <c r="Y71" i="272"/>
  <c r="Y127" i="272"/>
  <c r="Y182" i="272"/>
  <c r="Y160" i="272"/>
  <c r="Y56" i="272"/>
  <c r="Y113" i="272"/>
  <c r="Y33" i="271"/>
  <c r="Y173" i="272" s="1"/>
  <c r="AC52" i="271"/>
  <c r="AC191" i="272" s="1"/>
  <c r="AC53" i="271"/>
  <c r="AC192" i="272" s="1"/>
  <c r="Y161" i="272"/>
  <c r="Y57" i="272"/>
  <c r="Y114" i="272"/>
  <c r="W189" i="272"/>
  <c r="Y72" i="272"/>
  <c r="Y76" i="272" s="1"/>
  <c r="Y128" i="272"/>
  <c r="Y183" i="272"/>
  <c r="Y187" i="272" s="1"/>
  <c r="Y32" i="271"/>
  <c r="Y172" i="272" s="1"/>
  <c r="Y159" i="272"/>
  <c r="Y55" i="272"/>
  <c r="Y112" i="272"/>
  <c r="W66" i="272"/>
  <c r="X76" i="272"/>
  <c r="X78" i="272" s="1"/>
  <c r="AA14" i="273"/>
  <c r="AA14" i="279"/>
  <c r="W83" i="272"/>
  <c r="X64" i="272"/>
  <c r="X201" i="272"/>
  <c r="X63" i="272"/>
  <c r="W202" i="272"/>
  <c r="W202" i="278"/>
  <c r="X202" i="272"/>
  <c r="W83" i="278"/>
  <c r="AB6" i="271"/>
  <c r="AB52" i="268"/>
  <c r="AB191" i="269" s="1"/>
  <c r="AB53" i="268"/>
  <c r="AB192" i="269" s="1"/>
  <c r="AB6" i="277"/>
  <c r="X166" i="278"/>
  <c r="X200" i="272"/>
  <c r="X167" i="278"/>
  <c r="X63" i="278"/>
  <c r="X201" i="278"/>
  <c r="V66" i="272"/>
  <c r="V85" i="272" s="1"/>
  <c r="V82" i="272"/>
  <c r="X168" i="278"/>
  <c r="X64" i="278"/>
  <c r="U23" i="272"/>
  <c r="U43" i="272" s="1"/>
  <c r="Y55" i="270"/>
  <c r="Y22" i="270" s="1"/>
  <c r="X170" i="272"/>
  <c r="W200" i="278"/>
  <c r="W66" i="278"/>
  <c r="Z40" i="273"/>
  <c r="Z31" i="273"/>
  <c r="Z40" i="279"/>
  <c r="Z31" i="279"/>
  <c r="V23" i="278"/>
  <c r="V43" i="278" s="1"/>
  <c r="W170" i="278"/>
  <c r="V57" i="269"/>
  <c r="V64" i="269" s="1"/>
  <c r="V66" i="269" s="1"/>
  <c r="V161" i="269"/>
  <c r="V168" i="269" s="1"/>
  <c r="V160" i="269"/>
  <c r="V167" i="269" s="1"/>
  <c r="W78" i="272"/>
  <c r="W82" i="272"/>
  <c r="W78" i="278"/>
  <c r="W82" i="278"/>
  <c r="X78" i="278"/>
  <c r="V113" i="269"/>
  <c r="V117" i="269" s="1"/>
  <c r="V33" i="268"/>
  <c r="AE2" i="277"/>
  <c r="AC3" i="269"/>
  <c r="AD2" i="271"/>
  <c r="X27" i="268"/>
  <c r="Y66" i="270"/>
  <c r="Y67" i="270" s="1"/>
  <c r="Y72" i="270" s="1"/>
  <c r="Z40" i="270"/>
  <c r="Z31" i="270"/>
  <c r="AA14" i="270"/>
  <c r="Y17" i="268"/>
  <c r="Y18" i="268" s="1"/>
  <c r="Y20" i="268" s="1"/>
  <c r="Z60" i="270"/>
  <c r="Z63" i="270" s="1"/>
  <c r="W26" i="268"/>
  <c r="W25" i="268"/>
  <c r="W27" i="268"/>
  <c r="X23" i="270"/>
  <c r="Z29" i="270"/>
  <c r="Z47" i="270"/>
  <c r="Z38" i="270"/>
  <c r="X24" i="270"/>
  <c r="AC2" i="268"/>
  <c r="Z2" i="264"/>
  <c r="Z17" i="264" s="1"/>
  <c r="Z113" i="329" l="1"/>
  <c r="Z117" i="329" s="1"/>
  <c r="W204" i="317"/>
  <c r="AB16" i="327"/>
  <c r="AB17" i="327" s="1"/>
  <c r="AB18" i="327" s="1"/>
  <c r="AB20" i="327" s="1"/>
  <c r="AB16" i="312"/>
  <c r="AB17" i="312" s="1"/>
  <c r="AB18" i="312" s="1"/>
  <c r="AB20" i="312" s="1"/>
  <c r="AB25" i="312" s="1"/>
  <c r="Y183" i="320"/>
  <c r="Y187" i="320" s="1"/>
  <c r="AD67" i="267"/>
  <c r="AE10" i="267"/>
  <c r="AE7" i="267"/>
  <c r="AE9" i="267"/>
  <c r="AC6" i="271" s="1"/>
  <c r="AE8" i="267"/>
  <c r="AE11" i="267"/>
  <c r="AE12" i="267"/>
  <c r="AC6" i="277" s="1"/>
  <c r="Y118" i="329"/>
  <c r="AC100" i="269"/>
  <c r="AC101" i="269"/>
  <c r="AC103" i="269"/>
  <c r="AC91" i="269"/>
  <c r="AC98" i="269"/>
  <c r="AC102" i="269"/>
  <c r="AC95" i="269"/>
  <c r="AC92" i="269"/>
  <c r="AC97" i="269"/>
  <c r="AC90" i="269"/>
  <c r="AC96" i="269"/>
  <c r="AC93" i="269"/>
  <c r="Z101" i="325"/>
  <c r="Y175" i="329"/>
  <c r="AE40" i="267"/>
  <c r="AE44" i="267"/>
  <c r="AE46" i="267" s="1"/>
  <c r="AE29" i="267"/>
  <c r="AE31" i="267" s="1"/>
  <c r="AE45" i="267"/>
  <c r="AE30" i="267"/>
  <c r="AE39" i="267"/>
  <c r="AE41" i="267" s="1"/>
  <c r="AA32" i="316"/>
  <c r="AA41" i="316"/>
  <c r="AB11" i="268"/>
  <c r="AB17" i="270" s="1"/>
  <c r="AB11" i="308"/>
  <c r="AB17" i="309" s="1"/>
  <c r="AB11" i="302"/>
  <c r="AB17" i="304" s="1"/>
  <c r="AB11" i="277"/>
  <c r="AB17" i="279" s="1"/>
  <c r="AB11" i="315"/>
  <c r="AB18" i="316" s="1"/>
  <c r="AB11" i="318"/>
  <c r="AB18" i="319" s="1"/>
  <c r="AB11" i="312"/>
  <c r="AB18" i="314" s="1"/>
  <c r="AA40" i="309"/>
  <c r="AA31" i="309"/>
  <c r="AA55" i="309"/>
  <c r="AA22" i="309" s="1"/>
  <c r="AA17" i="310" s="1"/>
  <c r="AA41" i="319"/>
  <c r="AA32" i="319"/>
  <c r="AD63" i="267"/>
  <c r="Y86" i="322"/>
  <c r="Y27" i="323" s="1"/>
  <c r="Y31" i="323" s="1"/>
  <c r="Y200" i="329"/>
  <c r="Y66" i="313"/>
  <c r="Z160" i="313"/>
  <c r="Z167" i="313" s="1"/>
  <c r="Y117" i="329"/>
  <c r="Y116" i="329"/>
  <c r="AA26" i="327"/>
  <c r="AA56" i="329" s="1"/>
  <c r="AA63" i="329" s="1"/>
  <c r="Y119" i="329"/>
  <c r="X35" i="323"/>
  <c r="Y128" i="320"/>
  <c r="Y132" i="320" s="1"/>
  <c r="X189" i="320"/>
  <c r="X196" i="320" s="1"/>
  <c r="Z110" i="319"/>
  <c r="Z92" i="328"/>
  <c r="X78" i="320"/>
  <c r="W40" i="313"/>
  <c r="Z92" i="325"/>
  <c r="X143" i="313"/>
  <c r="Y182" i="320"/>
  <c r="Y186" i="320" s="1"/>
  <c r="Y53" i="318"/>
  <c r="Y192" i="320" s="1"/>
  <c r="Y194" i="320" s="1"/>
  <c r="Z101" i="319"/>
  <c r="Z118" i="319" s="1"/>
  <c r="Z85" i="319" s="1"/>
  <c r="Z101" i="328"/>
  <c r="Z118" i="328" s="1"/>
  <c r="Z85" i="328" s="1"/>
  <c r="AA63" i="307"/>
  <c r="Z101" i="316"/>
  <c r="X131" i="313"/>
  <c r="X142" i="313"/>
  <c r="AB77" i="319"/>
  <c r="AB15" i="319"/>
  <c r="AB77" i="322"/>
  <c r="AB15" i="322"/>
  <c r="AB77" i="314"/>
  <c r="AB15" i="314"/>
  <c r="AE67" i="267"/>
  <c r="AC6" i="324"/>
  <c r="AC6" i="312"/>
  <c r="AC6" i="308"/>
  <c r="AC14" i="309" s="1"/>
  <c r="AC6" i="327"/>
  <c r="AC6" i="315"/>
  <c r="AC6" i="318"/>
  <c r="AC6" i="305"/>
  <c r="AC14" i="307" s="1"/>
  <c r="AC6" i="302"/>
  <c r="AC14" i="304" s="1"/>
  <c r="AC6" i="321"/>
  <c r="AC6" i="268"/>
  <c r="AB77" i="316"/>
  <c r="AB15" i="316"/>
  <c r="AB77" i="325"/>
  <c r="AB15" i="325"/>
  <c r="AB77" i="328"/>
  <c r="AB15" i="328"/>
  <c r="AB101" i="272"/>
  <c r="AB102" i="272"/>
  <c r="AB103" i="272"/>
  <c r="AB100" i="272"/>
  <c r="AB97" i="272"/>
  <c r="AB95" i="272"/>
  <c r="AB93" i="272"/>
  <c r="AB91" i="272"/>
  <c r="AB98" i="272"/>
  <c r="AB92" i="272"/>
  <c r="AB96" i="272"/>
  <c r="AB90" i="272"/>
  <c r="AB103" i="326"/>
  <c r="AB100" i="326"/>
  <c r="AB102" i="326"/>
  <c r="AB101" i="326"/>
  <c r="AB93" i="326"/>
  <c r="AB97" i="326"/>
  <c r="AB95" i="326"/>
  <c r="AB90" i="326"/>
  <c r="AB91" i="326"/>
  <c r="AB98" i="326"/>
  <c r="AB96" i="326"/>
  <c r="AB92" i="326"/>
  <c r="AB103" i="317"/>
  <c r="AB100" i="317"/>
  <c r="AB101" i="317"/>
  <c r="AB102" i="317"/>
  <c r="AB93" i="317"/>
  <c r="AB97" i="317"/>
  <c r="AB95" i="317"/>
  <c r="AB90" i="317"/>
  <c r="AB96" i="317"/>
  <c r="AB98" i="317"/>
  <c r="AB92" i="317"/>
  <c r="AB91" i="317"/>
  <c r="AB101" i="278"/>
  <c r="AB103" i="278"/>
  <c r="AB100" i="278"/>
  <c r="AB102" i="278"/>
  <c r="AB98" i="278"/>
  <c r="AB96" i="278"/>
  <c r="AB92" i="278"/>
  <c r="AB93" i="278"/>
  <c r="AB97" i="278"/>
  <c r="AB95" i="278"/>
  <c r="AB90" i="278"/>
  <c r="AB91" i="278"/>
  <c r="AB103" i="320"/>
  <c r="AB100" i="320"/>
  <c r="AB101" i="320"/>
  <c r="AB102" i="320"/>
  <c r="AB97" i="320"/>
  <c r="AB95" i="320"/>
  <c r="AB90" i="320"/>
  <c r="AB91" i="320"/>
  <c r="AB98" i="320"/>
  <c r="AB96" i="320"/>
  <c r="AB92" i="320"/>
  <c r="AB93" i="320"/>
  <c r="AB103" i="323"/>
  <c r="AB100" i="323"/>
  <c r="AB101" i="323"/>
  <c r="AB102" i="323"/>
  <c r="AB93" i="323"/>
  <c r="AB97" i="323"/>
  <c r="AB95" i="323"/>
  <c r="AB90" i="323"/>
  <c r="AB98" i="323"/>
  <c r="AB92" i="323"/>
  <c r="AB91" i="323"/>
  <c r="AB96" i="323"/>
  <c r="AB103" i="329"/>
  <c r="AB100" i="329"/>
  <c r="AB102" i="329"/>
  <c r="AB101" i="329"/>
  <c r="AB98" i="329"/>
  <c r="AB96" i="329"/>
  <c r="AB92" i="329"/>
  <c r="AB97" i="329"/>
  <c r="AB95" i="329"/>
  <c r="AB91" i="329"/>
  <c r="AB93" i="329"/>
  <c r="AB90" i="329"/>
  <c r="AB102" i="313"/>
  <c r="AB101" i="313"/>
  <c r="AB100" i="313"/>
  <c r="AB103" i="313"/>
  <c r="AB97" i="313"/>
  <c r="AB95" i="313"/>
  <c r="AB90" i="313"/>
  <c r="AB91" i="313"/>
  <c r="AB96" i="313"/>
  <c r="AB93" i="313"/>
  <c r="AB92" i="313"/>
  <c r="AB98" i="313"/>
  <c r="X131" i="320"/>
  <c r="X141" i="313"/>
  <c r="X130" i="313"/>
  <c r="X132" i="313"/>
  <c r="X133" i="320"/>
  <c r="AA25" i="327"/>
  <c r="AA55" i="329" s="1"/>
  <c r="AA62" i="329" s="1"/>
  <c r="Y175" i="310"/>
  <c r="Y177" i="310" s="1"/>
  <c r="Z57" i="313"/>
  <c r="Z64" i="313" s="1"/>
  <c r="X83" i="320"/>
  <c r="Z33" i="312"/>
  <c r="Z173" i="313" s="1"/>
  <c r="Z175" i="313" s="1"/>
  <c r="Z161" i="313"/>
  <c r="Z168" i="313" s="1"/>
  <c r="X132" i="320"/>
  <c r="Y141" i="329"/>
  <c r="X143" i="320"/>
  <c r="X130" i="320"/>
  <c r="X140" i="320"/>
  <c r="X142" i="320"/>
  <c r="Y142" i="303"/>
  <c r="Y143" i="313"/>
  <c r="Y142" i="329"/>
  <c r="Y141" i="313"/>
  <c r="Y143" i="303"/>
  <c r="Y141" i="278"/>
  <c r="Y117" i="278"/>
  <c r="Y142" i="278"/>
  <c r="Y118" i="278"/>
  <c r="Y143" i="278"/>
  <c r="Y119" i="278"/>
  <c r="Y116" i="278"/>
  <c r="Y140" i="278"/>
  <c r="Z132" i="310"/>
  <c r="Z133" i="310"/>
  <c r="Z130" i="310"/>
  <c r="Z131" i="310"/>
  <c r="Y130" i="313"/>
  <c r="Y131" i="313"/>
  <c r="Y132" i="313"/>
  <c r="Y133" i="313"/>
  <c r="Y131" i="317"/>
  <c r="Y132" i="317"/>
  <c r="Y133" i="317"/>
  <c r="Y130" i="317"/>
  <c r="Y117" i="326"/>
  <c r="Y118" i="326"/>
  <c r="Y119" i="326"/>
  <c r="Y116" i="326"/>
  <c r="Y141" i="317"/>
  <c r="Y117" i="317"/>
  <c r="Y142" i="317"/>
  <c r="Y118" i="317"/>
  <c r="Y143" i="317"/>
  <c r="Y119" i="317"/>
  <c r="Y140" i="317"/>
  <c r="Y116" i="317"/>
  <c r="Z117" i="313"/>
  <c r="Z118" i="313"/>
  <c r="Z119" i="313"/>
  <c r="Z116" i="313"/>
  <c r="Y118" i="313"/>
  <c r="Y116" i="313"/>
  <c r="V116" i="269"/>
  <c r="Y141" i="303"/>
  <c r="Y116" i="303"/>
  <c r="Y140" i="329"/>
  <c r="Y142" i="306"/>
  <c r="Y143" i="306"/>
  <c r="Y141" i="306"/>
  <c r="Y116" i="306"/>
  <c r="Y117" i="306"/>
  <c r="Y140" i="306"/>
  <c r="Y118" i="306"/>
  <c r="Y119" i="306"/>
  <c r="Y133" i="272"/>
  <c r="Y131" i="272"/>
  <c r="Y132" i="272"/>
  <c r="Y130" i="272"/>
  <c r="Z48" i="312"/>
  <c r="Z52" i="312" s="1"/>
  <c r="Z191" i="313" s="1"/>
  <c r="Z200" i="313" s="1"/>
  <c r="Y142" i="313"/>
  <c r="Y140" i="313"/>
  <c r="V118" i="269"/>
  <c r="V119" i="269"/>
  <c r="Y140" i="303"/>
  <c r="Y118" i="303"/>
  <c r="Y131" i="310"/>
  <c r="Y132" i="310"/>
  <c r="Y133" i="310"/>
  <c r="Y130" i="310"/>
  <c r="Y140" i="323"/>
  <c r="Y116" i="323"/>
  <c r="Y141" i="323"/>
  <c r="Y117" i="323"/>
  <c r="Y142" i="323"/>
  <c r="Y118" i="323"/>
  <c r="Y143" i="323"/>
  <c r="Y119" i="323"/>
  <c r="Y117" i="303"/>
  <c r="Y143" i="272"/>
  <c r="Y140" i="272"/>
  <c r="Y141" i="272"/>
  <c r="Y117" i="272"/>
  <c r="Y142" i="272"/>
  <c r="Y118" i="272"/>
  <c r="Y119" i="272"/>
  <c r="Y116" i="272"/>
  <c r="Y133" i="306"/>
  <c r="Y130" i="306"/>
  <c r="Y131" i="306"/>
  <c r="Y132" i="306"/>
  <c r="Y131" i="278"/>
  <c r="Y132" i="278"/>
  <c r="Y133" i="278"/>
  <c r="Y130" i="278"/>
  <c r="Y132" i="303"/>
  <c r="Y133" i="303"/>
  <c r="Y130" i="303"/>
  <c r="Y131" i="303"/>
  <c r="Y131" i="329"/>
  <c r="Y132" i="329"/>
  <c r="Y133" i="329"/>
  <c r="Y130" i="329"/>
  <c r="Y130" i="323"/>
  <c r="Y131" i="323"/>
  <c r="Y132" i="323"/>
  <c r="Y133" i="323"/>
  <c r="Y133" i="320"/>
  <c r="Y141" i="320"/>
  <c r="Y116" i="320"/>
  <c r="Y117" i="320"/>
  <c r="Y119" i="320"/>
  <c r="Y118" i="320"/>
  <c r="Z118" i="329"/>
  <c r="Z119" i="329"/>
  <c r="Z116" i="329"/>
  <c r="Y119" i="313"/>
  <c r="Y141" i="310"/>
  <c r="Y142" i="310"/>
  <c r="Y143" i="310"/>
  <c r="Y116" i="310"/>
  <c r="Y140" i="310"/>
  <c r="Y117" i="310"/>
  <c r="Y118" i="310"/>
  <c r="Y119" i="310"/>
  <c r="Y119" i="303"/>
  <c r="Y143" i="329"/>
  <c r="Z101" i="322"/>
  <c r="Z118" i="322" s="1"/>
  <c r="Z85" i="322" s="1"/>
  <c r="Z29" i="323" s="1"/>
  <c r="Z110" i="316"/>
  <c r="Z49" i="312"/>
  <c r="Z53" i="312" s="1"/>
  <c r="Z192" i="313" s="1"/>
  <c r="Z92" i="322"/>
  <c r="AB108" i="317"/>
  <c r="AB107" i="317"/>
  <c r="AB106" i="317"/>
  <c r="AB105" i="317"/>
  <c r="AC108" i="269"/>
  <c r="AC106" i="269"/>
  <c r="AC107" i="269"/>
  <c r="AC105" i="269"/>
  <c r="AB107" i="272"/>
  <c r="AB105" i="272"/>
  <c r="AB108" i="272"/>
  <c r="AB106" i="272"/>
  <c r="AB108" i="320"/>
  <c r="AB107" i="320"/>
  <c r="AB106" i="320"/>
  <c r="AB105" i="320"/>
  <c r="AB108" i="323"/>
  <c r="AB107" i="323"/>
  <c r="AB106" i="323"/>
  <c r="AB105" i="323"/>
  <c r="AB108" i="329"/>
  <c r="AB106" i="329"/>
  <c r="AB107" i="329"/>
  <c r="AB105" i="329"/>
  <c r="AB108" i="313"/>
  <c r="AB107" i="313"/>
  <c r="AB106" i="313"/>
  <c r="AB105" i="313"/>
  <c r="AB108" i="278"/>
  <c r="AB107" i="278"/>
  <c r="AB105" i="278"/>
  <c r="AB106" i="278"/>
  <c r="AB107" i="326"/>
  <c r="AB106" i="326"/>
  <c r="AB105" i="326"/>
  <c r="AB108" i="326"/>
  <c r="AA78" i="319"/>
  <c r="AA92" i="319" s="1"/>
  <c r="AA79" i="319"/>
  <c r="AA78" i="325"/>
  <c r="AA110" i="325" s="1"/>
  <c r="AA79" i="325"/>
  <c r="AA78" i="316"/>
  <c r="AA92" i="316" s="1"/>
  <c r="AA79" i="316"/>
  <c r="AA78" i="328"/>
  <c r="AA92" i="328" s="1"/>
  <c r="AA79" i="328"/>
  <c r="AB17" i="328"/>
  <c r="AB16" i="328"/>
  <c r="H89" i="261"/>
  <c r="AA78" i="322"/>
  <c r="AA92" i="322" s="1"/>
  <c r="AA79" i="322"/>
  <c r="AA78" i="314"/>
  <c r="AA79" i="314"/>
  <c r="AA60" i="314"/>
  <c r="Z126" i="314"/>
  <c r="Z64" i="314"/>
  <c r="Y129" i="314"/>
  <c r="Y130" i="314" s="1"/>
  <c r="Y135" i="314" s="1"/>
  <c r="Y87" i="314" s="1"/>
  <c r="Y28" i="313" s="1"/>
  <c r="Y32" i="313" s="1"/>
  <c r="Y67" i="314"/>
  <c r="Y68" i="314" s="1"/>
  <c r="Y73" i="314" s="1"/>
  <c r="Y25" i="314" s="1"/>
  <c r="Y16" i="313" s="1"/>
  <c r="Y20" i="313" s="1"/>
  <c r="X39" i="323"/>
  <c r="Z56" i="313"/>
  <c r="Z63" i="313" s="1"/>
  <c r="Y70" i="326"/>
  <c r="Y74" i="326" s="1"/>
  <c r="Y126" i="326"/>
  <c r="Y140" i="326" s="1"/>
  <c r="Z113" i="310"/>
  <c r="Z140" i="310" s="1"/>
  <c r="Y86" i="328"/>
  <c r="Y27" i="329" s="1"/>
  <c r="Y31" i="329" s="1"/>
  <c r="Y41" i="323"/>
  <c r="Y182" i="326"/>
  <c r="Y186" i="326" s="1"/>
  <c r="Y189" i="326" s="1"/>
  <c r="Y196" i="326" s="1"/>
  <c r="Y71" i="326"/>
  <c r="Y75" i="326" s="1"/>
  <c r="W35" i="313"/>
  <c r="W43" i="313" s="1"/>
  <c r="W41" i="313"/>
  <c r="W101" i="260" s="1"/>
  <c r="X204" i="313"/>
  <c r="W39" i="313"/>
  <c r="X86" i="314"/>
  <c r="X27" i="313" s="1"/>
  <c r="X31" i="313" s="1"/>
  <c r="Z50" i="315"/>
  <c r="Z128" i="317" s="1"/>
  <c r="Z49" i="315"/>
  <c r="Z182" i="317" s="1"/>
  <c r="Z186" i="317" s="1"/>
  <c r="X29" i="313"/>
  <c r="X33" i="313" s="1"/>
  <c r="Z118" i="325"/>
  <c r="Z85" i="325" s="1"/>
  <c r="X40" i="323"/>
  <c r="X39" i="320"/>
  <c r="AB17" i="316"/>
  <c r="AB16" i="316"/>
  <c r="AA27" i="312"/>
  <c r="AA114" i="313" s="1"/>
  <c r="AB17" i="314"/>
  <c r="AB122" i="314" s="1"/>
  <c r="AB16" i="314"/>
  <c r="AB15" i="279"/>
  <c r="AB16" i="309"/>
  <c r="AB59" i="309" s="1"/>
  <c r="AB63" i="309" s="1"/>
  <c r="AB66" i="309" s="1"/>
  <c r="AB67" i="309" s="1"/>
  <c r="AB72" i="309" s="1"/>
  <c r="AB15" i="309"/>
  <c r="AB47" i="309" s="1"/>
  <c r="AB16" i="307"/>
  <c r="AB59" i="307" s="1"/>
  <c r="AB15" i="307"/>
  <c r="X85" i="303"/>
  <c r="AB16" i="304"/>
  <c r="AB59" i="304" s="1"/>
  <c r="AB15" i="304"/>
  <c r="AB150" i="326"/>
  <c r="AB151" i="326"/>
  <c r="X40" i="326"/>
  <c r="AB150" i="323"/>
  <c r="AB151" i="323"/>
  <c r="AB151" i="320"/>
  <c r="AB150" i="320"/>
  <c r="AB150" i="317"/>
  <c r="AB151" i="317"/>
  <c r="AB150" i="313"/>
  <c r="AB151" i="313"/>
  <c r="AB151" i="278"/>
  <c r="AB150" i="278"/>
  <c r="X85" i="310"/>
  <c r="AB150" i="272"/>
  <c r="AB151" i="272"/>
  <c r="AC27" i="269"/>
  <c r="AC29" i="269"/>
  <c r="AC33" i="269" s="1"/>
  <c r="AC151" i="269"/>
  <c r="AC150" i="269"/>
  <c r="AC28" i="269"/>
  <c r="AC32" i="269" s="1"/>
  <c r="W35" i="323"/>
  <c r="W43" i="323" s="1"/>
  <c r="Y189" i="310"/>
  <c r="Y196" i="310" s="1"/>
  <c r="Y201" i="320"/>
  <c r="W43" i="320"/>
  <c r="X32" i="317"/>
  <c r="X40" i="317"/>
  <c r="AA48" i="316"/>
  <c r="AA39" i="316"/>
  <c r="AA30" i="316"/>
  <c r="AA56" i="316" s="1"/>
  <c r="AA23" i="316" s="1"/>
  <c r="AA17" i="317" s="1"/>
  <c r="AA21" i="317" s="1"/>
  <c r="AB76" i="316"/>
  <c r="AB90" i="316"/>
  <c r="AB84" i="316"/>
  <c r="AB28" i="316"/>
  <c r="AB22" i="316"/>
  <c r="AA94" i="322"/>
  <c r="AA103" i="322"/>
  <c r="Y129" i="316"/>
  <c r="Y130" i="316" s="1"/>
  <c r="Y135" i="316" s="1"/>
  <c r="Y87" i="316" s="1"/>
  <c r="Y28" i="317" s="1"/>
  <c r="Y32" i="317" s="1"/>
  <c r="Y67" i="316"/>
  <c r="Y68" i="316" s="1"/>
  <c r="Y73" i="316" s="1"/>
  <c r="Y25" i="316" s="1"/>
  <c r="Y16" i="317" s="1"/>
  <c r="Y20" i="317" s="1"/>
  <c r="Y24" i="316"/>
  <c r="Y15" i="317" s="1"/>
  <c r="X33" i="317"/>
  <c r="X41" i="317"/>
  <c r="Y129" i="319"/>
  <c r="Y130" i="319" s="1"/>
  <c r="Y135" i="319" s="1"/>
  <c r="Y87" i="319" s="1"/>
  <c r="Y28" i="320" s="1"/>
  <c r="Y67" i="319"/>
  <c r="Y68" i="319" s="1"/>
  <c r="Y73" i="319" s="1"/>
  <c r="Y25" i="319" s="1"/>
  <c r="Y16" i="320" s="1"/>
  <c r="Y20" i="320" s="1"/>
  <c r="Y24" i="319"/>
  <c r="Y15" i="320" s="1"/>
  <c r="Y19" i="320" s="1"/>
  <c r="Z126" i="325"/>
  <c r="Z64" i="325"/>
  <c r="AE62" i="267"/>
  <c r="AA103" i="328"/>
  <c r="AA94" i="328"/>
  <c r="AB38" i="324"/>
  <c r="AB80" i="325" s="1"/>
  <c r="AB38" i="321"/>
  <c r="AB80" i="322" s="1"/>
  <c r="AB38" i="327"/>
  <c r="AB80" i="328" s="1"/>
  <c r="X35" i="329"/>
  <c r="AB41" i="322"/>
  <c r="AB32" i="322"/>
  <c r="AB22" i="328"/>
  <c r="AB90" i="328"/>
  <c r="AB84" i="328"/>
  <c r="AB76" i="328"/>
  <c r="AB28" i="328"/>
  <c r="AB32" i="328"/>
  <c r="AB41" i="328"/>
  <c r="AA30" i="319"/>
  <c r="AA39" i="319"/>
  <c r="AA56" i="319" s="1"/>
  <c r="AA23" i="319" s="1"/>
  <c r="AA17" i="320" s="1"/>
  <c r="AA21" i="320" s="1"/>
  <c r="AA48" i="319"/>
  <c r="X33" i="320"/>
  <c r="X35" i="320" s="1"/>
  <c r="X41" i="320"/>
  <c r="AD68" i="267"/>
  <c r="AB37" i="327"/>
  <c r="AB37" i="321"/>
  <c r="AB37" i="324"/>
  <c r="AB40" i="324" s="1"/>
  <c r="AB42" i="324" s="1"/>
  <c r="AB43" i="324" s="1"/>
  <c r="AB44" i="324" s="1"/>
  <c r="AB46" i="324" s="1"/>
  <c r="Y129" i="328"/>
  <c r="Y130" i="328" s="1"/>
  <c r="Y135" i="328" s="1"/>
  <c r="Y87" i="328" s="1"/>
  <c r="Y28" i="329" s="1"/>
  <c r="Y32" i="329" s="1"/>
  <c r="Y67" i="328"/>
  <c r="Y68" i="328" s="1"/>
  <c r="Y73" i="328" s="1"/>
  <c r="Y25" i="328" s="1"/>
  <c r="Y16" i="329" s="1"/>
  <c r="Y20" i="329" s="1"/>
  <c r="Y24" i="328"/>
  <c r="Y15" i="329" s="1"/>
  <c r="Z126" i="328"/>
  <c r="Z64" i="328"/>
  <c r="AC10" i="327"/>
  <c r="AA122" i="316"/>
  <c r="AA60" i="316"/>
  <c r="AA122" i="328"/>
  <c r="AA60" i="328"/>
  <c r="AB32" i="325"/>
  <c r="AB41" i="325"/>
  <c r="AA39" i="322"/>
  <c r="AA56" i="322" s="1"/>
  <c r="AA23" i="322" s="1"/>
  <c r="AA17" i="323" s="1"/>
  <c r="AA21" i="323" s="1"/>
  <c r="AA30" i="322"/>
  <c r="AA48" i="322"/>
  <c r="Y86" i="319"/>
  <c r="Y27" i="320" s="1"/>
  <c r="Y31" i="320" s="1"/>
  <c r="Y29" i="320"/>
  <c r="Y129" i="322"/>
  <c r="Y130" i="322" s="1"/>
  <c r="Y135" i="322" s="1"/>
  <c r="Y87" i="322" s="1"/>
  <c r="Y28" i="323" s="1"/>
  <c r="Y32" i="323" s="1"/>
  <c r="Y67" i="322"/>
  <c r="Y68" i="322" s="1"/>
  <c r="Y73" i="322" s="1"/>
  <c r="Y25" i="322" s="1"/>
  <c r="Y16" i="323" s="1"/>
  <c r="Y20" i="323" s="1"/>
  <c r="Y24" i="322"/>
  <c r="Y15" i="323" s="1"/>
  <c r="Y19" i="323" s="1"/>
  <c r="Y29" i="326"/>
  <c r="Y33" i="326" s="1"/>
  <c r="Y86" i="325"/>
  <c r="Y27" i="326" s="1"/>
  <c r="Y31" i="326" s="1"/>
  <c r="AB38" i="318"/>
  <c r="AB80" i="319" s="1"/>
  <c r="AB38" i="312"/>
  <c r="AB80" i="314" s="1"/>
  <c r="AB38" i="315"/>
  <c r="AB80" i="316" s="1"/>
  <c r="Z126" i="322"/>
  <c r="Z64" i="322"/>
  <c r="AB90" i="325"/>
  <c r="AB84" i="325"/>
  <c r="AB22" i="325"/>
  <c r="AB76" i="325"/>
  <c r="AB28" i="325"/>
  <c r="AA122" i="325"/>
  <c r="AA60" i="325"/>
  <c r="AA94" i="316"/>
  <c r="AA103" i="316"/>
  <c r="AA101" i="325"/>
  <c r="Z126" i="316"/>
  <c r="Z64" i="316"/>
  <c r="Y129" i="325"/>
  <c r="Y130" i="325" s="1"/>
  <c r="Y135" i="325" s="1"/>
  <c r="Y87" i="325" s="1"/>
  <c r="Y28" i="326" s="1"/>
  <c r="Y32" i="326" s="1"/>
  <c r="Y67" i="325"/>
  <c r="Y68" i="325" s="1"/>
  <c r="Y73" i="325" s="1"/>
  <c r="Y25" i="325" s="1"/>
  <c r="Y16" i="326" s="1"/>
  <c r="Y24" i="325"/>
  <c r="Y15" i="326" s="1"/>
  <c r="X40" i="320"/>
  <c r="Z48" i="325"/>
  <c r="Z39" i="325"/>
  <c r="Z56" i="325" s="1"/>
  <c r="Z23" i="325" s="1"/>
  <c r="Z30" i="325"/>
  <c r="Z118" i="316"/>
  <c r="Z85" i="316" s="1"/>
  <c r="X204" i="329"/>
  <c r="AB84" i="319"/>
  <c r="AB76" i="319"/>
  <c r="AB28" i="319"/>
  <c r="AB90" i="319"/>
  <c r="AB22" i="319"/>
  <c r="AA122" i="319"/>
  <c r="AA60" i="319"/>
  <c r="Z39" i="328"/>
  <c r="Z56" i="328" s="1"/>
  <c r="Z23" i="328" s="1"/>
  <c r="Z30" i="328"/>
  <c r="Z48" i="328"/>
  <c r="X40" i="329"/>
  <c r="AA110" i="319"/>
  <c r="AA103" i="319"/>
  <c r="AA94" i="319"/>
  <c r="AC11" i="327"/>
  <c r="AC18" i="328" s="1"/>
  <c r="AC11" i="321"/>
  <c r="AC18" i="322" s="1"/>
  <c r="AC11" i="324"/>
  <c r="AC18" i="325" s="1"/>
  <c r="AB90" i="322"/>
  <c r="AB76" i="322"/>
  <c r="AB84" i="322"/>
  <c r="AB28" i="322"/>
  <c r="AB22" i="322"/>
  <c r="AA60" i="322"/>
  <c r="AA122" i="322"/>
  <c r="AA103" i="325"/>
  <c r="AA94" i="325"/>
  <c r="Y86" i="316"/>
  <c r="Y27" i="317" s="1"/>
  <c r="Y31" i="317" s="1"/>
  <c r="Y29" i="317"/>
  <c r="Z126" i="319"/>
  <c r="Z64" i="319"/>
  <c r="V100" i="260"/>
  <c r="Z53" i="327"/>
  <c r="Z192" i="329" s="1"/>
  <c r="Z194" i="329" s="1"/>
  <c r="Y201" i="329"/>
  <c r="Z53" i="318"/>
  <c r="Z192" i="320" s="1"/>
  <c r="Z194" i="320" s="1"/>
  <c r="U112" i="260"/>
  <c r="Z200" i="329"/>
  <c r="Y201" i="313"/>
  <c r="AA26" i="312"/>
  <c r="AA113" i="313" s="1"/>
  <c r="AB37" i="318"/>
  <c r="AB40" i="318" s="1"/>
  <c r="AB42" i="318" s="1"/>
  <c r="AB43" i="318" s="1"/>
  <c r="AB44" i="318" s="1"/>
  <c r="AB46" i="318" s="1"/>
  <c r="AB37" i="312"/>
  <c r="AB40" i="312" s="1"/>
  <c r="AB42" i="312" s="1"/>
  <c r="AB43" i="312" s="1"/>
  <c r="AB44" i="312" s="1"/>
  <c r="AB46" i="312" s="1"/>
  <c r="AB37" i="315"/>
  <c r="AB40" i="315" s="1"/>
  <c r="AB42" i="315" s="1"/>
  <c r="AB43" i="315" s="1"/>
  <c r="AB44" i="315" s="1"/>
  <c r="AB46" i="315" s="1"/>
  <c r="Y29" i="313"/>
  <c r="Y33" i="313" s="1"/>
  <c r="Y86" i="314"/>
  <c r="Y27" i="313" s="1"/>
  <c r="Y31" i="313" s="1"/>
  <c r="AC10" i="315"/>
  <c r="Z92" i="314"/>
  <c r="Z101" i="314"/>
  <c r="Z110" i="314"/>
  <c r="Z103" i="314"/>
  <c r="Z94" i="314"/>
  <c r="Y24" i="314"/>
  <c r="Y15" i="313" s="1"/>
  <c r="Y19" i="313" s="1"/>
  <c r="Y177" i="313"/>
  <c r="AB76" i="314"/>
  <c r="AB84" i="314"/>
  <c r="AB90" i="314"/>
  <c r="X20" i="313"/>
  <c r="X23" i="313" s="1"/>
  <c r="X40" i="313"/>
  <c r="Z23" i="314"/>
  <c r="Z17" i="313" s="1"/>
  <c r="Y177" i="329"/>
  <c r="X177" i="326"/>
  <c r="X204" i="326" s="1"/>
  <c r="Z160" i="310"/>
  <c r="Z167" i="310" s="1"/>
  <c r="W23" i="329"/>
  <c r="W43" i="329" s="1"/>
  <c r="Y83" i="310"/>
  <c r="X23" i="323"/>
  <c r="Z71" i="310"/>
  <c r="Z75" i="310" s="1"/>
  <c r="Y170" i="320"/>
  <c r="Y66" i="320"/>
  <c r="Z182" i="310"/>
  <c r="Z186" i="310" s="1"/>
  <c r="X85" i="320"/>
  <c r="X204" i="310"/>
  <c r="V23" i="269"/>
  <c r="V43" i="269" s="1"/>
  <c r="V23" i="272"/>
  <c r="V43" i="272" s="1"/>
  <c r="X23" i="320"/>
  <c r="X177" i="317"/>
  <c r="X204" i="317" s="1"/>
  <c r="Y170" i="326"/>
  <c r="AA27" i="308"/>
  <c r="AA114" i="310" s="1"/>
  <c r="Z161" i="317"/>
  <c r="Z168" i="317" s="1"/>
  <c r="Z57" i="317"/>
  <c r="Z64" i="317" s="1"/>
  <c r="Z114" i="317"/>
  <c r="AA27" i="324"/>
  <c r="AA26" i="324"/>
  <c r="AA25" i="324"/>
  <c r="X19" i="329"/>
  <c r="X39" i="329"/>
  <c r="Z32" i="318"/>
  <c r="Z172" i="320" s="1"/>
  <c r="Z159" i="320"/>
  <c r="Z166" i="320" s="1"/>
  <c r="Z112" i="320"/>
  <c r="Z55" i="320"/>
  <c r="Z62" i="320" s="1"/>
  <c r="Y66" i="326"/>
  <c r="X21" i="329"/>
  <c r="X41" i="329"/>
  <c r="Y66" i="317"/>
  <c r="AA26" i="318"/>
  <c r="AA25" i="318"/>
  <c r="AA27" i="318"/>
  <c r="Z170" i="329"/>
  <c r="AB26" i="312"/>
  <c r="AA27" i="315"/>
  <c r="AA26" i="315"/>
  <c r="AA25" i="315"/>
  <c r="Y200" i="317"/>
  <c r="Y175" i="317"/>
  <c r="Z66" i="329"/>
  <c r="AA114" i="329"/>
  <c r="AA57" i="329"/>
  <c r="AA64" i="329" s="1"/>
  <c r="AA161" i="329"/>
  <c r="AA168" i="329" s="1"/>
  <c r="AB17" i="319"/>
  <c r="AB14" i="318"/>
  <c r="AB16" i="318" s="1"/>
  <c r="AB17" i="318" s="1"/>
  <c r="AB18" i="318" s="1"/>
  <c r="AB20" i="318" s="1"/>
  <c r="X19" i="326"/>
  <c r="X39" i="326"/>
  <c r="Z32" i="321"/>
  <c r="Z172" i="323" s="1"/>
  <c r="Z55" i="323"/>
  <c r="Z62" i="323" s="1"/>
  <c r="Z112" i="323"/>
  <c r="Z159" i="323"/>
  <c r="Z166" i="323" s="1"/>
  <c r="Z160" i="326"/>
  <c r="Z167" i="326" s="1"/>
  <c r="Z56" i="326"/>
  <c r="Z63" i="326" s="1"/>
  <c r="Z33" i="324"/>
  <c r="Z173" i="326" s="1"/>
  <c r="Z201" i="326" s="1"/>
  <c r="Z113" i="326"/>
  <c r="X177" i="320"/>
  <c r="Y17" i="329"/>
  <c r="Z33" i="321"/>
  <c r="Z173" i="323" s="1"/>
  <c r="Z201" i="323" s="1"/>
  <c r="Z113" i="323"/>
  <c r="Z56" i="323"/>
  <c r="Z63" i="323" s="1"/>
  <c r="Z160" i="323"/>
  <c r="Z167" i="323" s="1"/>
  <c r="Z114" i="323"/>
  <c r="Z57" i="323"/>
  <c r="Z64" i="323" s="1"/>
  <c r="Z161" i="323"/>
  <c r="Z168" i="323" s="1"/>
  <c r="Y17" i="326"/>
  <c r="Y200" i="320"/>
  <c r="Y175" i="320"/>
  <c r="AB14" i="324"/>
  <c r="AB16" i="324" s="1"/>
  <c r="AB17" i="324" s="1"/>
  <c r="AB18" i="324" s="1"/>
  <c r="AB20" i="324" s="1"/>
  <c r="AB17" i="325"/>
  <c r="Y170" i="323"/>
  <c r="X21" i="326"/>
  <c r="X41" i="326"/>
  <c r="Z161" i="326"/>
  <c r="Z168" i="326" s="1"/>
  <c r="Z57" i="326"/>
  <c r="Z64" i="326" s="1"/>
  <c r="Z114" i="326"/>
  <c r="AA25" i="321"/>
  <c r="AA27" i="321"/>
  <c r="AA26" i="321"/>
  <c r="Y200" i="326"/>
  <c r="Y175" i="326"/>
  <c r="AB14" i="315"/>
  <c r="AB16" i="315" s="1"/>
  <c r="AB17" i="315" s="1"/>
  <c r="AB18" i="315" s="1"/>
  <c r="AB20" i="315" s="1"/>
  <c r="Z55" i="317"/>
  <c r="Z62" i="317" s="1"/>
  <c r="Z159" i="317"/>
  <c r="Z166" i="317" s="1"/>
  <c r="Z32" i="315"/>
  <c r="Z172" i="317" s="1"/>
  <c r="Z112" i="317"/>
  <c r="AB27" i="327"/>
  <c r="AB26" i="327"/>
  <c r="AB25" i="327"/>
  <c r="Y66" i="323"/>
  <c r="AA55" i="313"/>
  <c r="AA62" i="313" s="1"/>
  <c r="AA32" i="312"/>
  <c r="AA172" i="313" s="1"/>
  <c r="AA159" i="313"/>
  <c r="AA166" i="313" s="1"/>
  <c r="AA112" i="313"/>
  <c r="Z57" i="320"/>
  <c r="Z64" i="320" s="1"/>
  <c r="Z161" i="320"/>
  <c r="Z168" i="320" s="1"/>
  <c r="Z114" i="320"/>
  <c r="Z159" i="326"/>
  <c r="Z166" i="326" s="1"/>
  <c r="Z55" i="326"/>
  <c r="Z62" i="326" s="1"/>
  <c r="Z112" i="326"/>
  <c r="Z32" i="324"/>
  <c r="Z172" i="326" s="1"/>
  <c r="X82" i="320"/>
  <c r="Z175" i="329"/>
  <c r="Z56" i="317"/>
  <c r="Z63" i="317" s="1"/>
  <c r="Z113" i="317"/>
  <c r="Z33" i="315"/>
  <c r="Z173" i="317" s="1"/>
  <c r="Z201" i="317" s="1"/>
  <c r="Z160" i="317"/>
  <c r="Z167" i="317" s="1"/>
  <c r="AB17" i="322"/>
  <c r="AB14" i="321"/>
  <c r="AB16" i="321" s="1"/>
  <c r="AB17" i="321" s="1"/>
  <c r="AB18" i="321" s="1"/>
  <c r="AB20" i="321" s="1"/>
  <c r="Y200" i="323"/>
  <c r="Y175" i="323"/>
  <c r="W23" i="326"/>
  <c r="W43" i="326" s="1"/>
  <c r="Z160" i="320"/>
  <c r="Z167" i="320" s="1"/>
  <c r="Z56" i="320"/>
  <c r="Z63" i="320" s="1"/>
  <c r="Z33" i="318"/>
  <c r="Z173" i="320" s="1"/>
  <c r="Z113" i="320"/>
  <c r="Y170" i="317"/>
  <c r="X177" i="323"/>
  <c r="X204" i="323" s="1"/>
  <c r="Y21" i="313"/>
  <c r="AB32" i="314"/>
  <c r="AB41" i="314"/>
  <c r="AA39" i="314"/>
  <c r="AA30" i="314"/>
  <c r="AA56" i="314" s="1"/>
  <c r="AA48" i="314"/>
  <c r="Z161" i="310"/>
  <c r="Z168" i="310" s="1"/>
  <c r="Z33" i="308"/>
  <c r="Z173" i="310" s="1"/>
  <c r="Z201" i="310" s="1"/>
  <c r="Z57" i="310"/>
  <c r="Z64" i="310" s="1"/>
  <c r="Y202" i="310"/>
  <c r="Y202" i="329"/>
  <c r="Y189" i="329"/>
  <c r="Y196" i="329" s="1"/>
  <c r="AA50" i="324"/>
  <c r="AA49" i="324"/>
  <c r="AA48" i="324"/>
  <c r="AA194" i="317"/>
  <c r="AB151" i="329"/>
  <c r="AB150" i="329"/>
  <c r="Y189" i="313"/>
  <c r="Y196" i="313" s="1"/>
  <c r="Y202" i="313"/>
  <c r="Z181" i="323"/>
  <c r="Z185" i="323" s="1"/>
  <c r="Z126" i="323"/>
  <c r="Z70" i="323"/>
  <c r="AC3" i="329"/>
  <c r="AC1" i="328"/>
  <c r="AC3" i="326"/>
  <c r="AC1" i="325"/>
  <c r="AC1" i="322"/>
  <c r="AC3" i="320"/>
  <c r="AC1" i="316"/>
  <c r="AC3" i="317"/>
  <c r="AC3" i="323"/>
  <c r="AC1" i="319"/>
  <c r="AC1" i="314"/>
  <c r="AC3" i="313"/>
  <c r="Y74" i="313"/>
  <c r="Y83" i="313"/>
  <c r="AA50" i="318"/>
  <c r="AA49" i="318"/>
  <c r="AA48" i="318"/>
  <c r="AA52" i="318" s="1"/>
  <c r="AA191" i="320" s="1"/>
  <c r="Z182" i="329"/>
  <c r="Z186" i="329" s="1"/>
  <c r="Z71" i="329"/>
  <c r="Z75" i="329" s="1"/>
  <c r="Z127" i="329"/>
  <c r="Y74" i="320"/>
  <c r="Y83" i="320"/>
  <c r="AB14" i="319"/>
  <c r="AA50" i="327"/>
  <c r="AA49" i="327"/>
  <c r="AA48" i="327"/>
  <c r="AA52" i="327" s="1"/>
  <c r="AA191" i="329" s="1"/>
  <c r="Z72" i="329"/>
  <c r="Z76" i="329" s="1"/>
  <c r="Z128" i="329"/>
  <c r="Z183" i="329"/>
  <c r="Z187" i="329" s="1"/>
  <c r="Y189" i="317"/>
  <c r="Y196" i="317" s="1"/>
  <c r="Y202" i="317"/>
  <c r="Z128" i="323"/>
  <c r="Z72" i="323"/>
  <c r="Z76" i="323" s="1"/>
  <c r="Z183" i="323"/>
  <c r="Z187" i="323" s="1"/>
  <c r="X78" i="317"/>
  <c r="X85" i="317" s="1"/>
  <c r="X82" i="317"/>
  <c r="X78" i="313"/>
  <c r="X85" i="313" s="1"/>
  <c r="X82" i="313"/>
  <c r="AB14" i="322"/>
  <c r="X78" i="329"/>
  <c r="X85" i="329" s="1"/>
  <c r="X82" i="329"/>
  <c r="Z181" i="317"/>
  <c r="Z185" i="317" s="1"/>
  <c r="Z126" i="317"/>
  <c r="Z70" i="317"/>
  <c r="AB14" i="316"/>
  <c r="Z181" i="329"/>
  <c r="Z185" i="329" s="1"/>
  <c r="Z70" i="329"/>
  <c r="Z126" i="329"/>
  <c r="Y189" i="323"/>
  <c r="Y196" i="323" s="1"/>
  <c r="Y202" i="323"/>
  <c r="AA194" i="323"/>
  <c r="X78" i="326"/>
  <c r="X85" i="326" s="1"/>
  <c r="X82" i="326"/>
  <c r="Z71" i="323"/>
  <c r="Z75" i="323" s="1"/>
  <c r="Z182" i="323"/>
  <c r="Z186" i="323" s="1"/>
  <c r="Z127" i="323"/>
  <c r="Z126" i="326"/>
  <c r="Z70" i="326"/>
  <c r="Z181" i="326"/>
  <c r="Z185" i="326" s="1"/>
  <c r="Z183" i="313"/>
  <c r="Z187" i="313" s="1"/>
  <c r="Z128" i="313"/>
  <c r="Z72" i="313"/>
  <c r="Z76" i="313" s="1"/>
  <c r="AA50" i="312"/>
  <c r="AA49" i="312"/>
  <c r="AA48" i="312"/>
  <c r="AA52" i="312" s="1"/>
  <c r="AA191" i="313" s="1"/>
  <c r="Y74" i="323"/>
  <c r="Y83" i="323"/>
  <c r="Z127" i="326"/>
  <c r="Z182" i="326"/>
  <c r="Z186" i="326" s="1"/>
  <c r="Z71" i="326"/>
  <c r="Z75" i="326" s="1"/>
  <c r="Z128" i="320"/>
  <c r="Z72" i="320"/>
  <c r="Z76" i="320" s="1"/>
  <c r="Z183" i="320"/>
  <c r="Z187" i="320" s="1"/>
  <c r="AB14" i="328"/>
  <c r="AA50" i="315"/>
  <c r="AA49" i="315"/>
  <c r="AA48" i="315"/>
  <c r="AA194" i="326"/>
  <c r="Z183" i="326"/>
  <c r="Z187" i="326" s="1"/>
  <c r="Z128" i="326"/>
  <c r="Z72" i="326"/>
  <c r="Z76" i="326" s="1"/>
  <c r="Z182" i="320"/>
  <c r="Z186" i="320" s="1"/>
  <c r="Z127" i="320"/>
  <c r="Z71" i="320"/>
  <c r="Z75" i="320" s="1"/>
  <c r="AB28" i="314"/>
  <c r="AB22" i="314"/>
  <c r="AB14" i="314"/>
  <c r="X78" i="323"/>
  <c r="X85" i="323" s="1"/>
  <c r="X82" i="323"/>
  <c r="Y74" i="317"/>
  <c r="Y83" i="317"/>
  <c r="Y74" i="329"/>
  <c r="Y83" i="329"/>
  <c r="AA50" i="321"/>
  <c r="AA49" i="321"/>
  <c r="AA48" i="321"/>
  <c r="Z70" i="320"/>
  <c r="Z181" i="320"/>
  <c r="Z185" i="320" s="1"/>
  <c r="Z126" i="320"/>
  <c r="AB14" i="325"/>
  <c r="Z126" i="303"/>
  <c r="AA26" i="308"/>
  <c r="AA56" i="310" s="1"/>
  <c r="AA63" i="310" s="1"/>
  <c r="Z70" i="310"/>
  <c r="Z74" i="310" s="1"/>
  <c r="Z181" i="310"/>
  <c r="Z185" i="310" s="1"/>
  <c r="W23" i="272"/>
  <c r="W43" i="272" s="1"/>
  <c r="AB14" i="308"/>
  <c r="AB16" i="308" s="1"/>
  <c r="AB17" i="308" s="1"/>
  <c r="AB18" i="308" s="1"/>
  <c r="AB20" i="308" s="1"/>
  <c r="AB27" i="308" s="1"/>
  <c r="Z55" i="306"/>
  <c r="Z62" i="306" s="1"/>
  <c r="Y83" i="303"/>
  <c r="Z56" i="306"/>
  <c r="Z63" i="306" s="1"/>
  <c r="Z160" i="306"/>
  <c r="Z167" i="306" s="1"/>
  <c r="Z170" i="306" s="1"/>
  <c r="Z113" i="306"/>
  <c r="AA50" i="308"/>
  <c r="AA72" i="310" s="1"/>
  <c r="AA76" i="310" s="1"/>
  <c r="AA49" i="308"/>
  <c r="AA71" i="310" s="1"/>
  <c r="AA75" i="310" s="1"/>
  <c r="AA48" i="308"/>
  <c r="AA181" i="310" s="1"/>
  <c r="AA185" i="310" s="1"/>
  <c r="AE57" i="267"/>
  <c r="AE52" i="267"/>
  <c r="Z112" i="306"/>
  <c r="Z32" i="305"/>
  <c r="Z172" i="306" s="1"/>
  <c r="Z200" i="306" s="1"/>
  <c r="AB37" i="277"/>
  <c r="AB40" i="277" s="1"/>
  <c r="AB42" i="277" s="1"/>
  <c r="AB43" i="277" s="1"/>
  <c r="AB44" i="277" s="1"/>
  <c r="AB46" i="277" s="1"/>
  <c r="AB37" i="271"/>
  <c r="AB40" i="271" s="1"/>
  <c r="AB42" i="271" s="1"/>
  <c r="AB43" i="271" s="1"/>
  <c r="AB44" i="271" s="1"/>
  <c r="AB46" i="271" s="1"/>
  <c r="AB37" i="308"/>
  <c r="AB40" i="308" s="1"/>
  <c r="AB42" i="308" s="1"/>
  <c r="AB43" i="308" s="1"/>
  <c r="AB44" i="308" s="1"/>
  <c r="AB46" i="308" s="1"/>
  <c r="AB37" i="302"/>
  <c r="AB40" i="302" s="1"/>
  <c r="AB42" i="302" s="1"/>
  <c r="AB43" i="302" s="1"/>
  <c r="AB44" i="302" s="1"/>
  <c r="AB46" i="302" s="1"/>
  <c r="AB50" i="302" s="1"/>
  <c r="AB37" i="305"/>
  <c r="AB40" i="305" s="1"/>
  <c r="AB42" i="305" s="1"/>
  <c r="AB43" i="305" s="1"/>
  <c r="AB44" i="305" s="1"/>
  <c r="AB46" i="305" s="1"/>
  <c r="Y40" i="303"/>
  <c r="Y20" i="303"/>
  <c r="AC10" i="277"/>
  <c r="AC10" i="268"/>
  <c r="AC15" i="270" s="1"/>
  <c r="AC10" i="308"/>
  <c r="AC10" i="302"/>
  <c r="AB38" i="305"/>
  <c r="AB38" i="268"/>
  <c r="AB38" i="277"/>
  <c r="AB38" i="271"/>
  <c r="AB38" i="308"/>
  <c r="AB38" i="302"/>
  <c r="X40" i="272"/>
  <c r="X20" i="272"/>
  <c r="X39" i="272"/>
  <c r="X19" i="272"/>
  <c r="AB28" i="272"/>
  <c r="AB32" i="272" s="1"/>
  <c r="AB29" i="272"/>
  <c r="AB33" i="272" s="1"/>
  <c r="AB27" i="272"/>
  <c r="Y39" i="306"/>
  <c r="Y19" i="306"/>
  <c r="Y40" i="306"/>
  <c r="Y20" i="306"/>
  <c r="Z41" i="306"/>
  <c r="Z21" i="306"/>
  <c r="X40" i="278"/>
  <c r="X20" i="278"/>
  <c r="AB27" i="278"/>
  <c r="AB28" i="278"/>
  <c r="AB32" i="278" s="1"/>
  <c r="AB29" i="278"/>
  <c r="AB33" i="278" s="1"/>
  <c r="X39" i="278"/>
  <c r="X19" i="278"/>
  <c r="X41" i="269"/>
  <c r="X21" i="269"/>
  <c r="W39" i="269"/>
  <c r="W19" i="269"/>
  <c r="W40" i="269"/>
  <c r="W20" i="269"/>
  <c r="AA9" i="272"/>
  <c r="Z31" i="272"/>
  <c r="Z35" i="272" s="1"/>
  <c r="AE11" i="272"/>
  <c r="AE11" i="278"/>
  <c r="AF11" i="306"/>
  <c r="AE33" i="306"/>
  <c r="AE35" i="306" s="1"/>
  <c r="AF11" i="310"/>
  <c r="AE33" i="310"/>
  <c r="AE35" i="310" s="1"/>
  <c r="AD11" i="269"/>
  <c r="AE10" i="272"/>
  <c r="AD10" i="269"/>
  <c r="AE10" i="278"/>
  <c r="AA9" i="278"/>
  <c r="Z31" i="278"/>
  <c r="Z35" i="278" s="1"/>
  <c r="AF11" i="303"/>
  <c r="AE33" i="303"/>
  <c r="AE35" i="303" s="1"/>
  <c r="AA9" i="269"/>
  <c r="Z31" i="269"/>
  <c r="Z35" i="269" s="1"/>
  <c r="Y189" i="303"/>
  <c r="Y196" i="303" s="1"/>
  <c r="Y23" i="304"/>
  <c r="Y15" i="303" s="1"/>
  <c r="Y175" i="306"/>
  <c r="AA38" i="309"/>
  <c r="Z17" i="310"/>
  <c r="Z23" i="309"/>
  <c r="Z15" i="310" s="1"/>
  <c r="Z127" i="303"/>
  <c r="X23" i="306"/>
  <c r="X43" i="306" s="1"/>
  <c r="AA47" i="309"/>
  <c r="Y17" i="303"/>
  <c r="Z71" i="303"/>
  <c r="Z75" i="303" s="1"/>
  <c r="AA63" i="304"/>
  <c r="AA66" i="304" s="1"/>
  <c r="AA67" i="304" s="1"/>
  <c r="AA72" i="304" s="1"/>
  <c r="Z24" i="309"/>
  <c r="Z16" i="310" s="1"/>
  <c r="AA49" i="302"/>
  <c r="AA71" i="303" s="1"/>
  <c r="AA75" i="303" s="1"/>
  <c r="AB14" i="277"/>
  <c r="AB16" i="277" s="1"/>
  <c r="AB17" i="277" s="1"/>
  <c r="AB18" i="277" s="1"/>
  <c r="AB20" i="277" s="1"/>
  <c r="AB16" i="279"/>
  <c r="AB59" i="279" s="1"/>
  <c r="AB14" i="271"/>
  <c r="AB16" i="271" s="1"/>
  <c r="AB17" i="271" s="1"/>
  <c r="AB18" i="271" s="1"/>
  <c r="AB20" i="271" s="1"/>
  <c r="AB16" i="273"/>
  <c r="AB59" i="273" s="1"/>
  <c r="AB21" i="304"/>
  <c r="AB13" i="304"/>
  <c r="Y23" i="310"/>
  <c r="Y43" i="310" s="1"/>
  <c r="Y170" i="306"/>
  <c r="Z17" i="303"/>
  <c r="Z23" i="304"/>
  <c r="Z15" i="303" s="1"/>
  <c r="Z24" i="304"/>
  <c r="Z16" i="303" s="1"/>
  <c r="Z70" i="303"/>
  <c r="Z74" i="303" s="1"/>
  <c r="AA29" i="304"/>
  <c r="AA38" i="304"/>
  <c r="AA40" i="304"/>
  <c r="AA31" i="304"/>
  <c r="AB14" i="268"/>
  <c r="AB16" i="268" s="1"/>
  <c r="AB16" i="270"/>
  <c r="AB59" i="270" s="1"/>
  <c r="Z55" i="303"/>
  <c r="Z112" i="303"/>
  <c r="Z159" i="303"/>
  <c r="Z166" i="303" s="1"/>
  <c r="AA50" i="302"/>
  <c r="AA128" i="303" s="1"/>
  <c r="AA57" i="306"/>
  <c r="AA64" i="306" s="1"/>
  <c r="AA26" i="305"/>
  <c r="AA113" i="306" s="1"/>
  <c r="Y202" i="303"/>
  <c r="AA161" i="306"/>
  <c r="AA168" i="306" s="1"/>
  <c r="Z161" i="303"/>
  <c r="Z168" i="303" s="1"/>
  <c r="Z33" i="302"/>
  <c r="Z173" i="303" s="1"/>
  <c r="Z57" i="303"/>
  <c r="Z64" i="303" s="1"/>
  <c r="X177" i="306"/>
  <c r="X204" i="306" s="1"/>
  <c r="AB194" i="310"/>
  <c r="AB194" i="306"/>
  <c r="W23" i="278"/>
  <c r="W43" i="278" s="1"/>
  <c r="X23" i="310"/>
  <c r="X43" i="310" s="1"/>
  <c r="Y78" i="306"/>
  <c r="AC60" i="309"/>
  <c r="AA66" i="307"/>
  <c r="AA67" i="307" s="1"/>
  <c r="AA72" i="307" s="1"/>
  <c r="AA32" i="308"/>
  <c r="AA172" i="310" s="1"/>
  <c r="AA112" i="310"/>
  <c r="AA159" i="310"/>
  <c r="AA166" i="310" s="1"/>
  <c r="AA55" i="310"/>
  <c r="AB14" i="305"/>
  <c r="AB16" i="305" s="1"/>
  <c r="AB17" i="305" s="1"/>
  <c r="AB18" i="305" s="1"/>
  <c r="AB20" i="305" s="1"/>
  <c r="AB27" i="305" s="1"/>
  <c r="AB161" i="306" s="1"/>
  <c r="AB168" i="306" s="1"/>
  <c r="AB60" i="307"/>
  <c r="AB63" i="307" s="1"/>
  <c r="AA47" i="307"/>
  <c r="AA38" i="307"/>
  <c r="AA29" i="307"/>
  <c r="AA55" i="307" s="1"/>
  <c r="AA22" i="307" s="1"/>
  <c r="AA17" i="306" s="1"/>
  <c r="Z62" i="310"/>
  <c r="AC1" i="304"/>
  <c r="AC13" i="304" s="1"/>
  <c r="AC1" i="309"/>
  <c r="AC1" i="307"/>
  <c r="Z23" i="307"/>
  <c r="Z15" i="306" s="1"/>
  <c r="Z24" i="307"/>
  <c r="Z16" i="306" s="1"/>
  <c r="AB27" i="307"/>
  <c r="AB13" i="307"/>
  <c r="AB21" i="307"/>
  <c r="Z200" i="310"/>
  <c r="AB27" i="309"/>
  <c r="AB13" i="309"/>
  <c r="AB21" i="309"/>
  <c r="AB194" i="303"/>
  <c r="AA25" i="305"/>
  <c r="AA159" i="306" s="1"/>
  <c r="AA166" i="306" s="1"/>
  <c r="Y82" i="310"/>
  <c r="Y66" i="310"/>
  <c r="Y85" i="310" s="1"/>
  <c r="Z201" i="306"/>
  <c r="Z182" i="306"/>
  <c r="Z186" i="306" s="1"/>
  <c r="Z127" i="306"/>
  <c r="Z71" i="306"/>
  <c r="Z75" i="306" s="1"/>
  <c r="Z70" i="306"/>
  <c r="Z74" i="306" s="1"/>
  <c r="Z126" i="306"/>
  <c r="Z181" i="306"/>
  <c r="Z185" i="306" s="1"/>
  <c r="Y189" i="306"/>
  <c r="Y196" i="306" s="1"/>
  <c r="X82" i="306"/>
  <c r="X78" i="306"/>
  <c r="X85" i="306" s="1"/>
  <c r="Y82" i="306"/>
  <c r="Y66" i="306"/>
  <c r="Y83" i="306"/>
  <c r="Z183" i="306"/>
  <c r="Z187" i="306" s="1"/>
  <c r="Z72" i="306"/>
  <c r="Z128" i="306"/>
  <c r="Y202" i="306"/>
  <c r="Z189" i="303"/>
  <c r="Z196" i="303" s="1"/>
  <c r="AB38" i="304"/>
  <c r="AA25" i="302"/>
  <c r="AA55" i="303" s="1"/>
  <c r="U175" i="303"/>
  <c r="U177" i="303" s="1"/>
  <c r="U204" i="303" s="1"/>
  <c r="U200" i="303"/>
  <c r="U111" i="260" s="1"/>
  <c r="Y17" i="269"/>
  <c r="AA26" i="302"/>
  <c r="AA113" i="303" s="1"/>
  <c r="U23" i="303"/>
  <c r="U43" i="303" s="1"/>
  <c r="X15" i="269"/>
  <c r="X16" i="269"/>
  <c r="V200" i="303"/>
  <c r="V111" i="260" s="1"/>
  <c r="AC10" i="305"/>
  <c r="V173" i="269"/>
  <c r="V201" i="269" s="1"/>
  <c r="V201" i="303"/>
  <c r="AB60" i="304"/>
  <c r="AB14" i="302"/>
  <c r="AB16" i="302" s="1"/>
  <c r="AB17" i="302" s="1"/>
  <c r="AB18" i="302" s="1"/>
  <c r="AB20" i="302" s="1"/>
  <c r="AB27" i="302" s="1"/>
  <c r="AA49" i="305"/>
  <c r="AA48" i="305"/>
  <c r="AA50" i="305"/>
  <c r="AA181" i="303"/>
  <c r="AA185" i="303" s="1"/>
  <c r="AA126" i="303"/>
  <c r="AA70" i="303"/>
  <c r="AA74" i="303" s="1"/>
  <c r="AA57" i="303"/>
  <c r="AA64" i="303" s="1"/>
  <c r="AA161" i="303"/>
  <c r="AA168" i="303" s="1"/>
  <c r="AA114" i="303"/>
  <c r="Y82" i="303"/>
  <c r="Y66" i="303"/>
  <c r="Y85" i="303" s="1"/>
  <c r="Y55" i="273"/>
  <c r="Y22" i="273" s="1"/>
  <c r="Y23" i="273" s="1"/>
  <c r="Y15" i="272" s="1"/>
  <c r="Y55" i="279"/>
  <c r="Y22" i="279" s="1"/>
  <c r="Y17" i="278" s="1"/>
  <c r="D1086" i="261"/>
  <c r="D1088" i="261" s="1"/>
  <c r="AD58" i="267"/>
  <c r="AE56" i="267"/>
  <c r="AB21" i="273"/>
  <c r="AB27" i="273"/>
  <c r="AB13" i="273"/>
  <c r="AB13" i="270"/>
  <c r="AB27" i="270"/>
  <c r="AB21" i="270"/>
  <c r="AC1" i="273"/>
  <c r="AC1" i="270"/>
  <c r="AC1" i="279"/>
  <c r="AC3" i="272"/>
  <c r="AF2" i="267"/>
  <c r="AC3" i="278"/>
  <c r="AE51" i="267"/>
  <c r="AD53" i="267"/>
  <c r="AB37" i="268"/>
  <c r="AB40" i="268" s="1"/>
  <c r="AB42" i="268" s="1"/>
  <c r="AB21" i="279"/>
  <c r="AB13" i="279"/>
  <c r="AB27" i="279"/>
  <c r="Z38" i="279"/>
  <c r="Z29" i="279"/>
  <c r="Z55" i="279" s="1"/>
  <c r="Z22" i="279" s="1"/>
  <c r="Z17" i="278" s="1"/>
  <c r="W85" i="272"/>
  <c r="Z38" i="273"/>
  <c r="Z29" i="273"/>
  <c r="AC10" i="271"/>
  <c r="AC15" i="273" s="1"/>
  <c r="AA38" i="279"/>
  <c r="AA60" i="279"/>
  <c r="AA63" i="279" s="1"/>
  <c r="AA29" i="273"/>
  <c r="AA60" i="273"/>
  <c r="AA63" i="273" s="1"/>
  <c r="AA66" i="273" s="1"/>
  <c r="AA67" i="273" s="1"/>
  <c r="AA72" i="273" s="1"/>
  <c r="Z161" i="278"/>
  <c r="Z114" i="278"/>
  <c r="Z57" i="278"/>
  <c r="Z32" i="277"/>
  <c r="Z172" i="278" s="1"/>
  <c r="Z55" i="278"/>
  <c r="Z159" i="278"/>
  <c r="Z112" i="278"/>
  <c r="Z160" i="278"/>
  <c r="Z113" i="278"/>
  <c r="Z56" i="278"/>
  <c r="Z181" i="278"/>
  <c r="Z185" i="278" s="1"/>
  <c r="Z126" i="278"/>
  <c r="Z70" i="278"/>
  <c r="Z182" i="278"/>
  <c r="Z186" i="278" s="1"/>
  <c r="Z127" i="278"/>
  <c r="Z71" i="278"/>
  <c r="Z75" i="278" s="1"/>
  <c r="Z183" i="278"/>
  <c r="Z187" i="278" s="1"/>
  <c r="Z128" i="278"/>
  <c r="Z72" i="278"/>
  <c r="AA49" i="277"/>
  <c r="AA48" i="277"/>
  <c r="AA50" i="277"/>
  <c r="AE53" i="277"/>
  <c r="AE192" i="278" s="1"/>
  <c r="AE52" i="277"/>
  <c r="AE191" i="278" s="1"/>
  <c r="AA26" i="277"/>
  <c r="AA27" i="277"/>
  <c r="AA25" i="277"/>
  <c r="Z33" i="277"/>
  <c r="Z173" i="278" s="1"/>
  <c r="Z32" i="271"/>
  <c r="Z172" i="272" s="1"/>
  <c r="Z159" i="272"/>
  <c r="Z55" i="272"/>
  <c r="Z112" i="272"/>
  <c r="Z70" i="272"/>
  <c r="Z126" i="272"/>
  <c r="Z181" i="272"/>
  <c r="Z185" i="272" s="1"/>
  <c r="AD52" i="271"/>
  <c r="AD191" i="272" s="1"/>
  <c r="AD53" i="271"/>
  <c r="AD192" i="272" s="1"/>
  <c r="Z160" i="272"/>
  <c r="Z167" i="272" s="1"/>
  <c r="Z56" i="272"/>
  <c r="Z63" i="272" s="1"/>
  <c r="Z113" i="272"/>
  <c r="Z33" i="271"/>
  <c r="Z173" i="272" s="1"/>
  <c r="Z201" i="272" s="1"/>
  <c r="Z71" i="272"/>
  <c r="Z75" i="272" s="1"/>
  <c r="Z127" i="272"/>
  <c r="Z182" i="272"/>
  <c r="Z186" i="272" s="1"/>
  <c r="AA50" i="271"/>
  <c r="AA49" i="271"/>
  <c r="AA48" i="271"/>
  <c r="Z161" i="272"/>
  <c r="Z168" i="272" s="1"/>
  <c r="Z57" i="272"/>
  <c r="Z64" i="272" s="1"/>
  <c r="Z114" i="272"/>
  <c r="Z72" i="272"/>
  <c r="Z128" i="272"/>
  <c r="Z183" i="272"/>
  <c r="AA26" i="271"/>
  <c r="AA25" i="271"/>
  <c r="AA27" i="271"/>
  <c r="AB14" i="273"/>
  <c r="AB14" i="279"/>
  <c r="Y24" i="270"/>
  <c r="Y74" i="272"/>
  <c r="Y185" i="272"/>
  <c r="Y75" i="272"/>
  <c r="Y186" i="272"/>
  <c r="X66" i="272"/>
  <c r="X85" i="272" s="1"/>
  <c r="Y23" i="270"/>
  <c r="Y75" i="278"/>
  <c r="Y78" i="278" s="1"/>
  <c r="X83" i="272"/>
  <c r="X82" i="272"/>
  <c r="Y185" i="278"/>
  <c r="Y189" i="278" s="1"/>
  <c r="W85" i="278"/>
  <c r="V170" i="269"/>
  <c r="AF2" i="277"/>
  <c r="AC52" i="268"/>
  <c r="AC191" i="269" s="1"/>
  <c r="AC53" i="268"/>
  <c r="AC192" i="269" s="1"/>
  <c r="X170" i="278"/>
  <c r="X202" i="278"/>
  <c r="Y167" i="278"/>
  <c r="Y63" i="278"/>
  <c r="Y201" i="278"/>
  <c r="X200" i="278"/>
  <c r="Y166" i="278"/>
  <c r="AA40" i="273"/>
  <c r="AA31" i="273"/>
  <c r="Y168" i="278"/>
  <c r="Y64" i="278"/>
  <c r="Y63" i="272"/>
  <c r="Y201" i="272"/>
  <c r="Y167" i="272"/>
  <c r="AA47" i="270"/>
  <c r="Y166" i="272"/>
  <c r="Y62" i="272"/>
  <c r="AA31" i="279"/>
  <c r="AA40" i="279"/>
  <c r="Y168" i="272"/>
  <c r="Y64" i="272"/>
  <c r="X62" i="278"/>
  <c r="X83" i="278"/>
  <c r="AD3" i="269"/>
  <c r="X26" i="268"/>
  <c r="X33" i="268" s="1"/>
  <c r="X25" i="268"/>
  <c r="X112" i="269" s="1"/>
  <c r="AE2" i="271"/>
  <c r="Z17" i="268"/>
  <c r="Z18" i="268" s="1"/>
  <c r="Z20" i="268" s="1"/>
  <c r="W112" i="269"/>
  <c r="W159" i="269"/>
  <c r="W166" i="269" s="1"/>
  <c r="W32" i="268"/>
  <c r="W55" i="269"/>
  <c r="W62" i="269" s="1"/>
  <c r="AA60" i="270"/>
  <c r="AA63" i="270" s="1"/>
  <c r="AA40" i="270"/>
  <c r="AA31" i="270"/>
  <c r="W161" i="269"/>
  <c r="W168" i="269" s="1"/>
  <c r="W114" i="269"/>
  <c r="W57" i="269"/>
  <c r="W64" i="269" s="1"/>
  <c r="W160" i="269"/>
  <c r="W167" i="269" s="1"/>
  <c r="W113" i="269"/>
  <c r="W56" i="269"/>
  <c r="W63" i="269" s="1"/>
  <c r="W33" i="268"/>
  <c r="AB14" i="270"/>
  <c r="X161" i="269"/>
  <c r="X168" i="269" s="1"/>
  <c r="X114" i="269"/>
  <c r="X57" i="269"/>
  <c r="X64" i="269" s="1"/>
  <c r="Z55" i="270"/>
  <c r="Z22" i="270" s="1"/>
  <c r="Z66" i="270"/>
  <c r="Z67" i="270" s="1"/>
  <c r="Z72" i="270" s="1"/>
  <c r="AD2" i="268"/>
  <c r="AA2" i="264"/>
  <c r="AA17" i="264" s="1"/>
  <c r="AB27" i="312" l="1"/>
  <c r="Y189" i="320"/>
  <c r="Z66" i="313"/>
  <c r="Z170" i="313"/>
  <c r="Z177" i="313" s="1"/>
  <c r="AA23" i="309"/>
  <c r="AA15" i="310" s="1"/>
  <c r="AF11" i="267"/>
  <c r="AF10" i="267"/>
  <c r="AF12" i="267"/>
  <c r="AD6" i="277" s="1"/>
  <c r="AF7" i="267"/>
  <c r="AF8" i="267"/>
  <c r="AD6" i="268" s="1"/>
  <c r="AF9" i="267"/>
  <c r="AA24" i="309"/>
  <c r="AA16" i="310" s="1"/>
  <c r="AA40" i="310" s="1"/>
  <c r="Y35" i="323"/>
  <c r="AC10" i="324"/>
  <c r="AC16" i="325" s="1"/>
  <c r="AE66" i="267"/>
  <c r="AC10" i="312"/>
  <c r="AC16" i="314" s="1"/>
  <c r="AC10" i="321"/>
  <c r="AC16" i="322" s="1"/>
  <c r="AD101" i="269"/>
  <c r="AD102" i="269"/>
  <c r="AD103" i="269"/>
  <c r="AD100" i="269"/>
  <c r="AD98" i="269"/>
  <c r="AD96" i="269"/>
  <c r="AD92" i="269"/>
  <c r="AD95" i="269"/>
  <c r="AD97" i="269"/>
  <c r="AD90" i="269"/>
  <c r="AD93" i="269"/>
  <c r="AD91" i="269"/>
  <c r="AC10" i="318"/>
  <c r="AC16" i="319" s="1"/>
  <c r="AE61" i="267"/>
  <c r="AF44" i="267"/>
  <c r="AF46" i="267" s="1"/>
  <c r="AF29" i="267"/>
  <c r="AF31" i="267" s="1"/>
  <c r="AF30" i="267"/>
  <c r="AF40" i="267"/>
  <c r="AF45" i="267"/>
  <c r="AF67" i="267" s="1"/>
  <c r="AF39" i="267"/>
  <c r="AF41" i="267" s="1"/>
  <c r="AB41" i="319"/>
  <c r="AB32" i="319"/>
  <c r="AB31" i="309"/>
  <c r="AB40" i="309"/>
  <c r="AB32" i="316"/>
  <c r="AB41" i="316"/>
  <c r="AC11" i="277"/>
  <c r="AC17" i="279" s="1"/>
  <c r="AC11" i="268"/>
  <c r="AC17" i="270" s="1"/>
  <c r="AC11" i="308"/>
  <c r="AC17" i="309" s="1"/>
  <c r="AC11" i="302"/>
  <c r="AC17" i="304" s="1"/>
  <c r="AC11" i="315"/>
  <c r="AC18" i="316" s="1"/>
  <c r="AC11" i="312"/>
  <c r="AC18" i="314" s="1"/>
  <c r="AC11" i="318"/>
  <c r="AC18" i="319" s="1"/>
  <c r="Y202" i="320"/>
  <c r="Y140" i="320"/>
  <c r="Y131" i="320"/>
  <c r="Y143" i="320"/>
  <c r="Y130" i="320"/>
  <c r="Y142" i="320"/>
  <c r="X43" i="323"/>
  <c r="AB60" i="314"/>
  <c r="AB126" i="314" s="1"/>
  <c r="AA160" i="329"/>
  <c r="AA167" i="329" s="1"/>
  <c r="AA33" i="327"/>
  <c r="AA173" i="329" s="1"/>
  <c r="W100" i="260"/>
  <c r="AA113" i="329"/>
  <c r="Z70" i="313"/>
  <c r="AA159" i="329"/>
  <c r="AA166" i="329" s="1"/>
  <c r="AA170" i="329" s="1"/>
  <c r="AA92" i="325"/>
  <c r="X204" i="320"/>
  <c r="Z182" i="313"/>
  <c r="Z186" i="313" s="1"/>
  <c r="AA110" i="328"/>
  <c r="Y196" i="320"/>
  <c r="AA101" i="328"/>
  <c r="AA118" i="328" s="1"/>
  <c r="AA85" i="328" s="1"/>
  <c r="AA29" i="329" s="1"/>
  <c r="AA33" i="329" s="1"/>
  <c r="AA112" i="329"/>
  <c r="AA32" i="327"/>
  <c r="AA172" i="329" s="1"/>
  <c r="AA175" i="329" s="1"/>
  <c r="AA101" i="316"/>
  <c r="AA101" i="319"/>
  <c r="AA118" i="319" s="1"/>
  <c r="AA85" i="319" s="1"/>
  <c r="AA29" i="320" s="1"/>
  <c r="AA33" i="320" s="1"/>
  <c r="AA110" i="316"/>
  <c r="AA110" i="322"/>
  <c r="AC77" i="316"/>
  <c r="AC15" i="316"/>
  <c r="AC77" i="325"/>
  <c r="AC15" i="325"/>
  <c r="AD6" i="327"/>
  <c r="AD6" i="315"/>
  <c r="AD6" i="318"/>
  <c r="AD6" i="321"/>
  <c r="AD6" i="305"/>
  <c r="AD14" i="307" s="1"/>
  <c r="AD6" i="308"/>
  <c r="AD14" i="309" s="1"/>
  <c r="AD6" i="302"/>
  <c r="AD14" i="304" s="1"/>
  <c r="AD6" i="324"/>
  <c r="AD6" i="312"/>
  <c r="AB64" i="314"/>
  <c r="AB129" i="314" s="1"/>
  <c r="AB130" i="314" s="1"/>
  <c r="AB135" i="314" s="1"/>
  <c r="AC77" i="328"/>
  <c r="AC15" i="328"/>
  <c r="AC77" i="322"/>
  <c r="AC15" i="322"/>
  <c r="AC77" i="319"/>
  <c r="AC15" i="319"/>
  <c r="AC77" i="314"/>
  <c r="AC15" i="314"/>
  <c r="AC100" i="320"/>
  <c r="AC101" i="320"/>
  <c r="AC102" i="320"/>
  <c r="AC103" i="320"/>
  <c r="AC91" i="320"/>
  <c r="AC98" i="320"/>
  <c r="AC96" i="320"/>
  <c r="AC92" i="320"/>
  <c r="AC93" i="320"/>
  <c r="AC97" i="320"/>
  <c r="AC95" i="320"/>
  <c r="AC90" i="320"/>
  <c r="AC102" i="278"/>
  <c r="AC103" i="278"/>
  <c r="AC100" i="278"/>
  <c r="AC101" i="278"/>
  <c r="AC93" i="278"/>
  <c r="AC97" i="278"/>
  <c r="AC95" i="278"/>
  <c r="AC90" i="278"/>
  <c r="AC91" i="278"/>
  <c r="AC98" i="278"/>
  <c r="AC92" i="278"/>
  <c r="AC96" i="278"/>
  <c r="AC100" i="323"/>
  <c r="AC101" i="323"/>
  <c r="AC102" i="323"/>
  <c r="AC103" i="323"/>
  <c r="AC97" i="323"/>
  <c r="AC95" i="323"/>
  <c r="AC90" i="323"/>
  <c r="AC91" i="323"/>
  <c r="AC92" i="323"/>
  <c r="AC96" i="323"/>
  <c r="AC93" i="323"/>
  <c r="AC98" i="323"/>
  <c r="AC100" i="329"/>
  <c r="AC101" i="329"/>
  <c r="AC102" i="329"/>
  <c r="AC103" i="329"/>
  <c r="AC93" i="329"/>
  <c r="AC97" i="329"/>
  <c r="AC95" i="329"/>
  <c r="AC98" i="329"/>
  <c r="AC96" i="329"/>
  <c r="AC92" i="329"/>
  <c r="AC91" i="329"/>
  <c r="AC90" i="329"/>
  <c r="AC102" i="313"/>
  <c r="AC100" i="313"/>
  <c r="AC101" i="313"/>
  <c r="AC103" i="313"/>
  <c r="AC98" i="313"/>
  <c r="AC97" i="313"/>
  <c r="AC91" i="313"/>
  <c r="AC96" i="313"/>
  <c r="AC92" i="313"/>
  <c r="AC93" i="313"/>
  <c r="AC95" i="313"/>
  <c r="AC90" i="313"/>
  <c r="AC103" i="317"/>
  <c r="AC100" i="317"/>
  <c r="AC101" i="317"/>
  <c r="AC102" i="317"/>
  <c r="AC97" i="317"/>
  <c r="AC95" i="317"/>
  <c r="AC90" i="317"/>
  <c r="AC91" i="317"/>
  <c r="AC98" i="317"/>
  <c r="AC92" i="317"/>
  <c r="AC96" i="317"/>
  <c r="AC93" i="317"/>
  <c r="AC102" i="272"/>
  <c r="AC103" i="272"/>
  <c r="AC100" i="272"/>
  <c r="AC101" i="272"/>
  <c r="AC97" i="272"/>
  <c r="AC95" i="272"/>
  <c r="AC98" i="272"/>
  <c r="AC92" i="272"/>
  <c r="AC96" i="272"/>
  <c r="AC90" i="272"/>
  <c r="AC93" i="272"/>
  <c r="AC91" i="272"/>
  <c r="AC100" i="326"/>
  <c r="AC101" i="326"/>
  <c r="AC102" i="326"/>
  <c r="AC103" i="326"/>
  <c r="AC97" i="326"/>
  <c r="AC95" i="326"/>
  <c r="AC90" i="326"/>
  <c r="AC91" i="326"/>
  <c r="AC98" i="326"/>
  <c r="AC96" i="326"/>
  <c r="AC92" i="326"/>
  <c r="AC93" i="326"/>
  <c r="Z71" i="317"/>
  <c r="Z75" i="317" s="1"/>
  <c r="Z126" i="313"/>
  <c r="Z181" i="313"/>
  <c r="Z185" i="313" s="1"/>
  <c r="Z143" i="329"/>
  <c r="Z194" i="313"/>
  <c r="Y83" i="326"/>
  <c r="Z127" i="313"/>
  <c r="Z71" i="313"/>
  <c r="Z75" i="313" s="1"/>
  <c r="Z118" i="310"/>
  <c r="Y143" i="326"/>
  <c r="Z143" i="310"/>
  <c r="Z142" i="329"/>
  <c r="Y141" i="326"/>
  <c r="Z133" i="303"/>
  <c r="Z130" i="303"/>
  <c r="Z131" i="303"/>
  <c r="Z132" i="303"/>
  <c r="Z131" i="323"/>
  <c r="Z132" i="323"/>
  <c r="Z133" i="323"/>
  <c r="Z130" i="323"/>
  <c r="Z143" i="320"/>
  <c r="Z119" i="320"/>
  <c r="Z140" i="320"/>
  <c r="Z141" i="320"/>
  <c r="Z116" i="320"/>
  <c r="Z117" i="320"/>
  <c r="Z118" i="320"/>
  <c r="Z142" i="320"/>
  <c r="Z131" i="272"/>
  <c r="Z132" i="272"/>
  <c r="Z130" i="272"/>
  <c r="Z133" i="272"/>
  <c r="Z140" i="329"/>
  <c r="Z117" i="310"/>
  <c r="Z142" i="310"/>
  <c r="Z142" i="278"/>
  <c r="Z118" i="278"/>
  <c r="Z143" i="278"/>
  <c r="Z119" i="278"/>
  <c r="Z140" i="278"/>
  <c r="Z116" i="278"/>
  <c r="Z141" i="278"/>
  <c r="Z117" i="278"/>
  <c r="Z143" i="303"/>
  <c r="Z119" i="303"/>
  <c r="Z117" i="303"/>
  <c r="Z140" i="303"/>
  <c r="Z116" i="303"/>
  <c r="Z141" i="303"/>
  <c r="Z142" i="303"/>
  <c r="Z118" i="303"/>
  <c r="Z142" i="326"/>
  <c r="Z118" i="326"/>
  <c r="Z143" i="326"/>
  <c r="Z119" i="326"/>
  <c r="Z140" i="326"/>
  <c r="Z116" i="326"/>
  <c r="Z117" i="326"/>
  <c r="Z141" i="326"/>
  <c r="W119" i="269"/>
  <c r="W118" i="269"/>
  <c r="W116" i="269"/>
  <c r="W117" i="269"/>
  <c r="Z133" i="320"/>
  <c r="Z131" i="320"/>
  <c r="Z130" i="320"/>
  <c r="Z132" i="320"/>
  <c r="AA118" i="313"/>
  <c r="AA119" i="313"/>
  <c r="AA116" i="313"/>
  <c r="AA117" i="313"/>
  <c r="Z118" i="317"/>
  <c r="Z119" i="317"/>
  <c r="Z116" i="317"/>
  <c r="Z117" i="317"/>
  <c r="Z141" i="323"/>
  <c r="Z117" i="323"/>
  <c r="Z142" i="323"/>
  <c r="Z118" i="323"/>
  <c r="Z143" i="323"/>
  <c r="Z119" i="323"/>
  <c r="Z116" i="323"/>
  <c r="Z140" i="323"/>
  <c r="Y131" i="326"/>
  <c r="Y132" i="326"/>
  <c r="Y133" i="326"/>
  <c r="Y130" i="326"/>
  <c r="Z116" i="310"/>
  <c r="Z141" i="310"/>
  <c r="Y142" i="326"/>
  <c r="Z140" i="272"/>
  <c r="Z141" i="272"/>
  <c r="Z142" i="272"/>
  <c r="Z143" i="272"/>
  <c r="Z118" i="272"/>
  <c r="Z119" i="272"/>
  <c r="Z116" i="272"/>
  <c r="Z117" i="272"/>
  <c r="Z132" i="278"/>
  <c r="Z133" i="278"/>
  <c r="Z130" i="278"/>
  <c r="Z131" i="278"/>
  <c r="Z133" i="306"/>
  <c r="Z131" i="306"/>
  <c r="Z132" i="306"/>
  <c r="Z130" i="306"/>
  <c r="Z143" i="306"/>
  <c r="Z141" i="306"/>
  <c r="Z117" i="306"/>
  <c r="Z140" i="306"/>
  <c r="Z118" i="306"/>
  <c r="Z119" i="306"/>
  <c r="Z142" i="306"/>
  <c r="Z116" i="306"/>
  <c r="Z132" i="326"/>
  <c r="Z133" i="326"/>
  <c r="Z130" i="326"/>
  <c r="Z131" i="326"/>
  <c r="Z132" i="329"/>
  <c r="Z133" i="329"/>
  <c r="Z130" i="329"/>
  <c r="Z131" i="329"/>
  <c r="Z141" i="329"/>
  <c r="Z119" i="310"/>
  <c r="Y202" i="326"/>
  <c r="Z127" i="317"/>
  <c r="Z142" i="317" s="1"/>
  <c r="AA101" i="322"/>
  <c r="AA118" i="322" s="1"/>
  <c r="AA85" i="322" s="1"/>
  <c r="AA29" i="323" s="1"/>
  <c r="AA33" i="323" s="1"/>
  <c r="AA118" i="316"/>
  <c r="AA85" i="316" s="1"/>
  <c r="AA29" i="317" s="1"/>
  <c r="AA33" i="317" s="1"/>
  <c r="AC108" i="272"/>
  <c r="AC106" i="272"/>
  <c r="AC107" i="272"/>
  <c r="AC105" i="272"/>
  <c r="AC106" i="326"/>
  <c r="AC107" i="326"/>
  <c r="AC105" i="326"/>
  <c r="AC108" i="326"/>
  <c r="AC107" i="320"/>
  <c r="AC106" i="320"/>
  <c r="AC105" i="320"/>
  <c r="AC108" i="320"/>
  <c r="AD107" i="269"/>
  <c r="AD105" i="269"/>
  <c r="AD106" i="269"/>
  <c r="AD108" i="269"/>
  <c r="AC107" i="278"/>
  <c r="AC106" i="278"/>
  <c r="AC108" i="278"/>
  <c r="AC105" i="278"/>
  <c r="AC107" i="323"/>
  <c r="AC106" i="323"/>
  <c r="AC105" i="323"/>
  <c r="AC108" i="323"/>
  <c r="AC107" i="329"/>
  <c r="AC105" i="329"/>
  <c r="AC106" i="329"/>
  <c r="AC108" i="329"/>
  <c r="AC107" i="313"/>
  <c r="AC106" i="313"/>
  <c r="AC108" i="313"/>
  <c r="AC105" i="313"/>
  <c r="AC107" i="317"/>
  <c r="AC106" i="317"/>
  <c r="AC105" i="317"/>
  <c r="AC108" i="317"/>
  <c r="AB78" i="319"/>
  <c r="AB101" i="319" s="1"/>
  <c r="AB79" i="319"/>
  <c r="AB78" i="325"/>
  <c r="AB92" i="325" s="1"/>
  <c r="AB79" i="325"/>
  <c r="AB78" i="322"/>
  <c r="AB110" i="322" s="1"/>
  <c r="AB79" i="322"/>
  <c r="Z129" i="314"/>
  <c r="Z130" i="314" s="1"/>
  <c r="Z135" i="314" s="1"/>
  <c r="Z67" i="314"/>
  <c r="Z68" i="314" s="1"/>
  <c r="Z73" i="314" s="1"/>
  <c r="Z25" i="314" s="1"/>
  <c r="Z16" i="313" s="1"/>
  <c r="AB79" i="316"/>
  <c r="AB78" i="316"/>
  <c r="AB92" i="316" s="1"/>
  <c r="AC14" i="327"/>
  <c r="AC16" i="327" s="1"/>
  <c r="AC17" i="327" s="1"/>
  <c r="AC18" i="327" s="1"/>
  <c r="AC20" i="327" s="1"/>
  <c r="AC26" i="327" s="1"/>
  <c r="AC16" i="328"/>
  <c r="AC17" i="328"/>
  <c r="AB78" i="328"/>
  <c r="AB101" i="328" s="1"/>
  <c r="AB79" i="328"/>
  <c r="Z86" i="325"/>
  <c r="Z27" i="326" s="1"/>
  <c r="Z31" i="326" s="1"/>
  <c r="AB79" i="314"/>
  <c r="AB78" i="314"/>
  <c r="AA126" i="314"/>
  <c r="AA64" i="314"/>
  <c r="Y39" i="323"/>
  <c r="Z29" i="326"/>
  <c r="Z33" i="326" s="1"/>
  <c r="Y35" i="329"/>
  <c r="Z183" i="317"/>
  <c r="Z187" i="317" s="1"/>
  <c r="Z189" i="317" s="1"/>
  <c r="Z196" i="317" s="1"/>
  <c r="AA161" i="313"/>
  <c r="AA168" i="313" s="1"/>
  <c r="AA57" i="313"/>
  <c r="AA64" i="313" s="1"/>
  <c r="AA57" i="310"/>
  <c r="AA64" i="310" s="1"/>
  <c r="X41" i="313"/>
  <c r="X101" i="260" s="1"/>
  <c r="X35" i="313"/>
  <c r="X43" i="313" s="1"/>
  <c r="Z72" i="317"/>
  <c r="Z76" i="317" s="1"/>
  <c r="AA56" i="313"/>
  <c r="AA63" i="313" s="1"/>
  <c r="X39" i="313"/>
  <c r="Z33" i="323"/>
  <c r="Z41" i="323"/>
  <c r="Y40" i="323"/>
  <c r="Z86" i="322"/>
  <c r="Z27" i="323" s="1"/>
  <c r="Z31" i="323" s="1"/>
  <c r="Y41" i="313"/>
  <c r="Y40" i="313"/>
  <c r="Z118" i="314"/>
  <c r="Z85" i="314" s="1"/>
  <c r="Z29" i="313" s="1"/>
  <c r="Z33" i="313" s="1"/>
  <c r="Y40" i="329"/>
  <c r="AB40" i="327"/>
  <c r="AB42" i="327" s="1"/>
  <c r="AB43" i="327" s="1"/>
  <c r="AB44" i="327" s="1"/>
  <c r="AB46" i="327" s="1"/>
  <c r="AB49" i="327" s="1"/>
  <c r="AB40" i="321"/>
  <c r="AB42" i="321" s="1"/>
  <c r="AB43" i="321" s="1"/>
  <c r="AB44" i="321" s="1"/>
  <c r="AB46" i="321" s="1"/>
  <c r="AB50" i="321" s="1"/>
  <c r="Y23" i="320"/>
  <c r="Y32" i="320"/>
  <c r="Y40" i="320"/>
  <c r="Z201" i="320"/>
  <c r="Y39" i="320"/>
  <c r="AC16" i="316"/>
  <c r="AC17" i="316"/>
  <c r="AC17" i="314"/>
  <c r="AC122" i="314" s="1"/>
  <c r="Z24" i="314"/>
  <c r="Z15" i="313" s="1"/>
  <c r="Z19" i="313" s="1"/>
  <c r="AC15" i="279"/>
  <c r="AC16" i="309"/>
  <c r="AC59" i="309" s="1"/>
  <c r="AC15" i="309"/>
  <c r="AC38" i="309" s="1"/>
  <c r="AC16" i="307"/>
  <c r="AC59" i="307" s="1"/>
  <c r="AC15" i="307"/>
  <c r="AC16" i="304"/>
  <c r="AC59" i="304" s="1"/>
  <c r="AC15" i="304"/>
  <c r="AC47" i="304" s="1"/>
  <c r="Y204" i="310"/>
  <c r="X35" i="317"/>
  <c r="AC150" i="326"/>
  <c r="AC151" i="326"/>
  <c r="AC150" i="323"/>
  <c r="AC151" i="323"/>
  <c r="AC150" i="320"/>
  <c r="AC151" i="320"/>
  <c r="AC151" i="317"/>
  <c r="AC150" i="317"/>
  <c r="AC150" i="313"/>
  <c r="AC151" i="313"/>
  <c r="AC151" i="278"/>
  <c r="AC150" i="278"/>
  <c r="AC150" i="272"/>
  <c r="AC151" i="272"/>
  <c r="AD151" i="269"/>
  <c r="AD27" i="269"/>
  <c r="AD28" i="269"/>
  <c r="AD32" i="269" s="1"/>
  <c r="AD29" i="269"/>
  <c r="AD33" i="269" s="1"/>
  <c r="AD150" i="269"/>
  <c r="Y40" i="317"/>
  <c r="Y204" i="313"/>
  <c r="Y35" i="326"/>
  <c r="X43" i="320"/>
  <c r="AB39" i="319"/>
  <c r="AB56" i="319" s="1"/>
  <c r="AB23" i="319" s="1"/>
  <c r="AB17" i="320" s="1"/>
  <c r="AB21" i="320" s="1"/>
  <c r="AB30" i="319"/>
  <c r="AB48" i="319"/>
  <c r="Z86" i="328"/>
  <c r="Z27" i="329" s="1"/>
  <c r="Z31" i="329" s="1"/>
  <c r="Z29" i="329"/>
  <c r="Z33" i="329" s="1"/>
  <c r="Z29" i="317"/>
  <c r="Z86" i="316"/>
  <c r="Z27" i="317" s="1"/>
  <c r="Z31" i="317" s="1"/>
  <c r="AB103" i="328"/>
  <c r="AB94" i="328"/>
  <c r="Z129" i="325"/>
  <c r="Z130" i="325" s="1"/>
  <c r="Z135" i="325" s="1"/>
  <c r="Z87" i="325" s="1"/>
  <c r="Z28" i="326" s="1"/>
  <c r="Z32" i="326" s="1"/>
  <c r="Z67" i="325"/>
  <c r="Z68" i="325" s="1"/>
  <c r="Z73" i="325" s="1"/>
  <c r="Z25" i="325" s="1"/>
  <c r="Z16" i="326" s="1"/>
  <c r="Z24" i="325"/>
  <c r="Z15" i="326" s="1"/>
  <c r="AF62" i="267"/>
  <c r="AC84" i="316"/>
  <c r="AC76" i="316"/>
  <c r="AC28" i="316"/>
  <c r="AC22" i="316"/>
  <c r="AC90" i="316"/>
  <c r="AB122" i="316"/>
  <c r="AB60" i="316"/>
  <c r="AA118" i="325"/>
  <c r="AA85" i="325" s="1"/>
  <c r="AA126" i="325"/>
  <c r="AA64" i="325"/>
  <c r="Z129" i="322"/>
  <c r="Z130" i="322" s="1"/>
  <c r="Z135" i="322" s="1"/>
  <c r="Z87" i="322" s="1"/>
  <c r="Z28" i="323" s="1"/>
  <c r="Z32" i="323" s="1"/>
  <c r="Z67" i="322"/>
  <c r="Z68" i="322" s="1"/>
  <c r="Z73" i="322" s="1"/>
  <c r="Z25" i="322" s="1"/>
  <c r="Z16" i="323" s="1"/>
  <c r="Z20" i="323" s="1"/>
  <c r="Z24" i="322"/>
  <c r="Z15" i="323" s="1"/>
  <c r="Z19" i="323" s="1"/>
  <c r="AA126" i="328"/>
  <c r="AA64" i="328"/>
  <c r="Z129" i="328"/>
  <c r="Z130" i="328" s="1"/>
  <c r="Z135" i="328" s="1"/>
  <c r="Z87" i="328" s="1"/>
  <c r="Z28" i="329" s="1"/>
  <c r="Z67" i="328"/>
  <c r="Z68" i="328" s="1"/>
  <c r="Z73" i="328" s="1"/>
  <c r="Z25" i="328" s="1"/>
  <c r="Z16" i="329" s="1"/>
  <c r="Z20" i="329" s="1"/>
  <c r="Z24" i="328"/>
  <c r="Z15" i="329" s="1"/>
  <c r="AB103" i="322"/>
  <c r="AB94" i="322"/>
  <c r="Y33" i="317"/>
  <c r="Y35" i="317" s="1"/>
  <c r="Y41" i="317"/>
  <c r="Y33" i="320"/>
  <c r="Y41" i="320"/>
  <c r="AB103" i="325"/>
  <c r="AB94" i="325"/>
  <c r="AC84" i="322"/>
  <c r="AC90" i="322"/>
  <c r="AC76" i="322"/>
  <c r="AC22" i="322"/>
  <c r="AC28" i="322"/>
  <c r="AB48" i="316"/>
  <c r="AB30" i="316"/>
  <c r="AB56" i="316" s="1"/>
  <c r="AB23" i="316" s="1"/>
  <c r="AB17" i="317" s="1"/>
  <c r="AB21" i="317" s="1"/>
  <c r="AB39" i="316"/>
  <c r="Z29" i="320"/>
  <c r="Z86" i="319"/>
  <c r="Z27" i="320" s="1"/>
  <c r="Z31" i="320" s="1"/>
  <c r="AA126" i="316"/>
  <c r="AA64" i="316"/>
  <c r="AC90" i="325"/>
  <c r="AC22" i="325"/>
  <c r="AC28" i="325"/>
  <c r="AC84" i="325"/>
  <c r="AC76" i="325"/>
  <c r="AB39" i="322"/>
  <c r="AB56" i="322" s="1"/>
  <c r="AB23" i="322" s="1"/>
  <c r="AB17" i="323" s="1"/>
  <c r="AB21" i="323" s="1"/>
  <c r="AB48" i="322"/>
  <c r="AB30" i="322"/>
  <c r="AA126" i="322"/>
  <c r="AA64" i="322"/>
  <c r="AB103" i="316"/>
  <c r="AB94" i="316"/>
  <c r="Z129" i="319"/>
  <c r="Z130" i="319" s="1"/>
  <c r="Z135" i="319" s="1"/>
  <c r="Z87" i="319" s="1"/>
  <c r="Z28" i="320" s="1"/>
  <c r="Z67" i="319"/>
  <c r="Z68" i="319" s="1"/>
  <c r="Z73" i="319" s="1"/>
  <c r="Z25" i="319" s="1"/>
  <c r="Z16" i="320" s="1"/>
  <c r="Z20" i="320" s="1"/>
  <c r="Z24" i="319"/>
  <c r="Z15" i="320" s="1"/>
  <c r="Z19" i="320" s="1"/>
  <c r="AC32" i="322"/>
  <c r="AC41" i="322"/>
  <c r="AA64" i="319"/>
  <c r="AA126" i="319"/>
  <c r="AC38" i="327"/>
  <c r="AC80" i="328" s="1"/>
  <c r="AC38" i="321"/>
  <c r="AC80" i="322" s="1"/>
  <c r="AC38" i="324"/>
  <c r="AC80" i="325" s="1"/>
  <c r="AC84" i="319"/>
  <c r="AC76" i="319"/>
  <c r="AC90" i="319"/>
  <c r="AC22" i="319"/>
  <c r="AC28" i="319"/>
  <c r="AC22" i="328"/>
  <c r="AC90" i="328"/>
  <c r="AC84" i="328"/>
  <c r="AC76" i="328"/>
  <c r="AC28" i="328"/>
  <c r="AA30" i="325"/>
  <c r="AA48" i="325"/>
  <c r="AA39" i="325"/>
  <c r="AA56" i="325" s="1"/>
  <c r="AA23" i="325" s="1"/>
  <c r="AB122" i="325"/>
  <c r="AB60" i="325"/>
  <c r="AB122" i="319"/>
  <c r="AB60" i="319"/>
  <c r="AC32" i="325"/>
  <c r="AC41" i="325"/>
  <c r="AB110" i="319"/>
  <c r="Z67" i="316"/>
  <c r="Z68" i="316" s="1"/>
  <c r="Z73" i="316" s="1"/>
  <c r="Z25" i="316" s="1"/>
  <c r="Z16" i="317" s="1"/>
  <c r="Z20" i="317" s="1"/>
  <c r="Z129" i="316"/>
  <c r="Z130" i="316" s="1"/>
  <c r="Z135" i="316" s="1"/>
  <c r="Z87" i="316" s="1"/>
  <c r="Z28" i="317" s="1"/>
  <c r="Z24" i="316"/>
  <c r="Z15" i="317" s="1"/>
  <c r="AB103" i="319"/>
  <c r="AB94" i="319"/>
  <c r="AE68" i="267"/>
  <c r="AC37" i="321"/>
  <c r="AC40" i="321" s="1"/>
  <c r="AC42" i="321" s="1"/>
  <c r="AC43" i="321" s="1"/>
  <c r="AC44" i="321" s="1"/>
  <c r="AC46" i="321" s="1"/>
  <c r="AC37" i="324"/>
  <c r="AC37" i="327"/>
  <c r="AB60" i="322"/>
  <c r="AB122" i="322"/>
  <c r="AA48" i="328"/>
  <c r="AA39" i="328"/>
  <c r="AA56" i="328" s="1"/>
  <c r="AA23" i="328" s="1"/>
  <c r="AA30" i="328"/>
  <c r="AB122" i="328"/>
  <c r="AB60" i="328"/>
  <c r="AC32" i="328"/>
  <c r="AC41" i="328"/>
  <c r="AD11" i="327"/>
  <c r="AD18" i="328" s="1"/>
  <c r="AB101" i="322"/>
  <c r="AC38" i="318"/>
  <c r="AC80" i="319" s="1"/>
  <c r="AC38" i="315"/>
  <c r="AC80" i="316" s="1"/>
  <c r="AC38" i="312"/>
  <c r="AC80" i="314" s="1"/>
  <c r="Y204" i="329"/>
  <c r="Z201" i="313"/>
  <c r="Y39" i="313"/>
  <c r="Z201" i="329"/>
  <c r="AA53" i="312"/>
  <c r="AA192" i="313" s="1"/>
  <c r="AA194" i="313" s="1"/>
  <c r="AA53" i="318"/>
  <c r="AA192" i="320" s="1"/>
  <c r="AA194" i="320" s="1"/>
  <c r="AA53" i="327"/>
  <c r="AA192" i="329" s="1"/>
  <c r="AA194" i="329" s="1"/>
  <c r="AA160" i="313"/>
  <c r="AA167" i="313" s="1"/>
  <c r="AA33" i="312"/>
  <c r="AA173" i="313" s="1"/>
  <c r="AA175" i="313" s="1"/>
  <c r="V112" i="260"/>
  <c r="AA200" i="313"/>
  <c r="Y35" i="313"/>
  <c r="AC14" i="312"/>
  <c r="AC16" i="312" s="1"/>
  <c r="AC17" i="312" s="1"/>
  <c r="AC18" i="312" s="1"/>
  <c r="AC20" i="312" s="1"/>
  <c r="AC27" i="312" s="1"/>
  <c r="Y177" i="320"/>
  <c r="Y204" i="320" s="1"/>
  <c r="AD10" i="318"/>
  <c r="AD16" i="319" s="1"/>
  <c r="AD10" i="312"/>
  <c r="AF61" i="267"/>
  <c r="AF63" i="267" s="1"/>
  <c r="AD10" i="315"/>
  <c r="AC37" i="315"/>
  <c r="AC37" i="318"/>
  <c r="AC40" i="318" s="1"/>
  <c r="AC42" i="318" s="1"/>
  <c r="AC43" i="318" s="1"/>
  <c r="AC44" i="318" s="1"/>
  <c r="AC46" i="318" s="1"/>
  <c r="AC37" i="312"/>
  <c r="AC40" i="312" s="1"/>
  <c r="AC42" i="312" s="1"/>
  <c r="AC43" i="312" s="1"/>
  <c r="AC44" i="312" s="1"/>
  <c r="AC46" i="312" s="1"/>
  <c r="AA103" i="314"/>
  <c r="AA94" i="314"/>
  <c r="AE63" i="267"/>
  <c r="AB103" i="314"/>
  <c r="AB94" i="314"/>
  <c r="AC32" i="314"/>
  <c r="AA101" i="314"/>
  <c r="AA92" i="314"/>
  <c r="AA110" i="314"/>
  <c r="AC76" i="314"/>
  <c r="AC84" i="314"/>
  <c r="AC90" i="314"/>
  <c r="AA23" i="314"/>
  <c r="AA17" i="313" s="1"/>
  <c r="AB25" i="308"/>
  <c r="AB112" i="310" s="1"/>
  <c r="AA161" i="310"/>
  <c r="AA168" i="310" s="1"/>
  <c r="Z189" i="310"/>
  <c r="Z196" i="310" s="1"/>
  <c r="Z78" i="310"/>
  <c r="Z170" i="317"/>
  <c r="Y177" i="323"/>
  <c r="Y204" i="323" s="1"/>
  <c r="Z177" i="329"/>
  <c r="Y177" i="326"/>
  <c r="Y204" i="326" s="1"/>
  <c r="Z202" i="310"/>
  <c r="Z170" i="326"/>
  <c r="Z66" i="317"/>
  <c r="Y23" i="323"/>
  <c r="Y43" i="323" s="1"/>
  <c r="AA66" i="329"/>
  <c r="AA159" i="323"/>
  <c r="AA166" i="323" s="1"/>
  <c r="AA32" i="321"/>
  <c r="AA172" i="323" s="1"/>
  <c r="AA55" i="323"/>
  <c r="AA62" i="323" s="1"/>
  <c r="AA112" i="323"/>
  <c r="AB25" i="324"/>
  <c r="AB27" i="324"/>
  <c r="AB26" i="324"/>
  <c r="AA57" i="317"/>
  <c r="AA64" i="317" s="1"/>
  <c r="AA114" i="317"/>
  <c r="AA161" i="317"/>
  <c r="AA168" i="317" s="1"/>
  <c r="AA114" i="320"/>
  <c r="AA57" i="320"/>
  <c r="AA64" i="320" s="1"/>
  <c r="AA161" i="320"/>
  <c r="AA168" i="320" s="1"/>
  <c r="AA114" i="323"/>
  <c r="AA57" i="323"/>
  <c r="AA64" i="323" s="1"/>
  <c r="AA161" i="323"/>
  <c r="AA168" i="323" s="1"/>
  <c r="Z200" i="320"/>
  <c r="Z175" i="320"/>
  <c r="Y19" i="329"/>
  <c r="Y39" i="329"/>
  <c r="AB25" i="318"/>
  <c r="AB26" i="318"/>
  <c r="AB27" i="318"/>
  <c r="AA55" i="320"/>
  <c r="AA62" i="320" s="1"/>
  <c r="AA112" i="320"/>
  <c r="AA159" i="320"/>
  <c r="AA166" i="320" s="1"/>
  <c r="AA32" i="318"/>
  <c r="AA172" i="320" s="1"/>
  <c r="AB112" i="329"/>
  <c r="AB159" i="329"/>
  <c r="AB166" i="329" s="1"/>
  <c r="AB55" i="329"/>
  <c r="AB62" i="329" s="1"/>
  <c r="AB32" i="327"/>
  <c r="AB172" i="329" s="1"/>
  <c r="AB25" i="315"/>
  <c r="AB27" i="315"/>
  <c r="AB26" i="315"/>
  <c r="AC14" i="315"/>
  <c r="AC16" i="315" s="1"/>
  <c r="AC17" i="315" s="1"/>
  <c r="AC18" i="315" s="1"/>
  <c r="AC20" i="315" s="1"/>
  <c r="Z17" i="326"/>
  <c r="Y21" i="329"/>
  <c r="Y41" i="329"/>
  <c r="Z170" i="323"/>
  <c r="AA113" i="320"/>
  <c r="AA56" i="320"/>
  <c r="AA63" i="320" s="1"/>
  <c r="AA33" i="318"/>
  <c r="AA173" i="320" s="1"/>
  <c r="AA160" i="320"/>
  <c r="AA167" i="320" s="1"/>
  <c r="AA160" i="323"/>
  <c r="AA167" i="323" s="1"/>
  <c r="AA33" i="321"/>
  <c r="AA173" i="323" s="1"/>
  <c r="AA201" i="323" s="1"/>
  <c r="AA113" i="323"/>
  <c r="AA56" i="323"/>
  <c r="AA63" i="323" s="1"/>
  <c r="Z170" i="320"/>
  <c r="Z170" i="310"/>
  <c r="Z200" i="326"/>
  <c r="Z175" i="326"/>
  <c r="AB56" i="329"/>
  <c r="AB63" i="329" s="1"/>
  <c r="AB113" i="329"/>
  <c r="AB160" i="329"/>
  <c r="AB167" i="329" s="1"/>
  <c r="AB33" i="327"/>
  <c r="AB173" i="329" s="1"/>
  <c r="Z17" i="329"/>
  <c r="Y19" i="326"/>
  <c r="Y39" i="326"/>
  <c r="AC17" i="319"/>
  <c r="AC14" i="318"/>
  <c r="AC16" i="318" s="1"/>
  <c r="AC17" i="318" s="1"/>
  <c r="AC18" i="318" s="1"/>
  <c r="AC20" i="318" s="1"/>
  <c r="X23" i="326"/>
  <c r="X43" i="326" s="1"/>
  <c r="AB33" i="312"/>
  <c r="AB173" i="313" s="1"/>
  <c r="AB160" i="313"/>
  <c r="AB167" i="313" s="1"/>
  <c r="AB113" i="313"/>
  <c r="AB56" i="313"/>
  <c r="AB63" i="313" s="1"/>
  <c r="X23" i="329"/>
  <c r="X43" i="329" s="1"/>
  <c r="AC14" i="321"/>
  <c r="AC16" i="321" s="1"/>
  <c r="AC17" i="321" s="1"/>
  <c r="AC18" i="321" s="1"/>
  <c r="AC20" i="321" s="1"/>
  <c r="AC17" i="322"/>
  <c r="AA113" i="317"/>
  <c r="AA33" i="315"/>
  <c r="AA173" i="317" s="1"/>
  <c r="AA201" i="317" s="1"/>
  <c r="AA160" i="317"/>
  <c r="AA167" i="317" s="1"/>
  <c r="AA56" i="317"/>
  <c r="AA63" i="317" s="1"/>
  <c r="Z175" i="310"/>
  <c r="AB27" i="321"/>
  <c r="AB25" i="321"/>
  <c r="AB26" i="321"/>
  <c r="AB114" i="329"/>
  <c r="AB161" i="329"/>
  <c r="AB168" i="329" s="1"/>
  <c r="AB57" i="329"/>
  <c r="AB64" i="329" s="1"/>
  <c r="Y21" i="326"/>
  <c r="Y41" i="326"/>
  <c r="AC17" i="325"/>
  <c r="AC14" i="324"/>
  <c r="AC16" i="324" s="1"/>
  <c r="AC17" i="324" s="1"/>
  <c r="AC18" i="324" s="1"/>
  <c r="AC20" i="324" s="1"/>
  <c r="Z66" i="323"/>
  <c r="Y177" i="317"/>
  <c r="Y204" i="317" s="1"/>
  <c r="AB114" i="313"/>
  <c r="AB57" i="313"/>
  <c r="AB64" i="313" s="1"/>
  <c r="AB161" i="313"/>
  <c r="AB168" i="313" s="1"/>
  <c r="Z66" i="320"/>
  <c r="AA159" i="326"/>
  <c r="AA166" i="326" s="1"/>
  <c r="AA32" i="324"/>
  <c r="AA172" i="326" s="1"/>
  <c r="AA112" i="326"/>
  <c r="AA55" i="326"/>
  <c r="AA62" i="326" s="1"/>
  <c r="AA55" i="317"/>
  <c r="AA62" i="317" s="1"/>
  <c r="AA112" i="317"/>
  <c r="AA32" i="315"/>
  <c r="AA172" i="317" s="1"/>
  <c r="AA159" i="317"/>
  <c r="AA166" i="317" s="1"/>
  <c r="AA161" i="326"/>
  <c r="AA168" i="326" s="1"/>
  <c r="AA114" i="326"/>
  <c r="AA57" i="326"/>
  <c r="AA64" i="326" s="1"/>
  <c r="Z66" i="326"/>
  <c r="Z200" i="317"/>
  <c r="Z175" i="317"/>
  <c r="Y20" i="326"/>
  <c r="Y40" i="326"/>
  <c r="Z200" i="323"/>
  <c r="Z175" i="323"/>
  <c r="AB159" i="313"/>
  <c r="AB166" i="313" s="1"/>
  <c r="AB32" i="312"/>
  <c r="AB172" i="313" s="1"/>
  <c r="AB112" i="313"/>
  <c r="AB55" i="313"/>
  <c r="AB62" i="313" s="1"/>
  <c r="AA113" i="326"/>
  <c r="AA56" i="326"/>
  <c r="AA63" i="326" s="1"/>
  <c r="AA160" i="326"/>
  <c r="AA167" i="326" s="1"/>
  <c r="AA33" i="324"/>
  <c r="AA173" i="326" s="1"/>
  <c r="AA201" i="326" s="1"/>
  <c r="Y23" i="313"/>
  <c r="AC41" i="314"/>
  <c r="Z21" i="313"/>
  <c r="AB39" i="314"/>
  <c r="AB48" i="314"/>
  <c r="AB30" i="314"/>
  <c r="AB56" i="314" s="1"/>
  <c r="AC14" i="308"/>
  <c r="AC16" i="308" s="1"/>
  <c r="AC17" i="308" s="1"/>
  <c r="AC18" i="308" s="1"/>
  <c r="AC20" i="308" s="1"/>
  <c r="AC26" i="308" s="1"/>
  <c r="AB26" i="308"/>
  <c r="AB56" i="310" s="1"/>
  <c r="AB63" i="310" s="1"/>
  <c r="AA33" i="308"/>
  <c r="AA173" i="310" s="1"/>
  <c r="AA201" i="310" s="1"/>
  <c r="AA126" i="317"/>
  <c r="AA70" i="317"/>
  <c r="AA181" i="317"/>
  <c r="AA185" i="317" s="1"/>
  <c r="AA181" i="313"/>
  <c r="AA185" i="313" s="1"/>
  <c r="AA126" i="313"/>
  <c r="AA70" i="313"/>
  <c r="AC150" i="329"/>
  <c r="AC151" i="329"/>
  <c r="AB50" i="318"/>
  <c r="AB49" i="318"/>
  <c r="AB48" i="318"/>
  <c r="AB52" i="318" s="1"/>
  <c r="AB191" i="320" s="1"/>
  <c r="Z189" i="329"/>
  <c r="Z196" i="329" s="1"/>
  <c r="Z202" i="329"/>
  <c r="Y78" i="313"/>
  <c r="Y85" i="313" s="1"/>
  <c r="Y82" i="313"/>
  <c r="AC14" i="325"/>
  <c r="AB194" i="323"/>
  <c r="AA72" i="326"/>
  <c r="AA76" i="326" s="1"/>
  <c r="AA183" i="326"/>
  <c r="AA187" i="326" s="1"/>
  <c r="AA128" i="326"/>
  <c r="AD3" i="329"/>
  <c r="AD1" i="328"/>
  <c r="AD3" i="326"/>
  <c r="AD1" i="325"/>
  <c r="AD3" i="323"/>
  <c r="AD3" i="320"/>
  <c r="AD1" i="322"/>
  <c r="AD1" i="319"/>
  <c r="AD1" i="316"/>
  <c r="AD3" i="317"/>
  <c r="AD3" i="313"/>
  <c r="AD1" i="314"/>
  <c r="Y78" i="329"/>
  <c r="Y85" i="329" s="1"/>
  <c r="Y82" i="329"/>
  <c r="AC28" i="314"/>
  <c r="AC22" i="314"/>
  <c r="AC14" i="314"/>
  <c r="Y78" i="323"/>
  <c r="Y85" i="323" s="1"/>
  <c r="Y82" i="323"/>
  <c r="AB50" i="324"/>
  <c r="AB49" i="324"/>
  <c r="AB48" i="324"/>
  <c r="AA70" i="320"/>
  <c r="AA181" i="320"/>
  <c r="AA185" i="320" s="1"/>
  <c r="AA126" i="320"/>
  <c r="AC14" i="319"/>
  <c r="AC14" i="328"/>
  <c r="Z189" i="326"/>
  <c r="Z196" i="326" s="1"/>
  <c r="Z202" i="326"/>
  <c r="AA127" i="320"/>
  <c r="AA71" i="320"/>
  <c r="AA75" i="320" s="1"/>
  <c r="AA182" i="320"/>
  <c r="AA186" i="320" s="1"/>
  <c r="AA127" i="303"/>
  <c r="AA132" i="303" s="1"/>
  <c r="AA160" i="310"/>
  <c r="AA167" i="310" s="1"/>
  <c r="AA182" i="323"/>
  <c r="AA186" i="323" s="1"/>
  <c r="AA71" i="323"/>
  <c r="AA75" i="323" s="1"/>
  <c r="AA127" i="323"/>
  <c r="AA182" i="317"/>
  <c r="AA186" i="317" s="1"/>
  <c r="AA71" i="317"/>
  <c r="AA75" i="317" s="1"/>
  <c r="AA127" i="317"/>
  <c r="AA71" i="313"/>
  <c r="AA75" i="313" s="1"/>
  <c r="AA182" i="313"/>
  <c r="AA186" i="313" s="1"/>
  <c r="AA127" i="313"/>
  <c r="Z74" i="326"/>
  <c r="Z83" i="326"/>
  <c r="AA71" i="329"/>
  <c r="AA75" i="329" s="1"/>
  <c r="AA127" i="329"/>
  <c r="AA182" i="329"/>
  <c r="AA186" i="329" s="1"/>
  <c r="Y78" i="320"/>
  <c r="Y85" i="320" s="1"/>
  <c r="Y82" i="320"/>
  <c r="AA183" i="320"/>
  <c r="AA187" i="320" s="1"/>
  <c r="AA72" i="320"/>
  <c r="AA76" i="320" s="1"/>
  <c r="AA128" i="320"/>
  <c r="Z83" i="310"/>
  <c r="AA113" i="310"/>
  <c r="AA183" i="323"/>
  <c r="AA187" i="323" s="1"/>
  <c r="AA128" i="323"/>
  <c r="AA72" i="323"/>
  <c r="AA76" i="323" s="1"/>
  <c r="AA183" i="317"/>
  <c r="AA187" i="317" s="1"/>
  <c r="AA128" i="317"/>
  <c r="AA72" i="317"/>
  <c r="AA76" i="317" s="1"/>
  <c r="Z74" i="313"/>
  <c r="AA183" i="313"/>
  <c r="AA187" i="313" s="1"/>
  <c r="AA128" i="313"/>
  <c r="AA72" i="313"/>
  <c r="AA76" i="313" s="1"/>
  <c r="Z74" i="317"/>
  <c r="AA183" i="329"/>
  <c r="AA187" i="329" s="1"/>
  <c r="AA128" i="329"/>
  <c r="AA72" i="329"/>
  <c r="AA76" i="329" s="1"/>
  <c r="AC14" i="316"/>
  <c r="Z74" i="323"/>
  <c r="Z83" i="323"/>
  <c r="AA181" i="323"/>
  <c r="AA185" i="323" s="1"/>
  <c r="AA126" i="323"/>
  <c r="AA70" i="323"/>
  <c r="AA181" i="329"/>
  <c r="AA185" i="329" s="1"/>
  <c r="AA70" i="329"/>
  <c r="AA126" i="329"/>
  <c r="Z189" i="320"/>
  <c r="Z196" i="320" s="1"/>
  <c r="Z202" i="320"/>
  <c r="Y78" i="326"/>
  <c r="Y85" i="326" s="1"/>
  <c r="Y82" i="326"/>
  <c r="AB49" i="312"/>
  <c r="AB50" i="312"/>
  <c r="AB48" i="312"/>
  <c r="AB52" i="312" s="1"/>
  <c r="AB191" i="313" s="1"/>
  <c r="AB194" i="317"/>
  <c r="AA126" i="326"/>
  <c r="AA181" i="326"/>
  <c r="AA185" i="326" s="1"/>
  <c r="AA70" i="326"/>
  <c r="AB194" i="326"/>
  <c r="AC40" i="324"/>
  <c r="AC42" i="324" s="1"/>
  <c r="AC43" i="324" s="1"/>
  <c r="AC44" i="324" s="1"/>
  <c r="AC46" i="324" s="1"/>
  <c r="Z74" i="320"/>
  <c r="Z83" i="320"/>
  <c r="Y78" i="317"/>
  <c r="Y85" i="317" s="1"/>
  <c r="Y82" i="317"/>
  <c r="AB49" i="315"/>
  <c r="AB48" i="315"/>
  <c r="AB50" i="315"/>
  <c r="Z74" i="329"/>
  <c r="Z83" i="329"/>
  <c r="AC14" i="322"/>
  <c r="Z189" i="323"/>
  <c r="Z196" i="323" s="1"/>
  <c r="Z202" i="323"/>
  <c r="AA71" i="326"/>
  <c r="AA75" i="326" s="1"/>
  <c r="AA127" i="326"/>
  <c r="AA182" i="326"/>
  <c r="AA186" i="326" s="1"/>
  <c r="AA72" i="303"/>
  <c r="AA76" i="303" s="1"/>
  <c r="AA78" i="303" s="1"/>
  <c r="AA183" i="303"/>
  <c r="AA187" i="303" s="1"/>
  <c r="Z66" i="306"/>
  <c r="AA183" i="310"/>
  <c r="AA187" i="310" s="1"/>
  <c r="AA127" i="310"/>
  <c r="AA128" i="310"/>
  <c r="AA182" i="310"/>
  <c r="AA186" i="310" s="1"/>
  <c r="AA70" i="310"/>
  <c r="AA74" i="310" s="1"/>
  <c r="AA78" i="310" s="1"/>
  <c r="AA126" i="310"/>
  <c r="AB48" i="308"/>
  <c r="AB181" i="310" s="1"/>
  <c r="AB185" i="310" s="1"/>
  <c r="AB50" i="308"/>
  <c r="AB72" i="310" s="1"/>
  <c r="AB76" i="310" s="1"/>
  <c r="AB49" i="308"/>
  <c r="AB182" i="310" s="1"/>
  <c r="AB186" i="310" s="1"/>
  <c r="AC63" i="309"/>
  <c r="AC66" i="309" s="1"/>
  <c r="AC67" i="309" s="1"/>
  <c r="AC72" i="309" s="1"/>
  <c r="AB26" i="305"/>
  <c r="AB33" i="305" s="1"/>
  <c r="AB173" i="306" s="1"/>
  <c r="AB201" i="306" s="1"/>
  <c r="Z175" i="306"/>
  <c r="Z177" i="306" s="1"/>
  <c r="AB25" i="305"/>
  <c r="AB32" i="305" s="1"/>
  <c r="AB172" i="306" s="1"/>
  <c r="AB200" i="306" s="1"/>
  <c r="AB114" i="306"/>
  <c r="Z41" i="303"/>
  <c r="Z21" i="303"/>
  <c r="AC38" i="308"/>
  <c r="AC38" i="305"/>
  <c r="AC38" i="268"/>
  <c r="AC38" i="277"/>
  <c r="AC38" i="302"/>
  <c r="AC38" i="271"/>
  <c r="Z78" i="303"/>
  <c r="AC37" i="305"/>
  <c r="AC40" i="305" s="1"/>
  <c r="AC42" i="305" s="1"/>
  <c r="AC43" i="305" s="1"/>
  <c r="AC44" i="305" s="1"/>
  <c r="AC46" i="305" s="1"/>
  <c r="AC37" i="302"/>
  <c r="AC40" i="302" s="1"/>
  <c r="AC42" i="302" s="1"/>
  <c r="AC43" i="302" s="1"/>
  <c r="AC44" i="302" s="1"/>
  <c r="AC46" i="302" s="1"/>
  <c r="AC49" i="302" s="1"/>
  <c r="AC37" i="277"/>
  <c r="AC40" i="277" s="1"/>
  <c r="AC42" i="277" s="1"/>
  <c r="AC43" i="277" s="1"/>
  <c r="AC44" i="277" s="1"/>
  <c r="AC46" i="277" s="1"/>
  <c r="AC37" i="271"/>
  <c r="AC40" i="271" s="1"/>
  <c r="AC42" i="271" s="1"/>
  <c r="AC43" i="271" s="1"/>
  <c r="AC44" i="271" s="1"/>
  <c r="AC46" i="271" s="1"/>
  <c r="AC37" i="308"/>
  <c r="AC40" i="308" s="1"/>
  <c r="AC42" i="308" s="1"/>
  <c r="AC43" i="308" s="1"/>
  <c r="AC44" i="308" s="1"/>
  <c r="AC46" i="308" s="1"/>
  <c r="Y41" i="303"/>
  <c r="Y21" i="303"/>
  <c r="Y39" i="303"/>
  <c r="Y19" i="303"/>
  <c r="AD10" i="277"/>
  <c r="AD10" i="268"/>
  <c r="AD15" i="270" s="1"/>
  <c r="AD10" i="308"/>
  <c r="AD10" i="302"/>
  <c r="AF57" i="267"/>
  <c r="AF52" i="267"/>
  <c r="Z40" i="303"/>
  <c r="Z20" i="303"/>
  <c r="Z39" i="303"/>
  <c r="Z19" i="303"/>
  <c r="Y177" i="306"/>
  <c r="Y204" i="306" s="1"/>
  <c r="Y39" i="272"/>
  <c r="Y19" i="272"/>
  <c r="AC28" i="272"/>
  <c r="AC32" i="272" s="1"/>
  <c r="AC29" i="272"/>
  <c r="AC33" i="272" s="1"/>
  <c r="AC27" i="272"/>
  <c r="AA41" i="306"/>
  <c r="AA21" i="306"/>
  <c r="Z39" i="306"/>
  <c r="Z19" i="306"/>
  <c r="Z40" i="306"/>
  <c r="Z20" i="306"/>
  <c r="AA39" i="310"/>
  <c r="AA19" i="310"/>
  <c r="AA41" i="310"/>
  <c r="AA21" i="310"/>
  <c r="Z39" i="310"/>
  <c r="Z19" i="310"/>
  <c r="Z40" i="310"/>
  <c r="Z20" i="310"/>
  <c r="Z41" i="310"/>
  <c r="Z21" i="310"/>
  <c r="AC27" i="278"/>
  <c r="AC28" i="278"/>
  <c r="AC32" i="278" s="1"/>
  <c r="AC29" i="278"/>
  <c r="AC33" i="278" s="1"/>
  <c r="Y41" i="278"/>
  <c r="Y21" i="278"/>
  <c r="Z41" i="278"/>
  <c r="Z21" i="278"/>
  <c r="X39" i="269"/>
  <c r="X19" i="269"/>
  <c r="Y41" i="269"/>
  <c r="Y21" i="269"/>
  <c r="X40" i="269"/>
  <c r="X100" i="260" s="1"/>
  <c r="X20" i="269"/>
  <c r="AF10" i="272"/>
  <c r="AB9" i="278"/>
  <c r="AA31" i="278"/>
  <c r="AA35" i="278" s="1"/>
  <c r="AE11" i="269"/>
  <c r="AF11" i="278"/>
  <c r="AB9" i="269"/>
  <c r="AA31" i="269"/>
  <c r="AA35" i="269" s="1"/>
  <c r="AF10" i="278"/>
  <c r="AG11" i="310"/>
  <c r="AF33" i="310"/>
  <c r="AF35" i="310" s="1"/>
  <c r="AF11" i="272"/>
  <c r="AE10" i="269"/>
  <c r="AG11" i="303"/>
  <c r="AF33" i="303"/>
  <c r="AF35" i="303" s="1"/>
  <c r="AG11" i="306"/>
  <c r="AF33" i="306"/>
  <c r="AF35" i="306" s="1"/>
  <c r="AB9" i="272"/>
  <c r="AA31" i="272"/>
  <c r="AA35" i="272" s="1"/>
  <c r="Y85" i="306"/>
  <c r="AB57" i="306"/>
  <c r="AB64" i="306" s="1"/>
  <c r="AA182" i="303"/>
  <c r="AA186" i="303" s="1"/>
  <c r="AC27" i="304"/>
  <c r="AA56" i="306"/>
  <c r="AA63" i="306" s="1"/>
  <c r="AA160" i="306"/>
  <c r="AA167" i="306" s="1"/>
  <c r="AA170" i="306" s="1"/>
  <c r="AA33" i="305"/>
  <c r="AA173" i="306" s="1"/>
  <c r="AA201" i="306" s="1"/>
  <c r="W23" i="269"/>
  <c r="W43" i="269" s="1"/>
  <c r="AB38" i="309"/>
  <c r="AB29" i="309"/>
  <c r="AB55" i="309" s="1"/>
  <c r="AB22" i="309" s="1"/>
  <c r="AB17" i="310" s="1"/>
  <c r="Z202" i="303"/>
  <c r="Z170" i="303"/>
  <c r="Z83" i="303"/>
  <c r="AC14" i="277"/>
  <c r="AC16" i="277" s="1"/>
  <c r="AC17" i="277" s="1"/>
  <c r="AC18" i="277" s="1"/>
  <c r="AC20" i="277" s="1"/>
  <c r="AC16" i="279"/>
  <c r="AC59" i="279" s="1"/>
  <c r="AC14" i="271"/>
  <c r="AC16" i="271" s="1"/>
  <c r="AC17" i="271" s="1"/>
  <c r="AC18" i="271" s="1"/>
  <c r="AC20" i="271" s="1"/>
  <c r="AC16" i="273"/>
  <c r="AC59" i="273" s="1"/>
  <c r="AA55" i="304"/>
  <c r="AA22" i="304" s="1"/>
  <c r="AA17" i="303" s="1"/>
  <c r="AB63" i="304"/>
  <c r="AB66" i="304" s="1"/>
  <c r="AB67" i="304" s="1"/>
  <c r="AB72" i="304" s="1"/>
  <c r="Z62" i="303"/>
  <c r="Z82" i="303" s="1"/>
  <c r="AC14" i="268"/>
  <c r="AC16" i="268" s="1"/>
  <c r="AC16" i="270"/>
  <c r="AC59" i="270" s="1"/>
  <c r="AB40" i="304"/>
  <c r="AB31" i="304"/>
  <c r="AB47" i="304"/>
  <c r="AA112" i="303"/>
  <c r="AC194" i="303"/>
  <c r="AA159" i="303"/>
  <c r="AA166" i="303" s="1"/>
  <c r="AA32" i="302"/>
  <c r="AA172" i="303" s="1"/>
  <c r="AB25" i="302"/>
  <c r="AB159" i="303" s="1"/>
  <c r="AB166" i="303" s="1"/>
  <c r="AB26" i="302"/>
  <c r="AB113" i="303" s="1"/>
  <c r="AA23" i="307"/>
  <c r="AA15" i="306" s="1"/>
  <c r="AC14" i="305"/>
  <c r="AC16" i="305" s="1"/>
  <c r="AC17" i="305" s="1"/>
  <c r="AC18" i="305" s="1"/>
  <c r="AC20" i="305" s="1"/>
  <c r="AC25" i="305" s="1"/>
  <c r="AC32" i="305" s="1"/>
  <c r="AC172" i="306" s="1"/>
  <c r="AC200" i="306" s="1"/>
  <c r="AC60" i="307"/>
  <c r="AC21" i="304"/>
  <c r="AC27" i="307"/>
  <c r="AC13" i="307"/>
  <c r="AC21" i="307"/>
  <c r="AC27" i="309"/>
  <c r="AC21" i="309"/>
  <c r="AC13" i="309"/>
  <c r="AA62" i="310"/>
  <c r="AA32" i="305"/>
  <c r="AA172" i="306" s="1"/>
  <c r="AA112" i="306"/>
  <c r="AA55" i="306"/>
  <c r="AA62" i="306" s="1"/>
  <c r="AA160" i="303"/>
  <c r="AA167" i="303" s="1"/>
  <c r="AB48" i="302"/>
  <c r="AB126" i="303" s="1"/>
  <c r="AC194" i="306"/>
  <c r="AB29" i="304"/>
  <c r="V175" i="303"/>
  <c r="V177" i="303" s="1"/>
  <c r="V204" i="303" s="1"/>
  <c r="AA200" i="310"/>
  <c r="AD1" i="304"/>
  <c r="AD27" i="304" s="1"/>
  <c r="AD1" i="309"/>
  <c r="AD1" i="307"/>
  <c r="AC194" i="310"/>
  <c r="AD60" i="309"/>
  <c r="AB29" i="307"/>
  <c r="AB55" i="307" s="1"/>
  <c r="AB22" i="307" s="1"/>
  <c r="AB17" i="306" s="1"/>
  <c r="AB47" i="307"/>
  <c r="AB38" i="307"/>
  <c r="AB114" i="310"/>
  <c r="AB161" i="310"/>
  <c r="AB168" i="310" s="1"/>
  <c r="AB57" i="310"/>
  <c r="AB64" i="310" s="1"/>
  <c r="Z82" i="310"/>
  <c r="Z66" i="310"/>
  <c r="AB66" i="307"/>
  <c r="AB67" i="307" s="1"/>
  <c r="AB72" i="307" s="1"/>
  <c r="AA24" i="307"/>
  <c r="AA16" i="306" s="1"/>
  <c r="AA182" i="306"/>
  <c r="AA186" i="306" s="1"/>
  <c r="AA127" i="306"/>
  <c r="AA71" i="306"/>
  <c r="AA75" i="306" s="1"/>
  <c r="Y23" i="279"/>
  <c r="Y15" i="278" s="1"/>
  <c r="AA70" i="306"/>
  <c r="AA74" i="306" s="1"/>
  <c r="AA126" i="306"/>
  <c r="AA181" i="306"/>
  <c r="AA185" i="306" s="1"/>
  <c r="Z189" i="306"/>
  <c r="Z196" i="306" s="1"/>
  <c r="Z202" i="306"/>
  <c r="Z76" i="306"/>
  <c r="Z83" i="306"/>
  <c r="AA128" i="306"/>
  <c r="AA183" i="306"/>
  <c r="AA187" i="306" s="1"/>
  <c r="AA72" i="306"/>
  <c r="AB49" i="305"/>
  <c r="AB50" i="305"/>
  <c r="AB48" i="305"/>
  <c r="Y16" i="269"/>
  <c r="AC60" i="304"/>
  <c r="AC14" i="302"/>
  <c r="AC16" i="302" s="1"/>
  <c r="AC17" i="302" s="1"/>
  <c r="AC18" i="302" s="1"/>
  <c r="AC20" i="302" s="1"/>
  <c r="AC26" i="302" s="1"/>
  <c r="Z17" i="269"/>
  <c r="X173" i="269"/>
  <c r="X201" i="269" s="1"/>
  <c r="X201" i="303"/>
  <c r="W172" i="269"/>
  <c r="W200" i="269" s="1"/>
  <c r="AA33" i="302"/>
  <c r="AA173" i="303" s="1"/>
  <c r="AB49" i="302"/>
  <c r="AB71" i="303" s="1"/>
  <c r="AB75" i="303" s="1"/>
  <c r="AD10" i="305"/>
  <c r="W173" i="269"/>
  <c r="W201" i="269" s="1"/>
  <c r="W201" i="303"/>
  <c r="AA56" i="303"/>
  <c r="AA63" i="303" s="1"/>
  <c r="V23" i="303"/>
  <c r="V43" i="303" s="1"/>
  <c r="Y15" i="269"/>
  <c r="AB72" i="303"/>
  <c r="AB76" i="303" s="1"/>
  <c r="AB183" i="303"/>
  <c r="AB187" i="303" s="1"/>
  <c r="AB128" i="303"/>
  <c r="AA62" i="303"/>
  <c r="AB161" i="303"/>
  <c r="AB168" i="303" s="1"/>
  <c r="AB114" i="303"/>
  <c r="AB57" i="303"/>
  <c r="AB64" i="303" s="1"/>
  <c r="Y24" i="279"/>
  <c r="Y16" i="278" s="1"/>
  <c r="Y24" i="273"/>
  <c r="Y16" i="272" s="1"/>
  <c r="Y17" i="272"/>
  <c r="Z55" i="273"/>
  <c r="Z22" i="273" s="1"/>
  <c r="Z17" i="272" s="1"/>
  <c r="X23" i="272"/>
  <c r="X43" i="272" s="1"/>
  <c r="AE58" i="267"/>
  <c r="Z24" i="279"/>
  <c r="Z16" i="278" s="1"/>
  <c r="AF56" i="267"/>
  <c r="AD1" i="270"/>
  <c r="AD3" i="272"/>
  <c r="AD3" i="278"/>
  <c r="AD1" i="273"/>
  <c r="AF51" i="267"/>
  <c r="AD1" i="279"/>
  <c r="AG2" i="267"/>
  <c r="AC13" i="279"/>
  <c r="AC21" i="279"/>
  <c r="AC27" i="279"/>
  <c r="AE53" i="267"/>
  <c r="AC37" i="268"/>
  <c r="AC40" i="268" s="1"/>
  <c r="AC42" i="268" s="1"/>
  <c r="AC13" i="270"/>
  <c r="AC21" i="270"/>
  <c r="AC27" i="270"/>
  <c r="AC21" i="273"/>
  <c r="AC13" i="273"/>
  <c r="AC27" i="273"/>
  <c r="AA38" i="273"/>
  <c r="AA55" i="273" s="1"/>
  <c r="AA22" i="273" s="1"/>
  <c r="AA17" i="272" s="1"/>
  <c r="AA47" i="273"/>
  <c r="X23" i="278"/>
  <c r="X43" i="278" s="1"/>
  <c r="AA66" i="279"/>
  <c r="AA67" i="279" s="1"/>
  <c r="AA72" i="279" s="1"/>
  <c r="AA47" i="279"/>
  <c r="AD10" i="271"/>
  <c r="AD15" i="273" s="1"/>
  <c r="AB29" i="273"/>
  <c r="AB60" i="273"/>
  <c r="AB63" i="273" s="1"/>
  <c r="AB66" i="273" s="1"/>
  <c r="AB67" i="273" s="1"/>
  <c r="AB72" i="273" s="1"/>
  <c r="AB47" i="279"/>
  <c r="AB60" i="279"/>
  <c r="AB63" i="279" s="1"/>
  <c r="AB66" i="279" s="1"/>
  <c r="AB67" i="279" s="1"/>
  <c r="AB72" i="279" s="1"/>
  <c r="Z23" i="279"/>
  <c r="Z15" i="278" s="1"/>
  <c r="AA29" i="279"/>
  <c r="AA32" i="277"/>
  <c r="AA172" i="278" s="1"/>
  <c r="AA159" i="278"/>
  <c r="AA55" i="278"/>
  <c r="AA112" i="278"/>
  <c r="AA70" i="278"/>
  <c r="AA181" i="278"/>
  <c r="AA126" i="278"/>
  <c r="AA161" i="278"/>
  <c r="AA114" i="278"/>
  <c r="AA57" i="278"/>
  <c r="AA71" i="278"/>
  <c r="AA182" i="278"/>
  <c r="AA127" i="278"/>
  <c r="AA33" i="277"/>
  <c r="AA173" i="278" s="1"/>
  <c r="AA160" i="278"/>
  <c r="AA113" i="278"/>
  <c r="AA56" i="278"/>
  <c r="AA72" i="278"/>
  <c r="AA183" i="278"/>
  <c r="AA128" i="278"/>
  <c r="AB49" i="277"/>
  <c r="AB50" i="277"/>
  <c r="AB48" i="277"/>
  <c r="AB27" i="277"/>
  <c r="AB26" i="277"/>
  <c r="AB25" i="277"/>
  <c r="AF52" i="277"/>
  <c r="AF191" i="278" s="1"/>
  <c r="AF53" i="277"/>
  <c r="AF192" i="278" s="1"/>
  <c r="AA114" i="272"/>
  <c r="AA161" i="272"/>
  <c r="AA57" i="272"/>
  <c r="AA32" i="271"/>
  <c r="AA172" i="272" s="1"/>
  <c r="AA112" i="272"/>
  <c r="AA159" i="272"/>
  <c r="AA55" i="272"/>
  <c r="AA62" i="272" s="1"/>
  <c r="AA70" i="272"/>
  <c r="AA74" i="272" s="1"/>
  <c r="AA126" i="272"/>
  <c r="AA181" i="272"/>
  <c r="AA185" i="272" s="1"/>
  <c r="AA33" i="271"/>
  <c r="AA173" i="272" s="1"/>
  <c r="AA113" i="272"/>
  <c r="AA160" i="272"/>
  <c r="AA167" i="272" s="1"/>
  <c r="AA56" i="272"/>
  <c r="AA63" i="272" s="1"/>
  <c r="AA71" i="272"/>
  <c r="AA127" i="272"/>
  <c r="AA182" i="272"/>
  <c r="AE53" i="271"/>
  <c r="AE192" i="272" s="1"/>
  <c r="AE52" i="271"/>
  <c r="AE191" i="272" s="1"/>
  <c r="AA72" i="272"/>
  <c r="AA76" i="272" s="1"/>
  <c r="AA128" i="272"/>
  <c r="AA183" i="272"/>
  <c r="AA187" i="272" s="1"/>
  <c r="AB49" i="271"/>
  <c r="AB48" i="271"/>
  <c r="AB50" i="271"/>
  <c r="AB27" i="271"/>
  <c r="AB26" i="271"/>
  <c r="AB25" i="271"/>
  <c r="AC14" i="273"/>
  <c r="AC14" i="279"/>
  <c r="Y189" i="272"/>
  <c r="Z76" i="278"/>
  <c r="AA29" i="270"/>
  <c r="AA38" i="270"/>
  <c r="Z74" i="272"/>
  <c r="Z74" i="278"/>
  <c r="Y202" i="272"/>
  <c r="Z76" i="272"/>
  <c r="Z187" i="272"/>
  <c r="Z189" i="272" s="1"/>
  <c r="Y83" i="272"/>
  <c r="Z166" i="272"/>
  <c r="Z170" i="272" s="1"/>
  <c r="Z62" i="272"/>
  <c r="Z66" i="272" s="1"/>
  <c r="AD6" i="271"/>
  <c r="AF2" i="271"/>
  <c r="AD53" i="268"/>
  <c r="AD192" i="269" s="1"/>
  <c r="AD52" i="268"/>
  <c r="AD191" i="269" s="1"/>
  <c r="AG2" i="277"/>
  <c r="Y170" i="272"/>
  <c r="Y200" i="278"/>
  <c r="Z64" i="278"/>
  <c r="Z168" i="278"/>
  <c r="X66" i="278"/>
  <c r="X85" i="278" s="1"/>
  <c r="X82" i="278"/>
  <c r="Y66" i="272"/>
  <c r="AB31" i="279"/>
  <c r="AB40" i="279"/>
  <c r="Y200" i="272"/>
  <c r="AB31" i="273"/>
  <c r="AB40" i="273"/>
  <c r="Y62" i="278"/>
  <c r="Y83" i="278"/>
  <c r="Z167" i="278"/>
  <c r="Z63" i="278"/>
  <c r="Z201" i="278"/>
  <c r="Y170" i="278"/>
  <c r="Y202" i="278"/>
  <c r="Z166" i="278"/>
  <c r="Z62" i="278"/>
  <c r="Y78" i="272"/>
  <c r="Y82" i="272"/>
  <c r="Z189" i="278"/>
  <c r="X113" i="269"/>
  <c r="X159" i="269"/>
  <c r="X166" i="269" s="1"/>
  <c r="X32" i="268"/>
  <c r="X55" i="269"/>
  <c r="X62" i="269" s="1"/>
  <c r="X160" i="269"/>
  <c r="X167" i="269" s="1"/>
  <c r="X56" i="269"/>
  <c r="X63" i="269" s="1"/>
  <c r="AE3" i="269"/>
  <c r="Z24" i="270"/>
  <c r="W170" i="269"/>
  <c r="AB60" i="270"/>
  <c r="AB63" i="270" s="1"/>
  <c r="W66" i="269"/>
  <c r="Y25" i="268"/>
  <c r="Y27" i="268"/>
  <c r="Y26" i="268"/>
  <c r="AB31" i="270"/>
  <c r="AB40" i="270"/>
  <c r="AB47" i="270"/>
  <c r="AB38" i="270"/>
  <c r="AB29" i="270"/>
  <c r="Z23" i="270"/>
  <c r="AC14" i="270"/>
  <c r="AA17" i="268"/>
  <c r="AA18" i="268" s="1"/>
  <c r="AA20" i="268" s="1"/>
  <c r="AA66" i="270"/>
  <c r="AA67" i="270" s="1"/>
  <c r="AA72" i="270" s="1"/>
  <c r="AE2" i="268"/>
  <c r="AB2" i="264"/>
  <c r="AB17" i="264" s="1"/>
  <c r="AG7" i="267" l="1"/>
  <c r="AG8" i="267"/>
  <c r="AG12" i="267"/>
  <c r="AG10" i="267"/>
  <c r="AE6" i="305" s="1"/>
  <c r="AE14" i="307" s="1"/>
  <c r="AG11" i="267"/>
  <c r="AG9" i="267"/>
  <c r="AA20" i="310"/>
  <c r="AD10" i="321"/>
  <c r="AD16" i="322" s="1"/>
  <c r="AD11" i="321"/>
  <c r="AD18" i="322" s="1"/>
  <c r="AF66" i="267"/>
  <c r="AD10" i="324"/>
  <c r="AD16" i="325" s="1"/>
  <c r="AD11" i="324"/>
  <c r="AD18" i="325" s="1"/>
  <c r="AD32" i="325" s="1"/>
  <c r="AA86" i="322"/>
  <c r="AA27" i="323" s="1"/>
  <c r="AA31" i="323" s="1"/>
  <c r="AC25" i="327"/>
  <c r="AD10" i="327"/>
  <c r="AD14" i="327" s="1"/>
  <c r="AD16" i="327" s="1"/>
  <c r="AD17" i="327" s="1"/>
  <c r="AD18" i="327" s="1"/>
  <c r="AD20" i="327" s="1"/>
  <c r="AE102" i="269"/>
  <c r="AE103" i="269"/>
  <c r="AE101" i="269"/>
  <c r="AE100" i="269"/>
  <c r="AE93" i="269"/>
  <c r="AE97" i="269"/>
  <c r="AE92" i="269"/>
  <c r="AE90" i="269"/>
  <c r="AE96" i="269"/>
  <c r="AE91" i="269"/>
  <c r="AE95" i="269"/>
  <c r="AE98" i="269"/>
  <c r="AD11" i="315"/>
  <c r="AD18" i="316" s="1"/>
  <c r="AD11" i="312"/>
  <c r="AD18" i="314" s="1"/>
  <c r="AD11" i="318"/>
  <c r="AD18" i="319" s="1"/>
  <c r="AC32" i="319"/>
  <c r="AC41" i="319"/>
  <c r="AC31" i="309"/>
  <c r="AC40" i="309"/>
  <c r="AD11" i="302"/>
  <c r="AD17" i="304" s="1"/>
  <c r="AD11" i="277"/>
  <c r="AD17" i="279" s="1"/>
  <c r="AD11" i="268"/>
  <c r="AD17" i="270" s="1"/>
  <c r="AD11" i="308"/>
  <c r="AD17" i="309" s="1"/>
  <c r="AG39" i="267"/>
  <c r="AG41" i="267" s="1"/>
  <c r="AG40" i="267"/>
  <c r="AG62" i="267" s="1"/>
  <c r="AG44" i="267"/>
  <c r="AG46" i="267" s="1"/>
  <c r="AG29" i="267"/>
  <c r="AG31" i="267" s="1"/>
  <c r="AG30" i="267"/>
  <c r="AG45" i="267"/>
  <c r="AE11" i="327" s="1"/>
  <c r="AE18" i="328" s="1"/>
  <c r="AC32" i="316"/>
  <c r="AC41" i="316"/>
  <c r="AB110" i="325"/>
  <c r="Z189" i="313"/>
  <c r="Z196" i="313" s="1"/>
  <c r="Z204" i="313" s="1"/>
  <c r="AB92" i="322"/>
  <c r="AA200" i="329"/>
  <c r="AB92" i="319"/>
  <c r="AA119" i="329"/>
  <c r="Z202" i="313"/>
  <c r="AA118" i="329"/>
  <c r="Z133" i="313"/>
  <c r="AA117" i="329"/>
  <c r="AA116" i="329"/>
  <c r="AB101" i="325"/>
  <c r="AB101" i="316"/>
  <c r="Z140" i="313"/>
  <c r="Z35" i="326"/>
  <c r="AB67" i="314"/>
  <c r="AB68" i="314" s="1"/>
  <c r="AB73" i="314" s="1"/>
  <c r="Z131" i="313"/>
  <c r="AB110" i="328"/>
  <c r="AE6" i="318"/>
  <c r="AE6" i="321"/>
  <c r="AE6" i="324"/>
  <c r="AE6" i="312"/>
  <c r="AE6" i="308"/>
  <c r="AE14" i="309" s="1"/>
  <c r="AE6" i="315"/>
  <c r="AE6" i="327"/>
  <c r="AE6" i="302"/>
  <c r="AE14" i="304" s="1"/>
  <c r="AD77" i="325"/>
  <c r="AD15" i="325"/>
  <c r="AD77" i="322"/>
  <c r="AD15" i="322"/>
  <c r="AD77" i="316"/>
  <c r="AD15" i="316"/>
  <c r="AD77" i="328"/>
  <c r="AD15" i="328"/>
  <c r="Z142" i="313"/>
  <c r="AD77" i="314"/>
  <c r="AD15" i="314"/>
  <c r="AD77" i="319"/>
  <c r="AD15" i="319"/>
  <c r="AD103" i="313"/>
  <c r="AD102" i="313"/>
  <c r="AD100" i="313"/>
  <c r="AD101" i="313"/>
  <c r="AD96" i="313"/>
  <c r="AD92" i="313"/>
  <c r="AD98" i="313"/>
  <c r="AD93" i="313"/>
  <c r="AD95" i="313"/>
  <c r="AD90" i="313"/>
  <c r="AD97" i="313"/>
  <c r="AD91" i="313"/>
  <c r="AD101" i="326"/>
  <c r="AD102" i="326"/>
  <c r="AD103" i="326"/>
  <c r="AD100" i="326"/>
  <c r="AD91" i="326"/>
  <c r="AD98" i="326"/>
  <c r="AD96" i="326"/>
  <c r="AD92" i="326"/>
  <c r="AD93" i="326"/>
  <c r="AD97" i="326"/>
  <c r="AD95" i="326"/>
  <c r="AD90" i="326"/>
  <c r="AD103" i="278"/>
  <c r="AD101" i="278"/>
  <c r="AD102" i="278"/>
  <c r="AD100" i="278"/>
  <c r="AD97" i="278"/>
  <c r="AD95" i="278"/>
  <c r="AD90" i="278"/>
  <c r="AD91" i="278"/>
  <c r="AD98" i="278"/>
  <c r="AD96" i="278"/>
  <c r="AD92" i="278"/>
  <c r="AD93" i="278"/>
  <c r="AD101" i="317"/>
  <c r="AD102" i="317"/>
  <c r="AD103" i="317"/>
  <c r="AD100" i="317"/>
  <c r="AD91" i="317"/>
  <c r="AD98" i="317"/>
  <c r="AD96" i="317"/>
  <c r="AD92" i="317"/>
  <c r="AD95" i="317"/>
  <c r="AD90" i="317"/>
  <c r="AD97" i="317"/>
  <c r="AD93" i="317"/>
  <c r="AD101" i="320"/>
  <c r="AD102" i="320"/>
  <c r="AD103" i="320"/>
  <c r="AD100" i="320"/>
  <c r="AD98" i="320"/>
  <c r="AD96" i="320"/>
  <c r="AD92" i="320"/>
  <c r="AD93" i="320"/>
  <c r="AD97" i="320"/>
  <c r="AD95" i="320"/>
  <c r="AD90" i="320"/>
  <c r="AD91" i="320"/>
  <c r="AD103" i="272"/>
  <c r="AD102" i="272"/>
  <c r="AD100" i="272"/>
  <c r="AD101" i="272"/>
  <c r="AD98" i="272"/>
  <c r="AD96" i="272"/>
  <c r="AD92" i="272"/>
  <c r="AD90" i="272"/>
  <c r="AD93" i="272"/>
  <c r="AD91" i="272"/>
  <c r="AD95" i="272"/>
  <c r="AD97" i="272"/>
  <c r="AD101" i="323"/>
  <c r="AD102" i="323"/>
  <c r="AD103" i="323"/>
  <c r="AD100" i="323"/>
  <c r="AD91" i="323"/>
  <c r="AD98" i="323"/>
  <c r="AD96" i="323"/>
  <c r="AD92" i="323"/>
  <c r="AD97" i="323"/>
  <c r="AD93" i="323"/>
  <c r="AD95" i="323"/>
  <c r="AD90" i="323"/>
  <c r="AD101" i="329"/>
  <c r="AD102" i="329"/>
  <c r="AD100" i="329"/>
  <c r="AD103" i="329"/>
  <c r="AD97" i="329"/>
  <c r="AD95" i="329"/>
  <c r="AD98" i="329"/>
  <c r="AD96" i="329"/>
  <c r="AD93" i="329"/>
  <c r="AD92" i="329"/>
  <c r="AD90" i="329"/>
  <c r="AD91" i="329"/>
  <c r="Z130" i="313"/>
  <c r="Z132" i="313"/>
  <c r="Z141" i="313"/>
  <c r="Z83" i="313"/>
  <c r="Z143" i="313"/>
  <c r="AC60" i="314"/>
  <c r="AC126" i="314" s="1"/>
  <c r="Z132" i="317"/>
  <c r="Z141" i="317"/>
  <c r="AA140" i="329"/>
  <c r="AA143" i="310"/>
  <c r="AA143" i="313"/>
  <c r="Z130" i="317"/>
  <c r="AA131" i="272"/>
  <c r="AA132" i="272"/>
  <c r="AA133" i="272"/>
  <c r="AA130" i="272"/>
  <c r="AA141" i="272"/>
  <c r="AA142" i="272"/>
  <c r="AA143" i="272"/>
  <c r="AA119" i="272"/>
  <c r="AA116" i="272"/>
  <c r="AA140" i="272"/>
  <c r="AA117" i="272"/>
  <c r="AA118" i="272"/>
  <c r="AA140" i="306"/>
  <c r="AA142" i="306"/>
  <c r="AA118" i="306"/>
  <c r="AA119" i="306"/>
  <c r="AA143" i="306"/>
  <c r="AA116" i="306"/>
  <c r="AA141" i="306"/>
  <c r="AA117" i="306"/>
  <c r="AB116" i="329"/>
  <c r="AB117" i="329"/>
  <c r="AB118" i="329"/>
  <c r="AB119" i="329"/>
  <c r="AA130" i="303"/>
  <c r="AA141" i="313"/>
  <c r="AA142" i="310"/>
  <c r="AA118" i="310"/>
  <c r="AA143" i="329"/>
  <c r="AA141" i="329"/>
  <c r="X116" i="269"/>
  <c r="AA143" i="278"/>
  <c r="AA119" i="278"/>
  <c r="AA140" i="278"/>
  <c r="AA141" i="278"/>
  <c r="AA117" i="278"/>
  <c r="AA116" i="278"/>
  <c r="AA142" i="278"/>
  <c r="AA118" i="278"/>
  <c r="AA133" i="326"/>
  <c r="AA130" i="326"/>
  <c r="AA131" i="326"/>
  <c r="AA132" i="326"/>
  <c r="AC27" i="327"/>
  <c r="AC57" i="329" s="1"/>
  <c r="AC64" i="329" s="1"/>
  <c r="AA143" i="326"/>
  <c r="AA119" i="326"/>
  <c r="AA140" i="326"/>
  <c r="AA116" i="326"/>
  <c r="AA141" i="326"/>
  <c r="AA117" i="326"/>
  <c r="AA142" i="326"/>
  <c r="AA118" i="326"/>
  <c r="AA142" i="323"/>
  <c r="AA118" i="323"/>
  <c r="AA143" i="323"/>
  <c r="AA119" i="323"/>
  <c r="AA140" i="323"/>
  <c r="AA116" i="323"/>
  <c r="AA141" i="323"/>
  <c r="AA117" i="323"/>
  <c r="Z131" i="317"/>
  <c r="AA133" i="303"/>
  <c r="Z143" i="317"/>
  <c r="AA117" i="310"/>
  <c r="AA141" i="310"/>
  <c r="AA142" i="329"/>
  <c r="X117" i="269"/>
  <c r="X118" i="269"/>
  <c r="AA133" i="278"/>
  <c r="AA130" i="278"/>
  <c r="AA131" i="278"/>
  <c r="AA132" i="278"/>
  <c r="AA132" i="306"/>
  <c r="AA130" i="306"/>
  <c r="AA133" i="306"/>
  <c r="AA131" i="306"/>
  <c r="AA140" i="303"/>
  <c r="AA116" i="303"/>
  <c r="AA141" i="303"/>
  <c r="AA117" i="303"/>
  <c r="AA118" i="303"/>
  <c r="AA142" i="303"/>
  <c r="AA143" i="303"/>
  <c r="AA119" i="303"/>
  <c r="AA133" i="329"/>
  <c r="AA130" i="329"/>
  <c r="AA131" i="329"/>
  <c r="AA132" i="329"/>
  <c r="AA132" i="323"/>
  <c r="AA133" i="323"/>
  <c r="AA130" i="323"/>
  <c r="AA131" i="323"/>
  <c r="AA130" i="320"/>
  <c r="AA132" i="320"/>
  <c r="AA133" i="320"/>
  <c r="AA131" i="320"/>
  <c r="AA132" i="313"/>
  <c r="AA133" i="313"/>
  <c r="AA130" i="313"/>
  <c r="AA131" i="313"/>
  <c r="AA133" i="317"/>
  <c r="AA130" i="317"/>
  <c r="AA131" i="317"/>
  <c r="AA132" i="317"/>
  <c r="AB119" i="313"/>
  <c r="AB116" i="313"/>
  <c r="AB117" i="313"/>
  <c r="AB118" i="313"/>
  <c r="AA143" i="317"/>
  <c r="AA119" i="317"/>
  <c r="AA140" i="317"/>
  <c r="AA116" i="317"/>
  <c r="AA141" i="317"/>
  <c r="AA117" i="317"/>
  <c r="AA118" i="317"/>
  <c r="AA142" i="317"/>
  <c r="AA131" i="303"/>
  <c r="AA116" i="310"/>
  <c r="AA140" i="310"/>
  <c r="AA133" i="310"/>
  <c r="AA131" i="310"/>
  <c r="AA130" i="310"/>
  <c r="AA132" i="310"/>
  <c r="AA140" i="320"/>
  <c r="AA141" i="320"/>
  <c r="AA142" i="320"/>
  <c r="AA117" i="320"/>
  <c r="AA118" i="320"/>
  <c r="AA143" i="320"/>
  <c r="AA119" i="320"/>
  <c r="AA116" i="320"/>
  <c r="Z133" i="317"/>
  <c r="Z140" i="317"/>
  <c r="AA140" i="313"/>
  <c r="AA142" i="313"/>
  <c r="AA119" i="310"/>
  <c r="X119" i="269"/>
  <c r="AA86" i="316"/>
  <c r="AA27" i="317" s="1"/>
  <c r="AA31" i="317" s="1"/>
  <c r="AD106" i="278"/>
  <c r="AD105" i="278"/>
  <c r="AD108" i="278"/>
  <c r="AD107" i="278"/>
  <c r="AD106" i="313"/>
  <c r="AD107" i="313"/>
  <c r="AD105" i="313"/>
  <c r="AD108" i="313"/>
  <c r="AD105" i="326"/>
  <c r="AD106" i="326"/>
  <c r="AD108" i="326"/>
  <c r="AD107" i="326"/>
  <c r="AD107" i="272"/>
  <c r="AD108" i="272"/>
  <c r="AD106" i="272"/>
  <c r="AD105" i="272"/>
  <c r="AD106" i="317"/>
  <c r="AD105" i="317"/>
  <c r="AD108" i="317"/>
  <c r="AD107" i="317"/>
  <c r="AD106" i="320"/>
  <c r="AD105" i="320"/>
  <c r="AD108" i="320"/>
  <c r="AD107" i="320"/>
  <c r="AE106" i="269"/>
  <c r="AE108" i="269"/>
  <c r="AE105" i="269"/>
  <c r="AE107" i="269"/>
  <c r="AD106" i="323"/>
  <c r="AD105" i="323"/>
  <c r="AD108" i="323"/>
  <c r="AD107" i="323"/>
  <c r="AD106" i="329"/>
  <c r="AD108" i="329"/>
  <c r="AD105" i="329"/>
  <c r="AD107" i="329"/>
  <c r="Z39" i="323"/>
  <c r="AC78" i="316"/>
  <c r="AC79" i="316"/>
  <c r="AC63" i="307"/>
  <c r="AB92" i="328"/>
  <c r="AD17" i="328"/>
  <c r="AD16" i="328"/>
  <c r="AC78" i="322"/>
  <c r="AC101" i="322" s="1"/>
  <c r="AC79" i="322"/>
  <c r="AC64" i="314"/>
  <c r="AC129" i="314" s="1"/>
  <c r="AC130" i="314" s="1"/>
  <c r="AC135" i="314" s="1"/>
  <c r="AC78" i="314"/>
  <c r="AC79" i="314"/>
  <c r="AC78" i="328"/>
  <c r="AC92" i="328" s="1"/>
  <c r="AC79" i="328"/>
  <c r="AB110" i="316"/>
  <c r="AA129" i="314"/>
  <c r="AA130" i="314" s="1"/>
  <c r="AA135" i="314" s="1"/>
  <c r="AA67" i="314"/>
  <c r="AA68" i="314" s="1"/>
  <c r="AA73" i="314" s="1"/>
  <c r="AA25" i="314" s="1"/>
  <c r="AA16" i="313" s="1"/>
  <c r="AC78" i="319"/>
  <c r="AC101" i="319" s="1"/>
  <c r="AC79" i="319"/>
  <c r="AC78" i="325"/>
  <c r="AC110" i="325" s="1"/>
  <c r="AC79" i="325"/>
  <c r="Z202" i="317"/>
  <c r="AA170" i="313"/>
  <c r="AA177" i="313" s="1"/>
  <c r="AA66" i="313"/>
  <c r="AB118" i="328"/>
  <c r="AB85" i="328" s="1"/>
  <c r="AB29" i="329" s="1"/>
  <c r="AB33" i="329" s="1"/>
  <c r="Z83" i="317"/>
  <c r="AB50" i="327"/>
  <c r="AB53" i="327" s="1"/>
  <c r="AB192" i="329" s="1"/>
  <c r="AB32" i="308"/>
  <c r="AB172" i="310" s="1"/>
  <c r="AB200" i="310" s="1"/>
  <c r="AB48" i="327"/>
  <c r="AB52" i="327" s="1"/>
  <c r="AB191" i="329" s="1"/>
  <c r="AB200" i="329" s="1"/>
  <c r="AA170" i="310"/>
  <c r="Z35" i="323"/>
  <c r="AB49" i="321"/>
  <c r="AB71" i="323" s="1"/>
  <c r="AB75" i="323" s="1"/>
  <c r="AB48" i="321"/>
  <c r="AB181" i="323" s="1"/>
  <c r="AB185" i="323" s="1"/>
  <c r="Z85" i="310"/>
  <c r="AA24" i="314"/>
  <c r="AA15" i="313" s="1"/>
  <c r="AA19" i="313" s="1"/>
  <c r="AA41" i="317"/>
  <c r="Z87" i="314"/>
  <c r="Z28" i="313" s="1"/>
  <c r="Z32" i="313" s="1"/>
  <c r="Z86" i="314"/>
  <c r="Z27" i="313" s="1"/>
  <c r="Z31" i="313" s="1"/>
  <c r="AA86" i="328"/>
  <c r="AA27" i="329" s="1"/>
  <c r="AA31" i="329" s="1"/>
  <c r="AB55" i="310"/>
  <c r="AB62" i="310" s="1"/>
  <c r="AB159" i="310"/>
  <c r="AB166" i="310" s="1"/>
  <c r="AB175" i="329"/>
  <c r="AC40" i="327"/>
  <c r="AC42" i="327" s="1"/>
  <c r="AC43" i="327" s="1"/>
  <c r="AC44" i="327" s="1"/>
  <c r="AC46" i="327" s="1"/>
  <c r="AC50" i="327" s="1"/>
  <c r="Z40" i="323"/>
  <c r="AB118" i="322"/>
  <c r="AB85" i="322" s="1"/>
  <c r="AB29" i="323" s="1"/>
  <c r="Z39" i="320"/>
  <c r="AA86" i="319"/>
  <c r="AA27" i="320" s="1"/>
  <c r="AA31" i="320" s="1"/>
  <c r="Y35" i="320"/>
  <c r="Y43" i="320" s="1"/>
  <c r="AC40" i="315"/>
  <c r="AC42" i="315" s="1"/>
  <c r="AC43" i="315" s="1"/>
  <c r="AC44" i="315" s="1"/>
  <c r="AC46" i="315" s="1"/>
  <c r="AC49" i="315" s="1"/>
  <c r="AD16" i="316"/>
  <c r="AD17" i="316"/>
  <c r="AD16" i="314"/>
  <c r="AD17" i="314"/>
  <c r="AD122" i="314" s="1"/>
  <c r="AD15" i="279"/>
  <c r="AB33" i="308"/>
  <c r="AB173" i="310" s="1"/>
  <c r="AB201" i="310" s="1"/>
  <c r="AD16" i="309"/>
  <c r="AD59" i="309" s="1"/>
  <c r="AD63" i="309" s="1"/>
  <c r="AD66" i="309" s="1"/>
  <c r="AD67" i="309" s="1"/>
  <c r="AD72" i="309" s="1"/>
  <c r="AD15" i="309"/>
  <c r="AD16" i="307"/>
  <c r="AD59" i="307" s="1"/>
  <c r="AD15" i="307"/>
  <c r="AD16" i="304"/>
  <c r="AD59" i="304" s="1"/>
  <c r="AD15" i="304"/>
  <c r="AD151" i="326"/>
  <c r="AD150" i="326"/>
  <c r="AD151" i="323"/>
  <c r="AD150" i="323"/>
  <c r="AD151" i="320"/>
  <c r="AD150" i="320"/>
  <c r="AD151" i="317"/>
  <c r="AD150" i="317"/>
  <c r="AD150" i="313"/>
  <c r="AD151" i="313"/>
  <c r="AD151" i="278"/>
  <c r="AD150" i="278"/>
  <c r="AD150" i="272"/>
  <c r="AD151" i="272"/>
  <c r="AE150" i="269"/>
  <c r="AE28" i="269"/>
  <c r="AE32" i="269" s="1"/>
  <c r="AE151" i="269"/>
  <c r="AE27" i="269"/>
  <c r="AE29" i="269"/>
  <c r="AE33" i="269" s="1"/>
  <c r="AA41" i="323"/>
  <c r="AA201" i="320"/>
  <c r="Z32" i="317"/>
  <c r="Z40" i="317"/>
  <c r="Z32" i="329"/>
  <c r="Z35" i="329" s="1"/>
  <c r="Z40" i="329"/>
  <c r="Z32" i="320"/>
  <c r="Z40" i="320"/>
  <c r="AC30" i="319"/>
  <c r="AC48" i="319"/>
  <c r="AC39" i="319"/>
  <c r="AC56" i="319" s="1"/>
  <c r="AC23" i="319" s="1"/>
  <c r="AC17" i="320" s="1"/>
  <c r="AC21" i="320" s="1"/>
  <c r="AD90" i="316"/>
  <c r="AD84" i="316"/>
  <c r="AD76" i="316"/>
  <c r="AD28" i="316"/>
  <c r="AD22" i="316"/>
  <c r="AD14" i="312"/>
  <c r="AD16" i="312" s="1"/>
  <c r="AD17" i="312" s="1"/>
  <c r="AD18" i="312" s="1"/>
  <c r="AD20" i="312" s="1"/>
  <c r="AD26" i="312" s="1"/>
  <c r="AC122" i="322"/>
  <c r="AC60" i="322"/>
  <c r="AC122" i="319"/>
  <c r="AC60" i="319"/>
  <c r="AD41" i="322"/>
  <c r="AD32" i="322"/>
  <c r="Z33" i="320"/>
  <c r="Z41" i="320"/>
  <c r="AD76" i="319"/>
  <c r="AD90" i="319"/>
  <c r="AD84" i="319"/>
  <c r="AD22" i="319"/>
  <c r="AD28" i="319"/>
  <c r="AC48" i="316"/>
  <c r="AC39" i="316"/>
  <c r="AC30" i="316"/>
  <c r="AC56" i="316" s="1"/>
  <c r="AC23" i="316" s="1"/>
  <c r="AC17" i="317" s="1"/>
  <c r="AC21" i="317" s="1"/>
  <c r="AC92" i="319"/>
  <c r="AE10" i="321"/>
  <c r="AE16" i="322" s="1"/>
  <c r="AE10" i="327"/>
  <c r="AE10" i="324"/>
  <c r="AE16" i="325" s="1"/>
  <c r="AB118" i="319"/>
  <c r="AB85" i="319" s="1"/>
  <c r="AA29" i="326"/>
  <c r="AA33" i="326" s="1"/>
  <c r="AA86" i="325"/>
  <c r="AA27" i="326" s="1"/>
  <c r="AA31" i="326" s="1"/>
  <c r="AD84" i="322"/>
  <c r="AD90" i="322"/>
  <c r="AD76" i="322"/>
  <c r="AD22" i="322"/>
  <c r="AD28" i="322"/>
  <c r="AC30" i="322"/>
  <c r="AC39" i="322"/>
  <c r="AC56" i="322" s="1"/>
  <c r="AC23" i="322" s="1"/>
  <c r="AC17" i="323" s="1"/>
  <c r="AC21" i="323" s="1"/>
  <c r="AC48" i="322"/>
  <c r="AC101" i="316"/>
  <c r="AC110" i="316"/>
  <c r="AC92" i="316"/>
  <c r="AA41" i="320"/>
  <c r="AB64" i="322"/>
  <c r="AB126" i="322"/>
  <c r="AB118" i="325"/>
  <c r="AB85" i="325" s="1"/>
  <c r="AB118" i="316"/>
  <c r="AB85" i="316" s="1"/>
  <c r="AA129" i="328"/>
  <c r="AA130" i="328" s="1"/>
  <c r="AA135" i="328" s="1"/>
  <c r="AA87" i="328" s="1"/>
  <c r="AA28" i="329" s="1"/>
  <c r="AA32" i="329" s="1"/>
  <c r="AA67" i="328"/>
  <c r="AA68" i="328" s="1"/>
  <c r="AA73" i="328" s="1"/>
  <c r="AA25" i="328" s="1"/>
  <c r="AA16" i="329" s="1"/>
  <c r="AA20" i="329" s="1"/>
  <c r="AA24" i="328"/>
  <c r="AA15" i="329" s="1"/>
  <c r="AB126" i="316"/>
  <c r="AB64" i="316"/>
  <c r="AC103" i="316"/>
  <c r="AC94" i="316"/>
  <c r="AA67" i="319"/>
  <c r="AA68" i="319" s="1"/>
  <c r="AA73" i="319" s="1"/>
  <c r="AA25" i="319" s="1"/>
  <c r="AA16" i="320" s="1"/>
  <c r="AA20" i="320" s="1"/>
  <c r="AA129" i="319"/>
  <c r="AA130" i="319" s="1"/>
  <c r="AA135" i="319" s="1"/>
  <c r="AA87" i="319" s="1"/>
  <c r="AA28" i="320" s="1"/>
  <c r="AA32" i="320" s="1"/>
  <c r="AA24" i="319"/>
  <c r="AA15" i="320" s="1"/>
  <c r="Z33" i="317"/>
  <c r="Z41" i="317"/>
  <c r="AC122" i="328"/>
  <c r="AC60" i="328"/>
  <c r="AC103" i="319"/>
  <c r="AC94" i="319"/>
  <c r="AB126" i="328"/>
  <c r="AB64" i="328"/>
  <c r="AC92" i="325"/>
  <c r="AB126" i="319"/>
  <c r="AB64" i="319"/>
  <c r="AA129" i="316"/>
  <c r="AA130" i="316" s="1"/>
  <c r="AA135" i="316" s="1"/>
  <c r="AA87" i="316" s="1"/>
  <c r="AA28" i="317" s="1"/>
  <c r="AA32" i="317" s="1"/>
  <c r="AA67" i="316"/>
  <c r="AA68" i="316" s="1"/>
  <c r="AA73" i="316" s="1"/>
  <c r="AA25" i="316" s="1"/>
  <c r="AA16" i="317" s="1"/>
  <c r="AA20" i="317" s="1"/>
  <c r="AA24" i="316"/>
  <c r="AA15" i="317" s="1"/>
  <c r="AD37" i="324"/>
  <c r="AD40" i="324" s="1"/>
  <c r="AD42" i="324" s="1"/>
  <c r="AD43" i="324" s="1"/>
  <c r="AD44" i="324" s="1"/>
  <c r="AD46" i="324" s="1"/>
  <c r="AD37" i="327"/>
  <c r="AD40" i="327" s="1"/>
  <c r="AD42" i="327" s="1"/>
  <c r="AD43" i="327" s="1"/>
  <c r="AD44" i="327" s="1"/>
  <c r="AD46" i="327" s="1"/>
  <c r="AF68" i="267"/>
  <c r="AD37" i="321"/>
  <c r="AG66" i="267"/>
  <c r="AD90" i="325"/>
  <c r="AD76" i="325"/>
  <c r="AD84" i="325"/>
  <c r="AD22" i="325"/>
  <c r="AD28" i="325"/>
  <c r="AD32" i="328"/>
  <c r="AD41" i="328"/>
  <c r="AB48" i="328"/>
  <c r="AB39" i="328"/>
  <c r="AB56" i="328" s="1"/>
  <c r="AB23" i="328" s="1"/>
  <c r="AB30" i="328"/>
  <c r="AC103" i="325"/>
  <c r="AC94" i="325"/>
  <c r="AD38" i="327"/>
  <c r="AD80" i="328" s="1"/>
  <c r="AD38" i="321"/>
  <c r="AD80" i="322" s="1"/>
  <c r="AD38" i="324"/>
  <c r="AD80" i="325" s="1"/>
  <c r="AC122" i="325"/>
  <c r="AC60" i="325"/>
  <c r="AC122" i="316"/>
  <c r="AC60" i="316"/>
  <c r="AB30" i="325"/>
  <c r="AB39" i="325"/>
  <c r="AB56" i="325" s="1"/>
  <c r="AB23" i="325" s="1"/>
  <c r="AB48" i="325"/>
  <c r="AB64" i="325"/>
  <c r="AB126" i="325"/>
  <c r="AC103" i="322"/>
  <c r="AC94" i="322"/>
  <c r="AD38" i="318"/>
  <c r="AD80" i="319" s="1"/>
  <c r="AD38" i="315"/>
  <c r="AD80" i="316" s="1"/>
  <c r="AD38" i="312"/>
  <c r="AD80" i="314" s="1"/>
  <c r="AD90" i="328"/>
  <c r="AD84" i="328"/>
  <c r="AD76" i="328"/>
  <c r="AD28" i="328"/>
  <c r="AD22" i="328"/>
  <c r="AE11" i="321"/>
  <c r="AE18" i="322" s="1"/>
  <c r="AC103" i="328"/>
  <c r="AC94" i="328"/>
  <c r="AA129" i="322"/>
  <c r="AA130" i="322" s="1"/>
  <c r="AA135" i="322" s="1"/>
  <c r="AA87" i="322" s="1"/>
  <c r="AA28" i="323" s="1"/>
  <c r="AA32" i="323" s="1"/>
  <c r="AA35" i="323" s="1"/>
  <c r="AA67" i="322"/>
  <c r="AA68" i="322" s="1"/>
  <c r="AA73" i="322" s="1"/>
  <c r="AA25" i="322" s="1"/>
  <c r="AA16" i="323" s="1"/>
  <c r="AA20" i="323" s="1"/>
  <c r="AA24" i="322"/>
  <c r="AA15" i="323" s="1"/>
  <c r="AA19" i="323" s="1"/>
  <c r="AA129" i="325"/>
  <c r="AA130" i="325" s="1"/>
  <c r="AA135" i="325" s="1"/>
  <c r="AA87" i="325" s="1"/>
  <c r="AA28" i="326" s="1"/>
  <c r="AA67" i="325"/>
  <c r="AA68" i="325" s="1"/>
  <c r="AA73" i="325" s="1"/>
  <c r="AA25" i="325" s="1"/>
  <c r="AA16" i="326" s="1"/>
  <c r="AA20" i="326" s="1"/>
  <c r="AA24" i="325"/>
  <c r="AA15" i="326" s="1"/>
  <c r="AA189" i="303"/>
  <c r="AA196" i="303" s="1"/>
  <c r="AB53" i="318"/>
  <c r="AB192" i="320" s="1"/>
  <c r="AB194" i="320" s="1"/>
  <c r="Z41" i="313"/>
  <c r="AA177" i="329"/>
  <c r="AC26" i="312"/>
  <c r="AC56" i="313" s="1"/>
  <c r="AC63" i="313" s="1"/>
  <c r="AC25" i="312"/>
  <c r="AC32" i="312" s="1"/>
  <c r="AC172" i="313" s="1"/>
  <c r="AA201" i="329"/>
  <c r="AA201" i="313"/>
  <c r="AB53" i="312"/>
  <c r="AB192" i="313" s="1"/>
  <c r="AB194" i="313" s="1"/>
  <c r="W112" i="260"/>
  <c r="X112" i="260"/>
  <c r="AB200" i="313"/>
  <c r="Y43" i="313"/>
  <c r="AE10" i="315"/>
  <c r="AE10" i="318"/>
  <c r="AE16" i="319" s="1"/>
  <c r="AE10" i="312"/>
  <c r="AE14" i="312" s="1"/>
  <c r="AG61" i="267"/>
  <c r="AG63" i="267" s="1"/>
  <c r="AD37" i="318"/>
  <c r="AD37" i="312"/>
  <c r="AD37" i="315"/>
  <c r="AD40" i="315" s="1"/>
  <c r="AD42" i="315" s="1"/>
  <c r="AD43" i="315" s="1"/>
  <c r="AD44" i="315" s="1"/>
  <c r="AD46" i="315" s="1"/>
  <c r="AB101" i="314"/>
  <c r="AB92" i="314"/>
  <c r="AB118" i="314" s="1"/>
  <c r="AB85" i="314" s="1"/>
  <c r="AB110" i="314"/>
  <c r="AA118" i="314"/>
  <c r="AA85" i="314" s="1"/>
  <c r="AD76" i="314"/>
  <c r="AD84" i="314"/>
  <c r="AD90" i="314"/>
  <c r="Z20" i="313"/>
  <c r="Z23" i="313" s="1"/>
  <c r="AB23" i="314"/>
  <c r="AB24" i="314" s="1"/>
  <c r="AB15" i="313" s="1"/>
  <c r="Z177" i="323"/>
  <c r="Z204" i="323" s="1"/>
  <c r="AC27" i="308"/>
  <c r="AC57" i="310" s="1"/>
  <c r="AC64" i="310" s="1"/>
  <c r="Z177" i="317"/>
  <c r="Z204" i="317" s="1"/>
  <c r="Z177" i="310"/>
  <c r="Z204" i="310" s="1"/>
  <c r="Z204" i="329"/>
  <c r="Z177" i="326"/>
  <c r="Z204" i="326" s="1"/>
  <c r="AB113" i="306"/>
  <c r="AB175" i="313"/>
  <c r="AA66" i="317"/>
  <c r="AB160" i="310"/>
  <c r="AB167" i="310" s="1"/>
  <c r="AB183" i="310"/>
  <c r="AB187" i="310" s="1"/>
  <c r="AB189" i="310" s="1"/>
  <c r="AB196" i="310" s="1"/>
  <c r="AB66" i="313"/>
  <c r="AA83" i="310"/>
  <c r="Z19" i="329"/>
  <c r="Z39" i="329"/>
  <c r="Z19" i="326"/>
  <c r="Z39" i="326"/>
  <c r="AB161" i="317"/>
  <c r="AB168" i="317" s="1"/>
  <c r="AB57" i="317"/>
  <c r="AB64" i="317" s="1"/>
  <c r="AB114" i="317"/>
  <c r="AA66" i="320"/>
  <c r="Z177" i="320"/>
  <c r="Z204" i="320" s="1"/>
  <c r="AA66" i="323"/>
  <c r="AC160" i="329"/>
  <c r="AC167" i="329" s="1"/>
  <c r="AC113" i="329"/>
  <c r="AC56" i="329"/>
  <c r="AC63" i="329" s="1"/>
  <c r="AD14" i="315"/>
  <c r="AD16" i="315" s="1"/>
  <c r="AD17" i="315" s="1"/>
  <c r="AD18" i="315" s="1"/>
  <c r="AD20" i="315" s="1"/>
  <c r="AB33" i="321"/>
  <c r="AB173" i="323" s="1"/>
  <c r="AB201" i="323" s="1"/>
  <c r="AB160" i="323"/>
  <c r="AB167" i="323" s="1"/>
  <c r="AB113" i="323"/>
  <c r="AB56" i="323"/>
  <c r="AB63" i="323" s="1"/>
  <c r="Z21" i="329"/>
  <c r="Z41" i="329"/>
  <c r="Z21" i="326"/>
  <c r="Z41" i="326"/>
  <c r="AB112" i="317"/>
  <c r="AB32" i="315"/>
  <c r="AB172" i="317" s="1"/>
  <c r="AB55" i="317"/>
  <c r="AB62" i="317" s="1"/>
  <c r="AB159" i="317"/>
  <c r="AB166" i="317" s="1"/>
  <c r="AB161" i="320"/>
  <c r="AB168" i="320" s="1"/>
  <c r="AB114" i="320"/>
  <c r="AB57" i="320"/>
  <c r="AB64" i="320" s="1"/>
  <c r="AA200" i="323"/>
  <c r="AA175" i="323"/>
  <c r="AB56" i="317"/>
  <c r="AB63" i="317" s="1"/>
  <c r="AB33" i="315"/>
  <c r="AB173" i="317" s="1"/>
  <c r="AB201" i="317" s="1"/>
  <c r="AB160" i="317"/>
  <c r="AB167" i="317" s="1"/>
  <c r="AB113" i="317"/>
  <c r="Y23" i="329"/>
  <c r="Y43" i="329" s="1"/>
  <c r="AB113" i="310"/>
  <c r="AC32" i="327"/>
  <c r="AC172" i="329" s="1"/>
  <c r="AC159" i="329"/>
  <c r="AC166" i="329" s="1"/>
  <c r="AC112" i="329"/>
  <c r="AC55" i="329"/>
  <c r="AC62" i="329" s="1"/>
  <c r="AA170" i="317"/>
  <c r="AA66" i="326"/>
  <c r="AB32" i="321"/>
  <c r="AB172" i="323" s="1"/>
  <c r="AB55" i="323"/>
  <c r="AB62" i="323" s="1"/>
  <c r="AB159" i="323"/>
  <c r="AB166" i="323" s="1"/>
  <c r="AB112" i="323"/>
  <c r="Y23" i="326"/>
  <c r="Y43" i="326" s="1"/>
  <c r="AC27" i="315"/>
  <c r="AC26" i="315"/>
  <c r="AC25" i="315"/>
  <c r="AB56" i="320"/>
  <c r="AB63" i="320" s="1"/>
  <c r="AB33" i="318"/>
  <c r="AB173" i="320" s="1"/>
  <c r="AB160" i="320"/>
  <c r="AB167" i="320" s="1"/>
  <c r="AB113" i="320"/>
  <c r="AC57" i="313"/>
  <c r="AC64" i="313" s="1"/>
  <c r="AC161" i="313"/>
  <c r="AC168" i="313" s="1"/>
  <c r="AC114" i="313"/>
  <c r="AA170" i="323"/>
  <c r="AA175" i="310"/>
  <c r="AB71" i="310"/>
  <c r="AB75" i="310" s="1"/>
  <c r="AA200" i="317"/>
  <c r="AA175" i="317"/>
  <c r="AB114" i="323"/>
  <c r="AB57" i="323"/>
  <c r="AB64" i="323" s="1"/>
  <c r="AB161" i="323"/>
  <c r="AB168" i="323" s="1"/>
  <c r="AB66" i="329"/>
  <c r="AB112" i="320"/>
  <c r="AB159" i="320"/>
  <c r="AB166" i="320" s="1"/>
  <c r="AB32" i="318"/>
  <c r="AB172" i="320" s="1"/>
  <c r="AB55" i="320"/>
  <c r="AB62" i="320" s="1"/>
  <c r="AA17" i="329"/>
  <c r="AC25" i="308"/>
  <c r="AC159" i="310" s="1"/>
  <c r="AC166" i="310" s="1"/>
  <c r="AB127" i="310"/>
  <c r="AB170" i="313"/>
  <c r="AD17" i="319"/>
  <c r="AD14" i="318"/>
  <c r="AD16" i="318" s="1"/>
  <c r="AD17" i="318" s="1"/>
  <c r="AD18" i="318" s="1"/>
  <c r="AD20" i="318" s="1"/>
  <c r="AA200" i="326"/>
  <c r="AA175" i="326"/>
  <c r="Z20" i="326"/>
  <c r="Z40" i="326"/>
  <c r="AB170" i="329"/>
  <c r="AB33" i="324"/>
  <c r="AB173" i="326" s="1"/>
  <c r="AB201" i="326" s="1"/>
  <c r="AB56" i="326"/>
  <c r="AB63" i="326" s="1"/>
  <c r="AB113" i="326"/>
  <c r="AB160" i="326"/>
  <c r="AB167" i="326" s="1"/>
  <c r="Z23" i="320"/>
  <c r="AD14" i="324"/>
  <c r="AD16" i="324" s="1"/>
  <c r="AD17" i="324" s="1"/>
  <c r="AD18" i="324" s="1"/>
  <c r="AD20" i="324" s="1"/>
  <c r="AD17" i="325"/>
  <c r="AA170" i="326"/>
  <c r="AC26" i="321"/>
  <c r="AC25" i="321"/>
  <c r="AC27" i="321"/>
  <c r="AA200" i="320"/>
  <c r="AA175" i="320"/>
  <c r="Z23" i="323"/>
  <c r="AB57" i="326"/>
  <c r="AB64" i="326" s="1"/>
  <c r="AB114" i="326"/>
  <c r="AB161" i="326"/>
  <c r="AB168" i="326" s="1"/>
  <c r="AD29" i="309"/>
  <c r="AC27" i="318"/>
  <c r="AC25" i="318"/>
  <c r="AC26" i="318"/>
  <c r="AD26" i="327"/>
  <c r="AD25" i="327"/>
  <c r="AD27" i="327"/>
  <c r="AA17" i="326"/>
  <c r="AC26" i="324"/>
  <c r="AC27" i="324"/>
  <c r="AC25" i="324"/>
  <c r="AA170" i="320"/>
  <c r="AB32" i="324"/>
  <c r="AB172" i="326" s="1"/>
  <c r="AB112" i="326"/>
  <c r="AB55" i="326"/>
  <c r="AB62" i="326" s="1"/>
  <c r="AB159" i="326"/>
  <c r="AB166" i="326" s="1"/>
  <c r="AA189" i="329"/>
  <c r="AA196" i="329" s="1"/>
  <c r="AC30" i="314"/>
  <c r="AC56" i="314" s="1"/>
  <c r="AC39" i="314"/>
  <c r="AC48" i="314"/>
  <c r="AD41" i="314"/>
  <c r="AD32" i="314"/>
  <c r="AA21" i="313"/>
  <c r="AC50" i="324"/>
  <c r="AC49" i="324"/>
  <c r="AC48" i="324"/>
  <c r="AA202" i="329"/>
  <c r="AA74" i="320"/>
  <c r="AA83" i="320"/>
  <c r="AD14" i="319"/>
  <c r="AB72" i="320"/>
  <c r="AB76" i="320" s="1"/>
  <c r="AB183" i="320"/>
  <c r="AB187" i="320" s="1"/>
  <c r="AB128" i="320"/>
  <c r="AC49" i="321"/>
  <c r="AC48" i="321"/>
  <c r="AC50" i="321"/>
  <c r="Z78" i="313"/>
  <c r="Z85" i="313" s="1"/>
  <c r="Z82" i="313"/>
  <c r="AD14" i="322"/>
  <c r="AC194" i="326"/>
  <c r="AA189" i="313"/>
  <c r="AA196" i="313" s="1"/>
  <c r="AA202" i="313"/>
  <c r="Z78" i="329"/>
  <c r="Z85" i="329" s="1"/>
  <c r="Z82" i="329"/>
  <c r="AB182" i="326"/>
  <c r="AB186" i="326" s="1"/>
  <c r="AB127" i="326"/>
  <c r="AB71" i="326"/>
  <c r="AB75" i="326" s="1"/>
  <c r="AC194" i="317"/>
  <c r="AA189" i="317"/>
  <c r="AA196" i="317" s="1"/>
  <c r="AA202" i="317"/>
  <c r="AA189" i="310"/>
  <c r="AA196" i="310" s="1"/>
  <c r="AB183" i="317"/>
  <c r="AB187" i="317" s="1"/>
  <c r="AB128" i="317"/>
  <c r="AB72" i="317"/>
  <c r="AB76" i="317" s="1"/>
  <c r="Z78" i="320"/>
  <c r="Z85" i="320" s="1"/>
  <c r="Z82" i="320"/>
  <c r="AA74" i="326"/>
  <c r="AA83" i="326"/>
  <c r="AA74" i="323"/>
  <c r="AA83" i="323"/>
  <c r="AB183" i="326"/>
  <c r="AB187" i="326" s="1"/>
  <c r="AB128" i="326"/>
  <c r="AB72" i="326"/>
  <c r="AB76" i="326" s="1"/>
  <c r="AD22" i="314"/>
  <c r="AD28" i="314"/>
  <c r="AD14" i="314"/>
  <c r="AD14" i="325"/>
  <c r="AA74" i="317"/>
  <c r="AA83" i="317"/>
  <c r="AB71" i="329"/>
  <c r="AB75" i="329" s="1"/>
  <c r="AB127" i="329"/>
  <c r="AB182" i="329"/>
  <c r="AB186" i="329" s="1"/>
  <c r="AB181" i="326"/>
  <c r="AB185" i="326" s="1"/>
  <c r="AB70" i="326"/>
  <c r="AB126" i="326"/>
  <c r="AB70" i="317"/>
  <c r="AB126" i="317"/>
  <c r="AB181" i="317"/>
  <c r="AB185" i="317" s="1"/>
  <c r="AC49" i="312"/>
  <c r="AC50" i="312"/>
  <c r="AC48" i="312"/>
  <c r="AC52" i="312" s="1"/>
  <c r="AC191" i="313" s="1"/>
  <c r="AA189" i="326"/>
  <c r="AA196" i="326" s="1"/>
  <c r="AA202" i="326"/>
  <c r="AB126" i="313"/>
  <c r="AB70" i="313"/>
  <c r="AB181" i="313"/>
  <c r="AB185" i="313" s="1"/>
  <c r="Z78" i="323"/>
  <c r="Z85" i="323" s="1"/>
  <c r="Z82" i="323"/>
  <c r="AB72" i="323"/>
  <c r="AB76" i="323" s="1"/>
  <c r="AB128" i="323"/>
  <c r="AB183" i="323"/>
  <c r="AB187" i="323" s="1"/>
  <c r="AC194" i="323"/>
  <c r="AE3" i="329"/>
  <c r="AE1" i="328"/>
  <c r="AE3" i="326"/>
  <c r="AE1" i="325"/>
  <c r="AE1" i="322"/>
  <c r="AE3" i="320"/>
  <c r="AE1" i="319"/>
  <c r="AE3" i="317"/>
  <c r="AE3" i="323"/>
  <c r="AE1" i="316"/>
  <c r="AE1" i="314"/>
  <c r="AE3" i="313"/>
  <c r="AB128" i="310"/>
  <c r="AB127" i="317"/>
  <c r="AB182" i="317"/>
  <c r="AB186" i="317" s="1"/>
  <c r="AB71" i="317"/>
  <c r="AB75" i="317" s="1"/>
  <c r="AB128" i="313"/>
  <c r="AB72" i="313"/>
  <c r="AB76" i="313" s="1"/>
  <c r="AB183" i="313"/>
  <c r="AB187" i="313" s="1"/>
  <c r="AA189" i="323"/>
  <c r="AA196" i="323" s="1"/>
  <c r="AA202" i="323"/>
  <c r="Z78" i="317"/>
  <c r="Z85" i="317" s="1"/>
  <c r="Z82" i="317"/>
  <c r="AD14" i="328"/>
  <c r="AB181" i="320"/>
  <c r="AB185" i="320" s="1"/>
  <c r="AB126" i="320"/>
  <c r="AB70" i="320"/>
  <c r="AD150" i="329"/>
  <c r="AD151" i="329"/>
  <c r="AC48" i="318"/>
  <c r="AC52" i="318" s="1"/>
  <c r="AC191" i="320" s="1"/>
  <c r="AC50" i="318"/>
  <c r="AC49" i="318"/>
  <c r="AB127" i="313"/>
  <c r="AB182" i="313"/>
  <c r="AB186" i="313" s="1"/>
  <c r="AB71" i="313"/>
  <c r="AB75" i="313" s="1"/>
  <c r="AA74" i="329"/>
  <c r="AA83" i="329"/>
  <c r="Z78" i="326"/>
  <c r="Z85" i="326" s="1"/>
  <c r="Z82" i="326"/>
  <c r="AA189" i="320"/>
  <c r="AA196" i="320" s="1"/>
  <c r="AA202" i="320"/>
  <c r="AD14" i="316"/>
  <c r="AB127" i="320"/>
  <c r="AB71" i="320"/>
  <c r="AB75" i="320" s="1"/>
  <c r="AB182" i="320"/>
  <c r="AB186" i="320" s="1"/>
  <c r="AA74" i="313"/>
  <c r="AA83" i="313"/>
  <c r="AA202" i="310"/>
  <c r="AB70" i="310"/>
  <c r="AB74" i="310" s="1"/>
  <c r="AB126" i="310"/>
  <c r="AC47" i="309"/>
  <c r="AC29" i="309"/>
  <c r="AC55" i="309" s="1"/>
  <c r="AC22" i="309" s="1"/>
  <c r="AC17" i="310" s="1"/>
  <c r="AC41" i="310" s="1"/>
  <c r="AC48" i="308"/>
  <c r="AC126" i="310" s="1"/>
  <c r="AC49" i="308"/>
  <c r="AC182" i="310" s="1"/>
  <c r="AC186" i="310" s="1"/>
  <c r="AB56" i="306"/>
  <c r="AB63" i="306" s="1"/>
  <c r="AB160" i="306"/>
  <c r="AB167" i="306" s="1"/>
  <c r="AD14" i="308"/>
  <c r="AD16" i="308" s="1"/>
  <c r="AD17" i="308" s="1"/>
  <c r="AD18" i="308" s="1"/>
  <c r="AD20" i="308" s="1"/>
  <c r="AD26" i="308" s="1"/>
  <c r="AB55" i="306"/>
  <c r="AB62" i="306" s="1"/>
  <c r="AB112" i="306"/>
  <c r="AB159" i="306"/>
  <c r="AB166" i="306" s="1"/>
  <c r="AC50" i="308"/>
  <c r="AC183" i="310" s="1"/>
  <c r="AC187" i="310" s="1"/>
  <c r="AA41" i="303"/>
  <c r="AA21" i="303"/>
  <c r="AE10" i="277"/>
  <c r="AE10" i="268"/>
  <c r="AE15" i="270" s="1"/>
  <c r="AE10" i="308"/>
  <c r="AE10" i="302"/>
  <c r="AG57" i="267"/>
  <c r="AG52" i="267"/>
  <c r="AD37" i="305"/>
  <c r="AD40" i="305" s="1"/>
  <c r="AD42" i="305" s="1"/>
  <c r="AD43" i="305" s="1"/>
  <c r="AD44" i="305" s="1"/>
  <c r="AD46" i="305" s="1"/>
  <c r="AD37" i="302"/>
  <c r="AD40" i="302" s="1"/>
  <c r="AD42" i="302" s="1"/>
  <c r="AD43" i="302" s="1"/>
  <c r="AD44" i="302" s="1"/>
  <c r="AD46" i="302" s="1"/>
  <c r="AD50" i="302" s="1"/>
  <c r="AD37" i="277"/>
  <c r="AD40" i="277" s="1"/>
  <c r="AD42" i="277" s="1"/>
  <c r="AD43" i="277" s="1"/>
  <c r="AD44" i="277" s="1"/>
  <c r="AD46" i="277" s="1"/>
  <c r="AD37" i="271"/>
  <c r="AD40" i="271" s="1"/>
  <c r="AD42" i="271" s="1"/>
  <c r="AD43" i="271" s="1"/>
  <c r="AD44" i="271" s="1"/>
  <c r="AD46" i="271" s="1"/>
  <c r="AD37" i="308"/>
  <c r="AD40" i="308" s="1"/>
  <c r="AD42" i="308" s="1"/>
  <c r="AD43" i="308" s="1"/>
  <c r="AD44" i="308" s="1"/>
  <c r="AD46" i="308" s="1"/>
  <c r="AD38" i="271"/>
  <c r="AD38" i="308"/>
  <c r="AD38" i="305"/>
  <c r="AD38" i="268"/>
  <c r="AD38" i="277"/>
  <c r="AD38" i="302"/>
  <c r="AB181" i="303"/>
  <c r="AB185" i="303" s="1"/>
  <c r="Z41" i="272"/>
  <c r="Z21" i="272"/>
  <c r="Y41" i="272"/>
  <c r="Y101" i="260" s="1"/>
  <c r="Y21" i="272"/>
  <c r="AD28" i="272"/>
  <c r="AD32" i="272" s="1"/>
  <c r="AD29" i="272"/>
  <c r="AD33" i="272" s="1"/>
  <c r="AD27" i="272"/>
  <c r="Y40" i="272"/>
  <c r="Y20" i="272"/>
  <c r="AA41" i="272"/>
  <c r="AA21" i="272"/>
  <c r="AB41" i="306"/>
  <c r="AB21" i="306"/>
  <c r="AA40" i="306"/>
  <c r="AA20" i="306"/>
  <c r="AA39" i="306"/>
  <c r="AA19" i="306"/>
  <c r="AB41" i="310"/>
  <c r="AB21" i="310"/>
  <c r="Y40" i="278"/>
  <c r="Y20" i="278"/>
  <c r="Z39" i="278"/>
  <c r="Z19" i="278"/>
  <c r="Z40" i="278"/>
  <c r="Z20" i="278"/>
  <c r="Y39" i="278"/>
  <c r="Y19" i="278"/>
  <c r="AD27" i="278"/>
  <c r="AD28" i="278"/>
  <c r="AD32" i="278" s="1"/>
  <c r="AD29" i="278"/>
  <c r="AD33" i="278" s="1"/>
  <c r="Y39" i="269"/>
  <c r="Y19" i="269"/>
  <c r="Y40" i="269"/>
  <c r="Y20" i="269"/>
  <c r="Z41" i="269"/>
  <c r="Z21" i="269"/>
  <c r="AG11" i="278"/>
  <c r="AH11" i="310"/>
  <c r="AG33" i="310"/>
  <c r="AG35" i="310" s="1"/>
  <c r="AH11" i="303"/>
  <c r="AG33" i="303"/>
  <c r="AG35" i="303" s="1"/>
  <c r="AF11" i="269"/>
  <c r="AG10" i="278"/>
  <c r="AC9" i="272"/>
  <c r="AB31" i="272"/>
  <c r="AB35" i="272" s="1"/>
  <c r="AF10" i="269"/>
  <c r="AC9" i="278"/>
  <c r="AB31" i="278"/>
  <c r="AB35" i="278" s="1"/>
  <c r="AH11" i="306"/>
  <c r="AG33" i="306"/>
  <c r="AG35" i="306" s="1"/>
  <c r="AG11" i="272"/>
  <c r="AC9" i="269"/>
  <c r="AB31" i="269"/>
  <c r="AB35" i="269" s="1"/>
  <c r="AG10" i="272"/>
  <c r="AA66" i="306"/>
  <c r="Z66" i="303"/>
  <c r="Z85" i="303" s="1"/>
  <c r="AB23" i="309"/>
  <c r="AB15" i="310" s="1"/>
  <c r="AB24" i="309"/>
  <c r="AB16" i="310" s="1"/>
  <c r="AA23" i="304"/>
  <c r="AA15" i="303" s="1"/>
  <c r="AC29" i="304"/>
  <c r="AD14" i="271"/>
  <c r="AD16" i="271" s="1"/>
  <c r="AD17" i="271" s="1"/>
  <c r="AD18" i="271" s="1"/>
  <c r="AD20" i="271" s="1"/>
  <c r="AD16" i="273"/>
  <c r="AD59" i="273" s="1"/>
  <c r="AD14" i="277"/>
  <c r="AD16" i="277" s="1"/>
  <c r="AD17" i="277" s="1"/>
  <c r="AD18" i="277" s="1"/>
  <c r="AD20" i="277" s="1"/>
  <c r="AD16" i="279"/>
  <c r="AD59" i="279" s="1"/>
  <c r="AA24" i="304"/>
  <c r="AA16" i="303" s="1"/>
  <c r="AB33" i="302"/>
  <c r="AB173" i="303" s="1"/>
  <c r="AB56" i="303"/>
  <c r="AB63" i="303" s="1"/>
  <c r="AB160" i="303"/>
  <c r="AB167" i="303" s="1"/>
  <c r="AB170" i="303" s="1"/>
  <c r="AB32" i="302"/>
  <c r="AB172" i="303" s="1"/>
  <c r="AC40" i="304"/>
  <c r="AC31" i="304"/>
  <c r="X23" i="269"/>
  <c r="X43" i="269" s="1"/>
  <c r="AC63" i="304"/>
  <c r="AC66" i="304" s="1"/>
  <c r="AC67" i="304" s="1"/>
  <c r="AC72" i="304" s="1"/>
  <c r="AD13" i="304"/>
  <c r="AD14" i="268"/>
  <c r="AD16" i="268" s="1"/>
  <c r="AD16" i="270"/>
  <c r="AD59" i="270" s="1"/>
  <c r="AD21" i="304"/>
  <c r="AC50" i="302"/>
  <c r="AC128" i="303" s="1"/>
  <c r="AB55" i="304"/>
  <c r="AB22" i="304" s="1"/>
  <c r="AB17" i="303" s="1"/>
  <c r="AC48" i="302"/>
  <c r="AC126" i="303" s="1"/>
  <c r="AB23" i="307"/>
  <c r="AB15" i="306" s="1"/>
  <c r="AB112" i="303"/>
  <c r="AC25" i="302"/>
  <c r="AC32" i="302" s="1"/>
  <c r="AC172" i="303" s="1"/>
  <c r="AB55" i="303"/>
  <c r="AC27" i="302"/>
  <c r="AC114" i="303" s="1"/>
  <c r="Z204" i="306"/>
  <c r="AB70" i="303"/>
  <c r="AB74" i="303" s="1"/>
  <c r="AB78" i="303" s="1"/>
  <c r="Z23" i="273"/>
  <c r="Z15" i="272" s="1"/>
  <c r="Z24" i="273"/>
  <c r="Z16" i="272" s="1"/>
  <c r="AC55" i="306"/>
  <c r="AC62" i="306" s="1"/>
  <c r="AD194" i="310"/>
  <c r="AA170" i="303"/>
  <c r="AB24" i="307"/>
  <c r="AB16" i="306" s="1"/>
  <c r="AB182" i="303"/>
  <c r="AB186" i="303" s="1"/>
  <c r="AA202" i="303"/>
  <c r="AD194" i="306"/>
  <c r="AE60" i="309"/>
  <c r="AD14" i="305"/>
  <c r="AD16" i="305" s="1"/>
  <c r="AD17" i="305" s="1"/>
  <c r="AD18" i="305" s="1"/>
  <c r="AD20" i="305" s="1"/>
  <c r="AD27" i="305" s="1"/>
  <c r="AD114" i="306" s="1"/>
  <c r="AD60" i="307"/>
  <c r="AD27" i="307"/>
  <c r="AD13" i="307"/>
  <c r="AD21" i="307"/>
  <c r="AC112" i="306"/>
  <c r="AD27" i="309"/>
  <c r="AD13" i="309"/>
  <c r="AD21" i="309"/>
  <c r="AA82" i="310"/>
  <c r="AA66" i="310"/>
  <c r="AA85" i="310" s="1"/>
  <c r="AB127" i="303"/>
  <c r="AB130" i="303" s="1"/>
  <c r="W23" i="303"/>
  <c r="W43" i="303" s="1"/>
  <c r="AC159" i="306"/>
  <c r="AC166" i="306" s="1"/>
  <c r="AC38" i="304"/>
  <c r="Y23" i="306"/>
  <c r="Y43" i="306" s="1"/>
  <c r="AA23" i="310"/>
  <c r="AA43" i="310" s="1"/>
  <c r="AA175" i="306"/>
  <c r="AA177" i="306" s="1"/>
  <c r="AA200" i="306"/>
  <c r="AC66" i="307"/>
  <c r="AC67" i="307" s="1"/>
  <c r="AC72" i="307" s="1"/>
  <c r="AE1" i="304"/>
  <c r="AE21" i="304" s="1"/>
  <c r="AE1" i="309"/>
  <c r="AE1" i="307"/>
  <c r="AC29" i="307"/>
  <c r="AC55" i="307" s="1"/>
  <c r="AC22" i="307" s="1"/>
  <c r="AC17" i="306" s="1"/>
  <c r="AC38" i="307"/>
  <c r="AC47" i="307"/>
  <c r="AC113" i="310"/>
  <c r="AC160" i="310"/>
  <c r="AC167" i="310" s="1"/>
  <c r="AC56" i="310"/>
  <c r="AC63" i="310" s="1"/>
  <c r="AC26" i="305"/>
  <c r="AC27" i="305"/>
  <c r="AA55" i="270"/>
  <c r="AA22" i="270" s="1"/>
  <c r="AB182" i="306"/>
  <c r="AB186" i="306" s="1"/>
  <c r="AB127" i="306"/>
  <c r="AB71" i="306"/>
  <c r="AB75" i="306" s="1"/>
  <c r="AB175" i="306"/>
  <c r="AB181" i="306"/>
  <c r="AB185" i="306" s="1"/>
  <c r="AB70" i="306"/>
  <c r="AB74" i="306" s="1"/>
  <c r="AB126" i="306"/>
  <c r="AA76" i="306"/>
  <c r="AA83" i="306"/>
  <c r="AA189" i="306"/>
  <c r="AA196" i="306" s="1"/>
  <c r="AA202" i="306"/>
  <c r="AB128" i="306"/>
  <c r="AB183" i="306"/>
  <c r="AB187" i="306" s="1"/>
  <c r="AB72" i="306"/>
  <c r="Z78" i="306"/>
  <c r="Z85" i="306" s="1"/>
  <c r="Z82" i="306"/>
  <c r="Z16" i="269"/>
  <c r="Z15" i="269"/>
  <c r="AF3" i="269"/>
  <c r="X172" i="269"/>
  <c r="X200" i="269" s="1"/>
  <c r="AC48" i="305"/>
  <c r="AC50" i="305"/>
  <c r="AC49" i="305"/>
  <c r="AD29" i="304"/>
  <c r="AD60" i="304"/>
  <c r="AD14" i="302"/>
  <c r="AD16" i="302" s="1"/>
  <c r="AD17" i="302" s="1"/>
  <c r="AD18" i="302" s="1"/>
  <c r="AD20" i="302" s="1"/>
  <c r="AD25" i="302" s="1"/>
  <c r="W175" i="303"/>
  <c r="W177" i="303" s="1"/>
  <c r="W204" i="303" s="1"/>
  <c r="W200" i="303"/>
  <c r="W111" i="260" s="1"/>
  <c r="AG56" i="267"/>
  <c r="AG58" i="267" s="1"/>
  <c r="AE10" i="305"/>
  <c r="AA83" i="303"/>
  <c r="AD194" i="303"/>
  <c r="AC160" i="303"/>
  <c r="AC167" i="303" s="1"/>
  <c r="AC113" i="303"/>
  <c r="AC56" i="303"/>
  <c r="AC63" i="303" s="1"/>
  <c r="AC71" i="303"/>
  <c r="AC75" i="303" s="1"/>
  <c r="AC182" i="303"/>
  <c r="AC186" i="303" s="1"/>
  <c r="AC127" i="303"/>
  <c r="AA82" i="303"/>
  <c r="AA66" i="303"/>
  <c r="AA85" i="303" s="1"/>
  <c r="AA55" i="279"/>
  <c r="AA22" i="279" s="1"/>
  <c r="AA17" i="278" s="1"/>
  <c r="AF58" i="267"/>
  <c r="AB47" i="273"/>
  <c r="AD27" i="279"/>
  <c r="AD21" i="279"/>
  <c r="AD13" i="279"/>
  <c r="AD21" i="270"/>
  <c r="AD27" i="270"/>
  <c r="AD13" i="270"/>
  <c r="AD37" i="268"/>
  <c r="AD40" i="268" s="1"/>
  <c r="AD42" i="268" s="1"/>
  <c r="AF53" i="267"/>
  <c r="AE1" i="273"/>
  <c r="AG51" i="267"/>
  <c r="AH2" i="267"/>
  <c r="AE1" i="279"/>
  <c r="AE3" i="272"/>
  <c r="AE3" i="278"/>
  <c r="AE1" i="270"/>
  <c r="AD27" i="273"/>
  <c r="AD21" i="273"/>
  <c r="AD13" i="273"/>
  <c r="AB38" i="273"/>
  <c r="AB55" i="273" s="1"/>
  <c r="AB22" i="273" s="1"/>
  <c r="AB24" i="273" s="1"/>
  <c r="AB16" i="272" s="1"/>
  <c r="AB29" i="279"/>
  <c r="AB55" i="279" s="1"/>
  <c r="AB22" i="279" s="1"/>
  <c r="AB24" i="279" s="1"/>
  <c r="AB16" i="278" s="1"/>
  <c r="AB38" i="279"/>
  <c r="AA24" i="273"/>
  <c r="AA16" i="272" s="1"/>
  <c r="AA23" i="273"/>
  <c r="AA15" i="272" s="1"/>
  <c r="Y85" i="272"/>
  <c r="AC47" i="273"/>
  <c r="AC60" i="273"/>
  <c r="AC63" i="273" s="1"/>
  <c r="AC66" i="273" s="1"/>
  <c r="AC67" i="273" s="1"/>
  <c r="AC72" i="273" s="1"/>
  <c r="AC47" i="279"/>
  <c r="AC60" i="279"/>
  <c r="AC63" i="279" s="1"/>
  <c r="AC66" i="279" s="1"/>
  <c r="AC67" i="279" s="1"/>
  <c r="AC72" i="279" s="1"/>
  <c r="AE10" i="271"/>
  <c r="AE15" i="273" s="1"/>
  <c r="AB161" i="278"/>
  <c r="AB57" i="278"/>
  <c r="AB114" i="278"/>
  <c r="AB70" i="278"/>
  <c r="AB181" i="278"/>
  <c r="AB185" i="278" s="1"/>
  <c r="AB126" i="278"/>
  <c r="AB72" i="278"/>
  <c r="AB76" i="278" s="1"/>
  <c r="AB183" i="278"/>
  <c r="AB128" i="278"/>
  <c r="AB33" i="277"/>
  <c r="AB173" i="278" s="1"/>
  <c r="AB160" i="278"/>
  <c r="AB56" i="278"/>
  <c r="AB113" i="278"/>
  <c r="AB71" i="278"/>
  <c r="AB127" i="278"/>
  <c r="AB182" i="278"/>
  <c r="AB32" i="277"/>
  <c r="AB172" i="278" s="1"/>
  <c r="AB159" i="278"/>
  <c r="AB55" i="278"/>
  <c r="AB112" i="278"/>
  <c r="AG52" i="277"/>
  <c r="AG191" i="278" s="1"/>
  <c r="AG53" i="277"/>
  <c r="AG192" i="278" s="1"/>
  <c r="AC48" i="277"/>
  <c r="AC50" i="277"/>
  <c r="AC49" i="277"/>
  <c r="AC27" i="277"/>
  <c r="AC26" i="277"/>
  <c r="AC25" i="277"/>
  <c r="AC27" i="271"/>
  <c r="AC26" i="271"/>
  <c r="AC25" i="271"/>
  <c r="AB32" i="271"/>
  <c r="AB172" i="272" s="1"/>
  <c r="AB112" i="272"/>
  <c r="AB159" i="272"/>
  <c r="AB166" i="272" s="1"/>
  <c r="AB55" i="272"/>
  <c r="AB62" i="272" s="1"/>
  <c r="AB113" i="272"/>
  <c r="AB160" i="272"/>
  <c r="AB56" i="272"/>
  <c r="AB63" i="272" s="1"/>
  <c r="AB33" i="271"/>
  <c r="AB173" i="272" s="1"/>
  <c r="AC49" i="271"/>
  <c r="AC48" i="271"/>
  <c r="AC50" i="271"/>
  <c r="AB114" i="272"/>
  <c r="AB161" i="272"/>
  <c r="AB168" i="272" s="1"/>
  <c r="AB57" i="272"/>
  <c r="AB183" i="272"/>
  <c r="AB187" i="272" s="1"/>
  <c r="AB72" i="272"/>
  <c r="AB128" i="272"/>
  <c r="AF53" i="271"/>
  <c r="AF192" i="272" s="1"/>
  <c r="AF52" i="271"/>
  <c r="AF191" i="272" s="1"/>
  <c r="AB181" i="272"/>
  <c r="AB70" i="272"/>
  <c r="AB126" i="272"/>
  <c r="AB182" i="272"/>
  <c r="AB186" i="272" s="1"/>
  <c r="AB71" i="272"/>
  <c r="AB75" i="272" s="1"/>
  <c r="AB127" i="272"/>
  <c r="AA200" i="272"/>
  <c r="AA168" i="272"/>
  <c r="AA166" i="272"/>
  <c r="AD14" i="279"/>
  <c r="AD14" i="273"/>
  <c r="AA75" i="272"/>
  <c r="AA78" i="272" s="1"/>
  <c r="AA186" i="272"/>
  <c r="AA189" i="272" s="1"/>
  <c r="AA201" i="272"/>
  <c r="Z200" i="272"/>
  <c r="AE6" i="268"/>
  <c r="Z202" i="278"/>
  <c r="AA64" i="272"/>
  <c r="AA66" i="272" s="1"/>
  <c r="Z202" i="272"/>
  <c r="Z83" i="272"/>
  <c r="AE6" i="277"/>
  <c r="AE6" i="271"/>
  <c r="AG2" i="271"/>
  <c r="AF2" i="268"/>
  <c r="AE53" i="268"/>
  <c r="AE192" i="269" s="1"/>
  <c r="AE52" i="268"/>
  <c r="AE191" i="269" s="1"/>
  <c r="AH2" i="277"/>
  <c r="Z66" i="278"/>
  <c r="Z170" i="278"/>
  <c r="Z200" i="278"/>
  <c r="AA168" i="278"/>
  <c r="AA64" i="278"/>
  <c r="AC40" i="273"/>
  <c r="AC31" i="273"/>
  <c r="Y66" i="278"/>
  <c r="Y85" i="278" s="1"/>
  <c r="Y82" i="278"/>
  <c r="AA167" i="278"/>
  <c r="AA63" i="278"/>
  <c r="AA201" i="278"/>
  <c r="AC40" i="279"/>
  <c r="AC31" i="279"/>
  <c r="AA166" i="278"/>
  <c r="AA62" i="278"/>
  <c r="Z83" i="278"/>
  <c r="AA187" i="278"/>
  <c r="AA76" i="278"/>
  <c r="X170" i="269"/>
  <c r="Z78" i="272"/>
  <c r="Z85" i="272" s="1"/>
  <c r="Z82" i="272"/>
  <c r="AA186" i="278"/>
  <c r="AA75" i="278"/>
  <c r="Z78" i="278"/>
  <c r="Z82" i="278"/>
  <c r="AA185" i="278"/>
  <c r="X66" i="269"/>
  <c r="AA27" i="268"/>
  <c r="AB66" i="270"/>
  <c r="AB67" i="270" s="1"/>
  <c r="AB72" i="270" s="1"/>
  <c r="Z26" i="268"/>
  <c r="Z27" i="268"/>
  <c r="Z25" i="268"/>
  <c r="AC47" i="270"/>
  <c r="AC38" i="270"/>
  <c r="AC29" i="270"/>
  <c r="Y160" i="269"/>
  <c r="Y167" i="269" s="1"/>
  <c r="Y33" i="268"/>
  <c r="Y113" i="269"/>
  <c r="Y56" i="269"/>
  <c r="Y63" i="269" s="1"/>
  <c r="AC60" i="270"/>
  <c r="AC63" i="270" s="1"/>
  <c r="AC31" i="270"/>
  <c r="AC40" i="270"/>
  <c r="AB55" i="270"/>
  <c r="AB22" i="270" s="1"/>
  <c r="Y161" i="269"/>
  <c r="Y168" i="269" s="1"/>
  <c r="Y114" i="269"/>
  <c r="Y57" i="269"/>
  <c r="Y64" i="269" s="1"/>
  <c r="AB17" i="268"/>
  <c r="AB18" i="268" s="1"/>
  <c r="AB20" i="268" s="1"/>
  <c r="Y159" i="269"/>
  <c r="Y166" i="269" s="1"/>
  <c r="Y112" i="269"/>
  <c r="Y55" i="269"/>
  <c r="Y62" i="269" s="1"/>
  <c r="Y32" i="268"/>
  <c r="AC2" i="264"/>
  <c r="AC17" i="264" s="1"/>
  <c r="AE16" i="312" l="1"/>
  <c r="AE17" i="312" s="1"/>
  <c r="AE18" i="312" s="1"/>
  <c r="AE20" i="312" s="1"/>
  <c r="AE11" i="324"/>
  <c r="AE18" i="325" s="1"/>
  <c r="AD17" i="322"/>
  <c r="AH8" i="267"/>
  <c r="AF6" i="268" s="1"/>
  <c r="AF14" i="270" s="1"/>
  <c r="AH7" i="267"/>
  <c r="AH12" i="267"/>
  <c r="AH11" i="267"/>
  <c r="AH10" i="267"/>
  <c r="AF6" i="305" s="1"/>
  <c r="AF14" i="307" s="1"/>
  <c r="AH9" i="267"/>
  <c r="AF6" i="271" s="1"/>
  <c r="AD14" i="321"/>
  <c r="AD16" i="321" s="1"/>
  <c r="AD17" i="321" s="1"/>
  <c r="AD18" i="321" s="1"/>
  <c r="AD20" i="321" s="1"/>
  <c r="AG67" i="267"/>
  <c r="AF103" i="269"/>
  <c r="AF100" i="269"/>
  <c r="AF102" i="269"/>
  <c r="AF97" i="269"/>
  <c r="AF95" i="269"/>
  <c r="AF90" i="269"/>
  <c r="AF101" i="269"/>
  <c r="AF96" i="269"/>
  <c r="AF93" i="269"/>
  <c r="AF91" i="269"/>
  <c r="AF98" i="269"/>
  <c r="AF92" i="269"/>
  <c r="AB126" i="329"/>
  <c r="AE11" i="318"/>
  <c r="AE18" i="319" s="1"/>
  <c r="AE11" i="312"/>
  <c r="AE18" i="314" s="1"/>
  <c r="AE11" i="315"/>
  <c r="AE18" i="316" s="1"/>
  <c r="AD41" i="316"/>
  <c r="AD32" i="316"/>
  <c r="AH39" i="267"/>
  <c r="AH41" i="267" s="1"/>
  <c r="AH40" i="267"/>
  <c r="AH44" i="267"/>
  <c r="AH46" i="267" s="1"/>
  <c r="AH29" i="267"/>
  <c r="AH31" i="267" s="1"/>
  <c r="AH45" i="267"/>
  <c r="AH30" i="267"/>
  <c r="AE11" i="302"/>
  <c r="AE17" i="304" s="1"/>
  <c r="AE11" i="277"/>
  <c r="AE17" i="279" s="1"/>
  <c r="AE11" i="268"/>
  <c r="AE17" i="270" s="1"/>
  <c r="AE11" i="308"/>
  <c r="AE17" i="309" s="1"/>
  <c r="AD31" i="309"/>
  <c r="AD55" i="309" s="1"/>
  <c r="AD22" i="309" s="1"/>
  <c r="AD40" i="309"/>
  <c r="AD32" i="319"/>
  <c r="AD41" i="319"/>
  <c r="AD41" i="325"/>
  <c r="AA35" i="317"/>
  <c r="AC161" i="329"/>
  <c r="AC168" i="329" s="1"/>
  <c r="AC67" i="314"/>
  <c r="AC68" i="314" s="1"/>
  <c r="AC73" i="314" s="1"/>
  <c r="AD63" i="307"/>
  <c r="AC92" i="322"/>
  <c r="AC101" i="325"/>
  <c r="AB86" i="328"/>
  <c r="AB27" i="329" s="1"/>
  <c r="AB31" i="329" s="1"/>
  <c r="AC110" i="328"/>
  <c r="AB70" i="329"/>
  <c r="AB74" i="329" s="1"/>
  <c r="AC101" i="328"/>
  <c r="AB181" i="329"/>
  <c r="AB185" i="329" s="1"/>
  <c r="AC110" i="322"/>
  <c r="AE77" i="316"/>
  <c r="AE15" i="316"/>
  <c r="AH67" i="267"/>
  <c r="AF6" i="321"/>
  <c r="AF6" i="324"/>
  <c r="AF6" i="312"/>
  <c r="AF6" i="308"/>
  <c r="AF14" i="309" s="1"/>
  <c r="AF6" i="327"/>
  <c r="AF6" i="315"/>
  <c r="AF6" i="318"/>
  <c r="AF6" i="302"/>
  <c r="AE77" i="328"/>
  <c r="AE15" i="328"/>
  <c r="AE77" i="322"/>
  <c r="AE15" i="322"/>
  <c r="AE77" i="314"/>
  <c r="AE15" i="314"/>
  <c r="AE77" i="319"/>
  <c r="AE15" i="319"/>
  <c r="AE77" i="325"/>
  <c r="AE15" i="325"/>
  <c r="AE100" i="278"/>
  <c r="AE102" i="278"/>
  <c r="AE101" i="278"/>
  <c r="AE103" i="278"/>
  <c r="AE91" i="278"/>
  <c r="AE98" i="278"/>
  <c r="AE96" i="278"/>
  <c r="AE92" i="278"/>
  <c r="AE93" i="278"/>
  <c r="AE95" i="278"/>
  <c r="AE97" i="278"/>
  <c r="AE90" i="278"/>
  <c r="AE102" i="326"/>
  <c r="AE103" i="326"/>
  <c r="AE101" i="326"/>
  <c r="AE100" i="326"/>
  <c r="AE98" i="326"/>
  <c r="AE96" i="326"/>
  <c r="AE92" i="326"/>
  <c r="AE93" i="326"/>
  <c r="AE97" i="326"/>
  <c r="AE95" i="326"/>
  <c r="AE90" i="326"/>
  <c r="AE91" i="326"/>
  <c r="AE100" i="272"/>
  <c r="AE103" i="272"/>
  <c r="AE101" i="272"/>
  <c r="AE102" i="272"/>
  <c r="AE98" i="272"/>
  <c r="AE93" i="272"/>
  <c r="AE92" i="272"/>
  <c r="AE90" i="272"/>
  <c r="AE96" i="272"/>
  <c r="AE91" i="272"/>
  <c r="AE97" i="272"/>
  <c r="AE95" i="272"/>
  <c r="AE102" i="320"/>
  <c r="AE103" i="320"/>
  <c r="AE100" i="320"/>
  <c r="AE101" i="320"/>
  <c r="AE93" i="320"/>
  <c r="AE97" i="320"/>
  <c r="AE95" i="320"/>
  <c r="AE90" i="320"/>
  <c r="AE91" i="320"/>
  <c r="AE98" i="320"/>
  <c r="AE96" i="320"/>
  <c r="AE92" i="320"/>
  <c r="AE103" i="323"/>
  <c r="AE102" i="323"/>
  <c r="AE100" i="323"/>
  <c r="AE101" i="323"/>
  <c r="AE98" i="323"/>
  <c r="AE96" i="323"/>
  <c r="AE92" i="323"/>
  <c r="AE93" i="323"/>
  <c r="AE91" i="323"/>
  <c r="AE95" i="323"/>
  <c r="AE90" i="323"/>
  <c r="AE97" i="323"/>
  <c r="AE102" i="329"/>
  <c r="AE103" i="329"/>
  <c r="AE101" i="329"/>
  <c r="AE100" i="329"/>
  <c r="AE91" i="329"/>
  <c r="AE98" i="329"/>
  <c r="AE96" i="329"/>
  <c r="AE97" i="329"/>
  <c r="AE95" i="329"/>
  <c r="AE92" i="329"/>
  <c r="AE90" i="329"/>
  <c r="AE93" i="329"/>
  <c r="AE101" i="313"/>
  <c r="AE103" i="313"/>
  <c r="AE102" i="313"/>
  <c r="AE100" i="313"/>
  <c r="AE98" i="313"/>
  <c r="AE96" i="313"/>
  <c r="AE93" i="313"/>
  <c r="AE97" i="313"/>
  <c r="AE95" i="313"/>
  <c r="AE90" i="313"/>
  <c r="AE92" i="313"/>
  <c r="AE91" i="313"/>
  <c r="AE102" i="317"/>
  <c r="AE103" i="317"/>
  <c r="AE100" i="317"/>
  <c r="AE101" i="317"/>
  <c r="AE98" i="317"/>
  <c r="AE96" i="317"/>
  <c r="AE92" i="317"/>
  <c r="AE93" i="317"/>
  <c r="AE97" i="317"/>
  <c r="AE91" i="317"/>
  <c r="AE95" i="317"/>
  <c r="AE90" i="317"/>
  <c r="AB127" i="323"/>
  <c r="AB182" i="323"/>
  <c r="AB186" i="323" s="1"/>
  <c r="AB202" i="323" s="1"/>
  <c r="AC114" i="329"/>
  <c r="AC116" i="329" s="1"/>
  <c r="AC33" i="327"/>
  <c r="AC173" i="329" s="1"/>
  <c r="AC175" i="329" s="1"/>
  <c r="AB140" i="310"/>
  <c r="AB132" i="272"/>
  <c r="AB133" i="272"/>
  <c r="AB131" i="272"/>
  <c r="AB130" i="272"/>
  <c r="AB142" i="272"/>
  <c r="AB143" i="272"/>
  <c r="AB140" i="272"/>
  <c r="AB116" i="272"/>
  <c r="AB141" i="272"/>
  <c r="AB117" i="272"/>
  <c r="AB118" i="272"/>
  <c r="AB119" i="272"/>
  <c r="AB130" i="317"/>
  <c r="AB131" i="317"/>
  <c r="AB132" i="317"/>
  <c r="AB133" i="317"/>
  <c r="AB140" i="326"/>
  <c r="AB116" i="326"/>
  <c r="AB141" i="326"/>
  <c r="AB117" i="326"/>
  <c r="AB142" i="326"/>
  <c r="AB118" i="326"/>
  <c r="AB143" i="326"/>
  <c r="AB119" i="326"/>
  <c r="AB119" i="323"/>
  <c r="AB116" i="323"/>
  <c r="AB117" i="323"/>
  <c r="AB118" i="323"/>
  <c r="AB118" i="310"/>
  <c r="AB119" i="310"/>
  <c r="AB133" i="303"/>
  <c r="AB140" i="278"/>
  <c r="AB116" i="278"/>
  <c r="AB141" i="278"/>
  <c r="AB142" i="278"/>
  <c r="AB118" i="278"/>
  <c r="AB143" i="278"/>
  <c r="AB119" i="278"/>
  <c r="AB117" i="278"/>
  <c r="AB141" i="303"/>
  <c r="AB117" i="303"/>
  <c r="AB119" i="303"/>
  <c r="AB142" i="303"/>
  <c r="AB118" i="303"/>
  <c r="AB143" i="303"/>
  <c r="AB140" i="303"/>
  <c r="AB116" i="303"/>
  <c r="AB133" i="313"/>
  <c r="AB130" i="313"/>
  <c r="AB131" i="313"/>
  <c r="AB132" i="313"/>
  <c r="AB141" i="320"/>
  <c r="AB142" i="320"/>
  <c r="AB143" i="320"/>
  <c r="AB119" i="320"/>
  <c r="AB140" i="320"/>
  <c r="AB118" i="320"/>
  <c r="AB116" i="320"/>
  <c r="AB117" i="320"/>
  <c r="AB117" i="310"/>
  <c r="AB142" i="310"/>
  <c r="AB142" i="313"/>
  <c r="AB140" i="313"/>
  <c r="AB132" i="303"/>
  <c r="AB141" i="306"/>
  <c r="AB142" i="306"/>
  <c r="AB143" i="306"/>
  <c r="AB140" i="306"/>
  <c r="AB119" i="306"/>
  <c r="AB116" i="306"/>
  <c r="AB117" i="306"/>
  <c r="AB118" i="306"/>
  <c r="AB130" i="326"/>
  <c r="AB131" i="326"/>
  <c r="AB132" i="326"/>
  <c r="AB133" i="326"/>
  <c r="AB140" i="317"/>
  <c r="AB116" i="317"/>
  <c r="AB141" i="317"/>
  <c r="AB117" i="317"/>
  <c r="AB142" i="317"/>
  <c r="AB118" i="317"/>
  <c r="AB143" i="317"/>
  <c r="AB119" i="317"/>
  <c r="AB143" i="310"/>
  <c r="AB141" i="310"/>
  <c r="AB131" i="303"/>
  <c r="Y118" i="269"/>
  <c r="Y119" i="269"/>
  <c r="Y116" i="269"/>
  <c r="Y117" i="269"/>
  <c r="AB130" i="278"/>
  <c r="AB131" i="278"/>
  <c r="AB132" i="278"/>
  <c r="AB133" i="278"/>
  <c r="AB130" i="306"/>
  <c r="AB133" i="306"/>
  <c r="AB131" i="306"/>
  <c r="AB132" i="306"/>
  <c r="AC132" i="303"/>
  <c r="AC130" i="303"/>
  <c r="AC133" i="303"/>
  <c r="AC131" i="303"/>
  <c r="AB130" i="310"/>
  <c r="AB132" i="310"/>
  <c r="AB133" i="310"/>
  <c r="AB131" i="310"/>
  <c r="AB131" i="320"/>
  <c r="AB133" i="320"/>
  <c r="AB130" i="320"/>
  <c r="AB132" i="320"/>
  <c r="AB116" i="310"/>
  <c r="AB141" i="313"/>
  <c r="AB143" i="313"/>
  <c r="AF105" i="269"/>
  <c r="AF107" i="269"/>
  <c r="AF108" i="269"/>
  <c r="AF106" i="269"/>
  <c r="AE105" i="320"/>
  <c r="AE108" i="320"/>
  <c r="AE107" i="320"/>
  <c r="AE106" i="320"/>
  <c r="AE105" i="278"/>
  <c r="AE108" i="278"/>
  <c r="AE107" i="278"/>
  <c r="AE106" i="278"/>
  <c r="AE105" i="323"/>
  <c r="AE108" i="323"/>
  <c r="AE107" i="323"/>
  <c r="AE106" i="323"/>
  <c r="AE107" i="329"/>
  <c r="AE108" i="329"/>
  <c r="AE106" i="329"/>
  <c r="AE105" i="329"/>
  <c r="AE106" i="272"/>
  <c r="AE108" i="272"/>
  <c r="AE107" i="272"/>
  <c r="AE105" i="272"/>
  <c r="AE108" i="313"/>
  <c r="AE106" i="313"/>
  <c r="AE105" i="313"/>
  <c r="AE107" i="313"/>
  <c r="AE105" i="317"/>
  <c r="AE108" i="317"/>
  <c r="AE107" i="317"/>
  <c r="AE106" i="317"/>
  <c r="AE108" i="326"/>
  <c r="AE107" i="326"/>
  <c r="AE105" i="326"/>
  <c r="AE106" i="326"/>
  <c r="Z43" i="323"/>
  <c r="AA35" i="329"/>
  <c r="AA177" i="310"/>
  <c r="AA204" i="310" s="1"/>
  <c r="AD78" i="322"/>
  <c r="AD110" i="322" s="1"/>
  <c r="AD79" i="322"/>
  <c r="AD78" i="316"/>
  <c r="AD110" i="316" s="1"/>
  <c r="AD79" i="316"/>
  <c r="AD78" i="328"/>
  <c r="AD101" i="328" s="1"/>
  <c r="AD79" i="328"/>
  <c r="AC110" i="319"/>
  <c r="AD78" i="319"/>
  <c r="AD92" i="319" s="1"/>
  <c r="AD79" i="319"/>
  <c r="AE16" i="328"/>
  <c r="AE17" i="328"/>
  <c r="AE14" i="327"/>
  <c r="AE16" i="327" s="1"/>
  <c r="AE17" i="327" s="1"/>
  <c r="AE18" i="327" s="1"/>
  <c r="AE20" i="327" s="1"/>
  <c r="AE27" i="327" s="1"/>
  <c r="AD40" i="312"/>
  <c r="AD42" i="312" s="1"/>
  <c r="AD43" i="312" s="1"/>
  <c r="AD44" i="312" s="1"/>
  <c r="AD46" i="312" s="1"/>
  <c r="AD50" i="312" s="1"/>
  <c r="AD79" i="314"/>
  <c r="AD78" i="314"/>
  <c r="AD78" i="325"/>
  <c r="AD101" i="325" s="1"/>
  <c r="AD79" i="325"/>
  <c r="AD60" i="314"/>
  <c r="AB201" i="320"/>
  <c r="AC114" i="310"/>
  <c r="AB72" i="329"/>
  <c r="AB76" i="329" s="1"/>
  <c r="AB128" i="329"/>
  <c r="AB183" i="329"/>
  <c r="AB187" i="329" s="1"/>
  <c r="AC118" i="325"/>
  <c r="AC85" i="325" s="1"/>
  <c r="AC29" i="326" s="1"/>
  <c r="AC33" i="326" s="1"/>
  <c r="AB126" i="323"/>
  <c r="AB70" i="323"/>
  <c r="AB74" i="323" s="1"/>
  <c r="AB194" i="329"/>
  <c r="AD27" i="312"/>
  <c r="AD114" i="313" s="1"/>
  <c r="Z40" i="313"/>
  <c r="AD25" i="312"/>
  <c r="AD159" i="313" s="1"/>
  <c r="AD166" i="313" s="1"/>
  <c r="AC48" i="315"/>
  <c r="AC70" i="317" s="1"/>
  <c r="Z35" i="313"/>
  <c r="Z43" i="313" s="1"/>
  <c r="AC48" i="327"/>
  <c r="AC52" i="327" s="1"/>
  <c r="AC191" i="329" s="1"/>
  <c r="AC200" i="329" s="1"/>
  <c r="AC49" i="327"/>
  <c r="AC127" i="329" s="1"/>
  <c r="AC113" i="313"/>
  <c r="AC33" i="312"/>
  <c r="AC173" i="313" s="1"/>
  <c r="AC175" i="313" s="1"/>
  <c r="AC160" i="313"/>
  <c r="AC167" i="313" s="1"/>
  <c r="AA39" i="323"/>
  <c r="AA40" i="320"/>
  <c r="AB86" i="322"/>
  <c r="AB27" i="323" s="1"/>
  <c r="AB31" i="323" s="1"/>
  <c r="AC161" i="310"/>
  <c r="AC168" i="310" s="1"/>
  <c r="AC170" i="310" s="1"/>
  <c r="AB175" i="310"/>
  <c r="AC33" i="308"/>
  <c r="AC173" i="310" s="1"/>
  <c r="AC201" i="310" s="1"/>
  <c r="Z39" i="313"/>
  <c r="AB177" i="329"/>
  <c r="AC50" i="315"/>
  <c r="AC128" i="317" s="1"/>
  <c r="AC159" i="313"/>
  <c r="AC166" i="313" s="1"/>
  <c r="AA35" i="320"/>
  <c r="AA40" i="329"/>
  <c r="AB33" i="323"/>
  <c r="AB41" i="323"/>
  <c r="AD40" i="321"/>
  <c r="AD42" i="321" s="1"/>
  <c r="AD43" i="321" s="1"/>
  <c r="AD44" i="321" s="1"/>
  <c r="AD46" i="321" s="1"/>
  <c r="AD50" i="321" s="1"/>
  <c r="AD40" i="318"/>
  <c r="AD42" i="318" s="1"/>
  <c r="AD43" i="318" s="1"/>
  <c r="AD44" i="318" s="1"/>
  <c r="AD46" i="318" s="1"/>
  <c r="AD50" i="318" s="1"/>
  <c r="AA40" i="317"/>
  <c r="AE16" i="316"/>
  <c r="AE17" i="316"/>
  <c r="AE16" i="314"/>
  <c r="AE17" i="314"/>
  <c r="AE122" i="314" s="1"/>
  <c r="AE15" i="279"/>
  <c r="AE16" i="309"/>
  <c r="AE59" i="309" s="1"/>
  <c r="AE63" i="309" s="1"/>
  <c r="AE66" i="309" s="1"/>
  <c r="AE67" i="309" s="1"/>
  <c r="AE72" i="309" s="1"/>
  <c r="AE15" i="309"/>
  <c r="AE29" i="309" s="1"/>
  <c r="AE16" i="307"/>
  <c r="AE59" i="307" s="1"/>
  <c r="AE15" i="307"/>
  <c r="AE16" i="304"/>
  <c r="AE15" i="304"/>
  <c r="AE29" i="304" s="1"/>
  <c r="AE151" i="326"/>
  <c r="AE150" i="326"/>
  <c r="AE150" i="323"/>
  <c r="AE151" i="323"/>
  <c r="AE150" i="320"/>
  <c r="AE151" i="320"/>
  <c r="AE150" i="317"/>
  <c r="AE151" i="317"/>
  <c r="AE150" i="313"/>
  <c r="AE151" i="313"/>
  <c r="AE150" i="278"/>
  <c r="AE151" i="278"/>
  <c r="AE150" i="272"/>
  <c r="AE151" i="272"/>
  <c r="AF150" i="269"/>
  <c r="AF28" i="269"/>
  <c r="AF32" i="269" s="1"/>
  <c r="AF151" i="269"/>
  <c r="AF27" i="269"/>
  <c r="AF29" i="269"/>
  <c r="AF33" i="269" s="1"/>
  <c r="AA40" i="323"/>
  <c r="Z35" i="317"/>
  <c r="Z35" i="320"/>
  <c r="Z43" i="320" s="1"/>
  <c r="AA32" i="326"/>
  <c r="AA35" i="326" s="1"/>
  <c r="AA40" i="326"/>
  <c r="AE84" i="322"/>
  <c r="AE76" i="322"/>
  <c r="AE90" i="322"/>
  <c r="AE28" i="322"/>
  <c r="AE22" i="322"/>
  <c r="AF11" i="324"/>
  <c r="AF18" i="325" s="1"/>
  <c r="AF11" i="327"/>
  <c r="AF18" i="328" s="1"/>
  <c r="AF11" i="321"/>
  <c r="AF18" i="322" s="1"/>
  <c r="AD94" i="316"/>
  <c r="AD103" i="316"/>
  <c r="AC118" i="319"/>
  <c r="AC85" i="319" s="1"/>
  <c r="AH62" i="267"/>
  <c r="AE90" i="325"/>
  <c r="AE76" i="325"/>
  <c r="AE28" i="325"/>
  <c r="AE22" i="325"/>
  <c r="AE84" i="325"/>
  <c r="AD103" i="319"/>
  <c r="AD94" i="319"/>
  <c r="AC64" i="325"/>
  <c r="AC126" i="325"/>
  <c r="AD101" i="322"/>
  <c r="AB67" i="319"/>
  <c r="AB68" i="319" s="1"/>
  <c r="AB73" i="319" s="1"/>
  <c r="AB25" i="319" s="1"/>
  <c r="AB16" i="320" s="1"/>
  <c r="AB20" i="320" s="1"/>
  <c r="AB129" i="319"/>
  <c r="AB130" i="319" s="1"/>
  <c r="AB135" i="319" s="1"/>
  <c r="AB87" i="319" s="1"/>
  <c r="AB28" i="320" s="1"/>
  <c r="AB32" i="320" s="1"/>
  <c r="AB24" i="319"/>
  <c r="AB15" i="320" s="1"/>
  <c r="AB19" i="320" s="1"/>
  <c r="AA19" i="320"/>
  <c r="AA23" i="320" s="1"/>
  <c r="AA39" i="320"/>
  <c r="AB29" i="317"/>
  <c r="AB86" i="316"/>
  <c r="AB27" i="317" s="1"/>
  <c r="AB31" i="317" s="1"/>
  <c r="AB86" i="319"/>
  <c r="AB27" i="320" s="1"/>
  <c r="AB31" i="320" s="1"/>
  <c r="AB29" i="320"/>
  <c r="AC64" i="319"/>
  <c r="AC126" i="319"/>
  <c r="AD122" i="319"/>
  <c r="AD60" i="319"/>
  <c r="AD122" i="322"/>
  <c r="AD60" i="322"/>
  <c r="AC64" i="328"/>
  <c r="AC126" i="328"/>
  <c r="AE90" i="316"/>
  <c r="AE84" i="316"/>
  <c r="AE76" i="316"/>
  <c r="AE22" i="316"/>
  <c r="AE28" i="316"/>
  <c r="AE84" i="328"/>
  <c r="AE76" i="328"/>
  <c r="AE28" i="328"/>
  <c r="AE22" i="328"/>
  <c r="AE90" i="328"/>
  <c r="AD39" i="316"/>
  <c r="AD30" i="316"/>
  <c r="AD56" i="316" s="1"/>
  <c r="AD23" i="316" s="1"/>
  <c r="AD17" i="317" s="1"/>
  <c r="AD21" i="317" s="1"/>
  <c r="AD48" i="316"/>
  <c r="AD103" i="325"/>
  <c r="AD94" i="325"/>
  <c r="AC118" i="322"/>
  <c r="AC85" i="322" s="1"/>
  <c r="AE38" i="327"/>
  <c r="AE80" i="328" s="1"/>
  <c r="AE38" i="324"/>
  <c r="AE80" i="325" s="1"/>
  <c r="AE38" i="321"/>
  <c r="AE80" i="322" s="1"/>
  <c r="AB129" i="316"/>
  <c r="AB130" i="316" s="1"/>
  <c r="AB135" i="316" s="1"/>
  <c r="AB87" i="316" s="1"/>
  <c r="AB28" i="317" s="1"/>
  <c r="AB67" i="316"/>
  <c r="AB68" i="316" s="1"/>
  <c r="AB73" i="316" s="1"/>
  <c r="AB25" i="316" s="1"/>
  <c r="AB16" i="317" s="1"/>
  <c r="AB20" i="317" s="1"/>
  <c r="AB24" i="316"/>
  <c r="AB15" i="317" s="1"/>
  <c r="AB29" i="326"/>
  <c r="AB33" i="326" s="1"/>
  <c r="AB86" i="325"/>
  <c r="AB27" i="326" s="1"/>
  <c r="AB31" i="326" s="1"/>
  <c r="AF10" i="321"/>
  <c r="AF16" i="322" s="1"/>
  <c r="AF10" i="324"/>
  <c r="AF16" i="325" s="1"/>
  <c r="AF10" i="327"/>
  <c r="AC64" i="322"/>
  <c r="AC126" i="322"/>
  <c r="AD48" i="322"/>
  <c r="AD30" i="322"/>
  <c r="AD39" i="322"/>
  <c r="AD56" i="322" s="1"/>
  <c r="AD23" i="322" s="1"/>
  <c r="AD17" i="323" s="1"/>
  <c r="AD21" i="323" s="1"/>
  <c r="AD103" i="322"/>
  <c r="AD94" i="322"/>
  <c r="AG68" i="267"/>
  <c r="AE37" i="324"/>
  <c r="AE37" i="327"/>
  <c r="AE40" i="327" s="1"/>
  <c r="AE42" i="327" s="1"/>
  <c r="AE43" i="327" s="1"/>
  <c r="AE44" i="327" s="1"/>
  <c r="AE46" i="327" s="1"/>
  <c r="AE37" i="321"/>
  <c r="AE40" i="321" s="1"/>
  <c r="AE42" i="321" s="1"/>
  <c r="AE43" i="321" s="1"/>
  <c r="AE44" i="321" s="1"/>
  <c r="AE46" i="321" s="1"/>
  <c r="AE32" i="328"/>
  <c r="AE41" i="328"/>
  <c r="AD30" i="319"/>
  <c r="AD48" i="319"/>
  <c r="AD39" i="319"/>
  <c r="AD56" i="319" s="1"/>
  <c r="AD23" i="319" s="1"/>
  <c r="AD17" i="320" s="1"/>
  <c r="AD21" i="320" s="1"/>
  <c r="AD122" i="325"/>
  <c r="AD60" i="325"/>
  <c r="AD60" i="316"/>
  <c r="AD122" i="316"/>
  <c r="AD103" i="328"/>
  <c r="AD94" i="328"/>
  <c r="AE38" i="312"/>
  <c r="AE80" i="314" s="1"/>
  <c r="AE38" i="315"/>
  <c r="AE80" i="316" s="1"/>
  <c r="AE38" i="318"/>
  <c r="AE80" i="319" s="1"/>
  <c r="AC118" i="328"/>
  <c r="AC85" i="328" s="1"/>
  <c r="AB129" i="322"/>
  <c r="AB130" i="322" s="1"/>
  <c r="AB135" i="322" s="1"/>
  <c r="AB87" i="322" s="1"/>
  <c r="AB28" i="323" s="1"/>
  <c r="AB32" i="323" s="1"/>
  <c r="AB67" i="322"/>
  <c r="AB68" i="322" s="1"/>
  <c r="AB73" i="322" s="1"/>
  <c r="AB25" i="322" s="1"/>
  <c r="AB16" i="323" s="1"/>
  <c r="AB24" i="322"/>
  <c r="AB15" i="323" s="1"/>
  <c r="AB19" i="323" s="1"/>
  <c r="AE28" i="319"/>
  <c r="AE90" i="319"/>
  <c r="AE84" i="319"/>
  <c r="AE22" i="319"/>
  <c r="AE76" i="319"/>
  <c r="AE32" i="325"/>
  <c r="AE41" i="325"/>
  <c r="AC30" i="328"/>
  <c r="AC48" i="328"/>
  <c r="AC39" i="328"/>
  <c r="AC56" i="328" s="1"/>
  <c r="AC23" i="328" s="1"/>
  <c r="AB129" i="328"/>
  <c r="AB130" i="328" s="1"/>
  <c r="AB135" i="328" s="1"/>
  <c r="AB87" i="328" s="1"/>
  <c r="AB28" i="329" s="1"/>
  <c r="AB32" i="329" s="1"/>
  <c r="AB67" i="328"/>
  <c r="AB68" i="328" s="1"/>
  <c r="AB73" i="328" s="1"/>
  <c r="AB25" i="328" s="1"/>
  <c r="AB16" i="329" s="1"/>
  <c r="AB24" i="328"/>
  <c r="AB15" i="329" s="1"/>
  <c r="AD60" i="328"/>
  <c r="AD122" i="328"/>
  <c r="AC48" i="325"/>
  <c r="AC39" i="325"/>
  <c r="AC56" i="325" s="1"/>
  <c r="AC23" i="325" s="1"/>
  <c r="AC30" i="325"/>
  <c r="AE41" i="322"/>
  <c r="AE32" i="322"/>
  <c r="AB129" i="325"/>
  <c r="AB130" i="325" s="1"/>
  <c r="AB135" i="325" s="1"/>
  <c r="AB87" i="325" s="1"/>
  <c r="AB28" i="326" s="1"/>
  <c r="AB32" i="326" s="1"/>
  <c r="AB67" i="325"/>
  <c r="AB68" i="325" s="1"/>
  <c r="AB73" i="325" s="1"/>
  <c r="AB25" i="325" s="1"/>
  <c r="AB16" i="326" s="1"/>
  <c r="AB24" i="325"/>
  <c r="AB15" i="326" s="1"/>
  <c r="AC126" i="316"/>
  <c r="AC64" i="316"/>
  <c r="AC118" i="316"/>
  <c r="AC85" i="316" s="1"/>
  <c r="AC112" i="310"/>
  <c r="AC55" i="310"/>
  <c r="AC62" i="310" s="1"/>
  <c r="AC32" i="308"/>
  <c r="AC172" i="310" s="1"/>
  <c r="AA204" i="329"/>
  <c r="AC55" i="313"/>
  <c r="AC62" i="313" s="1"/>
  <c r="AC66" i="313" s="1"/>
  <c r="AC112" i="313"/>
  <c r="AB201" i="313"/>
  <c r="Z101" i="260"/>
  <c r="Y100" i="260"/>
  <c r="AA204" i="313"/>
  <c r="AC53" i="312"/>
  <c r="AC192" i="313" s="1"/>
  <c r="AC194" i="313" s="1"/>
  <c r="AB201" i="329"/>
  <c r="AC53" i="318"/>
  <c r="AC192" i="320" s="1"/>
  <c r="AC194" i="320" s="1"/>
  <c r="AC200" i="313"/>
  <c r="AC103" i="314"/>
  <c r="AC94" i="314"/>
  <c r="AA29" i="313"/>
  <c r="AA86" i="314"/>
  <c r="AA27" i="313" s="1"/>
  <c r="AA87" i="314"/>
  <c r="AA28" i="313" s="1"/>
  <c r="AA32" i="313" s="1"/>
  <c r="AD103" i="314"/>
  <c r="AD94" i="314"/>
  <c r="AE37" i="318"/>
  <c r="AE40" i="318" s="1"/>
  <c r="AE42" i="318" s="1"/>
  <c r="AE43" i="318" s="1"/>
  <c r="AE44" i="318" s="1"/>
  <c r="AE46" i="318" s="1"/>
  <c r="AE37" i="312"/>
  <c r="AE40" i="312" s="1"/>
  <c r="AE42" i="312" s="1"/>
  <c r="AE43" i="312" s="1"/>
  <c r="AE44" i="312" s="1"/>
  <c r="AE46" i="312" s="1"/>
  <c r="AE37" i="315"/>
  <c r="AF10" i="318"/>
  <c r="AF16" i="319" s="1"/>
  <c r="AF10" i="312"/>
  <c r="AF14" i="312" s="1"/>
  <c r="AF16" i="312" s="1"/>
  <c r="AF17" i="312" s="1"/>
  <c r="AF18" i="312" s="1"/>
  <c r="AF20" i="312" s="1"/>
  <c r="AF10" i="315"/>
  <c r="AH61" i="267"/>
  <c r="AH63" i="267" s="1"/>
  <c r="AB29" i="313"/>
  <c r="AB33" i="313" s="1"/>
  <c r="AB86" i="314"/>
  <c r="AB27" i="313" s="1"/>
  <c r="AB31" i="313" s="1"/>
  <c r="AB87" i="314"/>
  <c r="AB28" i="313" s="1"/>
  <c r="AB32" i="313" s="1"/>
  <c r="AC101" i="314"/>
  <c r="AC92" i="314"/>
  <c r="AC110" i="314"/>
  <c r="AB17" i="313"/>
  <c r="AB21" i="313" s="1"/>
  <c r="AE76" i="314"/>
  <c r="AE84" i="314"/>
  <c r="AE90" i="314"/>
  <c r="AC23" i="314"/>
  <c r="AC17" i="313" s="1"/>
  <c r="AA20" i="313"/>
  <c r="AA23" i="313" s="1"/>
  <c r="AB25" i="314"/>
  <c r="AB16" i="313" s="1"/>
  <c r="AB202" i="310"/>
  <c r="AB177" i="313"/>
  <c r="AA23" i="323"/>
  <c r="AA43" i="323" s="1"/>
  <c r="AB170" i="310"/>
  <c r="AE14" i="308"/>
  <c r="AE16" i="308" s="1"/>
  <c r="AE17" i="308" s="1"/>
  <c r="AE18" i="308" s="1"/>
  <c r="AE20" i="308" s="1"/>
  <c r="AE25" i="308" s="1"/>
  <c r="AC23" i="309"/>
  <c r="AC15" i="310" s="1"/>
  <c r="AC39" i="310" s="1"/>
  <c r="AC70" i="303"/>
  <c r="AC74" i="303" s="1"/>
  <c r="AC161" i="303"/>
  <c r="AC168" i="303" s="1"/>
  <c r="AC66" i="329"/>
  <c r="Z23" i="329"/>
  <c r="Z43" i="329" s="1"/>
  <c r="AB78" i="310"/>
  <c r="AA177" i="323"/>
  <c r="AA204" i="323" s="1"/>
  <c r="AA177" i="320"/>
  <c r="AA204" i="320" s="1"/>
  <c r="AB200" i="326"/>
  <c r="AB175" i="326"/>
  <c r="AD160" i="329"/>
  <c r="AD167" i="329" s="1"/>
  <c r="AD113" i="329"/>
  <c r="AD56" i="329"/>
  <c r="AD63" i="329" s="1"/>
  <c r="AD33" i="327"/>
  <c r="AD173" i="329" s="1"/>
  <c r="AB17" i="329"/>
  <c r="AE17" i="322"/>
  <c r="AE14" i="321"/>
  <c r="AE16" i="321" s="1"/>
  <c r="AE17" i="321" s="1"/>
  <c r="AE18" i="321" s="1"/>
  <c r="AE20" i="321" s="1"/>
  <c r="AD32" i="327"/>
  <c r="AD172" i="329" s="1"/>
  <c r="AD112" i="329"/>
  <c r="AD55" i="329"/>
  <c r="AD62" i="329" s="1"/>
  <c r="AD159" i="329"/>
  <c r="AD166" i="329" s="1"/>
  <c r="AE14" i="315"/>
  <c r="AE16" i="315" s="1"/>
  <c r="AE17" i="315" s="1"/>
  <c r="AE18" i="315" s="1"/>
  <c r="AE20" i="315" s="1"/>
  <c r="AC128" i="310"/>
  <c r="AC112" i="326"/>
  <c r="AC55" i="326"/>
  <c r="AC62" i="326" s="1"/>
  <c r="AC159" i="326"/>
  <c r="AC166" i="326" s="1"/>
  <c r="AC32" i="324"/>
  <c r="AC172" i="326" s="1"/>
  <c r="AB66" i="320"/>
  <c r="AE17" i="319"/>
  <c r="AE14" i="318"/>
  <c r="AE16" i="318" s="1"/>
  <c r="AE17" i="318" s="1"/>
  <c r="AE18" i="318" s="1"/>
  <c r="AE20" i="318" s="1"/>
  <c r="AC161" i="326"/>
  <c r="AC168" i="326" s="1"/>
  <c r="AC114" i="326"/>
  <c r="AC57" i="326"/>
  <c r="AC64" i="326" s="1"/>
  <c r="AB200" i="320"/>
  <c r="AB175" i="320"/>
  <c r="AE17" i="325"/>
  <c r="AE14" i="324"/>
  <c r="AE16" i="324" s="1"/>
  <c r="AE17" i="324" s="1"/>
  <c r="AE18" i="324" s="1"/>
  <c r="AE20" i="324" s="1"/>
  <c r="AB170" i="317"/>
  <c r="AD27" i="315"/>
  <c r="AD25" i="315"/>
  <c r="AD26" i="315"/>
  <c r="AC70" i="310"/>
  <c r="AC74" i="310" s="1"/>
  <c r="AC160" i="326"/>
  <c r="AC167" i="326" s="1"/>
  <c r="AC33" i="324"/>
  <c r="AC173" i="326" s="1"/>
  <c r="AC201" i="326" s="1"/>
  <c r="AC113" i="326"/>
  <c r="AC56" i="326"/>
  <c r="AC63" i="326" s="1"/>
  <c r="AC57" i="323"/>
  <c r="AC64" i="323" s="1"/>
  <c r="AC114" i="323"/>
  <c r="AC161" i="323"/>
  <c r="AC168" i="323" s="1"/>
  <c r="AD25" i="324"/>
  <c r="AD27" i="324"/>
  <c r="AD26" i="324"/>
  <c r="AB170" i="320"/>
  <c r="AA177" i="317"/>
  <c r="AA204" i="317" s="1"/>
  <c r="AD113" i="313"/>
  <c r="AD160" i="313"/>
  <c r="AD167" i="313" s="1"/>
  <c r="AD56" i="313"/>
  <c r="AD63" i="313" s="1"/>
  <c r="AB66" i="317"/>
  <c r="AA19" i="326"/>
  <c r="AA39" i="326"/>
  <c r="AC33" i="318"/>
  <c r="AC173" i="320" s="1"/>
  <c r="AC113" i="320"/>
  <c r="AC160" i="320"/>
  <c r="AC167" i="320" s="1"/>
  <c r="AC56" i="320"/>
  <c r="AC63" i="320" s="1"/>
  <c r="AC55" i="323"/>
  <c r="AC62" i="323" s="1"/>
  <c r="AC159" i="323"/>
  <c r="AC166" i="323" s="1"/>
  <c r="AC112" i="323"/>
  <c r="AC32" i="321"/>
  <c r="AC172" i="323" s="1"/>
  <c r="AD26" i="318"/>
  <c r="AD27" i="318"/>
  <c r="AD25" i="318"/>
  <c r="AA19" i="329"/>
  <c r="AA39" i="329"/>
  <c r="AB170" i="323"/>
  <c r="AB200" i="317"/>
  <c r="AB175" i="317"/>
  <c r="AC161" i="317"/>
  <c r="AC168" i="317" s="1"/>
  <c r="AC57" i="317"/>
  <c r="AC64" i="317" s="1"/>
  <c r="AC114" i="317"/>
  <c r="AB170" i="326"/>
  <c r="AA21" i="326"/>
  <c r="AA41" i="326"/>
  <c r="AC32" i="318"/>
  <c r="AC172" i="320" s="1"/>
  <c r="AC159" i="320"/>
  <c r="AC166" i="320" s="1"/>
  <c r="AC112" i="320"/>
  <c r="AC55" i="320"/>
  <c r="AC62" i="320" s="1"/>
  <c r="AC33" i="321"/>
  <c r="AC173" i="323" s="1"/>
  <c r="AC201" i="323" s="1"/>
  <c r="AC56" i="323"/>
  <c r="AC63" i="323" s="1"/>
  <c r="AC113" i="323"/>
  <c r="AC160" i="323"/>
  <c r="AC167" i="323" s="1"/>
  <c r="AB17" i="326"/>
  <c r="AA177" i="326"/>
  <c r="AA204" i="326" s="1"/>
  <c r="AA21" i="329"/>
  <c r="AA41" i="329"/>
  <c r="AC55" i="317"/>
  <c r="AC62" i="317" s="1"/>
  <c r="AC32" i="315"/>
  <c r="AC172" i="317" s="1"/>
  <c r="AC159" i="317"/>
  <c r="AC166" i="317" s="1"/>
  <c r="AC112" i="317"/>
  <c r="AB66" i="323"/>
  <c r="AC24" i="309"/>
  <c r="AC16" i="310" s="1"/>
  <c r="AC40" i="310" s="1"/>
  <c r="AB66" i="326"/>
  <c r="AD57" i="329"/>
  <c r="AD64" i="329" s="1"/>
  <c r="AD114" i="329"/>
  <c r="AD161" i="329"/>
  <c r="AD168" i="329" s="1"/>
  <c r="AC161" i="320"/>
  <c r="AC168" i="320" s="1"/>
  <c r="AC114" i="320"/>
  <c r="AC57" i="320"/>
  <c r="AC64" i="320" s="1"/>
  <c r="AD25" i="321"/>
  <c r="AD27" i="321"/>
  <c r="AD26" i="321"/>
  <c r="AE25" i="312"/>
  <c r="AE27" i="312"/>
  <c r="AE26" i="312"/>
  <c r="AC33" i="315"/>
  <c r="AC173" i="317" s="1"/>
  <c r="AC201" i="317" s="1"/>
  <c r="AC160" i="317"/>
  <c r="AC167" i="317" s="1"/>
  <c r="AC56" i="317"/>
  <c r="AC63" i="317" s="1"/>
  <c r="AC113" i="317"/>
  <c r="AB200" i="323"/>
  <c r="AB175" i="323"/>
  <c r="AC170" i="329"/>
  <c r="Z23" i="326"/>
  <c r="Z43" i="326" s="1"/>
  <c r="AD39" i="314"/>
  <c r="AD30" i="314"/>
  <c r="AD56" i="314" s="1"/>
  <c r="AD48" i="314"/>
  <c r="AE41" i="314"/>
  <c r="AE32" i="314"/>
  <c r="AB19" i="313"/>
  <c r="AD25" i="308"/>
  <c r="AD159" i="310" s="1"/>
  <c r="AD166" i="310" s="1"/>
  <c r="AB170" i="306"/>
  <c r="AB177" i="306" s="1"/>
  <c r="AC183" i="323"/>
  <c r="AC187" i="323" s="1"/>
  <c r="AC72" i="323"/>
  <c r="AC76" i="323" s="1"/>
  <c r="AC128" i="323"/>
  <c r="AF3" i="329"/>
  <c r="AF1" i="325"/>
  <c r="AF1" i="328"/>
  <c r="AF3" i="320"/>
  <c r="AF3" i="326"/>
  <c r="AF1" i="322"/>
  <c r="AF1" i="319"/>
  <c r="AF3" i="317"/>
  <c r="AF1" i="316"/>
  <c r="AF3" i="323"/>
  <c r="AF3" i="313"/>
  <c r="AF1" i="314"/>
  <c r="AB74" i="320"/>
  <c r="AB83" i="320"/>
  <c r="AE14" i="322"/>
  <c r="AB189" i="313"/>
  <c r="AB196" i="313" s="1"/>
  <c r="AB202" i="313"/>
  <c r="AC72" i="313"/>
  <c r="AC76" i="313" s="1"/>
  <c r="AC183" i="313"/>
  <c r="AC187" i="313" s="1"/>
  <c r="AC128" i="313"/>
  <c r="AA78" i="317"/>
  <c r="AA85" i="317" s="1"/>
  <c r="AA82" i="317"/>
  <c r="AA78" i="326"/>
  <c r="AA85" i="326" s="1"/>
  <c r="AA82" i="326"/>
  <c r="AC181" i="323"/>
  <c r="AC185" i="323" s="1"/>
  <c r="AC70" i="323"/>
  <c r="AC126" i="323"/>
  <c r="AC181" i="313"/>
  <c r="AC185" i="313" s="1"/>
  <c r="AC126" i="313"/>
  <c r="AC70" i="313"/>
  <c r="AC183" i="326"/>
  <c r="AC187" i="326" s="1"/>
  <c r="AC128" i="326"/>
  <c r="AC72" i="326"/>
  <c r="AC76" i="326" s="1"/>
  <c r="AD194" i="323"/>
  <c r="AE14" i="325"/>
  <c r="AB74" i="313"/>
  <c r="AB83" i="313"/>
  <c r="AC71" i="313"/>
  <c r="AC75" i="313" s="1"/>
  <c r="AC127" i="313"/>
  <c r="AC182" i="313"/>
  <c r="AC186" i="313" s="1"/>
  <c r="AC71" i="323"/>
  <c r="AC75" i="323" s="1"/>
  <c r="AC182" i="323"/>
  <c r="AC186" i="323" s="1"/>
  <c r="AC127" i="323"/>
  <c r="AC181" i="320"/>
  <c r="AC185" i="320" s="1"/>
  <c r="AC70" i="320"/>
  <c r="AC126" i="320"/>
  <c r="AB189" i="320"/>
  <c r="AB196" i="320" s="1"/>
  <c r="AB202" i="320"/>
  <c r="AE22" i="314"/>
  <c r="AE14" i="314"/>
  <c r="AE28" i="314"/>
  <c r="AB189" i="317"/>
  <c r="AB196" i="317" s="1"/>
  <c r="AB202" i="317"/>
  <c r="AD49" i="315"/>
  <c r="AD48" i="315"/>
  <c r="AD50" i="315"/>
  <c r="AB83" i="310"/>
  <c r="AC183" i="329"/>
  <c r="AC187" i="329" s="1"/>
  <c r="AC72" i="329"/>
  <c r="AC76" i="329" s="1"/>
  <c r="AC128" i="329"/>
  <c r="AC127" i="317"/>
  <c r="AC71" i="317"/>
  <c r="AC75" i="317" s="1"/>
  <c r="AC182" i="317"/>
  <c r="AC186" i="317" s="1"/>
  <c r="AE14" i="316"/>
  <c r="AE14" i="328"/>
  <c r="AA78" i="320"/>
  <c r="AA85" i="320" s="1"/>
  <c r="AA82" i="320"/>
  <c r="AB189" i="326"/>
  <c r="AB196" i="326" s="1"/>
  <c r="AB202" i="326"/>
  <c r="AD27" i="308"/>
  <c r="AD114" i="310" s="1"/>
  <c r="AA78" i="313"/>
  <c r="AA85" i="313" s="1"/>
  <c r="AA82" i="313"/>
  <c r="AD194" i="326"/>
  <c r="AB74" i="317"/>
  <c r="AB83" i="317"/>
  <c r="AD48" i="327"/>
  <c r="AD52" i="327" s="1"/>
  <c r="AD191" i="329" s="1"/>
  <c r="AD50" i="327"/>
  <c r="AD49" i="327"/>
  <c r="AE150" i="329"/>
  <c r="AE151" i="329"/>
  <c r="AC21" i="310"/>
  <c r="AA78" i="329"/>
  <c r="AA85" i="329" s="1"/>
  <c r="AA82" i="329"/>
  <c r="AC182" i="320"/>
  <c r="AC186" i="320" s="1"/>
  <c r="AC127" i="320"/>
  <c r="AC71" i="320"/>
  <c r="AC75" i="320" s="1"/>
  <c r="AC181" i="326"/>
  <c r="AC185" i="326" s="1"/>
  <c r="AC70" i="326"/>
  <c r="AC126" i="326"/>
  <c r="AD49" i="324"/>
  <c r="AD48" i="324"/>
  <c r="AD50" i="324"/>
  <c r="AC183" i="320"/>
  <c r="AC187" i="320" s="1"/>
  <c r="AC72" i="320"/>
  <c r="AC76" i="320" s="1"/>
  <c r="AC128" i="320"/>
  <c r="AD194" i="317"/>
  <c r="AE14" i="319"/>
  <c r="AB74" i="326"/>
  <c r="AB83" i="326"/>
  <c r="AA78" i="323"/>
  <c r="AA85" i="323" s="1"/>
  <c r="AA82" i="323"/>
  <c r="AC182" i="326"/>
  <c r="AC186" i="326" s="1"/>
  <c r="AC71" i="326"/>
  <c r="AC75" i="326" s="1"/>
  <c r="AC127" i="326"/>
  <c r="Z23" i="278"/>
  <c r="Z43" i="278" s="1"/>
  <c r="AB66" i="306"/>
  <c r="Y23" i="278"/>
  <c r="Y43" i="278" s="1"/>
  <c r="AC181" i="310"/>
  <c r="AC185" i="310" s="1"/>
  <c r="AC189" i="310" s="1"/>
  <c r="AC196" i="310" s="1"/>
  <c r="AC72" i="310"/>
  <c r="AC76" i="310" s="1"/>
  <c r="AC127" i="310"/>
  <c r="AC71" i="310"/>
  <c r="AC75" i="310" s="1"/>
  <c r="AC112" i="303"/>
  <c r="AD50" i="308"/>
  <c r="AD128" i="310" s="1"/>
  <c r="AD49" i="308"/>
  <c r="AD71" i="310" s="1"/>
  <c r="AD75" i="310" s="1"/>
  <c r="AD48" i="308"/>
  <c r="AD181" i="310" s="1"/>
  <c r="AD185" i="310" s="1"/>
  <c r="AA40" i="303"/>
  <c r="AA20" i="303"/>
  <c r="AH57" i="267"/>
  <c r="AH52" i="267"/>
  <c r="AE38" i="277"/>
  <c r="AE38" i="271"/>
  <c r="AE38" i="308"/>
  <c r="AE38" i="305"/>
  <c r="AE38" i="302"/>
  <c r="AE38" i="268"/>
  <c r="AE37" i="308"/>
  <c r="AE40" i="308" s="1"/>
  <c r="AE42" i="308" s="1"/>
  <c r="AE43" i="308" s="1"/>
  <c r="AE44" i="308" s="1"/>
  <c r="AE46" i="308" s="1"/>
  <c r="AE37" i="305"/>
  <c r="AE40" i="305" s="1"/>
  <c r="AE42" i="305" s="1"/>
  <c r="AE43" i="305" s="1"/>
  <c r="AE44" i="305" s="1"/>
  <c r="AE46" i="305" s="1"/>
  <c r="AE37" i="277"/>
  <c r="AE40" i="277" s="1"/>
  <c r="AE42" i="277" s="1"/>
  <c r="AE43" i="277" s="1"/>
  <c r="AE44" i="277" s="1"/>
  <c r="AE46" i="277" s="1"/>
  <c r="AE37" i="302"/>
  <c r="AE40" i="302" s="1"/>
  <c r="AE42" i="302" s="1"/>
  <c r="AE43" i="302" s="1"/>
  <c r="AE44" i="302" s="1"/>
  <c r="AE46" i="302" s="1"/>
  <c r="AE48" i="302" s="1"/>
  <c r="AE37" i="271"/>
  <c r="AE40" i="271" s="1"/>
  <c r="AE42" i="271" s="1"/>
  <c r="AE43" i="271" s="1"/>
  <c r="AE44" i="271" s="1"/>
  <c r="AE46" i="271" s="1"/>
  <c r="AF10" i="308"/>
  <c r="AB41" i="303"/>
  <c r="AB21" i="303"/>
  <c r="AA39" i="303"/>
  <c r="AA19" i="303"/>
  <c r="AA40" i="272"/>
  <c r="AA20" i="272"/>
  <c r="AE27" i="272"/>
  <c r="AE28" i="272"/>
  <c r="AE32" i="272" s="1"/>
  <c r="AE29" i="272"/>
  <c r="AE33" i="272" s="1"/>
  <c r="AB40" i="272"/>
  <c r="AB20" i="272"/>
  <c r="Z40" i="272"/>
  <c r="Z20" i="272"/>
  <c r="AA39" i="272"/>
  <c r="AA19" i="272"/>
  <c r="Z39" i="272"/>
  <c r="Z19" i="272"/>
  <c r="AB39" i="306"/>
  <c r="AB19" i="306"/>
  <c r="AB40" i="306"/>
  <c r="AB20" i="306"/>
  <c r="AC41" i="306"/>
  <c r="AC21" i="306"/>
  <c r="AB40" i="310"/>
  <c r="AB20" i="310"/>
  <c r="AB39" i="310"/>
  <c r="AB19" i="310"/>
  <c r="AB40" i="278"/>
  <c r="AB20" i="278"/>
  <c r="AE29" i="278"/>
  <c r="AE33" i="278" s="1"/>
  <c r="AE27" i="278"/>
  <c r="AE28" i="278"/>
  <c r="AE32" i="278" s="1"/>
  <c r="AA41" i="278"/>
  <c r="AA21" i="278"/>
  <c r="Z39" i="269"/>
  <c r="Z19" i="269"/>
  <c r="Z40" i="269"/>
  <c r="Z20" i="269"/>
  <c r="AI11" i="306"/>
  <c r="AH33" i="306"/>
  <c r="AH35" i="306" s="1"/>
  <c r="AI11" i="303"/>
  <c r="AH33" i="303"/>
  <c r="AH35" i="303" s="1"/>
  <c r="AH10" i="272"/>
  <c r="AD9" i="272"/>
  <c r="AC31" i="272"/>
  <c r="AC35" i="272" s="1"/>
  <c r="AI11" i="310"/>
  <c r="AH33" i="310"/>
  <c r="AH35" i="310" s="1"/>
  <c r="AH11" i="272"/>
  <c r="AH10" i="278"/>
  <c r="AC181" i="303"/>
  <c r="AC185" i="303" s="1"/>
  <c r="AD9" i="269"/>
  <c r="AC31" i="269"/>
  <c r="AC35" i="269" s="1"/>
  <c r="AD9" i="278"/>
  <c r="AC31" i="278"/>
  <c r="AC35" i="278" s="1"/>
  <c r="AB202" i="303"/>
  <c r="AG10" i="269"/>
  <c r="AG11" i="269"/>
  <c r="AH11" i="278"/>
  <c r="AC159" i="303"/>
  <c r="AC166" i="303" s="1"/>
  <c r="AC55" i="303"/>
  <c r="AC62" i="303" s="1"/>
  <c r="AD47" i="309"/>
  <c r="AD38" i="309"/>
  <c r="AB83" i="303"/>
  <c r="AB62" i="303"/>
  <c r="AB82" i="303" s="1"/>
  <c r="AB189" i="303"/>
  <c r="AB196" i="303" s="1"/>
  <c r="AE27" i="304"/>
  <c r="AC55" i="304"/>
  <c r="AC22" i="304" s="1"/>
  <c r="AC23" i="304" s="1"/>
  <c r="AC15" i="303" s="1"/>
  <c r="AC183" i="303"/>
  <c r="AC187" i="303" s="1"/>
  <c r="AC72" i="303"/>
  <c r="AC76" i="303" s="1"/>
  <c r="AE13" i="304"/>
  <c r="Z23" i="310"/>
  <c r="Z43" i="310" s="1"/>
  <c r="AE14" i="271"/>
  <c r="AE16" i="271" s="1"/>
  <c r="AE17" i="271" s="1"/>
  <c r="AE18" i="271" s="1"/>
  <c r="AE20" i="271" s="1"/>
  <c r="AE16" i="273"/>
  <c r="AE59" i="273" s="1"/>
  <c r="AE14" i="277"/>
  <c r="AE16" i="277" s="1"/>
  <c r="AE17" i="277" s="1"/>
  <c r="AE18" i="277" s="1"/>
  <c r="AE20" i="277" s="1"/>
  <c r="AE16" i="279"/>
  <c r="AE59" i="279" s="1"/>
  <c r="AA23" i="306"/>
  <c r="AA43" i="306" s="1"/>
  <c r="AB23" i="304"/>
  <c r="AB15" i="303" s="1"/>
  <c r="AD31" i="304"/>
  <c r="AD55" i="304" s="1"/>
  <c r="AD22" i="304" s="1"/>
  <c r="AD40" i="304"/>
  <c r="AC33" i="302"/>
  <c r="AC173" i="303" s="1"/>
  <c r="AD25" i="305"/>
  <c r="AD32" i="305" s="1"/>
  <c r="AD172" i="306" s="1"/>
  <c r="AD200" i="306" s="1"/>
  <c r="AG3" i="269"/>
  <c r="AD47" i="304"/>
  <c r="AD26" i="305"/>
  <c r="AD160" i="306" s="1"/>
  <c r="AD167" i="306" s="1"/>
  <c r="AD57" i="306"/>
  <c r="AD64" i="306" s="1"/>
  <c r="AD38" i="304"/>
  <c r="AE59" i="304"/>
  <c r="AD161" i="306"/>
  <c r="AD168" i="306" s="1"/>
  <c r="AB24" i="304"/>
  <c r="AB16" i="303" s="1"/>
  <c r="AE14" i="268"/>
  <c r="AE16" i="268" s="1"/>
  <c r="AE16" i="270"/>
  <c r="AE59" i="270" s="1"/>
  <c r="AD63" i="304"/>
  <c r="AD66" i="304" s="1"/>
  <c r="AD67" i="304" s="1"/>
  <c r="AD72" i="304" s="1"/>
  <c r="AC57" i="303"/>
  <c r="AC64" i="303" s="1"/>
  <c r="Y23" i="272"/>
  <c r="Y43" i="272" s="1"/>
  <c r="AC24" i="307"/>
  <c r="AC16" i="306" s="1"/>
  <c r="X23" i="303"/>
  <c r="X43" i="303" s="1"/>
  <c r="AE194" i="310"/>
  <c r="Y23" i="269"/>
  <c r="Y43" i="269" s="1"/>
  <c r="Z23" i="306"/>
  <c r="Z43" i="306" s="1"/>
  <c r="AE194" i="303"/>
  <c r="AA17" i="269"/>
  <c r="AA204" i="306"/>
  <c r="AD26" i="302"/>
  <c r="AD56" i="303" s="1"/>
  <c r="AD63" i="303" s="1"/>
  <c r="AD49" i="302"/>
  <c r="AD127" i="303" s="1"/>
  <c r="AD48" i="302"/>
  <c r="AD70" i="303" s="1"/>
  <c r="AD74" i="303" s="1"/>
  <c r="AA23" i="270"/>
  <c r="AA15" i="269" s="1"/>
  <c r="AA24" i="270"/>
  <c r="AA16" i="269" s="1"/>
  <c r="AE194" i="306"/>
  <c r="AD66" i="307"/>
  <c r="AD67" i="307" s="1"/>
  <c r="AD72" i="307" s="1"/>
  <c r="AF1" i="304"/>
  <c r="AF27" i="304" s="1"/>
  <c r="AF1" i="309"/>
  <c r="AF1" i="307"/>
  <c r="AE14" i="305"/>
  <c r="AE16" i="305" s="1"/>
  <c r="AE17" i="305" s="1"/>
  <c r="AE18" i="305" s="1"/>
  <c r="AE20" i="305" s="1"/>
  <c r="AE26" i="305" s="1"/>
  <c r="AE160" i="306" s="1"/>
  <c r="AE167" i="306" s="1"/>
  <c r="AE60" i="307"/>
  <c r="AB82" i="310"/>
  <c r="AB66" i="310"/>
  <c r="AF60" i="309"/>
  <c r="AC114" i="306"/>
  <c r="AC161" i="306"/>
  <c r="AC168" i="306" s="1"/>
  <c r="AC57" i="306"/>
  <c r="AC64" i="306" s="1"/>
  <c r="AE27" i="307"/>
  <c r="AE13" i="307"/>
  <c r="AE21" i="307"/>
  <c r="AC160" i="306"/>
  <c r="AC167" i="306" s="1"/>
  <c r="AC56" i="306"/>
  <c r="AC63" i="306" s="1"/>
  <c r="AC113" i="306"/>
  <c r="AC116" i="306" s="1"/>
  <c r="AC33" i="305"/>
  <c r="AC173" i="306" s="1"/>
  <c r="AE27" i="309"/>
  <c r="AE13" i="309"/>
  <c r="AE21" i="309"/>
  <c r="AE47" i="309"/>
  <c r="AD47" i="307"/>
  <c r="AD38" i="307"/>
  <c r="AD29" i="307"/>
  <c r="AD55" i="307" s="1"/>
  <c r="AD22" i="307" s="1"/>
  <c r="AD17" i="306" s="1"/>
  <c r="AC23" i="307"/>
  <c r="AC15" i="306" s="1"/>
  <c r="AD160" i="310"/>
  <c r="AD167" i="310" s="1"/>
  <c r="AD113" i="310"/>
  <c r="AD56" i="310"/>
  <c r="AD63" i="310" s="1"/>
  <c r="AD27" i="302"/>
  <c r="AD57" i="303" s="1"/>
  <c r="AD64" i="303" s="1"/>
  <c r="AC71" i="306"/>
  <c r="AC75" i="306" s="1"/>
  <c r="AC182" i="306"/>
  <c r="AC186" i="306" s="1"/>
  <c r="AC127" i="306"/>
  <c r="AA24" i="279"/>
  <c r="AA16" i="278" s="1"/>
  <c r="AC126" i="306"/>
  <c r="AC181" i="306"/>
  <c r="AC185" i="306" s="1"/>
  <c r="AC70" i="306"/>
  <c r="AC74" i="306" s="1"/>
  <c r="AB76" i="306"/>
  <c r="AB83" i="306"/>
  <c r="AB189" i="306"/>
  <c r="AB196" i="306" s="1"/>
  <c r="AB202" i="306"/>
  <c r="AC128" i="306"/>
  <c r="AC72" i="306"/>
  <c r="AC183" i="306"/>
  <c r="AC187" i="306" s="1"/>
  <c r="AA78" i="306"/>
  <c r="AA85" i="306" s="1"/>
  <c r="AA82" i="306"/>
  <c r="Y173" i="269"/>
  <c r="Y201" i="269" s="1"/>
  <c r="Y201" i="303"/>
  <c r="AB17" i="269"/>
  <c r="AD50" i="305"/>
  <c r="AD49" i="305"/>
  <c r="AD48" i="305"/>
  <c r="AE60" i="304"/>
  <c r="AE14" i="302"/>
  <c r="AE16" i="302" s="1"/>
  <c r="AE17" i="302" s="1"/>
  <c r="AE18" i="302" s="1"/>
  <c r="AE20" i="302" s="1"/>
  <c r="AE25" i="302" s="1"/>
  <c r="X200" i="303"/>
  <c r="X111" i="260" s="1"/>
  <c r="X175" i="303"/>
  <c r="X177" i="303" s="1"/>
  <c r="X204" i="303" s="1"/>
  <c r="Y172" i="269"/>
  <c r="Y200" i="269" s="1"/>
  <c r="AD128" i="303"/>
  <c r="AD72" i="303"/>
  <c r="AD76" i="303" s="1"/>
  <c r="AD183" i="303"/>
  <c r="AD187" i="303" s="1"/>
  <c r="AF14" i="304"/>
  <c r="AD32" i="302"/>
  <c r="AD172" i="303" s="1"/>
  <c r="AD159" i="303"/>
  <c r="AD166" i="303" s="1"/>
  <c r="AD112" i="303"/>
  <c r="AD55" i="303"/>
  <c r="AA23" i="279"/>
  <c r="AA15" i="278" s="1"/>
  <c r="AE13" i="270"/>
  <c r="AE27" i="270"/>
  <c r="AE21" i="270"/>
  <c r="AF1" i="270"/>
  <c r="AI2" i="267"/>
  <c r="AF3" i="278"/>
  <c r="AH51" i="267"/>
  <c r="AF1" i="273"/>
  <c r="AF1" i="279"/>
  <c r="AF3" i="272"/>
  <c r="AE37" i="268"/>
  <c r="AE40" i="268" s="1"/>
  <c r="AE42" i="268" s="1"/>
  <c r="AG53" i="267"/>
  <c r="AE27" i="273"/>
  <c r="AE13" i="273"/>
  <c r="AE21" i="273"/>
  <c r="AE27" i="279"/>
  <c r="AE21" i="279"/>
  <c r="AE13" i="279"/>
  <c r="AA85" i="272"/>
  <c r="AC38" i="273"/>
  <c r="AC29" i="279"/>
  <c r="AC55" i="279" s="1"/>
  <c r="AC22" i="279" s="1"/>
  <c r="AC17" i="278" s="1"/>
  <c r="AC38" i="279"/>
  <c r="AC29" i="273"/>
  <c r="AD47" i="273"/>
  <c r="AD60" i="273"/>
  <c r="AD63" i="273" s="1"/>
  <c r="AD66" i="273" s="1"/>
  <c r="AD67" i="273" s="1"/>
  <c r="AD72" i="273" s="1"/>
  <c r="AD38" i="279"/>
  <c r="AD60" i="279"/>
  <c r="AD63" i="279" s="1"/>
  <c r="AD66" i="279" s="1"/>
  <c r="AD67" i="279" s="1"/>
  <c r="AD72" i="279" s="1"/>
  <c r="AA170" i="272"/>
  <c r="AA202" i="272"/>
  <c r="AC32" i="277"/>
  <c r="AC172" i="278" s="1"/>
  <c r="AC112" i="278"/>
  <c r="AC159" i="278"/>
  <c r="AC55" i="278"/>
  <c r="AC113" i="278"/>
  <c r="AC160" i="278"/>
  <c r="AC56" i="278"/>
  <c r="AC161" i="278"/>
  <c r="AC57" i="278"/>
  <c r="AC114" i="278"/>
  <c r="AC182" i="278"/>
  <c r="AC71" i="278"/>
  <c r="AC127" i="278"/>
  <c r="AC183" i="278"/>
  <c r="AC72" i="278"/>
  <c r="AC128" i="278"/>
  <c r="AC181" i="278"/>
  <c r="AC70" i="278"/>
  <c r="AC126" i="278"/>
  <c r="AH52" i="277"/>
  <c r="AH191" i="278" s="1"/>
  <c r="AH53" i="277"/>
  <c r="AH192" i="278" s="1"/>
  <c r="AD50" i="277"/>
  <c r="AD49" i="277"/>
  <c r="AD48" i="277"/>
  <c r="AC33" i="277"/>
  <c r="AC173" i="278" s="1"/>
  <c r="AD26" i="277"/>
  <c r="AD25" i="277"/>
  <c r="AD27" i="277"/>
  <c r="AA82" i="272"/>
  <c r="AC181" i="272"/>
  <c r="AC70" i="272"/>
  <c r="AC126" i="272"/>
  <c r="AC182" i="272"/>
  <c r="AC71" i="272"/>
  <c r="AC127" i="272"/>
  <c r="AC32" i="271"/>
  <c r="AC172" i="272" s="1"/>
  <c r="AC55" i="272"/>
  <c r="AC112" i="272"/>
  <c r="AC159" i="272"/>
  <c r="AC56" i="272"/>
  <c r="AC63" i="272" s="1"/>
  <c r="AC113" i="272"/>
  <c r="AC160" i="272"/>
  <c r="AC33" i="271"/>
  <c r="AC173" i="272" s="1"/>
  <c r="AC183" i="272"/>
  <c r="AC187" i="272" s="1"/>
  <c r="AC72" i="272"/>
  <c r="AC76" i="272" s="1"/>
  <c r="AC128" i="272"/>
  <c r="AG52" i="271"/>
  <c r="AG191" i="272" s="1"/>
  <c r="AG53" i="271"/>
  <c r="AG192" i="272" s="1"/>
  <c r="AC57" i="272"/>
  <c r="AC114" i="272"/>
  <c r="AC161" i="272"/>
  <c r="AD27" i="271"/>
  <c r="AD25" i="271"/>
  <c r="AD26" i="271"/>
  <c r="AD50" i="271"/>
  <c r="AD49" i="271"/>
  <c r="AD48" i="271"/>
  <c r="AE14" i="273"/>
  <c r="AE14" i="279"/>
  <c r="AB187" i="278"/>
  <c r="AB186" i="278"/>
  <c r="AB75" i="278"/>
  <c r="AB167" i="272"/>
  <c r="AB170" i="272" s="1"/>
  <c r="AB76" i="272"/>
  <c r="AA83" i="272"/>
  <c r="Z85" i="278"/>
  <c r="AB185" i="272"/>
  <c r="AB189" i="272" s="1"/>
  <c r="AB201" i="272"/>
  <c r="AB64" i="272"/>
  <c r="AB66" i="272" s="1"/>
  <c r="AG2" i="268"/>
  <c r="AF53" i="268"/>
  <c r="AF192" i="269" s="1"/>
  <c r="AF52" i="268"/>
  <c r="AF191" i="269" s="1"/>
  <c r="AF6" i="277"/>
  <c r="AI2" i="277"/>
  <c r="AH2" i="271"/>
  <c r="AA66" i="278"/>
  <c r="AA170" i="278"/>
  <c r="AB167" i="278"/>
  <c r="AB63" i="278"/>
  <c r="AB201" i="278"/>
  <c r="AB166" i="278"/>
  <c r="AB62" i="278"/>
  <c r="AB200" i="272"/>
  <c r="AB168" i="278"/>
  <c r="AB64" i="278"/>
  <c r="AB17" i="272"/>
  <c r="AB23" i="273"/>
  <c r="AB15" i="272" s="1"/>
  <c r="AB17" i="278"/>
  <c r="AB23" i="279"/>
  <c r="AB15" i="278" s="1"/>
  <c r="AD31" i="273"/>
  <c r="AD40" i="273"/>
  <c r="AD40" i="279"/>
  <c r="AD31" i="279"/>
  <c r="AA200" i="278"/>
  <c r="AB74" i="272"/>
  <c r="AA74" i="278"/>
  <c r="AA83" i="278"/>
  <c r="AB74" i="278"/>
  <c r="AA189" i="278"/>
  <c r="AA202" i="278"/>
  <c r="AA26" i="268"/>
  <c r="AA160" i="269" s="1"/>
  <c r="AA167" i="269" s="1"/>
  <c r="AA25" i="268"/>
  <c r="AA32" i="268" s="1"/>
  <c r="Y66" i="269"/>
  <c r="AB27" i="268"/>
  <c r="AC66" i="270"/>
  <c r="AC67" i="270" s="1"/>
  <c r="AC72" i="270" s="1"/>
  <c r="AD14" i="270"/>
  <c r="Z161" i="269"/>
  <c r="Z168" i="269" s="1"/>
  <c r="Z114" i="269"/>
  <c r="Z57" i="269"/>
  <c r="Z64" i="269" s="1"/>
  <c r="Z159" i="269"/>
  <c r="Z166" i="269" s="1"/>
  <c r="Z112" i="269"/>
  <c r="Z55" i="269"/>
  <c r="Z62" i="269" s="1"/>
  <c r="Z32" i="268"/>
  <c r="AD60" i="270"/>
  <c r="AD63" i="270" s="1"/>
  <c r="AE14" i="270"/>
  <c r="Z160" i="269"/>
  <c r="Z167" i="269" s="1"/>
  <c r="Z113" i="269"/>
  <c r="Z56" i="269"/>
  <c r="Z63" i="269" s="1"/>
  <c r="Z33" i="268"/>
  <c r="AD40" i="270"/>
  <c r="AD31" i="270"/>
  <c r="AA114" i="269"/>
  <c r="AA161" i="269"/>
  <c r="AA168" i="269" s="1"/>
  <c r="AA57" i="269"/>
  <c r="AA64" i="269" s="1"/>
  <c r="Y170" i="269"/>
  <c r="AC55" i="270"/>
  <c r="AC22" i="270" s="1"/>
  <c r="AB23" i="270"/>
  <c r="AC17" i="268"/>
  <c r="AC18" i="268" s="1"/>
  <c r="AC20" i="268" s="1"/>
  <c r="AB24" i="270"/>
  <c r="AD2" i="264"/>
  <c r="AD17" i="264" s="1"/>
  <c r="AD48" i="318" l="1"/>
  <c r="AD52" i="318" s="1"/>
  <c r="AD191" i="320" s="1"/>
  <c r="AB130" i="329"/>
  <c r="AH66" i="267"/>
  <c r="AD110" i="319"/>
  <c r="AI8" i="267"/>
  <c r="AI9" i="267"/>
  <c r="AI10" i="267"/>
  <c r="AI12" i="267"/>
  <c r="AG6" i="277" s="1"/>
  <c r="AI7" i="267"/>
  <c r="AI11" i="267"/>
  <c r="AG6" i="308" s="1"/>
  <c r="AG14" i="309" s="1"/>
  <c r="AF10" i="305"/>
  <c r="AF10" i="268"/>
  <c r="AF15" i="270" s="1"/>
  <c r="AF10" i="271"/>
  <c r="AF15" i="273" s="1"/>
  <c r="AH56" i="267"/>
  <c r="AF10" i="277"/>
  <c r="AF10" i="302"/>
  <c r="AG100" i="269"/>
  <c r="AG101" i="269"/>
  <c r="AG103" i="269"/>
  <c r="AG102" i="269"/>
  <c r="AG91" i="269"/>
  <c r="AG96" i="269"/>
  <c r="AG93" i="269"/>
  <c r="AG98" i="269"/>
  <c r="AG95" i="269"/>
  <c r="AG92" i="269"/>
  <c r="AG90" i="269"/>
  <c r="AG97" i="269"/>
  <c r="AE38" i="309"/>
  <c r="AD48" i="312"/>
  <c r="AD52" i="312" s="1"/>
  <c r="AD191" i="313" s="1"/>
  <c r="AD17" i="310"/>
  <c r="AD23" i="309"/>
  <c r="AD15" i="310" s="1"/>
  <c r="AD19" i="310" s="1"/>
  <c r="AD24" i="309"/>
  <c r="AD16" i="310" s="1"/>
  <c r="AE32" i="319"/>
  <c r="AE41" i="319"/>
  <c r="AE40" i="309"/>
  <c r="AE31" i="309"/>
  <c r="AE55" i="309" s="1"/>
  <c r="AE22" i="309" s="1"/>
  <c r="AI44" i="267"/>
  <c r="AI46" i="267" s="1"/>
  <c r="AI45" i="267"/>
  <c r="AI30" i="267"/>
  <c r="AI29" i="267"/>
  <c r="AI31" i="267" s="1"/>
  <c r="AI40" i="267"/>
  <c r="AI62" i="267" s="1"/>
  <c r="AI39" i="267"/>
  <c r="AI41" i="267" s="1"/>
  <c r="AF11" i="302"/>
  <c r="AF17" i="304" s="1"/>
  <c r="AF11" i="268"/>
  <c r="AF17" i="270" s="1"/>
  <c r="AF11" i="308"/>
  <c r="AF17" i="309" s="1"/>
  <c r="AF11" i="277"/>
  <c r="AF17" i="279" s="1"/>
  <c r="AF11" i="318"/>
  <c r="AF18" i="319" s="1"/>
  <c r="AF11" i="315"/>
  <c r="AF18" i="316" s="1"/>
  <c r="AF11" i="312"/>
  <c r="AF18" i="314" s="1"/>
  <c r="AF32" i="314" s="1"/>
  <c r="AE41" i="316"/>
  <c r="AE32" i="316"/>
  <c r="AD101" i="319"/>
  <c r="AD92" i="325"/>
  <c r="AB189" i="329"/>
  <c r="AB189" i="323"/>
  <c r="AB196" i="323" s="1"/>
  <c r="AD110" i="325"/>
  <c r="AB35" i="329"/>
  <c r="AE26" i="327"/>
  <c r="AD33" i="312"/>
  <c r="AD173" i="313" s="1"/>
  <c r="AC119" i="329"/>
  <c r="AD92" i="316"/>
  <c r="AD118" i="316" s="1"/>
  <c r="AD85" i="316" s="1"/>
  <c r="AD29" i="317" s="1"/>
  <c r="AD33" i="317" s="1"/>
  <c r="AD101" i="316"/>
  <c r="AE63" i="307"/>
  <c r="AB140" i="323"/>
  <c r="AC118" i="329"/>
  <c r="AC117" i="329"/>
  <c r="AC86" i="325"/>
  <c r="AC27" i="326" s="1"/>
  <c r="AC31" i="326" s="1"/>
  <c r="AI67" i="267"/>
  <c r="AG6" i="324"/>
  <c r="AG6" i="312"/>
  <c r="AG6" i="327"/>
  <c r="AG6" i="315"/>
  <c r="AG6" i="318"/>
  <c r="AG6" i="305"/>
  <c r="AG14" i="307" s="1"/>
  <c r="AG6" i="302"/>
  <c r="AG14" i="304" s="1"/>
  <c r="AG6" i="321"/>
  <c r="AF77" i="322"/>
  <c r="AF15" i="322"/>
  <c r="AF77" i="314"/>
  <c r="AF15" i="314"/>
  <c r="AF77" i="319"/>
  <c r="AF15" i="319"/>
  <c r="AF77" i="316"/>
  <c r="AF15" i="316"/>
  <c r="AF77" i="325"/>
  <c r="AF15" i="325"/>
  <c r="AF77" i="328"/>
  <c r="AF15" i="328"/>
  <c r="AF101" i="272"/>
  <c r="AF103" i="272"/>
  <c r="AF100" i="272"/>
  <c r="AF102" i="272"/>
  <c r="AF97" i="272"/>
  <c r="AF95" i="272"/>
  <c r="AF98" i="272"/>
  <c r="AF96" i="272"/>
  <c r="AF91" i="272"/>
  <c r="AF93" i="272"/>
  <c r="AF90" i="272"/>
  <c r="AF92" i="272"/>
  <c r="AF101" i="278"/>
  <c r="AF102" i="278"/>
  <c r="AF103" i="278"/>
  <c r="AF100" i="278"/>
  <c r="AF98" i="278"/>
  <c r="AF96" i="278"/>
  <c r="AF92" i="278"/>
  <c r="AF93" i="278"/>
  <c r="AF97" i="278"/>
  <c r="AF95" i="278"/>
  <c r="AF90" i="278"/>
  <c r="AF91" i="278"/>
  <c r="AF103" i="317"/>
  <c r="AF100" i="317"/>
  <c r="AF101" i="317"/>
  <c r="AF102" i="317"/>
  <c r="AF93" i="317"/>
  <c r="AF97" i="317"/>
  <c r="AF95" i="317"/>
  <c r="AF90" i="317"/>
  <c r="AF92" i="317"/>
  <c r="AF91" i="317"/>
  <c r="AF96" i="317"/>
  <c r="AF98" i="317"/>
  <c r="AF103" i="320"/>
  <c r="AF100" i="320"/>
  <c r="AF101" i="320"/>
  <c r="AF102" i="320"/>
  <c r="AF97" i="320"/>
  <c r="AF95" i="320"/>
  <c r="AF90" i="320"/>
  <c r="AF91" i="320"/>
  <c r="AF98" i="320"/>
  <c r="AF96" i="320"/>
  <c r="AF92" i="320"/>
  <c r="AF93" i="320"/>
  <c r="AF103" i="313"/>
  <c r="AF100" i="313"/>
  <c r="AF102" i="313"/>
  <c r="AF101" i="313"/>
  <c r="AF98" i="313"/>
  <c r="AF97" i="313"/>
  <c r="AF95" i="313"/>
  <c r="AF90" i="313"/>
  <c r="AF91" i="313"/>
  <c r="AF92" i="313"/>
  <c r="AF96" i="313"/>
  <c r="AF93" i="313"/>
  <c r="AF103" i="323"/>
  <c r="AF100" i="323"/>
  <c r="AF101" i="323"/>
  <c r="AF102" i="323"/>
  <c r="AF93" i="323"/>
  <c r="AF97" i="323"/>
  <c r="AF95" i="323"/>
  <c r="AF90" i="323"/>
  <c r="AF91" i="323"/>
  <c r="AF96" i="323"/>
  <c r="AF98" i="323"/>
  <c r="AF92" i="323"/>
  <c r="AF103" i="326"/>
  <c r="AF100" i="326"/>
  <c r="AF101" i="326"/>
  <c r="AF102" i="326"/>
  <c r="AF93" i="326"/>
  <c r="AF97" i="326"/>
  <c r="AF95" i="326"/>
  <c r="AF90" i="326"/>
  <c r="AF91" i="326"/>
  <c r="AF98" i="326"/>
  <c r="AF96" i="326"/>
  <c r="AF92" i="326"/>
  <c r="AF103" i="329"/>
  <c r="AF100" i="329"/>
  <c r="AF102" i="329"/>
  <c r="AF101" i="329"/>
  <c r="AF98" i="329"/>
  <c r="AF96" i="329"/>
  <c r="AF92" i="329"/>
  <c r="AF97" i="329"/>
  <c r="AF95" i="329"/>
  <c r="AF91" i="329"/>
  <c r="AF90" i="329"/>
  <c r="AF93" i="329"/>
  <c r="AB196" i="329"/>
  <c r="AB204" i="329" s="1"/>
  <c r="AC131" i="310"/>
  <c r="AB202" i="329"/>
  <c r="AE25" i="327"/>
  <c r="AE55" i="329" s="1"/>
  <c r="AE62" i="329" s="1"/>
  <c r="AE60" i="314"/>
  <c r="AE126" i="314" s="1"/>
  <c r="AC133" i="272"/>
  <c r="AC131" i="272"/>
  <c r="AC132" i="272"/>
  <c r="AC130" i="272"/>
  <c r="AC130" i="306"/>
  <c r="AC133" i="306"/>
  <c r="AC131" i="306"/>
  <c r="AC132" i="306"/>
  <c r="AC131" i="326"/>
  <c r="AC132" i="326"/>
  <c r="AC133" i="326"/>
  <c r="AC130" i="326"/>
  <c r="AC117" i="317"/>
  <c r="AC118" i="317"/>
  <c r="AC119" i="317"/>
  <c r="AC116" i="317"/>
  <c r="AC118" i="306"/>
  <c r="AC143" i="306"/>
  <c r="AB133" i="329"/>
  <c r="AC130" i="310"/>
  <c r="Z119" i="269"/>
  <c r="Z118" i="269"/>
  <c r="Z116" i="269"/>
  <c r="Z117" i="269"/>
  <c r="AC131" i="278"/>
  <c r="AC132" i="278"/>
  <c r="AC133" i="278"/>
  <c r="AC130" i="278"/>
  <c r="AC142" i="303"/>
  <c r="AC118" i="303"/>
  <c r="AC143" i="303"/>
  <c r="AC119" i="303"/>
  <c r="AC116" i="303"/>
  <c r="AC140" i="303"/>
  <c r="AC141" i="303"/>
  <c r="AC117" i="303"/>
  <c r="AC130" i="313"/>
  <c r="AC131" i="313"/>
  <c r="AC132" i="313"/>
  <c r="AC133" i="313"/>
  <c r="AC140" i="323"/>
  <c r="AC116" i="323"/>
  <c r="AC141" i="323"/>
  <c r="AC117" i="323"/>
  <c r="AC142" i="323"/>
  <c r="AC118" i="323"/>
  <c r="AC119" i="323"/>
  <c r="AC143" i="323"/>
  <c r="AC141" i="326"/>
  <c r="AC117" i="326"/>
  <c r="AC142" i="326"/>
  <c r="AC118" i="326"/>
  <c r="AC143" i="326"/>
  <c r="AC119" i="326"/>
  <c r="AC116" i="326"/>
  <c r="AC140" i="326"/>
  <c r="AC140" i="313"/>
  <c r="AC116" i="313"/>
  <c r="AC141" i="313"/>
  <c r="AC117" i="313"/>
  <c r="AC142" i="313"/>
  <c r="AC118" i="313"/>
  <c r="AC143" i="313"/>
  <c r="AC119" i="313"/>
  <c r="AC141" i="306"/>
  <c r="AC142" i="306"/>
  <c r="AB142" i="323"/>
  <c r="AB132" i="329"/>
  <c r="AC133" i="310"/>
  <c r="AC143" i="272"/>
  <c r="AC140" i="272"/>
  <c r="AC141" i="272"/>
  <c r="AC142" i="272"/>
  <c r="AC117" i="272"/>
  <c r="AC118" i="272"/>
  <c r="AC119" i="272"/>
  <c r="AC116" i="272"/>
  <c r="AC141" i="278"/>
  <c r="AC117" i="278"/>
  <c r="AC142" i="278"/>
  <c r="AC118" i="278"/>
  <c r="AC143" i="278"/>
  <c r="AC119" i="278"/>
  <c r="AC140" i="278"/>
  <c r="AC116" i="278"/>
  <c r="AC142" i="320"/>
  <c r="AC143" i="320"/>
  <c r="AC140" i="320"/>
  <c r="AC119" i="320"/>
  <c r="AC116" i="320"/>
  <c r="AC117" i="320"/>
  <c r="AC141" i="320"/>
  <c r="AC118" i="320"/>
  <c r="AD118" i="329"/>
  <c r="AD119" i="329"/>
  <c r="AD116" i="329"/>
  <c r="AD117" i="329"/>
  <c r="AB133" i="323"/>
  <c r="AB130" i="323"/>
  <c r="AB131" i="323"/>
  <c r="AB132" i="323"/>
  <c r="AB141" i="329"/>
  <c r="AC140" i="306"/>
  <c r="AC117" i="306"/>
  <c r="AB143" i="329"/>
  <c r="AB140" i="329"/>
  <c r="AB131" i="329"/>
  <c r="AC132" i="310"/>
  <c r="AC132" i="320"/>
  <c r="AC130" i="320"/>
  <c r="AC131" i="320"/>
  <c r="AC133" i="320"/>
  <c r="AC130" i="323"/>
  <c r="AC131" i="323"/>
  <c r="AC132" i="323"/>
  <c r="AC133" i="323"/>
  <c r="AC141" i="310"/>
  <c r="AC142" i="310"/>
  <c r="AC143" i="310"/>
  <c r="AC140" i="310"/>
  <c r="AC116" i="310"/>
  <c r="AC117" i="310"/>
  <c r="AC118" i="310"/>
  <c r="AC119" i="310"/>
  <c r="AC119" i="306"/>
  <c r="AB142" i="329"/>
  <c r="AB141" i="323"/>
  <c r="AB143" i="323"/>
  <c r="AD118" i="325"/>
  <c r="AD85" i="325" s="1"/>
  <c r="AC118" i="314"/>
  <c r="AC85" i="314" s="1"/>
  <c r="AC29" i="313" s="1"/>
  <c r="AC33" i="313" s="1"/>
  <c r="AD49" i="318"/>
  <c r="AD182" i="320" s="1"/>
  <c r="AD186" i="320" s="1"/>
  <c r="AD49" i="312"/>
  <c r="AD182" i="313" s="1"/>
  <c r="AD186" i="313" s="1"/>
  <c r="AD92" i="328"/>
  <c r="AD92" i="322"/>
  <c r="AF108" i="323"/>
  <c r="AF107" i="323"/>
  <c r="AF106" i="323"/>
  <c r="AF105" i="323"/>
  <c r="AG108" i="269"/>
  <c r="AG106" i="269"/>
  <c r="AG107" i="269"/>
  <c r="AG105" i="269"/>
  <c r="AF107" i="326"/>
  <c r="AF106" i="326"/>
  <c r="AF108" i="326"/>
  <c r="AF105" i="326"/>
  <c r="AF108" i="329"/>
  <c r="AF106" i="329"/>
  <c r="AF107" i="329"/>
  <c r="AF105" i="329"/>
  <c r="AF108" i="317"/>
  <c r="AF107" i="317"/>
  <c r="AF106" i="317"/>
  <c r="AF105" i="317"/>
  <c r="AF108" i="320"/>
  <c r="AF107" i="320"/>
  <c r="AF106" i="320"/>
  <c r="AF105" i="320"/>
  <c r="AF107" i="272"/>
  <c r="AF108" i="272"/>
  <c r="AF105" i="272"/>
  <c r="AF106" i="272"/>
  <c r="AF108" i="278"/>
  <c r="AF107" i="278"/>
  <c r="AF106" i="278"/>
  <c r="AF105" i="278"/>
  <c r="AF108" i="313"/>
  <c r="AF107" i="313"/>
  <c r="AF106" i="313"/>
  <c r="AF105" i="313"/>
  <c r="AB83" i="329"/>
  <c r="AE78" i="325"/>
  <c r="AE110" i="325" s="1"/>
  <c r="AE79" i="325"/>
  <c r="AE78" i="316"/>
  <c r="AE110" i="316" s="1"/>
  <c r="AE79" i="316"/>
  <c r="AD118" i="319"/>
  <c r="AD85" i="319" s="1"/>
  <c r="AD29" i="320" s="1"/>
  <c r="AD33" i="320" s="1"/>
  <c r="AD126" i="314"/>
  <c r="AD64" i="314"/>
  <c r="AB83" i="323"/>
  <c r="AE40" i="324"/>
  <c r="AE42" i="324" s="1"/>
  <c r="AE43" i="324" s="1"/>
  <c r="AE44" i="324" s="1"/>
  <c r="AE46" i="324" s="1"/>
  <c r="AE48" i="324" s="1"/>
  <c r="AE78" i="314"/>
  <c r="AE79" i="314"/>
  <c r="AE78" i="322"/>
  <c r="AE110" i="322" s="1"/>
  <c r="AE79" i="322"/>
  <c r="AD110" i="328"/>
  <c r="AC126" i="317"/>
  <c r="AC142" i="317" s="1"/>
  <c r="AE78" i="319"/>
  <c r="AE92" i="319" s="1"/>
  <c r="AE79" i="319"/>
  <c r="AE78" i="328"/>
  <c r="AE110" i="328" s="1"/>
  <c r="AE79" i="328"/>
  <c r="AF14" i="327"/>
  <c r="AF16" i="327" s="1"/>
  <c r="AF17" i="327" s="1"/>
  <c r="AF18" i="327" s="1"/>
  <c r="AF20" i="327" s="1"/>
  <c r="AF27" i="327" s="1"/>
  <c r="AF17" i="328"/>
  <c r="AF16" i="328"/>
  <c r="AD57" i="313"/>
  <c r="AD64" i="313" s="1"/>
  <c r="AD112" i="310"/>
  <c r="AC182" i="329"/>
  <c r="AC186" i="329" s="1"/>
  <c r="AD55" i="313"/>
  <c r="AD62" i="313" s="1"/>
  <c r="AD112" i="313"/>
  <c r="AD32" i="312"/>
  <c r="AD172" i="313" s="1"/>
  <c r="AC181" i="317"/>
  <c r="AC185" i="317" s="1"/>
  <c r="AC181" i="329"/>
  <c r="AC185" i="329" s="1"/>
  <c r="AC126" i="329"/>
  <c r="AC70" i="329"/>
  <c r="AC74" i="329" s="1"/>
  <c r="AC53" i="327"/>
  <c r="AC192" i="329" s="1"/>
  <c r="AC194" i="329" s="1"/>
  <c r="AC71" i="329"/>
  <c r="AC75" i="329" s="1"/>
  <c r="AD161" i="313"/>
  <c r="AD168" i="313" s="1"/>
  <c r="AD170" i="313" s="1"/>
  <c r="AB39" i="323"/>
  <c r="AB35" i="323"/>
  <c r="AA43" i="320"/>
  <c r="AB177" i="310"/>
  <c r="AB204" i="310" s="1"/>
  <c r="AC170" i="313"/>
  <c r="AC177" i="313" s="1"/>
  <c r="AC183" i="317"/>
  <c r="AC187" i="317" s="1"/>
  <c r="AB85" i="310"/>
  <c r="AC72" i="317"/>
  <c r="AC76" i="317" s="1"/>
  <c r="AC175" i="310"/>
  <c r="AC177" i="310" s="1"/>
  <c r="AC204" i="310" s="1"/>
  <c r="AD49" i="321"/>
  <c r="AD127" i="323" s="1"/>
  <c r="AD48" i="321"/>
  <c r="AD126" i="323" s="1"/>
  <c r="AC200" i="310"/>
  <c r="AE40" i="315"/>
  <c r="AE42" i="315" s="1"/>
  <c r="AE43" i="315" s="1"/>
  <c r="AE44" i="315" s="1"/>
  <c r="AE46" i="315" s="1"/>
  <c r="AE50" i="315" s="1"/>
  <c r="AF17" i="316"/>
  <c r="AF16" i="316"/>
  <c r="AF16" i="314"/>
  <c r="AF17" i="314"/>
  <c r="AF122" i="314" s="1"/>
  <c r="AF15" i="279"/>
  <c r="AD32" i="308"/>
  <c r="AD172" i="310" s="1"/>
  <c r="AD55" i="310"/>
  <c r="AD62" i="310" s="1"/>
  <c r="AF16" i="309"/>
  <c r="AF59" i="309" s="1"/>
  <c r="AF63" i="309" s="1"/>
  <c r="AF66" i="309" s="1"/>
  <c r="AF67" i="309" s="1"/>
  <c r="AF72" i="309" s="1"/>
  <c r="AF15" i="309"/>
  <c r="AF38" i="309" s="1"/>
  <c r="AE26" i="308"/>
  <c r="AE56" i="310" s="1"/>
  <c r="AE63" i="310" s="1"/>
  <c r="AF16" i="307"/>
  <c r="AF59" i="307" s="1"/>
  <c r="AF15" i="307"/>
  <c r="AF16" i="304"/>
  <c r="AF59" i="304" s="1"/>
  <c r="AF15" i="304"/>
  <c r="AF29" i="304" s="1"/>
  <c r="AF151" i="326"/>
  <c r="AF150" i="326"/>
  <c r="AF150" i="323"/>
  <c r="AF151" i="323"/>
  <c r="AB40" i="320"/>
  <c r="AF150" i="320"/>
  <c r="AF151" i="320"/>
  <c r="AB39" i="320"/>
  <c r="AF150" i="317"/>
  <c r="AF151" i="317"/>
  <c r="AF150" i="313"/>
  <c r="AF151" i="313"/>
  <c r="AF150" i="278"/>
  <c r="AF151" i="278"/>
  <c r="AF151" i="272"/>
  <c r="AF150" i="272"/>
  <c r="AG28" i="269"/>
  <c r="AG32" i="269" s="1"/>
  <c r="AG150" i="269"/>
  <c r="AG151" i="269"/>
  <c r="AG27" i="269"/>
  <c r="AG29" i="269"/>
  <c r="AG33" i="269" s="1"/>
  <c r="AB32" i="317"/>
  <c r="AB40" i="317"/>
  <c r="AF90" i="325"/>
  <c r="AF76" i="325"/>
  <c r="AF28" i="325"/>
  <c r="AF84" i="325"/>
  <c r="AF22" i="325"/>
  <c r="AE39" i="322"/>
  <c r="AE56" i="322" s="1"/>
  <c r="AE23" i="322" s="1"/>
  <c r="AE17" i="323" s="1"/>
  <c r="AE21" i="323" s="1"/>
  <c r="AE48" i="322"/>
  <c r="AE30" i="322"/>
  <c r="AF41" i="325"/>
  <c r="AF32" i="325"/>
  <c r="AE122" i="325"/>
  <c r="AE60" i="325"/>
  <c r="AE94" i="325"/>
  <c r="AE103" i="325"/>
  <c r="AF37" i="324"/>
  <c r="AF40" i="324" s="1"/>
  <c r="AF42" i="324" s="1"/>
  <c r="AF43" i="324" s="1"/>
  <c r="AF44" i="324" s="1"/>
  <c r="AF46" i="324" s="1"/>
  <c r="AF37" i="327"/>
  <c r="AH68" i="267"/>
  <c r="AF37" i="321"/>
  <c r="AF32" i="322"/>
  <c r="AF41" i="322"/>
  <c r="AI66" i="267"/>
  <c r="AF90" i="316"/>
  <c r="AF84" i="316"/>
  <c r="AF76" i="316"/>
  <c r="AF22" i="316"/>
  <c r="AF28" i="316"/>
  <c r="AE39" i="319"/>
  <c r="AE56" i="319" s="1"/>
  <c r="AE23" i="319" s="1"/>
  <c r="AE17" i="320" s="1"/>
  <c r="AE21" i="320" s="1"/>
  <c r="AE48" i="319"/>
  <c r="AE30" i="319"/>
  <c r="AC29" i="317"/>
  <c r="AC86" i="316"/>
  <c r="AC27" i="317" s="1"/>
  <c r="AC31" i="317" s="1"/>
  <c r="AE103" i="319"/>
  <c r="AE94" i="319"/>
  <c r="AE94" i="328"/>
  <c r="AE103" i="328"/>
  <c r="AD64" i="319"/>
  <c r="AD126" i="319"/>
  <c r="AF38" i="312"/>
  <c r="AF80" i="314" s="1"/>
  <c r="AF38" i="318"/>
  <c r="AF80" i="319" s="1"/>
  <c r="AF38" i="315"/>
  <c r="AF80" i="316" s="1"/>
  <c r="AE122" i="322"/>
  <c r="AE60" i="322"/>
  <c r="AC129" i="316"/>
  <c r="AC130" i="316" s="1"/>
  <c r="AC135" i="316" s="1"/>
  <c r="AC87" i="316" s="1"/>
  <c r="AC28" i="317" s="1"/>
  <c r="AC32" i="317" s="1"/>
  <c r="AC67" i="316"/>
  <c r="AC68" i="316" s="1"/>
  <c r="AC73" i="316" s="1"/>
  <c r="AC25" i="316" s="1"/>
  <c r="AC16" i="317" s="1"/>
  <c r="AC20" i="317" s="1"/>
  <c r="AC24" i="316"/>
  <c r="AC15" i="317" s="1"/>
  <c r="AE103" i="316"/>
  <c r="AE94" i="316"/>
  <c r="AG10" i="324"/>
  <c r="AG16" i="325" s="1"/>
  <c r="AG10" i="327"/>
  <c r="AC86" i="322"/>
  <c r="AC27" i="323" s="1"/>
  <c r="AC31" i="323" s="1"/>
  <c r="AC29" i="323"/>
  <c r="AB33" i="317"/>
  <c r="AB41" i="317"/>
  <c r="AD118" i="322"/>
  <c r="AD85" i="322" s="1"/>
  <c r="AC29" i="320"/>
  <c r="AC86" i="319"/>
  <c r="AC27" i="320" s="1"/>
  <c r="AC31" i="320" s="1"/>
  <c r="AF90" i="319"/>
  <c r="AF76" i="319"/>
  <c r="AF84" i="319"/>
  <c r="AF22" i="319"/>
  <c r="AF28" i="319"/>
  <c r="AD39" i="325"/>
  <c r="AD56" i="325" s="1"/>
  <c r="AD23" i="325" s="1"/>
  <c r="AD30" i="325"/>
  <c r="AD48" i="325"/>
  <c r="AD126" i="316"/>
  <c r="AD64" i="316"/>
  <c r="AF90" i="322"/>
  <c r="AF76" i="322"/>
  <c r="AF84" i="322"/>
  <c r="AF28" i="322"/>
  <c r="AF22" i="322"/>
  <c r="AD48" i="328"/>
  <c r="AD39" i="328"/>
  <c r="AD56" i="328" s="1"/>
  <c r="AD23" i="328" s="1"/>
  <c r="AD30" i="328"/>
  <c r="AE122" i="316"/>
  <c r="AE60" i="316"/>
  <c r="AE110" i="319"/>
  <c r="AD126" i="325"/>
  <c r="AD64" i="325"/>
  <c r="AB35" i="326"/>
  <c r="AC129" i="319"/>
  <c r="AC130" i="319" s="1"/>
  <c r="AC135" i="319" s="1"/>
  <c r="AC87" i="319" s="1"/>
  <c r="AC28" i="320" s="1"/>
  <c r="AC67" i="319"/>
  <c r="AC68" i="319" s="1"/>
  <c r="AC73" i="319" s="1"/>
  <c r="AC25" i="319" s="1"/>
  <c r="AC16" i="320" s="1"/>
  <c r="AC20" i="320" s="1"/>
  <c r="AC24" i="319"/>
  <c r="AC15" i="320" s="1"/>
  <c r="AC19" i="320" s="1"/>
  <c r="AB20" i="323"/>
  <c r="AB23" i="323" s="1"/>
  <c r="AB40" i="323"/>
  <c r="AD29" i="326"/>
  <c r="AD33" i="326" s="1"/>
  <c r="AC129" i="322"/>
  <c r="AC130" i="322" s="1"/>
  <c r="AC135" i="322" s="1"/>
  <c r="AC87" i="322" s="1"/>
  <c r="AC28" i="323" s="1"/>
  <c r="AC67" i="322"/>
  <c r="AC68" i="322" s="1"/>
  <c r="AC73" i="322" s="1"/>
  <c r="AC25" i="322" s="1"/>
  <c r="AC16" i="323" s="1"/>
  <c r="AC20" i="323" s="1"/>
  <c r="AC24" i="322"/>
  <c r="AC15" i="323" s="1"/>
  <c r="AC19" i="323" s="1"/>
  <c r="AB41" i="320"/>
  <c r="AB33" i="320"/>
  <c r="AB35" i="320" s="1"/>
  <c r="AC129" i="325"/>
  <c r="AC130" i="325" s="1"/>
  <c r="AC135" i="325" s="1"/>
  <c r="AC87" i="325" s="1"/>
  <c r="AC28" i="326" s="1"/>
  <c r="AC32" i="326" s="1"/>
  <c r="AC67" i="325"/>
  <c r="AC68" i="325" s="1"/>
  <c r="AC73" i="325" s="1"/>
  <c r="AC25" i="325" s="1"/>
  <c r="AC16" i="326" s="1"/>
  <c r="AC20" i="326" s="1"/>
  <c r="AC24" i="325"/>
  <c r="AC15" i="326" s="1"/>
  <c r="AD64" i="328"/>
  <c r="AD126" i="328"/>
  <c r="AD118" i="328"/>
  <c r="AD85" i="328" s="1"/>
  <c r="AF84" i="328"/>
  <c r="AF76" i="328"/>
  <c r="AF28" i="328"/>
  <c r="AF22" i="328"/>
  <c r="AF90" i="328"/>
  <c r="AE48" i="316"/>
  <c r="AE39" i="316"/>
  <c r="AE30" i="316"/>
  <c r="AE56" i="316" s="1"/>
  <c r="AE23" i="316" s="1"/>
  <c r="AE17" i="317" s="1"/>
  <c r="AE21" i="317" s="1"/>
  <c r="AF41" i="328"/>
  <c r="AF32" i="328"/>
  <c r="AE122" i="328"/>
  <c r="AE60" i="328"/>
  <c r="AE122" i="319"/>
  <c r="AE60" i="319"/>
  <c r="AC29" i="329"/>
  <c r="AC33" i="329" s="1"/>
  <c r="AC86" i="328"/>
  <c r="AC27" i="329" s="1"/>
  <c r="AC31" i="329" s="1"/>
  <c r="AE94" i="322"/>
  <c r="AE103" i="322"/>
  <c r="AC129" i="328"/>
  <c r="AC130" i="328" s="1"/>
  <c r="AC135" i="328" s="1"/>
  <c r="AC87" i="328" s="1"/>
  <c r="AC28" i="329" s="1"/>
  <c r="AC32" i="329" s="1"/>
  <c r="AC67" i="328"/>
  <c r="AC68" i="328" s="1"/>
  <c r="AC73" i="328" s="1"/>
  <c r="AC25" i="328" s="1"/>
  <c r="AC16" i="329" s="1"/>
  <c r="AC24" i="328"/>
  <c r="AC15" i="329" s="1"/>
  <c r="AD126" i="322"/>
  <c r="AD64" i="322"/>
  <c r="AF38" i="324"/>
  <c r="AF80" i="325" s="1"/>
  <c r="AF38" i="327"/>
  <c r="AF80" i="328" s="1"/>
  <c r="AF38" i="321"/>
  <c r="AF80" i="322" s="1"/>
  <c r="AG11" i="324"/>
  <c r="AG18" i="325" s="1"/>
  <c r="AG11" i="321"/>
  <c r="AG18" i="322" s="1"/>
  <c r="AG11" i="327"/>
  <c r="AG18" i="328" s="1"/>
  <c r="AB39" i="313"/>
  <c r="Z100" i="260"/>
  <c r="AD33" i="305"/>
  <c r="AD173" i="306" s="1"/>
  <c r="AD175" i="306" s="1"/>
  <c r="AC201" i="320"/>
  <c r="AC201" i="313"/>
  <c r="AC78" i="303"/>
  <c r="Y112" i="260"/>
  <c r="AD53" i="327"/>
  <c r="AD192" i="329" s="1"/>
  <c r="AD194" i="329" s="1"/>
  <c r="AD200" i="329"/>
  <c r="AA40" i="313"/>
  <c r="AB41" i="313"/>
  <c r="AB35" i="313"/>
  <c r="AF37" i="315"/>
  <c r="AF37" i="318"/>
  <c r="AF40" i="318" s="1"/>
  <c r="AF42" i="318" s="1"/>
  <c r="AF43" i="318" s="1"/>
  <c r="AF44" i="318" s="1"/>
  <c r="AF46" i="318" s="1"/>
  <c r="AF37" i="312"/>
  <c r="AF40" i="312" s="1"/>
  <c r="AF42" i="312" s="1"/>
  <c r="AF43" i="312" s="1"/>
  <c r="AF44" i="312" s="1"/>
  <c r="AF46" i="312" s="1"/>
  <c r="AA33" i="313"/>
  <c r="AA41" i="313"/>
  <c r="AE103" i="314"/>
  <c r="AE94" i="314"/>
  <c r="AG10" i="318"/>
  <c r="AG16" i="319" s="1"/>
  <c r="AG10" i="312"/>
  <c r="AG10" i="315"/>
  <c r="AI61" i="267"/>
  <c r="AD110" i="314"/>
  <c r="AD101" i="314"/>
  <c r="AD92" i="314"/>
  <c r="AD118" i="314" s="1"/>
  <c r="AD85" i="314" s="1"/>
  <c r="AA31" i="313"/>
  <c r="AA39" i="313"/>
  <c r="AB204" i="313"/>
  <c r="AC24" i="314"/>
  <c r="AC15" i="313" s="1"/>
  <c r="AC19" i="313" s="1"/>
  <c r="AF84" i="314"/>
  <c r="AF90" i="314"/>
  <c r="AF76" i="314"/>
  <c r="AB20" i="313"/>
  <c r="AB23" i="313" s="1"/>
  <c r="AB40" i="313"/>
  <c r="AD23" i="314"/>
  <c r="AC25" i="314"/>
  <c r="AC16" i="313" s="1"/>
  <c r="AC19" i="310"/>
  <c r="AE27" i="308"/>
  <c r="AE161" i="310" s="1"/>
  <c r="AE168" i="310" s="1"/>
  <c r="AC170" i="303"/>
  <c r="AB23" i="320"/>
  <c r="AC78" i="310"/>
  <c r="AC66" i="323"/>
  <c r="AD33" i="308"/>
  <c r="AD173" i="310" s="1"/>
  <c r="AD201" i="310" s="1"/>
  <c r="AD161" i="310"/>
  <c r="AD168" i="310" s="1"/>
  <c r="AD170" i="310" s="1"/>
  <c r="AD57" i="310"/>
  <c r="AD64" i="310" s="1"/>
  <c r="AB177" i="317"/>
  <c r="AB204" i="317" s="1"/>
  <c r="AD72" i="310"/>
  <c r="AD76" i="310" s="1"/>
  <c r="AD183" i="310"/>
  <c r="AD187" i="310" s="1"/>
  <c r="AC66" i="317"/>
  <c r="AD66" i="329"/>
  <c r="AB177" i="326"/>
  <c r="AB204" i="326" s="1"/>
  <c r="AC170" i="323"/>
  <c r="AB177" i="323"/>
  <c r="AE159" i="313"/>
  <c r="AE166" i="313" s="1"/>
  <c r="AE55" i="313"/>
  <c r="AE62" i="313" s="1"/>
  <c r="AE112" i="313"/>
  <c r="AE32" i="312"/>
  <c r="AE172" i="313" s="1"/>
  <c r="AB20" i="326"/>
  <c r="AB40" i="326"/>
  <c r="AB19" i="326"/>
  <c r="AB39" i="326"/>
  <c r="AC170" i="320"/>
  <c r="AB20" i="329"/>
  <c r="AB40" i="329"/>
  <c r="AD32" i="318"/>
  <c r="AD172" i="320" s="1"/>
  <c r="AD112" i="320"/>
  <c r="AD159" i="320"/>
  <c r="AD166" i="320" s="1"/>
  <c r="AD55" i="320"/>
  <c r="AD62" i="320" s="1"/>
  <c r="AD159" i="326"/>
  <c r="AD166" i="326" s="1"/>
  <c r="AD55" i="326"/>
  <c r="AD62" i="326" s="1"/>
  <c r="AD32" i="324"/>
  <c r="AD172" i="326" s="1"/>
  <c r="AD112" i="326"/>
  <c r="AD32" i="315"/>
  <c r="AD172" i="317" s="1"/>
  <c r="AD55" i="317"/>
  <c r="AD62" i="317" s="1"/>
  <c r="AD159" i="317"/>
  <c r="AD166" i="317" s="1"/>
  <c r="AD112" i="317"/>
  <c r="AB19" i="329"/>
  <c r="AB39" i="329"/>
  <c r="AD33" i="315"/>
  <c r="AD173" i="317" s="1"/>
  <c r="AD201" i="317" s="1"/>
  <c r="AD160" i="317"/>
  <c r="AD167" i="317" s="1"/>
  <c r="AD113" i="317"/>
  <c r="AD56" i="317"/>
  <c r="AD63" i="317" s="1"/>
  <c r="AD175" i="329"/>
  <c r="AD160" i="323"/>
  <c r="AD167" i="323" s="1"/>
  <c r="AD56" i="323"/>
  <c r="AD63" i="323" s="1"/>
  <c r="AD113" i="323"/>
  <c r="AD33" i="321"/>
  <c r="AD173" i="323" s="1"/>
  <c r="AD201" i="323" s="1"/>
  <c r="AB21" i="326"/>
  <c r="AB41" i="326"/>
  <c r="AC200" i="320"/>
  <c r="AC175" i="320"/>
  <c r="AD161" i="320"/>
  <c r="AD168" i="320" s="1"/>
  <c r="AD114" i="320"/>
  <c r="AD57" i="320"/>
  <c r="AD64" i="320" s="1"/>
  <c r="AA23" i="326"/>
  <c r="AA43" i="326" s="1"/>
  <c r="AE33" i="327"/>
  <c r="AE173" i="329" s="1"/>
  <c r="AE56" i="329"/>
  <c r="AE63" i="329" s="1"/>
  <c r="AE160" i="329"/>
  <c r="AE167" i="329" s="1"/>
  <c r="AE113" i="329"/>
  <c r="AD57" i="317"/>
  <c r="AD64" i="317" s="1"/>
  <c r="AD161" i="317"/>
  <c r="AD168" i="317" s="1"/>
  <c r="AD114" i="317"/>
  <c r="AF14" i="324"/>
  <c r="AF16" i="324" s="1"/>
  <c r="AF17" i="324" s="1"/>
  <c r="AF18" i="324" s="1"/>
  <c r="AF20" i="324" s="1"/>
  <c r="AF17" i="325"/>
  <c r="AB21" i="329"/>
  <c r="AB41" i="329"/>
  <c r="AE161" i="313"/>
  <c r="AE168" i="313" s="1"/>
  <c r="AE57" i="313"/>
  <c r="AE64" i="313" s="1"/>
  <c r="AE114" i="313"/>
  <c r="AD161" i="326"/>
  <c r="AD168" i="326" s="1"/>
  <c r="AD57" i="326"/>
  <c r="AD64" i="326" s="1"/>
  <c r="AD114" i="326"/>
  <c r="AE27" i="324"/>
  <c r="AE26" i="324"/>
  <c r="AE25" i="324"/>
  <c r="AD182" i="310"/>
  <c r="AD186" i="310" s="1"/>
  <c r="AD57" i="323"/>
  <c r="AD64" i="323" s="1"/>
  <c r="AD114" i="323"/>
  <c r="AD161" i="323"/>
  <c r="AD168" i="323" s="1"/>
  <c r="AD160" i="320"/>
  <c r="AD167" i="320" s="1"/>
  <c r="AD113" i="320"/>
  <c r="AD33" i="318"/>
  <c r="AD173" i="320" s="1"/>
  <c r="AD56" i="320"/>
  <c r="AD63" i="320" s="1"/>
  <c r="AC177" i="329"/>
  <c r="AE114" i="329"/>
  <c r="AE161" i="329"/>
  <c r="AE168" i="329" s="1"/>
  <c r="AE57" i="329"/>
  <c r="AE64" i="329" s="1"/>
  <c r="AF17" i="322"/>
  <c r="AF14" i="321"/>
  <c r="AF16" i="321" s="1"/>
  <c r="AF17" i="321" s="1"/>
  <c r="AF18" i="321" s="1"/>
  <c r="AF20" i="321" s="1"/>
  <c r="AF26" i="312"/>
  <c r="AF25" i="312"/>
  <c r="AF27" i="312"/>
  <c r="AD127" i="310"/>
  <c r="AD126" i="310"/>
  <c r="AC189" i="303"/>
  <c r="AC196" i="303" s="1"/>
  <c r="AD32" i="321"/>
  <c r="AD172" i="323" s="1"/>
  <c r="AD159" i="323"/>
  <c r="AD166" i="323" s="1"/>
  <c r="AD112" i="323"/>
  <c r="AD55" i="323"/>
  <c r="AD62" i="323" s="1"/>
  <c r="AF17" i="319"/>
  <c r="AF14" i="318"/>
  <c r="AF16" i="318" s="1"/>
  <c r="AF17" i="318" s="1"/>
  <c r="AF18" i="318" s="1"/>
  <c r="AF20" i="318" s="1"/>
  <c r="AE27" i="318"/>
  <c r="AE26" i="318"/>
  <c r="AE25" i="318"/>
  <c r="AC17" i="329"/>
  <c r="AC20" i="310"/>
  <c r="AA23" i="329"/>
  <c r="AA43" i="329" s="1"/>
  <c r="AC17" i="326"/>
  <c r="AE27" i="315"/>
  <c r="AE26" i="315"/>
  <c r="AE25" i="315"/>
  <c r="AE25" i="321"/>
  <c r="AE27" i="321"/>
  <c r="AE26" i="321"/>
  <c r="AC66" i="326"/>
  <c r="AD70" i="310"/>
  <c r="AD74" i="310" s="1"/>
  <c r="AG194" i="303"/>
  <c r="AC170" i="317"/>
  <c r="AC200" i="323"/>
  <c r="AC175" i="323"/>
  <c r="AC200" i="326"/>
  <c r="AC175" i="326"/>
  <c r="AD71" i="303"/>
  <c r="AD75" i="303" s="1"/>
  <c r="AD78" i="303" s="1"/>
  <c r="AE160" i="313"/>
  <c r="AE167" i="313" s="1"/>
  <c r="AE33" i="312"/>
  <c r="AE173" i="313" s="1"/>
  <c r="AE56" i="313"/>
  <c r="AE63" i="313" s="1"/>
  <c r="AE113" i="313"/>
  <c r="AC200" i="317"/>
  <c r="AC175" i="317"/>
  <c r="AC66" i="320"/>
  <c r="AD113" i="326"/>
  <c r="AD33" i="324"/>
  <c r="AD173" i="326" s="1"/>
  <c r="AD201" i="326" s="1"/>
  <c r="AD56" i="326"/>
  <c r="AD63" i="326" s="1"/>
  <c r="AD160" i="326"/>
  <c r="AD167" i="326" s="1"/>
  <c r="AB177" i="320"/>
  <c r="AB204" i="320" s="1"/>
  <c r="AF14" i="315"/>
  <c r="AF16" i="315" s="1"/>
  <c r="AF17" i="315" s="1"/>
  <c r="AF18" i="315" s="1"/>
  <c r="AF20" i="315" s="1"/>
  <c r="AC170" i="326"/>
  <c r="AD170" i="329"/>
  <c r="AC21" i="313"/>
  <c r="AE39" i="314"/>
  <c r="AE30" i="314"/>
  <c r="AE56" i="314" s="1"/>
  <c r="AE48" i="314"/>
  <c r="AC202" i="310"/>
  <c r="AD113" i="306"/>
  <c r="AD113" i="303"/>
  <c r="AF151" i="329"/>
  <c r="AF150" i="329"/>
  <c r="AD160" i="303"/>
  <c r="AD167" i="303" s="1"/>
  <c r="AD56" i="306"/>
  <c r="AD63" i="306" s="1"/>
  <c r="AC24" i="304"/>
  <c r="AC16" i="303" s="1"/>
  <c r="AC20" i="303" s="1"/>
  <c r="AD128" i="320"/>
  <c r="AD183" i="320"/>
  <c r="AD187" i="320" s="1"/>
  <c r="AD72" i="320"/>
  <c r="AD76" i="320" s="1"/>
  <c r="AE49" i="318"/>
  <c r="AE48" i="318"/>
  <c r="AE52" i="318" s="1"/>
  <c r="AE191" i="320" s="1"/>
  <c r="AE50" i="318"/>
  <c r="AF14" i="328"/>
  <c r="AG3" i="329"/>
  <c r="AG3" i="326"/>
  <c r="AG1" i="328"/>
  <c r="AG3" i="323"/>
  <c r="AG1" i="322"/>
  <c r="AG1" i="325"/>
  <c r="AG3" i="317"/>
  <c r="AG1" i="316"/>
  <c r="AG1" i="319"/>
  <c r="AG3" i="320"/>
  <c r="AG3" i="313"/>
  <c r="AG1" i="314"/>
  <c r="AD183" i="326"/>
  <c r="AD187" i="326" s="1"/>
  <c r="AD128" i="326"/>
  <c r="AD72" i="326"/>
  <c r="AD76" i="326" s="1"/>
  <c r="AD72" i="317"/>
  <c r="AD76" i="317" s="1"/>
  <c r="AD183" i="317"/>
  <c r="AD187" i="317" s="1"/>
  <c r="AD128" i="317"/>
  <c r="AE49" i="327"/>
  <c r="AE48" i="327"/>
  <c r="AE52" i="327" s="1"/>
  <c r="AE191" i="329" s="1"/>
  <c r="AE50" i="327"/>
  <c r="AD183" i="313"/>
  <c r="AD187" i="313" s="1"/>
  <c r="AD72" i="313"/>
  <c r="AD76" i="313" s="1"/>
  <c r="AD128" i="313"/>
  <c r="AC74" i="323"/>
  <c r="AC83" i="323"/>
  <c r="AF14" i="325"/>
  <c r="AD70" i="326"/>
  <c r="AD181" i="326"/>
  <c r="AD185" i="326" s="1"/>
  <c r="AD126" i="326"/>
  <c r="AB78" i="320"/>
  <c r="AB85" i="320" s="1"/>
  <c r="AB82" i="320"/>
  <c r="AD128" i="323"/>
  <c r="AD72" i="323"/>
  <c r="AD76" i="323" s="1"/>
  <c r="AD183" i="323"/>
  <c r="AD187" i="323" s="1"/>
  <c r="AD182" i="326"/>
  <c r="AD186" i="326" s="1"/>
  <c r="AD127" i="326"/>
  <c r="AD71" i="326"/>
  <c r="AD75" i="326" s="1"/>
  <c r="AD183" i="329"/>
  <c r="AD187" i="329" s="1"/>
  <c r="AD72" i="329"/>
  <c r="AD76" i="329" s="1"/>
  <c r="AD128" i="329"/>
  <c r="AD182" i="317"/>
  <c r="AD186" i="317" s="1"/>
  <c r="AD127" i="317"/>
  <c r="AD71" i="317"/>
  <c r="AD75" i="317" s="1"/>
  <c r="AB78" i="323"/>
  <c r="AB85" i="323" s="1"/>
  <c r="AB82" i="323"/>
  <c r="AC74" i="317"/>
  <c r="AB78" i="313"/>
  <c r="AB85" i="313" s="1"/>
  <c r="AB82" i="313"/>
  <c r="AF14" i="319"/>
  <c r="AD182" i="329"/>
  <c r="AD186" i="329" s="1"/>
  <c r="AD127" i="329"/>
  <c r="AD71" i="329"/>
  <c r="AD75" i="329" s="1"/>
  <c r="AE48" i="321"/>
  <c r="AE49" i="321"/>
  <c r="AE50" i="321"/>
  <c r="AC189" i="323"/>
  <c r="AC196" i="323" s="1"/>
  <c r="AC202" i="323"/>
  <c r="AC83" i="310"/>
  <c r="AC74" i="326"/>
  <c r="AC83" i="326"/>
  <c r="AE194" i="317"/>
  <c r="AB78" i="317"/>
  <c r="AB85" i="317" s="1"/>
  <c r="AB82" i="317"/>
  <c r="AE49" i="312"/>
  <c r="AE48" i="312"/>
  <c r="AE52" i="312" s="1"/>
  <c r="AE191" i="313" s="1"/>
  <c r="AE50" i="312"/>
  <c r="AC74" i="320"/>
  <c r="AC83" i="320"/>
  <c r="AC74" i="313"/>
  <c r="AC83" i="313"/>
  <c r="AF14" i="322"/>
  <c r="AD181" i="317"/>
  <c r="AD185" i="317" s="1"/>
  <c r="AD126" i="317"/>
  <c r="AD70" i="317"/>
  <c r="AF14" i="316"/>
  <c r="AE194" i="326"/>
  <c r="AD70" i="329"/>
  <c r="AD126" i="329"/>
  <c r="AD181" i="329"/>
  <c r="AD185" i="329" s="1"/>
  <c r="AC189" i="326"/>
  <c r="AC196" i="326" s="1"/>
  <c r="AC202" i="326"/>
  <c r="AE194" i="323"/>
  <c r="AD70" i="320"/>
  <c r="AD181" i="320"/>
  <c r="AD185" i="320" s="1"/>
  <c r="AD126" i="320"/>
  <c r="AC189" i="320"/>
  <c r="AC196" i="320" s="1"/>
  <c r="AC202" i="320"/>
  <c r="AB78" i="326"/>
  <c r="AB85" i="326" s="1"/>
  <c r="AB82" i="326"/>
  <c r="AB78" i="329"/>
  <c r="AB85" i="329" s="1"/>
  <c r="AB82" i="329"/>
  <c r="AC189" i="313"/>
  <c r="AC196" i="313" s="1"/>
  <c r="AC202" i="313"/>
  <c r="AF22" i="314"/>
  <c r="AF14" i="314"/>
  <c r="AF28" i="314"/>
  <c r="AC17" i="303"/>
  <c r="AC41" i="303" s="1"/>
  <c r="AF14" i="308"/>
  <c r="AF16" i="308" s="1"/>
  <c r="AF17" i="308" s="1"/>
  <c r="AF18" i="308" s="1"/>
  <c r="AF20" i="308" s="1"/>
  <c r="AF26" i="308" s="1"/>
  <c r="AE48" i="308"/>
  <c r="AE181" i="310" s="1"/>
  <c r="AE185" i="310" s="1"/>
  <c r="AE50" i="308"/>
  <c r="AE128" i="310" s="1"/>
  <c r="AE49" i="308"/>
  <c r="AE127" i="310" s="1"/>
  <c r="AF38" i="268"/>
  <c r="AF38" i="277"/>
  <c r="AF38" i="271"/>
  <c r="AF38" i="308"/>
  <c r="AF38" i="305"/>
  <c r="AF38" i="302"/>
  <c r="AG10" i="277"/>
  <c r="AG10" i="268"/>
  <c r="AG15" i="270" s="1"/>
  <c r="AG10" i="302"/>
  <c r="AG10" i="308"/>
  <c r="AF37" i="271"/>
  <c r="AF40" i="271" s="1"/>
  <c r="AF42" i="271" s="1"/>
  <c r="AF43" i="271" s="1"/>
  <c r="AF44" i="271" s="1"/>
  <c r="AF46" i="271" s="1"/>
  <c r="AF37" i="308"/>
  <c r="AF40" i="308" s="1"/>
  <c r="AF42" i="308" s="1"/>
  <c r="AF43" i="308" s="1"/>
  <c r="AF44" i="308" s="1"/>
  <c r="AF46" i="308" s="1"/>
  <c r="AF37" i="305"/>
  <c r="AF40" i="305" s="1"/>
  <c r="AF42" i="305" s="1"/>
  <c r="AF43" i="305" s="1"/>
  <c r="AF44" i="305" s="1"/>
  <c r="AF46" i="305" s="1"/>
  <c r="AF37" i="302"/>
  <c r="AF40" i="302" s="1"/>
  <c r="AF42" i="302" s="1"/>
  <c r="AF43" i="302" s="1"/>
  <c r="AF44" i="302" s="1"/>
  <c r="AF46" i="302" s="1"/>
  <c r="AF48" i="302" s="1"/>
  <c r="AF37" i="277"/>
  <c r="AF40" i="277" s="1"/>
  <c r="AF42" i="277" s="1"/>
  <c r="AF43" i="277" s="1"/>
  <c r="AF44" i="277" s="1"/>
  <c r="AF46" i="277" s="1"/>
  <c r="AB40" i="303"/>
  <c r="AB20" i="303"/>
  <c r="AC39" i="303"/>
  <c r="AC19" i="303"/>
  <c r="AI57" i="267"/>
  <c r="AI52" i="267"/>
  <c r="AB39" i="303"/>
  <c r="AB19" i="303"/>
  <c r="AD112" i="306"/>
  <c r="AC83" i="303"/>
  <c r="AC202" i="303"/>
  <c r="AB23" i="310"/>
  <c r="AB43" i="310" s="1"/>
  <c r="AB41" i="272"/>
  <c r="AB21" i="272"/>
  <c r="AF27" i="272"/>
  <c r="AF28" i="272"/>
  <c r="AF32" i="272" s="1"/>
  <c r="AF29" i="272"/>
  <c r="AF33" i="272" s="1"/>
  <c r="AB39" i="272"/>
  <c r="AB19" i="272"/>
  <c r="AC39" i="306"/>
  <c r="AC19" i="306"/>
  <c r="AC40" i="306"/>
  <c r="AC20" i="306"/>
  <c r="AD41" i="306"/>
  <c r="AD21" i="306"/>
  <c r="AD41" i="310"/>
  <c r="AD21" i="310"/>
  <c r="AD40" i="310"/>
  <c r="AD20" i="310"/>
  <c r="AD39" i="310"/>
  <c r="AC41" i="278"/>
  <c r="AC21" i="278"/>
  <c r="AA40" i="278"/>
  <c r="AA20" i="278"/>
  <c r="AB39" i="278"/>
  <c r="AB19" i="278"/>
  <c r="AA39" i="278"/>
  <c r="AA19" i="278"/>
  <c r="AB41" i="278"/>
  <c r="AB21" i="278"/>
  <c r="AF29" i="278"/>
  <c r="AF33" i="278" s="1"/>
  <c r="AF28" i="278"/>
  <c r="AF32" i="278" s="1"/>
  <c r="AF27" i="278"/>
  <c r="AB41" i="269"/>
  <c r="AB21" i="269"/>
  <c r="AA40" i="269"/>
  <c r="AA20" i="269"/>
  <c r="AA39" i="269"/>
  <c r="AA19" i="269"/>
  <c r="AA41" i="269"/>
  <c r="AA21" i="269"/>
  <c r="AI11" i="278"/>
  <c r="AE9" i="278"/>
  <c r="AD31" i="278"/>
  <c r="AD35" i="278" s="1"/>
  <c r="AI11" i="272"/>
  <c r="AI10" i="272"/>
  <c r="AH11" i="269"/>
  <c r="AJ11" i="310"/>
  <c r="AI33" i="310"/>
  <c r="AI35" i="310" s="1"/>
  <c r="AE9" i="269"/>
  <c r="AD31" i="269"/>
  <c r="AD35" i="269" s="1"/>
  <c r="AJ11" i="303"/>
  <c r="AI33" i="303"/>
  <c r="AI35" i="303" s="1"/>
  <c r="AD159" i="306"/>
  <c r="AD166" i="306" s="1"/>
  <c r="AD170" i="306" s="1"/>
  <c r="AH10" i="269"/>
  <c r="AJ11" i="306"/>
  <c r="AI33" i="306"/>
  <c r="AI35" i="306" s="1"/>
  <c r="AI10" i="278"/>
  <c r="AE9" i="272"/>
  <c r="AD31" i="272"/>
  <c r="AD35" i="272" s="1"/>
  <c r="AH3" i="269"/>
  <c r="AB204" i="306"/>
  <c r="AB66" i="303"/>
  <c r="AB85" i="303" s="1"/>
  <c r="AF38" i="270"/>
  <c r="AF14" i="271"/>
  <c r="AF16" i="271" s="1"/>
  <c r="AF17" i="271" s="1"/>
  <c r="AF18" i="271" s="1"/>
  <c r="AF20" i="271" s="1"/>
  <c r="AF16" i="273"/>
  <c r="AF59" i="273" s="1"/>
  <c r="Z23" i="272"/>
  <c r="Z43" i="272" s="1"/>
  <c r="AF14" i="277"/>
  <c r="AF16" i="277" s="1"/>
  <c r="AF17" i="277" s="1"/>
  <c r="AF18" i="277" s="1"/>
  <c r="AF20" i="277" s="1"/>
  <c r="AF16" i="279"/>
  <c r="AF59" i="279" s="1"/>
  <c r="AE113" i="306"/>
  <c r="AD55" i="306"/>
  <c r="AD62" i="306" s="1"/>
  <c r="AD17" i="303"/>
  <c r="AD24" i="304"/>
  <c r="AD16" i="303" s="1"/>
  <c r="AD23" i="304"/>
  <c r="AD15" i="303" s="1"/>
  <c r="AF14" i="268"/>
  <c r="AF16" i="268" s="1"/>
  <c r="AF17" i="268" s="1"/>
  <c r="AF18" i="268" s="1"/>
  <c r="AF20" i="268" s="1"/>
  <c r="AF16" i="270"/>
  <c r="AF59" i="270" s="1"/>
  <c r="AE40" i="304"/>
  <c r="AE31" i="304"/>
  <c r="AE55" i="304" s="1"/>
  <c r="AE22" i="304" s="1"/>
  <c r="AE63" i="304"/>
  <c r="AE66" i="304" s="1"/>
  <c r="AE67" i="304" s="1"/>
  <c r="AE72" i="304" s="1"/>
  <c r="AC66" i="306"/>
  <c r="AD182" i="303"/>
  <c r="AD186" i="303" s="1"/>
  <c r="AC170" i="306"/>
  <c r="AD33" i="302"/>
  <c r="AD173" i="303" s="1"/>
  <c r="AD114" i="303"/>
  <c r="AF194" i="310"/>
  <c r="AE27" i="305"/>
  <c r="AE161" i="306" s="1"/>
  <c r="AE168" i="306" s="1"/>
  <c r="AD161" i="303"/>
  <c r="AD168" i="303" s="1"/>
  <c r="AD126" i="303"/>
  <c r="AD181" i="303"/>
  <c r="AD185" i="303" s="1"/>
  <c r="AE56" i="306"/>
  <c r="AE63" i="306" s="1"/>
  <c r="AF21" i="304"/>
  <c r="AF194" i="306"/>
  <c r="AF13" i="304"/>
  <c r="AE25" i="305"/>
  <c r="AE32" i="305" s="1"/>
  <c r="AE172" i="306" s="1"/>
  <c r="AE200" i="306" s="1"/>
  <c r="AG60" i="309"/>
  <c r="AF14" i="305"/>
  <c r="AF16" i="305" s="1"/>
  <c r="AF17" i="305" s="1"/>
  <c r="AF18" i="305" s="1"/>
  <c r="AF20" i="305" s="1"/>
  <c r="AF60" i="307"/>
  <c r="AE29" i="307"/>
  <c r="AE55" i="307" s="1"/>
  <c r="AE22" i="307" s="1"/>
  <c r="AE17" i="306" s="1"/>
  <c r="AE47" i="307"/>
  <c r="AE38" i="307"/>
  <c r="AF27" i="307"/>
  <c r="AF13" i="307"/>
  <c r="AF21" i="307"/>
  <c r="AE50" i="302"/>
  <c r="AE128" i="303" s="1"/>
  <c r="AB23" i="306"/>
  <c r="AB43" i="306" s="1"/>
  <c r="AF27" i="309"/>
  <c r="AF13" i="309"/>
  <c r="AF21" i="309"/>
  <c r="AE49" i="302"/>
  <c r="AE71" i="303" s="1"/>
  <c r="AE75" i="303" s="1"/>
  <c r="AG1" i="304"/>
  <c r="AG27" i="304" s="1"/>
  <c r="AG1" i="309"/>
  <c r="AG1" i="307"/>
  <c r="AE66" i="307"/>
  <c r="AE67" i="307" s="1"/>
  <c r="AE72" i="307" s="1"/>
  <c r="AD23" i="307"/>
  <c r="AD15" i="306" s="1"/>
  <c r="AC82" i="310"/>
  <c r="AC66" i="310"/>
  <c r="AD24" i="307"/>
  <c r="AD16" i="306" s="1"/>
  <c r="AC175" i="306"/>
  <c r="AC201" i="306"/>
  <c r="AE112" i="310"/>
  <c r="AE55" i="310"/>
  <c r="AE32" i="308"/>
  <c r="AE172" i="310" s="1"/>
  <c r="AE159" i="310"/>
  <c r="AE166" i="310" s="1"/>
  <c r="AE27" i="302"/>
  <c r="AE57" i="303" s="1"/>
  <c r="AE64" i="303" s="1"/>
  <c r="AD182" i="306"/>
  <c r="AD186" i="306" s="1"/>
  <c r="AD127" i="306"/>
  <c r="AD71" i="306"/>
  <c r="AD75" i="306" s="1"/>
  <c r="AD126" i="306"/>
  <c r="AD181" i="306"/>
  <c r="AD185" i="306" s="1"/>
  <c r="AD70" i="306"/>
  <c r="AD74" i="306" s="1"/>
  <c r="AD183" i="306"/>
  <c r="AD187" i="306" s="1"/>
  <c r="AD72" i="306"/>
  <c r="AD128" i="306"/>
  <c r="AC189" i="306"/>
  <c r="AC196" i="306" s="1"/>
  <c r="AC202" i="306"/>
  <c r="AC76" i="306"/>
  <c r="AC83" i="306"/>
  <c r="AB78" i="306"/>
  <c r="AB85" i="306" s="1"/>
  <c r="AB82" i="306"/>
  <c r="AA172" i="269"/>
  <c r="AA200" i="269" s="1"/>
  <c r="AE38" i="304"/>
  <c r="Y23" i="303"/>
  <c r="Y43" i="303" s="1"/>
  <c r="AC17" i="269"/>
  <c r="AI56" i="267"/>
  <c r="AG10" i="305"/>
  <c r="Z172" i="269"/>
  <c r="Z200" i="269" s="1"/>
  <c r="AE47" i="304"/>
  <c r="AE26" i="302"/>
  <c r="AE160" i="303" s="1"/>
  <c r="AE167" i="303" s="1"/>
  <c r="Z23" i="303"/>
  <c r="Z43" i="303" s="1"/>
  <c r="AE49" i="305"/>
  <c r="AE48" i="305"/>
  <c r="AE50" i="305"/>
  <c r="AB15" i="269"/>
  <c r="AB16" i="269"/>
  <c r="Z173" i="269"/>
  <c r="Z201" i="269" s="1"/>
  <c r="Z201" i="303"/>
  <c r="Y175" i="303"/>
  <c r="Y177" i="303" s="1"/>
  <c r="Y204" i="303" s="1"/>
  <c r="Y200" i="303"/>
  <c r="Y111" i="260" s="1"/>
  <c r="AF60" i="304"/>
  <c r="AF14" i="302"/>
  <c r="AF16" i="302" s="1"/>
  <c r="AF17" i="302" s="1"/>
  <c r="AF18" i="302" s="1"/>
  <c r="AF20" i="302" s="1"/>
  <c r="AF26" i="302" s="1"/>
  <c r="AF194" i="303"/>
  <c r="AE32" i="302"/>
  <c r="AE172" i="303" s="1"/>
  <c r="AE159" i="303"/>
  <c r="AE166" i="303" s="1"/>
  <c r="AE112" i="303"/>
  <c r="AE55" i="303"/>
  <c r="AC82" i="303"/>
  <c r="AC66" i="303"/>
  <c r="AD62" i="303"/>
  <c r="AE126" i="303"/>
  <c r="AE70" i="303"/>
  <c r="AE74" i="303" s="1"/>
  <c r="AE181" i="303"/>
  <c r="AE185" i="303" s="1"/>
  <c r="AH58" i="267"/>
  <c r="AC55" i="273"/>
  <c r="AC22" i="273" s="1"/>
  <c r="AC17" i="272" s="1"/>
  <c r="AC23" i="279"/>
  <c r="AC15" i="278" s="1"/>
  <c r="AF21" i="279"/>
  <c r="AF13" i="279"/>
  <c r="AF27" i="279"/>
  <c r="AF27" i="270"/>
  <c r="AF13" i="270"/>
  <c r="AF21" i="270"/>
  <c r="AF37" i="268"/>
  <c r="AF40" i="268" s="1"/>
  <c r="AF42" i="268" s="1"/>
  <c r="AF43" i="268" s="1"/>
  <c r="AF44" i="268" s="1"/>
  <c r="AF46" i="268" s="1"/>
  <c r="AH53" i="267"/>
  <c r="AG3" i="272"/>
  <c r="AI51" i="267"/>
  <c r="AJ2" i="267"/>
  <c r="AG1" i="270"/>
  <c r="AG1" i="279"/>
  <c r="AG3" i="278"/>
  <c r="AG1" i="273"/>
  <c r="AF21" i="273"/>
  <c r="AF13" i="273"/>
  <c r="AF27" i="273"/>
  <c r="AC24" i="279"/>
  <c r="AC16" i="278" s="1"/>
  <c r="AD38" i="273"/>
  <c r="AD29" i="273"/>
  <c r="AD47" i="279"/>
  <c r="AD29" i="279"/>
  <c r="AG10" i="271"/>
  <c r="AG15" i="273" s="1"/>
  <c r="AE29" i="273"/>
  <c r="AE60" i="273"/>
  <c r="AE63" i="273" s="1"/>
  <c r="AE66" i="273" s="1"/>
  <c r="AE67" i="273" s="1"/>
  <c r="AE72" i="273" s="1"/>
  <c r="AE47" i="279"/>
  <c r="AE60" i="279"/>
  <c r="AE63" i="279" s="1"/>
  <c r="AD114" i="278"/>
  <c r="AD161" i="278"/>
  <c r="AD57" i="278"/>
  <c r="AD32" i="277"/>
  <c r="AD172" i="278" s="1"/>
  <c r="AD112" i="278"/>
  <c r="AD159" i="278"/>
  <c r="AD55" i="278"/>
  <c r="AD113" i="278"/>
  <c r="AD160" i="278"/>
  <c r="AD167" i="278" s="1"/>
  <c r="AD56" i="278"/>
  <c r="AD63" i="278" s="1"/>
  <c r="AD181" i="278"/>
  <c r="AD185" i="278" s="1"/>
  <c r="AD70" i="278"/>
  <c r="AD126" i="278"/>
  <c r="AD182" i="278"/>
  <c r="AD127" i="278"/>
  <c r="AD71" i="278"/>
  <c r="AD183" i="278"/>
  <c r="AD187" i="278" s="1"/>
  <c r="AD72" i="278"/>
  <c r="AD76" i="278" s="1"/>
  <c r="AD128" i="278"/>
  <c r="AB189" i="278"/>
  <c r="AI53" i="277"/>
  <c r="AI192" i="278" s="1"/>
  <c r="AI52" i="277"/>
  <c r="AI191" i="278" s="1"/>
  <c r="AD33" i="277"/>
  <c r="AD173" i="278" s="1"/>
  <c r="AD201" i="278" s="1"/>
  <c r="AE49" i="277"/>
  <c r="AE48" i="277"/>
  <c r="AE50" i="277"/>
  <c r="AE25" i="277"/>
  <c r="AE27" i="277"/>
  <c r="AE26" i="277"/>
  <c r="AE50" i="271"/>
  <c r="AE49" i="271"/>
  <c r="AE48" i="271"/>
  <c r="AH52" i="271"/>
  <c r="AH191" i="272" s="1"/>
  <c r="AH53" i="271"/>
  <c r="AH192" i="272" s="1"/>
  <c r="AD126" i="272"/>
  <c r="AD181" i="272"/>
  <c r="AD185" i="272" s="1"/>
  <c r="AD70" i="272"/>
  <c r="AD127" i="272"/>
  <c r="AD182" i="272"/>
  <c r="AD186" i="272" s="1"/>
  <c r="AD71" i="272"/>
  <c r="AD75" i="272" s="1"/>
  <c r="AD128" i="272"/>
  <c r="AD183" i="272"/>
  <c r="AD187" i="272" s="1"/>
  <c r="AD72" i="272"/>
  <c r="AD76" i="272" s="1"/>
  <c r="AD56" i="272"/>
  <c r="AD113" i="272"/>
  <c r="AD160" i="272"/>
  <c r="AD33" i="271"/>
  <c r="AD173" i="272" s="1"/>
  <c r="AD201" i="272" s="1"/>
  <c r="AD32" i="271"/>
  <c r="AD172" i="272" s="1"/>
  <c r="AD55" i="272"/>
  <c r="AD112" i="272"/>
  <c r="AD159" i="272"/>
  <c r="AE25" i="271"/>
  <c r="AE26" i="271"/>
  <c r="AE27" i="271"/>
  <c r="AD57" i="272"/>
  <c r="AD64" i="272" s="1"/>
  <c r="AD114" i="272"/>
  <c r="AD161" i="272"/>
  <c r="AD168" i="272" s="1"/>
  <c r="AC186" i="272"/>
  <c r="AF14" i="279"/>
  <c r="AF14" i="273"/>
  <c r="AC62" i="272"/>
  <c r="AC166" i="272"/>
  <c r="AF60" i="270"/>
  <c r="AC201" i="272"/>
  <c r="AC75" i="272"/>
  <c r="AC167" i="272"/>
  <c r="AC185" i="272"/>
  <c r="AB202" i="272"/>
  <c r="AB202" i="278"/>
  <c r="AB83" i="278"/>
  <c r="AB83" i="272"/>
  <c r="AJ2" i="277"/>
  <c r="AK2" i="277" s="1"/>
  <c r="AL2" i="277" s="1"/>
  <c r="AA23" i="272"/>
  <c r="AA43" i="272" s="1"/>
  <c r="AG6" i="271"/>
  <c r="AH2" i="268"/>
  <c r="AG53" i="268"/>
  <c r="AG192" i="269" s="1"/>
  <c r="AG52" i="268"/>
  <c r="AG191" i="269" s="1"/>
  <c r="AG6" i="268"/>
  <c r="AI2" i="271"/>
  <c r="AA159" i="269"/>
  <c r="AA166" i="269" s="1"/>
  <c r="AA170" i="269" s="1"/>
  <c r="AA33" i="268"/>
  <c r="AA55" i="269"/>
  <c r="AA62" i="269" s="1"/>
  <c r="AA112" i="269"/>
  <c r="AB66" i="278"/>
  <c r="AC167" i="278"/>
  <c r="AC63" i="278"/>
  <c r="AC201" i="278"/>
  <c r="AE40" i="273"/>
  <c r="AE31" i="273"/>
  <c r="AB170" i="278"/>
  <c r="AC62" i="278"/>
  <c r="AC166" i="278"/>
  <c r="AC200" i="272"/>
  <c r="AC168" i="278"/>
  <c r="AC64" i="278"/>
  <c r="AE31" i="279"/>
  <c r="AE40" i="279"/>
  <c r="AB200" i="278"/>
  <c r="AB78" i="278"/>
  <c r="AB82" i="278"/>
  <c r="AB82" i="272"/>
  <c r="AB78" i="272"/>
  <c r="AB85" i="272" s="1"/>
  <c r="AC74" i="272"/>
  <c r="AA78" i="278"/>
  <c r="AA85" i="278" s="1"/>
  <c r="AA82" i="278"/>
  <c r="AC186" i="278"/>
  <c r="AC75" i="278"/>
  <c r="AC185" i="278"/>
  <c r="AC76" i="278"/>
  <c r="AC187" i="278"/>
  <c r="AB26" i="268"/>
  <c r="AB160" i="269" s="1"/>
  <c r="AB167" i="269" s="1"/>
  <c r="AB25" i="268"/>
  <c r="AB32" i="268" s="1"/>
  <c r="AA56" i="269"/>
  <c r="AA63" i="269" s="1"/>
  <c r="AA113" i="269"/>
  <c r="AC27" i="268"/>
  <c r="AD17" i="268"/>
  <c r="AD18" i="268" s="1"/>
  <c r="AD20" i="268" s="1"/>
  <c r="AE40" i="270"/>
  <c r="AE31" i="270"/>
  <c r="Z66" i="269"/>
  <c r="AD47" i="270"/>
  <c r="AD38" i="270"/>
  <c r="AD29" i="270"/>
  <c r="AD66" i="270"/>
  <c r="AD67" i="270" s="1"/>
  <c r="AD72" i="270" s="1"/>
  <c r="AB161" i="269"/>
  <c r="AB168" i="269" s="1"/>
  <c r="AB114" i="269"/>
  <c r="AB57" i="269"/>
  <c r="AB64" i="269" s="1"/>
  <c r="Z170" i="269"/>
  <c r="AC23" i="270"/>
  <c r="AE60" i="270"/>
  <c r="AE63" i="270" s="1"/>
  <c r="AE29" i="270"/>
  <c r="AE38" i="270"/>
  <c r="AE47" i="270"/>
  <c r="Z23" i="269"/>
  <c r="Z43" i="269" s="1"/>
  <c r="AC24" i="270"/>
  <c r="AE2" i="264"/>
  <c r="AE17" i="264" s="1"/>
  <c r="AD70" i="313" l="1"/>
  <c r="AD200" i="313"/>
  <c r="AD126" i="313"/>
  <c r="AD181" i="313"/>
  <c r="AD185" i="313" s="1"/>
  <c r="AD189" i="313" s="1"/>
  <c r="AJ7" i="267"/>
  <c r="AJ12" i="267"/>
  <c r="AJ10" i="267"/>
  <c r="AH6" i="305" s="1"/>
  <c r="AH14" i="307" s="1"/>
  <c r="AJ8" i="267"/>
  <c r="AH6" i="268" s="1"/>
  <c r="AJ11" i="267"/>
  <c r="AJ9" i="267"/>
  <c r="AD71" i="320"/>
  <c r="AD75" i="320" s="1"/>
  <c r="AF41" i="314"/>
  <c r="AG10" i="321"/>
  <c r="AG16" i="322" s="1"/>
  <c r="AH101" i="269"/>
  <c r="AH102" i="269"/>
  <c r="AH100" i="269"/>
  <c r="AH103" i="269"/>
  <c r="AH98" i="269"/>
  <c r="AH96" i="269"/>
  <c r="AH92" i="269"/>
  <c r="AH91" i="269"/>
  <c r="AH95" i="269"/>
  <c r="AH97" i="269"/>
  <c r="AH90" i="269"/>
  <c r="AH93" i="269"/>
  <c r="AE50" i="324"/>
  <c r="AL53" i="277"/>
  <c r="AL192" i="278" s="1"/>
  <c r="AL52" i="277"/>
  <c r="AL191" i="278" s="1"/>
  <c r="AE17" i="310"/>
  <c r="AE24" i="309"/>
  <c r="AE16" i="310" s="1"/>
  <c r="AE23" i="309"/>
  <c r="AE15" i="310" s="1"/>
  <c r="AE39" i="310" s="1"/>
  <c r="AJ30" i="267"/>
  <c r="AJ39" i="267"/>
  <c r="AJ41" i="267" s="1"/>
  <c r="AJ44" i="267"/>
  <c r="AJ46" i="267" s="1"/>
  <c r="AJ29" i="267"/>
  <c r="AJ31" i="267" s="1"/>
  <c r="AJ45" i="267"/>
  <c r="AJ67" i="267" s="1"/>
  <c r="AJ40" i="267"/>
  <c r="AF31" i="309"/>
  <c r="AF40" i="309"/>
  <c r="AG11" i="315"/>
  <c r="AG18" i="316" s="1"/>
  <c r="AG11" i="312"/>
  <c r="AG18" i="314" s="1"/>
  <c r="AG11" i="318"/>
  <c r="AG18" i="319" s="1"/>
  <c r="AF32" i="316"/>
  <c r="AF41" i="316"/>
  <c r="AF32" i="319"/>
  <c r="AF41" i="319"/>
  <c r="AG11" i="268"/>
  <c r="AG17" i="270" s="1"/>
  <c r="AG11" i="308"/>
  <c r="AG17" i="309" s="1"/>
  <c r="AG11" i="277"/>
  <c r="AG17" i="279" s="1"/>
  <c r="AG11" i="302"/>
  <c r="AG17" i="304" s="1"/>
  <c r="AI58" i="267"/>
  <c r="AB204" i="323"/>
  <c r="AE112" i="329"/>
  <c r="AE119" i="329" s="1"/>
  <c r="AD86" i="316"/>
  <c r="AD27" i="317" s="1"/>
  <c r="AD31" i="317" s="1"/>
  <c r="AD24" i="314"/>
  <c r="AD15" i="313" s="1"/>
  <c r="AD19" i="313" s="1"/>
  <c r="AF63" i="307"/>
  <c r="AC35" i="326"/>
  <c r="AE101" i="316"/>
  <c r="AB43" i="323"/>
  <c r="AD86" i="319"/>
  <c r="AD27" i="320" s="1"/>
  <c r="AD31" i="320" s="1"/>
  <c r="AE101" i="325"/>
  <c r="AE118" i="325" s="1"/>
  <c r="AE85" i="325" s="1"/>
  <c r="AE29" i="326" s="1"/>
  <c r="AE33" i="326" s="1"/>
  <c r="AC87" i="314"/>
  <c r="AC28" i="313" s="1"/>
  <c r="AC32" i="313" s="1"/>
  <c r="AC86" i="314"/>
  <c r="AC27" i="313" s="1"/>
  <c r="AC31" i="313" s="1"/>
  <c r="AD86" i="325"/>
  <c r="AD27" i="326" s="1"/>
  <c r="AD31" i="326" s="1"/>
  <c r="AE101" i="328"/>
  <c r="AE118" i="328" s="1"/>
  <c r="AE85" i="328" s="1"/>
  <c r="AE29" i="329" s="1"/>
  <c r="AE33" i="329" s="1"/>
  <c r="AH6" i="327"/>
  <c r="AH6" i="315"/>
  <c r="AH6" i="318"/>
  <c r="AH6" i="321"/>
  <c r="AH6" i="312"/>
  <c r="AH6" i="302"/>
  <c r="AH14" i="304" s="1"/>
  <c r="AH6" i="324"/>
  <c r="AH6" i="308"/>
  <c r="AH14" i="309" s="1"/>
  <c r="AD53" i="312"/>
  <c r="AD192" i="313" s="1"/>
  <c r="AD194" i="313" s="1"/>
  <c r="AE101" i="319"/>
  <c r="AE118" i="319" s="1"/>
  <c r="AE85" i="319" s="1"/>
  <c r="AE29" i="320" s="1"/>
  <c r="AE33" i="320" s="1"/>
  <c r="AG77" i="322"/>
  <c r="AG15" i="322"/>
  <c r="AG77" i="319"/>
  <c r="AG15" i="319"/>
  <c r="AE92" i="325"/>
  <c r="AG77" i="314"/>
  <c r="AG15" i="314"/>
  <c r="AG77" i="316"/>
  <c r="AG15" i="316"/>
  <c r="AG77" i="325"/>
  <c r="AG15" i="325"/>
  <c r="AE64" i="314"/>
  <c r="AE129" i="314" s="1"/>
  <c r="AE130" i="314" s="1"/>
  <c r="AE135" i="314" s="1"/>
  <c r="AG77" i="328"/>
  <c r="AG15" i="328"/>
  <c r="AG102" i="278"/>
  <c r="AG103" i="278"/>
  <c r="AG100" i="278"/>
  <c r="AG101" i="278"/>
  <c r="AG93" i="278"/>
  <c r="AG97" i="278"/>
  <c r="AG95" i="278"/>
  <c r="AG90" i="278"/>
  <c r="AG91" i="278"/>
  <c r="AG96" i="278"/>
  <c r="AG92" i="278"/>
  <c r="AG98" i="278"/>
  <c r="AG102" i="313"/>
  <c r="AG100" i="313"/>
  <c r="AG103" i="313"/>
  <c r="AG101" i="313"/>
  <c r="AG98" i="313"/>
  <c r="AG97" i="313"/>
  <c r="AG91" i="313"/>
  <c r="AG96" i="313"/>
  <c r="AG92" i="313"/>
  <c r="AG95" i="313"/>
  <c r="AG90" i="313"/>
  <c r="AG93" i="313"/>
  <c r="AG102" i="272"/>
  <c r="AG101" i="272"/>
  <c r="AG103" i="272"/>
  <c r="AG100" i="272"/>
  <c r="AG93" i="272"/>
  <c r="AG97" i="272"/>
  <c r="AG95" i="272"/>
  <c r="AG92" i="272"/>
  <c r="AG90" i="272"/>
  <c r="AG98" i="272"/>
  <c r="AG96" i="272"/>
  <c r="AG91" i="272"/>
  <c r="AG100" i="320"/>
  <c r="AG101" i="320"/>
  <c r="AG102" i="320"/>
  <c r="AG103" i="320"/>
  <c r="AG91" i="320"/>
  <c r="AG98" i="320"/>
  <c r="AG96" i="320"/>
  <c r="AG92" i="320"/>
  <c r="AG93" i="320"/>
  <c r="AG97" i="320"/>
  <c r="AG90" i="320"/>
  <c r="AG95" i="320"/>
  <c r="AG100" i="326"/>
  <c r="AG101" i="326"/>
  <c r="AG102" i="326"/>
  <c r="AG103" i="326"/>
  <c r="AG97" i="326"/>
  <c r="AG95" i="326"/>
  <c r="AG90" i="326"/>
  <c r="AG91" i="326"/>
  <c r="AG98" i="326"/>
  <c r="AG96" i="326"/>
  <c r="AG92" i="326"/>
  <c r="AG93" i="326"/>
  <c r="AD53" i="318"/>
  <c r="AD192" i="320" s="1"/>
  <c r="AD194" i="320" s="1"/>
  <c r="AE101" i="322"/>
  <c r="AE118" i="322" s="1"/>
  <c r="AE85" i="322" s="1"/>
  <c r="AG103" i="317"/>
  <c r="AG100" i="317"/>
  <c r="AG101" i="317"/>
  <c r="AG102" i="317"/>
  <c r="AG97" i="317"/>
  <c r="AG95" i="317"/>
  <c r="AG90" i="317"/>
  <c r="AG91" i="317"/>
  <c r="AG96" i="317"/>
  <c r="AG93" i="317"/>
  <c r="AG98" i="317"/>
  <c r="AG92" i="317"/>
  <c r="AG100" i="329"/>
  <c r="AG101" i="329"/>
  <c r="AG103" i="329"/>
  <c r="AG102" i="329"/>
  <c r="AG93" i="329"/>
  <c r="AG97" i="329"/>
  <c r="AG95" i="329"/>
  <c r="AG98" i="329"/>
  <c r="AG96" i="329"/>
  <c r="AG92" i="329"/>
  <c r="AG91" i="329"/>
  <c r="AG90" i="329"/>
  <c r="AE92" i="322"/>
  <c r="AG100" i="323"/>
  <c r="AG103" i="323"/>
  <c r="AG101" i="323"/>
  <c r="AG102" i="323"/>
  <c r="AG97" i="323"/>
  <c r="AG95" i="323"/>
  <c r="AG90" i="323"/>
  <c r="AG91" i="323"/>
  <c r="AG96" i="323"/>
  <c r="AG93" i="323"/>
  <c r="AG98" i="323"/>
  <c r="AG92" i="323"/>
  <c r="AD127" i="313"/>
  <c r="AE32" i="327"/>
  <c r="AE172" i="329" s="1"/>
  <c r="AE175" i="329" s="1"/>
  <c r="AD127" i="320"/>
  <c r="AD133" i="320" s="1"/>
  <c r="AE159" i="329"/>
  <c r="AE166" i="329" s="1"/>
  <c r="AD181" i="323"/>
  <c r="AD185" i="323" s="1"/>
  <c r="AE49" i="324"/>
  <c r="AE71" i="326" s="1"/>
  <c r="AE75" i="326" s="1"/>
  <c r="AD71" i="313"/>
  <c r="AD75" i="313" s="1"/>
  <c r="AF25" i="327"/>
  <c r="AF32" i="327" s="1"/>
  <c r="AF172" i="329" s="1"/>
  <c r="AF26" i="327"/>
  <c r="AF56" i="329" s="1"/>
  <c r="AF63" i="329" s="1"/>
  <c r="AD175" i="313"/>
  <c r="AD177" i="313" s="1"/>
  <c r="AD143" i="303"/>
  <c r="AD66" i="313"/>
  <c r="AD140" i="272"/>
  <c r="AD141" i="272"/>
  <c r="AD142" i="272"/>
  <c r="AD118" i="272"/>
  <c r="AD119" i="272"/>
  <c r="AD116" i="272"/>
  <c r="AD117" i="272"/>
  <c r="AD143" i="272"/>
  <c r="AD143" i="306"/>
  <c r="AD141" i="306"/>
  <c r="AD117" i="306"/>
  <c r="AD118" i="306"/>
  <c r="AD142" i="306"/>
  <c r="AD140" i="306"/>
  <c r="AD119" i="306"/>
  <c r="AD116" i="306"/>
  <c r="AD132" i="329"/>
  <c r="AD133" i="329"/>
  <c r="AD130" i="329"/>
  <c r="AD131" i="329"/>
  <c r="AD142" i="317"/>
  <c r="AD118" i="317"/>
  <c r="AD143" i="317"/>
  <c r="AD119" i="317"/>
  <c r="AD140" i="317"/>
  <c r="AD116" i="317"/>
  <c r="AD117" i="317"/>
  <c r="AD141" i="317"/>
  <c r="AD142" i="326"/>
  <c r="AD118" i="326"/>
  <c r="AD143" i="326"/>
  <c r="AD119" i="326"/>
  <c r="AD140" i="326"/>
  <c r="AD116" i="326"/>
  <c r="AD141" i="326"/>
  <c r="AD117" i="326"/>
  <c r="AE118" i="329"/>
  <c r="AE118" i="313"/>
  <c r="AE119" i="313"/>
  <c r="AE116" i="313"/>
  <c r="AE117" i="313"/>
  <c r="AD142" i="310"/>
  <c r="AD143" i="310"/>
  <c r="AD140" i="310"/>
  <c r="AD117" i="310"/>
  <c r="AD118" i="310"/>
  <c r="AD119" i="310"/>
  <c r="AD141" i="310"/>
  <c r="AD116" i="310"/>
  <c r="AD142" i="303"/>
  <c r="AD116" i="303"/>
  <c r="AC140" i="317"/>
  <c r="AA118" i="269"/>
  <c r="AA119" i="269"/>
  <c r="AA116" i="269"/>
  <c r="AA117" i="269"/>
  <c r="AD132" i="278"/>
  <c r="AD133" i="278"/>
  <c r="AD130" i="278"/>
  <c r="AD131" i="278"/>
  <c r="AD142" i="278"/>
  <c r="AD118" i="278"/>
  <c r="AD143" i="278"/>
  <c r="AD119" i="278"/>
  <c r="AD140" i="278"/>
  <c r="AD116" i="278"/>
  <c r="AD141" i="278"/>
  <c r="AD117" i="278"/>
  <c r="AD133" i="306"/>
  <c r="AD131" i="306"/>
  <c r="AD132" i="306"/>
  <c r="AD130" i="306"/>
  <c r="AD132" i="317"/>
  <c r="AD133" i="317"/>
  <c r="AD130" i="317"/>
  <c r="AD131" i="317"/>
  <c r="AD131" i="323"/>
  <c r="AD132" i="323"/>
  <c r="AD133" i="323"/>
  <c r="AD130" i="323"/>
  <c r="AC131" i="329"/>
  <c r="AC132" i="329"/>
  <c r="AC133" i="329"/>
  <c r="AC130" i="329"/>
  <c r="AC142" i="329"/>
  <c r="AC140" i="329"/>
  <c r="AC141" i="329"/>
  <c r="AC143" i="329"/>
  <c r="AD117" i="313"/>
  <c r="AD118" i="313"/>
  <c r="AD143" i="313"/>
  <c r="AD119" i="313"/>
  <c r="AD116" i="313"/>
  <c r="AD142" i="329"/>
  <c r="AD118" i="303"/>
  <c r="AD140" i="303"/>
  <c r="AD133" i="303"/>
  <c r="AD131" i="303"/>
  <c r="AD130" i="303"/>
  <c r="AD132" i="303"/>
  <c r="AD132" i="326"/>
  <c r="AD133" i="326"/>
  <c r="AD130" i="326"/>
  <c r="AD131" i="326"/>
  <c r="AD119" i="320"/>
  <c r="AD116" i="320"/>
  <c r="AD117" i="320"/>
  <c r="AD118" i="320"/>
  <c r="AC131" i="317"/>
  <c r="AC132" i="317"/>
  <c r="AC133" i="317"/>
  <c r="AC130" i="317"/>
  <c r="AD140" i="329"/>
  <c r="AD143" i="329"/>
  <c r="AD141" i="303"/>
  <c r="AD119" i="303"/>
  <c r="AD130" i="272"/>
  <c r="AD131" i="272"/>
  <c r="AD132" i="272"/>
  <c r="AD133" i="272"/>
  <c r="AD131" i="313"/>
  <c r="AD141" i="323"/>
  <c r="AD117" i="323"/>
  <c r="AD142" i="323"/>
  <c r="AD118" i="323"/>
  <c r="AD143" i="323"/>
  <c r="AD119" i="323"/>
  <c r="AD116" i="323"/>
  <c r="AD140" i="323"/>
  <c r="AD132" i="310"/>
  <c r="AD133" i="310"/>
  <c r="AD130" i="310"/>
  <c r="AD131" i="310"/>
  <c r="AD141" i="329"/>
  <c r="AD117" i="303"/>
  <c r="AC143" i="317"/>
  <c r="AC141" i="317"/>
  <c r="AE92" i="316"/>
  <c r="AE118" i="316" s="1"/>
  <c r="AE85" i="316" s="1"/>
  <c r="AE29" i="317" s="1"/>
  <c r="AE33" i="317" s="1"/>
  <c r="AE92" i="328"/>
  <c r="AG107" i="278"/>
  <c r="AG106" i="278"/>
  <c r="AG108" i="278"/>
  <c r="AG105" i="278"/>
  <c r="AG107" i="323"/>
  <c r="AG106" i="323"/>
  <c r="AG105" i="323"/>
  <c r="AG108" i="323"/>
  <c r="AG108" i="272"/>
  <c r="AG106" i="272"/>
  <c r="AG107" i="272"/>
  <c r="AG105" i="272"/>
  <c r="AG107" i="313"/>
  <c r="AG106" i="313"/>
  <c r="AG108" i="313"/>
  <c r="AG105" i="313"/>
  <c r="AG107" i="317"/>
  <c r="AG106" i="317"/>
  <c r="AG105" i="317"/>
  <c r="AG108" i="317"/>
  <c r="AH107" i="269"/>
  <c r="AH105" i="269"/>
  <c r="AH108" i="269"/>
  <c r="AH106" i="269"/>
  <c r="AG107" i="320"/>
  <c r="AG106" i="320"/>
  <c r="AG105" i="320"/>
  <c r="AG108" i="320"/>
  <c r="AG106" i="326"/>
  <c r="AG105" i="326"/>
  <c r="AG107" i="326"/>
  <c r="AG108" i="326"/>
  <c r="AG107" i="329"/>
  <c r="AG108" i="329"/>
  <c r="AG106" i="329"/>
  <c r="AG105" i="329"/>
  <c r="AF79" i="314"/>
  <c r="AF78" i="314"/>
  <c r="AF78" i="325"/>
  <c r="AF101" i="325" s="1"/>
  <c r="AF79" i="325"/>
  <c r="AG16" i="328"/>
  <c r="AG17" i="328"/>
  <c r="AF78" i="328"/>
  <c r="AF110" i="328" s="1"/>
  <c r="AF79" i="328"/>
  <c r="AG14" i="327"/>
  <c r="AG16" i="327" s="1"/>
  <c r="AG17" i="327" s="1"/>
  <c r="AG18" i="327" s="1"/>
  <c r="AG20" i="327" s="1"/>
  <c r="AG27" i="327" s="1"/>
  <c r="AF78" i="319"/>
  <c r="AF110" i="319" s="1"/>
  <c r="AF79" i="319"/>
  <c r="AF78" i="322"/>
  <c r="AF101" i="322" s="1"/>
  <c r="AF79" i="322"/>
  <c r="AF60" i="314"/>
  <c r="AC83" i="317"/>
  <c r="AF79" i="316"/>
  <c r="AF78" i="316"/>
  <c r="AF101" i="316" s="1"/>
  <c r="AD129" i="314"/>
  <c r="AD130" i="314" s="1"/>
  <c r="AD135" i="314" s="1"/>
  <c r="AD87" i="314" s="1"/>
  <c r="AD28" i="313" s="1"/>
  <c r="AD32" i="313" s="1"/>
  <c r="AD67" i="314"/>
  <c r="AD68" i="314" s="1"/>
  <c r="AD73" i="314" s="1"/>
  <c r="AD25" i="314" s="1"/>
  <c r="AD16" i="313" s="1"/>
  <c r="AC202" i="329"/>
  <c r="AC189" i="329"/>
  <c r="AC196" i="329" s="1"/>
  <c r="AC204" i="329" s="1"/>
  <c r="AD71" i="323"/>
  <c r="AD75" i="323" s="1"/>
  <c r="AD70" i="323"/>
  <c r="AD74" i="323" s="1"/>
  <c r="AC189" i="317"/>
  <c r="AC196" i="317" s="1"/>
  <c r="AC83" i="329"/>
  <c r="AC78" i="329"/>
  <c r="AC85" i="329" s="1"/>
  <c r="AE114" i="310"/>
  <c r="AE48" i="315"/>
  <c r="AE181" i="317" s="1"/>
  <c r="AE185" i="317" s="1"/>
  <c r="AC202" i="317"/>
  <c r="AE49" i="315"/>
  <c r="AE182" i="317" s="1"/>
  <c r="AE186" i="317" s="1"/>
  <c r="AD182" i="323"/>
  <c r="AD186" i="323" s="1"/>
  <c r="AD17" i="313"/>
  <c r="AD21" i="313" s="1"/>
  <c r="AC201" i="329"/>
  <c r="AC85" i="303"/>
  <c r="AE113" i="310"/>
  <c r="AE33" i="308"/>
  <c r="AE173" i="310" s="1"/>
  <c r="AE201" i="310" s="1"/>
  <c r="AE160" i="310"/>
  <c r="AE167" i="310" s="1"/>
  <c r="AE170" i="310" s="1"/>
  <c r="AE57" i="310"/>
  <c r="AE64" i="310" s="1"/>
  <c r="AF40" i="327"/>
  <c r="AF42" i="327" s="1"/>
  <c r="AF43" i="327" s="1"/>
  <c r="AF44" i="327" s="1"/>
  <c r="AF46" i="327" s="1"/>
  <c r="AF48" i="327" s="1"/>
  <c r="AF52" i="327" s="1"/>
  <c r="AF191" i="329" s="1"/>
  <c r="AC40" i="326"/>
  <c r="AF40" i="321"/>
  <c r="AF42" i="321" s="1"/>
  <c r="AF43" i="321" s="1"/>
  <c r="AF44" i="321" s="1"/>
  <c r="AF46" i="321" s="1"/>
  <c r="AF48" i="321" s="1"/>
  <c r="AC39" i="323"/>
  <c r="AF40" i="315"/>
  <c r="AF42" i="315" s="1"/>
  <c r="AF43" i="315" s="1"/>
  <c r="AF44" i="315" s="1"/>
  <c r="AF46" i="315" s="1"/>
  <c r="AF48" i="315" s="1"/>
  <c r="AG16" i="316"/>
  <c r="AG17" i="316"/>
  <c r="AG17" i="314"/>
  <c r="AG122" i="314" s="1"/>
  <c r="AG16" i="314"/>
  <c r="AA101" i="260"/>
  <c r="AG15" i="279"/>
  <c r="AD175" i="310"/>
  <c r="AD177" i="310" s="1"/>
  <c r="AD200" i="310"/>
  <c r="AG16" i="309"/>
  <c r="AG59" i="309" s="1"/>
  <c r="AG63" i="309" s="1"/>
  <c r="AG66" i="309" s="1"/>
  <c r="AG67" i="309" s="1"/>
  <c r="AG72" i="309" s="1"/>
  <c r="AG15" i="309"/>
  <c r="AG29" i="309" s="1"/>
  <c r="AG16" i="307"/>
  <c r="AG59" i="307" s="1"/>
  <c r="AG15" i="307"/>
  <c r="AG16" i="304"/>
  <c r="AG59" i="304" s="1"/>
  <c r="AG15" i="304"/>
  <c r="AC204" i="313"/>
  <c r="AG150" i="326"/>
  <c r="AG151" i="326"/>
  <c r="AG150" i="323"/>
  <c r="AG151" i="323"/>
  <c r="AG150" i="320"/>
  <c r="AG151" i="320"/>
  <c r="AC39" i="320"/>
  <c r="AD41" i="320"/>
  <c r="AG150" i="317"/>
  <c r="AG151" i="317"/>
  <c r="AG150" i="313"/>
  <c r="AG151" i="313"/>
  <c r="AG150" i="278"/>
  <c r="AG151" i="278"/>
  <c r="AG150" i="272"/>
  <c r="AG151" i="272"/>
  <c r="AH29" i="269"/>
  <c r="AH33" i="269" s="1"/>
  <c r="AH150" i="269"/>
  <c r="AH28" i="269"/>
  <c r="AH32" i="269" s="1"/>
  <c r="AH151" i="269"/>
  <c r="AH27" i="269"/>
  <c r="AB43" i="320"/>
  <c r="AB35" i="317"/>
  <c r="AD83" i="303"/>
  <c r="AC32" i="323"/>
  <c r="AC40" i="323"/>
  <c r="AC32" i="320"/>
  <c r="AC40" i="320"/>
  <c r="AG90" i="322"/>
  <c r="AG76" i="322"/>
  <c r="AG84" i="322"/>
  <c r="AG28" i="322"/>
  <c r="AG22" i="322"/>
  <c r="AD41" i="317"/>
  <c r="AF30" i="322"/>
  <c r="AF39" i="322"/>
  <c r="AF56" i="322" s="1"/>
  <c r="AF23" i="322" s="1"/>
  <c r="AF17" i="323" s="1"/>
  <c r="AF21" i="323" s="1"/>
  <c r="AF48" i="322"/>
  <c r="AC40" i="317"/>
  <c r="AH11" i="321"/>
  <c r="AH18" i="322" s="1"/>
  <c r="AH11" i="324"/>
  <c r="AH18" i="325" s="1"/>
  <c r="AH11" i="327"/>
  <c r="AH18" i="328" s="1"/>
  <c r="AD129" i="322"/>
  <c r="AD130" i="322" s="1"/>
  <c r="AD135" i="322" s="1"/>
  <c r="AD87" i="322" s="1"/>
  <c r="AD28" i="323" s="1"/>
  <c r="AD67" i="322"/>
  <c r="AD68" i="322" s="1"/>
  <c r="AD73" i="322" s="1"/>
  <c r="AD25" i="322" s="1"/>
  <c r="AD16" i="323" s="1"/>
  <c r="AD20" i="323" s="1"/>
  <c r="AD24" i="322"/>
  <c r="AD15" i="323" s="1"/>
  <c r="AD19" i="323" s="1"/>
  <c r="AD129" i="325"/>
  <c r="AD130" i="325" s="1"/>
  <c r="AD135" i="325" s="1"/>
  <c r="AD87" i="325" s="1"/>
  <c r="AD28" i="326" s="1"/>
  <c r="AD32" i="326" s="1"/>
  <c r="AD67" i="325"/>
  <c r="AD68" i="325" s="1"/>
  <c r="AD73" i="325" s="1"/>
  <c r="AD25" i="325" s="1"/>
  <c r="AD16" i="326" s="1"/>
  <c r="AD24" i="325"/>
  <c r="AD15" i="326" s="1"/>
  <c r="AG38" i="312"/>
  <c r="AG80" i="314" s="1"/>
  <c r="AG38" i="315"/>
  <c r="AG80" i="316" s="1"/>
  <c r="AG38" i="318"/>
  <c r="AG80" i="319" s="1"/>
  <c r="AE64" i="322"/>
  <c r="AE126" i="322"/>
  <c r="AD67" i="319"/>
  <c r="AD68" i="319" s="1"/>
  <c r="AD73" i="319" s="1"/>
  <c r="AD25" i="319" s="1"/>
  <c r="AD16" i="320" s="1"/>
  <c r="AD20" i="320" s="1"/>
  <c r="AD129" i="319"/>
  <c r="AD130" i="319" s="1"/>
  <c r="AD135" i="319" s="1"/>
  <c r="AD87" i="319" s="1"/>
  <c r="AD28" i="320" s="1"/>
  <c r="AD32" i="320" s="1"/>
  <c r="AD35" i="320" s="1"/>
  <c r="AD24" i="319"/>
  <c r="AD15" i="320" s="1"/>
  <c r="AD19" i="320" s="1"/>
  <c r="AG76" i="328"/>
  <c r="AG28" i="328"/>
  <c r="AG22" i="328"/>
  <c r="AG90" i="328"/>
  <c r="AG84" i="328"/>
  <c r="AG14" i="312"/>
  <c r="AG16" i="312" s="1"/>
  <c r="AG17" i="312" s="1"/>
  <c r="AG18" i="312" s="1"/>
  <c r="AG20" i="312" s="1"/>
  <c r="AG26" i="312" s="1"/>
  <c r="AF60" i="319"/>
  <c r="AF122" i="319"/>
  <c r="AF60" i="322"/>
  <c r="AF122" i="322"/>
  <c r="AG41" i="322"/>
  <c r="AG32" i="322"/>
  <c r="AE126" i="319"/>
  <c r="AE64" i="319"/>
  <c r="AD29" i="329"/>
  <c r="AD33" i="329" s="1"/>
  <c r="AD86" i="328"/>
  <c r="AD27" i="329" s="1"/>
  <c r="AD31" i="329" s="1"/>
  <c r="AF122" i="316"/>
  <c r="AF60" i="316"/>
  <c r="AF110" i="316"/>
  <c r="AC33" i="320"/>
  <c r="AC41" i="320"/>
  <c r="AF92" i="322"/>
  <c r="AG90" i="319"/>
  <c r="AG84" i="319"/>
  <c r="AG22" i="319"/>
  <c r="AG28" i="319"/>
  <c r="AG76" i="319"/>
  <c r="AG41" i="325"/>
  <c r="AG32" i="325"/>
  <c r="AF122" i="328"/>
  <c r="AF60" i="328"/>
  <c r="AF94" i="322"/>
  <c r="AF103" i="322"/>
  <c r="AC35" i="329"/>
  <c r="AE64" i="328"/>
  <c r="AE126" i="328"/>
  <c r="AD29" i="323"/>
  <c r="AD86" i="322"/>
  <c r="AD27" i="323" s="1"/>
  <c r="AD31" i="323" s="1"/>
  <c r="AH10" i="321"/>
  <c r="AH16" i="322" s="1"/>
  <c r="AH10" i="327"/>
  <c r="AH14" i="327" s="1"/>
  <c r="AH16" i="327" s="1"/>
  <c r="AH17" i="327" s="1"/>
  <c r="AH18" i="327" s="1"/>
  <c r="AH20" i="327" s="1"/>
  <c r="AH10" i="324"/>
  <c r="AH16" i="325" s="1"/>
  <c r="AC33" i="317"/>
  <c r="AC35" i="317" s="1"/>
  <c r="AC41" i="317"/>
  <c r="AJ62" i="267"/>
  <c r="AG90" i="316"/>
  <c r="AG84" i="316"/>
  <c r="AG76" i="316"/>
  <c r="AG28" i="316"/>
  <c r="AG22" i="316"/>
  <c r="AG41" i="328"/>
  <c r="AG32" i="328"/>
  <c r="AF122" i="325"/>
  <c r="AF60" i="325"/>
  <c r="AF94" i="328"/>
  <c r="AF103" i="328"/>
  <c r="AD129" i="328"/>
  <c r="AD130" i="328" s="1"/>
  <c r="AD135" i="328" s="1"/>
  <c r="AD87" i="328" s="1"/>
  <c r="AD28" i="329" s="1"/>
  <c r="AD67" i="328"/>
  <c r="AD68" i="328" s="1"/>
  <c r="AD73" i="328" s="1"/>
  <c r="AD25" i="328" s="1"/>
  <c r="AD16" i="329" s="1"/>
  <c r="AD20" i="329" s="1"/>
  <c r="AD24" i="328"/>
  <c r="AD15" i="329" s="1"/>
  <c r="AD67" i="316"/>
  <c r="AD68" i="316" s="1"/>
  <c r="AD73" i="316" s="1"/>
  <c r="AD25" i="316" s="1"/>
  <c r="AD16" i="317" s="1"/>
  <c r="AD20" i="317" s="1"/>
  <c r="AD129" i="316"/>
  <c r="AD130" i="316" s="1"/>
  <c r="AD135" i="316" s="1"/>
  <c r="AD87" i="316" s="1"/>
  <c r="AD28" i="317" s="1"/>
  <c r="AD32" i="317" s="1"/>
  <c r="AD35" i="317" s="1"/>
  <c r="AD24" i="316"/>
  <c r="AD15" i="317" s="1"/>
  <c r="AF103" i="316"/>
  <c r="AF94" i="316"/>
  <c r="AE48" i="325"/>
  <c r="AE39" i="325"/>
  <c r="AE56" i="325" s="1"/>
  <c r="AE23" i="325" s="1"/>
  <c r="AE30" i="325"/>
  <c r="AF30" i="316"/>
  <c r="AF48" i="316"/>
  <c r="AF39" i="316"/>
  <c r="AF94" i="325"/>
  <c r="AF103" i="325"/>
  <c r="AE126" i="316"/>
  <c r="AE64" i="316"/>
  <c r="AF94" i="319"/>
  <c r="AF103" i="319"/>
  <c r="AG38" i="321"/>
  <c r="AG80" i="322" s="1"/>
  <c r="AG38" i="324"/>
  <c r="AG80" i="325" s="1"/>
  <c r="AG38" i="327"/>
  <c r="AG80" i="328" s="1"/>
  <c r="AE126" i="325"/>
  <c r="AE64" i="325"/>
  <c r="AG90" i="325"/>
  <c r="AG76" i="325"/>
  <c r="AG28" i="325"/>
  <c r="AG84" i="325"/>
  <c r="AG22" i="325"/>
  <c r="AE30" i="328"/>
  <c r="AE48" i="328"/>
  <c r="AE39" i="328"/>
  <c r="AE56" i="328" s="1"/>
  <c r="AE23" i="328" s="1"/>
  <c r="AF48" i="319"/>
  <c r="AF39" i="319"/>
  <c r="AF56" i="319" s="1"/>
  <c r="AF23" i="319" s="1"/>
  <c r="AF17" i="320" s="1"/>
  <c r="AF21" i="320" s="1"/>
  <c r="AF30" i="319"/>
  <c r="AC33" i="323"/>
  <c r="AC41" i="323"/>
  <c r="AI68" i="267"/>
  <c r="AG37" i="321"/>
  <c r="AG37" i="324"/>
  <c r="AG40" i="324" s="1"/>
  <c r="AG42" i="324" s="1"/>
  <c r="AG43" i="324" s="1"/>
  <c r="AG44" i="324" s="1"/>
  <c r="AG46" i="324" s="1"/>
  <c r="AG37" i="327"/>
  <c r="AD201" i="320"/>
  <c r="AD201" i="306"/>
  <c r="AC41" i="313"/>
  <c r="AB43" i="313"/>
  <c r="AB101" i="260"/>
  <c r="AA100" i="260"/>
  <c r="AC40" i="303"/>
  <c r="Z112" i="260"/>
  <c r="AE200" i="313"/>
  <c r="AE53" i="318"/>
  <c r="AE192" i="320" s="1"/>
  <c r="AE194" i="320" s="1"/>
  <c r="AD201" i="329"/>
  <c r="AE53" i="327"/>
  <c r="AE192" i="329" s="1"/>
  <c r="AE194" i="329" s="1"/>
  <c r="AE53" i="312"/>
  <c r="AE192" i="313" s="1"/>
  <c r="AE194" i="313" s="1"/>
  <c r="AA35" i="313"/>
  <c r="AA43" i="313" s="1"/>
  <c r="AG37" i="318"/>
  <c r="AG40" i="318" s="1"/>
  <c r="AG42" i="318" s="1"/>
  <c r="AG43" i="318" s="1"/>
  <c r="AG44" i="318" s="1"/>
  <c r="AG46" i="318" s="1"/>
  <c r="AG37" i="312"/>
  <c r="AG40" i="312" s="1"/>
  <c r="AG42" i="312" s="1"/>
  <c r="AG43" i="312" s="1"/>
  <c r="AG44" i="312" s="1"/>
  <c r="AG46" i="312" s="1"/>
  <c r="AG37" i="315"/>
  <c r="AG40" i="315" s="1"/>
  <c r="AG42" i="315" s="1"/>
  <c r="AG43" i="315" s="1"/>
  <c r="AG44" i="315" s="1"/>
  <c r="AG46" i="315" s="1"/>
  <c r="AH10" i="312"/>
  <c r="AH14" i="312" s="1"/>
  <c r="AH10" i="318"/>
  <c r="AH16" i="319" s="1"/>
  <c r="AH10" i="315"/>
  <c r="AI63" i="267"/>
  <c r="AF103" i="314"/>
  <c r="AF94" i="314"/>
  <c r="AE110" i="314"/>
  <c r="AE101" i="314"/>
  <c r="AE92" i="314"/>
  <c r="AE118" i="314" s="1"/>
  <c r="AE85" i="314" s="1"/>
  <c r="AD29" i="313"/>
  <c r="AD33" i="313" s="1"/>
  <c r="AD86" i="314"/>
  <c r="AD27" i="313" s="1"/>
  <c r="AD31" i="313" s="1"/>
  <c r="AG84" i="314"/>
  <c r="AG90" i="314"/>
  <c r="AG76" i="314"/>
  <c r="AC20" i="313"/>
  <c r="AC23" i="313" s="1"/>
  <c r="AE23" i="314"/>
  <c r="AE17" i="313" s="1"/>
  <c r="AC177" i="323"/>
  <c r="AC204" i="323" s="1"/>
  <c r="AC177" i="320"/>
  <c r="AC204" i="320" s="1"/>
  <c r="AD202" i="310"/>
  <c r="AE72" i="310"/>
  <c r="AE76" i="310" s="1"/>
  <c r="AI3" i="269"/>
  <c r="AG194" i="310"/>
  <c r="AF47" i="270"/>
  <c r="AF29" i="270"/>
  <c r="AE182" i="310"/>
  <c r="AE186" i="310" s="1"/>
  <c r="AC85" i="310"/>
  <c r="AD78" i="310"/>
  <c r="AE71" i="310"/>
  <c r="AE75" i="310" s="1"/>
  <c r="AE126" i="310"/>
  <c r="AE70" i="310"/>
  <c r="AE74" i="310" s="1"/>
  <c r="AH194" i="310"/>
  <c r="AD66" i="306"/>
  <c r="AD83" i="310"/>
  <c r="AC177" i="317"/>
  <c r="AC82" i="329"/>
  <c r="AE175" i="313"/>
  <c r="AC23" i="320"/>
  <c r="AD170" i="323"/>
  <c r="AC23" i="323"/>
  <c r="AF25" i="315"/>
  <c r="AF26" i="315"/>
  <c r="AF27" i="315"/>
  <c r="AG17" i="322"/>
  <c r="AG14" i="321"/>
  <c r="AG16" i="321" s="1"/>
  <c r="AG17" i="321" s="1"/>
  <c r="AG18" i="321" s="1"/>
  <c r="AG20" i="321" s="1"/>
  <c r="AE32" i="315"/>
  <c r="AE172" i="317" s="1"/>
  <c r="AE159" i="317"/>
  <c r="AE166" i="317" s="1"/>
  <c r="AE112" i="317"/>
  <c r="AE55" i="317"/>
  <c r="AE62" i="317" s="1"/>
  <c r="AC19" i="326"/>
  <c r="AC39" i="326"/>
  <c r="AC21" i="329"/>
  <c r="AC41" i="329"/>
  <c r="AG17" i="325"/>
  <c r="AG14" i="324"/>
  <c r="AG16" i="324" s="1"/>
  <c r="AG17" i="324" s="1"/>
  <c r="AG18" i="324" s="1"/>
  <c r="AG20" i="324" s="1"/>
  <c r="AE113" i="317"/>
  <c r="AE160" i="317"/>
  <c r="AE167" i="317" s="1"/>
  <c r="AE33" i="315"/>
  <c r="AE173" i="317" s="1"/>
  <c r="AE201" i="317" s="1"/>
  <c r="AE56" i="317"/>
  <c r="AE63" i="317" s="1"/>
  <c r="AC21" i="326"/>
  <c r="AC41" i="326"/>
  <c r="AE32" i="318"/>
  <c r="AE172" i="320" s="1"/>
  <c r="AE159" i="320"/>
  <c r="AE166" i="320" s="1"/>
  <c r="AE55" i="320"/>
  <c r="AE62" i="320" s="1"/>
  <c r="AE112" i="320"/>
  <c r="AF161" i="313"/>
  <c r="AF168" i="313" s="1"/>
  <c r="AF57" i="313"/>
  <c r="AF64" i="313" s="1"/>
  <c r="AF114" i="313"/>
  <c r="AE32" i="324"/>
  <c r="AE172" i="326" s="1"/>
  <c r="AE55" i="326"/>
  <c r="AE62" i="326" s="1"/>
  <c r="AE112" i="326"/>
  <c r="AE159" i="326"/>
  <c r="AE166" i="326" s="1"/>
  <c r="AD170" i="317"/>
  <c r="AD189" i="310"/>
  <c r="AD196" i="310" s="1"/>
  <c r="AE57" i="317"/>
  <c r="AE64" i="317" s="1"/>
  <c r="AE161" i="317"/>
  <c r="AE168" i="317" s="1"/>
  <c r="AE114" i="317"/>
  <c r="AE56" i="320"/>
  <c r="AE63" i="320" s="1"/>
  <c r="AE113" i="320"/>
  <c r="AE160" i="320"/>
  <c r="AE167" i="320" s="1"/>
  <c r="AE33" i="318"/>
  <c r="AE173" i="320" s="1"/>
  <c r="AD200" i="323"/>
  <c r="AD175" i="323"/>
  <c r="AF32" i="312"/>
  <c r="AF172" i="313" s="1"/>
  <c r="AF112" i="313"/>
  <c r="AF55" i="313"/>
  <c r="AF62" i="313" s="1"/>
  <c r="AF159" i="313"/>
  <c r="AF166" i="313" s="1"/>
  <c r="AE56" i="326"/>
  <c r="AE63" i="326" s="1"/>
  <c r="AE160" i="326"/>
  <c r="AE167" i="326" s="1"/>
  <c r="AE33" i="324"/>
  <c r="AE173" i="326" s="1"/>
  <c r="AE201" i="326" s="1"/>
  <c r="AE113" i="326"/>
  <c r="AD66" i="317"/>
  <c r="AE170" i="329"/>
  <c r="AG17" i="319"/>
  <c r="AG14" i="318"/>
  <c r="AG16" i="318" s="1"/>
  <c r="AG17" i="318" s="1"/>
  <c r="AG18" i="318" s="1"/>
  <c r="AG20" i="318" s="1"/>
  <c r="AE161" i="320"/>
  <c r="AE168" i="320" s="1"/>
  <c r="AE57" i="320"/>
  <c r="AE64" i="320" s="1"/>
  <c r="AE114" i="320"/>
  <c r="AF56" i="313"/>
  <c r="AF63" i="313" s="1"/>
  <c r="AF33" i="312"/>
  <c r="AF173" i="313" s="1"/>
  <c r="AF113" i="313"/>
  <c r="AF160" i="313"/>
  <c r="AF167" i="313" s="1"/>
  <c r="AE161" i="326"/>
  <c r="AE168" i="326" s="1"/>
  <c r="AE114" i="326"/>
  <c r="AE57" i="326"/>
  <c r="AE64" i="326" s="1"/>
  <c r="AD200" i="317"/>
  <c r="AD175" i="317"/>
  <c r="AE66" i="329"/>
  <c r="AE66" i="313"/>
  <c r="AC177" i="326"/>
  <c r="AC204" i="326" s="1"/>
  <c r="AC20" i="329"/>
  <c r="AC40" i="329"/>
  <c r="AD17" i="329"/>
  <c r="AF26" i="318"/>
  <c r="AF27" i="318"/>
  <c r="AF25" i="318"/>
  <c r="AD66" i="320"/>
  <c r="AB23" i="326"/>
  <c r="AB43" i="326" s="1"/>
  <c r="AE170" i="313"/>
  <c r="AE160" i="323"/>
  <c r="AE167" i="323" s="1"/>
  <c r="AE113" i="323"/>
  <c r="AE33" i="321"/>
  <c r="AE173" i="323" s="1"/>
  <c r="AE201" i="323" s="1"/>
  <c r="AE56" i="323"/>
  <c r="AE63" i="323" s="1"/>
  <c r="AF26" i="324"/>
  <c r="AF25" i="324"/>
  <c r="AF27" i="324"/>
  <c r="AD177" i="329"/>
  <c r="AB23" i="329"/>
  <c r="AB43" i="329" s="1"/>
  <c r="AF57" i="329"/>
  <c r="AF64" i="329" s="1"/>
  <c r="AF114" i="329"/>
  <c r="AF161" i="329"/>
  <c r="AF168" i="329" s="1"/>
  <c r="AD200" i="326"/>
  <c r="AD175" i="326"/>
  <c r="AD170" i="320"/>
  <c r="AG14" i="315"/>
  <c r="AG16" i="315" s="1"/>
  <c r="AG17" i="315" s="1"/>
  <c r="AG18" i="315" s="1"/>
  <c r="AG20" i="315" s="1"/>
  <c r="AE161" i="323"/>
  <c r="AE168" i="323" s="1"/>
  <c r="AE114" i="323"/>
  <c r="AE57" i="323"/>
  <c r="AE64" i="323" s="1"/>
  <c r="AD17" i="326"/>
  <c r="AD66" i="326"/>
  <c r="AE112" i="323"/>
  <c r="AE32" i="321"/>
  <c r="AE172" i="323" s="1"/>
  <c r="AE55" i="323"/>
  <c r="AE62" i="323" s="1"/>
  <c r="AE159" i="323"/>
  <c r="AE166" i="323" s="1"/>
  <c r="AC19" i="329"/>
  <c r="AC39" i="329"/>
  <c r="AD66" i="323"/>
  <c r="AF26" i="321"/>
  <c r="AF27" i="321"/>
  <c r="AF25" i="321"/>
  <c r="AD170" i="326"/>
  <c r="AD200" i="320"/>
  <c r="AD175" i="320"/>
  <c r="AF39" i="314"/>
  <c r="AF48" i="314"/>
  <c r="AF30" i="314"/>
  <c r="AF56" i="314" s="1"/>
  <c r="AG41" i="314"/>
  <c r="AG32" i="314"/>
  <c r="AE183" i="310"/>
  <c r="AE187" i="310" s="1"/>
  <c r="AD170" i="303"/>
  <c r="AG151" i="329"/>
  <c r="AG150" i="329"/>
  <c r="AF194" i="317"/>
  <c r="AF27" i="308"/>
  <c r="AF33" i="308" s="1"/>
  <c r="AF173" i="310" s="1"/>
  <c r="AF201" i="310" s="1"/>
  <c r="AE127" i="326"/>
  <c r="AC78" i="326"/>
  <c r="AC85" i="326" s="1"/>
  <c r="AC82" i="326"/>
  <c r="AE127" i="323"/>
  <c r="AE182" i="323"/>
  <c r="AE186" i="323" s="1"/>
  <c r="AE71" i="323"/>
  <c r="AE75" i="323" s="1"/>
  <c r="AG14" i="328"/>
  <c r="AE182" i="313"/>
  <c r="AE186" i="313" s="1"/>
  <c r="AE127" i="313"/>
  <c r="AE71" i="313"/>
  <c r="AE75" i="313" s="1"/>
  <c r="AF25" i="308"/>
  <c r="AF55" i="310" s="1"/>
  <c r="AE70" i="326"/>
  <c r="AE181" i="326"/>
  <c r="AE185" i="326" s="1"/>
  <c r="AE126" i="326"/>
  <c r="AE126" i="323"/>
  <c r="AE70" i="323"/>
  <c r="AE181" i="323"/>
  <c r="AE185" i="323" s="1"/>
  <c r="AE183" i="329"/>
  <c r="AE187" i="329" s="1"/>
  <c r="AE72" i="329"/>
  <c r="AE76" i="329" s="1"/>
  <c r="AE128" i="329"/>
  <c r="AD189" i="317"/>
  <c r="AD196" i="317" s="1"/>
  <c r="AD202" i="317"/>
  <c r="AH3" i="329"/>
  <c r="AH3" i="326"/>
  <c r="AH1" i="325"/>
  <c r="AH1" i="328"/>
  <c r="AH1" i="319"/>
  <c r="AH1" i="322"/>
  <c r="AH3" i="323"/>
  <c r="AH3" i="317"/>
  <c r="AH3" i="320"/>
  <c r="AH1" i="316"/>
  <c r="AH1" i="314"/>
  <c r="AH3" i="313"/>
  <c r="AE183" i="326"/>
  <c r="AE187" i="326" s="1"/>
  <c r="AE72" i="326"/>
  <c r="AE76" i="326" s="1"/>
  <c r="AE128" i="326"/>
  <c r="AD189" i="329"/>
  <c r="AD196" i="329" s="1"/>
  <c r="AD202" i="329"/>
  <c r="AD189" i="326"/>
  <c r="AD196" i="326" s="1"/>
  <c r="AD202" i="326"/>
  <c r="AE181" i="329"/>
  <c r="AE185" i="329" s="1"/>
  <c r="AE126" i="329"/>
  <c r="AE70" i="329"/>
  <c r="AG14" i="319"/>
  <c r="AF48" i="312"/>
  <c r="AF52" i="312" s="1"/>
  <c r="AF191" i="313" s="1"/>
  <c r="AF50" i="312"/>
  <c r="AF49" i="312"/>
  <c r="AE72" i="320"/>
  <c r="AE76" i="320" s="1"/>
  <c r="AE128" i="320"/>
  <c r="AE183" i="320"/>
  <c r="AE187" i="320" s="1"/>
  <c r="AF194" i="323"/>
  <c r="AC78" i="313"/>
  <c r="AC85" i="313" s="1"/>
  <c r="AC82" i="313"/>
  <c r="AG40" i="327"/>
  <c r="AG42" i="327" s="1"/>
  <c r="AG43" i="327" s="1"/>
  <c r="AG44" i="327" s="1"/>
  <c r="AG46" i="327" s="1"/>
  <c r="AG40" i="321"/>
  <c r="AG42" i="321" s="1"/>
  <c r="AG43" i="321" s="1"/>
  <c r="AG44" i="321" s="1"/>
  <c r="AG46" i="321" s="1"/>
  <c r="AD74" i="326"/>
  <c r="AD83" i="326"/>
  <c r="AC82" i="323"/>
  <c r="AC78" i="323"/>
  <c r="AC85" i="323" s="1"/>
  <c r="AE182" i="329"/>
  <c r="AE186" i="329" s="1"/>
  <c r="AE71" i="329"/>
  <c r="AE75" i="329" s="1"/>
  <c r="AE127" i="329"/>
  <c r="AG14" i="316"/>
  <c r="AE126" i="320"/>
  <c r="AE70" i="320"/>
  <c r="AE181" i="320"/>
  <c r="AE185" i="320" s="1"/>
  <c r="AG22" i="314"/>
  <c r="AG28" i="314"/>
  <c r="AG14" i="314"/>
  <c r="AD74" i="329"/>
  <c r="AD78" i="329" s="1"/>
  <c r="AD85" i="329" s="1"/>
  <c r="AD83" i="329"/>
  <c r="AC78" i="320"/>
  <c r="AC85" i="320" s="1"/>
  <c r="AC82" i="320"/>
  <c r="AF50" i="318"/>
  <c r="AF48" i="318"/>
  <c r="AF52" i="318" s="1"/>
  <c r="AF191" i="320" s="1"/>
  <c r="AF49" i="318"/>
  <c r="AE182" i="320"/>
  <c r="AE186" i="320" s="1"/>
  <c r="AE127" i="320"/>
  <c r="AE71" i="320"/>
  <c r="AE75" i="320" s="1"/>
  <c r="AF194" i="326"/>
  <c r="AE128" i="323"/>
  <c r="AE72" i="323"/>
  <c r="AE76" i="323" s="1"/>
  <c r="AE183" i="323"/>
  <c r="AE187" i="323" s="1"/>
  <c r="AC21" i="303"/>
  <c r="AD74" i="313"/>
  <c r="AD189" i="320"/>
  <c r="AD202" i="320"/>
  <c r="AD74" i="317"/>
  <c r="AD83" i="317"/>
  <c r="AE72" i="313"/>
  <c r="AE76" i="313" s="1"/>
  <c r="AE183" i="313"/>
  <c r="AE187" i="313" s="1"/>
  <c r="AE128" i="313"/>
  <c r="AG14" i="325"/>
  <c r="AE183" i="317"/>
  <c r="AE187" i="317" s="1"/>
  <c r="AE72" i="317"/>
  <c r="AE76" i="317" s="1"/>
  <c r="AE128" i="317"/>
  <c r="AD74" i="320"/>
  <c r="AD83" i="320"/>
  <c r="AE181" i="313"/>
  <c r="AE185" i="313" s="1"/>
  <c r="AE126" i="313"/>
  <c r="AE70" i="313"/>
  <c r="AC78" i="317"/>
  <c r="AC85" i="317" s="1"/>
  <c r="AC82" i="317"/>
  <c r="AG14" i="322"/>
  <c r="AF50" i="324"/>
  <c r="AF49" i="324"/>
  <c r="AF48" i="324"/>
  <c r="AG14" i="308"/>
  <c r="AG16" i="308" s="1"/>
  <c r="AG17" i="308" s="1"/>
  <c r="AG18" i="308" s="1"/>
  <c r="AG20" i="308" s="1"/>
  <c r="AG26" i="308" s="1"/>
  <c r="AD189" i="303"/>
  <c r="AD196" i="303" s="1"/>
  <c r="AF48" i="308"/>
  <c r="AF126" i="310" s="1"/>
  <c r="AF50" i="308"/>
  <c r="AF183" i="310" s="1"/>
  <c r="AF187" i="310" s="1"/>
  <c r="AF49" i="308"/>
  <c r="AF127" i="310" s="1"/>
  <c r="AH10" i="268"/>
  <c r="AH15" i="270" s="1"/>
  <c r="AD39" i="303"/>
  <c r="AD19" i="303"/>
  <c r="AD40" i="303"/>
  <c r="AD20" i="303"/>
  <c r="AJ52" i="267"/>
  <c r="AJ57" i="267"/>
  <c r="AD41" i="303"/>
  <c r="AD21" i="303"/>
  <c r="AG37" i="277"/>
  <c r="AG40" i="277" s="1"/>
  <c r="AG42" i="277" s="1"/>
  <c r="AG43" i="277" s="1"/>
  <c r="AG44" i="277" s="1"/>
  <c r="AG46" i="277" s="1"/>
  <c r="AG37" i="271"/>
  <c r="AG40" i="271" s="1"/>
  <c r="AG42" i="271" s="1"/>
  <c r="AG43" i="271" s="1"/>
  <c r="AG44" i="271" s="1"/>
  <c r="AG46" i="271" s="1"/>
  <c r="AG37" i="308"/>
  <c r="AG40" i="308" s="1"/>
  <c r="AG42" i="308" s="1"/>
  <c r="AG43" i="308" s="1"/>
  <c r="AG44" i="308" s="1"/>
  <c r="AG46" i="308" s="1"/>
  <c r="AG48" i="308" s="1"/>
  <c r="AG37" i="305"/>
  <c r="AG40" i="305" s="1"/>
  <c r="AG42" i="305" s="1"/>
  <c r="AG43" i="305" s="1"/>
  <c r="AG44" i="305" s="1"/>
  <c r="AG46" i="305" s="1"/>
  <c r="AG37" i="302"/>
  <c r="AG40" i="302" s="1"/>
  <c r="AG42" i="302" s="1"/>
  <c r="AG43" i="302" s="1"/>
  <c r="AG44" i="302" s="1"/>
  <c r="AG46" i="302" s="1"/>
  <c r="AG50" i="302" s="1"/>
  <c r="AG38" i="268"/>
  <c r="AG38" i="277"/>
  <c r="AG38" i="271"/>
  <c r="AG38" i="308"/>
  <c r="AG38" i="305"/>
  <c r="AG38" i="302"/>
  <c r="AC177" i="306"/>
  <c r="AC204" i="306" s="1"/>
  <c r="AE57" i="306"/>
  <c r="AE64" i="306" s="1"/>
  <c r="AC41" i="272"/>
  <c r="AC21" i="272"/>
  <c r="AG29" i="272"/>
  <c r="AG33" i="272" s="1"/>
  <c r="AG27" i="272"/>
  <c r="AG28" i="272"/>
  <c r="AG32" i="272" s="1"/>
  <c r="AG194" i="306"/>
  <c r="AD39" i="306"/>
  <c r="AD19" i="306"/>
  <c r="AD40" i="306"/>
  <c r="AD20" i="306"/>
  <c r="AE41" i="306"/>
  <c r="AE21" i="306"/>
  <c r="AE40" i="310"/>
  <c r="AE20" i="310"/>
  <c r="AG28" i="278"/>
  <c r="AG32" i="278" s="1"/>
  <c r="AG29" i="278"/>
  <c r="AG33" i="278" s="1"/>
  <c r="AG27" i="278"/>
  <c r="AC40" i="278"/>
  <c r="AC20" i="278"/>
  <c r="AC39" i="278"/>
  <c r="AC19" i="278"/>
  <c r="AC41" i="269"/>
  <c r="AC21" i="269"/>
  <c r="AB40" i="269"/>
  <c r="AB100" i="260" s="1"/>
  <c r="AB20" i="269"/>
  <c r="AB39" i="269"/>
  <c r="AB19" i="269"/>
  <c r="AD177" i="306"/>
  <c r="AF9" i="269"/>
  <c r="AE31" i="269"/>
  <c r="AE35" i="269" s="1"/>
  <c r="AI10" i="269"/>
  <c r="AJ11" i="272"/>
  <c r="AJ10" i="272"/>
  <c r="AF9" i="272"/>
  <c r="AE31" i="272"/>
  <c r="AE35" i="272" s="1"/>
  <c r="AK11" i="310"/>
  <c r="AL11" i="310" s="1"/>
  <c r="AL33" i="310" s="1"/>
  <c r="AL35" i="310" s="1"/>
  <c r="AJ33" i="310"/>
  <c r="AJ35" i="310" s="1"/>
  <c r="AJ10" i="278"/>
  <c r="AF9" i="278"/>
  <c r="AE31" i="278"/>
  <c r="AE35" i="278" s="1"/>
  <c r="AK11" i="303"/>
  <c r="AL11" i="303" s="1"/>
  <c r="AL33" i="303" s="1"/>
  <c r="AL35" i="303" s="1"/>
  <c r="AJ33" i="303"/>
  <c r="AJ35" i="303" s="1"/>
  <c r="AI11" i="269"/>
  <c r="AK11" i="306"/>
  <c r="AL11" i="306" s="1"/>
  <c r="AL33" i="306" s="1"/>
  <c r="AL35" i="306" s="1"/>
  <c r="AJ33" i="306"/>
  <c r="AJ35" i="306" s="1"/>
  <c r="AJ11" i="278"/>
  <c r="AE114" i="306"/>
  <c r="AE72" i="303"/>
  <c r="AE76" i="303" s="1"/>
  <c r="AE78" i="303" s="1"/>
  <c r="AF38" i="304"/>
  <c r="AE161" i="303"/>
  <c r="AE168" i="303" s="1"/>
  <c r="AE170" i="303" s="1"/>
  <c r="AE114" i="303"/>
  <c r="AE183" i="303"/>
  <c r="AE187" i="303" s="1"/>
  <c r="AE159" i="306"/>
  <c r="AE166" i="306" s="1"/>
  <c r="AE170" i="306" s="1"/>
  <c r="AE112" i="306"/>
  <c r="AE55" i="306"/>
  <c r="AE62" i="306" s="1"/>
  <c r="AE182" i="303"/>
  <c r="AE186" i="303" s="1"/>
  <c r="AF47" i="309"/>
  <c r="AF29" i="309"/>
  <c r="AF55" i="309" s="1"/>
  <c r="AF22" i="309" s="1"/>
  <c r="AF17" i="310" s="1"/>
  <c r="AG14" i="271"/>
  <c r="AG16" i="271" s="1"/>
  <c r="AG17" i="271" s="1"/>
  <c r="AG18" i="271" s="1"/>
  <c r="AG20" i="271" s="1"/>
  <c r="AG16" i="273"/>
  <c r="AG59" i="273" s="1"/>
  <c r="AG14" i="277"/>
  <c r="AG16" i="277" s="1"/>
  <c r="AG17" i="277" s="1"/>
  <c r="AG18" i="277" s="1"/>
  <c r="AG20" i="277" s="1"/>
  <c r="AG16" i="279"/>
  <c r="AG59" i="279" s="1"/>
  <c r="AE17" i="303"/>
  <c r="AE24" i="304"/>
  <c r="AE16" i="303" s="1"/>
  <c r="AE23" i="304"/>
  <c r="AE15" i="303" s="1"/>
  <c r="AF50" i="302"/>
  <c r="AF183" i="303" s="1"/>
  <c r="AF187" i="303" s="1"/>
  <c r="AD202" i="303"/>
  <c r="AG13" i="304"/>
  <c r="AG14" i="268"/>
  <c r="AG16" i="268" s="1"/>
  <c r="AG17" i="268" s="1"/>
  <c r="AG18" i="268" s="1"/>
  <c r="AG20" i="268" s="1"/>
  <c r="AG16" i="270"/>
  <c r="AG59" i="270" s="1"/>
  <c r="AG21" i="304"/>
  <c r="AF40" i="304"/>
  <c r="AF31" i="304"/>
  <c r="AF55" i="304" s="1"/>
  <c r="AF22" i="304" s="1"/>
  <c r="AF17" i="303" s="1"/>
  <c r="AF63" i="304"/>
  <c r="AF66" i="304" s="1"/>
  <c r="AF67" i="304" s="1"/>
  <c r="AF72" i="304" s="1"/>
  <c r="AA23" i="269"/>
  <c r="AA43" i="269" s="1"/>
  <c r="AF25" i="302"/>
  <c r="AF112" i="303" s="1"/>
  <c r="AE33" i="305"/>
  <c r="AE173" i="306" s="1"/>
  <c r="AE175" i="306" s="1"/>
  <c r="AF27" i="302"/>
  <c r="AF114" i="303" s="1"/>
  <c r="AE23" i="307"/>
  <c r="AE15" i="306" s="1"/>
  <c r="AE24" i="307"/>
  <c r="AE16" i="306" s="1"/>
  <c r="AE113" i="303"/>
  <c r="AF47" i="304"/>
  <c r="AF49" i="302"/>
  <c r="AF182" i="303" s="1"/>
  <c r="AF186" i="303" s="1"/>
  <c r="AE127" i="303"/>
  <c r="AE132" i="303" s="1"/>
  <c r="AE62" i="310"/>
  <c r="AF66" i="307"/>
  <c r="AF67" i="307" s="1"/>
  <c r="AF72" i="307" s="1"/>
  <c r="AG13" i="307"/>
  <c r="AG27" i="307"/>
  <c r="AG21" i="307"/>
  <c r="AF25" i="305"/>
  <c r="AF27" i="305"/>
  <c r="AF26" i="305"/>
  <c r="AH1" i="304"/>
  <c r="AH13" i="304" s="1"/>
  <c r="AH1" i="309"/>
  <c r="AH1" i="307"/>
  <c r="AF29" i="307"/>
  <c r="AF55" i="307" s="1"/>
  <c r="AF22" i="307" s="1"/>
  <c r="AF17" i="306" s="1"/>
  <c r="AF38" i="307"/>
  <c r="AF47" i="307"/>
  <c r="AG27" i="309"/>
  <c r="AG13" i="309"/>
  <c r="AG21" i="309"/>
  <c r="AE33" i="302"/>
  <c r="AE173" i="303" s="1"/>
  <c r="AD23" i="310"/>
  <c r="AD43" i="310" s="1"/>
  <c r="AC23" i="310"/>
  <c r="AC43" i="310" s="1"/>
  <c r="AE56" i="303"/>
  <c r="AE63" i="303" s="1"/>
  <c r="AD82" i="310"/>
  <c r="AD66" i="310"/>
  <c r="AG14" i="305"/>
  <c r="AG16" i="305" s="1"/>
  <c r="AG17" i="305" s="1"/>
  <c r="AG18" i="305" s="1"/>
  <c r="AG20" i="305" s="1"/>
  <c r="AG60" i="307"/>
  <c r="AH60" i="309"/>
  <c r="AE200" i="310"/>
  <c r="AF160" i="310"/>
  <c r="AF167" i="310" s="1"/>
  <c r="AF113" i="310"/>
  <c r="AF56" i="310"/>
  <c r="AF63" i="310" s="1"/>
  <c r="AE71" i="306"/>
  <c r="AE75" i="306" s="1"/>
  <c r="AE182" i="306"/>
  <c r="AE186" i="306" s="1"/>
  <c r="AE127" i="306"/>
  <c r="AE70" i="306"/>
  <c r="AE74" i="306" s="1"/>
  <c r="AE126" i="306"/>
  <c r="AE181" i="306"/>
  <c r="AE185" i="306" s="1"/>
  <c r="AE183" i="306"/>
  <c r="AE187" i="306" s="1"/>
  <c r="AE72" i="306"/>
  <c r="AE128" i="306"/>
  <c r="AC78" i="306"/>
  <c r="AC85" i="306" s="1"/>
  <c r="AC82" i="306"/>
  <c r="AD76" i="306"/>
  <c r="AD83" i="306"/>
  <c r="AD189" i="306"/>
  <c r="AD196" i="306" s="1"/>
  <c r="AD202" i="306"/>
  <c r="Z175" i="303"/>
  <c r="Z177" i="303" s="1"/>
  <c r="Z204" i="303" s="1"/>
  <c r="Z200" i="303"/>
  <c r="Z111" i="260" s="1"/>
  <c r="AC15" i="269"/>
  <c r="AB172" i="269"/>
  <c r="AB200" i="269" s="1"/>
  <c r="AG60" i="304"/>
  <c r="AG14" i="302"/>
  <c r="AG16" i="302" s="1"/>
  <c r="AG17" i="302" s="1"/>
  <c r="AG18" i="302" s="1"/>
  <c r="AG20" i="302" s="1"/>
  <c r="AG26" i="302" s="1"/>
  <c r="AC16" i="269"/>
  <c r="AA200" i="303"/>
  <c r="AA111" i="260" s="1"/>
  <c r="AA173" i="269"/>
  <c r="AA201" i="269" s="1"/>
  <c r="AA201" i="303"/>
  <c r="AG38" i="304"/>
  <c r="AF50" i="305"/>
  <c r="AF49" i="305"/>
  <c r="AF48" i="305"/>
  <c r="AE62" i="303"/>
  <c r="AF160" i="303"/>
  <c r="AF167" i="303" s="1"/>
  <c r="AF113" i="303"/>
  <c r="AF56" i="303"/>
  <c r="AF63" i="303" s="1"/>
  <c r="AD82" i="303"/>
  <c r="AD66" i="303"/>
  <c r="AD85" i="303" s="1"/>
  <c r="AF126" i="303"/>
  <c r="AF70" i="303"/>
  <c r="AF74" i="303" s="1"/>
  <c r="AF181" i="303"/>
  <c r="AF185" i="303" s="1"/>
  <c r="AC23" i="273"/>
  <c r="AC15" i="272" s="1"/>
  <c r="AC24" i="273"/>
  <c r="AC16" i="272" s="1"/>
  <c r="AD55" i="273"/>
  <c r="AD22" i="273" s="1"/>
  <c r="AD17" i="272" s="1"/>
  <c r="AD55" i="279"/>
  <c r="AD22" i="279" s="1"/>
  <c r="AD23" i="279" s="1"/>
  <c r="AD15" i="278" s="1"/>
  <c r="AE38" i="279"/>
  <c r="AG13" i="270"/>
  <c r="AG27" i="270"/>
  <c r="AG21" i="270"/>
  <c r="AJ51" i="267"/>
  <c r="AH3" i="278"/>
  <c r="AH1" i="279"/>
  <c r="AH1" i="270"/>
  <c r="AH1" i="273"/>
  <c r="AK2" i="267"/>
  <c r="AH3" i="272"/>
  <c r="AG37" i="268"/>
  <c r="AG40" i="268" s="1"/>
  <c r="AG42" i="268" s="1"/>
  <c r="AG43" i="268" s="1"/>
  <c r="AG44" i="268" s="1"/>
  <c r="AG46" i="268" s="1"/>
  <c r="AG50" i="268" s="1"/>
  <c r="AI53" i="267"/>
  <c r="AG21" i="273"/>
  <c r="AG27" i="273"/>
  <c r="AG13" i="273"/>
  <c r="AG27" i="279"/>
  <c r="AG21" i="279"/>
  <c r="AG13" i="279"/>
  <c r="AE29" i="279"/>
  <c r="AE55" i="279" s="1"/>
  <c r="AE22" i="279" s="1"/>
  <c r="AF63" i="270"/>
  <c r="AF66" i="270" s="1"/>
  <c r="AF67" i="270" s="1"/>
  <c r="AF72" i="270" s="1"/>
  <c r="AE66" i="279"/>
  <c r="AE67" i="279" s="1"/>
  <c r="AE72" i="279" s="1"/>
  <c r="AF29" i="279"/>
  <c r="AF60" i="279"/>
  <c r="AF63" i="279" s="1"/>
  <c r="AF66" i="279" s="1"/>
  <c r="AF67" i="279" s="1"/>
  <c r="AF72" i="279" s="1"/>
  <c r="AK52" i="277"/>
  <c r="AK191" i="278" s="1"/>
  <c r="AK53" i="277"/>
  <c r="AK192" i="278" s="1"/>
  <c r="AF38" i="273"/>
  <c r="AF60" i="273"/>
  <c r="AF63" i="273" s="1"/>
  <c r="AF66" i="273" s="1"/>
  <c r="AF67" i="273" s="1"/>
  <c r="AF72" i="273" s="1"/>
  <c r="AH10" i="271"/>
  <c r="AH15" i="273" s="1"/>
  <c r="AE47" i="273"/>
  <c r="AA23" i="278"/>
  <c r="AA43" i="278" s="1"/>
  <c r="AE38" i="273"/>
  <c r="AE55" i="273" s="1"/>
  <c r="AE22" i="273" s="1"/>
  <c r="AE32" i="277"/>
  <c r="AE172" i="278" s="1"/>
  <c r="AE112" i="278"/>
  <c r="AE159" i="278"/>
  <c r="AE55" i="278"/>
  <c r="AE183" i="278"/>
  <c r="AE72" i="278"/>
  <c r="AE76" i="278" s="1"/>
  <c r="AE128" i="278"/>
  <c r="AE181" i="278"/>
  <c r="AE185" i="278" s="1"/>
  <c r="AE70" i="278"/>
  <c r="AE126" i="278"/>
  <c r="AE182" i="278"/>
  <c r="AE186" i="278" s="1"/>
  <c r="AE71" i="278"/>
  <c r="AE75" i="278" s="1"/>
  <c r="AE127" i="278"/>
  <c r="AE114" i="278"/>
  <c r="AE161" i="278"/>
  <c r="AE57" i="278"/>
  <c r="AE113" i="278"/>
  <c r="AE160" i="278"/>
  <c r="AE56" i="278"/>
  <c r="AJ53" i="277"/>
  <c r="AJ192" i="278" s="1"/>
  <c r="AJ52" i="277"/>
  <c r="AJ191" i="278" s="1"/>
  <c r="AE33" i="277"/>
  <c r="AE173" i="278" s="1"/>
  <c r="AF26" i="277"/>
  <c r="AF25" i="277"/>
  <c r="AF27" i="277"/>
  <c r="AF48" i="277"/>
  <c r="AF50" i="277"/>
  <c r="AF49" i="277"/>
  <c r="AI53" i="271"/>
  <c r="AI192" i="272" s="1"/>
  <c r="AI52" i="271"/>
  <c r="AI191" i="272" s="1"/>
  <c r="AF48" i="271"/>
  <c r="AF49" i="271"/>
  <c r="AF50" i="271"/>
  <c r="AE57" i="272"/>
  <c r="AE114" i="272"/>
  <c r="AE161" i="272"/>
  <c r="AF27" i="271"/>
  <c r="AF26" i="271"/>
  <c r="AF25" i="271"/>
  <c r="AE126" i="272"/>
  <c r="AE181" i="272"/>
  <c r="AE70" i="272"/>
  <c r="AE56" i="272"/>
  <c r="AE113" i="272"/>
  <c r="AE160" i="272"/>
  <c r="AE33" i="271"/>
  <c r="AE173" i="272" s="1"/>
  <c r="AE127" i="272"/>
  <c r="AE182" i="272"/>
  <c r="AE71" i="272"/>
  <c r="AE32" i="271"/>
  <c r="AE172" i="272" s="1"/>
  <c r="AE55" i="272"/>
  <c r="AE112" i="272"/>
  <c r="AE159" i="272"/>
  <c r="AE128" i="272"/>
  <c r="AE183" i="272"/>
  <c r="AE72" i="272"/>
  <c r="AC168" i="272"/>
  <c r="AC170" i="272" s="1"/>
  <c r="AC64" i="272"/>
  <c r="AC66" i="272" s="1"/>
  <c r="AC83" i="272"/>
  <c r="AG14" i="273"/>
  <c r="AG14" i="279"/>
  <c r="AD64" i="278"/>
  <c r="AD168" i="278"/>
  <c r="AD75" i="278"/>
  <c r="AD186" i="278"/>
  <c r="AD189" i="278" s="1"/>
  <c r="AG14" i="270"/>
  <c r="AG60" i="270"/>
  <c r="AD166" i="278"/>
  <c r="AC189" i="272"/>
  <c r="AD62" i="278"/>
  <c r="AA66" i="269"/>
  <c r="AD63" i="272"/>
  <c r="AD167" i="272"/>
  <c r="AD74" i="278"/>
  <c r="AD200" i="272"/>
  <c r="AD166" i="272"/>
  <c r="AB85" i="278"/>
  <c r="AD62" i="272"/>
  <c r="AC25" i="268"/>
  <c r="AC112" i="269" s="1"/>
  <c r="AI2" i="268"/>
  <c r="AH52" i="268"/>
  <c r="AH191" i="269" s="1"/>
  <c r="AH53" i="268"/>
  <c r="AH192" i="269" s="1"/>
  <c r="AJ2" i="271"/>
  <c r="AK2" i="271" s="1"/>
  <c r="AL2" i="271" s="1"/>
  <c r="AH6" i="271"/>
  <c r="AH6" i="277"/>
  <c r="AB33" i="268"/>
  <c r="AB55" i="269"/>
  <c r="AB62" i="269" s="1"/>
  <c r="AB56" i="269"/>
  <c r="AB63" i="269" s="1"/>
  <c r="AF48" i="268"/>
  <c r="AF50" i="268"/>
  <c r="AF49" i="268"/>
  <c r="AF40" i="273"/>
  <c r="AF31" i="273"/>
  <c r="AD200" i="278"/>
  <c r="AF40" i="270"/>
  <c r="AF31" i="270"/>
  <c r="AC170" i="278"/>
  <c r="AB113" i="269"/>
  <c r="AF40" i="279"/>
  <c r="AF31" i="279"/>
  <c r="AC200" i="278"/>
  <c r="AC66" i="278"/>
  <c r="AB159" i="269"/>
  <c r="AB166" i="269" s="1"/>
  <c r="AB170" i="269" s="1"/>
  <c r="AB112" i="269"/>
  <c r="AD74" i="272"/>
  <c r="AC78" i="272"/>
  <c r="AC74" i="278"/>
  <c r="AC83" i="278"/>
  <c r="AC189" i="278"/>
  <c r="AC202" i="278"/>
  <c r="AD55" i="270"/>
  <c r="AD22" i="270" s="1"/>
  <c r="AD189" i="272"/>
  <c r="AC26" i="268"/>
  <c r="AC113" i="269" s="1"/>
  <c r="AD27" i="268"/>
  <c r="AE55" i="270"/>
  <c r="AE22" i="270" s="1"/>
  <c r="AE17" i="268"/>
  <c r="AE18" i="268" s="1"/>
  <c r="AE20" i="268" s="1"/>
  <c r="AE66" i="270"/>
  <c r="AE67" i="270" s="1"/>
  <c r="AE72" i="270" s="1"/>
  <c r="AC114" i="269"/>
  <c r="AC57" i="269"/>
  <c r="AC64" i="269" s="1"/>
  <c r="AC161" i="269"/>
  <c r="AC168" i="269" s="1"/>
  <c r="AF2" i="264"/>
  <c r="AF17" i="264" s="1"/>
  <c r="AE86" i="319" l="1"/>
  <c r="AE27" i="320" s="1"/>
  <c r="AE31" i="320" s="1"/>
  <c r="AD132" i="313"/>
  <c r="AD202" i="313"/>
  <c r="AK12" i="267"/>
  <c r="AK11" i="267"/>
  <c r="AK10" i="267"/>
  <c r="AK8" i="267"/>
  <c r="AK7" i="267"/>
  <c r="AK9" i="267"/>
  <c r="AE19" i="310"/>
  <c r="AH10" i="302"/>
  <c r="AH16" i="312"/>
  <c r="AH17" i="312" s="1"/>
  <c r="AH18" i="312" s="1"/>
  <c r="AH20" i="312" s="1"/>
  <c r="AH26" i="312" s="1"/>
  <c r="AE200" i="329"/>
  <c r="AC39" i="313"/>
  <c r="AH10" i="305"/>
  <c r="AH10" i="277"/>
  <c r="AD196" i="313"/>
  <c r="AD204" i="313" s="1"/>
  <c r="AE182" i="326"/>
  <c r="AE186" i="326" s="1"/>
  <c r="AE202" i="326" s="1"/>
  <c r="AJ61" i="267"/>
  <c r="AJ63" i="267" s="1"/>
  <c r="AI6" i="277"/>
  <c r="AJ56" i="267"/>
  <c r="AJ58" i="267" s="1"/>
  <c r="AH10" i="308"/>
  <c r="AF56" i="316"/>
  <c r="AF23" i="316" s="1"/>
  <c r="AF17" i="317" s="1"/>
  <c r="AF21" i="317" s="1"/>
  <c r="AJ66" i="267"/>
  <c r="AJ68" i="267" s="1"/>
  <c r="AE117" i="329"/>
  <c r="AE116" i="329"/>
  <c r="AG63" i="307"/>
  <c r="AL53" i="271"/>
  <c r="AL192" i="272" s="1"/>
  <c r="AL52" i="271"/>
  <c r="AL191" i="272" s="1"/>
  <c r="AF112" i="329"/>
  <c r="AI102" i="269"/>
  <c r="AI103" i="269"/>
  <c r="AI101" i="269"/>
  <c r="AI93" i="269"/>
  <c r="AI98" i="269"/>
  <c r="AI95" i="269"/>
  <c r="AI97" i="269"/>
  <c r="AI92" i="269"/>
  <c r="AI90" i="269"/>
  <c r="AI100" i="269"/>
  <c r="AI91" i="269"/>
  <c r="AI96" i="269"/>
  <c r="AK39" i="267"/>
  <c r="AK41" i="267" s="1"/>
  <c r="AK40" i="267"/>
  <c r="AK44" i="267"/>
  <c r="AK46" i="267" s="1"/>
  <c r="AK29" i="267"/>
  <c r="AK31" i="267" s="1"/>
  <c r="AK45" i="267"/>
  <c r="AK30" i="267"/>
  <c r="AG40" i="309"/>
  <c r="AG31" i="309"/>
  <c r="AG55" i="309" s="1"/>
  <c r="AG22" i="309" s="1"/>
  <c r="AG32" i="319"/>
  <c r="AG41" i="319"/>
  <c r="AH11" i="318"/>
  <c r="AH18" i="319" s="1"/>
  <c r="AH11" i="312"/>
  <c r="AH18" i="314" s="1"/>
  <c r="AH11" i="315"/>
  <c r="AH18" i="316" s="1"/>
  <c r="AG32" i="316"/>
  <c r="AG41" i="316"/>
  <c r="AH11" i="277"/>
  <c r="AH17" i="279" s="1"/>
  <c r="AH11" i="268"/>
  <c r="AH17" i="270" s="1"/>
  <c r="AH11" i="308"/>
  <c r="AH17" i="309" s="1"/>
  <c r="AH11" i="302"/>
  <c r="AH17" i="304" s="1"/>
  <c r="AE41" i="310"/>
  <c r="AE21" i="310"/>
  <c r="AD141" i="313"/>
  <c r="AE67" i="314"/>
  <c r="AE68" i="314" s="1"/>
  <c r="AE73" i="314" s="1"/>
  <c r="AD35" i="326"/>
  <c r="AD143" i="320"/>
  <c r="AD130" i="320"/>
  <c r="AF55" i="329"/>
  <c r="AF62" i="329" s="1"/>
  <c r="AF66" i="329" s="1"/>
  <c r="AF159" i="329"/>
  <c r="AF166" i="329" s="1"/>
  <c r="AC40" i="313"/>
  <c r="AC35" i="313"/>
  <c r="AC43" i="313" s="1"/>
  <c r="AD130" i="313"/>
  <c r="AD140" i="313"/>
  <c r="AD133" i="313"/>
  <c r="AD142" i="313"/>
  <c r="AD196" i="320"/>
  <c r="AD201" i="313"/>
  <c r="AG60" i="314"/>
  <c r="AG126" i="314" s="1"/>
  <c r="AH77" i="325"/>
  <c r="AH15" i="325"/>
  <c r="AD141" i="320"/>
  <c r="AD132" i="320"/>
  <c r="AH77" i="322"/>
  <c r="AH15" i="322"/>
  <c r="AH77" i="316"/>
  <c r="AH15" i="316"/>
  <c r="AF92" i="325"/>
  <c r="AD142" i="320"/>
  <c r="AD140" i="320"/>
  <c r="AD131" i="320"/>
  <c r="AH77" i="328"/>
  <c r="AH15" i="328"/>
  <c r="AI6" i="318"/>
  <c r="AI6" i="321"/>
  <c r="AI6" i="305"/>
  <c r="AI14" i="307" s="1"/>
  <c r="AI6" i="324"/>
  <c r="AI6" i="312"/>
  <c r="AI6" i="308"/>
  <c r="AI14" i="309" s="1"/>
  <c r="AI6" i="327"/>
  <c r="AI6" i="315"/>
  <c r="AI6" i="302"/>
  <c r="AD83" i="313"/>
  <c r="AH77" i="314"/>
  <c r="AH15" i="314"/>
  <c r="AH77" i="319"/>
  <c r="AH15" i="319"/>
  <c r="AH103" i="323"/>
  <c r="AH101" i="323"/>
  <c r="AH102" i="323"/>
  <c r="AH100" i="323"/>
  <c r="AH91" i="323"/>
  <c r="AH98" i="323"/>
  <c r="AH96" i="323"/>
  <c r="AH92" i="323"/>
  <c r="AH95" i="323"/>
  <c r="AH90" i="323"/>
  <c r="AH97" i="323"/>
  <c r="AH93" i="323"/>
  <c r="AH103" i="278"/>
  <c r="AH100" i="278"/>
  <c r="AH101" i="278"/>
  <c r="AH102" i="278"/>
  <c r="AH97" i="278"/>
  <c r="AH95" i="278"/>
  <c r="AH90" i="278"/>
  <c r="AH91" i="278"/>
  <c r="AH98" i="278"/>
  <c r="AH96" i="278"/>
  <c r="AH92" i="278"/>
  <c r="AH93" i="278"/>
  <c r="AH101" i="326"/>
  <c r="AH102" i="326"/>
  <c r="AH103" i="326"/>
  <c r="AH100" i="326"/>
  <c r="AH91" i="326"/>
  <c r="AH98" i="326"/>
  <c r="AH96" i="326"/>
  <c r="AH92" i="326"/>
  <c r="AH93" i="326"/>
  <c r="AH97" i="326"/>
  <c r="AH95" i="326"/>
  <c r="AH90" i="326"/>
  <c r="AH103" i="272"/>
  <c r="AH102" i="272"/>
  <c r="AH100" i="272"/>
  <c r="AH101" i="272"/>
  <c r="AH98" i="272"/>
  <c r="AH96" i="272"/>
  <c r="AH92" i="272"/>
  <c r="AH97" i="272"/>
  <c r="AH95" i="272"/>
  <c r="AH90" i="272"/>
  <c r="AH91" i="272"/>
  <c r="AH93" i="272"/>
  <c r="AH101" i="320"/>
  <c r="AH102" i="320"/>
  <c r="AH103" i="320"/>
  <c r="AH100" i="320"/>
  <c r="AH98" i="320"/>
  <c r="AH96" i="320"/>
  <c r="AH92" i="320"/>
  <c r="AH93" i="320"/>
  <c r="AH97" i="320"/>
  <c r="AH95" i="320"/>
  <c r="AH90" i="320"/>
  <c r="AH91" i="320"/>
  <c r="AH101" i="329"/>
  <c r="AH102" i="329"/>
  <c r="AH103" i="329"/>
  <c r="AH100" i="329"/>
  <c r="AH97" i="329"/>
  <c r="AH95" i="329"/>
  <c r="AH98" i="329"/>
  <c r="AH96" i="329"/>
  <c r="AH93" i="329"/>
  <c r="AH91" i="329"/>
  <c r="AH90" i="329"/>
  <c r="AH92" i="329"/>
  <c r="AH103" i="313"/>
  <c r="AH100" i="313"/>
  <c r="AH102" i="313"/>
  <c r="AH101" i="313"/>
  <c r="AH98" i="313"/>
  <c r="AH96" i="313"/>
  <c r="AH92" i="313"/>
  <c r="AH93" i="313"/>
  <c r="AH97" i="313"/>
  <c r="AH91" i="313"/>
  <c r="AH95" i="313"/>
  <c r="AH90" i="313"/>
  <c r="AH101" i="317"/>
  <c r="AH103" i="317"/>
  <c r="AH102" i="317"/>
  <c r="AH100" i="317"/>
  <c r="AH91" i="317"/>
  <c r="AH98" i="317"/>
  <c r="AH96" i="317"/>
  <c r="AH92" i="317"/>
  <c r="AH93" i="317"/>
  <c r="AH95" i="317"/>
  <c r="AH90" i="317"/>
  <c r="AH97" i="317"/>
  <c r="AD189" i="323"/>
  <c r="AD196" i="323" s="1"/>
  <c r="AF160" i="329"/>
  <c r="AF167" i="329" s="1"/>
  <c r="AF113" i="329"/>
  <c r="AF118" i="329" s="1"/>
  <c r="AF33" i="327"/>
  <c r="AF173" i="329" s="1"/>
  <c r="AF175" i="329" s="1"/>
  <c r="AG26" i="327"/>
  <c r="AG33" i="327" s="1"/>
  <c r="AG173" i="329" s="1"/>
  <c r="AG25" i="327"/>
  <c r="AG32" i="327" s="1"/>
  <c r="AG172" i="329" s="1"/>
  <c r="AD202" i="323"/>
  <c r="AE143" i="313"/>
  <c r="AE140" i="329"/>
  <c r="AE116" i="303"/>
  <c r="AE141" i="310"/>
  <c r="AC118" i="269"/>
  <c r="AC119" i="269"/>
  <c r="AC116" i="269"/>
  <c r="AC117" i="269"/>
  <c r="AE141" i="272"/>
  <c r="AE142" i="272"/>
  <c r="AE143" i="272"/>
  <c r="AE119" i="272"/>
  <c r="AE140" i="272"/>
  <c r="AE116" i="272"/>
  <c r="AE117" i="272"/>
  <c r="AE118" i="272"/>
  <c r="AE131" i="272"/>
  <c r="AE132" i="272"/>
  <c r="AE133" i="272"/>
  <c r="AE130" i="272"/>
  <c r="AE133" i="306"/>
  <c r="AE132" i="306"/>
  <c r="AE130" i="306"/>
  <c r="AE131" i="306"/>
  <c r="AE140" i="306"/>
  <c r="AE142" i="306"/>
  <c r="AE118" i="306"/>
  <c r="AE143" i="306"/>
  <c r="AE141" i="306"/>
  <c r="AE119" i="306"/>
  <c r="AE116" i="306"/>
  <c r="AE117" i="306"/>
  <c r="AE132" i="323"/>
  <c r="AE133" i="323"/>
  <c r="AE130" i="323"/>
  <c r="AE131" i="323"/>
  <c r="AE142" i="323"/>
  <c r="AE118" i="323"/>
  <c r="AE143" i="323"/>
  <c r="AE119" i="323"/>
  <c r="AE140" i="323"/>
  <c r="AE116" i="323"/>
  <c r="AE141" i="323"/>
  <c r="AE117" i="323"/>
  <c r="AE131" i="303"/>
  <c r="AE142" i="310"/>
  <c r="AE140" i="310"/>
  <c r="AE117" i="303"/>
  <c r="AE140" i="303"/>
  <c r="AE142" i="329"/>
  <c r="AF117" i="303"/>
  <c r="AF118" i="303"/>
  <c r="AF119" i="303"/>
  <c r="AF116" i="303"/>
  <c r="AE133" i="326"/>
  <c r="AE130" i="326"/>
  <c r="AE131" i="326"/>
  <c r="AE132" i="326"/>
  <c r="AE140" i="320"/>
  <c r="AE141" i="320"/>
  <c r="AE142" i="320"/>
  <c r="AE118" i="320"/>
  <c r="AE119" i="320"/>
  <c r="AE117" i="320"/>
  <c r="AE143" i="320"/>
  <c r="AE116" i="320"/>
  <c r="AE133" i="310"/>
  <c r="AE131" i="310"/>
  <c r="AE132" i="310"/>
  <c r="AE130" i="310"/>
  <c r="AE130" i="303"/>
  <c r="AE119" i="310"/>
  <c r="AE143" i="310"/>
  <c r="AE143" i="303"/>
  <c r="AE141" i="303"/>
  <c r="AE141" i="313"/>
  <c r="AB118" i="269"/>
  <c r="AB119" i="269"/>
  <c r="AB117" i="269"/>
  <c r="AB116" i="269"/>
  <c r="AE133" i="278"/>
  <c r="AE130" i="278"/>
  <c r="AE131" i="278"/>
  <c r="AE132" i="278"/>
  <c r="AE143" i="278"/>
  <c r="AE119" i="278"/>
  <c r="AE140" i="278"/>
  <c r="AE141" i="278"/>
  <c r="AE117" i="278"/>
  <c r="AE142" i="278"/>
  <c r="AE118" i="278"/>
  <c r="AE116" i="278"/>
  <c r="AE132" i="313"/>
  <c r="AE133" i="313"/>
  <c r="AE130" i="313"/>
  <c r="AE131" i="313"/>
  <c r="AE130" i="320"/>
  <c r="AE132" i="320"/>
  <c r="AE131" i="320"/>
  <c r="AE133" i="320"/>
  <c r="AE133" i="329"/>
  <c r="AE130" i="329"/>
  <c r="AE131" i="329"/>
  <c r="AE132" i="329"/>
  <c r="AF119" i="313"/>
  <c r="AF116" i="313"/>
  <c r="AF117" i="313"/>
  <c r="AF118" i="313"/>
  <c r="AE133" i="303"/>
  <c r="AE117" i="310"/>
  <c r="AE118" i="310"/>
  <c r="AE119" i="303"/>
  <c r="AE118" i="303"/>
  <c r="AE143" i="329"/>
  <c r="AE143" i="326"/>
  <c r="AE119" i="326"/>
  <c r="AE140" i="326"/>
  <c r="AE116" i="326"/>
  <c r="AE141" i="326"/>
  <c r="AE117" i="326"/>
  <c r="AE142" i="326"/>
  <c r="AE118" i="326"/>
  <c r="AE119" i="317"/>
  <c r="AE116" i="317"/>
  <c r="AE117" i="317"/>
  <c r="AE118" i="317"/>
  <c r="AE116" i="310"/>
  <c r="AE142" i="303"/>
  <c r="AE140" i="313"/>
  <c r="AE142" i="313"/>
  <c r="AE141" i="329"/>
  <c r="AF92" i="316"/>
  <c r="AF110" i="325"/>
  <c r="AF92" i="328"/>
  <c r="AF101" i="328"/>
  <c r="AF118" i="328" s="1"/>
  <c r="AF85" i="328" s="1"/>
  <c r="AF29" i="329" s="1"/>
  <c r="AF33" i="329" s="1"/>
  <c r="AE86" i="328"/>
  <c r="AE27" i="329" s="1"/>
  <c r="AE31" i="329" s="1"/>
  <c r="AD83" i="323"/>
  <c r="AF92" i="319"/>
  <c r="AH106" i="320"/>
  <c r="AH105" i="320"/>
  <c r="AH108" i="320"/>
  <c r="AH107" i="320"/>
  <c r="AH106" i="329"/>
  <c r="AH108" i="329"/>
  <c r="AH107" i="329"/>
  <c r="AH105" i="329"/>
  <c r="AI106" i="269"/>
  <c r="AI108" i="269"/>
  <c r="AI107" i="269"/>
  <c r="AI105" i="269"/>
  <c r="AH106" i="278"/>
  <c r="AH105" i="278"/>
  <c r="AH107" i="278"/>
  <c r="AH108" i="278"/>
  <c r="AH106" i="313"/>
  <c r="AH105" i="313"/>
  <c r="AH108" i="313"/>
  <c r="AH107" i="313"/>
  <c r="AH106" i="317"/>
  <c r="AH105" i="317"/>
  <c r="AH108" i="317"/>
  <c r="AH107" i="317"/>
  <c r="AF110" i="322"/>
  <c r="AF101" i="319"/>
  <c r="AF118" i="319" s="1"/>
  <c r="AF85" i="319" s="1"/>
  <c r="AF29" i="320" s="1"/>
  <c r="AH107" i="272"/>
  <c r="AH106" i="272"/>
  <c r="AH105" i="272"/>
  <c r="AH108" i="272"/>
  <c r="AH106" i="323"/>
  <c r="AH105" i="323"/>
  <c r="AH108" i="323"/>
  <c r="AH107" i="323"/>
  <c r="AH105" i="326"/>
  <c r="AH108" i="326"/>
  <c r="AH106" i="326"/>
  <c r="AH107" i="326"/>
  <c r="AG78" i="319"/>
  <c r="AG110" i="319" s="1"/>
  <c r="AG79" i="319"/>
  <c r="AG78" i="328"/>
  <c r="AG92" i="328" s="1"/>
  <c r="AG79" i="328"/>
  <c r="AG78" i="325"/>
  <c r="AG110" i="325" s="1"/>
  <c r="AG79" i="325"/>
  <c r="AG78" i="316"/>
  <c r="AG101" i="316" s="1"/>
  <c r="AG79" i="316"/>
  <c r="AG78" i="322"/>
  <c r="AG92" i="322" s="1"/>
  <c r="AG79" i="322"/>
  <c r="AE86" i="322"/>
  <c r="AE27" i="323" s="1"/>
  <c r="AE31" i="323" s="1"/>
  <c r="AG78" i="314"/>
  <c r="AG79" i="314"/>
  <c r="AH17" i="328"/>
  <c r="AH16" i="328"/>
  <c r="AF126" i="314"/>
  <c r="AF64" i="314"/>
  <c r="AE126" i="317"/>
  <c r="AC204" i="317"/>
  <c r="AG27" i="312"/>
  <c r="AG161" i="313" s="1"/>
  <c r="AG168" i="313" s="1"/>
  <c r="AE70" i="317"/>
  <c r="AE74" i="317" s="1"/>
  <c r="AE71" i="317"/>
  <c r="AE75" i="317" s="1"/>
  <c r="AE127" i="317"/>
  <c r="AD39" i="320"/>
  <c r="AF50" i="321"/>
  <c r="AF72" i="323" s="1"/>
  <c r="AF76" i="323" s="1"/>
  <c r="AC35" i="320"/>
  <c r="AC43" i="320" s="1"/>
  <c r="AE175" i="310"/>
  <c r="AE177" i="310" s="1"/>
  <c r="AD39" i="323"/>
  <c r="AF50" i="327"/>
  <c r="AF183" i="329" s="1"/>
  <c r="AF187" i="329" s="1"/>
  <c r="AG25" i="312"/>
  <c r="AG32" i="312" s="1"/>
  <c r="AG172" i="313" s="1"/>
  <c r="AF49" i="321"/>
  <c r="AF182" i="323" s="1"/>
  <c r="AF186" i="323" s="1"/>
  <c r="AE86" i="325"/>
  <c r="AE27" i="326" s="1"/>
  <c r="AE31" i="326" s="1"/>
  <c r="AF49" i="327"/>
  <c r="AC35" i="323"/>
  <c r="AC43" i="323" s="1"/>
  <c r="AD23" i="323"/>
  <c r="AE29" i="323"/>
  <c r="AE41" i="323" s="1"/>
  <c r="AF49" i="315"/>
  <c r="AF127" i="317" s="1"/>
  <c r="AF50" i="315"/>
  <c r="AF72" i="317" s="1"/>
  <c r="AF76" i="317" s="1"/>
  <c r="AE41" i="317"/>
  <c r="AE86" i="316"/>
  <c r="AE27" i="317" s="1"/>
  <c r="AE31" i="317" s="1"/>
  <c r="AE177" i="329"/>
  <c r="AF118" i="322"/>
  <c r="AF85" i="322" s="1"/>
  <c r="AF29" i="323" s="1"/>
  <c r="AF33" i="323" s="1"/>
  <c r="AE41" i="320"/>
  <c r="AD40" i="320"/>
  <c r="AD40" i="317"/>
  <c r="AH16" i="316"/>
  <c r="AH17" i="316"/>
  <c r="AH17" i="314"/>
  <c r="AH122" i="314" s="1"/>
  <c r="AH16" i="314"/>
  <c r="AH15" i="279"/>
  <c r="AD85" i="310"/>
  <c r="AF57" i="310"/>
  <c r="AF64" i="310" s="1"/>
  <c r="AF161" i="310"/>
  <c r="AF168" i="310" s="1"/>
  <c r="AF114" i="310"/>
  <c r="AH16" i="309"/>
  <c r="AH59" i="309" s="1"/>
  <c r="AH63" i="309" s="1"/>
  <c r="AH66" i="309" s="1"/>
  <c r="AH67" i="309" s="1"/>
  <c r="AH72" i="309" s="1"/>
  <c r="AH15" i="309"/>
  <c r="AH47" i="309" s="1"/>
  <c r="AH16" i="307"/>
  <c r="AH59" i="307" s="1"/>
  <c r="AH15" i="307"/>
  <c r="AH16" i="304"/>
  <c r="AH59" i="304" s="1"/>
  <c r="AH15" i="304"/>
  <c r="AH151" i="326"/>
  <c r="AH150" i="326"/>
  <c r="AH151" i="323"/>
  <c r="AH150" i="323"/>
  <c r="AH151" i="320"/>
  <c r="AH150" i="320"/>
  <c r="AH150" i="317"/>
  <c r="AH151" i="317"/>
  <c r="AH150" i="313"/>
  <c r="AH151" i="313"/>
  <c r="AH150" i="278"/>
  <c r="AH151" i="278"/>
  <c r="AH151" i="272"/>
  <c r="AH150" i="272"/>
  <c r="AI29" i="269"/>
  <c r="AI33" i="269" s="1"/>
  <c r="AI28" i="269"/>
  <c r="AI32" i="269" s="1"/>
  <c r="AI27" i="269"/>
  <c r="AD32" i="323"/>
  <c r="AD40" i="323"/>
  <c r="AF118" i="325"/>
  <c r="AF85" i="325" s="1"/>
  <c r="AF29" i="326" s="1"/>
  <c r="AF33" i="326" s="1"/>
  <c r="AD32" i="329"/>
  <c r="AD35" i="329" s="1"/>
  <c r="AD40" i="329"/>
  <c r="AH32" i="328"/>
  <c r="AH41" i="328"/>
  <c r="AG30" i="322"/>
  <c r="AG39" i="322"/>
  <c r="AG56" i="322" s="1"/>
  <c r="AG23" i="322" s="1"/>
  <c r="AG17" i="323" s="1"/>
  <c r="AG21" i="323" s="1"/>
  <c r="AG48" i="322"/>
  <c r="AG110" i="328"/>
  <c r="AG101" i="328"/>
  <c r="AE129" i="325"/>
  <c r="AE130" i="325" s="1"/>
  <c r="AE135" i="325" s="1"/>
  <c r="AE87" i="325" s="1"/>
  <c r="AE28" i="326" s="1"/>
  <c r="AE32" i="326" s="1"/>
  <c r="AE67" i="325"/>
  <c r="AE68" i="325" s="1"/>
  <c r="AE73" i="325" s="1"/>
  <c r="AE25" i="325" s="1"/>
  <c r="AE16" i="326" s="1"/>
  <c r="AE24" i="325"/>
  <c r="AE15" i="326" s="1"/>
  <c r="AD33" i="323"/>
  <c r="AD41" i="323"/>
  <c r="AE67" i="319"/>
  <c r="AE68" i="319" s="1"/>
  <c r="AE73" i="319" s="1"/>
  <c r="AE25" i="319" s="1"/>
  <c r="AE16" i="320" s="1"/>
  <c r="AE20" i="320" s="1"/>
  <c r="AE129" i="319"/>
  <c r="AE130" i="319" s="1"/>
  <c r="AE135" i="319" s="1"/>
  <c r="AE87" i="319" s="1"/>
  <c r="AE28" i="320" s="1"/>
  <c r="AE32" i="320" s="1"/>
  <c r="AE35" i="320" s="1"/>
  <c r="AE24" i="319"/>
  <c r="AE15" i="320" s="1"/>
  <c r="AE19" i="320" s="1"/>
  <c r="AG94" i="319"/>
  <c r="AG103" i="319"/>
  <c r="AF126" i="325"/>
  <c r="AF64" i="325"/>
  <c r="AE67" i="322"/>
  <c r="AE68" i="322" s="1"/>
  <c r="AE73" i="322" s="1"/>
  <c r="AE25" i="322" s="1"/>
  <c r="AE16" i="323" s="1"/>
  <c r="AE20" i="323" s="1"/>
  <c r="AE129" i="322"/>
  <c r="AE130" i="322" s="1"/>
  <c r="AE135" i="322" s="1"/>
  <c r="AE87" i="322" s="1"/>
  <c r="AE28" i="323" s="1"/>
  <c r="AE32" i="323" s="1"/>
  <c r="AE24" i="322"/>
  <c r="AE15" i="323" s="1"/>
  <c r="AE19" i="323" s="1"/>
  <c r="AG103" i="316"/>
  <c r="AG94" i="316"/>
  <c r="AH90" i="322"/>
  <c r="AH76" i="322"/>
  <c r="AH84" i="322"/>
  <c r="AH28" i="322"/>
  <c r="AH22" i="322"/>
  <c r="AE67" i="316"/>
  <c r="AE68" i="316" s="1"/>
  <c r="AE73" i="316" s="1"/>
  <c r="AE25" i="316" s="1"/>
  <c r="AE16" i="317" s="1"/>
  <c r="AE129" i="316"/>
  <c r="AE130" i="316" s="1"/>
  <c r="AE135" i="316" s="1"/>
  <c r="AE87" i="316" s="1"/>
  <c r="AE28" i="317" s="1"/>
  <c r="AE32" i="317" s="1"/>
  <c r="AE24" i="316"/>
  <c r="AE15" i="317" s="1"/>
  <c r="AH38" i="321"/>
  <c r="AH80" i="322" s="1"/>
  <c r="AH38" i="324"/>
  <c r="AH80" i="325" s="1"/>
  <c r="AH38" i="327"/>
  <c r="AH80" i="328" s="1"/>
  <c r="AK66" i="267"/>
  <c r="AH90" i="319"/>
  <c r="AH84" i="319"/>
  <c r="AH76" i="319"/>
  <c r="AH22" i="319"/>
  <c r="AH28" i="319"/>
  <c r="AG60" i="319"/>
  <c r="AG122" i="319"/>
  <c r="AG122" i="328"/>
  <c r="AG60" i="328"/>
  <c r="AH37" i="321"/>
  <c r="AH40" i="321" s="1"/>
  <c r="AH42" i="321" s="1"/>
  <c r="AH43" i="321" s="1"/>
  <c r="AH44" i="321" s="1"/>
  <c r="AH46" i="321" s="1"/>
  <c r="AI10" i="324"/>
  <c r="AI16" i="325" s="1"/>
  <c r="AI10" i="327"/>
  <c r="AI14" i="327" s="1"/>
  <c r="AI10" i="321"/>
  <c r="AI16" i="322" s="1"/>
  <c r="AE129" i="328"/>
  <c r="AE130" i="328" s="1"/>
  <c r="AE135" i="328" s="1"/>
  <c r="AE87" i="328" s="1"/>
  <c r="AE28" i="329" s="1"/>
  <c r="AE32" i="329" s="1"/>
  <c r="AE35" i="329" s="1"/>
  <c r="AE67" i="328"/>
  <c r="AE68" i="328" s="1"/>
  <c r="AE73" i="328" s="1"/>
  <c r="AE25" i="328" s="1"/>
  <c r="AE16" i="329" s="1"/>
  <c r="AE20" i="329" s="1"/>
  <c r="AE24" i="328"/>
  <c r="AF64" i="322"/>
  <c r="AF126" i="322"/>
  <c r="AF86" i="322" s="1"/>
  <c r="AF27" i="323" s="1"/>
  <c r="AF31" i="323" s="1"/>
  <c r="AH76" i="328"/>
  <c r="AH28" i="328"/>
  <c r="AH22" i="328"/>
  <c r="AH90" i="328"/>
  <c r="AH84" i="328"/>
  <c r="AG122" i="316"/>
  <c r="AG60" i="316"/>
  <c r="AG122" i="325"/>
  <c r="AG60" i="325"/>
  <c r="AH38" i="315"/>
  <c r="AH80" i="316" s="1"/>
  <c r="AH38" i="318"/>
  <c r="AH80" i="319" s="1"/>
  <c r="AH38" i="312"/>
  <c r="AH80" i="314" s="1"/>
  <c r="AH41" i="322"/>
  <c r="AH32" i="322"/>
  <c r="AH90" i="325"/>
  <c r="AH76" i="325"/>
  <c r="AH28" i="325"/>
  <c r="AH84" i="325"/>
  <c r="AH22" i="325"/>
  <c r="AE202" i="310"/>
  <c r="AF48" i="325"/>
  <c r="AF39" i="325"/>
  <c r="AF56" i="325" s="1"/>
  <c r="AF23" i="325" s="1"/>
  <c r="AF30" i="325"/>
  <c r="AG60" i="322"/>
  <c r="AG122" i="322"/>
  <c r="AG94" i="328"/>
  <c r="AG103" i="328"/>
  <c r="AF126" i="319"/>
  <c r="AF64" i="319"/>
  <c r="AI11" i="321"/>
  <c r="AI18" i="322" s="1"/>
  <c r="AI11" i="324"/>
  <c r="AI18" i="325" s="1"/>
  <c r="AI11" i="327"/>
  <c r="AI18" i="328" s="1"/>
  <c r="AH90" i="316"/>
  <c r="AH84" i="316"/>
  <c r="AH76" i="316"/>
  <c r="AH28" i="316"/>
  <c r="AH22" i="316"/>
  <c r="AF48" i="328"/>
  <c r="AF39" i="328"/>
  <c r="AF56" i="328" s="1"/>
  <c r="AF23" i="328" s="1"/>
  <c r="AF30" i="328"/>
  <c r="AG39" i="316"/>
  <c r="AG30" i="316"/>
  <c r="AG48" i="316"/>
  <c r="AG94" i="325"/>
  <c r="AG103" i="325"/>
  <c r="AF118" i="316"/>
  <c r="AF85" i="316" s="1"/>
  <c r="AH41" i="325"/>
  <c r="AH32" i="325"/>
  <c r="AG48" i="319"/>
  <c r="AG39" i="319"/>
  <c r="AG30" i="319"/>
  <c r="AG94" i="322"/>
  <c r="AG103" i="322"/>
  <c r="AF126" i="328"/>
  <c r="AF64" i="328"/>
  <c r="AF126" i="316"/>
  <c r="AF64" i="316"/>
  <c r="AE189" i="310"/>
  <c r="AE196" i="310" s="1"/>
  <c r="AC101" i="260"/>
  <c r="AE201" i="313"/>
  <c r="AD41" i="313"/>
  <c r="AF53" i="318"/>
  <c r="AF192" i="320" s="1"/>
  <c r="AF194" i="320" s="1"/>
  <c r="AD39" i="313"/>
  <c r="AE24" i="314"/>
  <c r="AE15" i="313" s="1"/>
  <c r="AE201" i="320"/>
  <c r="AF53" i="312"/>
  <c r="AF192" i="313" s="1"/>
  <c r="AF194" i="313" s="1"/>
  <c r="AE201" i="329"/>
  <c r="AA112" i="260"/>
  <c r="AF200" i="313"/>
  <c r="AF200" i="329"/>
  <c r="AE25" i="314"/>
  <c r="AE16" i="313" s="1"/>
  <c r="AE20" i="313" s="1"/>
  <c r="AD35" i="313"/>
  <c r="AF92" i="314"/>
  <c r="AF118" i="314" s="1"/>
  <c r="AF85" i="314" s="1"/>
  <c r="AF110" i="314"/>
  <c r="AF101" i="314"/>
  <c r="AE29" i="313"/>
  <c r="AE33" i="313" s="1"/>
  <c r="AE86" i="314"/>
  <c r="AE27" i="313" s="1"/>
  <c r="AE31" i="313" s="1"/>
  <c r="AE87" i="314"/>
  <c r="AE28" i="313" s="1"/>
  <c r="AE32" i="313" s="1"/>
  <c r="AI10" i="318"/>
  <c r="AI16" i="319" s="1"/>
  <c r="AI10" i="312"/>
  <c r="AI14" i="312" s="1"/>
  <c r="AI10" i="315"/>
  <c r="AK61" i="267"/>
  <c r="AH37" i="315"/>
  <c r="AH40" i="315" s="1"/>
  <c r="AH42" i="315" s="1"/>
  <c r="AH43" i="315" s="1"/>
  <c r="AH44" i="315" s="1"/>
  <c r="AH46" i="315" s="1"/>
  <c r="AH37" i="318"/>
  <c r="AH40" i="318" s="1"/>
  <c r="AH42" i="318" s="1"/>
  <c r="AH43" i="318" s="1"/>
  <c r="AH44" i="318" s="1"/>
  <c r="AH46" i="318" s="1"/>
  <c r="AH37" i="312"/>
  <c r="AH40" i="312" s="1"/>
  <c r="AH42" i="312" s="1"/>
  <c r="AH43" i="312" s="1"/>
  <c r="AH44" i="312" s="1"/>
  <c r="AH46" i="312" s="1"/>
  <c r="AH84" i="314"/>
  <c r="AH90" i="314"/>
  <c r="AH76" i="314"/>
  <c r="AD20" i="313"/>
  <c r="AD23" i="313" s="1"/>
  <c r="AD40" i="313"/>
  <c r="AF23" i="314"/>
  <c r="AE66" i="306"/>
  <c r="AH194" i="306"/>
  <c r="AF112" i="310"/>
  <c r="AJ3" i="269"/>
  <c r="AK3" i="269" s="1"/>
  <c r="AD204" i="310"/>
  <c r="AF159" i="310"/>
  <c r="AF166" i="310" s="1"/>
  <c r="AF128" i="310"/>
  <c r="AF133" i="310" s="1"/>
  <c r="AE78" i="310"/>
  <c r="AE177" i="313"/>
  <c r="AC23" i="329"/>
  <c r="AC43" i="329" s="1"/>
  <c r="AE83" i="310"/>
  <c r="AF32" i="308"/>
  <c r="AF172" i="310" s="1"/>
  <c r="AF175" i="310" s="1"/>
  <c r="AE66" i="323"/>
  <c r="AF72" i="310"/>
  <c r="AF76" i="310" s="1"/>
  <c r="AD177" i="323"/>
  <c r="AH194" i="303"/>
  <c r="AD23" i="320"/>
  <c r="AD43" i="320" s="1"/>
  <c r="AF175" i="313"/>
  <c r="AD204" i="329"/>
  <c r="AE170" i="317"/>
  <c r="AF170" i="313"/>
  <c r="AF66" i="313"/>
  <c r="AG38" i="309"/>
  <c r="AE170" i="323"/>
  <c r="AG26" i="315"/>
  <c r="AG25" i="315"/>
  <c r="AG27" i="315"/>
  <c r="AD177" i="326"/>
  <c r="AD204" i="326" s="1"/>
  <c r="AF159" i="326"/>
  <c r="AF166" i="326" s="1"/>
  <c r="AF112" i="326"/>
  <c r="AF55" i="326"/>
  <c r="AF62" i="326" s="1"/>
  <c r="AF32" i="324"/>
  <c r="AF172" i="326" s="1"/>
  <c r="AG161" i="329"/>
  <c r="AG168" i="329" s="1"/>
  <c r="AG114" i="329"/>
  <c r="AG57" i="329"/>
  <c r="AG64" i="329" s="1"/>
  <c r="AE170" i="326"/>
  <c r="AE66" i="320"/>
  <c r="AE200" i="317"/>
  <c r="AE175" i="317"/>
  <c r="AD177" i="320"/>
  <c r="AD204" i="320" s="1"/>
  <c r="AD20" i="326"/>
  <c r="AD40" i="326"/>
  <c r="AF160" i="326"/>
  <c r="AF167" i="326" s="1"/>
  <c r="AF113" i="326"/>
  <c r="AF56" i="326"/>
  <c r="AF63" i="326" s="1"/>
  <c r="AF33" i="324"/>
  <c r="AF173" i="326" s="1"/>
  <c r="AF201" i="326" s="1"/>
  <c r="AH27" i="312"/>
  <c r="AH25" i="312"/>
  <c r="AE170" i="320"/>
  <c r="AG27" i="324"/>
  <c r="AG25" i="324"/>
  <c r="AG26" i="324"/>
  <c r="AG26" i="321"/>
  <c r="AG25" i="321"/>
  <c r="AG27" i="321"/>
  <c r="AF161" i="326"/>
  <c r="AF168" i="326" s="1"/>
  <c r="AF57" i="326"/>
  <c r="AF64" i="326" s="1"/>
  <c r="AF114" i="326"/>
  <c r="AF33" i="318"/>
  <c r="AF173" i="320" s="1"/>
  <c r="AF160" i="320"/>
  <c r="AF167" i="320" s="1"/>
  <c r="AF56" i="320"/>
  <c r="AF63" i="320" s="1"/>
  <c r="AF113" i="320"/>
  <c r="AF70" i="310"/>
  <c r="AF74" i="310" s="1"/>
  <c r="AF32" i="321"/>
  <c r="AF172" i="323" s="1"/>
  <c r="AF112" i="323"/>
  <c r="AF55" i="323"/>
  <c r="AF62" i="323" s="1"/>
  <c r="AF159" i="323"/>
  <c r="AF166" i="323" s="1"/>
  <c r="AE200" i="323"/>
  <c r="AE175" i="323"/>
  <c r="AE17" i="329"/>
  <c r="AE15" i="329"/>
  <c r="AH14" i="315"/>
  <c r="AH16" i="315" s="1"/>
  <c r="AH17" i="315" s="1"/>
  <c r="AH18" i="315" s="1"/>
  <c r="AH20" i="315" s="1"/>
  <c r="AD177" i="317"/>
  <c r="AD204" i="317" s="1"/>
  <c r="AE66" i="326"/>
  <c r="AE200" i="320"/>
  <c r="AE175" i="320"/>
  <c r="AF161" i="323"/>
  <c r="AF168" i="323" s="1"/>
  <c r="AF114" i="323"/>
  <c r="AF57" i="323"/>
  <c r="AF64" i="323" s="1"/>
  <c r="AD19" i="326"/>
  <c r="AD39" i="326"/>
  <c r="AD19" i="329"/>
  <c r="AD39" i="329"/>
  <c r="AH14" i="324"/>
  <c r="AH16" i="324" s="1"/>
  <c r="AH17" i="324" s="1"/>
  <c r="AH18" i="324" s="1"/>
  <c r="AH20" i="324" s="1"/>
  <c r="AH17" i="325"/>
  <c r="AE17" i="326"/>
  <c r="AE200" i="326"/>
  <c r="AE175" i="326"/>
  <c r="AF113" i="323"/>
  <c r="AF56" i="323"/>
  <c r="AF63" i="323" s="1"/>
  <c r="AF33" i="321"/>
  <c r="AF173" i="323" s="1"/>
  <c r="AF201" i="323" s="1"/>
  <c r="AF160" i="323"/>
  <c r="AF167" i="323" s="1"/>
  <c r="AD21" i="326"/>
  <c r="AD41" i="326"/>
  <c r="AD21" i="329"/>
  <c r="AD41" i="329"/>
  <c r="AH27" i="327"/>
  <c r="AH26" i="327"/>
  <c r="AH25" i="327"/>
  <c r="AG26" i="318"/>
  <c r="AG25" i="318"/>
  <c r="AG27" i="318"/>
  <c r="AC23" i="326"/>
  <c r="AC43" i="326" s="1"/>
  <c r="AF114" i="317"/>
  <c r="AF57" i="317"/>
  <c r="AF64" i="317" s="1"/>
  <c r="AF161" i="317"/>
  <c r="AF168" i="317" s="1"/>
  <c r="AF32" i="318"/>
  <c r="AF172" i="320" s="1"/>
  <c r="AF112" i="320"/>
  <c r="AF55" i="320"/>
  <c r="AF62" i="320" s="1"/>
  <c r="AF159" i="320"/>
  <c r="AF166" i="320" s="1"/>
  <c r="AH14" i="321"/>
  <c r="AH16" i="321" s="1"/>
  <c r="AH17" i="321" s="1"/>
  <c r="AH18" i="321" s="1"/>
  <c r="AH20" i="321" s="1"/>
  <c r="AH17" i="322"/>
  <c r="AE66" i="317"/>
  <c r="AF33" i="315"/>
  <c r="AF173" i="317" s="1"/>
  <c r="AF201" i="317" s="1"/>
  <c r="AF160" i="317"/>
  <c r="AF167" i="317" s="1"/>
  <c r="AF113" i="317"/>
  <c r="AF56" i="317"/>
  <c r="AF63" i="317" s="1"/>
  <c r="AG160" i="313"/>
  <c r="AG167" i="313" s="1"/>
  <c r="AG113" i="313"/>
  <c r="AG56" i="313"/>
  <c r="AG63" i="313" s="1"/>
  <c r="AF57" i="320"/>
  <c r="AF64" i="320" s="1"/>
  <c r="AF114" i="320"/>
  <c r="AF161" i="320"/>
  <c r="AF168" i="320" s="1"/>
  <c r="AH17" i="319"/>
  <c r="AH14" i="318"/>
  <c r="AH16" i="318" s="1"/>
  <c r="AH17" i="318" s="1"/>
  <c r="AH18" i="318" s="1"/>
  <c r="AH20" i="318" s="1"/>
  <c r="AF32" i="315"/>
  <c r="AF172" i="317" s="1"/>
  <c r="AF159" i="317"/>
  <c r="AF166" i="317" s="1"/>
  <c r="AF112" i="317"/>
  <c r="AF55" i="317"/>
  <c r="AF62" i="317" s="1"/>
  <c r="AE189" i="329"/>
  <c r="AE196" i="329" s="1"/>
  <c r="AH41" i="314"/>
  <c r="AH32" i="314"/>
  <c r="AG48" i="314"/>
  <c r="AG30" i="314"/>
  <c r="AG56" i="314" s="1"/>
  <c r="AG39" i="314"/>
  <c r="AE21" i="313"/>
  <c r="AG47" i="309"/>
  <c r="AD204" i="306"/>
  <c r="AE189" i="320"/>
  <c r="AE196" i="320" s="1"/>
  <c r="AE202" i="320"/>
  <c r="AG48" i="324"/>
  <c r="AG50" i="324"/>
  <c r="AG49" i="324"/>
  <c r="AE189" i="323"/>
  <c r="AE196" i="323" s="1"/>
  <c r="AE202" i="323"/>
  <c r="AE74" i="326"/>
  <c r="AE83" i="326"/>
  <c r="AE74" i="320"/>
  <c r="AE83" i="320"/>
  <c r="AG49" i="327"/>
  <c r="AG48" i="327"/>
  <c r="AG52" i="327" s="1"/>
  <c r="AG191" i="329" s="1"/>
  <c r="AG50" i="327"/>
  <c r="AE74" i="323"/>
  <c r="AE83" i="323"/>
  <c r="AD78" i="320"/>
  <c r="AD85" i="320" s="1"/>
  <c r="AD82" i="320"/>
  <c r="AD78" i="313"/>
  <c r="AD85" i="313" s="1"/>
  <c r="AD82" i="313"/>
  <c r="AE189" i="317"/>
  <c r="AE196" i="317" s="1"/>
  <c r="AE202" i="317"/>
  <c r="AG25" i="308"/>
  <c r="AG32" i="308" s="1"/>
  <c r="AG172" i="310" s="1"/>
  <c r="AF181" i="326"/>
  <c r="AF185" i="326" s="1"/>
  <c r="AF126" i="326"/>
  <c r="AF70" i="326"/>
  <c r="AE74" i="313"/>
  <c r="AE83" i="313"/>
  <c r="AF126" i="323"/>
  <c r="AF70" i="323"/>
  <c r="AF181" i="323"/>
  <c r="AF185" i="323" s="1"/>
  <c r="AH14" i="322"/>
  <c r="AG194" i="323"/>
  <c r="AH151" i="329"/>
  <c r="AH150" i="329"/>
  <c r="AG27" i="308"/>
  <c r="AG114" i="310" s="1"/>
  <c r="AF182" i="326"/>
  <c r="AF186" i="326" s="1"/>
  <c r="AF127" i="326"/>
  <c r="AF71" i="326"/>
  <c r="AF75" i="326" s="1"/>
  <c r="AG48" i="315"/>
  <c r="AG50" i="315"/>
  <c r="AG49" i="315"/>
  <c r="AD82" i="329"/>
  <c r="AH14" i="319"/>
  <c r="AG194" i="326"/>
  <c r="AF128" i="326"/>
  <c r="AF183" i="326"/>
  <c r="AF187" i="326" s="1"/>
  <c r="AF72" i="326"/>
  <c r="AF76" i="326" s="1"/>
  <c r="AE189" i="313"/>
  <c r="AE196" i="313" s="1"/>
  <c r="AE202" i="313"/>
  <c r="AD78" i="323"/>
  <c r="AD85" i="323" s="1"/>
  <c r="AD82" i="323"/>
  <c r="AD78" i="317"/>
  <c r="AD85" i="317" s="1"/>
  <c r="AD82" i="317"/>
  <c r="AF127" i="320"/>
  <c r="AF71" i="320"/>
  <c r="AF75" i="320" s="1"/>
  <c r="AF182" i="320"/>
  <c r="AF186" i="320" s="1"/>
  <c r="AE202" i="329"/>
  <c r="AD78" i="326"/>
  <c r="AD85" i="326" s="1"/>
  <c r="AD82" i="326"/>
  <c r="AG50" i="312"/>
  <c r="AG48" i="312"/>
  <c r="AG52" i="312" s="1"/>
  <c r="AG191" i="313" s="1"/>
  <c r="AG49" i="312"/>
  <c r="AF71" i="313"/>
  <c r="AF75" i="313" s="1"/>
  <c r="AF182" i="313"/>
  <c r="AF186" i="313" s="1"/>
  <c r="AF127" i="313"/>
  <c r="AH14" i="328"/>
  <c r="AI3" i="329"/>
  <c r="AI3" i="326"/>
  <c r="AI1" i="325"/>
  <c r="AI1" i="328"/>
  <c r="AI3" i="323"/>
  <c r="AI1" i="322"/>
  <c r="AI1" i="319"/>
  <c r="AI3" i="317"/>
  <c r="AI3" i="320"/>
  <c r="AI1" i="316"/>
  <c r="AI3" i="313"/>
  <c r="AI1" i="314"/>
  <c r="AF126" i="320"/>
  <c r="AF181" i="320"/>
  <c r="AF185" i="320" s="1"/>
  <c r="AF70" i="320"/>
  <c r="AG48" i="318"/>
  <c r="AG52" i="318" s="1"/>
  <c r="AG191" i="320" s="1"/>
  <c r="AG50" i="318"/>
  <c r="AG49" i="318"/>
  <c r="AF72" i="313"/>
  <c r="AF76" i="313" s="1"/>
  <c r="AF183" i="313"/>
  <c r="AF187" i="313" s="1"/>
  <c r="AF128" i="313"/>
  <c r="AE74" i="329"/>
  <c r="AE83" i="329"/>
  <c r="AH22" i="314"/>
  <c r="AH28" i="314"/>
  <c r="AH14" i="314"/>
  <c r="AH14" i="325"/>
  <c r="AF128" i="320"/>
  <c r="AF72" i="320"/>
  <c r="AF76" i="320" s="1"/>
  <c r="AF183" i="320"/>
  <c r="AF187" i="320" s="1"/>
  <c r="AF181" i="317"/>
  <c r="AF185" i="317" s="1"/>
  <c r="AF126" i="317"/>
  <c r="AF70" i="317"/>
  <c r="AG48" i="321"/>
  <c r="AG50" i="321"/>
  <c r="AG49" i="321"/>
  <c r="AF181" i="329"/>
  <c r="AF185" i="329" s="1"/>
  <c r="AF126" i="329"/>
  <c r="AF70" i="329"/>
  <c r="AF126" i="313"/>
  <c r="AF181" i="313"/>
  <c r="AF185" i="313" s="1"/>
  <c r="AF70" i="313"/>
  <c r="AH14" i="316"/>
  <c r="AG194" i="317"/>
  <c r="AF71" i="310"/>
  <c r="AF75" i="310" s="1"/>
  <c r="AF182" i="310"/>
  <c r="AF186" i="310" s="1"/>
  <c r="AF181" i="310"/>
  <c r="AF185" i="310" s="1"/>
  <c r="AH14" i="308"/>
  <c r="AH16" i="308" s="1"/>
  <c r="AH17" i="308" s="1"/>
  <c r="AH18" i="308" s="1"/>
  <c r="AH20" i="308" s="1"/>
  <c r="AH27" i="308" s="1"/>
  <c r="AG49" i="308"/>
  <c r="AG182" i="310" s="1"/>
  <c r="AG186" i="310" s="1"/>
  <c r="AG50" i="308"/>
  <c r="AG183" i="310" s="1"/>
  <c r="AG187" i="310" s="1"/>
  <c r="AE40" i="303"/>
  <c r="AE20" i="303"/>
  <c r="AE41" i="303"/>
  <c r="AE21" i="303"/>
  <c r="AI10" i="268"/>
  <c r="AI15" i="270" s="1"/>
  <c r="AI10" i="308"/>
  <c r="AI10" i="302"/>
  <c r="AI10" i="277"/>
  <c r="AK52" i="267"/>
  <c r="AH38" i="268"/>
  <c r="AH38" i="277"/>
  <c r="AH38" i="271"/>
  <c r="AH38" i="308"/>
  <c r="AH38" i="305"/>
  <c r="AH38" i="302"/>
  <c r="AF41" i="303"/>
  <c r="AF21" i="303"/>
  <c r="AH37" i="277"/>
  <c r="AH40" i="277" s="1"/>
  <c r="AH42" i="277" s="1"/>
  <c r="AH43" i="277" s="1"/>
  <c r="AH44" i="277" s="1"/>
  <c r="AH46" i="277" s="1"/>
  <c r="AH37" i="271"/>
  <c r="AH40" i="271" s="1"/>
  <c r="AH42" i="271" s="1"/>
  <c r="AH43" i="271" s="1"/>
  <c r="AH44" i="271" s="1"/>
  <c r="AH46" i="271" s="1"/>
  <c r="AH37" i="308"/>
  <c r="AH40" i="308" s="1"/>
  <c r="AH42" i="308" s="1"/>
  <c r="AH43" i="308" s="1"/>
  <c r="AH44" i="308" s="1"/>
  <c r="AH46" i="308" s="1"/>
  <c r="AH37" i="305"/>
  <c r="AH40" i="305" s="1"/>
  <c r="AH42" i="305" s="1"/>
  <c r="AH43" i="305" s="1"/>
  <c r="AH44" i="305" s="1"/>
  <c r="AH46" i="305" s="1"/>
  <c r="AH37" i="302"/>
  <c r="AH40" i="302" s="1"/>
  <c r="AH42" i="302" s="1"/>
  <c r="AH43" i="302" s="1"/>
  <c r="AH44" i="302" s="1"/>
  <c r="AH46" i="302" s="1"/>
  <c r="AH48" i="302" s="1"/>
  <c r="AE39" i="303"/>
  <c r="AE19" i="303"/>
  <c r="AF128" i="303"/>
  <c r="AF72" i="303"/>
  <c r="AF76" i="303" s="1"/>
  <c r="AC39" i="272"/>
  <c r="AC19" i="272"/>
  <c r="AH29" i="272"/>
  <c r="AH33" i="272" s="1"/>
  <c r="AH27" i="272"/>
  <c r="AH28" i="272"/>
  <c r="AH32" i="272" s="1"/>
  <c r="AD41" i="272"/>
  <c r="AD21" i="272"/>
  <c r="AC40" i="272"/>
  <c r="AC20" i="272"/>
  <c r="AE40" i="306"/>
  <c r="AE20" i="306"/>
  <c r="AE39" i="306"/>
  <c r="AE19" i="306"/>
  <c r="AF41" i="306"/>
  <c r="AF21" i="306"/>
  <c r="AF41" i="310"/>
  <c r="AF21" i="310"/>
  <c r="AD39" i="278"/>
  <c r="AD19" i="278"/>
  <c r="AH28" i="278"/>
  <c r="AH32" i="278" s="1"/>
  <c r="AH29" i="278"/>
  <c r="AH33" i="278" s="1"/>
  <c r="AH27" i="278"/>
  <c r="AC40" i="269"/>
  <c r="AC20" i="269"/>
  <c r="AC39" i="269"/>
  <c r="AC19" i="269"/>
  <c r="AK11" i="272"/>
  <c r="AK11" i="278"/>
  <c r="AK33" i="303"/>
  <c r="AK35" i="303" s="1"/>
  <c r="AF55" i="303"/>
  <c r="AF62" i="303" s="1"/>
  <c r="AJ10" i="269"/>
  <c r="AK33" i="306"/>
  <c r="AK35" i="306" s="1"/>
  <c r="AF159" i="303"/>
  <c r="AF166" i="303" s="1"/>
  <c r="AG9" i="278"/>
  <c r="AF31" i="278"/>
  <c r="AF35" i="278" s="1"/>
  <c r="AG9" i="272"/>
  <c r="AF31" i="272"/>
  <c r="AF35" i="272" s="1"/>
  <c r="AK33" i="310"/>
  <c r="AK35" i="310" s="1"/>
  <c r="AF32" i="302"/>
  <c r="AF172" i="303" s="1"/>
  <c r="AJ11" i="269"/>
  <c r="AK10" i="278"/>
  <c r="AK10" i="272"/>
  <c r="AG9" i="269"/>
  <c r="AF31" i="269"/>
  <c r="AF35" i="269" s="1"/>
  <c r="AF71" i="303"/>
  <c r="AF75" i="303" s="1"/>
  <c r="AG63" i="304"/>
  <c r="AG66" i="304" s="1"/>
  <c r="AG67" i="304" s="1"/>
  <c r="AG72" i="304" s="1"/>
  <c r="AE189" i="303"/>
  <c r="AE196" i="303" s="1"/>
  <c r="AE202" i="303"/>
  <c r="AF127" i="303"/>
  <c r="AF23" i="309"/>
  <c r="AF15" i="310" s="1"/>
  <c r="AF24" i="309"/>
  <c r="AF16" i="310" s="1"/>
  <c r="AE177" i="306"/>
  <c r="AH14" i="277"/>
  <c r="AH16" i="277" s="1"/>
  <c r="AH17" i="277" s="1"/>
  <c r="AH18" i="277" s="1"/>
  <c r="AH20" i="277" s="1"/>
  <c r="AH16" i="279"/>
  <c r="AH59" i="279" s="1"/>
  <c r="AE201" i="306"/>
  <c r="AH14" i="271"/>
  <c r="AH16" i="271" s="1"/>
  <c r="AH17" i="271" s="1"/>
  <c r="AH18" i="271" s="1"/>
  <c r="AH20" i="271" s="1"/>
  <c r="AH16" i="273"/>
  <c r="AH59" i="273" s="1"/>
  <c r="AF33" i="302"/>
  <c r="AF173" i="303" s="1"/>
  <c r="AG40" i="304"/>
  <c r="AG31" i="304"/>
  <c r="AF57" i="303"/>
  <c r="AF64" i="303" s="1"/>
  <c r="AH14" i="268"/>
  <c r="AH16" i="268" s="1"/>
  <c r="AH17" i="268" s="1"/>
  <c r="AH18" i="268" s="1"/>
  <c r="AH20" i="268" s="1"/>
  <c r="AH16" i="270"/>
  <c r="AH59" i="270" s="1"/>
  <c r="AF24" i="304"/>
  <c r="AF16" i="303" s="1"/>
  <c r="AF161" i="303"/>
  <c r="AF168" i="303" s="1"/>
  <c r="AH21" i="304"/>
  <c r="AF23" i="304"/>
  <c r="AF15" i="303" s="1"/>
  <c r="AF55" i="270"/>
  <c r="AF22" i="270" s="1"/>
  <c r="AF23" i="270" s="1"/>
  <c r="AE83" i="303"/>
  <c r="AG47" i="304"/>
  <c r="AG29" i="304"/>
  <c r="AH27" i="304"/>
  <c r="AF32" i="305"/>
  <c r="AF172" i="306" s="1"/>
  <c r="AF55" i="306"/>
  <c r="AF62" i="306" s="1"/>
  <c r="AF159" i="306"/>
  <c r="AF166" i="306" s="1"/>
  <c r="AF112" i="306"/>
  <c r="AI1" i="304"/>
  <c r="AI27" i="304" s="1"/>
  <c r="AI1" i="309"/>
  <c r="AI1" i="307"/>
  <c r="AG113" i="310"/>
  <c r="AG160" i="310"/>
  <c r="AG167" i="310" s="1"/>
  <c r="AG56" i="310"/>
  <c r="AG63" i="310" s="1"/>
  <c r="AF23" i="307"/>
  <c r="AF15" i="306" s="1"/>
  <c r="AH13" i="307"/>
  <c r="AH21" i="307"/>
  <c r="AH27" i="307"/>
  <c r="AF24" i="307"/>
  <c r="AF16" i="306" s="1"/>
  <c r="AG38" i="307"/>
  <c r="AG29" i="307"/>
  <c r="AG55" i="307" s="1"/>
  <c r="AG22" i="307" s="1"/>
  <c r="AG17" i="306" s="1"/>
  <c r="AG47" i="307"/>
  <c r="AG66" i="307"/>
  <c r="AG67" i="307" s="1"/>
  <c r="AG72" i="307" s="1"/>
  <c r="AH13" i="309"/>
  <c r="AH21" i="309"/>
  <c r="AH27" i="309"/>
  <c r="AG27" i="305"/>
  <c r="AG26" i="305"/>
  <c r="AG25" i="305"/>
  <c r="AE23" i="310"/>
  <c r="AE43" i="310" s="1"/>
  <c r="AE82" i="310"/>
  <c r="AE66" i="310"/>
  <c r="AG48" i="302"/>
  <c r="AG126" i="303" s="1"/>
  <c r="AC23" i="306"/>
  <c r="AC43" i="306" s="1"/>
  <c r="AF113" i="306"/>
  <c r="AF160" i="306"/>
  <c r="AF167" i="306" s="1"/>
  <c r="AF56" i="306"/>
  <c r="AF63" i="306" s="1"/>
  <c r="AF33" i="305"/>
  <c r="AF173" i="306" s="1"/>
  <c r="AF201" i="306" s="1"/>
  <c r="AI60" i="309"/>
  <c r="AG27" i="302"/>
  <c r="AG161" i="303" s="1"/>
  <c r="AG168" i="303" s="1"/>
  <c r="AH14" i="305"/>
  <c r="AH16" i="305" s="1"/>
  <c r="AH17" i="305" s="1"/>
  <c r="AH18" i="305" s="1"/>
  <c r="AH20" i="305" s="1"/>
  <c r="AH25" i="305" s="1"/>
  <c r="AH32" i="305" s="1"/>
  <c r="AH172" i="306" s="1"/>
  <c r="AH200" i="306" s="1"/>
  <c r="AH60" i="307"/>
  <c r="AF62" i="310"/>
  <c r="AG126" i="310"/>
  <c r="AG181" i="310"/>
  <c r="AG185" i="310" s="1"/>
  <c r="AG70" i="310"/>
  <c r="AG74" i="310" s="1"/>
  <c r="AF114" i="306"/>
  <c r="AF161" i="306"/>
  <c r="AF168" i="306" s="1"/>
  <c r="AF57" i="306"/>
  <c r="AF64" i="306" s="1"/>
  <c r="AG25" i="302"/>
  <c r="AG32" i="302" s="1"/>
  <c r="AG172" i="303" s="1"/>
  <c r="AG49" i="302"/>
  <c r="AG127" i="303" s="1"/>
  <c r="AF182" i="306"/>
  <c r="AF186" i="306" s="1"/>
  <c r="AF127" i="306"/>
  <c r="AF71" i="306"/>
  <c r="AF75" i="306" s="1"/>
  <c r="AD23" i="273"/>
  <c r="AD15" i="272" s="1"/>
  <c r="AD24" i="273"/>
  <c r="AD16" i="272" s="1"/>
  <c r="AD17" i="278"/>
  <c r="AF70" i="306"/>
  <c r="AF74" i="306" s="1"/>
  <c r="AF126" i="306"/>
  <c r="AF181" i="306"/>
  <c r="AF185" i="306" s="1"/>
  <c r="AE189" i="306"/>
  <c r="AE196" i="306" s="1"/>
  <c r="AE202" i="306"/>
  <c r="AE76" i="306"/>
  <c r="AE83" i="306"/>
  <c r="AF183" i="306"/>
  <c r="AF187" i="306" s="1"/>
  <c r="AF72" i="306"/>
  <c r="AF128" i="306"/>
  <c r="AA175" i="303"/>
  <c r="AA177" i="303" s="1"/>
  <c r="AA204" i="303" s="1"/>
  <c r="AD78" i="306"/>
  <c r="AD85" i="306" s="1"/>
  <c r="AD82" i="306"/>
  <c r="AF189" i="303"/>
  <c r="AF196" i="303" s="1"/>
  <c r="AD17" i="269"/>
  <c r="AH38" i="304"/>
  <c r="AI10" i="305"/>
  <c r="AA23" i="303"/>
  <c r="AA43" i="303" s="1"/>
  <c r="AG50" i="305"/>
  <c r="AG48" i="305"/>
  <c r="AG49" i="305"/>
  <c r="AB200" i="303"/>
  <c r="AB111" i="260" s="1"/>
  <c r="AE17" i="269"/>
  <c r="AB173" i="269"/>
  <c r="AB201" i="269" s="1"/>
  <c r="AB201" i="303"/>
  <c r="AH60" i="304"/>
  <c r="AH14" i="302"/>
  <c r="AH16" i="302" s="1"/>
  <c r="AH17" i="302" s="1"/>
  <c r="AH18" i="302" s="1"/>
  <c r="AH20" i="302" s="1"/>
  <c r="AH27" i="302" s="1"/>
  <c r="AE82" i="303"/>
  <c r="AE66" i="303"/>
  <c r="AE85" i="303" s="1"/>
  <c r="AG183" i="303"/>
  <c r="AG187" i="303" s="1"/>
  <c r="AG128" i="303"/>
  <c r="AG72" i="303"/>
  <c r="AG76" i="303" s="1"/>
  <c r="AG160" i="303"/>
  <c r="AG167" i="303" s="1"/>
  <c r="AG56" i="303"/>
  <c r="AG63" i="303" s="1"/>
  <c r="AG113" i="303"/>
  <c r="AI14" i="304"/>
  <c r="AD24" i="279"/>
  <c r="AD16" i="278" s="1"/>
  <c r="AE17" i="278"/>
  <c r="AE23" i="279"/>
  <c r="AE15" i="278" s="1"/>
  <c r="AE24" i="279"/>
  <c r="AE16" i="278" s="1"/>
  <c r="AK56" i="267"/>
  <c r="AK58" i="267" s="1"/>
  <c r="AC23" i="278"/>
  <c r="AC43" i="278" s="1"/>
  <c r="AI1" i="270"/>
  <c r="AK51" i="267"/>
  <c r="AL2" i="267"/>
  <c r="AI3" i="278"/>
  <c r="AI1" i="279"/>
  <c r="AI1" i="273"/>
  <c r="AI3" i="272"/>
  <c r="AH21" i="273"/>
  <c r="AH13" i="273"/>
  <c r="AH27" i="273"/>
  <c r="AH37" i="268"/>
  <c r="AH40" i="268" s="1"/>
  <c r="AH42" i="268" s="1"/>
  <c r="AH43" i="268" s="1"/>
  <c r="AH44" i="268" s="1"/>
  <c r="AH46" i="268" s="1"/>
  <c r="AJ53" i="267"/>
  <c r="AH27" i="270"/>
  <c r="AH13" i="270"/>
  <c r="AH21" i="270"/>
  <c r="AH21" i="279"/>
  <c r="AH27" i="279"/>
  <c r="AH13" i="279"/>
  <c r="AG63" i="270"/>
  <c r="AG66" i="270" s="1"/>
  <c r="AG67" i="270" s="1"/>
  <c r="AG72" i="270" s="1"/>
  <c r="AF38" i="279"/>
  <c r="AC85" i="272"/>
  <c r="AF29" i="273"/>
  <c r="AF55" i="273" s="1"/>
  <c r="AF22" i="273" s="1"/>
  <c r="AF24" i="273" s="1"/>
  <c r="AF16" i="272" s="1"/>
  <c r="AE17" i="272"/>
  <c r="AE23" i="273"/>
  <c r="AE15" i="272" s="1"/>
  <c r="AE24" i="273"/>
  <c r="AE16" i="272" s="1"/>
  <c r="AG38" i="273"/>
  <c r="AG60" i="273"/>
  <c r="AG63" i="273" s="1"/>
  <c r="AG66" i="273" s="1"/>
  <c r="AG67" i="273" s="1"/>
  <c r="AG72" i="273" s="1"/>
  <c r="AI10" i="271"/>
  <c r="AI15" i="273" s="1"/>
  <c r="AF47" i="273"/>
  <c r="AF47" i="279"/>
  <c r="AF55" i="279" s="1"/>
  <c r="AF22" i="279" s="1"/>
  <c r="AF24" i="279" s="1"/>
  <c r="AF16" i="278" s="1"/>
  <c r="AK52" i="271"/>
  <c r="AK191" i="272" s="1"/>
  <c r="AK53" i="271"/>
  <c r="AK192" i="272" s="1"/>
  <c r="AG38" i="279"/>
  <c r="AG60" i="279"/>
  <c r="AG63" i="279" s="1"/>
  <c r="AG66" i="279" s="1"/>
  <c r="AG67" i="279" s="1"/>
  <c r="AG72" i="279" s="1"/>
  <c r="AC82" i="272"/>
  <c r="AC202" i="272"/>
  <c r="AF113" i="278"/>
  <c r="AF160" i="278"/>
  <c r="AF56" i="278"/>
  <c r="AF182" i="278"/>
  <c r="AF127" i="278"/>
  <c r="AF71" i="278"/>
  <c r="AF183" i="278"/>
  <c r="AF128" i="278"/>
  <c r="AF72" i="278"/>
  <c r="AF181" i="278"/>
  <c r="AF185" i="278" s="1"/>
  <c r="AF126" i="278"/>
  <c r="AF70" i="278"/>
  <c r="AF74" i="278" s="1"/>
  <c r="AF114" i="278"/>
  <c r="AF161" i="278"/>
  <c r="AF168" i="278" s="1"/>
  <c r="AF57" i="278"/>
  <c r="AF64" i="278" s="1"/>
  <c r="AF32" i="277"/>
  <c r="AF172" i="278" s="1"/>
  <c r="AF55" i="278"/>
  <c r="AF112" i="278"/>
  <c r="AF159" i="278"/>
  <c r="AF33" i="277"/>
  <c r="AF173" i="278" s="1"/>
  <c r="AD66" i="278"/>
  <c r="AG27" i="277"/>
  <c r="AG26" i="277"/>
  <c r="AG25" i="277"/>
  <c r="AG50" i="277"/>
  <c r="AG49" i="277"/>
  <c r="AG48" i="277"/>
  <c r="AD202" i="278"/>
  <c r="AG27" i="271"/>
  <c r="AG26" i="271"/>
  <c r="AG25" i="271"/>
  <c r="AG48" i="271"/>
  <c r="AG50" i="271"/>
  <c r="AG49" i="271"/>
  <c r="AF72" i="272"/>
  <c r="AF76" i="272" s="1"/>
  <c r="AF128" i="272"/>
  <c r="AF183" i="272"/>
  <c r="AF71" i="272"/>
  <c r="AF75" i="272" s="1"/>
  <c r="AF127" i="272"/>
  <c r="AF182" i="272"/>
  <c r="AJ52" i="271"/>
  <c r="AJ191" i="272" s="1"/>
  <c r="AJ53" i="271"/>
  <c r="AJ192" i="272" s="1"/>
  <c r="AF32" i="271"/>
  <c r="AF172" i="272" s="1"/>
  <c r="AF55" i="272"/>
  <c r="AF112" i="272"/>
  <c r="AF159" i="272"/>
  <c r="AF70" i="272"/>
  <c r="AF74" i="272" s="1"/>
  <c r="AF126" i="272"/>
  <c r="AF181" i="272"/>
  <c r="AF185" i="272" s="1"/>
  <c r="AF56" i="272"/>
  <c r="AF63" i="272" s="1"/>
  <c r="AF113" i="272"/>
  <c r="AF160" i="272"/>
  <c r="AF167" i="272" s="1"/>
  <c r="AF33" i="271"/>
  <c r="AF173" i="272" s="1"/>
  <c r="AF57" i="272"/>
  <c r="AF64" i="272" s="1"/>
  <c r="AF114" i="272"/>
  <c r="AF161" i="272"/>
  <c r="AE187" i="278"/>
  <c r="AE189" i="278" s="1"/>
  <c r="AH14" i="279"/>
  <c r="AH14" i="273"/>
  <c r="AH14" i="270"/>
  <c r="AH60" i="270"/>
  <c r="AD170" i="278"/>
  <c r="AD202" i="272"/>
  <c r="AD66" i="272"/>
  <c r="AD170" i="272"/>
  <c r="AC159" i="269"/>
  <c r="AC166" i="269" s="1"/>
  <c r="AC32" i="268"/>
  <c r="AC55" i="269"/>
  <c r="AC62" i="269" s="1"/>
  <c r="AD83" i="272"/>
  <c r="AB66" i="269"/>
  <c r="AD83" i="278"/>
  <c r="AG48" i="268"/>
  <c r="AG126" i="269" s="1"/>
  <c r="AG49" i="268"/>
  <c r="AG182" i="269" s="1"/>
  <c r="AG186" i="269" s="1"/>
  <c r="AB23" i="278"/>
  <c r="AB43" i="278" s="1"/>
  <c r="AI6" i="268"/>
  <c r="AJ2" i="268"/>
  <c r="AK2" i="268" s="1"/>
  <c r="AL2" i="268" s="1"/>
  <c r="AI53" i="268"/>
  <c r="AI192" i="269" s="1"/>
  <c r="AI52" i="268"/>
  <c r="AI191" i="269" s="1"/>
  <c r="AI6" i="271"/>
  <c r="AC33" i="268"/>
  <c r="AD24" i="270"/>
  <c r="AC160" i="269"/>
  <c r="AC167" i="269" s="1"/>
  <c r="AC56" i="269"/>
  <c r="AC63" i="269" s="1"/>
  <c r="AF70" i="269"/>
  <c r="AF74" i="269" s="1"/>
  <c r="AF126" i="269"/>
  <c r="AF181" i="269"/>
  <c r="AF185" i="269" s="1"/>
  <c r="AB23" i="272"/>
  <c r="AB43" i="272" s="1"/>
  <c r="AD23" i="270"/>
  <c r="AG183" i="269"/>
  <c r="AG187" i="269" s="1"/>
  <c r="AG72" i="269"/>
  <c r="AG76" i="269" s="1"/>
  <c r="AG128" i="269"/>
  <c r="AE167" i="278"/>
  <c r="AE63" i="278"/>
  <c r="AE201" i="278"/>
  <c r="AF26" i="268"/>
  <c r="AF25" i="268"/>
  <c r="AF27" i="268"/>
  <c r="AG31" i="279"/>
  <c r="AG40" i="279"/>
  <c r="AE168" i="278"/>
  <c r="AE64" i="278"/>
  <c r="AE166" i="272"/>
  <c r="AE62" i="272"/>
  <c r="AG40" i="273"/>
  <c r="AG31" i="273"/>
  <c r="AE62" i="278"/>
  <c r="AE166" i="278"/>
  <c r="AE168" i="272"/>
  <c r="AE64" i="272"/>
  <c r="AE63" i="272"/>
  <c r="AE201" i="272"/>
  <c r="AE167" i="272"/>
  <c r="AF182" i="269"/>
  <c r="AF186" i="269" s="1"/>
  <c r="AF71" i="269"/>
  <c r="AF75" i="269" s="1"/>
  <c r="AF127" i="269"/>
  <c r="AG29" i="270"/>
  <c r="AG38" i="270"/>
  <c r="AG47" i="270"/>
  <c r="AG40" i="270"/>
  <c r="AG31" i="270"/>
  <c r="AF72" i="269"/>
  <c r="AF76" i="269" s="1"/>
  <c r="AF128" i="269"/>
  <c r="AF183" i="269"/>
  <c r="AF187" i="269" s="1"/>
  <c r="AD82" i="278"/>
  <c r="AD78" i="278"/>
  <c r="AE185" i="272"/>
  <c r="AD78" i="272"/>
  <c r="AD82" i="272"/>
  <c r="AE75" i="272"/>
  <c r="AE186" i="272"/>
  <c r="AE76" i="272"/>
  <c r="AE187" i="272"/>
  <c r="AE74" i="278"/>
  <c r="AC78" i="278"/>
  <c r="AC85" i="278" s="1"/>
  <c r="AC82" i="278"/>
  <c r="AB23" i="269"/>
  <c r="AB43" i="269" s="1"/>
  <c r="AD25" i="268"/>
  <c r="AD159" i="269" s="1"/>
  <c r="AD166" i="269" s="1"/>
  <c r="AD26" i="268"/>
  <c r="AD33" i="268" s="1"/>
  <c r="AE25" i="268"/>
  <c r="AE23" i="270"/>
  <c r="AE24" i="270"/>
  <c r="AD161" i="269"/>
  <c r="AD168" i="269" s="1"/>
  <c r="AD114" i="269"/>
  <c r="AD57" i="269"/>
  <c r="AD64" i="269" s="1"/>
  <c r="AG2" i="264"/>
  <c r="AG17" i="264" s="1"/>
  <c r="AE189" i="326" l="1"/>
  <c r="AE196" i="326" s="1"/>
  <c r="AG101" i="319"/>
  <c r="AL9" i="267"/>
  <c r="AL8" i="267"/>
  <c r="AL10" i="267"/>
  <c r="AL12" i="267"/>
  <c r="AL7" i="267"/>
  <c r="AL11" i="267"/>
  <c r="AJ6" i="308" s="1"/>
  <c r="AJ14" i="309" s="1"/>
  <c r="AK67" i="267"/>
  <c r="AK62" i="267"/>
  <c r="AF142" i="303"/>
  <c r="AH37" i="327"/>
  <c r="AH40" i="327" s="1"/>
  <c r="AH42" i="327" s="1"/>
  <c r="AH43" i="327" s="1"/>
  <c r="AH44" i="327" s="1"/>
  <c r="AH46" i="327" s="1"/>
  <c r="AH49" i="327" s="1"/>
  <c r="AG56" i="319"/>
  <c r="AG23" i="319" s="1"/>
  <c r="AG17" i="320" s="1"/>
  <c r="AG21" i="320" s="1"/>
  <c r="AG56" i="316"/>
  <c r="AG23" i="316" s="1"/>
  <c r="AG17" i="317" s="1"/>
  <c r="AG21" i="317" s="1"/>
  <c r="AI16" i="327"/>
  <c r="AI17" i="327" s="1"/>
  <c r="AI18" i="327" s="1"/>
  <c r="AI20" i="327" s="1"/>
  <c r="AH37" i="324"/>
  <c r="AH40" i="324" s="1"/>
  <c r="AH42" i="324" s="1"/>
  <c r="AH43" i="324" s="1"/>
  <c r="AH44" i="324" s="1"/>
  <c r="AH46" i="324" s="1"/>
  <c r="AH50" i="324" s="1"/>
  <c r="AK57" i="267"/>
  <c r="AK100" i="269"/>
  <c r="AK101" i="269"/>
  <c r="AK103" i="269"/>
  <c r="AK102" i="269"/>
  <c r="AK97" i="269"/>
  <c r="AK95" i="269"/>
  <c r="AK91" i="269"/>
  <c r="AK90" i="269"/>
  <c r="AK93" i="269"/>
  <c r="AK98" i="269"/>
  <c r="AK96" i="269"/>
  <c r="AL3" i="269"/>
  <c r="AK92" i="269"/>
  <c r="AJ103" i="269"/>
  <c r="AJ100" i="269"/>
  <c r="AJ102" i="269"/>
  <c r="AJ101" i="269"/>
  <c r="AJ90" i="269"/>
  <c r="AJ92" i="269"/>
  <c r="AJ93" i="269"/>
  <c r="AJ91" i="269"/>
  <c r="AJ98" i="269"/>
  <c r="AJ97" i="269"/>
  <c r="AJ95" i="269"/>
  <c r="AJ96" i="269"/>
  <c r="AL53" i="268"/>
  <c r="AL192" i="269" s="1"/>
  <c r="AL52" i="268"/>
  <c r="AL191" i="269" s="1"/>
  <c r="AI16" i="312"/>
  <c r="AI17" i="312" s="1"/>
  <c r="AI18" i="312" s="1"/>
  <c r="AI20" i="312" s="1"/>
  <c r="AI26" i="312" s="1"/>
  <c r="AG24" i="309"/>
  <c r="AG16" i="310" s="1"/>
  <c r="AG17" i="310"/>
  <c r="AG23" i="309"/>
  <c r="AG15" i="310" s="1"/>
  <c r="AG39" i="310" s="1"/>
  <c r="AH41" i="319"/>
  <c r="AH32" i="319"/>
  <c r="AL30" i="267"/>
  <c r="AL44" i="267"/>
  <c r="AL46" i="267" s="1"/>
  <c r="AL29" i="267"/>
  <c r="AL31" i="267" s="1"/>
  <c r="AL45" i="267"/>
  <c r="AL67" i="267" s="1"/>
  <c r="AL39" i="267"/>
  <c r="AL41" i="267" s="1"/>
  <c r="AL40" i="267"/>
  <c r="AL62" i="267" s="1"/>
  <c r="AH31" i="309"/>
  <c r="AH40" i="309"/>
  <c r="AH32" i="316"/>
  <c r="AH41" i="316"/>
  <c r="AI11" i="302"/>
  <c r="AI17" i="304" s="1"/>
  <c r="AI11" i="268"/>
  <c r="AI17" i="270" s="1"/>
  <c r="AI11" i="277"/>
  <c r="AI17" i="279" s="1"/>
  <c r="AI11" i="308"/>
  <c r="AI17" i="309" s="1"/>
  <c r="AI11" i="315"/>
  <c r="AI18" i="316" s="1"/>
  <c r="AI11" i="312"/>
  <c r="AI18" i="314" s="1"/>
  <c r="AI11" i="318"/>
  <c r="AI18" i="319" s="1"/>
  <c r="AG110" i="322"/>
  <c r="AG101" i="322"/>
  <c r="AG118" i="322" s="1"/>
  <c r="AG85" i="322" s="1"/>
  <c r="AG101" i="325"/>
  <c r="AF170" i="329"/>
  <c r="AF177" i="329" s="1"/>
  <c r="AG92" i="325"/>
  <c r="AG64" i="314"/>
  <c r="AG67" i="314" s="1"/>
  <c r="AG68" i="314" s="1"/>
  <c r="AG73" i="314" s="1"/>
  <c r="AG160" i="329"/>
  <c r="AG167" i="329" s="1"/>
  <c r="AG113" i="329"/>
  <c r="AG56" i="329"/>
  <c r="AG63" i="329" s="1"/>
  <c r="AG112" i="329"/>
  <c r="AG92" i="316"/>
  <c r="AG118" i="316" s="1"/>
  <c r="AG85" i="316" s="1"/>
  <c r="AG29" i="317" s="1"/>
  <c r="AG33" i="317" s="1"/>
  <c r="AG110" i="316"/>
  <c r="AF24" i="314"/>
  <c r="AF15" i="313" s="1"/>
  <c r="AF19" i="313" s="1"/>
  <c r="AH60" i="314"/>
  <c r="AH126" i="314" s="1"/>
  <c r="AI77" i="314"/>
  <c r="AI15" i="314"/>
  <c r="AI77" i="319"/>
  <c r="AI15" i="319"/>
  <c r="AI77" i="325"/>
  <c r="AI15" i="325"/>
  <c r="AF119" i="329"/>
  <c r="AI77" i="328"/>
  <c r="AI15" i="328"/>
  <c r="AH63" i="307"/>
  <c r="AG92" i="319"/>
  <c r="AJ6" i="321"/>
  <c r="AJ6" i="305"/>
  <c r="AJ14" i="307" s="1"/>
  <c r="AJ6" i="324"/>
  <c r="AJ6" i="312"/>
  <c r="AJ6" i="327"/>
  <c r="AJ6" i="315"/>
  <c r="AJ6" i="277"/>
  <c r="AJ6" i="318"/>
  <c r="AJ6" i="302"/>
  <c r="AJ14" i="304" s="1"/>
  <c r="AG55" i="329"/>
  <c r="AG62" i="329" s="1"/>
  <c r="AD204" i="323"/>
  <c r="AF117" i="329"/>
  <c r="AI77" i="316"/>
  <c r="AI15" i="316"/>
  <c r="AI77" i="322"/>
  <c r="AI15" i="322"/>
  <c r="AI102" i="313"/>
  <c r="AI101" i="313"/>
  <c r="AI103" i="313"/>
  <c r="AI100" i="313"/>
  <c r="AI98" i="313"/>
  <c r="AI96" i="313"/>
  <c r="AI93" i="313"/>
  <c r="AI97" i="313"/>
  <c r="AI95" i="313"/>
  <c r="AI90" i="313"/>
  <c r="AI91" i="313"/>
  <c r="AI92" i="313"/>
  <c r="AI100" i="272"/>
  <c r="AI102" i="272"/>
  <c r="AI103" i="272"/>
  <c r="AI101" i="272"/>
  <c r="AI98" i="272"/>
  <c r="AI93" i="272"/>
  <c r="AI90" i="272"/>
  <c r="AI92" i="272"/>
  <c r="AI91" i="272"/>
  <c r="AI96" i="272"/>
  <c r="AI97" i="272"/>
  <c r="AI95" i="272"/>
  <c r="AI102" i="326"/>
  <c r="AI103" i="326"/>
  <c r="AI101" i="326"/>
  <c r="AI100" i="326"/>
  <c r="AI98" i="326"/>
  <c r="AI96" i="326"/>
  <c r="AI92" i="326"/>
  <c r="AI93" i="326"/>
  <c r="AI97" i="326"/>
  <c r="AI95" i="326"/>
  <c r="AI90" i="326"/>
  <c r="AI91" i="326"/>
  <c r="AI102" i="320"/>
  <c r="AI103" i="320"/>
  <c r="AI100" i="320"/>
  <c r="AI101" i="320"/>
  <c r="AI93" i="320"/>
  <c r="AI97" i="320"/>
  <c r="AI95" i="320"/>
  <c r="AI90" i="320"/>
  <c r="AI91" i="320"/>
  <c r="AI98" i="320"/>
  <c r="AI96" i="320"/>
  <c r="AI92" i="320"/>
  <c r="AI103" i="323"/>
  <c r="AI102" i="323"/>
  <c r="AI100" i="323"/>
  <c r="AI101" i="323"/>
  <c r="AI98" i="323"/>
  <c r="AI96" i="323"/>
  <c r="AI92" i="323"/>
  <c r="AI93" i="323"/>
  <c r="AI95" i="323"/>
  <c r="AI90" i="323"/>
  <c r="AI97" i="323"/>
  <c r="AI91" i="323"/>
  <c r="AI102" i="329"/>
  <c r="AI103" i="329"/>
  <c r="AI101" i="329"/>
  <c r="AI100" i="329"/>
  <c r="AI91" i="329"/>
  <c r="AI98" i="329"/>
  <c r="AI96" i="329"/>
  <c r="AI97" i="329"/>
  <c r="AI95" i="329"/>
  <c r="AI93" i="329"/>
  <c r="AI90" i="329"/>
  <c r="AI92" i="329"/>
  <c r="AI100" i="278"/>
  <c r="AI103" i="278"/>
  <c r="AI101" i="278"/>
  <c r="AI102" i="278"/>
  <c r="AI91" i="278"/>
  <c r="AI98" i="278"/>
  <c r="AI96" i="278"/>
  <c r="AI92" i="278"/>
  <c r="AI93" i="278"/>
  <c r="AI97" i="278"/>
  <c r="AI90" i="278"/>
  <c r="AI95" i="278"/>
  <c r="AI103" i="317"/>
  <c r="AI102" i="317"/>
  <c r="AI100" i="317"/>
  <c r="AI101" i="317"/>
  <c r="AI98" i="317"/>
  <c r="AI96" i="317"/>
  <c r="AI92" i="317"/>
  <c r="AI93" i="317"/>
  <c r="AI91" i="317"/>
  <c r="AI95" i="317"/>
  <c r="AI90" i="317"/>
  <c r="AI97" i="317"/>
  <c r="AG114" i="313"/>
  <c r="AE83" i="317"/>
  <c r="AF116" i="329"/>
  <c r="AG159" i="329"/>
  <c r="AG166" i="329" s="1"/>
  <c r="AG33" i="312"/>
  <c r="AG173" i="313" s="1"/>
  <c r="AG175" i="313" s="1"/>
  <c r="AG57" i="313"/>
  <c r="AG64" i="313" s="1"/>
  <c r="AE143" i="317"/>
  <c r="AF131" i="269"/>
  <c r="AF132" i="269"/>
  <c r="AF133" i="269"/>
  <c r="AF130" i="269"/>
  <c r="AF130" i="278"/>
  <c r="AF131" i="278"/>
  <c r="AF132" i="278"/>
  <c r="AF133" i="278"/>
  <c r="AF130" i="306"/>
  <c r="AF131" i="306"/>
  <c r="AF132" i="306"/>
  <c r="AF133" i="306"/>
  <c r="AG132" i="303"/>
  <c r="AG133" i="303"/>
  <c r="AG130" i="303"/>
  <c r="AG131" i="303"/>
  <c r="AF133" i="313"/>
  <c r="AF130" i="313"/>
  <c r="AF131" i="313"/>
  <c r="AF132" i="313"/>
  <c r="AF116" i="317"/>
  <c r="AF117" i="317"/>
  <c r="AF118" i="317"/>
  <c r="AF119" i="317"/>
  <c r="AF141" i="320"/>
  <c r="AF142" i="320"/>
  <c r="AF143" i="320"/>
  <c r="AF119" i="320"/>
  <c r="AF118" i="320"/>
  <c r="AF116" i="320"/>
  <c r="AF117" i="320"/>
  <c r="AF140" i="320"/>
  <c r="AF132" i="310"/>
  <c r="AF130" i="303"/>
  <c r="AF140" i="278"/>
  <c r="AF116" i="278"/>
  <c r="AF141" i="278"/>
  <c r="AF142" i="278"/>
  <c r="AF118" i="278"/>
  <c r="AF117" i="278"/>
  <c r="AF119" i="278"/>
  <c r="AF143" i="278"/>
  <c r="AF141" i="306"/>
  <c r="AF142" i="306"/>
  <c r="AF143" i="306"/>
  <c r="AF119" i="306"/>
  <c r="AF140" i="306"/>
  <c r="AF116" i="306"/>
  <c r="AF117" i="306"/>
  <c r="AF118" i="306"/>
  <c r="AF130" i="326"/>
  <c r="AF131" i="326"/>
  <c r="AF132" i="326"/>
  <c r="AF133" i="326"/>
  <c r="AF119" i="323"/>
  <c r="AF116" i="323"/>
  <c r="AF117" i="323"/>
  <c r="AF118" i="323"/>
  <c r="AE141" i="317"/>
  <c r="AF130" i="310"/>
  <c r="AF142" i="313"/>
  <c r="AF140" i="313"/>
  <c r="AF133" i="303"/>
  <c r="AF143" i="303"/>
  <c r="AF141" i="303"/>
  <c r="AF142" i="272"/>
  <c r="AF143" i="272"/>
  <c r="AF140" i="272"/>
  <c r="AF141" i="272"/>
  <c r="AF116" i="272"/>
  <c r="AF117" i="272"/>
  <c r="AF118" i="272"/>
  <c r="AF119" i="272"/>
  <c r="AE133" i="317"/>
  <c r="AE130" i="317"/>
  <c r="AE131" i="317"/>
  <c r="AE132" i="317"/>
  <c r="AF131" i="310"/>
  <c r="AF132" i="303"/>
  <c r="AF132" i="272"/>
  <c r="AF133" i="272"/>
  <c r="AF130" i="272"/>
  <c r="AF131" i="272"/>
  <c r="AF131" i="320"/>
  <c r="AF133" i="320"/>
  <c r="AF130" i="320"/>
  <c r="AF132" i="320"/>
  <c r="AF140" i="326"/>
  <c r="AF116" i="326"/>
  <c r="AF141" i="326"/>
  <c r="AF117" i="326"/>
  <c r="AF142" i="326"/>
  <c r="AF118" i="326"/>
  <c r="AF119" i="326"/>
  <c r="AF143" i="326"/>
  <c r="AF140" i="310"/>
  <c r="AF141" i="310"/>
  <c r="AF142" i="310"/>
  <c r="AF119" i="310"/>
  <c r="AF143" i="310"/>
  <c r="AF116" i="310"/>
  <c r="AF117" i="310"/>
  <c r="AF118" i="310"/>
  <c r="AE142" i="317"/>
  <c r="AE140" i="317"/>
  <c r="AF141" i="313"/>
  <c r="AF143" i="313"/>
  <c r="AF131" i="303"/>
  <c r="AF140" i="303"/>
  <c r="AF86" i="319"/>
  <c r="AF27" i="320" s="1"/>
  <c r="AF31" i="320" s="1"/>
  <c r="AG118" i="319"/>
  <c r="AG85" i="319" s="1"/>
  <c r="AG29" i="320" s="1"/>
  <c r="AG33" i="320" s="1"/>
  <c r="AI108" i="313"/>
  <c r="AI107" i="313"/>
  <c r="AI105" i="313"/>
  <c r="AI106" i="313"/>
  <c r="AI106" i="272"/>
  <c r="AI108" i="272"/>
  <c r="AI105" i="272"/>
  <c r="AI107" i="272"/>
  <c r="AK108" i="269"/>
  <c r="AK106" i="269"/>
  <c r="AK107" i="269"/>
  <c r="AK105" i="269"/>
  <c r="AI108" i="326"/>
  <c r="AI105" i="326"/>
  <c r="AI107" i="326"/>
  <c r="AI106" i="326"/>
  <c r="AI105" i="317"/>
  <c r="AI108" i="317"/>
  <c r="AI107" i="317"/>
  <c r="AI106" i="317"/>
  <c r="AI105" i="278"/>
  <c r="AI108" i="278"/>
  <c r="AI106" i="278"/>
  <c r="AI107" i="278"/>
  <c r="AI105" i="320"/>
  <c r="AI108" i="320"/>
  <c r="AI107" i="320"/>
  <c r="AI106" i="320"/>
  <c r="AI105" i="323"/>
  <c r="AI108" i="323"/>
  <c r="AI107" i="323"/>
  <c r="AI106" i="323"/>
  <c r="AI108" i="329"/>
  <c r="AI107" i="329"/>
  <c r="AI106" i="329"/>
  <c r="AI105" i="329"/>
  <c r="AJ105" i="269"/>
  <c r="AJ107" i="269"/>
  <c r="AJ108" i="269"/>
  <c r="AJ106" i="269"/>
  <c r="AE33" i="323"/>
  <c r="AE35" i="323" s="1"/>
  <c r="AH78" i="319"/>
  <c r="AH101" i="319" s="1"/>
  <c r="AH79" i="319"/>
  <c r="AH78" i="328"/>
  <c r="AH92" i="328" s="1"/>
  <c r="AH79" i="328"/>
  <c r="AF129" i="314"/>
  <c r="AF130" i="314" s="1"/>
  <c r="AF135" i="314" s="1"/>
  <c r="AF67" i="314"/>
  <c r="AF68" i="314" s="1"/>
  <c r="AF73" i="314" s="1"/>
  <c r="AF25" i="314" s="1"/>
  <c r="AF16" i="313" s="1"/>
  <c r="AH79" i="316"/>
  <c r="AH78" i="316"/>
  <c r="AH92" i="316" s="1"/>
  <c r="AI16" i="328"/>
  <c r="AI17" i="328"/>
  <c r="AH78" i="325"/>
  <c r="AH110" i="325" s="1"/>
  <c r="AH79" i="325"/>
  <c r="AH78" i="314"/>
  <c r="AH79" i="314"/>
  <c r="AH78" i="322"/>
  <c r="AH101" i="322" s="1"/>
  <c r="AH79" i="322"/>
  <c r="AF128" i="323"/>
  <c r="AF183" i="323"/>
  <c r="AF187" i="323" s="1"/>
  <c r="AF189" i="323" s="1"/>
  <c r="AF196" i="323" s="1"/>
  <c r="AF128" i="329"/>
  <c r="AF72" i="329"/>
  <c r="AF76" i="329" s="1"/>
  <c r="AE23" i="323"/>
  <c r="AF53" i="327"/>
  <c r="AF192" i="329" s="1"/>
  <c r="AF194" i="329" s="1"/>
  <c r="AG112" i="313"/>
  <c r="AG159" i="313"/>
  <c r="AG166" i="313" s="1"/>
  <c r="AG170" i="313" s="1"/>
  <c r="AF182" i="317"/>
  <c r="AF186" i="317" s="1"/>
  <c r="AG55" i="313"/>
  <c r="AG62" i="313" s="1"/>
  <c r="AF86" i="328"/>
  <c r="AF27" i="329" s="1"/>
  <c r="AF31" i="329" s="1"/>
  <c r="AF127" i="329"/>
  <c r="AF182" i="329"/>
  <c r="AF186" i="329" s="1"/>
  <c r="AF189" i="329" s="1"/>
  <c r="AF127" i="323"/>
  <c r="AF201" i="320"/>
  <c r="AF71" i="329"/>
  <c r="AF75" i="329" s="1"/>
  <c r="AF71" i="323"/>
  <c r="AF75" i="323" s="1"/>
  <c r="AE204" i="329"/>
  <c r="AE35" i="326"/>
  <c r="AF170" i="310"/>
  <c r="AF177" i="310" s="1"/>
  <c r="AE40" i="329"/>
  <c r="AE39" i="323"/>
  <c r="AE23" i="320"/>
  <c r="AE43" i="320" s="1"/>
  <c r="AF71" i="317"/>
  <c r="AF75" i="317" s="1"/>
  <c r="AE35" i="317"/>
  <c r="AF128" i="317"/>
  <c r="AF130" i="317" s="1"/>
  <c r="AF183" i="317"/>
  <c r="AF187" i="317" s="1"/>
  <c r="AE40" i="323"/>
  <c r="AF41" i="323"/>
  <c r="AF200" i="310"/>
  <c r="AF86" i="325"/>
  <c r="AF27" i="326" s="1"/>
  <c r="AF31" i="326" s="1"/>
  <c r="AF33" i="320"/>
  <c r="AF41" i="320"/>
  <c r="AI17" i="316"/>
  <c r="AI16" i="316"/>
  <c r="AI17" i="314"/>
  <c r="AI122" i="314" s="1"/>
  <c r="AI16" i="314"/>
  <c r="AI15" i="279"/>
  <c r="AI16" i="309"/>
  <c r="AI59" i="309" s="1"/>
  <c r="AI15" i="309"/>
  <c r="AI29" i="309" s="1"/>
  <c r="AI16" i="307"/>
  <c r="AI59" i="307" s="1"/>
  <c r="AI15" i="307"/>
  <c r="AI16" i="304"/>
  <c r="AI59" i="304" s="1"/>
  <c r="AI15" i="304"/>
  <c r="AI47" i="304" s="1"/>
  <c r="AD35" i="323"/>
  <c r="AD43" i="323" s="1"/>
  <c r="AE39" i="320"/>
  <c r="AK27" i="269"/>
  <c r="AK29" i="269"/>
  <c r="AK28" i="269"/>
  <c r="AJ27" i="269"/>
  <c r="AJ29" i="269"/>
  <c r="AJ33" i="269" s="1"/>
  <c r="AJ28" i="269"/>
  <c r="AJ32" i="269" s="1"/>
  <c r="AE40" i="320"/>
  <c r="AE204" i="310"/>
  <c r="AI90" i="316"/>
  <c r="AI84" i="316"/>
  <c r="AI28" i="316"/>
  <c r="AI22" i="316"/>
  <c r="AI76" i="316"/>
  <c r="AH122" i="328"/>
  <c r="AH60" i="328"/>
  <c r="AH39" i="316"/>
  <c r="AH48" i="316"/>
  <c r="AH30" i="316"/>
  <c r="AH56" i="316" s="1"/>
  <c r="AH23" i="316" s="1"/>
  <c r="AH17" i="317" s="1"/>
  <c r="AH21" i="317" s="1"/>
  <c r="AF67" i="322"/>
  <c r="AF68" i="322" s="1"/>
  <c r="AF73" i="322" s="1"/>
  <c r="AF25" i="322" s="1"/>
  <c r="AF16" i="323" s="1"/>
  <c r="AF20" i="323" s="1"/>
  <c r="AF129" i="322"/>
  <c r="AF130" i="322" s="1"/>
  <c r="AF135" i="322" s="1"/>
  <c r="AF87" i="322" s="1"/>
  <c r="AF28" i="323" s="1"/>
  <c r="AF32" i="323" s="1"/>
  <c r="AF35" i="323" s="1"/>
  <c r="AF24" i="322"/>
  <c r="AF15" i="323" s="1"/>
  <c r="AF19" i="323" s="1"/>
  <c r="AH94" i="322"/>
  <c r="AH103" i="322"/>
  <c r="AH122" i="325"/>
  <c r="AH60" i="325"/>
  <c r="AH30" i="322"/>
  <c r="AH39" i="322"/>
  <c r="AH56" i="322" s="1"/>
  <c r="AH23" i="322" s="1"/>
  <c r="AH17" i="323" s="1"/>
  <c r="AH21" i="323" s="1"/>
  <c r="AH48" i="322"/>
  <c r="AI41" i="322"/>
  <c r="AI32" i="322"/>
  <c r="AH48" i="319"/>
  <c r="AH39" i="319"/>
  <c r="AH56" i="319" s="1"/>
  <c r="AH23" i="319" s="1"/>
  <c r="AH17" i="320" s="1"/>
  <c r="AH21" i="320" s="1"/>
  <c r="AH30" i="319"/>
  <c r="AH122" i="316"/>
  <c r="AH60" i="316"/>
  <c r="AG126" i="322"/>
  <c r="AG64" i="322"/>
  <c r="AG126" i="325"/>
  <c r="AG64" i="325"/>
  <c r="AH101" i="325"/>
  <c r="AG64" i="319"/>
  <c r="AG126" i="319"/>
  <c r="AI38" i="327"/>
  <c r="AI80" i="328" s="1"/>
  <c r="AI38" i="324"/>
  <c r="AI80" i="325" s="1"/>
  <c r="AI38" i="321"/>
  <c r="AI80" i="322" s="1"/>
  <c r="AG118" i="325"/>
  <c r="AG85" i="325" s="1"/>
  <c r="AI90" i="319"/>
  <c r="AI84" i="319"/>
  <c r="AI76" i="319"/>
  <c r="AI28" i="319"/>
  <c r="AI22" i="319"/>
  <c r="AF129" i="319"/>
  <c r="AF130" i="319" s="1"/>
  <c r="AF135" i="319" s="1"/>
  <c r="AF87" i="319" s="1"/>
  <c r="AF28" i="320" s="1"/>
  <c r="AF32" i="320" s="1"/>
  <c r="AF67" i="319"/>
  <c r="AF68" i="319" s="1"/>
  <c r="AF73" i="319" s="1"/>
  <c r="AF25" i="319" s="1"/>
  <c r="AF16" i="320" s="1"/>
  <c r="AF20" i="320" s="1"/>
  <c r="AF24" i="319"/>
  <c r="AF15" i="320" s="1"/>
  <c r="AF19" i="320" s="1"/>
  <c r="AI37" i="321"/>
  <c r="AI40" i="321" s="1"/>
  <c r="AI42" i="321" s="1"/>
  <c r="AI43" i="321" s="1"/>
  <c r="AI44" i="321" s="1"/>
  <c r="AI46" i="321" s="1"/>
  <c r="AI37" i="327"/>
  <c r="AI40" i="327" s="1"/>
  <c r="AI42" i="327" s="1"/>
  <c r="AI43" i="327" s="1"/>
  <c r="AI44" i="327" s="1"/>
  <c r="AI46" i="327" s="1"/>
  <c r="AK68" i="267"/>
  <c r="AI37" i="324"/>
  <c r="AI40" i="324" s="1"/>
  <c r="AI42" i="324" s="1"/>
  <c r="AI43" i="324" s="1"/>
  <c r="AI44" i="324" s="1"/>
  <c r="AI46" i="324" s="1"/>
  <c r="AE40" i="317"/>
  <c r="AE20" i="317"/>
  <c r="AI90" i="322"/>
  <c r="AI76" i="322"/>
  <c r="AI84" i="322"/>
  <c r="AI28" i="322"/>
  <c r="AI22" i="322"/>
  <c r="AG30" i="328"/>
  <c r="AG48" i="328"/>
  <c r="AG39" i="328"/>
  <c r="AG56" i="328" s="1"/>
  <c r="AG23" i="328" s="1"/>
  <c r="AF67" i="316"/>
  <c r="AF68" i="316" s="1"/>
  <c r="AF73" i="316" s="1"/>
  <c r="AF25" i="316" s="1"/>
  <c r="AF16" i="317" s="1"/>
  <c r="AF20" i="317" s="1"/>
  <c r="AF129" i="316"/>
  <c r="AF130" i="316" s="1"/>
  <c r="AF135" i="316" s="1"/>
  <c r="AF87" i="316" s="1"/>
  <c r="AF28" i="317" s="1"/>
  <c r="AF24" i="316"/>
  <c r="AF15" i="317" s="1"/>
  <c r="AG126" i="316"/>
  <c r="AG64" i="316"/>
  <c r="AJ10" i="321"/>
  <c r="AJ16" i="322" s="1"/>
  <c r="AJ10" i="324"/>
  <c r="AJ16" i="325" s="1"/>
  <c r="AI38" i="318"/>
  <c r="AI80" i="319" s="1"/>
  <c r="AI38" i="312"/>
  <c r="AI80" i="314" s="1"/>
  <c r="AI38" i="315"/>
  <c r="AI80" i="316" s="1"/>
  <c r="AG118" i="328"/>
  <c r="AG85" i="328" s="1"/>
  <c r="AG48" i="325"/>
  <c r="AG39" i="325"/>
  <c r="AG56" i="325" s="1"/>
  <c r="AG23" i="325" s="1"/>
  <c r="AG30" i="325"/>
  <c r="AH94" i="319"/>
  <c r="AH103" i="319"/>
  <c r="AL66" i="267"/>
  <c r="AI28" i="328"/>
  <c r="AI22" i="328"/>
  <c r="AI90" i="328"/>
  <c r="AI84" i="328"/>
  <c r="AI76" i="328"/>
  <c r="AH60" i="319"/>
  <c r="AH122" i="319"/>
  <c r="AI32" i="325"/>
  <c r="AI41" i="325"/>
  <c r="AF67" i="328"/>
  <c r="AF68" i="328" s="1"/>
  <c r="AF73" i="328" s="1"/>
  <c r="AF25" i="328" s="1"/>
  <c r="AF16" i="329" s="1"/>
  <c r="AF129" i="328"/>
  <c r="AF130" i="328" s="1"/>
  <c r="AF135" i="328" s="1"/>
  <c r="AF87" i="328" s="1"/>
  <c r="AF28" i="329" s="1"/>
  <c r="AF32" i="329" s="1"/>
  <c r="AF24" i="328"/>
  <c r="AF15" i="329" s="1"/>
  <c r="AH103" i="316"/>
  <c r="AH94" i="316"/>
  <c r="AH94" i="328"/>
  <c r="AH103" i="328"/>
  <c r="AF67" i="325"/>
  <c r="AF68" i="325" s="1"/>
  <c r="AF73" i="325" s="1"/>
  <c r="AF25" i="325" s="1"/>
  <c r="AF16" i="326" s="1"/>
  <c r="AF20" i="326" s="1"/>
  <c r="AF129" i="325"/>
  <c r="AF130" i="325" s="1"/>
  <c r="AF135" i="325" s="1"/>
  <c r="AF87" i="325" s="1"/>
  <c r="AF28" i="326" s="1"/>
  <c r="AF32" i="326" s="1"/>
  <c r="AF24" i="325"/>
  <c r="AF15" i="326" s="1"/>
  <c r="AI90" i="325"/>
  <c r="AI28" i="325"/>
  <c r="AI84" i="325"/>
  <c r="AI22" i="325"/>
  <c r="AI76" i="325"/>
  <c r="AH60" i="322"/>
  <c r="AH122" i="322"/>
  <c r="AI32" i="328"/>
  <c r="AI41" i="328"/>
  <c r="AF29" i="317"/>
  <c r="AF86" i="316"/>
  <c r="AF27" i="317" s="1"/>
  <c r="AF31" i="317" s="1"/>
  <c r="AJ11" i="321"/>
  <c r="AJ18" i="322" s="1"/>
  <c r="AJ11" i="324"/>
  <c r="AJ18" i="325" s="1"/>
  <c r="AJ11" i="327"/>
  <c r="AJ18" i="328" s="1"/>
  <c r="AG64" i="328"/>
  <c r="AG126" i="328"/>
  <c r="AH94" i="325"/>
  <c r="AH103" i="325"/>
  <c r="AE39" i="313"/>
  <c r="AE19" i="313"/>
  <c r="AE23" i="313" s="1"/>
  <c r="AE41" i="313"/>
  <c r="AB112" i="260"/>
  <c r="AC100" i="260"/>
  <c r="AD43" i="313"/>
  <c r="AF201" i="313"/>
  <c r="AG53" i="318"/>
  <c r="AG192" i="320" s="1"/>
  <c r="AG194" i="320" s="1"/>
  <c r="AG53" i="327"/>
  <c r="AG192" i="329" s="1"/>
  <c r="AG194" i="329" s="1"/>
  <c r="AG200" i="329"/>
  <c r="AG200" i="313"/>
  <c r="AG53" i="312"/>
  <c r="AG192" i="313" s="1"/>
  <c r="AG194" i="313" s="1"/>
  <c r="AF17" i="313"/>
  <c r="AF21" i="313" s="1"/>
  <c r="AE35" i="313"/>
  <c r="AE40" i="313"/>
  <c r="AI37" i="315"/>
  <c r="AI37" i="318"/>
  <c r="AI37" i="312"/>
  <c r="AG94" i="314"/>
  <c r="AG103" i="314"/>
  <c r="AK63" i="267"/>
  <c r="AF29" i="313"/>
  <c r="AF33" i="313" s="1"/>
  <c r="AF86" i="314"/>
  <c r="AF27" i="313" s="1"/>
  <c r="AF31" i="313" s="1"/>
  <c r="AF87" i="314"/>
  <c r="AF28" i="313" s="1"/>
  <c r="AF32" i="313" s="1"/>
  <c r="AJ10" i="315"/>
  <c r="AJ10" i="318"/>
  <c r="AJ16" i="319" s="1"/>
  <c r="AJ10" i="312"/>
  <c r="AL61" i="267"/>
  <c r="AL63" i="267" s="1"/>
  <c r="AH103" i="314"/>
  <c r="AH94" i="314"/>
  <c r="AG92" i="314"/>
  <c r="AG118" i="314" s="1"/>
  <c r="AG85" i="314" s="1"/>
  <c r="AG110" i="314"/>
  <c r="AG101" i="314"/>
  <c r="AE204" i="313"/>
  <c r="AI84" i="314"/>
  <c r="AI90" i="314"/>
  <c r="AI76" i="314"/>
  <c r="AG23" i="314"/>
  <c r="AG17" i="313" s="1"/>
  <c r="AF78" i="310"/>
  <c r="AE85" i="310"/>
  <c r="AF170" i="317"/>
  <c r="AE177" i="320"/>
  <c r="AE204" i="320" s="1"/>
  <c r="AF189" i="310"/>
  <c r="AF196" i="310" s="1"/>
  <c r="AF202" i="310"/>
  <c r="AF177" i="313"/>
  <c r="AF66" i="317"/>
  <c r="AG55" i="310"/>
  <c r="AG62" i="310" s="1"/>
  <c r="AE177" i="317"/>
  <c r="AE204" i="317" s="1"/>
  <c r="AG112" i="310"/>
  <c r="AG159" i="310"/>
  <c r="AG166" i="310" s="1"/>
  <c r="AF66" i="320"/>
  <c r="AG175" i="329"/>
  <c r="AE177" i="323"/>
  <c r="AE204" i="323" s="1"/>
  <c r="AI14" i="324"/>
  <c r="AI16" i="324" s="1"/>
  <c r="AI17" i="324" s="1"/>
  <c r="AI18" i="324" s="1"/>
  <c r="AI20" i="324" s="1"/>
  <c r="AI17" i="325"/>
  <c r="AH55" i="313"/>
  <c r="AH62" i="313" s="1"/>
  <c r="AH112" i="313"/>
  <c r="AH32" i="312"/>
  <c r="AH172" i="313" s="1"/>
  <c r="AH159" i="313"/>
  <c r="AH166" i="313" s="1"/>
  <c r="AF200" i="317"/>
  <c r="AF175" i="317"/>
  <c r="AI25" i="327"/>
  <c r="AI27" i="327"/>
  <c r="AI26" i="327"/>
  <c r="AG161" i="320"/>
  <c r="AG168" i="320" s="1"/>
  <c r="AG57" i="320"/>
  <c r="AG64" i="320" s="1"/>
  <c r="AG114" i="320"/>
  <c r="AD23" i="326"/>
  <c r="AD43" i="326" s="1"/>
  <c r="AE19" i="329"/>
  <c r="AE39" i="329"/>
  <c r="AF170" i="323"/>
  <c r="AH56" i="313"/>
  <c r="AH63" i="313" s="1"/>
  <c r="AH33" i="312"/>
  <c r="AH173" i="313" s="1"/>
  <c r="AH113" i="313"/>
  <c r="AH160" i="313"/>
  <c r="AH167" i="313" s="1"/>
  <c r="AG161" i="317"/>
  <c r="AG168" i="317" s="1"/>
  <c r="AG57" i="317"/>
  <c r="AG64" i="317" s="1"/>
  <c r="AG114" i="317"/>
  <c r="AH26" i="318"/>
  <c r="AH25" i="318"/>
  <c r="AH27" i="318"/>
  <c r="AF200" i="320"/>
  <c r="AF175" i="320"/>
  <c r="AI14" i="321"/>
  <c r="AI16" i="321" s="1"/>
  <c r="AI17" i="321" s="1"/>
  <c r="AI18" i="321" s="1"/>
  <c r="AI20" i="321" s="1"/>
  <c r="AI17" i="322"/>
  <c r="AG159" i="320"/>
  <c r="AG166" i="320" s="1"/>
  <c r="AG55" i="320"/>
  <c r="AG62" i="320" s="1"/>
  <c r="AG32" i="318"/>
  <c r="AG172" i="320" s="1"/>
  <c r="AG112" i="320"/>
  <c r="AH25" i="324"/>
  <c r="AH27" i="324"/>
  <c r="AH26" i="324"/>
  <c r="AE21" i="329"/>
  <c r="AE41" i="329"/>
  <c r="AF66" i="323"/>
  <c r="AG113" i="326"/>
  <c r="AG33" i="324"/>
  <c r="AG173" i="326" s="1"/>
  <c r="AG201" i="326" s="1"/>
  <c r="AG56" i="326"/>
  <c r="AG63" i="326" s="1"/>
  <c r="AG160" i="326"/>
  <c r="AG167" i="326" s="1"/>
  <c r="AH57" i="313"/>
  <c r="AH64" i="313" s="1"/>
  <c r="AH161" i="313"/>
  <c r="AH168" i="313" s="1"/>
  <c r="AH114" i="313"/>
  <c r="AG55" i="317"/>
  <c r="AG62" i="317" s="1"/>
  <c r="AG112" i="317"/>
  <c r="AG32" i="315"/>
  <c r="AG172" i="317" s="1"/>
  <c r="AG159" i="317"/>
  <c r="AG166" i="317" s="1"/>
  <c r="AI17" i="319"/>
  <c r="AI14" i="318"/>
  <c r="AI16" i="318" s="1"/>
  <c r="AI17" i="318" s="1"/>
  <c r="AI18" i="318" s="1"/>
  <c r="AI20" i="318" s="1"/>
  <c r="AG160" i="320"/>
  <c r="AG167" i="320" s="1"/>
  <c r="AG56" i="320"/>
  <c r="AG63" i="320" s="1"/>
  <c r="AG113" i="320"/>
  <c r="AG33" i="318"/>
  <c r="AG173" i="320" s="1"/>
  <c r="AG159" i="326"/>
  <c r="AG166" i="326" s="1"/>
  <c r="AG112" i="326"/>
  <c r="AG55" i="326"/>
  <c r="AG62" i="326" s="1"/>
  <c r="AG32" i="324"/>
  <c r="AG172" i="326" s="1"/>
  <c r="AG160" i="317"/>
  <c r="AG167" i="317" s="1"/>
  <c r="AG56" i="317"/>
  <c r="AG63" i="317" s="1"/>
  <c r="AG113" i="317"/>
  <c r="AG33" i="315"/>
  <c r="AG173" i="317" s="1"/>
  <c r="AG201" i="317" s="1"/>
  <c r="AH25" i="315"/>
  <c r="AH27" i="315"/>
  <c r="AH26" i="315"/>
  <c r="AH32" i="327"/>
  <c r="AH172" i="329" s="1"/>
  <c r="AH112" i="329"/>
  <c r="AH159" i="329"/>
  <c r="AH166" i="329" s="1"/>
  <c r="AH55" i="329"/>
  <c r="AH62" i="329" s="1"/>
  <c r="AE177" i="326"/>
  <c r="AE204" i="326" s="1"/>
  <c r="AD23" i="329"/>
  <c r="AD43" i="329" s="1"/>
  <c r="AF17" i="326"/>
  <c r="AF200" i="323"/>
  <c r="AF175" i="323"/>
  <c r="AG114" i="323"/>
  <c r="AG57" i="323"/>
  <c r="AG64" i="323" s="1"/>
  <c r="AG161" i="323"/>
  <c r="AG168" i="323" s="1"/>
  <c r="AG161" i="326"/>
  <c r="AG168" i="326" s="1"/>
  <c r="AG57" i="326"/>
  <c r="AG64" i="326" s="1"/>
  <c r="AG114" i="326"/>
  <c r="AF200" i="326"/>
  <c r="AF175" i="326"/>
  <c r="AH160" i="329"/>
  <c r="AH167" i="329" s="1"/>
  <c r="AH56" i="329"/>
  <c r="AH63" i="329" s="1"/>
  <c r="AH33" i="327"/>
  <c r="AH173" i="329" s="1"/>
  <c r="AH113" i="329"/>
  <c r="AF17" i="329"/>
  <c r="AG112" i="323"/>
  <c r="AG55" i="323"/>
  <c r="AG62" i="323" s="1"/>
  <c r="AG159" i="323"/>
  <c r="AG166" i="323" s="1"/>
  <c r="AG32" i="321"/>
  <c r="AG172" i="323" s="1"/>
  <c r="AG170" i="329"/>
  <c r="AF66" i="326"/>
  <c r="AH26" i="321"/>
  <c r="AH25" i="321"/>
  <c r="AH27" i="321"/>
  <c r="AI14" i="315"/>
  <c r="AI16" i="315" s="1"/>
  <c r="AI17" i="315" s="1"/>
  <c r="AI18" i="315" s="1"/>
  <c r="AI20" i="315" s="1"/>
  <c r="AH57" i="329"/>
  <c r="AH64" i="329" s="1"/>
  <c r="AH114" i="329"/>
  <c r="AH161" i="329"/>
  <c r="AH168" i="329" s="1"/>
  <c r="AE19" i="326"/>
  <c r="AE39" i="326"/>
  <c r="AG56" i="323"/>
  <c r="AG63" i="323" s="1"/>
  <c r="AG33" i="321"/>
  <c r="AG173" i="323" s="1"/>
  <c r="AG201" i="323" s="1"/>
  <c r="AG160" i="323"/>
  <c r="AG167" i="323" s="1"/>
  <c r="AG113" i="323"/>
  <c r="AE20" i="326"/>
  <c r="AE40" i="326"/>
  <c r="AF170" i="320"/>
  <c r="AI25" i="312"/>
  <c r="AE21" i="326"/>
  <c r="AE41" i="326"/>
  <c r="AF170" i="326"/>
  <c r="AH30" i="314"/>
  <c r="AH56" i="314" s="1"/>
  <c r="AH39" i="314"/>
  <c r="AH48" i="314"/>
  <c r="AI41" i="314"/>
  <c r="AI32" i="314"/>
  <c r="AF74" i="326"/>
  <c r="AF83" i="326"/>
  <c r="AG183" i="317"/>
  <c r="AG187" i="317" s="1"/>
  <c r="AG128" i="317"/>
  <c r="AG72" i="317"/>
  <c r="AG76" i="317" s="1"/>
  <c r="AE78" i="320"/>
  <c r="AE85" i="320" s="1"/>
  <c r="AE82" i="320"/>
  <c r="AH26" i="308"/>
  <c r="AH160" i="310" s="1"/>
  <c r="AH167" i="310" s="1"/>
  <c r="AF74" i="313"/>
  <c r="AF83" i="313"/>
  <c r="AG183" i="323"/>
  <c r="AG187" i="323" s="1"/>
  <c r="AG128" i="323"/>
  <c r="AG72" i="323"/>
  <c r="AG76" i="323" s="1"/>
  <c r="AG181" i="313"/>
  <c r="AG185" i="313" s="1"/>
  <c r="AG70" i="313"/>
  <c r="AG126" i="313"/>
  <c r="AG70" i="317"/>
  <c r="AG181" i="317"/>
  <c r="AG185" i="317" s="1"/>
  <c r="AG126" i="317"/>
  <c r="AH194" i="323"/>
  <c r="AF83" i="310"/>
  <c r="AF189" i="313"/>
  <c r="AF196" i="313" s="1"/>
  <c r="AF202" i="313"/>
  <c r="AG181" i="323"/>
  <c r="AG185" i="323" s="1"/>
  <c r="AG126" i="323"/>
  <c r="AG70" i="323"/>
  <c r="AI14" i="314"/>
  <c r="AI22" i="314"/>
  <c r="AI28" i="314"/>
  <c r="AI14" i="328"/>
  <c r="AG183" i="313"/>
  <c r="AG187" i="313" s="1"/>
  <c r="AG72" i="313"/>
  <c r="AG76" i="313" s="1"/>
  <c r="AG128" i="313"/>
  <c r="AH48" i="318"/>
  <c r="AH52" i="318" s="1"/>
  <c r="AH191" i="320" s="1"/>
  <c r="AH49" i="318"/>
  <c r="AH50" i="318"/>
  <c r="AE78" i="317"/>
  <c r="AE85" i="317" s="1"/>
  <c r="AE82" i="317"/>
  <c r="AG182" i="326"/>
  <c r="AG186" i="326" s="1"/>
  <c r="AG71" i="326"/>
  <c r="AG75" i="326" s="1"/>
  <c r="AG127" i="326"/>
  <c r="AG71" i="323"/>
  <c r="AG75" i="323" s="1"/>
  <c r="AG182" i="323"/>
  <c r="AG186" i="323" s="1"/>
  <c r="AG127" i="323"/>
  <c r="AE78" i="329"/>
  <c r="AE85" i="329" s="1"/>
  <c r="AE82" i="329"/>
  <c r="AG182" i="313"/>
  <c r="AG186" i="313" s="1"/>
  <c r="AG71" i="313"/>
  <c r="AG75" i="313" s="1"/>
  <c r="AG127" i="313"/>
  <c r="AI14" i="325"/>
  <c r="AH49" i="321"/>
  <c r="AH48" i="321"/>
  <c r="AH50" i="321"/>
  <c r="AF74" i="323"/>
  <c r="AF189" i="326"/>
  <c r="AF196" i="326" s="1"/>
  <c r="AF202" i="326"/>
  <c r="AG72" i="329"/>
  <c r="AG76" i="329" s="1"/>
  <c r="AG183" i="329"/>
  <c r="AG187" i="329" s="1"/>
  <c r="AG128" i="329"/>
  <c r="AG128" i="326"/>
  <c r="AG183" i="326"/>
  <c r="AG187" i="326" s="1"/>
  <c r="AG72" i="326"/>
  <c r="AG76" i="326" s="1"/>
  <c r="AH50" i="315"/>
  <c r="AH49" i="315"/>
  <c r="AH48" i="315"/>
  <c r="AE78" i="313"/>
  <c r="AE85" i="313" s="1"/>
  <c r="AE82" i="313"/>
  <c r="AF74" i="317"/>
  <c r="AI14" i="316"/>
  <c r="AH194" i="317"/>
  <c r="AG181" i="329"/>
  <c r="AG185" i="329" s="1"/>
  <c r="AG70" i="329"/>
  <c r="AG126" i="329"/>
  <c r="AG70" i="326"/>
  <c r="AG181" i="326"/>
  <c r="AG185" i="326" s="1"/>
  <c r="AG126" i="326"/>
  <c r="AF74" i="329"/>
  <c r="AG182" i="320"/>
  <c r="AG186" i="320" s="1"/>
  <c r="AG127" i="320"/>
  <c r="AG71" i="320"/>
  <c r="AG75" i="320" s="1"/>
  <c r="AH194" i="326"/>
  <c r="AE78" i="323"/>
  <c r="AE85" i="323" s="1"/>
  <c r="AE82" i="323"/>
  <c r="AG182" i="329"/>
  <c r="AG186" i="329" s="1"/>
  <c r="AG71" i="329"/>
  <c r="AG75" i="329" s="1"/>
  <c r="AG127" i="329"/>
  <c r="AE78" i="326"/>
  <c r="AE85" i="326" s="1"/>
  <c r="AE82" i="326"/>
  <c r="AI14" i="322"/>
  <c r="AG57" i="310"/>
  <c r="AG64" i="310" s="1"/>
  <c r="AJ3" i="329"/>
  <c r="AJ1" i="325"/>
  <c r="AJ1" i="328"/>
  <c r="AJ3" i="326"/>
  <c r="AJ1" i="322"/>
  <c r="AJ1" i="319"/>
  <c r="AJ3" i="323"/>
  <c r="AJ3" i="317"/>
  <c r="AJ1" i="316"/>
  <c r="AJ3" i="320"/>
  <c r="AJ3" i="313"/>
  <c r="AJ1" i="314"/>
  <c r="AG33" i="308"/>
  <c r="AG173" i="310" s="1"/>
  <c r="AG201" i="310" s="1"/>
  <c r="AG161" i="310"/>
  <c r="AG168" i="310" s="1"/>
  <c r="AG72" i="320"/>
  <c r="AG76" i="320" s="1"/>
  <c r="AG183" i="320"/>
  <c r="AG187" i="320" s="1"/>
  <c r="AG128" i="320"/>
  <c r="AF74" i="320"/>
  <c r="AF83" i="320"/>
  <c r="AG70" i="320"/>
  <c r="AG126" i="320"/>
  <c r="AG181" i="320"/>
  <c r="AG185" i="320" s="1"/>
  <c r="AF189" i="320"/>
  <c r="AF196" i="320" s="1"/>
  <c r="AF202" i="320"/>
  <c r="AI14" i="319"/>
  <c r="AH48" i="312"/>
  <c r="AH52" i="312" s="1"/>
  <c r="AH191" i="313" s="1"/>
  <c r="AH50" i="312"/>
  <c r="AH49" i="312"/>
  <c r="AG127" i="317"/>
  <c r="AG71" i="317"/>
  <c r="AG75" i="317" s="1"/>
  <c r="AG182" i="317"/>
  <c r="AG186" i="317" s="1"/>
  <c r="AG128" i="310"/>
  <c r="AG72" i="310"/>
  <c r="AG76" i="310" s="1"/>
  <c r="AC23" i="272"/>
  <c r="AC43" i="272" s="1"/>
  <c r="AG55" i="303"/>
  <c r="AG62" i="303" s="1"/>
  <c r="AI14" i="308"/>
  <c r="AI16" i="308" s="1"/>
  <c r="AI17" i="308" s="1"/>
  <c r="AI18" i="308" s="1"/>
  <c r="AI20" i="308" s="1"/>
  <c r="AI26" i="308" s="1"/>
  <c r="AH29" i="273"/>
  <c r="AH38" i="309"/>
  <c r="AF78" i="303"/>
  <c r="AG112" i="303"/>
  <c r="AG71" i="310"/>
  <c r="AG75" i="310" s="1"/>
  <c r="AG127" i="310"/>
  <c r="AH25" i="308"/>
  <c r="AH159" i="310" s="1"/>
  <c r="AH166" i="310" s="1"/>
  <c r="AH48" i="308"/>
  <c r="AH70" i="310" s="1"/>
  <c r="AH74" i="310" s="1"/>
  <c r="AH50" i="308"/>
  <c r="AH128" i="310" s="1"/>
  <c r="AH49" i="308"/>
  <c r="AH182" i="310" s="1"/>
  <c r="AH186" i="310" s="1"/>
  <c r="AJ10" i="308"/>
  <c r="AJ10" i="302"/>
  <c r="AI38" i="305"/>
  <c r="AI38" i="268"/>
  <c r="AI38" i="277"/>
  <c r="AI38" i="271"/>
  <c r="AI38" i="308"/>
  <c r="AI38" i="302"/>
  <c r="AI63" i="309"/>
  <c r="AI66" i="309" s="1"/>
  <c r="AI67" i="309" s="1"/>
  <c r="AI72" i="309" s="1"/>
  <c r="AF40" i="303"/>
  <c r="AF20" i="303"/>
  <c r="AL52" i="267"/>
  <c r="AL57" i="267"/>
  <c r="AI37" i="277"/>
  <c r="AI40" i="277" s="1"/>
  <c r="AI42" i="277" s="1"/>
  <c r="AI43" i="277" s="1"/>
  <c r="AI44" i="277" s="1"/>
  <c r="AI46" i="277" s="1"/>
  <c r="AI37" i="271"/>
  <c r="AI40" i="271" s="1"/>
  <c r="AI42" i="271" s="1"/>
  <c r="AI43" i="271" s="1"/>
  <c r="AI44" i="271" s="1"/>
  <c r="AI46" i="271" s="1"/>
  <c r="AI37" i="308"/>
  <c r="AI40" i="308" s="1"/>
  <c r="AI42" i="308" s="1"/>
  <c r="AI43" i="308" s="1"/>
  <c r="AI44" i="308" s="1"/>
  <c r="AI46" i="308" s="1"/>
  <c r="AI37" i="305"/>
  <c r="AI40" i="305" s="1"/>
  <c r="AI42" i="305" s="1"/>
  <c r="AI43" i="305" s="1"/>
  <c r="AI44" i="305" s="1"/>
  <c r="AI46" i="305" s="1"/>
  <c r="AI37" i="302"/>
  <c r="AI40" i="302" s="1"/>
  <c r="AI42" i="302" s="1"/>
  <c r="AI43" i="302" s="1"/>
  <c r="AI44" i="302" s="1"/>
  <c r="AI46" i="302" s="1"/>
  <c r="AI48" i="302" s="1"/>
  <c r="AF39" i="303"/>
  <c r="AF19" i="303"/>
  <c r="AF170" i="303"/>
  <c r="AE39" i="272"/>
  <c r="AE19" i="272"/>
  <c r="AE41" i="272"/>
  <c r="AE21" i="272"/>
  <c r="AF40" i="272"/>
  <c r="AF20" i="272"/>
  <c r="AE40" i="272"/>
  <c r="AE20" i="272"/>
  <c r="AI29" i="272"/>
  <c r="AI33" i="272" s="1"/>
  <c r="AI27" i="272"/>
  <c r="AI28" i="272"/>
  <c r="AI32" i="272" s="1"/>
  <c r="AD40" i="272"/>
  <c r="AD20" i="272"/>
  <c r="AD39" i="272"/>
  <c r="AD19" i="272"/>
  <c r="AF39" i="306"/>
  <c r="AF19" i="306"/>
  <c r="AF40" i="306"/>
  <c r="AF20" i="306"/>
  <c r="AG41" i="306"/>
  <c r="AG21" i="306"/>
  <c r="AG19" i="310"/>
  <c r="AG41" i="310"/>
  <c r="AG21" i="310"/>
  <c r="AF40" i="310"/>
  <c r="AF20" i="310"/>
  <c r="AF39" i="310"/>
  <c r="AF19" i="310"/>
  <c r="AG40" i="310"/>
  <c r="AG20" i="310"/>
  <c r="AE39" i="278"/>
  <c r="AE19" i="278"/>
  <c r="AE41" i="278"/>
  <c r="AE21" i="278"/>
  <c r="AD41" i="278"/>
  <c r="AD21" i="278"/>
  <c r="AD40" i="278"/>
  <c r="AD20" i="278"/>
  <c r="AI27" i="278"/>
  <c r="AI28" i="278"/>
  <c r="AI32" i="278" s="1"/>
  <c r="AI29" i="278"/>
  <c r="AI33" i="278" s="1"/>
  <c r="AF40" i="278"/>
  <c r="AF20" i="278"/>
  <c r="AE40" i="278"/>
  <c r="AE20" i="278"/>
  <c r="AD41" i="269"/>
  <c r="AD21" i="269"/>
  <c r="AE41" i="269"/>
  <c r="AE21" i="269"/>
  <c r="AH9" i="269"/>
  <c r="AG31" i="269"/>
  <c r="AG35" i="269" s="1"/>
  <c r="AH9" i="278"/>
  <c r="AG31" i="278"/>
  <c r="AG35" i="278" s="1"/>
  <c r="AH9" i="272"/>
  <c r="AG31" i="272"/>
  <c r="AG35" i="272" s="1"/>
  <c r="AK11" i="269"/>
  <c r="AL11" i="269" s="1"/>
  <c r="AK10" i="269"/>
  <c r="AL10" i="269" s="1"/>
  <c r="AE204" i="306"/>
  <c r="AF202" i="303"/>
  <c r="AG24" i="307"/>
  <c r="AG16" i="306" s="1"/>
  <c r="AG55" i="304"/>
  <c r="AG22" i="304" s="1"/>
  <c r="AG17" i="303" s="1"/>
  <c r="AG159" i="303"/>
  <c r="AG166" i="303" s="1"/>
  <c r="AG170" i="303" s="1"/>
  <c r="AG114" i="303"/>
  <c r="AH47" i="270"/>
  <c r="AH63" i="304"/>
  <c r="AH66" i="304" s="1"/>
  <c r="AH67" i="304" s="1"/>
  <c r="AH72" i="304" s="1"/>
  <c r="AG33" i="302"/>
  <c r="AG173" i="303" s="1"/>
  <c r="AF83" i="303"/>
  <c r="AH60" i="273"/>
  <c r="AH63" i="273" s="1"/>
  <c r="AH66" i="273" s="1"/>
  <c r="AH67" i="273" s="1"/>
  <c r="AH72" i="273" s="1"/>
  <c r="AH29" i="309"/>
  <c r="AH55" i="309" s="1"/>
  <c r="AH22" i="309" s="1"/>
  <c r="AH24" i="309" s="1"/>
  <c r="AH16" i="310" s="1"/>
  <c r="AI14" i="277"/>
  <c r="AI16" i="277" s="1"/>
  <c r="AI17" i="277" s="1"/>
  <c r="AI18" i="277" s="1"/>
  <c r="AI20" i="277" s="1"/>
  <c r="AI16" i="279"/>
  <c r="AI59" i="279" s="1"/>
  <c r="AI14" i="271"/>
  <c r="AI16" i="271" s="1"/>
  <c r="AI17" i="271" s="1"/>
  <c r="AI18" i="271" s="1"/>
  <c r="AI20" i="271" s="1"/>
  <c r="AI16" i="273"/>
  <c r="AI59" i="273" s="1"/>
  <c r="AF17" i="269"/>
  <c r="AF24" i="270"/>
  <c r="AF16" i="269" s="1"/>
  <c r="AH29" i="304"/>
  <c r="AI14" i="268"/>
  <c r="AI16" i="268" s="1"/>
  <c r="AI16" i="270"/>
  <c r="AI59" i="270" s="1"/>
  <c r="AG70" i="303"/>
  <c r="AG74" i="303" s="1"/>
  <c r="AI13" i="304"/>
  <c r="AH40" i="304"/>
  <c r="AH31" i="304"/>
  <c r="AG181" i="303"/>
  <c r="AG185" i="303" s="1"/>
  <c r="AG57" i="303"/>
  <c r="AG64" i="303" s="1"/>
  <c r="AE52" i="260"/>
  <c r="AF52" i="260"/>
  <c r="AG52" i="260"/>
  <c r="AH52" i="260"/>
  <c r="AK52" i="260"/>
  <c r="AG71" i="303"/>
  <c r="AG75" i="303" s="1"/>
  <c r="AG182" i="303"/>
  <c r="AG186" i="303" s="1"/>
  <c r="AH49" i="302"/>
  <c r="AH182" i="303" s="1"/>
  <c r="AH186" i="303" s="1"/>
  <c r="AH47" i="304"/>
  <c r="AH27" i="305"/>
  <c r="AH161" i="306" s="1"/>
  <c r="AH168" i="306" s="1"/>
  <c r="AG23" i="307"/>
  <c r="AG15" i="306" s="1"/>
  <c r="AF66" i="306"/>
  <c r="AB23" i="303"/>
  <c r="AB43" i="303" s="1"/>
  <c r="AH50" i="302"/>
  <c r="AH183" i="303" s="1"/>
  <c r="AH187" i="303" s="1"/>
  <c r="AH26" i="302"/>
  <c r="AH33" i="302" s="1"/>
  <c r="AH173" i="303" s="1"/>
  <c r="AH25" i="302"/>
  <c r="AH32" i="302" s="1"/>
  <c r="AH172" i="303" s="1"/>
  <c r="AH55" i="306"/>
  <c r="AH62" i="306" s="1"/>
  <c r="AJ1" i="304"/>
  <c r="AJ27" i="304" s="1"/>
  <c r="AJ1" i="309"/>
  <c r="AJ1" i="307"/>
  <c r="AI21" i="304"/>
  <c r="AH161" i="310"/>
  <c r="AH168" i="310" s="1"/>
  <c r="AH57" i="310"/>
  <c r="AH64" i="310" s="1"/>
  <c r="AH114" i="310"/>
  <c r="AI13" i="307"/>
  <c r="AI21" i="307"/>
  <c r="AI27" i="307"/>
  <c r="AH159" i="306"/>
  <c r="AH166" i="306" s="1"/>
  <c r="AH66" i="307"/>
  <c r="AH67" i="307" s="1"/>
  <c r="AH72" i="307" s="1"/>
  <c r="AI13" i="309"/>
  <c r="AI27" i="309"/>
  <c r="AI21" i="309"/>
  <c r="AG112" i="306"/>
  <c r="AG55" i="306"/>
  <c r="AG62" i="306" s="1"/>
  <c r="AG159" i="306"/>
  <c r="AG166" i="306" s="1"/>
  <c r="AG32" i="305"/>
  <c r="AG172" i="306" s="1"/>
  <c r="AH112" i="306"/>
  <c r="AG189" i="310"/>
  <c r="AG196" i="310" s="1"/>
  <c r="AG33" i="305"/>
  <c r="AG173" i="306" s="1"/>
  <c r="AG201" i="306" s="1"/>
  <c r="AG113" i="306"/>
  <c r="AG160" i="306"/>
  <c r="AG167" i="306" s="1"/>
  <c r="AG56" i="306"/>
  <c r="AG63" i="306" s="1"/>
  <c r="AJ60" i="309"/>
  <c r="AH26" i="305"/>
  <c r="AH160" i="306" s="1"/>
  <c r="AH167" i="306" s="1"/>
  <c r="AH47" i="307"/>
  <c r="AH38" i="307"/>
  <c r="AH29" i="307"/>
  <c r="AH55" i="307" s="1"/>
  <c r="AH22" i="307" s="1"/>
  <c r="AH17" i="306" s="1"/>
  <c r="AG57" i="306"/>
  <c r="AG64" i="306" s="1"/>
  <c r="AG114" i="306"/>
  <c r="AG161" i="306"/>
  <c r="AG168" i="306" s="1"/>
  <c r="AF170" i="306"/>
  <c r="AF82" i="310"/>
  <c r="AF66" i="310"/>
  <c r="AD23" i="306"/>
  <c r="AD43" i="306" s="1"/>
  <c r="AF200" i="306"/>
  <c r="AF175" i="306"/>
  <c r="AG200" i="310"/>
  <c r="AI14" i="305"/>
  <c r="AI16" i="305" s="1"/>
  <c r="AI17" i="305" s="1"/>
  <c r="AI18" i="305" s="1"/>
  <c r="AI20" i="305" s="1"/>
  <c r="AI26" i="305" s="1"/>
  <c r="AI160" i="306" s="1"/>
  <c r="AI167" i="306" s="1"/>
  <c r="AI60" i="307"/>
  <c r="AI63" i="307" s="1"/>
  <c r="AE23" i="306"/>
  <c r="AE43" i="306" s="1"/>
  <c r="AG182" i="306"/>
  <c r="AG186" i="306" s="1"/>
  <c r="AG127" i="306"/>
  <c r="AG71" i="306"/>
  <c r="AG75" i="306" s="1"/>
  <c r="AG70" i="306"/>
  <c r="AG74" i="306" s="1"/>
  <c r="AG126" i="306"/>
  <c r="AG181" i="306"/>
  <c r="AG185" i="306" s="1"/>
  <c r="AF189" i="306"/>
  <c r="AF196" i="306" s="1"/>
  <c r="AF202" i="306"/>
  <c r="AG183" i="306"/>
  <c r="AG187" i="306" s="1"/>
  <c r="AG72" i="306"/>
  <c r="AG128" i="306"/>
  <c r="AE78" i="306"/>
  <c r="AE85" i="306" s="1"/>
  <c r="AE82" i="306"/>
  <c r="AB175" i="303"/>
  <c r="AB177" i="303" s="1"/>
  <c r="AB204" i="303" s="1"/>
  <c r="AF76" i="306"/>
  <c r="AF83" i="306"/>
  <c r="AC172" i="269"/>
  <c r="AC200" i="269" s="1"/>
  <c r="AJ10" i="305"/>
  <c r="AE16" i="269"/>
  <c r="AI60" i="304"/>
  <c r="AI14" i="302"/>
  <c r="AI16" i="302" s="1"/>
  <c r="AI17" i="302" s="1"/>
  <c r="AI18" i="302" s="1"/>
  <c r="AI20" i="302" s="1"/>
  <c r="AI25" i="302" s="1"/>
  <c r="AF15" i="269"/>
  <c r="AD16" i="269"/>
  <c r="AD173" i="269"/>
  <c r="AD201" i="269" s="1"/>
  <c r="AD201" i="303"/>
  <c r="AD15" i="269"/>
  <c r="AC173" i="269"/>
  <c r="AC201" i="269" s="1"/>
  <c r="AC201" i="303"/>
  <c r="AE15" i="269"/>
  <c r="AH50" i="305"/>
  <c r="AH48" i="305"/>
  <c r="AH49" i="305"/>
  <c r="AH161" i="303"/>
  <c r="AH168" i="303" s="1"/>
  <c r="AH114" i="303"/>
  <c r="AH57" i="303"/>
  <c r="AH64" i="303" s="1"/>
  <c r="AF82" i="303"/>
  <c r="AF66" i="303"/>
  <c r="AH126" i="303"/>
  <c r="AH181" i="303"/>
  <c r="AH185" i="303" s="1"/>
  <c r="AH70" i="303"/>
  <c r="AH74" i="303" s="1"/>
  <c r="AG47" i="279"/>
  <c r="AG29" i="279"/>
  <c r="AG55" i="279" s="1"/>
  <c r="AG22" i="279" s="1"/>
  <c r="AG17" i="278" s="1"/>
  <c r="AG47" i="273"/>
  <c r="AH63" i="270"/>
  <c r="AH66" i="270" s="1"/>
  <c r="AH67" i="270" s="1"/>
  <c r="AH72" i="270" s="1"/>
  <c r="AG29" i="273"/>
  <c r="AG55" i="273" s="1"/>
  <c r="AG22" i="273" s="1"/>
  <c r="AG17" i="272" s="1"/>
  <c r="AH47" i="279"/>
  <c r="AH60" i="279"/>
  <c r="AH63" i="279" s="1"/>
  <c r="AF23" i="273"/>
  <c r="AF15" i="272" s="1"/>
  <c r="AK53" i="267"/>
  <c r="AI37" i="268"/>
  <c r="AI40" i="268" s="1"/>
  <c r="AI42" i="268" s="1"/>
  <c r="AI43" i="268" s="1"/>
  <c r="AI44" i="268" s="1"/>
  <c r="AI46" i="268" s="1"/>
  <c r="AF17" i="272"/>
  <c r="AI13" i="273"/>
  <c r="AI27" i="273"/>
  <c r="AI21" i="273"/>
  <c r="AI13" i="270"/>
  <c r="AI27" i="270"/>
  <c r="AI21" i="270"/>
  <c r="AJ1" i="273"/>
  <c r="AM2" i="267"/>
  <c r="AJ3" i="272"/>
  <c r="AL51" i="267"/>
  <c r="AJ1" i="270"/>
  <c r="AJ3" i="278"/>
  <c r="AJ1" i="279"/>
  <c r="AL56" i="267"/>
  <c r="AI13" i="279"/>
  <c r="AI21" i="279"/>
  <c r="AI27" i="279"/>
  <c r="AD85" i="272"/>
  <c r="AJ10" i="271"/>
  <c r="AJ15" i="273" s="1"/>
  <c r="AF17" i="278"/>
  <c r="AF23" i="279"/>
  <c r="AF15" i="278" s="1"/>
  <c r="AK52" i="268"/>
  <c r="AK191" i="269" s="1"/>
  <c r="AK53" i="268"/>
  <c r="AK192" i="269" s="1"/>
  <c r="AH2" i="264"/>
  <c r="AH17" i="264" s="1"/>
  <c r="AI52" i="260"/>
  <c r="AG32" i="277"/>
  <c r="AG172" i="278" s="1"/>
  <c r="AG55" i="278"/>
  <c r="AG159" i="278"/>
  <c r="AG112" i="278"/>
  <c r="AG33" i="277"/>
  <c r="AG173" i="278" s="1"/>
  <c r="AG160" i="278"/>
  <c r="AG56" i="278"/>
  <c r="AG113" i="278"/>
  <c r="AG161" i="278"/>
  <c r="AG114" i="278"/>
  <c r="AG57" i="278"/>
  <c r="AG181" i="278"/>
  <c r="AG185" i="278" s="1"/>
  <c r="AG126" i="278"/>
  <c r="AG70" i="278"/>
  <c r="AG74" i="278" s="1"/>
  <c r="AG182" i="278"/>
  <c r="AG186" i="278" s="1"/>
  <c r="AG127" i="278"/>
  <c r="AG71" i="278"/>
  <c r="AG75" i="278" s="1"/>
  <c r="AG183" i="278"/>
  <c r="AG187" i="278" s="1"/>
  <c r="AG128" i="278"/>
  <c r="AG72" i="278"/>
  <c r="AG76" i="278" s="1"/>
  <c r="AD85" i="278"/>
  <c r="AH49" i="277"/>
  <c r="AH50" i="277"/>
  <c r="AH48" i="277"/>
  <c r="AH26" i="277"/>
  <c r="AH25" i="277"/>
  <c r="AH27" i="277"/>
  <c r="AH27" i="271"/>
  <c r="AH26" i="271"/>
  <c r="AH25" i="271"/>
  <c r="AH50" i="271"/>
  <c r="AH49" i="271"/>
  <c r="AH48" i="271"/>
  <c r="AG71" i="272"/>
  <c r="AG75" i="272" s="1"/>
  <c r="AG127" i="272"/>
  <c r="AG182" i="272"/>
  <c r="AG186" i="272" s="1"/>
  <c r="AG72" i="272"/>
  <c r="AG76" i="272" s="1"/>
  <c r="AG128" i="272"/>
  <c r="AG183" i="272"/>
  <c r="AG187" i="272" s="1"/>
  <c r="AG70" i="272"/>
  <c r="AG126" i="272"/>
  <c r="AG181" i="272"/>
  <c r="AG32" i="271"/>
  <c r="AG172" i="272" s="1"/>
  <c r="AG159" i="272"/>
  <c r="AG55" i="272"/>
  <c r="AG112" i="272"/>
  <c r="AG160" i="272"/>
  <c r="AG56" i="272"/>
  <c r="AG113" i="272"/>
  <c r="AG33" i="271"/>
  <c r="AG173" i="272" s="1"/>
  <c r="AG161" i="272"/>
  <c r="AG57" i="272"/>
  <c r="AG114" i="272"/>
  <c r="AH38" i="273"/>
  <c r="AH47" i="273"/>
  <c r="AG181" i="269"/>
  <c r="AG185" i="269" s="1"/>
  <c r="AG189" i="269" s="1"/>
  <c r="AH29" i="270"/>
  <c r="AF78" i="272"/>
  <c r="AH38" i="270"/>
  <c r="AI14" i="279"/>
  <c r="AI14" i="273"/>
  <c r="AC170" i="269"/>
  <c r="AG70" i="269"/>
  <c r="AG74" i="269" s="1"/>
  <c r="AF187" i="272"/>
  <c r="AI14" i="270"/>
  <c r="AI60" i="270"/>
  <c r="AG127" i="269"/>
  <c r="AG131" i="269" s="1"/>
  <c r="AG71" i="269"/>
  <c r="AG75" i="269" s="1"/>
  <c r="AF201" i="278"/>
  <c r="AF186" i="272"/>
  <c r="AC66" i="269"/>
  <c r="AF166" i="272"/>
  <c r="AH49" i="268"/>
  <c r="AF76" i="278"/>
  <c r="AF187" i="278"/>
  <c r="AF75" i="278"/>
  <c r="AF186" i="278"/>
  <c r="AF201" i="272"/>
  <c r="AF168" i="272"/>
  <c r="AF167" i="278"/>
  <c r="AF63" i="278"/>
  <c r="AF62" i="272"/>
  <c r="AF200" i="272"/>
  <c r="AE83" i="278"/>
  <c r="AF62" i="278"/>
  <c r="AF166" i="278"/>
  <c r="AJ6" i="268"/>
  <c r="AJ6" i="271"/>
  <c r="AE202" i="278"/>
  <c r="AE66" i="278"/>
  <c r="AJ53" i="268"/>
  <c r="AJ192" i="269" s="1"/>
  <c r="AJ52" i="268"/>
  <c r="AJ191" i="269" s="1"/>
  <c r="AG55" i="270"/>
  <c r="AG22" i="270" s="1"/>
  <c r="AE170" i="278"/>
  <c r="AH25" i="268"/>
  <c r="AD112" i="269"/>
  <c r="AD32" i="268"/>
  <c r="AD55" i="269"/>
  <c r="AD62" i="269" s="1"/>
  <c r="AF161" i="269"/>
  <c r="AF168" i="269" s="1"/>
  <c r="AF114" i="269"/>
  <c r="AF57" i="269"/>
  <c r="AF64" i="269" s="1"/>
  <c r="AE200" i="278"/>
  <c r="AF32" i="268"/>
  <c r="AF112" i="269"/>
  <c r="AF55" i="269"/>
  <c r="AF159" i="269"/>
  <c r="AF166" i="269" s="1"/>
  <c r="AF160" i="269"/>
  <c r="AF167" i="269" s="1"/>
  <c r="AF113" i="269"/>
  <c r="AF56" i="269"/>
  <c r="AF63" i="269" s="1"/>
  <c r="AF33" i="268"/>
  <c r="AH40" i="270"/>
  <c r="AH31" i="270"/>
  <c r="AH40" i="273"/>
  <c r="AH31" i="273"/>
  <c r="AF200" i="278"/>
  <c r="AE66" i="272"/>
  <c r="AE200" i="272"/>
  <c r="AH31" i="279"/>
  <c r="AH40" i="279"/>
  <c r="AF189" i="269"/>
  <c r="AE170" i="272"/>
  <c r="AG26" i="268"/>
  <c r="AG27" i="268"/>
  <c r="AG25" i="268"/>
  <c r="AF78" i="269"/>
  <c r="AD160" i="269"/>
  <c r="AD167" i="269" s="1"/>
  <c r="AD170" i="269" s="1"/>
  <c r="AD56" i="269"/>
  <c r="AD63" i="269" s="1"/>
  <c r="AE202" i="272"/>
  <c r="AE78" i="278"/>
  <c r="AE82" i="278"/>
  <c r="AE189" i="272"/>
  <c r="AE74" i="272"/>
  <c r="AE83" i="272"/>
  <c r="AD113" i="269"/>
  <c r="AE26" i="268"/>
  <c r="AE160" i="269" s="1"/>
  <c r="AE167" i="269" s="1"/>
  <c r="AE27" i="268"/>
  <c r="AC23" i="269"/>
  <c r="AC43" i="269" s="1"/>
  <c r="AE159" i="269"/>
  <c r="AE166" i="269" s="1"/>
  <c r="AE112" i="269"/>
  <c r="AE55" i="269"/>
  <c r="AE62" i="269" s="1"/>
  <c r="AE32" i="268"/>
  <c r="C96" i="260"/>
  <c r="C95" i="260"/>
  <c r="B50" i="260"/>
  <c r="B67" i="260" s="1"/>
  <c r="B84" i="260" s="1"/>
  <c r="G8" i="261"/>
  <c r="B47" i="260"/>
  <c r="B64" i="260" s="1"/>
  <c r="B81" i="260" s="1"/>
  <c r="B48" i="260"/>
  <c r="B65" i="260" s="1"/>
  <c r="B82" i="260" s="1"/>
  <c r="B46" i="260"/>
  <c r="B63" i="260" s="1"/>
  <c r="B80" i="260" s="1"/>
  <c r="B45" i="260"/>
  <c r="B62" i="260" s="1"/>
  <c r="B79" i="260" s="1"/>
  <c r="B44" i="260"/>
  <c r="B61" i="260" s="1"/>
  <c r="B78" i="260" s="1"/>
  <c r="B43" i="260"/>
  <c r="B60" i="260" s="1"/>
  <c r="B77" i="260" s="1"/>
  <c r="C15" i="260"/>
  <c r="C9" i="260"/>
  <c r="C4" i="260"/>
  <c r="A75" i="260" s="1"/>
  <c r="C3" i="260"/>
  <c r="A58" i="260" s="1"/>
  <c r="AH48" i="324" l="1"/>
  <c r="AH50" i="327"/>
  <c r="AH49" i="324"/>
  <c r="AH48" i="327"/>
  <c r="AH52" i="327" s="1"/>
  <c r="AH191" i="329" s="1"/>
  <c r="AH200" i="329" s="1"/>
  <c r="AM11" i="267"/>
  <c r="AK6" i="308" s="1"/>
  <c r="AK14" i="309" s="1"/>
  <c r="AM12" i="267"/>
  <c r="AM7" i="267"/>
  <c r="AM8" i="267"/>
  <c r="AM10" i="267"/>
  <c r="AM9" i="267"/>
  <c r="AH101" i="316"/>
  <c r="AG129" i="314"/>
  <c r="AG130" i="314" s="1"/>
  <c r="AG135" i="314" s="1"/>
  <c r="AL107" i="269"/>
  <c r="AL101" i="269"/>
  <c r="AL102" i="269"/>
  <c r="AL103" i="269"/>
  <c r="AL100" i="269"/>
  <c r="AL98" i="269"/>
  <c r="AL92" i="269"/>
  <c r="AL97" i="269"/>
  <c r="AL93" i="269"/>
  <c r="AL96" i="269"/>
  <c r="AL91" i="269"/>
  <c r="AL150" i="269"/>
  <c r="AL95" i="269"/>
  <c r="AL108" i="269"/>
  <c r="AL29" i="269"/>
  <c r="AL33" i="269" s="1"/>
  <c r="AL90" i="269"/>
  <c r="AL106" i="269"/>
  <c r="AL27" i="269"/>
  <c r="AL105" i="269"/>
  <c r="AL28" i="269"/>
  <c r="AL32" i="269" s="1"/>
  <c r="AL151" i="269"/>
  <c r="AJ10" i="268"/>
  <c r="AJ15" i="270" s="1"/>
  <c r="AI27" i="312"/>
  <c r="AJ10" i="327"/>
  <c r="AJ14" i="327" s="1"/>
  <c r="AJ16" i="327" s="1"/>
  <c r="AJ17" i="327" s="1"/>
  <c r="AJ18" i="327" s="1"/>
  <c r="AJ20" i="327" s="1"/>
  <c r="AJ27" i="327" s="1"/>
  <c r="AG66" i="313"/>
  <c r="AG118" i="329"/>
  <c r="AJ10" i="277"/>
  <c r="AM45" i="267"/>
  <c r="AM30" i="267"/>
  <c r="AM44" i="267"/>
  <c r="AM46" i="267" s="1"/>
  <c r="AM40" i="267"/>
  <c r="AM29" i="267"/>
  <c r="AM31" i="267" s="1"/>
  <c r="AM39" i="267"/>
  <c r="AM41" i="267" s="1"/>
  <c r="AI41" i="316"/>
  <c r="AI32" i="316"/>
  <c r="AJ11" i="315"/>
  <c r="AJ18" i="316" s="1"/>
  <c r="AJ11" i="312"/>
  <c r="AJ18" i="314" s="1"/>
  <c r="AJ11" i="318"/>
  <c r="AJ18" i="319" s="1"/>
  <c r="AI40" i="309"/>
  <c r="AI31" i="309"/>
  <c r="AI55" i="309" s="1"/>
  <c r="AI22" i="309" s="1"/>
  <c r="AJ11" i="277"/>
  <c r="AJ17" i="279" s="1"/>
  <c r="AJ11" i="268"/>
  <c r="AJ17" i="270" s="1"/>
  <c r="AJ11" i="308"/>
  <c r="AJ17" i="309" s="1"/>
  <c r="AJ11" i="302"/>
  <c r="AJ17" i="304" s="1"/>
  <c r="AI32" i="319"/>
  <c r="AI41" i="319"/>
  <c r="E684" i="261"/>
  <c r="E681" i="261"/>
  <c r="E683" i="261"/>
  <c r="E685" i="261"/>
  <c r="E682" i="261"/>
  <c r="AH110" i="322"/>
  <c r="AG119" i="329"/>
  <c r="AG117" i="329"/>
  <c r="AG66" i="329"/>
  <c r="AG86" i="316"/>
  <c r="AG27" i="317" s="1"/>
  <c r="AG31" i="317" s="1"/>
  <c r="AG116" i="329"/>
  <c r="AG86" i="319"/>
  <c r="AG27" i="320" s="1"/>
  <c r="AG31" i="320" s="1"/>
  <c r="AH92" i="319"/>
  <c r="AF131" i="323"/>
  <c r="AH64" i="314"/>
  <c r="AF202" i="323"/>
  <c r="AJ77" i="316"/>
  <c r="AJ15" i="316"/>
  <c r="AJ77" i="325"/>
  <c r="AJ15" i="325"/>
  <c r="AJ77" i="328"/>
  <c r="AJ15" i="328"/>
  <c r="AK6" i="324"/>
  <c r="AK6" i="312"/>
  <c r="AK6" i="327"/>
  <c r="AK6" i="315"/>
  <c r="AK6" i="318"/>
  <c r="AK6" i="302"/>
  <c r="AK6" i="321"/>
  <c r="AK6" i="305"/>
  <c r="AK14" i="307" s="1"/>
  <c r="AJ77" i="319"/>
  <c r="AJ15" i="319"/>
  <c r="AJ77" i="322"/>
  <c r="AJ15" i="322"/>
  <c r="AJ77" i="314"/>
  <c r="AJ15" i="314"/>
  <c r="AJ103" i="320"/>
  <c r="AJ100" i="320"/>
  <c r="AJ101" i="320"/>
  <c r="AJ102" i="320"/>
  <c r="AJ90" i="320"/>
  <c r="AJ91" i="320"/>
  <c r="AJ98" i="320"/>
  <c r="AJ92" i="320"/>
  <c r="AJ93" i="320"/>
  <c r="AJ95" i="320"/>
  <c r="AJ96" i="320"/>
  <c r="AJ97" i="320"/>
  <c r="AJ103" i="329"/>
  <c r="AJ100" i="329"/>
  <c r="AJ102" i="329"/>
  <c r="AJ101" i="329"/>
  <c r="AJ98" i="329"/>
  <c r="AJ92" i="329"/>
  <c r="AJ91" i="329"/>
  <c r="AJ93" i="329"/>
  <c r="AJ90" i="329"/>
  <c r="AJ97" i="329"/>
  <c r="AJ96" i="329"/>
  <c r="AJ95" i="329"/>
  <c r="AJ101" i="272"/>
  <c r="AJ103" i="272"/>
  <c r="AJ100" i="272"/>
  <c r="AJ102" i="272"/>
  <c r="AJ92" i="272"/>
  <c r="AJ91" i="272"/>
  <c r="AJ98" i="272"/>
  <c r="AJ93" i="272"/>
  <c r="AJ90" i="272"/>
  <c r="AJ95" i="272"/>
  <c r="AJ97" i="272"/>
  <c r="AJ96" i="272"/>
  <c r="AJ103" i="317"/>
  <c r="AJ100" i="317"/>
  <c r="AJ101" i="317"/>
  <c r="AJ102" i="317"/>
  <c r="AJ93" i="317"/>
  <c r="AJ90" i="317"/>
  <c r="AJ98" i="317"/>
  <c r="AJ92" i="317"/>
  <c r="AJ91" i="317"/>
  <c r="AJ97" i="317"/>
  <c r="AJ95" i="317"/>
  <c r="AJ96" i="317"/>
  <c r="AJ103" i="326"/>
  <c r="AJ100" i="326"/>
  <c r="AJ102" i="326"/>
  <c r="AJ101" i="326"/>
  <c r="AJ93" i="326"/>
  <c r="AJ90" i="326"/>
  <c r="AJ91" i="326"/>
  <c r="AJ98" i="326"/>
  <c r="AJ92" i="326"/>
  <c r="AJ95" i="326"/>
  <c r="AJ97" i="326"/>
  <c r="AJ96" i="326"/>
  <c r="AH110" i="316"/>
  <c r="AJ101" i="278"/>
  <c r="AJ102" i="278"/>
  <c r="AJ103" i="278"/>
  <c r="AJ100" i="278"/>
  <c r="AJ98" i="278"/>
  <c r="AJ92" i="278"/>
  <c r="AJ93" i="278"/>
  <c r="AJ90" i="278"/>
  <c r="AJ91" i="278"/>
  <c r="AJ95" i="278"/>
  <c r="AJ96" i="278"/>
  <c r="AJ97" i="278"/>
  <c r="AJ103" i="313"/>
  <c r="AJ101" i="313"/>
  <c r="AJ102" i="313"/>
  <c r="AJ100" i="313"/>
  <c r="AJ90" i="313"/>
  <c r="AJ91" i="313"/>
  <c r="AJ93" i="313"/>
  <c r="AJ98" i="313"/>
  <c r="AJ92" i="313"/>
  <c r="AJ96" i="313"/>
  <c r="AJ95" i="313"/>
  <c r="AJ97" i="313"/>
  <c r="AJ103" i="323"/>
  <c r="AJ100" i="323"/>
  <c r="AJ101" i="323"/>
  <c r="AJ102" i="323"/>
  <c r="AJ93" i="323"/>
  <c r="AJ90" i="323"/>
  <c r="AJ98" i="323"/>
  <c r="AJ92" i="323"/>
  <c r="AJ91" i="323"/>
  <c r="AJ96" i="323"/>
  <c r="AJ95" i="323"/>
  <c r="AJ97" i="323"/>
  <c r="AH110" i="328"/>
  <c r="AG131" i="310"/>
  <c r="AF130" i="329"/>
  <c r="AG140" i="329"/>
  <c r="AG130" i="269"/>
  <c r="AF133" i="329"/>
  <c r="AF132" i="329"/>
  <c r="AG130" i="310"/>
  <c r="AF140" i="329"/>
  <c r="AF141" i="329"/>
  <c r="AF141" i="269"/>
  <c r="AF142" i="269"/>
  <c r="AF118" i="269"/>
  <c r="AF143" i="269"/>
  <c r="AF119" i="269"/>
  <c r="AF140" i="269"/>
  <c r="AF117" i="269"/>
  <c r="AF116" i="269"/>
  <c r="AG131" i="278"/>
  <c r="AG132" i="278"/>
  <c r="AG133" i="278"/>
  <c r="AG130" i="278"/>
  <c r="AG131" i="326"/>
  <c r="AG132" i="326"/>
  <c r="AG133" i="326"/>
  <c r="AG130" i="326"/>
  <c r="AG140" i="323"/>
  <c r="AG116" i="323"/>
  <c r="AG141" i="323"/>
  <c r="AG117" i="323"/>
  <c r="AG142" i="323"/>
  <c r="AG118" i="323"/>
  <c r="AG119" i="323"/>
  <c r="AG143" i="323"/>
  <c r="AG143" i="329"/>
  <c r="AF130" i="323"/>
  <c r="AG141" i="278"/>
  <c r="AG117" i="278"/>
  <c r="AG142" i="278"/>
  <c r="AG118" i="278"/>
  <c r="AG143" i="278"/>
  <c r="AG119" i="278"/>
  <c r="AG140" i="278"/>
  <c r="AG116" i="278"/>
  <c r="AG130" i="306"/>
  <c r="AG131" i="306"/>
  <c r="AG133" i="306"/>
  <c r="AG132" i="306"/>
  <c r="AG142" i="306"/>
  <c r="AG143" i="306"/>
  <c r="AG141" i="306"/>
  <c r="AG140" i="306"/>
  <c r="AG116" i="306"/>
  <c r="AG117" i="306"/>
  <c r="AG118" i="306"/>
  <c r="AG119" i="306"/>
  <c r="AG131" i="317"/>
  <c r="AG132" i="317"/>
  <c r="AG133" i="317"/>
  <c r="AG130" i="317"/>
  <c r="AH118" i="329"/>
  <c r="AH119" i="329"/>
  <c r="AH116" i="329"/>
  <c r="AH117" i="329"/>
  <c r="AG141" i="326"/>
  <c r="AG117" i="326"/>
  <c r="AG142" i="326"/>
  <c r="AG118" i="326"/>
  <c r="AG143" i="326"/>
  <c r="AG119" i="326"/>
  <c r="AG140" i="326"/>
  <c r="AG116" i="326"/>
  <c r="AH117" i="313"/>
  <c r="AH118" i="313"/>
  <c r="AH119" i="313"/>
  <c r="AH116" i="313"/>
  <c r="AG141" i="310"/>
  <c r="AG142" i="310"/>
  <c r="AG143" i="310"/>
  <c r="AG116" i="310"/>
  <c r="AG117" i="310"/>
  <c r="AG118" i="310"/>
  <c r="AG119" i="310"/>
  <c r="AG140" i="310"/>
  <c r="AG132" i="310"/>
  <c r="AG133" i="269"/>
  <c r="AF142" i="329"/>
  <c r="AF131" i="329"/>
  <c r="AG142" i="329"/>
  <c r="AF141" i="323"/>
  <c r="AF143" i="323"/>
  <c r="AF133" i="323"/>
  <c r="AF143" i="317"/>
  <c r="AF141" i="317"/>
  <c r="AF132" i="317"/>
  <c r="AG143" i="272"/>
  <c r="AG140" i="272"/>
  <c r="AG141" i="272"/>
  <c r="AG117" i="272"/>
  <c r="AG118" i="272"/>
  <c r="AG119" i="272"/>
  <c r="AG116" i="272"/>
  <c r="AG142" i="272"/>
  <c r="AD119" i="269"/>
  <c r="AD118" i="269"/>
  <c r="AD116" i="269"/>
  <c r="AD117" i="269"/>
  <c r="AG133" i="272"/>
  <c r="AG130" i="272"/>
  <c r="AG131" i="272"/>
  <c r="AG132" i="272"/>
  <c r="AG142" i="303"/>
  <c r="AG118" i="303"/>
  <c r="AG143" i="303"/>
  <c r="AG119" i="303"/>
  <c r="AG140" i="303"/>
  <c r="AG116" i="303"/>
  <c r="AG117" i="303"/>
  <c r="AG141" i="303"/>
  <c r="AG133" i="310"/>
  <c r="AF133" i="317"/>
  <c r="AG140" i="313"/>
  <c r="AG116" i="313"/>
  <c r="AG141" i="313"/>
  <c r="AG117" i="313"/>
  <c r="AG142" i="313"/>
  <c r="AG118" i="313"/>
  <c r="AG119" i="313"/>
  <c r="AG143" i="313"/>
  <c r="AF143" i="329"/>
  <c r="AG132" i="269"/>
  <c r="AF142" i="323"/>
  <c r="AF132" i="323"/>
  <c r="AF131" i="317"/>
  <c r="AG132" i="320"/>
  <c r="AG130" i="320"/>
  <c r="AG131" i="320"/>
  <c r="AG133" i="320"/>
  <c r="AG131" i="329"/>
  <c r="AG132" i="329"/>
  <c r="AG133" i="329"/>
  <c r="AG130" i="329"/>
  <c r="AG130" i="323"/>
  <c r="AG131" i="323"/>
  <c r="AG132" i="323"/>
  <c r="AG133" i="323"/>
  <c r="AG130" i="313"/>
  <c r="AG131" i="313"/>
  <c r="AG132" i="313"/>
  <c r="AG133" i="313"/>
  <c r="AG141" i="317"/>
  <c r="AG117" i="317"/>
  <c r="AG142" i="317"/>
  <c r="AG118" i="317"/>
  <c r="AG143" i="317"/>
  <c r="AG119" i="317"/>
  <c r="AG116" i="317"/>
  <c r="AG140" i="317"/>
  <c r="AG142" i="320"/>
  <c r="AG118" i="320"/>
  <c r="AG143" i="320"/>
  <c r="AG140" i="320"/>
  <c r="AG116" i="320"/>
  <c r="AG141" i="320"/>
  <c r="AG117" i="320"/>
  <c r="AG119" i="320"/>
  <c r="AG141" i="329"/>
  <c r="AF140" i="323"/>
  <c r="AF142" i="317"/>
  <c r="AF140" i="317"/>
  <c r="AH92" i="325"/>
  <c r="AH101" i="328"/>
  <c r="AH92" i="322"/>
  <c r="AH110" i="319"/>
  <c r="AF83" i="323"/>
  <c r="AJ107" i="272"/>
  <c r="AJ105" i="272"/>
  <c r="AJ108" i="272"/>
  <c r="AJ106" i="272"/>
  <c r="AJ108" i="329"/>
  <c r="AJ106" i="329"/>
  <c r="AJ107" i="329"/>
  <c r="AJ105" i="329"/>
  <c r="AJ108" i="278"/>
  <c r="AJ107" i="278"/>
  <c r="AJ105" i="278"/>
  <c r="AJ106" i="278"/>
  <c r="AJ108" i="317"/>
  <c r="AJ107" i="317"/>
  <c r="AJ106" i="317"/>
  <c r="AJ105" i="317"/>
  <c r="AJ107" i="326"/>
  <c r="AJ108" i="326"/>
  <c r="AJ106" i="326"/>
  <c r="AJ105" i="326"/>
  <c r="AJ108" i="313"/>
  <c r="AJ107" i="313"/>
  <c r="AJ105" i="313"/>
  <c r="AJ106" i="313"/>
  <c r="AJ108" i="323"/>
  <c r="AJ107" i="323"/>
  <c r="AJ106" i="323"/>
  <c r="AJ105" i="323"/>
  <c r="AJ108" i="320"/>
  <c r="AJ107" i="320"/>
  <c r="AJ106" i="320"/>
  <c r="AJ105" i="320"/>
  <c r="AE43" i="323"/>
  <c r="AF83" i="317"/>
  <c r="H724" i="261"/>
  <c r="AM67" i="267"/>
  <c r="AI40" i="312"/>
  <c r="AI42" i="312" s="1"/>
  <c r="AI43" i="312" s="1"/>
  <c r="AI44" i="312" s="1"/>
  <c r="AI46" i="312" s="1"/>
  <c r="AI49" i="312" s="1"/>
  <c r="AI78" i="314"/>
  <c r="AI79" i="314"/>
  <c r="AJ16" i="328"/>
  <c r="AJ17" i="328"/>
  <c r="AI78" i="322"/>
  <c r="AI92" i="322" s="1"/>
  <c r="AI79" i="322"/>
  <c r="AI78" i="319"/>
  <c r="AI79" i="319"/>
  <c r="AI78" i="325"/>
  <c r="AI101" i="325" s="1"/>
  <c r="AI79" i="325"/>
  <c r="E687" i="261"/>
  <c r="AI78" i="316"/>
  <c r="AI110" i="316" s="1"/>
  <c r="AI79" i="316"/>
  <c r="AI78" i="328"/>
  <c r="AI101" i="328" s="1"/>
  <c r="AI79" i="328"/>
  <c r="AI60" i="314"/>
  <c r="AF196" i="329"/>
  <c r="AF204" i="329" s="1"/>
  <c r="AF40" i="320"/>
  <c r="AF202" i="329"/>
  <c r="AF35" i="329"/>
  <c r="AF202" i="317"/>
  <c r="AG78" i="310"/>
  <c r="AF83" i="329"/>
  <c r="AF201" i="329"/>
  <c r="AF189" i="317"/>
  <c r="AF196" i="317" s="1"/>
  <c r="AF35" i="320"/>
  <c r="AG41" i="317"/>
  <c r="AF35" i="326"/>
  <c r="AF40" i="323"/>
  <c r="AF39" i="320"/>
  <c r="AF40" i="326"/>
  <c r="AF39" i="323"/>
  <c r="AI40" i="315"/>
  <c r="AI42" i="315" s="1"/>
  <c r="AI43" i="315" s="1"/>
  <c r="AI44" i="315" s="1"/>
  <c r="AI46" i="315" s="1"/>
  <c r="AI50" i="315" s="1"/>
  <c r="AF32" i="317"/>
  <c r="AF40" i="317"/>
  <c r="AJ17" i="316"/>
  <c r="AJ16" i="316"/>
  <c r="AJ17" i="314"/>
  <c r="AJ122" i="314" s="1"/>
  <c r="AJ16" i="314"/>
  <c r="AJ15" i="279"/>
  <c r="AJ16" i="309"/>
  <c r="AJ59" i="309" s="1"/>
  <c r="AJ15" i="309"/>
  <c r="AJ16" i="307"/>
  <c r="AJ59" i="307" s="1"/>
  <c r="AJ15" i="307"/>
  <c r="AJ16" i="304"/>
  <c r="AJ15" i="304"/>
  <c r="AG41" i="320"/>
  <c r="AJ32" i="328"/>
  <c r="AJ41" i="328"/>
  <c r="AJ90" i="325"/>
  <c r="AJ84" i="325"/>
  <c r="AJ22" i="325"/>
  <c r="AJ76" i="325"/>
  <c r="AJ28" i="325"/>
  <c r="AI122" i="328"/>
  <c r="AI60" i="328"/>
  <c r="G724" i="261"/>
  <c r="AI103" i="325"/>
  <c r="AI94" i="325"/>
  <c r="AH118" i="316"/>
  <c r="AH85" i="316" s="1"/>
  <c r="AG29" i="323"/>
  <c r="AG86" i="322"/>
  <c r="AG27" i="323" s="1"/>
  <c r="AG31" i="323" s="1"/>
  <c r="AJ76" i="316"/>
  <c r="AJ90" i="316"/>
  <c r="AJ28" i="316"/>
  <c r="AJ84" i="316"/>
  <c r="AJ22" i="316"/>
  <c r="AI122" i="325"/>
  <c r="AI60" i="325"/>
  <c r="I725" i="261"/>
  <c r="AI103" i="328"/>
  <c r="AI94" i="328"/>
  <c r="AG67" i="322"/>
  <c r="AG68" i="322" s="1"/>
  <c r="AG73" i="322" s="1"/>
  <c r="AG25" i="322" s="1"/>
  <c r="AG16" i="323" s="1"/>
  <c r="AG20" i="323" s="1"/>
  <c r="AG129" i="322"/>
  <c r="AG130" i="322" s="1"/>
  <c r="AG135" i="322" s="1"/>
  <c r="AG87" i="322" s="1"/>
  <c r="AG28" i="323" s="1"/>
  <c r="AG24" i="322"/>
  <c r="AG15" i="323" s="1"/>
  <c r="AG19" i="323" s="1"/>
  <c r="AH118" i="328"/>
  <c r="AH85" i="328" s="1"/>
  <c r="G726" i="261"/>
  <c r="AI48" i="316"/>
  <c r="AI39" i="316"/>
  <c r="AI30" i="316"/>
  <c r="AI56" i="316" s="1"/>
  <c r="AI23" i="316" s="1"/>
  <c r="AI17" i="317" s="1"/>
  <c r="AI21" i="317" s="1"/>
  <c r="AI122" i="316"/>
  <c r="AI60" i="316"/>
  <c r="AH30" i="328"/>
  <c r="AH48" i="328"/>
  <c r="AH39" i="328"/>
  <c r="AH56" i="328" s="1"/>
  <c r="AH23" i="328" s="1"/>
  <c r="D727" i="261"/>
  <c r="AK11" i="327"/>
  <c r="AK18" i="328" s="1"/>
  <c r="AK11" i="321"/>
  <c r="AK18" i="322" s="1"/>
  <c r="AK11" i="324"/>
  <c r="AK18" i="325" s="1"/>
  <c r="AJ38" i="327"/>
  <c r="AJ80" i="328" s="1"/>
  <c r="AJ38" i="324"/>
  <c r="AJ80" i="325" s="1"/>
  <c r="AJ38" i="321"/>
  <c r="AJ80" i="322" s="1"/>
  <c r="D724" i="261"/>
  <c r="H725" i="261"/>
  <c r="AI48" i="322"/>
  <c r="AI30" i="322"/>
  <c r="AI39" i="322"/>
  <c r="AI56" i="322" s="1"/>
  <c r="AI23" i="322" s="1"/>
  <c r="AI17" i="323" s="1"/>
  <c r="AI21" i="323" s="1"/>
  <c r="AH48" i="325"/>
  <c r="AH39" i="325"/>
  <c r="AH56" i="325" s="1"/>
  <c r="AH23" i="325" s="1"/>
  <c r="AH30" i="325"/>
  <c r="AI60" i="322"/>
  <c r="AI122" i="322"/>
  <c r="AH126" i="322"/>
  <c r="AH64" i="322"/>
  <c r="AJ37" i="324"/>
  <c r="AJ40" i="324" s="1"/>
  <c r="AJ42" i="324" s="1"/>
  <c r="AJ43" i="324" s="1"/>
  <c r="AJ44" i="324" s="1"/>
  <c r="AJ46" i="324" s="1"/>
  <c r="AJ37" i="321"/>
  <c r="AJ37" i="327"/>
  <c r="AL68" i="267"/>
  <c r="I724" i="261"/>
  <c r="AG29" i="329"/>
  <c r="AG33" i="329" s="1"/>
  <c r="AG86" i="328"/>
  <c r="AG27" i="329" s="1"/>
  <c r="AG31" i="329" s="1"/>
  <c r="AK10" i="321"/>
  <c r="AK16" i="322" s="1"/>
  <c r="AK10" i="324"/>
  <c r="AK16" i="325" s="1"/>
  <c r="AK10" i="327"/>
  <c r="AK14" i="327" s="1"/>
  <c r="AK16" i="327" s="1"/>
  <c r="AK17" i="327" s="1"/>
  <c r="AK18" i="327" s="1"/>
  <c r="AK20" i="327" s="1"/>
  <c r="AG129" i="319"/>
  <c r="AG130" i="319" s="1"/>
  <c r="AG135" i="319" s="1"/>
  <c r="AG87" i="319" s="1"/>
  <c r="AG28" i="320" s="1"/>
  <c r="AG32" i="320" s="1"/>
  <c r="AG35" i="320" s="1"/>
  <c r="AG67" i="319"/>
  <c r="AG68" i="319" s="1"/>
  <c r="AG73" i="319" s="1"/>
  <c r="AG25" i="319" s="1"/>
  <c r="AG16" i="320" s="1"/>
  <c r="AG20" i="320" s="1"/>
  <c r="AG24" i="319"/>
  <c r="AG15" i="320" s="1"/>
  <c r="AG19" i="320" s="1"/>
  <c r="D723" i="261"/>
  <c r="AJ84" i="319"/>
  <c r="AJ76" i="319"/>
  <c r="AJ28" i="319"/>
  <c r="AJ22" i="319"/>
  <c r="AJ90" i="319"/>
  <c r="AI48" i="319"/>
  <c r="AI39" i="319"/>
  <c r="AI56" i="319" s="1"/>
  <c r="AI23" i="319" s="1"/>
  <c r="AI17" i="320" s="1"/>
  <c r="AI21" i="320" s="1"/>
  <c r="AI30" i="319"/>
  <c r="AJ41" i="322"/>
  <c r="AJ32" i="322"/>
  <c r="AH126" i="319"/>
  <c r="AH64" i="319"/>
  <c r="AJ38" i="315"/>
  <c r="AJ80" i="316" s="1"/>
  <c r="AJ38" i="318"/>
  <c r="AJ80" i="319" s="1"/>
  <c r="AJ38" i="312"/>
  <c r="AJ80" i="314" s="1"/>
  <c r="H726" i="261"/>
  <c r="AG67" i="316"/>
  <c r="AG68" i="316" s="1"/>
  <c r="AG73" i="316" s="1"/>
  <c r="AG25" i="316" s="1"/>
  <c r="AG16" i="317" s="1"/>
  <c r="AG20" i="317" s="1"/>
  <c r="AG129" i="316"/>
  <c r="AG130" i="316" s="1"/>
  <c r="AG135" i="316" s="1"/>
  <c r="AG87" i="316" s="1"/>
  <c r="AG28" i="317" s="1"/>
  <c r="AG32" i="317" s="1"/>
  <c r="AG35" i="317" s="1"/>
  <c r="AG24" i="316"/>
  <c r="AG15" i="317" s="1"/>
  <c r="AH126" i="316"/>
  <c r="AH64" i="316"/>
  <c r="AH118" i="322"/>
  <c r="AH85" i="322" s="1"/>
  <c r="AH64" i="328"/>
  <c r="AH126" i="328"/>
  <c r="AJ90" i="322"/>
  <c r="AJ76" i="322"/>
  <c r="AJ84" i="322"/>
  <c r="AJ28" i="322"/>
  <c r="AJ22" i="322"/>
  <c r="AI122" i="319"/>
  <c r="AI60" i="319"/>
  <c r="AI40" i="318"/>
  <c r="AI42" i="318" s="1"/>
  <c r="AI43" i="318" s="1"/>
  <c r="AI44" i="318" s="1"/>
  <c r="AI46" i="318" s="1"/>
  <c r="AI50" i="318" s="1"/>
  <c r="AI94" i="316"/>
  <c r="AI103" i="316"/>
  <c r="AG29" i="326"/>
  <c r="AG33" i="326" s="1"/>
  <c r="AG86" i="325"/>
  <c r="AG27" i="326" s="1"/>
  <c r="AG31" i="326" s="1"/>
  <c r="AH64" i="325"/>
  <c r="AH126" i="325"/>
  <c r="AM62" i="267"/>
  <c r="AM66" i="267"/>
  <c r="I695" i="261"/>
  <c r="N722" i="261"/>
  <c r="O727" i="261"/>
  <c r="O726" i="261"/>
  <c r="L708" i="261"/>
  <c r="N700" i="261"/>
  <c r="M727" i="261"/>
  <c r="L700" i="261"/>
  <c r="K712" i="261"/>
  <c r="G695" i="261"/>
  <c r="K716" i="261"/>
  <c r="O724" i="261"/>
  <c r="O706" i="261"/>
  <c r="N697" i="261"/>
  <c r="K702" i="261"/>
  <c r="N715" i="261"/>
  <c r="L702" i="261"/>
  <c r="L704" i="261"/>
  <c r="O699" i="261"/>
  <c r="L709" i="261"/>
  <c r="M712" i="261"/>
  <c r="J702" i="261"/>
  <c r="J708" i="261"/>
  <c r="O723" i="261"/>
  <c r="J695" i="261"/>
  <c r="K718" i="261"/>
  <c r="M705" i="261"/>
  <c r="J697" i="261"/>
  <c r="M725" i="261"/>
  <c r="K705" i="261"/>
  <c r="O697" i="261"/>
  <c r="M699" i="261"/>
  <c r="O698" i="261"/>
  <c r="M713" i="261"/>
  <c r="N716" i="261"/>
  <c r="K709" i="261"/>
  <c r="K720" i="261"/>
  <c r="L705" i="261"/>
  <c r="M720" i="261"/>
  <c r="K717" i="261"/>
  <c r="K696" i="261"/>
  <c r="K710" i="261"/>
  <c r="M714" i="261"/>
  <c r="K721" i="261"/>
  <c r="K704" i="261"/>
  <c r="O719" i="261"/>
  <c r="K695" i="261"/>
  <c r="O705" i="261"/>
  <c r="O721" i="261"/>
  <c r="J724" i="261"/>
  <c r="L717" i="261"/>
  <c r="O725" i="261"/>
  <c r="N726" i="261"/>
  <c r="N710" i="261"/>
  <c r="L721" i="261"/>
  <c r="J726" i="261"/>
  <c r="L725" i="261"/>
  <c r="M719" i="261"/>
  <c r="J718" i="261"/>
  <c r="K719" i="261"/>
  <c r="J725" i="261"/>
  <c r="N712" i="261"/>
  <c r="N713" i="261"/>
  <c r="O718" i="261"/>
  <c r="O714" i="261"/>
  <c r="G694" i="261"/>
  <c r="O716" i="261"/>
  <c r="N695" i="261"/>
  <c r="K699" i="261"/>
  <c r="K698" i="261"/>
  <c r="J717" i="261"/>
  <c r="J713" i="261"/>
  <c r="K708" i="261"/>
  <c r="L703" i="261"/>
  <c r="M703" i="261"/>
  <c r="N706" i="261"/>
  <c r="M696" i="261"/>
  <c r="N714" i="261"/>
  <c r="K706" i="261"/>
  <c r="O696" i="261"/>
  <c r="N717" i="261"/>
  <c r="L719" i="261"/>
  <c r="L711" i="261"/>
  <c r="J710" i="261"/>
  <c r="N705" i="261"/>
  <c r="M711" i="261"/>
  <c r="K725" i="261"/>
  <c r="L722" i="261"/>
  <c r="N719" i="261"/>
  <c r="N709" i="261"/>
  <c r="N708" i="261"/>
  <c r="N707" i="261"/>
  <c r="M695" i="261"/>
  <c r="L695" i="261"/>
  <c r="J699" i="261"/>
  <c r="N694" i="261"/>
  <c r="K724" i="261"/>
  <c r="J712" i="261"/>
  <c r="M694" i="261"/>
  <c r="J706" i="261"/>
  <c r="N727" i="261"/>
  <c r="K726" i="261"/>
  <c r="J696" i="261"/>
  <c r="M717" i="261"/>
  <c r="I694" i="261"/>
  <c r="K700" i="261"/>
  <c r="D694" i="261"/>
  <c r="M718" i="261"/>
  <c r="M710" i="261"/>
  <c r="J719" i="261"/>
  <c r="N723" i="261"/>
  <c r="J720" i="261"/>
  <c r="M707" i="261"/>
  <c r="J721" i="261"/>
  <c r="K714" i="261"/>
  <c r="N699" i="261"/>
  <c r="L723" i="261"/>
  <c r="O702" i="261"/>
  <c r="H694" i="261"/>
  <c r="L707" i="261"/>
  <c r="K703" i="261"/>
  <c r="N721" i="261"/>
  <c r="J700" i="261"/>
  <c r="M700" i="261"/>
  <c r="N725" i="261"/>
  <c r="J707" i="261"/>
  <c r="N718" i="261"/>
  <c r="O704" i="261"/>
  <c r="J698" i="261"/>
  <c r="N704" i="261"/>
  <c r="K715" i="261"/>
  <c r="L712" i="261"/>
  <c r="O707" i="261"/>
  <c r="N698" i="261"/>
  <c r="M726" i="261"/>
  <c r="N720" i="261"/>
  <c r="M723" i="261"/>
  <c r="L701" i="261"/>
  <c r="M721" i="261"/>
  <c r="L694" i="261"/>
  <c r="M697" i="261"/>
  <c r="J727" i="261"/>
  <c r="L696" i="261"/>
  <c r="L714" i="261"/>
  <c r="M708" i="261"/>
  <c r="L710" i="261"/>
  <c r="O701" i="261"/>
  <c r="J703" i="261"/>
  <c r="H695" i="261"/>
  <c r="O713" i="261"/>
  <c r="M716" i="261"/>
  <c r="O710" i="261"/>
  <c r="J709" i="261"/>
  <c r="L706" i="261"/>
  <c r="K727" i="261"/>
  <c r="K723" i="261"/>
  <c r="J716" i="261"/>
  <c r="L716" i="261"/>
  <c r="O695" i="261"/>
  <c r="J714" i="261"/>
  <c r="K711" i="261"/>
  <c r="K701" i="261"/>
  <c r="N703" i="261"/>
  <c r="J704" i="261"/>
  <c r="O720" i="261"/>
  <c r="M698" i="261"/>
  <c r="J722" i="261"/>
  <c r="J694" i="261"/>
  <c r="L699" i="261"/>
  <c r="K697" i="261"/>
  <c r="M724" i="261"/>
  <c r="K694" i="261"/>
  <c r="O715" i="261"/>
  <c r="O703" i="261"/>
  <c r="O717" i="261"/>
  <c r="O709" i="261"/>
  <c r="N724" i="261"/>
  <c r="L724" i="261"/>
  <c r="O711" i="261"/>
  <c r="J723" i="261"/>
  <c r="N702" i="261"/>
  <c r="O712" i="261"/>
  <c r="L698" i="261"/>
  <c r="L726" i="261"/>
  <c r="O694" i="261"/>
  <c r="N696" i="261"/>
  <c r="L718" i="261"/>
  <c r="M709" i="261"/>
  <c r="L713" i="261"/>
  <c r="O722" i="261"/>
  <c r="N711" i="261"/>
  <c r="K722" i="261"/>
  <c r="J701" i="261"/>
  <c r="J715" i="261"/>
  <c r="O700" i="261"/>
  <c r="M702" i="261"/>
  <c r="E694" i="261"/>
  <c r="K713" i="261"/>
  <c r="J705" i="261"/>
  <c r="M704" i="261"/>
  <c r="K707" i="261"/>
  <c r="M701" i="261"/>
  <c r="M715" i="261"/>
  <c r="L715" i="261"/>
  <c r="O708" i="261"/>
  <c r="J711" i="261"/>
  <c r="L720" i="261"/>
  <c r="M706" i="261"/>
  <c r="N701" i="261"/>
  <c r="L697" i="261"/>
  <c r="M722" i="261"/>
  <c r="H698" i="261"/>
  <c r="D696" i="261"/>
  <c r="I696" i="261"/>
  <c r="H696" i="261"/>
  <c r="D697" i="261"/>
  <c r="G696" i="261"/>
  <c r="G697" i="261"/>
  <c r="H697" i="261"/>
  <c r="D695" i="261"/>
  <c r="I697" i="261"/>
  <c r="D700" i="261"/>
  <c r="G698" i="261"/>
  <c r="D698" i="261"/>
  <c r="H700" i="261"/>
  <c r="I698" i="261"/>
  <c r="H701" i="261"/>
  <c r="D699" i="261"/>
  <c r="G699" i="261"/>
  <c r="G700" i="261"/>
  <c r="I699" i="261"/>
  <c r="G702" i="261"/>
  <c r="D701" i="261"/>
  <c r="G701" i="261"/>
  <c r="I700" i="261"/>
  <c r="I701" i="261"/>
  <c r="D702" i="261"/>
  <c r="H702" i="261"/>
  <c r="H699" i="261"/>
  <c r="H703" i="261"/>
  <c r="G703" i="261"/>
  <c r="D703" i="261"/>
  <c r="H705" i="261"/>
  <c r="H704" i="261"/>
  <c r="G704" i="261"/>
  <c r="I702" i="261"/>
  <c r="G705" i="261"/>
  <c r="D704" i="261"/>
  <c r="G706" i="261"/>
  <c r="H706" i="261"/>
  <c r="D705" i="261"/>
  <c r="H707" i="261"/>
  <c r="I703" i="261"/>
  <c r="D706" i="261"/>
  <c r="I704" i="261"/>
  <c r="I705" i="261"/>
  <c r="D707" i="261"/>
  <c r="G707" i="261"/>
  <c r="H710" i="261"/>
  <c r="I707" i="261"/>
  <c r="D708" i="261"/>
  <c r="H708" i="261"/>
  <c r="G708" i="261"/>
  <c r="I706" i="261"/>
  <c r="G710" i="261"/>
  <c r="I708" i="261"/>
  <c r="H709" i="261"/>
  <c r="G711" i="261"/>
  <c r="D710" i="261"/>
  <c r="H711" i="261"/>
  <c r="I709" i="261"/>
  <c r="D709" i="261"/>
  <c r="G709" i="261"/>
  <c r="I710" i="261"/>
  <c r="D711" i="261"/>
  <c r="H712" i="261"/>
  <c r="G712" i="261"/>
  <c r="I711" i="261"/>
  <c r="D712" i="261"/>
  <c r="H713" i="261"/>
  <c r="G713" i="261"/>
  <c r="D713" i="261"/>
  <c r="I712" i="261"/>
  <c r="G715" i="261"/>
  <c r="G714" i="261"/>
  <c r="H715" i="261"/>
  <c r="H714" i="261"/>
  <c r="D716" i="261"/>
  <c r="I713" i="261"/>
  <c r="I714" i="261"/>
  <c r="D715" i="261"/>
  <c r="D714" i="261"/>
  <c r="G717" i="261"/>
  <c r="H717" i="261"/>
  <c r="H716" i="261"/>
  <c r="I715" i="261"/>
  <c r="G716" i="261"/>
  <c r="H718" i="261"/>
  <c r="G718" i="261"/>
  <c r="G719" i="261"/>
  <c r="D717" i="261"/>
  <c r="I717" i="261"/>
  <c r="D718" i="261"/>
  <c r="I716" i="261"/>
  <c r="H719" i="261"/>
  <c r="G720" i="261"/>
  <c r="H720" i="261"/>
  <c r="I718" i="261"/>
  <c r="D719" i="261"/>
  <c r="I719" i="261"/>
  <c r="H721" i="261"/>
  <c r="D720" i="261"/>
  <c r="G721" i="261"/>
  <c r="G722" i="261"/>
  <c r="I721" i="261"/>
  <c r="I720" i="261"/>
  <c r="D721" i="261"/>
  <c r="H722" i="261"/>
  <c r="D722" i="261"/>
  <c r="H723" i="261"/>
  <c r="G723" i="261"/>
  <c r="AJ32" i="325"/>
  <c r="AJ41" i="325"/>
  <c r="AI92" i="316"/>
  <c r="I727" i="261"/>
  <c r="I722" i="261"/>
  <c r="D726" i="261"/>
  <c r="AH118" i="325"/>
  <c r="AH85" i="325" s="1"/>
  <c r="AH118" i="319"/>
  <c r="AH85" i="319" s="1"/>
  <c r="AJ22" i="328"/>
  <c r="AJ90" i="328"/>
  <c r="AJ84" i="328"/>
  <c r="AJ76" i="328"/>
  <c r="AJ28" i="328"/>
  <c r="AG129" i="328"/>
  <c r="AG130" i="328" s="1"/>
  <c r="AG135" i="328" s="1"/>
  <c r="AG87" i="328" s="1"/>
  <c r="AG28" i="329" s="1"/>
  <c r="AG67" i="328"/>
  <c r="AG68" i="328" s="1"/>
  <c r="AG73" i="328" s="1"/>
  <c r="AG25" i="328" s="1"/>
  <c r="AG16" i="329" s="1"/>
  <c r="AG20" i="329" s="1"/>
  <c r="AG24" i="328"/>
  <c r="AG15" i="329" s="1"/>
  <c r="AF33" i="317"/>
  <c r="AF41" i="317"/>
  <c r="G725" i="261"/>
  <c r="I726" i="261"/>
  <c r="AI94" i="319"/>
  <c r="AI103" i="319"/>
  <c r="H727" i="261"/>
  <c r="AI94" i="322"/>
  <c r="AI103" i="322"/>
  <c r="AG129" i="325"/>
  <c r="AG130" i="325" s="1"/>
  <c r="AG135" i="325" s="1"/>
  <c r="AG87" i="325" s="1"/>
  <c r="AG28" i="326" s="1"/>
  <c r="AG67" i="325"/>
  <c r="AG68" i="325" s="1"/>
  <c r="AG73" i="325" s="1"/>
  <c r="AG25" i="325" s="1"/>
  <c r="AG16" i="326" s="1"/>
  <c r="AG20" i="326" s="1"/>
  <c r="AG24" i="325"/>
  <c r="AG15" i="326" s="1"/>
  <c r="I723" i="261"/>
  <c r="D725" i="261"/>
  <c r="AE43" i="313"/>
  <c r="AD101" i="260"/>
  <c r="AG202" i="310"/>
  <c r="AH53" i="312"/>
  <c r="AH192" i="313" s="1"/>
  <c r="AH201" i="313" s="1"/>
  <c r="AG24" i="314"/>
  <c r="AG15" i="313" s="1"/>
  <c r="AG19" i="313" s="1"/>
  <c r="AE101" i="260"/>
  <c r="AI27" i="308"/>
  <c r="AI57" i="310" s="1"/>
  <c r="AI64" i="310" s="1"/>
  <c r="AF85" i="310"/>
  <c r="AG201" i="320"/>
  <c r="AH53" i="327"/>
  <c r="AH192" i="329" s="1"/>
  <c r="AH53" i="318"/>
  <c r="AH192" i="320" s="1"/>
  <c r="AH194" i="320" s="1"/>
  <c r="AG201" i="313"/>
  <c r="AD112" i="260"/>
  <c r="AH200" i="313"/>
  <c r="AG201" i="329"/>
  <c r="AC112" i="260"/>
  <c r="AJ14" i="312"/>
  <c r="AJ16" i="312" s="1"/>
  <c r="AJ17" i="312" s="1"/>
  <c r="AJ18" i="312" s="1"/>
  <c r="AJ20" i="312" s="1"/>
  <c r="AJ27" i="312" s="1"/>
  <c r="AF39" i="313"/>
  <c r="AF177" i="323"/>
  <c r="AF204" i="323" s="1"/>
  <c r="AF41" i="313"/>
  <c r="AG29" i="313"/>
  <c r="AG33" i="313" s="1"/>
  <c r="AG86" i="314"/>
  <c r="AG27" i="313" s="1"/>
  <c r="AG31" i="313" s="1"/>
  <c r="AG87" i="314"/>
  <c r="AG28" i="313" s="1"/>
  <c r="AG32" i="313" s="1"/>
  <c r="AF35" i="313"/>
  <c r="AH92" i="314"/>
  <c r="AH118" i="314" s="1"/>
  <c r="AH85" i="314" s="1"/>
  <c r="AH110" i="314"/>
  <c r="AH101" i="314"/>
  <c r="AJ37" i="315"/>
  <c r="AJ40" i="315" s="1"/>
  <c r="AJ42" i="315" s="1"/>
  <c r="AJ43" i="315" s="1"/>
  <c r="AJ44" i="315" s="1"/>
  <c r="AJ46" i="315" s="1"/>
  <c r="AJ37" i="318"/>
  <c r="AJ40" i="318" s="1"/>
  <c r="AJ42" i="318" s="1"/>
  <c r="AJ43" i="318" s="1"/>
  <c r="AJ44" i="318" s="1"/>
  <c r="AJ46" i="318" s="1"/>
  <c r="AJ37" i="312"/>
  <c r="AK10" i="315"/>
  <c r="AK10" i="318"/>
  <c r="AK16" i="319" s="1"/>
  <c r="AK10" i="312"/>
  <c r="AK14" i="312" s="1"/>
  <c r="AK16" i="312" s="1"/>
  <c r="AK17" i="312" s="1"/>
  <c r="AK18" i="312" s="1"/>
  <c r="AK20" i="312" s="1"/>
  <c r="AM61" i="267"/>
  <c r="AM63" i="267" s="1"/>
  <c r="AJ76" i="314"/>
  <c r="AJ84" i="314"/>
  <c r="AJ90" i="314"/>
  <c r="AG25" i="314"/>
  <c r="AG16" i="313" s="1"/>
  <c r="AF20" i="313"/>
  <c r="AF23" i="313" s="1"/>
  <c r="AF40" i="313"/>
  <c r="AH23" i="314"/>
  <c r="AF177" i="317"/>
  <c r="AG170" i="310"/>
  <c r="AF204" i="313"/>
  <c r="AH175" i="313"/>
  <c r="AH183" i="310"/>
  <c r="AH187" i="310" s="1"/>
  <c r="AH175" i="329"/>
  <c r="AF204" i="310"/>
  <c r="AH113" i="303"/>
  <c r="AG177" i="313"/>
  <c r="AH181" i="310"/>
  <c r="AH185" i="310" s="1"/>
  <c r="AH56" i="303"/>
  <c r="AH63" i="303" s="1"/>
  <c r="AH160" i="303"/>
  <c r="AH167" i="303" s="1"/>
  <c r="AI25" i="308"/>
  <c r="AI112" i="310" s="1"/>
  <c r="AH126" i="310"/>
  <c r="AH113" i="310"/>
  <c r="AG177" i="329"/>
  <c r="AH33" i="308"/>
  <c r="AH173" i="310" s="1"/>
  <c r="AH201" i="310" s="1"/>
  <c r="AF23" i="323"/>
  <c r="AF43" i="323" s="1"/>
  <c r="AH56" i="310"/>
  <c r="AH63" i="310" s="1"/>
  <c r="AG66" i="323"/>
  <c r="AG170" i="323"/>
  <c r="AG66" i="326"/>
  <c r="AG170" i="320"/>
  <c r="AH71" i="303"/>
  <c r="AH75" i="303" s="1"/>
  <c r="AF177" i="320"/>
  <c r="AF204" i="320" s="1"/>
  <c r="AI26" i="315"/>
  <c r="AI27" i="315"/>
  <c r="AI25" i="315"/>
  <c r="AH66" i="313"/>
  <c r="AF20" i="329"/>
  <c r="AF40" i="329"/>
  <c r="AG175" i="310"/>
  <c r="AI160" i="313"/>
  <c r="AI167" i="313" s="1"/>
  <c r="AI56" i="313"/>
  <c r="AI63" i="313" s="1"/>
  <c r="AI33" i="312"/>
  <c r="AI173" i="313" s="1"/>
  <c r="AI113" i="313"/>
  <c r="AJ14" i="324"/>
  <c r="AJ16" i="324" s="1"/>
  <c r="AJ17" i="324" s="1"/>
  <c r="AJ18" i="324" s="1"/>
  <c r="AJ20" i="324" s="1"/>
  <c r="AJ17" i="325"/>
  <c r="AF177" i="326"/>
  <c r="AF204" i="326" s="1"/>
  <c r="AH66" i="329"/>
  <c r="AG170" i="317"/>
  <c r="AG200" i="320"/>
  <c r="AG175" i="320"/>
  <c r="AH57" i="320"/>
  <c r="AH64" i="320" s="1"/>
  <c r="AH114" i="320"/>
  <c r="AH161" i="320"/>
  <c r="AH168" i="320" s="1"/>
  <c r="AH55" i="317"/>
  <c r="AH62" i="317" s="1"/>
  <c r="AH32" i="315"/>
  <c r="AH172" i="317" s="1"/>
  <c r="AH159" i="317"/>
  <c r="AH166" i="317" s="1"/>
  <c r="AH112" i="317"/>
  <c r="AI114" i="313"/>
  <c r="AI57" i="313"/>
  <c r="AI64" i="313" s="1"/>
  <c r="AI161" i="313"/>
  <c r="AI168" i="313" s="1"/>
  <c r="AJ17" i="319"/>
  <c r="AJ14" i="318"/>
  <c r="AJ16" i="318" s="1"/>
  <c r="AJ17" i="318" s="1"/>
  <c r="AJ18" i="318" s="1"/>
  <c r="AJ20" i="318" s="1"/>
  <c r="AJ47" i="309"/>
  <c r="AI159" i="313"/>
  <c r="AI166" i="313" s="1"/>
  <c r="AI32" i="312"/>
  <c r="AI172" i="313" s="1"/>
  <c r="AI55" i="313"/>
  <c r="AI62" i="313" s="1"/>
  <c r="AI112" i="313"/>
  <c r="AH170" i="329"/>
  <c r="AG170" i="326"/>
  <c r="AG200" i="317"/>
  <c r="AG175" i="317"/>
  <c r="AG66" i="320"/>
  <c r="AH55" i="320"/>
  <c r="AH62" i="320" s="1"/>
  <c r="AH159" i="320"/>
  <c r="AH166" i="320" s="1"/>
  <c r="AH112" i="320"/>
  <c r="AH32" i="318"/>
  <c r="AH172" i="320" s="1"/>
  <c r="AI27" i="318"/>
  <c r="AI25" i="318"/>
  <c r="AI26" i="318"/>
  <c r="AH112" i="310"/>
  <c r="AE23" i="326"/>
  <c r="AE43" i="326" s="1"/>
  <c r="AH57" i="323"/>
  <c r="AH64" i="323" s="1"/>
  <c r="AH161" i="323"/>
  <c r="AH168" i="323" s="1"/>
  <c r="AH114" i="323"/>
  <c r="AJ14" i="321"/>
  <c r="AJ16" i="321" s="1"/>
  <c r="AJ17" i="321" s="1"/>
  <c r="AJ18" i="321" s="1"/>
  <c r="AJ20" i="321" s="1"/>
  <c r="AJ17" i="322"/>
  <c r="AF19" i="329"/>
  <c r="AF39" i="329"/>
  <c r="AH160" i="320"/>
  <c r="AH167" i="320" s="1"/>
  <c r="AH113" i="320"/>
  <c r="AH56" i="320"/>
  <c r="AH63" i="320" s="1"/>
  <c r="AH33" i="318"/>
  <c r="AH173" i="320" s="1"/>
  <c r="AE23" i="329"/>
  <c r="AE43" i="329" s="1"/>
  <c r="AJ14" i="315"/>
  <c r="AJ16" i="315" s="1"/>
  <c r="AJ17" i="315" s="1"/>
  <c r="AJ18" i="315" s="1"/>
  <c r="AJ20" i="315" s="1"/>
  <c r="AG200" i="326"/>
  <c r="AG175" i="326"/>
  <c r="AH159" i="323"/>
  <c r="AH166" i="323" s="1"/>
  <c r="AH112" i="323"/>
  <c r="AH32" i="321"/>
  <c r="AH172" i="323" s="1"/>
  <c r="AH55" i="323"/>
  <c r="AH62" i="323" s="1"/>
  <c r="AF21" i="329"/>
  <c r="AF41" i="329"/>
  <c r="AG17" i="326"/>
  <c r="AG66" i="317"/>
  <c r="AH170" i="313"/>
  <c r="AG17" i="329"/>
  <c r="AH160" i="323"/>
  <c r="AH167" i="323" s="1"/>
  <c r="AH113" i="323"/>
  <c r="AH56" i="323"/>
  <c r="AH63" i="323" s="1"/>
  <c r="AH33" i="321"/>
  <c r="AH173" i="323" s="1"/>
  <c r="AH201" i="323" s="1"/>
  <c r="AF19" i="326"/>
  <c r="AF39" i="326"/>
  <c r="AH33" i="315"/>
  <c r="AH173" i="317" s="1"/>
  <c r="AH201" i="317" s="1"/>
  <c r="AH56" i="317"/>
  <c r="AH63" i="317" s="1"/>
  <c r="AH113" i="317"/>
  <c r="AH160" i="317"/>
  <c r="AH167" i="317" s="1"/>
  <c r="AF23" i="320"/>
  <c r="AH33" i="324"/>
  <c r="AH173" i="326" s="1"/>
  <c r="AH201" i="326" s="1"/>
  <c r="AH160" i="326"/>
  <c r="AH167" i="326" s="1"/>
  <c r="AH113" i="326"/>
  <c r="AH56" i="326"/>
  <c r="AH63" i="326" s="1"/>
  <c r="AI25" i="321"/>
  <c r="AI26" i="321"/>
  <c r="AI27" i="321"/>
  <c r="AI113" i="329"/>
  <c r="AI160" i="329"/>
  <c r="AI167" i="329" s="1"/>
  <c r="AI56" i="329"/>
  <c r="AI63" i="329" s="1"/>
  <c r="AI33" i="327"/>
  <c r="AI173" i="329" s="1"/>
  <c r="AH159" i="326"/>
  <c r="AH166" i="326" s="1"/>
  <c r="AH32" i="324"/>
  <c r="AH172" i="326" s="1"/>
  <c r="AH112" i="326"/>
  <c r="AH55" i="326"/>
  <c r="AH62" i="326" s="1"/>
  <c r="AI55" i="329"/>
  <c r="AI62" i="329" s="1"/>
  <c r="AI112" i="329"/>
  <c r="AI159" i="329"/>
  <c r="AI166" i="329" s="1"/>
  <c r="AI32" i="327"/>
  <c r="AI172" i="329" s="1"/>
  <c r="AG200" i="323"/>
  <c r="AG175" i="323"/>
  <c r="AF21" i="326"/>
  <c r="AF41" i="326"/>
  <c r="AH57" i="317"/>
  <c r="AH64" i="317" s="1"/>
  <c r="AH114" i="317"/>
  <c r="AH161" i="317"/>
  <c r="AH168" i="317" s="1"/>
  <c r="AH57" i="326"/>
  <c r="AH64" i="326" s="1"/>
  <c r="AH114" i="326"/>
  <c r="AH161" i="326"/>
  <c r="AH168" i="326" s="1"/>
  <c r="AI114" i="329"/>
  <c r="AI161" i="329"/>
  <c r="AI168" i="329" s="1"/>
  <c r="AI57" i="329"/>
  <c r="AI64" i="329" s="1"/>
  <c r="AI25" i="324"/>
  <c r="AI26" i="324"/>
  <c r="AI27" i="324"/>
  <c r="AG189" i="326"/>
  <c r="AG196" i="326" s="1"/>
  <c r="AI30" i="314"/>
  <c r="AI56" i="314" s="1"/>
  <c r="AI48" i="314"/>
  <c r="AI39" i="314"/>
  <c r="AG21" i="313"/>
  <c r="AJ32" i="314"/>
  <c r="AJ41" i="314"/>
  <c r="AG83" i="310"/>
  <c r="AD23" i="272"/>
  <c r="AD43" i="272" s="1"/>
  <c r="AI2" i="264"/>
  <c r="AI17" i="264" s="1"/>
  <c r="AG189" i="329"/>
  <c r="AG196" i="329" s="1"/>
  <c r="AG202" i="329"/>
  <c r="AF78" i="313"/>
  <c r="AF85" i="313" s="1"/>
  <c r="AF82" i="313"/>
  <c r="AJ14" i="319"/>
  <c r="AF78" i="329"/>
  <c r="AF85" i="329" s="1"/>
  <c r="AF82" i="329"/>
  <c r="AH126" i="326"/>
  <c r="AH181" i="326"/>
  <c r="AH185" i="326" s="1"/>
  <c r="AH70" i="326"/>
  <c r="AH182" i="323"/>
  <c r="AH186" i="323" s="1"/>
  <c r="AH127" i="323"/>
  <c r="AH71" i="323"/>
  <c r="AH75" i="323" s="1"/>
  <c r="AH70" i="320"/>
  <c r="AH126" i="320"/>
  <c r="AH181" i="320"/>
  <c r="AH185" i="320" s="1"/>
  <c r="AG189" i="323"/>
  <c r="AG196" i="323" s="1"/>
  <c r="AG202" i="323"/>
  <c r="AJ14" i="322"/>
  <c r="AG202" i="326"/>
  <c r="AH71" i="326"/>
  <c r="AH75" i="326" s="1"/>
  <c r="AH127" i="326"/>
  <c r="AH182" i="326"/>
  <c r="AH186" i="326" s="1"/>
  <c r="AG74" i="313"/>
  <c r="AG83" i="313"/>
  <c r="AF78" i="317"/>
  <c r="AF85" i="317" s="1"/>
  <c r="AF82" i="317"/>
  <c r="AH182" i="329"/>
  <c r="AH186" i="329" s="1"/>
  <c r="AH71" i="329"/>
  <c r="AH75" i="329" s="1"/>
  <c r="AH127" i="329"/>
  <c r="AI50" i="327"/>
  <c r="AI49" i="327"/>
  <c r="AI48" i="327"/>
  <c r="AI52" i="327" s="1"/>
  <c r="AI191" i="329" s="1"/>
  <c r="AJ40" i="327"/>
  <c r="AJ42" i="327" s="1"/>
  <c r="AJ43" i="327" s="1"/>
  <c r="AJ44" i="327" s="1"/>
  <c r="AJ46" i="327" s="1"/>
  <c r="AJ40" i="321"/>
  <c r="AJ42" i="321" s="1"/>
  <c r="AJ43" i="321" s="1"/>
  <c r="AJ44" i="321" s="1"/>
  <c r="AJ46" i="321" s="1"/>
  <c r="AH114" i="306"/>
  <c r="AH127" i="310"/>
  <c r="AH127" i="313"/>
  <c r="AH71" i="313"/>
  <c r="AH75" i="313" s="1"/>
  <c r="AH182" i="313"/>
  <c r="AH186" i="313" s="1"/>
  <c r="AJ14" i="314"/>
  <c r="AJ28" i="314"/>
  <c r="AJ22" i="314"/>
  <c r="AG74" i="326"/>
  <c r="AG83" i="326"/>
  <c r="AH72" i="326"/>
  <c r="AH76" i="326" s="1"/>
  <c r="AH128" i="326"/>
  <c r="AH183" i="326"/>
  <c r="AH187" i="326" s="1"/>
  <c r="AG189" i="313"/>
  <c r="AG196" i="313" s="1"/>
  <c r="AG202" i="313"/>
  <c r="AH183" i="313"/>
  <c r="AH187" i="313" s="1"/>
  <c r="AH128" i="313"/>
  <c r="AH72" i="313"/>
  <c r="AH76" i="313" s="1"/>
  <c r="AJ14" i="328"/>
  <c r="AF78" i="323"/>
  <c r="AF85" i="323" s="1"/>
  <c r="AF82" i="323"/>
  <c r="AG189" i="317"/>
  <c r="AG196" i="317" s="1"/>
  <c r="AG202" i="317"/>
  <c r="AH126" i="313"/>
  <c r="AH70" i="313"/>
  <c r="AH181" i="313"/>
  <c r="AH185" i="313" s="1"/>
  <c r="AG189" i="320"/>
  <c r="AG196" i="320" s="1"/>
  <c r="AG202" i="320"/>
  <c r="AJ14" i="325"/>
  <c r="AH70" i="317"/>
  <c r="AH181" i="317"/>
  <c r="AH185" i="317" s="1"/>
  <c r="AH126" i="317"/>
  <c r="AG74" i="317"/>
  <c r="AG83" i="317"/>
  <c r="AI48" i="324"/>
  <c r="AI50" i="324"/>
  <c r="AI49" i="324"/>
  <c r="AJ14" i="316"/>
  <c r="AH71" i="317"/>
  <c r="AH75" i="317" s="1"/>
  <c r="AH182" i="317"/>
  <c r="AH186" i="317" s="1"/>
  <c r="AH127" i="317"/>
  <c r="AH183" i="320"/>
  <c r="AH187" i="320" s="1"/>
  <c r="AH128" i="320"/>
  <c r="AH72" i="320"/>
  <c r="AH76" i="320" s="1"/>
  <c r="AG74" i="323"/>
  <c r="AG83" i="323"/>
  <c r="AH72" i="329"/>
  <c r="AH76" i="329" s="1"/>
  <c r="AH183" i="329"/>
  <c r="AH187" i="329" s="1"/>
  <c r="AH128" i="329"/>
  <c r="AF78" i="326"/>
  <c r="AF85" i="326" s="1"/>
  <c r="AF82" i="326"/>
  <c r="AH181" i="323"/>
  <c r="AH185" i="323" s="1"/>
  <c r="AH126" i="323"/>
  <c r="AH70" i="323"/>
  <c r="AK3" i="329"/>
  <c r="AK1" i="328"/>
  <c r="AK1" i="325"/>
  <c r="AK3" i="326"/>
  <c r="AK1" i="322"/>
  <c r="AK3" i="323"/>
  <c r="AK3" i="320"/>
  <c r="AK1" i="316"/>
  <c r="AK3" i="317"/>
  <c r="AK1" i="319"/>
  <c r="AK1" i="314"/>
  <c r="AK3" i="313"/>
  <c r="AG74" i="320"/>
  <c r="AG83" i="320"/>
  <c r="AI49" i="321"/>
  <c r="AI50" i="321"/>
  <c r="AI48" i="321"/>
  <c r="AF78" i="320"/>
  <c r="AF85" i="320" s="1"/>
  <c r="AF82" i="320"/>
  <c r="AG74" i="329"/>
  <c r="AG83" i="329"/>
  <c r="AH128" i="317"/>
  <c r="AH183" i="317"/>
  <c r="AH187" i="317" s="1"/>
  <c r="AH72" i="317"/>
  <c r="AH76" i="317" s="1"/>
  <c r="AH72" i="323"/>
  <c r="AH76" i="323" s="1"/>
  <c r="AH183" i="323"/>
  <c r="AH187" i="323" s="1"/>
  <c r="AH128" i="323"/>
  <c r="AH182" i="320"/>
  <c r="AH186" i="320" s="1"/>
  <c r="AH127" i="320"/>
  <c r="AH71" i="320"/>
  <c r="AH75" i="320" s="1"/>
  <c r="AK94" i="260"/>
  <c r="AH71" i="310"/>
  <c r="AH75" i="310" s="1"/>
  <c r="AH127" i="303"/>
  <c r="AH32" i="308"/>
  <c r="AH172" i="310" s="1"/>
  <c r="AD23" i="278"/>
  <c r="AD43" i="278" s="1"/>
  <c r="AH55" i="310"/>
  <c r="AH62" i="310" s="1"/>
  <c r="AF85" i="303"/>
  <c r="AI38" i="309"/>
  <c r="AI47" i="309"/>
  <c r="AJ14" i="308"/>
  <c r="AJ16" i="308" s="1"/>
  <c r="AJ17" i="308" s="1"/>
  <c r="AJ18" i="308" s="1"/>
  <c r="AJ20" i="308" s="1"/>
  <c r="AJ26" i="308" s="1"/>
  <c r="AH57" i="306"/>
  <c r="AH64" i="306" s="1"/>
  <c r="AI49" i="308"/>
  <c r="AI127" i="310" s="1"/>
  <c r="AI48" i="308"/>
  <c r="AI181" i="310" s="1"/>
  <c r="AI185" i="310" s="1"/>
  <c r="AH72" i="310"/>
  <c r="AH76" i="310" s="1"/>
  <c r="AH128" i="303"/>
  <c r="AI50" i="308"/>
  <c r="AI128" i="310" s="1"/>
  <c r="AG23" i="304"/>
  <c r="AG15" i="303" s="1"/>
  <c r="AG39" i="303" s="1"/>
  <c r="AJ21" i="304"/>
  <c r="AG41" i="303"/>
  <c r="AG21" i="303"/>
  <c r="AM52" i="267"/>
  <c r="AM57" i="267"/>
  <c r="AJ63" i="309"/>
  <c r="AJ66" i="309" s="1"/>
  <c r="AJ67" i="309" s="1"/>
  <c r="AJ72" i="309" s="1"/>
  <c r="AJ38" i="305"/>
  <c r="AJ38" i="268"/>
  <c r="AJ38" i="277"/>
  <c r="AJ38" i="271"/>
  <c r="AJ38" i="308"/>
  <c r="AJ38" i="302"/>
  <c r="AK10" i="277"/>
  <c r="AK10" i="268"/>
  <c r="AK10" i="308"/>
  <c r="AK10" i="302"/>
  <c r="AJ37" i="277"/>
  <c r="AJ40" i="277" s="1"/>
  <c r="AJ42" i="277" s="1"/>
  <c r="AJ43" i="277" s="1"/>
  <c r="AJ44" i="277" s="1"/>
  <c r="AJ46" i="277" s="1"/>
  <c r="AJ37" i="271"/>
  <c r="AJ40" i="271" s="1"/>
  <c r="AJ42" i="271" s="1"/>
  <c r="AJ43" i="271" s="1"/>
  <c r="AJ44" i="271" s="1"/>
  <c r="AJ46" i="271" s="1"/>
  <c r="AJ37" i="308"/>
  <c r="AJ40" i="308" s="1"/>
  <c r="AJ42" i="308" s="1"/>
  <c r="AJ43" i="308" s="1"/>
  <c r="AJ44" i="308" s="1"/>
  <c r="AJ46" i="308" s="1"/>
  <c r="AJ37" i="305"/>
  <c r="AJ40" i="305" s="1"/>
  <c r="AJ42" i="305" s="1"/>
  <c r="AJ43" i="305" s="1"/>
  <c r="AJ44" i="305" s="1"/>
  <c r="AJ46" i="305" s="1"/>
  <c r="AJ37" i="302"/>
  <c r="AJ40" i="302" s="1"/>
  <c r="AJ42" i="302" s="1"/>
  <c r="AJ43" i="302" s="1"/>
  <c r="AJ44" i="302" s="1"/>
  <c r="AJ46" i="302" s="1"/>
  <c r="AJ49" i="302" s="1"/>
  <c r="AG24" i="304"/>
  <c r="AG16" i="303" s="1"/>
  <c r="AF41" i="272"/>
  <c r="AF21" i="272"/>
  <c r="AG41" i="272"/>
  <c r="AG21" i="272"/>
  <c r="AF39" i="272"/>
  <c r="AF19" i="272"/>
  <c r="AJ28" i="272"/>
  <c r="AJ32" i="272" s="1"/>
  <c r="AJ29" i="272"/>
  <c r="AJ33" i="272" s="1"/>
  <c r="AJ27" i="272"/>
  <c r="AH41" i="306"/>
  <c r="AH21" i="306"/>
  <c r="AG39" i="306"/>
  <c r="AG19" i="306"/>
  <c r="AG40" i="306"/>
  <c r="AG20" i="306"/>
  <c r="AH40" i="310"/>
  <c r="AH20" i="310"/>
  <c r="AF41" i="278"/>
  <c r="AF21" i="278"/>
  <c r="AJ29" i="278"/>
  <c r="AJ33" i="278" s="1"/>
  <c r="AJ27" i="278"/>
  <c r="AJ28" i="278"/>
  <c r="AJ32" i="278" s="1"/>
  <c r="AF39" i="278"/>
  <c r="AF19" i="278"/>
  <c r="AG41" i="278"/>
  <c r="AG21" i="278"/>
  <c r="AE40" i="269"/>
  <c r="AE100" i="260" s="1"/>
  <c r="AE20" i="269"/>
  <c r="AD40" i="269"/>
  <c r="AD100" i="260" s="1"/>
  <c r="AD20" i="269"/>
  <c r="AF39" i="269"/>
  <c r="AF19" i="269"/>
  <c r="AF41" i="269"/>
  <c r="AF21" i="269"/>
  <c r="AF40" i="269"/>
  <c r="AF20" i="269"/>
  <c r="AE39" i="269"/>
  <c r="AE19" i="269"/>
  <c r="AD39" i="269"/>
  <c r="AD19" i="269"/>
  <c r="AK33" i="269"/>
  <c r="AK32" i="269"/>
  <c r="AI9" i="278"/>
  <c r="AH31" i="278"/>
  <c r="AH35" i="278" s="1"/>
  <c r="AI9" i="272"/>
  <c r="AH31" i="272"/>
  <c r="AH35" i="272" s="1"/>
  <c r="AI9" i="269"/>
  <c r="AH31" i="269"/>
  <c r="AH35" i="269" s="1"/>
  <c r="AG78" i="303"/>
  <c r="AH55" i="273"/>
  <c r="AH22" i="273" s="1"/>
  <c r="AH17" i="272" s="1"/>
  <c r="AG83" i="303"/>
  <c r="AH159" i="303"/>
  <c r="AH166" i="303" s="1"/>
  <c r="AH55" i="303"/>
  <c r="AH62" i="303" s="1"/>
  <c r="AH112" i="303"/>
  <c r="AH29" i="279"/>
  <c r="AH55" i="279" s="1"/>
  <c r="AH22" i="279" s="1"/>
  <c r="AH17" i="278" s="1"/>
  <c r="AG189" i="303"/>
  <c r="AG196" i="303" s="1"/>
  <c r="AF23" i="310"/>
  <c r="AF43" i="310" s="1"/>
  <c r="AH17" i="310"/>
  <c r="AH23" i="309"/>
  <c r="AH15" i="310" s="1"/>
  <c r="AH55" i="304"/>
  <c r="AH22" i="304" s="1"/>
  <c r="AH17" i="303" s="1"/>
  <c r="AJ14" i="271"/>
  <c r="AJ16" i="271" s="1"/>
  <c r="AJ17" i="271" s="1"/>
  <c r="AJ18" i="271" s="1"/>
  <c r="AJ20" i="271" s="1"/>
  <c r="AJ16" i="273"/>
  <c r="AJ59" i="273" s="1"/>
  <c r="AJ13" i="304"/>
  <c r="AG202" i="303"/>
  <c r="AJ14" i="277"/>
  <c r="AJ16" i="277" s="1"/>
  <c r="AJ17" i="277" s="1"/>
  <c r="AJ18" i="277" s="1"/>
  <c r="AJ20" i="277" s="1"/>
  <c r="AJ16" i="279"/>
  <c r="AJ59" i="279" s="1"/>
  <c r="AI63" i="304"/>
  <c r="AI66" i="304" s="1"/>
  <c r="AI67" i="304" s="1"/>
  <c r="AI72" i="304" s="1"/>
  <c r="AI40" i="304"/>
  <c r="AI31" i="304"/>
  <c r="AJ14" i="268"/>
  <c r="AJ16" i="268" s="1"/>
  <c r="AJ17" i="268" s="1"/>
  <c r="AJ18" i="268" s="1"/>
  <c r="AJ20" i="268" s="1"/>
  <c r="AJ16" i="270"/>
  <c r="AJ59" i="270" s="1"/>
  <c r="AJ59" i="304"/>
  <c r="AH113" i="306"/>
  <c r="AH56" i="306"/>
  <c r="AH63" i="306" s="1"/>
  <c r="AH33" i="305"/>
  <c r="AH173" i="306" s="1"/>
  <c r="AH201" i="306" s="1"/>
  <c r="AH72" i="303"/>
  <c r="AH76" i="303" s="1"/>
  <c r="AG66" i="306"/>
  <c r="AI38" i="304"/>
  <c r="AI26" i="302"/>
  <c r="AI56" i="303" s="1"/>
  <c r="AI63" i="303" s="1"/>
  <c r="AK60" i="309"/>
  <c r="AJ14" i="305"/>
  <c r="AJ16" i="305" s="1"/>
  <c r="AJ17" i="305" s="1"/>
  <c r="AJ18" i="305" s="1"/>
  <c r="AJ20" i="305" s="1"/>
  <c r="AJ60" i="307"/>
  <c r="AJ63" i="307" s="1"/>
  <c r="AG23" i="310"/>
  <c r="AG43" i="310" s="1"/>
  <c r="AK1" i="309"/>
  <c r="AK1" i="307"/>
  <c r="AI113" i="310"/>
  <c r="AI160" i="310"/>
  <c r="AI167" i="310" s="1"/>
  <c r="AI56" i="310"/>
  <c r="AI63" i="310" s="1"/>
  <c r="AF23" i="306"/>
  <c r="AF43" i="306" s="1"/>
  <c r="AF177" i="306"/>
  <c r="AF204" i="306" s="1"/>
  <c r="AI29" i="304"/>
  <c r="AI47" i="307"/>
  <c r="AI38" i="307"/>
  <c r="AI29" i="307"/>
  <c r="AI55" i="307" s="1"/>
  <c r="AI22" i="307" s="1"/>
  <c r="AI17" i="306" s="1"/>
  <c r="AH170" i="310"/>
  <c r="AI66" i="307"/>
  <c r="AI67" i="307" s="1"/>
  <c r="AI72" i="307" s="1"/>
  <c r="AJ27" i="307"/>
  <c r="AJ21" i="307"/>
  <c r="AJ13" i="307"/>
  <c r="AI50" i="302"/>
  <c r="AI128" i="303" s="1"/>
  <c r="AI113" i="306"/>
  <c r="AI27" i="305"/>
  <c r="AI25" i="305"/>
  <c r="AH23" i="307"/>
  <c r="AH15" i="306" s="1"/>
  <c r="AJ21" i="309"/>
  <c r="AJ13" i="309"/>
  <c r="AJ27" i="309"/>
  <c r="AI27" i="302"/>
  <c r="AI57" i="303" s="1"/>
  <c r="AI64" i="303" s="1"/>
  <c r="AI49" i="302"/>
  <c r="AI71" i="303" s="1"/>
  <c r="AI75" i="303" s="1"/>
  <c r="AI56" i="306"/>
  <c r="AI63" i="306" s="1"/>
  <c r="AG200" i="306"/>
  <c r="AG175" i="306"/>
  <c r="AH24" i="307"/>
  <c r="AH16" i="306" s="1"/>
  <c r="AC23" i="303"/>
  <c r="AC43" i="303" s="1"/>
  <c r="AG170" i="306"/>
  <c r="AG82" i="310"/>
  <c r="AG66" i="310"/>
  <c r="AH182" i="306"/>
  <c r="AH186" i="306" s="1"/>
  <c r="AH127" i="306"/>
  <c r="AH71" i="306"/>
  <c r="AH75" i="306" s="1"/>
  <c r="AE23" i="278"/>
  <c r="AE43" i="278" s="1"/>
  <c r="AH70" i="306"/>
  <c r="AH74" i="306" s="1"/>
  <c r="AH126" i="306"/>
  <c r="AH181" i="306"/>
  <c r="AH185" i="306" s="1"/>
  <c r="AH170" i="306"/>
  <c r="AH183" i="306"/>
  <c r="AH187" i="306" s="1"/>
  <c r="AH72" i="306"/>
  <c r="AH76" i="306" s="1"/>
  <c r="AH128" i="306"/>
  <c r="AG76" i="306"/>
  <c r="AG83" i="306"/>
  <c r="AG189" i="306"/>
  <c r="AG196" i="306" s="1"/>
  <c r="AG202" i="306"/>
  <c r="AH189" i="303"/>
  <c r="AH196" i="303" s="1"/>
  <c r="AF78" i="306"/>
  <c r="AF85" i="306" s="1"/>
  <c r="AF82" i="306"/>
  <c r="AN2" i="267"/>
  <c r="AK1" i="304"/>
  <c r="AK10" i="305"/>
  <c r="AG17" i="269"/>
  <c r="AI29" i="270"/>
  <c r="AD172" i="269"/>
  <c r="AD200" i="269" s="1"/>
  <c r="AJ29" i="304"/>
  <c r="AI49" i="305"/>
  <c r="AI48" i="305"/>
  <c r="AI50" i="305"/>
  <c r="AJ60" i="304"/>
  <c r="AJ14" i="302"/>
  <c r="AJ16" i="302" s="1"/>
  <c r="AJ17" i="302" s="1"/>
  <c r="AJ18" i="302" s="1"/>
  <c r="AJ20" i="302" s="1"/>
  <c r="AJ25" i="302" s="1"/>
  <c r="AF172" i="269"/>
  <c r="AF200" i="269" s="1"/>
  <c r="AE172" i="269"/>
  <c r="AE200" i="269" s="1"/>
  <c r="AF173" i="269"/>
  <c r="AF201" i="269" s="1"/>
  <c r="AF201" i="303"/>
  <c r="AC175" i="303"/>
  <c r="AC177" i="303" s="1"/>
  <c r="AC204" i="303" s="1"/>
  <c r="AC200" i="303"/>
  <c r="AC111" i="260" s="1"/>
  <c r="AI32" i="302"/>
  <c r="AI172" i="303" s="1"/>
  <c r="AI112" i="303"/>
  <c r="AI55" i="303"/>
  <c r="AI159" i="303"/>
  <c r="AI166" i="303" s="1"/>
  <c r="AK14" i="304"/>
  <c r="AI181" i="303"/>
  <c r="AI185" i="303" s="1"/>
  <c r="AI126" i="303"/>
  <c r="AI70" i="303"/>
  <c r="AI74" i="303" s="1"/>
  <c r="AG82" i="303"/>
  <c r="AG66" i="303"/>
  <c r="AH38" i="279"/>
  <c r="AG24" i="279"/>
  <c r="AG16" i="278" s="1"/>
  <c r="AG23" i="279"/>
  <c r="AG15" i="278" s="1"/>
  <c r="E713" i="261"/>
  <c r="F721" i="261"/>
  <c r="F714" i="261"/>
  <c r="E716" i="261"/>
  <c r="F726" i="261"/>
  <c r="F709" i="261"/>
  <c r="F703" i="261"/>
  <c r="E700" i="261"/>
  <c r="E695" i="261"/>
  <c r="F702" i="261"/>
  <c r="E723" i="261"/>
  <c r="F704" i="261"/>
  <c r="E704" i="261"/>
  <c r="E725" i="261"/>
  <c r="E712" i="261"/>
  <c r="F713" i="261"/>
  <c r="F719" i="261"/>
  <c r="F724" i="261"/>
  <c r="F694" i="261"/>
  <c r="E709" i="261"/>
  <c r="E698" i="261"/>
  <c r="E697" i="261"/>
  <c r="F705" i="261"/>
  <c r="F718" i="261"/>
  <c r="E726" i="261"/>
  <c r="F716" i="261"/>
  <c r="E714" i="261"/>
  <c r="F720" i="261"/>
  <c r="E696" i="261"/>
  <c r="E705" i="261"/>
  <c r="F706" i="261"/>
  <c r="E707" i="261"/>
  <c r="E720" i="261"/>
  <c r="F698" i="261"/>
  <c r="F722" i="261"/>
  <c r="E702" i="261"/>
  <c r="F711" i="261"/>
  <c r="E724" i="261"/>
  <c r="F695" i="261"/>
  <c r="F696" i="261"/>
  <c r="F710" i="261"/>
  <c r="E703" i="261"/>
  <c r="E719" i="261"/>
  <c r="E718" i="261"/>
  <c r="F707" i="261"/>
  <c r="E715" i="261"/>
  <c r="F723" i="261"/>
  <c r="F708" i="261"/>
  <c r="E722" i="261"/>
  <c r="F701" i="261"/>
  <c r="E706" i="261"/>
  <c r="AH66" i="279"/>
  <c r="AH67" i="279" s="1"/>
  <c r="AH72" i="279" s="1"/>
  <c r="AL58" i="267"/>
  <c r="F712" i="261"/>
  <c r="E701" i="261"/>
  <c r="E711" i="261"/>
  <c r="E717" i="261"/>
  <c r="F697" i="261"/>
  <c r="E721" i="261"/>
  <c r="E710" i="261"/>
  <c r="E708" i="261"/>
  <c r="AJ21" i="270"/>
  <c r="AJ27" i="270"/>
  <c r="AJ13" i="270"/>
  <c r="F725" i="261"/>
  <c r="AJ37" i="268"/>
  <c r="AJ40" i="268" s="1"/>
  <c r="AJ42" i="268" s="1"/>
  <c r="AJ43" i="268" s="1"/>
  <c r="AJ44" i="268" s="1"/>
  <c r="AJ46" i="268" s="1"/>
  <c r="AL53" i="267"/>
  <c r="AK1" i="270"/>
  <c r="AK3" i="272"/>
  <c r="AK3" i="278"/>
  <c r="AK1" i="273"/>
  <c r="AM51" i="267"/>
  <c r="AK1" i="279"/>
  <c r="F717" i="261"/>
  <c r="F715" i="261"/>
  <c r="AJ27" i="279"/>
  <c r="AJ13" i="279"/>
  <c r="AJ21" i="279"/>
  <c r="AJ27" i="273"/>
  <c r="AJ13" i="273"/>
  <c r="AJ21" i="273"/>
  <c r="C584" i="261"/>
  <c r="AM56" i="267"/>
  <c r="AI63" i="270"/>
  <c r="AI66" i="270" s="1"/>
  <c r="AI67" i="270" s="1"/>
  <c r="AI72" i="270" s="1"/>
  <c r="AJ94" i="260"/>
  <c r="AI47" i="279"/>
  <c r="AI60" i="279"/>
  <c r="AI63" i="279" s="1"/>
  <c r="AI66" i="279" s="1"/>
  <c r="AI67" i="279" s="1"/>
  <c r="AI72" i="279" s="1"/>
  <c r="AI29" i="273"/>
  <c r="AI60" i="273"/>
  <c r="AI63" i="273" s="1"/>
  <c r="AI66" i="273" s="1"/>
  <c r="AI67" i="273" s="1"/>
  <c r="AI72" i="273" s="1"/>
  <c r="AK6" i="271"/>
  <c r="F699" i="261"/>
  <c r="F700" i="261"/>
  <c r="F727" i="261"/>
  <c r="AK10" i="271"/>
  <c r="AK15" i="273" s="1"/>
  <c r="AK6" i="277"/>
  <c r="AK6" i="268"/>
  <c r="E699" i="261"/>
  <c r="E727" i="261"/>
  <c r="AJ52" i="260"/>
  <c r="AF189" i="272"/>
  <c r="AI38" i="270"/>
  <c r="AH181" i="278"/>
  <c r="AH185" i="278" s="1"/>
  <c r="AH126" i="278"/>
  <c r="AH70" i="278"/>
  <c r="AH183" i="278"/>
  <c r="AH187" i="278" s="1"/>
  <c r="AH128" i="278"/>
  <c r="AH72" i="278"/>
  <c r="AH76" i="278" s="1"/>
  <c r="AH182" i="278"/>
  <c r="AH186" i="278" s="1"/>
  <c r="AH127" i="278"/>
  <c r="AH71" i="278"/>
  <c r="AH75" i="278" s="1"/>
  <c r="AH114" i="278"/>
  <c r="AH161" i="278"/>
  <c r="AH57" i="278"/>
  <c r="AH32" i="277"/>
  <c r="AH172" i="278" s="1"/>
  <c r="AH55" i="278"/>
  <c r="AH159" i="278"/>
  <c r="AH112" i="278"/>
  <c r="AH113" i="278"/>
  <c r="AH160" i="278"/>
  <c r="AH167" i="278" s="1"/>
  <c r="AH56" i="278"/>
  <c r="AH63" i="278" s="1"/>
  <c r="AH33" i="277"/>
  <c r="AH173" i="278" s="1"/>
  <c r="AI25" i="277"/>
  <c r="AI27" i="277"/>
  <c r="AI26" i="277"/>
  <c r="AI50" i="277"/>
  <c r="AI48" i="277"/>
  <c r="AI49" i="277"/>
  <c r="AI27" i="271"/>
  <c r="AI26" i="271"/>
  <c r="AI25" i="271"/>
  <c r="AI50" i="271"/>
  <c r="AI49" i="271"/>
  <c r="AI48" i="271"/>
  <c r="AH70" i="272"/>
  <c r="AH74" i="272" s="1"/>
  <c r="AH126" i="272"/>
  <c r="AH181" i="272"/>
  <c r="AH71" i="272"/>
  <c r="AH75" i="272" s="1"/>
  <c r="AH127" i="272"/>
  <c r="AH182" i="272"/>
  <c r="AH186" i="272" s="1"/>
  <c r="AH72" i="272"/>
  <c r="AH76" i="272" s="1"/>
  <c r="AH128" i="272"/>
  <c r="AH183" i="272"/>
  <c r="AH187" i="272" s="1"/>
  <c r="AH32" i="271"/>
  <c r="AH172" i="272" s="1"/>
  <c r="AH159" i="272"/>
  <c r="AH55" i="272"/>
  <c r="AH112" i="272"/>
  <c r="AH160" i="272"/>
  <c r="AH56" i="272"/>
  <c r="AH113" i="272"/>
  <c r="AH33" i="271"/>
  <c r="AH173" i="272" s="1"/>
  <c r="AH161" i="272"/>
  <c r="AH57" i="272"/>
  <c r="AH114" i="272"/>
  <c r="AF170" i="272"/>
  <c r="AF202" i="272"/>
  <c r="AG185" i="272"/>
  <c r="AG189" i="272" s="1"/>
  <c r="AG78" i="269"/>
  <c r="AJ14" i="273"/>
  <c r="AJ14" i="279"/>
  <c r="AH55" i="270"/>
  <c r="AH22" i="270" s="1"/>
  <c r="AG23" i="270"/>
  <c r="AG74" i="272"/>
  <c r="AG78" i="272" s="1"/>
  <c r="AI47" i="270"/>
  <c r="AJ14" i="270"/>
  <c r="AJ60" i="270"/>
  <c r="AF202" i="278"/>
  <c r="AF83" i="272"/>
  <c r="AI49" i="268"/>
  <c r="AI127" i="269" s="1"/>
  <c r="AF78" i="278"/>
  <c r="AH50" i="268"/>
  <c r="AH71" i="269"/>
  <c r="AH75" i="269" s="1"/>
  <c r="AH127" i="269"/>
  <c r="AH182" i="269"/>
  <c r="AH186" i="269" s="1"/>
  <c r="AF170" i="278"/>
  <c r="AH48" i="268"/>
  <c r="AF189" i="278"/>
  <c r="AF83" i="278"/>
  <c r="AH26" i="268"/>
  <c r="AH160" i="269" s="1"/>
  <c r="AH167" i="269" s="1"/>
  <c r="AG24" i="270"/>
  <c r="AH27" i="268"/>
  <c r="AH114" i="269" s="1"/>
  <c r="AE85" i="278"/>
  <c r="D579" i="261"/>
  <c r="AD66" i="269"/>
  <c r="AI17" i="268"/>
  <c r="AI18" i="268" s="1"/>
  <c r="AE94" i="260"/>
  <c r="AF94" i="260"/>
  <c r="AG94" i="260"/>
  <c r="AH94" i="260"/>
  <c r="AI94" i="260"/>
  <c r="AG23" i="273"/>
  <c r="AG15" i="272" s="1"/>
  <c r="AG24" i="273"/>
  <c r="AG16" i="272" s="1"/>
  <c r="AE33" i="268"/>
  <c r="AG189" i="278"/>
  <c r="AE23" i="272"/>
  <c r="AE43" i="272" s="1"/>
  <c r="AG78" i="278"/>
  <c r="AG166" i="272"/>
  <c r="AF170" i="269"/>
  <c r="AF202" i="269"/>
  <c r="AI40" i="273"/>
  <c r="AI31" i="273"/>
  <c r="AG201" i="272"/>
  <c r="AG167" i="272"/>
  <c r="AG63" i="272"/>
  <c r="AF83" i="269"/>
  <c r="AF62" i="269"/>
  <c r="AF66" i="278"/>
  <c r="AF82" i="278"/>
  <c r="AH32" i="268"/>
  <c r="AH159" i="269"/>
  <c r="AH166" i="269" s="1"/>
  <c r="AH112" i="269"/>
  <c r="AH55" i="269"/>
  <c r="AF66" i="272"/>
  <c r="AF85" i="272" s="1"/>
  <c r="AF82" i="272"/>
  <c r="AI40" i="270"/>
  <c r="AI31" i="270"/>
  <c r="AG32" i="268"/>
  <c r="AG112" i="269"/>
  <c r="AG55" i="269"/>
  <c r="AG159" i="269"/>
  <c r="AG166" i="269" s="1"/>
  <c r="AG161" i="269"/>
  <c r="AG168" i="269" s="1"/>
  <c r="AG114" i="269"/>
  <c r="AG57" i="269"/>
  <c r="AG64" i="269" s="1"/>
  <c r="AG64" i="278"/>
  <c r="AG168" i="278"/>
  <c r="AG56" i="269"/>
  <c r="AG63" i="269" s="1"/>
  <c r="AG160" i="269"/>
  <c r="AG167" i="269" s="1"/>
  <c r="AG113" i="269"/>
  <c r="AG33" i="268"/>
  <c r="AG63" i="278"/>
  <c r="AG167" i="278"/>
  <c r="AG201" i="278"/>
  <c r="AI40" i="279"/>
  <c r="AI31" i="279"/>
  <c r="AG166" i="278"/>
  <c r="AG64" i="272"/>
  <c r="AG168" i="272"/>
  <c r="AE78" i="272"/>
  <c r="AE85" i="272" s="1"/>
  <c r="AE82" i="272"/>
  <c r="AE56" i="269"/>
  <c r="AE63" i="269" s="1"/>
  <c r="AE113" i="269"/>
  <c r="AE161" i="269"/>
  <c r="AE168" i="269" s="1"/>
  <c r="AE170" i="269" s="1"/>
  <c r="AE57" i="269"/>
  <c r="AE64" i="269" s="1"/>
  <c r="AE114" i="269"/>
  <c r="D16" i="260"/>
  <c r="D32" i="260" s="1"/>
  <c r="C10" i="260"/>
  <c r="E16" i="260"/>
  <c r="E32" i="260" s="1"/>
  <c r="AJ25" i="327" l="1"/>
  <c r="AH181" i="329"/>
  <c r="AH185" i="329" s="1"/>
  <c r="AJ26" i="327"/>
  <c r="AH126" i="329"/>
  <c r="AH132" i="329" s="1"/>
  <c r="AH194" i="329"/>
  <c r="AH70" i="329"/>
  <c r="AH74" i="329" s="1"/>
  <c r="AN10" i="267"/>
  <c r="AN8" i="267"/>
  <c r="AN11" i="267"/>
  <c r="AN7" i="267"/>
  <c r="AN12" i="267"/>
  <c r="AN9" i="267"/>
  <c r="AL194" i="269"/>
  <c r="L727" i="261"/>
  <c r="G727" i="261"/>
  <c r="AH117" i="306"/>
  <c r="AI50" i="312"/>
  <c r="AI17" i="310"/>
  <c r="AI23" i="309"/>
  <c r="AI15" i="310" s="1"/>
  <c r="AI24" i="309"/>
  <c r="AI16" i="310" s="1"/>
  <c r="AN39" i="267"/>
  <c r="AN45" i="267"/>
  <c r="AN30" i="267"/>
  <c r="AN44" i="267"/>
  <c r="K275" i="261" s="1"/>
  <c r="AN40" i="267"/>
  <c r="AN29" i="267"/>
  <c r="E272" i="261" s="1"/>
  <c r="N284" i="261"/>
  <c r="N292" i="261" s="1"/>
  <c r="H284" i="261"/>
  <c r="H292" i="261" s="1"/>
  <c r="M284" i="261"/>
  <c r="M292" i="261" s="1"/>
  <c r="D284" i="261"/>
  <c r="D292" i="261" s="1"/>
  <c r="I284" i="261"/>
  <c r="I292" i="261" s="1"/>
  <c r="O284" i="261"/>
  <c r="O292" i="261" s="1"/>
  <c r="E284" i="261"/>
  <c r="E292" i="261" s="1"/>
  <c r="F284" i="261"/>
  <c r="F292" i="261" s="1"/>
  <c r="J284" i="261"/>
  <c r="J292" i="261" s="1"/>
  <c r="K284" i="261"/>
  <c r="K292" i="261" s="1"/>
  <c r="G284" i="261"/>
  <c r="G292" i="261" s="1"/>
  <c r="N287" i="261"/>
  <c r="N295" i="261" s="1"/>
  <c r="L284" i="261"/>
  <c r="L292" i="261" s="1"/>
  <c r="J290" i="261"/>
  <c r="J298" i="261" s="1"/>
  <c r="G288" i="261"/>
  <c r="G296" i="261" s="1"/>
  <c r="L286" i="261"/>
  <c r="L294" i="261" s="1"/>
  <c r="D290" i="261"/>
  <c r="D298" i="261" s="1"/>
  <c r="F272" i="261"/>
  <c r="H286" i="261"/>
  <c r="H294" i="261" s="1"/>
  <c r="H287" i="261"/>
  <c r="H295" i="261" s="1"/>
  <c r="M288" i="261"/>
  <c r="M296" i="261" s="1"/>
  <c r="H288" i="261"/>
  <c r="H296" i="261" s="1"/>
  <c r="G274" i="261"/>
  <c r="F289" i="261"/>
  <c r="F297" i="261" s="1"/>
  <c r="J272" i="261"/>
  <c r="F288" i="261"/>
  <c r="F296" i="261" s="1"/>
  <c r="K287" i="261"/>
  <c r="K295" i="261" s="1"/>
  <c r="L290" i="261"/>
  <c r="L298" i="261" s="1"/>
  <c r="O288" i="261"/>
  <c r="O296" i="261" s="1"/>
  <c r="N288" i="261"/>
  <c r="N296" i="261" s="1"/>
  <c r="J287" i="261"/>
  <c r="J295" i="261" s="1"/>
  <c r="G272" i="261"/>
  <c r="G287" i="261"/>
  <c r="G295" i="261" s="1"/>
  <c r="D278" i="261"/>
  <c r="M290" i="261"/>
  <c r="M298" i="261" s="1"/>
  <c r="D286" i="261"/>
  <c r="D294" i="261" s="1"/>
  <c r="H272" i="261"/>
  <c r="J275" i="261"/>
  <c r="O286" i="261"/>
  <c r="O294" i="261" s="1"/>
  <c r="J274" i="261"/>
  <c r="K274" i="261"/>
  <c r="F275" i="261"/>
  <c r="M287" i="261"/>
  <c r="M295" i="261" s="1"/>
  <c r="J288" i="261"/>
  <c r="J296" i="261" s="1"/>
  <c r="F287" i="261"/>
  <c r="F295" i="261" s="1"/>
  <c r="I287" i="261"/>
  <c r="I295" i="261" s="1"/>
  <c r="I289" i="261"/>
  <c r="I297" i="261" s="1"/>
  <c r="E273" i="261"/>
  <c r="E288" i="261"/>
  <c r="E296" i="261" s="1"/>
  <c r="I290" i="261"/>
  <c r="I298" i="261" s="1"/>
  <c r="E290" i="261"/>
  <c r="E298" i="261" s="1"/>
  <c r="I288" i="261"/>
  <c r="I296" i="261" s="1"/>
  <c r="J289" i="261"/>
  <c r="J297" i="261" s="1"/>
  <c r="D288" i="261"/>
  <c r="D296" i="261" s="1"/>
  <c r="H290" i="261"/>
  <c r="H298" i="261" s="1"/>
  <c r="E289" i="261"/>
  <c r="E297" i="261" s="1"/>
  <c r="K290" i="261"/>
  <c r="K298" i="261" s="1"/>
  <c r="L287" i="261"/>
  <c r="L295" i="261" s="1"/>
  <c r="D287" i="261"/>
  <c r="D295" i="261" s="1"/>
  <c r="I272" i="261"/>
  <c r="E287" i="261"/>
  <c r="E295" i="261" s="1"/>
  <c r="K289" i="261"/>
  <c r="K297" i="261" s="1"/>
  <c r="N289" i="261"/>
  <c r="N297" i="261" s="1"/>
  <c r="I285" i="261"/>
  <c r="I293" i="261" s="1"/>
  <c r="J273" i="261"/>
  <c r="N286" i="261"/>
  <c r="N294" i="261" s="1"/>
  <c r="E275" i="261"/>
  <c r="K288" i="261"/>
  <c r="K296" i="261" s="1"/>
  <c r="K273" i="261"/>
  <c r="F273" i="261"/>
  <c r="G286" i="261"/>
  <c r="G294" i="261" s="1"/>
  <c r="M289" i="261"/>
  <c r="M297" i="261" s="1"/>
  <c r="E285" i="261"/>
  <c r="E293" i="261" s="1"/>
  <c r="G273" i="261"/>
  <c r="E286" i="261"/>
  <c r="E294" i="261" s="1"/>
  <c r="N290" i="261"/>
  <c r="N298" i="261" s="1"/>
  <c r="I286" i="261"/>
  <c r="I294" i="261" s="1"/>
  <c r="G285" i="261"/>
  <c r="G293" i="261" s="1"/>
  <c r="F286" i="261"/>
  <c r="F294" i="261" s="1"/>
  <c r="J286" i="261"/>
  <c r="J294" i="261" s="1"/>
  <c r="H275" i="261"/>
  <c r="I275" i="261"/>
  <c r="H274" i="261"/>
  <c r="M286" i="261"/>
  <c r="M294" i="261" s="1"/>
  <c r="H289" i="261"/>
  <c r="H297" i="261" s="1"/>
  <c r="O289" i="261"/>
  <c r="O297" i="261" s="1"/>
  <c r="G290" i="261"/>
  <c r="G298" i="261" s="1"/>
  <c r="G289" i="261"/>
  <c r="G297" i="261" s="1"/>
  <c r="F290" i="261"/>
  <c r="F298" i="261" s="1"/>
  <c r="L289" i="261"/>
  <c r="L297" i="261" s="1"/>
  <c r="E274" i="261"/>
  <c r="H273" i="261"/>
  <c r="D273" i="261"/>
  <c r="O287" i="261"/>
  <c r="O295" i="261" s="1"/>
  <c r="K286" i="261"/>
  <c r="K294" i="261" s="1"/>
  <c r="D274" i="261"/>
  <c r="L288" i="261"/>
  <c r="L296" i="261" s="1"/>
  <c r="K272" i="261"/>
  <c r="N285" i="261"/>
  <c r="N293" i="261" s="1"/>
  <c r="D289" i="261"/>
  <c r="D297" i="261" s="1"/>
  <c r="G275" i="261"/>
  <c r="I274" i="261"/>
  <c r="O290" i="261"/>
  <c r="O298" i="261" s="1"/>
  <c r="I273" i="261"/>
  <c r="F274" i="261"/>
  <c r="M285" i="261"/>
  <c r="M293" i="261" s="1"/>
  <c r="D279" i="261"/>
  <c r="D272" i="261"/>
  <c r="D275" i="261"/>
  <c r="D277" i="261"/>
  <c r="D280" i="261"/>
  <c r="E278" i="261"/>
  <c r="E277" i="261"/>
  <c r="E280" i="261"/>
  <c r="E279" i="261"/>
  <c r="F280" i="261"/>
  <c r="F279" i="261"/>
  <c r="F277" i="261"/>
  <c r="F278" i="261"/>
  <c r="G279" i="261"/>
  <c r="G280" i="261"/>
  <c r="G277" i="261"/>
  <c r="G278" i="261"/>
  <c r="H279" i="261"/>
  <c r="H278" i="261"/>
  <c r="H280" i="261"/>
  <c r="H277" i="261"/>
  <c r="I277" i="261"/>
  <c r="I278" i="261"/>
  <c r="I279" i="261"/>
  <c r="I280" i="261"/>
  <c r="J278" i="261"/>
  <c r="AJ31" i="309"/>
  <c r="AJ40" i="309"/>
  <c r="J279" i="261"/>
  <c r="AJ41" i="319"/>
  <c r="AJ32" i="319"/>
  <c r="AK11" i="315"/>
  <c r="AK18" i="316" s="1"/>
  <c r="AK11" i="312"/>
  <c r="AK18" i="314" s="1"/>
  <c r="AK11" i="318"/>
  <c r="AK18" i="319" s="1"/>
  <c r="AI118" i="328"/>
  <c r="AI85" i="328" s="1"/>
  <c r="AJ41" i="316"/>
  <c r="AJ32" i="316"/>
  <c r="AK11" i="268"/>
  <c r="AK17" i="270" s="1"/>
  <c r="AK11" i="308"/>
  <c r="AK17" i="309" s="1"/>
  <c r="AK11" i="302"/>
  <c r="AK17" i="304" s="1"/>
  <c r="AK11" i="277"/>
  <c r="AK17" i="279" s="1"/>
  <c r="J277" i="261"/>
  <c r="J280" i="261"/>
  <c r="AI92" i="328"/>
  <c r="AG85" i="310"/>
  <c r="AI110" i="328"/>
  <c r="E686" i="261"/>
  <c r="AF43" i="320"/>
  <c r="AI101" i="316"/>
  <c r="AH129" i="314"/>
  <c r="AH130" i="314" s="1"/>
  <c r="AH135" i="314" s="1"/>
  <c r="AH67" i="314"/>
  <c r="AH68" i="314" s="1"/>
  <c r="AH73" i="314" s="1"/>
  <c r="AH25" i="314" s="1"/>
  <c r="AH16" i="313" s="1"/>
  <c r="AH20" i="313" s="1"/>
  <c r="AK77" i="322"/>
  <c r="AK15" i="322"/>
  <c r="AK77" i="314"/>
  <c r="AK15" i="314"/>
  <c r="AK77" i="316"/>
  <c r="AK15" i="316"/>
  <c r="AK77" i="325"/>
  <c r="AK15" i="325"/>
  <c r="AL6" i="277"/>
  <c r="AL14" i="279" s="1"/>
  <c r="AL6" i="321"/>
  <c r="AL6" i="305"/>
  <c r="AL14" i="307" s="1"/>
  <c r="AL6" i="324"/>
  <c r="AL6" i="268"/>
  <c r="AL14" i="270" s="1"/>
  <c r="AK77" i="328"/>
  <c r="AK15" i="328"/>
  <c r="AK77" i="319"/>
  <c r="AK15" i="319"/>
  <c r="AK102" i="272"/>
  <c r="AK103" i="272"/>
  <c r="AK100" i="272"/>
  <c r="AK101" i="272"/>
  <c r="AK97" i="272"/>
  <c r="AK95" i="272"/>
  <c r="AK98" i="272"/>
  <c r="AK96" i="272"/>
  <c r="AK93" i="272"/>
  <c r="AK90" i="272"/>
  <c r="AK92" i="272"/>
  <c r="AK91" i="272"/>
  <c r="AK100" i="320"/>
  <c r="AK101" i="320"/>
  <c r="AK102" i="320"/>
  <c r="AK103" i="320"/>
  <c r="AK97" i="320"/>
  <c r="AK95" i="320"/>
  <c r="AK91" i="320"/>
  <c r="AK98" i="320"/>
  <c r="AK92" i="320"/>
  <c r="AK96" i="320"/>
  <c r="AK93" i="320"/>
  <c r="AK90" i="320"/>
  <c r="AK102" i="313"/>
  <c r="AK103" i="313"/>
  <c r="AK100" i="313"/>
  <c r="AK101" i="313"/>
  <c r="AK98" i="313"/>
  <c r="AK97" i="313"/>
  <c r="AK95" i="313"/>
  <c r="AK91" i="313"/>
  <c r="AK92" i="313"/>
  <c r="AK93" i="313"/>
  <c r="AK96" i="313"/>
  <c r="AK90" i="313"/>
  <c r="AK100" i="326"/>
  <c r="AK101" i="326"/>
  <c r="AK102" i="326"/>
  <c r="AK103" i="326"/>
  <c r="AK90" i="326"/>
  <c r="AK97" i="326"/>
  <c r="AK95" i="326"/>
  <c r="AK91" i="326"/>
  <c r="AK98" i="326"/>
  <c r="AK92" i="326"/>
  <c r="AK96" i="326"/>
  <c r="AK93" i="326"/>
  <c r="AN67" i="267"/>
  <c r="AL38" i="327" s="1"/>
  <c r="AL80" i="328" s="1"/>
  <c r="AL3" i="278"/>
  <c r="AL3" i="313"/>
  <c r="AL1" i="273"/>
  <c r="AL1" i="328"/>
  <c r="AL3" i="326"/>
  <c r="AL1" i="309"/>
  <c r="AL1" i="314"/>
  <c r="AL3" i="320"/>
  <c r="AL3" i="323"/>
  <c r="AL1" i="304"/>
  <c r="AL1" i="307"/>
  <c r="AL1" i="279"/>
  <c r="AL1" i="316"/>
  <c r="AL1" i="319"/>
  <c r="AL3" i="272"/>
  <c r="AL3" i="317"/>
  <c r="AL3" i="329"/>
  <c r="AL1" i="270"/>
  <c r="AL1" i="322"/>
  <c r="AL1" i="325"/>
  <c r="AK100" i="323"/>
  <c r="AK101" i="323"/>
  <c r="AK102" i="323"/>
  <c r="AK103" i="323"/>
  <c r="AK90" i="323"/>
  <c r="AK97" i="323"/>
  <c r="AK95" i="323"/>
  <c r="AK91" i="323"/>
  <c r="AK92" i="323"/>
  <c r="AK93" i="323"/>
  <c r="AK98" i="323"/>
  <c r="AK96" i="323"/>
  <c r="AK102" i="278"/>
  <c r="AK103" i="278"/>
  <c r="AK100" i="278"/>
  <c r="AK101" i="278"/>
  <c r="AK96" i="278"/>
  <c r="AK93" i="278"/>
  <c r="AK90" i="278"/>
  <c r="AK97" i="278"/>
  <c r="AK95" i="278"/>
  <c r="AK91" i="278"/>
  <c r="AK98" i="278"/>
  <c r="AK92" i="278"/>
  <c r="AK103" i="317"/>
  <c r="AK100" i="317"/>
  <c r="AK101" i="317"/>
  <c r="AK102" i="317"/>
  <c r="AK90" i="317"/>
  <c r="AK97" i="317"/>
  <c r="AK95" i="317"/>
  <c r="AK91" i="317"/>
  <c r="AK98" i="317"/>
  <c r="AK96" i="317"/>
  <c r="AK92" i="317"/>
  <c r="AK93" i="317"/>
  <c r="AK100" i="329"/>
  <c r="AK101" i="329"/>
  <c r="AK102" i="329"/>
  <c r="AK103" i="329"/>
  <c r="AK96" i="329"/>
  <c r="AK93" i="329"/>
  <c r="AK97" i="329"/>
  <c r="AK95" i="329"/>
  <c r="AK98" i="329"/>
  <c r="AK92" i="329"/>
  <c r="AK91" i="329"/>
  <c r="AK90" i="329"/>
  <c r="AI48" i="312"/>
  <c r="AI52" i="312" s="1"/>
  <c r="AI191" i="313" s="1"/>
  <c r="AI200" i="313" s="1"/>
  <c r="AE119" i="269"/>
  <c r="AN31" i="267"/>
  <c r="AL10" i="305"/>
  <c r="AL10" i="268"/>
  <c r="AL10" i="271"/>
  <c r="AL10" i="308"/>
  <c r="AL10" i="277"/>
  <c r="AL10" i="302"/>
  <c r="AN41" i="267"/>
  <c r="AL10" i="312"/>
  <c r="AL10" i="315"/>
  <c r="AL10" i="318"/>
  <c r="AL11" i="321"/>
  <c r="AL18" i="322" s="1"/>
  <c r="AL11" i="324"/>
  <c r="AL18" i="325" s="1"/>
  <c r="AL11" i="327"/>
  <c r="AL18" i="328" s="1"/>
  <c r="AN46" i="267"/>
  <c r="AL10" i="321"/>
  <c r="AL10" i="324"/>
  <c r="AL10" i="327"/>
  <c r="AH132" i="303"/>
  <c r="AH131" i="303"/>
  <c r="AH140" i="272"/>
  <c r="AH141" i="272"/>
  <c r="AH142" i="272"/>
  <c r="AH118" i="272"/>
  <c r="AH119" i="272"/>
  <c r="AH143" i="272"/>
  <c r="AH116" i="272"/>
  <c r="AH117" i="272"/>
  <c r="AH143" i="320"/>
  <c r="AH119" i="320"/>
  <c r="AH140" i="320"/>
  <c r="AH141" i="320"/>
  <c r="AH118" i="320"/>
  <c r="AH116" i="320"/>
  <c r="AH142" i="320"/>
  <c r="AH117" i="320"/>
  <c r="AG142" i="269"/>
  <c r="AG118" i="269"/>
  <c r="AG143" i="269"/>
  <c r="AG119" i="269"/>
  <c r="AG140" i="269"/>
  <c r="AG141" i="269"/>
  <c r="AG116" i="269"/>
  <c r="AG117" i="269"/>
  <c r="AH142" i="278"/>
  <c r="AH118" i="278"/>
  <c r="AH143" i="278"/>
  <c r="AH119" i="278"/>
  <c r="AH140" i="278"/>
  <c r="AH116" i="278"/>
  <c r="AH141" i="278"/>
  <c r="AH117" i="278"/>
  <c r="AH143" i="303"/>
  <c r="AH119" i="303"/>
  <c r="AH140" i="303"/>
  <c r="AH116" i="303"/>
  <c r="AH141" i="303"/>
  <c r="AH117" i="303"/>
  <c r="AH118" i="303"/>
  <c r="AH142" i="303"/>
  <c r="AH132" i="317"/>
  <c r="AH133" i="317"/>
  <c r="AH130" i="317"/>
  <c r="AH131" i="317"/>
  <c r="AH131" i="313"/>
  <c r="AH132" i="313"/>
  <c r="AH133" i="313"/>
  <c r="AH130" i="313"/>
  <c r="AH132" i="326"/>
  <c r="AH133" i="326"/>
  <c r="AH130" i="326"/>
  <c r="AH131" i="326"/>
  <c r="AH142" i="326"/>
  <c r="AH118" i="326"/>
  <c r="AH143" i="326"/>
  <c r="AH119" i="326"/>
  <c r="AH140" i="326"/>
  <c r="AH116" i="326"/>
  <c r="AH141" i="326"/>
  <c r="AH117" i="326"/>
  <c r="AH142" i="317"/>
  <c r="AH118" i="317"/>
  <c r="AH143" i="317"/>
  <c r="AH119" i="317"/>
  <c r="AH140" i="317"/>
  <c r="AH116" i="317"/>
  <c r="AH141" i="317"/>
  <c r="AH117" i="317"/>
  <c r="AH132" i="310"/>
  <c r="AH133" i="310"/>
  <c r="AH130" i="310"/>
  <c r="AH131" i="310"/>
  <c r="AH130" i="303"/>
  <c r="AH143" i="313"/>
  <c r="AH141" i="313"/>
  <c r="AH140" i="329"/>
  <c r="AH118" i="306"/>
  <c r="AH143" i="306"/>
  <c r="AH119" i="306"/>
  <c r="AH141" i="306"/>
  <c r="AH133" i="306"/>
  <c r="AH131" i="306"/>
  <c r="AH132" i="306"/>
  <c r="AH130" i="306"/>
  <c r="AH131" i="329"/>
  <c r="AH133" i="320"/>
  <c r="AH131" i="320"/>
  <c r="AH130" i="320"/>
  <c r="AH132" i="320"/>
  <c r="AI119" i="329"/>
  <c r="AI116" i="329"/>
  <c r="AI117" i="329"/>
  <c r="AI118" i="329"/>
  <c r="AH142" i="310"/>
  <c r="AH143" i="310"/>
  <c r="AH140" i="310"/>
  <c r="AH117" i="310"/>
  <c r="AH118" i="310"/>
  <c r="AH141" i="310"/>
  <c r="AH119" i="310"/>
  <c r="AH116" i="310"/>
  <c r="AH133" i="303"/>
  <c r="AH140" i="306"/>
  <c r="AH142" i="306"/>
  <c r="AE117" i="269"/>
  <c r="AE118" i="269"/>
  <c r="AH131" i="323"/>
  <c r="AH132" i="323"/>
  <c r="AH133" i="323"/>
  <c r="AH130" i="323"/>
  <c r="AH130" i="272"/>
  <c r="AH131" i="272"/>
  <c r="AH132" i="272"/>
  <c r="AH133" i="272"/>
  <c r="AH132" i="278"/>
  <c r="AH133" i="278"/>
  <c r="AH130" i="278"/>
  <c r="AH131" i="278"/>
  <c r="AH141" i="323"/>
  <c r="AH117" i="323"/>
  <c r="AH142" i="323"/>
  <c r="AH118" i="323"/>
  <c r="AH143" i="323"/>
  <c r="AH119" i="323"/>
  <c r="AH140" i="323"/>
  <c r="AH116" i="323"/>
  <c r="AI118" i="313"/>
  <c r="AI119" i="313"/>
  <c r="AI116" i="313"/>
  <c r="AI117" i="313"/>
  <c r="AH140" i="313"/>
  <c r="AH142" i="313"/>
  <c r="AH116" i="306"/>
  <c r="AE116" i="269"/>
  <c r="AI92" i="325"/>
  <c r="AI118" i="325"/>
  <c r="AI85" i="325" s="1"/>
  <c r="AI29" i="326" s="1"/>
  <c r="AI33" i="326" s="1"/>
  <c r="AK13" i="289"/>
  <c r="AK49" i="260" s="1"/>
  <c r="J88" i="261" s="1"/>
  <c r="AI110" i="325"/>
  <c r="AI101" i="322"/>
  <c r="AI118" i="322" s="1"/>
  <c r="AI85" i="322" s="1"/>
  <c r="AI118" i="316"/>
  <c r="AI85" i="316" s="1"/>
  <c r="AI29" i="317" s="1"/>
  <c r="AI33" i="317" s="1"/>
  <c r="AI110" i="322"/>
  <c r="AK107" i="278"/>
  <c r="AK106" i="278"/>
  <c r="AK108" i="278"/>
  <c r="AK105" i="278"/>
  <c r="AK107" i="317"/>
  <c r="AK106" i="317"/>
  <c r="AK105" i="317"/>
  <c r="AK108" i="317"/>
  <c r="AK107" i="329"/>
  <c r="AK108" i="329"/>
  <c r="AK106" i="329"/>
  <c r="AK105" i="329"/>
  <c r="AK108" i="272"/>
  <c r="AK106" i="272"/>
  <c r="AK107" i="272"/>
  <c r="AK105" i="272"/>
  <c r="AK107" i="313"/>
  <c r="AK106" i="313"/>
  <c r="AK108" i="313"/>
  <c r="AK105" i="313"/>
  <c r="AK106" i="326"/>
  <c r="AK107" i="326"/>
  <c r="AK105" i="326"/>
  <c r="AK108" i="326"/>
  <c r="AK107" i="320"/>
  <c r="AK106" i="320"/>
  <c r="AK105" i="320"/>
  <c r="AK108" i="320"/>
  <c r="AK107" i="323"/>
  <c r="AK106" i="323"/>
  <c r="AK105" i="323"/>
  <c r="AK108" i="323"/>
  <c r="AG39" i="320"/>
  <c r="AJ78" i="319"/>
  <c r="AJ92" i="319" s="1"/>
  <c r="AJ79" i="319"/>
  <c r="AJ78" i="322"/>
  <c r="AJ92" i="322" s="1"/>
  <c r="AJ79" i="322"/>
  <c r="AI126" i="314"/>
  <c r="AI64" i="314"/>
  <c r="AJ79" i="316"/>
  <c r="AJ78" i="316"/>
  <c r="AJ101" i="316" s="1"/>
  <c r="AJ78" i="325"/>
  <c r="AJ92" i="325" s="1"/>
  <c r="AJ79" i="325"/>
  <c r="AJ60" i="314"/>
  <c r="AJ40" i="312"/>
  <c r="AJ42" i="312" s="1"/>
  <c r="AJ43" i="312" s="1"/>
  <c r="AJ44" i="312" s="1"/>
  <c r="AJ46" i="312" s="1"/>
  <c r="AJ48" i="312" s="1"/>
  <c r="AJ52" i="312" s="1"/>
  <c r="AJ191" i="313" s="1"/>
  <c r="AJ79" i="314"/>
  <c r="AJ78" i="314"/>
  <c r="AK16" i="328"/>
  <c r="AK17" i="328"/>
  <c r="AJ78" i="328"/>
  <c r="AJ110" i="328" s="1"/>
  <c r="AJ79" i="328"/>
  <c r="AF204" i="317"/>
  <c r="AI48" i="318"/>
  <c r="AI52" i="318" s="1"/>
  <c r="AI191" i="320" s="1"/>
  <c r="AI49" i="318"/>
  <c r="AI53" i="318" s="1"/>
  <c r="AI192" i="320" s="1"/>
  <c r="AH194" i="313"/>
  <c r="AG40" i="317"/>
  <c r="AI48" i="315"/>
  <c r="AI126" i="317" s="1"/>
  <c r="AI49" i="315"/>
  <c r="AI127" i="317" s="1"/>
  <c r="AJ25" i="312"/>
  <c r="AJ159" i="313" s="1"/>
  <c r="AJ166" i="313" s="1"/>
  <c r="AF35" i="317"/>
  <c r="AI33" i="308"/>
  <c r="AI173" i="310" s="1"/>
  <c r="AI201" i="310" s="1"/>
  <c r="AI114" i="310"/>
  <c r="AI118" i="310" s="1"/>
  <c r="AI161" i="310"/>
  <c r="AI168" i="310" s="1"/>
  <c r="AG39" i="323"/>
  <c r="AG40" i="320"/>
  <c r="AK16" i="316"/>
  <c r="AK17" i="316"/>
  <c r="AG41" i="313"/>
  <c r="AK16" i="314"/>
  <c r="AK17" i="314"/>
  <c r="AK122" i="314" s="1"/>
  <c r="AK15" i="279"/>
  <c r="AK16" i="309"/>
  <c r="AK59" i="309" s="1"/>
  <c r="AK15" i="309"/>
  <c r="AK38" i="309" s="1"/>
  <c r="AK16" i="307"/>
  <c r="AK59" i="307" s="1"/>
  <c r="AK15" i="307"/>
  <c r="AK16" i="270"/>
  <c r="AK59" i="270" s="1"/>
  <c r="AK15" i="270"/>
  <c r="AK16" i="304"/>
  <c r="AK59" i="304" s="1"/>
  <c r="AK15" i="304"/>
  <c r="AK38" i="304" s="1"/>
  <c r="AG32" i="323"/>
  <c r="AG40" i="323"/>
  <c r="AG32" i="329"/>
  <c r="AG35" i="329" s="1"/>
  <c r="AG40" i="329"/>
  <c r="AG32" i="326"/>
  <c r="AG35" i="326" s="1"/>
  <c r="AG40" i="326"/>
  <c r="N728" i="261"/>
  <c r="M728" i="261"/>
  <c r="AK38" i="312"/>
  <c r="AK80" i="314" s="1"/>
  <c r="AK38" i="318"/>
  <c r="AK80" i="319" s="1"/>
  <c r="AK38" i="315"/>
  <c r="AK80" i="316" s="1"/>
  <c r="AI126" i="319"/>
  <c r="AI64" i="319"/>
  <c r="AH129" i="328"/>
  <c r="AH130" i="328" s="1"/>
  <c r="AH135" i="328" s="1"/>
  <c r="AH87" i="328" s="1"/>
  <c r="AH28" i="329" s="1"/>
  <c r="AH32" i="329" s="1"/>
  <c r="AH67" i="328"/>
  <c r="AH68" i="328" s="1"/>
  <c r="AH73" i="328" s="1"/>
  <c r="AH25" i="328" s="1"/>
  <c r="AH16" i="329" s="1"/>
  <c r="AH24" i="328"/>
  <c r="AH15" i="329" s="1"/>
  <c r="AH129" i="322"/>
  <c r="AH130" i="322" s="1"/>
  <c r="AH135" i="322" s="1"/>
  <c r="AH87" i="322" s="1"/>
  <c r="AH28" i="323" s="1"/>
  <c r="AH32" i="323" s="1"/>
  <c r="AH67" i="322"/>
  <c r="AH68" i="322" s="1"/>
  <c r="AH73" i="322" s="1"/>
  <c r="AH25" i="322" s="1"/>
  <c r="AH16" i="323" s="1"/>
  <c r="AH20" i="323" s="1"/>
  <c r="AH24" i="322"/>
  <c r="AH15" i="323" s="1"/>
  <c r="AH19" i="323" s="1"/>
  <c r="AJ103" i="328"/>
  <c r="AJ94" i="328"/>
  <c r="AH86" i="316"/>
  <c r="AH27" i="317" s="1"/>
  <c r="AH31" i="317" s="1"/>
  <c r="AH29" i="317"/>
  <c r="AK84" i="322"/>
  <c r="AK90" i="322"/>
  <c r="AK76" i="322"/>
  <c r="AK22" i="322"/>
  <c r="AK28" i="322"/>
  <c r="AI30" i="325"/>
  <c r="AI39" i="325"/>
  <c r="AI56" i="325" s="1"/>
  <c r="AI23" i="325" s="1"/>
  <c r="AI48" i="325"/>
  <c r="AH29" i="320"/>
  <c r="AH86" i="319"/>
  <c r="AH27" i="320" s="1"/>
  <c r="AH31" i="320" s="1"/>
  <c r="AH86" i="322"/>
  <c r="AH27" i="323" s="1"/>
  <c r="AH31" i="323" s="1"/>
  <c r="AH29" i="323"/>
  <c r="AJ103" i="319"/>
  <c r="AJ94" i="319"/>
  <c r="AI126" i="316"/>
  <c r="AI64" i="316"/>
  <c r="AI48" i="328"/>
  <c r="AI39" i="328"/>
  <c r="AI56" i="328" s="1"/>
  <c r="AI23" i="328" s="1"/>
  <c r="AI30" i="328"/>
  <c r="AJ122" i="325"/>
  <c r="AJ60" i="325"/>
  <c r="L728" i="261"/>
  <c r="AH129" i="325"/>
  <c r="AH130" i="325" s="1"/>
  <c r="AH135" i="325" s="1"/>
  <c r="AH87" i="325" s="1"/>
  <c r="AH28" i="326" s="1"/>
  <c r="AH32" i="326" s="1"/>
  <c r="AH67" i="325"/>
  <c r="AH68" i="325" s="1"/>
  <c r="AH73" i="325" s="1"/>
  <c r="AH25" i="325" s="1"/>
  <c r="AH16" i="326" s="1"/>
  <c r="AH24" i="325"/>
  <c r="AH15" i="326" s="1"/>
  <c r="AH67" i="316"/>
  <c r="AH68" i="316" s="1"/>
  <c r="AH73" i="316" s="1"/>
  <c r="AH25" i="316" s="1"/>
  <c r="AH16" i="317" s="1"/>
  <c r="AH20" i="317" s="1"/>
  <c r="AH129" i="316"/>
  <c r="AH130" i="316" s="1"/>
  <c r="AH135" i="316" s="1"/>
  <c r="AH87" i="316" s="1"/>
  <c r="AH28" i="317" s="1"/>
  <c r="AH24" i="316"/>
  <c r="AH15" i="317" s="1"/>
  <c r="AJ103" i="316"/>
  <c r="AJ94" i="316"/>
  <c r="AK32" i="322"/>
  <c r="AK41" i="322"/>
  <c r="AK90" i="325"/>
  <c r="AK22" i="325"/>
  <c r="AK28" i="325"/>
  <c r="AK84" i="325"/>
  <c r="AK76" i="325"/>
  <c r="AJ30" i="322"/>
  <c r="AJ39" i="322"/>
  <c r="AJ56" i="322" s="1"/>
  <c r="AJ23" i="322" s="1"/>
  <c r="AJ17" i="323" s="1"/>
  <c r="AJ21" i="323" s="1"/>
  <c r="AJ48" i="322"/>
  <c r="AJ122" i="328"/>
  <c r="AJ60" i="328"/>
  <c r="AH29" i="326"/>
  <c r="AH33" i="326" s="1"/>
  <c r="AH86" i="325"/>
  <c r="AH27" i="326" s="1"/>
  <c r="AH31" i="326" s="1"/>
  <c r="AH129" i="319"/>
  <c r="AH130" i="319" s="1"/>
  <c r="AH135" i="319" s="1"/>
  <c r="AH87" i="319" s="1"/>
  <c r="AH28" i="320" s="1"/>
  <c r="AH67" i="319"/>
  <c r="AH68" i="319" s="1"/>
  <c r="AH73" i="319" s="1"/>
  <c r="AH25" i="319" s="1"/>
  <c r="AH16" i="320" s="1"/>
  <c r="AH20" i="320" s="1"/>
  <c r="AH24" i="319"/>
  <c r="AH15" i="320" s="1"/>
  <c r="AH19" i="320" s="1"/>
  <c r="AK84" i="319"/>
  <c r="AK76" i="319"/>
  <c r="AK90" i="319"/>
  <c r="AK28" i="319"/>
  <c r="AK22" i="319"/>
  <c r="AK22" i="328"/>
  <c r="AK90" i="328"/>
  <c r="AK84" i="328"/>
  <c r="AK76" i="328"/>
  <c r="AK28" i="328"/>
  <c r="AJ60" i="322"/>
  <c r="AJ122" i="322"/>
  <c r="AJ39" i="319"/>
  <c r="AJ56" i="319" s="1"/>
  <c r="AJ23" i="319" s="1"/>
  <c r="AJ17" i="320" s="1"/>
  <c r="AJ21" i="320" s="1"/>
  <c r="AJ30" i="319"/>
  <c r="AJ48" i="319"/>
  <c r="AJ48" i="316"/>
  <c r="AJ39" i="316"/>
  <c r="AJ30" i="316"/>
  <c r="AJ56" i="316" s="1"/>
  <c r="AJ23" i="316" s="1"/>
  <c r="AJ17" i="317" s="1"/>
  <c r="AJ21" i="317" s="1"/>
  <c r="K728" i="261"/>
  <c r="AI92" i="319"/>
  <c r="AI101" i="319"/>
  <c r="AI118" i="319" s="1"/>
  <c r="AI85" i="319" s="1"/>
  <c r="AI110" i="319"/>
  <c r="AI126" i="322"/>
  <c r="AI64" i="322"/>
  <c r="J728" i="261"/>
  <c r="AK84" i="316"/>
  <c r="AK76" i="316"/>
  <c r="AK28" i="316"/>
  <c r="AK22" i="316"/>
  <c r="AK90" i="316"/>
  <c r="AK32" i="325"/>
  <c r="AK41" i="325"/>
  <c r="AJ122" i="316"/>
  <c r="AJ60" i="316"/>
  <c r="O728" i="261"/>
  <c r="AM68" i="267"/>
  <c r="AK37" i="321"/>
  <c r="AK37" i="324"/>
  <c r="AK40" i="324" s="1"/>
  <c r="AK42" i="324" s="1"/>
  <c r="AK43" i="324" s="1"/>
  <c r="AK44" i="324" s="1"/>
  <c r="AK46" i="324" s="1"/>
  <c r="AK37" i="327"/>
  <c r="AK40" i="327" s="1"/>
  <c r="AK42" i="327" s="1"/>
  <c r="AK43" i="327" s="1"/>
  <c r="AK44" i="327" s="1"/>
  <c r="AK46" i="327" s="1"/>
  <c r="AJ103" i="322"/>
  <c r="AJ94" i="322"/>
  <c r="AI64" i="325"/>
  <c r="AI126" i="325"/>
  <c r="AN62" i="267"/>
  <c r="AN66" i="267"/>
  <c r="K280" i="261" s="1"/>
  <c r="AK32" i="328"/>
  <c r="AK41" i="328"/>
  <c r="AJ122" i="319"/>
  <c r="AJ60" i="319"/>
  <c r="AI29" i="329"/>
  <c r="AI33" i="329" s="1"/>
  <c r="AK38" i="327"/>
  <c r="AK80" i="328" s="1"/>
  <c r="AK38" i="321"/>
  <c r="AK80" i="322" s="1"/>
  <c r="AK38" i="324"/>
  <c r="AK80" i="325" s="1"/>
  <c r="AJ103" i="325"/>
  <c r="AJ94" i="325"/>
  <c r="AH29" i="329"/>
  <c r="AH33" i="329" s="1"/>
  <c r="AH86" i="328"/>
  <c r="AH27" i="329" s="1"/>
  <c r="AH31" i="329" s="1"/>
  <c r="AG33" i="323"/>
  <c r="AG41" i="323"/>
  <c r="AI64" i="328"/>
  <c r="AI126" i="328"/>
  <c r="AI86" i="328" s="1"/>
  <c r="AI27" i="329" s="1"/>
  <c r="AI31" i="329" s="1"/>
  <c r="AJ26" i="312"/>
  <c r="AJ160" i="313" s="1"/>
  <c r="AJ167" i="313" s="1"/>
  <c r="AH201" i="320"/>
  <c r="AH201" i="329"/>
  <c r="AF100" i="260"/>
  <c r="AG177" i="310"/>
  <c r="AG204" i="310" s="1"/>
  <c r="AI53" i="327"/>
  <c r="AI192" i="329" s="1"/>
  <c r="AH189" i="310"/>
  <c r="AH196" i="310" s="1"/>
  <c r="AF101" i="260"/>
  <c r="AH24" i="314"/>
  <c r="AH15" i="313" s="1"/>
  <c r="AH19" i="313" s="1"/>
  <c r="AH17" i="313"/>
  <c r="AH21" i="313" s="1"/>
  <c r="AG39" i="313"/>
  <c r="AI53" i="312"/>
  <c r="AI192" i="313" s="1"/>
  <c r="AF104" i="260"/>
  <c r="AF113" i="260"/>
  <c r="AF112" i="260"/>
  <c r="AI200" i="329"/>
  <c r="AF43" i="313"/>
  <c r="AH29" i="313"/>
  <c r="AH33" i="313" s="1"/>
  <c r="AH86" i="314"/>
  <c r="AH27" i="313" s="1"/>
  <c r="AH31" i="313" s="1"/>
  <c r="AH87" i="314"/>
  <c r="AH28" i="313" s="1"/>
  <c r="AH32" i="313" s="1"/>
  <c r="AK41" i="314"/>
  <c r="AI101" i="314"/>
  <c r="AI92" i="314"/>
  <c r="AI110" i="314"/>
  <c r="AN61" i="267"/>
  <c r="K279" i="261" s="1"/>
  <c r="AK37" i="315"/>
  <c r="AK40" i="315" s="1"/>
  <c r="AK42" i="315" s="1"/>
  <c r="AK43" i="315" s="1"/>
  <c r="AK44" i="315" s="1"/>
  <c r="AK46" i="315" s="1"/>
  <c r="AK37" i="312"/>
  <c r="AK40" i="312" s="1"/>
  <c r="AK42" i="312" s="1"/>
  <c r="AK43" i="312" s="1"/>
  <c r="AK44" i="312" s="1"/>
  <c r="AK46" i="312" s="1"/>
  <c r="AK37" i="318"/>
  <c r="AI103" i="314"/>
  <c r="AI94" i="314"/>
  <c r="AJ103" i="314"/>
  <c r="AJ94" i="314"/>
  <c r="AG35" i="313"/>
  <c r="AH177" i="313"/>
  <c r="AK76" i="314"/>
  <c r="AK84" i="314"/>
  <c r="AK90" i="314"/>
  <c r="AG20" i="313"/>
  <c r="AG23" i="313" s="1"/>
  <c r="AG40" i="313"/>
  <c r="AI23" i="314"/>
  <c r="AI17" i="313" s="1"/>
  <c r="AH177" i="329"/>
  <c r="AH202" i="310"/>
  <c r="AI32" i="308"/>
  <c r="AI172" i="310" s="1"/>
  <c r="AI55" i="310"/>
  <c r="AI62" i="310" s="1"/>
  <c r="AI159" i="310"/>
  <c r="AI166" i="310" s="1"/>
  <c r="AG204" i="313"/>
  <c r="AH175" i="310"/>
  <c r="AH177" i="310" s="1"/>
  <c r="AH202" i="303"/>
  <c r="AG177" i="320"/>
  <c r="AG204" i="320" s="1"/>
  <c r="AH24" i="273"/>
  <c r="AH16" i="272" s="1"/>
  <c r="AH20" i="272" s="1"/>
  <c r="AG204" i="329"/>
  <c r="AG177" i="317"/>
  <c r="AG204" i="317" s="1"/>
  <c r="AH200" i="310"/>
  <c r="AI71" i="310"/>
  <c r="AI75" i="310" s="1"/>
  <c r="AK14" i="308"/>
  <c r="AK16" i="308" s="1"/>
  <c r="AK17" i="308" s="1"/>
  <c r="AK18" i="308" s="1"/>
  <c r="AK20" i="308" s="1"/>
  <c r="AK27" i="308" s="1"/>
  <c r="AG177" i="323"/>
  <c r="AG204" i="323" s="1"/>
  <c r="AH170" i="326"/>
  <c r="AI183" i="310"/>
  <c r="AI187" i="310" s="1"/>
  <c r="AI66" i="313"/>
  <c r="AJ38" i="309"/>
  <c r="AH78" i="303"/>
  <c r="AG177" i="326"/>
  <c r="AG204" i="326" s="1"/>
  <c r="AH170" i="317"/>
  <c r="AG23" i="320"/>
  <c r="AG43" i="320" s="1"/>
  <c r="AJ27" i="308"/>
  <c r="AJ33" i="308" s="1"/>
  <c r="AJ173" i="310" s="1"/>
  <c r="AJ201" i="310" s="1"/>
  <c r="AI170" i="329"/>
  <c r="AJ25" i="308"/>
  <c r="AJ32" i="308" s="1"/>
  <c r="AJ172" i="310" s="1"/>
  <c r="AH170" i="320"/>
  <c r="AI161" i="326"/>
  <c r="AI168" i="326" s="1"/>
  <c r="AI57" i="326"/>
  <c r="AI64" i="326" s="1"/>
  <c r="AI114" i="326"/>
  <c r="AK26" i="312"/>
  <c r="AK27" i="312"/>
  <c r="AK25" i="312"/>
  <c r="AJ29" i="309"/>
  <c r="AJ55" i="309" s="1"/>
  <c r="AJ22" i="309" s="1"/>
  <c r="AJ17" i="310" s="1"/>
  <c r="AJ21" i="310" s="1"/>
  <c r="AI160" i="326"/>
  <c r="AI167" i="326" s="1"/>
  <c r="AI113" i="326"/>
  <c r="AI56" i="326"/>
  <c r="AI63" i="326" s="1"/>
  <c r="AI33" i="324"/>
  <c r="AI173" i="326" s="1"/>
  <c r="AI201" i="326" s="1"/>
  <c r="AH66" i="323"/>
  <c r="AH17" i="329"/>
  <c r="AF23" i="329"/>
  <c r="AF43" i="329" s="1"/>
  <c r="AK14" i="315"/>
  <c r="AK16" i="315" s="1"/>
  <c r="AK17" i="315" s="1"/>
  <c r="AK18" i="315" s="1"/>
  <c r="AK20" i="315" s="1"/>
  <c r="AI159" i="320"/>
  <c r="AI166" i="320" s="1"/>
  <c r="AI32" i="318"/>
  <c r="AI172" i="320" s="1"/>
  <c r="AI55" i="320"/>
  <c r="AI62" i="320" s="1"/>
  <c r="AI112" i="320"/>
  <c r="AJ25" i="318"/>
  <c r="AJ27" i="318"/>
  <c r="AJ26" i="318"/>
  <c r="AH200" i="317"/>
  <c r="AH175" i="317"/>
  <c r="AI161" i="317"/>
  <c r="AI168" i="317" s="1"/>
  <c r="AI57" i="317"/>
  <c r="AI64" i="317" s="1"/>
  <c r="AI114" i="317"/>
  <c r="AI32" i="324"/>
  <c r="AI172" i="326" s="1"/>
  <c r="AI159" i="326"/>
  <c r="AI166" i="326" s="1"/>
  <c r="AI112" i="326"/>
  <c r="AI55" i="326"/>
  <c r="AI62" i="326" s="1"/>
  <c r="AH200" i="323"/>
  <c r="AH175" i="323"/>
  <c r="AK17" i="319"/>
  <c r="AK14" i="318"/>
  <c r="AK16" i="318" s="1"/>
  <c r="AK17" i="318" s="1"/>
  <c r="AK18" i="318" s="1"/>
  <c r="AK20" i="318" s="1"/>
  <c r="AI161" i="320"/>
  <c r="AI168" i="320" s="1"/>
  <c r="AI57" i="320"/>
  <c r="AI64" i="320" s="1"/>
  <c r="AI114" i="320"/>
  <c r="AH66" i="320"/>
  <c r="AG23" i="323"/>
  <c r="AH66" i="317"/>
  <c r="AI33" i="315"/>
  <c r="AI173" i="317" s="1"/>
  <c r="AI201" i="317" s="1"/>
  <c r="AI160" i="317"/>
  <c r="AI167" i="317" s="1"/>
  <c r="AI56" i="317"/>
  <c r="AI63" i="317" s="1"/>
  <c r="AI113" i="317"/>
  <c r="AI32" i="321"/>
  <c r="AI172" i="323" s="1"/>
  <c r="AI159" i="323"/>
  <c r="AI166" i="323" s="1"/>
  <c r="AI55" i="323"/>
  <c r="AI62" i="323" s="1"/>
  <c r="AI112" i="323"/>
  <c r="AI112" i="317"/>
  <c r="AI55" i="317"/>
  <c r="AI62" i="317" s="1"/>
  <c r="AI32" i="315"/>
  <c r="AI172" i="317" s="1"/>
  <c r="AI159" i="317"/>
  <c r="AI166" i="317" s="1"/>
  <c r="AJ114" i="313"/>
  <c r="AJ57" i="313"/>
  <c r="AJ64" i="313" s="1"/>
  <c r="AJ161" i="313"/>
  <c r="AJ168" i="313" s="1"/>
  <c r="AI66" i="329"/>
  <c r="AH17" i="326"/>
  <c r="AJ26" i="321"/>
  <c r="AJ27" i="321"/>
  <c r="AJ25" i="321"/>
  <c r="AK17" i="325"/>
  <c r="AK14" i="324"/>
  <c r="AK16" i="324" s="1"/>
  <c r="AK17" i="324" s="1"/>
  <c r="AK18" i="324" s="1"/>
  <c r="AK20" i="324" s="1"/>
  <c r="AJ161" i="329"/>
  <c r="AJ168" i="329" s="1"/>
  <c r="AJ57" i="329"/>
  <c r="AJ64" i="329" s="1"/>
  <c r="AJ114" i="329"/>
  <c r="AJ25" i="324"/>
  <c r="AJ27" i="324"/>
  <c r="AJ26" i="324"/>
  <c r="AH66" i="326"/>
  <c r="AH170" i="323"/>
  <c r="AJ25" i="315"/>
  <c r="AJ27" i="315"/>
  <c r="AJ26" i="315"/>
  <c r="AK26" i="327"/>
  <c r="AK27" i="327"/>
  <c r="AK25" i="327"/>
  <c r="AJ159" i="329"/>
  <c r="AJ166" i="329" s="1"/>
  <c r="AJ32" i="327"/>
  <c r="AJ172" i="329" s="1"/>
  <c r="AJ55" i="329"/>
  <c r="AJ62" i="329" s="1"/>
  <c r="AJ112" i="329"/>
  <c r="AI170" i="313"/>
  <c r="AI33" i="321"/>
  <c r="AI173" i="323" s="1"/>
  <c r="AI201" i="323" s="1"/>
  <c r="AI160" i="323"/>
  <c r="AI167" i="323" s="1"/>
  <c r="AI113" i="323"/>
  <c r="AI56" i="323"/>
  <c r="AI63" i="323" s="1"/>
  <c r="AH200" i="320"/>
  <c r="AH175" i="320"/>
  <c r="AI56" i="320"/>
  <c r="AI63" i="320" s="1"/>
  <c r="AI160" i="320"/>
  <c r="AI167" i="320" s="1"/>
  <c r="AI113" i="320"/>
  <c r="AI33" i="318"/>
  <c r="AI173" i="320" s="1"/>
  <c r="AG19" i="329"/>
  <c r="AG39" i="329"/>
  <c r="AG19" i="326"/>
  <c r="AG39" i="326"/>
  <c r="AK14" i="321"/>
  <c r="AK16" i="321" s="1"/>
  <c r="AK17" i="321" s="1"/>
  <c r="AK18" i="321" s="1"/>
  <c r="AK20" i="321" s="1"/>
  <c r="AK17" i="322"/>
  <c r="AJ160" i="329"/>
  <c r="AJ167" i="329" s="1"/>
  <c r="AJ113" i="329"/>
  <c r="AJ56" i="329"/>
  <c r="AJ63" i="329" s="1"/>
  <c r="AJ33" i="327"/>
  <c r="AJ173" i="329" s="1"/>
  <c r="AH200" i="326"/>
  <c r="AH175" i="326"/>
  <c r="AI57" i="323"/>
  <c r="AI64" i="323" s="1"/>
  <c r="AI161" i="323"/>
  <c r="AI168" i="323" s="1"/>
  <c r="AI114" i="323"/>
  <c r="AF23" i="326"/>
  <c r="AF43" i="326" s="1"/>
  <c r="AG21" i="329"/>
  <c r="AG41" i="329"/>
  <c r="AG21" i="326"/>
  <c r="AG41" i="326"/>
  <c r="AJ30" i="314"/>
  <c r="AJ56" i="314" s="1"/>
  <c r="AJ39" i="314"/>
  <c r="AJ48" i="314"/>
  <c r="AH78" i="310"/>
  <c r="AJ2" i="264"/>
  <c r="AH189" i="329"/>
  <c r="AH196" i="329" s="1"/>
  <c r="AH202" i="329"/>
  <c r="AK14" i="322"/>
  <c r="AI181" i="326"/>
  <c r="AI185" i="326" s="1"/>
  <c r="AI70" i="326"/>
  <c r="AI126" i="326"/>
  <c r="AH74" i="317"/>
  <c r="AH83" i="317"/>
  <c r="AH189" i="313"/>
  <c r="AH202" i="313"/>
  <c r="AI128" i="313"/>
  <c r="AI183" i="313"/>
  <c r="AI187" i="313" s="1"/>
  <c r="AI72" i="313"/>
  <c r="AI76" i="313" s="1"/>
  <c r="AJ50" i="321"/>
  <c r="AJ48" i="321"/>
  <c r="AJ49" i="321"/>
  <c r="AI183" i="329"/>
  <c r="AI187" i="329" s="1"/>
  <c r="AI128" i="329"/>
  <c r="AI72" i="329"/>
  <c r="AI76" i="329" s="1"/>
  <c r="AI183" i="320"/>
  <c r="AI187" i="320" s="1"/>
  <c r="AI128" i="320"/>
  <c r="AI72" i="320"/>
  <c r="AI76" i="320" s="1"/>
  <c r="AG78" i="323"/>
  <c r="AG85" i="323" s="1"/>
  <c r="AG82" i="323"/>
  <c r="AH74" i="313"/>
  <c r="AH78" i="313" s="1"/>
  <c r="AH85" i="313" s="1"/>
  <c r="AH83" i="313"/>
  <c r="AG78" i="326"/>
  <c r="AG85" i="326" s="1"/>
  <c r="AG82" i="326"/>
  <c r="AJ50" i="318"/>
  <c r="AJ48" i="318"/>
  <c r="AJ52" i="318" s="1"/>
  <c r="AJ191" i="320" s="1"/>
  <c r="AJ49" i="318"/>
  <c r="AH74" i="320"/>
  <c r="AH83" i="320"/>
  <c r="AI182" i="313"/>
  <c r="AI186" i="313" s="1"/>
  <c r="AI127" i="313"/>
  <c r="AI71" i="313"/>
  <c r="AI75" i="313" s="1"/>
  <c r="AK28" i="314"/>
  <c r="AK14" i="314"/>
  <c r="AK22" i="314"/>
  <c r="AK14" i="325"/>
  <c r="AG78" i="317"/>
  <c r="AG85" i="317" s="1"/>
  <c r="AG82" i="317"/>
  <c r="AI183" i="317"/>
  <c r="AI187" i="317" s="1"/>
  <c r="AI128" i="317"/>
  <c r="AI72" i="317"/>
  <c r="AI76" i="317" s="1"/>
  <c r="AJ48" i="324"/>
  <c r="AJ50" i="324"/>
  <c r="AJ49" i="324"/>
  <c r="AI183" i="326"/>
  <c r="AI187" i="326" s="1"/>
  <c r="AI72" i="326"/>
  <c r="AI76" i="326" s="1"/>
  <c r="AI128" i="326"/>
  <c r="AH189" i="317"/>
  <c r="AH196" i="317" s="1"/>
  <c r="AH202" i="317"/>
  <c r="AG78" i="329"/>
  <c r="AG85" i="329" s="1"/>
  <c r="AG82" i="329"/>
  <c r="AI181" i="323"/>
  <c r="AI185" i="323" s="1"/>
  <c r="AI70" i="323"/>
  <c r="AI126" i="323"/>
  <c r="AK14" i="319"/>
  <c r="AK14" i="328"/>
  <c r="AJ50" i="327"/>
  <c r="AJ49" i="327"/>
  <c r="AJ48" i="327"/>
  <c r="AJ52" i="327" s="1"/>
  <c r="AJ191" i="329" s="1"/>
  <c r="AG78" i="320"/>
  <c r="AG85" i="320" s="1"/>
  <c r="AG82" i="320"/>
  <c r="AH189" i="323"/>
  <c r="AH196" i="323" s="1"/>
  <c r="AH202" i="323"/>
  <c r="AJ49" i="315"/>
  <c r="AJ50" i="315"/>
  <c r="AJ48" i="315"/>
  <c r="AH189" i="320"/>
  <c r="AH196" i="320" s="1"/>
  <c r="AH202" i="320"/>
  <c r="AI183" i="323"/>
  <c r="AI187" i="323" s="1"/>
  <c r="AI128" i="323"/>
  <c r="AI72" i="323"/>
  <c r="AI76" i="323" s="1"/>
  <c r="AH83" i="329"/>
  <c r="AI182" i="323"/>
  <c r="AI186" i="323" s="1"/>
  <c r="AI127" i="323"/>
  <c r="AI71" i="323"/>
  <c r="AI75" i="323" s="1"/>
  <c r="AK14" i="316"/>
  <c r="AH74" i="323"/>
  <c r="AH83" i="323"/>
  <c r="AI181" i="329"/>
  <c r="AI185" i="329" s="1"/>
  <c r="AI70" i="329"/>
  <c r="AI126" i="329"/>
  <c r="AG78" i="313"/>
  <c r="AG85" i="313" s="1"/>
  <c r="AG82" i="313"/>
  <c r="AH74" i="326"/>
  <c r="AH83" i="326"/>
  <c r="AI127" i="326"/>
  <c r="AI182" i="326"/>
  <c r="AI186" i="326" s="1"/>
  <c r="AI71" i="326"/>
  <c r="AI75" i="326" s="1"/>
  <c r="AI71" i="329"/>
  <c r="AI75" i="329" s="1"/>
  <c r="AI182" i="329"/>
  <c r="AI186" i="329" s="1"/>
  <c r="AI127" i="329"/>
  <c r="AH189" i="326"/>
  <c r="AH196" i="326" s="1"/>
  <c r="AH202" i="326"/>
  <c r="AI72" i="310"/>
  <c r="AI76" i="310" s="1"/>
  <c r="AI182" i="310"/>
  <c r="AI186" i="310" s="1"/>
  <c r="AI70" i="310"/>
  <c r="AI74" i="310" s="1"/>
  <c r="AJ47" i="270"/>
  <c r="AI126" i="310"/>
  <c r="AH83" i="310"/>
  <c r="AH23" i="273"/>
  <c r="AH15" i="272" s="1"/>
  <c r="AH39" i="272" s="1"/>
  <c r="AH170" i="303"/>
  <c r="AK63" i="309"/>
  <c r="AK66" i="309" s="1"/>
  <c r="AK67" i="309" s="1"/>
  <c r="AK72" i="309" s="1"/>
  <c r="AG19" i="303"/>
  <c r="AJ49" i="308"/>
  <c r="AJ182" i="310" s="1"/>
  <c r="AJ186" i="310" s="1"/>
  <c r="AJ50" i="308"/>
  <c r="AJ72" i="310" s="1"/>
  <c r="AJ76" i="310" s="1"/>
  <c r="AJ48" i="308"/>
  <c r="AJ126" i="310" s="1"/>
  <c r="AG85" i="303"/>
  <c r="AN57" i="267"/>
  <c r="AN52" i="267"/>
  <c r="AD23" i="269"/>
  <c r="AD43" i="269" s="1"/>
  <c r="AG40" i="303"/>
  <c r="AG20" i="303"/>
  <c r="AK37" i="305"/>
  <c r="AK40" i="305" s="1"/>
  <c r="AK42" i="305" s="1"/>
  <c r="AK43" i="305" s="1"/>
  <c r="AK44" i="305" s="1"/>
  <c r="AK46" i="305" s="1"/>
  <c r="AK37" i="277"/>
  <c r="AK40" i="277" s="1"/>
  <c r="AK42" i="277" s="1"/>
  <c r="AK43" i="277" s="1"/>
  <c r="AK44" i="277" s="1"/>
  <c r="AK46" i="277" s="1"/>
  <c r="AK37" i="271"/>
  <c r="AK40" i="271" s="1"/>
  <c r="AK42" i="271" s="1"/>
  <c r="AK43" i="271" s="1"/>
  <c r="AK44" i="271" s="1"/>
  <c r="AK46" i="271" s="1"/>
  <c r="AK37" i="308"/>
  <c r="AK40" i="308" s="1"/>
  <c r="AK42" i="308" s="1"/>
  <c r="AK43" i="308" s="1"/>
  <c r="AK44" i="308" s="1"/>
  <c r="AK46" i="308" s="1"/>
  <c r="AK37" i="302"/>
  <c r="AK40" i="302" s="1"/>
  <c r="AK42" i="302" s="1"/>
  <c r="AK43" i="302" s="1"/>
  <c r="AK44" i="302" s="1"/>
  <c r="AK46" i="302" s="1"/>
  <c r="AK49" i="302" s="1"/>
  <c r="AH41" i="303"/>
  <c r="AH21" i="303"/>
  <c r="AK38" i="308"/>
  <c r="AK38" i="305"/>
  <c r="AK38" i="268"/>
  <c r="AK38" i="277"/>
  <c r="AK38" i="302"/>
  <c r="AK38" i="271"/>
  <c r="AG40" i="272"/>
  <c r="AG20" i="272"/>
  <c r="AG39" i="272"/>
  <c r="AG19" i="272"/>
  <c r="AK28" i="272"/>
  <c r="AK32" i="272" s="1"/>
  <c r="AK29" i="272"/>
  <c r="AK33" i="272" s="1"/>
  <c r="AK27" i="272"/>
  <c r="AH41" i="272"/>
  <c r="AH21" i="272"/>
  <c r="AH40" i="306"/>
  <c r="AH20" i="306"/>
  <c r="AH39" i="306"/>
  <c r="AH19" i="306"/>
  <c r="AI41" i="306"/>
  <c r="AI21" i="306"/>
  <c r="AH41" i="310"/>
  <c r="AH21" i="310"/>
  <c r="AI39" i="310"/>
  <c r="AI19" i="310"/>
  <c r="AI40" i="310"/>
  <c r="AI20" i="310"/>
  <c r="AH39" i="310"/>
  <c r="AH19" i="310"/>
  <c r="AK27" i="278"/>
  <c r="AK29" i="278"/>
  <c r="AK33" i="278" s="1"/>
  <c r="AK28" i="278"/>
  <c r="AK32" i="278" s="1"/>
  <c r="AH41" i="278"/>
  <c r="AH21" i="278"/>
  <c r="AG39" i="278"/>
  <c r="AG19" i="278"/>
  <c r="AG40" i="278"/>
  <c r="AG20" i="278"/>
  <c r="AG41" i="269"/>
  <c r="AG21" i="269"/>
  <c r="AJ9" i="278"/>
  <c r="AI31" i="278"/>
  <c r="AI35" i="278" s="1"/>
  <c r="AJ9" i="269"/>
  <c r="AI31" i="269"/>
  <c r="AI35" i="269" s="1"/>
  <c r="AJ9" i="272"/>
  <c r="AI31" i="272"/>
  <c r="AI35" i="272" s="1"/>
  <c r="AE23" i="269"/>
  <c r="AE43" i="269" s="1"/>
  <c r="AI72" i="303"/>
  <c r="AI76" i="303" s="1"/>
  <c r="AI78" i="303" s="1"/>
  <c r="AH83" i="303"/>
  <c r="AF23" i="269"/>
  <c r="AF43" i="269" s="1"/>
  <c r="AH175" i="306"/>
  <c r="AH177" i="306" s="1"/>
  <c r="AI183" i="303"/>
  <c r="AI187" i="303" s="1"/>
  <c r="AH23" i="304"/>
  <c r="AH15" i="303" s="1"/>
  <c r="AI127" i="303"/>
  <c r="AI133" i="303" s="1"/>
  <c r="AH24" i="304"/>
  <c r="AH16" i="303" s="1"/>
  <c r="AK14" i="271"/>
  <c r="AK16" i="271" s="1"/>
  <c r="AK17" i="271" s="1"/>
  <c r="AK18" i="271" s="1"/>
  <c r="AK20" i="271" s="1"/>
  <c r="AK16" i="273"/>
  <c r="AK59" i="273" s="1"/>
  <c r="AK14" i="277"/>
  <c r="AK16" i="277" s="1"/>
  <c r="AK17" i="277" s="1"/>
  <c r="AK18" i="277" s="1"/>
  <c r="AK20" i="277" s="1"/>
  <c r="AK16" i="279"/>
  <c r="AK59" i="279" s="1"/>
  <c r="AI55" i="304"/>
  <c r="AI22" i="304" s="1"/>
  <c r="AI24" i="304" s="1"/>
  <c r="AI16" i="303" s="1"/>
  <c r="AJ63" i="304"/>
  <c r="AJ66" i="304" s="1"/>
  <c r="AJ67" i="304" s="1"/>
  <c r="AJ72" i="304" s="1"/>
  <c r="AI113" i="303"/>
  <c r="AJ40" i="304"/>
  <c r="AJ31" i="304"/>
  <c r="AJ55" i="304" s="1"/>
  <c r="AJ22" i="304" s="1"/>
  <c r="AG23" i="306"/>
  <c r="AG43" i="306" s="1"/>
  <c r="AI161" i="303"/>
  <c r="AI168" i="303" s="1"/>
  <c r="AI160" i="303"/>
  <c r="AI167" i="303" s="1"/>
  <c r="AI114" i="303"/>
  <c r="AI33" i="302"/>
  <c r="AI173" i="303" s="1"/>
  <c r="AG177" i="306"/>
  <c r="AG204" i="306" s="1"/>
  <c r="AI24" i="307"/>
  <c r="AI16" i="306" s="1"/>
  <c r="AJ26" i="302"/>
  <c r="AJ56" i="303" s="1"/>
  <c r="AJ63" i="303" s="1"/>
  <c r="AJ27" i="302"/>
  <c r="AJ161" i="303" s="1"/>
  <c r="AJ168" i="303" s="1"/>
  <c r="AI182" i="303"/>
  <c r="AI186" i="303" s="1"/>
  <c r="AJ38" i="304"/>
  <c r="AJ47" i="304"/>
  <c r="AI23" i="307"/>
  <c r="AI15" i="306" s="1"/>
  <c r="AH82" i="310"/>
  <c r="AH66" i="310"/>
  <c r="AK14" i="305"/>
  <c r="AK16" i="305" s="1"/>
  <c r="AK17" i="305" s="1"/>
  <c r="AK18" i="305" s="1"/>
  <c r="AK20" i="305" s="1"/>
  <c r="AK60" i="307"/>
  <c r="AK63" i="307" s="1"/>
  <c r="AK27" i="307"/>
  <c r="AK13" i="307"/>
  <c r="AK21" i="307"/>
  <c r="AI32" i="305"/>
  <c r="AI172" i="306" s="1"/>
  <c r="AI159" i="306"/>
  <c r="AI166" i="306" s="1"/>
  <c r="AI112" i="306"/>
  <c r="AI55" i="306"/>
  <c r="AI62" i="306" s="1"/>
  <c r="AK21" i="309"/>
  <c r="AK27" i="309"/>
  <c r="AK13" i="309"/>
  <c r="AJ66" i="307"/>
  <c r="AJ67" i="307" s="1"/>
  <c r="AJ72" i="307" s="1"/>
  <c r="AJ50" i="302"/>
  <c r="AJ72" i="303" s="1"/>
  <c r="AJ76" i="303" s="1"/>
  <c r="AJ160" i="310"/>
  <c r="AJ167" i="310" s="1"/>
  <c r="AJ113" i="310"/>
  <c r="AJ56" i="310"/>
  <c r="AJ63" i="310" s="1"/>
  <c r="AI57" i="306"/>
  <c r="AI64" i="306" s="1"/>
  <c r="AI33" i="305"/>
  <c r="AI173" i="306" s="1"/>
  <c r="AI201" i="306" s="1"/>
  <c r="AI161" i="306"/>
  <c r="AI168" i="306" s="1"/>
  <c r="AI114" i="306"/>
  <c r="AJ27" i="305"/>
  <c r="AJ26" i="305"/>
  <c r="AJ25" i="305"/>
  <c r="AJ38" i="307"/>
  <c r="AJ29" i="307"/>
  <c r="AJ55" i="307" s="1"/>
  <c r="AJ22" i="307" s="1"/>
  <c r="AJ17" i="306" s="1"/>
  <c r="AJ47" i="307"/>
  <c r="AK26" i="308"/>
  <c r="AH83" i="306"/>
  <c r="AJ48" i="302"/>
  <c r="AJ126" i="303" s="1"/>
  <c r="AH78" i="306"/>
  <c r="AI182" i="306"/>
  <c r="AI186" i="306" s="1"/>
  <c r="AI127" i="306"/>
  <c r="AI71" i="306"/>
  <c r="AI75" i="306" s="1"/>
  <c r="AH23" i="279"/>
  <c r="AH15" i="278" s="1"/>
  <c r="AI181" i="306"/>
  <c r="AI185" i="306" s="1"/>
  <c r="AI70" i="306"/>
  <c r="AI74" i="306" s="1"/>
  <c r="AI126" i="306"/>
  <c r="AH189" i="306"/>
  <c r="AH196" i="306" s="1"/>
  <c r="AI128" i="306"/>
  <c r="AI183" i="306"/>
  <c r="AI187" i="306" s="1"/>
  <c r="AI72" i="306"/>
  <c r="AG78" i="306"/>
  <c r="AG85" i="306" s="1"/>
  <c r="AG82" i="306"/>
  <c r="AH202" i="306"/>
  <c r="AH82" i="306"/>
  <c r="AH66" i="306"/>
  <c r="AH172" i="269"/>
  <c r="AH200" i="269" s="1"/>
  <c r="AE200" i="303"/>
  <c r="AE111" i="260" s="1"/>
  <c r="AG16" i="269"/>
  <c r="AH17" i="269"/>
  <c r="AF200" i="303"/>
  <c r="AF111" i="260" s="1"/>
  <c r="AF175" i="303"/>
  <c r="AF177" i="303" s="1"/>
  <c r="AF204" i="303" s="1"/>
  <c r="AD175" i="303"/>
  <c r="AD177" i="303" s="1"/>
  <c r="AD204" i="303" s="1"/>
  <c r="AD200" i="303"/>
  <c r="AD111" i="260" s="1"/>
  <c r="AK60" i="304"/>
  <c r="AK14" i="302"/>
  <c r="AK16" i="302" s="1"/>
  <c r="AK17" i="302" s="1"/>
  <c r="AK18" i="302" s="1"/>
  <c r="AK20" i="302" s="1"/>
  <c r="AK26" i="302" s="1"/>
  <c r="AE173" i="269"/>
  <c r="AE201" i="269" s="1"/>
  <c r="AE201" i="303"/>
  <c r="AJ48" i="305"/>
  <c r="AJ50" i="305"/>
  <c r="AJ49" i="305"/>
  <c r="AK27" i="304"/>
  <c r="AK13" i="304"/>
  <c r="AK21" i="304"/>
  <c r="AG172" i="269"/>
  <c r="AG200" i="269" s="1"/>
  <c r="AN51" i="267"/>
  <c r="K277" i="261" s="1"/>
  <c r="AN56" i="267"/>
  <c r="K278" i="261" s="1"/>
  <c r="AG173" i="269"/>
  <c r="AG201" i="269" s="1"/>
  <c r="AG201" i="303"/>
  <c r="AG15" i="269"/>
  <c r="AJ32" i="302"/>
  <c r="AJ172" i="303" s="1"/>
  <c r="AJ159" i="303"/>
  <c r="AJ166" i="303" s="1"/>
  <c r="AJ112" i="303"/>
  <c r="AJ55" i="303"/>
  <c r="AH82" i="303"/>
  <c r="AH66" i="303"/>
  <c r="AI62" i="303"/>
  <c r="AJ127" i="303"/>
  <c r="AJ182" i="303"/>
  <c r="AJ186" i="303" s="1"/>
  <c r="AJ71" i="303"/>
  <c r="AJ75" i="303" s="1"/>
  <c r="AH24" i="279"/>
  <c r="AH16" i="278" s="1"/>
  <c r="G728" i="261"/>
  <c r="AM58" i="267"/>
  <c r="AI29" i="279"/>
  <c r="AI55" i="279" s="1"/>
  <c r="AI22" i="279" s="1"/>
  <c r="AI38" i="279"/>
  <c r="AK27" i="270"/>
  <c r="AK13" i="270"/>
  <c r="AK21" i="270"/>
  <c r="AK27" i="279"/>
  <c r="AK13" i="279"/>
  <c r="AK21" i="279"/>
  <c r="AK37" i="268"/>
  <c r="AK40" i="268" s="1"/>
  <c r="AK42" i="268" s="1"/>
  <c r="AK43" i="268" s="1"/>
  <c r="AK44" i="268" s="1"/>
  <c r="AK46" i="268" s="1"/>
  <c r="AM53" i="267"/>
  <c r="AK27" i="273"/>
  <c r="AK13" i="273"/>
  <c r="AK21" i="273"/>
  <c r="AJ63" i="270"/>
  <c r="AJ66" i="270" s="1"/>
  <c r="AJ67" i="270" s="1"/>
  <c r="AJ72" i="270" s="1"/>
  <c r="AI55" i="270"/>
  <c r="AI22" i="270" s="1"/>
  <c r="AI47" i="273"/>
  <c r="AI38" i="273"/>
  <c r="AI55" i="273" s="1"/>
  <c r="AI22" i="273" s="1"/>
  <c r="H728" i="261"/>
  <c r="D728" i="261"/>
  <c r="F728" i="261"/>
  <c r="E728" i="261"/>
  <c r="I728" i="261"/>
  <c r="AK14" i="279"/>
  <c r="AJ38" i="279"/>
  <c r="AJ60" i="279"/>
  <c r="AJ63" i="279" s="1"/>
  <c r="AJ66" i="279" s="1"/>
  <c r="AJ67" i="279" s="1"/>
  <c r="AJ72" i="279" s="1"/>
  <c r="AJ29" i="273"/>
  <c r="AJ60" i="273"/>
  <c r="AJ63" i="273" s="1"/>
  <c r="AJ66" i="273" s="1"/>
  <c r="AJ67" i="273" s="1"/>
  <c r="AJ72" i="273" s="1"/>
  <c r="AK60" i="270"/>
  <c r="AK14" i="268"/>
  <c r="AK16" i="268" s="1"/>
  <c r="AK17" i="268" s="1"/>
  <c r="AK18" i="268" s="1"/>
  <c r="AK20" i="268" s="1"/>
  <c r="D13" i="289"/>
  <c r="D49" i="260" s="1"/>
  <c r="E13" i="289"/>
  <c r="E49" i="260" s="1"/>
  <c r="F13" i="289"/>
  <c r="F49" i="260" s="1"/>
  <c r="G13" i="289"/>
  <c r="G49" i="260" s="1"/>
  <c r="H13" i="289"/>
  <c r="H49" i="260" s="1"/>
  <c r="I13" i="289"/>
  <c r="I49" i="260" s="1"/>
  <c r="J13" i="289"/>
  <c r="J49" i="260" s="1"/>
  <c r="J61" i="261" s="1"/>
  <c r="K13" i="289"/>
  <c r="K49" i="260" s="1"/>
  <c r="L13" i="289"/>
  <c r="L49" i="260" s="1"/>
  <c r="M13" i="289"/>
  <c r="M49" i="260" s="1"/>
  <c r="N13" i="289"/>
  <c r="N49" i="260" s="1"/>
  <c r="O13" i="289"/>
  <c r="O49" i="260" s="1"/>
  <c r="P13" i="289"/>
  <c r="P49" i="260" s="1"/>
  <c r="Q13" i="289"/>
  <c r="Q49" i="260" s="1"/>
  <c r="R13" i="289"/>
  <c r="R49" i="260" s="1"/>
  <c r="S13" i="289"/>
  <c r="S49" i="260" s="1"/>
  <c r="T13" i="289"/>
  <c r="T49" i="260" s="1"/>
  <c r="U13" i="289"/>
  <c r="U49" i="260" s="1"/>
  <c r="V13" i="289"/>
  <c r="V49" i="260" s="1"/>
  <c r="W13" i="289"/>
  <c r="W49" i="260" s="1"/>
  <c r="X13" i="289"/>
  <c r="X49" i="260" s="1"/>
  <c r="Y13" i="289"/>
  <c r="Y49" i="260" s="1"/>
  <c r="Z13" i="289"/>
  <c r="Z49" i="260" s="1"/>
  <c r="AA13" i="289"/>
  <c r="AA49" i="260" s="1"/>
  <c r="AB13" i="289"/>
  <c r="AB49" i="260" s="1"/>
  <c r="AC13" i="289"/>
  <c r="AC49" i="260" s="1"/>
  <c r="AD13" i="289"/>
  <c r="AD49" i="260" s="1"/>
  <c r="AE13" i="289"/>
  <c r="AE49" i="260" s="1"/>
  <c r="AF13" i="289"/>
  <c r="AF49" i="260" s="1"/>
  <c r="AG13" i="289"/>
  <c r="AG49" i="260" s="1"/>
  <c r="AH13" i="289"/>
  <c r="AH49" i="260" s="1"/>
  <c r="AI13" i="289"/>
  <c r="AI49" i="260" s="1"/>
  <c r="AJ13" i="289"/>
  <c r="AJ49" i="260" s="1"/>
  <c r="AK14" i="270"/>
  <c r="AK14" i="273"/>
  <c r="AI33" i="277"/>
  <c r="AI173" i="278" s="1"/>
  <c r="AI160" i="278"/>
  <c r="AI113" i="278"/>
  <c r="AI56" i="278"/>
  <c r="AI161" i="278"/>
  <c r="AI114" i="278"/>
  <c r="AI57" i="278"/>
  <c r="AI72" i="278"/>
  <c r="AI183" i="278"/>
  <c r="AI128" i="278"/>
  <c r="AI32" i="277"/>
  <c r="AI172" i="278" s="1"/>
  <c r="AI159" i="278"/>
  <c r="AI112" i="278"/>
  <c r="AI55" i="278"/>
  <c r="AI71" i="278"/>
  <c r="AI75" i="278" s="1"/>
  <c r="AI182" i="278"/>
  <c r="AI186" i="278" s="1"/>
  <c r="AI127" i="278"/>
  <c r="AI70" i="278"/>
  <c r="AI181" i="278"/>
  <c r="AI185" i="278" s="1"/>
  <c r="AI126" i="278"/>
  <c r="AJ26" i="277"/>
  <c r="AJ27" i="277"/>
  <c r="AJ25" i="277"/>
  <c r="AJ49" i="277"/>
  <c r="AJ48" i="277"/>
  <c r="AJ50" i="277"/>
  <c r="AI71" i="272"/>
  <c r="AI75" i="272" s="1"/>
  <c r="AI127" i="272"/>
  <c r="AI182" i="272"/>
  <c r="AI186" i="272" s="1"/>
  <c r="AI70" i="272"/>
  <c r="AI74" i="272" s="1"/>
  <c r="AI126" i="272"/>
  <c r="AI181" i="272"/>
  <c r="AI185" i="272" s="1"/>
  <c r="AI72" i="272"/>
  <c r="AI76" i="272" s="1"/>
  <c r="AI128" i="272"/>
  <c r="AI183" i="272"/>
  <c r="AI187" i="272" s="1"/>
  <c r="AJ50" i="271"/>
  <c r="AJ49" i="271"/>
  <c r="AJ48" i="271"/>
  <c r="AJ25" i="271"/>
  <c r="AJ27" i="271"/>
  <c r="AJ26" i="271"/>
  <c r="AI32" i="271"/>
  <c r="AI172" i="272" s="1"/>
  <c r="AI112" i="272"/>
  <c r="AI159" i="272"/>
  <c r="AI55" i="272"/>
  <c r="AI113" i="272"/>
  <c r="AI160" i="272"/>
  <c r="AI56" i="272"/>
  <c r="AI33" i="271"/>
  <c r="AI173" i="272" s="1"/>
  <c r="AI114" i="272"/>
  <c r="AI161" i="272"/>
  <c r="AI57" i="272"/>
  <c r="AH24" i="270"/>
  <c r="AH23" i="270"/>
  <c r="AJ29" i="270"/>
  <c r="AJ38" i="270"/>
  <c r="AH166" i="272"/>
  <c r="AH168" i="272"/>
  <c r="AI20" i="268"/>
  <c r="AI25" i="268" s="1"/>
  <c r="AI32" i="268" s="1"/>
  <c r="AH167" i="272"/>
  <c r="AI71" i="269"/>
  <c r="AI75" i="269" s="1"/>
  <c r="AH201" i="278"/>
  <c r="AH64" i="278"/>
  <c r="AH74" i="278"/>
  <c r="AH78" i="278" s="1"/>
  <c r="AH185" i="272"/>
  <c r="AJ49" i="268"/>
  <c r="AJ71" i="269" s="1"/>
  <c r="AJ75" i="269" s="1"/>
  <c r="AI48" i="268"/>
  <c r="AI181" i="269" s="1"/>
  <c r="AI185" i="269" s="1"/>
  <c r="AI50" i="268"/>
  <c r="AI72" i="269" s="1"/>
  <c r="AI76" i="269" s="1"/>
  <c r="AI182" i="269"/>
  <c r="AI186" i="269" s="1"/>
  <c r="AF85" i="278"/>
  <c r="AJ27" i="268"/>
  <c r="AH33" i="268"/>
  <c r="AH113" i="269"/>
  <c r="AH56" i="269"/>
  <c r="AH63" i="269" s="1"/>
  <c r="AH57" i="269"/>
  <c r="AH64" i="269" s="1"/>
  <c r="AH161" i="269"/>
  <c r="AH168" i="269" s="1"/>
  <c r="AH170" i="269" s="1"/>
  <c r="AH168" i="278"/>
  <c r="AH72" i="269"/>
  <c r="AH76" i="269" s="1"/>
  <c r="AH128" i="269"/>
  <c r="AH183" i="269"/>
  <c r="AH187" i="269" s="1"/>
  <c r="AH63" i="272"/>
  <c r="AH70" i="269"/>
  <c r="AH74" i="269" s="1"/>
  <c r="AH126" i="269"/>
  <c r="AH181" i="269"/>
  <c r="AH185" i="269" s="1"/>
  <c r="AH201" i="272"/>
  <c r="AH62" i="278"/>
  <c r="AH64" i="272"/>
  <c r="AH166" i="278"/>
  <c r="AG202" i="278"/>
  <c r="AG170" i="278"/>
  <c r="AJ40" i="273"/>
  <c r="AJ31" i="273"/>
  <c r="AG200" i="278"/>
  <c r="AJ40" i="279"/>
  <c r="AJ31" i="279"/>
  <c r="AG170" i="269"/>
  <c r="AG202" i="269"/>
  <c r="AH62" i="272"/>
  <c r="AG170" i="272"/>
  <c r="AG202" i="272"/>
  <c r="AG62" i="269"/>
  <c r="AG83" i="269"/>
  <c r="AH200" i="272"/>
  <c r="AH62" i="269"/>
  <c r="AG83" i="272"/>
  <c r="AG62" i="272"/>
  <c r="AH200" i="278"/>
  <c r="AF82" i="269"/>
  <c r="AF103" i="260" s="1"/>
  <c r="AF66" i="269"/>
  <c r="AF85" i="269" s="1"/>
  <c r="AG200" i="272"/>
  <c r="AF23" i="272"/>
  <c r="AF43" i="272" s="1"/>
  <c r="AH78" i="272"/>
  <c r="AH189" i="278"/>
  <c r="AJ40" i="270"/>
  <c r="AJ31" i="270"/>
  <c r="AG83" i="278"/>
  <c r="AG62" i="278"/>
  <c r="AE66" i="269"/>
  <c r="AH130" i="329" l="1"/>
  <c r="AH143" i="329"/>
  <c r="AH141" i="329"/>
  <c r="AH133" i="329"/>
  <c r="AH142" i="329"/>
  <c r="AI126" i="313"/>
  <c r="AI130" i="313" s="1"/>
  <c r="AL38" i="324"/>
  <c r="AL80" i="325" s="1"/>
  <c r="AK63" i="270"/>
  <c r="AK66" i="270" s="1"/>
  <c r="AK67" i="270" s="1"/>
  <c r="AK72" i="270" s="1"/>
  <c r="AL6" i="302"/>
  <c r="AL14" i="304" s="1"/>
  <c r="D285" i="261"/>
  <c r="D293" i="261" s="1"/>
  <c r="AL6" i="271"/>
  <c r="AL14" i="273" s="1"/>
  <c r="F285" i="261"/>
  <c r="F293" i="261" s="1"/>
  <c r="AL6" i="327"/>
  <c r="O285" i="261"/>
  <c r="O293" i="261" s="1"/>
  <c r="AK41" i="316"/>
  <c r="AK32" i="316"/>
  <c r="I291" i="261"/>
  <c r="I299" i="261" s="1"/>
  <c r="D291" i="261"/>
  <c r="D299" i="261" s="1"/>
  <c r="AL11" i="312"/>
  <c r="AL18" i="314" s="1"/>
  <c r="AL11" i="315"/>
  <c r="AL18" i="316" s="1"/>
  <c r="AL11" i="318"/>
  <c r="AL18" i="319" s="1"/>
  <c r="AL6" i="312"/>
  <c r="AL77" i="314" s="1"/>
  <c r="J285" i="261"/>
  <c r="J293" i="261" s="1"/>
  <c r="AL6" i="318"/>
  <c r="AL77" i="319" s="1"/>
  <c r="L285" i="261"/>
  <c r="L293" i="261" s="1"/>
  <c r="AK40" i="309"/>
  <c r="AK31" i="309"/>
  <c r="M291" i="261"/>
  <c r="M299" i="261" s="1"/>
  <c r="J291" i="261"/>
  <c r="J299" i="261" s="1"/>
  <c r="AL6" i="308"/>
  <c r="AL14" i="309" s="1"/>
  <c r="H285" i="261"/>
  <c r="H293" i="261" s="1"/>
  <c r="AK31" i="270"/>
  <c r="AK40" i="270"/>
  <c r="AK41" i="319"/>
  <c r="AK32" i="319"/>
  <c r="E291" i="261"/>
  <c r="E299" i="261" s="1"/>
  <c r="G291" i="261"/>
  <c r="G299" i="261" s="1"/>
  <c r="F291" i="261"/>
  <c r="F299" i="261" s="1"/>
  <c r="AL11" i="308"/>
  <c r="AL17" i="309" s="1"/>
  <c r="AL11" i="277"/>
  <c r="AL17" i="279" s="1"/>
  <c r="AL11" i="302"/>
  <c r="AL17" i="304" s="1"/>
  <c r="AL11" i="268"/>
  <c r="AL17" i="270" s="1"/>
  <c r="AL6" i="315"/>
  <c r="AL77" i="316" s="1"/>
  <c r="K285" i="261"/>
  <c r="K293" i="261" s="1"/>
  <c r="AK31" i="279"/>
  <c r="AK40" i="279"/>
  <c r="N291" i="261"/>
  <c r="N299" i="261" s="1"/>
  <c r="O291" i="261"/>
  <c r="O299" i="261" s="1"/>
  <c r="L291" i="261"/>
  <c r="L299" i="261" s="1"/>
  <c r="K291" i="261"/>
  <c r="K299" i="261" s="1"/>
  <c r="H291" i="261"/>
  <c r="H299" i="261" s="1"/>
  <c r="AI41" i="310"/>
  <c r="AI21" i="310"/>
  <c r="AI181" i="313"/>
  <c r="AI185" i="313" s="1"/>
  <c r="AI202" i="313" s="1"/>
  <c r="D1165" i="261"/>
  <c r="AI70" i="313"/>
  <c r="AI83" i="313" s="1"/>
  <c r="AJ110" i="322"/>
  <c r="AL38" i="321"/>
  <c r="AL80" i="322" s="1"/>
  <c r="AJ110" i="316"/>
  <c r="AJ110" i="325"/>
  <c r="AI86" i="325"/>
  <c r="AI27" i="326" s="1"/>
  <c r="AI31" i="326" s="1"/>
  <c r="AL15" i="314"/>
  <c r="AL15" i="325"/>
  <c r="AL77" i="325"/>
  <c r="AL77" i="322"/>
  <c r="AL15" i="322"/>
  <c r="AL77" i="328"/>
  <c r="AL15" i="328"/>
  <c r="AJ49" i="312"/>
  <c r="AJ127" i="313" s="1"/>
  <c r="AL76" i="322"/>
  <c r="AL90" i="322"/>
  <c r="AL28" i="322"/>
  <c r="AL14" i="322"/>
  <c r="AL84" i="322"/>
  <c r="AL22" i="322"/>
  <c r="AL150" i="272"/>
  <c r="AL103" i="272"/>
  <c r="AL101" i="272"/>
  <c r="AL102" i="272"/>
  <c r="AL100" i="272"/>
  <c r="AL97" i="272"/>
  <c r="AL98" i="272"/>
  <c r="AL92" i="272"/>
  <c r="AL96" i="272"/>
  <c r="AL93" i="272"/>
  <c r="AL90" i="272"/>
  <c r="AL95" i="272"/>
  <c r="AL91" i="272"/>
  <c r="AL105" i="272"/>
  <c r="AL151" i="272"/>
  <c r="AL28" i="272"/>
  <c r="AL32" i="272" s="1"/>
  <c r="AL27" i="272"/>
  <c r="AL31" i="272" s="1"/>
  <c r="AL107" i="272"/>
  <c r="AL29" i="272"/>
  <c r="AL33" i="272" s="1"/>
  <c r="AL106" i="272"/>
  <c r="AL108" i="272"/>
  <c r="AL13" i="307"/>
  <c r="AL27" i="307"/>
  <c r="AL21" i="307"/>
  <c r="AL90" i="314"/>
  <c r="AL28" i="314"/>
  <c r="AL76" i="314"/>
  <c r="AL22" i="314"/>
  <c r="AL14" i="314"/>
  <c r="AL84" i="314"/>
  <c r="AL13" i="273"/>
  <c r="AL27" i="273"/>
  <c r="AL21" i="273"/>
  <c r="AN58" i="267"/>
  <c r="AL27" i="270"/>
  <c r="AL13" i="270"/>
  <c r="AL21" i="270"/>
  <c r="AL90" i="319"/>
  <c r="AL76" i="319"/>
  <c r="AL14" i="319"/>
  <c r="AL84" i="319"/>
  <c r="AL22" i="319"/>
  <c r="AL28" i="319"/>
  <c r="AL27" i="304"/>
  <c r="AL13" i="304"/>
  <c r="AL21" i="304"/>
  <c r="AL27" i="309"/>
  <c r="AL13" i="309"/>
  <c r="AL21" i="309"/>
  <c r="AL103" i="313"/>
  <c r="AL100" i="313"/>
  <c r="AL101" i="313"/>
  <c r="AL102" i="313"/>
  <c r="AL97" i="313"/>
  <c r="AL95" i="313"/>
  <c r="AL92" i="313"/>
  <c r="AL98" i="313"/>
  <c r="AL96" i="313"/>
  <c r="AL93" i="313"/>
  <c r="AL90" i="313"/>
  <c r="AL91" i="313"/>
  <c r="AL107" i="313"/>
  <c r="AL106" i="313"/>
  <c r="AL108" i="313"/>
  <c r="AL151" i="313"/>
  <c r="AL105" i="313"/>
  <c r="AL150" i="313"/>
  <c r="AL106" i="329"/>
  <c r="AL101" i="329"/>
  <c r="AL102" i="329"/>
  <c r="AL100" i="329"/>
  <c r="AL103" i="329"/>
  <c r="AL97" i="329"/>
  <c r="AL95" i="329"/>
  <c r="AL98" i="329"/>
  <c r="AL96" i="329"/>
  <c r="AL93" i="329"/>
  <c r="AL108" i="329"/>
  <c r="AL92" i="329"/>
  <c r="AL90" i="329"/>
  <c r="AL91" i="329"/>
  <c r="AL105" i="329"/>
  <c r="AL107" i="329"/>
  <c r="AL76" i="316"/>
  <c r="AL14" i="316"/>
  <c r="AL84" i="316"/>
  <c r="AL28" i="316"/>
  <c r="AL22" i="316"/>
  <c r="AL90" i="316"/>
  <c r="AL107" i="323"/>
  <c r="AL101" i="323"/>
  <c r="AL102" i="323"/>
  <c r="AL103" i="323"/>
  <c r="AL100" i="323"/>
  <c r="AL97" i="323"/>
  <c r="AL95" i="323"/>
  <c r="AL91" i="323"/>
  <c r="AL98" i="323"/>
  <c r="AL92" i="323"/>
  <c r="AL93" i="323"/>
  <c r="AL96" i="323"/>
  <c r="AL90" i="323"/>
  <c r="AL150" i="323"/>
  <c r="AL108" i="323"/>
  <c r="AL106" i="323"/>
  <c r="AL151" i="323"/>
  <c r="AL105" i="323"/>
  <c r="AL151" i="326"/>
  <c r="AL101" i="326"/>
  <c r="AL102" i="326"/>
  <c r="AL103" i="326"/>
  <c r="AL100" i="326"/>
  <c r="AL97" i="326"/>
  <c r="AL95" i="326"/>
  <c r="AL91" i="326"/>
  <c r="AL98" i="326"/>
  <c r="AL92" i="326"/>
  <c r="AL96" i="326"/>
  <c r="AL93" i="326"/>
  <c r="AL90" i="326"/>
  <c r="AL106" i="326"/>
  <c r="AL107" i="326"/>
  <c r="AL108" i="326"/>
  <c r="AL150" i="326"/>
  <c r="AL194" i="326" s="1"/>
  <c r="AL105" i="326"/>
  <c r="AL151" i="278"/>
  <c r="AL103" i="278"/>
  <c r="AL102" i="278"/>
  <c r="AL100" i="278"/>
  <c r="AL101" i="278"/>
  <c r="AL90" i="278"/>
  <c r="AL97" i="278"/>
  <c r="AL95" i="278"/>
  <c r="AL91" i="278"/>
  <c r="AL98" i="278"/>
  <c r="AL92" i="278"/>
  <c r="AL93" i="278"/>
  <c r="AL96" i="278"/>
  <c r="AL106" i="278"/>
  <c r="AL27" i="278"/>
  <c r="AL31" i="278" s="1"/>
  <c r="AL151" i="329"/>
  <c r="AL150" i="329"/>
  <c r="AL28" i="278"/>
  <c r="AL32" i="278" s="1"/>
  <c r="AL29" i="278"/>
  <c r="AL33" i="278" s="1"/>
  <c r="AL107" i="278"/>
  <c r="AL108" i="278"/>
  <c r="AL150" i="278"/>
  <c r="AL105" i="278"/>
  <c r="AL76" i="325"/>
  <c r="AL28" i="325"/>
  <c r="AL14" i="325"/>
  <c r="AL22" i="325"/>
  <c r="AL90" i="325"/>
  <c r="AL84" i="325"/>
  <c r="AL107" i="317"/>
  <c r="AL101" i="317"/>
  <c r="AL102" i="317"/>
  <c r="AL100" i="317"/>
  <c r="AL103" i="317"/>
  <c r="AL97" i="317"/>
  <c r="AL95" i="317"/>
  <c r="AL91" i="317"/>
  <c r="AL98" i="317"/>
  <c r="AL92" i="317"/>
  <c r="AL90" i="317"/>
  <c r="AL93" i="317"/>
  <c r="AL96" i="317"/>
  <c r="AL105" i="317"/>
  <c r="AL151" i="317"/>
  <c r="AL150" i="317"/>
  <c r="AL108" i="317"/>
  <c r="AL106" i="317"/>
  <c r="AL27" i="279"/>
  <c r="AL13" i="279"/>
  <c r="AL21" i="279"/>
  <c r="AL101" i="320"/>
  <c r="AL102" i="320"/>
  <c r="AL103" i="320"/>
  <c r="AL100" i="320"/>
  <c r="AL98" i="320"/>
  <c r="AL92" i="320"/>
  <c r="AL96" i="320"/>
  <c r="AL93" i="320"/>
  <c r="AL90" i="320"/>
  <c r="AL97" i="320"/>
  <c r="AL95" i="320"/>
  <c r="AL91" i="320"/>
  <c r="AL150" i="320"/>
  <c r="AL106" i="320"/>
  <c r="AL108" i="320"/>
  <c r="AL151" i="320"/>
  <c r="AL107" i="320"/>
  <c r="AL105" i="320"/>
  <c r="AL90" i="328"/>
  <c r="AL22" i="328"/>
  <c r="AL14" i="328"/>
  <c r="AL28" i="328"/>
  <c r="AL84" i="328"/>
  <c r="AL76" i="328"/>
  <c r="AJ112" i="313"/>
  <c r="AJ50" i="312"/>
  <c r="AJ183" i="313" s="1"/>
  <c r="AJ187" i="313" s="1"/>
  <c r="AJ55" i="313"/>
  <c r="AJ62" i="313" s="1"/>
  <c r="AJ32" i="312"/>
  <c r="AJ172" i="313" s="1"/>
  <c r="AJ200" i="313" s="1"/>
  <c r="AI181" i="317"/>
  <c r="AI185" i="317" s="1"/>
  <c r="AL16" i="325"/>
  <c r="AL17" i="325"/>
  <c r="AL14" i="324"/>
  <c r="AL16" i="324" s="1"/>
  <c r="AL17" i="324" s="1"/>
  <c r="AL18" i="324" s="1"/>
  <c r="AL20" i="324" s="1"/>
  <c r="AL16" i="319"/>
  <c r="AL17" i="319"/>
  <c r="AL14" i="318"/>
  <c r="AL15" i="304"/>
  <c r="AL16" i="304"/>
  <c r="AL59" i="304" s="1"/>
  <c r="AL63" i="304" s="1"/>
  <c r="AL14" i="302"/>
  <c r="AL16" i="302" s="1"/>
  <c r="AL17" i="302" s="1"/>
  <c r="AL18" i="302" s="1"/>
  <c r="AL20" i="302" s="1"/>
  <c r="AL16" i="270"/>
  <c r="AL59" i="270" s="1"/>
  <c r="AL63" i="270" s="1"/>
  <c r="AL66" i="270" s="1"/>
  <c r="AL67" i="270" s="1"/>
  <c r="AL72" i="270" s="1"/>
  <c r="AL15" i="270"/>
  <c r="AL14" i="268"/>
  <c r="AL16" i="268" s="1"/>
  <c r="AL17" i="268" s="1"/>
  <c r="AL18" i="268" s="1"/>
  <c r="AL20" i="268" s="1"/>
  <c r="AL16" i="322"/>
  <c r="AL17" i="322"/>
  <c r="AL14" i="321"/>
  <c r="AL16" i="321" s="1"/>
  <c r="AL17" i="321" s="1"/>
  <c r="AL18" i="321" s="1"/>
  <c r="AL20" i="321" s="1"/>
  <c r="AL32" i="328"/>
  <c r="AL41" i="328"/>
  <c r="AL17" i="316"/>
  <c r="AL16" i="316"/>
  <c r="AL14" i="315"/>
  <c r="AL16" i="279"/>
  <c r="AL59" i="279" s="1"/>
  <c r="AL63" i="279" s="1"/>
  <c r="AL66" i="279" s="1"/>
  <c r="AL67" i="279" s="1"/>
  <c r="AL72" i="279" s="1"/>
  <c r="AL15" i="279"/>
  <c r="AL14" i="277"/>
  <c r="AL16" i="277" s="1"/>
  <c r="AL17" i="277" s="1"/>
  <c r="AL18" i="277" s="1"/>
  <c r="AL20" i="277" s="1"/>
  <c r="AL16" i="307"/>
  <c r="AL59" i="307" s="1"/>
  <c r="AL63" i="307" s="1"/>
  <c r="AL15" i="307"/>
  <c r="AL14" i="305"/>
  <c r="AL16" i="305" s="1"/>
  <c r="AL17" i="305" s="1"/>
  <c r="AL18" i="305" s="1"/>
  <c r="AL20" i="305" s="1"/>
  <c r="AH141" i="269"/>
  <c r="AI142" i="329"/>
  <c r="AL41" i="325"/>
  <c r="AL32" i="325"/>
  <c r="AL16" i="314"/>
  <c r="AL17" i="314"/>
  <c r="AL14" i="312"/>
  <c r="AL15" i="309"/>
  <c r="AL16" i="309"/>
  <c r="AL59" i="309" s="1"/>
  <c r="AL63" i="309" s="1"/>
  <c r="AL14" i="308"/>
  <c r="AL17" i="328"/>
  <c r="AL16" i="328"/>
  <c r="AL14" i="327"/>
  <c r="AL16" i="327" s="1"/>
  <c r="AL17" i="327" s="1"/>
  <c r="AL18" i="327" s="1"/>
  <c r="AL20" i="327" s="1"/>
  <c r="AL41" i="322"/>
  <c r="AL32" i="322"/>
  <c r="AL16" i="273"/>
  <c r="AL59" i="273" s="1"/>
  <c r="AL63" i="273" s="1"/>
  <c r="AL15" i="273"/>
  <c r="AL14" i="271"/>
  <c r="AI117" i="303"/>
  <c r="AI141" i="303"/>
  <c r="AI140" i="329"/>
  <c r="AI132" i="303"/>
  <c r="AI143" i="303"/>
  <c r="AI118" i="320"/>
  <c r="AI117" i="320"/>
  <c r="AI119" i="320"/>
  <c r="AI116" i="320"/>
  <c r="AI141" i="313"/>
  <c r="AI131" i="313"/>
  <c r="AI133" i="326"/>
  <c r="AI130" i="326"/>
  <c r="AI131" i="326"/>
  <c r="AI132" i="326"/>
  <c r="AI143" i="326"/>
  <c r="AI119" i="326"/>
  <c r="AI140" i="326"/>
  <c r="AI116" i="326"/>
  <c r="AI141" i="326"/>
  <c r="AI117" i="326"/>
  <c r="AI142" i="326"/>
  <c r="AI118" i="326"/>
  <c r="AI133" i="317"/>
  <c r="AI130" i="317"/>
  <c r="AI131" i="317"/>
  <c r="AI132" i="317"/>
  <c r="AI119" i="310"/>
  <c r="AI140" i="310"/>
  <c r="AH118" i="269"/>
  <c r="AH119" i="269"/>
  <c r="AI118" i="303"/>
  <c r="AI116" i="303"/>
  <c r="AI131" i="303"/>
  <c r="AI143" i="278"/>
  <c r="AI119" i="278"/>
  <c r="AI140" i="278"/>
  <c r="AI141" i="278"/>
  <c r="AI117" i="278"/>
  <c r="AI116" i="278"/>
  <c r="AI118" i="278"/>
  <c r="AI142" i="278"/>
  <c r="AI132" i="323"/>
  <c r="AI133" i="323"/>
  <c r="AI130" i="323"/>
  <c r="AI131" i="323"/>
  <c r="AI141" i="310"/>
  <c r="AI141" i="329"/>
  <c r="AH116" i="269"/>
  <c r="AI133" i="278"/>
  <c r="AI130" i="278"/>
  <c r="AI131" i="278"/>
  <c r="AI132" i="278"/>
  <c r="AI133" i="310"/>
  <c r="AI131" i="310"/>
  <c r="AI132" i="310"/>
  <c r="AI130" i="310"/>
  <c r="AI143" i="317"/>
  <c r="AI119" i="317"/>
  <c r="AI140" i="317"/>
  <c r="AI116" i="317"/>
  <c r="AI141" i="317"/>
  <c r="AI117" i="317"/>
  <c r="AI142" i="317"/>
  <c r="AI118" i="317"/>
  <c r="AI141" i="272"/>
  <c r="AI142" i="272"/>
  <c r="AI143" i="272"/>
  <c r="AI140" i="272"/>
  <c r="AI119" i="272"/>
  <c r="AI116" i="272"/>
  <c r="AI117" i="272"/>
  <c r="AI118" i="272"/>
  <c r="AI131" i="272"/>
  <c r="AI132" i="272"/>
  <c r="AI133" i="272"/>
  <c r="AI130" i="272"/>
  <c r="AI132" i="306"/>
  <c r="AI133" i="306"/>
  <c r="AI130" i="306"/>
  <c r="AI131" i="306"/>
  <c r="AI142" i="323"/>
  <c r="AI118" i="323"/>
  <c r="AI143" i="323"/>
  <c r="AI119" i="323"/>
  <c r="AI140" i="323"/>
  <c r="AI116" i="323"/>
  <c r="AI117" i="323"/>
  <c r="AI141" i="323"/>
  <c r="AI142" i="310"/>
  <c r="AI143" i="310"/>
  <c r="AI143" i="329"/>
  <c r="AH142" i="269"/>
  <c r="AH143" i="269"/>
  <c r="AI142" i="303"/>
  <c r="AI140" i="303"/>
  <c r="AI130" i="303"/>
  <c r="AI140" i="306"/>
  <c r="AI142" i="306"/>
  <c r="AI143" i="306"/>
  <c r="AI118" i="306"/>
  <c r="AI119" i="306"/>
  <c r="AI116" i="306"/>
  <c r="AI141" i="306"/>
  <c r="AI117" i="306"/>
  <c r="AI116" i="310"/>
  <c r="AH140" i="269"/>
  <c r="AJ116" i="329"/>
  <c r="AJ117" i="329"/>
  <c r="AJ118" i="329"/>
  <c r="AJ119" i="329"/>
  <c r="AH133" i="269"/>
  <c r="AH130" i="269"/>
  <c r="AH131" i="269"/>
  <c r="AH132" i="269"/>
  <c r="AI133" i="329"/>
  <c r="AI130" i="329"/>
  <c r="AI131" i="329"/>
  <c r="AI132" i="329"/>
  <c r="AI117" i="310"/>
  <c r="AH117" i="269"/>
  <c r="AI119" i="303"/>
  <c r="AJ92" i="316"/>
  <c r="AJ118" i="316" s="1"/>
  <c r="AJ85" i="316" s="1"/>
  <c r="AJ101" i="322"/>
  <c r="AL38" i="268"/>
  <c r="AL38" i="271"/>
  <c r="AL38" i="302"/>
  <c r="AL38" i="277"/>
  <c r="AL38" i="305"/>
  <c r="AL38" i="308"/>
  <c r="AL38" i="312"/>
  <c r="AL80" i="314" s="1"/>
  <c r="AL38" i="318"/>
  <c r="AL80" i="319" s="1"/>
  <c r="AL38" i="315"/>
  <c r="AL80" i="316" s="1"/>
  <c r="AL94" i="325"/>
  <c r="AL103" i="325"/>
  <c r="AN63" i="267"/>
  <c r="AL37" i="315"/>
  <c r="AL37" i="312"/>
  <c r="AL37" i="318"/>
  <c r="AL103" i="322"/>
  <c r="AL94" i="322"/>
  <c r="AL37" i="268"/>
  <c r="AL40" i="268" s="1"/>
  <c r="AL42" i="268" s="1"/>
  <c r="AL43" i="268" s="1"/>
  <c r="AL44" i="268" s="1"/>
  <c r="AL46" i="268" s="1"/>
  <c r="AL37" i="271"/>
  <c r="AL40" i="271" s="1"/>
  <c r="AL37" i="302"/>
  <c r="AL40" i="302" s="1"/>
  <c r="AL42" i="302" s="1"/>
  <c r="AL43" i="302" s="1"/>
  <c r="AL44" i="302" s="1"/>
  <c r="AL46" i="302" s="1"/>
  <c r="AL37" i="277"/>
  <c r="AL40" i="277" s="1"/>
  <c r="AL42" i="277" s="1"/>
  <c r="AL43" i="277" s="1"/>
  <c r="AL44" i="277" s="1"/>
  <c r="AL46" i="277" s="1"/>
  <c r="AL37" i="305"/>
  <c r="AL40" i="305" s="1"/>
  <c r="AL42" i="305" s="1"/>
  <c r="AL43" i="305" s="1"/>
  <c r="AL44" i="305" s="1"/>
  <c r="AL46" i="305" s="1"/>
  <c r="AL37" i="308"/>
  <c r="AL40" i="308" s="1"/>
  <c r="AJ118" i="322"/>
  <c r="AJ85" i="322" s="1"/>
  <c r="AL94" i="328"/>
  <c r="AL103" i="328"/>
  <c r="AN68" i="267"/>
  <c r="AL37" i="327"/>
  <c r="AL37" i="321"/>
  <c r="AL37" i="324"/>
  <c r="AJ17" i="264"/>
  <c r="AK2" i="264"/>
  <c r="C49" i="260"/>
  <c r="AI71" i="317"/>
  <c r="AI75" i="317" s="1"/>
  <c r="AJ101" i="325"/>
  <c r="AJ118" i="325" s="1"/>
  <c r="AJ85" i="325" s="1"/>
  <c r="AJ29" i="326" s="1"/>
  <c r="AJ33" i="326" s="1"/>
  <c r="AJ110" i="319"/>
  <c r="AJ92" i="328"/>
  <c r="AJ101" i="319"/>
  <c r="AJ118" i="319" s="1"/>
  <c r="AJ85" i="319" s="1"/>
  <c r="AJ29" i="320" s="1"/>
  <c r="AJ33" i="320" s="1"/>
  <c r="AJ101" i="328"/>
  <c r="AJ118" i="328" s="1"/>
  <c r="AJ85" i="328" s="1"/>
  <c r="AJ29" i="329" s="1"/>
  <c r="AJ33" i="329" s="1"/>
  <c r="AI126" i="320"/>
  <c r="AI70" i="320"/>
  <c r="AI74" i="320" s="1"/>
  <c r="AI86" i="316"/>
  <c r="AI27" i="317" s="1"/>
  <c r="AI31" i="317" s="1"/>
  <c r="J87" i="261"/>
  <c r="D1164" i="261"/>
  <c r="D1160" i="261"/>
  <c r="J83" i="261"/>
  <c r="J79" i="261"/>
  <c r="D1156" i="261"/>
  <c r="J75" i="261"/>
  <c r="D1152" i="261"/>
  <c r="J71" i="261"/>
  <c r="D1148" i="261"/>
  <c r="D1144" i="261"/>
  <c r="J67" i="261"/>
  <c r="D1140" i="261"/>
  <c r="J63" i="261"/>
  <c r="J59" i="261"/>
  <c r="D1136" i="261"/>
  <c r="D1132" i="261"/>
  <c r="J55" i="261"/>
  <c r="AK78" i="316"/>
  <c r="AK79" i="316"/>
  <c r="AK78" i="328"/>
  <c r="AK110" i="328" s="1"/>
  <c r="AK79" i="328"/>
  <c r="AK60" i="314"/>
  <c r="AJ126" i="314"/>
  <c r="AJ64" i="314"/>
  <c r="J86" i="261"/>
  <c r="D1163" i="261"/>
  <c r="J82" i="261"/>
  <c r="D1159" i="261"/>
  <c r="D1155" i="261"/>
  <c r="J78" i="261"/>
  <c r="J74" i="261"/>
  <c r="D1151" i="261"/>
  <c r="J70" i="261"/>
  <c r="D1147" i="261"/>
  <c r="D1143" i="261"/>
  <c r="J66" i="261"/>
  <c r="D1139" i="261"/>
  <c r="J62" i="261"/>
  <c r="D1135" i="261"/>
  <c r="J58" i="261"/>
  <c r="AK78" i="325"/>
  <c r="AK92" i="325" s="1"/>
  <c r="AK79" i="325"/>
  <c r="J85" i="261"/>
  <c r="D1162" i="261"/>
  <c r="J81" i="261"/>
  <c r="D1158" i="261"/>
  <c r="J77" i="261"/>
  <c r="D1154" i="261"/>
  <c r="D1150" i="261"/>
  <c r="J73" i="261"/>
  <c r="D1146" i="261"/>
  <c r="J69" i="261"/>
  <c r="J65" i="261"/>
  <c r="D1142" i="261"/>
  <c r="D1134" i="261"/>
  <c r="J57" i="261"/>
  <c r="AK78" i="319"/>
  <c r="AK92" i="319" s="1"/>
  <c r="AK79" i="319"/>
  <c r="AK78" i="322"/>
  <c r="AK101" i="322" s="1"/>
  <c r="AK79" i="322"/>
  <c r="AI129" i="314"/>
  <c r="AI130" i="314" s="1"/>
  <c r="AI135" i="314" s="1"/>
  <c r="AI67" i="314"/>
  <c r="AI68" i="314" s="1"/>
  <c r="AI73" i="314" s="1"/>
  <c r="AI25" i="314" s="1"/>
  <c r="AI16" i="313" s="1"/>
  <c r="AI20" i="313" s="1"/>
  <c r="J84" i="261"/>
  <c r="D1161" i="261"/>
  <c r="J80" i="261"/>
  <c r="D1157" i="261"/>
  <c r="J76" i="261"/>
  <c r="D1153" i="261"/>
  <c r="D1149" i="261"/>
  <c r="J72" i="261"/>
  <c r="J68" i="261"/>
  <c r="D1145" i="261"/>
  <c r="J64" i="261"/>
  <c r="D1141" i="261"/>
  <c r="J60" i="261"/>
  <c r="D1137" i="261"/>
  <c r="D1133" i="261"/>
  <c r="J56" i="261"/>
  <c r="AK78" i="314"/>
  <c r="AK79" i="314"/>
  <c r="D1138" i="261"/>
  <c r="AI71" i="320"/>
  <c r="AI75" i="320" s="1"/>
  <c r="AI127" i="320"/>
  <c r="AI182" i="320"/>
  <c r="AI186" i="320" s="1"/>
  <c r="AH196" i="313"/>
  <c r="AH204" i="313" s="1"/>
  <c r="AH40" i="323"/>
  <c r="AI70" i="317"/>
  <c r="AI83" i="317" s="1"/>
  <c r="AI201" i="320"/>
  <c r="AI181" i="320"/>
  <c r="AI185" i="320" s="1"/>
  <c r="AJ113" i="313"/>
  <c r="AI170" i="310"/>
  <c r="AF44" i="260"/>
  <c r="D880" i="261" s="1"/>
  <c r="AI41" i="317"/>
  <c r="AI182" i="317"/>
  <c r="AI186" i="317" s="1"/>
  <c r="AJ56" i="313"/>
  <c r="AJ63" i="313" s="1"/>
  <c r="AJ33" i="312"/>
  <c r="AJ173" i="313" s="1"/>
  <c r="AH39" i="323"/>
  <c r="AG35" i="323"/>
  <c r="AG43" i="323" s="1"/>
  <c r="AK40" i="321"/>
  <c r="AK42" i="321" s="1"/>
  <c r="AK43" i="321" s="1"/>
  <c r="AK44" i="321" s="1"/>
  <c r="AK46" i="321" s="1"/>
  <c r="AK49" i="321" s="1"/>
  <c r="AH39" i="320"/>
  <c r="AK40" i="318"/>
  <c r="AK42" i="318" s="1"/>
  <c r="AK43" i="318" s="1"/>
  <c r="AK44" i="318" s="1"/>
  <c r="AK46" i="318" s="1"/>
  <c r="AK50" i="318" s="1"/>
  <c r="AJ55" i="310"/>
  <c r="AJ62" i="310" s="1"/>
  <c r="AH32" i="320"/>
  <c r="AH40" i="320"/>
  <c r="AH32" i="317"/>
  <c r="AH40" i="317"/>
  <c r="AI129" i="319"/>
  <c r="AI130" i="319" s="1"/>
  <c r="AI135" i="319" s="1"/>
  <c r="AI87" i="319" s="1"/>
  <c r="AI28" i="320" s="1"/>
  <c r="AI32" i="320" s="1"/>
  <c r="AI67" i="319"/>
  <c r="AI68" i="319" s="1"/>
  <c r="AI73" i="319" s="1"/>
  <c r="AI25" i="319" s="1"/>
  <c r="AI16" i="320" s="1"/>
  <c r="AI20" i="320" s="1"/>
  <c r="AI24" i="319"/>
  <c r="AI15" i="320" s="1"/>
  <c r="AI19" i="320" s="1"/>
  <c r="AK122" i="319"/>
  <c r="AK60" i="319"/>
  <c r="AI129" i="328"/>
  <c r="AI130" i="328" s="1"/>
  <c r="AI135" i="328" s="1"/>
  <c r="AI87" i="328" s="1"/>
  <c r="AI28" i="329" s="1"/>
  <c r="AI32" i="329" s="1"/>
  <c r="AI35" i="329" s="1"/>
  <c r="AI67" i="328"/>
  <c r="AI68" i="328" s="1"/>
  <c r="AI73" i="328" s="1"/>
  <c r="AI25" i="328" s="1"/>
  <c r="AI16" i="329" s="1"/>
  <c r="AI20" i="329" s="1"/>
  <c r="AI24" i="328"/>
  <c r="AI15" i="329" s="1"/>
  <c r="AJ29" i="323"/>
  <c r="AJ33" i="323" s="1"/>
  <c r="AI129" i="322"/>
  <c r="AI130" i="322" s="1"/>
  <c r="AI135" i="322" s="1"/>
  <c r="AI87" i="322" s="1"/>
  <c r="AI28" i="323" s="1"/>
  <c r="AI67" i="322"/>
  <c r="AI68" i="322" s="1"/>
  <c r="AI73" i="322" s="1"/>
  <c r="AI25" i="322" s="1"/>
  <c r="AI16" i="323" s="1"/>
  <c r="AI20" i="323" s="1"/>
  <c r="AI24" i="322"/>
  <c r="AI15" i="323" s="1"/>
  <c r="AI19" i="323" s="1"/>
  <c r="AJ126" i="322"/>
  <c r="AJ86" i="322" s="1"/>
  <c r="AJ27" i="323" s="1"/>
  <c r="AJ31" i="323" s="1"/>
  <c r="AJ64" i="322"/>
  <c r="AH35" i="326"/>
  <c r="AI129" i="316"/>
  <c r="AI130" i="316" s="1"/>
  <c r="AI135" i="316" s="1"/>
  <c r="AI87" i="316" s="1"/>
  <c r="AI28" i="317" s="1"/>
  <c r="AI32" i="317" s="1"/>
  <c r="AI67" i="316"/>
  <c r="AI68" i="316" s="1"/>
  <c r="AI73" i="316" s="1"/>
  <c r="AI25" i="316" s="1"/>
  <c r="AI16" i="317" s="1"/>
  <c r="AI20" i="317" s="1"/>
  <c r="AI24" i="316"/>
  <c r="AI15" i="317" s="1"/>
  <c r="AJ48" i="328"/>
  <c r="AJ39" i="328"/>
  <c r="AJ56" i="328" s="1"/>
  <c r="AJ23" i="328" s="1"/>
  <c r="AJ30" i="328"/>
  <c r="AK122" i="322"/>
  <c r="AK60" i="322"/>
  <c r="AK39" i="316"/>
  <c r="AK30" i="316"/>
  <c r="AK56" i="316" s="1"/>
  <c r="AK23" i="316" s="1"/>
  <c r="AK17" i="317" s="1"/>
  <c r="AK21" i="317" s="1"/>
  <c r="AK48" i="316"/>
  <c r="AH33" i="320"/>
  <c r="AH41" i="320"/>
  <c r="AJ48" i="325"/>
  <c r="AJ39" i="325"/>
  <c r="AJ56" i="325" s="1"/>
  <c r="AJ23" i="325" s="1"/>
  <c r="AJ30" i="325"/>
  <c r="AK48" i="322"/>
  <c r="AK30" i="322"/>
  <c r="AK39" i="322"/>
  <c r="AK56" i="322" s="1"/>
  <c r="AK23" i="322" s="1"/>
  <c r="AK17" i="323" s="1"/>
  <c r="AK21" i="323" s="1"/>
  <c r="AK122" i="328"/>
  <c r="AK60" i="328"/>
  <c r="AK110" i="316"/>
  <c r="AK92" i="316"/>
  <c r="AK101" i="316"/>
  <c r="AH35" i="329"/>
  <c r="AK103" i="325"/>
  <c r="AK94" i="325"/>
  <c r="AJ126" i="316"/>
  <c r="AJ64" i="316"/>
  <c r="AK30" i="319"/>
  <c r="AK48" i="319"/>
  <c r="AK39" i="319"/>
  <c r="AK56" i="319" s="1"/>
  <c r="AK23" i="319" s="1"/>
  <c r="AK17" i="320" s="1"/>
  <c r="AK21" i="320" s="1"/>
  <c r="AK122" i="325"/>
  <c r="AK60" i="325"/>
  <c r="AK103" i="322"/>
  <c r="AK94" i="322"/>
  <c r="AJ126" i="319"/>
  <c r="AJ64" i="319"/>
  <c r="AI67" i="325"/>
  <c r="AI68" i="325" s="1"/>
  <c r="AI73" i="325" s="1"/>
  <c r="AI25" i="325" s="1"/>
  <c r="AI16" i="326" s="1"/>
  <c r="AI129" i="325"/>
  <c r="AI130" i="325" s="1"/>
  <c r="AI135" i="325" s="1"/>
  <c r="AI87" i="325" s="1"/>
  <c r="AI28" i="326" s="1"/>
  <c r="AI32" i="326" s="1"/>
  <c r="AI24" i="325"/>
  <c r="AI15" i="326" s="1"/>
  <c r="AK110" i="325"/>
  <c r="AI29" i="323"/>
  <c r="AI86" i="322"/>
  <c r="AI27" i="323" s="1"/>
  <c r="AI31" i="323" s="1"/>
  <c r="AJ126" i="328"/>
  <c r="AJ64" i="328"/>
  <c r="AJ64" i="325"/>
  <c r="AJ126" i="325"/>
  <c r="AH33" i="317"/>
  <c r="AH41" i="317"/>
  <c r="AK103" i="316"/>
  <c r="AK94" i="316"/>
  <c r="AK122" i="316"/>
  <c r="AK60" i="316"/>
  <c r="AK103" i="328"/>
  <c r="AK94" i="328"/>
  <c r="AK103" i="319"/>
  <c r="AK94" i="319"/>
  <c r="AI29" i="320"/>
  <c r="AI86" i="319"/>
  <c r="AI27" i="320" s="1"/>
  <c r="AI31" i="320" s="1"/>
  <c r="AH33" i="323"/>
  <c r="AH35" i="323" s="1"/>
  <c r="AH41" i="323"/>
  <c r="AH204" i="310"/>
  <c r="AG101" i="260"/>
  <c r="AH204" i="329"/>
  <c r="AJ128" i="310"/>
  <c r="AJ170" i="313"/>
  <c r="AI200" i="310"/>
  <c r="AH41" i="313"/>
  <c r="AH39" i="313"/>
  <c r="AI201" i="329"/>
  <c r="AJ53" i="327"/>
  <c r="AJ192" i="329" s="1"/>
  <c r="AJ201" i="329" s="1"/>
  <c r="AI24" i="314"/>
  <c r="AI15" i="313" s="1"/>
  <c r="AI19" i="313" s="1"/>
  <c r="AI201" i="313"/>
  <c r="AG104" i="260"/>
  <c r="AG113" i="260"/>
  <c r="AE112" i="260"/>
  <c r="AH85" i="303"/>
  <c r="AJ200" i="329"/>
  <c r="AG112" i="260"/>
  <c r="AJ53" i="318"/>
  <c r="AJ192" i="320" s="1"/>
  <c r="AG43" i="313"/>
  <c r="AK32" i="314"/>
  <c r="AH40" i="313"/>
  <c r="AI118" i="314"/>
  <c r="AI85" i="314" s="1"/>
  <c r="AH35" i="313"/>
  <c r="AK94" i="314"/>
  <c r="AK103" i="314"/>
  <c r="AJ101" i="314"/>
  <c r="AJ92" i="314"/>
  <c r="AJ118" i="314" s="1"/>
  <c r="AJ85" i="314" s="1"/>
  <c r="AJ110" i="314"/>
  <c r="AJ23" i="314"/>
  <c r="AJ17" i="313" s="1"/>
  <c r="AH40" i="272"/>
  <c r="AI202" i="310"/>
  <c r="AH23" i="320"/>
  <c r="AK25" i="308"/>
  <c r="AK112" i="310" s="1"/>
  <c r="AH177" i="326"/>
  <c r="AH204" i="326" s="1"/>
  <c r="AH177" i="320"/>
  <c r="AH204" i="320" s="1"/>
  <c r="AH177" i="317"/>
  <c r="AH204" i="317" s="1"/>
  <c r="AH23" i="323"/>
  <c r="AI170" i="326"/>
  <c r="AI78" i="310"/>
  <c r="AH177" i="323"/>
  <c r="AH204" i="323" s="1"/>
  <c r="AJ23" i="309"/>
  <c r="AJ15" i="310" s="1"/>
  <c r="AJ39" i="310" s="1"/>
  <c r="AJ41" i="310"/>
  <c r="AJ24" i="309"/>
  <c r="AJ16" i="310" s="1"/>
  <c r="AJ40" i="310" s="1"/>
  <c r="AJ57" i="310"/>
  <c r="AJ64" i="310" s="1"/>
  <c r="AJ161" i="310"/>
  <c r="AJ168" i="310" s="1"/>
  <c r="AJ114" i="310"/>
  <c r="AI83" i="310"/>
  <c r="AH85" i="310"/>
  <c r="AJ127" i="310"/>
  <c r="AI170" i="323"/>
  <c r="AJ71" i="310"/>
  <c r="AJ75" i="310" s="1"/>
  <c r="AJ159" i="310"/>
  <c r="AJ166" i="310" s="1"/>
  <c r="AJ112" i="310"/>
  <c r="AJ66" i="329"/>
  <c r="AI170" i="317"/>
  <c r="AK27" i="321"/>
  <c r="AK26" i="321"/>
  <c r="AK25" i="321"/>
  <c r="AH20" i="326"/>
  <c r="AH40" i="326"/>
  <c r="AJ114" i="323"/>
  <c r="AJ161" i="323"/>
  <c r="AJ168" i="323" s="1"/>
  <c r="AJ57" i="323"/>
  <c r="AJ64" i="323" s="1"/>
  <c r="AI200" i="323"/>
  <c r="AI200" i="326"/>
  <c r="AJ161" i="320"/>
  <c r="AJ168" i="320" s="1"/>
  <c r="AJ114" i="320"/>
  <c r="AJ57" i="320"/>
  <c r="AJ64" i="320" s="1"/>
  <c r="AK159" i="313"/>
  <c r="AK166" i="313" s="1"/>
  <c r="AK55" i="313"/>
  <c r="AK62" i="313" s="1"/>
  <c r="AK32" i="312"/>
  <c r="AK172" i="313" s="1"/>
  <c r="AK112" i="313"/>
  <c r="AJ55" i="323"/>
  <c r="AJ62" i="323" s="1"/>
  <c r="AJ112" i="323"/>
  <c r="AJ159" i="323"/>
  <c r="AJ166" i="323" s="1"/>
  <c r="AJ32" i="321"/>
  <c r="AJ172" i="323" s="1"/>
  <c r="AH20" i="329"/>
  <c r="AH40" i="329"/>
  <c r="AJ170" i="329"/>
  <c r="AJ160" i="323"/>
  <c r="AJ167" i="323" s="1"/>
  <c r="AJ113" i="323"/>
  <c r="AJ56" i="323"/>
  <c r="AJ63" i="323" s="1"/>
  <c r="AJ33" i="321"/>
  <c r="AJ173" i="323" s="1"/>
  <c r="AJ201" i="323" s="1"/>
  <c r="AH19" i="326"/>
  <c r="AH39" i="326"/>
  <c r="AJ32" i="318"/>
  <c r="AJ172" i="320" s="1"/>
  <c r="AJ112" i="320"/>
  <c r="AJ55" i="320"/>
  <c r="AJ62" i="320" s="1"/>
  <c r="AJ159" i="320"/>
  <c r="AJ166" i="320" s="1"/>
  <c r="AH19" i="329"/>
  <c r="AH39" i="329"/>
  <c r="AK57" i="313"/>
  <c r="AK64" i="313" s="1"/>
  <c r="AK114" i="313"/>
  <c r="AK161" i="313"/>
  <c r="AK168" i="313" s="1"/>
  <c r="AK26" i="315"/>
  <c r="AK27" i="315"/>
  <c r="AK25" i="315"/>
  <c r="AJ55" i="317"/>
  <c r="AJ62" i="317" s="1"/>
  <c r="AJ159" i="317"/>
  <c r="AJ166" i="317" s="1"/>
  <c r="AJ32" i="315"/>
  <c r="AJ172" i="317" s="1"/>
  <c r="AJ112" i="317"/>
  <c r="AI83" i="303"/>
  <c r="AI23" i="304"/>
  <c r="AI15" i="303" s="1"/>
  <c r="AI39" i="303" s="1"/>
  <c r="AI17" i="329"/>
  <c r="AI17" i="326"/>
  <c r="AG23" i="329"/>
  <c r="AG43" i="329" s="1"/>
  <c r="AK55" i="329"/>
  <c r="AK62" i="329" s="1"/>
  <c r="AK159" i="329"/>
  <c r="AK166" i="329" s="1"/>
  <c r="AK32" i="327"/>
  <c r="AK172" i="329" s="1"/>
  <c r="AK112" i="329"/>
  <c r="AH21" i="326"/>
  <c r="AH41" i="326"/>
  <c r="AI200" i="317"/>
  <c r="AK27" i="318"/>
  <c r="AK26" i="318"/>
  <c r="AK25" i="318"/>
  <c r="AH21" i="329"/>
  <c r="AH41" i="329"/>
  <c r="AK113" i="313"/>
  <c r="AK56" i="313"/>
  <c r="AK63" i="313" s="1"/>
  <c r="AK33" i="312"/>
  <c r="AK173" i="313" s="1"/>
  <c r="AK160" i="313"/>
  <c r="AK167" i="313" s="1"/>
  <c r="AK161" i="329"/>
  <c r="AK168" i="329" s="1"/>
  <c r="AK57" i="329"/>
  <c r="AK64" i="329" s="1"/>
  <c r="AK114" i="329"/>
  <c r="AJ160" i="326"/>
  <c r="AJ167" i="326" s="1"/>
  <c r="AJ56" i="326"/>
  <c r="AJ63" i="326" s="1"/>
  <c r="AJ113" i="326"/>
  <c r="AJ33" i="324"/>
  <c r="AJ173" i="326" s="1"/>
  <c r="AJ201" i="326" s="1"/>
  <c r="AI66" i="317"/>
  <c r="AI66" i="320"/>
  <c r="AG23" i="326"/>
  <c r="AG43" i="326" s="1"/>
  <c r="AJ161" i="317"/>
  <c r="AJ168" i="317" s="1"/>
  <c r="AJ57" i="317"/>
  <c r="AJ64" i="317" s="1"/>
  <c r="AJ114" i="317"/>
  <c r="AK56" i="329"/>
  <c r="AK63" i="329" s="1"/>
  <c r="AK160" i="329"/>
  <c r="AK167" i="329" s="1"/>
  <c r="AK113" i="329"/>
  <c r="AK33" i="327"/>
  <c r="AK173" i="329" s="1"/>
  <c r="AJ114" i="326"/>
  <c r="AJ161" i="326"/>
  <c r="AJ168" i="326" s="1"/>
  <c r="AJ57" i="326"/>
  <c r="AJ64" i="326" s="1"/>
  <c r="AK27" i="324"/>
  <c r="AK25" i="324"/>
  <c r="AK26" i="324"/>
  <c r="AI200" i="320"/>
  <c r="AI66" i="323"/>
  <c r="AJ33" i="318"/>
  <c r="AJ173" i="320" s="1"/>
  <c r="AJ56" i="320"/>
  <c r="AJ63" i="320" s="1"/>
  <c r="AJ113" i="320"/>
  <c r="AJ160" i="320"/>
  <c r="AJ167" i="320" s="1"/>
  <c r="AJ56" i="317"/>
  <c r="AJ63" i="317" s="1"/>
  <c r="AJ113" i="317"/>
  <c r="AJ33" i="315"/>
  <c r="AJ173" i="317" s="1"/>
  <c r="AJ201" i="317" s="1"/>
  <c r="AJ160" i="317"/>
  <c r="AJ167" i="317" s="1"/>
  <c r="AJ55" i="326"/>
  <c r="AJ62" i="326" s="1"/>
  <c r="AJ112" i="326"/>
  <c r="AJ159" i="326"/>
  <c r="AJ166" i="326" s="1"/>
  <c r="AJ32" i="324"/>
  <c r="AJ172" i="326" s="1"/>
  <c r="AI66" i="326"/>
  <c r="AI170" i="320"/>
  <c r="AH23" i="313"/>
  <c r="AK30" i="314"/>
  <c r="AK39" i="314"/>
  <c r="AK48" i="314"/>
  <c r="AI21" i="313"/>
  <c r="AJ57" i="303"/>
  <c r="AJ64" i="303" s="1"/>
  <c r="AJ114" i="303"/>
  <c r="AJ126" i="317"/>
  <c r="AJ70" i="317"/>
  <c r="AJ181" i="317"/>
  <c r="AJ185" i="317" s="1"/>
  <c r="AI74" i="323"/>
  <c r="AI83" i="323"/>
  <c r="AJ128" i="326"/>
  <c r="AJ72" i="326"/>
  <c r="AJ76" i="326" s="1"/>
  <c r="AJ183" i="326"/>
  <c r="AJ187" i="326" s="1"/>
  <c r="AJ70" i="320"/>
  <c r="AJ181" i="320"/>
  <c r="AJ185" i="320" s="1"/>
  <c r="AJ126" i="320"/>
  <c r="AK48" i="312"/>
  <c r="AK52" i="312" s="1"/>
  <c r="AK191" i="313" s="1"/>
  <c r="AK49" i="312"/>
  <c r="AK50" i="312"/>
  <c r="AH78" i="317"/>
  <c r="AH85" i="317" s="1"/>
  <c r="AH82" i="317"/>
  <c r="AJ182" i="313"/>
  <c r="AJ186" i="313" s="1"/>
  <c r="AJ183" i="317"/>
  <c r="AJ187" i="317" s="1"/>
  <c r="AJ72" i="317"/>
  <c r="AJ76" i="317" s="1"/>
  <c r="AJ128" i="317"/>
  <c r="AJ181" i="329"/>
  <c r="AJ185" i="329" s="1"/>
  <c r="AJ70" i="329"/>
  <c r="AJ126" i="329"/>
  <c r="AI189" i="323"/>
  <c r="AI202" i="323"/>
  <c r="AJ126" i="326"/>
  <c r="AJ181" i="326"/>
  <c r="AJ185" i="326" s="1"/>
  <c r="AJ70" i="326"/>
  <c r="AJ128" i="320"/>
  <c r="AJ183" i="320"/>
  <c r="AJ187" i="320" s="1"/>
  <c r="AJ72" i="320"/>
  <c r="AJ76" i="320" s="1"/>
  <c r="AJ126" i="313"/>
  <c r="AJ70" i="313"/>
  <c r="AJ181" i="313"/>
  <c r="AJ185" i="313" s="1"/>
  <c r="AJ71" i="326"/>
  <c r="AJ75" i="326" s="1"/>
  <c r="AJ127" i="326"/>
  <c r="AJ182" i="326"/>
  <c r="AJ186" i="326" s="1"/>
  <c r="AJ127" i="320"/>
  <c r="AJ71" i="320"/>
  <c r="AJ75" i="320" s="1"/>
  <c r="AJ182" i="320"/>
  <c r="AJ186" i="320" s="1"/>
  <c r="AK49" i="315"/>
  <c r="AK48" i="315"/>
  <c r="AK50" i="315"/>
  <c r="AH78" i="329"/>
  <c r="AH85" i="329" s="1"/>
  <c r="AH82" i="329"/>
  <c r="AJ71" i="317"/>
  <c r="AJ75" i="317" s="1"/>
  <c r="AJ182" i="317"/>
  <c r="AJ186" i="317" s="1"/>
  <c r="AJ127" i="317"/>
  <c r="AJ71" i="329"/>
  <c r="AJ75" i="329" s="1"/>
  <c r="AJ182" i="329"/>
  <c r="AJ186" i="329" s="1"/>
  <c r="AJ127" i="329"/>
  <c r="AI74" i="326"/>
  <c r="AI83" i="326"/>
  <c r="AJ183" i="329"/>
  <c r="AJ187" i="329" s="1"/>
  <c r="AJ128" i="329"/>
  <c r="AJ72" i="329"/>
  <c r="AJ76" i="329" s="1"/>
  <c r="AK49" i="324"/>
  <c r="AK48" i="324"/>
  <c r="AK50" i="324"/>
  <c r="AJ182" i="323"/>
  <c r="AJ186" i="323" s="1"/>
  <c r="AJ71" i="323"/>
  <c r="AJ75" i="323" s="1"/>
  <c r="AJ127" i="323"/>
  <c r="AI189" i="326"/>
  <c r="AI202" i="326"/>
  <c r="AI189" i="310"/>
  <c r="AK49" i="327"/>
  <c r="AK48" i="327"/>
  <c r="AK52" i="327" s="1"/>
  <c r="AK191" i="329" s="1"/>
  <c r="AK50" i="327"/>
  <c r="AJ70" i="323"/>
  <c r="AJ181" i="323"/>
  <c r="AJ185" i="323" s="1"/>
  <c r="AJ126" i="323"/>
  <c r="AI74" i="329"/>
  <c r="AI78" i="329" s="1"/>
  <c r="AI85" i="329" s="1"/>
  <c r="AI83" i="329"/>
  <c r="AJ72" i="323"/>
  <c r="AJ76" i="323" s="1"/>
  <c r="AJ128" i="323"/>
  <c r="AJ183" i="323"/>
  <c r="AJ187" i="323" s="1"/>
  <c r="AH78" i="326"/>
  <c r="AH85" i="326" s="1"/>
  <c r="AH82" i="326"/>
  <c r="AI202" i="329"/>
  <c r="AI189" i="329"/>
  <c r="AH78" i="323"/>
  <c r="AH85" i="323" s="1"/>
  <c r="AH82" i="323"/>
  <c r="AH78" i="320"/>
  <c r="AH85" i="320" s="1"/>
  <c r="AH82" i="320"/>
  <c r="AH82" i="313"/>
  <c r="AJ70" i="310"/>
  <c r="AJ74" i="310" s="1"/>
  <c r="AJ181" i="310"/>
  <c r="AJ185" i="310" s="1"/>
  <c r="AJ183" i="310"/>
  <c r="AJ187" i="310" s="1"/>
  <c r="AH19" i="272"/>
  <c r="AG23" i="278"/>
  <c r="AG43" i="278" s="1"/>
  <c r="AJ113" i="303"/>
  <c r="AK50" i="308"/>
  <c r="AK183" i="310" s="1"/>
  <c r="AK187" i="310" s="1"/>
  <c r="AK49" i="308"/>
  <c r="AK182" i="310" s="1"/>
  <c r="AK186" i="310" s="1"/>
  <c r="AK48" i="308"/>
  <c r="AK126" i="310" s="1"/>
  <c r="AI40" i="303"/>
  <c r="AI20" i="303"/>
  <c r="AH40" i="303"/>
  <c r="AH20" i="303"/>
  <c r="AH39" i="303"/>
  <c r="AH19" i="303"/>
  <c r="AI39" i="306"/>
  <c r="AI19" i="306"/>
  <c r="AJ41" i="306"/>
  <c r="AJ21" i="306"/>
  <c r="AI40" i="306"/>
  <c r="AI20" i="306"/>
  <c r="AH40" i="278"/>
  <c r="AH20" i="278"/>
  <c r="AH39" i="278"/>
  <c r="AH19" i="278"/>
  <c r="AG39" i="269"/>
  <c r="AG19" i="269"/>
  <c r="AH41" i="269"/>
  <c r="AH21" i="269"/>
  <c r="AG40" i="269"/>
  <c r="AG100" i="260" s="1"/>
  <c r="AG20" i="269"/>
  <c r="AK9" i="269"/>
  <c r="AL9" i="269" s="1"/>
  <c r="AL31" i="269" s="1"/>
  <c r="AL35" i="269" s="1"/>
  <c r="AJ31" i="269"/>
  <c r="AJ35" i="269" s="1"/>
  <c r="AK9" i="272"/>
  <c r="AJ31" i="272"/>
  <c r="AJ35" i="272" s="1"/>
  <c r="AK9" i="278"/>
  <c r="AJ31" i="278"/>
  <c r="AJ35" i="278" s="1"/>
  <c r="AI189" i="303"/>
  <c r="AK27" i="302"/>
  <c r="AK33" i="302" s="1"/>
  <c r="AK173" i="303" s="1"/>
  <c r="AK25" i="302"/>
  <c r="AK32" i="302" s="1"/>
  <c r="AK172" i="303" s="1"/>
  <c r="AI17" i="303"/>
  <c r="AK47" i="309"/>
  <c r="AK29" i="309"/>
  <c r="AK55" i="309" s="1"/>
  <c r="AK22" i="309" s="1"/>
  <c r="AK24" i="309" s="1"/>
  <c r="AK16" i="310" s="1"/>
  <c r="AI202" i="303"/>
  <c r="AI66" i="306"/>
  <c r="AI170" i="303"/>
  <c r="AJ17" i="303"/>
  <c r="AJ24" i="304"/>
  <c r="AJ16" i="303" s="1"/>
  <c r="AJ23" i="304"/>
  <c r="AJ15" i="303" s="1"/>
  <c r="AK31" i="304"/>
  <c r="AK40" i="304"/>
  <c r="AK47" i="304"/>
  <c r="AJ33" i="302"/>
  <c r="AJ173" i="303" s="1"/>
  <c r="AK29" i="304"/>
  <c r="AJ128" i="303"/>
  <c r="AJ132" i="303" s="1"/>
  <c r="AH85" i="306"/>
  <c r="AJ160" i="303"/>
  <c r="AJ167" i="303" s="1"/>
  <c r="AJ170" i="303" s="1"/>
  <c r="AJ183" i="303"/>
  <c r="AJ187" i="303" s="1"/>
  <c r="AK63" i="304"/>
  <c r="AK66" i="304" s="1"/>
  <c r="AK67" i="304" s="1"/>
  <c r="AK72" i="304" s="1"/>
  <c r="AH204" i="306"/>
  <c r="AI23" i="310"/>
  <c r="AI43" i="310" s="1"/>
  <c r="AJ70" i="303"/>
  <c r="AJ74" i="303" s="1"/>
  <c r="AJ78" i="303" s="1"/>
  <c r="AJ181" i="303"/>
  <c r="AJ185" i="303" s="1"/>
  <c r="AD23" i="303"/>
  <c r="AD43" i="303" s="1"/>
  <c r="AJ32" i="305"/>
  <c r="AJ172" i="306" s="1"/>
  <c r="AJ159" i="306"/>
  <c r="AJ166" i="306" s="1"/>
  <c r="AJ112" i="306"/>
  <c r="AJ55" i="306"/>
  <c r="AJ62" i="306" s="1"/>
  <c r="AI170" i="306"/>
  <c r="AK25" i="305"/>
  <c r="AK27" i="305"/>
  <c r="AK26" i="305"/>
  <c r="AJ56" i="306"/>
  <c r="AJ63" i="306" s="1"/>
  <c r="AJ113" i="306"/>
  <c r="AJ33" i="305"/>
  <c r="AJ173" i="306" s="1"/>
  <c r="AJ201" i="306" s="1"/>
  <c r="AJ160" i="306"/>
  <c r="AJ167" i="306" s="1"/>
  <c r="AI200" i="306"/>
  <c r="AJ161" i="306"/>
  <c r="AJ168" i="306" s="1"/>
  <c r="AJ57" i="306"/>
  <c r="AJ64" i="306" s="1"/>
  <c r="AJ114" i="306"/>
  <c r="AI82" i="310"/>
  <c r="AI66" i="310"/>
  <c r="AJ23" i="307"/>
  <c r="AJ15" i="306" s="1"/>
  <c r="AJ200" i="310"/>
  <c r="AK161" i="310"/>
  <c r="AK168" i="310" s="1"/>
  <c r="AK114" i="310"/>
  <c r="AK57" i="310"/>
  <c r="AK64" i="310" s="1"/>
  <c r="AJ24" i="307"/>
  <c r="AJ16" i="306" s="1"/>
  <c r="AK47" i="307"/>
  <c r="AK29" i="307"/>
  <c r="AK55" i="307" s="1"/>
  <c r="AK22" i="307" s="1"/>
  <c r="AK17" i="306" s="1"/>
  <c r="AK38" i="307"/>
  <c r="AK33" i="308"/>
  <c r="AK173" i="310" s="1"/>
  <c r="AK201" i="310" s="1"/>
  <c r="AK113" i="310"/>
  <c r="AK160" i="310"/>
  <c r="AK167" i="310" s="1"/>
  <c r="AK56" i="310"/>
  <c r="AK63" i="310" s="1"/>
  <c r="AK66" i="307"/>
  <c r="AK67" i="307" s="1"/>
  <c r="AK72" i="307" s="1"/>
  <c r="AK50" i="302"/>
  <c r="AK72" i="303" s="1"/>
  <c r="AK76" i="303" s="1"/>
  <c r="AK48" i="302"/>
  <c r="AK181" i="303" s="1"/>
  <c r="AK185" i="303" s="1"/>
  <c r="AJ182" i="306"/>
  <c r="AJ186" i="306" s="1"/>
  <c r="AJ127" i="306"/>
  <c r="AJ71" i="306"/>
  <c r="AJ75" i="306" s="1"/>
  <c r="AJ181" i="306"/>
  <c r="AJ185" i="306" s="1"/>
  <c r="AJ126" i="306"/>
  <c r="AJ70" i="306"/>
  <c r="AJ74" i="306" s="1"/>
  <c r="AI76" i="306"/>
  <c r="AI83" i="306"/>
  <c r="AJ128" i="306"/>
  <c r="AJ183" i="306"/>
  <c r="AJ187" i="306" s="1"/>
  <c r="AJ72" i="306"/>
  <c r="AI189" i="306"/>
  <c r="AI202" i="306"/>
  <c r="AN53" i="267"/>
  <c r="AG175" i="303"/>
  <c r="AG177" i="303" s="1"/>
  <c r="AG204" i="303" s="1"/>
  <c r="AG200" i="303"/>
  <c r="AG111" i="260" s="1"/>
  <c r="AK48" i="305"/>
  <c r="AK50" i="305"/>
  <c r="AK49" i="305"/>
  <c r="AF23" i="303"/>
  <c r="AF43" i="303" s="1"/>
  <c r="AH15" i="269"/>
  <c r="AH16" i="269"/>
  <c r="AE23" i="303"/>
  <c r="AE43" i="303" s="1"/>
  <c r="AH173" i="269"/>
  <c r="AH201" i="269" s="1"/>
  <c r="AH201" i="303"/>
  <c r="AH200" i="303"/>
  <c r="AH111" i="260" s="1"/>
  <c r="AI172" i="269"/>
  <c r="AI200" i="269" s="1"/>
  <c r="AI17" i="269"/>
  <c r="AE175" i="303"/>
  <c r="AE177" i="303" s="1"/>
  <c r="AE204" i="303" s="1"/>
  <c r="AK160" i="303"/>
  <c r="AK167" i="303" s="1"/>
  <c r="AK113" i="303"/>
  <c r="AK56" i="303"/>
  <c r="AK63" i="303" s="1"/>
  <c r="AI82" i="303"/>
  <c r="AI66" i="303"/>
  <c r="AI85" i="303" s="1"/>
  <c r="AK71" i="303"/>
  <c r="AK75" i="303" s="1"/>
  <c r="AK182" i="303"/>
  <c r="AK186" i="303" s="1"/>
  <c r="AK127" i="303"/>
  <c r="AJ62" i="303"/>
  <c r="AI17" i="278"/>
  <c r="AI24" i="279"/>
  <c r="AI16" i="278" s="1"/>
  <c r="AI23" i="279"/>
  <c r="AI15" i="278" s="1"/>
  <c r="AJ55" i="270"/>
  <c r="AJ22" i="270" s="1"/>
  <c r="AI24" i="270"/>
  <c r="AI23" i="270"/>
  <c r="AJ38" i="273"/>
  <c r="AJ55" i="273" s="1"/>
  <c r="AJ22" i="273" s="1"/>
  <c r="AJ29" i="279"/>
  <c r="AI17" i="272"/>
  <c r="AI24" i="273"/>
  <c r="AI16" i="272" s="1"/>
  <c r="AJ47" i="273"/>
  <c r="AJ47" i="279"/>
  <c r="C619" i="261"/>
  <c r="AK27" i="268"/>
  <c r="AK26" i="268"/>
  <c r="AK25" i="268"/>
  <c r="AK50" i="271"/>
  <c r="AK48" i="271"/>
  <c r="AK49" i="271"/>
  <c r="AK47" i="270"/>
  <c r="AK38" i="270"/>
  <c r="AK29" i="270"/>
  <c r="AF23" i="278"/>
  <c r="AF43" i="278" s="1"/>
  <c r="AK26" i="277"/>
  <c r="AK25" i="277"/>
  <c r="AK27" i="277"/>
  <c r="AK49" i="277"/>
  <c r="AK48" i="277"/>
  <c r="AK50" i="277"/>
  <c r="AK47" i="273"/>
  <c r="AK60" i="273"/>
  <c r="AK63" i="273" s="1"/>
  <c r="AK27" i="271"/>
  <c r="AK25" i="271"/>
  <c r="AK26" i="271"/>
  <c r="AK49" i="268"/>
  <c r="AK50" i="268"/>
  <c r="AK48" i="268"/>
  <c r="AK47" i="279"/>
  <c r="AK60" i="279"/>
  <c r="AK63" i="279" s="1"/>
  <c r="AI23" i="273"/>
  <c r="AI15" i="272" s="1"/>
  <c r="AJ161" i="278"/>
  <c r="AJ57" i="278"/>
  <c r="AJ114" i="278"/>
  <c r="AJ160" i="278"/>
  <c r="AJ56" i="278"/>
  <c r="AJ113" i="278"/>
  <c r="AJ32" i="277"/>
  <c r="AJ172" i="278" s="1"/>
  <c r="AJ159" i="278"/>
  <c r="AJ112" i="278"/>
  <c r="AJ55" i="278"/>
  <c r="AJ72" i="278"/>
  <c r="AJ76" i="278" s="1"/>
  <c r="AJ183" i="278"/>
  <c r="AJ187" i="278" s="1"/>
  <c r="AJ128" i="278"/>
  <c r="AJ70" i="278"/>
  <c r="AJ74" i="278" s="1"/>
  <c r="AJ181" i="278"/>
  <c r="AJ185" i="278" s="1"/>
  <c r="AJ126" i="278"/>
  <c r="AJ71" i="278"/>
  <c r="AJ75" i="278" s="1"/>
  <c r="AJ182" i="278"/>
  <c r="AJ186" i="278" s="1"/>
  <c r="AJ127" i="278"/>
  <c r="AJ33" i="277"/>
  <c r="AJ173" i="278" s="1"/>
  <c r="AJ113" i="272"/>
  <c r="AJ160" i="272"/>
  <c r="AJ167" i="272" s="1"/>
  <c r="AJ56" i="272"/>
  <c r="AJ63" i="272" s="1"/>
  <c r="AJ33" i="271"/>
  <c r="AJ173" i="272" s="1"/>
  <c r="AJ114" i="272"/>
  <c r="AJ161" i="272"/>
  <c r="AJ57" i="272"/>
  <c r="AJ32" i="271"/>
  <c r="AJ172" i="272" s="1"/>
  <c r="AJ112" i="272"/>
  <c r="AJ159" i="272"/>
  <c r="AJ55" i="272"/>
  <c r="AJ181" i="272"/>
  <c r="AJ185" i="272" s="1"/>
  <c r="AJ70" i="272"/>
  <c r="AJ74" i="272" s="1"/>
  <c r="AJ126" i="272"/>
  <c r="AJ182" i="272"/>
  <c r="AJ186" i="272" s="1"/>
  <c r="AJ71" i="272"/>
  <c r="AJ127" i="272"/>
  <c r="AJ183" i="272"/>
  <c r="AJ72" i="272"/>
  <c r="AJ76" i="272" s="1"/>
  <c r="AJ128" i="272"/>
  <c r="AH170" i="272"/>
  <c r="AI76" i="278"/>
  <c r="AH202" i="272"/>
  <c r="AJ182" i="269"/>
  <c r="AJ186" i="269" s="1"/>
  <c r="AJ127" i="269"/>
  <c r="AI70" i="269"/>
  <c r="AI74" i="269" s="1"/>
  <c r="AI78" i="269" s="1"/>
  <c r="AJ48" i="268"/>
  <c r="AJ181" i="269" s="1"/>
  <c r="AJ185" i="269" s="1"/>
  <c r="AH189" i="272"/>
  <c r="AI27" i="268"/>
  <c r="AI26" i="268"/>
  <c r="AI113" i="269" s="1"/>
  <c r="AI187" i="278"/>
  <c r="AI189" i="278" s="1"/>
  <c r="AI74" i="278"/>
  <c r="AJ50" i="268"/>
  <c r="AJ72" i="269" s="1"/>
  <c r="AJ76" i="269" s="1"/>
  <c r="AI183" i="269"/>
  <c r="AI187" i="269" s="1"/>
  <c r="AI189" i="269" s="1"/>
  <c r="AI128" i="269"/>
  <c r="AH83" i="269"/>
  <c r="AI126" i="269"/>
  <c r="AH202" i="269"/>
  <c r="AI55" i="269"/>
  <c r="AI62" i="269" s="1"/>
  <c r="AH83" i="278"/>
  <c r="AH170" i="278"/>
  <c r="AH78" i="269"/>
  <c r="AI112" i="269"/>
  <c r="AI159" i="269"/>
  <c r="AI166" i="269" s="1"/>
  <c r="AH189" i="269"/>
  <c r="AH202" i="278"/>
  <c r="AJ26" i="268"/>
  <c r="AJ33" i="268" s="1"/>
  <c r="AJ25" i="268"/>
  <c r="AJ32" i="268" s="1"/>
  <c r="AH83" i="272"/>
  <c r="AI189" i="272"/>
  <c r="AI64" i="278"/>
  <c r="AI168" i="278"/>
  <c r="AG66" i="278"/>
  <c r="AG85" i="278" s="1"/>
  <c r="AG82" i="278"/>
  <c r="AG82" i="269"/>
  <c r="AG66" i="269"/>
  <c r="AG85" i="269" s="1"/>
  <c r="AJ57" i="269"/>
  <c r="AJ64" i="269" s="1"/>
  <c r="AJ161" i="269"/>
  <c r="AJ168" i="269" s="1"/>
  <c r="AJ114" i="269"/>
  <c r="AI166" i="278"/>
  <c r="AI78" i="272"/>
  <c r="AI166" i="272"/>
  <c r="AI167" i="278"/>
  <c r="AI63" i="278"/>
  <c r="AI201" i="278"/>
  <c r="AI63" i="272"/>
  <c r="AI167" i="272"/>
  <c r="AI201" i="272"/>
  <c r="AI168" i="272"/>
  <c r="AI64" i="272"/>
  <c r="AG66" i="272"/>
  <c r="AG85" i="272" s="1"/>
  <c r="AG82" i="272"/>
  <c r="AG23" i="272"/>
  <c r="AG43" i="272" s="1"/>
  <c r="AH82" i="272"/>
  <c r="AH66" i="272"/>
  <c r="AH85" i="272" s="1"/>
  <c r="AH66" i="269"/>
  <c r="AH82" i="269"/>
  <c r="AH66" i="278"/>
  <c r="AH85" i="278" s="1"/>
  <c r="AH82" i="278"/>
  <c r="AI189" i="313" l="1"/>
  <c r="AL42" i="308"/>
  <c r="AL43" i="308" s="1"/>
  <c r="AL44" i="308" s="1"/>
  <c r="AL46" i="308" s="1"/>
  <c r="AI142" i="313"/>
  <c r="AI133" i="313"/>
  <c r="AI143" i="313"/>
  <c r="AL16" i="312"/>
  <c r="AL17" i="312" s="1"/>
  <c r="AL18" i="312" s="1"/>
  <c r="AL20" i="312" s="1"/>
  <c r="AI140" i="313"/>
  <c r="AI132" i="313"/>
  <c r="AI74" i="313"/>
  <c r="AJ71" i="313"/>
  <c r="AJ75" i="313" s="1"/>
  <c r="AK48" i="318"/>
  <c r="AK52" i="318" s="1"/>
  <c r="AK191" i="320" s="1"/>
  <c r="AL42" i="271"/>
  <c r="AL43" i="271" s="1"/>
  <c r="AL44" i="271" s="1"/>
  <c r="AL46" i="271" s="1"/>
  <c r="AL50" i="271" s="1"/>
  <c r="AL16" i="308"/>
  <c r="AL17" i="308" s="1"/>
  <c r="AL18" i="308" s="1"/>
  <c r="AL20" i="308" s="1"/>
  <c r="AL25" i="308" s="1"/>
  <c r="AL16" i="271"/>
  <c r="AL17" i="271" s="1"/>
  <c r="AL18" i="271" s="1"/>
  <c r="AL20" i="271" s="1"/>
  <c r="AL16" i="315"/>
  <c r="AL17" i="315" s="1"/>
  <c r="AL18" i="315" s="1"/>
  <c r="AL20" i="315" s="1"/>
  <c r="AL27" i="315" s="1"/>
  <c r="AL15" i="316"/>
  <c r="AL48" i="316" s="1"/>
  <c r="AK101" i="328"/>
  <c r="AK118" i="328" s="1"/>
  <c r="AK85" i="328" s="1"/>
  <c r="AL194" i="317"/>
  <c r="AL40" i="279"/>
  <c r="AL31" i="279"/>
  <c r="AL15" i="319"/>
  <c r="AL48" i="319" s="1"/>
  <c r="AL40" i="309"/>
  <c r="AL31" i="309"/>
  <c r="AL32" i="314"/>
  <c r="AL41" i="314"/>
  <c r="AL32" i="316"/>
  <c r="AL41" i="316"/>
  <c r="AL16" i="318"/>
  <c r="AL17" i="318" s="1"/>
  <c r="AL18" i="318" s="1"/>
  <c r="AL20" i="318" s="1"/>
  <c r="AL25" i="318" s="1"/>
  <c r="AL31" i="270"/>
  <c r="AL40" i="270"/>
  <c r="AL40" i="304"/>
  <c r="AL31" i="304"/>
  <c r="AL32" i="319"/>
  <c r="AL41" i="319"/>
  <c r="AK92" i="328"/>
  <c r="AJ72" i="313"/>
  <c r="AJ76" i="313" s="1"/>
  <c r="AI202" i="317"/>
  <c r="AJ119" i="313"/>
  <c r="AI74" i="317"/>
  <c r="AK56" i="314"/>
  <c r="AK23" i="314" s="1"/>
  <c r="AK17" i="313" s="1"/>
  <c r="AI35" i="326"/>
  <c r="AK92" i="322"/>
  <c r="AL35" i="272"/>
  <c r="AJ128" i="313"/>
  <c r="AJ143" i="313" s="1"/>
  <c r="AJ53" i="312"/>
  <c r="AJ192" i="313" s="1"/>
  <c r="AJ201" i="313" s="1"/>
  <c r="AL194" i="272"/>
  <c r="AJ117" i="303"/>
  <c r="AJ142" i="313"/>
  <c r="AJ132" i="310"/>
  <c r="AJ66" i="313"/>
  <c r="AL35" i="278"/>
  <c r="AL194" i="278"/>
  <c r="AL194" i="323"/>
  <c r="AL66" i="273"/>
  <c r="AL67" i="273" s="1"/>
  <c r="AL72" i="273" s="1"/>
  <c r="AL26" i="327"/>
  <c r="AL27" i="327"/>
  <c r="AL25" i="327"/>
  <c r="AL60" i="314"/>
  <c r="AL122" i="314"/>
  <c r="AL66" i="307"/>
  <c r="AL67" i="307" s="1"/>
  <c r="AL72" i="307" s="1"/>
  <c r="AL26" i="315"/>
  <c r="AL27" i="268"/>
  <c r="AL26" i="268"/>
  <c r="AL25" i="268"/>
  <c r="AL66" i="304"/>
  <c r="AL67" i="304" s="1"/>
  <c r="AL72" i="304" s="1"/>
  <c r="AL30" i="319"/>
  <c r="AL30" i="328"/>
  <c r="AL39" i="328"/>
  <c r="AL56" i="328" s="1"/>
  <c r="AL23" i="328" s="1"/>
  <c r="AL17" i="329" s="1"/>
  <c r="AL21" i="329" s="1"/>
  <c r="AL48" i="328"/>
  <c r="AL66" i="309"/>
  <c r="AL67" i="309" s="1"/>
  <c r="AL72" i="309" s="1"/>
  <c r="AL30" i="314"/>
  <c r="AL56" i="314" s="1"/>
  <c r="AL23" i="314" s="1"/>
  <c r="AL17" i="313" s="1"/>
  <c r="AL21" i="313" s="1"/>
  <c r="AL39" i="314"/>
  <c r="AL48" i="314"/>
  <c r="AL25" i="277"/>
  <c r="AL27" i="277"/>
  <c r="AL26" i="277"/>
  <c r="AL39" i="316"/>
  <c r="AL25" i="321"/>
  <c r="AL26" i="321"/>
  <c r="AL27" i="321"/>
  <c r="AL47" i="270"/>
  <c r="AL38" i="270"/>
  <c r="AL29" i="270"/>
  <c r="AL55" i="270" s="1"/>
  <c r="AL22" i="270" s="1"/>
  <c r="AL24" i="270" s="1"/>
  <c r="AL16" i="269" s="1"/>
  <c r="AL38" i="304"/>
  <c r="AL29" i="304"/>
  <c r="AL55" i="304" s="1"/>
  <c r="AL22" i="304" s="1"/>
  <c r="AL17" i="303" s="1"/>
  <c r="AL47" i="304"/>
  <c r="AL25" i="324"/>
  <c r="AL27" i="324"/>
  <c r="AL26" i="324"/>
  <c r="AL25" i="271"/>
  <c r="AL27" i="271"/>
  <c r="AL26" i="271"/>
  <c r="AL60" i="328"/>
  <c r="AL122" i="328"/>
  <c r="AL38" i="309"/>
  <c r="AL29" i="309"/>
  <c r="AL55" i="309" s="1"/>
  <c r="AL22" i="309" s="1"/>
  <c r="AL17" i="310" s="1"/>
  <c r="AL47" i="309"/>
  <c r="AL25" i="305"/>
  <c r="AL27" i="305"/>
  <c r="AL26" i="305"/>
  <c r="AL47" i="279"/>
  <c r="AL38" i="279"/>
  <c r="AL29" i="279"/>
  <c r="AL55" i="279" s="1"/>
  <c r="AL22" i="279" s="1"/>
  <c r="AL24" i="279" s="1"/>
  <c r="AL16" i="278" s="1"/>
  <c r="AL122" i="316"/>
  <c r="AL60" i="316"/>
  <c r="AL122" i="322"/>
  <c r="AL60" i="322"/>
  <c r="AL26" i="318"/>
  <c r="AL122" i="325"/>
  <c r="AL60" i="325"/>
  <c r="AL29" i="273"/>
  <c r="AL55" i="273" s="1"/>
  <c r="AL22" i="273" s="1"/>
  <c r="AL17" i="272" s="1"/>
  <c r="AL38" i="273"/>
  <c r="AL47" i="273"/>
  <c r="AL27" i="312"/>
  <c r="AL26" i="312"/>
  <c r="AL25" i="312"/>
  <c r="AL29" i="307"/>
  <c r="AL55" i="307" s="1"/>
  <c r="AL22" i="307" s="1"/>
  <c r="AL17" i="306" s="1"/>
  <c r="AL47" i="307"/>
  <c r="AL38" i="307"/>
  <c r="AL30" i="322"/>
  <c r="AL48" i="322"/>
  <c r="AL39" i="322"/>
  <c r="AL56" i="322" s="1"/>
  <c r="AL23" i="322" s="1"/>
  <c r="AL17" i="323" s="1"/>
  <c r="AL21" i="323" s="1"/>
  <c r="AL25" i="302"/>
  <c r="AL27" i="302"/>
  <c r="AL26" i="302"/>
  <c r="AL122" i="319"/>
  <c r="AL60" i="319"/>
  <c r="AL30" i="325"/>
  <c r="AL39" i="325"/>
  <c r="AL56" i="325" s="1"/>
  <c r="AL23" i="325" s="1"/>
  <c r="AL17" i="326" s="1"/>
  <c r="AL21" i="326" s="1"/>
  <c r="AL48" i="325"/>
  <c r="AJ143" i="329"/>
  <c r="AJ141" i="329"/>
  <c r="AJ116" i="313"/>
  <c r="AJ130" i="310"/>
  <c r="AJ140" i="329"/>
  <c r="AJ119" i="303"/>
  <c r="AJ141" i="306"/>
  <c r="AJ142" i="306"/>
  <c r="AJ143" i="306"/>
  <c r="AJ119" i="306"/>
  <c r="AJ116" i="306"/>
  <c r="AJ140" i="306"/>
  <c r="AJ117" i="306"/>
  <c r="AJ118" i="306"/>
  <c r="AJ141" i="303"/>
  <c r="AJ133" i="306"/>
  <c r="AJ130" i="306"/>
  <c r="AJ131" i="306"/>
  <c r="AJ132" i="306"/>
  <c r="AJ130" i="326"/>
  <c r="AJ131" i="326"/>
  <c r="AJ132" i="326"/>
  <c r="AJ133" i="326"/>
  <c r="AI130" i="320"/>
  <c r="AI132" i="320"/>
  <c r="AI133" i="320"/>
  <c r="AI131" i="320"/>
  <c r="AJ132" i="272"/>
  <c r="AJ133" i="272"/>
  <c r="AJ131" i="272"/>
  <c r="AJ130" i="272"/>
  <c r="AJ133" i="323"/>
  <c r="AJ130" i="323"/>
  <c r="AJ131" i="323"/>
  <c r="AJ132" i="323"/>
  <c r="AJ131" i="320"/>
  <c r="AJ133" i="320"/>
  <c r="AJ130" i="320"/>
  <c r="AJ132" i="320"/>
  <c r="AK117" i="329"/>
  <c r="AK118" i="329"/>
  <c r="AK119" i="329"/>
  <c r="AK116" i="329"/>
  <c r="AJ141" i="320"/>
  <c r="AJ142" i="320"/>
  <c r="AJ143" i="320"/>
  <c r="AJ119" i="320"/>
  <c r="AJ140" i="320"/>
  <c r="AJ116" i="320"/>
  <c r="AJ118" i="320"/>
  <c r="AJ117" i="320"/>
  <c r="AJ140" i="310"/>
  <c r="AJ141" i="310"/>
  <c r="AJ142" i="310"/>
  <c r="AJ143" i="310"/>
  <c r="AJ119" i="310"/>
  <c r="AJ116" i="310"/>
  <c r="AJ117" i="310"/>
  <c r="AJ118" i="310"/>
  <c r="AK116" i="310"/>
  <c r="AK117" i="310"/>
  <c r="AK118" i="310"/>
  <c r="AK119" i="310"/>
  <c r="AJ130" i="303"/>
  <c r="AJ131" i="310"/>
  <c r="AJ116" i="303"/>
  <c r="AJ118" i="303"/>
  <c r="AI142" i="320"/>
  <c r="AI130" i="269"/>
  <c r="AI131" i="269"/>
  <c r="AI132" i="269"/>
  <c r="AI133" i="269"/>
  <c r="AJ142" i="272"/>
  <c r="AJ143" i="272"/>
  <c r="AJ140" i="272"/>
  <c r="AJ116" i="272"/>
  <c r="AJ117" i="272"/>
  <c r="AJ118" i="272"/>
  <c r="AJ141" i="272"/>
  <c r="AJ119" i="272"/>
  <c r="AJ140" i="278"/>
  <c r="AJ116" i="278"/>
  <c r="AJ141" i="278"/>
  <c r="AJ142" i="278"/>
  <c r="AJ118" i="278"/>
  <c r="AJ119" i="278"/>
  <c r="AJ143" i="278"/>
  <c r="AJ117" i="278"/>
  <c r="AJ140" i="326"/>
  <c r="AJ116" i="326"/>
  <c r="AJ141" i="326"/>
  <c r="AJ117" i="326"/>
  <c r="AJ142" i="326"/>
  <c r="AJ118" i="326"/>
  <c r="AJ119" i="326"/>
  <c r="AJ143" i="326"/>
  <c r="AJ143" i="323"/>
  <c r="AJ119" i="323"/>
  <c r="AJ140" i="323"/>
  <c r="AJ116" i="323"/>
  <c r="AJ141" i="323"/>
  <c r="AJ117" i="323"/>
  <c r="AJ118" i="323"/>
  <c r="AJ142" i="323"/>
  <c r="AJ118" i="313"/>
  <c r="AJ133" i="303"/>
  <c r="AJ133" i="310"/>
  <c r="AJ140" i="303"/>
  <c r="AJ142" i="303"/>
  <c r="AI141" i="320"/>
  <c r="AK116" i="313"/>
  <c r="AK117" i="313"/>
  <c r="AK118" i="313"/>
  <c r="AK119" i="313"/>
  <c r="AJ131" i="303"/>
  <c r="AJ130" i="278"/>
  <c r="AJ131" i="278"/>
  <c r="AJ132" i="278"/>
  <c r="AJ133" i="278"/>
  <c r="AJ130" i="329"/>
  <c r="AJ131" i="329"/>
  <c r="AJ132" i="329"/>
  <c r="AJ133" i="329"/>
  <c r="AJ130" i="317"/>
  <c r="AJ131" i="317"/>
  <c r="AJ132" i="317"/>
  <c r="AJ133" i="317"/>
  <c r="AJ140" i="317"/>
  <c r="AJ116" i="317"/>
  <c r="AJ141" i="317"/>
  <c r="AJ117" i="317"/>
  <c r="AJ142" i="317"/>
  <c r="AJ118" i="317"/>
  <c r="AJ119" i="317"/>
  <c r="AJ143" i="317"/>
  <c r="AJ142" i="329"/>
  <c r="AJ117" i="313"/>
  <c r="AJ143" i="303"/>
  <c r="AI143" i="320"/>
  <c r="AI140" i="320"/>
  <c r="AK110" i="322"/>
  <c r="AJ86" i="319"/>
  <c r="AJ27" i="320" s="1"/>
  <c r="AJ31" i="320" s="1"/>
  <c r="AI35" i="317"/>
  <c r="AL49" i="302"/>
  <c r="AL50" i="302"/>
  <c r="AL48" i="302"/>
  <c r="AL103" i="319"/>
  <c r="AL94" i="319"/>
  <c r="AL40" i="324"/>
  <c r="AL42" i="324" s="1"/>
  <c r="AL43" i="324" s="1"/>
  <c r="AL44" i="324" s="1"/>
  <c r="AL46" i="324" s="1"/>
  <c r="AL79" i="325"/>
  <c r="AL78" i="325"/>
  <c r="AL49" i="308"/>
  <c r="AL50" i="308"/>
  <c r="AL48" i="308"/>
  <c r="AL40" i="318"/>
  <c r="AL42" i="318" s="1"/>
  <c r="AL43" i="318" s="1"/>
  <c r="AL44" i="318" s="1"/>
  <c r="AL46" i="318" s="1"/>
  <c r="AL79" i="319"/>
  <c r="AL78" i="319"/>
  <c r="AL94" i="314"/>
  <c r="AL103" i="314"/>
  <c r="AL79" i="322"/>
  <c r="AL40" i="321"/>
  <c r="AL42" i="321" s="1"/>
  <c r="AL43" i="321" s="1"/>
  <c r="AL44" i="321" s="1"/>
  <c r="AL46" i="321" s="1"/>
  <c r="AL78" i="322"/>
  <c r="AL48" i="305"/>
  <c r="AL50" i="305"/>
  <c r="AL49" i="305"/>
  <c r="AL48" i="268"/>
  <c r="AL50" i="268"/>
  <c r="AL49" i="268"/>
  <c r="AL40" i="312"/>
  <c r="AL42" i="312" s="1"/>
  <c r="AL43" i="312" s="1"/>
  <c r="AL44" i="312" s="1"/>
  <c r="AL46" i="312" s="1"/>
  <c r="AL79" i="314"/>
  <c r="AL78" i="314"/>
  <c r="AI189" i="320"/>
  <c r="AL78" i="328"/>
  <c r="AL79" i="328"/>
  <c r="AL40" i="327"/>
  <c r="AL42" i="327" s="1"/>
  <c r="AL43" i="327" s="1"/>
  <c r="AL44" i="327" s="1"/>
  <c r="AL46" i="327" s="1"/>
  <c r="AL48" i="277"/>
  <c r="AL50" i="277"/>
  <c r="AL49" i="277"/>
  <c r="AL79" i="316"/>
  <c r="AL78" i="316"/>
  <c r="AL40" i="315"/>
  <c r="AL42" i="315" s="1"/>
  <c r="AL43" i="315" s="1"/>
  <c r="AL44" i="315" s="1"/>
  <c r="AL46" i="315" s="1"/>
  <c r="AL94" i="316"/>
  <c r="AL103" i="316"/>
  <c r="AL2" i="264"/>
  <c r="AL17" i="264" s="1"/>
  <c r="AK17" i="264"/>
  <c r="AK110" i="319"/>
  <c r="AK101" i="325"/>
  <c r="AK118" i="325" s="1"/>
  <c r="AK85" i="325" s="1"/>
  <c r="AK29" i="326" s="1"/>
  <c r="AK33" i="326" s="1"/>
  <c r="AK101" i="319"/>
  <c r="AK118" i="319" s="1"/>
  <c r="AK85" i="319" s="1"/>
  <c r="AI202" i="320"/>
  <c r="AI83" i="320"/>
  <c r="J89" i="261"/>
  <c r="AK126" i="314"/>
  <c r="AK64" i="314"/>
  <c r="AJ129" i="314"/>
  <c r="AJ130" i="314" s="1"/>
  <c r="AJ135" i="314" s="1"/>
  <c r="AJ87" i="314" s="1"/>
  <c r="AJ28" i="313" s="1"/>
  <c r="AJ32" i="313" s="1"/>
  <c r="AJ67" i="314"/>
  <c r="AJ68" i="314" s="1"/>
  <c r="AJ73" i="314" s="1"/>
  <c r="AJ25" i="314" s="1"/>
  <c r="AJ16" i="313" s="1"/>
  <c r="AI189" i="317"/>
  <c r="AJ201" i="320"/>
  <c r="AK49" i="318"/>
  <c r="AK53" i="318" s="1"/>
  <c r="AK192" i="320" s="1"/>
  <c r="AK159" i="310"/>
  <c r="AK166" i="310" s="1"/>
  <c r="AK170" i="310" s="1"/>
  <c r="AJ41" i="323"/>
  <c r="AI85" i="310"/>
  <c r="AI40" i="320"/>
  <c r="AK50" i="321"/>
  <c r="AK183" i="323" s="1"/>
  <c r="AK187" i="323" s="1"/>
  <c r="AK48" i="321"/>
  <c r="AK70" i="323" s="1"/>
  <c r="AK32" i="308"/>
  <c r="AK172" i="310" s="1"/>
  <c r="AK200" i="310" s="1"/>
  <c r="AK55" i="310"/>
  <c r="AK62" i="310" s="1"/>
  <c r="AI23" i="323"/>
  <c r="AJ86" i="325"/>
  <c r="AJ27" i="326" s="1"/>
  <c r="AJ31" i="326" s="1"/>
  <c r="AI40" i="329"/>
  <c r="AJ86" i="328"/>
  <c r="AJ27" i="329" s="1"/>
  <c r="AJ31" i="329" s="1"/>
  <c r="AG44" i="260"/>
  <c r="D881" i="261" s="1"/>
  <c r="AH35" i="317"/>
  <c r="AI40" i="317"/>
  <c r="AJ41" i="320"/>
  <c r="AI39" i="323"/>
  <c r="AI32" i="323"/>
  <c r="AI40" i="323"/>
  <c r="AI39" i="320"/>
  <c r="AH43" i="313"/>
  <c r="I88" i="261"/>
  <c r="AK118" i="322"/>
  <c r="AK85" i="322" s="1"/>
  <c r="AK29" i="323" s="1"/>
  <c r="AH35" i="320"/>
  <c r="AH43" i="320" s="1"/>
  <c r="E83" i="261"/>
  <c r="AK48" i="328"/>
  <c r="AK39" i="328"/>
  <c r="AK56" i="328" s="1"/>
  <c r="AK23" i="328" s="1"/>
  <c r="AK30" i="328"/>
  <c r="AJ129" i="328"/>
  <c r="AJ130" i="328" s="1"/>
  <c r="AJ135" i="328" s="1"/>
  <c r="AJ87" i="328" s="1"/>
  <c r="AJ28" i="329" s="1"/>
  <c r="AJ32" i="329" s="1"/>
  <c r="AJ67" i="328"/>
  <c r="AJ68" i="328" s="1"/>
  <c r="AJ73" i="328" s="1"/>
  <c r="AJ25" i="328" s="1"/>
  <c r="AJ16" i="329" s="1"/>
  <c r="AJ24" i="328"/>
  <c r="AJ15" i="329" s="1"/>
  <c r="AJ86" i="316"/>
  <c r="AJ27" i="317" s="1"/>
  <c r="AJ31" i="317" s="1"/>
  <c r="AJ29" i="317"/>
  <c r="AK64" i="322"/>
  <c r="AK126" i="322"/>
  <c r="AK48" i="325"/>
  <c r="AK39" i="325"/>
  <c r="AK56" i="325" s="1"/>
  <c r="AK23" i="325" s="1"/>
  <c r="AK30" i="325"/>
  <c r="AH43" i="323"/>
  <c r="AJ129" i="322"/>
  <c r="AJ130" i="322" s="1"/>
  <c r="AJ135" i="322" s="1"/>
  <c r="AJ87" i="322" s="1"/>
  <c r="AJ28" i="323" s="1"/>
  <c r="AJ32" i="323" s="1"/>
  <c r="AJ35" i="323" s="1"/>
  <c r="AJ67" i="322"/>
  <c r="AJ68" i="322" s="1"/>
  <c r="AJ73" i="322" s="1"/>
  <c r="AJ25" i="322" s="1"/>
  <c r="AJ16" i="323" s="1"/>
  <c r="AJ20" i="323" s="1"/>
  <c r="AJ24" i="322"/>
  <c r="AJ15" i="323" s="1"/>
  <c r="AJ39" i="323" s="1"/>
  <c r="AK64" i="325"/>
  <c r="AK126" i="325"/>
  <c r="AI33" i="323"/>
  <c r="AI41" i="323"/>
  <c r="AJ129" i="316"/>
  <c r="AJ130" i="316" s="1"/>
  <c r="AJ135" i="316" s="1"/>
  <c r="AJ87" i="316" s="1"/>
  <c r="AJ28" i="317" s="1"/>
  <c r="AJ67" i="316"/>
  <c r="AJ68" i="316" s="1"/>
  <c r="AJ73" i="316" s="1"/>
  <c r="AJ25" i="316" s="1"/>
  <c r="AJ16" i="317" s="1"/>
  <c r="AJ20" i="317" s="1"/>
  <c r="AJ24" i="316"/>
  <c r="AJ15" i="317" s="1"/>
  <c r="AI33" i="320"/>
  <c r="AI35" i="320" s="1"/>
  <c r="AI41" i="320"/>
  <c r="AK118" i="316"/>
  <c r="AK85" i="316" s="1"/>
  <c r="AK126" i="316"/>
  <c r="AK64" i="316"/>
  <c r="AJ129" i="319"/>
  <c r="AJ130" i="319" s="1"/>
  <c r="AJ135" i="319" s="1"/>
  <c r="AJ87" i="319" s="1"/>
  <c r="AJ28" i="320" s="1"/>
  <c r="AJ32" i="320" s="1"/>
  <c r="AJ67" i="319"/>
  <c r="AJ68" i="319" s="1"/>
  <c r="AJ73" i="319" s="1"/>
  <c r="AJ25" i="319" s="1"/>
  <c r="AJ16" i="320" s="1"/>
  <c r="AJ20" i="320" s="1"/>
  <c r="AJ24" i="319"/>
  <c r="AJ15" i="320" s="1"/>
  <c r="AJ19" i="320" s="1"/>
  <c r="AJ129" i="325"/>
  <c r="AJ130" i="325" s="1"/>
  <c r="AJ135" i="325" s="1"/>
  <c r="AJ87" i="325" s="1"/>
  <c r="AJ28" i="326" s="1"/>
  <c r="AJ32" i="326" s="1"/>
  <c r="AJ67" i="325"/>
  <c r="AJ68" i="325" s="1"/>
  <c r="AJ73" i="325" s="1"/>
  <c r="AJ25" i="325" s="1"/>
  <c r="AJ16" i="326" s="1"/>
  <c r="AJ20" i="326" s="1"/>
  <c r="AJ24" i="325"/>
  <c r="AJ15" i="326" s="1"/>
  <c r="AK126" i="328"/>
  <c r="AK64" i="328"/>
  <c r="AK64" i="319"/>
  <c r="AK126" i="319"/>
  <c r="AJ78" i="310"/>
  <c r="AH101" i="260"/>
  <c r="AK53" i="312"/>
  <c r="AK192" i="313" s="1"/>
  <c r="AH104" i="260"/>
  <c r="AH113" i="260"/>
  <c r="AK53" i="327"/>
  <c r="AK192" i="329" s="1"/>
  <c r="AG103" i="260"/>
  <c r="AH103" i="260"/>
  <c r="AK200" i="313"/>
  <c r="AK200" i="329"/>
  <c r="AH112" i="260"/>
  <c r="AK101" i="314"/>
  <c r="AK92" i="314"/>
  <c r="AK118" i="314" s="1"/>
  <c r="AK85" i="314" s="1"/>
  <c r="AK110" i="314"/>
  <c r="AI29" i="313"/>
  <c r="AI86" i="314"/>
  <c r="AI27" i="313" s="1"/>
  <c r="AI87" i="314"/>
  <c r="AI28" i="313" s="1"/>
  <c r="AJ29" i="313"/>
  <c r="AJ33" i="313" s="1"/>
  <c r="AJ86" i="314"/>
  <c r="AJ27" i="313" s="1"/>
  <c r="AJ31" i="313" s="1"/>
  <c r="AJ24" i="314"/>
  <c r="AJ15" i="313" s="1"/>
  <c r="AJ19" i="313" s="1"/>
  <c r="AJ20" i="310"/>
  <c r="AJ170" i="310"/>
  <c r="AI19" i="303"/>
  <c r="AJ19" i="310"/>
  <c r="AK57" i="303"/>
  <c r="AK64" i="303" s="1"/>
  <c r="AJ189" i="310"/>
  <c r="AJ83" i="310"/>
  <c r="AJ66" i="323"/>
  <c r="AJ66" i="326"/>
  <c r="AK114" i="303"/>
  <c r="AK161" i="303"/>
  <c r="AK168" i="303" s="1"/>
  <c r="AJ66" i="317"/>
  <c r="AK112" i="326"/>
  <c r="AK32" i="324"/>
  <c r="AK172" i="326" s="1"/>
  <c r="AK159" i="326"/>
  <c r="AK166" i="326" s="1"/>
  <c r="AK55" i="326"/>
  <c r="AK62" i="326" s="1"/>
  <c r="AK160" i="320"/>
  <c r="AK167" i="320" s="1"/>
  <c r="AK33" i="318"/>
  <c r="AK173" i="320" s="1"/>
  <c r="AK56" i="320"/>
  <c r="AK63" i="320" s="1"/>
  <c r="AK113" i="320"/>
  <c r="AI21" i="326"/>
  <c r="AI41" i="326"/>
  <c r="AJ170" i="320"/>
  <c r="AJ17" i="326"/>
  <c r="AK161" i="326"/>
  <c r="AK168" i="326" s="1"/>
  <c r="AK114" i="326"/>
  <c r="AK57" i="326"/>
  <c r="AK64" i="326" s="1"/>
  <c r="AK57" i="320"/>
  <c r="AK64" i="320" s="1"/>
  <c r="AK161" i="320"/>
  <c r="AK168" i="320" s="1"/>
  <c r="AK114" i="320"/>
  <c r="AI19" i="329"/>
  <c r="AI39" i="329"/>
  <c r="AJ17" i="329"/>
  <c r="AJ66" i="320"/>
  <c r="AK170" i="329"/>
  <c r="AI21" i="329"/>
  <c r="AI41" i="329"/>
  <c r="AJ200" i="323"/>
  <c r="AK66" i="329"/>
  <c r="AJ200" i="320"/>
  <c r="AJ170" i="323"/>
  <c r="AK66" i="313"/>
  <c r="AI23" i="320"/>
  <c r="AI20" i="326"/>
  <c r="AI40" i="326"/>
  <c r="AK55" i="317"/>
  <c r="AK62" i="317" s="1"/>
  <c r="AK112" i="317"/>
  <c r="AK32" i="315"/>
  <c r="AK172" i="317" s="1"/>
  <c r="AK159" i="317"/>
  <c r="AK166" i="317" s="1"/>
  <c r="AH23" i="326"/>
  <c r="AH43" i="326" s="1"/>
  <c r="AK170" i="313"/>
  <c r="AK112" i="323"/>
  <c r="AK32" i="321"/>
  <c r="AK172" i="323" s="1"/>
  <c r="AK55" i="323"/>
  <c r="AK62" i="323" s="1"/>
  <c r="AK159" i="323"/>
  <c r="AK166" i="323" s="1"/>
  <c r="AJ200" i="326"/>
  <c r="AJ200" i="317"/>
  <c r="AK57" i="317"/>
  <c r="AK64" i="317" s="1"/>
  <c r="AK161" i="317"/>
  <c r="AK168" i="317" s="1"/>
  <c r="AK114" i="317"/>
  <c r="AK113" i="323"/>
  <c r="AK33" i="321"/>
  <c r="AK173" i="323" s="1"/>
  <c r="AK201" i="323" s="1"/>
  <c r="AK160" i="323"/>
  <c r="AK167" i="323" s="1"/>
  <c r="AK56" i="323"/>
  <c r="AK63" i="323" s="1"/>
  <c r="AJ170" i="326"/>
  <c r="AK33" i="324"/>
  <c r="AK173" i="326" s="1"/>
  <c r="AK201" i="326" s="1"/>
  <c r="AK113" i="326"/>
  <c r="AK56" i="326"/>
  <c r="AK63" i="326" s="1"/>
  <c r="AK160" i="326"/>
  <c r="AK167" i="326" s="1"/>
  <c r="AK55" i="320"/>
  <c r="AK62" i="320" s="1"/>
  <c r="AK32" i="318"/>
  <c r="AK172" i="320" s="1"/>
  <c r="AK112" i="320"/>
  <c r="AK159" i="320"/>
  <c r="AK166" i="320" s="1"/>
  <c r="AI19" i="326"/>
  <c r="AI39" i="326"/>
  <c r="AJ170" i="317"/>
  <c r="AK56" i="317"/>
  <c r="AK63" i="317" s="1"/>
  <c r="AK113" i="317"/>
  <c r="AK160" i="317"/>
  <c r="AK167" i="317" s="1"/>
  <c r="AK33" i="315"/>
  <c r="AK173" i="317" s="1"/>
  <c r="AK201" i="317" s="1"/>
  <c r="AH23" i="329"/>
  <c r="AH43" i="329" s="1"/>
  <c r="AK161" i="323"/>
  <c r="AK168" i="323" s="1"/>
  <c r="AK57" i="323"/>
  <c r="AK64" i="323" s="1"/>
  <c r="AK114" i="323"/>
  <c r="AI82" i="329"/>
  <c r="AI23" i="313"/>
  <c r="AJ21" i="313"/>
  <c r="AJ202" i="310"/>
  <c r="AK182" i="329"/>
  <c r="AK186" i="329" s="1"/>
  <c r="AK127" i="329"/>
  <c r="AK71" i="329"/>
  <c r="AK75" i="329" s="1"/>
  <c r="AK183" i="326"/>
  <c r="AK187" i="326" s="1"/>
  <c r="AK128" i="326"/>
  <c r="AK72" i="326"/>
  <c r="AK76" i="326" s="1"/>
  <c r="AK72" i="320"/>
  <c r="AK76" i="320" s="1"/>
  <c r="AK183" i="320"/>
  <c r="AK187" i="320" s="1"/>
  <c r="AK128" i="320"/>
  <c r="AI78" i="313"/>
  <c r="AI85" i="313" s="1"/>
  <c r="AI82" i="313"/>
  <c r="AK126" i="326"/>
  <c r="AK70" i="326"/>
  <c r="AK181" i="326"/>
  <c r="AK185" i="326" s="1"/>
  <c r="AK126" i="320"/>
  <c r="AK181" i="320"/>
  <c r="AK185" i="320" s="1"/>
  <c r="AK70" i="320"/>
  <c r="AK128" i="313"/>
  <c r="AK183" i="313"/>
  <c r="AK187" i="313" s="1"/>
  <c r="AK72" i="313"/>
  <c r="AK76" i="313" s="1"/>
  <c r="AI78" i="323"/>
  <c r="AI85" i="323" s="1"/>
  <c r="AI82" i="323"/>
  <c r="AK182" i="326"/>
  <c r="AK186" i="326" s="1"/>
  <c r="AK71" i="326"/>
  <c r="AK75" i="326" s="1"/>
  <c r="AK127" i="326"/>
  <c r="AK127" i="323"/>
  <c r="AK71" i="323"/>
  <c r="AK75" i="323" s="1"/>
  <c r="AK182" i="323"/>
  <c r="AK186" i="323" s="1"/>
  <c r="AK183" i="317"/>
  <c r="AK187" i="317" s="1"/>
  <c r="AK128" i="317"/>
  <c r="AK72" i="317"/>
  <c r="AK76" i="317" s="1"/>
  <c r="AJ189" i="313"/>
  <c r="AJ202" i="313"/>
  <c r="AK127" i="313"/>
  <c r="AK182" i="313"/>
  <c r="AK186" i="313" s="1"/>
  <c r="AK71" i="313"/>
  <c r="AK75" i="313" s="1"/>
  <c r="AK181" i="317"/>
  <c r="AK185" i="317" s="1"/>
  <c r="AK126" i="317"/>
  <c r="AK70" i="317"/>
  <c r="AJ74" i="313"/>
  <c r="AJ74" i="326"/>
  <c r="AJ83" i="326"/>
  <c r="AK181" i="313"/>
  <c r="AK185" i="313" s="1"/>
  <c r="AK126" i="313"/>
  <c r="AK70" i="313"/>
  <c r="AJ189" i="320"/>
  <c r="AJ202" i="320"/>
  <c r="AJ189" i="317"/>
  <c r="AJ202" i="317"/>
  <c r="AJ189" i="323"/>
  <c r="AJ202" i="323"/>
  <c r="AI78" i="317"/>
  <c r="AI85" i="317" s="1"/>
  <c r="AI82" i="317"/>
  <c r="AK71" i="317"/>
  <c r="AK75" i="317" s="1"/>
  <c r="AK182" i="317"/>
  <c r="AK186" i="317" s="1"/>
  <c r="AK127" i="317"/>
  <c r="AJ189" i="326"/>
  <c r="AJ202" i="326"/>
  <c r="AJ74" i="329"/>
  <c r="AJ83" i="329"/>
  <c r="AJ74" i="320"/>
  <c r="AJ83" i="320"/>
  <c r="AJ74" i="317"/>
  <c r="AJ83" i="317"/>
  <c r="AJ74" i="323"/>
  <c r="AJ83" i="323"/>
  <c r="AJ189" i="329"/>
  <c r="AJ202" i="329"/>
  <c r="AK128" i="329"/>
  <c r="AK72" i="329"/>
  <c r="AK76" i="329" s="1"/>
  <c r="AK183" i="329"/>
  <c r="AK187" i="329" s="1"/>
  <c r="AK70" i="329"/>
  <c r="AK181" i="329"/>
  <c r="AK185" i="329" s="1"/>
  <c r="AK126" i="329"/>
  <c r="AI78" i="326"/>
  <c r="AI85" i="326" s="1"/>
  <c r="AI82" i="326"/>
  <c r="AI78" i="320"/>
  <c r="AI85" i="320" s="1"/>
  <c r="AI82" i="320"/>
  <c r="AH23" i="278"/>
  <c r="AH43" i="278" s="1"/>
  <c r="AK159" i="303"/>
  <c r="AK166" i="303" s="1"/>
  <c r="AK128" i="310"/>
  <c r="AK55" i="303"/>
  <c r="AK62" i="303" s="1"/>
  <c r="AK72" i="310"/>
  <c r="AK76" i="310" s="1"/>
  <c r="AK112" i="303"/>
  <c r="AK181" i="310"/>
  <c r="AK185" i="310" s="1"/>
  <c r="AK70" i="310"/>
  <c r="AK74" i="310" s="1"/>
  <c r="AK127" i="310"/>
  <c r="AK71" i="310"/>
  <c r="AK75" i="310" s="1"/>
  <c r="AJ41" i="303"/>
  <c r="AJ21" i="303"/>
  <c r="AK70" i="303"/>
  <c r="AK74" i="303" s="1"/>
  <c r="AK78" i="303" s="1"/>
  <c r="AJ39" i="303"/>
  <c r="AJ19" i="303"/>
  <c r="AI41" i="303"/>
  <c r="AI21" i="303"/>
  <c r="AJ40" i="303"/>
  <c r="AJ20" i="303"/>
  <c r="AJ189" i="303"/>
  <c r="AI39" i="272"/>
  <c r="AI19" i="272"/>
  <c r="AI40" i="272"/>
  <c r="AI20" i="272"/>
  <c r="AI41" i="272"/>
  <c r="AI21" i="272"/>
  <c r="AK41" i="306"/>
  <c r="AK21" i="306"/>
  <c r="AJ40" i="306"/>
  <c r="AJ20" i="306"/>
  <c r="AJ39" i="306"/>
  <c r="AJ19" i="306"/>
  <c r="AK40" i="310"/>
  <c r="AK20" i="310"/>
  <c r="AI39" i="278"/>
  <c r="AI19" i="278"/>
  <c r="AI40" i="278"/>
  <c r="AI20" i="278"/>
  <c r="AI41" i="278"/>
  <c r="AI21" i="278"/>
  <c r="AH40" i="269"/>
  <c r="AH100" i="260" s="1"/>
  <c r="AH20" i="269"/>
  <c r="AI41" i="269"/>
  <c r="AI21" i="269"/>
  <c r="AH39" i="269"/>
  <c r="AH19" i="269"/>
  <c r="AK31" i="278"/>
  <c r="AK35" i="278" s="1"/>
  <c r="AK31" i="272"/>
  <c r="AK35" i="272" s="1"/>
  <c r="AK31" i="269"/>
  <c r="AK35" i="269" s="1"/>
  <c r="AG23" i="269"/>
  <c r="AG43" i="269" s="1"/>
  <c r="AK17" i="310"/>
  <c r="AK23" i="309"/>
  <c r="AK15" i="310" s="1"/>
  <c r="AH23" i="310"/>
  <c r="AH43" i="310" s="1"/>
  <c r="AJ202" i="303"/>
  <c r="AK55" i="304"/>
  <c r="AK22" i="304" s="1"/>
  <c r="AJ83" i="303"/>
  <c r="AK183" i="303"/>
  <c r="AK187" i="303" s="1"/>
  <c r="AK189" i="303" s="1"/>
  <c r="AK128" i="303"/>
  <c r="AJ66" i="306"/>
  <c r="AK24" i="307"/>
  <c r="AK16" i="306" s="1"/>
  <c r="AH23" i="306"/>
  <c r="AH43" i="306" s="1"/>
  <c r="AK126" i="303"/>
  <c r="AK23" i="307"/>
  <c r="AK15" i="306" s="1"/>
  <c r="AK55" i="306"/>
  <c r="AK62" i="306" s="1"/>
  <c r="AK32" i="305"/>
  <c r="AK172" i="306" s="1"/>
  <c r="AK159" i="306"/>
  <c r="AK166" i="306" s="1"/>
  <c r="AK112" i="306"/>
  <c r="AJ82" i="310"/>
  <c r="AJ66" i="310"/>
  <c r="AJ170" i="306"/>
  <c r="AK33" i="305"/>
  <c r="AK173" i="306" s="1"/>
  <c r="AK201" i="306" s="1"/>
  <c r="AK160" i="306"/>
  <c r="AK167" i="306" s="1"/>
  <c r="AK56" i="306"/>
  <c r="AK63" i="306" s="1"/>
  <c r="AK113" i="306"/>
  <c r="AJ200" i="306"/>
  <c r="AK114" i="306"/>
  <c r="AK161" i="306"/>
  <c r="AK168" i="306" s="1"/>
  <c r="AK57" i="306"/>
  <c r="AK64" i="306" s="1"/>
  <c r="AK71" i="306"/>
  <c r="AK75" i="306" s="1"/>
  <c r="AK182" i="306"/>
  <c r="AK186" i="306" s="1"/>
  <c r="AK127" i="306"/>
  <c r="AK126" i="306"/>
  <c r="AK181" i="306"/>
  <c r="AK185" i="306" s="1"/>
  <c r="AK70" i="306"/>
  <c r="AK74" i="306" s="1"/>
  <c r="AJ189" i="306"/>
  <c r="AJ202" i="306"/>
  <c r="AI78" i="306"/>
  <c r="AI85" i="306" s="1"/>
  <c r="AI82" i="306"/>
  <c r="AK72" i="306"/>
  <c r="AK128" i="306"/>
  <c r="AK183" i="306"/>
  <c r="AK187" i="306" s="1"/>
  <c r="AJ76" i="306"/>
  <c r="AJ83" i="306"/>
  <c r="AJ172" i="269"/>
  <c r="AJ200" i="269" s="1"/>
  <c r="AJ173" i="269"/>
  <c r="AJ201" i="269" s="1"/>
  <c r="AJ201" i="303"/>
  <c r="AI15" i="269"/>
  <c r="AI16" i="269"/>
  <c r="AI200" i="303"/>
  <c r="AJ23" i="270"/>
  <c r="AH175" i="303"/>
  <c r="AH177" i="303" s="1"/>
  <c r="AH204" i="303" s="1"/>
  <c r="AJ82" i="303"/>
  <c r="AJ66" i="303"/>
  <c r="AJ85" i="303" s="1"/>
  <c r="AJ24" i="270"/>
  <c r="AJ17" i="269"/>
  <c r="AJ55" i="279"/>
  <c r="AJ22" i="279" s="1"/>
  <c r="AJ17" i="278" s="1"/>
  <c r="AK55" i="270"/>
  <c r="AK22" i="270" s="1"/>
  <c r="AK17" i="269" s="1"/>
  <c r="C24" i="260"/>
  <c r="AJ17" i="272"/>
  <c r="AJ23" i="273"/>
  <c r="AJ15" i="272" s="1"/>
  <c r="AJ24" i="273"/>
  <c r="AJ16" i="272" s="1"/>
  <c r="AK38" i="279"/>
  <c r="AK38" i="273"/>
  <c r="AK66" i="279"/>
  <c r="AK67" i="279" s="1"/>
  <c r="AK72" i="279" s="1"/>
  <c r="AK71" i="269"/>
  <c r="AK75" i="269" s="1"/>
  <c r="AK127" i="269"/>
  <c r="AK182" i="269"/>
  <c r="AK186" i="269" s="1"/>
  <c r="AK113" i="272"/>
  <c r="AK56" i="272"/>
  <c r="AK63" i="272" s="1"/>
  <c r="AK160" i="272"/>
  <c r="AK167" i="272" s="1"/>
  <c r="AK33" i="271"/>
  <c r="AK173" i="272" s="1"/>
  <c r="AK201" i="272" s="1"/>
  <c r="AK161" i="278"/>
  <c r="AK168" i="278" s="1"/>
  <c r="AK57" i="278"/>
  <c r="AK64" i="278" s="1"/>
  <c r="AK114" i="278"/>
  <c r="AK112" i="272"/>
  <c r="AK159" i="272"/>
  <c r="AK166" i="272" s="1"/>
  <c r="AK32" i="271"/>
  <c r="AK172" i="272" s="1"/>
  <c r="AK55" i="272"/>
  <c r="AK112" i="278"/>
  <c r="AK55" i="278"/>
  <c r="AK32" i="277"/>
  <c r="AK172" i="278" s="1"/>
  <c r="AK159" i="278"/>
  <c r="AK166" i="278" s="1"/>
  <c r="AK182" i="272"/>
  <c r="AK186" i="272" s="1"/>
  <c r="AK71" i="272"/>
  <c r="AK75" i="272" s="1"/>
  <c r="AK127" i="272"/>
  <c r="AK114" i="272"/>
  <c r="AK161" i="272"/>
  <c r="AK168" i="272" s="1"/>
  <c r="AK57" i="272"/>
  <c r="AK64" i="272" s="1"/>
  <c r="AK72" i="278"/>
  <c r="AK76" i="278" s="1"/>
  <c r="AK128" i="278"/>
  <c r="AK183" i="278"/>
  <c r="AK187" i="278" s="1"/>
  <c r="AK113" i="278"/>
  <c r="AK33" i="277"/>
  <c r="AK173" i="278" s="1"/>
  <c r="AK201" i="278" s="1"/>
  <c r="AK160" i="278"/>
  <c r="AK167" i="278" s="1"/>
  <c r="AK56" i="278"/>
  <c r="AK63" i="278" s="1"/>
  <c r="AK126" i="272"/>
  <c r="AK70" i="272"/>
  <c r="AK74" i="272" s="1"/>
  <c r="AK181" i="272"/>
  <c r="AK185" i="272" s="1"/>
  <c r="AK66" i="273"/>
  <c r="AK67" i="273" s="1"/>
  <c r="AK72" i="273" s="1"/>
  <c r="AK29" i="279"/>
  <c r="AK55" i="279" s="1"/>
  <c r="AK22" i="279" s="1"/>
  <c r="AK181" i="278"/>
  <c r="AK185" i="278" s="1"/>
  <c r="AK70" i="278"/>
  <c r="AK74" i="278" s="1"/>
  <c r="AK126" i="278"/>
  <c r="AK128" i="272"/>
  <c r="AK183" i="272"/>
  <c r="AK187" i="272" s="1"/>
  <c r="AK72" i="272"/>
  <c r="AK76" i="272" s="1"/>
  <c r="AK71" i="278"/>
  <c r="AK75" i="278" s="1"/>
  <c r="AK182" i="278"/>
  <c r="AK186" i="278" s="1"/>
  <c r="AK127" i="278"/>
  <c r="AK29" i="273"/>
  <c r="AK159" i="269"/>
  <c r="AK166" i="269" s="1"/>
  <c r="AK32" i="268"/>
  <c r="AK112" i="269"/>
  <c r="AK55" i="269"/>
  <c r="AK70" i="269"/>
  <c r="AK74" i="269" s="1"/>
  <c r="AK181" i="269"/>
  <c r="AK185" i="269" s="1"/>
  <c r="AK126" i="269"/>
  <c r="AK33" i="268"/>
  <c r="AK160" i="269"/>
  <c r="AK167" i="269" s="1"/>
  <c r="AK113" i="269"/>
  <c r="AK56" i="269"/>
  <c r="AK63" i="269" s="1"/>
  <c r="AK72" i="269"/>
  <c r="AK76" i="269" s="1"/>
  <c r="AK128" i="269"/>
  <c r="AK183" i="269"/>
  <c r="AK187" i="269" s="1"/>
  <c r="AK161" i="269"/>
  <c r="AK168" i="269" s="1"/>
  <c r="AK57" i="269"/>
  <c r="AK64" i="269" s="1"/>
  <c r="AK114" i="269"/>
  <c r="AI160" i="269"/>
  <c r="AI167" i="269" s="1"/>
  <c r="AI56" i="269"/>
  <c r="AI63" i="269" s="1"/>
  <c r="AJ70" i="269"/>
  <c r="AJ74" i="269" s="1"/>
  <c r="AJ78" i="269" s="1"/>
  <c r="AI33" i="268"/>
  <c r="AI78" i="278"/>
  <c r="AJ78" i="278"/>
  <c r="AJ187" i="272"/>
  <c r="AJ189" i="272" s="1"/>
  <c r="AJ126" i="269"/>
  <c r="AJ160" i="269"/>
  <c r="AJ167" i="269" s="1"/>
  <c r="AJ56" i="269"/>
  <c r="AJ63" i="269" s="1"/>
  <c r="AJ113" i="269"/>
  <c r="AH85" i="269"/>
  <c r="AH44" i="260" s="1"/>
  <c r="AJ75" i="272"/>
  <c r="AJ78" i="272" s="1"/>
  <c r="AI161" i="269"/>
  <c r="AI168" i="269" s="1"/>
  <c r="AI114" i="269"/>
  <c r="AI142" i="269" s="1"/>
  <c r="AI57" i="269"/>
  <c r="AI64" i="269" s="1"/>
  <c r="AJ183" i="269"/>
  <c r="AJ187" i="269" s="1"/>
  <c r="AJ189" i="269" s="1"/>
  <c r="AJ128" i="269"/>
  <c r="AJ159" i="269"/>
  <c r="AJ166" i="269" s="1"/>
  <c r="AJ55" i="269"/>
  <c r="AJ62" i="269" s="1"/>
  <c r="AJ112" i="269"/>
  <c r="AJ189" i="278"/>
  <c r="AJ166" i="272"/>
  <c r="AJ62" i="272"/>
  <c r="AH23" i="272"/>
  <c r="AH43" i="272" s="1"/>
  <c r="AI170" i="272"/>
  <c r="AI202" i="272"/>
  <c r="AJ64" i="278"/>
  <c r="AJ168" i="278"/>
  <c r="AI62" i="272"/>
  <c r="AI83" i="272"/>
  <c r="AI170" i="278"/>
  <c r="AI202" i="278"/>
  <c r="AJ166" i="278"/>
  <c r="AI83" i="278"/>
  <c r="AI62" i="278"/>
  <c r="AJ167" i="278"/>
  <c r="AJ63" i="278"/>
  <c r="AJ201" i="278"/>
  <c r="AI200" i="272"/>
  <c r="AI200" i="278"/>
  <c r="AL30" i="316" l="1"/>
  <c r="AL25" i="315"/>
  <c r="AL48" i="271"/>
  <c r="AL49" i="271"/>
  <c r="AL127" i="272" s="1"/>
  <c r="AJ83" i="313"/>
  <c r="AL27" i="318"/>
  <c r="AL26" i="308"/>
  <c r="AL113" i="310" s="1"/>
  <c r="AK202" i="310"/>
  <c r="AK72" i="323"/>
  <c r="AK76" i="323" s="1"/>
  <c r="AL27" i="308"/>
  <c r="AL57" i="310" s="1"/>
  <c r="AL64" i="310" s="1"/>
  <c r="AK128" i="323"/>
  <c r="AL39" i="319"/>
  <c r="AL56" i="319" s="1"/>
  <c r="AL23" i="319" s="1"/>
  <c r="AL17" i="320" s="1"/>
  <c r="AL21" i="320" s="1"/>
  <c r="AL56" i="316"/>
  <c r="AL23" i="316" s="1"/>
  <c r="AL17" i="317" s="1"/>
  <c r="AL21" i="317" s="1"/>
  <c r="AK127" i="320"/>
  <c r="AK142" i="320" s="1"/>
  <c r="AJ133" i="313"/>
  <c r="AJ141" i="313"/>
  <c r="AK182" i="320"/>
  <c r="AK186" i="320" s="1"/>
  <c r="AK202" i="320" s="1"/>
  <c r="AK71" i="320"/>
  <c r="AK75" i="320" s="1"/>
  <c r="AJ19" i="323"/>
  <c r="AJ23" i="323" s="1"/>
  <c r="AJ43" i="323" s="1"/>
  <c r="AJ132" i="313"/>
  <c r="AJ131" i="313"/>
  <c r="AJ140" i="313"/>
  <c r="AJ130" i="313"/>
  <c r="AJ35" i="320"/>
  <c r="AK142" i="329"/>
  <c r="AK133" i="310"/>
  <c r="AL20" i="269"/>
  <c r="AL40" i="269"/>
  <c r="AL161" i="303"/>
  <c r="AL168" i="303" s="1"/>
  <c r="AL57" i="303"/>
  <c r="AL64" i="303" s="1"/>
  <c r="AL114" i="303"/>
  <c r="AL21" i="306"/>
  <c r="AL41" i="306"/>
  <c r="AL33" i="305"/>
  <c r="AL173" i="306" s="1"/>
  <c r="AL201" i="306" s="1"/>
  <c r="AL113" i="306"/>
  <c r="AL160" i="306"/>
  <c r="AL167" i="306" s="1"/>
  <c r="AL56" i="306"/>
  <c r="AL63" i="306" s="1"/>
  <c r="AL21" i="310"/>
  <c r="AL41" i="310"/>
  <c r="AL56" i="272"/>
  <c r="AL63" i="272" s="1"/>
  <c r="AL33" i="271"/>
  <c r="AL173" i="272" s="1"/>
  <c r="AL201" i="272" s="1"/>
  <c r="AL160" i="272"/>
  <c r="AL167" i="272" s="1"/>
  <c r="AL113" i="272"/>
  <c r="AL57" i="326"/>
  <c r="AL64" i="326" s="1"/>
  <c r="AL114" i="326"/>
  <c r="AL161" i="326"/>
  <c r="AL168" i="326" s="1"/>
  <c r="AL57" i="323"/>
  <c r="AL64" i="323" s="1"/>
  <c r="AL161" i="323"/>
  <c r="AL168" i="323" s="1"/>
  <c r="AL114" i="323"/>
  <c r="AL55" i="278"/>
  <c r="AL62" i="278" s="1"/>
  <c r="AL159" i="278"/>
  <c r="AL166" i="278" s="1"/>
  <c r="AL32" i="277"/>
  <c r="AL172" i="278" s="1"/>
  <c r="AL112" i="278"/>
  <c r="AL23" i="309"/>
  <c r="AL15" i="310" s="1"/>
  <c r="AL23" i="304"/>
  <c r="AL15" i="303" s="1"/>
  <c r="AL57" i="269"/>
  <c r="AL64" i="269" s="1"/>
  <c r="AL114" i="269"/>
  <c r="AL161" i="269"/>
  <c r="AL168" i="269" s="1"/>
  <c r="AL23" i="307"/>
  <c r="AL15" i="306" s="1"/>
  <c r="AL56" i="310"/>
  <c r="AL63" i="310" s="1"/>
  <c r="AL57" i="329"/>
  <c r="AL64" i="329" s="1"/>
  <c r="AL161" i="329"/>
  <c r="AL168" i="329" s="1"/>
  <c r="AL114" i="329"/>
  <c r="AL126" i="319"/>
  <c r="AL64" i="319"/>
  <c r="AL159" i="303"/>
  <c r="AL166" i="303" s="1"/>
  <c r="AL55" i="303"/>
  <c r="AL62" i="303" s="1"/>
  <c r="AL112" i="303"/>
  <c r="AL32" i="302"/>
  <c r="AL172" i="303" s="1"/>
  <c r="AL20" i="278"/>
  <c r="AL40" i="278"/>
  <c r="AL159" i="313"/>
  <c r="AL166" i="313" s="1"/>
  <c r="AL55" i="313"/>
  <c r="AL62" i="313" s="1"/>
  <c r="AL32" i="312"/>
  <c r="AL172" i="313" s="1"/>
  <c r="AL112" i="313"/>
  <c r="AL114" i="320"/>
  <c r="AL161" i="320"/>
  <c r="AL168" i="320" s="1"/>
  <c r="AL57" i="320"/>
  <c r="AL64" i="320" s="1"/>
  <c r="AL126" i="322"/>
  <c r="AL64" i="322"/>
  <c r="AL23" i="279"/>
  <c r="AL15" i="278" s="1"/>
  <c r="AL17" i="278"/>
  <c r="AL57" i="306"/>
  <c r="AL64" i="306" s="1"/>
  <c r="AL161" i="306"/>
  <c r="AL168" i="306" s="1"/>
  <c r="AL114" i="306"/>
  <c r="AL57" i="272"/>
  <c r="AL64" i="272" s="1"/>
  <c r="AL114" i="272"/>
  <c r="AL161" i="272"/>
  <c r="AL168" i="272" s="1"/>
  <c r="AL32" i="324"/>
  <c r="AL172" i="326" s="1"/>
  <c r="AL55" i="326"/>
  <c r="AL62" i="326" s="1"/>
  <c r="AL159" i="326"/>
  <c r="AL166" i="326" s="1"/>
  <c r="AL112" i="326"/>
  <c r="AL23" i="270"/>
  <c r="AL15" i="269" s="1"/>
  <c r="AL17" i="269"/>
  <c r="AL113" i="323"/>
  <c r="AL33" i="321"/>
  <c r="AL173" i="323" s="1"/>
  <c r="AL201" i="323" s="1"/>
  <c r="AL160" i="323"/>
  <c r="AL167" i="323" s="1"/>
  <c r="AL56" i="323"/>
  <c r="AL63" i="323" s="1"/>
  <c r="AL24" i="309"/>
  <c r="AL16" i="310" s="1"/>
  <c r="AL24" i="304"/>
  <c r="AL16" i="303" s="1"/>
  <c r="AL113" i="317"/>
  <c r="AL33" i="315"/>
  <c r="AL173" i="317" s="1"/>
  <c r="AL201" i="317" s="1"/>
  <c r="AL56" i="317"/>
  <c r="AL63" i="317" s="1"/>
  <c r="AL160" i="317"/>
  <c r="AL167" i="317" s="1"/>
  <c r="AL24" i="307"/>
  <c r="AL16" i="306" s="1"/>
  <c r="AL161" i="310"/>
  <c r="AL168" i="310" s="1"/>
  <c r="AL113" i="329"/>
  <c r="AL160" i="329"/>
  <c r="AL167" i="329" s="1"/>
  <c r="AL33" i="327"/>
  <c r="AL173" i="329" s="1"/>
  <c r="AL56" i="329"/>
  <c r="AL63" i="329" s="1"/>
  <c r="AL113" i="313"/>
  <c r="AL160" i="313"/>
  <c r="AL167" i="313" s="1"/>
  <c r="AL33" i="312"/>
  <c r="AL173" i="313" s="1"/>
  <c r="AL56" i="313"/>
  <c r="AL63" i="313" s="1"/>
  <c r="AL21" i="272"/>
  <c r="AL41" i="272"/>
  <c r="AL55" i="320"/>
  <c r="AL62" i="320" s="1"/>
  <c r="AL112" i="320"/>
  <c r="AL159" i="320"/>
  <c r="AL166" i="320" s="1"/>
  <c r="AL32" i="318"/>
  <c r="AL172" i="320" s="1"/>
  <c r="AL55" i="306"/>
  <c r="AL62" i="306" s="1"/>
  <c r="AL112" i="306"/>
  <c r="AL159" i="306"/>
  <c r="AL166" i="306" s="1"/>
  <c r="AL32" i="305"/>
  <c r="AL172" i="306" s="1"/>
  <c r="AL112" i="272"/>
  <c r="AL159" i="272"/>
  <c r="AL166" i="272" s="1"/>
  <c r="AL32" i="271"/>
  <c r="AL172" i="272" s="1"/>
  <c r="AL55" i="272"/>
  <c r="AL62" i="272" s="1"/>
  <c r="AL32" i="321"/>
  <c r="AL172" i="323" s="1"/>
  <c r="AL159" i="323"/>
  <c r="AL166" i="323" s="1"/>
  <c r="AL55" i="323"/>
  <c r="AL62" i="323" s="1"/>
  <c r="AL112" i="323"/>
  <c r="AL160" i="278"/>
  <c r="AL167" i="278" s="1"/>
  <c r="AL56" i="278"/>
  <c r="AL63" i="278" s="1"/>
  <c r="AL33" i="277"/>
  <c r="AL173" i="278" s="1"/>
  <c r="AL201" i="278" s="1"/>
  <c r="AL113" i="278"/>
  <c r="AL32" i="268"/>
  <c r="AL172" i="269" s="1"/>
  <c r="AL55" i="269"/>
  <c r="AL62" i="269" s="1"/>
  <c r="AL159" i="269"/>
  <c r="AL166" i="269" s="1"/>
  <c r="AL112" i="269"/>
  <c r="AL112" i="317"/>
  <c r="AL159" i="317"/>
  <c r="AL166" i="317" s="1"/>
  <c r="AL32" i="315"/>
  <c r="AL172" i="317" s="1"/>
  <c r="AL55" i="317"/>
  <c r="AL62" i="317" s="1"/>
  <c r="AL32" i="308"/>
  <c r="AL172" i="310" s="1"/>
  <c r="AL112" i="310"/>
  <c r="AL55" i="310"/>
  <c r="AL62" i="310" s="1"/>
  <c r="AL159" i="310"/>
  <c r="AL166" i="310" s="1"/>
  <c r="AL24" i="273"/>
  <c r="AL16" i="272" s="1"/>
  <c r="AL33" i="302"/>
  <c r="AL173" i="303" s="1"/>
  <c r="AL201" i="303" s="1"/>
  <c r="AL160" i="303"/>
  <c r="AL167" i="303" s="1"/>
  <c r="AL56" i="303"/>
  <c r="AL63" i="303" s="1"/>
  <c r="AL113" i="303"/>
  <c r="AL114" i="313"/>
  <c r="AL57" i="313"/>
  <c r="AL64" i="313" s="1"/>
  <c r="AL161" i="313"/>
  <c r="AL168" i="313" s="1"/>
  <c r="AL126" i="325"/>
  <c r="AL64" i="325"/>
  <c r="AL33" i="318"/>
  <c r="AL173" i="320" s="1"/>
  <c r="AL160" i="320"/>
  <c r="AL167" i="320" s="1"/>
  <c r="AL113" i="320"/>
  <c r="AL56" i="320"/>
  <c r="AL63" i="320" s="1"/>
  <c r="AL126" i="316"/>
  <c r="AL64" i="316"/>
  <c r="AL126" i="328"/>
  <c r="AL64" i="328"/>
  <c r="AL160" i="326"/>
  <c r="AL167" i="326" s="1"/>
  <c r="AL56" i="326"/>
  <c r="AL63" i="326" s="1"/>
  <c r="AL33" i="324"/>
  <c r="AL173" i="326" s="1"/>
  <c r="AL201" i="326" s="1"/>
  <c r="AL113" i="326"/>
  <c r="AL21" i="303"/>
  <c r="AL41" i="303"/>
  <c r="AL57" i="278"/>
  <c r="AL64" i="278" s="1"/>
  <c r="AL114" i="278"/>
  <c r="AL161" i="278"/>
  <c r="AL168" i="278" s="1"/>
  <c r="AL56" i="269"/>
  <c r="AL63" i="269" s="1"/>
  <c r="AL160" i="269"/>
  <c r="AL167" i="269" s="1"/>
  <c r="AL113" i="269"/>
  <c r="AL33" i="268"/>
  <c r="AL173" i="269" s="1"/>
  <c r="AL201" i="269" s="1"/>
  <c r="AL161" i="317"/>
  <c r="AL168" i="317" s="1"/>
  <c r="AL57" i="317"/>
  <c r="AL64" i="317" s="1"/>
  <c r="AL114" i="317"/>
  <c r="AL64" i="314"/>
  <c r="AL126" i="314"/>
  <c r="AL55" i="329"/>
  <c r="AL62" i="329" s="1"/>
  <c r="AL32" i="327"/>
  <c r="AL172" i="329" s="1"/>
  <c r="AL112" i="329"/>
  <c r="AL159" i="329"/>
  <c r="AL166" i="329" s="1"/>
  <c r="AL170" i="329" s="1"/>
  <c r="AL23" i="273"/>
  <c r="AL15" i="272" s="1"/>
  <c r="AK132" i="269"/>
  <c r="AK133" i="269"/>
  <c r="AK130" i="269"/>
  <c r="AK131" i="269"/>
  <c r="AK142" i="269"/>
  <c r="AK118" i="269"/>
  <c r="AK143" i="269"/>
  <c r="AK119" i="269"/>
  <c r="AK140" i="269"/>
  <c r="AK141" i="269"/>
  <c r="AK116" i="269"/>
  <c r="AK117" i="269"/>
  <c r="AK142" i="306"/>
  <c r="AK143" i="306"/>
  <c r="AK116" i="306"/>
  <c r="AK140" i="306"/>
  <c r="AK117" i="306"/>
  <c r="AK141" i="306"/>
  <c r="AK118" i="306"/>
  <c r="AK119" i="306"/>
  <c r="AK131" i="317"/>
  <c r="AK132" i="317"/>
  <c r="AK133" i="317"/>
  <c r="AK130" i="317"/>
  <c r="AK118" i="320"/>
  <c r="AK143" i="320"/>
  <c r="AK119" i="320"/>
  <c r="AK116" i="320"/>
  <c r="AK117" i="320"/>
  <c r="AK116" i="323"/>
  <c r="AK117" i="323"/>
  <c r="AK118" i="323"/>
  <c r="AK119" i="323"/>
  <c r="AK132" i="310"/>
  <c r="AI119" i="269"/>
  <c r="AI141" i="269"/>
  <c r="AK143" i="310"/>
  <c r="AK141" i="329"/>
  <c r="AJ141" i="269"/>
  <c r="AJ142" i="269"/>
  <c r="AJ118" i="269"/>
  <c r="AJ143" i="269"/>
  <c r="AJ119" i="269"/>
  <c r="AJ140" i="269"/>
  <c r="AJ117" i="269"/>
  <c r="AJ116" i="269"/>
  <c r="AK133" i="272"/>
  <c r="AK130" i="272"/>
  <c r="AK131" i="272"/>
  <c r="AK132" i="272"/>
  <c r="AK130" i="306"/>
  <c r="AK131" i="306"/>
  <c r="AK132" i="306"/>
  <c r="AK133" i="306"/>
  <c r="AK130" i="313"/>
  <c r="AK131" i="313"/>
  <c r="AK132" i="313"/>
  <c r="AK133" i="313"/>
  <c r="AK141" i="317"/>
  <c r="AK117" i="317"/>
  <c r="AK142" i="317"/>
  <c r="AK118" i="317"/>
  <c r="AK143" i="317"/>
  <c r="AK119" i="317"/>
  <c r="AK140" i="317"/>
  <c r="AK116" i="317"/>
  <c r="AK141" i="326"/>
  <c r="AK117" i="326"/>
  <c r="AK142" i="326"/>
  <c r="AK118" i="326"/>
  <c r="AK143" i="326"/>
  <c r="AK119" i="326"/>
  <c r="AK140" i="326"/>
  <c r="AK116" i="326"/>
  <c r="AK142" i="313"/>
  <c r="AK140" i="313"/>
  <c r="AK131" i="310"/>
  <c r="AI143" i="269"/>
  <c r="AI140" i="269"/>
  <c r="AK140" i="310"/>
  <c r="AK142" i="310"/>
  <c r="AK143" i="329"/>
  <c r="AJ131" i="269"/>
  <c r="AJ132" i="269"/>
  <c r="AJ133" i="269"/>
  <c r="AJ130" i="269"/>
  <c r="AK131" i="278"/>
  <c r="AK132" i="278"/>
  <c r="AK133" i="278"/>
  <c r="AK130" i="278"/>
  <c r="AK141" i="278"/>
  <c r="AK117" i="278"/>
  <c r="AK142" i="278"/>
  <c r="AK118" i="278"/>
  <c r="AK143" i="278"/>
  <c r="AK119" i="278"/>
  <c r="AK140" i="278"/>
  <c r="AK116" i="278"/>
  <c r="AK143" i="272"/>
  <c r="AK140" i="272"/>
  <c r="AK141" i="272"/>
  <c r="AK117" i="272"/>
  <c r="AK118" i="272"/>
  <c r="AK142" i="272"/>
  <c r="AK119" i="272"/>
  <c r="AK116" i="272"/>
  <c r="AK132" i="303"/>
  <c r="AK133" i="303"/>
  <c r="AK130" i="303"/>
  <c r="AK131" i="303"/>
  <c r="AK142" i="303"/>
  <c r="AK118" i="303"/>
  <c r="AK143" i="303"/>
  <c r="AK119" i="303"/>
  <c r="AK116" i="303"/>
  <c r="AK140" i="303"/>
  <c r="AK117" i="303"/>
  <c r="AK141" i="303"/>
  <c r="AK131" i="326"/>
  <c r="AK132" i="326"/>
  <c r="AK133" i="326"/>
  <c r="AK130" i="326"/>
  <c r="AK143" i="313"/>
  <c r="AK130" i="310"/>
  <c r="AI117" i="269"/>
  <c r="AI118" i="269"/>
  <c r="AK141" i="310"/>
  <c r="AK131" i="329"/>
  <c r="AK132" i="329"/>
  <c r="AK133" i="329"/>
  <c r="AK130" i="329"/>
  <c r="AK130" i="320"/>
  <c r="AK141" i="313"/>
  <c r="AI116" i="269"/>
  <c r="AK140" i="329"/>
  <c r="AL92" i="316"/>
  <c r="AL118" i="316" s="1"/>
  <c r="AL85" i="316" s="1"/>
  <c r="AL110" i="316"/>
  <c r="AL101" i="316"/>
  <c r="AL181" i="278"/>
  <c r="AL185" i="278" s="1"/>
  <c r="AL126" i="278"/>
  <c r="AL70" i="278"/>
  <c r="AL182" i="269"/>
  <c r="AL186" i="269" s="1"/>
  <c r="AL71" i="269"/>
  <c r="AL75" i="269" s="1"/>
  <c r="AL127" i="269"/>
  <c r="AL183" i="306"/>
  <c r="AL187" i="306" s="1"/>
  <c r="AL128" i="306"/>
  <c r="AL72" i="306"/>
  <c r="AL76" i="306" s="1"/>
  <c r="AL71" i="272"/>
  <c r="AL75" i="272" s="1"/>
  <c r="AL92" i="325"/>
  <c r="AL101" i="325"/>
  <c r="AL118" i="325" s="1"/>
  <c r="AL85" i="325" s="1"/>
  <c r="AL110" i="325"/>
  <c r="AL50" i="327"/>
  <c r="AL49" i="327"/>
  <c r="AL48" i="327"/>
  <c r="AL92" i="314"/>
  <c r="AL118" i="314" s="1"/>
  <c r="AL85" i="314" s="1"/>
  <c r="AL110" i="314"/>
  <c r="AL101" i="314"/>
  <c r="AL128" i="269"/>
  <c r="AL183" i="269"/>
  <c r="AL187" i="269" s="1"/>
  <c r="AL72" i="269"/>
  <c r="AL76" i="269" s="1"/>
  <c r="AL181" i="306"/>
  <c r="AL185" i="306" s="1"/>
  <c r="AL126" i="306"/>
  <c r="AL70" i="306"/>
  <c r="AL48" i="318"/>
  <c r="AL50" i="318"/>
  <c r="AL49" i="318"/>
  <c r="AL126" i="310"/>
  <c r="AL181" i="310"/>
  <c r="AL185" i="310" s="1"/>
  <c r="AL70" i="310"/>
  <c r="AL126" i="303"/>
  <c r="AL181" i="303"/>
  <c r="AL185" i="303" s="1"/>
  <c r="AL70" i="303"/>
  <c r="AL182" i="278"/>
  <c r="AL186" i="278" s="1"/>
  <c r="AL127" i="278"/>
  <c r="AL71" i="278"/>
  <c r="AL75" i="278" s="1"/>
  <c r="AL126" i="269"/>
  <c r="AL181" i="269"/>
  <c r="AL185" i="269" s="1"/>
  <c r="AL70" i="269"/>
  <c r="AL101" i="322"/>
  <c r="AL118" i="322" s="1"/>
  <c r="AL85" i="322" s="1"/>
  <c r="AL92" i="322"/>
  <c r="AL110" i="322"/>
  <c r="AL183" i="272"/>
  <c r="AL187" i="272" s="1"/>
  <c r="AL72" i="272"/>
  <c r="AL76" i="272" s="1"/>
  <c r="AL128" i="272"/>
  <c r="AL183" i="310"/>
  <c r="AL187" i="310" s="1"/>
  <c r="AL72" i="310"/>
  <c r="AL76" i="310" s="1"/>
  <c r="AL128" i="310"/>
  <c r="AL48" i="324"/>
  <c r="AL49" i="324"/>
  <c r="AL50" i="324"/>
  <c r="AL183" i="303"/>
  <c r="AL187" i="303" s="1"/>
  <c r="AL72" i="303"/>
  <c r="AL76" i="303" s="1"/>
  <c r="AL128" i="303"/>
  <c r="AL50" i="315"/>
  <c r="AL49" i="315"/>
  <c r="AL48" i="315"/>
  <c r="AL72" i="278"/>
  <c r="AL76" i="278" s="1"/>
  <c r="AL183" i="278"/>
  <c r="AL187" i="278" s="1"/>
  <c r="AL128" i="278"/>
  <c r="AL92" i="328"/>
  <c r="AL110" i="328"/>
  <c r="AL101" i="328"/>
  <c r="AL118" i="328" s="1"/>
  <c r="AL85" i="328" s="1"/>
  <c r="AL48" i="312"/>
  <c r="AL50" i="312"/>
  <c r="AL49" i="312"/>
  <c r="AL127" i="306"/>
  <c r="AL71" i="306"/>
  <c r="AL75" i="306" s="1"/>
  <c r="AL182" i="306"/>
  <c r="AL186" i="306" s="1"/>
  <c r="AL50" i="321"/>
  <c r="AL49" i="321"/>
  <c r="AL48" i="321"/>
  <c r="AL110" i="319"/>
  <c r="AL92" i="319"/>
  <c r="AL101" i="319"/>
  <c r="AL118" i="319" s="1"/>
  <c r="AL85" i="319" s="1"/>
  <c r="AL70" i="272"/>
  <c r="AL126" i="272"/>
  <c r="AL181" i="272"/>
  <c r="AL185" i="272" s="1"/>
  <c r="AL182" i="310"/>
  <c r="AL186" i="310" s="1"/>
  <c r="AL71" i="310"/>
  <c r="AL75" i="310" s="1"/>
  <c r="AL127" i="310"/>
  <c r="AL127" i="303"/>
  <c r="AL182" i="303"/>
  <c r="AL186" i="303" s="1"/>
  <c r="AL71" i="303"/>
  <c r="AL75" i="303" s="1"/>
  <c r="AK86" i="325"/>
  <c r="AK27" i="326" s="1"/>
  <c r="AK31" i="326" s="1"/>
  <c r="AK126" i="323"/>
  <c r="AK181" i="323"/>
  <c r="AK185" i="323" s="1"/>
  <c r="AK202" i="323" s="1"/>
  <c r="AK129" i="314"/>
  <c r="AK130" i="314" s="1"/>
  <c r="AK135" i="314" s="1"/>
  <c r="AK87" i="314" s="1"/>
  <c r="AK28" i="313" s="1"/>
  <c r="AK32" i="313" s="1"/>
  <c r="AK67" i="314"/>
  <c r="AK68" i="314" s="1"/>
  <c r="AK73" i="314" s="1"/>
  <c r="AK25" i="314" s="1"/>
  <c r="AK16" i="313" s="1"/>
  <c r="AJ35" i="329"/>
  <c r="AI35" i="323"/>
  <c r="AI43" i="323" s="1"/>
  <c r="AJ35" i="326"/>
  <c r="AJ85" i="310"/>
  <c r="AJ40" i="323"/>
  <c r="AK201" i="313"/>
  <c r="AJ40" i="320"/>
  <c r="AK33" i="323"/>
  <c r="AK41" i="323"/>
  <c r="AK86" i="322"/>
  <c r="AK27" i="323" s="1"/>
  <c r="AK31" i="323" s="1"/>
  <c r="AK201" i="320"/>
  <c r="AJ40" i="326"/>
  <c r="AJ39" i="320"/>
  <c r="D1125" i="261"/>
  <c r="D1121" i="261"/>
  <c r="I68" i="261"/>
  <c r="D1102" i="261"/>
  <c r="D1117" i="261"/>
  <c r="D1123" i="261"/>
  <c r="D1108" i="261"/>
  <c r="I62" i="261"/>
  <c r="D1116" i="261"/>
  <c r="I79" i="261"/>
  <c r="D1096" i="261"/>
  <c r="I59" i="261"/>
  <c r="D1103" i="261"/>
  <c r="I66" i="261"/>
  <c r="D1118" i="261"/>
  <c r="I81" i="261"/>
  <c r="D1114" i="261"/>
  <c r="I77" i="261"/>
  <c r="D1104" i="261"/>
  <c r="I67" i="261"/>
  <c r="I84" i="261"/>
  <c r="D1112" i="261"/>
  <c r="I75" i="261"/>
  <c r="D1124" i="261"/>
  <c r="I87" i="261"/>
  <c r="D1109" i="261"/>
  <c r="I72" i="261"/>
  <c r="D1122" i="261"/>
  <c r="I85" i="261"/>
  <c r="D1107" i="261"/>
  <c r="I70" i="261"/>
  <c r="D1100" i="261"/>
  <c r="I63" i="261"/>
  <c r="D1110" i="261"/>
  <c r="I73" i="261"/>
  <c r="D1101" i="261"/>
  <c r="I64" i="261"/>
  <c r="D1113" i="261"/>
  <c r="I76" i="261"/>
  <c r="AJ32" i="317"/>
  <c r="AJ40" i="317"/>
  <c r="D1098" i="261"/>
  <c r="I61" i="261"/>
  <c r="D1097" i="261"/>
  <c r="I60" i="261"/>
  <c r="D1120" i="261"/>
  <c r="I83" i="261"/>
  <c r="D1115" i="261"/>
  <c r="I78" i="261"/>
  <c r="AK129" i="325"/>
  <c r="AK130" i="325" s="1"/>
  <c r="AK135" i="325" s="1"/>
  <c r="AK87" i="325" s="1"/>
  <c r="AK28" i="326" s="1"/>
  <c r="AK32" i="326" s="1"/>
  <c r="AK67" i="325"/>
  <c r="AK68" i="325" s="1"/>
  <c r="AK73" i="325" s="1"/>
  <c r="AK25" i="325" s="1"/>
  <c r="AK16" i="326" s="1"/>
  <c r="AK24" i="325"/>
  <c r="AK15" i="326" s="1"/>
  <c r="AK24" i="314"/>
  <c r="AK15" i="313" s="1"/>
  <c r="AK19" i="313" s="1"/>
  <c r="AK67" i="319"/>
  <c r="AK68" i="319" s="1"/>
  <c r="AK73" i="319" s="1"/>
  <c r="AK25" i="319" s="1"/>
  <c r="AK16" i="320" s="1"/>
  <c r="AK20" i="320" s="1"/>
  <c r="AK129" i="319"/>
  <c r="AK130" i="319" s="1"/>
  <c r="AK135" i="319" s="1"/>
  <c r="AK87" i="319" s="1"/>
  <c r="AK28" i="320" s="1"/>
  <c r="AK24" i="319"/>
  <c r="AK15" i="320" s="1"/>
  <c r="AK19" i="320" s="1"/>
  <c r="AK67" i="328"/>
  <c r="AK68" i="328" s="1"/>
  <c r="AK73" i="328" s="1"/>
  <c r="AK25" i="328" s="1"/>
  <c r="AK16" i="329" s="1"/>
  <c r="AK20" i="329" s="1"/>
  <c r="AK129" i="328"/>
  <c r="AK130" i="328" s="1"/>
  <c r="AK135" i="328" s="1"/>
  <c r="AK87" i="328" s="1"/>
  <c r="AK28" i="329" s="1"/>
  <c r="AK32" i="329" s="1"/>
  <c r="AK24" i="328"/>
  <c r="AK15" i="329" s="1"/>
  <c r="D1111" i="261"/>
  <c r="I74" i="261"/>
  <c r="D1106" i="261"/>
  <c r="I69" i="261"/>
  <c r="AJ33" i="317"/>
  <c r="AJ41" i="317"/>
  <c r="AK86" i="316"/>
  <c r="AK27" i="317" s="1"/>
  <c r="AK31" i="317" s="1"/>
  <c r="AK29" i="317"/>
  <c r="AK129" i="322"/>
  <c r="AK130" i="322" s="1"/>
  <c r="AK135" i="322" s="1"/>
  <c r="AK87" i="322" s="1"/>
  <c r="AK28" i="323" s="1"/>
  <c r="AK32" i="323" s="1"/>
  <c r="AK67" i="322"/>
  <c r="AK68" i="322" s="1"/>
  <c r="AK73" i="322" s="1"/>
  <c r="AK25" i="322" s="1"/>
  <c r="AK16" i="323" s="1"/>
  <c r="AK20" i="323" s="1"/>
  <c r="AK24" i="322"/>
  <c r="AK15" i="323" s="1"/>
  <c r="AK19" i="323" s="1"/>
  <c r="AI43" i="320"/>
  <c r="AK129" i="316"/>
  <c r="AK130" i="316" s="1"/>
  <c r="AK135" i="316" s="1"/>
  <c r="AK87" i="316" s="1"/>
  <c r="AK28" i="317" s="1"/>
  <c r="AK32" i="317" s="1"/>
  <c r="AK67" i="316"/>
  <c r="AK68" i="316" s="1"/>
  <c r="AK73" i="316" s="1"/>
  <c r="AK25" i="316" s="1"/>
  <c r="AK16" i="317" s="1"/>
  <c r="AK20" i="317" s="1"/>
  <c r="AK24" i="316"/>
  <c r="AK15" i="317" s="1"/>
  <c r="AK29" i="329"/>
  <c r="AK33" i="329" s="1"/>
  <c r="AK86" i="328"/>
  <c r="AK27" i="329" s="1"/>
  <c r="AK31" i="329" s="1"/>
  <c r="AK29" i="320"/>
  <c r="AK86" i="319"/>
  <c r="AK27" i="320" s="1"/>
  <c r="AK31" i="320" s="1"/>
  <c r="D1119" i="261"/>
  <c r="I82" i="261"/>
  <c r="E84" i="261"/>
  <c r="AJ23" i="310"/>
  <c r="AJ43" i="310" s="1"/>
  <c r="D882" i="261"/>
  <c r="E85" i="261"/>
  <c r="AK201" i="329"/>
  <c r="AK170" i="303"/>
  <c r="AI111" i="260"/>
  <c r="AJ39" i="313"/>
  <c r="AJ41" i="313"/>
  <c r="AI32" i="313"/>
  <c r="AI40" i="313"/>
  <c r="AI31" i="313"/>
  <c r="AI39" i="313"/>
  <c r="AI33" i="313"/>
  <c r="AI41" i="313"/>
  <c r="AI101" i="260" s="1"/>
  <c r="AK29" i="313"/>
  <c r="AK33" i="313" s="1"/>
  <c r="AK86" i="314"/>
  <c r="AK27" i="313" s="1"/>
  <c r="AK31" i="313" s="1"/>
  <c r="AJ35" i="313"/>
  <c r="AJ20" i="313"/>
  <c r="AJ23" i="313" s="1"/>
  <c r="AJ40" i="313"/>
  <c r="AI23" i="329"/>
  <c r="AI43" i="329" s="1"/>
  <c r="AJ23" i="320"/>
  <c r="AK170" i="320"/>
  <c r="AK66" i="320"/>
  <c r="AK189" i="310"/>
  <c r="AI23" i="326"/>
  <c r="AI43" i="326" s="1"/>
  <c r="AK66" i="323"/>
  <c r="AK170" i="317"/>
  <c r="AK200" i="317"/>
  <c r="AK200" i="320"/>
  <c r="AK170" i="323"/>
  <c r="AJ19" i="326"/>
  <c r="AJ39" i="326"/>
  <c r="AK66" i="317"/>
  <c r="AK17" i="326"/>
  <c r="AJ21" i="326"/>
  <c r="AJ41" i="326"/>
  <c r="AK66" i="326"/>
  <c r="AK200" i="323"/>
  <c r="AK17" i="329"/>
  <c r="AJ19" i="329"/>
  <c r="AJ39" i="329"/>
  <c r="AK170" i="326"/>
  <c r="AJ21" i="329"/>
  <c r="AJ41" i="329"/>
  <c r="AK200" i="326"/>
  <c r="AJ20" i="329"/>
  <c r="AJ40" i="329"/>
  <c r="AK21" i="313"/>
  <c r="AK78" i="310"/>
  <c r="AK74" i="313"/>
  <c r="AK83" i="313"/>
  <c r="AK189" i="317"/>
  <c r="AJ78" i="329"/>
  <c r="AJ85" i="329" s="1"/>
  <c r="AJ82" i="329"/>
  <c r="AK189" i="313"/>
  <c r="AK202" i="313"/>
  <c r="AJ78" i="326"/>
  <c r="AJ85" i="326" s="1"/>
  <c r="AJ82" i="326"/>
  <c r="AK189" i="329"/>
  <c r="AK202" i="329"/>
  <c r="AK74" i="323"/>
  <c r="AK83" i="323"/>
  <c r="AK74" i="329"/>
  <c r="AK83" i="329"/>
  <c r="AJ78" i="317"/>
  <c r="AJ85" i="317" s="1"/>
  <c r="AJ82" i="317"/>
  <c r="AJ78" i="313"/>
  <c r="AJ85" i="313" s="1"/>
  <c r="AJ82" i="313"/>
  <c r="AJ78" i="323"/>
  <c r="AJ85" i="323" s="1"/>
  <c r="AJ82" i="323"/>
  <c r="AK202" i="317"/>
  <c r="AK74" i="320"/>
  <c r="AK189" i="326"/>
  <c r="AK202" i="326"/>
  <c r="AJ78" i="320"/>
  <c r="AJ85" i="320" s="1"/>
  <c r="AJ82" i="320"/>
  <c r="AK74" i="317"/>
  <c r="AK83" i="317"/>
  <c r="AK74" i="326"/>
  <c r="AK83" i="326"/>
  <c r="AK83" i="310"/>
  <c r="AK83" i="303"/>
  <c r="AJ40" i="272"/>
  <c r="AJ20" i="272"/>
  <c r="AJ39" i="272"/>
  <c r="AJ19" i="272"/>
  <c r="AJ41" i="272"/>
  <c r="AJ21" i="272"/>
  <c r="AK40" i="306"/>
  <c r="AK20" i="306"/>
  <c r="AK39" i="306"/>
  <c r="AK19" i="306"/>
  <c r="AK39" i="310"/>
  <c r="AK19" i="310"/>
  <c r="AK41" i="310"/>
  <c r="AK21" i="310"/>
  <c r="AJ41" i="278"/>
  <c r="AJ21" i="278"/>
  <c r="AI39" i="269"/>
  <c r="AI19" i="269"/>
  <c r="AI40" i="269"/>
  <c r="AI20" i="269"/>
  <c r="AK41" i="269"/>
  <c r="AK21" i="269"/>
  <c r="AJ41" i="269"/>
  <c r="AJ21" i="269"/>
  <c r="AK202" i="303"/>
  <c r="AK17" i="303"/>
  <c r="AK24" i="304"/>
  <c r="AK16" i="303" s="1"/>
  <c r="AK23" i="304"/>
  <c r="AK15" i="303" s="1"/>
  <c r="AK24" i="270"/>
  <c r="AK16" i="269" s="1"/>
  <c r="AH23" i="303"/>
  <c r="AH43" i="303" s="1"/>
  <c r="AH23" i="269"/>
  <c r="AH43" i="269" s="1"/>
  <c r="AK66" i="306"/>
  <c r="AI23" i="306"/>
  <c r="AI43" i="306" s="1"/>
  <c r="AK82" i="310"/>
  <c r="AK66" i="310"/>
  <c r="AK170" i="306"/>
  <c r="AK200" i="306"/>
  <c r="AJ24" i="279"/>
  <c r="AJ16" i="278" s="1"/>
  <c r="AJ78" i="306"/>
  <c r="AJ85" i="306" s="1"/>
  <c r="AJ82" i="306"/>
  <c r="AK189" i="306"/>
  <c r="AK202" i="306"/>
  <c r="AK76" i="306"/>
  <c r="AK83" i="306"/>
  <c r="AK172" i="269"/>
  <c r="AK200" i="269" s="1"/>
  <c r="AJ16" i="269"/>
  <c r="AK23" i="270"/>
  <c r="AJ15" i="269"/>
  <c r="AK173" i="269"/>
  <c r="AK201" i="269" s="1"/>
  <c r="AK201" i="303"/>
  <c r="AJ200" i="303"/>
  <c r="AG23" i="303"/>
  <c r="AG43" i="303" s="1"/>
  <c r="AI173" i="269"/>
  <c r="AI201" i="269" s="1"/>
  <c r="AK82" i="303"/>
  <c r="AK66" i="303"/>
  <c r="AK85" i="303" s="1"/>
  <c r="AJ23" i="279"/>
  <c r="AJ15" i="278" s="1"/>
  <c r="AK55" i="273"/>
  <c r="AK22" i="273" s="1"/>
  <c r="AK17" i="272" s="1"/>
  <c r="AK17" i="278"/>
  <c r="AK23" i="279"/>
  <c r="AK15" i="278" s="1"/>
  <c r="AK24" i="279"/>
  <c r="AK16" i="278" s="1"/>
  <c r="AI23" i="272"/>
  <c r="AI43" i="272" s="1"/>
  <c r="J91" i="261"/>
  <c r="D1166" i="261"/>
  <c r="D1168" i="261" s="1"/>
  <c r="G10" i="261"/>
  <c r="D619" i="261"/>
  <c r="D620" i="261" s="1"/>
  <c r="AI66" i="269"/>
  <c r="AI85" i="269" s="1"/>
  <c r="C605" i="261"/>
  <c r="AK189" i="269"/>
  <c r="AK78" i="269"/>
  <c r="AK189" i="272"/>
  <c r="AK78" i="272"/>
  <c r="AI202" i="269"/>
  <c r="AI113" i="260" s="1"/>
  <c r="AK202" i="278"/>
  <c r="AK170" i="278"/>
  <c r="AK62" i="272"/>
  <c r="AK83" i="272"/>
  <c r="AK200" i="278"/>
  <c r="AK200" i="272"/>
  <c r="AK62" i="269"/>
  <c r="AK83" i="269"/>
  <c r="AK83" i="278"/>
  <c r="AK62" i="278"/>
  <c r="AK170" i="272"/>
  <c r="AK202" i="272"/>
  <c r="AK78" i="278"/>
  <c r="AK202" i="269"/>
  <c r="AK170" i="269"/>
  <c r="AK189" i="278"/>
  <c r="AI82" i="269"/>
  <c r="AJ170" i="269"/>
  <c r="AI170" i="269"/>
  <c r="AI83" i="269"/>
  <c r="AI104" i="260" s="1"/>
  <c r="AJ201" i="272"/>
  <c r="AJ112" i="260" s="1"/>
  <c r="AJ64" i="272"/>
  <c r="AJ82" i="272" s="1"/>
  <c r="AJ168" i="272"/>
  <c r="AJ170" i="272" s="1"/>
  <c r="AJ202" i="269"/>
  <c r="AJ83" i="269"/>
  <c r="AJ200" i="272"/>
  <c r="AJ83" i="272"/>
  <c r="AJ66" i="269"/>
  <c r="AJ85" i="269" s="1"/>
  <c r="AJ82" i="269"/>
  <c r="AJ83" i="278"/>
  <c r="AJ62" i="278"/>
  <c r="AI82" i="272"/>
  <c r="AI66" i="272"/>
  <c r="AI85" i="272" s="1"/>
  <c r="AJ200" i="278"/>
  <c r="AI66" i="278"/>
  <c r="AI85" i="278" s="1"/>
  <c r="AI82" i="278"/>
  <c r="AJ202" i="278"/>
  <c r="AJ170" i="278"/>
  <c r="E82" i="240"/>
  <c r="C82" i="240"/>
  <c r="D81" i="240"/>
  <c r="I80" i="240"/>
  <c r="H80" i="240"/>
  <c r="G80" i="240"/>
  <c r="F80" i="240"/>
  <c r="F81" i="240" s="1"/>
  <c r="E80" i="240"/>
  <c r="E81" i="240" s="1"/>
  <c r="D80" i="240"/>
  <c r="I79" i="240"/>
  <c r="I81" i="240" s="1"/>
  <c r="H79" i="240"/>
  <c r="H81" i="240" s="1"/>
  <c r="G79" i="240"/>
  <c r="G81" i="240" s="1"/>
  <c r="F79" i="240"/>
  <c r="D79" i="240"/>
  <c r="AL182" i="272" l="1"/>
  <c r="AL186" i="272" s="1"/>
  <c r="AJ43" i="320"/>
  <c r="AK132" i="320"/>
  <c r="AL33" i="308"/>
  <c r="AL173" i="310" s="1"/>
  <c r="AL201" i="310" s="1"/>
  <c r="AK133" i="320"/>
  <c r="AL160" i="310"/>
  <c r="AL167" i="310" s="1"/>
  <c r="AL170" i="310" s="1"/>
  <c r="AK141" i="323"/>
  <c r="AK131" i="320"/>
  <c r="AK140" i="320"/>
  <c r="AK189" i="323"/>
  <c r="AK189" i="320"/>
  <c r="AL114" i="310"/>
  <c r="AL119" i="310" s="1"/>
  <c r="AL66" i="306"/>
  <c r="AK141" i="320"/>
  <c r="AK83" i="320"/>
  <c r="AL170" i="306"/>
  <c r="AL66" i="323"/>
  <c r="AL66" i="329"/>
  <c r="AL66" i="272"/>
  <c r="AL170" i="323"/>
  <c r="AL66" i="320"/>
  <c r="AL170" i="326"/>
  <c r="AL66" i="303"/>
  <c r="AL24" i="316"/>
  <c r="AL15" i="317" s="1"/>
  <c r="AL19" i="317" s="1"/>
  <c r="AL129" i="316"/>
  <c r="AL130" i="316" s="1"/>
  <c r="AL135" i="316" s="1"/>
  <c r="AL87" i="316" s="1"/>
  <c r="AL28" i="317" s="1"/>
  <c r="AL67" i="316"/>
  <c r="AL68" i="316" s="1"/>
  <c r="AL73" i="316" s="1"/>
  <c r="AL25" i="316" s="1"/>
  <c r="AL16" i="317" s="1"/>
  <c r="AL20" i="317" s="1"/>
  <c r="AL66" i="317"/>
  <c r="AL118" i="269"/>
  <c r="AL116" i="269"/>
  <c r="AL117" i="269"/>
  <c r="AL119" i="269"/>
  <c r="AL119" i="323"/>
  <c r="AL116" i="323"/>
  <c r="AL117" i="323"/>
  <c r="AL118" i="323"/>
  <c r="AL200" i="306"/>
  <c r="AL175" i="306"/>
  <c r="AL175" i="320"/>
  <c r="AL21" i="269"/>
  <c r="AL41" i="269"/>
  <c r="AL66" i="326"/>
  <c r="AL21" i="278"/>
  <c r="AL41" i="278"/>
  <c r="AL175" i="313"/>
  <c r="AL170" i="303"/>
  <c r="AL117" i="278"/>
  <c r="AL118" i="278"/>
  <c r="AL116" i="278"/>
  <c r="AL119" i="278"/>
  <c r="AL19" i="272"/>
  <c r="AL39" i="272"/>
  <c r="AL20" i="272"/>
  <c r="AL40" i="272"/>
  <c r="AL200" i="310"/>
  <c r="AL117" i="317"/>
  <c r="AL116" i="317"/>
  <c r="AL118" i="317"/>
  <c r="AL119" i="317"/>
  <c r="AL175" i="269"/>
  <c r="AL200" i="269"/>
  <c r="AL175" i="323"/>
  <c r="AL200" i="323"/>
  <c r="AL117" i="272"/>
  <c r="AL116" i="272"/>
  <c r="AL118" i="272"/>
  <c r="AL119" i="272"/>
  <c r="AL39" i="310"/>
  <c r="AL19" i="310"/>
  <c r="AL117" i="329"/>
  <c r="AL118" i="329"/>
  <c r="AL119" i="329"/>
  <c r="AL116" i="329"/>
  <c r="AL24" i="314"/>
  <c r="AL15" i="313" s="1"/>
  <c r="AL19" i="313" s="1"/>
  <c r="AL67" i="314"/>
  <c r="AL68" i="314" s="1"/>
  <c r="AL73" i="314" s="1"/>
  <c r="AL25" i="314" s="1"/>
  <c r="AL16" i="313" s="1"/>
  <c r="AL20" i="313" s="1"/>
  <c r="AL129" i="314"/>
  <c r="AL130" i="314" s="1"/>
  <c r="AL135" i="314" s="1"/>
  <c r="AL66" i="310"/>
  <c r="AL200" i="317"/>
  <c r="AL175" i="317"/>
  <c r="AL170" i="269"/>
  <c r="AL200" i="272"/>
  <c r="AL175" i="272"/>
  <c r="AL170" i="320"/>
  <c r="AL20" i="306"/>
  <c r="AL40" i="306"/>
  <c r="AL19" i="269"/>
  <c r="AL39" i="269"/>
  <c r="AL200" i="326"/>
  <c r="AL175" i="326"/>
  <c r="AL177" i="326" s="1"/>
  <c r="AL19" i="278"/>
  <c r="AL39" i="278"/>
  <c r="AL66" i="313"/>
  <c r="AL200" i="303"/>
  <c r="AL175" i="303"/>
  <c r="AL129" i="319"/>
  <c r="AL130" i="319" s="1"/>
  <c r="AL135" i="319" s="1"/>
  <c r="AL87" i="319" s="1"/>
  <c r="AL28" i="320" s="1"/>
  <c r="AL67" i="319"/>
  <c r="AL68" i="319" s="1"/>
  <c r="AL73" i="319" s="1"/>
  <c r="AL25" i="319" s="1"/>
  <c r="AL16" i="320" s="1"/>
  <c r="AL20" i="320" s="1"/>
  <c r="AL24" i="319"/>
  <c r="AL15" i="320" s="1"/>
  <c r="AL19" i="320" s="1"/>
  <c r="AL175" i="278"/>
  <c r="AL200" i="278"/>
  <c r="AL20" i="310"/>
  <c r="AL40" i="310"/>
  <c r="AL119" i="313"/>
  <c r="AL116" i="313"/>
  <c r="AL118" i="313"/>
  <c r="AL117" i="313"/>
  <c r="AL66" i="278"/>
  <c r="AL175" i="329"/>
  <c r="AL177" i="329" s="1"/>
  <c r="AL24" i="328"/>
  <c r="AL15" i="329" s="1"/>
  <c r="AL19" i="329" s="1"/>
  <c r="AL129" i="328"/>
  <c r="AL130" i="328" s="1"/>
  <c r="AL135" i="328" s="1"/>
  <c r="AL67" i="328"/>
  <c r="AL68" i="328" s="1"/>
  <c r="AL73" i="328" s="1"/>
  <c r="AL25" i="328" s="1"/>
  <c r="AL16" i="329" s="1"/>
  <c r="AL20" i="329" s="1"/>
  <c r="AL67" i="325"/>
  <c r="AL68" i="325" s="1"/>
  <c r="AL73" i="325" s="1"/>
  <c r="AL25" i="325" s="1"/>
  <c r="AL16" i="326" s="1"/>
  <c r="AL20" i="326" s="1"/>
  <c r="AL24" i="325"/>
  <c r="AL15" i="326" s="1"/>
  <c r="AL19" i="326" s="1"/>
  <c r="AL129" i="325"/>
  <c r="AL130" i="325" s="1"/>
  <c r="AL135" i="325" s="1"/>
  <c r="AL87" i="325" s="1"/>
  <c r="AL28" i="326" s="1"/>
  <c r="AL118" i="310"/>
  <c r="AL170" i="317"/>
  <c r="AL66" i="269"/>
  <c r="AL170" i="272"/>
  <c r="AL116" i="306"/>
  <c r="AL117" i="306"/>
  <c r="AL118" i="306"/>
  <c r="AL119" i="306"/>
  <c r="AL116" i="320"/>
  <c r="AL119" i="320"/>
  <c r="AL117" i="320"/>
  <c r="AL118" i="320"/>
  <c r="AL20" i="303"/>
  <c r="AL40" i="303"/>
  <c r="AL117" i="326"/>
  <c r="AL118" i="326"/>
  <c r="AL119" i="326"/>
  <c r="AL116" i="326"/>
  <c r="AL24" i="322"/>
  <c r="AL15" i="323" s="1"/>
  <c r="AL19" i="323" s="1"/>
  <c r="AL129" i="322"/>
  <c r="AL130" i="322" s="1"/>
  <c r="AL135" i="322" s="1"/>
  <c r="AL67" i="322"/>
  <c r="AL68" i="322" s="1"/>
  <c r="AL73" i="322" s="1"/>
  <c r="AL25" i="322" s="1"/>
  <c r="AL16" i="323" s="1"/>
  <c r="AL20" i="323" s="1"/>
  <c r="AL170" i="313"/>
  <c r="AL116" i="303"/>
  <c r="AL118" i="303"/>
  <c r="AL119" i="303"/>
  <c r="AL117" i="303"/>
  <c r="AL19" i="306"/>
  <c r="AL39" i="306"/>
  <c r="AL19" i="303"/>
  <c r="AL23" i="303" s="1"/>
  <c r="AL43" i="303" s="1"/>
  <c r="AL39" i="303"/>
  <c r="AL170" i="278"/>
  <c r="AL130" i="272"/>
  <c r="AL131" i="272"/>
  <c r="AL132" i="272"/>
  <c r="AL133" i="272"/>
  <c r="AL142" i="272"/>
  <c r="AL140" i="272"/>
  <c r="AL143" i="272"/>
  <c r="AL141" i="272"/>
  <c r="AL133" i="269"/>
  <c r="AL130" i="269"/>
  <c r="AL131" i="269"/>
  <c r="AL132" i="269"/>
  <c r="AL140" i="269"/>
  <c r="AL141" i="269"/>
  <c r="AL143" i="269"/>
  <c r="AL142" i="269"/>
  <c r="AL132" i="310"/>
  <c r="AL133" i="310"/>
  <c r="AL130" i="310"/>
  <c r="AL131" i="310"/>
  <c r="AL142" i="310"/>
  <c r="AK143" i="323"/>
  <c r="AL133" i="303"/>
  <c r="AL130" i="303"/>
  <c r="AL131" i="303"/>
  <c r="AL132" i="303"/>
  <c r="AL142" i="303"/>
  <c r="AL140" i="303"/>
  <c r="AL143" i="303"/>
  <c r="AL141" i="303"/>
  <c r="AL133" i="306"/>
  <c r="AL131" i="306"/>
  <c r="AL132" i="306"/>
  <c r="AL130" i="306"/>
  <c r="AL135" i="306" s="1"/>
  <c r="AL140" i="306"/>
  <c r="AL143" i="306"/>
  <c r="AL142" i="306"/>
  <c r="AL141" i="306"/>
  <c r="AL132" i="278"/>
  <c r="AL133" i="278"/>
  <c r="AL130" i="278"/>
  <c r="AL131" i="278"/>
  <c r="AL142" i="278"/>
  <c r="AL140" i="278"/>
  <c r="AL143" i="278"/>
  <c r="AL141" i="278"/>
  <c r="AK130" i="323"/>
  <c r="AK131" i="323"/>
  <c r="AK132" i="323"/>
  <c r="AK133" i="323"/>
  <c r="AK142" i="323"/>
  <c r="AK140" i="323"/>
  <c r="AL202" i="306"/>
  <c r="AL189" i="272"/>
  <c r="AL196" i="272" s="1"/>
  <c r="AL202" i="272"/>
  <c r="AL72" i="323"/>
  <c r="AL76" i="323" s="1"/>
  <c r="AL128" i="323"/>
  <c r="AL183" i="323"/>
  <c r="AL187" i="323" s="1"/>
  <c r="AL53" i="312"/>
  <c r="AL192" i="313" s="1"/>
  <c r="AL201" i="313" s="1"/>
  <c r="AL182" i="313"/>
  <c r="AL186" i="313" s="1"/>
  <c r="AL127" i="313"/>
  <c r="AL71" i="313"/>
  <c r="AL75" i="313" s="1"/>
  <c r="AL182" i="326"/>
  <c r="AL186" i="326" s="1"/>
  <c r="AL71" i="326"/>
  <c r="AL75" i="326" s="1"/>
  <c r="AL127" i="326"/>
  <c r="AL189" i="269"/>
  <c r="AL196" i="269" s="1"/>
  <c r="AL202" i="269"/>
  <c r="AL74" i="310"/>
  <c r="AL83" i="310"/>
  <c r="AL183" i="320"/>
  <c r="AL187" i="320" s="1"/>
  <c r="AL128" i="320"/>
  <c r="AL72" i="320"/>
  <c r="AL76" i="320" s="1"/>
  <c r="AL189" i="306"/>
  <c r="AL196" i="306" s="1"/>
  <c r="AL53" i="327"/>
  <c r="AL192" i="329" s="1"/>
  <c r="AL201" i="329" s="1"/>
  <c r="AL127" i="329"/>
  <c r="AL71" i="329"/>
  <c r="AL75" i="329" s="1"/>
  <c r="AL182" i="329"/>
  <c r="AL186" i="329" s="1"/>
  <c r="AL189" i="278"/>
  <c r="AL196" i="278" s="1"/>
  <c r="AL202" i="278"/>
  <c r="AL128" i="313"/>
  <c r="AL72" i="313"/>
  <c r="AL76" i="313" s="1"/>
  <c r="AL183" i="313"/>
  <c r="AL187" i="313" s="1"/>
  <c r="AL126" i="317"/>
  <c r="AL70" i="317"/>
  <c r="AL181" i="317"/>
  <c r="AL185" i="317" s="1"/>
  <c r="AL181" i="326"/>
  <c r="AL185" i="326" s="1"/>
  <c r="AL70" i="326"/>
  <c r="AL126" i="326"/>
  <c r="AL74" i="303"/>
  <c r="AL83" i="303"/>
  <c r="AL189" i="310"/>
  <c r="AL196" i="310" s="1"/>
  <c r="AL52" i="318"/>
  <c r="AL191" i="320" s="1"/>
  <c r="AL126" i="320"/>
  <c r="AL70" i="320"/>
  <c r="AL181" i="320"/>
  <c r="AL185" i="320" s="1"/>
  <c r="AL128" i="329"/>
  <c r="AL72" i="329"/>
  <c r="AL76" i="329" s="1"/>
  <c r="AL183" i="329"/>
  <c r="AL187" i="329" s="1"/>
  <c r="AL74" i="272"/>
  <c r="AL83" i="272"/>
  <c r="AL181" i="323"/>
  <c r="AL185" i="323" s="1"/>
  <c r="AL70" i="323"/>
  <c r="AL126" i="323"/>
  <c r="AL52" i="312"/>
  <c r="AL191" i="313" s="1"/>
  <c r="AL70" i="313"/>
  <c r="AL181" i="313"/>
  <c r="AL185" i="313" s="1"/>
  <c r="AL126" i="313"/>
  <c r="AL182" i="317"/>
  <c r="AL186" i="317" s="1"/>
  <c r="AL127" i="317"/>
  <c r="AL71" i="317"/>
  <c r="AL75" i="317" s="1"/>
  <c r="AL29" i="323"/>
  <c r="AL86" i="322"/>
  <c r="AL27" i="323" s="1"/>
  <c r="AL87" i="322"/>
  <c r="AL28" i="323" s="1"/>
  <c r="AL189" i="303"/>
  <c r="AL196" i="303" s="1"/>
  <c r="AL202" i="303"/>
  <c r="AL74" i="306"/>
  <c r="AL83" i="306"/>
  <c r="AL29" i="313"/>
  <c r="AL86" i="314"/>
  <c r="AL27" i="313" s="1"/>
  <c r="AL87" i="314"/>
  <c r="AL28" i="313" s="1"/>
  <c r="AL74" i="278"/>
  <c r="AL83" i="278"/>
  <c r="AL29" i="320"/>
  <c r="AL86" i="319"/>
  <c r="AL27" i="320" s="1"/>
  <c r="AL71" i="323"/>
  <c r="AL75" i="323" s="1"/>
  <c r="AL127" i="323"/>
  <c r="AL182" i="323"/>
  <c r="AL186" i="323" s="1"/>
  <c r="AL29" i="329"/>
  <c r="AL86" i="328"/>
  <c r="AL27" i="329" s="1"/>
  <c r="AL87" i="328"/>
  <c r="AL28" i="329" s="1"/>
  <c r="AL128" i="317"/>
  <c r="AL72" i="317"/>
  <c r="AL76" i="317" s="1"/>
  <c r="AL183" i="317"/>
  <c r="AL187" i="317" s="1"/>
  <c r="AL183" i="326"/>
  <c r="AL187" i="326" s="1"/>
  <c r="AL72" i="326"/>
  <c r="AL76" i="326" s="1"/>
  <c r="AL128" i="326"/>
  <c r="AL74" i="269"/>
  <c r="AL83" i="269"/>
  <c r="AL53" i="318"/>
  <c r="AL192" i="320" s="1"/>
  <c r="AL201" i="320" s="1"/>
  <c r="AL182" i="320"/>
  <c r="AL186" i="320" s="1"/>
  <c r="AL127" i="320"/>
  <c r="AL71" i="320"/>
  <c r="AL75" i="320" s="1"/>
  <c r="AL52" i="327"/>
  <c r="AL191" i="329" s="1"/>
  <c r="AL181" i="329"/>
  <c r="AL185" i="329" s="1"/>
  <c r="AL126" i="329"/>
  <c r="AL70" i="329"/>
  <c r="AL29" i="326"/>
  <c r="AL86" i="325"/>
  <c r="AL27" i="326" s="1"/>
  <c r="AL29" i="317"/>
  <c r="AL86" i="316"/>
  <c r="AL27" i="317" s="1"/>
  <c r="AK35" i="326"/>
  <c r="F82" i="240"/>
  <c r="D82" i="240"/>
  <c r="AI44" i="260"/>
  <c r="AK40" i="326"/>
  <c r="AI100" i="260"/>
  <c r="AK39" i="323"/>
  <c r="AK39" i="320"/>
  <c r="AJ35" i="317"/>
  <c r="AK41" i="313"/>
  <c r="AK40" i="329"/>
  <c r="AK35" i="323"/>
  <c r="AK20" i="326"/>
  <c r="AJ101" i="260"/>
  <c r="D1105" i="261"/>
  <c r="I80" i="261"/>
  <c r="I71" i="261"/>
  <c r="I65" i="261"/>
  <c r="D1099" i="261"/>
  <c r="I86" i="261"/>
  <c r="AK32" i="320"/>
  <c r="AK40" i="320"/>
  <c r="AK33" i="317"/>
  <c r="AK35" i="317" s="1"/>
  <c r="AK41" i="317"/>
  <c r="AK40" i="317"/>
  <c r="D1095" i="261"/>
  <c r="I58" i="261"/>
  <c r="AK33" i="320"/>
  <c r="AK41" i="320"/>
  <c r="AK40" i="323"/>
  <c r="C23" i="260"/>
  <c r="D1092" i="261"/>
  <c r="I55" i="261"/>
  <c r="AK35" i="329"/>
  <c r="D1094" i="261"/>
  <c r="I57" i="261"/>
  <c r="D1093" i="261"/>
  <c r="I56" i="261"/>
  <c r="AK39" i="313"/>
  <c r="AK112" i="260"/>
  <c r="AJ104" i="260"/>
  <c r="AI103" i="260"/>
  <c r="AJ111" i="260"/>
  <c r="AK113" i="260"/>
  <c r="AK104" i="260"/>
  <c r="AK85" i="310"/>
  <c r="AJ43" i="313"/>
  <c r="AI35" i="313"/>
  <c r="AI43" i="313" s="1"/>
  <c r="AK35" i="313"/>
  <c r="AK20" i="313"/>
  <c r="AK23" i="313" s="1"/>
  <c r="AK40" i="313"/>
  <c r="AK23" i="320"/>
  <c r="AK23" i="323"/>
  <c r="AJ23" i="329"/>
  <c r="AJ43" i="329" s="1"/>
  <c r="AK19" i="329"/>
  <c r="AK39" i="329"/>
  <c r="AK21" i="329"/>
  <c r="AK41" i="329"/>
  <c r="AK19" i="326"/>
  <c r="AK39" i="326"/>
  <c r="AK21" i="326"/>
  <c r="AK41" i="326"/>
  <c r="AJ23" i="326"/>
  <c r="AJ43" i="326" s="1"/>
  <c r="AK78" i="323"/>
  <c r="AK85" i="323" s="1"/>
  <c r="AK82" i="323"/>
  <c r="AK78" i="317"/>
  <c r="AK85" i="317" s="1"/>
  <c r="AK82" i="317"/>
  <c r="AK78" i="329"/>
  <c r="AK85" i="329" s="1"/>
  <c r="AK82" i="329"/>
  <c r="AK78" i="320"/>
  <c r="AK85" i="320" s="1"/>
  <c r="AK82" i="320"/>
  <c r="AK78" i="313"/>
  <c r="AK85" i="313" s="1"/>
  <c r="AK82" i="313"/>
  <c r="AK78" i="326"/>
  <c r="AK85" i="326" s="1"/>
  <c r="AK82" i="326"/>
  <c r="AK39" i="303"/>
  <c r="AK19" i="303"/>
  <c r="AK40" i="303"/>
  <c r="AK20" i="303"/>
  <c r="AK41" i="303"/>
  <c r="AK21" i="303"/>
  <c r="AK41" i="272"/>
  <c r="AK21" i="272"/>
  <c r="AJ39" i="278"/>
  <c r="AJ19" i="278"/>
  <c r="AK40" i="278"/>
  <c r="AK20" i="278"/>
  <c r="AJ40" i="278"/>
  <c r="AJ20" i="278"/>
  <c r="AK39" i="278"/>
  <c r="AK19" i="278"/>
  <c r="AK41" i="278"/>
  <c r="AK21" i="278"/>
  <c r="AJ39" i="269"/>
  <c r="AJ19" i="269"/>
  <c r="AJ40" i="269"/>
  <c r="AJ100" i="260" s="1"/>
  <c r="AJ20" i="269"/>
  <c r="AK40" i="269"/>
  <c r="AK20" i="269"/>
  <c r="AI23" i="278"/>
  <c r="AI43" i="278" s="1"/>
  <c r="AJ23" i="306"/>
  <c r="AJ43" i="306" s="1"/>
  <c r="AI23" i="269"/>
  <c r="AI43" i="269" s="1"/>
  <c r="AK78" i="306"/>
  <c r="AK85" i="306" s="1"/>
  <c r="AK82" i="306"/>
  <c r="AK15" i="269"/>
  <c r="AI201" i="303"/>
  <c r="AI112" i="260" s="1"/>
  <c r="AK200" i="303"/>
  <c r="AK111" i="260" s="1"/>
  <c r="AK23" i="273"/>
  <c r="AK15" i="272" s="1"/>
  <c r="AK24" i="273"/>
  <c r="AK16" i="272" s="1"/>
  <c r="AJ23" i="272"/>
  <c r="AJ43" i="272" s="1"/>
  <c r="AK66" i="278"/>
  <c r="AK85" i="278" s="1"/>
  <c r="AK82" i="278"/>
  <c r="AK82" i="272"/>
  <c r="AK66" i="272"/>
  <c r="AK85" i="272" s="1"/>
  <c r="AK66" i="269"/>
  <c r="AK85" i="269" s="1"/>
  <c r="AK82" i="269"/>
  <c r="AJ66" i="272"/>
  <c r="AJ85" i="272" s="1"/>
  <c r="AJ202" i="272"/>
  <c r="AJ113" i="260" s="1"/>
  <c r="AJ82" i="278"/>
  <c r="AJ103" i="260" s="1"/>
  <c r="AJ66" i="278"/>
  <c r="AJ85" i="278" s="1"/>
  <c r="G82" i="240"/>
  <c r="H82" i="240"/>
  <c r="I82" i="240"/>
  <c r="C83" i="240"/>
  <c r="AL143" i="310" l="1"/>
  <c r="AL117" i="310"/>
  <c r="AL175" i="310"/>
  <c r="AL140" i="310"/>
  <c r="AL116" i="310"/>
  <c r="AL141" i="310"/>
  <c r="AL177" i="310"/>
  <c r="AL202" i="310"/>
  <c r="AL23" i="269"/>
  <c r="AL43" i="269" s="1"/>
  <c r="AL177" i="272"/>
  <c r="AL204" i="272" s="1"/>
  <c r="AL177" i="317"/>
  <c r="AL204" i="310"/>
  <c r="AL177" i="306"/>
  <c r="AL204" i="306" s="1"/>
  <c r="AL177" i="320"/>
  <c r="AL23" i="278"/>
  <c r="AL43" i="278" s="1"/>
  <c r="AL23" i="306"/>
  <c r="AL43" i="306" s="1"/>
  <c r="AL23" i="320"/>
  <c r="AL23" i="313"/>
  <c r="AL177" i="313"/>
  <c r="AL177" i="323"/>
  <c r="AL23" i="272"/>
  <c r="AL43" i="272" s="1"/>
  <c r="AL122" i="320"/>
  <c r="AL121" i="320"/>
  <c r="AL121" i="306"/>
  <c r="AL122" i="306"/>
  <c r="AL23" i="326"/>
  <c r="AL121" i="329"/>
  <c r="AL122" i="329"/>
  <c r="AL23" i="310"/>
  <c r="AL43" i="310" s="1"/>
  <c r="AL122" i="272"/>
  <c r="AL121" i="272"/>
  <c r="AL121" i="317"/>
  <c r="AL122" i="317"/>
  <c r="AL177" i="303"/>
  <c r="AL204" i="303" s="1"/>
  <c r="AL122" i="323"/>
  <c r="AL121" i="323"/>
  <c r="AL122" i="269"/>
  <c r="AL121" i="269"/>
  <c r="AL122" i="303"/>
  <c r="AL121" i="303"/>
  <c r="AL23" i="323"/>
  <c r="AL121" i="313"/>
  <c r="AL122" i="313"/>
  <c r="AL177" i="269"/>
  <c r="AL204" i="269" s="1"/>
  <c r="AL121" i="278"/>
  <c r="AL122" i="278"/>
  <c r="AL23" i="317"/>
  <c r="AL122" i="326"/>
  <c r="AL121" i="326"/>
  <c r="AL122" i="310"/>
  <c r="AL121" i="310"/>
  <c r="AL23" i="329"/>
  <c r="AL177" i="278"/>
  <c r="AL204" i="278" s="1"/>
  <c r="AL132" i="329"/>
  <c r="AL133" i="329"/>
  <c r="AL130" i="329"/>
  <c r="AL135" i="329" s="1"/>
  <c r="AL131" i="329"/>
  <c r="AL143" i="329"/>
  <c r="AL140" i="329"/>
  <c r="AL141" i="329"/>
  <c r="AL142" i="329"/>
  <c r="AL131" i="313"/>
  <c r="AL132" i="313"/>
  <c r="AL133" i="313"/>
  <c r="AL130" i="313"/>
  <c r="AL142" i="313"/>
  <c r="AL143" i="313"/>
  <c r="AL141" i="313"/>
  <c r="AL140" i="313"/>
  <c r="AL131" i="323"/>
  <c r="AL132" i="323"/>
  <c r="AL133" i="323"/>
  <c r="AL130" i="323"/>
  <c r="AL140" i="323"/>
  <c r="AL141" i="323"/>
  <c r="AL143" i="323"/>
  <c r="AL142" i="323"/>
  <c r="AL132" i="326"/>
  <c r="AL133" i="326"/>
  <c r="AL130" i="326"/>
  <c r="AL131" i="326"/>
  <c r="AL142" i="326"/>
  <c r="AL140" i="326"/>
  <c r="AL141" i="326"/>
  <c r="AL143" i="326"/>
  <c r="AL132" i="317"/>
  <c r="AL133" i="317"/>
  <c r="AL130" i="317"/>
  <c r="AL135" i="317" s="1"/>
  <c r="AL131" i="317"/>
  <c r="AL141" i="317"/>
  <c r="AL142" i="317"/>
  <c r="AL140" i="317"/>
  <c r="AL143" i="317"/>
  <c r="AL133" i="320"/>
  <c r="AL131" i="320"/>
  <c r="AL132" i="320"/>
  <c r="AL130" i="320"/>
  <c r="AL142" i="320"/>
  <c r="AL140" i="320"/>
  <c r="AL143" i="320"/>
  <c r="AL141" i="320"/>
  <c r="AL202" i="313"/>
  <c r="AL194" i="329"/>
  <c r="AL200" i="329"/>
  <c r="AL189" i="317"/>
  <c r="AL196" i="317" s="1"/>
  <c r="AL202" i="317"/>
  <c r="AL33" i="317"/>
  <c r="AL41" i="317"/>
  <c r="AL74" i="329"/>
  <c r="AL83" i="329"/>
  <c r="AL136" i="306"/>
  <c r="AL32" i="329"/>
  <c r="AL40" i="329"/>
  <c r="AL41" i="320"/>
  <c r="AL33" i="320"/>
  <c r="AL31" i="313"/>
  <c r="AL39" i="313"/>
  <c r="AL33" i="323"/>
  <c r="AL41" i="323"/>
  <c r="AL78" i="272"/>
  <c r="AL85" i="272" s="1"/>
  <c r="AL82" i="272"/>
  <c r="AL189" i="320"/>
  <c r="AL202" i="320"/>
  <c r="AL136" i="269"/>
  <c r="AL135" i="269"/>
  <c r="AL74" i="317"/>
  <c r="AL83" i="317"/>
  <c r="AL135" i="272"/>
  <c r="AL136" i="272"/>
  <c r="AL82" i="310"/>
  <c r="AL78" i="310"/>
  <c r="AL85" i="310" s="1"/>
  <c r="AL39" i="317"/>
  <c r="AL31" i="317"/>
  <c r="AL41" i="326"/>
  <c r="AL33" i="326"/>
  <c r="AL200" i="313"/>
  <c r="AL194" i="313"/>
  <c r="AL135" i="278"/>
  <c r="AL136" i="278"/>
  <c r="AL40" i="326"/>
  <c r="AL32" i="326"/>
  <c r="AL135" i="303"/>
  <c r="AL136" i="303"/>
  <c r="AL145" i="303" s="1"/>
  <c r="AL78" i="269"/>
  <c r="AL85" i="269" s="1"/>
  <c r="AL82" i="269"/>
  <c r="AL31" i="329"/>
  <c r="AL39" i="329"/>
  <c r="AL41" i="313"/>
  <c r="AL33" i="313"/>
  <c r="AL74" i="323"/>
  <c r="AL83" i="323"/>
  <c r="AL74" i="320"/>
  <c r="AL82" i="320" s="1"/>
  <c r="AL83" i="320"/>
  <c r="AL83" i="326"/>
  <c r="AL74" i="326"/>
  <c r="AL31" i="320"/>
  <c r="AL39" i="320"/>
  <c r="AL32" i="313"/>
  <c r="AL40" i="313"/>
  <c r="AL82" i="306"/>
  <c r="AL78" i="306"/>
  <c r="AL85" i="306" s="1"/>
  <c r="AL39" i="323"/>
  <c r="AL31" i="323"/>
  <c r="AL200" i="320"/>
  <c r="AL194" i="320"/>
  <c r="AL78" i="303"/>
  <c r="AL85" i="303" s="1"/>
  <c r="AL82" i="303"/>
  <c r="AL32" i="317"/>
  <c r="AL40" i="317"/>
  <c r="AL31" i="326"/>
  <c r="AL39" i="326"/>
  <c r="AL189" i="329"/>
  <c r="AL202" i="329"/>
  <c r="AL41" i="329"/>
  <c r="AL33" i="329"/>
  <c r="AL32" i="320"/>
  <c r="AL40" i="320"/>
  <c r="AL78" i="278"/>
  <c r="AL85" i="278" s="1"/>
  <c r="AL82" i="278"/>
  <c r="AL136" i="310"/>
  <c r="AL135" i="310"/>
  <c r="AL40" i="323"/>
  <c r="AL32" i="323"/>
  <c r="AL74" i="313"/>
  <c r="AL83" i="313"/>
  <c r="AL189" i="323"/>
  <c r="AL196" i="323" s="1"/>
  <c r="AL202" i="323"/>
  <c r="AL202" i="326"/>
  <c r="AL189" i="326"/>
  <c r="AL196" i="326" s="1"/>
  <c r="AL204" i="326" s="1"/>
  <c r="AL189" i="313"/>
  <c r="AJ44" i="260"/>
  <c r="D884" i="261" s="1"/>
  <c r="AK43" i="323"/>
  <c r="AK44" i="260"/>
  <c r="D885" i="261" s="1"/>
  <c r="AK35" i="320"/>
  <c r="AK43" i="320" s="1"/>
  <c r="I89" i="261"/>
  <c r="D883" i="261"/>
  <c r="E86" i="261"/>
  <c r="D130" i="260"/>
  <c r="AK43" i="313"/>
  <c r="AK101" i="260"/>
  <c r="D129" i="260"/>
  <c r="AK103" i="260"/>
  <c r="D1126" i="261"/>
  <c r="D1128" i="261" s="1"/>
  <c r="AK23" i="326"/>
  <c r="AK43" i="326" s="1"/>
  <c r="AK23" i="329"/>
  <c r="AK43" i="329" s="1"/>
  <c r="AK40" i="272"/>
  <c r="AK100" i="260" s="1"/>
  <c r="AK20" i="272"/>
  <c r="AK39" i="272"/>
  <c r="AK19" i="272"/>
  <c r="AK39" i="269"/>
  <c r="AK19" i="269"/>
  <c r="AK23" i="310"/>
  <c r="AK43" i="310" s="1"/>
  <c r="AI23" i="303"/>
  <c r="AI43" i="303" s="1"/>
  <c r="AK23" i="306"/>
  <c r="AK43" i="306" s="1"/>
  <c r="AK23" i="278"/>
  <c r="AK43" i="278" s="1"/>
  <c r="AJ23" i="278"/>
  <c r="AJ43" i="278" s="1"/>
  <c r="G9" i="261"/>
  <c r="D605" i="261"/>
  <c r="D606" i="261" s="1"/>
  <c r="F83" i="240"/>
  <c r="E83" i="240"/>
  <c r="D83" i="240"/>
  <c r="G83" i="240"/>
  <c r="C84" i="240"/>
  <c r="I83" i="240"/>
  <c r="H83" i="240"/>
  <c r="AL204" i="317" l="1"/>
  <c r="AL196" i="329"/>
  <c r="AL204" i="329" s="1"/>
  <c r="AL204" i="323"/>
  <c r="AL145" i="310"/>
  <c r="AL145" i="272"/>
  <c r="AL145" i="278"/>
  <c r="AL145" i="269"/>
  <c r="AL145" i="306"/>
  <c r="AL35" i="329"/>
  <c r="AL43" i="329" s="1"/>
  <c r="AL35" i="320"/>
  <c r="AL43" i="320" s="1"/>
  <c r="AL35" i="323"/>
  <c r="AL43" i="323" s="1"/>
  <c r="AL196" i="320"/>
  <c r="AL204" i="320" s="1"/>
  <c r="AL136" i="329"/>
  <c r="AL145" i="329" s="1"/>
  <c r="AL35" i="326"/>
  <c r="AL43" i="326" s="1"/>
  <c r="AL78" i="317"/>
  <c r="AL85" i="317" s="1"/>
  <c r="AL82" i="317"/>
  <c r="AL136" i="317"/>
  <c r="AL145" i="317" s="1"/>
  <c r="AL78" i="326"/>
  <c r="AL85" i="326" s="1"/>
  <c r="AL82" i="326"/>
  <c r="AL196" i="313"/>
  <c r="AL204" i="313" s="1"/>
  <c r="AL78" i="320"/>
  <c r="AL85" i="320" s="1"/>
  <c r="AL136" i="326"/>
  <c r="AL145" i="326" s="1"/>
  <c r="AL135" i="326"/>
  <c r="AL78" i="329"/>
  <c r="AL85" i="329" s="1"/>
  <c r="AL82" i="329"/>
  <c r="AL135" i="320"/>
  <c r="AL136" i="320"/>
  <c r="AL145" i="320" s="1"/>
  <c r="AL82" i="313"/>
  <c r="AL78" i="313"/>
  <c r="AL85" i="313" s="1"/>
  <c r="AL78" i="323"/>
  <c r="AL85" i="323" s="1"/>
  <c r="AL82" i="323"/>
  <c r="AL136" i="323"/>
  <c r="AL145" i="323" s="1"/>
  <c r="AL135" i="323"/>
  <c r="AL135" i="313"/>
  <c r="AL136" i="313"/>
  <c r="AL145" i="313" s="1"/>
  <c r="AL35" i="317"/>
  <c r="AL43" i="317" s="1"/>
  <c r="AL35" i="313"/>
  <c r="AL43" i="313" s="1"/>
  <c r="E87" i="261"/>
  <c r="E88" i="261"/>
  <c r="D119" i="260"/>
  <c r="D118" i="260"/>
  <c r="AK23" i="272"/>
  <c r="AK43" i="272" s="1"/>
  <c r="AJ23" i="303"/>
  <c r="AJ43" i="303" s="1"/>
  <c r="AJ23" i="269"/>
  <c r="AJ43" i="269" s="1"/>
  <c r="G84" i="240"/>
  <c r="F84" i="240"/>
  <c r="E84" i="240"/>
  <c r="H84" i="240"/>
  <c r="D84" i="240"/>
  <c r="C85" i="240"/>
  <c r="I84" i="240"/>
  <c r="AK23" i="269" l="1"/>
  <c r="AK43" i="269" s="1"/>
  <c r="AK23" i="303"/>
  <c r="AK43" i="303" s="1"/>
  <c r="H85" i="240"/>
  <c r="G85" i="240"/>
  <c r="F85" i="240"/>
  <c r="I85" i="240"/>
  <c r="E85" i="240"/>
  <c r="D85" i="240"/>
  <c r="C86" i="240"/>
  <c r="I86" i="240" l="1"/>
  <c r="H86" i="240"/>
  <c r="G86" i="240"/>
  <c r="C87" i="240"/>
  <c r="F86" i="240"/>
  <c r="E86" i="240"/>
  <c r="D86" i="240"/>
  <c r="C88" i="240" l="1"/>
  <c r="I87" i="240"/>
  <c r="H87" i="240"/>
  <c r="G87" i="240"/>
  <c r="F87" i="240"/>
  <c r="E87" i="240"/>
  <c r="D87" i="240"/>
  <c r="C89" i="240" l="1"/>
  <c r="D88" i="240"/>
  <c r="I88" i="240"/>
  <c r="H88" i="240"/>
  <c r="G88" i="240"/>
  <c r="F88" i="240"/>
  <c r="E88" i="240"/>
  <c r="D89" i="240" l="1"/>
  <c r="C90" i="240"/>
  <c r="E89" i="240"/>
  <c r="I89" i="240"/>
  <c r="H89" i="240"/>
  <c r="G89" i="240"/>
  <c r="F89" i="240"/>
  <c r="E90" i="240" l="1"/>
  <c r="D90" i="240"/>
  <c r="F90" i="240"/>
  <c r="C91" i="240"/>
  <c r="I90" i="240"/>
  <c r="H90" i="240"/>
  <c r="G90" i="240"/>
  <c r="F91" i="240" l="1"/>
  <c r="E91" i="240"/>
  <c r="G91" i="240"/>
  <c r="D91" i="240"/>
  <c r="C92" i="240"/>
  <c r="I91" i="240"/>
  <c r="H91" i="240"/>
  <c r="G92" i="240" l="1"/>
  <c r="F92" i="240"/>
  <c r="E92" i="240"/>
  <c r="H92" i="240"/>
  <c r="D92" i="240"/>
  <c r="C93" i="240"/>
  <c r="I92" i="240"/>
  <c r="H93" i="240" l="1"/>
  <c r="G93" i="240"/>
  <c r="F93" i="240"/>
  <c r="I93" i="240"/>
  <c r="E93" i="240"/>
  <c r="D93" i="240"/>
  <c r="C94" i="240"/>
  <c r="I94" i="240" l="1"/>
  <c r="H94" i="240"/>
  <c r="G94" i="240"/>
  <c r="C95" i="240"/>
  <c r="F94" i="240"/>
  <c r="E94" i="240"/>
  <c r="D94" i="240"/>
  <c r="C96" i="240" l="1"/>
  <c r="I95" i="240"/>
  <c r="H95" i="240"/>
  <c r="G95" i="240"/>
  <c r="F95" i="240"/>
  <c r="E95" i="240"/>
  <c r="D95" i="240"/>
  <c r="C97" i="240" l="1"/>
  <c r="D96" i="240"/>
  <c r="I96" i="240"/>
  <c r="H96" i="240"/>
  <c r="G96" i="240"/>
  <c r="F96" i="240"/>
  <c r="E96" i="240"/>
  <c r="D97" i="240" l="1"/>
  <c r="C98" i="240"/>
  <c r="E97" i="240"/>
  <c r="I97" i="240"/>
  <c r="H97" i="240"/>
  <c r="G97" i="240"/>
  <c r="F97" i="240"/>
  <c r="E98" i="240" l="1"/>
  <c r="D98" i="240"/>
  <c r="F98" i="240"/>
  <c r="C99" i="240"/>
  <c r="I98" i="240"/>
  <c r="H98" i="240"/>
  <c r="G98" i="240"/>
  <c r="F99" i="240" l="1"/>
  <c r="E99" i="240"/>
  <c r="D99" i="240"/>
  <c r="G99" i="240"/>
  <c r="C100" i="240"/>
  <c r="I99" i="240"/>
  <c r="H99" i="240"/>
  <c r="G100" i="240" l="1"/>
  <c r="F100" i="240"/>
  <c r="H100" i="240"/>
  <c r="E100" i="240"/>
  <c r="D100" i="240"/>
  <c r="C101" i="240"/>
  <c r="I100" i="240"/>
  <c r="H101" i="240" l="1"/>
  <c r="G101" i="240"/>
  <c r="F101" i="240"/>
  <c r="I101" i="240"/>
  <c r="E101" i="240"/>
  <c r="D101" i="240"/>
  <c r="C102" i="240"/>
  <c r="I102" i="240" l="1"/>
  <c r="H102" i="240"/>
  <c r="C103" i="240"/>
  <c r="G102" i="240"/>
  <c r="F102" i="240"/>
  <c r="E102" i="240"/>
  <c r="D102" i="240"/>
  <c r="C104" i="240" l="1"/>
  <c r="I103" i="240"/>
  <c r="H103" i="240"/>
  <c r="G103" i="240"/>
  <c r="F103" i="240"/>
  <c r="E103" i="240"/>
  <c r="D103" i="240"/>
  <c r="C105" i="240" l="1"/>
  <c r="I104" i="240"/>
  <c r="D104" i="240"/>
  <c r="H104" i="240"/>
  <c r="G104" i="240"/>
  <c r="F104" i="240"/>
  <c r="E104" i="240"/>
  <c r="D105" i="240" l="1"/>
  <c r="E105" i="240"/>
  <c r="C106" i="240"/>
  <c r="I105" i="240"/>
  <c r="H105" i="240"/>
  <c r="G105" i="240"/>
  <c r="F105" i="240"/>
  <c r="E106" i="240" l="1"/>
  <c r="D106" i="240"/>
  <c r="F106" i="240"/>
  <c r="C107" i="240"/>
  <c r="I106" i="240"/>
  <c r="H106" i="240"/>
  <c r="G106" i="240"/>
  <c r="F107" i="240" l="1"/>
  <c r="E107" i="240"/>
  <c r="G107" i="240"/>
  <c r="D107" i="240"/>
  <c r="C108" i="240"/>
  <c r="I107" i="240"/>
  <c r="H107" i="240"/>
  <c r="G108" i="240" l="1"/>
  <c r="F108" i="240"/>
  <c r="E108" i="240"/>
  <c r="H108" i="240"/>
  <c r="D108" i="240"/>
  <c r="C109" i="240"/>
  <c r="I108" i="240"/>
  <c r="H109" i="240" l="1"/>
  <c r="G109" i="240"/>
  <c r="I109" i="240"/>
  <c r="F109" i="240"/>
  <c r="E109" i="240"/>
  <c r="D109" i="240"/>
  <c r="C110" i="240"/>
  <c r="I110" i="240" l="1"/>
  <c r="H110" i="240"/>
  <c r="G110" i="240"/>
  <c r="C111" i="240"/>
  <c r="F110" i="240"/>
  <c r="E110" i="240"/>
  <c r="D110" i="240"/>
  <c r="C112" i="240" l="1"/>
  <c r="I111" i="240"/>
  <c r="H111" i="240"/>
  <c r="G111" i="240"/>
  <c r="F111" i="240"/>
  <c r="E111" i="240"/>
  <c r="D111" i="240"/>
  <c r="C113" i="240" l="1"/>
  <c r="D112" i="240"/>
  <c r="I112" i="240"/>
  <c r="H112" i="240"/>
  <c r="G112" i="240"/>
  <c r="F112" i="240"/>
  <c r="E112" i="240"/>
  <c r="D113" i="240" l="1"/>
  <c r="C114" i="240"/>
  <c r="E113" i="240"/>
  <c r="I113" i="240"/>
  <c r="H113" i="240"/>
  <c r="G113" i="240"/>
  <c r="F113" i="240"/>
  <c r="E114" i="240" l="1"/>
  <c r="D114" i="240"/>
  <c r="F114" i="240"/>
  <c r="C115" i="240"/>
  <c r="I114" i="240"/>
  <c r="H114" i="240"/>
  <c r="G114" i="240"/>
  <c r="F115" i="240" l="1"/>
  <c r="E115" i="240"/>
  <c r="G115" i="240"/>
  <c r="D115" i="240"/>
  <c r="C116" i="240"/>
  <c r="I115" i="240"/>
  <c r="H115" i="240"/>
  <c r="G116" i="240" l="1"/>
  <c r="F116" i="240"/>
  <c r="E116" i="240"/>
  <c r="H116" i="240"/>
  <c r="D116" i="240"/>
  <c r="C117" i="240"/>
  <c r="I116" i="240"/>
  <c r="H117" i="240" l="1"/>
  <c r="G117" i="240"/>
  <c r="I117" i="240"/>
  <c r="F117" i="240"/>
  <c r="E117" i="240"/>
  <c r="D117" i="240"/>
  <c r="C118" i="240"/>
  <c r="I118" i="240" l="1"/>
  <c r="I119" i="240" s="1"/>
  <c r="I120" i="240" s="1"/>
  <c r="H118" i="240"/>
  <c r="G118" i="240"/>
  <c r="F118" i="240"/>
  <c r="F119" i="240" s="1"/>
  <c r="F120" i="240" s="1"/>
  <c r="E118" i="240"/>
  <c r="E119" i="240" s="1"/>
  <c r="E120" i="240" s="1"/>
  <c r="D118" i="240"/>
  <c r="G119" i="240" l="1"/>
  <c r="G120" i="240" s="1"/>
  <c r="D119" i="240"/>
  <c r="D120" i="240" s="1"/>
  <c r="H119" i="240"/>
  <c r="H120" i="240" s="1"/>
  <c r="AK121" i="313"/>
  <c r="AK135" i="313"/>
  <c r="AH121" i="323"/>
  <c r="AH135" i="323"/>
  <c r="AJ135" i="313"/>
  <c r="AJ121" i="313"/>
  <c r="AA121" i="320"/>
  <c r="AA135" i="320"/>
  <c r="AB121" i="313"/>
  <c r="AF121" i="323"/>
  <c r="AF135" i="323"/>
  <c r="AI121" i="317"/>
  <c r="AI135" i="317"/>
  <c r="AB135" i="326"/>
  <c r="AB121" i="326"/>
  <c r="AE135" i="326"/>
  <c r="AD135" i="323"/>
  <c r="AF121" i="329"/>
  <c r="AF135" i="329"/>
  <c r="Y121" i="329"/>
  <c r="AI121" i="320"/>
  <c r="AI135" i="320"/>
  <c r="AG135" i="317"/>
  <c r="AG121" i="317"/>
  <c r="AC135" i="323"/>
  <c r="Y135" i="323"/>
  <c r="Y121" i="323"/>
  <c r="AD121" i="313"/>
  <c r="AG121" i="313"/>
  <c r="AI121" i="323"/>
  <c r="AI135" i="323"/>
  <c r="Y121" i="317"/>
  <c r="Y135" i="317"/>
  <c r="AD121" i="329"/>
  <c r="AG121" i="326"/>
  <c r="AG135" i="326"/>
  <c r="AH135" i="317"/>
  <c r="AC121" i="317"/>
  <c r="AC135" i="317"/>
  <c r="Z121" i="329"/>
  <c r="Z135" i="329"/>
  <c r="AC135" i="326"/>
  <c r="AG121" i="329"/>
  <c r="Z135" i="326"/>
  <c r="Y121" i="313"/>
  <c r="Y135" i="313"/>
  <c r="AF121" i="313"/>
  <c r="AE135" i="323"/>
  <c r="Z135" i="323"/>
  <c r="AI121" i="326"/>
  <c r="AI135" i="326"/>
  <c r="Z121" i="317"/>
  <c r="Z135" i="317"/>
  <c r="AB121" i="320"/>
  <c r="AB135" i="320"/>
  <c r="AC135" i="320"/>
  <c r="Z121" i="320"/>
  <c r="Z135" i="320"/>
  <c r="AE121" i="313"/>
  <c r="AJ135" i="323"/>
  <c r="AJ121" i="323"/>
  <c r="AJ121" i="320"/>
  <c r="AJ135" i="320"/>
  <c r="AF121" i="326"/>
  <c r="AF135" i="326"/>
  <c r="AD135" i="320"/>
  <c r="AD121" i="320"/>
  <c r="AA121" i="313"/>
  <c r="AA135" i="313"/>
  <c r="AF121" i="320"/>
  <c r="AF135" i="320"/>
  <c r="AB135" i="317"/>
  <c r="Y121" i="320"/>
  <c r="Y135" i="320"/>
  <c r="Z121" i="313"/>
  <c r="AH135" i="320"/>
  <c r="AA135" i="326"/>
  <c r="AB135" i="323"/>
  <c r="AG135" i="320"/>
  <c r="AH135" i="326"/>
  <c r="AH121" i="326"/>
  <c r="Y135" i="326"/>
  <c r="Y121" i="326"/>
  <c r="AC121" i="329"/>
  <c r="AC135" i="329"/>
  <c r="AI121" i="329"/>
  <c r="AI135" i="329"/>
  <c r="AC135" i="313"/>
  <c r="AE135" i="320"/>
  <c r="AE121" i="320"/>
  <c r="AG122" i="317"/>
  <c r="AJ121" i="329"/>
  <c r="AJ135" i="329"/>
  <c r="AA121" i="323"/>
  <c r="AA135" i="323"/>
  <c r="AE121" i="329"/>
  <c r="AA121" i="317"/>
  <c r="AA135" i="317"/>
  <c r="AH121" i="313"/>
  <c r="AE121" i="317"/>
  <c r="AE135" i="317"/>
  <c r="AA121" i="329"/>
  <c r="AJ121" i="326"/>
  <c r="AJ135" i="326"/>
  <c r="AH121" i="329"/>
  <c r="AF121" i="317"/>
  <c r="AF135" i="317"/>
  <c r="AG135" i="323"/>
  <c r="AJ121" i="317"/>
  <c r="AJ135" i="317"/>
  <c r="AB121" i="329"/>
  <c r="AB135" i="329"/>
  <c r="AI121" i="313"/>
  <c r="AI135" i="313"/>
  <c r="AD135" i="317"/>
  <c r="AD135" i="326"/>
  <c r="H34" i="234"/>
  <c r="G34" i="234"/>
  <c r="F34" i="234"/>
  <c r="E34" i="234"/>
  <c r="D34" i="234"/>
  <c r="H33" i="234"/>
  <c r="G33" i="234"/>
  <c r="F33" i="234"/>
  <c r="E33" i="234"/>
  <c r="D33" i="234"/>
  <c r="H32" i="234"/>
  <c r="G32" i="234"/>
  <c r="F32" i="234"/>
  <c r="E32" i="234"/>
  <c r="D32" i="234"/>
  <c r="C34" i="234"/>
  <c r="C33" i="234"/>
  <c r="H34" i="236"/>
  <c r="G34" i="236"/>
  <c r="F34" i="236"/>
  <c r="E34" i="236"/>
  <c r="D34" i="236"/>
  <c r="C34" i="236"/>
  <c r="H33" i="236"/>
  <c r="G33" i="236"/>
  <c r="F33" i="236"/>
  <c r="E33" i="236"/>
  <c r="C33" i="236"/>
  <c r="H32" i="236"/>
  <c r="G32" i="236"/>
  <c r="F32" i="236"/>
  <c r="E32" i="236"/>
  <c r="D32" i="236"/>
  <c r="AI136" i="320" l="1"/>
  <c r="AI122" i="317"/>
  <c r="AI136" i="323"/>
  <c r="AF136" i="326"/>
  <c r="AG136" i="317"/>
  <c r="AG145" i="317" s="1"/>
  <c r="AD136" i="320"/>
  <c r="AI122" i="320"/>
  <c r="AI122" i="323"/>
  <c r="AI145" i="323" s="1"/>
  <c r="AF122" i="326"/>
  <c r="AJ122" i="329"/>
  <c r="AJ122" i="313"/>
  <c r="AI136" i="329"/>
  <c r="AJ136" i="320"/>
  <c r="AJ136" i="326"/>
  <c r="AJ136" i="317"/>
  <c r="AE122" i="313"/>
  <c r="AF136" i="320"/>
  <c r="AE122" i="317"/>
  <c r="AE136" i="323"/>
  <c r="AD122" i="329"/>
  <c r="AJ122" i="326"/>
  <c r="AF122" i="320"/>
  <c r="AJ136" i="323"/>
  <c r="AJ122" i="317"/>
  <c r="AJ122" i="320"/>
  <c r="AE136" i="317"/>
  <c r="D52" i="236"/>
  <c r="D56" i="236"/>
  <c r="D60" i="236"/>
  <c r="D53" i="236"/>
  <c r="D57" i="236"/>
  <c r="D54" i="236"/>
  <c r="D58" i="236"/>
  <c r="D51" i="236"/>
  <c r="D55" i="236"/>
  <c r="D59" i="236"/>
  <c r="D42" i="236"/>
  <c r="D48" i="236"/>
  <c r="D49" i="236"/>
  <c r="D44" i="236"/>
  <c r="D47" i="236"/>
  <c r="D45" i="236"/>
  <c r="D50" i="236"/>
  <c r="D43" i="236"/>
  <c r="D46" i="236"/>
  <c r="D41" i="236"/>
  <c r="E37" i="234"/>
  <c r="E38" i="234"/>
  <c r="E40" i="234"/>
  <c r="E39" i="234"/>
  <c r="E37" i="236"/>
  <c r="E38" i="236"/>
  <c r="E39" i="236"/>
  <c r="E40" i="236"/>
  <c r="C43" i="236"/>
  <c r="C47" i="236"/>
  <c r="C50" i="236"/>
  <c r="C44" i="236"/>
  <c r="C48" i="236"/>
  <c r="C41" i="236"/>
  <c r="C45" i="236"/>
  <c r="C49" i="236"/>
  <c r="C42" i="236"/>
  <c r="C46" i="236"/>
  <c r="C37" i="236"/>
  <c r="C38" i="236"/>
  <c r="C40" i="236"/>
  <c r="C39" i="236"/>
  <c r="H43" i="236"/>
  <c r="H47" i="236"/>
  <c r="H44" i="236"/>
  <c r="H48" i="236"/>
  <c r="H41" i="236"/>
  <c r="H45" i="236"/>
  <c r="H49" i="236"/>
  <c r="H42" i="236"/>
  <c r="H46" i="236"/>
  <c r="H50" i="236"/>
  <c r="F54" i="236"/>
  <c r="F58" i="236"/>
  <c r="F51" i="236"/>
  <c r="F55" i="236"/>
  <c r="F59" i="236"/>
  <c r="F52" i="236"/>
  <c r="F56" i="236"/>
  <c r="F60" i="236"/>
  <c r="F53" i="236"/>
  <c r="F57" i="236"/>
  <c r="C51" i="234"/>
  <c r="C53" i="234"/>
  <c r="C55" i="234"/>
  <c r="C57" i="234"/>
  <c r="C59" i="234"/>
  <c r="C52" i="234"/>
  <c r="C54" i="234"/>
  <c r="C56" i="234"/>
  <c r="C58" i="234"/>
  <c r="C60" i="234"/>
  <c r="G37" i="234"/>
  <c r="G39" i="234"/>
  <c r="G38" i="234"/>
  <c r="G40" i="234"/>
  <c r="F41" i="234"/>
  <c r="F43" i="234"/>
  <c r="F45" i="234"/>
  <c r="F47" i="234"/>
  <c r="F49" i="234"/>
  <c r="F42" i="234"/>
  <c r="F44" i="234"/>
  <c r="F46" i="234"/>
  <c r="F48" i="234"/>
  <c r="F50" i="234"/>
  <c r="E52" i="234"/>
  <c r="E54" i="234"/>
  <c r="E56" i="234"/>
  <c r="E58" i="234"/>
  <c r="E60" i="234"/>
  <c r="E51" i="234"/>
  <c r="E53" i="234"/>
  <c r="E55" i="234"/>
  <c r="E57" i="234"/>
  <c r="E59" i="234"/>
  <c r="AD121" i="326"/>
  <c r="AD122" i="326"/>
  <c r="AK135" i="326"/>
  <c r="AK121" i="326"/>
  <c r="AG121" i="323"/>
  <c r="AG122" i="323"/>
  <c r="AE135" i="329"/>
  <c r="AE136" i="329"/>
  <c r="Y136" i="313"/>
  <c r="AB136" i="326"/>
  <c r="AA122" i="329"/>
  <c r="AD136" i="317"/>
  <c r="AI122" i="313"/>
  <c r="Z136" i="317"/>
  <c r="AF136" i="323"/>
  <c r="AF122" i="317"/>
  <c r="AF135" i="313"/>
  <c r="AF136" i="313"/>
  <c r="Y136" i="317"/>
  <c r="AA136" i="317"/>
  <c r="Y136" i="323"/>
  <c r="AB122" i="313"/>
  <c r="AH122" i="329"/>
  <c r="AH136" i="317"/>
  <c r="AD121" i="323"/>
  <c r="AD122" i="323"/>
  <c r="AA122" i="313"/>
  <c r="AH122" i="323"/>
  <c r="AI136" i="313"/>
  <c r="F40" i="236"/>
  <c r="F38" i="236"/>
  <c r="F37" i="236"/>
  <c r="F39" i="236"/>
  <c r="E41" i="236"/>
  <c r="E45" i="236"/>
  <c r="E49" i="236"/>
  <c r="E42" i="236"/>
  <c r="E46" i="236"/>
  <c r="E43" i="236"/>
  <c r="E47" i="236"/>
  <c r="E50" i="236"/>
  <c r="E44" i="236"/>
  <c r="E48" i="236"/>
  <c r="C53" i="236"/>
  <c r="C57" i="236"/>
  <c r="C54" i="236"/>
  <c r="C58" i="236"/>
  <c r="C51" i="236"/>
  <c r="C55" i="236"/>
  <c r="C59" i="236"/>
  <c r="C52" i="236"/>
  <c r="C56" i="236"/>
  <c r="C60" i="236"/>
  <c r="G53" i="236"/>
  <c r="G57" i="236"/>
  <c r="G54" i="236"/>
  <c r="G58" i="236"/>
  <c r="G51" i="236"/>
  <c r="G55" i="236"/>
  <c r="G59" i="236"/>
  <c r="G52" i="236"/>
  <c r="G56" i="236"/>
  <c r="G60" i="236"/>
  <c r="D38" i="234"/>
  <c r="D40" i="234"/>
  <c r="D39" i="234"/>
  <c r="D37" i="234"/>
  <c r="H38" i="234"/>
  <c r="H40" i="234"/>
  <c r="H39" i="234"/>
  <c r="H37" i="234"/>
  <c r="G41" i="234"/>
  <c r="G43" i="234"/>
  <c r="G45" i="234"/>
  <c r="G47" i="234"/>
  <c r="G49" i="234"/>
  <c r="G42" i="234"/>
  <c r="G44" i="234"/>
  <c r="G46" i="234"/>
  <c r="G48" i="234"/>
  <c r="G50" i="234"/>
  <c r="F51" i="234"/>
  <c r="F53" i="234"/>
  <c r="F55" i="234"/>
  <c r="F57" i="234"/>
  <c r="F59" i="234"/>
  <c r="F52" i="234"/>
  <c r="F54" i="234"/>
  <c r="F56" i="234"/>
  <c r="F58" i="234"/>
  <c r="F60" i="234"/>
  <c r="AK121" i="317"/>
  <c r="AK135" i="317"/>
  <c r="AA135" i="329"/>
  <c r="AA136" i="329"/>
  <c r="AH135" i="313"/>
  <c r="AH136" i="313"/>
  <c r="AB122" i="326"/>
  <c r="AA136" i="323"/>
  <c r="AH122" i="313"/>
  <c r="AE136" i="320"/>
  <c r="AC121" i="313"/>
  <c r="AC122" i="313"/>
  <c r="AG121" i="320"/>
  <c r="AG122" i="320"/>
  <c r="AB121" i="323"/>
  <c r="AB122" i="323"/>
  <c r="AH121" i="320"/>
  <c r="AH122" i="320"/>
  <c r="AE135" i="313"/>
  <c r="AE136" i="313"/>
  <c r="AC121" i="320"/>
  <c r="AC122" i="320"/>
  <c r="Z136" i="323"/>
  <c r="AB136" i="329"/>
  <c r="AA122" i="320"/>
  <c r="AB136" i="320"/>
  <c r="AF122" i="323"/>
  <c r="AF145" i="323" s="1"/>
  <c r="Z121" i="326"/>
  <c r="Z122" i="326"/>
  <c r="Y122" i="329"/>
  <c r="AH122" i="326"/>
  <c r="AC136" i="317"/>
  <c r="AC136" i="320"/>
  <c r="AD136" i="326"/>
  <c r="AD135" i="313"/>
  <c r="AD136" i="313"/>
  <c r="AE121" i="326"/>
  <c r="AE122" i="326"/>
  <c r="AK121" i="323"/>
  <c r="AK135" i="323"/>
  <c r="Z122" i="329"/>
  <c r="Z136" i="326"/>
  <c r="AC136" i="326"/>
  <c r="AC136" i="329"/>
  <c r="AG136" i="323"/>
  <c r="F50" i="236"/>
  <c r="F44" i="236"/>
  <c r="F48" i="236"/>
  <c r="F41" i="236"/>
  <c r="F45" i="236"/>
  <c r="F49" i="236"/>
  <c r="F42" i="236"/>
  <c r="F46" i="236"/>
  <c r="F43" i="236"/>
  <c r="F47" i="236"/>
  <c r="D42" i="234"/>
  <c r="D44" i="234"/>
  <c r="D46" i="234"/>
  <c r="D48" i="234"/>
  <c r="D50" i="234"/>
  <c r="D41" i="234"/>
  <c r="D43" i="234"/>
  <c r="D45" i="234"/>
  <c r="D47" i="234"/>
  <c r="D49" i="234"/>
  <c r="AD121" i="317"/>
  <c r="AD122" i="317"/>
  <c r="AH135" i="329"/>
  <c r="AH136" i="329"/>
  <c r="Y122" i="313"/>
  <c r="Y136" i="326"/>
  <c r="AE136" i="326"/>
  <c r="AF122" i="313"/>
  <c r="AE122" i="320"/>
  <c r="AK121" i="320"/>
  <c r="AK135" i="320"/>
  <c r="AA121" i="326"/>
  <c r="AA122" i="326"/>
  <c r="AB121" i="317"/>
  <c r="AB122" i="317"/>
  <c r="Y136" i="320"/>
  <c r="Z122" i="320"/>
  <c r="AB122" i="329"/>
  <c r="Z122" i="317"/>
  <c r="AB122" i="320"/>
  <c r="AG136" i="320"/>
  <c r="AF136" i="329"/>
  <c r="AF136" i="317"/>
  <c r="Z121" i="323"/>
  <c r="Z122" i="323"/>
  <c r="AK121" i="329"/>
  <c r="AK135" i="329"/>
  <c r="AA122" i="317"/>
  <c r="AA145" i="317" s="1"/>
  <c r="AB136" i="323"/>
  <c r="AH136" i="320"/>
  <c r="AI122" i="326"/>
  <c r="AG122" i="329"/>
  <c r="AD135" i="329"/>
  <c r="AD136" i="329"/>
  <c r="AC121" i="323"/>
  <c r="AC122" i="323"/>
  <c r="Z122" i="313"/>
  <c r="AA136" i="313"/>
  <c r="AC122" i="329"/>
  <c r="AG122" i="326"/>
  <c r="AD122" i="313"/>
  <c r="G39" i="236"/>
  <c r="G37" i="236"/>
  <c r="G40" i="236"/>
  <c r="G38" i="236"/>
  <c r="H51" i="236"/>
  <c r="H55" i="236"/>
  <c r="H59" i="236"/>
  <c r="H52" i="236"/>
  <c r="H56" i="236"/>
  <c r="H60" i="236"/>
  <c r="H53" i="236"/>
  <c r="H57" i="236"/>
  <c r="H54" i="236"/>
  <c r="H58" i="236"/>
  <c r="H42" i="234"/>
  <c r="H44" i="234"/>
  <c r="H46" i="234"/>
  <c r="H48" i="234"/>
  <c r="H50" i="234"/>
  <c r="H41" i="234"/>
  <c r="H43" i="234"/>
  <c r="H45" i="234"/>
  <c r="H47" i="234"/>
  <c r="H49" i="234"/>
  <c r="G51" i="234"/>
  <c r="G53" i="234"/>
  <c r="G55" i="234"/>
  <c r="G57" i="234"/>
  <c r="G59" i="234"/>
  <c r="G52" i="234"/>
  <c r="G54" i="234"/>
  <c r="G56" i="234"/>
  <c r="G58" i="234"/>
  <c r="G60" i="234"/>
  <c r="D38" i="236"/>
  <c r="D39" i="236"/>
  <c r="D40" i="236"/>
  <c r="D37" i="236"/>
  <c r="H39" i="236"/>
  <c r="H40" i="236"/>
  <c r="H37" i="236"/>
  <c r="H38" i="236"/>
  <c r="G43" i="236"/>
  <c r="G47" i="236"/>
  <c r="G50" i="236"/>
  <c r="G44" i="236"/>
  <c r="G48" i="236"/>
  <c r="G41" i="236"/>
  <c r="G45" i="236"/>
  <c r="G49" i="236"/>
  <c r="G42" i="236"/>
  <c r="G46" i="236"/>
  <c r="E51" i="236"/>
  <c r="E55" i="236"/>
  <c r="E59" i="236"/>
  <c r="E52" i="236"/>
  <c r="E56" i="236"/>
  <c r="E60" i="236"/>
  <c r="E53" i="236"/>
  <c r="E57" i="236"/>
  <c r="E54" i="236"/>
  <c r="E58" i="236"/>
  <c r="C41" i="234"/>
  <c r="C43" i="234"/>
  <c r="C45" i="234"/>
  <c r="C47" i="234"/>
  <c r="C49" i="234"/>
  <c r="C42" i="234"/>
  <c r="C44" i="234"/>
  <c r="C46" i="234"/>
  <c r="C48" i="234"/>
  <c r="C50" i="234"/>
  <c r="C37" i="234"/>
  <c r="C39" i="234"/>
  <c r="C38" i="234"/>
  <c r="C40" i="234"/>
  <c r="F39" i="234"/>
  <c r="F38" i="234"/>
  <c r="F40" i="234"/>
  <c r="F37" i="234"/>
  <c r="E42" i="234"/>
  <c r="E44" i="234"/>
  <c r="E46" i="234"/>
  <c r="E48" i="234"/>
  <c r="E50" i="234"/>
  <c r="E41" i="234"/>
  <c r="E43" i="234"/>
  <c r="E45" i="234"/>
  <c r="E47" i="234"/>
  <c r="E49" i="234"/>
  <c r="D52" i="234"/>
  <c r="D54" i="234"/>
  <c r="D56" i="234"/>
  <c r="D58" i="234"/>
  <c r="D60" i="234"/>
  <c r="D51" i="234"/>
  <c r="D53" i="234"/>
  <c r="D55" i="234"/>
  <c r="D57" i="234"/>
  <c r="D59" i="234"/>
  <c r="H52" i="234"/>
  <c r="H54" i="234"/>
  <c r="H56" i="234"/>
  <c r="H58" i="234"/>
  <c r="H60" i="234"/>
  <c r="H51" i="234"/>
  <c r="H53" i="234"/>
  <c r="H55" i="234"/>
  <c r="H57" i="234"/>
  <c r="H59" i="234"/>
  <c r="Y122" i="326"/>
  <c r="AA122" i="323"/>
  <c r="AD122" i="320"/>
  <c r="Z135" i="313"/>
  <c r="Z136" i="313"/>
  <c r="Y122" i="320"/>
  <c r="Z136" i="320"/>
  <c r="AC136" i="313"/>
  <c r="AB136" i="317"/>
  <c r="AI122" i="329"/>
  <c r="AA136" i="320"/>
  <c r="AF122" i="329"/>
  <c r="AE121" i="323"/>
  <c r="AE122" i="323"/>
  <c r="AG135" i="329"/>
  <c r="AG136" i="329"/>
  <c r="AC121" i="326"/>
  <c r="AC122" i="326"/>
  <c r="AH121" i="317"/>
  <c r="AH122" i="317"/>
  <c r="Y122" i="317"/>
  <c r="Y122" i="323"/>
  <c r="AH136" i="326"/>
  <c r="AC122" i="317"/>
  <c r="AI136" i="326"/>
  <c r="AA136" i="326"/>
  <c r="AG122" i="313"/>
  <c r="AD136" i="323"/>
  <c r="AE122" i="329"/>
  <c r="AG135" i="313"/>
  <c r="AG136" i="313"/>
  <c r="Y135" i="329"/>
  <c r="Y136" i="329"/>
  <c r="AB135" i="313"/>
  <c r="AB136" i="313"/>
  <c r="Z136" i="329"/>
  <c r="AC136" i="323"/>
  <c r="AH136" i="323"/>
  <c r="AG136" i="326"/>
  <c r="AI136" i="317"/>
  <c r="AI145" i="317" s="1"/>
  <c r="AJ136" i="329"/>
  <c r="AJ122" i="323"/>
  <c r="AJ136" i="313"/>
  <c r="AI145" i="320" l="1"/>
  <c r="AC145" i="326"/>
  <c r="AF145" i="326"/>
  <c r="AK122" i="313"/>
  <c r="AJ145" i="320"/>
  <c r="AD145" i="317"/>
  <c r="AD145" i="320"/>
  <c r="AK122" i="329"/>
  <c r="AE145" i="317"/>
  <c r="AD145" i="329"/>
  <c r="AE145" i="313"/>
  <c r="AJ145" i="329"/>
  <c r="AI145" i="329"/>
  <c r="AJ145" i="313"/>
  <c r="AJ145" i="326"/>
  <c r="AJ145" i="317"/>
  <c r="AG145" i="313"/>
  <c r="AK136" i="317"/>
  <c r="AF145" i="320"/>
  <c r="Y145" i="329"/>
  <c r="Z145" i="313"/>
  <c r="AE145" i="323"/>
  <c r="AK122" i="326"/>
  <c r="Y145" i="317"/>
  <c r="AA145" i="323"/>
  <c r="AB145" i="329"/>
  <c r="AC145" i="329"/>
  <c r="AK136" i="320"/>
  <c r="AK122" i="323"/>
  <c r="AC145" i="317"/>
  <c r="AH145" i="317"/>
  <c r="Y145" i="320"/>
  <c r="Y145" i="313"/>
  <c r="AH145" i="329"/>
  <c r="AJ145" i="323"/>
  <c r="AB145" i="326"/>
  <c r="AK136" i="326"/>
  <c r="AK136" i="323"/>
  <c r="AB145" i="313"/>
  <c r="Z145" i="323"/>
  <c r="AB145" i="320"/>
  <c r="AA145" i="329"/>
  <c r="Y145" i="326"/>
  <c r="AE145" i="320"/>
  <c r="Y145" i="323"/>
  <c r="AF145" i="329"/>
  <c r="Z145" i="317"/>
  <c r="AG145" i="329"/>
  <c r="AH145" i="313"/>
  <c r="C388" i="261"/>
  <c r="C380" i="261"/>
  <c r="C383" i="261"/>
  <c r="F369" i="261"/>
  <c r="F379" i="261"/>
  <c r="F371" i="261"/>
  <c r="F372" i="261"/>
  <c r="D385" i="261"/>
  <c r="D386" i="261"/>
  <c r="Z145" i="320"/>
  <c r="C372" i="261"/>
  <c r="C375" i="261"/>
  <c r="AE145" i="326"/>
  <c r="E389" i="261"/>
  <c r="E381" i="261"/>
  <c r="E382" i="261"/>
  <c r="D375" i="261"/>
  <c r="D376" i="261"/>
  <c r="AA145" i="313"/>
  <c r="AF145" i="317"/>
  <c r="E375" i="261"/>
  <c r="E376" i="261"/>
  <c r="D369" i="261"/>
  <c r="F389" i="261"/>
  <c r="F381" i="261"/>
  <c r="F382" i="261"/>
  <c r="C386" i="261"/>
  <c r="C389" i="261"/>
  <c r="C381" i="261"/>
  <c r="E369" i="261"/>
  <c r="F377" i="261"/>
  <c r="F378" i="261"/>
  <c r="F370" i="261"/>
  <c r="D383" i="261"/>
  <c r="D384" i="261"/>
  <c r="AG145" i="326"/>
  <c r="AC145" i="323"/>
  <c r="C378" i="261"/>
  <c r="C370" i="261"/>
  <c r="C373" i="261"/>
  <c r="Z145" i="329"/>
  <c r="AC145" i="320"/>
  <c r="AH145" i="320"/>
  <c r="AG145" i="320"/>
  <c r="E387" i="261"/>
  <c r="E388" i="261"/>
  <c r="E380" i="261"/>
  <c r="D373" i="261"/>
  <c r="D374" i="261"/>
  <c r="AD145" i="323"/>
  <c r="AE145" i="329"/>
  <c r="AG145" i="323"/>
  <c r="E373" i="261"/>
  <c r="E374" i="261"/>
  <c r="F387" i="261"/>
  <c r="F388" i="261"/>
  <c r="F380" i="261"/>
  <c r="C384" i="261"/>
  <c r="C387" i="261"/>
  <c r="F375" i="261"/>
  <c r="F376" i="261"/>
  <c r="D389" i="261"/>
  <c r="D381" i="261"/>
  <c r="D382" i="261"/>
  <c r="AI145" i="326"/>
  <c r="AB145" i="317"/>
  <c r="C376" i="261"/>
  <c r="C379" i="261"/>
  <c r="C371" i="261"/>
  <c r="AD145" i="313"/>
  <c r="Z145" i="326"/>
  <c r="AA145" i="320"/>
  <c r="AC145" i="313"/>
  <c r="E385" i="261"/>
  <c r="E386" i="261"/>
  <c r="D379" i="261"/>
  <c r="D371" i="261"/>
  <c r="D372" i="261"/>
  <c r="AF145" i="313"/>
  <c r="AD145" i="326"/>
  <c r="E379" i="261"/>
  <c r="E371" i="261"/>
  <c r="E372" i="261"/>
  <c r="F385" i="261"/>
  <c r="F386" i="261"/>
  <c r="C382" i="261"/>
  <c r="C385" i="261"/>
  <c r="F373" i="261"/>
  <c r="F374" i="261"/>
  <c r="D387" i="261"/>
  <c r="D388" i="261"/>
  <c r="D380" i="261"/>
  <c r="AA145" i="326"/>
  <c r="C374" i="261"/>
  <c r="C377" i="261"/>
  <c r="AH145" i="326"/>
  <c r="AB145" i="323"/>
  <c r="E383" i="261"/>
  <c r="E384" i="261"/>
  <c r="D377" i="261"/>
  <c r="D378" i="261"/>
  <c r="D370" i="261"/>
  <c r="AH145" i="323"/>
  <c r="AI145" i="313"/>
  <c r="E377" i="261"/>
  <c r="E378" i="261"/>
  <c r="E370" i="261"/>
  <c r="F383" i="261"/>
  <c r="F384" i="261"/>
  <c r="AK122" i="320"/>
  <c r="AK136" i="329"/>
  <c r="AK122" i="317"/>
  <c r="AK136" i="313"/>
  <c r="AK145" i="313" l="1"/>
  <c r="AK145" i="329"/>
  <c r="AK145" i="317"/>
  <c r="AK145" i="323"/>
  <c r="AK145" i="326"/>
  <c r="AK145" i="320"/>
  <c r="S121" i="317"/>
  <c r="S135" i="317"/>
  <c r="R121" i="313"/>
  <c r="R135" i="320"/>
  <c r="I121" i="313"/>
  <c r="I135" i="320"/>
  <c r="I121" i="320"/>
  <c r="H121" i="317"/>
  <c r="U121" i="329"/>
  <c r="U135" i="323"/>
  <c r="T135" i="317"/>
  <c r="K135" i="317"/>
  <c r="K121" i="317"/>
  <c r="K135" i="320"/>
  <c r="J121" i="329"/>
  <c r="O135" i="326"/>
  <c r="O135" i="323"/>
  <c r="W121" i="317"/>
  <c r="W135" i="317"/>
  <c r="W121" i="329"/>
  <c r="V135" i="317"/>
  <c r="E121" i="313"/>
  <c r="M121" i="313"/>
  <c r="M121" i="317"/>
  <c r="M135" i="317"/>
  <c r="L135" i="326"/>
  <c r="L135" i="320"/>
  <c r="Q121" i="329"/>
  <c r="Q121" i="323"/>
  <c r="Q135" i="323"/>
  <c r="P121" i="313"/>
  <c r="P135" i="323"/>
  <c r="X135" i="323"/>
  <c r="G135" i="326"/>
  <c r="G121" i="326"/>
  <c r="G135" i="320"/>
  <c r="G121" i="320"/>
  <c r="F121" i="329"/>
  <c r="F135" i="329"/>
  <c r="F121" i="313"/>
  <c r="N121" i="320"/>
  <c r="N135" i="320"/>
  <c r="D121" i="329"/>
  <c r="S135" i="320"/>
  <c r="S135" i="326"/>
  <c r="S121" i="326"/>
  <c r="R135" i="326"/>
  <c r="R135" i="317"/>
  <c r="I135" i="317"/>
  <c r="H121" i="326"/>
  <c r="H135" i="326"/>
  <c r="U135" i="317"/>
  <c r="T121" i="313"/>
  <c r="K135" i="323"/>
  <c r="J121" i="313"/>
  <c r="O121" i="313"/>
  <c r="O121" i="329"/>
  <c r="W135" i="313"/>
  <c r="W121" i="313"/>
  <c r="V135" i="320"/>
  <c r="E121" i="329"/>
  <c r="E135" i="326"/>
  <c r="M121" i="320"/>
  <c r="M135" i="320"/>
  <c r="M135" i="323"/>
  <c r="L121" i="329"/>
  <c r="Q121" i="313"/>
  <c r="Q135" i="320"/>
  <c r="P121" i="320"/>
  <c r="P135" i="320"/>
  <c r="X121" i="317"/>
  <c r="X135" i="317"/>
  <c r="G121" i="317"/>
  <c r="G135" i="317"/>
  <c r="G121" i="329"/>
  <c r="F135" i="326"/>
  <c r="N135" i="326"/>
  <c r="D135" i="326"/>
  <c r="D121" i="326"/>
  <c r="S121" i="313"/>
  <c r="S135" i="323"/>
  <c r="R121" i="329"/>
  <c r="R135" i="329"/>
  <c r="I135" i="323"/>
  <c r="H135" i="323"/>
  <c r="H121" i="313"/>
  <c r="U121" i="326"/>
  <c r="U135" i="326"/>
  <c r="T135" i="326"/>
  <c r="T135" i="320"/>
  <c r="K121" i="326"/>
  <c r="K135" i="326"/>
  <c r="J135" i="320"/>
  <c r="J121" i="323"/>
  <c r="J135" i="323"/>
  <c r="O135" i="320"/>
  <c r="W121" i="323"/>
  <c r="W135" i="323"/>
  <c r="V121" i="329"/>
  <c r="V121" i="326"/>
  <c r="V135" i="326"/>
  <c r="E135" i="317"/>
  <c r="E135" i="323"/>
  <c r="M121" i="329"/>
  <c r="L135" i="323"/>
  <c r="Q121" i="317"/>
  <c r="Q135" i="317"/>
  <c r="P121" i="329"/>
  <c r="P135" i="329"/>
  <c r="X121" i="320"/>
  <c r="X135" i="320"/>
  <c r="X121" i="326"/>
  <c r="X135" i="326"/>
  <c r="G121" i="313"/>
  <c r="F135" i="320"/>
  <c r="N135" i="313"/>
  <c r="N121" i="313"/>
  <c r="N121" i="329"/>
  <c r="D135" i="313"/>
  <c r="D121" i="313"/>
  <c r="D121" i="323"/>
  <c r="D135" i="323"/>
  <c r="S121" i="329"/>
  <c r="R135" i="323"/>
  <c r="R121" i="323"/>
  <c r="I121" i="326"/>
  <c r="I135" i="326"/>
  <c r="I121" i="329"/>
  <c r="H135" i="320"/>
  <c r="H121" i="329"/>
  <c r="U135" i="320"/>
  <c r="U121" i="313"/>
  <c r="T135" i="323"/>
  <c r="T121" i="329"/>
  <c r="T135" i="329"/>
  <c r="K121" i="329"/>
  <c r="K121" i="313"/>
  <c r="K135" i="313"/>
  <c r="J121" i="326"/>
  <c r="J135" i="326"/>
  <c r="J135" i="317"/>
  <c r="O121" i="317"/>
  <c r="O135" i="317"/>
  <c r="W135" i="320"/>
  <c r="W135" i="326"/>
  <c r="V121" i="313"/>
  <c r="V135" i="323"/>
  <c r="V121" i="323"/>
  <c r="E122" i="313"/>
  <c r="E135" i="320"/>
  <c r="M135" i="326"/>
  <c r="M121" i="326"/>
  <c r="L121" i="313"/>
  <c r="L121" i="317"/>
  <c r="L135" i="317"/>
  <c r="Q135" i="326"/>
  <c r="P135" i="326"/>
  <c r="P121" i="317"/>
  <c r="X121" i="313"/>
  <c r="X121" i="329"/>
  <c r="G135" i="323"/>
  <c r="F135" i="323"/>
  <c r="F135" i="317"/>
  <c r="F121" i="317"/>
  <c r="N135" i="317"/>
  <c r="N121" i="317"/>
  <c r="N135" i="323"/>
  <c r="N121" i="323"/>
  <c r="D135" i="320"/>
  <c r="D121" i="320"/>
  <c r="D135" i="317"/>
  <c r="D121" i="317"/>
  <c r="O122" i="313" l="1"/>
  <c r="R136" i="326"/>
  <c r="N136" i="313"/>
  <c r="N122" i="313"/>
  <c r="G136" i="317"/>
  <c r="S136" i="320"/>
  <c r="P122" i="320"/>
  <c r="F136" i="326"/>
  <c r="F122" i="313"/>
  <c r="R136" i="317"/>
  <c r="P136" i="320"/>
  <c r="J122" i="313"/>
  <c r="X122" i="320"/>
  <c r="V136" i="320"/>
  <c r="W136" i="323"/>
  <c r="G122" i="329"/>
  <c r="I122" i="313"/>
  <c r="W122" i="329"/>
  <c r="G122" i="317"/>
  <c r="W122" i="323"/>
  <c r="H136" i="320"/>
  <c r="D136" i="313"/>
  <c r="M136" i="323"/>
  <c r="D122" i="313"/>
  <c r="N136" i="326"/>
  <c r="X135" i="313"/>
  <c r="X136" i="313"/>
  <c r="P135" i="317"/>
  <c r="P136" i="317"/>
  <c r="P121" i="326"/>
  <c r="P122" i="326"/>
  <c r="X136" i="320"/>
  <c r="V136" i="323"/>
  <c r="K122" i="313"/>
  <c r="D136" i="317"/>
  <c r="Q122" i="313"/>
  <c r="S135" i="329"/>
  <c r="S136" i="329"/>
  <c r="W136" i="326"/>
  <c r="J122" i="326"/>
  <c r="X122" i="326"/>
  <c r="P136" i="326"/>
  <c r="L121" i="323"/>
  <c r="L122" i="323"/>
  <c r="N122" i="320"/>
  <c r="T121" i="326"/>
  <c r="T122" i="326"/>
  <c r="T136" i="323"/>
  <c r="I122" i="320"/>
  <c r="S135" i="313"/>
  <c r="S136" i="313"/>
  <c r="W122" i="317"/>
  <c r="R122" i="323"/>
  <c r="R122" i="329"/>
  <c r="F121" i="326"/>
  <c r="F122" i="326"/>
  <c r="U122" i="313"/>
  <c r="E135" i="329"/>
  <c r="E136" i="329"/>
  <c r="M136" i="326"/>
  <c r="H122" i="317"/>
  <c r="O135" i="313"/>
  <c r="O136" i="313"/>
  <c r="V136" i="317"/>
  <c r="K136" i="317"/>
  <c r="N136" i="323"/>
  <c r="D136" i="326"/>
  <c r="T136" i="326"/>
  <c r="I121" i="317"/>
  <c r="I122" i="317"/>
  <c r="I122" i="326"/>
  <c r="R121" i="317"/>
  <c r="R122" i="317"/>
  <c r="R121" i="326"/>
  <c r="R122" i="326"/>
  <c r="R145" i="326" s="1"/>
  <c r="W122" i="313"/>
  <c r="O136" i="323"/>
  <c r="F135" i="313"/>
  <c r="F136" i="313"/>
  <c r="X136" i="323"/>
  <c r="L121" i="326"/>
  <c r="L122" i="326"/>
  <c r="M135" i="313"/>
  <c r="M136" i="313"/>
  <c r="M136" i="320"/>
  <c r="E122" i="329"/>
  <c r="V121" i="317"/>
  <c r="V122" i="317"/>
  <c r="V145" i="317" s="1"/>
  <c r="S122" i="326"/>
  <c r="J135" i="329"/>
  <c r="J136" i="329"/>
  <c r="K122" i="329"/>
  <c r="N122" i="329"/>
  <c r="D122" i="320"/>
  <c r="U135" i="329"/>
  <c r="U136" i="329"/>
  <c r="Q122" i="323"/>
  <c r="H135" i="317"/>
  <c r="H136" i="317"/>
  <c r="L122" i="329"/>
  <c r="L136" i="323"/>
  <c r="U136" i="317"/>
  <c r="E121" i="320"/>
  <c r="E122" i="320"/>
  <c r="M122" i="317"/>
  <c r="J121" i="317"/>
  <c r="J122" i="317"/>
  <c r="K135" i="329"/>
  <c r="K136" i="329"/>
  <c r="K136" i="313"/>
  <c r="T121" i="323"/>
  <c r="T122" i="323"/>
  <c r="T145" i="323" s="1"/>
  <c r="H121" i="320"/>
  <c r="H122" i="320"/>
  <c r="L122" i="313"/>
  <c r="F121" i="320"/>
  <c r="F122" i="320"/>
  <c r="G122" i="320"/>
  <c r="H136" i="326"/>
  <c r="H122" i="313"/>
  <c r="V122" i="326"/>
  <c r="N136" i="320"/>
  <c r="F122" i="329"/>
  <c r="Q136" i="317"/>
  <c r="T122" i="313"/>
  <c r="I121" i="323"/>
  <c r="I122" i="323"/>
  <c r="S121" i="323"/>
  <c r="S122" i="323"/>
  <c r="O136" i="320"/>
  <c r="O122" i="329"/>
  <c r="R136" i="323"/>
  <c r="N121" i="326"/>
  <c r="N122" i="326"/>
  <c r="J122" i="323"/>
  <c r="Q121" i="320"/>
  <c r="Q122" i="320"/>
  <c r="X136" i="317"/>
  <c r="L135" i="329"/>
  <c r="L136" i="329"/>
  <c r="M121" i="323"/>
  <c r="M122" i="323"/>
  <c r="M122" i="326"/>
  <c r="H122" i="329"/>
  <c r="O135" i="329"/>
  <c r="O136" i="329"/>
  <c r="S122" i="317"/>
  <c r="K136" i="320"/>
  <c r="F136" i="317"/>
  <c r="D122" i="326"/>
  <c r="U121" i="317"/>
  <c r="U122" i="317"/>
  <c r="Q136" i="326"/>
  <c r="G136" i="323"/>
  <c r="G122" i="326"/>
  <c r="J136" i="320"/>
  <c r="X121" i="323"/>
  <c r="X122" i="323"/>
  <c r="Q135" i="329"/>
  <c r="Q136" i="329"/>
  <c r="U136" i="320"/>
  <c r="U122" i="329"/>
  <c r="X122" i="329"/>
  <c r="M122" i="320"/>
  <c r="E136" i="317"/>
  <c r="O121" i="326"/>
  <c r="O122" i="326"/>
  <c r="V122" i="329"/>
  <c r="Q136" i="323"/>
  <c r="T136" i="329"/>
  <c r="I136" i="317"/>
  <c r="R121" i="320"/>
  <c r="R122" i="320"/>
  <c r="F121" i="323"/>
  <c r="F122" i="323"/>
  <c r="G121" i="323"/>
  <c r="G122" i="323"/>
  <c r="X135" i="329"/>
  <c r="X136" i="329"/>
  <c r="X145" i="329" s="1"/>
  <c r="U136" i="326"/>
  <c r="M122" i="313"/>
  <c r="V135" i="313"/>
  <c r="V136" i="313"/>
  <c r="W121" i="326"/>
  <c r="W122" i="326"/>
  <c r="W121" i="320"/>
  <c r="W122" i="320"/>
  <c r="S136" i="323"/>
  <c r="V122" i="323"/>
  <c r="V145" i="323" s="1"/>
  <c r="D122" i="317"/>
  <c r="U135" i="313"/>
  <c r="U136" i="313"/>
  <c r="U121" i="320"/>
  <c r="U122" i="320"/>
  <c r="T136" i="320"/>
  <c r="H135" i="329"/>
  <c r="H136" i="329"/>
  <c r="I136" i="323"/>
  <c r="L122" i="317"/>
  <c r="O136" i="326"/>
  <c r="R122" i="313"/>
  <c r="N135" i="329"/>
  <c r="N136" i="329"/>
  <c r="G135" i="313"/>
  <c r="G136" i="313"/>
  <c r="G136" i="320"/>
  <c r="J136" i="326"/>
  <c r="U136" i="323"/>
  <c r="P136" i="329"/>
  <c r="M135" i="329"/>
  <c r="M136" i="329"/>
  <c r="E121" i="323"/>
  <c r="E122" i="323"/>
  <c r="H122" i="326"/>
  <c r="V136" i="326"/>
  <c r="K136" i="326"/>
  <c r="F136" i="323"/>
  <c r="F136" i="329"/>
  <c r="D122" i="329"/>
  <c r="I136" i="320"/>
  <c r="G135" i="329"/>
  <c r="G136" i="329"/>
  <c r="G122" i="313"/>
  <c r="J122" i="329"/>
  <c r="X122" i="317"/>
  <c r="X122" i="313"/>
  <c r="E136" i="320"/>
  <c r="E136" i="326"/>
  <c r="V121" i="320"/>
  <c r="V122" i="320"/>
  <c r="S122" i="313"/>
  <c r="V122" i="313"/>
  <c r="J135" i="313"/>
  <c r="J136" i="313"/>
  <c r="K122" i="317"/>
  <c r="N122" i="317"/>
  <c r="F122" i="317"/>
  <c r="F145" i="317" s="1"/>
  <c r="T135" i="313"/>
  <c r="T136" i="313"/>
  <c r="T136" i="317"/>
  <c r="O122" i="317"/>
  <c r="D135" i="329"/>
  <c r="D136" i="329"/>
  <c r="D145" i="329" s="1"/>
  <c r="G136" i="326"/>
  <c r="P122" i="317"/>
  <c r="M122" i="329"/>
  <c r="O121" i="323"/>
  <c r="O122" i="323"/>
  <c r="S122" i="329"/>
  <c r="K121" i="320"/>
  <c r="K122" i="320"/>
  <c r="F136" i="320"/>
  <c r="D122" i="323"/>
  <c r="D136" i="320"/>
  <c r="T121" i="317"/>
  <c r="T122" i="317"/>
  <c r="T145" i="317" s="1"/>
  <c r="U121" i="323"/>
  <c r="U122" i="323"/>
  <c r="I135" i="313"/>
  <c r="I136" i="313"/>
  <c r="Q121" i="326"/>
  <c r="Q122" i="326"/>
  <c r="U122" i="326"/>
  <c r="L135" i="313"/>
  <c r="L136" i="313"/>
  <c r="M136" i="317"/>
  <c r="I135" i="329"/>
  <c r="I136" i="329"/>
  <c r="L136" i="317"/>
  <c r="X136" i="326"/>
  <c r="P122" i="329"/>
  <c r="E121" i="317"/>
  <c r="E122" i="317"/>
  <c r="E136" i="323"/>
  <c r="V135" i="329"/>
  <c r="V136" i="329"/>
  <c r="O121" i="320"/>
  <c r="O122" i="320"/>
  <c r="J121" i="320"/>
  <c r="J122" i="320"/>
  <c r="K122" i="326"/>
  <c r="T121" i="320"/>
  <c r="T122" i="320"/>
  <c r="Q122" i="317"/>
  <c r="H135" i="313"/>
  <c r="H136" i="313"/>
  <c r="H121" i="323"/>
  <c r="H122" i="323"/>
  <c r="I122" i="329"/>
  <c r="L136" i="326"/>
  <c r="W136" i="317"/>
  <c r="R136" i="329"/>
  <c r="J136" i="323"/>
  <c r="Q135" i="313"/>
  <c r="Q136" i="313"/>
  <c r="P136" i="323"/>
  <c r="P122" i="313"/>
  <c r="E121" i="326"/>
  <c r="E122" i="326"/>
  <c r="S136" i="317"/>
  <c r="K121" i="323"/>
  <c r="K122" i="323"/>
  <c r="N122" i="323"/>
  <c r="N136" i="317"/>
  <c r="Q136" i="320"/>
  <c r="I136" i="326"/>
  <c r="L136" i="320"/>
  <c r="S121" i="320"/>
  <c r="S122" i="320"/>
  <c r="W136" i="313"/>
  <c r="W136" i="320"/>
  <c r="O136" i="317"/>
  <c r="R136" i="320"/>
  <c r="J136" i="317"/>
  <c r="P121" i="323"/>
  <c r="P122" i="323"/>
  <c r="P145" i="323" s="1"/>
  <c r="P135" i="313"/>
  <c r="P136" i="313"/>
  <c r="L121" i="320"/>
  <c r="L122" i="320"/>
  <c r="E135" i="313"/>
  <c r="E136" i="313"/>
  <c r="E145" i="313" s="1"/>
  <c r="H136" i="323"/>
  <c r="W135" i="329"/>
  <c r="W136" i="329"/>
  <c r="S136" i="326"/>
  <c r="K136" i="323"/>
  <c r="D136" i="323"/>
  <c r="Q122" i="329"/>
  <c r="T122" i="329"/>
  <c r="R135" i="313"/>
  <c r="R136" i="313"/>
  <c r="O145" i="313" l="1"/>
  <c r="N145" i="313"/>
  <c r="W145" i="329"/>
  <c r="S145" i="320"/>
  <c r="R145" i="317"/>
  <c r="P145" i="320"/>
  <c r="Q145" i="313"/>
  <c r="M145" i="326"/>
  <c r="F145" i="313"/>
  <c r="H145" i="313"/>
  <c r="G145" i="317"/>
  <c r="J145" i="313"/>
  <c r="L145" i="313"/>
  <c r="F145" i="326"/>
  <c r="V145" i="320"/>
  <c r="P145" i="329"/>
  <c r="X145" i="320"/>
  <c r="M145" i="323"/>
  <c r="W145" i="323"/>
  <c r="D145" i="313"/>
  <c r="D145" i="317"/>
  <c r="D145" i="326"/>
  <c r="W145" i="326"/>
  <c r="O145" i="323"/>
  <c r="U145" i="313"/>
  <c r="M145" i="320"/>
  <c r="N145" i="323"/>
  <c r="T145" i="329"/>
  <c r="O145" i="320"/>
  <c r="E145" i="317"/>
  <c r="T145" i="313"/>
  <c r="K145" i="317"/>
  <c r="I145" i="313"/>
  <c r="U145" i="317"/>
  <c r="R145" i="313"/>
  <c r="L145" i="320"/>
  <c r="Q145" i="326"/>
  <c r="G145" i="329"/>
  <c r="U145" i="320"/>
  <c r="H145" i="320"/>
  <c r="H145" i="317"/>
  <c r="H145" i="323"/>
  <c r="P145" i="313"/>
  <c r="K145" i="323"/>
  <c r="L145" i="329"/>
  <c r="K145" i="329"/>
  <c r="Q145" i="323"/>
  <c r="K145" i="326"/>
  <c r="U145" i="326"/>
  <c r="K145" i="320"/>
  <c r="N145" i="329"/>
  <c r="Q145" i="317"/>
  <c r="J145" i="320"/>
  <c r="V145" i="329"/>
  <c r="I145" i="329"/>
  <c r="U145" i="323"/>
  <c r="H145" i="326"/>
  <c r="X145" i="323"/>
  <c r="O145" i="329"/>
  <c r="N145" i="326"/>
  <c r="E145" i="329"/>
  <c r="T145" i="326"/>
  <c r="P145" i="326"/>
  <c r="T145" i="320"/>
  <c r="N145" i="317"/>
  <c r="Q145" i="329"/>
  <c r="M145" i="317"/>
  <c r="S145" i="326"/>
  <c r="R145" i="323"/>
  <c r="I145" i="320"/>
  <c r="N145" i="320"/>
  <c r="X145" i="326"/>
  <c r="P145" i="317"/>
  <c r="M145" i="329"/>
  <c r="L145" i="317"/>
  <c r="W145" i="320"/>
  <c r="V145" i="313"/>
  <c r="F145" i="323"/>
  <c r="O145" i="326"/>
  <c r="G145" i="326"/>
  <c r="S145" i="317"/>
  <c r="J145" i="323"/>
  <c r="I145" i="323"/>
  <c r="F145" i="329"/>
  <c r="E145" i="320"/>
  <c r="U145" i="329"/>
  <c r="M145" i="313"/>
  <c r="W145" i="313"/>
  <c r="W145" i="317"/>
  <c r="L145" i="323"/>
  <c r="J145" i="326"/>
  <c r="G145" i="320"/>
  <c r="J145" i="317"/>
  <c r="J145" i="329"/>
  <c r="I145" i="326"/>
  <c r="S145" i="313"/>
  <c r="X145" i="313"/>
  <c r="E145" i="326"/>
  <c r="D145" i="323"/>
  <c r="O145" i="317"/>
  <c r="X145" i="317"/>
  <c r="E145" i="323"/>
  <c r="G145" i="313"/>
  <c r="H145" i="329"/>
  <c r="G145" i="323"/>
  <c r="R145" i="320"/>
  <c r="Q145" i="320"/>
  <c r="S145" i="323"/>
  <c r="V145" i="326"/>
  <c r="F145" i="320"/>
  <c r="D145" i="320"/>
  <c r="L145" i="326"/>
  <c r="I145" i="317"/>
  <c r="R145" i="329"/>
  <c r="S145" i="329"/>
  <c r="K145" i="313"/>
  <c r="G135" i="310"/>
  <c r="G121" i="306"/>
  <c r="G135" i="272"/>
  <c r="G121" i="269"/>
  <c r="E121" i="269"/>
  <c r="F121" i="269"/>
  <c r="D121" i="269"/>
  <c r="D122" i="269"/>
  <c r="G135" i="303"/>
  <c r="G121" i="303"/>
  <c r="E122" i="269"/>
  <c r="D121" i="303"/>
  <c r="B16" i="261"/>
  <c r="D76" i="260"/>
  <c r="D59" i="260"/>
  <c r="D98" i="260"/>
  <c r="D93" i="260"/>
  <c r="D122" i="303" l="1"/>
  <c r="H135" i="278"/>
  <c r="I135" i="278"/>
  <c r="E135" i="278"/>
  <c r="G135" i="278"/>
  <c r="F135" i="278"/>
  <c r="D135" i="278"/>
  <c r="D136" i="278"/>
  <c r="G121" i="278"/>
  <c r="F121" i="278"/>
  <c r="E121" i="278"/>
  <c r="D121" i="278"/>
  <c r="D122" i="278"/>
  <c r="F135" i="310"/>
  <c r="E135" i="310"/>
  <c r="D135" i="310"/>
  <c r="D136" i="310"/>
  <c r="E121" i="310"/>
  <c r="I121" i="310"/>
  <c r="J121" i="310"/>
  <c r="H121" i="310"/>
  <c r="F121" i="310"/>
  <c r="G121" i="310"/>
  <c r="D121" i="310"/>
  <c r="D122" i="310"/>
  <c r="G135" i="306"/>
  <c r="F135" i="306"/>
  <c r="E135" i="306"/>
  <c r="H135" i="306"/>
  <c r="I135" i="306"/>
  <c r="D135" i="306"/>
  <c r="D136" i="306"/>
  <c r="F121" i="306"/>
  <c r="E121" i="306"/>
  <c r="H121" i="306"/>
  <c r="J121" i="306"/>
  <c r="D121" i="306"/>
  <c r="D122" i="306"/>
  <c r="J135" i="272"/>
  <c r="F135" i="272"/>
  <c r="E135" i="272"/>
  <c r="H135" i="272"/>
  <c r="D135" i="272"/>
  <c r="D136" i="272"/>
  <c r="F121" i="272"/>
  <c r="E121" i="272"/>
  <c r="G121" i="272"/>
  <c r="I121" i="272"/>
  <c r="D121" i="272"/>
  <c r="D122" i="272"/>
  <c r="K121" i="269"/>
  <c r="I121" i="269"/>
  <c r="H121" i="269"/>
  <c r="J121" i="269"/>
  <c r="E135" i="303"/>
  <c r="H135" i="303"/>
  <c r="F135" i="303"/>
  <c r="D135" i="303"/>
  <c r="D136" i="303"/>
  <c r="E121" i="303"/>
  <c r="H121" i="303"/>
  <c r="J121" i="303"/>
  <c r="F121" i="303"/>
  <c r="D95" i="260"/>
  <c r="D96" i="260"/>
  <c r="AE96" i="260"/>
  <c r="AE83" i="260" s="1"/>
  <c r="AE95" i="260"/>
  <c r="AE66" i="260" s="1"/>
  <c r="AF96" i="260"/>
  <c r="AF83" i="260" s="1"/>
  <c r="AF95" i="260"/>
  <c r="AF66" i="260" s="1"/>
  <c r="AG95" i="260"/>
  <c r="AG66" i="260" s="1"/>
  <c r="AG96" i="260"/>
  <c r="AG83" i="260" s="1"/>
  <c r="AH96" i="260"/>
  <c r="AH83" i="260" s="1"/>
  <c r="AH95" i="260"/>
  <c r="AH66" i="260" s="1"/>
  <c r="AI95" i="260"/>
  <c r="AI66" i="260" s="1"/>
  <c r="AI96" i="260"/>
  <c r="AI83" i="260" s="1"/>
  <c r="AJ95" i="260"/>
  <c r="AJ66" i="260" s="1"/>
  <c r="AJ96" i="260"/>
  <c r="AJ83" i="260" s="1"/>
  <c r="AK95" i="260"/>
  <c r="AK66" i="260" s="1"/>
  <c r="AK96" i="260"/>
  <c r="AK83" i="260" s="1"/>
  <c r="E122" i="310"/>
  <c r="E136" i="272"/>
  <c r="E122" i="272"/>
  <c r="E122" i="278"/>
  <c r="F122" i="269"/>
  <c r="E122" i="306"/>
  <c r="E122" i="303"/>
  <c r="AK81" i="260"/>
  <c r="B17" i="261"/>
  <c r="E43" i="268"/>
  <c r="E44" i="268" s="1"/>
  <c r="E46" i="268" s="1"/>
  <c r="D43" i="268"/>
  <c r="D44" i="268" s="1"/>
  <c r="D46" i="268" s="1"/>
  <c r="D94" i="260"/>
  <c r="D52" i="260"/>
  <c r="F15" i="261" s="1"/>
  <c r="E59" i="260"/>
  <c r="E98" i="260"/>
  <c r="E93" i="260"/>
  <c r="E76" i="260"/>
  <c r="AG78" i="260" l="1"/>
  <c r="AH78" i="260"/>
  <c r="AH81" i="260"/>
  <c r="AK78" i="260"/>
  <c r="AF84" i="260"/>
  <c r="AF86" i="260" s="1"/>
  <c r="AJ67" i="260"/>
  <c r="AJ69" i="260" s="1"/>
  <c r="AF81" i="260"/>
  <c r="AJ64" i="260"/>
  <c r="AK64" i="260"/>
  <c r="AG67" i="260"/>
  <c r="AG69" i="260" s="1"/>
  <c r="AG64" i="260"/>
  <c r="AK67" i="260"/>
  <c r="AK69" i="260" s="1"/>
  <c r="AK65" i="260"/>
  <c r="AG61" i="260"/>
  <c r="AK61" i="260"/>
  <c r="AG65" i="260"/>
  <c r="E136" i="310"/>
  <c r="E145" i="310" s="1"/>
  <c r="E136" i="278"/>
  <c r="E145" i="278" s="1"/>
  <c r="E654" i="261"/>
  <c r="E136" i="303"/>
  <c r="E145" i="303" s="1"/>
  <c r="E136" i="306"/>
  <c r="E145" i="306" s="1"/>
  <c r="K135" i="278"/>
  <c r="J135" i="278"/>
  <c r="K121" i="278"/>
  <c r="H121" i="278"/>
  <c r="I121" i="278"/>
  <c r="J121" i="278"/>
  <c r="I135" i="310"/>
  <c r="K135" i="310"/>
  <c r="H135" i="310"/>
  <c r="J135" i="310"/>
  <c r="K121" i="310"/>
  <c r="J135" i="306"/>
  <c r="K135" i="306"/>
  <c r="K121" i="306"/>
  <c r="I121" i="306"/>
  <c r="K135" i="272"/>
  <c r="I135" i="272"/>
  <c r="H121" i="272"/>
  <c r="K121" i="272"/>
  <c r="J121" i="272"/>
  <c r="L121" i="269"/>
  <c r="J135" i="303"/>
  <c r="K135" i="303"/>
  <c r="I135" i="303"/>
  <c r="K121" i="303"/>
  <c r="I121" i="303"/>
  <c r="AH82" i="260"/>
  <c r="AH84" i="260"/>
  <c r="AH86" i="260" s="1"/>
  <c r="AG82" i="260"/>
  <c r="AK84" i="260"/>
  <c r="AK86" i="260" s="1"/>
  <c r="AG84" i="260"/>
  <c r="AG86" i="260" s="1"/>
  <c r="AG81" i="260"/>
  <c r="AK82" i="260"/>
  <c r="AE65" i="260"/>
  <c r="AF78" i="260"/>
  <c r="AJ61" i="260"/>
  <c r="AF82" i="260"/>
  <c r="AJ65" i="260"/>
  <c r="AH61" i="260"/>
  <c r="AH67" i="260"/>
  <c r="AH69" i="260" s="1"/>
  <c r="AH65" i="260"/>
  <c r="AH64" i="260"/>
  <c r="AI67" i="260"/>
  <c r="AI69" i="260" s="1"/>
  <c r="AI64" i="260"/>
  <c r="AE82" i="260"/>
  <c r="AI61" i="260"/>
  <c r="AE84" i="260"/>
  <c r="AE86" i="260" s="1"/>
  <c r="AE81" i="260"/>
  <c r="AI65" i="260"/>
  <c r="AE67" i="260"/>
  <c r="AE69" i="260" s="1"/>
  <c r="AJ82" i="260"/>
  <c r="AJ81" i="260"/>
  <c r="AJ84" i="260"/>
  <c r="AJ86" i="260" s="1"/>
  <c r="AF61" i="260"/>
  <c r="AF65" i="260"/>
  <c r="AF64" i="260"/>
  <c r="AF67" i="260"/>
  <c r="AF69" i="260" s="1"/>
  <c r="AJ78" i="260"/>
  <c r="AI78" i="260"/>
  <c r="E95" i="260"/>
  <c r="E96" i="260"/>
  <c r="AI82" i="260"/>
  <c r="AI84" i="260"/>
  <c r="AI86" i="260" s="1"/>
  <c r="AI81" i="260"/>
  <c r="D56" i="260"/>
  <c r="AE64" i="260"/>
  <c r="D145" i="303"/>
  <c r="F136" i="272"/>
  <c r="F122" i="272"/>
  <c r="F122" i="278"/>
  <c r="F136" i="278"/>
  <c r="G122" i="269"/>
  <c r="F122" i="306"/>
  <c r="F136" i="306"/>
  <c r="F122" i="310"/>
  <c r="F136" i="310"/>
  <c r="F122" i="303"/>
  <c r="F136" i="303"/>
  <c r="D145" i="310"/>
  <c r="D145" i="272"/>
  <c r="D145" i="278"/>
  <c r="D145" i="306"/>
  <c r="E145" i="272"/>
  <c r="D83" i="260"/>
  <c r="D67" i="260"/>
  <c r="D69" i="260" s="1"/>
  <c r="D66" i="260"/>
  <c r="B18" i="261"/>
  <c r="E94" i="260"/>
  <c r="F59" i="260"/>
  <c r="F93" i="260"/>
  <c r="F98" i="260"/>
  <c r="F76" i="260"/>
  <c r="E52" i="260"/>
  <c r="F16" i="261" s="1"/>
  <c r="D84" i="260"/>
  <c r="D86" i="260" s="1"/>
  <c r="D90" i="260" s="1"/>
  <c r="D81" i="260"/>
  <c r="D82" i="260"/>
  <c r="D64" i="260"/>
  <c r="D65" i="260"/>
  <c r="D73" i="260" l="1"/>
  <c r="E655" i="261"/>
  <c r="L135" i="278"/>
  <c r="L121" i="278"/>
  <c r="L135" i="310"/>
  <c r="L121" i="310"/>
  <c r="L135" i="306"/>
  <c r="L121" i="306"/>
  <c r="L135" i="272"/>
  <c r="L121" i="272"/>
  <c r="M121" i="269"/>
  <c r="L135" i="303"/>
  <c r="L121" i="303"/>
  <c r="AF108" i="260"/>
  <c r="F95" i="260"/>
  <c r="F66" i="260" s="1"/>
  <c r="F96" i="260"/>
  <c r="F145" i="306"/>
  <c r="F145" i="278"/>
  <c r="F145" i="272"/>
  <c r="F145" i="310"/>
  <c r="F145" i="303"/>
  <c r="G122" i="310"/>
  <c r="G136" i="310"/>
  <c r="G122" i="306"/>
  <c r="G136" i="306"/>
  <c r="G122" i="278"/>
  <c r="G136" i="278"/>
  <c r="G122" i="272"/>
  <c r="G136" i="272"/>
  <c r="H122" i="269"/>
  <c r="G122" i="303"/>
  <c r="G136" i="303"/>
  <c r="E84" i="260"/>
  <c r="E83" i="260"/>
  <c r="E67" i="260"/>
  <c r="E66" i="260"/>
  <c r="B19" i="261"/>
  <c r="E56" i="260"/>
  <c r="E49" i="268"/>
  <c r="E50" i="268"/>
  <c r="E48" i="268"/>
  <c r="F43" i="268"/>
  <c r="F44" i="268" s="1"/>
  <c r="F46" i="268" s="1"/>
  <c r="D49" i="268"/>
  <c r="D50" i="268"/>
  <c r="D48" i="268"/>
  <c r="G43" i="268"/>
  <c r="G44" i="268" s="1"/>
  <c r="G46" i="268" s="1"/>
  <c r="G59" i="260"/>
  <c r="G98" i="260"/>
  <c r="G93" i="260"/>
  <c r="G76" i="260"/>
  <c r="F94" i="260"/>
  <c r="E82" i="260"/>
  <c r="E81" i="260"/>
  <c r="E65" i="260"/>
  <c r="E64" i="260"/>
  <c r="F52" i="260"/>
  <c r="F17" i="261" s="1"/>
  <c r="E656" i="261" l="1"/>
  <c r="E86" i="260"/>
  <c r="E69" i="260"/>
  <c r="M135" i="278"/>
  <c r="M121" i="278"/>
  <c r="M135" i="310"/>
  <c r="M121" i="310"/>
  <c r="M135" i="306"/>
  <c r="M121" i="306"/>
  <c r="M135" i="272"/>
  <c r="M121" i="272"/>
  <c r="N121" i="269"/>
  <c r="M135" i="303"/>
  <c r="M121" i="303"/>
  <c r="AG108" i="260"/>
  <c r="G95" i="260"/>
  <c r="G66" i="260" s="1"/>
  <c r="G96" i="260"/>
  <c r="G145" i="303"/>
  <c r="G145" i="310"/>
  <c r="H136" i="303"/>
  <c r="H122" i="303"/>
  <c r="H136" i="310"/>
  <c r="H122" i="310"/>
  <c r="H122" i="306"/>
  <c r="H136" i="306"/>
  <c r="G145" i="278"/>
  <c r="I122" i="269"/>
  <c r="G145" i="306"/>
  <c r="G145" i="272"/>
  <c r="H122" i="272"/>
  <c r="H136" i="272"/>
  <c r="H122" i="278"/>
  <c r="H136" i="278"/>
  <c r="F84" i="260"/>
  <c r="F86" i="260" s="1"/>
  <c r="F83" i="260"/>
  <c r="B20" i="261"/>
  <c r="G50" i="268"/>
  <c r="F50" i="268"/>
  <c r="H43" i="268"/>
  <c r="H44" i="268" s="1"/>
  <c r="H46" i="268" s="1"/>
  <c r="D182" i="269"/>
  <c r="D186" i="269" s="1"/>
  <c r="D127" i="269"/>
  <c r="D71" i="269"/>
  <c r="D75" i="269" s="1"/>
  <c r="E181" i="269"/>
  <c r="E185" i="269" s="1"/>
  <c r="E126" i="269"/>
  <c r="E70" i="269"/>
  <c r="D181" i="269"/>
  <c r="D185" i="269" s="1"/>
  <c r="D126" i="269"/>
  <c r="D70" i="269"/>
  <c r="E183" i="269"/>
  <c r="E187" i="269" s="1"/>
  <c r="E128" i="269"/>
  <c r="E72" i="269"/>
  <c r="E76" i="269" s="1"/>
  <c r="D183" i="269"/>
  <c r="D187" i="269" s="1"/>
  <c r="D128" i="269"/>
  <c r="D72" i="269"/>
  <c r="D76" i="269" s="1"/>
  <c r="E182" i="269"/>
  <c r="E186" i="269" s="1"/>
  <c r="E127" i="269"/>
  <c r="E71" i="269"/>
  <c r="E75" i="269" s="1"/>
  <c r="F67" i="260"/>
  <c r="F64" i="260"/>
  <c r="F65" i="260"/>
  <c r="G94" i="260"/>
  <c r="H98" i="260"/>
  <c r="H76" i="260"/>
  <c r="H93" i="260"/>
  <c r="H59" i="260"/>
  <c r="G52" i="260"/>
  <c r="F18" i="261" s="1"/>
  <c r="F82" i="260"/>
  <c r="F81" i="260"/>
  <c r="F56" i="260"/>
  <c r="D131" i="269" l="1"/>
  <c r="D132" i="269"/>
  <c r="D133" i="269"/>
  <c r="D130" i="269"/>
  <c r="D142" i="269"/>
  <c r="D141" i="269"/>
  <c r="D143" i="269"/>
  <c r="D109" i="260" s="1"/>
  <c r="D140" i="269"/>
  <c r="D106" i="260" s="1"/>
  <c r="E132" i="269"/>
  <c r="E133" i="269"/>
  <c r="E130" i="269"/>
  <c r="E131" i="269"/>
  <c r="E143" i="269"/>
  <c r="E140" i="269"/>
  <c r="E142" i="269"/>
  <c r="E108" i="260" s="1"/>
  <c r="E141" i="269"/>
  <c r="E107" i="260" s="1"/>
  <c r="E73" i="260"/>
  <c r="E90" i="260"/>
  <c r="F90" i="260" s="1"/>
  <c r="E657" i="261"/>
  <c r="N135" i="278"/>
  <c r="N121" i="278"/>
  <c r="N135" i="310"/>
  <c r="N121" i="310"/>
  <c r="N135" i="306"/>
  <c r="N121" i="306"/>
  <c r="N135" i="272"/>
  <c r="N121" i="272"/>
  <c r="O121" i="269"/>
  <c r="N135" i="303"/>
  <c r="N121" i="303"/>
  <c r="AH108" i="260"/>
  <c r="H96" i="260"/>
  <c r="H95" i="260"/>
  <c r="H145" i="303"/>
  <c r="H145" i="278"/>
  <c r="H145" i="310"/>
  <c r="J122" i="269"/>
  <c r="I136" i="303"/>
  <c r="I122" i="303"/>
  <c r="I122" i="310"/>
  <c r="I136" i="310"/>
  <c r="I136" i="306"/>
  <c r="I122" i="306"/>
  <c r="I122" i="272"/>
  <c r="I136" i="272"/>
  <c r="H145" i="272"/>
  <c r="I136" i="278"/>
  <c r="I122" i="278"/>
  <c r="H145" i="306"/>
  <c r="G84" i="260"/>
  <c r="G83" i="260"/>
  <c r="B21" i="261"/>
  <c r="G49" i="268"/>
  <c r="G182" i="269" s="1"/>
  <c r="G186" i="269" s="1"/>
  <c r="G48" i="268"/>
  <c r="G181" i="269" s="1"/>
  <c r="G185" i="269" s="1"/>
  <c r="F49" i="268"/>
  <c r="F127" i="269" s="1"/>
  <c r="H50" i="268"/>
  <c r="F48" i="268"/>
  <c r="F181" i="269" s="1"/>
  <c r="F185" i="269" s="1"/>
  <c r="D108" i="260"/>
  <c r="D107" i="260"/>
  <c r="I43" i="268"/>
  <c r="I44" i="268" s="1"/>
  <c r="I46" i="268" s="1"/>
  <c r="D189" i="269"/>
  <c r="D202" i="269"/>
  <c r="D113" i="260" s="1"/>
  <c r="G183" i="269"/>
  <c r="G187" i="269" s="1"/>
  <c r="G72" i="269"/>
  <c r="G76" i="269" s="1"/>
  <c r="G128" i="269"/>
  <c r="D74" i="269"/>
  <c r="D83" i="269"/>
  <c r="D104" i="260" s="1"/>
  <c r="E74" i="269"/>
  <c r="E83" i="269"/>
  <c r="E104" i="260" s="1"/>
  <c r="F183" i="269"/>
  <c r="F187" i="269" s="1"/>
  <c r="F128" i="269"/>
  <c r="F72" i="269"/>
  <c r="F76" i="269" s="1"/>
  <c r="E109" i="260"/>
  <c r="E106" i="260"/>
  <c r="E189" i="269"/>
  <c r="E202" i="269"/>
  <c r="E113" i="260" s="1"/>
  <c r="I76" i="260"/>
  <c r="I93" i="260"/>
  <c r="I98" i="260"/>
  <c r="I59" i="260"/>
  <c r="G56" i="260"/>
  <c r="H52" i="260"/>
  <c r="F19" i="261" s="1"/>
  <c r="H94" i="260"/>
  <c r="G67" i="260"/>
  <c r="G69" i="260" s="1"/>
  <c r="G65" i="260"/>
  <c r="G64" i="260"/>
  <c r="G82" i="260"/>
  <c r="G81" i="260"/>
  <c r="F69" i="260"/>
  <c r="E658" i="261" l="1"/>
  <c r="G86" i="260"/>
  <c r="O135" i="278"/>
  <c r="O121" i="278"/>
  <c r="O135" i="310"/>
  <c r="O121" i="310"/>
  <c r="O135" i="306"/>
  <c r="O121" i="306"/>
  <c r="O135" i="272"/>
  <c r="O121" i="272"/>
  <c r="E135" i="269"/>
  <c r="E136" i="269"/>
  <c r="E145" i="269" s="1"/>
  <c r="E45" i="260" s="1"/>
  <c r="D135" i="269"/>
  <c r="D136" i="269"/>
  <c r="D145" i="269" s="1"/>
  <c r="D45" i="260" s="1"/>
  <c r="P121" i="269"/>
  <c r="O135" i="303"/>
  <c r="O121" i="303"/>
  <c r="AI108" i="260"/>
  <c r="I96" i="260"/>
  <c r="I83" i="260" s="1"/>
  <c r="I95" i="260"/>
  <c r="I145" i="272"/>
  <c r="I145" i="306"/>
  <c r="J122" i="272"/>
  <c r="J136" i="272"/>
  <c r="J136" i="306"/>
  <c r="J122" i="306"/>
  <c r="K122" i="269"/>
  <c r="J136" i="303"/>
  <c r="J122" i="303"/>
  <c r="I145" i="278"/>
  <c r="I145" i="310"/>
  <c r="J136" i="310"/>
  <c r="J122" i="310"/>
  <c r="I145" i="303"/>
  <c r="J122" i="278"/>
  <c r="J136" i="278"/>
  <c r="H67" i="260"/>
  <c r="H69" i="260" s="1"/>
  <c r="H66" i="260"/>
  <c r="H84" i="260"/>
  <c r="H86" i="260" s="1"/>
  <c r="H83" i="260"/>
  <c r="G71" i="269"/>
  <c r="G75" i="269" s="1"/>
  <c r="G70" i="269"/>
  <c r="G74" i="269" s="1"/>
  <c r="B22" i="261"/>
  <c r="G127" i="269"/>
  <c r="F71" i="269"/>
  <c r="F75" i="269" s="1"/>
  <c r="F73" i="260"/>
  <c r="G73" i="260" s="1"/>
  <c r="F182" i="269"/>
  <c r="F186" i="269" s="1"/>
  <c r="F202" i="269" s="1"/>
  <c r="F113" i="260" s="1"/>
  <c r="F70" i="269"/>
  <c r="F74" i="269" s="1"/>
  <c r="F126" i="269"/>
  <c r="G126" i="269"/>
  <c r="H49" i="268"/>
  <c r="H71" i="269" s="1"/>
  <c r="H75" i="269" s="1"/>
  <c r="H48" i="268"/>
  <c r="H181" i="269" s="1"/>
  <c r="H185" i="269" s="1"/>
  <c r="I50" i="268"/>
  <c r="G189" i="269"/>
  <c r="G202" i="269"/>
  <c r="G113" i="260" s="1"/>
  <c r="D78" i="269"/>
  <c r="D85" i="269" s="1"/>
  <c r="D44" i="260" s="1"/>
  <c r="D82" i="269"/>
  <c r="D103" i="260" s="1"/>
  <c r="H183" i="269"/>
  <c r="H187" i="269" s="1"/>
  <c r="H128" i="269"/>
  <c r="H72" i="269"/>
  <c r="H76" i="269" s="1"/>
  <c r="J43" i="268"/>
  <c r="J44" i="268" s="1"/>
  <c r="J46" i="268" s="1"/>
  <c r="E78" i="269"/>
  <c r="E85" i="269" s="1"/>
  <c r="E44" i="260" s="1"/>
  <c r="E82" i="269"/>
  <c r="E103" i="260" s="1"/>
  <c r="H65" i="260"/>
  <c r="H64" i="260"/>
  <c r="H81" i="260"/>
  <c r="H82" i="260"/>
  <c r="I94" i="260"/>
  <c r="H56" i="260"/>
  <c r="J98" i="260"/>
  <c r="J93" i="260"/>
  <c r="J76" i="260"/>
  <c r="J59" i="260"/>
  <c r="I52" i="260"/>
  <c r="F20" i="261" s="1"/>
  <c r="F133" i="269" l="1"/>
  <c r="F130" i="269"/>
  <c r="F131" i="269"/>
  <c r="F132" i="269"/>
  <c r="F143" i="269"/>
  <c r="F142" i="269"/>
  <c r="F140" i="269"/>
  <c r="F141" i="269"/>
  <c r="F107" i="260" s="1"/>
  <c r="G130" i="269"/>
  <c r="G131" i="269"/>
  <c r="G132" i="269"/>
  <c r="G133" i="269"/>
  <c r="G143" i="269"/>
  <c r="G140" i="269"/>
  <c r="G141" i="269"/>
  <c r="G142" i="269"/>
  <c r="G108" i="260" s="1"/>
  <c r="D852" i="261"/>
  <c r="G90" i="260"/>
  <c r="H90" i="260" s="1"/>
  <c r="E659" i="261"/>
  <c r="P135" i="278"/>
  <c r="P121" i="278"/>
  <c r="P135" i="310"/>
  <c r="P121" i="310"/>
  <c r="P135" i="306"/>
  <c r="P121" i="306"/>
  <c r="P135" i="272"/>
  <c r="P121" i="272"/>
  <c r="Q121" i="269"/>
  <c r="P135" i="303"/>
  <c r="P121" i="303"/>
  <c r="D853" i="261"/>
  <c r="E56" i="261"/>
  <c r="D933" i="261"/>
  <c r="F56" i="261"/>
  <c r="D932" i="261"/>
  <c r="F55" i="261"/>
  <c r="E55" i="261"/>
  <c r="AJ108" i="260"/>
  <c r="J96" i="260"/>
  <c r="J95" i="260"/>
  <c r="J145" i="303"/>
  <c r="K136" i="303"/>
  <c r="K122" i="303"/>
  <c r="J145" i="306"/>
  <c r="K136" i="278"/>
  <c r="K122" i="278"/>
  <c r="J145" i="278"/>
  <c r="K122" i="310"/>
  <c r="K136" i="310"/>
  <c r="J145" i="272"/>
  <c r="K122" i="306"/>
  <c r="K136" i="306"/>
  <c r="J145" i="310"/>
  <c r="L122" i="269"/>
  <c r="K122" i="272"/>
  <c r="K136" i="272"/>
  <c r="H73" i="260"/>
  <c r="I67" i="260"/>
  <c r="I66" i="260"/>
  <c r="G83" i="269"/>
  <c r="G104" i="260" s="1"/>
  <c r="F189" i="269"/>
  <c r="B23" i="261"/>
  <c r="F109" i="260"/>
  <c r="G106" i="260"/>
  <c r="G109" i="260"/>
  <c r="F83" i="269"/>
  <c r="F104" i="260" s="1"/>
  <c r="G107" i="260"/>
  <c r="H127" i="269"/>
  <c r="F108" i="260"/>
  <c r="F106" i="260"/>
  <c r="H182" i="269"/>
  <c r="H186" i="269" s="1"/>
  <c r="H189" i="269" s="1"/>
  <c r="I49" i="268"/>
  <c r="I182" i="269" s="1"/>
  <c r="I186" i="269" s="1"/>
  <c r="I48" i="268"/>
  <c r="I70" i="269" s="1"/>
  <c r="H70" i="269"/>
  <c r="H74" i="269" s="1"/>
  <c r="H126" i="269"/>
  <c r="G78" i="269"/>
  <c r="G85" i="269" s="1"/>
  <c r="G44" i="260" s="1"/>
  <c r="G82" i="269"/>
  <c r="G103" i="260" s="1"/>
  <c r="F78" i="269"/>
  <c r="F85" i="269" s="1"/>
  <c r="F44" i="260" s="1"/>
  <c r="F82" i="269"/>
  <c r="F103" i="260" s="1"/>
  <c r="I183" i="269"/>
  <c r="I187" i="269" s="1"/>
  <c r="I128" i="269"/>
  <c r="I72" i="269"/>
  <c r="I76" i="269" s="1"/>
  <c r="K43" i="268"/>
  <c r="K44" i="268" s="1"/>
  <c r="K46" i="268" s="1"/>
  <c r="I84" i="260"/>
  <c r="I82" i="260"/>
  <c r="I81" i="260"/>
  <c r="J94" i="260"/>
  <c r="K59" i="260"/>
  <c r="K98" i="260"/>
  <c r="K93" i="260"/>
  <c r="K76" i="260"/>
  <c r="J52" i="260"/>
  <c r="F21" i="261" s="1"/>
  <c r="I56" i="260"/>
  <c r="I65" i="260"/>
  <c r="I64" i="260"/>
  <c r="H131" i="269" l="1"/>
  <c r="H132" i="269"/>
  <c r="H133" i="269"/>
  <c r="H130" i="269"/>
  <c r="H141" i="269"/>
  <c r="H140" i="269"/>
  <c r="H142" i="269"/>
  <c r="H143" i="269"/>
  <c r="H109" i="260" s="1"/>
  <c r="I69" i="260"/>
  <c r="E660" i="261"/>
  <c r="Q135" i="278"/>
  <c r="Q121" i="278"/>
  <c r="Q135" i="310"/>
  <c r="Q121" i="310"/>
  <c r="Q135" i="306"/>
  <c r="Q121" i="306"/>
  <c r="Q135" i="272"/>
  <c r="Q121" i="272"/>
  <c r="G135" i="269"/>
  <c r="G136" i="269"/>
  <c r="G145" i="269" s="1"/>
  <c r="G45" i="260" s="1"/>
  <c r="F135" i="269"/>
  <c r="F136" i="269"/>
  <c r="F145" i="269" s="1"/>
  <c r="F45" i="260" s="1"/>
  <c r="R121" i="269"/>
  <c r="Q135" i="303"/>
  <c r="Q121" i="303"/>
  <c r="D854" i="261"/>
  <c r="E57" i="261"/>
  <c r="D855" i="261"/>
  <c r="E58" i="261"/>
  <c r="AK108" i="260"/>
  <c r="K95" i="260"/>
  <c r="K96" i="260"/>
  <c r="K83" i="260" s="1"/>
  <c r="K145" i="306"/>
  <c r="K145" i="310"/>
  <c r="K145" i="278"/>
  <c r="K145" i="303"/>
  <c r="K145" i="272"/>
  <c r="L136" i="303"/>
  <c r="L122" i="303"/>
  <c r="L122" i="306"/>
  <c r="L136" i="306"/>
  <c r="L136" i="310"/>
  <c r="L122" i="310"/>
  <c r="L122" i="272"/>
  <c r="L136" i="272"/>
  <c r="L122" i="278"/>
  <c r="L136" i="278"/>
  <c r="M122" i="269"/>
  <c r="I73" i="260"/>
  <c r="J67" i="260"/>
  <c r="J69" i="260" s="1"/>
  <c r="J66" i="260"/>
  <c r="J84" i="260"/>
  <c r="J86" i="260" s="1"/>
  <c r="J83" i="260"/>
  <c r="B24" i="261"/>
  <c r="H108" i="260"/>
  <c r="I181" i="269"/>
  <c r="I185" i="269" s="1"/>
  <c r="I202" i="269" s="1"/>
  <c r="I113" i="260" s="1"/>
  <c r="H202" i="269"/>
  <c r="H113" i="260" s="1"/>
  <c r="I126" i="269"/>
  <c r="I71" i="269"/>
  <c r="I75" i="269" s="1"/>
  <c r="I127" i="269"/>
  <c r="H106" i="260"/>
  <c r="H107" i="260"/>
  <c r="H83" i="269"/>
  <c r="H104" i="260" s="1"/>
  <c r="J49" i="268"/>
  <c r="J50" i="268"/>
  <c r="J48" i="268"/>
  <c r="I74" i="269"/>
  <c r="L43" i="268"/>
  <c r="L44" i="268" s="1"/>
  <c r="L46" i="268" s="1"/>
  <c r="H78" i="269"/>
  <c r="H85" i="269" s="1"/>
  <c r="H44" i="260" s="1"/>
  <c r="H82" i="269"/>
  <c r="H103" i="260" s="1"/>
  <c r="J56" i="260"/>
  <c r="L98" i="260"/>
  <c r="L93" i="260"/>
  <c r="L76" i="260"/>
  <c r="L59" i="260"/>
  <c r="J81" i="260"/>
  <c r="J82" i="260"/>
  <c r="K94" i="260"/>
  <c r="K52" i="260"/>
  <c r="F22" i="261" s="1"/>
  <c r="I86" i="260"/>
  <c r="J64" i="260"/>
  <c r="J65" i="260"/>
  <c r="I132" i="269" l="1"/>
  <c r="I133" i="269"/>
  <c r="I130" i="269"/>
  <c r="I131" i="269"/>
  <c r="I143" i="269"/>
  <c r="I140" i="269"/>
  <c r="I141" i="269"/>
  <c r="I107" i="260" s="1"/>
  <c r="I142" i="269"/>
  <c r="I108" i="260" s="1"/>
  <c r="I90" i="260"/>
  <c r="J90" i="260" s="1"/>
  <c r="E661" i="261"/>
  <c r="R135" i="278"/>
  <c r="R121" i="278"/>
  <c r="R135" i="310"/>
  <c r="R121" i="310"/>
  <c r="R135" i="306"/>
  <c r="R121" i="306"/>
  <c r="R135" i="272"/>
  <c r="R121" i="272"/>
  <c r="H135" i="269"/>
  <c r="H136" i="269"/>
  <c r="H145" i="269" s="1"/>
  <c r="H45" i="260" s="1"/>
  <c r="S121" i="269"/>
  <c r="R135" i="303"/>
  <c r="R121" i="303"/>
  <c r="D856" i="261"/>
  <c r="E59" i="261"/>
  <c r="D935" i="261"/>
  <c r="F58" i="261"/>
  <c r="D934" i="261"/>
  <c r="F57" i="261"/>
  <c r="L95" i="260"/>
  <c r="L96" i="260"/>
  <c r="L83" i="260" s="1"/>
  <c r="L145" i="306"/>
  <c r="L145" i="272"/>
  <c r="L145" i="310"/>
  <c r="M136" i="310"/>
  <c r="M122" i="310"/>
  <c r="M136" i="278"/>
  <c r="M122" i="278"/>
  <c r="N122" i="269"/>
  <c r="M122" i="272"/>
  <c r="M136" i="272"/>
  <c r="M122" i="306"/>
  <c r="M136" i="306"/>
  <c r="M122" i="303"/>
  <c r="M136" i="303"/>
  <c r="L145" i="278"/>
  <c r="L145" i="303"/>
  <c r="J73" i="260"/>
  <c r="K67" i="260"/>
  <c r="K66" i="260"/>
  <c r="B25" i="261"/>
  <c r="I189" i="269"/>
  <c r="I83" i="269"/>
  <c r="I104" i="260" s="1"/>
  <c r="I106" i="260"/>
  <c r="I109" i="260"/>
  <c r="L50" i="268"/>
  <c r="I78" i="269"/>
  <c r="I85" i="269" s="1"/>
  <c r="I44" i="260" s="1"/>
  <c r="I82" i="269"/>
  <c r="I103" i="260" s="1"/>
  <c r="K49" i="268"/>
  <c r="K50" i="268"/>
  <c r="K48" i="268"/>
  <c r="J181" i="269"/>
  <c r="J185" i="269" s="1"/>
  <c r="J126" i="269"/>
  <c r="J70" i="269"/>
  <c r="M43" i="268"/>
  <c r="M44" i="268" s="1"/>
  <c r="M46" i="268" s="1"/>
  <c r="J183" i="269"/>
  <c r="J187" i="269" s="1"/>
  <c r="J128" i="269"/>
  <c r="J72" i="269"/>
  <c r="J76" i="269" s="1"/>
  <c r="J182" i="269"/>
  <c r="J186" i="269" s="1"/>
  <c r="J127" i="269"/>
  <c r="J71" i="269"/>
  <c r="J75" i="269" s="1"/>
  <c r="K56" i="260"/>
  <c r="M98" i="260"/>
  <c r="M93" i="260"/>
  <c r="M76" i="260"/>
  <c r="M59" i="260"/>
  <c r="L52" i="260"/>
  <c r="F23" i="261" s="1"/>
  <c r="K84" i="260"/>
  <c r="K86" i="260" s="1"/>
  <c r="K81" i="260"/>
  <c r="K82" i="260"/>
  <c r="K65" i="260"/>
  <c r="K64" i="260"/>
  <c r="L94" i="260"/>
  <c r="L66" i="260"/>
  <c r="J133" i="269" l="1"/>
  <c r="J130" i="269"/>
  <c r="J131" i="269"/>
  <c r="J132" i="269"/>
  <c r="J140" i="269"/>
  <c r="J106" i="260" s="1"/>
  <c r="J141" i="269"/>
  <c r="J143" i="269"/>
  <c r="J142" i="269"/>
  <c r="J108" i="260" s="1"/>
  <c r="K69" i="260"/>
  <c r="E662" i="261"/>
  <c r="S135" i="278"/>
  <c r="S121" i="278"/>
  <c r="S135" i="310"/>
  <c r="S121" i="310"/>
  <c r="S135" i="306"/>
  <c r="S121" i="306"/>
  <c r="S135" i="272"/>
  <c r="S121" i="272"/>
  <c r="I135" i="269"/>
  <c r="I136" i="269"/>
  <c r="I145" i="269" s="1"/>
  <c r="I45" i="260" s="1"/>
  <c r="T121" i="269"/>
  <c r="S135" i="303"/>
  <c r="S121" i="303"/>
  <c r="D936" i="261"/>
  <c r="F59" i="261"/>
  <c r="D857" i="261"/>
  <c r="E60" i="261"/>
  <c r="M95" i="260"/>
  <c r="M66" i="260" s="1"/>
  <c r="M96" i="260"/>
  <c r="M83" i="260" s="1"/>
  <c r="M145" i="310"/>
  <c r="M145" i="303"/>
  <c r="M145" i="306"/>
  <c r="N136" i="272"/>
  <c r="N122" i="272"/>
  <c r="M145" i="278"/>
  <c r="N136" i="306"/>
  <c r="N122" i="306"/>
  <c r="N122" i="303"/>
  <c r="N136" i="303"/>
  <c r="N136" i="310"/>
  <c r="N122" i="310"/>
  <c r="N136" i="278"/>
  <c r="N122" i="278"/>
  <c r="M145" i="272"/>
  <c r="O122" i="269"/>
  <c r="C326" i="261"/>
  <c r="K90" i="260"/>
  <c r="B26" i="261"/>
  <c r="L49" i="268"/>
  <c r="L71" i="269" s="1"/>
  <c r="L75" i="269" s="1"/>
  <c r="L48" i="268"/>
  <c r="L181" i="269" s="1"/>
  <c r="L185" i="269" s="1"/>
  <c r="M50" i="268"/>
  <c r="L183" i="269"/>
  <c r="L187" i="269" s="1"/>
  <c r="L128" i="269"/>
  <c r="L72" i="269"/>
  <c r="L76" i="269" s="1"/>
  <c r="K181" i="269"/>
  <c r="K185" i="269" s="1"/>
  <c r="K126" i="269"/>
  <c r="K70" i="269"/>
  <c r="J74" i="269"/>
  <c r="J83" i="269"/>
  <c r="J104" i="260" s="1"/>
  <c r="K182" i="269"/>
  <c r="K186" i="269" s="1"/>
  <c r="K127" i="269"/>
  <c r="K71" i="269"/>
  <c r="K75" i="269" s="1"/>
  <c r="J109" i="260"/>
  <c r="J107" i="260"/>
  <c r="K183" i="269"/>
  <c r="K187" i="269" s="1"/>
  <c r="K128" i="269"/>
  <c r="K72" i="269"/>
  <c r="K76" i="269" s="1"/>
  <c r="J189" i="269"/>
  <c r="J202" i="269"/>
  <c r="J113" i="260" s="1"/>
  <c r="L56" i="260"/>
  <c r="N59" i="260"/>
  <c r="N76" i="260"/>
  <c r="N93" i="260"/>
  <c r="N98" i="260"/>
  <c r="M52" i="260"/>
  <c r="F24" i="261" s="1"/>
  <c r="L65" i="260"/>
  <c r="L64" i="260"/>
  <c r="L81" i="260"/>
  <c r="L82" i="260"/>
  <c r="L67" i="260"/>
  <c r="L69" i="260" s="1"/>
  <c r="M94" i="260"/>
  <c r="L84" i="260"/>
  <c r="K73" i="260" l="1"/>
  <c r="K130" i="269"/>
  <c r="K131" i="269"/>
  <c r="K132" i="269"/>
  <c r="K133" i="269"/>
  <c r="K141" i="269"/>
  <c r="K107" i="260" s="1"/>
  <c r="K140" i="269"/>
  <c r="K106" i="260" s="1"/>
  <c r="K142" i="269"/>
  <c r="K108" i="260" s="1"/>
  <c r="K143" i="269"/>
  <c r="K109" i="260" s="1"/>
  <c r="E663" i="261"/>
  <c r="L86" i="260"/>
  <c r="L90" i="260" s="1"/>
  <c r="T135" i="278"/>
  <c r="T121" i="278"/>
  <c r="T135" i="310"/>
  <c r="T121" i="310"/>
  <c r="T135" i="306"/>
  <c r="T121" i="306"/>
  <c r="T135" i="272"/>
  <c r="T121" i="272"/>
  <c r="J135" i="269"/>
  <c r="J136" i="269"/>
  <c r="J145" i="269" s="1"/>
  <c r="J45" i="260" s="1"/>
  <c r="U121" i="269"/>
  <c r="T135" i="303"/>
  <c r="T121" i="303"/>
  <c r="D937" i="261"/>
  <c r="F60" i="261"/>
  <c r="N95" i="260"/>
  <c r="N96" i="260"/>
  <c r="N145" i="278"/>
  <c r="N145" i="310"/>
  <c r="N145" i="306"/>
  <c r="O122" i="306"/>
  <c r="O136" i="306"/>
  <c r="N145" i="272"/>
  <c r="P122" i="269"/>
  <c r="O122" i="278"/>
  <c r="O136" i="278"/>
  <c r="O122" i="272"/>
  <c r="O136" i="272"/>
  <c r="O122" i="303"/>
  <c r="O136" i="303"/>
  <c r="N145" i="303"/>
  <c r="O136" i="310"/>
  <c r="O122" i="310"/>
  <c r="C484" i="261"/>
  <c r="L126" i="269"/>
  <c r="B27" i="261"/>
  <c r="L70" i="269"/>
  <c r="L74" i="269" s="1"/>
  <c r="L127" i="269"/>
  <c r="L182" i="269"/>
  <c r="L186" i="269" s="1"/>
  <c r="L189" i="269" s="1"/>
  <c r="M49" i="268"/>
  <c r="M182" i="269" s="1"/>
  <c r="M186" i="269" s="1"/>
  <c r="M48" i="268"/>
  <c r="M126" i="269" s="1"/>
  <c r="K189" i="269"/>
  <c r="K202" i="269"/>
  <c r="K113" i="260" s="1"/>
  <c r="O43" i="268"/>
  <c r="O44" i="268" s="1"/>
  <c r="O46" i="268" s="1"/>
  <c r="N43" i="268"/>
  <c r="N44" i="268" s="1"/>
  <c r="N46" i="268" s="1"/>
  <c r="J78" i="269"/>
  <c r="J85" i="269" s="1"/>
  <c r="J44" i="260" s="1"/>
  <c r="J82" i="269"/>
  <c r="J103" i="260" s="1"/>
  <c r="K74" i="269"/>
  <c r="K83" i="269"/>
  <c r="K104" i="260" s="1"/>
  <c r="M128" i="269"/>
  <c r="M183" i="269"/>
  <c r="M187" i="269" s="1"/>
  <c r="M72" i="269"/>
  <c r="M76" i="269" s="1"/>
  <c r="M56" i="260"/>
  <c r="O59" i="260"/>
  <c r="O98" i="260"/>
  <c r="O93" i="260"/>
  <c r="O76" i="260"/>
  <c r="N94" i="260"/>
  <c r="N66" i="260"/>
  <c r="N52" i="260"/>
  <c r="F25" i="261" s="1"/>
  <c r="M82" i="260"/>
  <c r="M81" i="260"/>
  <c r="M65" i="260"/>
  <c r="M64" i="260"/>
  <c r="M67" i="260"/>
  <c r="M69" i="260" s="1"/>
  <c r="M84" i="260"/>
  <c r="M86" i="260" s="1"/>
  <c r="L73" i="260"/>
  <c r="L131" i="269" l="1"/>
  <c r="L132" i="269"/>
  <c r="L133" i="269"/>
  <c r="L130" i="269"/>
  <c r="L141" i="269"/>
  <c r="L107" i="260" s="1"/>
  <c r="L140" i="269"/>
  <c r="L106" i="260" s="1"/>
  <c r="L142" i="269"/>
  <c r="L143" i="269"/>
  <c r="L109" i="260" s="1"/>
  <c r="E664" i="261"/>
  <c r="U135" i="278"/>
  <c r="U121" i="278"/>
  <c r="U135" i="310"/>
  <c r="U121" i="310"/>
  <c r="U135" i="306"/>
  <c r="U121" i="306"/>
  <c r="U135" i="272"/>
  <c r="U121" i="272"/>
  <c r="K135" i="269"/>
  <c r="K136" i="269"/>
  <c r="K145" i="269" s="1"/>
  <c r="K45" i="260" s="1"/>
  <c r="V121" i="269"/>
  <c r="U135" i="303"/>
  <c r="U121" i="303"/>
  <c r="D858" i="261"/>
  <c r="E61" i="261"/>
  <c r="D938" i="261"/>
  <c r="F61" i="261"/>
  <c r="O96" i="260"/>
  <c r="O95" i="260"/>
  <c r="O66" i="260" s="1"/>
  <c r="O145" i="303"/>
  <c r="O145" i="310"/>
  <c r="P136" i="306"/>
  <c r="P122" i="306"/>
  <c r="Q122" i="269"/>
  <c r="O145" i="272"/>
  <c r="P136" i="278"/>
  <c r="P122" i="278"/>
  <c r="P136" i="303"/>
  <c r="P122" i="303"/>
  <c r="P122" i="310"/>
  <c r="P136" i="310"/>
  <c r="P122" i="272"/>
  <c r="P136" i="272"/>
  <c r="O145" i="278"/>
  <c r="O145" i="306"/>
  <c r="M90" i="260"/>
  <c r="N84" i="260"/>
  <c r="N86" i="260" s="1"/>
  <c r="N83" i="260"/>
  <c r="M71" i="269"/>
  <c r="M75" i="269" s="1"/>
  <c r="M70" i="269"/>
  <c r="M74" i="269" s="1"/>
  <c r="B28" i="261"/>
  <c r="L108" i="260"/>
  <c r="M181" i="269"/>
  <c r="M185" i="269" s="1"/>
  <c r="M189" i="269" s="1"/>
  <c r="L202" i="269"/>
  <c r="L113" i="260" s="1"/>
  <c r="L83" i="269"/>
  <c r="L104" i="260" s="1"/>
  <c r="N56" i="260"/>
  <c r="M127" i="269"/>
  <c r="M133" i="269" s="1"/>
  <c r="O49" i="268"/>
  <c r="N48" i="268"/>
  <c r="P43" i="268"/>
  <c r="P44" i="268" s="1"/>
  <c r="P46" i="268" s="1"/>
  <c r="K78" i="269"/>
  <c r="K85" i="269" s="1"/>
  <c r="K44" i="260" s="1"/>
  <c r="K82" i="269"/>
  <c r="K103" i="260" s="1"/>
  <c r="L78" i="269"/>
  <c r="L85" i="269" s="1"/>
  <c r="L44" i="260" s="1"/>
  <c r="L82" i="269"/>
  <c r="L103" i="260" s="1"/>
  <c r="M73" i="260"/>
  <c r="P93" i="260"/>
  <c r="P59" i="260"/>
  <c r="P98" i="260"/>
  <c r="P76" i="260"/>
  <c r="N65" i="260"/>
  <c r="N64" i="260"/>
  <c r="N67" i="260"/>
  <c r="N69" i="260" s="1"/>
  <c r="O52" i="260"/>
  <c r="F26" i="261" s="1"/>
  <c r="O94" i="260"/>
  <c r="N81" i="260"/>
  <c r="N82" i="260"/>
  <c r="M143" i="269" l="1"/>
  <c r="M109" i="260" s="1"/>
  <c r="M131" i="269"/>
  <c r="M141" i="269"/>
  <c r="M107" i="260" s="1"/>
  <c r="M130" i="269"/>
  <c r="M142" i="269"/>
  <c r="M140" i="269"/>
  <c r="M132" i="269"/>
  <c r="E665" i="261"/>
  <c r="V135" i="278"/>
  <c r="V121" i="278"/>
  <c r="V135" i="310"/>
  <c r="V121" i="310"/>
  <c r="V135" i="306"/>
  <c r="V121" i="306"/>
  <c r="V135" i="272"/>
  <c r="V121" i="272"/>
  <c r="L135" i="269"/>
  <c r="L136" i="269"/>
  <c r="L145" i="269" s="1"/>
  <c r="L45" i="260" s="1"/>
  <c r="W121" i="269"/>
  <c r="V135" i="303"/>
  <c r="V121" i="303"/>
  <c r="D859" i="261"/>
  <c r="E62" i="261"/>
  <c r="D860" i="261"/>
  <c r="E63" i="261"/>
  <c r="D939" i="261"/>
  <c r="F62" i="261"/>
  <c r="P95" i="260"/>
  <c r="P96" i="260"/>
  <c r="P145" i="278"/>
  <c r="P145" i="310"/>
  <c r="P145" i="303"/>
  <c r="Q136" i="278"/>
  <c r="Q122" i="278"/>
  <c r="Q122" i="306"/>
  <c r="Q136" i="306"/>
  <c r="Q136" i="272"/>
  <c r="Q122" i="272"/>
  <c r="P145" i="306"/>
  <c r="Q122" i="303"/>
  <c r="Q136" i="303"/>
  <c r="P145" i="272"/>
  <c r="R122" i="269"/>
  <c r="Q136" i="310"/>
  <c r="Q122" i="310"/>
  <c r="N90" i="260"/>
  <c r="O84" i="260"/>
  <c r="O86" i="260" s="1"/>
  <c r="O83" i="260"/>
  <c r="M83" i="269"/>
  <c r="M104" i="260" s="1"/>
  <c r="M202" i="269"/>
  <c r="M113" i="260" s="1"/>
  <c r="B29" i="261"/>
  <c r="M106" i="260"/>
  <c r="N50" i="268"/>
  <c r="N128" i="269" s="1"/>
  <c r="M108" i="260"/>
  <c r="O56" i="260"/>
  <c r="O48" i="268"/>
  <c r="O181" i="269" s="1"/>
  <c r="O185" i="269" s="1"/>
  <c r="O50" i="268"/>
  <c r="O72" i="269" s="1"/>
  <c r="O76" i="269" s="1"/>
  <c r="P50" i="268"/>
  <c r="N49" i="268"/>
  <c r="N182" i="269" s="1"/>
  <c r="N186" i="269" s="1"/>
  <c r="N181" i="269"/>
  <c r="N185" i="269" s="1"/>
  <c r="N126" i="269"/>
  <c r="N70" i="269"/>
  <c r="O127" i="269"/>
  <c r="O182" i="269"/>
  <c r="O186" i="269" s="1"/>
  <c r="O71" i="269"/>
  <c r="O75" i="269" s="1"/>
  <c r="M78" i="269"/>
  <c r="M85" i="269" s="1"/>
  <c r="M44" i="260" s="1"/>
  <c r="M82" i="269"/>
  <c r="M103" i="260" s="1"/>
  <c r="N73" i="260"/>
  <c r="O67" i="260"/>
  <c r="O69" i="260" s="1"/>
  <c r="O64" i="260"/>
  <c r="O65" i="260"/>
  <c r="P52" i="260"/>
  <c r="F27" i="261" s="1"/>
  <c r="O82" i="260"/>
  <c r="O81" i="260"/>
  <c r="P94" i="260"/>
  <c r="P83" i="260"/>
  <c r="Q59" i="260"/>
  <c r="Q93" i="260"/>
  <c r="Q98" i="260"/>
  <c r="Q76" i="260"/>
  <c r="E666" i="261" l="1"/>
  <c r="W135" i="278"/>
  <c r="W121" i="278"/>
  <c r="W135" i="310"/>
  <c r="W121" i="310"/>
  <c r="W135" i="306"/>
  <c r="W121" i="306"/>
  <c r="W135" i="272"/>
  <c r="W121" i="272"/>
  <c r="M135" i="269"/>
  <c r="M136" i="269"/>
  <c r="M145" i="269" s="1"/>
  <c r="M45" i="260" s="1"/>
  <c r="X121" i="269"/>
  <c r="W135" i="303"/>
  <c r="W121" i="303"/>
  <c r="D940" i="261"/>
  <c r="F63" i="261"/>
  <c r="D861" i="261"/>
  <c r="E64" i="261"/>
  <c r="Q96" i="260"/>
  <c r="Q95" i="260"/>
  <c r="Q145" i="272"/>
  <c r="Q145" i="306"/>
  <c r="Q145" i="310"/>
  <c r="Q145" i="278"/>
  <c r="R136" i="278"/>
  <c r="R122" i="278"/>
  <c r="R136" i="303"/>
  <c r="R122" i="303"/>
  <c r="R122" i="306"/>
  <c r="R136" i="306"/>
  <c r="R136" i="310"/>
  <c r="R122" i="310"/>
  <c r="S122" i="269"/>
  <c r="R122" i="272"/>
  <c r="R136" i="272"/>
  <c r="Q145" i="303"/>
  <c r="O90" i="260"/>
  <c r="P67" i="260"/>
  <c r="P69" i="260" s="1"/>
  <c r="P66" i="260"/>
  <c r="B30" i="261"/>
  <c r="N183" i="269"/>
  <c r="N187" i="269" s="1"/>
  <c r="N202" i="269" s="1"/>
  <c r="N113" i="260" s="1"/>
  <c r="N72" i="269"/>
  <c r="N76" i="269" s="1"/>
  <c r="O70" i="269"/>
  <c r="O74" i="269" s="1"/>
  <c r="O126" i="269"/>
  <c r="O128" i="269"/>
  <c r="O183" i="269"/>
  <c r="O187" i="269" s="1"/>
  <c r="O202" i="269" s="1"/>
  <c r="O113" i="260" s="1"/>
  <c r="P56" i="260"/>
  <c r="P48" i="268"/>
  <c r="P70" i="269" s="1"/>
  <c r="P49" i="268"/>
  <c r="P182" i="269" s="1"/>
  <c r="P186" i="269" s="1"/>
  <c r="N127" i="269"/>
  <c r="N133" i="269" s="1"/>
  <c r="N71" i="269"/>
  <c r="N75" i="269" s="1"/>
  <c r="Q43" i="268"/>
  <c r="Q44" i="268" s="1"/>
  <c r="Q46" i="268" s="1"/>
  <c r="P183" i="269"/>
  <c r="P187" i="269" s="1"/>
  <c r="P128" i="269"/>
  <c r="P72" i="269"/>
  <c r="P76" i="269" s="1"/>
  <c r="N74" i="269"/>
  <c r="O73" i="260"/>
  <c r="Q94" i="260"/>
  <c r="R59" i="260"/>
  <c r="R98" i="260"/>
  <c r="R93" i="260"/>
  <c r="R76" i="260"/>
  <c r="P84" i="260"/>
  <c r="P86" i="260" s="1"/>
  <c r="P81" i="260"/>
  <c r="P82" i="260"/>
  <c r="Q52" i="260"/>
  <c r="F28" i="261" s="1"/>
  <c r="P64" i="260"/>
  <c r="P65" i="260"/>
  <c r="N140" i="269" l="1"/>
  <c r="N132" i="269"/>
  <c r="N142" i="269"/>
  <c r="N108" i="260" s="1"/>
  <c r="N131" i="269"/>
  <c r="N143" i="269"/>
  <c r="N130" i="269"/>
  <c r="O130" i="269"/>
  <c r="O131" i="269"/>
  <c r="O132" i="269"/>
  <c r="O133" i="269"/>
  <c r="O142" i="269"/>
  <c r="O143" i="269"/>
  <c r="O109" i="260" s="1"/>
  <c r="O140" i="269"/>
  <c r="O141" i="269"/>
  <c r="N141" i="269"/>
  <c r="N107" i="260" s="1"/>
  <c r="E667" i="261"/>
  <c r="X135" i="278"/>
  <c r="X121" i="278"/>
  <c r="X135" i="310"/>
  <c r="X121" i="310"/>
  <c r="X135" i="306"/>
  <c r="X121" i="306"/>
  <c r="X135" i="272"/>
  <c r="X121" i="272"/>
  <c r="Y121" i="269"/>
  <c r="X135" i="303"/>
  <c r="X121" i="303"/>
  <c r="D941" i="261"/>
  <c r="F64" i="261"/>
  <c r="R96" i="260"/>
  <c r="R95" i="260"/>
  <c r="R66" i="260" s="1"/>
  <c r="R145" i="278"/>
  <c r="R145" i="306"/>
  <c r="R145" i="310"/>
  <c r="R145" i="272"/>
  <c r="S136" i="310"/>
  <c r="S122" i="310"/>
  <c r="S122" i="278"/>
  <c r="S136" i="278"/>
  <c r="T122" i="269"/>
  <c r="R145" i="303"/>
  <c r="S122" i="272"/>
  <c r="S136" i="272"/>
  <c r="S122" i="303"/>
  <c r="S136" i="303"/>
  <c r="S136" i="306"/>
  <c r="S122" i="306"/>
  <c r="P90" i="260"/>
  <c r="P73" i="260"/>
  <c r="Q84" i="260"/>
  <c r="Q86" i="260" s="1"/>
  <c r="Q83" i="260"/>
  <c r="Q67" i="260"/>
  <c r="Q69" i="260" s="1"/>
  <c r="Q66" i="260"/>
  <c r="O107" i="260"/>
  <c r="B31" i="261"/>
  <c r="N189" i="269"/>
  <c r="O189" i="269"/>
  <c r="P181" i="269"/>
  <c r="P185" i="269" s="1"/>
  <c r="P189" i="269" s="1"/>
  <c r="O108" i="260"/>
  <c r="O106" i="260"/>
  <c r="P126" i="269"/>
  <c r="O83" i="269"/>
  <c r="O104" i="260" s="1"/>
  <c r="P71" i="269"/>
  <c r="P75" i="269" s="1"/>
  <c r="Q56" i="260"/>
  <c r="P127" i="269"/>
  <c r="N109" i="260"/>
  <c r="N106" i="260"/>
  <c r="N83" i="269"/>
  <c r="N104" i="260" s="1"/>
  <c r="Q50" i="268"/>
  <c r="R43" i="268"/>
  <c r="R44" i="268" s="1"/>
  <c r="R46" i="268" s="1"/>
  <c r="P74" i="269"/>
  <c r="N78" i="269"/>
  <c r="N85" i="269" s="1"/>
  <c r="N44" i="260" s="1"/>
  <c r="N82" i="269"/>
  <c r="N103" i="260" s="1"/>
  <c r="S43" i="268"/>
  <c r="S44" i="268" s="1"/>
  <c r="S46" i="268" s="1"/>
  <c r="O78" i="269"/>
  <c r="O85" i="269" s="1"/>
  <c r="O44" i="260" s="1"/>
  <c r="O82" i="269"/>
  <c r="O103" i="260" s="1"/>
  <c r="R94" i="260"/>
  <c r="R52" i="260"/>
  <c r="F29" i="261" s="1"/>
  <c r="Q81" i="260"/>
  <c r="Q82" i="260"/>
  <c r="Q64" i="260"/>
  <c r="Q65" i="260"/>
  <c r="S59" i="260"/>
  <c r="S52" i="260"/>
  <c r="S98" i="260"/>
  <c r="S93" i="260"/>
  <c r="S76" i="260"/>
  <c r="E669" i="261" l="1"/>
  <c r="F30" i="261"/>
  <c r="P131" i="269"/>
  <c r="P132" i="269"/>
  <c r="P133" i="269"/>
  <c r="P130" i="269"/>
  <c r="P141" i="269"/>
  <c r="P140" i="269"/>
  <c r="P106" i="260" s="1"/>
  <c r="P142" i="269"/>
  <c r="P143" i="269"/>
  <c r="P109" i="260" s="1"/>
  <c r="E668" i="261"/>
  <c r="Y135" i="278"/>
  <c r="Y121" i="278"/>
  <c r="Y135" i="310"/>
  <c r="Y121" i="310"/>
  <c r="Y135" i="306"/>
  <c r="Y121" i="306"/>
  <c r="Y135" i="272"/>
  <c r="Y121" i="272"/>
  <c r="O135" i="269"/>
  <c r="O136" i="269"/>
  <c r="O145" i="269" s="1"/>
  <c r="O45" i="260" s="1"/>
  <c r="N135" i="269"/>
  <c r="N136" i="269"/>
  <c r="N145" i="269" s="1"/>
  <c r="N45" i="260" s="1"/>
  <c r="Z121" i="269"/>
  <c r="Y135" i="303"/>
  <c r="Y121" i="303"/>
  <c r="D862" i="261"/>
  <c r="E65" i="261"/>
  <c r="D863" i="261"/>
  <c r="E66" i="261"/>
  <c r="S95" i="260"/>
  <c r="S66" i="260" s="1"/>
  <c r="S96" i="260"/>
  <c r="S83" i="260" s="1"/>
  <c r="S145" i="306"/>
  <c r="S145" i="310"/>
  <c r="S145" i="303"/>
  <c r="U122" i="269"/>
  <c r="T136" i="272"/>
  <c r="T122" i="272"/>
  <c r="T122" i="278"/>
  <c r="T136" i="278"/>
  <c r="T122" i="303"/>
  <c r="T136" i="303"/>
  <c r="S145" i="278"/>
  <c r="T122" i="306"/>
  <c r="T136" i="306"/>
  <c r="S145" i="272"/>
  <c r="T122" i="310"/>
  <c r="T136" i="310"/>
  <c r="Q90" i="260"/>
  <c r="Q73" i="260"/>
  <c r="R84" i="260"/>
  <c r="R86" i="260" s="1"/>
  <c r="R83" i="260"/>
  <c r="P202" i="269"/>
  <c r="P113" i="260" s="1"/>
  <c r="B32" i="261"/>
  <c r="P107" i="260"/>
  <c r="P83" i="269"/>
  <c r="P104" i="260" s="1"/>
  <c r="P108" i="260"/>
  <c r="R56" i="260"/>
  <c r="S56" i="260" s="1"/>
  <c r="Q48" i="268"/>
  <c r="Q70" i="269" s="1"/>
  <c r="Q49" i="268"/>
  <c r="Q182" i="269" s="1"/>
  <c r="Q186" i="269" s="1"/>
  <c r="R49" i="268"/>
  <c r="P78" i="269"/>
  <c r="P85" i="269" s="1"/>
  <c r="P44" i="260" s="1"/>
  <c r="P82" i="269"/>
  <c r="P103" i="260" s="1"/>
  <c r="Q183" i="269"/>
  <c r="Q187" i="269" s="1"/>
  <c r="Q128" i="269"/>
  <c r="Q72" i="269"/>
  <c r="Q76" i="269" s="1"/>
  <c r="R65" i="260"/>
  <c r="R64" i="260"/>
  <c r="T93" i="260"/>
  <c r="T76" i="260"/>
  <c r="T59" i="260"/>
  <c r="T98" i="260"/>
  <c r="S94" i="260"/>
  <c r="R67" i="260"/>
  <c r="R69" i="260" s="1"/>
  <c r="R81" i="260"/>
  <c r="R82" i="260"/>
  <c r="Z135" i="278" l="1"/>
  <c r="Z121" i="278"/>
  <c r="Z135" i="310"/>
  <c r="Z121" i="310"/>
  <c r="Z135" i="306"/>
  <c r="Z121" i="306"/>
  <c r="Z135" i="272"/>
  <c r="Z121" i="272"/>
  <c r="P135" i="269"/>
  <c r="P136" i="269"/>
  <c r="P145" i="269" s="1"/>
  <c r="P45" i="260" s="1"/>
  <c r="AA121" i="269"/>
  <c r="Z135" i="303"/>
  <c r="Z121" i="303"/>
  <c r="D942" i="261"/>
  <c r="F65" i="261"/>
  <c r="D943" i="261"/>
  <c r="F66" i="261"/>
  <c r="D864" i="261"/>
  <c r="E67" i="261"/>
  <c r="T95" i="260"/>
  <c r="T96" i="260"/>
  <c r="T145" i="306"/>
  <c r="T145" i="278"/>
  <c r="T145" i="310"/>
  <c r="T145" i="303"/>
  <c r="U136" i="303"/>
  <c r="U122" i="303"/>
  <c r="T145" i="272"/>
  <c r="U122" i="272"/>
  <c r="U136" i="272"/>
  <c r="U136" i="278"/>
  <c r="U122" i="278"/>
  <c r="U122" i="310"/>
  <c r="U136" i="310"/>
  <c r="U136" i="306"/>
  <c r="U122" i="306"/>
  <c r="V122" i="269"/>
  <c r="R90" i="260"/>
  <c r="B33" i="261"/>
  <c r="R73" i="260"/>
  <c r="Q126" i="269"/>
  <c r="Q181" i="269"/>
  <c r="Q185" i="269" s="1"/>
  <c r="Q189" i="269" s="1"/>
  <c r="R48" i="268"/>
  <c r="R181" i="269" s="1"/>
  <c r="R185" i="269" s="1"/>
  <c r="R50" i="268"/>
  <c r="R183" i="269" s="1"/>
  <c r="R187" i="269" s="1"/>
  <c r="Q71" i="269"/>
  <c r="Q75" i="269" s="1"/>
  <c r="Q127" i="269"/>
  <c r="R182" i="269"/>
  <c r="R186" i="269" s="1"/>
  <c r="R127" i="269"/>
  <c r="R71" i="269"/>
  <c r="R75" i="269" s="1"/>
  <c r="S49" i="268"/>
  <c r="S50" i="268"/>
  <c r="S48" i="268"/>
  <c r="U43" i="268"/>
  <c r="U44" i="268" s="1"/>
  <c r="U46" i="268" s="1"/>
  <c r="Q74" i="269"/>
  <c r="T43" i="268"/>
  <c r="T44" i="268" s="1"/>
  <c r="T46" i="268" s="1"/>
  <c r="U93" i="260"/>
  <c r="U76" i="260"/>
  <c r="U59" i="260"/>
  <c r="U98" i="260"/>
  <c r="S67" i="260"/>
  <c r="S69" i="260" s="1"/>
  <c r="S65" i="260"/>
  <c r="S64" i="260"/>
  <c r="S84" i="260"/>
  <c r="S86" i="260" s="1"/>
  <c r="S82" i="260"/>
  <c r="S81" i="260"/>
  <c r="T94" i="260"/>
  <c r="T52" i="260"/>
  <c r="F31" i="261" s="1"/>
  <c r="Q132" i="269" l="1"/>
  <c r="Q133" i="269"/>
  <c r="Q130" i="269"/>
  <c r="Q131" i="269"/>
  <c r="Q142" i="269"/>
  <c r="Q140" i="269"/>
  <c r="Q106" i="260" s="1"/>
  <c r="Q141" i="269"/>
  <c r="Q107" i="260" s="1"/>
  <c r="Q143" i="269"/>
  <c r="Q109" i="260" s="1"/>
  <c r="E670" i="261"/>
  <c r="AA135" i="278"/>
  <c r="AA121" i="278"/>
  <c r="AA135" i="310"/>
  <c r="AA121" i="310"/>
  <c r="AA135" i="306"/>
  <c r="AA121" i="306"/>
  <c r="AA135" i="272"/>
  <c r="AA121" i="272"/>
  <c r="AB121" i="269"/>
  <c r="AA135" i="303"/>
  <c r="AA121" i="303"/>
  <c r="D944" i="261"/>
  <c r="F67" i="261"/>
  <c r="U95" i="260"/>
  <c r="U96" i="260"/>
  <c r="U145" i="278"/>
  <c r="U145" i="306"/>
  <c r="U145" i="272"/>
  <c r="V122" i="306"/>
  <c r="V136" i="306"/>
  <c r="V122" i="278"/>
  <c r="V136" i="278"/>
  <c r="V122" i="303"/>
  <c r="V136" i="303"/>
  <c r="U145" i="310"/>
  <c r="U145" i="303"/>
  <c r="W122" i="269"/>
  <c r="V136" i="310"/>
  <c r="V122" i="310"/>
  <c r="V122" i="272"/>
  <c r="V136" i="272"/>
  <c r="S90" i="260"/>
  <c r="T67" i="260"/>
  <c r="T69" i="260" s="1"/>
  <c r="T66" i="260"/>
  <c r="T84" i="260"/>
  <c r="T86" i="260" s="1"/>
  <c r="T83" i="260"/>
  <c r="B34" i="261"/>
  <c r="Q202" i="269"/>
  <c r="Q113" i="260" s="1"/>
  <c r="T56" i="260"/>
  <c r="S73" i="260"/>
  <c r="R128" i="269"/>
  <c r="Q83" i="269"/>
  <c r="Q104" i="260" s="1"/>
  <c r="R72" i="269"/>
  <c r="R76" i="269" s="1"/>
  <c r="R70" i="269"/>
  <c r="R74" i="269" s="1"/>
  <c r="R126" i="269"/>
  <c r="Q108" i="260"/>
  <c r="U49" i="268"/>
  <c r="Q78" i="269"/>
  <c r="Q85" i="269" s="1"/>
  <c r="Q44" i="260" s="1"/>
  <c r="Q82" i="269"/>
  <c r="Q103" i="260" s="1"/>
  <c r="R189" i="269"/>
  <c r="R202" i="269"/>
  <c r="R113" i="260" s="1"/>
  <c r="S181" i="269"/>
  <c r="S185" i="269" s="1"/>
  <c r="S126" i="269"/>
  <c r="S70" i="269"/>
  <c r="S183" i="269"/>
  <c r="S187" i="269" s="1"/>
  <c r="S128" i="269"/>
  <c r="S72" i="269"/>
  <c r="S76" i="269" s="1"/>
  <c r="V43" i="268"/>
  <c r="V44" i="268" s="1"/>
  <c r="V46" i="268" s="1"/>
  <c r="S182" i="269"/>
  <c r="S186" i="269" s="1"/>
  <c r="S71" i="269"/>
  <c r="S75" i="269" s="1"/>
  <c r="S127" i="269"/>
  <c r="U52" i="260"/>
  <c r="F32" i="261" s="1"/>
  <c r="T64" i="260"/>
  <c r="T65" i="260"/>
  <c r="V59" i="260"/>
  <c r="V93" i="260"/>
  <c r="V76" i="260"/>
  <c r="V98" i="260"/>
  <c r="T81" i="260"/>
  <c r="T82" i="260"/>
  <c r="U94" i="260"/>
  <c r="R133" i="269" l="1"/>
  <c r="R130" i="269"/>
  <c r="R131" i="269"/>
  <c r="R132" i="269"/>
  <c r="R141" i="269"/>
  <c r="R107" i="260" s="1"/>
  <c r="R143" i="269"/>
  <c r="R142" i="269"/>
  <c r="R140" i="269"/>
  <c r="R106" i="260" s="1"/>
  <c r="S130" i="269"/>
  <c r="S131" i="269"/>
  <c r="S132" i="269"/>
  <c r="S133" i="269"/>
  <c r="S142" i="269"/>
  <c r="S108" i="260" s="1"/>
  <c r="S143" i="269"/>
  <c r="S109" i="260" s="1"/>
  <c r="S140" i="269"/>
  <c r="S106" i="260" s="1"/>
  <c r="S141" i="269"/>
  <c r="S107" i="260" s="1"/>
  <c r="E671" i="261"/>
  <c r="AB135" i="278"/>
  <c r="AB121" i="278"/>
  <c r="AB135" i="310"/>
  <c r="AB121" i="310"/>
  <c r="AB135" i="306"/>
  <c r="AB121" i="306"/>
  <c r="AB135" i="272"/>
  <c r="AB121" i="272"/>
  <c r="Q135" i="269"/>
  <c r="Q136" i="269"/>
  <c r="Q145" i="269" s="1"/>
  <c r="Q45" i="260" s="1"/>
  <c r="AC121" i="269"/>
  <c r="AB135" i="303"/>
  <c r="AB121" i="303"/>
  <c r="D865" i="261"/>
  <c r="E68" i="261"/>
  <c r="V95" i="260"/>
  <c r="V66" i="260" s="1"/>
  <c r="V96" i="260"/>
  <c r="V83" i="260" s="1"/>
  <c r="V145" i="310"/>
  <c r="V145" i="278"/>
  <c r="V145" i="303"/>
  <c r="X122" i="269"/>
  <c r="V145" i="272"/>
  <c r="V145" i="306"/>
  <c r="W122" i="272"/>
  <c r="W136" i="272"/>
  <c r="W122" i="303"/>
  <c r="W136" i="303"/>
  <c r="W136" i="278"/>
  <c r="W122" i="278"/>
  <c r="W136" i="306"/>
  <c r="W122" i="306"/>
  <c r="W122" i="310"/>
  <c r="W136" i="310"/>
  <c r="T90" i="260"/>
  <c r="T73" i="260"/>
  <c r="U67" i="260"/>
  <c r="U69" i="260" s="1"/>
  <c r="U66" i="260"/>
  <c r="U84" i="260"/>
  <c r="U86" i="260" s="1"/>
  <c r="U83" i="260"/>
  <c r="B35" i="261"/>
  <c r="U56" i="260"/>
  <c r="R108" i="260"/>
  <c r="R83" i="269"/>
  <c r="R104" i="260" s="1"/>
  <c r="R109" i="260"/>
  <c r="U48" i="268"/>
  <c r="U181" i="269" s="1"/>
  <c r="U185" i="269" s="1"/>
  <c r="U50" i="268"/>
  <c r="U72" i="269" s="1"/>
  <c r="U76" i="269" s="1"/>
  <c r="R78" i="269"/>
  <c r="R85" i="269" s="1"/>
  <c r="R44" i="260" s="1"/>
  <c r="R82" i="269"/>
  <c r="R103" i="260" s="1"/>
  <c r="U182" i="269"/>
  <c r="U186" i="269" s="1"/>
  <c r="U127" i="269"/>
  <c r="U71" i="269"/>
  <c r="U75" i="269" s="1"/>
  <c r="S74" i="269"/>
  <c r="S83" i="269"/>
  <c r="S104" i="260" s="1"/>
  <c r="T49" i="268"/>
  <c r="T50" i="268"/>
  <c r="T48" i="268"/>
  <c r="W43" i="268"/>
  <c r="W44" i="268" s="1"/>
  <c r="W46" i="268" s="1"/>
  <c r="S189" i="269"/>
  <c r="S202" i="269"/>
  <c r="S113" i="260" s="1"/>
  <c r="W98" i="260"/>
  <c r="W93" i="260"/>
  <c r="W76" i="260"/>
  <c r="W59" i="260"/>
  <c r="V94" i="260"/>
  <c r="U81" i="260"/>
  <c r="U82" i="260"/>
  <c r="U65" i="260"/>
  <c r="U64" i="260"/>
  <c r="V52" i="260"/>
  <c r="F33" i="261" s="1"/>
  <c r="E672" i="261" l="1"/>
  <c r="AC135" i="278"/>
  <c r="AC121" i="278"/>
  <c r="AC135" i="310"/>
  <c r="AC121" i="310"/>
  <c r="AC135" i="306"/>
  <c r="AC121" i="306"/>
  <c r="AC135" i="272"/>
  <c r="AC121" i="272"/>
  <c r="R135" i="269"/>
  <c r="R136" i="269"/>
  <c r="R145" i="269" s="1"/>
  <c r="R45" i="260" s="1"/>
  <c r="S135" i="269"/>
  <c r="S136" i="269"/>
  <c r="S145" i="269" s="1"/>
  <c r="S45" i="260" s="1"/>
  <c r="AD121" i="269"/>
  <c r="AC135" i="303"/>
  <c r="AC121" i="303"/>
  <c r="D945" i="261"/>
  <c r="F68" i="261"/>
  <c r="D866" i="261"/>
  <c r="E69" i="261"/>
  <c r="W96" i="260"/>
  <c r="W95" i="260"/>
  <c r="W145" i="306"/>
  <c r="W145" i="278"/>
  <c r="W145" i="303"/>
  <c r="X122" i="272"/>
  <c r="X136" i="272"/>
  <c r="X136" i="303"/>
  <c r="X122" i="303"/>
  <c r="W145" i="310"/>
  <c r="X136" i="278"/>
  <c r="X122" i="278"/>
  <c r="W145" i="272"/>
  <c r="X136" i="310"/>
  <c r="X122" i="310"/>
  <c r="X136" i="306"/>
  <c r="X122" i="306"/>
  <c r="Y122" i="269"/>
  <c r="U90" i="260"/>
  <c r="U73" i="260"/>
  <c r="B36" i="261"/>
  <c r="V56" i="260"/>
  <c r="U128" i="269"/>
  <c r="U126" i="269"/>
  <c r="U70" i="269"/>
  <c r="U83" i="269" s="1"/>
  <c r="U104" i="260" s="1"/>
  <c r="U183" i="269"/>
  <c r="U187" i="269" s="1"/>
  <c r="U189" i="269" s="1"/>
  <c r="T181" i="269"/>
  <c r="T185" i="269" s="1"/>
  <c r="T126" i="269"/>
  <c r="T70" i="269"/>
  <c r="T183" i="269"/>
  <c r="T187" i="269" s="1"/>
  <c r="T128" i="269"/>
  <c r="T72" i="269"/>
  <c r="T76" i="269" s="1"/>
  <c r="T182" i="269"/>
  <c r="T186" i="269" s="1"/>
  <c r="T127" i="269"/>
  <c r="T71" i="269"/>
  <c r="T75" i="269" s="1"/>
  <c r="S78" i="269"/>
  <c r="S85" i="269" s="1"/>
  <c r="S44" i="260" s="1"/>
  <c r="S82" i="269"/>
  <c r="S103" i="260" s="1"/>
  <c r="V50" i="268"/>
  <c r="V48" i="268"/>
  <c r="V49" i="268"/>
  <c r="V82" i="260"/>
  <c r="V81" i="260"/>
  <c r="X98" i="260"/>
  <c r="X93" i="260"/>
  <c r="X76" i="260"/>
  <c r="X59" i="260"/>
  <c r="V67" i="260"/>
  <c r="V69" i="260" s="1"/>
  <c r="V65" i="260"/>
  <c r="V64" i="260"/>
  <c r="W94" i="260"/>
  <c r="W52" i="260"/>
  <c r="F34" i="261" s="1"/>
  <c r="V84" i="260"/>
  <c r="V86" i="260" s="1"/>
  <c r="T131" i="269" l="1"/>
  <c r="T132" i="269"/>
  <c r="T133" i="269"/>
  <c r="T130" i="269"/>
  <c r="T141" i="269"/>
  <c r="T140" i="269"/>
  <c r="T142" i="269"/>
  <c r="T143" i="269"/>
  <c r="T109" i="260" s="1"/>
  <c r="U132" i="269"/>
  <c r="U133" i="269"/>
  <c r="U130" i="269"/>
  <c r="U131" i="269"/>
  <c r="U142" i="269"/>
  <c r="U140" i="269"/>
  <c r="U141" i="269"/>
  <c r="U107" i="260" s="1"/>
  <c r="U143" i="269"/>
  <c r="U109" i="260" s="1"/>
  <c r="E673" i="261"/>
  <c r="AD135" i="278"/>
  <c r="AD121" i="278"/>
  <c r="AD135" i="310"/>
  <c r="AD121" i="310"/>
  <c r="AD135" i="306"/>
  <c r="AD121" i="306"/>
  <c r="AD135" i="272"/>
  <c r="AD121" i="272"/>
  <c r="AE121" i="269"/>
  <c r="AD135" i="303"/>
  <c r="AD121" i="303"/>
  <c r="D947" i="261"/>
  <c r="F70" i="261"/>
  <c r="D946" i="261"/>
  <c r="F69" i="261"/>
  <c r="D867" i="261"/>
  <c r="E70" i="261"/>
  <c r="X95" i="260"/>
  <c r="X96" i="260"/>
  <c r="X145" i="278"/>
  <c r="X145" i="272"/>
  <c r="X145" i="303"/>
  <c r="Y122" i="306"/>
  <c r="Y136" i="306"/>
  <c r="Y136" i="310"/>
  <c r="Y122" i="310"/>
  <c r="Y136" i="278"/>
  <c r="Y122" i="278"/>
  <c r="X145" i="306"/>
  <c r="Y136" i="272"/>
  <c r="Y122" i="272"/>
  <c r="X145" i="310"/>
  <c r="Z122" i="269"/>
  <c r="Y136" i="303"/>
  <c r="Y122" i="303"/>
  <c r="V90" i="260"/>
  <c r="W84" i="260"/>
  <c r="W86" i="260" s="1"/>
  <c r="W83" i="260"/>
  <c r="W67" i="260"/>
  <c r="W69" i="260" s="1"/>
  <c r="W66" i="260"/>
  <c r="U74" i="269"/>
  <c r="U82" i="269" s="1"/>
  <c r="U103" i="260" s="1"/>
  <c r="B37" i="261"/>
  <c r="U108" i="260"/>
  <c r="U106" i="260"/>
  <c r="V73" i="260"/>
  <c r="W56" i="260"/>
  <c r="U202" i="269"/>
  <c r="U113" i="260" s="1"/>
  <c r="W50" i="268"/>
  <c r="W48" i="268"/>
  <c r="W49" i="268"/>
  <c r="V182" i="269"/>
  <c r="V186" i="269" s="1"/>
  <c r="V127" i="269"/>
  <c r="V71" i="269"/>
  <c r="V75" i="269" s="1"/>
  <c r="X43" i="268"/>
  <c r="X44" i="268" s="1"/>
  <c r="X46" i="268" s="1"/>
  <c r="Y43" i="268"/>
  <c r="Y44" i="268" s="1"/>
  <c r="Y46" i="268" s="1"/>
  <c r="V181" i="269"/>
  <c r="V185" i="269" s="1"/>
  <c r="V126" i="269"/>
  <c r="V70" i="269"/>
  <c r="V183" i="269"/>
  <c r="V187" i="269" s="1"/>
  <c r="V128" i="269"/>
  <c r="V72" i="269"/>
  <c r="V76" i="269" s="1"/>
  <c r="T74" i="269"/>
  <c r="T83" i="269"/>
  <c r="T104" i="260" s="1"/>
  <c r="T107" i="260"/>
  <c r="T106" i="260"/>
  <c r="T108" i="260"/>
  <c r="T189" i="269"/>
  <c r="T202" i="269"/>
  <c r="T113" i="260" s="1"/>
  <c r="W65" i="260"/>
  <c r="W64" i="260"/>
  <c r="X94" i="260"/>
  <c r="Y59" i="260"/>
  <c r="Y93" i="260"/>
  <c r="Y98" i="260"/>
  <c r="Y76" i="260"/>
  <c r="X52" i="260"/>
  <c r="F35" i="261" s="1"/>
  <c r="W82" i="260"/>
  <c r="W81" i="260"/>
  <c r="V133" i="269" l="1"/>
  <c r="V130" i="269"/>
  <c r="V131" i="269"/>
  <c r="V132" i="269"/>
  <c r="V141" i="269"/>
  <c r="V107" i="260" s="1"/>
  <c r="V143" i="269"/>
  <c r="V109" i="260" s="1"/>
  <c r="V142" i="269"/>
  <c r="V108" i="260" s="1"/>
  <c r="V140" i="269"/>
  <c r="V106" i="260" s="1"/>
  <c r="E674" i="261"/>
  <c r="AE135" i="278"/>
  <c r="AE121" i="278"/>
  <c r="AE135" i="310"/>
  <c r="AE121" i="310"/>
  <c r="AE135" i="306"/>
  <c r="AE121" i="306"/>
  <c r="AE135" i="272"/>
  <c r="AE121" i="272"/>
  <c r="T135" i="269"/>
  <c r="T136" i="269"/>
  <c r="T145" i="269" s="1"/>
  <c r="T45" i="260" s="1"/>
  <c r="U135" i="269"/>
  <c r="U136" i="269"/>
  <c r="U145" i="269" s="1"/>
  <c r="U45" i="260" s="1"/>
  <c r="AE135" i="303"/>
  <c r="AE121" i="303"/>
  <c r="Y96" i="260"/>
  <c r="Y95" i="260"/>
  <c r="W90" i="260"/>
  <c r="Z122" i="310"/>
  <c r="Z136" i="310"/>
  <c r="Z122" i="272"/>
  <c r="Z136" i="272"/>
  <c r="Y145" i="272"/>
  <c r="Z136" i="278"/>
  <c r="Z122" i="278"/>
  <c r="Y145" i="303"/>
  <c r="AA122" i="269"/>
  <c r="Y145" i="278"/>
  <c r="Y145" i="310"/>
  <c r="Z122" i="306"/>
  <c r="Z136" i="306"/>
  <c r="Z136" i="303"/>
  <c r="Z122" i="303"/>
  <c r="Y145" i="306"/>
  <c r="W73" i="260"/>
  <c r="X67" i="260"/>
  <c r="X69" i="260" s="1"/>
  <c r="X66" i="260"/>
  <c r="X84" i="260"/>
  <c r="X86" i="260" s="1"/>
  <c r="X83" i="260"/>
  <c r="U78" i="269"/>
  <c r="U85" i="269" s="1"/>
  <c r="U44" i="260" s="1"/>
  <c r="B38" i="261"/>
  <c r="X56" i="260"/>
  <c r="Y50" i="268"/>
  <c r="X48" i="268"/>
  <c r="V74" i="269"/>
  <c r="V83" i="269"/>
  <c r="V104" i="260" s="1"/>
  <c r="V189" i="269"/>
  <c r="V202" i="269"/>
  <c r="V113" i="260" s="1"/>
  <c r="W182" i="269"/>
  <c r="W186" i="269" s="1"/>
  <c r="W127" i="269"/>
  <c r="W71" i="269"/>
  <c r="W75" i="269" s="1"/>
  <c r="W181" i="269"/>
  <c r="W185" i="269" s="1"/>
  <c r="W126" i="269"/>
  <c r="W70" i="269"/>
  <c r="T78" i="269"/>
  <c r="T85" i="269" s="1"/>
  <c r="T44" i="260" s="1"/>
  <c r="T82" i="269"/>
  <c r="T103" i="260" s="1"/>
  <c r="W183" i="269"/>
  <c r="W187" i="269" s="1"/>
  <c r="W72" i="269"/>
  <c r="W76" i="269" s="1"/>
  <c r="W128" i="269"/>
  <c r="Y94" i="260"/>
  <c r="Y52" i="260"/>
  <c r="F36" i="261" s="1"/>
  <c r="Z59" i="260"/>
  <c r="Z98" i="260"/>
  <c r="Z93" i="260"/>
  <c r="Z76" i="260"/>
  <c r="X65" i="260"/>
  <c r="X64" i="260"/>
  <c r="X81" i="260"/>
  <c r="X82" i="260"/>
  <c r="W130" i="269" l="1"/>
  <c r="W131" i="269"/>
  <c r="W132" i="269"/>
  <c r="W133" i="269"/>
  <c r="W140" i="269"/>
  <c r="W141" i="269"/>
  <c r="W142" i="269"/>
  <c r="W108" i="260" s="1"/>
  <c r="W143" i="269"/>
  <c r="W109" i="260" s="1"/>
  <c r="E675" i="261"/>
  <c r="AF135" i="278"/>
  <c r="AF121" i="278"/>
  <c r="AF135" i="310"/>
  <c r="AF121" i="310"/>
  <c r="AF135" i="306"/>
  <c r="AF121" i="306"/>
  <c r="AF135" i="272"/>
  <c r="AF121" i="272"/>
  <c r="AF135" i="269"/>
  <c r="V135" i="269"/>
  <c r="V136" i="269"/>
  <c r="V145" i="269" s="1"/>
  <c r="V45" i="260" s="1"/>
  <c r="AF121" i="269"/>
  <c r="AF135" i="303"/>
  <c r="AF121" i="303"/>
  <c r="D868" i="261"/>
  <c r="E71" i="261"/>
  <c r="D869" i="261"/>
  <c r="E72" i="261"/>
  <c r="D948" i="261"/>
  <c r="F71" i="261"/>
  <c r="D949" i="261"/>
  <c r="F72" i="261"/>
  <c r="AF106" i="260"/>
  <c r="X90" i="260"/>
  <c r="Z96" i="260"/>
  <c r="Z95" i="260"/>
  <c r="Z145" i="272"/>
  <c r="Z145" i="310"/>
  <c r="Z145" i="306"/>
  <c r="Z145" i="303"/>
  <c r="AA122" i="306"/>
  <c r="AA136" i="306"/>
  <c r="AA122" i="272"/>
  <c r="AA136" i="272"/>
  <c r="AA136" i="278"/>
  <c r="AA122" i="278"/>
  <c r="AA136" i="303"/>
  <c r="AA122" i="303"/>
  <c r="AB122" i="269"/>
  <c r="Z145" i="278"/>
  <c r="AA136" i="310"/>
  <c r="AA122" i="310"/>
  <c r="X73" i="260"/>
  <c r="Y84" i="260"/>
  <c r="Y86" i="260" s="1"/>
  <c r="Y83" i="260"/>
  <c r="Y67" i="260"/>
  <c r="Y69" i="260" s="1"/>
  <c r="Y66" i="260"/>
  <c r="X49" i="268"/>
  <c r="X182" i="269" s="1"/>
  <c r="X186" i="269" s="1"/>
  <c r="Y48" i="268"/>
  <c r="Y70" i="269" s="1"/>
  <c r="B39" i="261"/>
  <c r="Y56" i="260"/>
  <c r="X50" i="268"/>
  <c r="X183" i="269" s="1"/>
  <c r="X187" i="269" s="1"/>
  <c r="Y49" i="268"/>
  <c r="Y182" i="269" s="1"/>
  <c r="Y186" i="269" s="1"/>
  <c r="X181" i="269"/>
  <c r="X185" i="269" s="1"/>
  <c r="X126" i="269"/>
  <c r="X70" i="269"/>
  <c r="W74" i="269"/>
  <c r="W83" i="269"/>
  <c r="W104" i="260" s="1"/>
  <c r="W106" i="260"/>
  <c r="W107" i="260"/>
  <c r="W189" i="269"/>
  <c r="W202" i="269"/>
  <c r="W113" i="260" s="1"/>
  <c r="V78" i="269"/>
  <c r="V85" i="269" s="1"/>
  <c r="V44" i="260" s="1"/>
  <c r="V82" i="269"/>
  <c r="V103" i="260" s="1"/>
  <c r="Y183" i="269"/>
  <c r="Y187" i="269" s="1"/>
  <c r="Y128" i="269"/>
  <c r="Y72" i="269"/>
  <c r="Y76" i="269" s="1"/>
  <c r="AA43" i="268"/>
  <c r="AA44" i="268" s="1"/>
  <c r="AA46" i="268" s="1"/>
  <c r="Z43" i="268"/>
  <c r="Z44" i="268" s="1"/>
  <c r="Z46" i="268" s="1"/>
  <c r="Z52" i="260"/>
  <c r="F37" i="261" s="1"/>
  <c r="AA98" i="260"/>
  <c r="AA93" i="260"/>
  <c r="AA59" i="260"/>
  <c r="AA76" i="260"/>
  <c r="Y81" i="260"/>
  <c r="Y82" i="260"/>
  <c r="Y64" i="260"/>
  <c r="Y65" i="260"/>
  <c r="Z94" i="260"/>
  <c r="E676" i="261" l="1"/>
  <c r="AG135" i="278"/>
  <c r="AG121" i="278"/>
  <c r="AG135" i="310"/>
  <c r="AG121" i="310"/>
  <c r="AG135" i="306"/>
  <c r="AG121" i="306"/>
  <c r="AG135" i="272"/>
  <c r="AG121" i="272"/>
  <c r="W135" i="269"/>
  <c r="W136" i="269"/>
  <c r="W145" i="269" s="1"/>
  <c r="W45" i="260" s="1"/>
  <c r="AG135" i="269"/>
  <c r="AG121" i="269"/>
  <c r="AG135" i="303"/>
  <c r="AG121" i="303"/>
  <c r="D870" i="261"/>
  <c r="E73" i="261"/>
  <c r="D950" i="261"/>
  <c r="F73" i="261"/>
  <c r="AG106" i="260"/>
  <c r="Y90" i="260"/>
  <c r="AA95" i="260"/>
  <c r="AA66" i="260" s="1"/>
  <c r="AA96" i="260"/>
  <c r="AA145" i="310"/>
  <c r="AA145" i="303"/>
  <c r="AA145" i="306"/>
  <c r="AB136" i="303"/>
  <c r="AB122" i="303"/>
  <c r="AB136" i="278"/>
  <c r="AB122" i="278"/>
  <c r="AB122" i="310"/>
  <c r="AB136" i="310"/>
  <c r="AB136" i="272"/>
  <c r="AB122" i="272"/>
  <c r="AB122" i="306"/>
  <c r="AB136" i="306"/>
  <c r="AC122" i="269"/>
  <c r="AA145" i="278"/>
  <c r="AA145" i="272"/>
  <c r="Y73" i="260"/>
  <c r="Z84" i="260"/>
  <c r="Z86" i="260" s="1"/>
  <c r="Z83" i="260"/>
  <c r="Z67" i="260"/>
  <c r="Z69" i="260" s="1"/>
  <c r="Z66" i="260"/>
  <c r="X71" i="269"/>
  <c r="X75" i="269" s="1"/>
  <c r="X127" i="269"/>
  <c r="Y126" i="269"/>
  <c r="Y181" i="269"/>
  <c r="Y185" i="269" s="1"/>
  <c r="Y189" i="269" s="1"/>
  <c r="B40" i="261"/>
  <c r="Y71" i="269"/>
  <c r="Y75" i="269" s="1"/>
  <c r="X72" i="269"/>
  <c r="X76" i="269" s="1"/>
  <c r="X128" i="269"/>
  <c r="Z56" i="260"/>
  <c r="Y127" i="269"/>
  <c r="AA49" i="268"/>
  <c r="Z49" i="268"/>
  <c r="AB43" i="268"/>
  <c r="AB44" i="268" s="1"/>
  <c r="AB46" i="268" s="1"/>
  <c r="W78" i="269"/>
  <c r="W85" i="269" s="1"/>
  <c r="W44" i="260" s="1"/>
  <c r="W82" i="269"/>
  <c r="W103" i="260" s="1"/>
  <c r="X74" i="269"/>
  <c r="Y74" i="269"/>
  <c r="X189" i="269"/>
  <c r="X202" i="269"/>
  <c r="X113" i="260" s="1"/>
  <c r="AA94" i="260"/>
  <c r="AA52" i="260"/>
  <c r="F38" i="261" s="1"/>
  <c r="AB98" i="260"/>
  <c r="AB93" i="260"/>
  <c r="AB76" i="260"/>
  <c r="AB59" i="260"/>
  <c r="Z82" i="260"/>
  <c r="Z81" i="260"/>
  <c r="Z65" i="260"/>
  <c r="Z64" i="260"/>
  <c r="X131" i="269" l="1"/>
  <c r="X142" i="269"/>
  <c r="X130" i="269"/>
  <c r="X140" i="269"/>
  <c r="X106" i="260" s="1"/>
  <c r="X133" i="269"/>
  <c r="Y132" i="269"/>
  <c r="Y133" i="269"/>
  <c r="Y130" i="269"/>
  <c r="Y131" i="269"/>
  <c r="Y143" i="269"/>
  <c r="Y142" i="269"/>
  <c r="Y108" i="260" s="1"/>
  <c r="Y140" i="269"/>
  <c r="Y106" i="260" s="1"/>
  <c r="Y141" i="269"/>
  <c r="Y107" i="260" s="1"/>
  <c r="X143" i="269"/>
  <c r="X132" i="269"/>
  <c r="X141" i="269"/>
  <c r="X107" i="260" s="1"/>
  <c r="E677" i="261"/>
  <c r="Z90" i="260"/>
  <c r="AH135" i="278"/>
  <c r="AH121" i="278"/>
  <c r="AH135" i="310"/>
  <c r="AH121" i="310"/>
  <c r="AH135" i="306"/>
  <c r="AH121" i="306"/>
  <c r="AH135" i="272"/>
  <c r="AH121" i="272"/>
  <c r="AH135" i="269"/>
  <c r="AH121" i="269"/>
  <c r="AH135" i="303"/>
  <c r="AH121" i="303"/>
  <c r="D871" i="261"/>
  <c r="E74" i="261"/>
  <c r="D951" i="261"/>
  <c r="F74" i="261"/>
  <c r="AH106" i="260"/>
  <c r="AB95" i="260"/>
  <c r="AB66" i="260" s="1"/>
  <c r="AB96" i="260"/>
  <c r="AB83" i="260" s="1"/>
  <c r="AB145" i="310"/>
  <c r="AB145" i="306"/>
  <c r="AC122" i="272"/>
  <c r="AC136" i="272"/>
  <c r="AC122" i="306"/>
  <c r="AC136" i="306"/>
  <c r="AD122" i="269"/>
  <c r="AC122" i="303"/>
  <c r="AC136" i="303"/>
  <c r="AB145" i="303"/>
  <c r="AC122" i="310"/>
  <c r="AC136" i="310"/>
  <c r="AB145" i="272"/>
  <c r="AC122" i="278"/>
  <c r="AC136" i="278"/>
  <c r="AB145" i="278"/>
  <c r="Z73" i="260"/>
  <c r="AA84" i="260"/>
  <c r="AA86" i="260" s="1"/>
  <c r="AA83" i="260"/>
  <c r="Y202" i="269"/>
  <c r="Y113" i="260" s="1"/>
  <c r="X108" i="260"/>
  <c r="Y83" i="269"/>
  <c r="Y104" i="260" s="1"/>
  <c r="B41" i="261"/>
  <c r="X109" i="260"/>
  <c r="X83" i="269"/>
  <c r="X104" i="260" s="1"/>
  <c r="Y109" i="260"/>
  <c r="AA50" i="268"/>
  <c r="AA72" i="269" s="1"/>
  <c r="AA76" i="269" s="1"/>
  <c r="AA56" i="260"/>
  <c r="Z50" i="268"/>
  <c r="Z72" i="269" s="1"/>
  <c r="Z76" i="269" s="1"/>
  <c r="Z48" i="268"/>
  <c r="Z181" i="269" s="1"/>
  <c r="Z185" i="269" s="1"/>
  <c r="AA48" i="268"/>
  <c r="AA126" i="269" s="1"/>
  <c r="AC43" i="268"/>
  <c r="AC44" i="268" s="1"/>
  <c r="AC46" i="268" s="1"/>
  <c r="Y78" i="269"/>
  <c r="Y85" i="269" s="1"/>
  <c r="Y44" i="260" s="1"/>
  <c r="Y82" i="269"/>
  <c r="Y103" i="260" s="1"/>
  <c r="X78" i="269"/>
  <c r="X85" i="269" s="1"/>
  <c r="X44" i="260" s="1"/>
  <c r="X82" i="269"/>
  <c r="X103" i="260" s="1"/>
  <c r="AA182" i="269"/>
  <c r="AA186" i="269" s="1"/>
  <c r="AA127" i="269"/>
  <c r="AA71" i="269"/>
  <c r="AA75" i="269" s="1"/>
  <c r="Z182" i="269"/>
  <c r="Z186" i="269" s="1"/>
  <c r="Z127" i="269"/>
  <c r="Z71" i="269"/>
  <c r="Z75" i="269" s="1"/>
  <c r="AB52" i="260"/>
  <c r="F39" i="261" s="1"/>
  <c r="AA81" i="260"/>
  <c r="AA82" i="260"/>
  <c r="AA67" i="260"/>
  <c r="AA69" i="260" s="1"/>
  <c r="AA64" i="260"/>
  <c r="AA65" i="260"/>
  <c r="AC98" i="260"/>
  <c r="AC93" i="260"/>
  <c r="AC76" i="260"/>
  <c r="AC59" i="260"/>
  <c r="AB94" i="260"/>
  <c r="E678" i="261" l="1"/>
  <c r="AA90" i="260"/>
  <c r="AI135" i="278"/>
  <c r="AI121" i="278"/>
  <c r="AI135" i="310"/>
  <c r="AI121" i="310"/>
  <c r="AI135" i="306"/>
  <c r="AI121" i="306"/>
  <c r="AI135" i="272"/>
  <c r="AI121" i="272"/>
  <c r="AI135" i="269"/>
  <c r="Y135" i="269"/>
  <c r="Y136" i="269"/>
  <c r="Y145" i="269" s="1"/>
  <c r="Y45" i="260" s="1"/>
  <c r="X135" i="269"/>
  <c r="X136" i="269"/>
  <c r="X145" i="269" s="1"/>
  <c r="X45" i="260" s="1"/>
  <c r="AI121" i="269"/>
  <c r="AI135" i="303"/>
  <c r="AI121" i="303"/>
  <c r="D872" i="261"/>
  <c r="E75" i="261"/>
  <c r="D873" i="261"/>
  <c r="E76" i="261"/>
  <c r="AF109" i="260"/>
  <c r="AI106" i="260"/>
  <c r="AC95" i="260"/>
  <c r="AC96" i="260"/>
  <c r="AC145" i="306"/>
  <c r="AC145" i="303"/>
  <c r="AC145" i="310"/>
  <c r="AD122" i="272"/>
  <c r="AD136" i="272"/>
  <c r="AD136" i="278"/>
  <c r="AD122" i="278"/>
  <c r="AD122" i="303"/>
  <c r="AD136" i="303"/>
  <c r="AD122" i="310"/>
  <c r="AD136" i="310"/>
  <c r="AD122" i="306"/>
  <c r="AD136" i="306"/>
  <c r="AC145" i="278"/>
  <c r="AE122" i="269"/>
  <c r="AC145" i="272"/>
  <c r="B42" i="261"/>
  <c r="F42" i="261" s="1"/>
  <c r="Z70" i="269"/>
  <c r="Z83" i="269" s="1"/>
  <c r="Z104" i="260" s="1"/>
  <c r="Z128" i="269"/>
  <c r="Z183" i="269"/>
  <c r="Z187" i="269" s="1"/>
  <c r="Z189" i="269" s="1"/>
  <c r="AA183" i="269"/>
  <c r="AA187" i="269" s="1"/>
  <c r="AA128" i="269"/>
  <c r="AA130" i="269" s="1"/>
  <c r="AA70" i="269"/>
  <c r="AA74" i="269" s="1"/>
  <c r="AA181" i="269"/>
  <c r="AA185" i="269" s="1"/>
  <c r="Z126" i="269"/>
  <c r="C27" i="260"/>
  <c r="AB56" i="260"/>
  <c r="AA73" i="260"/>
  <c r="AC49" i="268"/>
  <c r="AB49" i="268"/>
  <c r="AB50" i="268"/>
  <c r="AB48" i="268"/>
  <c r="AD43" i="268"/>
  <c r="AD44" i="268" s="1"/>
  <c r="AD46" i="268" s="1"/>
  <c r="AB65" i="260"/>
  <c r="AB64" i="260"/>
  <c r="AB81" i="260"/>
  <c r="AB82" i="260"/>
  <c r="AC94" i="260"/>
  <c r="AB67" i="260"/>
  <c r="AB69" i="260" s="1"/>
  <c r="AC52" i="260"/>
  <c r="F40" i="261" s="1"/>
  <c r="AB84" i="260"/>
  <c r="AB86" i="260" s="1"/>
  <c r="AD59" i="260"/>
  <c r="I37" i="261" s="1"/>
  <c r="AD93" i="260"/>
  <c r="AD98" i="260"/>
  <c r="AD76" i="260"/>
  <c r="I39" i="261" l="1"/>
  <c r="I34" i="261"/>
  <c r="I38" i="261"/>
  <c r="I42" i="261"/>
  <c r="I15" i="261"/>
  <c r="I16" i="261"/>
  <c r="I17" i="261"/>
  <c r="I18" i="261"/>
  <c r="I20" i="261"/>
  <c r="I19" i="261"/>
  <c r="I21" i="261"/>
  <c r="I23" i="261"/>
  <c r="I22" i="261"/>
  <c r="I24" i="261"/>
  <c r="I25" i="261"/>
  <c r="I26" i="261"/>
  <c r="I27" i="261"/>
  <c r="I30" i="261"/>
  <c r="I29" i="261"/>
  <c r="I28" i="261"/>
  <c r="I31" i="261"/>
  <c r="I32" i="261"/>
  <c r="I33" i="261"/>
  <c r="I35" i="261"/>
  <c r="I36" i="261"/>
  <c r="AA143" i="269"/>
  <c r="AA133" i="269"/>
  <c r="AA140" i="269"/>
  <c r="AA106" i="260" s="1"/>
  <c r="G915" i="261" s="1"/>
  <c r="AA132" i="269"/>
  <c r="Z133" i="269"/>
  <c r="Z130" i="269"/>
  <c r="Z131" i="269"/>
  <c r="Z132" i="269"/>
  <c r="Z143" i="269"/>
  <c r="Z142" i="269"/>
  <c r="Z140" i="269"/>
  <c r="Z141" i="269"/>
  <c r="AA142" i="269"/>
  <c r="AA131" i="269"/>
  <c r="AA141" i="269"/>
  <c r="AB90" i="260"/>
  <c r="I95" i="261"/>
  <c r="H121" i="261"/>
  <c r="E99" i="261"/>
  <c r="E104" i="261"/>
  <c r="I116" i="261"/>
  <c r="H106" i="261"/>
  <c r="F126" i="261"/>
  <c r="H96" i="261"/>
  <c r="I108" i="261"/>
  <c r="H124" i="261"/>
  <c r="I127" i="261"/>
  <c r="H109" i="261"/>
  <c r="H117" i="261"/>
  <c r="E107" i="261"/>
  <c r="E127" i="261"/>
  <c r="E95" i="261"/>
  <c r="E123" i="261"/>
  <c r="F128" i="261"/>
  <c r="E101" i="261"/>
  <c r="H119" i="261"/>
  <c r="F101" i="261"/>
  <c r="F109" i="261"/>
  <c r="E97" i="261"/>
  <c r="H113" i="261"/>
  <c r="E841" i="261"/>
  <c r="E842" i="261"/>
  <c r="H104" i="261"/>
  <c r="F122" i="261"/>
  <c r="E115" i="261"/>
  <c r="I113" i="261"/>
  <c r="I96" i="261"/>
  <c r="E116" i="261"/>
  <c r="E112" i="261"/>
  <c r="G126" i="261"/>
  <c r="E120" i="261"/>
  <c r="E122" i="261"/>
  <c r="I109" i="261"/>
  <c r="E111" i="261"/>
  <c r="F121" i="261"/>
  <c r="F102" i="261"/>
  <c r="I122" i="261"/>
  <c r="H110" i="261"/>
  <c r="E124" i="261"/>
  <c r="E128" i="261"/>
  <c r="F123" i="261"/>
  <c r="I124" i="261"/>
  <c r="I104" i="261"/>
  <c r="I117" i="261"/>
  <c r="H102" i="261"/>
  <c r="F117" i="261"/>
  <c r="G127" i="261"/>
  <c r="F107" i="261"/>
  <c r="F98" i="261"/>
  <c r="F99" i="261"/>
  <c r="H97" i="261"/>
  <c r="F116" i="261"/>
  <c r="F118" i="261"/>
  <c r="H112" i="261"/>
  <c r="E113" i="261"/>
  <c r="H122" i="261"/>
  <c r="F100" i="261"/>
  <c r="F113" i="261"/>
  <c r="F124" i="261"/>
  <c r="I112" i="261"/>
  <c r="F103" i="261"/>
  <c r="H127" i="261"/>
  <c r="I118" i="261"/>
  <c r="G125" i="261"/>
  <c r="E126" i="261"/>
  <c r="H115" i="261"/>
  <c r="H103" i="261"/>
  <c r="J123" i="261"/>
  <c r="E843" i="261"/>
  <c r="F95" i="261"/>
  <c r="H108" i="261"/>
  <c r="F106" i="261"/>
  <c r="F127" i="261"/>
  <c r="I105" i="261"/>
  <c r="F125" i="261"/>
  <c r="E106" i="261"/>
  <c r="E118" i="261"/>
  <c r="I120" i="261"/>
  <c r="E840" i="261"/>
  <c r="F111" i="261"/>
  <c r="H107" i="261"/>
  <c r="I107" i="261"/>
  <c r="H101" i="261"/>
  <c r="F120" i="261"/>
  <c r="D842" i="261"/>
  <c r="E745" i="261"/>
  <c r="D978" i="261"/>
  <c r="F756" i="261"/>
  <c r="H118" i="261"/>
  <c r="D973" i="261"/>
  <c r="E758" i="261"/>
  <c r="E844" i="261"/>
  <c r="J125" i="261"/>
  <c r="E103" i="261"/>
  <c r="F740" i="261"/>
  <c r="D983" i="261"/>
  <c r="E984" i="261"/>
  <c r="J126" i="261"/>
  <c r="I115" i="261"/>
  <c r="I125" i="261"/>
  <c r="E109" i="261"/>
  <c r="I106" i="261"/>
  <c r="H120" i="261"/>
  <c r="G123" i="261"/>
  <c r="I100" i="261"/>
  <c r="I98" i="261"/>
  <c r="F739" i="261"/>
  <c r="F752" i="261"/>
  <c r="F749" i="261"/>
  <c r="E979" i="261"/>
  <c r="E108" i="261"/>
  <c r="E732" i="261"/>
  <c r="E1003" i="261"/>
  <c r="D991" i="261"/>
  <c r="E110" i="261"/>
  <c r="H99" i="261"/>
  <c r="F754" i="261"/>
  <c r="F751" i="261"/>
  <c r="E737" i="261"/>
  <c r="D996" i="261"/>
  <c r="D1005" i="261"/>
  <c r="E751" i="261"/>
  <c r="E994" i="261"/>
  <c r="E105" i="261"/>
  <c r="I101" i="261"/>
  <c r="D989" i="261"/>
  <c r="F736" i="261"/>
  <c r="E998" i="261"/>
  <c r="F97" i="261"/>
  <c r="F104" i="261"/>
  <c r="I97" i="261"/>
  <c r="H126" i="261"/>
  <c r="H125" i="261"/>
  <c r="F114" i="261"/>
  <c r="H116" i="261"/>
  <c r="D1000" i="261"/>
  <c r="D972" i="261"/>
  <c r="G128" i="261"/>
  <c r="D843" i="261"/>
  <c r="E975" i="261"/>
  <c r="E985" i="261"/>
  <c r="F108" i="261"/>
  <c r="F110" i="261"/>
  <c r="F762" i="261"/>
  <c r="F119" i="261"/>
  <c r="E744" i="261"/>
  <c r="D1001" i="261"/>
  <c r="D841" i="261"/>
  <c r="H105" i="261"/>
  <c r="E121" i="261"/>
  <c r="I110" i="261"/>
  <c r="G124" i="261"/>
  <c r="D975" i="261"/>
  <c r="E992" i="261"/>
  <c r="E993" i="261"/>
  <c r="D977" i="261"/>
  <c r="H128" i="261"/>
  <c r="H95" i="261"/>
  <c r="E119" i="261"/>
  <c r="F115" i="261"/>
  <c r="I123" i="261"/>
  <c r="I121" i="261"/>
  <c r="I103" i="261"/>
  <c r="H98" i="261"/>
  <c r="F105" i="261"/>
  <c r="E117" i="261"/>
  <c r="J124" i="261"/>
  <c r="D982" i="261"/>
  <c r="E991" i="261"/>
  <c r="J128" i="261"/>
  <c r="E743" i="261"/>
  <c r="F96" i="261"/>
  <c r="F735" i="261"/>
  <c r="F746" i="261"/>
  <c r="F758" i="261"/>
  <c r="E755" i="261"/>
  <c r="E739" i="261"/>
  <c r="I114" i="261"/>
  <c r="E750" i="261"/>
  <c r="E733" i="261"/>
  <c r="E986" i="261"/>
  <c r="E972" i="261"/>
  <c r="H111" i="261"/>
  <c r="E98" i="261"/>
  <c r="I119" i="261"/>
  <c r="E125" i="261"/>
  <c r="I111" i="261"/>
  <c r="H100" i="261"/>
  <c r="I102" i="261"/>
  <c r="D997" i="261"/>
  <c r="E990" i="261"/>
  <c r="E845" i="261"/>
  <c r="D986" i="261"/>
  <c r="D994" i="261"/>
  <c r="E997" i="261"/>
  <c r="D995" i="261"/>
  <c r="E987" i="261"/>
  <c r="D845" i="261"/>
  <c r="E989" i="261"/>
  <c r="D1004" i="261"/>
  <c r="F1004" i="261"/>
  <c r="E760" i="261"/>
  <c r="F733" i="261"/>
  <c r="F755" i="261"/>
  <c r="D981" i="261"/>
  <c r="D1002" i="261"/>
  <c r="E736" i="261"/>
  <c r="I126" i="261"/>
  <c r="F734" i="261"/>
  <c r="E742" i="261"/>
  <c r="D979" i="261"/>
  <c r="E1000" i="261"/>
  <c r="F743" i="261"/>
  <c r="E1002" i="261"/>
  <c r="E114" i="261"/>
  <c r="F1001" i="261"/>
  <c r="F748" i="261"/>
  <c r="F742" i="261"/>
  <c r="E746" i="261"/>
  <c r="F759" i="261"/>
  <c r="E973" i="261"/>
  <c r="F738" i="261"/>
  <c r="H123" i="261"/>
  <c r="H114" i="261"/>
  <c r="E756" i="261"/>
  <c r="E978" i="261"/>
  <c r="D844" i="261"/>
  <c r="F757" i="261"/>
  <c r="E757" i="261"/>
  <c r="E747" i="261"/>
  <c r="D976" i="261"/>
  <c r="E1004" i="261"/>
  <c r="D984" i="261"/>
  <c r="I128" i="261"/>
  <c r="D974" i="261"/>
  <c r="E1005" i="261"/>
  <c r="F745" i="261"/>
  <c r="E977" i="261"/>
  <c r="D987" i="261"/>
  <c r="F1000" i="261"/>
  <c r="E749" i="261"/>
  <c r="F737" i="261"/>
  <c r="F112" i="261"/>
  <c r="E96" i="261"/>
  <c r="E748" i="261"/>
  <c r="E752" i="261"/>
  <c r="E741" i="261"/>
  <c r="D993" i="261"/>
  <c r="D985" i="261"/>
  <c r="E988" i="261"/>
  <c r="E759" i="261"/>
  <c r="E738" i="261"/>
  <c r="F761" i="261"/>
  <c r="E754" i="261"/>
  <c r="E765" i="261"/>
  <c r="D998" i="261"/>
  <c r="F753" i="261"/>
  <c r="F741" i="261"/>
  <c r="E735" i="261"/>
  <c r="D1003" i="261"/>
  <c r="E974" i="261"/>
  <c r="F763" i="261"/>
  <c r="F750" i="261"/>
  <c r="E740" i="261"/>
  <c r="F760" i="261"/>
  <c r="F744" i="261"/>
  <c r="E995" i="261"/>
  <c r="E763" i="261"/>
  <c r="E999" i="261"/>
  <c r="E980" i="261"/>
  <c r="I99" i="261"/>
  <c r="E983" i="261"/>
  <c r="E761" i="261"/>
  <c r="E102" i="261"/>
  <c r="D840" i="261"/>
  <c r="J127" i="261"/>
  <c r="F764" i="261"/>
  <c r="D980" i="261"/>
  <c r="E996" i="261"/>
  <c r="D988" i="261"/>
  <c r="F1005" i="261"/>
  <c r="E734" i="261"/>
  <c r="F747" i="261"/>
  <c r="E976" i="261"/>
  <c r="F1003" i="261"/>
  <c r="F765" i="261"/>
  <c r="E764" i="261"/>
  <c r="F1002" i="261"/>
  <c r="E1001" i="261"/>
  <c r="E762" i="261"/>
  <c r="D990" i="261"/>
  <c r="E100" i="261"/>
  <c r="E982" i="261"/>
  <c r="E981" i="261"/>
  <c r="D999" i="261"/>
  <c r="E753" i="261"/>
  <c r="D992" i="261"/>
  <c r="F732" i="261"/>
  <c r="F920" i="261"/>
  <c r="E813" i="261"/>
  <c r="F893" i="261"/>
  <c r="F972" i="261"/>
  <c r="G893" i="261"/>
  <c r="F922" i="261"/>
  <c r="D892" i="261"/>
  <c r="D893" i="261"/>
  <c r="E892" i="261"/>
  <c r="F921" i="261"/>
  <c r="J96" i="261"/>
  <c r="E893" i="261"/>
  <c r="J95" i="261"/>
  <c r="F923" i="261"/>
  <c r="F892" i="261"/>
  <c r="E812" i="261"/>
  <c r="G892" i="261"/>
  <c r="D894" i="261"/>
  <c r="J97" i="261"/>
  <c r="E896" i="261"/>
  <c r="G96" i="261"/>
  <c r="F973" i="261"/>
  <c r="E815" i="261"/>
  <c r="G97" i="261"/>
  <c r="J98" i="261"/>
  <c r="D812" i="261"/>
  <c r="E894" i="261"/>
  <c r="E895" i="261"/>
  <c r="G895" i="261"/>
  <c r="F895" i="261"/>
  <c r="F894" i="261"/>
  <c r="F975" i="261"/>
  <c r="G896" i="261"/>
  <c r="D895" i="261"/>
  <c r="F896" i="261"/>
  <c r="F925" i="261"/>
  <c r="F974" i="261"/>
  <c r="E816" i="261"/>
  <c r="D813" i="261"/>
  <c r="D899" i="261"/>
  <c r="D897" i="261"/>
  <c r="G894" i="261"/>
  <c r="E817" i="261"/>
  <c r="D815" i="261"/>
  <c r="G95" i="261"/>
  <c r="G99" i="261"/>
  <c r="F976" i="261"/>
  <c r="F977" i="261"/>
  <c r="E814" i="261"/>
  <c r="J100" i="261"/>
  <c r="D896" i="261"/>
  <c r="G98" i="261"/>
  <c r="D816" i="261"/>
  <c r="D814" i="261"/>
  <c r="J99" i="261"/>
  <c r="F924" i="261"/>
  <c r="F897" i="261"/>
  <c r="D817" i="261"/>
  <c r="E898" i="261"/>
  <c r="G898" i="261"/>
  <c r="G899" i="261"/>
  <c r="G897" i="261"/>
  <c r="F898" i="261"/>
  <c r="J101" i="261"/>
  <c r="G100" i="261"/>
  <c r="E897" i="261"/>
  <c r="F899" i="261"/>
  <c r="J103" i="261"/>
  <c r="E818" i="261"/>
  <c r="G103" i="261"/>
  <c r="D898" i="261"/>
  <c r="J102" i="261"/>
  <c r="J104" i="261"/>
  <c r="E901" i="261"/>
  <c r="E899" i="261"/>
  <c r="J105" i="261"/>
  <c r="D818" i="261"/>
  <c r="F979" i="261"/>
  <c r="G102" i="261"/>
  <c r="E820" i="261"/>
  <c r="E900" i="261"/>
  <c r="D900" i="261"/>
  <c r="E819" i="261"/>
  <c r="G101" i="261"/>
  <c r="G900" i="261"/>
  <c r="F900" i="261"/>
  <c r="F978" i="261"/>
  <c r="G901" i="261"/>
  <c r="D903" i="261"/>
  <c r="J106" i="261"/>
  <c r="D819" i="261"/>
  <c r="D821" i="261"/>
  <c r="F980" i="261"/>
  <c r="F901" i="261"/>
  <c r="G104" i="261"/>
  <c r="D901" i="261"/>
  <c r="D820" i="261"/>
  <c r="E821" i="261"/>
  <c r="G106" i="261"/>
  <c r="F983" i="261"/>
  <c r="E902" i="261"/>
  <c r="E822" i="261"/>
  <c r="E823" i="261"/>
  <c r="D902" i="261"/>
  <c r="F981" i="261"/>
  <c r="G902" i="261"/>
  <c r="F982" i="261"/>
  <c r="E903" i="261"/>
  <c r="F903" i="261"/>
  <c r="G105" i="261"/>
  <c r="G903" i="261"/>
  <c r="F902" i="261"/>
  <c r="G904" i="261"/>
  <c r="D823" i="261"/>
  <c r="D904" i="261"/>
  <c r="J107" i="261"/>
  <c r="E824" i="261"/>
  <c r="G107" i="261"/>
  <c r="E904" i="261"/>
  <c r="D822" i="261"/>
  <c r="F904" i="261"/>
  <c r="G906" i="261"/>
  <c r="G108" i="261"/>
  <c r="D824" i="261"/>
  <c r="F984" i="261"/>
  <c r="J108" i="261"/>
  <c r="J109" i="261"/>
  <c r="E825" i="261"/>
  <c r="F905" i="261"/>
  <c r="E905" i="261"/>
  <c r="G905" i="261"/>
  <c r="D905" i="261"/>
  <c r="F986" i="261"/>
  <c r="D906" i="261"/>
  <c r="E827" i="261"/>
  <c r="E907" i="261"/>
  <c r="F907" i="261"/>
  <c r="G907" i="261"/>
  <c r="E826" i="261"/>
  <c r="D907" i="261"/>
  <c r="J110" i="261"/>
  <c r="F985" i="261"/>
  <c r="G109" i="261"/>
  <c r="D825" i="261"/>
  <c r="F906" i="261"/>
  <c r="E906" i="261"/>
  <c r="F909" i="261"/>
  <c r="E829" i="261"/>
  <c r="F987" i="261"/>
  <c r="G909" i="261"/>
  <c r="G110" i="261"/>
  <c r="D826" i="261"/>
  <c r="E834" i="261"/>
  <c r="D832" i="261"/>
  <c r="F988" i="261"/>
  <c r="J114" i="261"/>
  <c r="F992" i="261"/>
  <c r="E913" i="261"/>
  <c r="D909" i="261"/>
  <c r="E911" i="261"/>
  <c r="G111" i="261"/>
  <c r="D912" i="261"/>
  <c r="F989" i="261"/>
  <c r="F990" i="261"/>
  <c r="F910" i="261"/>
  <c r="E908" i="261"/>
  <c r="D831" i="261"/>
  <c r="D913" i="261"/>
  <c r="E679" i="261"/>
  <c r="G923" i="261"/>
  <c r="D833" i="261"/>
  <c r="F993" i="261"/>
  <c r="J112" i="261"/>
  <c r="E910" i="261"/>
  <c r="G921" i="261"/>
  <c r="G922" i="261"/>
  <c r="G911" i="261"/>
  <c r="J116" i="261"/>
  <c r="G115" i="261"/>
  <c r="E909" i="261"/>
  <c r="J111" i="261"/>
  <c r="F913" i="261"/>
  <c r="D827" i="261"/>
  <c r="E833" i="261"/>
  <c r="E920" i="261"/>
  <c r="G908" i="261"/>
  <c r="J113" i="261"/>
  <c r="G113" i="261"/>
  <c r="F912" i="261"/>
  <c r="E830" i="261"/>
  <c r="F911" i="261"/>
  <c r="D908" i="261"/>
  <c r="F908" i="261"/>
  <c r="G912" i="261"/>
  <c r="J115" i="261"/>
  <c r="D828" i="261"/>
  <c r="G913" i="261"/>
  <c r="H1132" i="261"/>
  <c r="E1132" i="261" s="1"/>
  <c r="H1013" i="261"/>
  <c r="I934" i="261"/>
  <c r="F934" i="261" s="1"/>
  <c r="I1013" i="261"/>
  <c r="H1053" i="261"/>
  <c r="E1053" i="261" s="1"/>
  <c r="I1022" i="261"/>
  <c r="J672" i="261"/>
  <c r="K659" i="261"/>
  <c r="J665" i="261"/>
  <c r="J671" i="261"/>
  <c r="H1030" i="261"/>
  <c r="I1116" i="261"/>
  <c r="F1116" i="261" s="1"/>
  <c r="K684" i="261"/>
  <c r="H873" i="261"/>
  <c r="E873" i="261" s="1"/>
  <c r="I1077" i="261"/>
  <c r="F1077" i="261" s="1"/>
  <c r="H789" i="261"/>
  <c r="H1150" i="261"/>
  <c r="E1150" i="261" s="1"/>
  <c r="I1120" i="261"/>
  <c r="F1120" i="261" s="1"/>
  <c r="K656" i="261"/>
  <c r="H773" i="261"/>
  <c r="I867" i="261"/>
  <c r="F867" i="261" s="1"/>
  <c r="I940" i="261"/>
  <c r="F940" i="261" s="1"/>
  <c r="I877" i="261"/>
  <c r="I784" i="261"/>
  <c r="H1124" i="261"/>
  <c r="E1124" i="261" s="1"/>
  <c r="K671" i="261"/>
  <c r="H1077" i="261"/>
  <c r="E1077" i="261" s="1"/>
  <c r="I1030" i="261"/>
  <c r="H1019" i="261"/>
  <c r="I1071" i="261"/>
  <c r="F1071" i="261" s="1"/>
  <c r="H1032" i="261"/>
  <c r="I1141" i="261"/>
  <c r="F1141" i="261" s="1"/>
  <c r="I1070" i="261"/>
  <c r="F1070" i="261" s="1"/>
  <c r="H1084" i="261"/>
  <c r="E1084" i="261" s="1"/>
  <c r="J685" i="261"/>
  <c r="I1014" i="261"/>
  <c r="I1135" i="261"/>
  <c r="F1135" i="261" s="1"/>
  <c r="I870" i="261"/>
  <c r="F870" i="261" s="1"/>
  <c r="H1061" i="261"/>
  <c r="E1061" i="261" s="1"/>
  <c r="I1112" i="261"/>
  <c r="F1112" i="261" s="1"/>
  <c r="K679" i="261"/>
  <c r="I1069" i="261"/>
  <c r="F1069" i="261" s="1"/>
  <c r="I956" i="261"/>
  <c r="H948" i="261"/>
  <c r="E948" i="261" s="1"/>
  <c r="H1094" i="261"/>
  <c r="E1094" i="261" s="1"/>
  <c r="I962" i="261"/>
  <c r="H951" i="261"/>
  <c r="E951" i="261" s="1"/>
  <c r="H960" i="261"/>
  <c r="H1146" i="261"/>
  <c r="E1146" i="261" s="1"/>
  <c r="I800" i="261"/>
  <c r="I1018" i="261"/>
  <c r="K675" i="261"/>
  <c r="J657" i="261"/>
  <c r="I1033" i="261"/>
  <c r="H1066" i="261"/>
  <c r="E1066" i="261" s="1"/>
  <c r="H943" i="261"/>
  <c r="E943" i="261" s="1"/>
  <c r="H870" i="261"/>
  <c r="E870" i="261" s="1"/>
  <c r="I1160" i="261"/>
  <c r="F1160" i="261" s="1"/>
  <c r="K673" i="261"/>
  <c r="H864" i="261"/>
  <c r="E864" i="261" s="1"/>
  <c r="H940" i="261"/>
  <c r="E940" i="261" s="1"/>
  <c r="H1064" i="261"/>
  <c r="E1064" i="261" s="1"/>
  <c r="H1157" i="261"/>
  <c r="E1157" i="261" s="1"/>
  <c r="I1138" i="261"/>
  <c r="F1138" i="261" s="1"/>
  <c r="I1045" i="261"/>
  <c r="J662" i="261"/>
  <c r="J677" i="261"/>
  <c r="K685" i="261"/>
  <c r="H1104" i="261"/>
  <c r="E1104" i="261" s="1"/>
  <c r="H782" i="261"/>
  <c r="H1106" i="261"/>
  <c r="E1106" i="261" s="1"/>
  <c r="I963" i="261"/>
  <c r="H1043" i="261"/>
  <c r="I1060" i="261"/>
  <c r="F1060" i="261" s="1"/>
  <c r="H876" i="261"/>
  <c r="J673" i="261"/>
  <c r="I804" i="261"/>
  <c r="I1165" i="261"/>
  <c r="F1165" i="261" s="1"/>
  <c r="I1152" i="261"/>
  <c r="F1152" i="261" s="1"/>
  <c r="H853" i="261"/>
  <c r="E853" i="261" s="1"/>
  <c r="I862" i="261"/>
  <c r="F862" i="261" s="1"/>
  <c r="H777" i="261"/>
  <c r="H934" i="261"/>
  <c r="E934" i="261" s="1"/>
  <c r="I952" i="261"/>
  <c r="H1102" i="261"/>
  <c r="E1102" i="261" s="1"/>
  <c r="K681" i="261"/>
  <c r="I960" i="261"/>
  <c r="J666" i="261"/>
  <c r="I932" i="261"/>
  <c r="F932" i="261" s="1"/>
  <c r="I865" i="261"/>
  <c r="F865" i="261" s="1"/>
  <c r="I1115" i="261"/>
  <c r="F1115" i="261" s="1"/>
  <c r="I852" i="261"/>
  <c r="F852" i="261" s="1"/>
  <c r="H932" i="261"/>
  <c r="E932" i="261" s="1"/>
  <c r="I792" i="261"/>
  <c r="H879" i="261"/>
  <c r="K661" i="261"/>
  <c r="H1134" i="261"/>
  <c r="E1134" i="261" s="1"/>
  <c r="H1144" i="261"/>
  <c r="E1144" i="261" s="1"/>
  <c r="I1093" i="261"/>
  <c r="F1093" i="261" s="1"/>
  <c r="H783" i="261"/>
  <c r="I1063" i="261"/>
  <c r="F1063" i="261" s="1"/>
  <c r="H1161" i="261"/>
  <c r="E1161" i="261" s="1"/>
  <c r="K654" i="261"/>
  <c r="I1105" i="261"/>
  <c r="F1105" i="261" s="1"/>
  <c r="I879" i="261"/>
  <c r="I1103" i="261"/>
  <c r="F1103" i="261" s="1"/>
  <c r="H947" i="261"/>
  <c r="E947" i="261" s="1"/>
  <c r="I1122" i="261"/>
  <c r="F1122" i="261" s="1"/>
  <c r="I860" i="261"/>
  <c r="F860" i="261" s="1"/>
  <c r="H1045" i="261"/>
  <c r="I772" i="261"/>
  <c r="H793" i="261"/>
  <c r="I1064" i="261"/>
  <c r="F1064" i="261" s="1"/>
  <c r="H965" i="261"/>
  <c r="I1036" i="261"/>
  <c r="J678" i="261"/>
  <c r="H1065" i="261"/>
  <c r="E1065" i="261" s="1"/>
  <c r="I1145" i="261"/>
  <c r="F1145" i="261" s="1"/>
  <c r="I1079" i="261"/>
  <c r="F1079" i="261" s="1"/>
  <c r="H1015" i="261"/>
  <c r="I1153" i="261"/>
  <c r="F1153" i="261" s="1"/>
  <c r="H802" i="261"/>
  <c r="H1034" i="261"/>
  <c r="H1020" i="261"/>
  <c r="K663" i="261"/>
  <c r="I1052" i="261"/>
  <c r="F1052" i="261" s="1"/>
  <c r="H1138" i="261"/>
  <c r="E1138" i="261" s="1"/>
  <c r="H1074" i="261"/>
  <c r="E1074" i="261" s="1"/>
  <c r="I1109" i="261"/>
  <c r="F1109" i="261" s="1"/>
  <c r="H787" i="261"/>
  <c r="H952" i="261"/>
  <c r="H1095" i="261"/>
  <c r="E1095" i="261" s="1"/>
  <c r="I855" i="261"/>
  <c r="F855" i="261" s="1"/>
  <c r="H790" i="261"/>
  <c r="I1123" i="261"/>
  <c r="F1123" i="261" s="1"/>
  <c r="I938" i="261"/>
  <c r="F938" i="261" s="1"/>
  <c r="I793" i="261"/>
  <c r="I1111" i="261"/>
  <c r="F1111" i="261" s="1"/>
  <c r="I1108" i="261"/>
  <c r="F1108" i="261" s="1"/>
  <c r="I1034" i="261"/>
  <c r="I1084" i="261"/>
  <c r="F1084" i="261" s="1"/>
  <c r="H863" i="261"/>
  <c r="E863" i="261" s="1"/>
  <c r="I858" i="261"/>
  <c r="F858" i="261" s="1"/>
  <c r="I1157" i="261"/>
  <c r="F1157" i="261" s="1"/>
  <c r="H1148" i="261"/>
  <c r="E1148" i="261" s="1"/>
  <c r="I1067" i="261"/>
  <c r="F1067" i="261" s="1"/>
  <c r="I1117" i="261"/>
  <c r="F1117" i="261" s="1"/>
  <c r="I1028" i="261"/>
  <c r="I1101" i="261"/>
  <c r="F1101" i="261" s="1"/>
  <c r="H953" i="261"/>
  <c r="I882" i="261"/>
  <c r="F882" i="261" s="1"/>
  <c r="H867" i="261"/>
  <c r="E867" i="261" s="1"/>
  <c r="I874" i="261"/>
  <c r="H1142" i="261"/>
  <c r="E1142" i="261" s="1"/>
  <c r="H1151" i="261"/>
  <c r="E1151" i="261" s="1"/>
  <c r="H1058" i="261"/>
  <c r="E1058" i="261" s="1"/>
  <c r="H779" i="261"/>
  <c r="I1113" i="261"/>
  <c r="F1113" i="261" s="1"/>
  <c r="I778" i="261"/>
  <c r="H1116" i="261"/>
  <c r="E1116" i="261" s="1"/>
  <c r="H1099" i="261"/>
  <c r="E1099" i="261" s="1"/>
  <c r="I868" i="261"/>
  <c r="F868" i="261" s="1"/>
  <c r="H858" i="261"/>
  <c r="E858" i="261" s="1"/>
  <c r="I875" i="261"/>
  <c r="H963" i="261"/>
  <c r="J683" i="261"/>
  <c r="I775" i="261"/>
  <c r="I797" i="261"/>
  <c r="H1024" i="261"/>
  <c r="I1081" i="261"/>
  <c r="F1081" i="261" s="1"/>
  <c r="I1134" i="261"/>
  <c r="F1134" i="261" s="1"/>
  <c r="I1124" i="261"/>
  <c r="F1124" i="261" s="1"/>
  <c r="I1044" i="261"/>
  <c r="H1152" i="261"/>
  <c r="E1152" i="261" s="1"/>
  <c r="I1024" i="261"/>
  <c r="I1092" i="261"/>
  <c r="F1092" i="261" s="1"/>
  <c r="I1012" i="261"/>
  <c r="I950" i="261"/>
  <c r="F950" i="261" s="1"/>
  <c r="H804" i="261"/>
  <c r="H1121" i="261"/>
  <c r="E1121" i="261" s="1"/>
  <c r="H939" i="261"/>
  <c r="E939" i="261" s="1"/>
  <c r="H1155" i="261"/>
  <c r="E1155" i="261" s="1"/>
  <c r="H1075" i="261"/>
  <c r="E1075" i="261" s="1"/>
  <c r="I1140" i="261"/>
  <c r="F1140" i="261" s="1"/>
  <c r="I1156" i="261"/>
  <c r="F1156" i="261" s="1"/>
  <c r="I1027" i="261"/>
  <c r="H877" i="261"/>
  <c r="I1102" i="261"/>
  <c r="F1102" i="261" s="1"/>
  <c r="I869" i="261"/>
  <c r="F869" i="261" s="1"/>
  <c r="H1093" i="261"/>
  <c r="E1093" i="261" s="1"/>
  <c r="H1085" i="261"/>
  <c r="E1085" i="261" s="1"/>
  <c r="J668" i="261"/>
  <c r="H785" i="261"/>
  <c r="I1143" i="261"/>
  <c r="F1143" i="261" s="1"/>
  <c r="H805" i="261"/>
  <c r="H1092" i="261"/>
  <c r="E1092" i="261" s="1"/>
  <c r="I1164" i="261"/>
  <c r="F1164" i="261" s="1"/>
  <c r="I947" i="261"/>
  <c r="F947" i="261" s="1"/>
  <c r="H884" i="261"/>
  <c r="E884" i="261" s="1"/>
  <c r="H1119" i="261"/>
  <c r="E1119" i="261" s="1"/>
  <c r="K687" i="261"/>
  <c r="I1132" i="261"/>
  <c r="F1132" i="261" s="1"/>
  <c r="J659" i="261"/>
  <c r="H1112" i="261"/>
  <c r="E1112" i="261" s="1"/>
  <c r="H775" i="261"/>
  <c r="H1060" i="261"/>
  <c r="E1060" i="261" s="1"/>
  <c r="H1122" i="261"/>
  <c r="E1122" i="261" s="1"/>
  <c r="H800" i="261"/>
  <c r="I785" i="261"/>
  <c r="J687" i="261"/>
  <c r="I961" i="261"/>
  <c r="I796" i="261"/>
  <c r="I1016" i="261"/>
  <c r="I801" i="261"/>
  <c r="H1113" i="261"/>
  <c r="E1113" i="261" s="1"/>
  <c r="H1164" i="261"/>
  <c r="E1164" i="261" s="1"/>
  <c r="I1083" i="261"/>
  <c r="F1083" i="261" s="1"/>
  <c r="H1037" i="261"/>
  <c r="I1059" i="261"/>
  <c r="F1059" i="261" s="1"/>
  <c r="I951" i="261"/>
  <c r="F951" i="261" s="1"/>
  <c r="I1096" i="261"/>
  <c r="F1096" i="261" s="1"/>
  <c r="H942" i="261"/>
  <c r="E942" i="261" s="1"/>
  <c r="J686" i="261"/>
  <c r="H772" i="261"/>
  <c r="I880" i="261"/>
  <c r="F880" i="261" s="1"/>
  <c r="I1043" i="261"/>
  <c r="H875" i="261"/>
  <c r="I790" i="261"/>
  <c r="I876" i="261"/>
  <c r="I854" i="261"/>
  <c r="F854" i="261" s="1"/>
  <c r="I1066" i="261"/>
  <c r="F1066" i="261" s="1"/>
  <c r="K657" i="261"/>
  <c r="H778" i="261"/>
  <c r="J658" i="261"/>
  <c r="I1041" i="261"/>
  <c r="H1109" i="261"/>
  <c r="E1109" i="261" s="1"/>
  <c r="I1023" i="261"/>
  <c r="I1139" i="261"/>
  <c r="F1139" i="261" s="1"/>
  <c r="H1141" i="261"/>
  <c r="E1141" i="261" s="1"/>
  <c r="H792" i="261"/>
  <c r="H961" i="261"/>
  <c r="I881" i="261"/>
  <c r="F881" i="261" s="1"/>
  <c r="I861" i="261"/>
  <c r="F861" i="261" s="1"/>
  <c r="I1095" i="261"/>
  <c r="F1095" i="261" s="1"/>
  <c r="I953" i="261"/>
  <c r="I1098" i="261"/>
  <c r="F1098" i="261" s="1"/>
  <c r="H935" i="261"/>
  <c r="E935" i="261" s="1"/>
  <c r="H964" i="261"/>
  <c r="H938" i="261"/>
  <c r="E938" i="261" s="1"/>
  <c r="H880" i="261"/>
  <c r="E880" i="261" s="1"/>
  <c r="K682" i="261"/>
  <c r="I1162" i="261"/>
  <c r="F1162" i="261" s="1"/>
  <c r="I1085" i="261"/>
  <c r="F1085" i="261" s="1"/>
  <c r="H866" i="261"/>
  <c r="E866" i="261" s="1"/>
  <c r="I1073" i="261"/>
  <c r="F1073" i="261" s="1"/>
  <c r="I1026" i="261"/>
  <c r="J664" i="261"/>
  <c r="H1042" i="261"/>
  <c r="H1021" i="261"/>
  <c r="H945" i="261"/>
  <c r="E945" i="261" s="1"/>
  <c r="H1081" i="261"/>
  <c r="E1081" i="261" s="1"/>
  <c r="I883" i="261"/>
  <c r="F883" i="261" s="1"/>
  <c r="H1071" i="261"/>
  <c r="E1071" i="261" s="1"/>
  <c r="H1140" i="261"/>
  <c r="E1140" i="261" s="1"/>
  <c r="J676" i="261"/>
  <c r="H795" i="261"/>
  <c r="I786" i="261"/>
  <c r="I1147" i="261"/>
  <c r="F1147" i="261" s="1"/>
  <c r="H1040" i="261"/>
  <c r="I871" i="261"/>
  <c r="F871" i="261" s="1"/>
  <c r="I781" i="261"/>
  <c r="I791" i="261"/>
  <c r="H1014" i="261"/>
  <c r="I783" i="261"/>
  <c r="H962" i="261"/>
  <c r="H862" i="261"/>
  <c r="E862" i="261" s="1"/>
  <c r="H1068" i="261"/>
  <c r="E1068" i="261" s="1"/>
  <c r="I1032" i="261"/>
  <c r="H797" i="261"/>
  <c r="H1067" i="261"/>
  <c r="E1067" i="261" s="1"/>
  <c r="H1012" i="261"/>
  <c r="I1136" i="261"/>
  <c r="F1136" i="261" s="1"/>
  <c r="I949" i="261"/>
  <c r="F949" i="261" s="1"/>
  <c r="H852" i="261"/>
  <c r="E852" i="261" s="1"/>
  <c r="I1065" i="261"/>
  <c r="F1065" i="261" s="1"/>
  <c r="H788" i="261"/>
  <c r="H883" i="261"/>
  <c r="E883" i="261" s="1"/>
  <c r="H1153" i="261"/>
  <c r="E1153" i="261" s="1"/>
  <c r="H796" i="261"/>
  <c r="H1016" i="261"/>
  <c r="I1159" i="261"/>
  <c r="F1159" i="261" s="1"/>
  <c r="I780" i="261"/>
  <c r="H941" i="261"/>
  <c r="E941" i="261" s="1"/>
  <c r="I1163" i="261"/>
  <c r="F1163" i="261" s="1"/>
  <c r="H1028" i="261"/>
  <c r="H872" i="261"/>
  <c r="E872" i="261" s="1"/>
  <c r="H955" i="261"/>
  <c r="H1070" i="261"/>
  <c r="E1070" i="261" s="1"/>
  <c r="H1100" i="261"/>
  <c r="E1100" i="261" s="1"/>
  <c r="H780" i="261"/>
  <c r="I941" i="261"/>
  <c r="F941" i="261" s="1"/>
  <c r="H871" i="261"/>
  <c r="E871" i="261" s="1"/>
  <c r="H1029" i="261"/>
  <c r="I945" i="261"/>
  <c r="F945" i="261" s="1"/>
  <c r="H1083" i="261"/>
  <c r="E1083" i="261" s="1"/>
  <c r="I853" i="261"/>
  <c r="F853" i="261" s="1"/>
  <c r="I1146" i="261"/>
  <c r="F1146" i="261" s="1"/>
  <c r="I1015" i="261"/>
  <c r="H784" i="261"/>
  <c r="I965" i="261"/>
  <c r="I1068" i="261"/>
  <c r="F1068" i="261" s="1"/>
  <c r="I794" i="261"/>
  <c r="H869" i="261"/>
  <c r="E869" i="261" s="1"/>
  <c r="H1082" i="261"/>
  <c r="E1082" i="261" s="1"/>
  <c r="I803" i="261"/>
  <c r="I943" i="261"/>
  <c r="F943" i="261" s="1"/>
  <c r="I944" i="261"/>
  <c r="F944" i="261" s="1"/>
  <c r="I1154" i="261"/>
  <c r="F1154" i="261" s="1"/>
  <c r="I1142" i="261"/>
  <c r="F1142" i="261" s="1"/>
  <c r="H1149" i="261"/>
  <c r="E1149" i="261" s="1"/>
  <c r="H949" i="261"/>
  <c r="E949" i="261" s="1"/>
  <c r="I864" i="261"/>
  <c r="F864" i="261" s="1"/>
  <c r="K670" i="261"/>
  <c r="I1121" i="261"/>
  <c r="F1121" i="261" s="1"/>
  <c r="H957" i="261"/>
  <c r="I1104" i="261"/>
  <c r="F1104" i="261" s="1"/>
  <c r="I1025" i="261"/>
  <c r="I773" i="261"/>
  <c r="H1069" i="261"/>
  <c r="E1069" i="261" s="1"/>
  <c r="I1144" i="261"/>
  <c r="F1144" i="261" s="1"/>
  <c r="I1029" i="261"/>
  <c r="J669" i="261"/>
  <c r="H1125" i="261"/>
  <c r="E1125" i="261" s="1"/>
  <c r="I1161" i="261"/>
  <c r="F1161" i="261" s="1"/>
  <c r="J667" i="261"/>
  <c r="H799" i="261"/>
  <c r="I1094" i="261"/>
  <c r="F1094" i="261" s="1"/>
  <c r="J674" i="261"/>
  <c r="H1111" i="261"/>
  <c r="E1111" i="261" s="1"/>
  <c r="H1145" i="261"/>
  <c r="E1145" i="261" s="1"/>
  <c r="I1148" i="261"/>
  <c r="F1148" i="261" s="1"/>
  <c r="H1120" i="261"/>
  <c r="E1120" i="261" s="1"/>
  <c r="I1155" i="261"/>
  <c r="F1155" i="261" s="1"/>
  <c r="H1026" i="261"/>
  <c r="H1063" i="261"/>
  <c r="E1063" i="261" s="1"/>
  <c r="J682" i="261"/>
  <c r="I959" i="261"/>
  <c r="I774" i="261"/>
  <c r="H1041" i="261"/>
  <c r="H794" i="261"/>
  <c r="J654" i="261"/>
  <c r="I805" i="261"/>
  <c r="H946" i="261"/>
  <c r="E946" i="261" s="1"/>
  <c r="I1055" i="261"/>
  <c r="F1055" i="261" s="1"/>
  <c r="K677" i="261"/>
  <c r="H1044" i="261"/>
  <c r="I1151" i="261"/>
  <c r="F1151" i="261" s="1"/>
  <c r="H1160" i="261"/>
  <c r="E1160" i="261" s="1"/>
  <c r="I1020" i="261"/>
  <c r="I1100" i="261"/>
  <c r="F1100" i="261" s="1"/>
  <c r="I884" i="261"/>
  <c r="F884" i="261" s="1"/>
  <c r="H1055" i="261"/>
  <c r="E1055" i="261" s="1"/>
  <c r="H1154" i="261"/>
  <c r="E1154" i="261" s="1"/>
  <c r="H1110" i="261"/>
  <c r="E1110" i="261" s="1"/>
  <c r="H1165" i="261"/>
  <c r="E1165" i="261" s="1"/>
  <c r="K672" i="261"/>
  <c r="J655" i="261"/>
  <c r="H860" i="261"/>
  <c r="E860" i="261" s="1"/>
  <c r="H1133" i="261"/>
  <c r="E1133" i="261" s="1"/>
  <c r="H854" i="261"/>
  <c r="E854" i="261" s="1"/>
  <c r="H859" i="261"/>
  <c r="E859" i="261" s="1"/>
  <c r="I955" i="261"/>
  <c r="H1023" i="261"/>
  <c r="H781" i="261"/>
  <c r="H1139" i="261"/>
  <c r="E1139" i="261" s="1"/>
  <c r="H1039" i="261"/>
  <c r="H865" i="261"/>
  <c r="E865" i="261" s="1"/>
  <c r="H1080" i="261"/>
  <c r="E1080" i="261" s="1"/>
  <c r="H936" i="261"/>
  <c r="E936" i="261" s="1"/>
  <c r="H1031" i="261"/>
  <c r="I946" i="261"/>
  <c r="F946" i="261" s="1"/>
  <c r="K666" i="261"/>
  <c r="I885" i="261"/>
  <c r="F885" i="261" s="1"/>
  <c r="H855" i="261"/>
  <c r="E855" i="261" s="1"/>
  <c r="H933" i="261"/>
  <c r="E933" i="261" s="1"/>
  <c r="H1079" i="261"/>
  <c r="E1079" i="261" s="1"/>
  <c r="H1135" i="261"/>
  <c r="E1135" i="261" s="1"/>
  <c r="K678" i="261"/>
  <c r="I1106" i="261"/>
  <c r="F1106" i="261" s="1"/>
  <c r="H1036" i="261"/>
  <c r="K658" i="261"/>
  <c r="I802" i="261"/>
  <c r="H1054" i="261"/>
  <c r="E1054" i="261" s="1"/>
  <c r="I1058" i="261"/>
  <c r="F1058" i="261" s="1"/>
  <c r="H950" i="261"/>
  <c r="E950" i="261" s="1"/>
  <c r="H1072" i="261"/>
  <c r="E1072" i="261" s="1"/>
  <c r="J684" i="261"/>
  <c r="H1115" i="261"/>
  <c r="E1115" i="261" s="1"/>
  <c r="J661" i="261"/>
  <c r="I1031" i="261"/>
  <c r="H1114" i="261"/>
  <c r="E1114" i="261" s="1"/>
  <c r="H1117" i="261"/>
  <c r="E1117" i="261" s="1"/>
  <c r="K669" i="261"/>
  <c r="I1080" i="261"/>
  <c r="F1080" i="261" s="1"/>
  <c r="I1149" i="261"/>
  <c r="F1149" i="261" s="1"/>
  <c r="J681" i="261"/>
  <c r="H1162" i="261"/>
  <c r="E1162" i="261" s="1"/>
  <c r="I939" i="261"/>
  <c r="F939" i="261" s="1"/>
  <c r="J670" i="261"/>
  <c r="J660" i="261"/>
  <c r="K676" i="261"/>
  <c r="H774" i="261"/>
  <c r="H801" i="261"/>
  <c r="H1035" i="261"/>
  <c r="H1105" i="261"/>
  <c r="E1105" i="261" s="1"/>
  <c r="I788" i="261"/>
  <c r="I1040" i="261"/>
  <c r="I964" i="261"/>
  <c r="H1033" i="261"/>
  <c r="H1147" i="261"/>
  <c r="E1147" i="261" s="1"/>
  <c r="I1082" i="261"/>
  <c r="F1082" i="261" s="1"/>
  <c r="I1061" i="261"/>
  <c r="F1061" i="261" s="1"/>
  <c r="I1110" i="261"/>
  <c r="F1110" i="261" s="1"/>
  <c r="H881" i="261"/>
  <c r="E881" i="261" s="1"/>
  <c r="J656" i="261"/>
  <c r="I1107" i="261"/>
  <c r="F1107" i="261" s="1"/>
  <c r="I1062" i="261"/>
  <c r="F1062" i="261" s="1"/>
  <c r="I872" i="261"/>
  <c r="F872" i="261" s="1"/>
  <c r="I1119" i="261"/>
  <c r="F1119" i="261" s="1"/>
  <c r="K683" i="261"/>
  <c r="H874" i="261"/>
  <c r="K660" i="261"/>
  <c r="I795" i="261"/>
  <c r="H1163" i="261"/>
  <c r="E1163" i="261" s="1"/>
  <c r="K668" i="261"/>
  <c r="I859" i="261"/>
  <c r="F859" i="261" s="1"/>
  <c r="I1074" i="261"/>
  <c r="F1074" i="261" s="1"/>
  <c r="I866" i="261"/>
  <c r="F866" i="261" s="1"/>
  <c r="K665" i="261"/>
  <c r="I1072" i="261"/>
  <c r="F1072" i="261" s="1"/>
  <c r="H944" i="261"/>
  <c r="E944" i="261" s="1"/>
  <c r="H1108" i="261"/>
  <c r="E1108" i="261" s="1"/>
  <c r="I942" i="261"/>
  <c r="F942" i="261" s="1"/>
  <c r="K686" i="261"/>
  <c r="H1159" i="261"/>
  <c r="E1159" i="261" s="1"/>
  <c r="J679" i="261"/>
  <c r="J663" i="261"/>
  <c r="H956" i="261"/>
  <c r="I1019" i="261"/>
  <c r="I957" i="261"/>
  <c r="I779" i="261"/>
  <c r="H1107" i="261"/>
  <c r="E1107" i="261" s="1"/>
  <c r="I1039" i="261"/>
  <c r="I1037" i="261"/>
  <c r="H1057" i="261"/>
  <c r="E1057" i="261" s="1"/>
  <c r="I799" i="261"/>
  <c r="K655" i="261"/>
  <c r="H857" i="261"/>
  <c r="E857" i="261" s="1"/>
  <c r="H803" i="261"/>
  <c r="I1133" i="261"/>
  <c r="F1133" i="261" s="1"/>
  <c r="H1156" i="261"/>
  <c r="E1156" i="261" s="1"/>
  <c r="K667" i="261"/>
  <c r="H1062" i="261"/>
  <c r="E1062" i="261" s="1"/>
  <c r="I1099" i="261"/>
  <c r="F1099" i="261" s="1"/>
  <c r="H1059" i="261"/>
  <c r="E1059" i="261" s="1"/>
  <c r="H791" i="261"/>
  <c r="I1054" i="261"/>
  <c r="F1054" i="261" s="1"/>
  <c r="H1052" i="261"/>
  <c r="E1052" i="261" s="1"/>
  <c r="H1143" i="261"/>
  <c r="E1143" i="261" s="1"/>
  <c r="H1103" i="261"/>
  <c r="E1103" i="261" s="1"/>
  <c r="H786" i="261"/>
  <c r="H1101" i="261"/>
  <c r="E1101" i="261" s="1"/>
  <c r="I1057" i="261"/>
  <c r="F1057" i="261" s="1"/>
  <c r="H959" i="261"/>
  <c r="I787" i="261"/>
  <c r="H1025" i="261"/>
  <c r="I863" i="261"/>
  <c r="F863" i="261" s="1"/>
  <c r="I1076" i="261"/>
  <c r="F1076" i="261" s="1"/>
  <c r="K664" i="261"/>
  <c r="I1125" i="261"/>
  <c r="F1125" i="261" s="1"/>
  <c r="I782" i="261"/>
  <c r="K674" i="261"/>
  <c r="H1123" i="261"/>
  <c r="E1123" i="261" s="1"/>
  <c r="I789" i="261"/>
  <c r="I1075" i="261"/>
  <c r="F1075" i="261" s="1"/>
  <c r="I1035" i="261"/>
  <c r="H1022" i="261"/>
  <c r="H885" i="261"/>
  <c r="E885" i="261" s="1"/>
  <c r="H1027" i="261"/>
  <c r="I948" i="261"/>
  <c r="F948" i="261" s="1"/>
  <c r="I937" i="261"/>
  <c r="F937" i="261" s="1"/>
  <c r="I1150" i="261"/>
  <c r="F1150" i="261" s="1"/>
  <c r="H868" i="261"/>
  <c r="E868" i="261" s="1"/>
  <c r="I1042" i="261"/>
  <c r="H882" i="261"/>
  <c r="E882" i="261" s="1"/>
  <c r="I1097" i="261"/>
  <c r="F1097" i="261" s="1"/>
  <c r="H861" i="261"/>
  <c r="E861" i="261" s="1"/>
  <c r="H954" i="261"/>
  <c r="I954" i="261"/>
  <c r="I1021" i="261"/>
  <c r="I873" i="261"/>
  <c r="F873" i="261" s="1"/>
  <c r="I1114" i="261"/>
  <c r="F1114" i="261" s="1"/>
  <c r="J675" i="261"/>
  <c r="I1053" i="261"/>
  <c r="F1053" i="261" s="1"/>
  <c r="I935" i="261"/>
  <c r="F935" i="261" s="1"/>
  <c r="K662" i="261"/>
  <c r="H1073" i="261"/>
  <c r="E1073" i="261" s="1"/>
  <c r="H1076" i="261"/>
  <c r="E1076" i="261" s="1"/>
  <c r="H776" i="261"/>
  <c r="I933" i="261"/>
  <c r="F933" i="261" s="1"/>
  <c r="G114" i="261"/>
  <c r="G112" i="261"/>
  <c r="G920" i="261"/>
  <c r="E828" i="261"/>
  <c r="D830" i="261"/>
  <c r="E912" i="261"/>
  <c r="E831" i="261"/>
  <c r="F991" i="261"/>
  <c r="G910" i="261"/>
  <c r="G116" i="261"/>
  <c r="D911" i="261"/>
  <c r="D829" i="261"/>
  <c r="E832" i="261"/>
  <c r="D910" i="261"/>
  <c r="AJ135" i="278"/>
  <c r="AJ121" i="278"/>
  <c r="AJ135" i="310"/>
  <c r="AJ121" i="310"/>
  <c r="AJ135" i="306"/>
  <c r="AJ121" i="306"/>
  <c r="AJ135" i="272"/>
  <c r="AJ121" i="272"/>
  <c r="AJ135" i="269"/>
  <c r="AJ121" i="269"/>
  <c r="AJ135" i="303"/>
  <c r="AJ121" i="303"/>
  <c r="D953" i="261"/>
  <c r="F76" i="261"/>
  <c r="D952" i="261"/>
  <c r="F75" i="261"/>
  <c r="AJ106" i="260"/>
  <c r="G924" i="261" s="1"/>
  <c r="AG109" i="260"/>
  <c r="E921" i="261" s="1"/>
  <c r="AD95" i="260"/>
  <c r="H1118" i="261" s="1"/>
  <c r="E1118" i="261" s="1"/>
  <c r="AD96" i="260"/>
  <c r="I1078" i="261" s="1"/>
  <c r="F1078" i="261" s="1"/>
  <c r="AD145" i="306"/>
  <c r="AD145" i="278"/>
  <c r="AD145" i="272"/>
  <c r="AE136" i="278"/>
  <c r="AE122" i="278"/>
  <c r="AE136" i="272"/>
  <c r="AE122" i="272"/>
  <c r="AD145" i="310"/>
  <c r="AE136" i="303"/>
  <c r="AE122" i="303"/>
  <c r="AE136" i="310"/>
  <c r="AE122" i="310"/>
  <c r="AE122" i="306"/>
  <c r="AE136" i="306"/>
  <c r="AD145" i="303"/>
  <c r="AC84" i="260"/>
  <c r="AC86" i="260" s="1"/>
  <c r="AC83" i="260"/>
  <c r="AC67" i="260"/>
  <c r="AC69" i="260" s="1"/>
  <c r="I40" i="261" s="1"/>
  <c r="AC66" i="260"/>
  <c r="Z74" i="269"/>
  <c r="Z82" i="269" s="1"/>
  <c r="AA83" i="269"/>
  <c r="Z202" i="269"/>
  <c r="B43" i="261"/>
  <c r="F43" i="261" s="1"/>
  <c r="AA109" i="260"/>
  <c r="E915" i="261" s="1"/>
  <c r="AA108" i="260"/>
  <c r="F915" i="261" s="1"/>
  <c r="AA107" i="260"/>
  <c r="D915" i="261" s="1"/>
  <c r="AA189" i="269"/>
  <c r="AA202" i="269"/>
  <c r="AA113" i="260" s="1"/>
  <c r="J118" i="261" s="1"/>
  <c r="I91" i="261"/>
  <c r="H91" i="261"/>
  <c r="AC56" i="260"/>
  <c r="AB73" i="260"/>
  <c r="AC48" i="268"/>
  <c r="AC181" i="269" s="1"/>
  <c r="AC185" i="269" s="1"/>
  <c r="AC50" i="268"/>
  <c r="AC183" i="269" s="1"/>
  <c r="AC187" i="269" s="1"/>
  <c r="AD50" i="268"/>
  <c r="AB181" i="269"/>
  <c r="AB185" i="269" s="1"/>
  <c r="AB126" i="269"/>
  <c r="AB70" i="269"/>
  <c r="AC182" i="269"/>
  <c r="AC186" i="269" s="1"/>
  <c r="AC127" i="269"/>
  <c r="AC71" i="269"/>
  <c r="AC75" i="269" s="1"/>
  <c r="AB183" i="269"/>
  <c r="AB187" i="269" s="1"/>
  <c r="AB128" i="269"/>
  <c r="AB72" i="269"/>
  <c r="AB76" i="269" s="1"/>
  <c r="AB182" i="269"/>
  <c r="AB186" i="269" s="1"/>
  <c r="AB127" i="269"/>
  <c r="AB71" i="269"/>
  <c r="AB75" i="269" s="1"/>
  <c r="AE43" i="268"/>
  <c r="AE44" i="268" s="1"/>
  <c r="AE46" i="268" s="1"/>
  <c r="AA78" i="269"/>
  <c r="AA85" i="269" s="1"/>
  <c r="AA44" i="260" s="1"/>
  <c r="AA82" i="269"/>
  <c r="AA103" i="260" s="1"/>
  <c r="G118" i="261" s="1"/>
  <c r="AC82" i="260"/>
  <c r="AC81" i="260"/>
  <c r="AC65" i="260"/>
  <c r="AC64" i="260"/>
  <c r="AD94" i="260"/>
  <c r="AD52" i="260"/>
  <c r="I43" i="261" l="1"/>
  <c r="C52" i="260"/>
  <c r="F41" i="261"/>
  <c r="AC90" i="260"/>
  <c r="AB131" i="269"/>
  <c r="AB132" i="269"/>
  <c r="AB133" i="269"/>
  <c r="AB130" i="269"/>
  <c r="AB141" i="269"/>
  <c r="AB142" i="269"/>
  <c r="AB140" i="269"/>
  <c r="AB143" i="269"/>
  <c r="E680" i="261"/>
  <c r="E688" i="261" s="1"/>
  <c r="I1038" i="261"/>
  <c r="I878" i="261"/>
  <c r="J680" i="261"/>
  <c r="E129" i="261"/>
  <c r="I1158" i="261"/>
  <c r="F1158" i="261" s="1"/>
  <c r="H1078" i="261"/>
  <c r="E1078" i="261" s="1"/>
  <c r="H798" i="261"/>
  <c r="I1056" i="261"/>
  <c r="F1056" i="261" s="1"/>
  <c r="I936" i="261"/>
  <c r="F936" i="261" s="1"/>
  <c r="I776" i="261"/>
  <c r="I856" i="261"/>
  <c r="F856" i="261" s="1"/>
  <c r="I1017" i="261"/>
  <c r="I777" i="261"/>
  <c r="I857" i="261"/>
  <c r="F857" i="261" s="1"/>
  <c r="I1137" i="261"/>
  <c r="F1137" i="261" s="1"/>
  <c r="K680" i="261"/>
  <c r="I798" i="261"/>
  <c r="I129" i="261"/>
  <c r="F129" i="261"/>
  <c r="H1136" i="261"/>
  <c r="E1136" i="261" s="1"/>
  <c r="H1096" i="261"/>
  <c r="E1096" i="261" s="1"/>
  <c r="H856" i="261"/>
  <c r="E856" i="261" s="1"/>
  <c r="H1056" i="261"/>
  <c r="E1056" i="261" s="1"/>
  <c r="H937" i="261"/>
  <c r="E937" i="261" s="1"/>
  <c r="H1098" i="261"/>
  <c r="E1098" i="261" s="1"/>
  <c r="H1137" i="261"/>
  <c r="E1137" i="261" s="1"/>
  <c r="H1097" i="261"/>
  <c r="E1097" i="261" s="1"/>
  <c r="H1017" i="261"/>
  <c r="H1018" i="261"/>
  <c r="H1158" i="261"/>
  <c r="E1158" i="261" s="1"/>
  <c r="I1118" i="261"/>
  <c r="F1118" i="261" s="1"/>
  <c r="H958" i="261"/>
  <c r="H878" i="261"/>
  <c r="H1038" i="261"/>
  <c r="I958" i="261"/>
  <c r="H129" i="261"/>
  <c r="AK135" i="278"/>
  <c r="AK121" i="278"/>
  <c r="AK135" i="310"/>
  <c r="AK121" i="310"/>
  <c r="AK135" i="306"/>
  <c r="AK121" i="306"/>
  <c r="AK135" i="272"/>
  <c r="AK121" i="272"/>
  <c r="AK135" i="269"/>
  <c r="Z135" i="269"/>
  <c r="Z136" i="269"/>
  <c r="Z145" i="269" s="1"/>
  <c r="Z45" i="260" s="1"/>
  <c r="AA135" i="269"/>
  <c r="AA136" i="269"/>
  <c r="AA145" i="269" s="1"/>
  <c r="AA45" i="260" s="1"/>
  <c r="AK121" i="269"/>
  <c r="AK135" i="303"/>
  <c r="AK121" i="303"/>
  <c r="E952" i="261"/>
  <c r="F952" i="261"/>
  <c r="F995" i="261"/>
  <c r="D835" i="261"/>
  <c r="F953" i="261"/>
  <c r="E953" i="261"/>
  <c r="D875" i="261"/>
  <c r="E78" i="261"/>
  <c r="Z109" i="260"/>
  <c r="E914" i="261" s="1"/>
  <c r="AK106" i="260"/>
  <c r="G925" i="261" s="1"/>
  <c r="Z113" i="260"/>
  <c r="J117" i="261" s="1"/>
  <c r="AA104" i="260"/>
  <c r="E835" i="261" s="1"/>
  <c r="AH109" i="260"/>
  <c r="E922" i="261" s="1"/>
  <c r="Z103" i="260"/>
  <c r="G117" i="261" s="1"/>
  <c r="Z108" i="260"/>
  <c r="F914" i="261" s="1"/>
  <c r="Z106" i="260"/>
  <c r="G914" i="261" s="1"/>
  <c r="Z107" i="260"/>
  <c r="D914" i="261" s="1"/>
  <c r="AE145" i="272"/>
  <c r="AE145" i="278"/>
  <c r="AE145" i="303"/>
  <c r="AF136" i="278"/>
  <c r="AF122" i="278"/>
  <c r="AF122" i="269"/>
  <c r="AF136" i="269"/>
  <c r="AE145" i="310"/>
  <c r="AE145" i="306"/>
  <c r="AF136" i="303"/>
  <c r="AF122" i="303"/>
  <c r="AF136" i="310"/>
  <c r="AF122" i="310"/>
  <c r="AF136" i="272"/>
  <c r="AF122" i="272"/>
  <c r="AF122" i="306"/>
  <c r="AF136" i="306"/>
  <c r="F1086" i="261"/>
  <c r="Z78" i="269"/>
  <c r="Z85" i="269" s="1"/>
  <c r="Z44" i="260" s="1"/>
  <c r="D1006" i="261"/>
  <c r="D1008" i="261" s="1"/>
  <c r="E1006" i="261"/>
  <c r="E1008" i="261" s="1"/>
  <c r="AC73" i="260"/>
  <c r="AD83" i="260"/>
  <c r="C83" i="260" s="1"/>
  <c r="AD66" i="260"/>
  <c r="C66" i="260" s="1"/>
  <c r="F766" i="261"/>
  <c r="F768" i="261" s="1"/>
  <c r="E766" i="261"/>
  <c r="E768" i="261" s="1"/>
  <c r="AD67" i="260"/>
  <c r="C67" i="260" s="1"/>
  <c r="B44" i="261"/>
  <c r="AC126" i="269"/>
  <c r="C28" i="260"/>
  <c r="C34" i="260" s="1"/>
  <c r="C140" i="261"/>
  <c r="AD49" i="268"/>
  <c r="AD127" i="269" s="1"/>
  <c r="AD48" i="268"/>
  <c r="AD181" i="269" s="1"/>
  <c r="AD185" i="269" s="1"/>
  <c r="AC70" i="269"/>
  <c r="AC74" i="269" s="1"/>
  <c r="AC72" i="269"/>
  <c r="AC76" i="269" s="1"/>
  <c r="AC128" i="269"/>
  <c r="AC189" i="269"/>
  <c r="AC202" i="269"/>
  <c r="AC113" i="260" s="1"/>
  <c r="J120" i="261" s="1"/>
  <c r="AB189" i="269"/>
  <c r="AB202" i="269"/>
  <c r="AB113" i="260" s="1"/>
  <c r="J119" i="261" s="1"/>
  <c r="AB74" i="269"/>
  <c r="AB83" i="269"/>
  <c r="AD183" i="269"/>
  <c r="AD187" i="269" s="1"/>
  <c r="AD128" i="269"/>
  <c r="AD72" i="269"/>
  <c r="AD76" i="269" s="1"/>
  <c r="AD65" i="260"/>
  <c r="C65" i="260" s="1"/>
  <c r="AD64" i="260"/>
  <c r="C64" i="260" s="1"/>
  <c r="E22" i="260" s="1"/>
  <c r="AD84" i="260"/>
  <c r="C84" i="260" s="1"/>
  <c r="AD82" i="260"/>
  <c r="C82" i="260" s="1"/>
  <c r="AD81" i="260"/>
  <c r="C81" i="260" s="1"/>
  <c r="AD56" i="260"/>
  <c r="AE56" i="260" s="1"/>
  <c r="AF56" i="260" s="1"/>
  <c r="AG56" i="260" s="1"/>
  <c r="AH56" i="260" s="1"/>
  <c r="AI56" i="260" s="1"/>
  <c r="AJ56" i="260" s="1"/>
  <c r="AK56" i="260" s="1"/>
  <c r="F44" i="261" l="1"/>
  <c r="I44" i="261"/>
  <c r="E1086" i="261"/>
  <c r="E1088" i="261" s="1"/>
  <c r="AC132" i="269"/>
  <c r="AC133" i="269"/>
  <c r="AC130" i="269"/>
  <c r="AC131" i="269"/>
  <c r="AC142" i="269"/>
  <c r="AC140" i="269"/>
  <c r="AC141" i="269"/>
  <c r="AC143" i="269"/>
  <c r="E690" i="261"/>
  <c r="E27" i="260"/>
  <c r="E28" i="260" s="1"/>
  <c r="D24" i="260"/>
  <c r="D630" i="261" s="1"/>
  <c r="E24" i="260"/>
  <c r="AB135" i="269"/>
  <c r="AB136" i="269"/>
  <c r="AB145" i="269" s="1"/>
  <c r="AB45" i="260" s="1"/>
  <c r="D874" i="261"/>
  <c r="E77" i="261"/>
  <c r="D954" i="261"/>
  <c r="F77" i="261"/>
  <c r="F994" i="261"/>
  <c r="F996" i="261"/>
  <c r="D955" i="261"/>
  <c r="F78" i="261"/>
  <c r="D834" i="261"/>
  <c r="F875" i="261"/>
  <c r="E875" i="261"/>
  <c r="F997" i="261"/>
  <c r="AF107" i="260"/>
  <c r="D920" i="261" s="1"/>
  <c r="AB104" i="260"/>
  <c r="E836" i="261" s="1"/>
  <c r="AB106" i="260"/>
  <c r="G916" i="261" s="1"/>
  <c r="AB107" i="260"/>
  <c r="D916" i="261" s="1"/>
  <c r="AB109" i="260"/>
  <c r="E916" i="261" s="1"/>
  <c r="AB108" i="260"/>
  <c r="F916" i="261" s="1"/>
  <c r="AI109" i="260"/>
  <c r="E923" i="261" s="1"/>
  <c r="F1166" i="261"/>
  <c r="AF145" i="269"/>
  <c r="AF145" i="278"/>
  <c r="AF145" i="272"/>
  <c r="AG122" i="278"/>
  <c r="AG136" i="278"/>
  <c r="AG136" i="272"/>
  <c r="AG122" i="272"/>
  <c r="AF145" i="306"/>
  <c r="AG136" i="310"/>
  <c r="AG122" i="310"/>
  <c r="AG122" i="303"/>
  <c r="AG136" i="303"/>
  <c r="AG122" i="306"/>
  <c r="AG136" i="306"/>
  <c r="AG136" i="269"/>
  <c r="AG122" i="269"/>
  <c r="AF145" i="310"/>
  <c r="AF145" i="303"/>
  <c r="E1166" i="261"/>
  <c r="F1126" i="261"/>
  <c r="E1126" i="261"/>
  <c r="D23" i="260"/>
  <c r="E23" i="260"/>
  <c r="AD69" i="260"/>
  <c r="B45" i="261"/>
  <c r="AD70" i="269"/>
  <c r="AD74" i="269" s="1"/>
  <c r="AD126" i="269"/>
  <c r="D22" i="260"/>
  <c r="D628" i="261" s="1"/>
  <c r="AD71" i="269"/>
  <c r="AD75" i="269" s="1"/>
  <c r="AD182" i="269"/>
  <c r="AD186" i="269" s="1"/>
  <c r="AD202" i="269" s="1"/>
  <c r="AD113" i="260" s="1"/>
  <c r="J121" i="261" s="1"/>
  <c r="AC83" i="269"/>
  <c r="AE50" i="268"/>
  <c r="AE48" i="268"/>
  <c r="AE49" i="268"/>
  <c r="AB78" i="269"/>
  <c r="AB85" i="269" s="1"/>
  <c r="AB44" i="260" s="1"/>
  <c r="AB82" i="269"/>
  <c r="AC78" i="269"/>
  <c r="AC85" i="269" s="1"/>
  <c r="AC44" i="260" s="1"/>
  <c r="AC82" i="269"/>
  <c r="AC103" i="260" s="1"/>
  <c r="G120" i="261" s="1"/>
  <c r="AD86" i="260"/>
  <c r="C86" i="260" s="1"/>
  <c r="D27" i="260"/>
  <c r="D28" i="260" s="1"/>
  <c r="D34" i="260" s="1"/>
  <c r="D636" i="261" s="1"/>
  <c r="G646" i="261" l="1"/>
  <c r="G647" i="261"/>
  <c r="G645" i="261"/>
  <c r="G648" i="261"/>
  <c r="F45" i="261"/>
  <c r="I45" i="261"/>
  <c r="C69" i="260"/>
  <c r="I41" i="261"/>
  <c r="AD133" i="269"/>
  <c r="AD130" i="269"/>
  <c r="AD131" i="269"/>
  <c r="AD132" i="269"/>
  <c r="AD141" i="269"/>
  <c r="AD143" i="269"/>
  <c r="AD142" i="269"/>
  <c r="AD140" i="269"/>
  <c r="H10" i="261"/>
  <c r="C630" i="261"/>
  <c r="C9" i="218"/>
  <c r="E619" i="261"/>
  <c r="E620" i="261" s="1"/>
  <c r="F1168" i="261"/>
  <c r="E1168" i="261"/>
  <c r="AC135" i="269"/>
  <c r="AC136" i="269"/>
  <c r="AC145" i="269" s="1"/>
  <c r="AC45" i="260" s="1"/>
  <c r="AF45" i="260"/>
  <c r="F83" i="261" s="1"/>
  <c r="F998" i="261"/>
  <c r="D837" i="261"/>
  <c r="D876" i="261"/>
  <c r="E79" i="261"/>
  <c r="D877" i="261"/>
  <c r="E80" i="261"/>
  <c r="F954" i="261"/>
  <c r="E954" i="261"/>
  <c r="E955" i="261"/>
  <c r="F955" i="261"/>
  <c r="D956" i="261"/>
  <c r="F79" i="261"/>
  <c r="E874" i="261"/>
  <c r="F874" i="261"/>
  <c r="AJ109" i="260"/>
  <c r="E924" i="261" s="1"/>
  <c r="AG107" i="260"/>
  <c r="D921" i="261" s="1"/>
  <c r="AC104" i="260"/>
  <c r="E837" i="261" s="1"/>
  <c r="AB103" i="260"/>
  <c r="G119" i="261" s="1"/>
  <c r="AC109" i="260"/>
  <c r="E917" i="261" s="1"/>
  <c r="AC108" i="260"/>
  <c r="F917" i="261" s="1"/>
  <c r="AC107" i="260"/>
  <c r="D917" i="261" s="1"/>
  <c r="AC106" i="260"/>
  <c r="G917" i="261" s="1"/>
  <c r="AG145" i="310"/>
  <c r="AG145" i="269"/>
  <c r="AG145" i="272"/>
  <c r="AH136" i="303"/>
  <c r="AH122" i="303"/>
  <c r="AH136" i="278"/>
  <c r="AH122" i="278"/>
  <c r="AH136" i="272"/>
  <c r="AH122" i="272"/>
  <c r="AG145" i="306"/>
  <c r="AH122" i="269"/>
  <c r="AH136" i="269"/>
  <c r="AH122" i="310"/>
  <c r="AH136" i="310"/>
  <c r="AH122" i="306"/>
  <c r="AH136" i="306"/>
  <c r="AG145" i="303"/>
  <c r="AG145" i="278"/>
  <c r="F1088" i="261"/>
  <c r="E1128" i="261"/>
  <c r="F1128" i="261"/>
  <c r="D629" i="261"/>
  <c r="D11" i="218"/>
  <c r="D12" i="218" s="1"/>
  <c r="E34" i="260"/>
  <c r="AD73" i="260"/>
  <c r="AE73" i="260" s="1"/>
  <c r="AF73" i="260" s="1"/>
  <c r="AG73" i="260" s="1"/>
  <c r="AH73" i="260" s="1"/>
  <c r="AI73" i="260" s="1"/>
  <c r="AJ73" i="260" s="1"/>
  <c r="AK73" i="260" s="1"/>
  <c r="C628" i="261"/>
  <c r="E584" i="261"/>
  <c r="E585" i="261" s="1"/>
  <c r="C8" i="218"/>
  <c r="C629" i="261"/>
  <c r="E605" i="261"/>
  <c r="E606" i="261" s="1"/>
  <c r="B46" i="261"/>
  <c r="AD83" i="269"/>
  <c r="AD189" i="269"/>
  <c r="H9" i="261"/>
  <c r="C7" i="218"/>
  <c r="H8" i="261"/>
  <c r="AE182" i="269"/>
  <c r="AE186" i="269" s="1"/>
  <c r="AE127" i="269"/>
  <c r="AE71" i="269"/>
  <c r="AE75" i="269" s="1"/>
  <c r="AE181" i="269"/>
  <c r="AE185" i="269" s="1"/>
  <c r="AE70" i="269"/>
  <c r="AE126" i="269"/>
  <c r="AE183" i="269"/>
  <c r="AE187" i="269" s="1"/>
  <c r="AE128" i="269"/>
  <c r="AE72" i="269"/>
  <c r="AE76" i="269" s="1"/>
  <c r="AD78" i="269"/>
  <c r="AD85" i="269" s="1"/>
  <c r="AD44" i="260" s="1"/>
  <c r="AD82" i="269"/>
  <c r="AD103" i="260" s="1"/>
  <c r="G121" i="261" s="1"/>
  <c r="AD90" i="260"/>
  <c r="AE90" i="260" s="1"/>
  <c r="AF90" i="260" s="1"/>
  <c r="AG90" i="260" s="1"/>
  <c r="AH90" i="260" s="1"/>
  <c r="AI90" i="260" s="1"/>
  <c r="AJ90" i="260" s="1"/>
  <c r="AK90" i="260" s="1"/>
  <c r="F46" i="261" l="1"/>
  <c r="I46" i="261"/>
  <c r="AE130" i="269"/>
  <c r="AE131" i="269"/>
  <c r="AE132" i="269"/>
  <c r="AE133" i="269"/>
  <c r="AE141" i="269"/>
  <c r="AE142" i="269"/>
  <c r="AE140" i="269"/>
  <c r="AE143" i="269"/>
  <c r="AD135" i="269"/>
  <c r="AD136" i="269"/>
  <c r="AD145" i="269" s="1"/>
  <c r="AD45" i="260" s="1"/>
  <c r="D960" i="261"/>
  <c r="F960" i="261" s="1"/>
  <c r="G649" i="261"/>
  <c r="G650" i="261"/>
  <c r="E956" i="261"/>
  <c r="F956" i="261"/>
  <c r="E876" i="261"/>
  <c r="F876" i="261"/>
  <c r="D878" i="261"/>
  <c r="E81" i="261"/>
  <c r="D836" i="261"/>
  <c r="D838" i="261"/>
  <c r="D957" i="261"/>
  <c r="F80" i="261"/>
  <c r="AG45" i="260"/>
  <c r="F877" i="261"/>
  <c r="E877" i="261"/>
  <c r="AD109" i="260"/>
  <c r="E918" i="261" s="1"/>
  <c r="AD107" i="260"/>
  <c r="D918" i="261" s="1"/>
  <c r="AK109" i="260"/>
  <c r="E925" i="261" s="1"/>
  <c r="AH107" i="260"/>
  <c r="D922" i="261" s="1"/>
  <c r="AD108" i="260"/>
  <c r="F918" i="261" s="1"/>
  <c r="AD104" i="260"/>
  <c r="E838" i="261" s="1"/>
  <c r="AD106" i="260"/>
  <c r="G918" i="261" s="1"/>
  <c r="AF79" i="260"/>
  <c r="AH145" i="303"/>
  <c r="AH145" i="269"/>
  <c r="AI122" i="303"/>
  <c r="AI136" i="303"/>
  <c r="AH145" i="272"/>
  <c r="AI122" i="310"/>
  <c r="AI136" i="310"/>
  <c r="AI136" i="306"/>
  <c r="AI122" i="306"/>
  <c r="AI136" i="272"/>
  <c r="AI122" i="272"/>
  <c r="AH145" i="310"/>
  <c r="AI136" i="278"/>
  <c r="AI122" i="278"/>
  <c r="AI136" i="269"/>
  <c r="AI122" i="269"/>
  <c r="AH145" i="306"/>
  <c r="AH145" i="278"/>
  <c r="C636" i="261"/>
  <c r="B47" i="261"/>
  <c r="AE74" i="269"/>
  <c r="AE83" i="269"/>
  <c r="AE189" i="269"/>
  <c r="AE202" i="269"/>
  <c r="B48" i="261" l="1"/>
  <c r="F47" i="261"/>
  <c r="I47" i="261"/>
  <c r="AE135" i="269"/>
  <c r="AE136" i="269"/>
  <c r="AE145" i="269" s="1"/>
  <c r="AE45" i="260" s="1"/>
  <c r="E960" i="261"/>
  <c r="D958" i="261"/>
  <c r="F81" i="261"/>
  <c r="D961" i="261"/>
  <c r="F84" i="261"/>
  <c r="E878" i="261"/>
  <c r="F878" i="261"/>
  <c r="AH45" i="260"/>
  <c r="E957" i="261"/>
  <c r="F957" i="261"/>
  <c r="AE113" i="260"/>
  <c r="J122" i="261" s="1"/>
  <c r="AI107" i="260"/>
  <c r="D923" i="261" s="1"/>
  <c r="AE104" i="260"/>
  <c r="AE106" i="260"/>
  <c r="AE107" i="260"/>
  <c r="D919" i="261" s="1"/>
  <c r="AE108" i="260"/>
  <c r="AE109" i="260"/>
  <c r="AF62" i="260"/>
  <c r="AI145" i="278"/>
  <c r="AG79" i="260"/>
  <c r="AI145" i="272"/>
  <c r="AI145" i="306"/>
  <c r="AI145" i="310"/>
  <c r="AI145" i="303"/>
  <c r="AJ122" i="310"/>
  <c r="AJ136" i="310"/>
  <c r="AJ136" i="269"/>
  <c r="AJ122" i="269"/>
  <c r="AJ136" i="278"/>
  <c r="AJ122" i="278"/>
  <c r="AJ122" i="272"/>
  <c r="AJ136" i="272"/>
  <c r="AI145" i="269"/>
  <c r="AJ136" i="306"/>
  <c r="AJ122" i="306"/>
  <c r="AJ122" i="303"/>
  <c r="AJ136" i="303"/>
  <c r="AE78" i="269"/>
  <c r="AE85" i="269" s="1"/>
  <c r="AE44" i="260" s="1"/>
  <c r="C44" i="260" s="1"/>
  <c r="AE82" i="269"/>
  <c r="F48" i="261" l="1"/>
  <c r="F49" i="261" s="1"/>
  <c r="F51" i="261" s="1"/>
  <c r="I48" i="261"/>
  <c r="I49" i="261" s="1"/>
  <c r="I51" i="261" s="1"/>
  <c r="D131" i="260"/>
  <c r="J129" i="261"/>
  <c r="F999" i="261"/>
  <c r="F1006" i="261" s="1"/>
  <c r="AI45" i="260"/>
  <c r="D126" i="260"/>
  <c r="F919" i="261"/>
  <c r="F926" i="261" s="1"/>
  <c r="D962" i="261"/>
  <c r="F85" i="261"/>
  <c r="D959" i="261"/>
  <c r="F82" i="261"/>
  <c r="D124" i="260"/>
  <c r="G919" i="261"/>
  <c r="G926" i="261" s="1"/>
  <c r="D122" i="260"/>
  <c r="E839" i="261"/>
  <c r="E846" i="261" s="1"/>
  <c r="E961" i="261"/>
  <c r="F961" i="261"/>
  <c r="D879" i="261"/>
  <c r="E82" i="261"/>
  <c r="E89" i="261" s="1"/>
  <c r="C19" i="260"/>
  <c r="D127" i="260"/>
  <c r="E919" i="261"/>
  <c r="E926" i="261" s="1"/>
  <c r="F958" i="261"/>
  <c r="E958" i="261"/>
  <c r="AE79" i="260"/>
  <c r="AE62" i="260"/>
  <c r="AJ107" i="260"/>
  <c r="D924" i="261" s="1"/>
  <c r="AE103" i="260"/>
  <c r="G122" i="261" s="1"/>
  <c r="AJ145" i="306"/>
  <c r="AG62" i="260"/>
  <c r="AJ145" i="269"/>
  <c r="AJ145" i="303"/>
  <c r="AJ145" i="278"/>
  <c r="AH62" i="260"/>
  <c r="AJ145" i="310"/>
  <c r="AK136" i="303"/>
  <c r="AK122" i="303"/>
  <c r="AK122" i="278"/>
  <c r="AK136" i="278"/>
  <c r="AJ145" i="272"/>
  <c r="AK122" i="310"/>
  <c r="AK136" i="310"/>
  <c r="AK122" i="306"/>
  <c r="AK136" i="306"/>
  <c r="AK136" i="272"/>
  <c r="AK122" i="272"/>
  <c r="AK122" i="269"/>
  <c r="AK136" i="269"/>
  <c r="D121" i="260" l="1"/>
  <c r="G129" i="261"/>
  <c r="D839" i="261"/>
  <c r="D846" i="261" s="1"/>
  <c r="D963" i="261"/>
  <c r="F86" i="261"/>
  <c r="F879" i="261"/>
  <c r="E879" i="261"/>
  <c r="F959" i="261"/>
  <c r="E959" i="261"/>
  <c r="AJ45" i="260"/>
  <c r="F962" i="261"/>
  <c r="E962" i="261"/>
  <c r="AK107" i="260"/>
  <c r="AE78" i="260"/>
  <c r="AE61" i="260"/>
  <c r="AI79" i="260"/>
  <c r="AH79" i="260"/>
  <c r="AK145" i="272"/>
  <c r="AK145" i="303"/>
  <c r="AK145" i="269"/>
  <c r="AK145" i="278"/>
  <c r="AK145" i="310"/>
  <c r="AK145" i="306"/>
  <c r="F928" i="261"/>
  <c r="E848" i="261"/>
  <c r="D928" i="261"/>
  <c r="G928" i="261"/>
  <c r="F1008" i="261"/>
  <c r="AD79" i="260"/>
  <c r="AD62" i="260"/>
  <c r="D848" i="261" l="1"/>
  <c r="D125" i="260"/>
  <c r="D925" i="261"/>
  <c r="D926" i="261" s="1"/>
  <c r="F963" i="261"/>
  <c r="E963" i="261"/>
  <c r="AK45" i="260"/>
  <c r="C45" i="260" s="1"/>
  <c r="D964" i="261"/>
  <c r="F87" i="261"/>
  <c r="D886" i="261"/>
  <c r="D888" i="261" s="1"/>
  <c r="F886" i="261"/>
  <c r="AI62" i="260"/>
  <c r="E886" i="261"/>
  <c r="E78" i="260"/>
  <c r="E61" i="260"/>
  <c r="S78" i="260"/>
  <c r="S61" i="260"/>
  <c r="AD78" i="260"/>
  <c r="AD61" i="260"/>
  <c r="X78" i="260"/>
  <c r="X61" i="260"/>
  <c r="J78" i="260"/>
  <c r="J61" i="260"/>
  <c r="N78" i="260"/>
  <c r="N61" i="260"/>
  <c r="AC78" i="260"/>
  <c r="AC61" i="260"/>
  <c r="Z78" i="260"/>
  <c r="Z61" i="260"/>
  <c r="Q78" i="260"/>
  <c r="Q61" i="260"/>
  <c r="D965" i="261" l="1"/>
  <c r="F88" i="261"/>
  <c r="F89" i="261" s="1"/>
  <c r="C20" i="260"/>
  <c r="G6" i="261" s="1"/>
  <c r="F964" i="261"/>
  <c r="E964" i="261"/>
  <c r="AJ79" i="260"/>
  <c r="AK62" i="260"/>
  <c r="AJ62" i="260"/>
  <c r="E928" i="261"/>
  <c r="M78" i="260"/>
  <c r="M61" i="260"/>
  <c r="AA78" i="260"/>
  <c r="AA61" i="260"/>
  <c r="Y78" i="260"/>
  <c r="Y61" i="260"/>
  <c r="G78" i="260"/>
  <c r="G61" i="260"/>
  <c r="I78" i="260"/>
  <c r="I61" i="260"/>
  <c r="D78" i="260"/>
  <c r="D61" i="260"/>
  <c r="P78" i="260"/>
  <c r="P61" i="260"/>
  <c r="V78" i="260"/>
  <c r="V61" i="260"/>
  <c r="W78" i="260"/>
  <c r="W61" i="260"/>
  <c r="K78" i="260"/>
  <c r="K61" i="260"/>
  <c r="H61" i="260"/>
  <c r="H78" i="260"/>
  <c r="R78" i="260"/>
  <c r="R61" i="260"/>
  <c r="L78" i="260"/>
  <c r="L61" i="260"/>
  <c r="AB78" i="260"/>
  <c r="AB61" i="260"/>
  <c r="F78" i="260"/>
  <c r="F61" i="260"/>
  <c r="U78" i="260"/>
  <c r="U61" i="260"/>
  <c r="T78" i="260"/>
  <c r="T61" i="260"/>
  <c r="O78" i="260"/>
  <c r="O61" i="260"/>
  <c r="D40" i="50"/>
  <c r="E40" i="50"/>
  <c r="F40" i="50"/>
  <c r="G40" i="50"/>
  <c r="H40" i="50"/>
  <c r="C40" i="50"/>
  <c r="B9" i="50"/>
  <c r="B10" i="50" s="1"/>
  <c r="B11" i="50" s="1"/>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C78" i="260" l="1"/>
  <c r="C61" i="260"/>
  <c r="E19" i="260" s="1"/>
  <c r="E888" i="261" s="1"/>
  <c r="O41" i="50"/>
  <c r="L41" i="50"/>
  <c r="J41" i="50"/>
  <c r="H41" i="50"/>
  <c r="C41" i="50"/>
  <c r="D41" i="50"/>
  <c r="E41" i="50"/>
  <c r="N41" i="50"/>
  <c r="K41" i="50"/>
  <c r="F41" i="50"/>
  <c r="G41" i="50"/>
  <c r="M41" i="50"/>
  <c r="E965" i="261"/>
  <c r="F965" i="261"/>
  <c r="D966" i="261"/>
  <c r="D968" i="261" s="1"/>
  <c r="AK79" i="260"/>
  <c r="E91" i="261"/>
  <c r="N43" i="50" l="1"/>
  <c r="N45" i="50"/>
  <c r="N42" i="50"/>
  <c r="N44" i="50"/>
  <c r="N46" i="50"/>
  <c r="F42" i="50"/>
  <c r="F43" i="50"/>
  <c r="F44" i="50"/>
  <c r="F46" i="50"/>
  <c r="F45" i="50"/>
  <c r="E42" i="50"/>
  <c r="E44" i="50"/>
  <c r="E46" i="50"/>
  <c r="E45" i="50"/>
  <c r="E43" i="50"/>
  <c r="D44" i="50"/>
  <c r="D46" i="50"/>
  <c r="D42" i="50"/>
  <c r="D43" i="50"/>
  <c r="D45" i="50"/>
  <c r="C45" i="50"/>
  <c r="C46" i="50"/>
  <c r="C43" i="50"/>
  <c r="C42" i="50"/>
  <c r="C44" i="50"/>
  <c r="M45" i="50"/>
  <c r="M42" i="50"/>
  <c r="M44" i="50"/>
  <c r="M46" i="50"/>
  <c r="M43" i="50"/>
  <c r="H46" i="50"/>
  <c r="H45" i="50"/>
  <c r="H42" i="50"/>
  <c r="H43" i="50"/>
  <c r="H44" i="50"/>
  <c r="G45" i="50"/>
  <c r="G42" i="50"/>
  <c r="G44" i="50"/>
  <c r="G46" i="50"/>
  <c r="G43" i="50"/>
  <c r="J43" i="50"/>
  <c r="J42" i="50"/>
  <c r="J44" i="50"/>
  <c r="J45" i="50"/>
  <c r="J46" i="50"/>
  <c r="L45" i="50"/>
  <c r="L42" i="50"/>
  <c r="L44" i="50"/>
  <c r="L46" i="50"/>
  <c r="L43" i="50"/>
  <c r="K42" i="50"/>
  <c r="K44" i="50"/>
  <c r="K46" i="50"/>
  <c r="K43" i="50"/>
  <c r="K45" i="50"/>
  <c r="O46" i="50"/>
  <c r="O44" i="50"/>
  <c r="O43" i="50"/>
  <c r="O45" i="50"/>
  <c r="O42" i="50"/>
  <c r="F966" i="261"/>
  <c r="E966" i="261"/>
  <c r="D19" i="260"/>
  <c r="E326" i="261"/>
  <c r="E327" i="261" s="1"/>
  <c r="C625" i="261"/>
  <c r="G5" i="261"/>
  <c r="D326" i="261"/>
  <c r="D327" i="261" s="1"/>
  <c r="H5" i="261"/>
  <c r="C4" i="218"/>
  <c r="C94" i="50" l="1"/>
  <c r="D93" i="50"/>
  <c r="D90" i="50"/>
  <c r="C92" i="50"/>
  <c r="AK150" i="303" s="1"/>
  <c r="C93" i="50"/>
  <c r="D94" i="50"/>
  <c r="C90" i="50"/>
  <c r="D92" i="50"/>
  <c r="C91" i="50"/>
  <c r="D91" i="50"/>
  <c r="AJ150" i="310"/>
  <c r="AJ150" i="306"/>
  <c r="AJ150" i="303"/>
  <c r="AJ150" i="323"/>
  <c r="AJ150" i="278"/>
  <c r="AJ150" i="272"/>
  <c r="AJ150" i="320"/>
  <c r="AJ150" i="317"/>
  <c r="AJ150" i="326"/>
  <c r="AJ150" i="313"/>
  <c r="AJ150" i="329"/>
  <c r="AJ151" i="310"/>
  <c r="AJ151" i="306"/>
  <c r="AJ151" i="303"/>
  <c r="AJ151" i="269"/>
  <c r="AJ151" i="326"/>
  <c r="AJ151" i="313"/>
  <c r="AJ151" i="278"/>
  <c r="AJ151" i="323"/>
  <c r="AJ151" i="320"/>
  <c r="AJ151" i="272"/>
  <c r="AJ151" i="317"/>
  <c r="AJ151" i="329"/>
  <c r="D625" i="261"/>
  <c r="F888" i="261"/>
  <c r="AO46" i="52"/>
  <c r="X89" i="52"/>
  <c r="X46" i="52"/>
  <c r="U46" i="52"/>
  <c r="T46" i="52"/>
  <c r="S46" i="52"/>
  <c r="R46" i="52"/>
  <c r="Q46" i="52"/>
  <c r="N46" i="52"/>
  <c r="M46" i="52"/>
  <c r="L46" i="52"/>
  <c r="K46" i="52"/>
  <c r="J46" i="52"/>
  <c r="D46" i="52"/>
  <c r="E46" i="52"/>
  <c r="F46" i="52"/>
  <c r="G46" i="52"/>
  <c r="C46" i="52"/>
  <c r="AK150" i="272" l="1"/>
  <c r="AK150" i="313"/>
  <c r="AK150" i="306"/>
  <c r="AK150" i="317"/>
  <c r="AJ150" i="269"/>
  <c r="AK150" i="320"/>
  <c r="AK150" i="278"/>
  <c r="AK150" i="329"/>
  <c r="AK150" i="326"/>
  <c r="AK150" i="310"/>
  <c r="AK150" i="323"/>
  <c r="AK150" i="269"/>
  <c r="AI150" i="310"/>
  <c r="AI150" i="323"/>
  <c r="AI150" i="272"/>
  <c r="AI150" i="306"/>
  <c r="AI150" i="278"/>
  <c r="AI150" i="326"/>
  <c r="AI150" i="303"/>
  <c r="AI150" i="329"/>
  <c r="AI150" i="317"/>
  <c r="AI150" i="269"/>
  <c r="AI150" i="320"/>
  <c r="AI150" i="313"/>
  <c r="AI151" i="310"/>
  <c r="AI151" i="323"/>
  <c r="AI151" i="278"/>
  <c r="AI151" i="306"/>
  <c r="AI151" i="313"/>
  <c r="AI151" i="272"/>
  <c r="AI151" i="303"/>
  <c r="AI151" i="329"/>
  <c r="AI151" i="317"/>
  <c r="AI151" i="269"/>
  <c r="AI151" i="320"/>
  <c r="AI151" i="326"/>
  <c r="AK151" i="310"/>
  <c r="AK151" i="306"/>
  <c r="AK194" i="306" s="1"/>
  <c r="AK196" i="306" s="1"/>
  <c r="AK151" i="303"/>
  <c r="AK194" i="303" s="1"/>
  <c r="AK196" i="303" s="1"/>
  <c r="AK151" i="269"/>
  <c r="AK151" i="326"/>
  <c r="AK194" i="326" s="1"/>
  <c r="AK196" i="326" s="1"/>
  <c r="AK151" i="313"/>
  <c r="AK194" i="313" s="1"/>
  <c r="AK196" i="313" s="1"/>
  <c r="AK151" i="323"/>
  <c r="AK194" i="323" s="1"/>
  <c r="AK196" i="323" s="1"/>
  <c r="AK151" i="278"/>
  <c r="AK151" i="329"/>
  <c r="AK151" i="320"/>
  <c r="AK175" i="320" s="1"/>
  <c r="AK177" i="320" s="1"/>
  <c r="AK151" i="272"/>
  <c r="AK151" i="317"/>
  <c r="AK194" i="317" s="1"/>
  <c r="AK196" i="317" s="1"/>
  <c r="AJ194" i="323"/>
  <c r="AJ196" i="323" s="1"/>
  <c r="AJ175" i="323"/>
  <c r="AJ177" i="323" s="1"/>
  <c r="AJ175" i="329"/>
  <c r="AJ177" i="329" s="1"/>
  <c r="AJ194" i="329"/>
  <c r="AJ196" i="329" s="1"/>
  <c r="AJ175" i="313"/>
  <c r="AJ177" i="313" s="1"/>
  <c r="AJ194" i="313"/>
  <c r="AJ196" i="313" s="1"/>
  <c r="AJ194" i="303"/>
  <c r="AJ196" i="303" s="1"/>
  <c r="AJ175" i="303"/>
  <c r="AJ177" i="303" s="1"/>
  <c r="AJ194" i="326"/>
  <c r="AJ196" i="326" s="1"/>
  <c r="AJ175" i="326"/>
  <c r="AJ177" i="326" s="1"/>
  <c r="AJ194" i="306"/>
  <c r="AJ196" i="306" s="1"/>
  <c r="AJ175" i="306"/>
  <c r="AJ177" i="306" s="1"/>
  <c r="AJ194" i="317"/>
  <c r="AJ196" i="317" s="1"/>
  <c r="AJ175" i="317"/>
  <c r="AJ177" i="317" s="1"/>
  <c r="AJ194" i="310"/>
  <c r="AJ196" i="310" s="1"/>
  <c r="AJ175" i="310"/>
  <c r="AJ177" i="310" s="1"/>
  <c r="AJ175" i="320"/>
  <c r="AJ177" i="320" s="1"/>
  <c r="AJ194" i="320"/>
  <c r="AJ196" i="320" s="1"/>
  <c r="S79" i="260"/>
  <c r="S62" i="260"/>
  <c r="R79" i="260"/>
  <c r="R62" i="260"/>
  <c r="I79" i="260"/>
  <c r="I62" i="260"/>
  <c r="H79" i="260"/>
  <c r="H62" i="260"/>
  <c r="X79" i="260"/>
  <c r="X62" i="260"/>
  <c r="AC79" i="260"/>
  <c r="AC62" i="260"/>
  <c r="Y79" i="260"/>
  <c r="Y62" i="260"/>
  <c r="V79" i="260"/>
  <c r="V62" i="260"/>
  <c r="P79" i="260"/>
  <c r="P62" i="260"/>
  <c r="K79" i="260"/>
  <c r="K62" i="260"/>
  <c r="AB79" i="260"/>
  <c r="AB62" i="260"/>
  <c r="Z79" i="260"/>
  <c r="Z62" i="260"/>
  <c r="D79" i="260"/>
  <c r="D62" i="260"/>
  <c r="AA79" i="260"/>
  <c r="AA62" i="260"/>
  <c r="M79" i="260"/>
  <c r="M62" i="260"/>
  <c r="F79" i="260"/>
  <c r="F62" i="260"/>
  <c r="O79" i="260"/>
  <c r="O62" i="260"/>
  <c r="N79" i="260"/>
  <c r="N62" i="260"/>
  <c r="U79" i="260"/>
  <c r="U62" i="260"/>
  <c r="T79" i="260"/>
  <c r="T62" i="260"/>
  <c r="L79" i="260"/>
  <c r="L62" i="260"/>
  <c r="W62" i="260"/>
  <c r="W79" i="260"/>
  <c r="E79" i="260"/>
  <c r="E62" i="260"/>
  <c r="Q79" i="260"/>
  <c r="Q62" i="260"/>
  <c r="J79" i="260"/>
  <c r="J62" i="260"/>
  <c r="G79" i="260"/>
  <c r="G62" i="260"/>
  <c r="AK175" i="313" l="1"/>
  <c r="AK177" i="313" s="1"/>
  <c r="C79" i="260"/>
  <c r="C62" i="260"/>
  <c r="E20" i="260" s="1"/>
  <c r="E968" i="261" s="1"/>
  <c r="AK175" i="317"/>
  <c r="AK177" i="317" s="1"/>
  <c r="AK204" i="317" s="1"/>
  <c r="AK194" i="310"/>
  <c r="AK196" i="310" s="1"/>
  <c r="AK175" i="329"/>
  <c r="AK177" i="329" s="1"/>
  <c r="AK175" i="310"/>
  <c r="AK177" i="310" s="1"/>
  <c r="AK175" i="326"/>
  <c r="AK177" i="326" s="1"/>
  <c r="AK204" i="326" s="1"/>
  <c r="AK175" i="303"/>
  <c r="AK177" i="303" s="1"/>
  <c r="AK204" i="303" s="1"/>
  <c r="AI175" i="313"/>
  <c r="AI177" i="313" s="1"/>
  <c r="AI194" i="313"/>
  <c r="AI196" i="313" s="1"/>
  <c r="AI194" i="329"/>
  <c r="AI196" i="329" s="1"/>
  <c r="AI175" i="329"/>
  <c r="AI177" i="329" s="1"/>
  <c r="AI194" i="306"/>
  <c r="AI196" i="306" s="1"/>
  <c r="AI175" i="306"/>
  <c r="AI177" i="306" s="1"/>
  <c r="AI194" i="320"/>
  <c r="AI196" i="320" s="1"/>
  <c r="AI175" i="320"/>
  <c r="AI177" i="320" s="1"/>
  <c r="AI175" i="303"/>
  <c r="AI177" i="303" s="1"/>
  <c r="AI194" i="303"/>
  <c r="AI196" i="303" s="1"/>
  <c r="AI194" i="326"/>
  <c r="AI196" i="326" s="1"/>
  <c r="AI175" i="326"/>
  <c r="AI177" i="326" s="1"/>
  <c r="AI194" i="323"/>
  <c r="AI196" i="323" s="1"/>
  <c r="AI175" i="323"/>
  <c r="AI177" i="323" s="1"/>
  <c r="AI194" i="317"/>
  <c r="AI196" i="317" s="1"/>
  <c r="AI175" i="317"/>
  <c r="AI177" i="317" s="1"/>
  <c r="AI175" i="310"/>
  <c r="AI177" i="310" s="1"/>
  <c r="AI194" i="310"/>
  <c r="AI196" i="310" s="1"/>
  <c r="AJ204" i="310"/>
  <c r="AJ204" i="306"/>
  <c r="AJ204" i="317"/>
  <c r="AJ204" i="303"/>
  <c r="AJ204" i="326"/>
  <c r="AJ204" i="323"/>
  <c r="AK175" i="323"/>
  <c r="AK177" i="323" s="1"/>
  <c r="AK204" i="323" s="1"/>
  <c r="AJ204" i="329"/>
  <c r="AK204" i="313"/>
  <c r="AJ204" i="313"/>
  <c r="AK175" i="306"/>
  <c r="AK177" i="306" s="1"/>
  <c r="AK204" i="306" s="1"/>
  <c r="AK194" i="329"/>
  <c r="AK196" i="329" s="1"/>
  <c r="AK194" i="320"/>
  <c r="AK196" i="320" s="1"/>
  <c r="AK204" i="320" s="1"/>
  <c r="AJ204" i="320"/>
  <c r="F91" i="261"/>
  <c r="AK204" i="310" l="1"/>
  <c r="AK204" i="329"/>
  <c r="AI204" i="323"/>
  <c r="AI204" i="306"/>
  <c r="AI204" i="317"/>
  <c r="AI204" i="326"/>
  <c r="AI204" i="320"/>
  <c r="AI204" i="329"/>
  <c r="AI204" i="310"/>
  <c r="AI204" i="303"/>
  <c r="AI204" i="313"/>
  <c r="D20" i="260"/>
  <c r="E484" i="261"/>
  <c r="E485" i="261" s="1"/>
  <c r="C626" i="261"/>
  <c r="D484" i="261"/>
  <c r="D485" i="261" s="1"/>
  <c r="H6" i="261"/>
  <c r="C5" i="218"/>
  <c r="D626" i="261" l="1"/>
  <c r="F968" i="261"/>
  <c r="AL40" i="52" l="1"/>
  <c r="AK40" i="52"/>
  <c r="AJ40" i="52"/>
  <c r="AI40" i="52"/>
  <c r="AH40" i="52"/>
  <c r="AE40" i="52"/>
  <c r="AD40" i="52"/>
  <c r="AC40" i="52"/>
  <c r="AB40" i="52"/>
  <c r="AA40" i="52"/>
  <c r="AL39" i="52"/>
  <c r="AK39" i="52"/>
  <c r="AJ39" i="52"/>
  <c r="AI39" i="52"/>
  <c r="AH39" i="52"/>
  <c r="AE39" i="52"/>
  <c r="AD39" i="52"/>
  <c r="AC39" i="52"/>
  <c r="AB39" i="52"/>
  <c r="AA39" i="52"/>
  <c r="AL38" i="52"/>
  <c r="AK38" i="52"/>
  <c r="AJ38" i="52"/>
  <c r="AI38" i="52"/>
  <c r="AH38" i="52"/>
  <c r="AE38" i="52"/>
  <c r="AD38" i="52"/>
  <c r="AC38" i="52"/>
  <c r="AB38" i="52"/>
  <c r="AA38" i="52"/>
  <c r="AL37" i="52"/>
  <c r="AK37" i="52"/>
  <c r="AJ37" i="52"/>
  <c r="AI37" i="52"/>
  <c r="AH37" i="52"/>
  <c r="AE37" i="52"/>
  <c r="AD37" i="52"/>
  <c r="AC37" i="52"/>
  <c r="AB37" i="52"/>
  <c r="AA37" i="52"/>
  <c r="AL36" i="52"/>
  <c r="AK36" i="52"/>
  <c r="AJ36" i="52"/>
  <c r="AI36" i="52"/>
  <c r="AH36" i="52"/>
  <c r="AE36" i="52"/>
  <c r="AD36" i="52"/>
  <c r="AC36" i="52"/>
  <c r="AB36" i="52"/>
  <c r="AA36" i="52"/>
  <c r="A90" i="52" l="1"/>
  <c r="AO89" i="52"/>
  <c r="U89" i="52"/>
  <c r="T89" i="52"/>
  <c r="S89" i="52"/>
  <c r="R89" i="52"/>
  <c r="Q89" i="52"/>
  <c r="N89" i="52"/>
  <c r="M89" i="52"/>
  <c r="L89" i="52"/>
  <c r="K89" i="52"/>
  <c r="J89" i="52"/>
  <c r="G89" i="52"/>
  <c r="F89" i="52"/>
  <c r="E89" i="52"/>
  <c r="D89" i="52"/>
  <c r="C89" i="52"/>
  <c r="AL35" i="52"/>
  <c r="AK35" i="52"/>
  <c r="AJ35" i="52"/>
  <c r="AI35" i="52"/>
  <c r="AH35" i="52"/>
  <c r="AE35" i="52"/>
  <c r="AD35" i="52"/>
  <c r="AC35" i="52"/>
  <c r="AB35" i="52"/>
  <c r="AA35" i="52"/>
  <c r="AL34" i="52"/>
  <c r="AK34" i="52"/>
  <c r="AJ34" i="52"/>
  <c r="AI34" i="52"/>
  <c r="AH34" i="52"/>
  <c r="AE34" i="52"/>
  <c r="AD34" i="52"/>
  <c r="AC34" i="52"/>
  <c r="AB34" i="52"/>
  <c r="AA34" i="52"/>
  <c r="AL33" i="52"/>
  <c r="AK33" i="52"/>
  <c r="AJ33" i="52"/>
  <c r="AI33" i="52"/>
  <c r="AH33" i="52"/>
  <c r="AE33" i="52"/>
  <c r="AD33" i="52"/>
  <c r="AC33" i="52"/>
  <c r="AB33" i="52"/>
  <c r="AA33" i="52"/>
  <c r="AL32" i="52"/>
  <c r="AK32" i="52"/>
  <c r="AJ32" i="52"/>
  <c r="AI32" i="52"/>
  <c r="AH32" i="52"/>
  <c r="AE32" i="52"/>
  <c r="AD32" i="52"/>
  <c r="AC32" i="52"/>
  <c r="AB32" i="52"/>
  <c r="AA32" i="52"/>
  <c r="AL31" i="52"/>
  <c r="AK31" i="52"/>
  <c r="AJ31" i="52"/>
  <c r="AI31" i="52"/>
  <c r="AH31" i="52"/>
  <c r="AE31" i="52"/>
  <c r="AD31" i="52"/>
  <c r="AC31" i="52"/>
  <c r="AB31" i="52"/>
  <c r="AA31" i="52"/>
  <c r="AL30" i="52"/>
  <c r="AK30" i="52"/>
  <c r="AJ30" i="52"/>
  <c r="AI30" i="52"/>
  <c r="AH30" i="52"/>
  <c r="AE30" i="52"/>
  <c r="AD30" i="52"/>
  <c r="AC30" i="52"/>
  <c r="AB30" i="52"/>
  <c r="AA30" i="52"/>
  <c r="AL29" i="52"/>
  <c r="AK29" i="52"/>
  <c r="AJ29" i="52"/>
  <c r="AI29" i="52"/>
  <c r="AH29" i="52"/>
  <c r="AE29" i="52"/>
  <c r="AD29" i="52"/>
  <c r="AC29" i="52"/>
  <c r="AB29" i="52"/>
  <c r="AA29" i="52"/>
  <c r="AL28" i="52"/>
  <c r="AK28" i="52"/>
  <c r="AJ28" i="52"/>
  <c r="AI28" i="52"/>
  <c r="AH28" i="52"/>
  <c r="AE28" i="52"/>
  <c r="AD28" i="52"/>
  <c r="AC28" i="52"/>
  <c r="AB28" i="52"/>
  <c r="AA28" i="52"/>
  <c r="AL27" i="52"/>
  <c r="AK27" i="52"/>
  <c r="AJ27" i="52"/>
  <c r="AI27" i="52"/>
  <c r="AH27" i="52"/>
  <c r="AE27" i="52"/>
  <c r="AD27" i="52"/>
  <c r="AC27" i="52"/>
  <c r="AB27" i="52"/>
  <c r="AA27" i="52"/>
  <c r="AL26" i="52"/>
  <c r="AK26" i="52"/>
  <c r="AJ26" i="52"/>
  <c r="AI26" i="52"/>
  <c r="AH26" i="52"/>
  <c r="AE26" i="52"/>
  <c r="AD26" i="52"/>
  <c r="AC26" i="52"/>
  <c r="AB26" i="52"/>
  <c r="AA26" i="52"/>
  <c r="AL25" i="52"/>
  <c r="AK25" i="52"/>
  <c r="AJ25" i="52"/>
  <c r="AI25" i="52"/>
  <c r="AH25" i="52"/>
  <c r="AE25" i="52"/>
  <c r="AD25" i="52"/>
  <c r="AC25" i="52"/>
  <c r="AB25" i="52"/>
  <c r="AA25" i="52"/>
  <c r="AL24" i="52"/>
  <c r="AK24" i="52"/>
  <c r="AJ24" i="52"/>
  <c r="AI24" i="52"/>
  <c r="AH24" i="52"/>
  <c r="AE24" i="52"/>
  <c r="AD24" i="52"/>
  <c r="AC24" i="52"/>
  <c r="AB24" i="52"/>
  <c r="AA24" i="52"/>
  <c r="AL23" i="52"/>
  <c r="AK23" i="52"/>
  <c r="AJ23" i="52"/>
  <c r="AI23" i="52"/>
  <c r="AH23" i="52"/>
  <c r="AE23" i="52"/>
  <c r="AD23" i="52"/>
  <c r="AC23" i="52"/>
  <c r="AB23" i="52"/>
  <c r="AA23" i="52"/>
  <c r="AL22" i="52"/>
  <c r="AK22" i="52"/>
  <c r="AJ22" i="52"/>
  <c r="AI22" i="52"/>
  <c r="AH22" i="52"/>
  <c r="AE22" i="52"/>
  <c r="AD22" i="52"/>
  <c r="AC22" i="52"/>
  <c r="AB22" i="52"/>
  <c r="AA22" i="52"/>
  <c r="AL21" i="52"/>
  <c r="AK21" i="52"/>
  <c r="AJ21" i="52"/>
  <c r="AI21" i="52"/>
  <c r="AH21" i="52"/>
  <c r="AE21" i="52"/>
  <c r="AD21" i="52"/>
  <c r="AC21" i="52"/>
  <c r="AB21" i="52"/>
  <c r="AA21" i="52"/>
  <c r="AL20" i="52"/>
  <c r="AK20" i="52"/>
  <c r="AJ20" i="52"/>
  <c r="AI20" i="52"/>
  <c r="AH20" i="52"/>
  <c r="AE20" i="52"/>
  <c r="AD20" i="52"/>
  <c r="AC20" i="52"/>
  <c r="AB20" i="52"/>
  <c r="AA20" i="52"/>
  <c r="AL19" i="52"/>
  <c r="AK19" i="52"/>
  <c r="AJ19" i="52"/>
  <c r="AI19" i="52"/>
  <c r="AH19" i="52"/>
  <c r="AE19" i="52"/>
  <c r="AD19" i="52"/>
  <c r="AC19" i="52"/>
  <c r="AB19" i="52"/>
  <c r="AA19" i="52"/>
  <c r="AL18" i="52"/>
  <c r="AK18" i="52"/>
  <c r="AJ18" i="52"/>
  <c r="AI18" i="52"/>
  <c r="AH18" i="52"/>
  <c r="AE18" i="52"/>
  <c r="AD18" i="52"/>
  <c r="AC18" i="52"/>
  <c r="AB18" i="52"/>
  <c r="AA18" i="52"/>
  <c r="AL17" i="52"/>
  <c r="AK17" i="52"/>
  <c r="AJ17" i="52"/>
  <c r="AI17" i="52"/>
  <c r="AH17" i="52"/>
  <c r="AE17" i="52"/>
  <c r="AD17" i="52"/>
  <c r="AC17" i="52"/>
  <c r="AB17" i="52"/>
  <c r="AA17" i="52"/>
  <c r="AL16" i="52"/>
  <c r="AK16" i="52"/>
  <c r="AJ16" i="52"/>
  <c r="AI16" i="52"/>
  <c r="AH16" i="52"/>
  <c r="AE16" i="52"/>
  <c r="AD16" i="52"/>
  <c r="AC16" i="52"/>
  <c r="AB16" i="52"/>
  <c r="AA16" i="52"/>
  <c r="AL15" i="52"/>
  <c r="AK15" i="52"/>
  <c r="AJ15" i="52"/>
  <c r="AI15" i="52"/>
  <c r="AH15" i="52"/>
  <c r="AE15" i="52"/>
  <c r="AD15" i="52"/>
  <c r="AC15" i="52"/>
  <c r="AB15" i="52"/>
  <c r="AA15" i="52"/>
  <c r="AL14" i="52"/>
  <c r="AK14" i="52"/>
  <c r="AJ14" i="52"/>
  <c r="AI14" i="52"/>
  <c r="AH14" i="52"/>
  <c r="AE14" i="52"/>
  <c r="AD14" i="52"/>
  <c r="AC14" i="52"/>
  <c r="AB14" i="52"/>
  <c r="AA14" i="52"/>
  <c r="AL13" i="52"/>
  <c r="AK13" i="52"/>
  <c r="AJ13" i="52"/>
  <c r="AI13" i="52"/>
  <c r="AH13" i="52"/>
  <c r="AE13" i="52"/>
  <c r="AD13" i="52"/>
  <c r="AC13" i="52"/>
  <c r="AB13" i="52"/>
  <c r="AA13" i="52"/>
  <c r="AL12" i="52"/>
  <c r="AK12" i="52"/>
  <c r="AJ12" i="52"/>
  <c r="AI12" i="52"/>
  <c r="AH12" i="52"/>
  <c r="AE12" i="52"/>
  <c r="AD12" i="52"/>
  <c r="AC12" i="52"/>
  <c r="AB12" i="52"/>
  <c r="AA12" i="52"/>
  <c r="AL11" i="52"/>
  <c r="AK11" i="52"/>
  <c r="AJ11" i="52"/>
  <c r="AI11" i="52"/>
  <c r="AH11" i="52"/>
  <c r="AE11" i="52"/>
  <c r="AD11" i="52"/>
  <c r="AC11" i="52"/>
  <c r="AB11" i="52"/>
  <c r="AA11" i="52"/>
  <c r="AL10" i="52"/>
  <c r="AK10" i="52"/>
  <c r="AJ10" i="52"/>
  <c r="AI10" i="52"/>
  <c r="AH10" i="52"/>
  <c r="AE10" i="52"/>
  <c r="AD10" i="52"/>
  <c r="AC10" i="52"/>
  <c r="AB10" i="52"/>
  <c r="AA10" i="52"/>
  <c r="AL9" i="52"/>
  <c r="AK9" i="52"/>
  <c r="AJ9" i="52"/>
  <c r="AI9" i="52"/>
  <c r="AH9" i="52"/>
  <c r="AE9" i="52"/>
  <c r="AD9" i="52"/>
  <c r="AC9" i="52"/>
  <c r="AB9" i="52"/>
  <c r="AA9" i="52"/>
  <c r="AL8" i="52"/>
  <c r="AK8" i="52"/>
  <c r="AJ8" i="52"/>
  <c r="AI8" i="52"/>
  <c r="AH8" i="52"/>
  <c r="AE8" i="52"/>
  <c r="AD8" i="52"/>
  <c r="AC8" i="52"/>
  <c r="AB8" i="52"/>
  <c r="AA8" i="52"/>
  <c r="AL7" i="52"/>
  <c r="AK7" i="52"/>
  <c r="AJ7" i="52"/>
  <c r="AI7" i="52"/>
  <c r="AH7" i="52"/>
  <c r="AE7" i="52"/>
  <c r="AD7" i="52"/>
  <c r="AC7" i="52"/>
  <c r="AB7" i="52"/>
  <c r="AA7" i="52"/>
  <c r="AL6" i="52"/>
  <c r="AK6" i="52"/>
  <c r="AJ6" i="52"/>
  <c r="AI6" i="52"/>
  <c r="AH6" i="52"/>
  <c r="AE6" i="52"/>
  <c r="AD6" i="52"/>
  <c r="AC6" i="52"/>
  <c r="AB6" i="52"/>
  <c r="AA6" i="52"/>
  <c r="AO5" i="52"/>
  <c r="AO47" i="52" s="1"/>
  <c r="AL5" i="52"/>
  <c r="AL47" i="52" s="1"/>
  <c r="AK5" i="52"/>
  <c r="AJ5" i="52"/>
  <c r="AJ47" i="52" s="1"/>
  <c r="AI5" i="52"/>
  <c r="AI47" i="52" s="1"/>
  <c r="AH5" i="52"/>
  <c r="AH47" i="52" s="1"/>
  <c r="AE5" i="52"/>
  <c r="AD5" i="52"/>
  <c r="AD47" i="52" s="1"/>
  <c r="AC5" i="52"/>
  <c r="AC47" i="52" s="1"/>
  <c r="AB5" i="52"/>
  <c r="AB47" i="52" s="1"/>
  <c r="AA5" i="52"/>
  <c r="AA47" i="52" s="1"/>
  <c r="X5" i="52"/>
  <c r="AL4" i="52"/>
  <c r="AK4" i="52"/>
  <c r="AJ4" i="52"/>
  <c r="AI4" i="52"/>
  <c r="AH4" i="52"/>
  <c r="AE4" i="52"/>
  <c r="AD4" i="52"/>
  <c r="AC4" i="52"/>
  <c r="AB4" i="52"/>
  <c r="AA4" i="52"/>
  <c r="AA46" i="52" s="1"/>
  <c r="AH89" i="52" l="1"/>
  <c r="AH46" i="52"/>
  <c r="AC89" i="52"/>
  <c r="AC46" i="52"/>
  <c r="AI89" i="52"/>
  <c r="AI46" i="52"/>
  <c r="X6" i="52"/>
  <c r="X47" i="52"/>
  <c r="X90" i="52"/>
  <c r="S90" i="52"/>
  <c r="R47" i="52"/>
  <c r="L47" i="52"/>
  <c r="C47" i="52"/>
  <c r="G47" i="52"/>
  <c r="U47" i="52"/>
  <c r="Q47" i="52"/>
  <c r="K47" i="52"/>
  <c r="D47" i="52"/>
  <c r="T47" i="52"/>
  <c r="N47" i="52"/>
  <c r="J47" i="52"/>
  <c r="E47" i="52"/>
  <c r="S47" i="52"/>
  <c r="M47" i="52"/>
  <c r="F47" i="52"/>
  <c r="AK90" i="52"/>
  <c r="AK47" i="52"/>
  <c r="AB89" i="52"/>
  <c r="AB46" i="52"/>
  <c r="AL89" i="52"/>
  <c r="AL46" i="52"/>
  <c r="AD89" i="52"/>
  <c r="AD46" i="52"/>
  <c r="AJ89" i="52"/>
  <c r="AJ46" i="52"/>
  <c r="AE90" i="52"/>
  <c r="AE47" i="52"/>
  <c r="AE89" i="52"/>
  <c r="AE46" i="52"/>
  <c r="AK89" i="52"/>
  <c r="AK46" i="52"/>
  <c r="AB90" i="52"/>
  <c r="AH90" i="52"/>
  <c r="AL90" i="52"/>
  <c r="L90" i="52"/>
  <c r="AD90" i="52"/>
  <c r="AJ90" i="52"/>
  <c r="G90" i="52"/>
  <c r="AA89" i="52"/>
  <c r="AA90" i="52"/>
  <c r="X7" i="52"/>
  <c r="U90" i="52"/>
  <c r="Q90" i="52"/>
  <c r="K90" i="52"/>
  <c r="E90" i="52"/>
  <c r="T90" i="52"/>
  <c r="N90" i="52"/>
  <c r="J90" i="52"/>
  <c r="D90" i="52"/>
  <c r="A91" i="52"/>
  <c r="R90" i="52"/>
  <c r="F90" i="52"/>
  <c r="M90" i="52"/>
  <c r="C90" i="52"/>
  <c r="AC90" i="52"/>
  <c r="AI90" i="52"/>
  <c r="AO90" i="52"/>
  <c r="AO6" i="52"/>
  <c r="AO48" i="52" s="1"/>
  <c r="AK91" i="52" l="1"/>
  <c r="U48" i="52"/>
  <c r="Q48" i="52"/>
  <c r="K48" i="52"/>
  <c r="F48" i="52"/>
  <c r="T48" i="52"/>
  <c r="N48" i="52"/>
  <c r="J48" i="52"/>
  <c r="C48" i="52"/>
  <c r="G48" i="52"/>
  <c r="S48" i="52"/>
  <c r="M48" i="52"/>
  <c r="D48" i="52"/>
  <c r="R48" i="52"/>
  <c r="L48" i="52"/>
  <c r="E48" i="52"/>
  <c r="AI48" i="52"/>
  <c r="AJ48" i="52"/>
  <c r="AC48" i="52"/>
  <c r="AL48" i="52"/>
  <c r="AK48" i="52"/>
  <c r="AD48" i="52"/>
  <c r="AH48" i="52"/>
  <c r="AB48" i="52"/>
  <c r="AE48" i="52"/>
  <c r="X48" i="52"/>
  <c r="X91" i="52"/>
  <c r="AA48" i="52"/>
  <c r="E517" i="261"/>
  <c r="E553" i="261"/>
  <c r="E521" i="261"/>
  <c r="E536" i="261"/>
  <c r="E511" i="261"/>
  <c r="E557" i="261"/>
  <c r="E504" i="261"/>
  <c r="E538" i="261"/>
  <c r="E532" i="261"/>
  <c r="E540" i="261"/>
  <c r="E515" i="261"/>
  <c r="E561" i="261"/>
  <c r="E508" i="261"/>
  <c r="E542" i="261"/>
  <c r="E565" i="261"/>
  <c r="E525" i="261"/>
  <c r="E529" i="261"/>
  <c r="E544" i="261"/>
  <c r="E563" i="261"/>
  <c r="E519" i="261"/>
  <c r="E533" i="261"/>
  <c r="E543" i="261"/>
  <c r="E512" i="261"/>
  <c r="E546" i="261"/>
  <c r="E500" i="261"/>
  <c r="E548" i="261"/>
  <c r="E523" i="261"/>
  <c r="E537" i="261"/>
  <c r="E555" i="261"/>
  <c r="E516" i="261"/>
  <c r="E550" i="261"/>
  <c r="E507" i="261"/>
  <c r="E547" i="261"/>
  <c r="E501" i="261"/>
  <c r="E505" i="261"/>
  <c r="E559" i="261"/>
  <c r="E552" i="261"/>
  <c r="E522" i="261"/>
  <c r="E527" i="261"/>
  <c r="E541" i="261"/>
  <c r="E502" i="261"/>
  <c r="E520" i="261"/>
  <c r="E554" i="261"/>
  <c r="E514" i="261"/>
  <c r="E551" i="261"/>
  <c r="E509" i="261"/>
  <c r="E510" i="261"/>
  <c r="E556" i="261"/>
  <c r="E499" i="261"/>
  <c r="E535" i="261"/>
  <c r="E545" i="261"/>
  <c r="E518" i="261"/>
  <c r="E524" i="261"/>
  <c r="E558" i="261"/>
  <c r="E534" i="261"/>
  <c r="E539" i="261"/>
  <c r="E513" i="261"/>
  <c r="E526" i="261"/>
  <c r="E560" i="261"/>
  <c r="E503" i="261"/>
  <c r="E506" i="261"/>
  <c r="E549" i="261"/>
  <c r="E528" i="261"/>
  <c r="E562" i="261"/>
  <c r="AJ91" i="52"/>
  <c r="AC91" i="52"/>
  <c r="AH91" i="52"/>
  <c r="U91" i="52"/>
  <c r="Q91" i="52"/>
  <c r="K91" i="52"/>
  <c r="E91" i="52"/>
  <c r="T91" i="52"/>
  <c r="N91" i="52"/>
  <c r="J91" i="52"/>
  <c r="D91" i="52"/>
  <c r="L91" i="52"/>
  <c r="S91" i="52"/>
  <c r="G91" i="52"/>
  <c r="AD91" i="52"/>
  <c r="F91" i="52"/>
  <c r="C91" i="52"/>
  <c r="A92" i="52"/>
  <c r="X92" i="52" s="1"/>
  <c r="R91" i="52"/>
  <c r="M91" i="52"/>
  <c r="AB91" i="52"/>
  <c r="AE91" i="52"/>
  <c r="AA91" i="52"/>
  <c r="AO91" i="52"/>
  <c r="AO7" i="52"/>
  <c r="X8" i="52"/>
  <c r="AI91" i="52"/>
  <c r="AL91" i="52"/>
  <c r="T49" i="52" l="1"/>
  <c r="N49" i="52"/>
  <c r="J49" i="52"/>
  <c r="E49" i="52"/>
  <c r="S49" i="52"/>
  <c r="M49" i="52"/>
  <c r="F49" i="52"/>
  <c r="R49" i="52"/>
  <c r="L49" i="52"/>
  <c r="C49" i="52"/>
  <c r="G49" i="52"/>
  <c r="U49" i="52"/>
  <c r="Q49" i="52"/>
  <c r="K49" i="52"/>
  <c r="D49" i="52"/>
  <c r="AB49" i="52"/>
  <c r="AI49" i="52"/>
  <c r="AJ49" i="52"/>
  <c r="AA49" i="52"/>
  <c r="AH49" i="52"/>
  <c r="AE49" i="52"/>
  <c r="AL49" i="52"/>
  <c r="AK49" i="52"/>
  <c r="AC49" i="52"/>
  <c r="AD49" i="52"/>
  <c r="AO49" i="52"/>
  <c r="X49" i="52"/>
  <c r="J194" i="278"/>
  <c r="J196" i="278" s="1"/>
  <c r="J175" i="278"/>
  <c r="J177" i="278" s="1"/>
  <c r="O194" i="272"/>
  <c r="O196" i="272" s="1"/>
  <c r="O175" i="272"/>
  <c r="O177" i="272" s="1"/>
  <c r="M194" i="269"/>
  <c r="M196" i="269" s="1"/>
  <c r="M175" i="269"/>
  <c r="M177" i="269" s="1"/>
  <c r="R194" i="278"/>
  <c r="R196" i="278" s="1"/>
  <c r="R175" i="278"/>
  <c r="R177" i="278" s="1"/>
  <c r="L194" i="272"/>
  <c r="L196" i="272" s="1"/>
  <c r="L175" i="272"/>
  <c r="L177" i="272" s="1"/>
  <c r="AF194" i="278"/>
  <c r="AF196" i="278" s="1"/>
  <c r="AF175" i="278"/>
  <c r="AF177" i="278" s="1"/>
  <c r="AD194" i="278"/>
  <c r="AD196" i="278" s="1"/>
  <c r="AD175" i="278"/>
  <c r="AD177" i="278" s="1"/>
  <c r="O194" i="278"/>
  <c r="O196" i="278" s="1"/>
  <c r="O175" i="278"/>
  <c r="O177" i="278" s="1"/>
  <c r="Z194" i="278"/>
  <c r="Z196" i="278" s="1"/>
  <c r="Z175" i="278"/>
  <c r="Z177" i="278" s="1"/>
  <c r="H194" i="269"/>
  <c r="H196" i="269" s="1"/>
  <c r="H175" i="269"/>
  <c r="H177" i="269" s="1"/>
  <c r="AB194" i="272"/>
  <c r="AB196" i="272" s="1"/>
  <c r="AB175" i="272"/>
  <c r="AB177" i="272" s="1"/>
  <c r="G194" i="278"/>
  <c r="G196" i="278" s="1"/>
  <c r="G175" i="278"/>
  <c r="G177" i="278" s="1"/>
  <c r="V194" i="278"/>
  <c r="V196" i="278" s="1"/>
  <c r="V175" i="278"/>
  <c r="V177" i="278" s="1"/>
  <c r="U194" i="272"/>
  <c r="U196" i="272" s="1"/>
  <c r="U175" i="272"/>
  <c r="U177" i="272" s="1"/>
  <c r="AA194" i="278"/>
  <c r="AA196" i="278" s="1"/>
  <c r="AA175" i="278"/>
  <c r="AA177" i="278" s="1"/>
  <c r="T194" i="269"/>
  <c r="T196" i="269" s="1"/>
  <c r="T175" i="269"/>
  <c r="T177" i="269" s="1"/>
  <c r="AI194" i="269"/>
  <c r="AI196" i="269" s="1"/>
  <c r="AI175" i="269"/>
  <c r="AI177" i="269" s="1"/>
  <c r="L194" i="269"/>
  <c r="L196" i="269" s="1"/>
  <c r="L175" i="269"/>
  <c r="L177" i="269" s="1"/>
  <c r="S194" i="269"/>
  <c r="S196" i="269" s="1"/>
  <c r="S175" i="269"/>
  <c r="S177" i="269" s="1"/>
  <c r="AD194" i="269"/>
  <c r="AD196" i="269" s="1"/>
  <c r="AD175" i="269"/>
  <c r="AD177" i="269" s="1"/>
  <c r="E194" i="269"/>
  <c r="E196" i="269" s="1"/>
  <c r="E175" i="269"/>
  <c r="E177" i="269" s="1"/>
  <c r="Z194" i="272"/>
  <c r="Z196" i="272" s="1"/>
  <c r="Z175" i="272"/>
  <c r="Z177" i="272" s="1"/>
  <c r="AG194" i="278"/>
  <c r="AG196" i="278" s="1"/>
  <c r="AG175" i="278"/>
  <c r="AG177" i="278" s="1"/>
  <c r="AC194" i="272"/>
  <c r="AC196" i="272" s="1"/>
  <c r="AC175" i="272"/>
  <c r="AC177" i="272" s="1"/>
  <c r="D194" i="278"/>
  <c r="D196" i="278" s="1"/>
  <c r="D175" i="278"/>
  <c r="D177" i="278" s="1"/>
  <c r="R194" i="272"/>
  <c r="R196" i="272" s="1"/>
  <c r="R175" i="272"/>
  <c r="R177" i="272" s="1"/>
  <c r="Y194" i="278"/>
  <c r="Y196" i="278" s="1"/>
  <c r="Y175" i="278"/>
  <c r="Y177" i="278" s="1"/>
  <c r="AE194" i="272"/>
  <c r="AE196" i="272" s="1"/>
  <c r="AE175" i="272"/>
  <c r="AE177" i="272" s="1"/>
  <c r="Q194" i="272"/>
  <c r="Q196" i="272" s="1"/>
  <c r="Q175" i="272"/>
  <c r="Q177" i="272" s="1"/>
  <c r="AA194" i="269"/>
  <c r="AA196" i="269" s="1"/>
  <c r="AA175" i="269"/>
  <c r="AA177" i="269" s="1"/>
  <c r="W194" i="278"/>
  <c r="W196" i="278" s="1"/>
  <c r="W175" i="278"/>
  <c r="W177" i="278" s="1"/>
  <c r="I194" i="278"/>
  <c r="I196" i="278" s="1"/>
  <c r="I175" i="278"/>
  <c r="I177" i="278" s="1"/>
  <c r="AH194" i="278"/>
  <c r="AH196" i="278" s="1"/>
  <c r="AH175" i="278"/>
  <c r="AH177" i="278" s="1"/>
  <c r="AF194" i="272"/>
  <c r="AF196" i="272" s="1"/>
  <c r="AF175" i="272"/>
  <c r="AF177" i="272" s="1"/>
  <c r="AG194" i="272"/>
  <c r="AG196" i="272" s="1"/>
  <c r="AG175" i="272"/>
  <c r="AG177" i="272" s="1"/>
  <c r="AB194" i="278"/>
  <c r="AB196" i="278" s="1"/>
  <c r="AB175" i="278"/>
  <c r="AB177" i="278" s="1"/>
  <c r="K194" i="272"/>
  <c r="K196" i="272" s="1"/>
  <c r="K175" i="272"/>
  <c r="K177" i="272" s="1"/>
  <c r="G175" i="269"/>
  <c r="G177" i="269" s="1"/>
  <c r="G194" i="269"/>
  <c r="G196" i="269" s="1"/>
  <c r="D194" i="272"/>
  <c r="D196" i="272" s="1"/>
  <c r="D175" i="272"/>
  <c r="D177" i="272" s="1"/>
  <c r="J194" i="272"/>
  <c r="J196" i="272" s="1"/>
  <c r="J175" i="272"/>
  <c r="J177" i="272" s="1"/>
  <c r="V194" i="272"/>
  <c r="V196" i="272" s="1"/>
  <c r="V175" i="272"/>
  <c r="V177" i="272" s="1"/>
  <c r="AH194" i="272"/>
  <c r="AH196" i="272" s="1"/>
  <c r="AH175" i="272"/>
  <c r="AH177" i="272" s="1"/>
  <c r="I194" i="272"/>
  <c r="I196" i="272" s="1"/>
  <c r="I175" i="272"/>
  <c r="I177" i="272" s="1"/>
  <c r="AF194" i="269"/>
  <c r="AF196" i="269" s="1"/>
  <c r="AF175" i="269"/>
  <c r="AF177" i="269" s="1"/>
  <c r="X194" i="278"/>
  <c r="X196" i="278" s="1"/>
  <c r="X175" i="278"/>
  <c r="X177" i="278" s="1"/>
  <c r="P194" i="272"/>
  <c r="P196" i="272" s="1"/>
  <c r="P175" i="272"/>
  <c r="P177" i="272" s="1"/>
  <c r="O194" i="269"/>
  <c r="O196" i="269" s="1"/>
  <c r="O175" i="269"/>
  <c r="O177" i="269" s="1"/>
  <c r="Z194" i="269"/>
  <c r="Z196" i="269" s="1"/>
  <c r="Z175" i="269"/>
  <c r="Z177" i="269" s="1"/>
  <c r="AB194" i="269"/>
  <c r="AB196" i="269" s="1"/>
  <c r="AB175" i="269"/>
  <c r="AB177" i="269" s="1"/>
  <c r="G194" i="272"/>
  <c r="G196" i="272" s="1"/>
  <c r="G175" i="272"/>
  <c r="G177" i="272" s="1"/>
  <c r="M194" i="272"/>
  <c r="M196" i="272" s="1"/>
  <c r="M175" i="272"/>
  <c r="M177" i="272" s="1"/>
  <c r="V194" i="269"/>
  <c r="V196" i="269" s="1"/>
  <c r="V175" i="269"/>
  <c r="V177" i="269" s="1"/>
  <c r="R194" i="269"/>
  <c r="R196" i="269" s="1"/>
  <c r="R175" i="269"/>
  <c r="R177" i="269" s="1"/>
  <c r="AE194" i="278"/>
  <c r="AE196" i="278" s="1"/>
  <c r="AE175" i="278"/>
  <c r="AE177" i="278" s="1"/>
  <c r="U194" i="269"/>
  <c r="U196" i="269" s="1"/>
  <c r="U175" i="269"/>
  <c r="U177" i="269" s="1"/>
  <c r="J194" i="269"/>
  <c r="J196" i="269" s="1"/>
  <c r="J175" i="269"/>
  <c r="J177" i="269" s="1"/>
  <c r="Q194" i="278"/>
  <c r="Q196" i="278" s="1"/>
  <c r="Q175" i="278"/>
  <c r="Q177" i="278" s="1"/>
  <c r="W194" i="272"/>
  <c r="W196" i="272" s="1"/>
  <c r="W175" i="272"/>
  <c r="W177" i="272" s="1"/>
  <c r="S194" i="272"/>
  <c r="S196" i="272" s="1"/>
  <c r="S175" i="272"/>
  <c r="S177" i="272" s="1"/>
  <c r="F194" i="269"/>
  <c r="F196" i="269" s="1"/>
  <c r="F175" i="269"/>
  <c r="F177" i="269" s="1"/>
  <c r="U194" i="278"/>
  <c r="U196" i="278" s="1"/>
  <c r="U175" i="278"/>
  <c r="U177" i="278" s="1"/>
  <c r="P194" i="278"/>
  <c r="P196" i="278" s="1"/>
  <c r="P175" i="278"/>
  <c r="P177" i="278" s="1"/>
  <c r="T194" i="272"/>
  <c r="T196" i="272" s="1"/>
  <c r="T175" i="272"/>
  <c r="T177" i="272" s="1"/>
  <c r="K194" i="278"/>
  <c r="K196" i="278" s="1"/>
  <c r="K175" i="278"/>
  <c r="K177" i="278" s="1"/>
  <c r="M194" i="278"/>
  <c r="M196" i="278" s="1"/>
  <c r="M175" i="278"/>
  <c r="M177" i="278" s="1"/>
  <c r="AC194" i="278"/>
  <c r="AC196" i="278" s="1"/>
  <c r="AC175" i="278"/>
  <c r="AC177" i="278" s="1"/>
  <c r="Y194" i="272"/>
  <c r="Y196" i="272" s="1"/>
  <c r="Y175" i="272"/>
  <c r="Y177" i="272" s="1"/>
  <c r="AI194" i="272"/>
  <c r="AI196" i="272" s="1"/>
  <c r="AI175" i="272"/>
  <c r="AI177" i="272" s="1"/>
  <c r="D175" i="269"/>
  <c r="D177" i="269" s="1"/>
  <c r="D194" i="269"/>
  <c r="D196" i="269" s="1"/>
  <c r="N194" i="269"/>
  <c r="N196" i="269" s="1"/>
  <c r="N175" i="269"/>
  <c r="N177" i="269" s="1"/>
  <c r="AH194" i="269"/>
  <c r="AH196" i="269" s="1"/>
  <c r="AH175" i="269"/>
  <c r="AH177" i="269" s="1"/>
  <c r="L194" i="278"/>
  <c r="L196" i="278" s="1"/>
  <c r="L175" i="278"/>
  <c r="L177" i="278" s="1"/>
  <c r="AD194" i="272"/>
  <c r="AD196" i="272" s="1"/>
  <c r="AD175" i="272"/>
  <c r="AD177" i="272" s="1"/>
  <c r="X194" i="272"/>
  <c r="X196" i="272" s="1"/>
  <c r="X175" i="272"/>
  <c r="X177" i="272" s="1"/>
  <c r="E175" i="272"/>
  <c r="E177" i="272" s="1"/>
  <c r="E194" i="272"/>
  <c r="E196" i="272" s="1"/>
  <c r="P194" i="269"/>
  <c r="P196" i="269" s="1"/>
  <c r="P175" i="269"/>
  <c r="P177" i="269" s="1"/>
  <c r="T194" i="278"/>
  <c r="T196" i="278" s="1"/>
  <c r="T175" i="278"/>
  <c r="T177" i="278" s="1"/>
  <c r="AG194" i="269"/>
  <c r="AG196" i="269" s="1"/>
  <c r="AG175" i="269"/>
  <c r="AG177" i="269" s="1"/>
  <c r="K194" i="269"/>
  <c r="K196" i="269" s="1"/>
  <c r="K175" i="269"/>
  <c r="K177" i="269" s="1"/>
  <c r="AC194" i="269"/>
  <c r="AC196" i="269" s="1"/>
  <c r="AC175" i="269"/>
  <c r="AC177" i="269" s="1"/>
  <c r="F175" i="272"/>
  <c r="F177" i="272" s="1"/>
  <c r="F194" i="272"/>
  <c r="F196" i="272" s="1"/>
  <c r="Y194" i="269"/>
  <c r="Y196" i="269" s="1"/>
  <c r="Y175" i="269"/>
  <c r="Y177" i="269" s="1"/>
  <c r="AI194" i="278"/>
  <c r="AI196" i="278" s="1"/>
  <c r="AI175" i="278"/>
  <c r="AI177" i="278" s="1"/>
  <c r="AE194" i="269"/>
  <c r="AE196" i="269" s="1"/>
  <c r="AE175" i="269"/>
  <c r="AE177" i="269" s="1"/>
  <c r="N194" i="278"/>
  <c r="N196" i="278" s="1"/>
  <c r="N175" i="278"/>
  <c r="N177" i="278" s="1"/>
  <c r="AJ194" i="272"/>
  <c r="AJ196" i="272" s="1"/>
  <c r="AJ175" i="272"/>
  <c r="AJ177" i="272" s="1"/>
  <c r="Q194" i="269"/>
  <c r="Q196" i="269" s="1"/>
  <c r="Q175" i="269"/>
  <c r="Q177" i="269" s="1"/>
  <c r="W194" i="269"/>
  <c r="W196" i="269" s="1"/>
  <c r="W175" i="269"/>
  <c r="W177" i="269" s="1"/>
  <c r="X194" i="269"/>
  <c r="X196" i="269" s="1"/>
  <c r="X175" i="269"/>
  <c r="X177" i="269" s="1"/>
  <c r="E175" i="278"/>
  <c r="E177" i="278" s="1"/>
  <c r="E194" i="278"/>
  <c r="E196" i="278" s="1"/>
  <c r="H194" i="278"/>
  <c r="H196" i="278" s="1"/>
  <c r="H175" i="278"/>
  <c r="H177" i="278" s="1"/>
  <c r="AJ194" i="269"/>
  <c r="AJ196" i="269" s="1"/>
  <c r="AJ175" i="269"/>
  <c r="AJ177" i="269" s="1"/>
  <c r="I194" i="269"/>
  <c r="I196" i="269" s="1"/>
  <c r="I175" i="269"/>
  <c r="I177" i="269" s="1"/>
  <c r="S194" i="278"/>
  <c r="S196" i="278" s="1"/>
  <c r="S175" i="278"/>
  <c r="S177" i="278" s="1"/>
  <c r="H194" i="272"/>
  <c r="H196" i="272" s="1"/>
  <c r="H175" i="272"/>
  <c r="H177" i="272" s="1"/>
  <c r="F194" i="278"/>
  <c r="F196" i="278" s="1"/>
  <c r="F175" i="278"/>
  <c r="F177" i="278" s="1"/>
  <c r="N194" i="272"/>
  <c r="N196" i="272" s="1"/>
  <c r="N175" i="272"/>
  <c r="N177" i="272" s="1"/>
  <c r="AJ194" i="278"/>
  <c r="AJ196" i="278" s="1"/>
  <c r="AJ175" i="278"/>
  <c r="AJ177" i="278" s="1"/>
  <c r="AA194" i="272"/>
  <c r="AA196" i="272" s="1"/>
  <c r="AA175" i="272"/>
  <c r="AA177" i="272" s="1"/>
  <c r="X9" i="52"/>
  <c r="U92" i="52"/>
  <c r="Q92" i="52"/>
  <c r="K92" i="52"/>
  <c r="E92" i="52"/>
  <c r="T92" i="52"/>
  <c r="N92" i="52"/>
  <c r="J92" i="52"/>
  <c r="D92" i="52"/>
  <c r="A93" i="52"/>
  <c r="X50" i="52" s="1"/>
  <c r="R92" i="52"/>
  <c r="F92" i="52"/>
  <c r="M92" i="52"/>
  <c r="C92" i="52"/>
  <c r="AJ92" i="52"/>
  <c r="L92" i="52"/>
  <c r="G92" i="52"/>
  <c r="S92" i="52"/>
  <c r="AB92" i="52"/>
  <c r="AE92" i="52"/>
  <c r="AD92" i="52"/>
  <c r="AH92" i="52"/>
  <c r="AK92" i="52"/>
  <c r="AI92" i="52"/>
  <c r="AA92" i="52"/>
  <c r="AL92" i="52"/>
  <c r="AC92" i="52"/>
  <c r="AO92" i="52"/>
  <c r="AO8" i="52"/>
  <c r="AO50" i="52" s="1"/>
  <c r="AA93" i="52" l="1"/>
  <c r="S50" i="52"/>
  <c r="M50" i="52"/>
  <c r="D50" i="52"/>
  <c r="R50" i="52"/>
  <c r="L50" i="52"/>
  <c r="E50" i="52"/>
  <c r="U50" i="52"/>
  <c r="Q50" i="52"/>
  <c r="K50" i="52"/>
  <c r="F50" i="52"/>
  <c r="T50" i="52"/>
  <c r="N50" i="52"/>
  <c r="J50" i="52"/>
  <c r="C50" i="52"/>
  <c r="G50" i="52"/>
  <c r="AJ50" i="52"/>
  <c r="AI50" i="52"/>
  <c r="AA50" i="52"/>
  <c r="AB50" i="52"/>
  <c r="AE50" i="52"/>
  <c r="AH50" i="52"/>
  <c r="AD50" i="52"/>
  <c r="AK50" i="52"/>
  <c r="AL50" i="52"/>
  <c r="AC50" i="52"/>
  <c r="X93" i="52"/>
  <c r="S204" i="278"/>
  <c r="D204" i="278"/>
  <c r="Z204" i="272"/>
  <c r="U204" i="272"/>
  <c r="X204" i="278"/>
  <c r="V204" i="272"/>
  <c r="AG204" i="272"/>
  <c r="AE204" i="272"/>
  <c r="AC204" i="272"/>
  <c r="J204" i="278"/>
  <c r="F204" i="278"/>
  <c r="X204" i="272"/>
  <c r="L204" i="278"/>
  <c r="D204" i="269"/>
  <c r="AI204" i="269"/>
  <c r="AD204" i="278"/>
  <c r="N204" i="278"/>
  <c r="F204" i="272"/>
  <c r="AG204" i="269"/>
  <c r="M204" i="272"/>
  <c r="P204" i="272"/>
  <c r="AH204" i="272"/>
  <c r="AB204" i="278"/>
  <c r="W204" i="278"/>
  <c r="AF204" i="278"/>
  <c r="F204" i="269"/>
  <c r="Q204" i="269"/>
  <c r="X204" i="269"/>
  <c r="O204" i="278"/>
  <c r="AI204" i="278"/>
  <c r="T204" i="278"/>
  <c r="AD204" i="272"/>
  <c r="AH204" i="269"/>
  <c r="AF204" i="269"/>
  <c r="AE204" i="278"/>
  <c r="G204" i="272"/>
  <c r="AF204" i="272"/>
  <c r="T204" i="269"/>
  <c r="W204" i="269"/>
  <c r="G204" i="278"/>
  <c r="J204" i="272"/>
  <c r="G204" i="269"/>
  <c r="AH204" i="278"/>
  <c r="Q204" i="272"/>
  <c r="Y204" i="278"/>
  <c r="N204" i="272"/>
  <c r="H204" i="272"/>
  <c r="AJ204" i="269"/>
  <c r="I204" i="272"/>
  <c r="D204" i="272"/>
  <c r="K204" i="272"/>
  <c r="I204" i="278"/>
  <c r="R204" i="272"/>
  <c r="AA204" i="278"/>
  <c r="V204" i="278"/>
  <c r="Z204" i="278"/>
  <c r="R204" i="278"/>
  <c r="AK194" i="272"/>
  <c r="AK196" i="272" s="1"/>
  <c r="AK175" i="272"/>
  <c r="AK177" i="272" s="1"/>
  <c r="Y204" i="269"/>
  <c r="K204" i="269"/>
  <c r="P204" i="269"/>
  <c r="Y204" i="272"/>
  <c r="M204" i="278"/>
  <c r="P204" i="278"/>
  <c r="U204" i="278"/>
  <c r="Q204" i="278"/>
  <c r="U204" i="269"/>
  <c r="V204" i="269"/>
  <c r="AB204" i="269"/>
  <c r="O204" i="269"/>
  <c r="E204" i="269"/>
  <c r="L204" i="269"/>
  <c r="AK194" i="269"/>
  <c r="AK196" i="269" s="1"/>
  <c r="AK175" i="269"/>
  <c r="AK177" i="269" s="1"/>
  <c r="AA204" i="272"/>
  <c r="H204" i="278"/>
  <c r="E204" i="272"/>
  <c r="N204" i="269"/>
  <c r="K204" i="278"/>
  <c r="R204" i="269"/>
  <c r="AD204" i="269"/>
  <c r="M204" i="269"/>
  <c r="AB204" i="272"/>
  <c r="L204" i="272"/>
  <c r="O204" i="272"/>
  <c r="AJ204" i="278"/>
  <c r="I204" i="269"/>
  <c r="E204" i="278"/>
  <c r="AE204" i="269"/>
  <c r="AC204" i="269"/>
  <c r="S204" i="272"/>
  <c r="Z204" i="269"/>
  <c r="AA204" i="269"/>
  <c r="S204" i="269"/>
  <c r="AG204" i="278"/>
  <c r="AK194" i="278"/>
  <c r="AK196" i="278" s="1"/>
  <c r="AK175" i="278"/>
  <c r="AK177" i="278" s="1"/>
  <c r="AJ204" i="272"/>
  <c r="AI204" i="272"/>
  <c r="AC204" i="278"/>
  <c r="T204" i="272"/>
  <c r="W204" i="272"/>
  <c r="J204" i="269"/>
  <c r="H204" i="269"/>
  <c r="AO93" i="52"/>
  <c r="AO9" i="52"/>
  <c r="U93" i="52"/>
  <c r="Q93" i="52"/>
  <c r="K93" i="52"/>
  <c r="E93" i="52"/>
  <c r="T93" i="52"/>
  <c r="N93" i="52"/>
  <c r="J93" i="52"/>
  <c r="D93" i="52"/>
  <c r="L93" i="52"/>
  <c r="S93" i="52"/>
  <c r="G93" i="52"/>
  <c r="A94" i="52"/>
  <c r="R93" i="52"/>
  <c r="M93" i="52"/>
  <c r="AD93" i="52"/>
  <c r="F93" i="52"/>
  <c r="C93" i="52"/>
  <c r="AL93" i="52"/>
  <c r="AC93" i="52"/>
  <c r="AK93" i="52"/>
  <c r="AI93" i="52"/>
  <c r="AE93" i="52"/>
  <c r="AH93" i="52"/>
  <c r="AJ93" i="52"/>
  <c r="AB93" i="52"/>
  <c r="X10" i="52"/>
  <c r="R51" i="52" l="1"/>
  <c r="L51" i="52"/>
  <c r="C51" i="52"/>
  <c r="G51" i="52"/>
  <c r="U51" i="52"/>
  <c r="Q51" i="52"/>
  <c r="K51" i="52"/>
  <c r="D51" i="52"/>
  <c r="T51" i="52"/>
  <c r="N51" i="52"/>
  <c r="J51" i="52"/>
  <c r="E51" i="52"/>
  <c r="S51" i="52"/>
  <c r="M51" i="52"/>
  <c r="F51" i="52"/>
  <c r="AC51" i="52"/>
  <c r="AD51" i="52"/>
  <c r="AB51" i="52"/>
  <c r="AI51" i="52"/>
  <c r="AJ51" i="52"/>
  <c r="AA51" i="52"/>
  <c r="AH51" i="52"/>
  <c r="AE51" i="52"/>
  <c r="AL51" i="52"/>
  <c r="AK51" i="52"/>
  <c r="AO51" i="52"/>
  <c r="X94" i="52"/>
  <c r="X51" i="52"/>
  <c r="D46" i="260"/>
  <c r="U46" i="260"/>
  <c r="D1029" i="261" s="1"/>
  <c r="H46" i="260"/>
  <c r="D1016" i="261" s="1"/>
  <c r="E46" i="260"/>
  <c r="D1013" i="261" s="1"/>
  <c r="N46" i="260"/>
  <c r="D1022" i="261" s="1"/>
  <c r="J46" i="260"/>
  <c r="D1018" i="261" s="1"/>
  <c r="P46" i="260"/>
  <c r="G67" i="261" s="1"/>
  <c r="X46" i="260"/>
  <c r="D1032" i="261" s="1"/>
  <c r="M46" i="260"/>
  <c r="D1021" i="261" s="1"/>
  <c r="I46" i="260"/>
  <c r="D1017" i="261" s="1"/>
  <c r="AC46" i="260"/>
  <c r="D1037" i="261" s="1"/>
  <c r="AE46" i="260"/>
  <c r="D1039" i="261" s="1"/>
  <c r="AA46" i="260"/>
  <c r="D1035" i="261" s="1"/>
  <c r="S46" i="260"/>
  <c r="D1027" i="261" s="1"/>
  <c r="AD46" i="260"/>
  <c r="D1038" i="261" s="1"/>
  <c r="R46" i="260"/>
  <c r="D1026" i="261" s="1"/>
  <c r="AJ46" i="260"/>
  <c r="O46" i="260"/>
  <c r="W46" i="260"/>
  <c r="AI46" i="260"/>
  <c r="T46" i="260"/>
  <c r="G61" i="261"/>
  <c r="AB46" i="260"/>
  <c r="Z46" i="260"/>
  <c r="V46" i="260"/>
  <c r="K46" i="260"/>
  <c r="Y46" i="260"/>
  <c r="Q46" i="260"/>
  <c r="AG46" i="260"/>
  <c r="G46" i="260"/>
  <c r="AF46" i="260"/>
  <c r="F46" i="260"/>
  <c r="L46" i="260"/>
  <c r="AH46" i="260"/>
  <c r="AK204" i="278"/>
  <c r="AK204" i="272"/>
  <c r="AK204" i="269"/>
  <c r="X11" i="52"/>
  <c r="U94" i="52"/>
  <c r="Q94" i="52"/>
  <c r="K94" i="52"/>
  <c r="E94" i="52"/>
  <c r="T94" i="52"/>
  <c r="N94" i="52"/>
  <c r="J94" i="52"/>
  <c r="D94" i="52"/>
  <c r="A95" i="52"/>
  <c r="X52" i="52" s="1"/>
  <c r="R94" i="52"/>
  <c r="F94" i="52"/>
  <c r="M94" i="52"/>
  <c r="C94" i="52"/>
  <c r="S94" i="52"/>
  <c r="AJ94" i="52"/>
  <c r="L94" i="52"/>
  <c r="G94" i="52"/>
  <c r="AA94" i="52"/>
  <c r="AB94" i="52"/>
  <c r="AD94" i="52"/>
  <c r="AK94" i="52"/>
  <c r="AH94" i="52"/>
  <c r="AE94" i="52"/>
  <c r="AL94" i="52"/>
  <c r="AC94" i="52"/>
  <c r="AI94" i="52"/>
  <c r="AO94" i="52"/>
  <c r="AO10" i="52"/>
  <c r="AO52" i="52" s="1"/>
  <c r="U52" i="52" l="1"/>
  <c r="Q52" i="52"/>
  <c r="K52" i="52"/>
  <c r="F52" i="52"/>
  <c r="T52" i="52"/>
  <c r="N52" i="52"/>
  <c r="J52" i="52"/>
  <c r="C52" i="52"/>
  <c r="G52" i="52"/>
  <c r="S52" i="52"/>
  <c r="M52" i="52"/>
  <c r="D52" i="52"/>
  <c r="R52" i="52"/>
  <c r="L52" i="52"/>
  <c r="E52" i="52"/>
  <c r="AD52" i="52"/>
  <c r="AK52" i="52"/>
  <c r="AL52" i="52"/>
  <c r="AC52" i="52"/>
  <c r="AI52" i="52"/>
  <c r="AJ52" i="52"/>
  <c r="AA52" i="52"/>
  <c r="AB52" i="52"/>
  <c r="AE52" i="52"/>
  <c r="AH52" i="52"/>
  <c r="X95" i="52"/>
  <c r="G82" i="261"/>
  <c r="G75" i="261"/>
  <c r="G60" i="261"/>
  <c r="G72" i="261"/>
  <c r="G81" i="261"/>
  <c r="G56" i="261"/>
  <c r="G70" i="261"/>
  <c r="G78" i="261"/>
  <c r="G65" i="261"/>
  <c r="G69" i="261"/>
  <c r="D1024" i="261"/>
  <c r="F1024" i="261" s="1"/>
  <c r="G59" i="261"/>
  <c r="H80" i="260"/>
  <c r="G64" i="261"/>
  <c r="M80" i="260"/>
  <c r="G80" i="261"/>
  <c r="AK46" i="260"/>
  <c r="G88" i="261" s="1"/>
  <c r="D1040" i="261"/>
  <c r="G83" i="261"/>
  <c r="E1029" i="261"/>
  <c r="F1029" i="261"/>
  <c r="E1035" i="261"/>
  <c r="F1035" i="261"/>
  <c r="D1023" i="261"/>
  <c r="G66" i="261"/>
  <c r="D1042" i="261"/>
  <c r="G85" i="261"/>
  <c r="E1021" i="261"/>
  <c r="F1021" i="261"/>
  <c r="F1027" i="261"/>
  <c r="E1027" i="261"/>
  <c r="F1018" i="261"/>
  <c r="E1018" i="261"/>
  <c r="E1022" i="261"/>
  <c r="F1022" i="261"/>
  <c r="D1015" i="261"/>
  <c r="G58" i="261"/>
  <c r="E1038" i="261"/>
  <c r="F1038" i="261"/>
  <c r="E1037" i="261"/>
  <c r="F1037" i="261"/>
  <c r="D1019" i="261"/>
  <c r="G62" i="261"/>
  <c r="D1028" i="261"/>
  <c r="G71" i="261"/>
  <c r="D1044" i="261"/>
  <c r="G87" i="261"/>
  <c r="D1012" i="261"/>
  <c r="E1012" i="261" s="1"/>
  <c r="G55" i="261"/>
  <c r="D1030" i="261"/>
  <c r="G73" i="261"/>
  <c r="E1026" i="261"/>
  <c r="F1026" i="261"/>
  <c r="F1032" i="261"/>
  <c r="E1032" i="261"/>
  <c r="D1034" i="261"/>
  <c r="G77" i="261"/>
  <c r="F1013" i="261"/>
  <c r="E1013" i="261"/>
  <c r="D1020" i="261"/>
  <c r="G63" i="261"/>
  <c r="E1039" i="261"/>
  <c r="F1039" i="261"/>
  <c r="E1016" i="261"/>
  <c r="F1016" i="261"/>
  <c r="D1041" i="261"/>
  <c r="G84" i="261"/>
  <c r="D1033" i="261"/>
  <c r="G76" i="261"/>
  <c r="D1036" i="261"/>
  <c r="G79" i="261"/>
  <c r="D1043" i="261"/>
  <c r="G86" i="261"/>
  <c r="D1014" i="261"/>
  <c r="G57" i="261"/>
  <c r="D1025" i="261"/>
  <c r="G68" i="261"/>
  <c r="D1031" i="261"/>
  <c r="G74" i="261"/>
  <c r="E1017" i="261"/>
  <c r="F1017" i="261"/>
  <c r="R80" i="260"/>
  <c r="G80" i="260"/>
  <c r="O80" i="260"/>
  <c r="E80" i="260"/>
  <c r="T63" i="260"/>
  <c r="AE80" i="260"/>
  <c r="AF80" i="260"/>
  <c r="J80" i="260"/>
  <c r="AA80" i="260"/>
  <c r="AG80" i="260"/>
  <c r="Y63" i="260"/>
  <c r="AH63" i="260"/>
  <c r="AH80" i="260"/>
  <c r="AG63" i="260"/>
  <c r="E63" i="260"/>
  <c r="Y80" i="260"/>
  <c r="AE63" i="260"/>
  <c r="J63" i="260"/>
  <c r="W80" i="260"/>
  <c r="W63" i="260"/>
  <c r="O63" i="260"/>
  <c r="AF63" i="260"/>
  <c r="M63" i="260"/>
  <c r="I63" i="260"/>
  <c r="I80" i="260"/>
  <c r="T80" i="260"/>
  <c r="AA63" i="260"/>
  <c r="G63" i="260"/>
  <c r="H63" i="260"/>
  <c r="R63" i="260"/>
  <c r="AI63" i="260"/>
  <c r="AI80" i="260"/>
  <c r="X63" i="260"/>
  <c r="X80" i="260"/>
  <c r="C570" i="261"/>
  <c r="AC80" i="260"/>
  <c r="AC63" i="260"/>
  <c r="V80" i="260"/>
  <c r="V63" i="260"/>
  <c r="AB80" i="260"/>
  <c r="AB63" i="260"/>
  <c r="D80" i="260"/>
  <c r="D63" i="260"/>
  <c r="AD80" i="260"/>
  <c r="AD63" i="260"/>
  <c r="Z80" i="260"/>
  <c r="Z63" i="260"/>
  <c r="U80" i="260"/>
  <c r="U63" i="260"/>
  <c r="S80" i="260"/>
  <c r="S63" i="260"/>
  <c r="P80" i="260"/>
  <c r="P63" i="260"/>
  <c r="L63" i="260"/>
  <c r="L80" i="260"/>
  <c r="F80" i="260"/>
  <c r="F63" i="260"/>
  <c r="K80" i="260"/>
  <c r="K63" i="260"/>
  <c r="N80" i="260"/>
  <c r="N63" i="260"/>
  <c r="Q80" i="260"/>
  <c r="Q63" i="260"/>
  <c r="U95" i="52"/>
  <c r="Q95" i="52"/>
  <c r="K95" i="52"/>
  <c r="E95" i="52"/>
  <c r="T95" i="52"/>
  <c r="N95" i="52"/>
  <c r="J95" i="52"/>
  <c r="D95" i="52"/>
  <c r="L95" i="52"/>
  <c r="S95" i="52"/>
  <c r="G95" i="52"/>
  <c r="AD95" i="52"/>
  <c r="F95" i="52"/>
  <c r="C95" i="52"/>
  <c r="A96" i="52"/>
  <c r="R95" i="52"/>
  <c r="M95" i="52"/>
  <c r="AE95" i="52"/>
  <c r="AL95" i="52"/>
  <c r="AC95" i="52"/>
  <c r="AI95" i="52"/>
  <c r="AH95" i="52"/>
  <c r="AA95" i="52"/>
  <c r="AB95" i="52"/>
  <c r="AK95" i="52"/>
  <c r="AJ95" i="52"/>
  <c r="AO95" i="52"/>
  <c r="AO11" i="52"/>
  <c r="AO53" i="52" s="1"/>
  <c r="X12" i="52"/>
  <c r="C46" i="260" l="1"/>
  <c r="C21" i="260" s="1"/>
  <c r="T53" i="52"/>
  <c r="N53" i="52"/>
  <c r="J53" i="52"/>
  <c r="E53" i="52"/>
  <c r="S53" i="52"/>
  <c r="M53" i="52"/>
  <c r="F53" i="52"/>
  <c r="R53" i="52"/>
  <c r="L53" i="52"/>
  <c r="C53" i="52"/>
  <c r="G53" i="52"/>
  <c r="U53" i="52"/>
  <c r="Q53" i="52"/>
  <c r="K53" i="52"/>
  <c r="D53" i="52"/>
  <c r="AL53" i="52"/>
  <c r="AK53" i="52"/>
  <c r="AC53" i="52"/>
  <c r="AD53" i="52"/>
  <c r="AB53" i="52"/>
  <c r="AI53" i="52"/>
  <c r="AJ53" i="52"/>
  <c r="AA53" i="52"/>
  <c r="AH53" i="52"/>
  <c r="AE53" i="52"/>
  <c r="X96" i="52"/>
  <c r="X53" i="52"/>
  <c r="E1024" i="261"/>
  <c r="D1045" i="261"/>
  <c r="E1045" i="261" s="1"/>
  <c r="E1025" i="261"/>
  <c r="F1025" i="261"/>
  <c r="F1033" i="261"/>
  <c r="E1033" i="261"/>
  <c r="E1020" i="261"/>
  <c r="F1020" i="261"/>
  <c r="F1044" i="261"/>
  <c r="E1044" i="261"/>
  <c r="E1023" i="261"/>
  <c r="F1023" i="261"/>
  <c r="E1014" i="261"/>
  <c r="F1014" i="261"/>
  <c r="E1041" i="261"/>
  <c r="F1041" i="261"/>
  <c r="G89" i="261"/>
  <c r="E1028" i="261"/>
  <c r="F1028" i="261"/>
  <c r="E1043" i="261"/>
  <c r="F1043" i="261"/>
  <c r="E1030" i="261"/>
  <c r="F1030" i="261"/>
  <c r="E1019" i="261"/>
  <c r="F1019" i="261"/>
  <c r="F1015" i="261"/>
  <c r="E1015" i="261"/>
  <c r="E1031" i="261"/>
  <c r="F1031" i="261"/>
  <c r="F1036" i="261"/>
  <c r="E1036" i="261"/>
  <c r="E1034" i="261"/>
  <c r="F1034" i="261"/>
  <c r="E1042" i="261"/>
  <c r="F1042" i="261"/>
  <c r="F1040" i="261"/>
  <c r="E1040" i="261"/>
  <c r="AK63" i="260"/>
  <c r="AK80" i="260"/>
  <c r="AJ63" i="260"/>
  <c r="F1012" i="261"/>
  <c r="AJ80" i="260"/>
  <c r="X13" i="52"/>
  <c r="AO96" i="52"/>
  <c r="AO12" i="52"/>
  <c r="U96" i="52"/>
  <c r="Q96" i="52"/>
  <c r="K96" i="52"/>
  <c r="E96" i="52"/>
  <c r="T96" i="52"/>
  <c r="N96" i="52"/>
  <c r="J96" i="52"/>
  <c r="D96" i="52"/>
  <c r="A97" i="52"/>
  <c r="X97" i="52" s="1"/>
  <c r="R96" i="52"/>
  <c r="F96" i="52"/>
  <c r="M96" i="52"/>
  <c r="C96" i="52"/>
  <c r="AJ96" i="52"/>
  <c r="L96" i="52"/>
  <c r="G96" i="52"/>
  <c r="S96" i="52"/>
  <c r="AB96" i="52"/>
  <c r="AD96" i="52"/>
  <c r="AH96" i="52"/>
  <c r="AE96" i="52"/>
  <c r="AK96" i="52"/>
  <c r="AI96" i="52"/>
  <c r="AA96" i="52"/>
  <c r="AL96" i="52"/>
  <c r="AC96" i="52"/>
  <c r="C80" i="260" l="1"/>
  <c r="D21" i="260" s="1"/>
  <c r="D627" i="261" s="1"/>
  <c r="C63" i="260"/>
  <c r="E21" i="260" s="1"/>
  <c r="C627" i="261" s="1"/>
  <c r="X54" i="52"/>
  <c r="S54" i="52"/>
  <c r="M54" i="52"/>
  <c r="D54" i="52"/>
  <c r="R54" i="52"/>
  <c r="L54" i="52"/>
  <c r="E54" i="52"/>
  <c r="U54" i="52"/>
  <c r="Q54" i="52"/>
  <c r="K54" i="52"/>
  <c r="F54" i="52"/>
  <c r="T54" i="52"/>
  <c r="N54" i="52"/>
  <c r="J54" i="52"/>
  <c r="C54" i="52"/>
  <c r="G54" i="52"/>
  <c r="AE54" i="52"/>
  <c r="AH54" i="52"/>
  <c r="AD54" i="52"/>
  <c r="AK54" i="52"/>
  <c r="AL54" i="52"/>
  <c r="AC54" i="52"/>
  <c r="AJ54" i="52"/>
  <c r="AI54" i="52"/>
  <c r="AA54" i="52"/>
  <c r="AB54" i="52"/>
  <c r="AO54" i="52"/>
  <c r="F1045" i="261"/>
  <c r="F1046" i="261" s="1"/>
  <c r="G91" i="261"/>
  <c r="D570" i="261"/>
  <c r="D571" i="261" s="1"/>
  <c r="D1046" i="261"/>
  <c r="D1048" i="261" s="1"/>
  <c r="E1046" i="261"/>
  <c r="G7" i="261"/>
  <c r="AO97" i="52"/>
  <c r="AO13" i="52"/>
  <c r="U97" i="52"/>
  <c r="Q97" i="52"/>
  <c r="K97" i="52"/>
  <c r="E97" i="52"/>
  <c r="T97" i="52"/>
  <c r="N97" i="52"/>
  <c r="J97" i="52"/>
  <c r="D97" i="52"/>
  <c r="L97" i="52"/>
  <c r="S97" i="52"/>
  <c r="G97" i="52"/>
  <c r="R97" i="52"/>
  <c r="A98" i="52"/>
  <c r="X55" i="52" s="1"/>
  <c r="M97" i="52"/>
  <c r="F97" i="52"/>
  <c r="C97" i="52"/>
  <c r="AA97" i="52"/>
  <c r="AL97" i="52"/>
  <c r="AC97" i="52"/>
  <c r="AJ97" i="52"/>
  <c r="AH97" i="52"/>
  <c r="AD97" i="52"/>
  <c r="AE97" i="52"/>
  <c r="AK97" i="52"/>
  <c r="AI97" i="52"/>
  <c r="AB97" i="52"/>
  <c r="X14" i="52"/>
  <c r="AO55" i="52" l="1"/>
  <c r="R55" i="52"/>
  <c r="L55" i="52"/>
  <c r="C55" i="52"/>
  <c r="G55" i="52"/>
  <c r="U55" i="52"/>
  <c r="Q55" i="52"/>
  <c r="K55" i="52"/>
  <c r="D55" i="52"/>
  <c r="T55" i="52"/>
  <c r="N55" i="52"/>
  <c r="J55" i="52"/>
  <c r="E55" i="52"/>
  <c r="S55" i="52"/>
  <c r="M55" i="52"/>
  <c r="F55" i="52"/>
  <c r="AH55" i="52"/>
  <c r="AE55" i="52"/>
  <c r="AL55" i="52"/>
  <c r="AK55" i="52"/>
  <c r="AC55" i="52"/>
  <c r="AD55" i="52"/>
  <c r="AB55" i="52"/>
  <c r="AI55" i="52"/>
  <c r="AJ55" i="52"/>
  <c r="AA55" i="52"/>
  <c r="X99" i="52"/>
  <c r="X98" i="52"/>
  <c r="C6" i="218"/>
  <c r="H7" i="261"/>
  <c r="E570" i="261"/>
  <c r="E571" i="261" s="1"/>
  <c r="E1048" i="261"/>
  <c r="F1048" i="261"/>
  <c r="X15" i="52"/>
  <c r="U98" i="52"/>
  <c r="Q98" i="52"/>
  <c r="K98" i="52"/>
  <c r="E98" i="52"/>
  <c r="S98" i="52"/>
  <c r="L98" i="52"/>
  <c r="D98" i="52"/>
  <c r="A99" i="52"/>
  <c r="R98" i="52"/>
  <c r="J98" i="52"/>
  <c r="C98" i="52"/>
  <c r="M98" i="52"/>
  <c r="G98" i="52"/>
  <c r="F98" i="52"/>
  <c r="T98" i="52"/>
  <c r="N98" i="52"/>
  <c r="AE98" i="52"/>
  <c r="AA98" i="52"/>
  <c r="AH98" i="52"/>
  <c r="AB98" i="52"/>
  <c r="AI98" i="52"/>
  <c r="AK98" i="52"/>
  <c r="AD98" i="52"/>
  <c r="AL98" i="52"/>
  <c r="AJ98" i="52"/>
  <c r="AC98" i="52"/>
  <c r="AO98" i="52"/>
  <c r="AO14" i="52"/>
  <c r="AO56" i="52" s="1"/>
  <c r="U56" i="52" l="1"/>
  <c r="Q56" i="52"/>
  <c r="K56" i="52"/>
  <c r="F56" i="52"/>
  <c r="T56" i="52"/>
  <c r="N56" i="52"/>
  <c r="J56" i="52"/>
  <c r="C56" i="52"/>
  <c r="G56" i="52"/>
  <c r="S56" i="52"/>
  <c r="M56" i="52"/>
  <c r="D56" i="52"/>
  <c r="R56" i="52"/>
  <c r="L56" i="52"/>
  <c r="E56" i="52"/>
  <c r="AA56" i="52"/>
  <c r="AB56" i="52"/>
  <c r="AE56" i="52"/>
  <c r="AH56" i="52"/>
  <c r="AD56" i="52"/>
  <c r="AK56" i="52"/>
  <c r="AL56" i="52"/>
  <c r="AC56" i="52"/>
  <c r="AJ56" i="52"/>
  <c r="AI56" i="52"/>
  <c r="X56" i="52"/>
  <c r="X16" i="52"/>
  <c r="AO99" i="52"/>
  <c r="AO15" i="52"/>
  <c r="U99" i="52"/>
  <c r="Q99" i="52"/>
  <c r="K99" i="52"/>
  <c r="E99" i="52"/>
  <c r="A100" i="52"/>
  <c r="R99" i="52"/>
  <c r="J99" i="52"/>
  <c r="C99" i="52"/>
  <c r="N99" i="52"/>
  <c r="G99" i="52"/>
  <c r="S99" i="52"/>
  <c r="D99" i="52"/>
  <c r="M99" i="52"/>
  <c r="T99" i="52"/>
  <c r="L99" i="52"/>
  <c r="F99" i="52"/>
  <c r="AC99" i="52"/>
  <c r="AI99" i="52"/>
  <c r="AB99" i="52"/>
  <c r="AE99" i="52"/>
  <c r="AJ99" i="52"/>
  <c r="AK99" i="52"/>
  <c r="AA99" i="52"/>
  <c r="AH99" i="52"/>
  <c r="AD99" i="52"/>
  <c r="AL99" i="52"/>
  <c r="T57" i="52" l="1"/>
  <c r="N57" i="52"/>
  <c r="J57" i="52"/>
  <c r="E57" i="52"/>
  <c r="S57" i="52"/>
  <c r="M57" i="52"/>
  <c r="F57" i="52"/>
  <c r="R57" i="52"/>
  <c r="L57" i="52"/>
  <c r="C57" i="52"/>
  <c r="G57" i="52"/>
  <c r="U57" i="52"/>
  <c r="Q57" i="52"/>
  <c r="K57" i="52"/>
  <c r="D57" i="52"/>
  <c r="AB57" i="52"/>
  <c r="AI57" i="52"/>
  <c r="AJ57" i="52"/>
  <c r="AA57" i="52"/>
  <c r="AH57" i="52"/>
  <c r="AE57" i="52"/>
  <c r="AL57" i="52"/>
  <c r="AK57" i="52"/>
  <c r="AC57" i="52"/>
  <c r="AD57" i="52"/>
  <c r="AO57" i="52"/>
  <c r="X100" i="52"/>
  <c r="X57" i="52"/>
  <c r="U100" i="52"/>
  <c r="Q100" i="52"/>
  <c r="K100" i="52"/>
  <c r="E100" i="52"/>
  <c r="N100" i="52"/>
  <c r="G100" i="52"/>
  <c r="T100" i="52"/>
  <c r="M100" i="52"/>
  <c r="F100" i="52"/>
  <c r="A101" i="52"/>
  <c r="J100" i="52"/>
  <c r="S100" i="52"/>
  <c r="D100" i="52"/>
  <c r="R100" i="52"/>
  <c r="L100" i="52"/>
  <c r="C100" i="52"/>
  <c r="AJ100" i="52"/>
  <c r="AL100" i="52"/>
  <c r="AA100" i="52"/>
  <c r="AI100" i="52"/>
  <c r="AB100" i="52"/>
  <c r="AE100" i="52"/>
  <c r="AC100" i="52"/>
  <c r="AD100" i="52"/>
  <c r="AH100" i="52"/>
  <c r="AK100" i="52"/>
  <c r="X17" i="52"/>
  <c r="AO100" i="52"/>
  <c r="AO16" i="52"/>
  <c r="S58" i="52" l="1"/>
  <c r="M58" i="52"/>
  <c r="D58" i="52"/>
  <c r="R58" i="52"/>
  <c r="L58" i="52"/>
  <c r="E58" i="52"/>
  <c r="U58" i="52"/>
  <c r="Q58" i="52"/>
  <c r="K58" i="52"/>
  <c r="F58" i="52"/>
  <c r="T58" i="52"/>
  <c r="N58" i="52"/>
  <c r="J58" i="52"/>
  <c r="C58" i="52"/>
  <c r="G58" i="52"/>
  <c r="AJ58" i="52"/>
  <c r="AI58" i="52"/>
  <c r="AA58" i="52"/>
  <c r="AB58" i="52"/>
  <c r="AE58" i="52"/>
  <c r="AH58" i="52"/>
  <c r="AD58" i="52"/>
  <c r="AK58" i="52"/>
  <c r="AL58" i="52"/>
  <c r="AC58" i="52"/>
  <c r="AO58" i="52"/>
  <c r="X58" i="52"/>
  <c r="X59" i="52"/>
  <c r="X101" i="52"/>
  <c r="AO101" i="52"/>
  <c r="AO17" i="52"/>
  <c r="AO59" i="52" s="1"/>
  <c r="X18" i="52"/>
  <c r="U101" i="52"/>
  <c r="Q101" i="52"/>
  <c r="K101" i="52"/>
  <c r="E101" i="52"/>
  <c r="T101" i="52"/>
  <c r="M101" i="52"/>
  <c r="F101" i="52"/>
  <c r="A102" i="52"/>
  <c r="S101" i="52"/>
  <c r="L101" i="52"/>
  <c r="D101" i="52"/>
  <c r="N101" i="52"/>
  <c r="J101" i="52"/>
  <c r="G101" i="52"/>
  <c r="C101" i="52"/>
  <c r="R101" i="52"/>
  <c r="AL101" i="52"/>
  <c r="AA101" i="52"/>
  <c r="AC101" i="52"/>
  <c r="AE101" i="52"/>
  <c r="AB101" i="52"/>
  <c r="AJ101" i="52"/>
  <c r="AI101" i="52"/>
  <c r="AK101" i="52"/>
  <c r="AH101" i="52"/>
  <c r="AD101" i="52"/>
  <c r="R59" i="52" l="1"/>
  <c r="L59" i="52"/>
  <c r="C59" i="52"/>
  <c r="G59" i="52"/>
  <c r="U59" i="52"/>
  <c r="Q59" i="52"/>
  <c r="K59" i="52"/>
  <c r="D59" i="52"/>
  <c r="T59" i="52"/>
  <c r="N59" i="52"/>
  <c r="J59" i="52"/>
  <c r="E59" i="52"/>
  <c r="S59" i="52"/>
  <c r="M59" i="52"/>
  <c r="F59" i="52"/>
  <c r="AC59" i="52"/>
  <c r="AD59" i="52"/>
  <c r="AB59" i="52"/>
  <c r="AI59" i="52"/>
  <c r="AJ59" i="52"/>
  <c r="AA59" i="52"/>
  <c r="AH59" i="52"/>
  <c r="AE59" i="52"/>
  <c r="AL59" i="52"/>
  <c r="AK59" i="52"/>
  <c r="X60" i="52"/>
  <c r="X103" i="52"/>
  <c r="X102" i="52"/>
  <c r="X19" i="52"/>
  <c r="S102" i="52"/>
  <c r="M102" i="52"/>
  <c r="G102" i="52"/>
  <c r="C102" i="52"/>
  <c r="U102" i="52"/>
  <c r="Q102" i="52"/>
  <c r="K102" i="52"/>
  <c r="E102" i="52"/>
  <c r="N102" i="52"/>
  <c r="D102" i="52"/>
  <c r="L102" i="52"/>
  <c r="A103" i="52"/>
  <c r="R102" i="52"/>
  <c r="J102" i="52"/>
  <c r="F102" i="52"/>
  <c r="AD102" i="52"/>
  <c r="T102" i="52"/>
  <c r="AA102" i="52"/>
  <c r="AL102" i="52"/>
  <c r="AJ102" i="52"/>
  <c r="AE102" i="52"/>
  <c r="AK102" i="52"/>
  <c r="AB102" i="52"/>
  <c r="AC102" i="52"/>
  <c r="AH102" i="52"/>
  <c r="AI102" i="52"/>
  <c r="AO102" i="52"/>
  <c r="AO18" i="52"/>
  <c r="AO60" i="52" s="1"/>
  <c r="U60" i="52" l="1"/>
  <c r="Q60" i="52"/>
  <c r="K60" i="52"/>
  <c r="F60" i="52"/>
  <c r="T60" i="52"/>
  <c r="N60" i="52"/>
  <c r="J60" i="52"/>
  <c r="C60" i="52"/>
  <c r="G60" i="52"/>
  <c r="S60" i="52"/>
  <c r="M60" i="52"/>
  <c r="D60" i="52"/>
  <c r="R60" i="52"/>
  <c r="L60" i="52"/>
  <c r="E60" i="52"/>
  <c r="AD60" i="52"/>
  <c r="AK60" i="52"/>
  <c r="AL60" i="52"/>
  <c r="AC60" i="52"/>
  <c r="AI60" i="52"/>
  <c r="AJ60" i="52"/>
  <c r="AA60" i="52"/>
  <c r="AB60" i="52"/>
  <c r="AE60" i="52"/>
  <c r="AH60" i="52"/>
  <c r="X61" i="52"/>
  <c r="X20" i="52"/>
  <c r="AO103" i="52"/>
  <c r="AO19" i="52"/>
  <c r="AO61" i="52" s="1"/>
  <c r="S103" i="52"/>
  <c r="M103" i="52"/>
  <c r="G103" i="52"/>
  <c r="C103" i="52"/>
  <c r="U103" i="52"/>
  <c r="Q103" i="52"/>
  <c r="K103" i="52"/>
  <c r="E103" i="52"/>
  <c r="T103" i="52"/>
  <c r="J103" i="52"/>
  <c r="A104" i="52"/>
  <c r="X104" i="52" s="1"/>
  <c r="R103" i="52"/>
  <c r="F103" i="52"/>
  <c r="N103" i="52"/>
  <c r="L103" i="52"/>
  <c r="D103" i="52"/>
  <c r="AJ103" i="52"/>
  <c r="AE103" i="52"/>
  <c r="AL103" i="52"/>
  <c r="AC103" i="52"/>
  <c r="AB103" i="52"/>
  <c r="AK103" i="52"/>
  <c r="AI103" i="52"/>
  <c r="AD103" i="52"/>
  <c r="AH103" i="52"/>
  <c r="AA103" i="52"/>
  <c r="T61" i="52" l="1"/>
  <c r="N61" i="52"/>
  <c r="J61" i="52"/>
  <c r="E61" i="52"/>
  <c r="S61" i="52"/>
  <c r="M61" i="52"/>
  <c r="F61" i="52"/>
  <c r="R61" i="52"/>
  <c r="L61" i="52"/>
  <c r="C61" i="52"/>
  <c r="G61" i="52"/>
  <c r="U61" i="52"/>
  <c r="Q61" i="52"/>
  <c r="K61" i="52"/>
  <c r="D61" i="52"/>
  <c r="AL61" i="52"/>
  <c r="AK61" i="52"/>
  <c r="AC61" i="52"/>
  <c r="AD61" i="52"/>
  <c r="AB61" i="52"/>
  <c r="AI61" i="52"/>
  <c r="AJ61" i="52"/>
  <c r="AA61" i="52"/>
  <c r="AH61" i="52"/>
  <c r="AE61" i="52"/>
  <c r="X21" i="52"/>
  <c r="S104" i="52"/>
  <c r="M104" i="52"/>
  <c r="G104" i="52"/>
  <c r="C104" i="52"/>
  <c r="U104" i="52"/>
  <c r="Q104" i="52"/>
  <c r="K104" i="52"/>
  <c r="E104" i="52"/>
  <c r="N104" i="52"/>
  <c r="D104" i="52"/>
  <c r="L104" i="52"/>
  <c r="F104" i="52"/>
  <c r="T104" i="52"/>
  <c r="R104" i="52"/>
  <c r="J104" i="52"/>
  <c r="A105" i="52"/>
  <c r="AH104" i="52"/>
  <c r="AE104" i="52"/>
  <c r="AI104" i="52"/>
  <c r="AD104" i="52"/>
  <c r="AK104" i="52"/>
  <c r="AB104" i="52"/>
  <c r="AA104" i="52"/>
  <c r="AL104" i="52"/>
  <c r="AC104" i="52"/>
  <c r="AJ104" i="52"/>
  <c r="AO104" i="52"/>
  <c r="AO20" i="52"/>
  <c r="AO62" i="52" s="1"/>
  <c r="S62" i="52" l="1"/>
  <c r="M62" i="52"/>
  <c r="D62" i="52"/>
  <c r="R62" i="52"/>
  <c r="L62" i="52"/>
  <c r="E62" i="52"/>
  <c r="U62" i="52"/>
  <c r="Q62" i="52"/>
  <c r="K62" i="52"/>
  <c r="F62" i="52"/>
  <c r="T62" i="52"/>
  <c r="N62" i="52"/>
  <c r="J62" i="52"/>
  <c r="C62" i="52"/>
  <c r="G62" i="52"/>
  <c r="AE62" i="52"/>
  <c r="AH62" i="52"/>
  <c r="AD62" i="52"/>
  <c r="AK62" i="52"/>
  <c r="AL62" i="52"/>
  <c r="AC62" i="52"/>
  <c r="AJ62" i="52"/>
  <c r="AI62" i="52"/>
  <c r="AA62" i="52"/>
  <c r="AB62" i="52"/>
  <c r="X62" i="52"/>
  <c r="X105" i="52"/>
  <c r="S105" i="52"/>
  <c r="M105" i="52"/>
  <c r="G105" i="52"/>
  <c r="C105" i="52"/>
  <c r="U105" i="52"/>
  <c r="Q105" i="52"/>
  <c r="K105" i="52"/>
  <c r="E105" i="52"/>
  <c r="T105" i="52"/>
  <c r="J105" i="52"/>
  <c r="A106" i="52"/>
  <c r="R105" i="52"/>
  <c r="F105" i="52"/>
  <c r="L105" i="52"/>
  <c r="D105" i="52"/>
  <c r="N105" i="52"/>
  <c r="AK105" i="52"/>
  <c r="AC105" i="52"/>
  <c r="AI105" i="52"/>
  <c r="AE105" i="52"/>
  <c r="AH105" i="52"/>
  <c r="AJ105" i="52"/>
  <c r="AD105" i="52"/>
  <c r="AL105" i="52"/>
  <c r="AA105" i="52"/>
  <c r="AB105" i="52"/>
  <c r="AO105" i="52"/>
  <c r="AO21" i="52"/>
  <c r="X22" i="52"/>
  <c r="R63" i="52" l="1"/>
  <c r="L63" i="52"/>
  <c r="C63" i="52"/>
  <c r="G63" i="52"/>
  <c r="U63" i="52"/>
  <c r="Q63" i="52"/>
  <c r="K63" i="52"/>
  <c r="D63" i="52"/>
  <c r="T63" i="52"/>
  <c r="N63" i="52"/>
  <c r="J63" i="52"/>
  <c r="E63" i="52"/>
  <c r="S63" i="52"/>
  <c r="M63" i="52"/>
  <c r="F63" i="52"/>
  <c r="AH63" i="52"/>
  <c r="AE63" i="52"/>
  <c r="AK63" i="52"/>
  <c r="AL63" i="52"/>
  <c r="AC63" i="52"/>
  <c r="AD63" i="52"/>
  <c r="AB63" i="52"/>
  <c r="AI63" i="52"/>
  <c r="AJ63" i="52"/>
  <c r="AA63" i="52"/>
  <c r="X106" i="52"/>
  <c r="AO63" i="52"/>
  <c r="X63" i="52"/>
  <c r="S106" i="52"/>
  <c r="M106" i="52"/>
  <c r="G106" i="52"/>
  <c r="C106" i="52"/>
  <c r="U106" i="52"/>
  <c r="Q106" i="52"/>
  <c r="K106" i="52"/>
  <c r="E106" i="52"/>
  <c r="N106" i="52"/>
  <c r="D106" i="52"/>
  <c r="L106" i="52"/>
  <c r="A107" i="52"/>
  <c r="X107" i="52" s="1"/>
  <c r="R106" i="52"/>
  <c r="J106" i="52"/>
  <c r="AD106" i="52"/>
  <c r="T106" i="52"/>
  <c r="F106" i="52"/>
  <c r="AK106" i="52"/>
  <c r="AB106" i="52"/>
  <c r="AJ106" i="52"/>
  <c r="AE106" i="52"/>
  <c r="AH106" i="52"/>
  <c r="AI106" i="52"/>
  <c r="AA106" i="52"/>
  <c r="AL106" i="52"/>
  <c r="AC106" i="52"/>
  <c r="AO106" i="52"/>
  <c r="AO22" i="52"/>
  <c r="AO64" i="52" s="1"/>
  <c r="X23" i="52"/>
  <c r="U64" i="52" l="1"/>
  <c r="Q64" i="52"/>
  <c r="K64" i="52"/>
  <c r="F64" i="52"/>
  <c r="T64" i="52"/>
  <c r="N64" i="52"/>
  <c r="J64" i="52"/>
  <c r="C64" i="52"/>
  <c r="G64" i="52"/>
  <c r="S64" i="52"/>
  <c r="M64" i="52"/>
  <c r="D64" i="52"/>
  <c r="R64" i="52"/>
  <c r="L64" i="52"/>
  <c r="E64" i="52"/>
  <c r="AA64" i="52"/>
  <c r="AB64" i="52"/>
  <c r="AE64" i="52"/>
  <c r="AH64" i="52"/>
  <c r="AD64" i="52"/>
  <c r="AK64" i="52"/>
  <c r="AL64" i="52"/>
  <c r="AC64" i="52"/>
  <c r="AJ64" i="52"/>
  <c r="AI64" i="52"/>
  <c r="X64" i="52"/>
  <c r="X24" i="52"/>
  <c r="AO107" i="52"/>
  <c r="AO23" i="52"/>
  <c r="S107" i="52"/>
  <c r="M107" i="52"/>
  <c r="G107" i="52"/>
  <c r="C107" i="52"/>
  <c r="U107" i="52"/>
  <c r="Q107" i="52"/>
  <c r="K107" i="52"/>
  <c r="E107" i="52"/>
  <c r="T107" i="52"/>
  <c r="J107" i="52"/>
  <c r="A108" i="52"/>
  <c r="R107" i="52"/>
  <c r="F107" i="52"/>
  <c r="N107" i="52"/>
  <c r="AJ107" i="52"/>
  <c r="L107" i="52"/>
  <c r="D107" i="52"/>
  <c r="AH107" i="52"/>
  <c r="AC107" i="52"/>
  <c r="AA107" i="52"/>
  <c r="AL107" i="52"/>
  <c r="AI107" i="52"/>
  <c r="AD107" i="52"/>
  <c r="AE107" i="52"/>
  <c r="AB107" i="52"/>
  <c r="AK107" i="52"/>
  <c r="AO65" i="52" l="1"/>
  <c r="T65" i="52"/>
  <c r="N65" i="52"/>
  <c r="J65" i="52"/>
  <c r="E65" i="52"/>
  <c r="S65" i="52"/>
  <c r="M65" i="52"/>
  <c r="F65" i="52"/>
  <c r="R65" i="52"/>
  <c r="L65" i="52"/>
  <c r="C65" i="52"/>
  <c r="G65" i="52"/>
  <c r="U65" i="52"/>
  <c r="Q65" i="52"/>
  <c r="K65" i="52"/>
  <c r="D65" i="52"/>
  <c r="AB65" i="52"/>
  <c r="AI65" i="52"/>
  <c r="AJ65" i="52"/>
  <c r="AA65" i="52"/>
  <c r="AH65" i="52"/>
  <c r="AE65" i="52"/>
  <c r="AL65" i="52"/>
  <c r="AK65" i="52"/>
  <c r="AC65" i="52"/>
  <c r="AD65" i="52"/>
  <c r="X108" i="52"/>
  <c r="X109" i="52"/>
  <c r="X65" i="52"/>
  <c r="X25" i="52"/>
  <c r="S108" i="52"/>
  <c r="M108" i="52"/>
  <c r="G108" i="52"/>
  <c r="C108" i="52"/>
  <c r="U108" i="52"/>
  <c r="Q108" i="52"/>
  <c r="K108" i="52"/>
  <c r="E108" i="52"/>
  <c r="N108" i="52"/>
  <c r="D108" i="52"/>
  <c r="L108" i="52"/>
  <c r="F108" i="52"/>
  <c r="T108" i="52"/>
  <c r="A109" i="52"/>
  <c r="R108" i="52"/>
  <c r="J108" i="52"/>
  <c r="AL108" i="52"/>
  <c r="AB108" i="52"/>
  <c r="AH108" i="52"/>
  <c r="AA108" i="52"/>
  <c r="AD108" i="52"/>
  <c r="AE108" i="52"/>
  <c r="AC108" i="52"/>
  <c r="AJ108" i="52"/>
  <c r="AK108" i="52"/>
  <c r="AI108" i="52"/>
  <c r="AO108" i="52"/>
  <c r="AO24" i="52"/>
  <c r="AO66" i="52" s="1"/>
  <c r="S66" i="52" l="1"/>
  <c r="M66" i="52"/>
  <c r="D66" i="52"/>
  <c r="R66" i="52"/>
  <c r="L66" i="52"/>
  <c r="E66" i="52"/>
  <c r="U66" i="52"/>
  <c r="Q66" i="52"/>
  <c r="K66" i="52"/>
  <c r="F66" i="52"/>
  <c r="T66" i="52"/>
  <c r="N66" i="52"/>
  <c r="J66" i="52"/>
  <c r="C66" i="52"/>
  <c r="G66" i="52"/>
  <c r="AJ66" i="52"/>
  <c r="AI66" i="52"/>
  <c r="AA66" i="52"/>
  <c r="AB66" i="52"/>
  <c r="AE66" i="52"/>
  <c r="AH66" i="52"/>
  <c r="AD66" i="52"/>
  <c r="AK66" i="52"/>
  <c r="AL66" i="52"/>
  <c r="AC66" i="52"/>
  <c r="X66" i="52"/>
  <c r="AO109" i="52"/>
  <c r="AO25" i="52"/>
  <c r="AO67" i="52" s="1"/>
  <c r="S109" i="52"/>
  <c r="M109" i="52"/>
  <c r="G109" i="52"/>
  <c r="C109" i="52"/>
  <c r="U109" i="52"/>
  <c r="Q109" i="52"/>
  <c r="K109" i="52"/>
  <c r="E109" i="52"/>
  <c r="T109" i="52"/>
  <c r="J109" i="52"/>
  <c r="A110" i="52"/>
  <c r="X110" i="52" s="1"/>
  <c r="R109" i="52"/>
  <c r="F109" i="52"/>
  <c r="L109" i="52"/>
  <c r="D109" i="52"/>
  <c r="N109" i="52"/>
  <c r="AL109" i="52"/>
  <c r="AA109" i="52"/>
  <c r="AH109" i="52"/>
  <c r="AC109" i="52"/>
  <c r="AD109" i="52"/>
  <c r="AE109" i="52"/>
  <c r="AJ109" i="52"/>
  <c r="AI109" i="52"/>
  <c r="AK109" i="52"/>
  <c r="AB109" i="52"/>
  <c r="X26" i="52"/>
  <c r="R67" i="52" l="1"/>
  <c r="L67" i="52"/>
  <c r="C67" i="52"/>
  <c r="G67" i="52"/>
  <c r="U67" i="52"/>
  <c r="Q67" i="52"/>
  <c r="K67" i="52"/>
  <c r="D67" i="52"/>
  <c r="T67" i="52"/>
  <c r="N67" i="52"/>
  <c r="J67" i="52"/>
  <c r="E67" i="52"/>
  <c r="S67" i="52"/>
  <c r="M67" i="52"/>
  <c r="F67" i="52"/>
  <c r="AC67" i="52"/>
  <c r="AD67" i="52"/>
  <c r="AA67" i="52"/>
  <c r="AB67" i="52"/>
  <c r="AI67" i="52"/>
  <c r="AJ67" i="52"/>
  <c r="AH67" i="52"/>
  <c r="AE67" i="52"/>
  <c r="AL67" i="52"/>
  <c r="AK67" i="52"/>
  <c r="X67" i="52"/>
  <c r="S110" i="52"/>
  <c r="M110" i="52"/>
  <c r="G110" i="52"/>
  <c r="C110" i="52"/>
  <c r="U110" i="52"/>
  <c r="Q110" i="52"/>
  <c r="K110" i="52"/>
  <c r="E110" i="52"/>
  <c r="N110" i="52"/>
  <c r="D110" i="52"/>
  <c r="L110" i="52"/>
  <c r="A111" i="52"/>
  <c r="R110" i="52"/>
  <c r="AH110" i="52"/>
  <c r="J110" i="52"/>
  <c r="F110" i="52"/>
  <c r="AD110" i="52"/>
  <c r="T110" i="52"/>
  <c r="AA110" i="52"/>
  <c r="AJ110" i="52"/>
  <c r="AI110" i="52"/>
  <c r="AE110" i="52"/>
  <c r="AK110" i="52"/>
  <c r="AB110" i="52"/>
  <c r="AC110" i="52"/>
  <c r="AL110" i="52"/>
  <c r="X27" i="52"/>
  <c r="AO110" i="52"/>
  <c r="AO26" i="52"/>
  <c r="U68" i="52" l="1"/>
  <c r="Q68" i="52"/>
  <c r="K68" i="52"/>
  <c r="F68" i="52"/>
  <c r="T68" i="52"/>
  <c r="N68" i="52"/>
  <c r="J68" i="52"/>
  <c r="C68" i="52"/>
  <c r="G68" i="52"/>
  <c r="S68" i="52"/>
  <c r="M68" i="52"/>
  <c r="D68" i="52"/>
  <c r="R68" i="52"/>
  <c r="L68" i="52"/>
  <c r="E68" i="52"/>
  <c r="AD68" i="52"/>
  <c r="AK68" i="52"/>
  <c r="AL68" i="52"/>
  <c r="AC68" i="52"/>
  <c r="AJ68" i="52"/>
  <c r="AI68" i="52"/>
  <c r="AA68" i="52"/>
  <c r="AB68" i="52"/>
  <c r="AE68" i="52"/>
  <c r="AH68" i="52"/>
  <c r="X111" i="52"/>
  <c r="AO68" i="52"/>
  <c r="X68" i="52"/>
  <c r="AO111" i="52"/>
  <c r="AO27" i="52"/>
  <c r="X28" i="52"/>
  <c r="S111" i="52"/>
  <c r="M111" i="52"/>
  <c r="G111" i="52"/>
  <c r="C111" i="52"/>
  <c r="U111" i="52"/>
  <c r="Q111" i="52"/>
  <c r="K111" i="52"/>
  <c r="E111" i="52"/>
  <c r="T111" i="52"/>
  <c r="J111" i="52"/>
  <c r="A112" i="52"/>
  <c r="X112" i="52" s="1"/>
  <c r="R111" i="52"/>
  <c r="F111" i="52"/>
  <c r="AL111" i="52"/>
  <c r="N111" i="52"/>
  <c r="L111" i="52"/>
  <c r="D111" i="52"/>
  <c r="AJ111" i="52"/>
  <c r="AB111" i="52"/>
  <c r="AE111" i="52"/>
  <c r="AC111" i="52"/>
  <c r="AK111" i="52"/>
  <c r="AH111" i="52"/>
  <c r="AI111" i="52"/>
  <c r="AD111" i="52"/>
  <c r="AA111" i="52"/>
  <c r="AO69" i="52" l="1"/>
  <c r="T69" i="52"/>
  <c r="N69" i="52"/>
  <c r="J69" i="52"/>
  <c r="E69" i="52"/>
  <c r="S69" i="52"/>
  <c r="M69" i="52"/>
  <c r="F69" i="52"/>
  <c r="R69" i="52"/>
  <c r="L69" i="52"/>
  <c r="C69" i="52"/>
  <c r="G69" i="52"/>
  <c r="U69" i="52"/>
  <c r="Q69" i="52"/>
  <c r="K69" i="52"/>
  <c r="D69" i="52"/>
  <c r="AL69" i="52"/>
  <c r="AK69" i="52"/>
  <c r="AC69" i="52"/>
  <c r="AD69" i="52"/>
  <c r="AB69" i="52"/>
  <c r="AI69" i="52"/>
  <c r="AJ69" i="52"/>
  <c r="AA69" i="52"/>
  <c r="AH69" i="52"/>
  <c r="AE69" i="52"/>
  <c r="X69" i="52"/>
  <c r="X29" i="52"/>
  <c r="AO112" i="52"/>
  <c r="AO28" i="52"/>
  <c r="S112" i="52"/>
  <c r="M112" i="52"/>
  <c r="G112" i="52"/>
  <c r="C112" i="52"/>
  <c r="U112" i="52"/>
  <c r="Q112" i="52"/>
  <c r="K112" i="52"/>
  <c r="E112" i="52"/>
  <c r="N112" i="52"/>
  <c r="D112" i="52"/>
  <c r="L112" i="52"/>
  <c r="F112" i="52"/>
  <c r="T112" i="52"/>
  <c r="R112" i="52"/>
  <c r="J112" i="52"/>
  <c r="A113" i="52"/>
  <c r="X113" i="52" s="1"/>
  <c r="AH112" i="52"/>
  <c r="AE112" i="52"/>
  <c r="AB112" i="52"/>
  <c r="AL112" i="52"/>
  <c r="AK112" i="52"/>
  <c r="AA112" i="52"/>
  <c r="AI112" i="52"/>
  <c r="AD112" i="52"/>
  <c r="AC112" i="52"/>
  <c r="AJ112" i="52"/>
  <c r="AO70" i="52" l="1"/>
  <c r="S70" i="52"/>
  <c r="M70" i="52"/>
  <c r="D70" i="52"/>
  <c r="R70" i="52"/>
  <c r="L70" i="52"/>
  <c r="E70" i="52"/>
  <c r="U70" i="52"/>
  <c r="Q70" i="52"/>
  <c r="K70" i="52"/>
  <c r="F70" i="52"/>
  <c r="T70" i="52"/>
  <c r="N70" i="52"/>
  <c r="J70" i="52"/>
  <c r="C70" i="52"/>
  <c r="G70" i="52"/>
  <c r="AE70" i="52"/>
  <c r="AH70" i="52"/>
  <c r="AC70" i="52"/>
  <c r="AD70" i="52"/>
  <c r="AK70" i="52"/>
  <c r="AL70" i="52"/>
  <c r="AJ70" i="52"/>
  <c r="AI70" i="52"/>
  <c r="AA70" i="52"/>
  <c r="AB70" i="52"/>
  <c r="X70" i="52"/>
  <c r="S113" i="52"/>
  <c r="M113" i="52"/>
  <c r="G113" i="52"/>
  <c r="C113" i="52"/>
  <c r="U113" i="52"/>
  <c r="Q113" i="52"/>
  <c r="K113" i="52"/>
  <c r="E113" i="52"/>
  <c r="T113" i="52"/>
  <c r="J113" i="52"/>
  <c r="A114" i="52"/>
  <c r="R113" i="52"/>
  <c r="F113" i="52"/>
  <c r="L113" i="52"/>
  <c r="AB113" i="52"/>
  <c r="D113" i="52"/>
  <c r="N113" i="52"/>
  <c r="AL113" i="52"/>
  <c r="AC113" i="52"/>
  <c r="AK113" i="52"/>
  <c r="AH113" i="52"/>
  <c r="AI113" i="52"/>
  <c r="AJ113" i="52"/>
  <c r="AA113" i="52"/>
  <c r="AD113" i="52"/>
  <c r="AE113" i="52"/>
  <c r="AO113" i="52"/>
  <c r="AO29" i="52"/>
  <c r="X30" i="52"/>
  <c r="R71" i="52" l="1"/>
  <c r="L71" i="52"/>
  <c r="C71" i="52"/>
  <c r="G71" i="52"/>
  <c r="U71" i="52"/>
  <c r="Q71" i="52"/>
  <c r="K71" i="52"/>
  <c r="D71" i="52"/>
  <c r="T71" i="52"/>
  <c r="N71" i="52"/>
  <c r="J71" i="52"/>
  <c r="E71" i="52"/>
  <c r="S71" i="52"/>
  <c r="M71" i="52"/>
  <c r="F71" i="52"/>
  <c r="AH71" i="52"/>
  <c r="AE71" i="52"/>
  <c r="AL71" i="52"/>
  <c r="AK71" i="52"/>
  <c r="AC71" i="52"/>
  <c r="AD71" i="52"/>
  <c r="AB71" i="52"/>
  <c r="AI71" i="52"/>
  <c r="AJ71" i="52"/>
  <c r="AA71" i="52"/>
  <c r="X114" i="52"/>
  <c r="X71" i="52"/>
  <c r="AO71" i="52"/>
  <c r="AO114" i="52"/>
  <c r="AO30" i="52"/>
  <c r="S114" i="52"/>
  <c r="M114" i="52"/>
  <c r="G114" i="52"/>
  <c r="C114" i="52"/>
  <c r="U114" i="52"/>
  <c r="Q114" i="52"/>
  <c r="K114" i="52"/>
  <c r="E114" i="52"/>
  <c r="N114" i="52"/>
  <c r="D114" i="52"/>
  <c r="L114" i="52"/>
  <c r="A115" i="52"/>
  <c r="R114" i="52"/>
  <c r="AH114" i="52"/>
  <c r="J114" i="52"/>
  <c r="AD114" i="52"/>
  <c r="T114" i="52"/>
  <c r="F114" i="52"/>
  <c r="AL114" i="52"/>
  <c r="AJ114" i="52"/>
  <c r="AK114" i="52"/>
  <c r="AA114" i="52"/>
  <c r="AB114" i="52"/>
  <c r="AC114" i="52"/>
  <c r="AE114" i="52"/>
  <c r="AI114" i="52"/>
  <c r="X31" i="52"/>
  <c r="AO72" i="52" l="1"/>
  <c r="U72" i="52"/>
  <c r="Q72" i="52"/>
  <c r="K72" i="52"/>
  <c r="F72" i="52"/>
  <c r="T72" i="52"/>
  <c r="N72" i="52"/>
  <c r="J72" i="52"/>
  <c r="C72" i="52"/>
  <c r="G72" i="52"/>
  <c r="S72" i="52"/>
  <c r="M72" i="52"/>
  <c r="D72" i="52"/>
  <c r="R72" i="52"/>
  <c r="L72" i="52"/>
  <c r="E72" i="52"/>
  <c r="AA72" i="52"/>
  <c r="AB72" i="52"/>
  <c r="AE72" i="52"/>
  <c r="AH72" i="52"/>
  <c r="AD72" i="52"/>
  <c r="AK72" i="52"/>
  <c r="AL72" i="52"/>
  <c r="AC72" i="52"/>
  <c r="AJ72" i="52"/>
  <c r="AI72" i="52"/>
  <c r="X72" i="52"/>
  <c r="X115" i="52"/>
  <c r="X32" i="52"/>
  <c r="AO115" i="52"/>
  <c r="AO31" i="52"/>
  <c r="S115" i="52"/>
  <c r="M115" i="52"/>
  <c r="G115" i="52"/>
  <c r="C115" i="52"/>
  <c r="U115" i="52"/>
  <c r="Q115" i="52"/>
  <c r="K115" i="52"/>
  <c r="E115" i="52"/>
  <c r="T115" i="52"/>
  <c r="J115" i="52"/>
  <c r="A116" i="52"/>
  <c r="R115" i="52"/>
  <c r="F115" i="52"/>
  <c r="AL115" i="52"/>
  <c r="N115" i="52"/>
  <c r="AJ115" i="52"/>
  <c r="AB115" i="52"/>
  <c r="L115" i="52"/>
  <c r="D115" i="52"/>
  <c r="AH115" i="52"/>
  <c r="AC115" i="52"/>
  <c r="AA115" i="52"/>
  <c r="AI115" i="52"/>
  <c r="AD115" i="52"/>
  <c r="AE115" i="52"/>
  <c r="AK115" i="52"/>
  <c r="T73" i="52" l="1"/>
  <c r="N73" i="52"/>
  <c r="J73" i="52"/>
  <c r="E73" i="52"/>
  <c r="S73" i="52"/>
  <c r="M73" i="52"/>
  <c r="F73" i="52"/>
  <c r="R73" i="52"/>
  <c r="L73" i="52"/>
  <c r="C73" i="52"/>
  <c r="G73" i="52"/>
  <c r="U73" i="52"/>
  <c r="Q73" i="52"/>
  <c r="K73" i="52"/>
  <c r="D73" i="52"/>
  <c r="AB73" i="52"/>
  <c r="AI73" i="52"/>
  <c r="AJ73" i="52"/>
  <c r="AA73" i="52"/>
  <c r="AE73" i="52"/>
  <c r="AH73" i="52"/>
  <c r="AL73" i="52"/>
  <c r="AK73" i="52"/>
  <c r="AC73" i="52"/>
  <c r="AD73" i="52"/>
  <c r="X116" i="52"/>
  <c r="X73" i="52"/>
  <c r="AO73" i="52"/>
  <c r="AO116" i="52"/>
  <c r="AO32" i="52"/>
  <c r="AO74" i="52" s="1"/>
  <c r="S116" i="52"/>
  <c r="M116" i="52"/>
  <c r="G116" i="52"/>
  <c r="C116" i="52"/>
  <c r="U116" i="52"/>
  <c r="Q116" i="52"/>
  <c r="K116" i="52"/>
  <c r="E116" i="52"/>
  <c r="N116" i="52"/>
  <c r="D116" i="52"/>
  <c r="L116" i="52"/>
  <c r="F116" i="52"/>
  <c r="T116" i="52"/>
  <c r="A117" i="52"/>
  <c r="X74" i="52" s="1"/>
  <c r="AH116" i="52"/>
  <c r="R116" i="52"/>
  <c r="J116" i="52"/>
  <c r="AE116" i="52"/>
  <c r="AI116" i="52"/>
  <c r="AD116" i="52"/>
  <c r="AB116" i="52"/>
  <c r="AK116" i="52"/>
  <c r="AA116" i="52"/>
  <c r="AL116" i="52"/>
  <c r="AC116" i="52"/>
  <c r="AJ116" i="52"/>
  <c r="X33" i="52"/>
  <c r="S74" i="52" l="1"/>
  <c r="M74" i="52"/>
  <c r="D74" i="52"/>
  <c r="R74" i="52"/>
  <c r="L74" i="52"/>
  <c r="E74" i="52"/>
  <c r="U74" i="52"/>
  <c r="Q74" i="52"/>
  <c r="K74" i="52"/>
  <c r="F74" i="52"/>
  <c r="T74" i="52"/>
  <c r="N74" i="52"/>
  <c r="J74" i="52"/>
  <c r="C74" i="52"/>
  <c r="G74" i="52"/>
  <c r="AJ74" i="52"/>
  <c r="AI74" i="52"/>
  <c r="AA74" i="52"/>
  <c r="AB74" i="52"/>
  <c r="AE74" i="52"/>
  <c r="AH74" i="52"/>
  <c r="AD74" i="52"/>
  <c r="AK74" i="52"/>
  <c r="AL74" i="52"/>
  <c r="AC74" i="52"/>
  <c r="X117" i="52"/>
  <c r="X34" i="52"/>
  <c r="S117" i="52"/>
  <c r="M117" i="52"/>
  <c r="G117" i="52"/>
  <c r="C117" i="52"/>
  <c r="U117" i="52"/>
  <c r="Q117" i="52"/>
  <c r="K117" i="52"/>
  <c r="E117" i="52"/>
  <c r="T117" i="52"/>
  <c r="J117" i="52"/>
  <c r="A118" i="52"/>
  <c r="R117" i="52"/>
  <c r="F117" i="52"/>
  <c r="L117" i="52"/>
  <c r="AB117" i="52"/>
  <c r="D117" i="52"/>
  <c r="AL117" i="52"/>
  <c r="N117" i="52"/>
  <c r="AC117" i="52"/>
  <c r="AK117" i="52"/>
  <c r="AJ117" i="52"/>
  <c r="AD117" i="52"/>
  <c r="AI117" i="52"/>
  <c r="AH117" i="52"/>
  <c r="AA117" i="52"/>
  <c r="AE117" i="52"/>
  <c r="AO117" i="52"/>
  <c r="AO33" i="52"/>
  <c r="R75" i="52" l="1"/>
  <c r="L75" i="52"/>
  <c r="C75" i="52"/>
  <c r="G75" i="52"/>
  <c r="U75" i="52"/>
  <c r="Q75" i="52"/>
  <c r="K75" i="52"/>
  <c r="D75" i="52"/>
  <c r="T75" i="52"/>
  <c r="N75" i="52"/>
  <c r="J75" i="52"/>
  <c r="E75" i="52"/>
  <c r="S75" i="52"/>
  <c r="M75" i="52"/>
  <c r="F75" i="52"/>
  <c r="AC75" i="52"/>
  <c r="AD75" i="52"/>
  <c r="AA75" i="52"/>
  <c r="AB75" i="52"/>
  <c r="AI75" i="52"/>
  <c r="AJ75" i="52"/>
  <c r="AH75" i="52"/>
  <c r="AE75" i="52"/>
  <c r="AL75" i="52"/>
  <c r="AK75" i="52"/>
  <c r="X118" i="52"/>
  <c r="AO75" i="52"/>
  <c r="X76" i="52"/>
  <c r="X75" i="52"/>
  <c r="S118" i="52"/>
  <c r="M118" i="52"/>
  <c r="G118" i="52"/>
  <c r="C118" i="52"/>
  <c r="U118" i="52"/>
  <c r="Q118" i="52"/>
  <c r="K118" i="52"/>
  <c r="E118" i="52"/>
  <c r="N118" i="52"/>
  <c r="D118" i="52"/>
  <c r="L118" i="52"/>
  <c r="A119" i="52"/>
  <c r="R118" i="52"/>
  <c r="AH118" i="52"/>
  <c r="J118" i="52"/>
  <c r="F118" i="52"/>
  <c r="AD118" i="52"/>
  <c r="T118" i="52"/>
  <c r="AB118" i="52"/>
  <c r="AJ118" i="52"/>
  <c r="AK118" i="52"/>
  <c r="AL118" i="52"/>
  <c r="AA118" i="52"/>
  <c r="AI118" i="52"/>
  <c r="AC118" i="52"/>
  <c r="AE118" i="52"/>
  <c r="AO118" i="52"/>
  <c r="AO34" i="52"/>
  <c r="AO76" i="52" s="1"/>
  <c r="X35" i="52"/>
  <c r="U76" i="52" l="1"/>
  <c r="Q76" i="52"/>
  <c r="K76" i="52"/>
  <c r="F76" i="52"/>
  <c r="T76" i="52"/>
  <c r="N76" i="52"/>
  <c r="J76" i="52"/>
  <c r="C76" i="52"/>
  <c r="G76" i="52"/>
  <c r="S76" i="52"/>
  <c r="M76" i="52"/>
  <c r="D76" i="52"/>
  <c r="R76" i="52"/>
  <c r="L76" i="52"/>
  <c r="E76" i="52"/>
  <c r="AD76" i="52"/>
  <c r="AK76" i="52"/>
  <c r="AL76" i="52"/>
  <c r="AC76" i="52"/>
  <c r="AJ76" i="52"/>
  <c r="AI76" i="52"/>
  <c r="AA76" i="52"/>
  <c r="AB76" i="52"/>
  <c r="AE76" i="52"/>
  <c r="AH76" i="52"/>
  <c r="X119" i="52"/>
  <c r="X36" i="52"/>
  <c r="S119" i="52"/>
  <c r="M119" i="52"/>
  <c r="G119" i="52"/>
  <c r="C119" i="52"/>
  <c r="U119" i="52"/>
  <c r="Q119" i="52"/>
  <c r="K119" i="52"/>
  <c r="E119" i="52"/>
  <c r="T119" i="52"/>
  <c r="J119" i="52"/>
  <c r="R119" i="52"/>
  <c r="F119" i="52"/>
  <c r="A120" i="52"/>
  <c r="N119" i="52"/>
  <c r="L119" i="52"/>
  <c r="D119" i="52"/>
  <c r="AL119" i="52"/>
  <c r="AB119" i="52"/>
  <c r="AC119" i="52"/>
  <c r="AA119" i="52"/>
  <c r="AI119" i="52"/>
  <c r="AD119" i="52"/>
  <c r="AE119" i="52"/>
  <c r="AJ119" i="52"/>
  <c r="AK119" i="52"/>
  <c r="AH119" i="52"/>
  <c r="AO119" i="52"/>
  <c r="AO35" i="52"/>
  <c r="T77" i="52" l="1"/>
  <c r="N77" i="52"/>
  <c r="J77" i="52"/>
  <c r="E77" i="52"/>
  <c r="S77" i="52"/>
  <c r="M77" i="52"/>
  <c r="F77" i="52"/>
  <c r="R77" i="52"/>
  <c r="L77" i="52"/>
  <c r="C77" i="52"/>
  <c r="G77" i="52"/>
  <c r="U77" i="52"/>
  <c r="Q77" i="52"/>
  <c r="K77" i="52"/>
  <c r="D77" i="52"/>
  <c r="AL77" i="52"/>
  <c r="AK77" i="52"/>
  <c r="AC77" i="52"/>
  <c r="AD77" i="52"/>
  <c r="AB77" i="52"/>
  <c r="AI77" i="52"/>
  <c r="AJ77" i="52"/>
  <c r="AA77" i="52"/>
  <c r="AH77" i="52"/>
  <c r="AE77" i="52"/>
  <c r="X120" i="52"/>
  <c r="AO77" i="52"/>
  <c r="X121" i="52"/>
  <c r="X77" i="52"/>
  <c r="F120" i="52"/>
  <c r="K120" i="52"/>
  <c r="T120" i="52"/>
  <c r="C120" i="52"/>
  <c r="G120" i="52"/>
  <c r="L120" i="52"/>
  <c r="Q120" i="52"/>
  <c r="U120" i="52"/>
  <c r="A121" i="52"/>
  <c r="D120" i="52"/>
  <c r="M120" i="52"/>
  <c r="R120" i="52"/>
  <c r="E120" i="52"/>
  <c r="J120" i="52"/>
  <c r="N120" i="52"/>
  <c r="S120" i="52"/>
  <c r="AE120" i="52"/>
  <c r="AD120" i="52"/>
  <c r="AA120" i="52"/>
  <c r="AB120" i="52"/>
  <c r="AC120" i="52"/>
  <c r="AO120" i="52"/>
  <c r="AO36" i="52"/>
  <c r="AO78" i="52" s="1"/>
  <c r="X37" i="52"/>
  <c r="AH120" i="52"/>
  <c r="AJ120" i="52"/>
  <c r="AK120" i="52"/>
  <c r="AL120" i="52"/>
  <c r="AI120" i="52"/>
  <c r="S78" i="52" l="1"/>
  <c r="M78" i="52"/>
  <c r="D78" i="52"/>
  <c r="R78" i="52"/>
  <c r="L78" i="52"/>
  <c r="E78" i="52"/>
  <c r="U78" i="52"/>
  <c r="Q78" i="52"/>
  <c r="K78" i="52"/>
  <c r="F78" i="52"/>
  <c r="G78" i="52"/>
  <c r="T78" i="52"/>
  <c r="N78" i="52"/>
  <c r="J78" i="52"/>
  <c r="C78" i="52"/>
  <c r="AC78" i="52"/>
  <c r="AI78" i="52"/>
  <c r="AE78" i="52"/>
  <c r="AD78" i="52"/>
  <c r="AB78" i="52"/>
  <c r="AA78" i="52"/>
  <c r="AH78" i="52"/>
  <c r="AK78" i="52"/>
  <c r="AJ78" i="52"/>
  <c r="AL78" i="52"/>
  <c r="X79" i="52"/>
  <c r="X122" i="52"/>
  <c r="X78" i="52"/>
  <c r="A122" i="52"/>
  <c r="E121" i="52"/>
  <c r="J121" i="52"/>
  <c r="N121" i="52"/>
  <c r="S121" i="52"/>
  <c r="F121" i="52"/>
  <c r="K121" i="52"/>
  <c r="T121" i="52"/>
  <c r="C121" i="52"/>
  <c r="G121" i="52"/>
  <c r="L121" i="52"/>
  <c r="Q121" i="52"/>
  <c r="U121" i="52"/>
  <c r="D121" i="52"/>
  <c r="M121" i="52"/>
  <c r="R121" i="52"/>
  <c r="AK121" i="52"/>
  <c r="AE121" i="52"/>
  <c r="AA121" i="52"/>
  <c r="AB121" i="52"/>
  <c r="AD121" i="52"/>
  <c r="AH121" i="52"/>
  <c r="AC121" i="52"/>
  <c r="AJ121" i="52"/>
  <c r="AL121" i="52"/>
  <c r="AI121" i="52"/>
  <c r="X38" i="52"/>
  <c r="AO37" i="52"/>
  <c r="AO79" i="52" s="1"/>
  <c r="AO121" i="52"/>
  <c r="R79" i="52" l="1"/>
  <c r="L79" i="52"/>
  <c r="C79" i="52"/>
  <c r="G79" i="52"/>
  <c r="U79" i="52"/>
  <c r="Q79" i="52"/>
  <c r="K79" i="52"/>
  <c r="D79" i="52"/>
  <c r="T79" i="52"/>
  <c r="N79" i="52"/>
  <c r="J79" i="52"/>
  <c r="E79" i="52"/>
  <c r="S79" i="52"/>
  <c r="M79" i="52"/>
  <c r="F79" i="52"/>
  <c r="AL79" i="52"/>
  <c r="AC79" i="52"/>
  <c r="AD79" i="52"/>
  <c r="AK79" i="52"/>
  <c r="AE79" i="52"/>
  <c r="AI79" i="52"/>
  <c r="AJ79" i="52"/>
  <c r="AB79" i="52"/>
  <c r="AA79" i="52"/>
  <c r="AH79" i="52"/>
  <c r="A123" i="52"/>
  <c r="D122" i="52"/>
  <c r="M122" i="52"/>
  <c r="R122" i="52"/>
  <c r="E122" i="52"/>
  <c r="J122" i="52"/>
  <c r="N122" i="52"/>
  <c r="S122" i="52"/>
  <c r="F122" i="52"/>
  <c r="K122" i="52"/>
  <c r="T122" i="52"/>
  <c r="C122" i="52"/>
  <c r="G122" i="52"/>
  <c r="L122" i="52"/>
  <c r="Q122" i="52"/>
  <c r="U122" i="52"/>
  <c r="AK122" i="52"/>
  <c r="AL122" i="52"/>
  <c r="AD122" i="52"/>
  <c r="AE122" i="52"/>
  <c r="AJ122" i="52"/>
  <c r="AC122" i="52"/>
  <c r="AB122" i="52"/>
  <c r="AI122" i="52"/>
  <c r="AH122" i="52"/>
  <c r="AA122" i="52"/>
  <c r="AO38" i="52"/>
  <c r="AO122" i="52"/>
  <c r="X39" i="52"/>
  <c r="U80" i="52" l="1"/>
  <c r="Q80" i="52"/>
  <c r="K80" i="52"/>
  <c r="F80" i="52"/>
  <c r="T80" i="52"/>
  <c r="N80" i="52"/>
  <c r="J80" i="52"/>
  <c r="C80" i="52"/>
  <c r="G80" i="52"/>
  <c r="S80" i="52"/>
  <c r="M80" i="52"/>
  <c r="D80" i="52"/>
  <c r="E80" i="52"/>
  <c r="R80" i="52"/>
  <c r="L80" i="52"/>
  <c r="AK80" i="52"/>
  <c r="AL80" i="52"/>
  <c r="AD80" i="52"/>
  <c r="AC80" i="52"/>
  <c r="AJ80" i="52"/>
  <c r="AA80" i="52"/>
  <c r="AB80" i="52"/>
  <c r="AI80" i="52"/>
  <c r="AE80" i="52"/>
  <c r="AH80" i="52"/>
  <c r="X123" i="52"/>
  <c r="AO80" i="52"/>
  <c r="X80" i="52"/>
  <c r="A124" i="52"/>
  <c r="C123" i="52"/>
  <c r="G123" i="52"/>
  <c r="L123" i="52"/>
  <c r="Q123" i="52"/>
  <c r="U123" i="52"/>
  <c r="D123" i="52"/>
  <c r="M123" i="52"/>
  <c r="R123" i="52"/>
  <c r="E123" i="52"/>
  <c r="J123" i="52"/>
  <c r="N123" i="52"/>
  <c r="S123" i="52"/>
  <c r="F123" i="52"/>
  <c r="K123" i="52"/>
  <c r="T123" i="52"/>
  <c r="AJ123" i="52"/>
  <c r="AL123" i="52"/>
  <c r="AA123" i="52"/>
  <c r="AD123" i="52"/>
  <c r="AC123" i="52"/>
  <c r="AE123" i="52"/>
  <c r="AB123" i="52"/>
  <c r="AI123" i="52"/>
  <c r="AH123" i="52"/>
  <c r="AK123" i="52"/>
  <c r="X40" i="52"/>
  <c r="AO39" i="52"/>
  <c r="AO81" i="52" s="1"/>
  <c r="AO123" i="52"/>
  <c r="T81" i="52" l="1"/>
  <c r="N81" i="52"/>
  <c r="J81" i="52"/>
  <c r="E81" i="52"/>
  <c r="F81" i="52"/>
  <c r="S81" i="52"/>
  <c r="M81" i="52"/>
  <c r="R81" i="52"/>
  <c r="L81" i="52"/>
  <c r="C81" i="52"/>
  <c r="G81" i="52"/>
  <c r="U81" i="52"/>
  <c r="Q81" i="52"/>
  <c r="K81" i="52"/>
  <c r="D81" i="52"/>
  <c r="AA81" i="52"/>
  <c r="AH81" i="52"/>
  <c r="AE81" i="52"/>
  <c r="AL81" i="52"/>
  <c r="AC81" i="52"/>
  <c r="AD81" i="52"/>
  <c r="AK81" i="52"/>
  <c r="AI81" i="52"/>
  <c r="AJ81" i="52"/>
  <c r="AB81" i="52"/>
  <c r="X124" i="52"/>
  <c r="X82" i="52"/>
  <c r="X81" i="52"/>
  <c r="A125" i="52"/>
  <c r="X125" i="52" s="1"/>
  <c r="F124" i="52"/>
  <c r="K124" i="52"/>
  <c r="T124" i="52"/>
  <c r="AH124" i="52"/>
  <c r="C124" i="52"/>
  <c r="G124" i="52"/>
  <c r="L124" i="52"/>
  <c r="Q124" i="52"/>
  <c r="U124" i="52"/>
  <c r="D124" i="52"/>
  <c r="M124" i="52"/>
  <c r="R124" i="52"/>
  <c r="E124" i="52"/>
  <c r="J124" i="52"/>
  <c r="N124" i="52"/>
  <c r="S124" i="52"/>
  <c r="AI124" i="52"/>
  <c r="AK124" i="52"/>
  <c r="AD124" i="52"/>
  <c r="AA124" i="52"/>
  <c r="AL124" i="52"/>
  <c r="AJ124" i="52"/>
  <c r="AC124" i="52"/>
  <c r="AE124" i="52"/>
  <c r="AB124" i="52"/>
  <c r="AO40" i="52"/>
  <c r="AO124" i="52"/>
  <c r="AO125" i="52" l="1"/>
  <c r="AO82" i="52"/>
  <c r="S82" i="52"/>
  <c r="M82" i="52"/>
  <c r="D82" i="52"/>
  <c r="R82" i="52"/>
  <c r="L82" i="52"/>
  <c r="E82" i="52"/>
  <c r="G82" i="52"/>
  <c r="U82" i="52"/>
  <c r="Q82" i="52"/>
  <c r="K82" i="52"/>
  <c r="F82" i="52"/>
  <c r="C82" i="52"/>
  <c r="T82" i="52"/>
  <c r="N82" i="52"/>
  <c r="J82" i="52"/>
  <c r="AI82" i="52"/>
  <c r="AE82" i="52"/>
  <c r="AH82" i="52"/>
  <c r="AK82" i="52"/>
  <c r="AL82" i="52"/>
  <c r="AD82" i="52"/>
  <c r="AC82" i="52"/>
  <c r="AJ82" i="52"/>
  <c r="AA82" i="52"/>
  <c r="AB82" i="52"/>
  <c r="E125" i="52"/>
  <c r="J125" i="52"/>
  <c r="N125" i="52"/>
  <c r="S125" i="52"/>
  <c r="AJ125" i="52"/>
  <c r="F125" i="52"/>
  <c r="K125" i="52"/>
  <c r="T125" i="52"/>
  <c r="C125" i="52"/>
  <c r="G125" i="52"/>
  <c r="L125" i="52"/>
  <c r="Q125" i="52"/>
  <c r="U125" i="52"/>
  <c r="D125" i="52"/>
  <c r="M125" i="52"/>
  <c r="R125" i="52"/>
  <c r="AI125" i="52"/>
  <c r="AH125" i="52"/>
  <c r="AA125" i="52"/>
  <c r="AC125" i="52"/>
  <c r="AL125" i="52"/>
  <c r="AE125" i="52"/>
  <c r="AK125" i="52"/>
  <c r="AD125" i="52"/>
  <c r="AB125" i="52"/>
  <c r="D31" i="317" l="1"/>
  <c r="D35" i="317" s="1"/>
  <c r="D19" i="317"/>
  <c r="D23" i="317" s="1"/>
  <c r="D39" i="317" l="1"/>
  <c r="D99" i="260" s="1"/>
  <c r="D95" i="261" s="1"/>
  <c r="D43" i="317"/>
  <c r="D43" i="260" s="1"/>
  <c r="S39" i="317"/>
  <c r="S99" i="260" s="1"/>
  <c r="D110" i="261" s="1"/>
  <c r="N39" i="317"/>
  <c r="N99" i="260" s="1"/>
  <c r="D105" i="261" s="1"/>
  <c r="AJ19" i="317"/>
  <c r="AJ23" i="317" s="1"/>
  <c r="AJ43" i="317" s="1"/>
  <c r="AJ43" i="260" s="1"/>
  <c r="AK19" i="317"/>
  <c r="AK23" i="317" s="1"/>
  <c r="AK43" i="317" s="1"/>
  <c r="AK43" i="260" s="1"/>
  <c r="T19" i="317"/>
  <c r="T23" i="317" s="1"/>
  <c r="T43" i="317" s="1"/>
  <c r="T43" i="260" s="1"/>
  <c r="Z39" i="317"/>
  <c r="Z99" i="260" s="1"/>
  <c r="D117" i="261" s="1"/>
  <c r="R39" i="317"/>
  <c r="R99" i="260" s="1"/>
  <c r="D109" i="261" s="1"/>
  <c r="L39" i="317"/>
  <c r="L99" i="260" s="1"/>
  <c r="D103" i="261" s="1"/>
  <c r="AH19" i="317"/>
  <c r="AH23" i="317" s="1"/>
  <c r="AH43" i="317" s="1"/>
  <c r="AH43" i="260" s="1"/>
  <c r="U39" i="317"/>
  <c r="U99" i="260" s="1"/>
  <c r="D112" i="261" s="1"/>
  <c r="O39" i="317"/>
  <c r="O99" i="260" s="1"/>
  <c r="D106" i="261" s="1"/>
  <c r="H19" i="317"/>
  <c r="H23" i="317" s="1"/>
  <c r="H43" i="317" s="1"/>
  <c r="H43" i="260" s="1"/>
  <c r="Y39" i="317"/>
  <c r="Y99" i="260" s="1"/>
  <c r="D116" i="261" s="1"/>
  <c r="AG39" i="317"/>
  <c r="AG99" i="260" s="1"/>
  <c r="D124" i="261" s="1"/>
  <c r="AC19" i="317"/>
  <c r="AC23" i="317" s="1"/>
  <c r="AC43" i="317" s="1"/>
  <c r="AC43" i="260" s="1"/>
  <c r="K19" i="317"/>
  <c r="K23" i="317" s="1"/>
  <c r="K43" i="317" s="1"/>
  <c r="K43" i="260" s="1"/>
  <c r="AD39" i="317"/>
  <c r="AD99" i="260" s="1"/>
  <c r="D121" i="261" s="1"/>
  <c r="AD19" i="317"/>
  <c r="AD23" i="317" s="1"/>
  <c r="AD43" i="317" s="1"/>
  <c r="AD43" i="260" s="1"/>
  <c r="V19" i="317"/>
  <c r="V23" i="317" s="1"/>
  <c r="V43" i="317" s="1"/>
  <c r="V43" i="260" s="1"/>
  <c r="AI39" i="317"/>
  <c r="AI99" i="260" s="1"/>
  <c r="D126" i="261" s="1"/>
  <c r="AA39" i="317"/>
  <c r="AA99" i="260" s="1"/>
  <c r="D118" i="261" s="1"/>
  <c r="I39" i="317"/>
  <c r="I99" i="260" s="1"/>
  <c r="D100" i="261" s="1"/>
  <c r="P39" i="317"/>
  <c r="P99" i="260" s="1"/>
  <c r="D107" i="261" s="1"/>
  <c r="J39" i="317"/>
  <c r="J99" i="260" s="1"/>
  <c r="D101" i="261" s="1"/>
  <c r="X19" i="317"/>
  <c r="X23" i="317" s="1"/>
  <c r="X43" i="317" s="1"/>
  <c r="X43" i="260" s="1"/>
  <c r="M19" i="317"/>
  <c r="M23" i="317" s="1"/>
  <c r="M43" i="317" s="1"/>
  <c r="M43" i="260" s="1"/>
  <c r="W39" i="317"/>
  <c r="W99" i="260" s="1"/>
  <c r="D114" i="261" s="1"/>
  <c r="W19" i="317"/>
  <c r="W23" i="317" s="1"/>
  <c r="W43" i="317" s="1"/>
  <c r="W43" i="260" s="1"/>
  <c r="Q39" i="317"/>
  <c r="Q99" i="260" s="1"/>
  <c r="D108" i="261" s="1"/>
  <c r="E31" i="317"/>
  <c r="E35" i="317" s="1"/>
  <c r="AE39" i="317"/>
  <c r="AE99" i="260" s="1"/>
  <c r="D122" i="261" s="1"/>
  <c r="AE19" i="317"/>
  <c r="AE23" i="317" s="1"/>
  <c r="AE43" i="317" s="1"/>
  <c r="AE43" i="260" s="1"/>
  <c r="AF39" i="317"/>
  <c r="AF99" i="260" s="1"/>
  <c r="D123" i="261" s="1"/>
  <c r="AB39" i="317"/>
  <c r="AB99" i="260" s="1"/>
  <c r="D119" i="261" s="1"/>
  <c r="D737" i="261" l="1"/>
  <c r="D761" i="261"/>
  <c r="D754" i="261"/>
  <c r="D745" i="261"/>
  <c r="D755" i="261"/>
  <c r="D753" i="261"/>
  <c r="T51" i="260"/>
  <c r="D788" i="261"/>
  <c r="D71" i="261"/>
  <c r="D763" i="261"/>
  <c r="H51" i="260"/>
  <c r="D776" i="261"/>
  <c r="D59" i="261"/>
  <c r="AK51" i="260"/>
  <c r="E48" i="261" s="1"/>
  <c r="G48" i="261" s="1"/>
  <c r="D805" i="261"/>
  <c r="D88" i="261"/>
  <c r="W51" i="260"/>
  <c r="E34" i="261" s="1"/>
  <c r="D791" i="261"/>
  <c r="D74" i="261"/>
  <c r="D751" i="261"/>
  <c r="V51" i="260"/>
  <c r="D790" i="261"/>
  <c r="D73" i="261"/>
  <c r="D743" i="261"/>
  <c r="AJ51" i="260"/>
  <c r="D804" i="261"/>
  <c r="D87" i="261"/>
  <c r="M51" i="260"/>
  <c r="D781" i="261"/>
  <c r="D64" i="261"/>
  <c r="AD51" i="260"/>
  <c r="E41" i="261" s="1"/>
  <c r="D798" i="261"/>
  <c r="D81" i="261"/>
  <c r="D749" i="261"/>
  <c r="D742" i="261"/>
  <c r="X51" i="260"/>
  <c r="D792" i="261"/>
  <c r="D75" i="261"/>
  <c r="D758" i="261"/>
  <c r="AH51" i="260"/>
  <c r="D802" i="261"/>
  <c r="D85" i="261"/>
  <c r="D747" i="261"/>
  <c r="D760" i="261"/>
  <c r="D738" i="261"/>
  <c r="K51" i="260"/>
  <c r="D779" i="261"/>
  <c r="D62" i="261"/>
  <c r="D740" i="261"/>
  <c r="D60" i="260"/>
  <c r="D51" i="260"/>
  <c r="E15" i="261" s="1"/>
  <c r="D772" i="261"/>
  <c r="D55" i="261"/>
  <c r="D756" i="261"/>
  <c r="AE51" i="260"/>
  <c r="E42" i="261" s="1"/>
  <c r="D799" i="261"/>
  <c r="D82" i="261"/>
  <c r="D759" i="261"/>
  <c r="D744" i="261"/>
  <c r="AC51" i="260"/>
  <c r="D797" i="261"/>
  <c r="D80" i="261"/>
  <c r="D746" i="261"/>
  <c r="D732" i="261"/>
  <c r="H77" i="260"/>
  <c r="H85" i="260" s="1"/>
  <c r="H87" i="260" s="1"/>
  <c r="H60" i="260"/>
  <c r="H68" i="260" s="1"/>
  <c r="AK60" i="260"/>
  <c r="AK68" i="260" s="1"/>
  <c r="H48" i="261" s="1"/>
  <c r="J48" i="261" s="1"/>
  <c r="AK77" i="260"/>
  <c r="AK85" i="260" s="1"/>
  <c r="AK87" i="260" s="1"/>
  <c r="V77" i="260"/>
  <c r="V85" i="260" s="1"/>
  <c r="V87" i="260" s="1"/>
  <c r="V60" i="260"/>
  <c r="V68" i="260" s="1"/>
  <c r="AJ77" i="260"/>
  <c r="AJ85" i="260" s="1"/>
  <c r="AJ87" i="260" s="1"/>
  <c r="AJ60" i="260"/>
  <c r="AJ68" i="260" s="1"/>
  <c r="M77" i="260"/>
  <c r="M85" i="260" s="1"/>
  <c r="M87" i="260" s="1"/>
  <c r="M60" i="260"/>
  <c r="M68" i="260" s="1"/>
  <c r="AD77" i="260"/>
  <c r="AD85" i="260" s="1"/>
  <c r="AD87" i="260" s="1"/>
  <c r="AD60" i="260"/>
  <c r="AD68" i="260" s="1"/>
  <c r="X60" i="260"/>
  <c r="X68" i="260" s="1"/>
  <c r="X77" i="260"/>
  <c r="X85" i="260" s="1"/>
  <c r="X87" i="260" s="1"/>
  <c r="AH77" i="260"/>
  <c r="AH85" i="260" s="1"/>
  <c r="AH87" i="260" s="1"/>
  <c r="AH60" i="260"/>
  <c r="AH68" i="260" s="1"/>
  <c r="W60" i="260"/>
  <c r="W68" i="260" s="1"/>
  <c r="H34" i="261" s="1"/>
  <c r="W77" i="260"/>
  <c r="W85" i="260" s="1"/>
  <c r="W87" i="260" s="1"/>
  <c r="AE60" i="260"/>
  <c r="AE68" i="260" s="1"/>
  <c r="H42" i="261" s="1"/>
  <c r="AE77" i="260"/>
  <c r="AE85" i="260" s="1"/>
  <c r="AE87" i="260" s="1"/>
  <c r="D77" i="260"/>
  <c r="T60" i="260"/>
  <c r="T68" i="260" s="1"/>
  <c r="T77" i="260"/>
  <c r="T85" i="260" s="1"/>
  <c r="T87" i="260" s="1"/>
  <c r="K77" i="260"/>
  <c r="K85" i="260" s="1"/>
  <c r="K87" i="260" s="1"/>
  <c r="K60" i="260"/>
  <c r="K68" i="260" s="1"/>
  <c r="AC77" i="260"/>
  <c r="AC85" i="260" s="1"/>
  <c r="AC87" i="260" s="1"/>
  <c r="AC60" i="260"/>
  <c r="AC68" i="260" s="1"/>
  <c r="P19" i="317"/>
  <c r="P23" i="317" s="1"/>
  <c r="P43" i="317" s="1"/>
  <c r="P43" i="260" s="1"/>
  <c r="AA19" i="317"/>
  <c r="AA23" i="317" s="1"/>
  <c r="AA43" i="317" s="1"/>
  <c r="AA43" i="260" s="1"/>
  <c r="U19" i="317"/>
  <c r="U23" i="317" s="1"/>
  <c r="U43" i="317" s="1"/>
  <c r="U43" i="260" s="1"/>
  <c r="AB19" i="317"/>
  <c r="AB23" i="317" s="1"/>
  <c r="AB43" i="317" s="1"/>
  <c r="AB43" i="260" s="1"/>
  <c r="Q19" i="317"/>
  <c r="Q23" i="317" s="1"/>
  <c r="Q43" i="317" s="1"/>
  <c r="Q43" i="260" s="1"/>
  <c r="J19" i="317"/>
  <c r="J23" i="317" s="1"/>
  <c r="J43" i="317" s="1"/>
  <c r="J43" i="260" s="1"/>
  <c r="Z19" i="317"/>
  <c r="Z23" i="317" s="1"/>
  <c r="Z43" i="317" s="1"/>
  <c r="Z43" i="260" s="1"/>
  <c r="AF19" i="317"/>
  <c r="AF23" i="317" s="1"/>
  <c r="AF43" i="317" s="1"/>
  <c r="AF43" i="260" s="1"/>
  <c r="AI19" i="317"/>
  <c r="AI23" i="317" s="1"/>
  <c r="AI43" i="317" s="1"/>
  <c r="AI43" i="260" s="1"/>
  <c r="Y19" i="317"/>
  <c r="Y23" i="317" s="1"/>
  <c r="Y43" i="317" s="1"/>
  <c r="Y43" i="260" s="1"/>
  <c r="E39" i="317"/>
  <c r="E99" i="260" s="1"/>
  <c r="D96" i="261" s="1"/>
  <c r="I19" i="317"/>
  <c r="I23" i="317" s="1"/>
  <c r="I43" i="317" s="1"/>
  <c r="I43" i="260" s="1"/>
  <c r="O19" i="317"/>
  <c r="O23" i="317" s="1"/>
  <c r="O43" i="317" s="1"/>
  <c r="O43" i="260" s="1"/>
  <c r="V39" i="317"/>
  <c r="V99" i="260" s="1"/>
  <c r="D113" i="261" s="1"/>
  <c r="AH39" i="317"/>
  <c r="AH99" i="260" s="1"/>
  <c r="D125" i="261" s="1"/>
  <c r="AC39" i="317"/>
  <c r="AC99" i="260" s="1"/>
  <c r="D120" i="261" s="1"/>
  <c r="AG19" i="317"/>
  <c r="AG23" i="317" s="1"/>
  <c r="AG43" i="317" s="1"/>
  <c r="AG43" i="260" s="1"/>
  <c r="S19" i="317"/>
  <c r="S23" i="317" s="1"/>
  <c r="S43" i="317" s="1"/>
  <c r="S43" i="260" s="1"/>
  <c r="X39" i="317"/>
  <c r="X99" i="260" s="1"/>
  <c r="D115" i="261" s="1"/>
  <c r="AK39" i="317"/>
  <c r="AK99" i="260" s="1"/>
  <c r="E19" i="317"/>
  <c r="E23" i="317" s="1"/>
  <c r="E43" i="317" s="1"/>
  <c r="E43" i="260" s="1"/>
  <c r="K39" i="317"/>
  <c r="K99" i="260" s="1"/>
  <c r="D102" i="261" s="1"/>
  <c r="AJ39" i="317"/>
  <c r="AJ99" i="260" s="1"/>
  <c r="D127" i="261" s="1"/>
  <c r="H39" i="317"/>
  <c r="H99" i="260" s="1"/>
  <c r="D99" i="261" s="1"/>
  <c r="G19" i="317"/>
  <c r="G23" i="317" s="1"/>
  <c r="M39" i="317"/>
  <c r="M99" i="260" s="1"/>
  <c r="D104" i="261" s="1"/>
  <c r="F19" i="317"/>
  <c r="F23" i="317" s="1"/>
  <c r="N19" i="317"/>
  <c r="N23" i="317" s="1"/>
  <c r="N43" i="317" s="1"/>
  <c r="N43" i="260" s="1"/>
  <c r="R19" i="317"/>
  <c r="R23" i="317" s="1"/>
  <c r="R43" i="317" s="1"/>
  <c r="R43" i="260" s="1"/>
  <c r="F31" i="317"/>
  <c r="F35" i="317" s="1"/>
  <c r="T39" i="317"/>
  <c r="T99" i="260" s="1"/>
  <c r="D111" i="261" s="1"/>
  <c r="G31" i="317"/>
  <c r="G35" i="317" s="1"/>
  <c r="L19" i="317"/>
  <c r="L23" i="317" s="1"/>
  <c r="L43" i="317" s="1"/>
  <c r="L43" i="260" s="1"/>
  <c r="H47" i="261" l="1"/>
  <c r="J47" i="261" s="1"/>
  <c r="E19" i="261"/>
  <c r="G19" i="261" s="1"/>
  <c r="E31" i="261"/>
  <c r="G31" i="261" s="1"/>
  <c r="H31" i="261"/>
  <c r="J31" i="261" s="1"/>
  <c r="H24" i="261"/>
  <c r="J24" i="261" s="1"/>
  <c r="H33" i="261"/>
  <c r="J33" i="261" s="1"/>
  <c r="H19" i="261"/>
  <c r="J19" i="261" s="1"/>
  <c r="E22" i="261"/>
  <c r="G22" i="261" s="1"/>
  <c r="H45" i="261"/>
  <c r="J45" i="261" s="1"/>
  <c r="H41" i="261"/>
  <c r="J41" i="261" s="1"/>
  <c r="E40" i="261"/>
  <c r="G40" i="261" s="1"/>
  <c r="E45" i="261"/>
  <c r="G45" i="261" s="1"/>
  <c r="E35" i="261"/>
  <c r="G35" i="261" s="1"/>
  <c r="E24" i="261"/>
  <c r="G24" i="261" s="1"/>
  <c r="H40" i="261"/>
  <c r="J40" i="261" s="1"/>
  <c r="H22" i="261"/>
  <c r="J22" i="261" s="1"/>
  <c r="H35" i="261"/>
  <c r="J35" i="261" s="1"/>
  <c r="E47" i="261"/>
  <c r="G47" i="261" s="1"/>
  <c r="E33" i="261"/>
  <c r="G33" i="261" s="1"/>
  <c r="D658" i="261"/>
  <c r="D663" i="261"/>
  <c r="F663" i="261" s="1"/>
  <c r="D661" i="261"/>
  <c r="F661" i="261" s="1"/>
  <c r="D654" i="261"/>
  <c r="F654" i="261" s="1"/>
  <c r="D679" i="261"/>
  <c r="F679" i="261" s="1"/>
  <c r="D674" i="261"/>
  <c r="F674" i="261" s="1"/>
  <c r="D670" i="261"/>
  <c r="F670" i="261" s="1"/>
  <c r="D686" i="261"/>
  <c r="F686" i="261" s="1"/>
  <c r="D672" i="261"/>
  <c r="F672" i="261" s="1"/>
  <c r="D684" i="261"/>
  <c r="F684" i="261" s="1"/>
  <c r="D681" i="261"/>
  <c r="F681" i="261" s="1"/>
  <c r="G42" i="261"/>
  <c r="D680" i="261"/>
  <c r="F680" i="261" s="1"/>
  <c r="G41" i="261"/>
  <c r="AK70" i="260"/>
  <c r="D765" i="261"/>
  <c r="D128" i="261"/>
  <c r="AE70" i="260"/>
  <c r="J42" i="261"/>
  <c r="W70" i="260"/>
  <c r="J34" i="261"/>
  <c r="D673" i="261"/>
  <c r="F673" i="261" s="1"/>
  <c r="G34" i="261"/>
  <c r="D736" i="261"/>
  <c r="O51" i="260"/>
  <c r="D783" i="261"/>
  <c r="D66" i="261"/>
  <c r="D741" i="261"/>
  <c r="L51" i="260"/>
  <c r="E23" i="261" s="1"/>
  <c r="D780" i="261"/>
  <c r="D63" i="261"/>
  <c r="AG51" i="260"/>
  <c r="D801" i="261"/>
  <c r="D84" i="261"/>
  <c r="AI51" i="260"/>
  <c r="E46" i="261" s="1"/>
  <c r="D803" i="261"/>
  <c r="D86" i="261"/>
  <c r="P51" i="260"/>
  <c r="D784" i="261"/>
  <c r="D67" i="261"/>
  <c r="E792" i="261"/>
  <c r="F792" i="261"/>
  <c r="D748" i="261"/>
  <c r="Z51" i="260"/>
  <c r="E37" i="261" s="1"/>
  <c r="D794" i="261"/>
  <c r="D77" i="261"/>
  <c r="E779" i="261"/>
  <c r="F779" i="261"/>
  <c r="E781" i="261"/>
  <c r="F781" i="261"/>
  <c r="F790" i="261"/>
  <c r="E790" i="261"/>
  <c r="F805" i="261"/>
  <c r="E805" i="261"/>
  <c r="F788" i="261"/>
  <c r="E788" i="261"/>
  <c r="AF51" i="260"/>
  <c r="D800" i="261"/>
  <c r="D83" i="261"/>
  <c r="D764" i="261"/>
  <c r="D762" i="261"/>
  <c r="D739" i="261"/>
  <c r="D750" i="261"/>
  <c r="J51" i="260"/>
  <c r="E21" i="261" s="1"/>
  <c r="D778" i="261"/>
  <c r="D61" i="261"/>
  <c r="F802" i="261"/>
  <c r="E802" i="261"/>
  <c r="E51" i="260"/>
  <c r="D773" i="261"/>
  <c r="D56" i="261"/>
  <c r="Q51" i="260"/>
  <c r="E28" i="261" s="1"/>
  <c r="D785" i="261"/>
  <c r="D68" i="261"/>
  <c r="R51" i="260"/>
  <c r="D786" i="261"/>
  <c r="D69" i="261"/>
  <c r="I51" i="260"/>
  <c r="D777" i="261"/>
  <c r="D60" i="261"/>
  <c r="AB51" i="260"/>
  <c r="D796" i="261"/>
  <c r="D79" i="261"/>
  <c r="E804" i="261"/>
  <c r="F804" i="261"/>
  <c r="E776" i="261"/>
  <c r="F776" i="261"/>
  <c r="D757" i="261"/>
  <c r="N51" i="260"/>
  <c r="D782" i="261"/>
  <c r="D65" i="261"/>
  <c r="D752" i="261"/>
  <c r="D733" i="261"/>
  <c r="U51" i="260"/>
  <c r="D789" i="261"/>
  <c r="D72" i="261"/>
  <c r="E799" i="261"/>
  <c r="F799" i="261"/>
  <c r="S51" i="260"/>
  <c r="D787" i="261"/>
  <c r="D70" i="261"/>
  <c r="Y51" i="260"/>
  <c r="D793" i="261"/>
  <c r="D76" i="261"/>
  <c r="AA51" i="260"/>
  <c r="D795" i="261"/>
  <c r="D78" i="261"/>
  <c r="E797" i="261"/>
  <c r="F797" i="261"/>
  <c r="E798" i="261"/>
  <c r="F798" i="261"/>
  <c r="F791" i="261"/>
  <c r="E791" i="261"/>
  <c r="AK53" i="260"/>
  <c r="D687" i="261"/>
  <c r="F687" i="261" s="1"/>
  <c r="X70" i="260"/>
  <c r="AI77" i="260"/>
  <c r="AI85" i="260" s="1"/>
  <c r="AI87" i="260" s="1"/>
  <c r="AI60" i="260"/>
  <c r="AI68" i="260" s="1"/>
  <c r="P77" i="260"/>
  <c r="P85" i="260" s="1"/>
  <c r="P87" i="260" s="1"/>
  <c r="P60" i="260"/>
  <c r="P68" i="260" s="1"/>
  <c r="D55" i="260"/>
  <c r="D53" i="260"/>
  <c r="AH53" i="260"/>
  <c r="M70" i="260"/>
  <c r="AF60" i="260"/>
  <c r="AF68" i="260" s="1"/>
  <c r="AF77" i="260"/>
  <c r="AF85" i="260" s="1"/>
  <c r="AF87" i="260" s="1"/>
  <c r="AC53" i="260"/>
  <c r="D85" i="260"/>
  <c r="AH70" i="260"/>
  <c r="V53" i="260"/>
  <c r="H53" i="260"/>
  <c r="AG77" i="260"/>
  <c r="AG85" i="260" s="1"/>
  <c r="AG87" i="260" s="1"/>
  <c r="AG60" i="260"/>
  <c r="AG68" i="260" s="1"/>
  <c r="Z77" i="260"/>
  <c r="Z85" i="260" s="1"/>
  <c r="Z87" i="260" s="1"/>
  <c r="Z60" i="260"/>
  <c r="Z68" i="260" s="1"/>
  <c r="AC70" i="260"/>
  <c r="D68" i="260"/>
  <c r="H15" i="261" s="1"/>
  <c r="AD53" i="260"/>
  <c r="V70" i="260"/>
  <c r="H70" i="260"/>
  <c r="AA77" i="260"/>
  <c r="AA85" i="260" s="1"/>
  <c r="AA87" i="260" s="1"/>
  <c r="AA60" i="260"/>
  <c r="AA68" i="260" s="1"/>
  <c r="H38" i="261" s="1"/>
  <c r="K70" i="260"/>
  <c r="M53" i="260"/>
  <c r="L60" i="260"/>
  <c r="L68" i="260" s="1"/>
  <c r="L77" i="260"/>
  <c r="L85" i="260" s="1"/>
  <c r="L87" i="260" s="1"/>
  <c r="J77" i="260"/>
  <c r="J85" i="260" s="1"/>
  <c r="J87" i="260" s="1"/>
  <c r="J60" i="260"/>
  <c r="J68" i="260" s="1"/>
  <c r="T53" i="260"/>
  <c r="W53" i="260"/>
  <c r="AD70" i="260"/>
  <c r="Y60" i="260"/>
  <c r="Y68" i="260" s="1"/>
  <c r="Y77" i="260"/>
  <c r="Y85" i="260" s="1"/>
  <c r="Y87" i="260" s="1"/>
  <c r="O77" i="260"/>
  <c r="O85" i="260" s="1"/>
  <c r="O87" i="260" s="1"/>
  <c r="O60" i="260"/>
  <c r="O68" i="260" s="1"/>
  <c r="Q77" i="260"/>
  <c r="Q85" i="260" s="1"/>
  <c r="Q87" i="260" s="1"/>
  <c r="Q60" i="260"/>
  <c r="Q68" i="260" s="1"/>
  <c r="E772" i="261"/>
  <c r="F772" i="261"/>
  <c r="AJ53" i="260"/>
  <c r="R60" i="260"/>
  <c r="R68" i="260" s="1"/>
  <c r="R77" i="260"/>
  <c r="R85" i="260" s="1"/>
  <c r="R87" i="260" s="1"/>
  <c r="N77" i="260"/>
  <c r="N85" i="260" s="1"/>
  <c r="N87" i="260" s="1"/>
  <c r="N60" i="260"/>
  <c r="N68" i="260" s="1"/>
  <c r="AB60" i="260"/>
  <c r="AB68" i="260" s="1"/>
  <c r="AB77" i="260"/>
  <c r="AB85" i="260" s="1"/>
  <c r="AB87" i="260" s="1"/>
  <c r="T70" i="260"/>
  <c r="X53" i="260"/>
  <c r="AJ70" i="260"/>
  <c r="S77" i="260"/>
  <c r="S85" i="260" s="1"/>
  <c r="S87" i="260" s="1"/>
  <c r="S60" i="260"/>
  <c r="S68" i="260" s="1"/>
  <c r="E60" i="260"/>
  <c r="E68" i="260" s="1"/>
  <c r="E77" i="260"/>
  <c r="E85" i="260" s="1"/>
  <c r="E87" i="260" s="1"/>
  <c r="I77" i="260"/>
  <c r="I60" i="260"/>
  <c r="I68" i="260" s="1"/>
  <c r="U60" i="260"/>
  <c r="U68" i="260" s="1"/>
  <c r="U77" i="260"/>
  <c r="U85" i="260" s="1"/>
  <c r="U87" i="260" s="1"/>
  <c r="K53" i="260"/>
  <c r="AE53" i="260"/>
  <c r="F43" i="317"/>
  <c r="F43" i="260" s="1"/>
  <c r="G43" i="317"/>
  <c r="G43" i="260" s="1"/>
  <c r="C311" i="261" s="1"/>
  <c r="F39" i="317"/>
  <c r="F99" i="260" s="1"/>
  <c r="D97" i="261" s="1"/>
  <c r="G39" i="317"/>
  <c r="G99" i="260" s="1"/>
  <c r="D98" i="261" s="1"/>
  <c r="H39" i="261" l="1"/>
  <c r="J39" i="261" s="1"/>
  <c r="H29" i="261"/>
  <c r="J29" i="261" s="1"/>
  <c r="H28" i="261"/>
  <c r="J28" i="261" s="1"/>
  <c r="H23" i="261"/>
  <c r="J23" i="261" s="1"/>
  <c r="H16" i="261"/>
  <c r="J16" i="261" s="1"/>
  <c r="H25" i="261"/>
  <c r="J25" i="261" s="1"/>
  <c r="H36" i="261"/>
  <c r="J36" i="261" s="1"/>
  <c r="H21" i="261"/>
  <c r="J21" i="261" s="1"/>
  <c r="H27" i="261"/>
  <c r="J27" i="261" s="1"/>
  <c r="H46" i="261"/>
  <c r="J46" i="261" s="1"/>
  <c r="E36" i="261"/>
  <c r="G36" i="261" s="1"/>
  <c r="E32" i="261"/>
  <c r="G32" i="261" s="1"/>
  <c r="E20" i="261"/>
  <c r="G20" i="261" s="1"/>
  <c r="E27" i="261"/>
  <c r="G27" i="261" s="1"/>
  <c r="H44" i="261"/>
  <c r="J44" i="261" s="1"/>
  <c r="H43" i="261"/>
  <c r="J43" i="261" s="1"/>
  <c r="E38" i="261"/>
  <c r="G38" i="261" s="1"/>
  <c r="E25" i="261"/>
  <c r="G25" i="261" s="1"/>
  <c r="E39" i="261"/>
  <c r="G39" i="261" s="1"/>
  <c r="E16" i="261"/>
  <c r="G16" i="261" s="1"/>
  <c r="E43" i="261"/>
  <c r="G43" i="261" s="1"/>
  <c r="E26" i="261"/>
  <c r="G26" i="261" s="1"/>
  <c r="H32" i="261"/>
  <c r="J32" i="261" s="1"/>
  <c r="E44" i="261"/>
  <c r="G44" i="261" s="1"/>
  <c r="H20" i="261"/>
  <c r="J20" i="261" s="1"/>
  <c r="H30" i="261"/>
  <c r="J30" i="261" s="1"/>
  <c r="H26" i="261"/>
  <c r="J26" i="261" s="1"/>
  <c r="H37" i="261"/>
  <c r="J37" i="261" s="1"/>
  <c r="E30" i="261"/>
  <c r="G30" i="261" s="1"/>
  <c r="E29" i="261"/>
  <c r="G29" i="261" s="1"/>
  <c r="C43" i="260"/>
  <c r="I85" i="260"/>
  <c r="I87" i="260" s="1"/>
  <c r="G654" i="261"/>
  <c r="D669" i="261"/>
  <c r="F669" i="261" s="1"/>
  <c r="D668" i="261"/>
  <c r="F668" i="261" s="1"/>
  <c r="D665" i="261"/>
  <c r="F665" i="261" s="1"/>
  <c r="D659" i="261"/>
  <c r="F659" i="261" s="1"/>
  <c r="D655" i="261"/>
  <c r="F655" i="261" s="1"/>
  <c r="D671" i="261"/>
  <c r="F671" i="261" s="1"/>
  <c r="D666" i="261"/>
  <c r="F666" i="261" s="1"/>
  <c r="D675" i="261"/>
  <c r="F675" i="261" s="1"/>
  <c r="D678" i="261"/>
  <c r="F678" i="261" s="1"/>
  <c r="D682" i="261"/>
  <c r="F682" i="261" s="1"/>
  <c r="D677" i="261"/>
  <c r="F677" i="261" s="1"/>
  <c r="D664" i="261"/>
  <c r="F664" i="261" s="1"/>
  <c r="AA70" i="260"/>
  <c r="J38" i="261"/>
  <c r="D662" i="261"/>
  <c r="F662" i="261" s="1"/>
  <c r="G23" i="261"/>
  <c r="D676" i="261"/>
  <c r="F676" i="261" s="1"/>
  <c r="G37" i="261"/>
  <c r="D683" i="261"/>
  <c r="F683" i="261" s="1"/>
  <c r="D685" i="261"/>
  <c r="F685" i="261" s="1"/>
  <c r="G46" i="261"/>
  <c r="D667" i="261"/>
  <c r="F667" i="261" s="1"/>
  <c r="G28" i="261"/>
  <c r="D660" i="261"/>
  <c r="F660" i="261" s="1"/>
  <c r="G21" i="261"/>
  <c r="E793" i="261"/>
  <c r="F793" i="261"/>
  <c r="E782" i="261"/>
  <c r="F782" i="261"/>
  <c r="E786" i="261"/>
  <c r="F786" i="261"/>
  <c r="E789" i="261"/>
  <c r="F789" i="261"/>
  <c r="F800" i="261"/>
  <c r="E800" i="261"/>
  <c r="E803" i="261"/>
  <c r="F803" i="261"/>
  <c r="E796" i="261"/>
  <c r="F796" i="261"/>
  <c r="D734" i="261"/>
  <c r="F787" i="261"/>
  <c r="E787" i="261"/>
  <c r="E785" i="261"/>
  <c r="F785" i="261"/>
  <c r="E801" i="261"/>
  <c r="F801" i="261"/>
  <c r="E783" i="261"/>
  <c r="F783" i="261"/>
  <c r="F795" i="261"/>
  <c r="E795" i="261"/>
  <c r="E777" i="261"/>
  <c r="F777" i="261"/>
  <c r="D735" i="261"/>
  <c r="F51" i="260"/>
  <c r="E17" i="261" s="1"/>
  <c r="D774" i="261"/>
  <c r="D57" i="261"/>
  <c r="F778" i="261"/>
  <c r="E778" i="261"/>
  <c r="E794" i="261"/>
  <c r="F794" i="261"/>
  <c r="E784" i="261"/>
  <c r="F784" i="261"/>
  <c r="G51" i="260"/>
  <c r="D775" i="261"/>
  <c r="D58" i="261"/>
  <c r="E773" i="261"/>
  <c r="F773" i="261"/>
  <c r="E780" i="261"/>
  <c r="F780" i="261"/>
  <c r="D117" i="260"/>
  <c r="E55" i="260"/>
  <c r="S70" i="260"/>
  <c r="H684" i="261"/>
  <c r="G684" i="261"/>
  <c r="AG70" i="260"/>
  <c r="P70" i="260"/>
  <c r="H670" i="261"/>
  <c r="G670" i="261"/>
  <c r="AA53" i="260"/>
  <c r="AF53" i="260"/>
  <c r="H686" i="261"/>
  <c r="G686" i="261"/>
  <c r="Q70" i="260"/>
  <c r="L70" i="260"/>
  <c r="U70" i="260"/>
  <c r="E53" i="260"/>
  <c r="Y53" i="260"/>
  <c r="J53" i="260"/>
  <c r="AF70" i="260"/>
  <c r="AB53" i="260"/>
  <c r="H674" i="261"/>
  <c r="G674" i="261"/>
  <c r="AB70" i="260"/>
  <c r="R53" i="260"/>
  <c r="G687" i="261"/>
  <c r="H687" i="261"/>
  <c r="J70" i="260"/>
  <c r="Z53" i="260"/>
  <c r="D89" i="260"/>
  <c r="E89" i="260" s="1"/>
  <c r="D87" i="260"/>
  <c r="G661" i="261"/>
  <c r="H661" i="261"/>
  <c r="S53" i="260"/>
  <c r="N70" i="260"/>
  <c r="L53" i="260"/>
  <c r="AG53" i="260"/>
  <c r="P53" i="260"/>
  <c r="E70" i="260"/>
  <c r="Y70" i="260"/>
  <c r="G680" i="261"/>
  <c r="H680" i="261"/>
  <c r="Z70" i="260"/>
  <c r="H672" i="261"/>
  <c r="G672" i="261"/>
  <c r="D54" i="260"/>
  <c r="Q53" i="260"/>
  <c r="G681" i="261"/>
  <c r="H681" i="261"/>
  <c r="F60" i="260"/>
  <c r="F68" i="260" s="1"/>
  <c r="F77" i="260"/>
  <c r="F85" i="260" s="1"/>
  <c r="F87" i="260" s="1"/>
  <c r="I53" i="260"/>
  <c r="R70" i="260"/>
  <c r="O53" i="260"/>
  <c r="H663" i="261"/>
  <c r="G663" i="261"/>
  <c r="D72" i="260"/>
  <c r="E72" i="260" s="1"/>
  <c r="D70" i="260"/>
  <c r="G15" i="261"/>
  <c r="AI53" i="260"/>
  <c r="U53" i="260"/>
  <c r="G77" i="260"/>
  <c r="G85" i="260" s="1"/>
  <c r="G87" i="260" s="1"/>
  <c r="G60" i="260"/>
  <c r="G68" i="260" s="1"/>
  <c r="I70" i="260"/>
  <c r="N53" i="260"/>
  <c r="O70" i="260"/>
  <c r="G673" i="261"/>
  <c r="H673" i="261"/>
  <c r="G679" i="261"/>
  <c r="H679" i="261"/>
  <c r="AI70" i="260"/>
  <c r="H18" i="261" l="1"/>
  <c r="J18" i="261" s="1"/>
  <c r="H17" i="261"/>
  <c r="J17" i="261" s="1"/>
  <c r="E18" i="261"/>
  <c r="G18" i="261" s="1"/>
  <c r="C60" i="260"/>
  <c r="E18" i="260" s="1"/>
  <c r="E25" i="260" s="1"/>
  <c r="C77" i="260"/>
  <c r="D18" i="260" s="1"/>
  <c r="C51" i="260"/>
  <c r="C85" i="260"/>
  <c r="C87" i="260"/>
  <c r="C68" i="260"/>
  <c r="E54" i="260"/>
  <c r="D657" i="261"/>
  <c r="F657" i="261" s="1"/>
  <c r="G17" i="261"/>
  <c r="D129" i="261"/>
  <c r="D89" i="261"/>
  <c r="D91" i="261" s="1"/>
  <c r="E775" i="261"/>
  <c r="F775" i="261"/>
  <c r="E774" i="261"/>
  <c r="F774" i="261"/>
  <c r="F55" i="260"/>
  <c r="G55" i="260" s="1"/>
  <c r="H55" i="260" s="1"/>
  <c r="I55" i="260" s="1"/>
  <c r="J55" i="260" s="1"/>
  <c r="K55" i="260" s="1"/>
  <c r="L55" i="260" s="1"/>
  <c r="M55" i="260" s="1"/>
  <c r="N55" i="260" s="1"/>
  <c r="O55" i="260" s="1"/>
  <c r="P55" i="260" s="1"/>
  <c r="Q55" i="260" s="1"/>
  <c r="R55" i="260" s="1"/>
  <c r="S55" i="260" s="1"/>
  <c r="T55" i="260" s="1"/>
  <c r="U55" i="260" s="1"/>
  <c r="V55" i="260" s="1"/>
  <c r="W55" i="260" s="1"/>
  <c r="X55" i="260" s="1"/>
  <c r="Y55" i="260" s="1"/>
  <c r="Z55" i="260" s="1"/>
  <c r="AA55" i="260" s="1"/>
  <c r="AB55" i="260" s="1"/>
  <c r="AC55" i="260" s="1"/>
  <c r="AD55" i="260" s="1"/>
  <c r="AE55" i="260" s="1"/>
  <c r="AF55" i="260" s="1"/>
  <c r="AG55" i="260" s="1"/>
  <c r="AH55" i="260" s="1"/>
  <c r="AI55" i="260" s="1"/>
  <c r="AJ55" i="260" s="1"/>
  <c r="AK55" i="260" s="1"/>
  <c r="D656" i="261"/>
  <c r="D766" i="261"/>
  <c r="D768" i="261" s="1"/>
  <c r="G683" i="261"/>
  <c r="H683" i="261"/>
  <c r="D88" i="260"/>
  <c r="E88" i="260" s="1"/>
  <c r="F88" i="260" s="1"/>
  <c r="G88" i="260" s="1"/>
  <c r="H88" i="260" s="1"/>
  <c r="H678" i="261"/>
  <c r="G678" i="261"/>
  <c r="C18" i="260"/>
  <c r="G4" i="261" s="1"/>
  <c r="F658" i="261"/>
  <c r="G53" i="260"/>
  <c r="F89" i="260"/>
  <c r="G89" i="260" s="1"/>
  <c r="H89" i="260" s="1"/>
  <c r="G677" i="261"/>
  <c r="H677" i="261"/>
  <c r="H669" i="261"/>
  <c r="G669" i="261"/>
  <c r="J15" i="261"/>
  <c r="H659" i="261"/>
  <c r="G659" i="261"/>
  <c r="H660" i="261"/>
  <c r="G660" i="261"/>
  <c r="H665" i="261"/>
  <c r="G665" i="261"/>
  <c r="G664" i="261"/>
  <c r="H664" i="261"/>
  <c r="F72" i="260"/>
  <c r="G72" i="260" s="1"/>
  <c r="H72" i="260" s="1"/>
  <c r="I72" i="260" s="1"/>
  <c r="J72" i="260" s="1"/>
  <c r="K72" i="260" s="1"/>
  <c r="L72" i="260" s="1"/>
  <c r="M72" i="260" s="1"/>
  <c r="N72" i="260" s="1"/>
  <c r="O72" i="260" s="1"/>
  <c r="P72" i="260" s="1"/>
  <c r="Q72" i="260" s="1"/>
  <c r="R72" i="260" s="1"/>
  <c r="S72" i="260" s="1"/>
  <c r="T72" i="260" s="1"/>
  <c r="U72" i="260" s="1"/>
  <c r="V72" i="260" s="1"/>
  <c r="W72" i="260" s="1"/>
  <c r="X72" i="260" s="1"/>
  <c r="Y72" i="260" s="1"/>
  <c r="Z72" i="260" s="1"/>
  <c r="AA72" i="260" s="1"/>
  <c r="AB72" i="260" s="1"/>
  <c r="AC72" i="260" s="1"/>
  <c r="AD72" i="260" s="1"/>
  <c r="AE72" i="260" s="1"/>
  <c r="AF72" i="260" s="1"/>
  <c r="AG72" i="260" s="1"/>
  <c r="AH72" i="260" s="1"/>
  <c r="AI72" i="260" s="1"/>
  <c r="AJ72" i="260" s="1"/>
  <c r="AK72" i="260" s="1"/>
  <c r="F53" i="260"/>
  <c r="G662" i="261"/>
  <c r="H662" i="261"/>
  <c r="H655" i="261"/>
  <c r="G655" i="261"/>
  <c r="G675" i="261"/>
  <c r="H675" i="261"/>
  <c r="H671" i="261"/>
  <c r="G671" i="261"/>
  <c r="D71" i="260"/>
  <c r="E71" i="260" s="1"/>
  <c r="H654" i="261"/>
  <c r="G668" i="261"/>
  <c r="H668" i="261"/>
  <c r="H685" i="261"/>
  <c r="G685" i="261"/>
  <c r="F70" i="260"/>
  <c r="G667" i="261"/>
  <c r="H667" i="261"/>
  <c r="H682" i="261"/>
  <c r="G682" i="261"/>
  <c r="G70" i="260"/>
  <c r="H676" i="261"/>
  <c r="G676" i="261"/>
  <c r="D806" i="261"/>
  <c r="G666" i="261"/>
  <c r="H666" i="261"/>
  <c r="C39" i="260" l="1"/>
  <c r="C639" i="261" s="1"/>
  <c r="G49" i="261"/>
  <c r="I89" i="260"/>
  <c r="J89" i="260" s="1"/>
  <c r="K89" i="260" s="1"/>
  <c r="L89" i="260" s="1"/>
  <c r="M89" i="260" s="1"/>
  <c r="N89" i="260" s="1"/>
  <c r="O89" i="260" s="1"/>
  <c r="P89" i="260" s="1"/>
  <c r="Q89" i="260" s="1"/>
  <c r="R89" i="260" s="1"/>
  <c r="S89" i="260" s="1"/>
  <c r="T89" i="260" s="1"/>
  <c r="U89" i="260" s="1"/>
  <c r="V89" i="260" s="1"/>
  <c r="W89" i="260" s="1"/>
  <c r="X89" i="260" s="1"/>
  <c r="Y89" i="260" s="1"/>
  <c r="Z89" i="260" s="1"/>
  <c r="AA89" i="260" s="1"/>
  <c r="AB89" i="260" s="1"/>
  <c r="AC89" i="260" s="1"/>
  <c r="AD89" i="260" s="1"/>
  <c r="AE89" i="260" s="1"/>
  <c r="AF89" i="260" s="1"/>
  <c r="AG89" i="260" s="1"/>
  <c r="AH89" i="260" s="1"/>
  <c r="AI89" i="260" s="1"/>
  <c r="AJ89" i="260" s="1"/>
  <c r="AK89" i="260" s="1"/>
  <c r="C70" i="260"/>
  <c r="C53" i="260"/>
  <c r="F54" i="260"/>
  <c r="G54" i="260" s="1"/>
  <c r="H54" i="260" s="1"/>
  <c r="E311" i="261"/>
  <c r="E312" i="261" s="1"/>
  <c r="E33" i="260"/>
  <c r="E37" i="260" s="1"/>
  <c r="E29" i="260"/>
  <c r="C624" i="261"/>
  <c r="C631" i="261" s="1"/>
  <c r="C3" i="218"/>
  <c r="C10" i="218" s="1"/>
  <c r="H4" i="261"/>
  <c r="F806" i="261"/>
  <c r="F808" i="261" s="1"/>
  <c r="E806" i="261"/>
  <c r="E808" i="261" s="1"/>
  <c r="H49" i="261"/>
  <c r="H51" i="261" s="1"/>
  <c r="E49" i="261"/>
  <c r="E51" i="261" s="1"/>
  <c r="G657" i="261"/>
  <c r="H657" i="261"/>
  <c r="I88" i="260"/>
  <c r="J88" i="260" s="1"/>
  <c r="K88" i="260" s="1"/>
  <c r="L88" i="260" s="1"/>
  <c r="M88" i="260" s="1"/>
  <c r="N88" i="260" s="1"/>
  <c r="O88" i="260" s="1"/>
  <c r="P88" i="260" s="1"/>
  <c r="Q88" i="260" s="1"/>
  <c r="R88" i="260" s="1"/>
  <c r="S88" i="260" s="1"/>
  <c r="T88" i="260" s="1"/>
  <c r="U88" i="260" s="1"/>
  <c r="V88" i="260" s="1"/>
  <c r="W88" i="260" s="1"/>
  <c r="X88" i="260" s="1"/>
  <c r="Y88" i="260" s="1"/>
  <c r="Z88" i="260" s="1"/>
  <c r="AA88" i="260" s="1"/>
  <c r="AB88" i="260" s="1"/>
  <c r="AC88" i="260" s="1"/>
  <c r="AD88" i="260" s="1"/>
  <c r="AE88" i="260" s="1"/>
  <c r="AF88" i="260" s="1"/>
  <c r="AG88" i="260" s="1"/>
  <c r="AH88" i="260" s="1"/>
  <c r="AI88" i="260" s="1"/>
  <c r="AJ88" i="260" s="1"/>
  <c r="AK88" i="260" s="1"/>
  <c r="J49" i="261"/>
  <c r="D624" i="261"/>
  <c r="D631" i="261" s="1"/>
  <c r="D25" i="260"/>
  <c r="D29" i="260" s="1"/>
  <c r="F71" i="260"/>
  <c r="G71" i="260" s="1"/>
  <c r="H71" i="260" s="1"/>
  <c r="H658" i="261"/>
  <c r="G658" i="261"/>
  <c r="F656" i="261"/>
  <c r="F688" i="261" s="1"/>
  <c r="D688" i="261"/>
  <c r="D690" i="261" s="1"/>
  <c r="D808" i="261"/>
  <c r="D311" i="261"/>
  <c r="D312" i="261" s="1"/>
  <c r="C25" i="260"/>
  <c r="G51" i="261" l="1"/>
  <c r="I54" i="260"/>
  <c r="J54" i="260" s="1"/>
  <c r="K54" i="260" s="1"/>
  <c r="L54" i="260" s="1"/>
  <c r="M54" i="260" s="1"/>
  <c r="N54" i="260" s="1"/>
  <c r="O54" i="260" s="1"/>
  <c r="P54" i="260" s="1"/>
  <c r="Q54" i="260" s="1"/>
  <c r="R54" i="260" s="1"/>
  <c r="S54" i="260" s="1"/>
  <c r="T54" i="260" s="1"/>
  <c r="U54" i="260" s="1"/>
  <c r="V54" i="260" s="1"/>
  <c r="W54" i="260" s="1"/>
  <c r="X54" i="260" s="1"/>
  <c r="Y54" i="260" s="1"/>
  <c r="Z54" i="260" s="1"/>
  <c r="AA54" i="260" s="1"/>
  <c r="AB54" i="260" s="1"/>
  <c r="AC54" i="260" s="1"/>
  <c r="AD54" i="260" s="1"/>
  <c r="AE54" i="260" s="1"/>
  <c r="AF54" i="260" s="1"/>
  <c r="AG54" i="260" s="1"/>
  <c r="AH54" i="260" s="1"/>
  <c r="AI54" i="260" s="1"/>
  <c r="AJ54" i="260" s="1"/>
  <c r="AK54" i="260" s="1"/>
  <c r="D38" i="260"/>
  <c r="J51" i="261"/>
  <c r="G656" i="261"/>
  <c r="G688" i="261" s="1"/>
  <c r="H656" i="261"/>
  <c r="H688" i="261" s="1"/>
  <c r="H690" i="261" s="1"/>
  <c r="I71" i="260"/>
  <c r="J71" i="260" s="1"/>
  <c r="K71" i="260" s="1"/>
  <c r="L71" i="260" s="1"/>
  <c r="M71" i="260" s="1"/>
  <c r="N71" i="260" s="1"/>
  <c r="O71" i="260" s="1"/>
  <c r="P71" i="260" s="1"/>
  <c r="Q71" i="260" s="1"/>
  <c r="R71" i="260" s="1"/>
  <c r="S71" i="260" s="1"/>
  <c r="T71" i="260" s="1"/>
  <c r="U71" i="260" s="1"/>
  <c r="V71" i="260" s="1"/>
  <c r="W71" i="260" s="1"/>
  <c r="X71" i="260" s="1"/>
  <c r="Y71" i="260" s="1"/>
  <c r="Z71" i="260" s="1"/>
  <c r="AA71" i="260" s="1"/>
  <c r="AB71" i="260" s="1"/>
  <c r="AC71" i="260" s="1"/>
  <c r="AD71" i="260" s="1"/>
  <c r="AE71" i="260" s="1"/>
  <c r="AF71" i="260" s="1"/>
  <c r="AG71" i="260" s="1"/>
  <c r="AH71" i="260" s="1"/>
  <c r="AI71" i="260" s="1"/>
  <c r="AJ71" i="260" s="1"/>
  <c r="AK71" i="260" s="1"/>
  <c r="D13" i="218"/>
  <c r="D33" i="260"/>
  <c r="C33" i="260"/>
  <c r="C37" i="260" s="1"/>
  <c r="C29" i="260"/>
  <c r="F690" i="261" s="1"/>
  <c r="C638" i="261"/>
  <c r="C635" i="261"/>
  <c r="C38" i="260" l="1"/>
  <c r="C640" i="261" s="1"/>
  <c r="E38" i="260"/>
  <c r="E35" i="260"/>
  <c r="E36" i="260" s="1"/>
  <c r="B645" i="261"/>
  <c r="F645" i="261" s="1"/>
  <c r="G690" i="261"/>
  <c r="C35" i="260"/>
  <c r="C36" i="260" s="1"/>
  <c r="D35" i="260"/>
  <c r="D635" i="261"/>
  <c r="D37" i="260"/>
  <c r="D638" i="261" s="1"/>
  <c r="F647" i="261" l="1"/>
  <c r="F648" i="261"/>
  <c r="C637" i="261"/>
  <c r="F649" i="261"/>
  <c r="F650" i="261"/>
  <c r="F646" i="261"/>
  <c r="D637" i="261"/>
  <c r="D36" i="2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Moya Rodriguez, Carmen</author>
  </authors>
  <commentList>
    <comment ref="G23" authorId="0" shapeId="0" xr:uid="{00000000-0006-0000-0500-000001000000}">
      <text>
        <r>
          <rPr>
            <b/>
            <sz val="9"/>
            <color indexed="81"/>
            <rFont val="Tahoma"/>
            <family val="2"/>
          </rPr>
          <t>Moya Rodriguez, Carmen:</t>
        </r>
        <r>
          <rPr>
            <sz val="9"/>
            <color indexed="81"/>
            <rFont val="Tahoma"/>
            <family val="2"/>
          </rPr>
          <t xml:space="preserve">
Farm
</t>
        </r>
      </text>
    </comment>
  </commentList>
</comments>
</file>

<file path=xl/sharedStrings.xml><?xml version="1.0" encoding="utf-8"?>
<sst xmlns="http://schemas.openxmlformats.org/spreadsheetml/2006/main" count="8425" uniqueCount="1329">
  <si>
    <t>Year</t>
  </si>
  <si>
    <t>Source</t>
  </si>
  <si>
    <t/>
  </si>
  <si>
    <t>B</t>
  </si>
  <si>
    <t>Notes</t>
  </si>
  <si>
    <t>Total</t>
  </si>
  <si>
    <t>TOTAL</t>
  </si>
  <si>
    <t>Calendar Year</t>
  </si>
  <si>
    <t>Value</t>
  </si>
  <si>
    <t>Undiscounted</t>
  </si>
  <si>
    <t>Total Costs</t>
  </si>
  <si>
    <t>Total Benefits</t>
  </si>
  <si>
    <t>Impact Category</t>
  </si>
  <si>
    <t>Units</t>
  </si>
  <si>
    <t>Source/Comment</t>
  </si>
  <si>
    <t>%</t>
  </si>
  <si>
    <t>Value of a Statistical Life</t>
  </si>
  <si>
    <t>Gasoline Retail Price</t>
  </si>
  <si>
    <t>Diesel Retail Price</t>
  </si>
  <si>
    <t>A</t>
  </si>
  <si>
    <t>O</t>
  </si>
  <si>
    <t>Average</t>
  </si>
  <si>
    <t>K</t>
  </si>
  <si>
    <t>Urban</t>
  </si>
  <si>
    <t>CUUR0000SS47021</t>
  </si>
  <si>
    <t>Motor oil, coolant, and fluids</t>
  </si>
  <si>
    <t>Most Likely</t>
  </si>
  <si>
    <t>Low</t>
  </si>
  <si>
    <t>High</t>
  </si>
  <si>
    <t>In Dollars of</t>
  </si>
  <si>
    <t>Online</t>
  </si>
  <si>
    <t>$ per life</t>
  </si>
  <si>
    <t>Relative Disutility Factors by Injury Severity Level (Maximum Abbreviated Injury Scale)</t>
  </si>
  <si>
    <t>MAIS 1 - Minor injury</t>
  </si>
  <si>
    <t>fraction of VSL</t>
  </si>
  <si>
    <t>MAIS 2 - Moderate injury</t>
  </si>
  <si>
    <t>MAIS 3 - Serious injury</t>
  </si>
  <si>
    <t>MAIS 4 - Severe injury</t>
  </si>
  <si>
    <t>MAIS 5 - Critical injury</t>
  </si>
  <si>
    <t>MAIS 6 - Fatality</t>
  </si>
  <si>
    <t>Property Damage Only Cost</t>
  </si>
  <si>
    <t>Highway Accident</t>
  </si>
  <si>
    <t>$ per damaged vehicle</t>
  </si>
  <si>
    <t>KABCO-AIS Conversion Table (Excluding Fatalities in Non-Fatal Injury Codes)</t>
  </si>
  <si>
    <t>C</t>
  </si>
  <si>
    <t>Injured</t>
  </si>
  <si>
    <t>Unknown</t>
  </si>
  <si>
    <t>No Injury</t>
  </si>
  <si>
    <t>Possible Injury</t>
  </si>
  <si>
    <t>Non Incapacitating</t>
  </si>
  <si>
    <t>Incapacitating</t>
  </si>
  <si>
    <t xml:space="preserve"> Killed</t>
  </si>
  <si>
    <t>Severity Unknown</t>
  </si>
  <si>
    <t>If Injured</t>
  </si>
  <si>
    <t>AIS 0-No Injury</t>
  </si>
  <si>
    <t>AIS 1-Minor</t>
  </si>
  <si>
    <t>AIS 2-Moderate</t>
  </si>
  <si>
    <t>AIS 3-Serious</t>
  </si>
  <si>
    <t>AIS 4-Severe</t>
  </si>
  <si>
    <t>AIS 5-Critical</t>
  </si>
  <si>
    <t>Fatality</t>
  </si>
  <si>
    <t>AIS=Abbreviated Injury Scale</t>
  </si>
  <si>
    <t>MAIS=Maximum AIS</t>
  </si>
  <si>
    <t>Non-Incapacitating</t>
  </si>
  <si>
    <t>Other*</t>
  </si>
  <si>
    <t>Total Injured</t>
  </si>
  <si>
    <t>All vehicles</t>
  </si>
  <si>
    <t>% total</t>
  </si>
  <si>
    <t>* Presumably includes Possible Injury and Severity Unknown; assume most is Possible Injury</t>
  </si>
  <si>
    <t>MOST LIKELY</t>
  </si>
  <si>
    <t>LOW</t>
  </si>
  <si>
    <t>HIGH</t>
  </si>
  <si>
    <t>$ per injury</t>
  </si>
  <si>
    <t>$ per fatality</t>
  </si>
  <si>
    <t>O - No Injury</t>
  </si>
  <si>
    <t>C - Possible Injury</t>
  </si>
  <si>
    <t>B - Non Incapacitating</t>
  </si>
  <si>
    <t>A - Incapacitating</t>
  </si>
  <si>
    <t>K -  Killed</t>
  </si>
  <si>
    <t>Injured - Severity Unknown</t>
  </si>
  <si>
    <t>Unknown - If Injured</t>
  </si>
  <si>
    <t>NOTE:  DOT GUIDANCE RECOMMENDS, EXPLICITELY, NOT TO INFER ANY PROBABILITY DISTRIBUTION FROM THE ABOVE ESTIMATES</t>
  </si>
  <si>
    <t>FOR PROPERTY DAMAGE ONLY ACCIDENTS:</t>
  </si>
  <si>
    <t>AVERAGE INJURY COST ESTIMATES</t>
  </si>
  <si>
    <t>LOW (for Sensitivity Analysis)</t>
  </si>
  <si>
    <t>HIGH (for Sensitivity Analysis)</t>
  </si>
  <si>
    <t xml:space="preserve">Note:  Explain how weighted average injury costs were estimated in your Technical Appendix, if you are using the above values. </t>
  </si>
  <si>
    <t>Use of Injured - Severity Unknown is a good alternative if you do not have a breakdown of accident data by severity.</t>
  </si>
  <si>
    <t xml:space="preserve">VSL and associated injury values: </t>
  </si>
  <si>
    <t>Include productivity losses, pain, suffering, and lost quality of life (including "psychic disutility")</t>
  </si>
  <si>
    <t>Include portion of medical expenses paid for by individual (~15%)</t>
  </si>
  <si>
    <t>Do not include property damage or traffic delay</t>
  </si>
  <si>
    <t>PDO cost is about 90% travel delay and property damage.  The remaining components are from workplace productivity loss, insurance administrative costs, household production loss, and emergency services.</t>
  </si>
  <si>
    <t>You will need to map the Relative Disutility Factors by Injury Severity Level into the accident data available for the project. The tables below may help:</t>
  </si>
  <si>
    <t>Examples</t>
  </si>
  <si>
    <t>Injury Whiplash, bruise, broken tooth</t>
  </si>
  <si>
    <t>Closed leg fracture, finger crush</t>
  </si>
  <si>
    <t>Open leg fracture, amputated arm, major nerve laceration</t>
  </si>
  <si>
    <t>Partial spinal cord severance, concussion (unconscious less than 24 hours)</t>
  </si>
  <si>
    <t>Complete spinal cord severance, concussion (unconscious more than 24 hours)</t>
  </si>
  <si>
    <t>Source: Crash Outcomes Data Evaluation System: An Evaluation of Medical Crash Costs, Center for Transportation Research and Education, Iowa State University, May 1999</t>
  </si>
  <si>
    <t>http://www.intrans.iastate.edu/reports/codes.pdf</t>
  </si>
  <si>
    <t>Your client may be able to provide a detailed mapping. This is what we used in New York in 2010:</t>
  </si>
  <si>
    <t>Average MAIS score</t>
  </si>
  <si>
    <t xml:space="preserve">Pedestrians </t>
  </si>
  <si>
    <t xml:space="preserve">      Bicyclists</t>
  </si>
  <si>
    <t>Motor Vehicle Occupants &amp; Motorcyclists</t>
  </si>
  <si>
    <t>K Fatality</t>
  </si>
  <si>
    <t>A Incapacitating</t>
  </si>
  <si>
    <t>B Non Incapacitating</t>
  </si>
  <si>
    <t>C Possible Injury</t>
  </si>
  <si>
    <t>O No Injury</t>
  </si>
  <si>
    <t>U Injured, Severity Unknown</t>
  </si>
  <si>
    <t>Source: NYDOH, forwarded by Matthew Roe; Planning &amp; Research Manager; NYC Department of Transportation</t>
  </si>
  <si>
    <t>Distinction between Accidents and Events</t>
  </si>
  <si>
    <t>If you are using safety data expressed as number of accidents (e.g. fatal accidents), you should transform accidents into events (e.g. fatalities) before using the above assumptions.</t>
  </si>
  <si>
    <t>You may be able to obtain data on the number of events per accident from your client or other sources.</t>
  </si>
  <si>
    <t>If those data are not available, consider using data for the State of California (summarized in the tables below).</t>
  </si>
  <si>
    <t>NUMBER OF FATALITIES</t>
  </si>
  <si>
    <t>(events/accident)</t>
  </si>
  <si>
    <t>Accident Type</t>
  </si>
  <si>
    <t>Suburban</t>
  </si>
  <si>
    <t>Rural</t>
  </si>
  <si>
    <t>Fatal Accident</t>
  </si>
  <si>
    <t>NUMBER OF INJURIES</t>
  </si>
  <si>
    <t>Injury Accident</t>
  </si>
  <si>
    <t>NUMBER OF VEHICLES INVOLVED</t>
  </si>
  <si>
    <t>PDO Accident</t>
  </si>
  <si>
    <t>Emission Costs</t>
  </si>
  <si>
    <t>Social Cost Estimates from NHTSA 2012</t>
  </si>
  <si>
    <t>$ Year</t>
  </si>
  <si>
    <t>Sources</t>
  </si>
  <si>
    <t>Carbon Monoxide (CO)</t>
  </si>
  <si>
    <t>$ per METRIC ton</t>
  </si>
  <si>
    <t>Negligible</t>
  </si>
  <si>
    <t>http://www.nhtsa.gov/staticfiles/rulemaking/pdf/cafe/FRIA_2017-2025.pdf</t>
  </si>
  <si>
    <t>Volatile Organic Compounds (VOC)</t>
  </si>
  <si>
    <t>Nitrogen Oxides (NOx)</t>
  </si>
  <si>
    <t>Fine Particulate Matter (PM)</t>
  </si>
  <si>
    <t>Other Cost Estimates</t>
  </si>
  <si>
    <t>$ per ton</t>
  </si>
  <si>
    <t xml:space="preserve">Victoria Transport Policy Institute, Air Pollution Costs Spreadsheet. </t>
  </si>
  <si>
    <t>Interagency Working Group on Social Cost of Carbon (November 2013)</t>
  </si>
  <si>
    <t>Discount rate</t>
  </si>
  <si>
    <t>Summary estimate</t>
  </si>
  <si>
    <t>95th percentile</t>
  </si>
  <si>
    <t>SCC estimates for monetizing changes in CO2 emissions occurring in 2010</t>
  </si>
  <si>
    <t>Average Annual Growth Rates of SCC between 2010 and 2050</t>
  </si>
  <si>
    <t>2010 - 2020</t>
  </si>
  <si>
    <t>% per year</t>
  </si>
  <si>
    <t>n/a</t>
  </si>
  <si>
    <t>2020 - 2030</t>
  </si>
  <si>
    <t>2030 - 2040</t>
  </si>
  <si>
    <t>2040 - 2050</t>
  </si>
  <si>
    <t>Annual Values from 2010 to 2050</t>
  </si>
  <si>
    <t>Notes:</t>
  </si>
  <si>
    <t>All estimates are in 2007 dollars per metric ton of carbon dioxide (CO2). The mass of CO2 is 44/12 (=3.67) the mass of carbon.</t>
  </si>
  <si>
    <t>Fine Particulate Matter (PM2.5)</t>
  </si>
  <si>
    <t>Value of Time</t>
  </si>
  <si>
    <t>Preferred</t>
  </si>
  <si>
    <t>Travel Time Cost, $ per person-hour</t>
  </si>
  <si>
    <t>Local Travel (Surface modes* except high-speed rail)</t>
  </si>
  <si>
    <t>Personal</t>
  </si>
  <si>
    <t>Business</t>
  </si>
  <si>
    <t>All Purposes **</t>
  </si>
  <si>
    <t>Intercity Travel</t>
  </si>
  <si>
    <t>Surface modes (except High Speed Rail)</t>
  </si>
  <si>
    <t>Air &amp; High Speed Rail travel</t>
  </si>
  <si>
    <t>Vehicle Operators</t>
  </si>
  <si>
    <t>Truck drivers</t>
  </si>
  <si>
    <t>Bus drivers</t>
  </si>
  <si>
    <t>Transit rail operators</t>
  </si>
  <si>
    <t>Locomotive engineers</t>
  </si>
  <si>
    <t>Airline pilots and engineers</t>
  </si>
  <si>
    <t>Real Income Growth Adjustment</t>
  </si>
  <si>
    <t>Combined Adjustment</t>
  </si>
  <si>
    <t>The values of time for High Speed Rail Travel are only applicable to Core Express services or corridors (i.e., with speeds between 125 and 250 mph).</t>
  </si>
  <si>
    <t>A constant value per hour should be used for large and small travel time savings.</t>
  </si>
  <si>
    <t>There should be no distinction between driving in congested versus free-flowing traffic conditions (i.e., no congestion premium). This is only addressed explicitly in the 1997 and 2003 guidance documents.</t>
  </si>
  <si>
    <t>You may want to update the weights used in the estimation of average VOT across trip purposes (“all purposes”) if you have access to a project-specific distribution of travel by trip purpose on various modes.</t>
  </si>
  <si>
    <t>Values of time are reported in dollars per hour per person. You will need an average vehicle occupancy rate if applied to travel time savings measured in vehicle hours.</t>
  </si>
  <si>
    <t>The following average vehicle occupancy rate may be used in the conversion (use project-specific or region-specific information if available):</t>
  </si>
  <si>
    <t>All trips, persons per vehicle</t>
  </si>
  <si>
    <t>Final Regulatory Impact Analysis Corporate Average Fuel Economy for MY 2012-MY 2016 Passenger Cars and Light Trucks, March 2010, page 385</t>
  </si>
  <si>
    <t>All trips in urban areas in peak period, persons per vehicle</t>
  </si>
  <si>
    <t>For goods movement, you may consider adding an inventory cost and a time-related vehicle depreciation cost to the driver's hourly wage rate. Refer to the FHWA Highway Economic Requirements System (HERS) manual for guidance.</t>
  </si>
  <si>
    <t>The DOT Guidance does recognize the existence of inventory costs but does not provide any recommendations on this ("we are not yet prepared to offer guidance on this issue").</t>
  </si>
  <si>
    <t>Fuel Costs</t>
  </si>
  <si>
    <t>Petroleum Product Prices</t>
  </si>
  <si>
    <t>Components of Selected Petroleum Product Prices</t>
  </si>
  <si>
    <t>Reference</t>
  </si>
  <si>
    <t>Low Oil Price Scenario</t>
  </si>
  <si>
    <t>High Oil Price Scenario</t>
  </si>
  <si>
    <t>-</t>
  </si>
  <si>
    <t>Gasoline sales weighted-average price for all grades.  Includes Federal, State, and Local taxes.</t>
  </si>
  <si>
    <t> * Includes a 2 cent average local tax.</t>
  </si>
  <si>
    <t>Diesel fuel for on-road use.  Includes Federal and State taxes while excluding county and local taxes.</t>
  </si>
  <si>
    <t>Retail Gasoline Prices, $ per Gallon</t>
  </si>
  <si>
    <t>Retail Diesel Fuel Prices, $ per Gallon</t>
  </si>
  <si>
    <t>Real Growth in Gasoline Prices</t>
  </si>
  <si>
    <t>Real Growth in Diesel Fuel Prices</t>
  </si>
  <si>
    <t>If you are using a Real Resources approach, use the above cost estimates, net of federal and state taxes.</t>
  </si>
  <si>
    <t>If you are using a Willingness-to-Pay approach, use market prices (gross of all taxes) to estimate user benefits, but net out changes in tax revenue in the BCA calculus.</t>
  </si>
  <si>
    <t>If you are using a $ per VMT fuel cost estimate, you may consider using the real growth rates above for future years.</t>
  </si>
  <si>
    <t>If you want to include variations in fuel prices in the sensitivity analysis, use the HIGH and LOW oil price scenarios defined by EIA.</t>
  </si>
  <si>
    <t>Vehicle Operating Costs</t>
  </si>
  <si>
    <t>Unit Costs - in 1997 dollars</t>
  </si>
  <si>
    <t>Data:</t>
  </si>
  <si>
    <t>Fuel Cost</t>
  </si>
  <si>
    <t>Tire Cost</t>
  </si>
  <si>
    <t>Repair and Maintenance Cost</t>
  </si>
  <si>
    <t>Vehicle Depreciable Value</t>
  </si>
  <si>
    <t>Oil Cost</t>
  </si>
  <si>
    <t>Units:</t>
  </si>
  <si>
    <t>$ per gallon</t>
  </si>
  <si>
    <t>$ per tire</t>
  </si>
  <si>
    <t>average cost per vehicle per 1,000 miles</t>
  </si>
  <si>
    <t>average depreciable value per vehicle</t>
  </si>
  <si>
    <t>$ per quart (includes cost of labor for changing oil)</t>
  </si>
  <si>
    <t>4-Tire Truck</t>
  </si>
  <si>
    <t>See 'FUEL COST' sheet</t>
  </si>
  <si>
    <t>6-Tire Truck</t>
  </si>
  <si>
    <t>3-4 Axle Truck</t>
  </si>
  <si>
    <t>4-Axle Combo</t>
  </si>
  <si>
    <t>5-Axle Combo</t>
  </si>
  <si>
    <t>Small Automobile</t>
  </si>
  <si>
    <t>Med/Lg Automobile</t>
  </si>
  <si>
    <t>Source:</t>
  </si>
  <si>
    <t>Dollar Year</t>
  </si>
  <si>
    <t>Relevant CPI</t>
  </si>
  <si>
    <t>BLS Series CUUR0000SETC01</t>
  </si>
  <si>
    <t>BLS Series CUUR0000SETD</t>
  </si>
  <si>
    <t>BLS Series CUUR0000SS45021</t>
  </si>
  <si>
    <t>BLS Series CUUR0000SS47021</t>
  </si>
  <si>
    <t>Relevant Price Indices for VOC Escalation</t>
  </si>
  <si>
    <t>Series Item --&gt;</t>
  </si>
  <si>
    <t>Tires</t>
  </si>
  <si>
    <t>Motor vehicle maintenance and repair</t>
  </si>
  <si>
    <t>New trucks</t>
  </si>
  <si>
    <t>New cars</t>
  </si>
  <si>
    <t>Series ID --&gt;</t>
  </si>
  <si>
    <t>CUUR0000SETC01</t>
  </si>
  <si>
    <t>CUUR0000SETD</t>
  </si>
  <si>
    <t>CUUR0000SS45021</t>
  </si>
  <si>
    <t>CUUS0000SS45011</t>
  </si>
  <si>
    <t>See 'FUEL COSTS' sheet</t>
  </si>
  <si>
    <t>All vehicle operating costs - other than fuel - may be held constant in real terms.</t>
  </si>
  <si>
    <t>Depending on the traffic data available for your project, you may be able to use VOC consumption rate tables from the FHWA Highway Economic Requirements System (HERS) to estimate changes in fuel, tire, oil, etc. consumption.</t>
  </si>
  <si>
    <t>You may also consider using estimates of vehicle operating costs per mile from AAA:</t>
  </si>
  <si>
    <t>AAA Composite Average Auto Fleet</t>
  </si>
  <si>
    <t>Operating Costs, Cents per mile</t>
  </si>
  <si>
    <t>Include fuel taxes?</t>
  </si>
  <si>
    <t>Maintenance</t>
  </si>
  <si>
    <t>Total Operating Costs, Cents per mile</t>
  </si>
  <si>
    <t>Ownership Costs, Dollars per year</t>
  </si>
  <si>
    <t>Full-Coverage Insurance</t>
  </si>
  <si>
    <t>License, Registration, Taxes</t>
  </si>
  <si>
    <t>Depreciation</t>
  </si>
  <si>
    <t>Finance Charge</t>
  </si>
  <si>
    <t>Total Ownership Costs, Dollars per year</t>
  </si>
  <si>
    <t>Estimates of truck operating costs per mile are available from:</t>
  </si>
  <si>
    <t>Vehicle-based</t>
  </si>
  <si>
    <t>Truck / Trailer Lease or Purchase Payments</t>
  </si>
  <si>
    <t>Repair &amp; Maintenance</t>
  </si>
  <si>
    <t>Truck Insurance Premiums</t>
  </si>
  <si>
    <t>Permits &amp; Licenses</t>
  </si>
  <si>
    <t>Tolls</t>
  </si>
  <si>
    <t>Driver-based</t>
  </si>
  <si>
    <t>Driver Wages</t>
  </si>
  <si>
    <t>Driver Benefits</t>
  </si>
  <si>
    <t>Table 5 – NOx Emission Factors (g/gal)</t>
  </si>
  <si>
    <t>Table 6 – PM10 Emission Factors (g/gal)</t>
  </si>
  <si>
    <t>Table 7 - HC Emission Factors (g/gal)</t>
  </si>
  <si>
    <t>Large Line-Haul</t>
  </si>
  <si>
    <t>Small Railroads</t>
  </si>
  <si>
    <t xml:space="preserve">Passenger/Commuter </t>
  </si>
  <si>
    <t>Overall Average</t>
  </si>
  <si>
    <t>HC to VOC Conversion Factor</t>
  </si>
  <si>
    <t>PM10 to PM2.5 Conversion Factor</t>
  </si>
  <si>
    <t>Base Year</t>
  </si>
  <si>
    <t>Discount Factor</t>
  </si>
  <si>
    <t>Net Impacts</t>
  </si>
  <si>
    <t>Benefits Index</t>
  </si>
  <si>
    <t>United States Environmental Protection Agency, Office of Transportation and Air Quality, "Emission Factors for Locomotives", EPA-420-F-09-025, April 2009.</t>
  </si>
  <si>
    <t>Undiscounted Impacts</t>
  </si>
  <si>
    <t>CO</t>
  </si>
  <si>
    <t>CO2 Emission Factors (g/gal)</t>
  </si>
  <si>
    <t>VOC Emission Factors (g/gal)</t>
  </si>
  <si>
    <t>PM2.5 Emission Factors (g/gal)</t>
  </si>
  <si>
    <t>SO2 Emission Factors (g/gal)</t>
  </si>
  <si>
    <t>Constant</t>
  </si>
  <si>
    <t>Diesel Fuel Burned at Idle - Trucks</t>
  </si>
  <si>
    <t>$/year</t>
  </si>
  <si>
    <t>$/gal</t>
  </si>
  <si>
    <t>Capital Costs</t>
  </si>
  <si>
    <t>gal/year</t>
  </si>
  <si>
    <t>NOx Cost per Ton</t>
  </si>
  <si>
    <t>PM Cost per Ton</t>
  </si>
  <si>
    <t>(MOVES run based on climate of Johnson County, KS, in Kansas City metro area, as "representative" for national averages)</t>
  </si>
  <si>
    <t>NOx Emission Factors (g/tm)</t>
  </si>
  <si>
    <t>PM10 Emission Factors (g/tm)</t>
  </si>
  <si>
    <t>PM2.5 Emission Factors (g/tm)</t>
  </si>
  <si>
    <t>HC Emission Factors (g/tm)</t>
  </si>
  <si>
    <t>VOC Emission Factors (g/tm)</t>
  </si>
  <si>
    <t>CO2 Emission Factors (g/tm)</t>
  </si>
  <si>
    <t>SO2 Emission Factors (g/tm)</t>
  </si>
  <si>
    <t>Efficiency</t>
  </si>
  <si>
    <t>CO₂ Cost per Ton</t>
  </si>
  <si>
    <t>SO₂ Cost per Ton</t>
  </si>
  <si>
    <t>Table 13. 2000 Pavement, Congestion, Crash, Air Pollution, and Noise Costs for Illustrative Vehicles Under Specific Conditions</t>
  </si>
  <si>
    <t>Vehicle Class/Highway Class</t>
  </si>
  <si>
    <t>Pavement</t>
  </si>
  <si>
    <t>Congestion</t>
  </si>
  <si>
    <t>Crash</t>
  </si>
  <si>
    <t>Air Pollution</t>
  </si>
  <si>
    <t>Noise</t>
  </si>
  <si>
    <t>Autos/Rural Interstate</t>
  </si>
  <si>
    <t>Autos/Urban Interstate</t>
  </si>
  <si>
    <t>40 kip 4-axle S.U. Truck/Rural Interstate</t>
  </si>
  <si>
    <t>40 kip 4-axle S.U. Truck/Urban Interstate</t>
  </si>
  <si>
    <t>60 kip 4-axle S.U. Truck/Rural Interstate</t>
  </si>
  <si>
    <t>60 kip 4-axle S.U. Truck/Urban Interstate</t>
  </si>
  <si>
    <t>60 kip 5-axle Comb/Rural Interstate</t>
  </si>
  <si>
    <t>60 kip 5-axle Comb/Urban Interstate</t>
  </si>
  <si>
    <t>80 kip 5-axle Comb/Rural Interstate</t>
  </si>
  <si>
    <t>80 kip 5-axle Comb/Urban Interstate</t>
  </si>
  <si>
    <t>NOTE: S.U. = Single Unit, Comb. = Combination; Air pollution costs are averages of costs of travel on all rural and urban highway classes, not just Interstate. Available data do not allow differences in air pollution costs for heavy truck classes to be distinguished.</t>
  </si>
  <si>
    <t>Annual Growth in Real Accident Costs</t>
  </si>
  <si>
    <t>fatalities/year</t>
  </si>
  <si>
    <t>injuries/year</t>
  </si>
  <si>
    <t>Marginal External Costs</t>
  </si>
  <si>
    <t>Table V-22. 2000 Marginal External Costs for Noise (cents per mile)</t>
  </si>
  <si>
    <t>Rural Highways</t>
  </si>
  <si>
    <t>Urban Highways</t>
  </si>
  <si>
    <t>All Highways</t>
  </si>
  <si>
    <t>Middle</t>
  </si>
  <si>
    <t>Automobiles</t>
  </si>
  <si>
    <t>Pickups and Vans</t>
  </si>
  <si>
    <t>Buses</t>
  </si>
  <si>
    <t>Single Unit Trucks</t>
  </si>
  <si>
    <t>Combination Trucks</t>
  </si>
  <si>
    <t>All Vehicles</t>
  </si>
  <si>
    <t>Table V-23. 2000 Marginal External Costs for Congestion (cents per mile)</t>
  </si>
  <si>
    <t>Table V-24. 2000 Marginal External Costs for Crashes (cents per mile)</t>
  </si>
  <si>
    <t>Source: Federal Highway Administration, 1997 Federal Highway Cost Allocation Study, Tables V-22, V-23, and V-24</t>
  </si>
  <si>
    <t>Table II-11. Trends and Projections of VMT by Vehicle Class (millions)</t>
  </si>
  <si>
    <t>2000 perc.</t>
  </si>
  <si>
    <t>Autos</t>
  </si>
  <si>
    <t>Source: Federal Highway Administration, 1997 Federal Highway Cost Allocation Study, Table II-11</t>
  </si>
  <si>
    <t>Marginal External Costs - Additional Estimates used in some of our previous TIGER applications, in CENTS OF 2000 PER MILE</t>
  </si>
  <si>
    <t>CENTS per Mile</t>
  </si>
  <si>
    <t>Addendum to the 1997 Federal Highway Cost Allocation Study Final Report, May 2000</t>
  </si>
  <si>
    <t>External Costs of Additional Automobile Use</t>
  </si>
  <si>
    <t>$ per vmt</t>
  </si>
  <si>
    <t>Accidents</t>
  </si>
  <si>
    <t>External Costs of Additional Light-Truck Use (Pickups and Vans)</t>
  </si>
  <si>
    <t>External Costs of Additional Single Unit Truck Use</t>
  </si>
  <si>
    <t>External Costs of Additional Combination Truck Use</t>
  </si>
  <si>
    <t>Use the percent VMT in table II-11 to estimate average marginal external costs from the above table if you have no information on the vehicle mix.</t>
  </si>
  <si>
    <t>These are marginal cost estimates to be applied to changes in VMT (e.g., due to modal diversion), not to total VMT.</t>
  </si>
  <si>
    <t>Also consider the following alternative sources:</t>
  </si>
  <si>
    <t>Parry, Ian W. H., Margaret Walls, and Winston Harrington, “Automobile Externalities and Policies”, Resources For the Future, January 2007</t>
  </si>
  <si>
    <t>Mark Delucchi and Don McCubbin, External Costs of Transport in the U.S.,  in Handbook of Transport Economics, ed. by A. de Palma, R. Lindsey, E. Quinet, and R. Vickerman, Edward Elgar Publishing Ltd., 2010</t>
  </si>
  <si>
    <t>Cumulative Net Impacts</t>
  </si>
  <si>
    <t>Values were originally in grams/gallon but were converted to grams/ton-mile by using an efficiency rate of 400 grams/gallon in 2009 and an estimated increase in efficiency of 1.5% per year</t>
  </si>
  <si>
    <t>http://www.dot.gov/office-policy/transportation-policy/guidance-treatment-economic-value-statistical-life</t>
  </si>
  <si>
    <t>www.vtpi.org/airpollution.xls (link does not always work)</t>
  </si>
  <si>
    <t>US DOT, Revised Departmental Guidance on Valuation of Travel Time in Economic Analysis, Revision 2-corrected ; LOW and HIGH values updated by HDR</t>
  </si>
  <si>
    <t>http://www.eia.gov/forecasts/aeo/index.cfm</t>
  </si>
  <si>
    <t>HERS Technical Report, 2005</t>
  </si>
  <si>
    <t>https://www.fhwa.dot.gov/policy/otps/costallocation.cfm</t>
  </si>
  <si>
    <t>ANNUAL DATA</t>
  </si>
  <si>
    <t>Employment Cost Index, DECEMBER 2005 = 100, CONSTANT DOLLARS</t>
  </si>
  <si>
    <t>March</t>
  </si>
  <si>
    <t>June</t>
  </si>
  <si>
    <t>September</t>
  </si>
  <si>
    <t>December</t>
  </si>
  <si>
    <t>Annual (simple average)</t>
  </si>
  <si>
    <t>http://www.bls.gov/web/eci/ecconstnaics.txt</t>
  </si>
  <si>
    <t>Gross domestic product</t>
  </si>
  <si>
    <t>Personal consumption expenditures</t>
  </si>
  <si>
    <t xml:space="preserve">  Goods</t>
  </si>
  <si>
    <t xml:space="preserve">    Durable goods</t>
  </si>
  <si>
    <t xml:space="preserve">    Nondurable goods</t>
  </si>
  <si>
    <t xml:space="preserve">  Services</t>
  </si>
  <si>
    <t>Gross private domestic investment</t>
  </si>
  <si>
    <t xml:space="preserve">  Fixed investment</t>
  </si>
  <si>
    <t xml:space="preserve">    Nonresidential</t>
  </si>
  <si>
    <t xml:space="preserve">      Structures</t>
  </si>
  <si>
    <t xml:space="preserve">      Equipment</t>
  </si>
  <si>
    <t xml:space="preserve">      Intellectual property products</t>
  </si>
  <si>
    <t xml:space="preserve">    Residential</t>
  </si>
  <si>
    <t xml:space="preserve">  Change in private inventories</t>
  </si>
  <si>
    <t>---</t>
  </si>
  <si>
    <t>Net exports of goods and services</t>
  </si>
  <si>
    <t xml:space="preserve">  Exports</t>
  </si>
  <si>
    <t xml:space="preserve">    Goods</t>
  </si>
  <si>
    <t xml:space="preserve">    Services</t>
  </si>
  <si>
    <t xml:space="preserve">  Imports</t>
  </si>
  <si>
    <t>Government consumption expenditures and gross investment</t>
  </si>
  <si>
    <t xml:space="preserve">  Federal</t>
  </si>
  <si>
    <t xml:space="preserve">    National defense</t>
  </si>
  <si>
    <t xml:space="preserve">    Nondefense</t>
  </si>
  <si>
    <t xml:space="preserve">  State and local</t>
  </si>
  <si>
    <t>Addendum:</t>
  </si>
  <si>
    <t xml:space="preserve">  Gross national product</t>
  </si>
  <si>
    <t>http://www.bea.gov/iTable/iTable.cfm?ReqID=9&amp;step=1#reqid=9&amp;step=1&amp;isuri=1</t>
  </si>
  <si>
    <t>MONTHLY DATA</t>
  </si>
  <si>
    <t>Consumer Price Index - NOT SEASONALLY ADJUSTED</t>
  </si>
  <si>
    <t>Jan.</t>
  </si>
  <si>
    <t>Feb.</t>
  </si>
  <si>
    <t>Mar.</t>
  </si>
  <si>
    <t>Apr.</t>
  </si>
  <si>
    <t>May</t>
  </si>
  <si>
    <t>July</t>
  </si>
  <si>
    <t>Aug.</t>
  </si>
  <si>
    <t>Sep.</t>
  </si>
  <si>
    <t>Oct.</t>
  </si>
  <si>
    <t>Nov.</t>
  </si>
  <si>
    <t>Dec.</t>
  </si>
  <si>
    <t xml:space="preserve"> Avg</t>
  </si>
  <si>
    <t>HALF 1</t>
  </si>
  <si>
    <t>HALF 2</t>
  </si>
  <si>
    <t>All Urban Consumers - (CPI-U)</t>
  </si>
  <si>
    <t>U.S. city average</t>
  </si>
  <si>
    <t>All items</t>
  </si>
  <si>
    <t>1982-84=100</t>
  </si>
  <si>
    <t>CUUR0000SA0</t>
  </si>
  <si>
    <t>Consumer Price Index - SEASONALLY ADJUSTED</t>
  </si>
  <si>
    <t>Annual</t>
  </si>
  <si>
    <t>CUSR0000SA0</t>
  </si>
  <si>
    <t>Producer Price Index</t>
  </si>
  <si>
    <t>WPU00000000</t>
  </si>
  <si>
    <t>Not Seasonally Adjusted</t>
  </si>
  <si>
    <t>All commodities</t>
  </si>
  <si>
    <t>1982=100</t>
  </si>
  <si>
    <t>Consumer Price Index - All Urban Consumers</t>
  </si>
  <si>
    <t>Series Id:</t>
  </si>
  <si>
    <t>Area:</t>
  </si>
  <si>
    <t>Item:</t>
  </si>
  <si>
    <t>Base Period:</t>
  </si>
  <si>
    <t>Years:</t>
  </si>
  <si>
    <t>DECEMBER 1983=100</t>
  </si>
  <si>
    <t>hours/year</t>
  </si>
  <si>
    <t>Construction End</t>
  </si>
  <si>
    <t xml:space="preserve">First Year of Benefits </t>
  </si>
  <si>
    <t>Variable</t>
  </si>
  <si>
    <t>Growth in the Value of Time</t>
  </si>
  <si>
    <t>mph</t>
  </si>
  <si>
    <t>Unit</t>
  </si>
  <si>
    <t>$/hour</t>
  </si>
  <si>
    <t>Average Cost per Property Damage Only (PDO) Accident</t>
  </si>
  <si>
    <t>Average Cost per PDO Accident</t>
  </si>
  <si>
    <t>$/pdo accident</t>
  </si>
  <si>
    <t>gallons/hour</t>
  </si>
  <si>
    <t>Annual Growth in Real Accident Costs (%)</t>
  </si>
  <si>
    <t>Growth in the Value of Time (%)</t>
  </si>
  <si>
    <t xml:space="preserve">Impact Inputs and Calculations </t>
  </si>
  <si>
    <t xml:space="preserve">Vehicle Operating Cost Savings </t>
  </si>
  <si>
    <t>Motor Oil Cost</t>
  </si>
  <si>
    <t>quarts/hour</t>
  </si>
  <si>
    <t>Accident Costs, No-Build</t>
  </si>
  <si>
    <t>Accident Costs, Build</t>
  </si>
  <si>
    <t>GHG Emission Costs, No-Build</t>
  </si>
  <si>
    <t>CAC Emission Costs, No-Build</t>
  </si>
  <si>
    <t>GHG Emission Costs, Build</t>
  </si>
  <si>
    <t>CAC Emission Costs, Build</t>
  </si>
  <si>
    <t>Key Financial Metrics</t>
  </si>
  <si>
    <t>Impact Categories</t>
  </si>
  <si>
    <t>Inputs</t>
  </si>
  <si>
    <t>Key Inputs</t>
  </si>
  <si>
    <t>Results of the Benefit Cost Analysis</t>
  </si>
  <si>
    <t xml:space="preserve">Discount Rate </t>
  </si>
  <si>
    <t>Discount Rate, Sensitivity</t>
  </si>
  <si>
    <t>Speed</t>
  </si>
  <si>
    <t>VOC</t>
  </si>
  <si>
    <t>NOX</t>
  </si>
  <si>
    <t>CO2</t>
  </si>
  <si>
    <t xml:space="preserve">General Inputs and Calculations </t>
  </si>
  <si>
    <t>quarts/year</t>
  </si>
  <si>
    <t>PM2.5</t>
  </si>
  <si>
    <t>Known</t>
  </si>
  <si>
    <t>Cost of Motor Oil - Trucks ($/quart)</t>
  </si>
  <si>
    <t>feet</t>
  </si>
  <si>
    <t>Lead and Lag Time</t>
  </si>
  <si>
    <t>minutes</t>
  </si>
  <si>
    <t>trains/day</t>
  </si>
  <si>
    <t>% Share of Traffic, Auto</t>
  </si>
  <si>
    <t>% Share of Traffic, Truck</t>
  </si>
  <si>
    <t>Minutes per Day</t>
  </si>
  <si>
    <t>minutes/day</t>
  </si>
  <si>
    <t>Days per Year</t>
  </si>
  <si>
    <t>days/year</t>
  </si>
  <si>
    <t>Value of Time for Automobile Driver and Passenger</t>
  </si>
  <si>
    <t>Value of Time for Truck Driver</t>
  </si>
  <si>
    <t>Auto Occupancy</t>
  </si>
  <si>
    <t>persons</t>
  </si>
  <si>
    <t>Truck Occupancy</t>
  </si>
  <si>
    <t>Gasoline Burned at Idle - Autos</t>
  </si>
  <si>
    <t>US DOE: Alternative Fuels Data Center and Argonne National Laboratory, "Idle Reduction Savings Worksheet" (2014) - Average of gasoline passenger vehicles.</t>
  </si>
  <si>
    <t>Motor Oil Consumption at Idle - Autos</t>
  </si>
  <si>
    <t>Motor Oil Consumption at Idle - Trucks</t>
  </si>
  <si>
    <t>Cost of Motor Oil - Autos</t>
  </si>
  <si>
    <t>Cost of Motor Oil - Trucks</t>
  </si>
  <si>
    <t>AADT</t>
  </si>
  <si>
    <t>vehicles/day</t>
  </si>
  <si>
    <t>Share of Traffic - Auto (%)</t>
  </si>
  <si>
    <t>Share of Traffic - Truck (%)</t>
  </si>
  <si>
    <t>Vehicle Hours of Delay - Autos</t>
  </si>
  <si>
    <t>Vehicle Hours of Delay - Trucks</t>
  </si>
  <si>
    <t>Auto Occupancy (persons)</t>
  </si>
  <si>
    <t>Truck Occupancy (persons)</t>
  </si>
  <si>
    <t>Person Hours of Delay - Autos</t>
  </si>
  <si>
    <t>Person Hours of Delay - Trucks</t>
  </si>
  <si>
    <t>Total Vehicle Delay Costs, Build</t>
  </si>
  <si>
    <t>Expected Number of Fatalities at Crossing</t>
  </si>
  <si>
    <t>Expected Number of Injuries at Crossing</t>
  </si>
  <si>
    <t>Expected Number of PDO Accidents at Crossing</t>
  </si>
  <si>
    <t>pdo accidents/year</t>
  </si>
  <si>
    <t>Cost of Motor Oil - Autos ($/quart)</t>
  </si>
  <si>
    <t>Total Vehicle Operating Costs, Build</t>
  </si>
  <si>
    <t>Feet per Mile</t>
  </si>
  <si>
    <t>feet/mile</t>
  </si>
  <si>
    <t>Accident Cost Savings</t>
  </si>
  <si>
    <t>Minutes per Hour</t>
  </si>
  <si>
    <t>minutes/hour</t>
  </si>
  <si>
    <t>Total Vehicle Delay Costs, No-Build</t>
  </si>
  <si>
    <t>Total Vehicle Operating Costs, No-Build</t>
  </si>
  <si>
    <t>PV Costs</t>
  </si>
  <si>
    <t xml:space="preserve">Benefits </t>
  </si>
  <si>
    <t xml:space="preserve">Costs </t>
  </si>
  <si>
    <t>g/veh-hour</t>
  </si>
  <si>
    <t>Years of Benefits</t>
  </si>
  <si>
    <t>Total (M)</t>
  </si>
  <si>
    <t>Cumulative Benefits</t>
  </si>
  <si>
    <t>Study Period (Years)</t>
  </si>
  <si>
    <t>Cumulative Costs</t>
  </si>
  <si>
    <t xml:space="preserve">Total Capital Costs </t>
  </si>
  <si>
    <t>Net Present Value (NPV)</t>
  </si>
  <si>
    <t>Return on Investment (ROI)</t>
  </si>
  <si>
    <t>Benefit-Cost Ratio (BCR)</t>
  </si>
  <si>
    <t>Internal Rate of Return (IRR)</t>
  </si>
  <si>
    <t>PV Benefits</t>
  </si>
  <si>
    <t>Payback Period (years)</t>
  </si>
  <si>
    <t>Final Year of Benefits</t>
  </si>
  <si>
    <t>Emission Factors (g/gal) Adjusted for Efficiency Improvements</t>
  </si>
  <si>
    <t>NOx Emission Factors (g/gal)</t>
  </si>
  <si>
    <t>PM10 Emission Factors (g/gal)</t>
  </si>
  <si>
    <t>HC Emission Factors (g/gal)</t>
  </si>
  <si>
    <t>Average 2016-2050</t>
  </si>
  <si>
    <t>Growth Rate 2016-2050</t>
  </si>
  <si>
    <t>Sulfur Dioxide (SO2)</t>
  </si>
  <si>
    <t>https://www.epa.gov/sites/production/files/2016-12/documents/sc_co2_tsd_august_2016.pdf</t>
  </si>
  <si>
    <t>The 2016 BCA Resource Guide converted this to 2015 dollars and also shows the value to the nearest dollar.</t>
  </si>
  <si>
    <t>Corporate Average Fuel Economy for MY2017-MY2025 Passenger Cars and Light Trucks (August 2012), page 922, Table VIII-16, “Economic Values Used for Benefits Computations (2010 dollars)”
http://www.nhtsa.gov/staticfiles/rulemaking/pdf/cafe/FRIA_2017-2025.pdf
Note: Values are inflated from 2010 dollars to 2016 dollars using the GDP deflator (see INFRA guidance, p. 32).</t>
  </si>
  <si>
    <t>Full name(s)</t>
  </si>
  <si>
    <t>Common name</t>
  </si>
  <si>
    <t>Quantity (lb)</t>
  </si>
  <si>
    <t>Quantity (kg)</t>
  </si>
  <si>
    <t>long ton, weight ton, gross ton</t>
  </si>
  <si>
    <t>"ton" (UK)</t>
  </si>
  <si>
    <t>Used in countries such as the United Kingdom that formerly used the Imperial system</t>
  </si>
  <si>
    <t>short ton, net ton</t>
  </si>
  <si>
    <t>"ton" (US)</t>
  </si>
  <si>
    <t>Used in North America</t>
  </si>
  <si>
    <t>tonne</t>
  </si>
  <si>
    <t>"metric ton"</t>
  </si>
  <si>
    <t>Defined in the International System of Units</t>
  </si>
  <si>
    <t>http://en.wikipedia.org/wiki/Ton</t>
  </si>
  <si>
    <t>Verified 06/15/2018</t>
  </si>
  <si>
    <t>https://www.transportation.gov/office-policy/transportation-policy/revised-departmental-guidance-valuation-travel-time-economic</t>
  </si>
  <si>
    <t>Note</t>
  </si>
  <si>
    <t>Vehicle Type</t>
  </si>
  <si>
    <t>Occupancy</t>
  </si>
  <si>
    <t>Applicants are encouraged to rely on localized data or analysis that is specific to the corridor being improved and, where available, by time of day (particularly when travel time savings are being generated by reductions in peak-period delay) in generating assumptions about vehicle occupancy factors, and document those sources and assumptions in the BCA. In</t>
  </si>
  <si>
    <t>Passenger Vehicles</t>
  </si>
  <si>
    <t>Trucks</t>
  </si>
  <si>
    <t>Calculated based on VOT recommendations</t>
  </si>
  <si>
    <t xml:space="preserve">At this time, US DOT does not recommend up-rating the value of travel time savings over time. I.e. a constant VTTS should be used. </t>
  </si>
  <si>
    <t xml:space="preserve">Commuting is a form of personal travel; it is not business travel. </t>
  </si>
  <si>
    <t>Use BCA Guidance if no specific local data is available.</t>
  </si>
  <si>
    <t>The DOT VOT Guidance recognizes that a lower VOT may be used when work can be performed during travel, but does not provide any specific recommendations.</t>
  </si>
  <si>
    <t>The BCA Guidance recognizes that an allowance (premium?) may be added to VOT to reflect improvements in travel time reliability, but does not provide any specific recommendations.</t>
  </si>
  <si>
    <t>TO MONETIZE EFFECTS OCCURING IN EACH YEAR OVER ANALYSIS PERIOD:</t>
  </si>
  <si>
    <t>THERE IS NO RECOMMENDATION TO INCREASE VOT OVER TIME BY SOME RATE OF GROWTH.</t>
  </si>
  <si>
    <t>CPI - All items in U.S. city average, all urban consumers, not seasonally adjusted; CUUR0000SA0, CUUS0000SA0; ANNUAL AVERAGE</t>
  </si>
  <si>
    <t>https://www.bls.gov/cpi/</t>
  </si>
  <si>
    <t>PPI - All commodities, not seasonally adjusted; WPU00000000; ANNUAL AVERAGE</t>
  </si>
  <si>
    <t>https://www.bls.gov/ppi/</t>
  </si>
  <si>
    <t>Total compensation, all civilian workers, not seasonally adjusted</t>
  </si>
  <si>
    <t>BCA Guidance on Inflation Adjustments</t>
  </si>
  <si>
    <t>https://www.transportation.gov/office-policy/transportation-policy/benefit-cost-analysis-guidance</t>
  </si>
  <si>
    <t>Federal, state &amp; local taxes as percent of end-user price in 2017</t>
  </si>
  <si>
    <t>EIA, AEO 2017, Components of Selected Petroleum Product Prices, United States</t>
  </si>
  <si>
    <t>Source: 2015 Traffic Safety Facts FARS/GES Annual Report, Publication DOT HS 812 384, Table 54, page 106</t>
  </si>
  <si>
    <t>https://crashstats.nhtsa.dot.gov/Api/Public/ViewPublication/812384</t>
  </si>
  <si>
    <t>Source: National Highway Traffic Safety Administration, July 2011, table provided in US DOT FASTLANE II November 2016, page 12</t>
  </si>
  <si>
    <t>Project Development Begins</t>
  </si>
  <si>
    <t>year</t>
  </si>
  <si>
    <t>years</t>
  </si>
  <si>
    <t>Discount Rate</t>
  </si>
  <si>
    <t>General Inputs</t>
  </si>
  <si>
    <t>FRA Crossing Number</t>
  </si>
  <si>
    <t>ID</t>
  </si>
  <si>
    <t>Crossing Location: Urban/Rural</t>
  </si>
  <si>
    <t>Road Type</t>
  </si>
  <si>
    <t>Thru Trains per Day</t>
  </si>
  <si>
    <t>Number of Main Tracks</t>
  </si>
  <si>
    <t>main tracks</t>
  </si>
  <si>
    <t>total tracks</t>
  </si>
  <si>
    <t>Total Number of Tracks at Crossing</t>
  </si>
  <si>
    <t>Number of Main Tracks at Crossing</t>
  </si>
  <si>
    <t>Maximum Time Table Speed</t>
  </si>
  <si>
    <t>Is the Highway Paved?</t>
  </si>
  <si>
    <t>Yes</t>
  </si>
  <si>
    <t>Crossing Type</t>
  </si>
  <si>
    <t>Total Number of Highway/Roadway Lanes at Crossing</t>
  </si>
  <si>
    <t>lanes</t>
  </si>
  <si>
    <t>Highway/Roadway Speed Limit</t>
  </si>
  <si>
    <t>Average Train Speeds</t>
  </si>
  <si>
    <t>Average Vehicles per Day at Crossing (AADT)</t>
  </si>
  <si>
    <t>Annual Growth in Vehicle Traffic</t>
  </si>
  <si>
    <t>AADT Growth</t>
  </si>
  <si>
    <t>No-Build Scenario</t>
  </si>
  <si>
    <t>Passive</t>
  </si>
  <si>
    <t>Build Scenario</t>
  </si>
  <si>
    <t>Parameters</t>
  </si>
  <si>
    <t>Factor</t>
  </si>
  <si>
    <t>Urban or Rural</t>
  </si>
  <si>
    <t>ur</t>
  </si>
  <si>
    <t>Paved Highway</t>
  </si>
  <si>
    <t>hp</t>
  </si>
  <si>
    <t>Highway Type</t>
  </si>
  <si>
    <t>ht</t>
  </si>
  <si>
    <t>Urban - Local</t>
  </si>
  <si>
    <t>mt</t>
  </si>
  <si>
    <t>Number of Highway Lanes</t>
  </si>
  <si>
    <t>hl</t>
  </si>
  <si>
    <t>tk</t>
  </si>
  <si>
    <t>Average Vehicles per day (AADT)</t>
  </si>
  <si>
    <t>c</t>
  </si>
  <si>
    <t>Average Total Trains per day</t>
  </si>
  <si>
    <t>t</t>
  </si>
  <si>
    <t>Number of Thru Trains</t>
  </si>
  <si>
    <t>tt</t>
  </si>
  <si>
    <t>Number of Thru Trains per Day during Daylight</t>
  </si>
  <si>
    <t>d</t>
  </si>
  <si>
    <t>ts</t>
  </si>
  <si>
    <t>Maximum Timetable Speed (mph)</t>
  </si>
  <si>
    <t>ms</t>
  </si>
  <si>
    <t>Fatal Accidents</t>
  </si>
  <si>
    <t>Injury Accidents</t>
  </si>
  <si>
    <t>Accidents Prediction Formula</t>
  </si>
  <si>
    <t>Exposure Index Factor</t>
  </si>
  <si>
    <t>EI</t>
  </si>
  <si>
    <t>Main Tracks Factor</t>
  </si>
  <si>
    <t>MT</t>
  </si>
  <si>
    <t>Day Thru Trains Factor</t>
  </si>
  <si>
    <t>DT</t>
  </si>
  <si>
    <t>Highway Paved Factor</t>
  </si>
  <si>
    <t>HP</t>
  </si>
  <si>
    <t>Maximum Speed Factor</t>
  </si>
  <si>
    <t>MS</t>
  </si>
  <si>
    <t>Highway Type Factor</t>
  </si>
  <si>
    <t>HT</t>
  </si>
  <si>
    <t>Highway Lanes Factor</t>
  </si>
  <si>
    <t>HL</t>
  </si>
  <si>
    <t>Flashing Lights</t>
  </si>
  <si>
    <t>Gates</t>
  </si>
  <si>
    <t>Number of Accidents</t>
  </si>
  <si>
    <t>Probability of Fatality Given Accident</t>
  </si>
  <si>
    <t>Maximum Timetable Train Speed Factor</t>
  </si>
  <si>
    <t>TT</t>
  </si>
  <si>
    <t>Swith Train per Day</t>
  </si>
  <si>
    <t>TS</t>
  </si>
  <si>
    <t>Urban-Rural Crossing Factor</t>
  </si>
  <si>
    <t>UR</t>
  </si>
  <si>
    <t>Probability of Fatality</t>
  </si>
  <si>
    <t>Probability of Injury Given Accident</t>
  </si>
  <si>
    <t>Fatal Accident Probability</t>
  </si>
  <si>
    <t>P(FA|A)</t>
  </si>
  <si>
    <t>Numerator</t>
  </si>
  <si>
    <t>1-P(FA|A)</t>
  </si>
  <si>
    <t>Number of Tracks Factor</t>
  </si>
  <si>
    <t>TK</t>
  </si>
  <si>
    <t>Probability of Injury</t>
  </si>
  <si>
    <t>Exposure Index</t>
  </si>
  <si>
    <t>Rural - Interstate</t>
  </si>
  <si>
    <t>Rural - Other Principal Arterial</t>
  </si>
  <si>
    <t>Rural - Minor Arterial</t>
  </si>
  <si>
    <t>Rural - Major Collector</t>
  </si>
  <si>
    <t>Rural - Minor Collector</t>
  </si>
  <si>
    <t>Rural - Local</t>
  </si>
  <si>
    <t>Urban - Interstate</t>
  </si>
  <si>
    <t>Urban - Other Freeway or Expressway</t>
  </si>
  <si>
    <t>Urban - Other Principal Arterial</t>
  </si>
  <si>
    <t>Urban - Minor Arterial</t>
  </si>
  <si>
    <t>Urban - Collector</t>
  </si>
  <si>
    <t>Urban or Rural Crossing</t>
  </si>
  <si>
    <t>No</t>
  </si>
  <si>
    <t>B = second collision prediction, collisions per year at the crossing</t>
  </si>
  <si>
    <t xml:space="preserve">a = initial collision prediction from basic formula, collisions per year at the crossing </t>
  </si>
  <si>
    <t>N/T = collision history prediction, collisions per year, where N is the number of observed collisions in T years at the crossing</t>
  </si>
  <si>
    <r>
      <t xml:space="preserve">Source: </t>
    </r>
    <r>
      <rPr>
        <i/>
        <sz val="10"/>
        <color theme="1"/>
        <rFont val="Arial"/>
        <family val="2"/>
        <scheme val="minor"/>
      </rPr>
      <t xml:space="preserve">Railroad-Highway Grade Crossing Handbook, Second Edition. </t>
    </r>
    <r>
      <rPr>
        <sz val="10"/>
        <color theme="1"/>
        <rFont val="Arial"/>
        <family val="2"/>
        <scheme val="minor"/>
      </rPr>
      <t>Washington, DC: U.S. Department of Transportation, Federal Highway Administration, 1986.</t>
    </r>
  </si>
  <si>
    <t>FRA Accidents Prediction Calculator</t>
  </si>
  <si>
    <t>FRA Accidents Prediction Calculator Methodology and Reference</t>
  </si>
  <si>
    <t>Expected Benefit</t>
  </si>
  <si>
    <t>Emissions Cost Savings</t>
  </si>
  <si>
    <t>CO₂ Emission Costs from Idling</t>
  </si>
  <si>
    <t>NOx Emission Costs from Idling</t>
  </si>
  <si>
    <t>PM Emission Costs from Idling</t>
  </si>
  <si>
    <t>SO₂ Emission Costs from Idling</t>
  </si>
  <si>
    <t xml:space="preserve">No-Build Scenario </t>
  </si>
  <si>
    <t>Motor Oil Consumed - Autos (quarts/hr)</t>
  </si>
  <si>
    <t>Motor Oil Consumed - Trucks (quarts/hr)</t>
  </si>
  <si>
    <t>Total Gasoline Consumption</t>
  </si>
  <si>
    <t>Total Diesel Consumption</t>
  </si>
  <si>
    <t>Total O&amp;M Costs, No-Build</t>
  </si>
  <si>
    <t>Total O&amp;M Costs, Build</t>
  </si>
  <si>
    <t>Cost of Fatalities</t>
  </si>
  <si>
    <t>Cost of Injuries</t>
  </si>
  <si>
    <t xml:space="preserve">Cost of PDO Accidents </t>
  </si>
  <si>
    <t>Auto Emissions</t>
  </si>
  <si>
    <t>MOVES Average Annual Emissions Factors for Passenger Cars (g/mile)</t>
  </si>
  <si>
    <t>PM10</t>
  </si>
  <si>
    <t>SOX</t>
  </si>
  <si>
    <t>Idle</t>
  </si>
  <si>
    <t>Speed Reference</t>
  </si>
  <si>
    <t>Idling Speed Reference</t>
  </si>
  <si>
    <t>Used emissions from passenger cars traveling at 2.5mph to indicate emissions from idling passenger vehicles</t>
  </si>
  <si>
    <t>Truck Emissions</t>
  </si>
  <si>
    <t>CO₂ per Gallon of Fuel Burned at Idle - Autos</t>
  </si>
  <si>
    <t>NOx per Gallon of Fuel Burned at Idle - Autos</t>
  </si>
  <si>
    <t>PM per Gallon of Fuel  Burned at Idle - Autos</t>
  </si>
  <si>
    <t>SO₂ per Gallon of Fuel  Burned at Idle - Autos</t>
  </si>
  <si>
    <t>CO₂ per Gallon of Fuel Burned at Idle - Trucks</t>
  </si>
  <si>
    <t>NOx per Gallon of Fuel Burned at Idle - Trucks</t>
  </si>
  <si>
    <t>PM per Gallon of Fuel  Burned at Idle - Trucks</t>
  </si>
  <si>
    <t>SO₂ per Gallon of Fuel  Burned at Idle - Trucks</t>
  </si>
  <si>
    <t>Idle (g/hr)</t>
  </si>
  <si>
    <t>Recommended Values</t>
  </si>
  <si>
    <t>MOVES Average Annual Emissions Factors for Light Commerical Trucks (g/mile)</t>
  </si>
  <si>
    <t>Crossing Inputs</t>
  </si>
  <si>
    <t>% Share of Traffic, School Busses</t>
  </si>
  <si>
    <t>Crossing ID</t>
  </si>
  <si>
    <t>Total Vehicle Hours of Delay</t>
  </si>
  <si>
    <t>Share of Traffic - School Bus (%)</t>
  </si>
  <si>
    <t>Vehicle Hours of Delay - Bus</t>
  </si>
  <si>
    <t xml:space="preserve">Build Scenario </t>
  </si>
  <si>
    <t>Assumed to be the same as Truck Occupancy.</t>
  </si>
  <si>
    <t>Bus Drivers per Bus</t>
  </si>
  <si>
    <t>Bus Drivers (person)</t>
  </si>
  <si>
    <t>Person Hours of Delay - Bus</t>
  </si>
  <si>
    <t>Bus Emissions</t>
  </si>
  <si>
    <t>Bus Emission Rates - CAL-BC Model</t>
  </si>
  <si>
    <t xml:space="preserve">Bus Emission Rates - CAL-BC Model </t>
  </si>
  <si>
    <t>HIGHWAY EMISSIONS FACTORS (g/mi)</t>
  </si>
  <si>
    <t>Model Year 2016</t>
  </si>
  <si>
    <t>Model Year 2036</t>
  </si>
  <si>
    <t>Mode</t>
  </si>
  <si>
    <r>
      <t>CO</t>
    </r>
    <r>
      <rPr>
        <b/>
        <vertAlign val="subscript"/>
        <sz val="10"/>
        <rFont val="Arial"/>
        <family val="2"/>
      </rPr>
      <t>2</t>
    </r>
  </si>
  <si>
    <r>
      <t>NO</t>
    </r>
    <r>
      <rPr>
        <b/>
        <vertAlign val="subscript"/>
        <sz val="10"/>
        <rFont val="Arial"/>
        <family val="2"/>
      </rPr>
      <t>X</t>
    </r>
  </si>
  <si>
    <r>
      <t>PM</t>
    </r>
    <r>
      <rPr>
        <b/>
        <vertAlign val="subscript"/>
        <sz val="10"/>
        <rFont val="Arial"/>
        <family val="2"/>
      </rPr>
      <t>10</t>
    </r>
  </si>
  <si>
    <r>
      <t>SO</t>
    </r>
    <r>
      <rPr>
        <b/>
        <vertAlign val="subscript"/>
        <sz val="10"/>
        <rFont val="Arial"/>
        <family val="2"/>
      </rPr>
      <t>X</t>
    </r>
  </si>
  <si>
    <t>Bus</t>
  </si>
  <si>
    <t xml:space="preserve">Recommendations for CRISI May 2018 </t>
  </si>
  <si>
    <t>Motor Oil Consumption at Idle - Bus</t>
  </si>
  <si>
    <t>Motor Oil Consumed - School Bus (quarts/hr)</t>
  </si>
  <si>
    <t>Motor Oil Consumption at Idle - School Bus</t>
  </si>
  <si>
    <t>Vehicle Hours of Delay - School Bus</t>
  </si>
  <si>
    <t>Cost of Motor Oil - Bus</t>
  </si>
  <si>
    <t>Ongoing Maintenance - No Build</t>
  </si>
  <si>
    <t>Ongoing Maintenance - Build</t>
  </si>
  <si>
    <t>Value of Time for Bus Driver</t>
  </si>
  <si>
    <t>Cost of Motor Oil - Bus ($/quart)</t>
  </si>
  <si>
    <t>CO₂ per Gallon of Fuel Burned at Idle - Buses</t>
  </si>
  <si>
    <t>NOx per Gallon of Fuel Burned at Idle - Buses</t>
  </si>
  <si>
    <t>PM per Gallon of Fuel  Burned at Idle - Buses</t>
  </si>
  <si>
    <t>SO₂ per Gallon of Fuel  Burned at Idle - Buses</t>
  </si>
  <si>
    <t>Local</t>
  </si>
  <si>
    <t>Average Vehicles per Day at Crossing (AADT) Data Year</t>
  </si>
  <si>
    <t>Avoided Fatalities</t>
  </si>
  <si>
    <t xml:space="preserve">Avoided Injuries </t>
  </si>
  <si>
    <t>Avoided PDO Accidents</t>
  </si>
  <si>
    <t>Gasoline Burned at Idle - Autos (gal/hr)</t>
  </si>
  <si>
    <t>Diesel Fuel Burned at Idle - Trucks (gal/hr)</t>
  </si>
  <si>
    <t>Diesel Fuel Burned at Idle - Bus</t>
  </si>
  <si>
    <t>Diesel Fuel Burned at Idle - Bus (gal/hr)</t>
  </si>
  <si>
    <t>Gasoline Consumption at Idle</t>
  </si>
  <si>
    <t>Diesel Consumption at Idle</t>
  </si>
  <si>
    <t>Benefit Calculations</t>
  </si>
  <si>
    <t>Summary of Infrastructure Improvements and Associated Benefits</t>
  </si>
  <si>
    <t>Current Status or Baseline 
&amp; Problems to be Addressed</t>
  </si>
  <si>
    <t>Changes to Baseline / Alternative</t>
  </si>
  <si>
    <t>Type of Impacts</t>
  </si>
  <si>
    <t>Population Affected by Impacts</t>
  </si>
  <si>
    <t>Economic Benefits</t>
  </si>
  <si>
    <t>Summary of Total Project Benefits and Costs</t>
  </si>
  <si>
    <t>Project Year</t>
  </si>
  <si>
    <t>Direct Beneficiaries</t>
  </si>
  <si>
    <t>Total Economic Benefits</t>
  </si>
  <si>
    <t>Undiscounted Net Benefits</t>
  </si>
  <si>
    <t>Discounted Total Benefits at 7%</t>
  </si>
  <si>
    <t>Discounted Total Costs at 7%</t>
  </si>
  <si>
    <t>Discounted Net Benefits at 7%</t>
  </si>
  <si>
    <t>Workers otherwise unemployed (shadow wage benefit); not quantified</t>
  </si>
  <si>
    <t>Federal and State governments, pedestrians, cyclists, motorists, local residents and businesses, trucking companies, property owners along the project corridor, and other residents across the country.</t>
  </si>
  <si>
    <t>Summary of Project Benefits by Benefit Type</t>
  </si>
  <si>
    <t>Key Quantified Impacts</t>
  </si>
  <si>
    <t>Avoided Person Hours of Travel Time</t>
  </si>
  <si>
    <t>hr/year</t>
  </si>
  <si>
    <t>Avoided Vehicle Hours of Travel Time</t>
  </si>
  <si>
    <t>Avoided Person Hours of Delay</t>
  </si>
  <si>
    <t>Avoided Vehicle Hours of Delay</t>
  </si>
  <si>
    <t>CO₂ Emission Avoided</t>
  </si>
  <si>
    <t>NOx Emission Avoided</t>
  </si>
  <si>
    <t>PM Emission Avoided</t>
  </si>
  <si>
    <t>SO₂ Emission Avoided</t>
  </si>
  <si>
    <t>tons/year</t>
  </si>
  <si>
    <t>Avoided Gasoline Consumption</t>
  </si>
  <si>
    <t>Avoided Diesel Consumption</t>
  </si>
  <si>
    <t>Avoided Motor Oil Consumption</t>
  </si>
  <si>
    <t>PDO-Accidents Avoided</t>
  </si>
  <si>
    <t>pdo-accidents/year</t>
  </si>
  <si>
    <t>Fatalities Avoided</t>
  </si>
  <si>
    <t>Injuries Avoided</t>
  </si>
  <si>
    <t>CO₂ Emissions Avoided</t>
  </si>
  <si>
    <t>NOx Emissions Avoided</t>
  </si>
  <si>
    <t>PM Emissions Avoided</t>
  </si>
  <si>
    <t>SO₂ Emissions Avoided</t>
  </si>
  <si>
    <t>Total Over Study Period</t>
  </si>
  <si>
    <t>fatalities</t>
  </si>
  <si>
    <t>injuries</t>
  </si>
  <si>
    <t>pdo-accidents</t>
  </si>
  <si>
    <t>hours</t>
  </si>
  <si>
    <t>tons</t>
  </si>
  <si>
    <t>gallons</t>
  </si>
  <si>
    <t>quarts</t>
  </si>
  <si>
    <t>Summary of Pertinent Quantifiable Data</t>
  </si>
  <si>
    <t>Capital Expenditures</t>
  </si>
  <si>
    <t>Travel Time Cost Savings</t>
  </si>
  <si>
    <t>Structure and Logic (S&amp;L) Diagrams</t>
  </si>
  <si>
    <t>Comments/Alternative Sources to FRA Inventory</t>
  </si>
  <si>
    <t>Project Schedule</t>
  </si>
  <si>
    <t>Total Train Traffic</t>
  </si>
  <si>
    <t>Project Costs</t>
  </si>
  <si>
    <t>Land Value Increase Benefit Estimates</t>
  </si>
  <si>
    <t>Current Price per Acre</t>
  </si>
  <si>
    <t>Post-removal Price per Acre</t>
  </si>
  <si>
    <t>Incremental Price Uplift</t>
  </si>
  <si>
    <t>Total Acreage</t>
  </si>
  <si>
    <t>Total One-time Benefit</t>
  </si>
  <si>
    <t>Land Value Increase</t>
  </si>
  <si>
    <t>Land Value Increase from Rail Removal</t>
  </si>
  <si>
    <t>Percentage of Project Costs</t>
  </si>
  <si>
    <t>Expected Effects on Long-Term Outcomes and Benefit Categories</t>
  </si>
  <si>
    <t>Benefit or Impact Categories</t>
  </si>
  <si>
    <t>Description</t>
  </si>
  <si>
    <t>Monetized</t>
  </si>
  <si>
    <t>Qualitative</t>
  </si>
  <si>
    <t>General Assumptions used in the Estimation of Demand</t>
  </si>
  <si>
    <t>Variable Name</t>
  </si>
  <si>
    <t>Date</t>
  </si>
  <si>
    <t>Demand</t>
  </si>
  <si>
    <t>Demand Projections - Train</t>
  </si>
  <si>
    <t>Demand Projections - Vehicles</t>
  </si>
  <si>
    <t>Category</t>
  </si>
  <si>
    <t>In Project Opening Year</t>
  </si>
  <si>
    <t>Discounted at 7 Percent</t>
  </si>
  <si>
    <t>Assumptions used in the Estimation of Accident Cost Savings</t>
  </si>
  <si>
    <t>Assumptions used in the Estimation of Travel Time Savings</t>
  </si>
  <si>
    <t>Assumptions used in the Estimation of Vehicle Operating Cost Savings</t>
  </si>
  <si>
    <t>Assumptions used in the Estimation of Land Value Increase</t>
  </si>
  <si>
    <t>Assumptions used in the Estimation of O&amp;M Cost Savings</t>
  </si>
  <si>
    <t>Project Evaluation Metric</t>
  </si>
  <si>
    <t>7% Discount Rate</t>
  </si>
  <si>
    <t>3% Discount Rate</t>
  </si>
  <si>
    <t xml:space="preserve">Total Discounted Benefits </t>
  </si>
  <si>
    <t xml:space="preserve">Total Discounted Costs </t>
  </si>
  <si>
    <t xml:space="preserve">Net Present Value </t>
  </si>
  <si>
    <t>Benefit / Cost Ratio</t>
  </si>
  <si>
    <t>Internal Rate of Return (%)</t>
  </si>
  <si>
    <t>* Unless Specified Otherwise</t>
  </si>
  <si>
    <t>Benefit Estimates by Long-Term Outcome for the Full Build Alternative</t>
  </si>
  <si>
    <t>Total Benefit Estimates</t>
  </si>
  <si>
    <t>Quantitative Assessment of Sensitivity, Summary</t>
  </si>
  <si>
    <t>Original NPV (discounted at 7%)</t>
  </si>
  <si>
    <t>Change in Parameter Value</t>
  </si>
  <si>
    <t>New NPV (discounted at 7%)</t>
  </si>
  <si>
    <t xml:space="preserve">Change in NPV </t>
  </si>
  <si>
    <t>New B/C Ratio</t>
  </si>
  <si>
    <t>Annual Estimates of Total Project Benefits and Costs</t>
  </si>
  <si>
    <t>Discounted Net Benefits at 3%</t>
  </si>
  <si>
    <t>7% disc</t>
  </si>
  <si>
    <t>3% disc</t>
  </si>
  <si>
    <t>Annual Demand Projections</t>
  </si>
  <si>
    <t>Accident Cost Savings Pertinent Quantifiable Impacts</t>
  </si>
  <si>
    <t>Accident Cost Savings Annual Benefit Estimate</t>
  </si>
  <si>
    <t>Total Discounted Benefits at 7%</t>
  </si>
  <si>
    <t>Total Discounted Benefits at 3%</t>
  </si>
  <si>
    <t>Average Daily Vehicle Traffic</t>
  </si>
  <si>
    <t xml:space="preserve">Travel Time Savings </t>
  </si>
  <si>
    <t>Quality of Life</t>
  </si>
  <si>
    <t>Local residents</t>
  </si>
  <si>
    <t>Railroad operators and local government</t>
  </si>
  <si>
    <t>Local residents and residents across the county</t>
  </si>
  <si>
    <t>Shippers, motorists, local businesses and residents</t>
  </si>
  <si>
    <t>Shippers, motorists, and local businesses</t>
  </si>
  <si>
    <t>Local businesses, residents, and government</t>
  </si>
  <si>
    <t>Reduce emissions from idling vehicles delayed at grade crossings.</t>
  </si>
  <si>
    <t>N/A</t>
  </si>
  <si>
    <t>Increase the land value of prosperities due to the removal of the Provo Industrial Lead.</t>
  </si>
  <si>
    <t>The removal of the Provo Industrial Lead will reduce the noise levels, improve air quality, and support the promotion of public transportation.</t>
  </si>
  <si>
    <t>General Corridor Assumptions</t>
  </si>
  <si>
    <t>AADT Growth Rate</t>
  </si>
  <si>
    <t>bus/day</t>
  </si>
  <si>
    <t>Annual Vehicle Traffic</t>
  </si>
  <si>
    <t>trains/year</t>
  </si>
  <si>
    <t>Active</t>
  </si>
  <si>
    <t>Residual Value</t>
  </si>
  <si>
    <t>Detailed bottom up cost estimate as performed by HDR including maintenance related to gates, roadway surface, testing, signage, and marking.</t>
  </si>
  <si>
    <t>Assumptions used in the Estimation of Residual Value</t>
  </si>
  <si>
    <t>Assumption of 40 years for relatively light use of new track based on industry experience. Expected tie replacement, ballast lifts, and surface maintenance starting within 25 years, but excluded on an incremental basis as compared to existing infrastructure.</t>
  </si>
  <si>
    <t>Useful Life of New Tracks</t>
  </si>
  <si>
    <t>Years of Benefits (years)</t>
  </si>
  <si>
    <t>Useful Life of New Tracks (years)</t>
  </si>
  <si>
    <t>Service Life Remaining (years)</t>
  </si>
  <si>
    <t>Residual Value of ROW Land Purchase</t>
  </si>
  <si>
    <t>Capital Cost of New Tracks</t>
  </si>
  <si>
    <t>Capital Cost of ROW Land Purchases</t>
  </si>
  <si>
    <t>Local, state, and federal governments</t>
  </si>
  <si>
    <t>0% AADT Growth</t>
  </si>
  <si>
    <t>Lead Lag Time</t>
  </si>
  <si>
    <t>20 seconds</t>
  </si>
  <si>
    <t>Active/Inactive</t>
  </si>
  <si>
    <t>O&amp;M Costs Savings</t>
  </si>
  <si>
    <t>Reduce vehicle delay at crossings.</t>
  </si>
  <si>
    <t>Reduce out-of-pocket transportation costs from vehicle idling and delay along the grade crossings.</t>
  </si>
  <si>
    <t>Travel Time Savings Pertinent Quantifiable Impacts</t>
  </si>
  <si>
    <t>Travel Time Savings Annual Benefit Estimate</t>
  </si>
  <si>
    <t>Emission Cost Savings Pertinent Quantifiable Impacts</t>
  </si>
  <si>
    <t>Emission Cost Savings Annual Benefit Estimate</t>
  </si>
  <si>
    <t>Vehicle Operating Cost Savings Annual Benefit Estimate</t>
  </si>
  <si>
    <t>Vehicle Operating Cost Savings Pertinent Quantifiable Impacts</t>
  </si>
  <si>
    <t>O&amp;M Cost Savings Annual Benefit Estimate</t>
  </si>
  <si>
    <t>US DOE: Alternative Fuels Data Center and Argonne National Laboratory, "Idle Reduction Savings Worksheet" (2014) - Medium Trucks.</t>
  </si>
  <si>
    <t>US DOE: Alternative Fuels Data Center and Argonne National Laboratory, "Idle Reduction Savings Worksheet" (2014) - Transit Bus.</t>
  </si>
  <si>
    <t>Based on US DOT: HERS-ST Highway Economic Requirements System (2002) oil consumption of 1.38qt/1000 miles and assuming that "One hour of idle time is equal to approximately 25 miles of driving" (Ford Motor Company, 2011).</t>
  </si>
  <si>
    <t>US EIA Annual Energy Outlook 2018, net of Federal &amp; State Taxes.</t>
  </si>
  <si>
    <t>HDR Calculations based on Bus Emissions reported in California Air Resources Board, EMFAC 2014.</t>
  </si>
  <si>
    <t>Federal Railroad Administration's Grade Crossing Inventory.</t>
  </si>
  <si>
    <t>Assumption.</t>
  </si>
  <si>
    <t>Residual value of infrastructure assets and land.</t>
  </si>
  <si>
    <t>acres</t>
  </si>
  <si>
    <t>Calculated based on data from Utah County GIS Data - Tax Parcel. Extracted August 31, 2018.</t>
  </si>
  <si>
    <t>Data from Utah County GIS Data - Tax Parcels. Extracted August 31, 2018.</t>
  </si>
  <si>
    <t>Avoided future maintenance once crossings are closed.</t>
  </si>
  <si>
    <t>Land Value Increases Annual Benefit Estimate</t>
  </si>
  <si>
    <t>Residual Value Annual Benefit Estimate</t>
  </si>
  <si>
    <t>Accident Costs</t>
  </si>
  <si>
    <t>US DOT, Guidance on Treatment of the Economic Value of a Statistical Life in U.S. Department of Transportation Analyses (2016); See page 12. Original document has 5.4M and 13.4M, not 13.6M  US DOT, BCA Guidance for Dicretionary Grant Programs (2018); LOW and HIGH values updated by HDR</t>
  </si>
  <si>
    <t>As of December 2019, there has been no update to VSL guidance.</t>
  </si>
  <si>
    <t xml:space="preserve">The Economic and Societal Impact of Motor Vehicle Crashes, 2010 (revised May 2015), Page 12, Table 1-2, Summary of Unit Costs, 2000”  
Inflated to 2018 dollars using the GDP Deflator. </t>
  </si>
  <si>
    <t>https://www.transportation.gov/office-policy/transportation-policy/benefit-cost-analysis-guidance-discretionary-grant-programs-0</t>
  </si>
  <si>
    <t>US DOT NHTSA, "Estimation of Safety Benefits for Heavy Vehicle Crash Warning Applications Based on Vehicle-to-Vehicle Communications", November 2017, DOT HS 812 429</t>
  </si>
  <si>
    <t>TABLE ABOVE NOT USED BY USDOT IN THEIR BCA GUIDANCE</t>
  </si>
  <si>
    <t>Number of Persons Injured, Occupants and Non-Occupants, 2015</t>
  </si>
  <si>
    <t>Appendix A, page 45</t>
  </si>
  <si>
    <t>https://www.nhtsa.gov/sites/nhtsa.dot.gov/files/documents/812429-hv_v2v_safetybenefits.pdf</t>
  </si>
  <si>
    <t>Recommendations for INFRA 2020 (2018 dollars)</t>
  </si>
  <si>
    <t>Crash Type</t>
  </si>
  <si>
    <t>Monetized Value ($2018)</t>
  </si>
  <si>
    <t>MAIS 1-Minor</t>
  </si>
  <si>
    <t>Injury Crash</t>
  </si>
  <si>
    <t>MAIS 2-Moderate</t>
  </si>
  <si>
    <t>Fatal Crash</t>
  </si>
  <si>
    <t>MAIS 3-Serious</t>
  </si>
  <si>
    <t>MAIS 4-Severe</t>
  </si>
  <si>
    <t xml:space="preserve">January 2020 Benefit-Cost Analysis Guidance, Table A-1  pg. 30 </t>
  </si>
  <si>
    <t>MAIS 5-Critical</t>
  </si>
  <si>
    <t>Weighted 2018</t>
  </si>
  <si>
    <t>Inflation Adjustment (2018-2018)</t>
  </si>
  <si>
    <t>Updated January 2020</t>
  </si>
  <si>
    <t>Source: California Department of Transportation, TASAS Unit, 2010 to 2013 average</t>
  </si>
  <si>
    <t>Values shown in BCA Resource Guidelines, December 2018 (2017 U.S. Dollars per person-hour)</t>
  </si>
  <si>
    <t xml:space="preserve">This is based on the most recent US DOT INFRA December 2018 BCA Resource Guide </t>
  </si>
  <si>
    <t>For the values that USDOT has not explicitly reported in its 2020 BCA Guidance (C17, C21), an inflation adjustment has been applied in the matrix below (C42, C46).</t>
  </si>
  <si>
    <t>Value of Time Adjustment (from VOT recommendations), 2016-2018</t>
  </si>
  <si>
    <t>BCA Guidance, January 2020 and VOT recommendations</t>
  </si>
  <si>
    <t>Inflation Adjustment (2016-2018)</t>
  </si>
  <si>
    <t>Note: December 2019 BCA Guidance provided fewer categories of VOTs than in guidance in some previous years.  The calculations below provide calculated match to categories available in earlier guidance and in latest USDOT Departmental Guidance on Valuation of Travel Time Savings (dated September 27, 2016)</t>
  </si>
  <si>
    <t>Surface figures apply to all combinations of in-vehicle and other transit time. Walk access, waiting, transfer and standing time should be valued at $30.40 (in 2018$) when actions affect only those elements of travel time.</t>
  </si>
  <si>
    <t>Texas Transportation Institute, 2019 Urban Mobility Report, page A-16</t>
  </si>
  <si>
    <t>The two red values below are from January 2020 Guidance Appendix A Table A-4: Average Vehicle Occupancy</t>
  </si>
  <si>
    <t xml:space="preserve">The source cited in 2017 National Household Travel Survey  
 </t>
  </si>
  <si>
    <t>Passenger Vehicles (Weekday Off-Peak)</t>
  </si>
  <si>
    <t>Passenger Vehicles (Weekend)</t>
  </si>
  <si>
    <t xml:space="preserve"> Weekday peak period values calculated for trips starting between 6:00 AM-8:59 AM and 4:00 PM-6:59 PM</t>
  </si>
  <si>
    <t>https://www.fhwa.dot.gov/policy/hcas/final/five.cfm</t>
  </si>
  <si>
    <t>Recommendations for INFRA 2020 - Marginal Costs, in 2018 Dollars</t>
  </si>
  <si>
    <t>Inflation Adjustment 2000 - 2018</t>
  </si>
  <si>
    <t>https://www.fhwa.dot.gov/asset/hersst/pubs/tech/tech00.cfm</t>
  </si>
  <si>
    <t xml:space="preserve">American Automobile Association, Your Driving Costs – 2018 Edition (2018) </t>
  </si>
  <si>
    <t>https://exchange.aaa.com/wp-content/uploads/2018/09/18-0090_2018-Your-Driving-Costs-Brochure_FNL-Lo-5-2.pdf</t>
  </si>
  <si>
    <t>Gas</t>
  </si>
  <si>
    <t>Total Operating Costs, $2018 per mile</t>
  </si>
  <si>
    <t>Total Ownership Costs, $2018 per mile</t>
  </si>
  <si>
    <t>Total Operating &amp; Ownership Costs, $2018 per mile</t>
  </si>
  <si>
    <t>Total Driving Costs, $2018 per mile</t>
  </si>
  <si>
    <t>Inflation Adjustment 2018 - 2018</t>
  </si>
  <si>
    <t xml:space="preserve">American Transportation Research Institute, An Analysis of the Operational Costs of Trucking: 2018 Update (2018) </t>
  </si>
  <si>
    <t xml:space="preserve">http://truckingresearch.org/wpcontent/uploads/2018/10/ATRI-OperationalCosts-of-Trucking-2018.pdf </t>
  </si>
  <si>
    <t>Average Cost in 2018 in 2018 $$</t>
  </si>
  <si>
    <t>Federal &amp; state taxes as percent of end-user price in 2016</t>
  </si>
  <si>
    <t>Motor Carrier Costs, $2018 per mile</t>
  </si>
  <si>
    <t>Trucking Costs, $2018 per mile</t>
  </si>
  <si>
    <t>Price Indices &amp; Cost Escalation</t>
  </si>
  <si>
    <t>Table 1.1.9. Implicit Price Deflators for Gross Domestic Product (Not Currently Used - Latest Version Updates Base Value)</t>
  </si>
  <si>
    <t>[Index numbers, 2012=100]</t>
  </si>
  <si>
    <t>Last Revised on: December 21, 2018 - Next Release Date January 30, 2019</t>
  </si>
  <si>
    <t>Value ($/short ton</t>
  </si>
  <si>
    <t>NOT USED</t>
  </si>
  <si>
    <t>Technical Support Document: Technical Update of the Social Cost of Carbon for Regulatory Impact Analysis Under Executive Order 12866 (May 2013; revised August 2016), page 4</t>
  </si>
  <si>
    <t>Technical Support Document: Technical Update of the Social Cost of Carbon for Regulatory Impact Analysis Under Executive Order 12866 (May 2013; revised August 2016), page 17</t>
  </si>
  <si>
    <t>Technical Support Document: Technical Update of the Social Cost of Carbon for Regulatory Impact Analysis Under Executive Order 12866 (May 2013; revised August 2016), Appendix A, page 25 [Table A1].</t>
  </si>
  <si>
    <t>Inflation Adjustment Values</t>
  </si>
  <si>
    <t>USDOT BCA Guidance</t>
  </si>
  <si>
    <t>700 South</t>
  </si>
  <si>
    <t>254400V</t>
  </si>
  <si>
    <t>400 West</t>
  </si>
  <si>
    <t>254401C</t>
  </si>
  <si>
    <t>254402J</t>
  </si>
  <si>
    <t>Private</t>
  </si>
  <si>
    <t>950 West</t>
  </si>
  <si>
    <t>968062Y</t>
  </si>
  <si>
    <t>1600 South</t>
  </si>
  <si>
    <t>254408A</t>
  </si>
  <si>
    <t>Canyon Creek Parkway</t>
  </si>
  <si>
    <t>967139F</t>
  </si>
  <si>
    <t>2018$/gallon</t>
  </si>
  <si>
    <t>Tintic Line</t>
  </si>
  <si>
    <t>Sharp-Tintic Connection</t>
  </si>
  <si>
    <t>Parcels within 500 Feet of Tintic Line</t>
  </si>
  <si>
    <t>Comparable Parcels South of Site in Salem</t>
  </si>
  <si>
    <t>Data extracted from: Utah County GIS Data - Tax Parcels. Extracted June 1, 2020</t>
  </si>
  <si>
    <t xml:space="preserve">Springville, Sharp - Tintic Railroad Connection Inputs </t>
  </si>
  <si>
    <t>Total Cost</t>
  </si>
  <si>
    <t>Annual Energy Outlook 2020 Release, all in $2019 per gallon</t>
  </si>
  <si>
    <t>Number of Switch Trains per Day</t>
  </si>
  <si>
    <t>Thu Trains at Crossing</t>
  </si>
  <si>
    <t>Based on Federal Railroad Administration's Grade Crossing Inventory for the impacted crossings on the Tintic line.</t>
  </si>
  <si>
    <t>Percent of Price Uplift</t>
  </si>
  <si>
    <t>Thru Train Traffic</t>
  </si>
  <si>
    <t>thru trains/day</t>
  </si>
  <si>
    <t>thru trains/daylight</t>
  </si>
  <si>
    <t>Vehicles Impacted by Delay Due to Thru Trains</t>
  </si>
  <si>
    <t>Vehicle Delay Time - Thru Trains</t>
  </si>
  <si>
    <t>Vehicle Hours of Delay - Thru Trains</t>
  </si>
  <si>
    <t>Probability of Delay at Crossing due to Thru Train</t>
  </si>
  <si>
    <t>Thru Train Occupancy Time (minutes)</t>
  </si>
  <si>
    <t>Thru Trains at Crossing</t>
  </si>
  <si>
    <t>Thru trains/day</t>
  </si>
  <si>
    <t>Improve safety and avoided accident costs Thru a net reduction in active crossings.</t>
  </si>
  <si>
    <t xml:space="preserve">Thru Train Growth </t>
  </si>
  <si>
    <t>Variation in Average Thru Train Length</t>
  </si>
  <si>
    <t>Average Number of Thru Trains at Crossing</t>
  </si>
  <si>
    <t>Thru trains/daylight</t>
  </si>
  <si>
    <t>Growth in Thru Train Traffic</t>
  </si>
  <si>
    <t>Average Thru Train Length</t>
  </si>
  <si>
    <t>Growth in Thru Train Traffic (%)</t>
  </si>
  <si>
    <t>Large Thru</t>
  </si>
  <si>
    <t>Do not include medical expenses paid Thru societal mechanisms such as insurance, tax supported welfare programs, and charity (~85%)</t>
  </si>
  <si>
    <t>Avoided Fatal Crash</t>
  </si>
  <si>
    <t>Avoided Injuries Crash</t>
  </si>
  <si>
    <t>$/fatal crash</t>
  </si>
  <si>
    <t>$/injury crash</t>
  </si>
  <si>
    <t>Comparable Parcels West of Site in Unincorporated</t>
  </si>
  <si>
    <r>
      <t xml:space="preserve">Incremental Price Uplift </t>
    </r>
    <r>
      <rPr>
        <b/>
        <sz val="10"/>
        <color rgb="FF000000"/>
        <rFont val="Arial"/>
        <family val="2"/>
        <scheme val="major"/>
      </rPr>
      <t>- Average of Salem and Unincorporated</t>
    </r>
  </si>
  <si>
    <t>(MOVES run based on Utah County)</t>
  </si>
  <si>
    <t>(Fiscal Year 2012 = 1.000)</t>
  </si>
  <si>
    <t>Fiscal Year</t>
  </si>
  <si>
    <t>GDP (in
billions of
dollars)</t>
  </si>
  <si>
    <t>GDP
(Chained)
Price Index</t>
  </si>
  <si>
    <t>Composite Outlay Deflators</t>
  </si>
  <si>
    <t>Total
Defense</t>
  </si>
  <si>
    <t>Total
Nondefense</t>
  </si>
  <si>
    <t>Payment for Individuals</t>
  </si>
  <si>
    <t>Other
Grants</t>
  </si>
  <si>
    <t>Net Interest</t>
  </si>
  <si>
    <t>Undis-
tributed
Offsetting
Receipts</t>
  </si>
  <si>
    <t>All Other</t>
  </si>
  <si>
    <t>Addendum: Direct Capital</t>
  </si>
  <si>
    <t>Direct</t>
  </si>
  <si>
    <t>Grants</t>
  </si>
  <si>
    <t>Defense</t>
  </si>
  <si>
    <t>Nondefense</t>
  </si>
  <si>
    <t>TQ</t>
  </si>
  <si>
    <t>2000</t>
  </si>
  <si>
    <t>2001</t>
  </si>
  <si>
    <t>2002</t>
  </si>
  <si>
    <t>2003</t>
  </si>
  <si>
    <t>2004</t>
  </si>
  <si>
    <t>2005</t>
  </si>
  <si>
    <t>2006</t>
  </si>
  <si>
    <t>2007</t>
  </si>
  <si>
    <t>2008</t>
  </si>
  <si>
    <t>2009</t>
  </si>
  <si>
    <t>2010</t>
  </si>
  <si>
    <t>2011</t>
  </si>
  <si>
    <t>2012</t>
  </si>
  <si>
    <t>2013</t>
  </si>
  <si>
    <t>2014</t>
  </si>
  <si>
    <t>2015</t>
  </si>
  <si>
    <t>2016</t>
  </si>
  <si>
    <t>2017</t>
  </si>
  <si>
    <t>2019</t>
  </si>
  <si>
    <t>2021 estimate</t>
  </si>
  <si>
    <t>2022 estimate</t>
  </si>
  <si>
    <t>2023 estimate</t>
  </si>
  <si>
    <t>2024 estimate</t>
  </si>
  <si>
    <t>2025 estimate</t>
  </si>
  <si>
    <t>Note: Constant dollar research and development outlays are based on the GDP (chained) price index.</t>
  </si>
  <si>
    <t>Tintic Land Value Increase</t>
  </si>
  <si>
    <t>Tintic Rail Train Data</t>
  </si>
  <si>
    <t>Demand Forecast - Tintic Rail Consolidation</t>
  </si>
  <si>
    <t>Sharp-Tintic Rail Connection Project</t>
  </si>
  <si>
    <t>Total One-time Benefit - Average of Salem and Unincorporated</t>
  </si>
  <si>
    <t>Colorado Avenue</t>
  </si>
  <si>
    <t>975187R</t>
  </si>
  <si>
    <t>900 South</t>
  </si>
  <si>
    <t>806921N</t>
  </si>
  <si>
    <t>1000 North</t>
  </si>
  <si>
    <t>806913W</t>
  </si>
  <si>
    <t>254733W</t>
  </si>
  <si>
    <t>2000 South</t>
  </si>
  <si>
    <t>254729G</t>
  </si>
  <si>
    <t>254731H</t>
  </si>
  <si>
    <t>Tintic Tracks</t>
  </si>
  <si>
    <t>North of Tintic Tracks - Sharp Tracks</t>
  </si>
  <si>
    <t>North of Tintic Tracks - Tintic Tracks</t>
  </si>
  <si>
    <t>North of Tintic Tracks</t>
  </si>
  <si>
    <t>Crossing Inputs North of Tintic Tracks</t>
  </si>
  <si>
    <t xml:space="preserve">400 North </t>
  </si>
  <si>
    <t>West Center</t>
  </si>
  <si>
    <t>North of Tintic Line to Provo Subdivision Line</t>
  </si>
  <si>
    <t>North of Tintic Tracks Train Data</t>
  </si>
  <si>
    <t>Based on Federal Railroad Administration's Grade Crossing Inventory for Sharp Tracks North of Tintic Tracks to Provo Tracks</t>
  </si>
  <si>
    <t>Based on Federal Railroad Administration's Grade Crossing Inventory for North of Tintic Tracks to Provo Tracks</t>
  </si>
  <si>
    <t>North of Tintic Line Sharp Track to Provo Subdivision Line</t>
  </si>
  <si>
    <t>Right of Way</t>
  </si>
  <si>
    <t>Utilities</t>
  </si>
  <si>
    <t>Construction</t>
  </si>
  <si>
    <t>C.E.</t>
  </si>
  <si>
    <t>Ongoing Maintenance - 700 South</t>
  </si>
  <si>
    <t>Ongoing Maintenance - 950 West</t>
  </si>
  <si>
    <t>Ongoing Maintenance - 1600 South</t>
  </si>
  <si>
    <t>Ongoing Maintenance - 400 West</t>
  </si>
  <si>
    <t>Ongoing Maintenance - Private</t>
  </si>
  <si>
    <t>Ongoing Maintenance - Canyon Creek Parkway</t>
  </si>
  <si>
    <t>Ongoing Maintenance - Colorado Avenue</t>
  </si>
  <si>
    <t>Ongoing Maintenance - 900 South</t>
  </si>
  <si>
    <t>Ongoing Maintenance - 1000 North</t>
  </si>
  <si>
    <t>Ongoing Maintenance - West Center</t>
  </si>
  <si>
    <t>Ongoing Maintenance - 2000 South</t>
  </si>
  <si>
    <t>Ongoing Maintenance - 400 North</t>
  </si>
  <si>
    <t>Office of the Secretary. Benefit-Cost Analysis Guidance for Discretionary Grant Programs. U.S. Department of Transportation. January 2020. Obtained from: https://www.transportation.gov/office-policy/transportation-policy/benefit-cost-analysis-guidance-discretionary-grant-programs-0</t>
  </si>
  <si>
    <t>Rail Train Data</t>
  </si>
  <si>
    <t xml:space="preserve">Thru Trains </t>
  </si>
  <si>
    <t>Thru Trains per Day during Daylight</t>
  </si>
  <si>
    <t xml:space="preserve">North of Tintic Tracks </t>
  </si>
  <si>
    <t>Based on Federal Railroad Administration's Grade Crossing Inventory for North of Tintic Tracks to Provo Tracks.</t>
  </si>
  <si>
    <t>Based on Federal Railroad Administration's Grade Crossing Inventory for Sharp Tracks North of Tintic Tracks to Provo Tracks.</t>
  </si>
  <si>
    <t>400 North</t>
  </si>
  <si>
    <t>2010 AADT</t>
  </si>
  <si>
    <t>2018 AADT</t>
  </si>
  <si>
    <t>Cost Allocation</t>
  </si>
  <si>
    <t>MOVES Average Annual Emissions Factors for Passenger Vehicles (grams/veh-miles) assuming an average speed of 2.5mph to reflect idling conditions. Model run in May 2020.</t>
  </si>
  <si>
    <t xml:space="preserve">Calculated from the AADT and projected AADT in the area. </t>
  </si>
  <si>
    <t>Calculated from the AADT and projected AADT in the area.</t>
  </si>
  <si>
    <t xml:space="preserve">Tintic Thru Train </t>
  </si>
  <si>
    <t xml:space="preserve">Sharp Tracks North of Tintic Tracks  </t>
  </si>
  <si>
    <t>No Build</t>
  </si>
  <si>
    <t>Build</t>
  </si>
  <si>
    <t>Sharp-Tintic Thru Trains</t>
  </si>
  <si>
    <t>Sharp Tracks North of Tintic Tracks  Thru Trains</t>
  </si>
  <si>
    <t>North of Tintic Tracks Thru Trains</t>
  </si>
  <si>
    <t>Current Thru Train Volumes</t>
  </si>
  <si>
    <t xml:space="preserve">Property Price Appreciation </t>
  </si>
  <si>
    <t xml:space="preserve">Various case studies have shown price appreciation in adjacent properties of railroad tracks in the range of 2-10%. </t>
  </si>
  <si>
    <t>The Project will construct new leads diverting train traffic to the Sharp Line. While the new line results in increase traffic in the Sharp line, the Project will receive notable benefits closing 6 at-grade crossings along the Tintic tracks. The project will also decrease train traffic in the Tintic Line until Provo Rail Yard. This will significantly reduce delays and potential safety concerns for both motorists and local residents. In addition, the Project will support improved freight operations and future transit operations.</t>
  </si>
  <si>
    <t>Land values of comparable nearby areas</t>
  </si>
  <si>
    <t>AEO 2020 Forecast of Retail Gasoline Price</t>
  </si>
  <si>
    <t>AEO 2020 Forecast of Retail Diesel Fuel Price</t>
  </si>
  <si>
    <t>AEO 2020 Federal &amp; State Taxes, 
Gasoline (All Sectors)*</t>
  </si>
  <si>
    <t>AEO 2020Federal &amp; State Taxes, 
Diesel Fuel (Transportation)</t>
  </si>
  <si>
    <t>Table 1.1.9. Implicit Price Deflators for Gross Domestic Product</t>
  </si>
  <si>
    <t xml:space="preserve">[Index numbers, 2012=100] </t>
  </si>
  <si>
    <t xml:space="preserve">Bureau of Economic Analysis </t>
  </si>
  <si>
    <t>Last Revised on: April 29, 2020 - Next Release Date May 28, 2020</t>
  </si>
  <si>
    <t>Line</t>
  </si>
  <si>
    <t xml:space="preserve">        Gross domestic product</t>
  </si>
  <si>
    <t>Historic Data</t>
  </si>
  <si>
    <t>Forecasted Data</t>
  </si>
  <si>
    <t>FID</t>
  </si>
  <si>
    <t>SEGID</t>
  </si>
  <si>
    <t>2024</t>
  </si>
  <si>
    <t>2030</t>
  </si>
  <si>
    <t>2040</t>
  </si>
  <si>
    <t>2050</t>
  </si>
  <si>
    <t>Road</t>
  </si>
  <si>
    <t>Rate Growth</t>
  </si>
  <si>
    <t>2845_000.0</t>
  </si>
  <si>
    <t>2845_000.4</t>
  </si>
  <si>
    <t>1600 S: I-15 to 1750 W</t>
  </si>
  <si>
    <t>2845_000.7</t>
  </si>
  <si>
    <t>1600 S: 1750 W to 1200 W</t>
  </si>
  <si>
    <t>2845_001.2</t>
  </si>
  <si>
    <t>1600 S: 1200 W to State Street</t>
  </si>
  <si>
    <t>0051_002.4</t>
  </si>
  <si>
    <t>State Street</t>
  </si>
  <si>
    <t>3080_000.4</t>
  </si>
  <si>
    <t>400 South</t>
  </si>
  <si>
    <t>0089_327.9</t>
  </si>
  <si>
    <t>3080_000.0</t>
  </si>
  <si>
    <t>2849_002.4</t>
  </si>
  <si>
    <t>1200 W: 1300 S to 1600 S</t>
  </si>
  <si>
    <t>MAG_6004</t>
  </si>
  <si>
    <t>1200 W: 400 S to 1300 S</t>
  </si>
  <si>
    <t>0077_008.5</t>
  </si>
  <si>
    <t>400 S: 400 W to Main Street</t>
  </si>
  <si>
    <t>0077_007.9</t>
  </si>
  <si>
    <t>400 S: 1200 W to 400 W</t>
  </si>
  <si>
    <t>2987_000.6</t>
  </si>
  <si>
    <t>1750 W</t>
  </si>
  <si>
    <t>2987_000.0</t>
  </si>
  <si>
    <t>0077_007.4</t>
  </si>
  <si>
    <t>400 S: 1750 W to 1200 W</t>
  </si>
  <si>
    <t>0077_006.6</t>
  </si>
  <si>
    <t>400 S: 1750 W to I-15</t>
  </si>
  <si>
    <t>MAG_6037</t>
  </si>
  <si>
    <t>1200 W: South of 1600 S</t>
  </si>
  <si>
    <t>MAG_6135</t>
  </si>
  <si>
    <t>1600 S: State Street to 1800 W</t>
  </si>
  <si>
    <t>Calculated using a 5% property price appreciation. Data from Utah County GIS Data - Tax Parcels.</t>
  </si>
  <si>
    <t xml:space="preserve">The Tintic tracks travels from I-15 in Spanish Fork to 400 South in Springville, Utah. Currently, thru train traffic along the Tintic tracks travels through 6 active at-grade crossings, which generates delays for local motorists and potential safety concerns for local residents. </t>
  </si>
  <si>
    <t>Minimum Train Speeds for Thru</t>
  </si>
  <si>
    <t>Vehicle Emissions</t>
  </si>
  <si>
    <t xml:space="preserve">Year </t>
  </si>
  <si>
    <t>NOx</t>
  </si>
  <si>
    <t>PM</t>
  </si>
  <si>
    <t>SO₂</t>
  </si>
  <si>
    <t>CO₂</t>
  </si>
  <si>
    <t xml:space="preserve">Truck Emissions </t>
  </si>
  <si>
    <t xml:space="preserve">Calculated from the AADT and projected AADT in the area provided by UDOT. </t>
  </si>
  <si>
    <t>First Year of Study</t>
  </si>
  <si>
    <t>First Year of the Study</t>
  </si>
  <si>
    <t>Summary of Results Over the Study Period. All Values in Millions of 2019$</t>
  </si>
  <si>
    <t>2019$/hour</t>
  </si>
  <si>
    <t>2019$/fatal crash</t>
  </si>
  <si>
    <t>2019$/injury crash</t>
  </si>
  <si>
    <t>2019$/PDO accident</t>
  </si>
  <si>
    <t>2019$/quart</t>
  </si>
  <si>
    <t>Average Oil Price Sourced From HERS Model and Inflated to 2019$ by Motor Oil CPI (BLS CUUR0000SS47021).</t>
  </si>
  <si>
    <t>2019$</t>
  </si>
  <si>
    <t xml:space="preserve">US DOT, BCA Guidance 2021. </t>
  </si>
  <si>
    <t>Updated October 2021</t>
  </si>
  <si>
    <t>1997 to 2021</t>
  </si>
  <si>
    <t>Recommended for BUILD 2021</t>
  </si>
  <si>
    <t>Recommendations for CRISI 2021 (2019 dollars)</t>
  </si>
  <si>
    <t>Updated October 2021 - through Row 57 only -- lower section not used in this BCA</t>
  </si>
  <si>
    <t>2026 estimate</t>
  </si>
  <si>
    <t>inflation Factor 2021/2019</t>
  </si>
  <si>
    <t>Table 10.1 - GROSS DOMESTIC PRODUCT AND DEFLATORS USED IN THE HISTORICAL TABLES:  1940 - 2026</t>
  </si>
  <si>
    <t>Value not reported in 2021 guidance</t>
  </si>
  <si>
    <r>
      <t xml:space="preserve">Recommend Values (2019 dollars per gallon, </t>
    </r>
    <r>
      <rPr>
        <b/>
        <u/>
        <sz val="8"/>
        <color theme="0"/>
        <rFont val="Arial"/>
        <family val="2"/>
      </rPr>
      <t>net of Federal &amp; State Taxes</t>
    </r>
    <r>
      <rPr>
        <b/>
        <sz val="8"/>
        <color theme="0"/>
        <rFont val="Arial"/>
        <family val="2"/>
      </rPr>
      <t>)</t>
    </r>
  </si>
  <si>
    <t>grams/short ton</t>
  </si>
  <si>
    <t>Grams per Metric Ton</t>
  </si>
  <si>
    <t>grams/metric ton</t>
  </si>
  <si>
    <t>Grams per Short Ton</t>
  </si>
  <si>
    <t>$/metric ton</t>
  </si>
  <si>
    <t>Carbon Dioxide (CO2)</t>
  </si>
  <si>
    <t>US DOT, BCA Guidance February 2021. Prices assumed constant past 2050 to account for benefits conservatively.</t>
  </si>
  <si>
    <t>Emission Costs (2019$/metric ton)</t>
  </si>
  <si>
    <t>Summary of Key Financial Metrics. All Values in Millions of 2019$</t>
  </si>
  <si>
    <t>Summary of Results by Year, Undiscounted. All Values in 2019$</t>
  </si>
  <si>
    <t>Summary of Results (2019$)
Undiscounted</t>
  </si>
  <si>
    <t>Summary of Results (2019$) 
Discounted at 7%</t>
  </si>
  <si>
    <t>Capital Cost (2019$) - New Tracks</t>
  </si>
  <si>
    <t>Residual Value of Tracks (2019$)</t>
  </si>
  <si>
    <t>Capital Costs, 2019$/year</t>
  </si>
  <si>
    <t>Contingency</t>
  </si>
  <si>
    <t>Agency Coordination</t>
  </si>
  <si>
    <t>UPRR Coordination</t>
  </si>
  <si>
    <t>Engineering and Environmental Permitting</t>
  </si>
  <si>
    <t>US DOT, 2021 BCA, Revised Departmental Guidance on Valuation of Travel Time in Economic Analysis.</t>
  </si>
  <si>
    <t>US DOT, 2021 BCA Guidance and Federal Highway Administration Highway Statistics 2016, Table VM1.</t>
  </si>
  <si>
    <t>Based on statewide freight rail forecast (see project narrative)</t>
  </si>
  <si>
    <t>Observed train lengths exiting yards along the project corridor</t>
  </si>
  <si>
    <t>Price per acre (2019$)</t>
  </si>
  <si>
    <t>Idling Emissions - Trucks (grams/hour)</t>
  </si>
  <si>
    <t>Idling Emissions - Autos (grams/hour)</t>
  </si>
  <si>
    <t>Estimates of Emission Cost Savings, 2019 Dollars</t>
  </si>
  <si>
    <t>Estimates of Travel Time Cost Savings, 2019 Dollars</t>
  </si>
  <si>
    <t>Estimates of Accident Cost Savings, 2019 Dollars</t>
  </si>
  <si>
    <t>2019 Dollars</t>
  </si>
  <si>
    <t>Cost Summary Table, 2019 Dollars</t>
  </si>
  <si>
    <t>Capital Cost Components, 2019 Dollars</t>
  </si>
  <si>
    <t>AADT Base year</t>
  </si>
  <si>
    <t>1988 AADT</t>
  </si>
  <si>
    <t>Estimates of Vehicle Operating Cost Savings, 2019 Dollars</t>
  </si>
  <si>
    <t>Estimates of Land Value Increase, 2019 Dollars</t>
  </si>
  <si>
    <t>2019$/year</t>
  </si>
  <si>
    <t>Detailed bottom up cost estimate as performed by HDR including maintenance related to gates, roadway surface, testing, signage, and marking. Inflated from 2018$ to 2019$</t>
  </si>
  <si>
    <t>Estimates of O&amp;M Cost Savings, 2019 Dollars</t>
  </si>
  <si>
    <t>Estimates of Residual Values, 2019 Dollars</t>
  </si>
  <si>
    <t>Overall Results of the Benefit Cost Analysis, 2019 Dollars*</t>
  </si>
  <si>
    <t>Total Benefits (2019$)</t>
  </si>
  <si>
    <t>Total Capital Costs (2019$)</t>
  </si>
  <si>
    <t>Undiscounted Net Benefits (2019$)</t>
  </si>
  <si>
    <t>Over the Analysis Period</t>
  </si>
  <si>
    <t>BCA analysis period.</t>
  </si>
  <si>
    <t xml:space="preserve">Difference between useful life and analysis period. </t>
  </si>
  <si>
    <t>Project Cost Estimate</t>
  </si>
  <si>
    <t>2640 ft.</t>
  </si>
  <si>
    <t>5280 ft.</t>
  </si>
  <si>
    <t>+25% Increase in Capital Costs</t>
  </si>
  <si>
    <t>Cost YOE$</t>
  </si>
  <si>
    <t>GDP Deflator Adjustment (YOE/2019)</t>
  </si>
  <si>
    <t>YOE 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</si>
</sst>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00"/>
    <numFmt numFmtId="166" formatCode="&quot;$&quot;#,##0"/>
    <numFmt numFmtId="167" formatCode="_(&quot;$&quot;* #,##0_);_(&quot;$&quot;* \(#,##0\);_(&quot;$&quot;* &quot;-&quot;??_);_(@_)"/>
    <numFmt numFmtId="168" formatCode="0.0%"/>
    <numFmt numFmtId="169" formatCode="_(&quot;$&quot;* #,##0.000_);_(&quot;$&quot;* \(#,##0.000\);_(&quot;$&quot;* &quot;-&quot;??_);_(@_)"/>
    <numFmt numFmtId="170" formatCode="[$-409]mmmm\ d\,\ yyyy;@"/>
    <numFmt numFmtId="171" formatCode="&quot;$&quot;#,##0.00"/>
    <numFmt numFmtId="172" formatCode="&quot;$&quot;#,##0.0"/>
    <numFmt numFmtId="173" formatCode="0.0"/>
    <numFmt numFmtId="174" formatCode="###0.00_)"/>
    <numFmt numFmtId="175" formatCode="_(&quot;$&quot;* #,##0_);_(&quot;$&quot;* \(#,##0\);_(&quot;$&quot;* &quot;-&quot;???_);_(@_)"/>
    <numFmt numFmtId="176" formatCode="0.0000"/>
    <numFmt numFmtId="177" formatCode="0.00000"/>
    <numFmt numFmtId="178" formatCode="_(* #,##0.000000_);_(* \(#,##0.000000\);_(* &quot;-&quot;??_);_(@_)"/>
    <numFmt numFmtId="179" formatCode="&quot;$&quot;#,##0.0_);\(&quot;$&quot;#,##0.0\)"/>
    <numFmt numFmtId="180" formatCode="&quot;$&quot;#,##0\ ;\(&quot;$&quot;#,##0\)"/>
    <numFmt numFmtId="181" formatCode="#,##0_)"/>
    <numFmt numFmtId="182" formatCode="0.0_W"/>
    <numFmt numFmtId="183" formatCode="#,##0\ "/>
    <numFmt numFmtId="184" formatCode="_([$€-2]* #,##0.00_);_([$€-2]* \(#,##0.00\);_([$€-2]* &quot;-&quot;??_)"/>
    <numFmt numFmtId="185" formatCode="_-* #,##0\ _P_t_s_-;\-* #,##0\ _P_t_s_-;_-* &quot;-&quot;\ _P_t_s_-;_-@_-"/>
    <numFmt numFmtId="186" formatCode="_-* #,##0.00\ _P_t_s_-;\-* #,##0.00\ _P_t_s_-;_-* &quot;-&quot;??\ _P_t_s_-;_-@_-"/>
    <numFmt numFmtId="187" formatCode="_-&quot;S/.&quot;* #,##0_-;\-&quot;S/.&quot;* #,##0_-;_-&quot;S/.&quot;* &quot;-&quot;_-;_-@_-"/>
    <numFmt numFmtId="188" formatCode="_-&quot;S/.&quot;* #,##0.00_-;\-&quot;S/.&quot;* #,##0.00_-;_-&quot;S/.&quot;* &quot;-&quot;??_-;_-@_-"/>
    <numFmt numFmtId="189" formatCode="0.00_)"/>
    <numFmt numFmtId="190" formatCode="#,##0.0000"/>
    <numFmt numFmtId="191" formatCode="#0.000"/>
    <numFmt numFmtId="192" formatCode="_-* #,##0.00_-;\-* #,##0.00_-;_-* &quot;-&quot;??_-;_-@_-"/>
    <numFmt numFmtId="193" formatCode="_-&quot;$&quot;* #,##0.00_-;\-&quot;$&quot;* #,##0.00_-;_-&quot;$&quot;* &quot;-&quot;??_-;_-@_-"/>
    <numFmt numFmtId="194" formatCode="[$€-2]\ #,##0.00_);[Red]\([$€-2]\ #,##0.00\)"/>
    <numFmt numFmtId="195" formatCode="#,##0.00\ ;&quot; (&quot;#,##0.00\);&quot; -&quot;#\ ;@\ "/>
    <numFmt numFmtId="196" formatCode="#,##0&quot; M&quot;"/>
    <numFmt numFmtId="197" formatCode="#,##0.0"/>
    <numFmt numFmtId="198" formatCode="_(&quot;$&quot;* #,##0.00_);_(&quot;$&quot;* \(#,##0.00\);_(&quot;$&quot;* &quot;-&quot;_);_(@_)"/>
    <numFmt numFmtId="199" formatCode="#,##0.000_);\(#,##0.000\)"/>
    <numFmt numFmtId="200" formatCode="&quot;$&quot;\ #,###;&quot;$&quot;\(#,##0\);&quot;-&quot;"/>
    <numFmt numFmtId="201" formatCode="#,##0.000"/>
    <numFmt numFmtId="202" formatCode="0.000000"/>
    <numFmt numFmtId="203" formatCode="&quot;$&quot;#,##0;\ &quot;$&quot;\(#,##0\);\ &quot;-&quot;"/>
    <numFmt numFmtId="204" formatCode="#,##0.00&quot; M &quot;\ ;\(#,##0.00\ &quot;M&quot;\)"/>
    <numFmt numFmtId="205" formatCode="&quot;$&quot;#,##0.00&quot; M &quot;\ ;\(&quot;$&quot;#,##0.00\ &quot;M&quot;\)"/>
    <numFmt numFmtId="206" formatCode="\+0.0%;\-0.0%;&quot;-&quot;"/>
    <numFmt numFmtId="207" formatCode="_(&quot;$&quot;* #,##0.0_);_(&quot;$&quot;* \(#,##0.0\);_(&quot;$&quot;* &quot;-&quot;_);_(@_)"/>
    <numFmt numFmtId="208" formatCode="_(&quot;$&quot;* #,##0.000_);_(&quot;$&quot;* \(#,##0.000\);_(&quot;$&quot;* &quot;-&quot;_);_(@_)"/>
    <numFmt numFmtId="209" formatCode="_(&quot;$&quot;* #,##0.0_);_(&quot;$&quot;* \(#,##0.0\);_(&quot;$&quot;* &quot;-&quot;??_);_(@_)"/>
    <numFmt numFmtId="210" formatCode="##,##0.0"/>
    <numFmt numFmtId="211" formatCode="##,##0.0000"/>
    <numFmt numFmtId="212" formatCode="0.0%;\-0.0%;&quot;-&quot;"/>
    <numFmt numFmtId="213" formatCode="\$#,##0"/>
    <numFmt numFmtId="214" formatCode="\$0"/>
  </numFmts>
  <fonts count="260">
    <font>
      <sz val="11"/>
      <color theme="1"/>
      <name val="Arial"/>
      <family val="2"/>
      <scheme val="minor"/>
    </font>
    <font>
      <b/>
      <sz val="11"/>
      <color theme="1"/>
      <name val="Arial"/>
      <family val="2"/>
      <scheme val="minor"/>
    </font>
    <font>
      <sz val="11"/>
      <color theme="1"/>
      <name val="Arial"/>
      <family val="2"/>
      <scheme val="minor"/>
    </font>
    <font>
      <sz val="12"/>
      <color theme="1"/>
      <name val="Arial"/>
      <family val="2"/>
      <scheme val="minor"/>
    </font>
    <font>
      <sz val="10"/>
      <color theme="1"/>
      <name val="Arial"/>
      <family val="2"/>
    </font>
    <font>
      <sz val="11"/>
      <color theme="0"/>
      <name val="Arial"/>
      <family val="2"/>
      <scheme val="minor"/>
    </font>
    <font>
      <sz val="10"/>
      <name val="Arial"/>
      <family val="2"/>
    </font>
    <font>
      <sz val="8"/>
      <name val="Arial"/>
      <family val="2"/>
    </font>
    <font>
      <sz val="11"/>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sz val="11"/>
      <color rgb="FFFF0000"/>
      <name val="Arial"/>
      <family val="2"/>
      <scheme val="minor"/>
    </font>
    <font>
      <b/>
      <sz val="9"/>
      <name val="Arial"/>
      <family val="2"/>
    </font>
    <font>
      <b/>
      <sz val="11"/>
      <name val="Arial"/>
      <family val="2"/>
      <scheme val="minor"/>
    </font>
    <font>
      <b/>
      <sz val="11"/>
      <color theme="0"/>
      <name val="Calibri"/>
      <family val="2"/>
    </font>
    <font>
      <sz val="11"/>
      <color theme="1"/>
      <name val="Calibri"/>
      <family val="2"/>
    </font>
    <font>
      <sz val="10"/>
      <color rgb="FF000000"/>
      <name val="Times New Roman"/>
      <family val="1"/>
    </font>
    <font>
      <u/>
      <sz val="10"/>
      <color theme="10"/>
      <name val="Times New Roman"/>
      <family val="1"/>
    </font>
    <font>
      <b/>
      <sz val="8"/>
      <name val="Arial"/>
      <family val="2"/>
    </font>
    <font>
      <b/>
      <sz val="12"/>
      <name val="Helv"/>
    </font>
    <font>
      <b/>
      <sz val="10"/>
      <name val="Helv"/>
    </font>
    <font>
      <sz val="10"/>
      <name val="Helv"/>
    </font>
    <font>
      <b/>
      <sz val="9"/>
      <name val="Helv"/>
    </font>
    <font>
      <sz val="11"/>
      <color indexed="8"/>
      <name val="Arial"/>
      <family val="2"/>
      <scheme val="minor"/>
    </font>
    <font>
      <b/>
      <sz val="12"/>
      <color indexed="30"/>
      <name val="Calibri"/>
      <family val="2"/>
    </font>
    <font>
      <sz val="9"/>
      <color indexed="8"/>
      <name val="Calibri"/>
      <family val="2"/>
    </font>
    <font>
      <b/>
      <sz val="9"/>
      <color indexed="8"/>
      <name val="Calibri"/>
      <family val="2"/>
    </font>
    <font>
      <b/>
      <sz val="8"/>
      <color theme="0"/>
      <name val="Arial"/>
      <family val="2"/>
    </font>
    <font>
      <sz val="8"/>
      <color theme="0"/>
      <name val="Arial"/>
      <family val="2"/>
    </font>
    <font>
      <b/>
      <sz val="8"/>
      <color theme="1"/>
      <name val="Arial"/>
      <family val="2"/>
    </font>
    <font>
      <sz val="8"/>
      <color theme="1"/>
      <name val="Arial"/>
      <family val="2"/>
    </font>
    <font>
      <i/>
      <sz val="8"/>
      <color theme="1"/>
      <name val="Arial"/>
      <family val="2"/>
    </font>
    <font>
      <u/>
      <sz val="11"/>
      <color theme="10"/>
      <name val="Calibri"/>
      <family val="2"/>
    </font>
    <font>
      <u/>
      <sz val="8"/>
      <color theme="10"/>
      <name val="Arial"/>
      <family val="2"/>
    </font>
    <font>
      <sz val="8"/>
      <color theme="0" tint="-0.34998626667073579"/>
      <name val="Arial"/>
      <family val="2"/>
    </font>
    <font>
      <b/>
      <sz val="8"/>
      <color rgb="FFFF0000"/>
      <name val="Arial"/>
      <family val="2"/>
    </font>
    <font>
      <u/>
      <sz val="8"/>
      <color theme="0"/>
      <name val="Arial"/>
      <family val="2"/>
    </font>
    <font>
      <sz val="8"/>
      <color theme="0" tint="-0.14999847407452621"/>
      <name val="Arial"/>
      <family val="2"/>
    </font>
    <font>
      <u/>
      <sz val="8"/>
      <name val="Arial"/>
      <family val="2"/>
    </font>
    <font>
      <b/>
      <sz val="8"/>
      <color theme="0" tint="-0.14999847407452621"/>
      <name val="Arial"/>
      <family val="2"/>
    </font>
    <font>
      <sz val="8"/>
      <color rgb="FF00B050"/>
      <name val="Arial"/>
      <family val="2"/>
    </font>
    <font>
      <i/>
      <sz val="8"/>
      <name val="Arial"/>
      <family val="2"/>
    </font>
    <font>
      <b/>
      <u/>
      <sz val="8"/>
      <color theme="0"/>
      <name val="Arial"/>
      <family val="2"/>
    </font>
    <font>
      <sz val="8"/>
      <color theme="4"/>
      <name val="Arial"/>
      <family val="2"/>
    </font>
    <font>
      <b/>
      <sz val="8"/>
      <color rgb="FF00B050"/>
      <name val="Arial"/>
      <family val="2"/>
    </font>
    <font>
      <sz val="8"/>
      <color indexed="23"/>
      <name val="Arial"/>
      <family val="2"/>
    </font>
    <font>
      <b/>
      <i/>
      <sz val="8"/>
      <color rgb="FFFF0000"/>
      <name val="Arial"/>
      <family val="2"/>
    </font>
    <font>
      <sz val="8"/>
      <color indexed="8"/>
      <name val="Arial"/>
      <family val="2"/>
    </font>
    <font>
      <sz val="10"/>
      <color theme="1"/>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sz val="12"/>
      <name val="Helv"/>
    </font>
    <font>
      <sz val="11"/>
      <color indexed="8"/>
      <name val="Calibri"/>
      <family val="2"/>
    </font>
    <font>
      <sz val="9"/>
      <name val="Helv"/>
    </font>
    <font>
      <sz val="10"/>
      <name val="Helv"/>
      <family val="2"/>
    </font>
    <font>
      <vertAlign val="superscript"/>
      <sz val="12"/>
      <name val="Helv"/>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8.5"/>
      <name val="Helv"/>
    </font>
    <font>
      <sz val="10"/>
      <color rgb="FF3F3F76"/>
      <name val="Verdana"/>
      <family val="2"/>
    </font>
    <font>
      <sz val="10"/>
      <color rgb="FFFA7D00"/>
      <name val="Verdana"/>
      <family val="2"/>
    </font>
    <font>
      <sz val="10"/>
      <color rgb="FF9C6500"/>
      <name val="Verdana"/>
      <family val="2"/>
    </font>
    <font>
      <b/>
      <sz val="10"/>
      <color rgb="FF3F3F3F"/>
      <name val="Verdana"/>
      <family val="2"/>
    </font>
    <font>
      <sz val="8"/>
      <name val="Helv"/>
    </font>
    <font>
      <vertAlign val="superscript"/>
      <sz val="12"/>
      <name val="Helv"/>
      <family val="2"/>
    </font>
    <font>
      <sz val="8"/>
      <name val="Helv"/>
      <family val="2"/>
    </font>
    <font>
      <b/>
      <sz val="14"/>
      <name val="Helv"/>
    </font>
    <font>
      <b/>
      <sz val="10"/>
      <color theme="1"/>
      <name val="Verdana"/>
      <family val="2"/>
    </font>
    <font>
      <sz val="10"/>
      <color rgb="FFFF0000"/>
      <name val="Verdana"/>
      <family val="2"/>
    </font>
    <font>
      <sz val="11"/>
      <color indexed="9"/>
      <name val="Calibri"/>
      <family val="2"/>
    </font>
    <font>
      <sz val="11"/>
      <name val="Arial"/>
      <family val="2"/>
    </font>
    <font>
      <b/>
      <i/>
      <u/>
      <sz val="10"/>
      <name val="Arial"/>
      <family val="2"/>
    </font>
    <font>
      <sz val="10"/>
      <name val="Times New Roman"/>
      <family val="1"/>
    </font>
    <font>
      <sz val="8"/>
      <name val="Tms Rmn"/>
    </font>
    <font>
      <b/>
      <sz val="11"/>
      <color indexed="8"/>
      <name val="Calibri"/>
      <family val="2"/>
    </font>
    <font>
      <sz val="7"/>
      <name val="Small Fonts"/>
      <family val="2"/>
    </font>
    <font>
      <b/>
      <i/>
      <sz val="16"/>
      <name val="Helv"/>
    </font>
    <font>
      <sz val="14"/>
      <name val="–¾’©"/>
      <charset val="128"/>
    </font>
    <font>
      <sz val="10"/>
      <name val="MS Sans Serif"/>
      <family val="2"/>
    </font>
    <font>
      <sz val="8"/>
      <name val="Times New Roman"/>
      <family val="1"/>
    </font>
    <font>
      <sz val="14"/>
      <name val="Arial"/>
      <family val="2"/>
    </font>
    <font>
      <sz val="18"/>
      <name val="Arial"/>
      <family val="2"/>
    </font>
    <font>
      <b/>
      <sz val="18"/>
      <color indexed="62"/>
      <name val="Cambria"/>
      <family val="2"/>
    </font>
    <font>
      <b/>
      <sz val="8"/>
      <name val="Helv"/>
    </font>
    <font>
      <b/>
      <sz val="12"/>
      <color theme="1"/>
      <name val="Arial"/>
      <family val="2"/>
      <scheme val="minor"/>
    </font>
    <font>
      <sz val="11"/>
      <color theme="9"/>
      <name val="Arial"/>
      <family val="2"/>
      <scheme val="minor"/>
    </font>
    <font>
      <b/>
      <sz val="11"/>
      <color theme="9"/>
      <name val="Arial"/>
      <family val="2"/>
      <scheme val="minor"/>
    </font>
    <font>
      <u/>
      <sz val="11"/>
      <color theme="10"/>
      <name val="Arial"/>
      <family val="2"/>
      <scheme val="minor"/>
    </font>
    <font>
      <b/>
      <sz val="8"/>
      <color rgb="FF000000"/>
      <name val="Arial"/>
      <family val="2"/>
    </font>
    <font>
      <sz val="8"/>
      <color rgb="FF000000"/>
      <name val="Arial"/>
      <family val="2"/>
    </font>
    <font>
      <u/>
      <sz val="8"/>
      <color theme="10"/>
      <name val="Arial Narrow"/>
      <family val="2"/>
    </font>
    <font>
      <sz val="10"/>
      <name val="Arial"/>
      <family val="2"/>
    </font>
    <font>
      <b/>
      <sz val="16"/>
      <color theme="1"/>
      <name val="Arial"/>
      <family val="2"/>
      <scheme val="minor"/>
    </font>
    <font>
      <b/>
      <sz val="15"/>
      <color theme="3"/>
      <name val="Arial"/>
      <family val="2"/>
      <scheme val="minor"/>
    </font>
    <font>
      <sz val="11"/>
      <color rgb="FF000000"/>
      <name val="Arial"/>
      <family val="2"/>
      <scheme val="minor"/>
    </font>
    <font>
      <b/>
      <sz val="12"/>
      <name val="Arial"/>
      <family val="2"/>
      <scheme val="minor"/>
    </font>
    <font>
      <b/>
      <sz val="14"/>
      <name val="Arial"/>
      <family val="2"/>
      <scheme val="minor"/>
    </font>
    <font>
      <sz val="12"/>
      <color theme="1"/>
      <name val="Arial"/>
      <family val="2"/>
    </font>
    <font>
      <b/>
      <sz val="11"/>
      <color theme="1"/>
      <name val="Calibri"/>
      <family val="2"/>
    </font>
    <font>
      <sz val="11"/>
      <color theme="0"/>
      <name val="Calibri"/>
      <family val="2"/>
    </font>
    <font>
      <sz val="11"/>
      <color indexed="16"/>
      <name val="Calibri"/>
      <family val="2"/>
    </font>
    <font>
      <sz val="11"/>
      <color rgb="FF9C0006"/>
      <name val="Calibri"/>
      <family val="2"/>
    </font>
    <font>
      <sz val="11"/>
      <color indexed="20"/>
      <name val="Calibri"/>
      <family val="2"/>
    </font>
    <font>
      <b/>
      <sz val="11"/>
      <color indexed="53"/>
      <name val="Calibri"/>
      <family val="2"/>
    </font>
    <font>
      <b/>
      <sz val="11"/>
      <color rgb="FFFA7D00"/>
      <name val="Calibri"/>
      <family val="2"/>
    </font>
    <font>
      <b/>
      <sz val="11"/>
      <color indexed="52"/>
      <name val="Calibri"/>
      <family val="2"/>
    </font>
    <font>
      <b/>
      <sz val="11"/>
      <color indexed="9"/>
      <name val="Calibri"/>
      <family val="2"/>
    </font>
    <font>
      <sz val="12"/>
      <name val="Times New Roman"/>
      <family val="1"/>
    </font>
    <font>
      <sz val="10"/>
      <name val="SimSun"/>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5"/>
      <color indexed="56"/>
      <name val="Calibri"/>
      <family val="2"/>
    </font>
    <font>
      <b/>
      <sz val="13"/>
      <color indexed="62"/>
      <name val="Calibri"/>
      <family val="2"/>
    </font>
    <font>
      <b/>
      <sz val="13"/>
      <color theme="3"/>
      <name val="Calibri"/>
      <family val="2"/>
    </font>
    <font>
      <b/>
      <sz val="13"/>
      <color indexed="56"/>
      <name val="Calibri"/>
      <family val="2"/>
    </font>
    <font>
      <b/>
      <sz val="11"/>
      <color indexed="62"/>
      <name val="Calibri"/>
      <family val="2"/>
    </font>
    <font>
      <b/>
      <sz val="11"/>
      <color theme="3"/>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52"/>
      <name val="Calibri"/>
      <family val="2"/>
    </font>
    <font>
      <sz val="10"/>
      <name val="Geneva"/>
      <family val="2"/>
    </font>
    <font>
      <sz val="11"/>
      <color indexed="60"/>
      <name val="Calibri"/>
      <family val="2"/>
    </font>
    <font>
      <sz val="11"/>
      <color rgb="FF9C6500"/>
      <name val="Calibri"/>
      <family val="2"/>
    </font>
    <font>
      <sz val="10"/>
      <color indexed="8"/>
      <name val="Arial"/>
      <family val="2"/>
    </font>
    <font>
      <sz val="12"/>
      <name val="Arial"/>
      <family val="2"/>
    </font>
    <font>
      <b/>
      <sz val="11"/>
      <color indexed="63"/>
      <name val="Calibri"/>
      <family val="2"/>
    </font>
    <font>
      <b/>
      <sz val="11"/>
      <color rgb="FF3F3F3F"/>
      <name val="Calibri"/>
      <family val="2"/>
    </font>
    <font>
      <b/>
      <sz val="18"/>
      <color indexed="56"/>
      <name val="Cambria"/>
      <family val="2"/>
    </font>
    <font>
      <b/>
      <sz val="18"/>
      <color theme="3"/>
      <name val="Cambria"/>
      <family val="2"/>
    </font>
    <font>
      <sz val="11"/>
      <color indexed="10"/>
      <name val="Calibri"/>
      <family val="2"/>
    </font>
    <font>
      <sz val="11"/>
      <color rgb="FFFF0000"/>
      <name val="Calibri"/>
      <family val="2"/>
    </font>
    <font>
      <b/>
      <sz val="18"/>
      <color theme="4"/>
      <name val="Arial"/>
      <family val="2"/>
      <scheme val="minor"/>
    </font>
    <font>
      <b/>
      <sz val="18"/>
      <color theme="4" tint="-0.499984740745262"/>
      <name val="Arial"/>
      <family val="2"/>
      <scheme val="minor"/>
    </font>
    <font>
      <b/>
      <i/>
      <sz val="11"/>
      <color theme="4" tint="-0.499984740745262"/>
      <name val="Arial"/>
      <family val="2"/>
      <scheme val="minor"/>
    </font>
    <font>
      <b/>
      <sz val="10"/>
      <color indexed="18"/>
      <name val="Arial"/>
      <family val="2"/>
    </font>
    <font>
      <b/>
      <sz val="10"/>
      <name val="Arial"/>
      <family val="2"/>
    </font>
    <font>
      <b/>
      <sz val="10"/>
      <color indexed="16"/>
      <name val="Arial"/>
      <family val="2"/>
    </font>
    <font>
      <sz val="72"/>
      <color theme="1"/>
      <name val="Arial"/>
      <family val="2"/>
      <scheme val="minor"/>
    </font>
    <font>
      <b/>
      <sz val="14"/>
      <color theme="1"/>
      <name val="Arial"/>
      <family val="2"/>
      <scheme val="minor"/>
    </font>
    <font>
      <b/>
      <sz val="12"/>
      <color theme="0"/>
      <name val="Arial"/>
      <family val="2"/>
      <scheme val="minor"/>
    </font>
    <font>
      <sz val="8"/>
      <color rgb="FFFF0000"/>
      <name val="Arial"/>
      <family val="2"/>
    </font>
    <font>
      <b/>
      <sz val="20"/>
      <color rgb="FF0070C0"/>
      <name val="Arial"/>
      <family val="2"/>
      <scheme val="minor"/>
    </font>
    <font>
      <b/>
      <sz val="10"/>
      <color theme="1"/>
      <name val="Arial"/>
      <family val="2"/>
      <scheme val="minor"/>
    </font>
    <font>
      <b/>
      <sz val="10"/>
      <color rgb="FF0070C0"/>
      <name val="Arial"/>
      <family val="2"/>
      <scheme val="minor"/>
    </font>
    <font>
      <sz val="10"/>
      <color theme="1"/>
      <name val="Arial"/>
      <family val="2"/>
      <scheme val="minor"/>
    </font>
    <font>
      <b/>
      <sz val="10"/>
      <color theme="0"/>
      <name val="Arial"/>
      <family val="2"/>
      <scheme val="minor"/>
    </font>
    <font>
      <sz val="10"/>
      <name val="Arial"/>
      <family val="2"/>
      <scheme val="minor"/>
    </font>
    <font>
      <sz val="10"/>
      <color rgb="FF0000FF"/>
      <name val="Arial"/>
      <family val="2"/>
      <scheme val="minor"/>
    </font>
    <font>
      <i/>
      <sz val="10"/>
      <color theme="1"/>
      <name val="Arial"/>
      <family val="2"/>
      <scheme val="minor"/>
    </font>
    <font>
      <sz val="10"/>
      <color rgb="FFC00000"/>
      <name val="Arial"/>
      <family val="2"/>
      <scheme val="minor"/>
    </font>
    <font>
      <b/>
      <sz val="10"/>
      <color theme="4" tint="-0.499984740745262"/>
      <name val="Arial"/>
      <family val="2"/>
      <scheme val="minor"/>
    </font>
    <font>
      <sz val="10"/>
      <color rgb="FF00B050"/>
      <name val="Arial"/>
      <family val="2"/>
      <scheme val="minor"/>
    </font>
    <font>
      <b/>
      <sz val="10"/>
      <name val="Arial"/>
      <family val="2"/>
      <scheme val="minor"/>
    </font>
    <font>
      <sz val="10"/>
      <color theme="0" tint="-0.499984740745262"/>
      <name val="Arial"/>
      <family val="2"/>
      <scheme val="minor"/>
    </font>
    <font>
      <b/>
      <sz val="10"/>
      <color theme="0" tint="-0.499984740745262"/>
      <name val="Arial"/>
      <family val="2"/>
      <scheme val="minor"/>
    </font>
    <font>
      <sz val="10"/>
      <color rgb="FF812528"/>
      <name val="Arial"/>
      <family val="2"/>
      <scheme val="minor"/>
    </font>
    <font>
      <sz val="8"/>
      <color theme="1"/>
      <name val="Arial"/>
      <family val="2"/>
      <scheme val="minor"/>
    </font>
    <font>
      <b/>
      <sz val="11"/>
      <color rgb="FF0070C0"/>
      <name val="Arial"/>
      <family val="2"/>
      <scheme val="minor"/>
    </font>
    <font>
      <i/>
      <sz val="10"/>
      <color theme="3"/>
      <name val="Arial"/>
      <family val="2"/>
      <scheme val="minor"/>
    </font>
    <font>
      <b/>
      <sz val="18"/>
      <color rgb="FF0070C0"/>
      <name val="Arial"/>
      <family val="2"/>
      <scheme val="minor"/>
    </font>
    <font>
      <b/>
      <i/>
      <sz val="10"/>
      <name val="Arial"/>
      <family val="2"/>
      <scheme val="minor"/>
    </font>
    <font>
      <sz val="10"/>
      <color theme="4" tint="-0.499984740745262"/>
      <name val="Arial"/>
      <family val="2"/>
    </font>
    <font>
      <b/>
      <sz val="8"/>
      <color theme="1"/>
      <name val="Arial"/>
      <family val="2"/>
      <scheme val="minor"/>
    </font>
    <font>
      <b/>
      <sz val="15"/>
      <color rgb="FF0070C0"/>
      <name val="Arial"/>
      <family val="2"/>
      <scheme val="minor"/>
    </font>
    <font>
      <b/>
      <sz val="10"/>
      <color theme="0"/>
      <name val="Arial"/>
      <family val="2"/>
    </font>
    <font>
      <sz val="10"/>
      <name val="Arial"/>
      <family val="2"/>
      <scheme val="major"/>
    </font>
    <font>
      <sz val="10"/>
      <color theme="1"/>
      <name val="Arial"/>
      <family val="2"/>
      <scheme val="major"/>
    </font>
    <font>
      <b/>
      <vertAlign val="subscript"/>
      <sz val="10"/>
      <name val="Arial"/>
      <family val="2"/>
    </font>
    <font>
      <b/>
      <sz val="12"/>
      <color indexed="16"/>
      <name val="Arial"/>
      <family val="2"/>
    </font>
    <font>
      <sz val="10"/>
      <color indexed="16"/>
      <name val="Arial"/>
      <family val="2"/>
    </font>
    <font>
      <b/>
      <sz val="15"/>
      <color theme="1"/>
      <name val="Arial"/>
      <family val="2"/>
      <scheme val="major"/>
    </font>
    <font>
      <sz val="10"/>
      <color rgb="FF1F497D"/>
      <name val="Arial"/>
      <family val="2"/>
      <scheme val="major"/>
    </font>
    <font>
      <b/>
      <sz val="10"/>
      <color rgb="FF000000"/>
      <name val="Arial"/>
      <family val="2"/>
      <scheme val="major"/>
    </font>
    <font>
      <sz val="10"/>
      <color rgb="FF000000"/>
      <name val="Arial"/>
      <family val="2"/>
      <scheme val="major"/>
    </font>
    <font>
      <b/>
      <sz val="9"/>
      <color theme="1"/>
      <name val="Arial"/>
      <family val="2"/>
    </font>
    <font>
      <sz val="9"/>
      <color theme="1"/>
      <name val="Arial"/>
      <family val="2"/>
      <scheme val="minor"/>
    </font>
    <font>
      <sz val="9"/>
      <color theme="1"/>
      <name val="Arial"/>
      <family val="2"/>
    </font>
    <font>
      <b/>
      <sz val="9"/>
      <color rgb="FFFFFFFF"/>
      <name val="Arial"/>
      <family val="2"/>
    </font>
    <font>
      <sz val="9"/>
      <color rgb="FF000000"/>
      <name val="Arial"/>
      <family val="2"/>
      <scheme val="minor"/>
    </font>
    <font>
      <sz val="9"/>
      <name val="Arial"/>
      <family val="2"/>
    </font>
    <font>
      <b/>
      <sz val="9"/>
      <color theme="0"/>
      <name val="Arial"/>
      <family val="2"/>
    </font>
    <font>
      <sz val="9"/>
      <color rgb="FF000000"/>
      <name val="Arial"/>
      <family val="2"/>
    </font>
    <font>
      <b/>
      <i/>
      <sz val="9"/>
      <name val="Arial"/>
      <family val="2"/>
    </font>
    <font>
      <i/>
      <sz val="9"/>
      <color theme="1"/>
      <name val="Arial"/>
      <family val="2"/>
    </font>
    <font>
      <b/>
      <sz val="9"/>
      <color theme="1"/>
      <name val="Arial"/>
      <family val="2"/>
      <scheme val="minor"/>
    </font>
    <font>
      <b/>
      <sz val="8"/>
      <color theme="0"/>
      <name val="Arial"/>
      <family val="2"/>
      <scheme val="minor"/>
    </font>
    <font>
      <sz val="8"/>
      <color theme="0"/>
      <name val="Arial"/>
      <family val="2"/>
      <scheme val="minor"/>
    </font>
    <font>
      <sz val="8"/>
      <color theme="0" tint="-0.499984740745262"/>
      <name val="Arial"/>
      <family val="2"/>
      <scheme val="minor"/>
    </font>
    <font>
      <sz val="8"/>
      <color rgb="FFFF0000"/>
      <name val="Arial"/>
      <family val="2"/>
      <scheme val="minor"/>
    </font>
    <font>
      <sz val="8"/>
      <name val="Arial"/>
      <family val="2"/>
      <scheme val="minor"/>
    </font>
    <font>
      <i/>
      <sz val="8"/>
      <color theme="1"/>
      <name val="Arial"/>
      <family val="2"/>
      <scheme val="minor"/>
    </font>
    <font>
      <u/>
      <sz val="8"/>
      <color theme="10"/>
      <name val="Arial"/>
      <family val="2"/>
      <scheme val="minor"/>
    </font>
    <font>
      <sz val="8"/>
      <color theme="0" tint="-0.34998626667073579"/>
      <name val="Arial"/>
      <family val="2"/>
      <scheme val="minor"/>
    </font>
    <font>
      <b/>
      <sz val="8"/>
      <name val="Arial"/>
      <family val="2"/>
      <scheme val="minor"/>
    </font>
    <font>
      <b/>
      <sz val="8"/>
      <color theme="10"/>
      <name val="Arial"/>
      <family val="2"/>
      <scheme val="minor"/>
    </font>
    <font>
      <b/>
      <sz val="8"/>
      <color rgb="FFFF0000"/>
      <name val="Arial"/>
      <family val="2"/>
      <scheme val="minor"/>
    </font>
    <font>
      <b/>
      <u/>
      <sz val="8"/>
      <color theme="0" tint="-0.34998626667073579"/>
      <name val="Arial"/>
      <family val="2"/>
      <scheme val="minor"/>
    </font>
    <font>
      <b/>
      <sz val="8"/>
      <color rgb="FF00B050"/>
      <name val="Arial"/>
      <family val="2"/>
      <scheme val="minor"/>
    </font>
    <font>
      <b/>
      <i/>
      <sz val="8"/>
      <color theme="0" tint="-0.249977111117893"/>
      <name val="Arial"/>
      <family val="2"/>
      <scheme val="minor"/>
    </font>
    <font>
      <b/>
      <sz val="8"/>
      <color theme="0" tint="-0.249977111117893"/>
      <name val="Arial"/>
      <family val="2"/>
      <scheme val="minor"/>
    </font>
    <font>
      <b/>
      <sz val="10"/>
      <color theme="0"/>
      <name val="Arial"/>
      <family val="2"/>
      <scheme val="major"/>
    </font>
    <font>
      <b/>
      <sz val="8"/>
      <color theme="0"/>
      <name val="Arial"/>
      <family val="2"/>
      <scheme val="major"/>
    </font>
    <font>
      <sz val="8"/>
      <color theme="1"/>
      <name val="Arial"/>
      <family val="2"/>
      <scheme val="major"/>
    </font>
    <font>
      <sz val="8"/>
      <name val="Arial"/>
      <family val="2"/>
      <scheme val="major"/>
    </font>
    <font>
      <sz val="8"/>
      <color theme="0"/>
      <name val="Arial"/>
      <family val="2"/>
      <scheme val="major"/>
    </font>
    <font>
      <b/>
      <sz val="8"/>
      <color rgb="FFFF0000"/>
      <name val="Arial"/>
      <family val="2"/>
      <scheme val="major"/>
    </font>
    <font>
      <b/>
      <sz val="8"/>
      <color theme="1"/>
      <name val="Arial"/>
      <family val="2"/>
      <scheme val="major"/>
    </font>
    <font>
      <b/>
      <sz val="8"/>
      <color rgb="FF00B050"/>
      <name val="Arial"/>
      <family val="2"/>
      <scheme val="major"/>
    </font>
    <font>
      <i/>
      <sz val="8"/>
      <color theme="1"/>
      <name val="Arial"/>
      <family val="2"/>
      <scheme val="major"/>
    </font>
    <font>
      <u/>
      <sz val="8"/>
      <color theme="10"/>
      <name val="Arial"/>
      <family val="2"/>
      <scheme val="major"/>
    </font>
    <font>
      <sz val="8"/>
      <color theme="0" tint="-0.34998626667073579"/>
      <name val="Arial"/>
      <family val="2"/>
      <scheme val="major"/>
    </font>
    <font>
      <u/>
      <sz val="10"/>
      <color theme="10"/>
      <name val="Calibri"/>
      <family val="2"/>
    </font>
    <font>
      <sz val="8"/>
      <color rgb="FF00B050"/>
      <name val="Arial"/>
      <family val="2"/>
      <scheme val="major"/>
    </font>
    <font>
      <b/>
      <i/>
      <sz val="8"/>
      <color theme="1"/>
      <name val="Arial"/>
      <family val="2"/>
      <scheme val="major"/>
    </font>
    <font>
      <sz val="8"/>
      <color theme="2" tint="0.79998168889431442"/>
      <name val="Arial"/>
      <family val="2"/>
      <scheme val="major"/>
    </font>
    <font>
      <u/>
      <sz val="9"/>
      <color theme="10"/>
      <name val="Calibri"/>
      <family val="2"/>
    </font>
    <font>
      <sz val="8"/>
      <color theme="2"/>
      <name val="Arial"/>
      <family val="2"/>
    </font>
    <font>
      <sz val="11"/>
      <color theme="2"/>
      <name val="Arial"/>
      <family val="2"/>
      <scheme val="minor"/>
    </font>
    <font>
      <b/>
      <sz val="8"/>
      <color indexed="8"/>
      <name val="Arial"/>
      <family val="2"/>
    </font>
    <font>
      <sz val="11"/>
      <name val="Calibri"/>
      <family val="2"/>
    </font>
    <font>
      <sz val="11"/>
      <color theme="0" tint="-0.499984740745262"/>
      <name val="Calibri"/>
      <family val="2"/>
    </font>
    <font>
      <sz val="11"/>
      <color rgb="FF00B050"/>
      <name val="Calibri"/>
      <family val="2"/>
    </font>
    <font>
      <b/>
      <sz val="11"/>
      <name val="Calibri"/>
      <family val="2"/>
    </font>
    <font>
      <b/>
      <sz val="11"/>
      <color rgb="FF00B050"/>
      <name val="Calibri"/>
      <family val="2"/>
    </font>
    <font>
      <b/>
      <sz val="11"/>
      <color theme="0" tint="-0.499984740745262"/>
      <name val="Calibri"/>
      <family val="2"/>
    </font>
    <font>
      <u/>
      <sz val="11"/>
      <color theme="0" tint="-0.499984740745262"/>
      <name val="Calibri"/>
      <family val="2"/>
    </font>
    <font>
      <i/>
      <sz val="11"/>
      <color theme="1"/>
      <name val="Calibri"/>
      <family val="2"/>
    </font>
    <font>
      <b/>
      <sz val="11"/>
      <color theme="4" tint="-0.249977111117893"/>
      <name val="Calibri"/>
      <family val="2"/>
    </font>
    <font>
      <u/>
      <sz val="11"/>
      <color theme="1"/>
      <name val="Calibri"/>
      <family val="2"/>
    </font>
    <font>
      <u/>
      <sz val="11"/>
      <name val="Calibri"/>
      <family val="2"/>
    </font>
    <font>
      <b/>
      <u/>
      <sz val="11"/>
      <name val="Calibri"/>
      <family val="2"/>
    </font>
    <font>
      <sz val="11"/>
      <color theme="4" tint="-0.249977111117893"/>
      <name val="Calibri"/>
      <family val="2"/>
    </font>
    <font>
      <b/>
      <sz val="11"/>
      <color rgb="FFFF0000"/>
      <name val="Calibri"/>
      <family val="2"/>
    </font>
    <font>
      <u/>
      <sz val="8"/>
      <color theme="10"/>
      <name val="Calibri"/>
      <family val="2"/>
    </font>
    <font>
      <sz val="8"/>
      <color theme="0" tint="-4.9989318521683403E-2"/>
      <name val="Arial"/>
      <family val="2"/>
    </font>
    <font>
      <sz val="9"/>
      <color indexed="81"/>
      <name val="Tahoma"/>
      <family val="2"/>
    </font>
    <font>
      <b/>
      <sz val="9"/>
      <color indexed="81"/>
      <name val="Tahoma"/>
      <family val="2"/>
    </font>
    <font>
      <b/>
      <sz val="10"/>
      <color indexed="8"/>
      <name val="Times New Roman"/>
      <family val="1"/>
    </font>
    <font>
      <sz val="10"/>
      <color indexed="8"/>
      <name val="Times New Roman"/>
      <family val="1"/>
    </font>
    <font>
      <i/>
      <sz val="9"/>
      <name val="Arial"/>
      <family val="2"/>
    </font>
    <font>
      <sz val="9"/>
      <color theme="1"/>
      <name val="Arial"/>
      <family val="2"/>
      <scheme val="major"/>
    </font>
    <font>
      <sz val="11"/>
      <color theme="1"/>
      <name val="Arial"/>
      <family val="2"/>
    </font>
    <font>
      <sz val="11"/>
      <color rgb="FF333333"/>
      <name val="Arial"/>
      <family val="2"/>
    </font>
    <font>
      <b/>
      <sz val="9"/>
      <color theme="0"/>
      <name val="Arial"/>
      <family val="2"/>
      <scheme val="minor"/>
    </font>
    <font>
      <sz val="11"/>
      <color rgb="FF1F487C"/>
      <name val="Calibri"/>
      <family val="2"/>
    </font>
  </fonts>
  <fills count="10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22"/>
        <bgColor indexed="9"/>
      </patternFill>
    </fill>
    <fill>
      <patternFill patternType="solid">
        <fgColor theme="1"/>
        <bgColor indexed="64"/>
      </patternFill>
    </fill>
    <fill>
      <patternFill patternType="solid">
        <fgColor rgb="FF00B050"/>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indexed="22"/>
        <bgColor indexed="55"/>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26"/>
        <bgColor indexed="64"/>
      </patternFill>
    </fill>
    <fill>
      <patternFill patternType="solid">
        <fgColor theme="4"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solid">
        <fgColor indexed="22"/>
      </patternFill>
    </fill>
    <fill>
      <patternFill patternType="solid">
        <fgColor indexed="55"/>
      </patternFill>
    </fill>
    <fill>
      <patternFill patternType="solid">
        <fgColor indexed="43"/>
        <bgColor indexed="43"/>
      </patternFill>
    </fill>
    <fill>
      <patternFill patternType="solid">
        <fgColor indexed="43"/>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2"/>
        <bgColor indexed="64"/>
      </patternFill>
    </fill>
    <fill>
      <patternFill patternType="solid">
        <fgColor theme="0" tint="-0.34998626667073579"/>
        <bgColor indexed="64"/>
      </patternFill>
    </fill>
    <fill>
      <patternFill patternType="solid">
        <fgColor rgb="FF0F243E"/>
        <bgColor indexed="64"/>
      </patternFill>
    </fill>
    <fill>
      <patternFill patternType="solid">
        <fgColor theme="8" tint="0.59999389629810485"/>
        <bgColor indexed="64"/>
      </patternFill>
    </fill>
    <fill>
      <patternFill patternType="solid">
        <fgColor theme="3"/>
        <bgColor indexed="64"/>
      </patternFill>
    </fill>
    <fill>
      <patternFill patternType="solid">
        <fgColor rgb="FFFFFF00"/>
        <bgColor indexed="64"/>
      </patternFill>
    </fill>
    <fill>
      <patternFill patternType="solid">
        <fgColor theme="8" tint="0.39997558519241921"/>
        <bgColor indexed="64"/>
      </patternFill>
    </fill>
    <fill>
      <patternFill patternType="solid">
        <fgColor theme="2" tint="0.79998168889431442"/>
        <bgColor indexed="64"/>
      </patternFill>
    </fill>
    <fill>
      <patternFill patternType="solid">
        <fgColor theme="2" tint="0.39997558519241921"/>
        <bgColor indexed="64"/>
      </patternFill>
    </fill>
  </fills>
  <borders count="18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22"/>
      </bottom>
      <diagonal/>
    </border>
    <border>
      <left/>
      <right/>
      <top/>
      <bottom style="thick">
        <color rgb="FF0096D7"/>
      </bottom>
      <diagonal/>
    </border>
    <border>
      <left/>
      <right/>
      <top/>
      <bottom style="dashed">
        <color rgb="FFBFBFBF"/>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right/>
      <top style="thin">
        <color rgb="FFFF0000"/>
      </top>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style="thin">
        <color rgb="FFFF0000"/>
      </bottom>
      <diagonal/>
    </border>
    <border>
      <left/>
      <right style="thin">
        <color rgb="FFFF0000"/>
      </right>
      <top/>
      <bottom/>
      <diagonal/>
    </border>
    <border>
      <left/>
      <right style="thin">
        <color rgb="FFFF0000"/>
      </right>
      <top/>
      <bottom style="thin">
        <color rgb="FFFF0000"/>
      </bottom>
      <diagonal/>
    </border>
    <border>
      <left/>
      <right style="thin">
        <color rgb="FFFF0000"/>
      </right>
      <top style="thin">
        <color rgb="FFFF0000"/>
      </top>
      <bottom/>
      <diagonal/>
    </border>
    <border>
      <left/>
      <right/>
      <top style="medium">
        <color rgb="FF0096D7"/>
      </top>
      <bottom/>
      <diagonal/>
    </border>
    <border>
      <left/>
      <right/>
      <top/>
      <bottom style="hair">
        <color indexed="64"/>
      </bottom>
      <diagonal/>
    </border>
    <border>
      <left/>
      <right/>
      <top/>
      <bottom style="thin">
        <color rgb="FFBFBFBF"/>
      </bottom>
      <diagonal/>
    </border>
    <border>
      <left/>
      <right/>
      <top/>
      <bottom style="hair">
        <color indexed="8"/>
      </bottom>
      <diagonal/>
    </border>
    <border>
      <left/>
      <right/>
      <top/>
      <bottom style="thin">
        <color indexed="8"/>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rgb="FF000000"/>
      </left>
      <right style="thin">
        <color rgb="FF000000"/>
      </right>
      <top style="thin">
        <color indexed="64"/>
      </top>
      <bottom/>
      <diagonal/>
    </border>
    <border>
      <left style="thin">
        <color rgb="FF000000"/>
      </left>
      <right/>
      <top/>
      <bottom style="thin">
        <color rgb="FF000000"/>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62"/>
      </bottom>
      <diagonal/>
    </border>
    <border>
      <left/>
      <right/>
      <top/>
      <bottom style="thick">
        <color indexed="22"/>
      </bottom>
      <diagonal/>
    </border>
    <border>
      <left/>
      <right/>
      <top/>
      <bottom style="medium">
        <color indexed="44"/>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0" tint="-0.24994659260841701"/>
      </left>
      <right/>
      <top style="thin">
        <color indexed="64"/>
      </top>
      <bottom style="thin">
        <color theme="0" tint="-0.24994659260841701"/>
      </bottom>
      <diagonal/>
    </border>
    <border>
      <left/>
      <right/>
      <top style="thin">
        <color indexed="64"/>
      </top>
      <bottom/>
      <diagonal/>
    </border>
    <border>
      <left style="thin">
        <color indexed="64"/>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top/>
      <bottom style="double">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rgb="FFFF0000"/>
      </left>
      <right style="thin">
        <color rgb="FFFF0000"/>
      </right>
      <top/>
      <bottom style="double">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4659260841701"/>
      </right>
      <top/>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style="thin">
        <color theme="0"/>
      </left>
      <right/>
      <top/>
      <bottom style="thin">
        <color indexed="64"/>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diagonal/>
    </border>
    <border>
      <left style="thin">
        <color rgb="FFFF0000"/>
      </left>
      <right style="thin">
        <color rgb="FFFF0000"/>
      </right>
      <top style="thin">
        <color rgb="FFFF0000"/>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rgb="FFFF0000"/>
      </right>
      <top style="thin">
        <color indexed="64"/>
      </top>
      <bottom style="thin">
        <color rgb="FFFF000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rgb="FFFF0000"/>
      </left>
      <right style="thin">
        <color rgb="FFFF0000"/>
      </right>
      <top style="double">
        <color indexed="64"/>
      </top>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diagonal/>
    </border>
    <border>
      <left style="thin">
        <color theme="1" tint="0.499984740745262"/>
      </left>
      <right/>
      <top style="thin">
        <color theme="1" tint="0.499984740745262"/>
      </top>
      <bottom style="thin">
        <color theme="1" tint="0.499984740745262"/>
      </bottom>
      <diagonal/>
    </border>
    <border>
      <left style="thin">
        <color theme="0" tint="-0.499984740745262"/>
      </left>
      <right/>
      <top style="thin">
        <color theme="1" tint="0.499984740745262"/>
      </top>
      <bottom/>
      <diagonal/>
    </border>
    <border>
      <left/>
      <right/>
      <top style="thin">
        <color theme="1" tint="0.499984740745262"/>
      </top>
      <bottom/>
      <diagonal/>
    </border>
    <border>
      <left/>
      <right style="thin">
        <color theme="0" tint="-0.499984740745262"/>
      </right>
      <top style="thin">
        <color theme="1" tint="0.499984740745262"/>
      </top>
      <bottom/>
      <diagonal/>
    </border>
    <border>
      <left/>
      <right style="thin">
        <color theme="0" tint="-0.499984740745262"/>
      </right>
      <top/>
      <bottom/>
      <diagonal/>
    </border>
    <border>
      <left/>
      <right/>
      <top style="thin">
        <color theme="0" tint="-0.24994659260841701"/>
      </top>
      <bottom/>
      <diagonal/>
    </border>
    <border>
      <left style="thin">
        <color theme="0" tint="-0.24994659260841701"/>
      </left>
      <right style="thin">
        <color theme="2" tint="0.39997558519241921"/>
      </right>
      <top style="thin">
        <color theme="0" tint="-0.24994659260841701"/>
      </top>
      <bottom style="thin">
        <color theme="0" tint="-0.24994659260841701"/>
      </bottom>
      <diagonal/>
    </border>
    <border>
      <left style="thin">
        <color theme="0" tint="-0.24994659260841701"/>
      </left>
      <right style="thin">
        <color theme="2" tint="0.39997558519241921"/>
      </right>
      <top style="thin">
        <color theme="0" tint="-0.24994659260841701"/>
      </top>
      <bottom style="thin">
        <color indexed="64"/>
      </bottom>
      <diagonal/>
    </border>
    <border>
      <left/>
      <right style="thin">
        <color indexed="64"/>
      </right>
      <top style="thin">
        <color theme="0" tint="-0.24994659260841701"/>
      </top>
      <bottom/>
      <diagonal/>
    </border>
    <border>
      <left/>
      <right style="thin">
        <color indexed="64"/>
      </right>
      <top style="thin">
        <color theme="0" tint="-0.24994659260841701"/>
      </top>
      <bottom style="thin">
        <color indexed="64"/>
      </bottom>
      <diagonal/>
    </border>
    <border>
      <left style="thin">
        <color theme="0" tint="-0.24994659260841701"/>
      </left>
      <right style="thin">
        <color theme="2" tint="0.39997558519241921"/>
      </right>
      <top style="thin">
        <color theme="0" tint="-0.24994659260841701"/>
      </top>
      <bottom/>
      <diagonal/>
    </border>
    <border>
      <left style="thin">
        <color theme="0" tint="-0.24994659260841701"/>
      </left>
      <right style="thin">
        <color theme="2" tint="0.39997558519241921"/>
      </right>
      <top style="thin">
        <color indexed="64"/>
      </top>
      <bottom style="thin">
        <color theme="0" tint="-0.24994659260841701"/>
      </bottom>
      <diagonal/>
    </border>
    <border>
      <left/>
      <right style="thin">
        <color theme="1"/>
      </right>
      <top style="thin">
        <color indexed="64"/>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top style="thin">
        <color theme="0" tint="-0.14999847407452621"/>
      </top>
      <bottom style="thin">
        <color theme="0" tint="-0.14999847407452621"/>
      </bottom>
      <diagonal/>
    </border>
    <border>
      <left style="thin">
        <color rgb="FFFF0000"/>
      </left>
      <right/>
      <top style="thin">
        <color rgb="FFFF0000"/>
      </top>
      <bottom/>
      <diagonal/>
    </border>
    <border>
      <left style="thin">
        <color rgb="FFFF0000"/>
      </left>
      <right/>
      <top/>
      <bottom/>
      <diagonal/>
    </border>
    <border>
      <left style="thin">
        <color rgb="FFFF0000"/>
      </left>
      <right/>
      <top/>
      <bottom style="thin">
        <color rgb="FFFF0000"/>
      </bottom>
      <diagonal/>
    </border>
    <border>
      <left style="medium">
        <color indexed="64"/>
      </left>
      <right/>
      <top/>
      <bottom/>
      <diagonal/>
    </border>
    <border>
      <left/>
      <right style="medium">
        <color indexed="64"/>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theme="0" tint="-0.249977111117893"/>
      </left>
      <right style="thin">
        <color theme="0" tint="-0.249977111117893"/>
      </right>
      <top style="thin">
        <color theme="0" tint="-0.249977111117893"/>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43849">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0" fillId="9" borderId="12" applyNumberFormat="0" applyAlignment="0" applyProtection="0"/>
    <xf numFmtId="0" fontId="5" fillId="12" borderId="0" applyNumberFormat="0" applyBorder="0" applyAlignment="0" applyProtection="0"/>
    <xf numFmtId="0" fontId="17" fillId="0" borderId="0"/>
    <xf numFmtId="0" fontId="18" fillId="0" borderId="0" applyNumberFormat="0" applyFill="0" applyBorder="0" applyAlignment="0" applyProtection="0"/>
    <xf numFmtId="0" fontId="6" fillId="0" borderId="0"/>
    <xf numFmtId="0" fontId="6" fillId="0" borderId="0"/>
    <xf numFmtId="0" fontId="20" fillId="0" borderId="0">
      <alignment horizontal="left"/>
    </xf>
    <xf numFmtId="0" fontId="6" fillId="0" borderId="0"/>
    <xf numFmtId="0" fontId="24" fillId="0" borderId="0"/>
    <xf numFmtId="0" fontId="25" fillId="0" borderId="0" applyNumberFormat="0" applyProtection="0">
      <alignment horizontal="left"/>
    </xf>
    <xf numFmtId="0" fontId="26" fillId="0" borderId="0" applyNumberFormat="0" applyFill="0" applyBorder="0" applyAlignment="0" applyProtection="0"/>
    <xf numFmtId="0" fontId="27" fillId="0" borderId="26" applyNumberFormat="0" applyProtection="0">
      <alignment wrapText="1"/>
    </xf>
    <xf numFmtId="0" fontId="26" fillId="0" borderId="27" applyNumberFormat="0" applyFont="0" applyProtection="0">
      <alignment wrapText="1"/>
    </xf>
    <xf numFmtId="0" fontId="33" fillId="0" borderId="0" applyNumberFormat="0" applyFill="0" applyBorder="0" applyAlignment="0" applyProtection="0">
      <alignment vertical="top"/>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49" fillId="13" borderId="0" applyNumberFormat="0" applyBorder="0" applyAlignment="0" applyProtection="0"/>
    <xf numFmtId="0" fontId="49" fillId="17" borderId="0" applyNumberFormat="0" applyBorder="0" applyAlignment="0" applyProtection="0"/>
    <xf numFmtId="0" fontId="49" fillId="21" borderId="0" applyNumberFormat="0" applyBorder="0" applyAlignment="0" applyProtection="0"/>
    <xf numFmtId="0" fontId="49" fillId="25" borderId="0" applyNumberFormat="0" applyBorder="0" applyAlignment="0" applyProtection="0"/>
    <xf numFmtId="0" fontId="49" fillId="29" borderId="0" applyNumberFormat="0" applyBorder="0" applyAlignment="0" applyProtection="0"/>
    <xf numFmtId="0" fontId="49" fillId="33" borderId="0" applyNumberFormat="0" applyBorder="0" applyAlignment="0" applyProtection="0"/>
    <xf numFmtId="0" fontId="49" fillId="14" borderId="0" applyNumberFormat="0" applyBorder="0" applyAlignment="0" applyProtection="0"/>
    <xf numFmtId="0" fontId="49" fillId="18"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50" fillId="15" borderId="0" applyNumberFormat="0" applyBorder="0" applyAlignment="0" applyProtection="0"/>
    <xf numFmtId="0" fontId="50" fillId="19" borderId="0" applyNumberFormat="0" applyBorder="0" applyAlignment="0" applyProtection="0"/>
    <xf numFmtId="0" fontId="50" fillId="23" borderId="0" applyNumberFormat="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5" borderId="0" applyNumberFormat="0" applyBorder="0" applyAlignment="0" applyProtection="0"/>
    <xf numFmtId="0" fontId="50" fillId="12" borderId="0" applyNumberFormat="0" applyBorder="0" applyAlignment="0" applyProtection="0"/>
    <xf numFmtId="0" fontId="50" fillId="16" borderId="0" applyNumberFormat="0" applyBorder="0" applyAlignment="0" applyProtection="0"/>
    <xf numFmtId="0" fontId="50" fillId="20" borderId="0" applyNumberFormat="0" applyBorder="0" applyAlignment="0" applyProtection="0"/>
    <xf numFmtId="0" fontId="50" fillId="24" borderId="0" applyNumberFormat="0" applyBorder="0" applyAlignment="0" applyProtection="0"/>
    <xf numFmtId="0" fontId="50" fillId="28" borderId="0" applyNumberFormat="0" applyBorder="0" applyAlignment="0" applyProtection="0"/>
    <xf numFmtId="0" fontId="50" fillId="32" borderId="0" applyNumberFormat="0" applyBorder="0" applyAlignment="0" applyProtection="0"/>
    <xf numFmtId="0" fontId="51" fillId="6" borderId="0" applyNumberFormat="0" applyBorder="0" applyAlignment="0" applyProtection="0"/>
    <xf numFmtId="0" fontId="52" fillId="9" borderId="12" applyNumberFormat="0" applyAlignment="0" applyProtection="0"/>
    <xf numFmtId="0" fontId="53" fillId="10" borderId="15" applyNumberFormat="0" applyAlignment="0" applyProtection="0"/>
    <xf numFmtId="0" fontId="54" fillId="0" borderId="0">
      <alignment horizontal="center" vertical="center" wrapText="1"/>
    </xf>
    <xf numFmtId="43" fontId="6" fillId="0" borderId="0" applyFont="0" applyFill="0" applyBorder="0" applyAlignment="0" applyProtection="0"/>
    <xf numFmtId="43" fontId="55" fillId="0" borderId="0" applyFont="0" applyFill="0" applyBorder="0" applyAlignment="0" applyProtection="0"/>
    <xf numFmtId="3" fontId="6" fillId="0" borderId="0" applyFont="0" applyFill="0" applyBorder="0" applyAlignment="0" applyProtection="0"/>
    <xf numFmtId="0" fontId="20" fillId="0" borderId="0">
      <alignment horizontal="left" vertical="center" wrapText="1"/>
    </xf>
    <xf numFmtId="44" fontId="6" fillId="0" borderId="0" applyFont="0" applyFill="0" applyBorder="0" applyAlignment="0" applyProtection="0"/>
    <xf numFmtId="44" fontId="2"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3" fontId="56" fillId="0" borderId="25" applyAlignment="0">
      <alignment horizontal="right" vertical="center"/>
    </xf>
    <xf numFmtId="174" fontId="57" fillId="0" borderId="25" applyNumberFormat="0" applyFill="0">
      <alignment horizontal="right"/>
    </xf>
    <xf numFmtId="181" fontId="56" fillId="0" borderId="25">
      <alignment horizontal="right" vertical="center"/>
    </xf>
    <xf numFmtId="49" fontId="58" fillId="0" borderId="25">
      <alignment horizontal="left" vertical="center"/>
    </xf>
    <xf numFmtId="174" fontId="22" fillId="0" borderId="25" applyNumberFormat="0" applyFill="0">
      <alignment horizontal="right"/>
    </xf>
    <xf numFmtId="182" fontId="22" fillId="0" borderId="25">
      <alignment horizontal="right"/>
    </xf>
    <xf numFmtId="0" fontId="6" fillId="0" borderId="0" applyFont="0" applyFill="0" applyBorder="0" applyAlignment="0" applyProtection="0"/>
    <xf numFmtId="0" fontId="59" fillId="0" borderId="0" applyNumberFormat="0" applyFill="0" applyBorder="0" applyAlignment="0" applyProtection="0"/>
    <xf numFmtId="2" fontId="6" fillId="0" borderId="0" applyFont="0" applyFill="0" applyBorder="0" applyAlignment="0" applyProtection="0"/>
    <xf numFmtId="0" fontId="26" fillId="0" borderId="37" applyNumberFormat="0" applyProtection="0">
      <alignment wrapText="1"/>
    </xf>
    <xf numFmtId="0" fontId="60" fillId="5" borderId="0" applyNumberFormat="0" applyBorder="0" applyAlignment="0" applyProtection="0"/>
    <xf numFmtId="0" fontId="61" fillId="0" borderId="9" applyNumberFormat="0" applyFill="0" applyAlignment="0" applyProtection="0"/>
    <xf numFmtId="0" fontId="62" fillId="0" borderId="10" applyNumberFormat="0" applyFill="0" applyAlignment="0" applyProtection="0"/>
    <xf numFmtId="0" fontId="63" fillId="0" borderId="11" applyNumberFormat="0" applyFill="0" applyAlignment="0" applyProtection="0"/>
    <xf numFmtId="0" fontId="63" fillId="0" borderId="0" applyNumberFormat="0" applyFill="0" applyBorder="0" applyAlignment="0" applyProtection="0"/>
    <xf numFmtId="0" fontId="23" fillId="0" borderId="25">
      <alignment horizontal="left"/>
    </xf>
    <xf numFmtId="0" fontId="23" fillId="0" borderId="38">
      <alignment horizontal="right" vertical="center"/>
    </xf>
    <xf numFmtId="0" fontId="64" fillId="0" borderId="25">
      <alignment horizontal="left" vertical="center"/>
    </xf>
    <xf numFmtId="0" fontId="22" fillId="0" borderId="25">
      <alignment horizontal="left" vertical="center"/>
    </xf>
    <xf numFmtId="0" fontId="21" fillId="0" borderId="25">
      <alignment horizontal="left"/>
    </xf>
    <xf numFmtId="0" fontId="21" fillId="39" borderId="0">
      <alignment horizontal="centerContinuous" wrapText="1"/>
    </xf>
    <xf numFmtId="49" fontId="21" fillId="39" borderId="24">
      <alignment horizontal="left" vertical="center"/>
    </xf>
    <xf numFmtId="0" fontId="21" fillId="39" borderId="0">
      <alignment horizontal="centerContinuous" vertical="center" wrapText="1"/>
    </xf>
    <xf numFmtId="0" fontId="65" fillId="8" borderId="12" applyNumberFormat="0" applyAlignment="0" applyProtection="0"/>
    <xf numFmtId="0" fontId="66" fillId="0" borderId="14" applyNumberFormat="0" applyFill="0" applyAlignment="0" applyProtection="0"/>
    <xf numFmtId="0" fontId="67" fillId="7" borderId="0" applyNumberFormat="0" applyBorder="0" applyAlignment="0" applyProtection="0"/>
    <xf numFmtId="0" fontId="26" fillId="0" borderId="0"/>
    <xf numFmtId="0" fontId="6" fillId="0" borderId="0"/>
    <xf numFmtId="0" fontId="6" fillId="0" borderId="0"/>
    <xf numFmtId="0" fontId="2" fillId="0" borderId="0"/>
    <xf numFmtId="0" fontId="49" fillId="0" borderId="0"/>
    <xf numFmtId="0" fontId="6" fillId="0" borderId="0"/>
    <xf numFmtId="0" fontId="2" fillId="0" borderId="0"/>
    <xf numFmtId="0" fontId="6" fillId="0" borderId="0"/>
    <xf numFmtId="0" fontId="6" fillId="0" borderId="0"/>
    <xf numFmtId="0" fontId="49" fillId="11" borderId="16" applyNumberFormat="0" applyFont="0" applyAlignment="0" applyProtection="0"/>
    <xf numFmtId="0" fontId="68" fillId="9" borderId="13" applyNumberFormat="0" applyAlignment="0" applyProtection="0"/>
    <xf numFmtId="0" fontId="27" fillId="0" borderId="39" applyNumberFormat="0" applyProtection="0">
      <alignment wrapText="1"/>
    </xf>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 fontId="56" fillId="0" borderId="0">
      <alignment horizontal="left" vertical="center"/>
    </xf>
    <xf numFmtId="0" fontId="54" fillId="0" borderId="0">
      <alignment horizontal="left" vertical="center"/>
    </xf>
    <xf numFmtId="0" fontId="69" fillId="0" borderId="0">
      <alignment horizontal="right"/>
    </xf>
    <xf numFmtId="49" fontId="69" fillId="0" borderId="0">
      <alignment horizontal="center"/>
    </xf>
    <xf numFmtId="0" fontId="58" fillId="0" borderId="0">
      <alignment horizontal="right"/>
    </xf>
    <xf numFmtId="0" fontId="70" fillId="0" borderId="0">
      <alignment horizontal="right"/>
    </xf>
    <xf numFmtId="0" fontId="69" fillId="0" borderId="0">
      <alignment horizontal="left"/>
    </xf>
    <xf numFmtId="0" fontId="71" fillId="0" borderId="0">
      <alignment horizontal="left"/>
    </xf>
    <xf numFmtId="49" fontId="56" fillId="0" borderId="0">
      <alignment horizontal="left" vertical="center"/>
    </xf>
    <xf numFmtId="49" fontId="58" fillId="0" borderId="25">
      <alignment horizontal="left" vertical="center"/>
    </xf>
    <xf numFmtId="49" fontId="54" fillId="0" borderId="25" applyFill="0">
      <alignment horizontal="left" vertical="center"/>
    </xf>
    <xf numFmtId="49" fontId="58" fillId="0" borderId="25">
      <alignment horizontal="left"/>
    </xf>
    <xf numFmtId="174" fontId="56" fillId="0" borderId="0" applyNumberFormat="0">
      <alignment horizontal="right"/>
    </xf>
    <xf numFmtId="0" fontId="23" fillId="44" borderId="0">
      <alignment horizontal="centerContinuous" vertical="center" wrapText="1"/>
    </xf>
    <xf numFmtId="0" fontId="23" fillId="0" borderId="40">
      <alignment horizontal="left" vertical="center"/>
    </xf>
    <xf numFmtId="0" fontId="72" fillId="0" borderId="0">
      <alignment horizontal="left" vertical="top"/>
    </xf>
    <xf numFmtId="0" fontId="21" fillId="0" borderId="0">
      <alignment horizontal="left"/>
    </xf>
    <xf numFmtId="0" fontId="20" fillId="0" borderId="0">
      <alignment horizontal="left"/>
    </xf>
    <xf numFmtId="0" fontId="22" fillId="0" borderId="0">
      <alignment horizontal="left"/>
    </xf>
    <xf numFmtId="0" fontId="72" fillId="0" borderId="0">
      <alignment horizontal="left" vertical="top"/>
    </xf>
    <xf numFmtId="0" fontId="22" fillId="0" borderId="0">
      <alignment horizontal="left"/>
    </xf>
    <xf numFmtId="0" fontId="73" fillId="0" borderId="17" applyNumberFormat="0" applyFill="0" applyAlignment="0" applyProtection="0"/>
    <xf numFmtId="0" fontId="74" fillId="0" borderId="0" applyNumberFormat="0" applyFill="0" applyBorder="0" applyAlignment="0" applyProtection="0"/>
    <xf numFmtId="49" fontId="56" fillId="0" borderId="25">
      <alignment horizontal="left"/>
    </xf>
    <xf numFmtId="0" fontId="23" fillId="0" borderId="38">
      <alignment horizontal="left"/>
    </xf>
    <xf numFmtId="0" fontId="21" fillId="0" borderId="0">
      <alignment horizontal="left" vertical="center"/>
    </xf>
    <xf numFmtId="49" fontId="69" fillId="0" borderId="25">
      <alignment horizontal="left"/>
    </xf>
    <xf numFmtId="0" fontId="55" fillId="45" borderId="0" applyNumberFormat="0" applyBorder="0" applyAlignment="0" applyProtection="0"/>
    <xf numFmtId="0" fontId="55" fillId="45" borderId="0" applyNumberFormat="0" applyBorder="0" applyAlignment="0" applyProtection="0"/>
    <xf numFmtId="0" fontId="7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75" fillId="49" borderId="0" applyNumberFormat="0" applyBorder="0" applyAlignment="0" applyProtection="0"/>
    <xf numFmtId="0" fontId="55" fillId="47" borderId="0" applyNumberFormat="0" applyBorder="0" applyAlignment="0" applyProtection="0"/>
    <xf numFmtId="0" fontId="55" fillId="50" borderId="0" applyNumberFormat="0" applyBorder="0" applyAlignment="0" applyProtection="0"/>
    <xf numFmtId="0" fontId="75" fillId="48" borderId="0" applyNumberFormat="0" applyBorder="0" applyAlignment="0" applyProtection="0"/>
    <xf numFmtId="0" fontId="55" fillId="45"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55" fillId="51" borderId="0" applyNumberFormat="0" applyBorder="0" applyAlignment="0" applyProtection="0"/>
    <xf numFmtId="0" fontId="55" fillId="45" borderId="0" applyNumberFormat="0" applyBorder="0" applyAlignment="0" applyProtection="0"/>
    <xf numFmtId="0" fontId="75" fillId="46" borderId="0" applyNumberFormat="0" applyBorder="0" applyAlignment="0" applyProtection="0"/>
    <xf numFmtId="0" fontId="55" fillId="47"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183" fontId="76" fillId="0" borderId="0">
      <alignment vertical="center"/>
    </xf>
    <xf numFmtId="2" fontId="77" fillId="0" borderId="0">
      <alignment horizontal="right"/>
      <protection locked="0"/>
    </xf>
    <xf numFmtId="43"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3" fontId="78" fillId="0" borderId="0"/>
    <xf numFmtId="6" fontId="22" fillId="0" borderId="0" applyFont="0" applyFill="0" applyBorder="0" applyAlignment="0" applyProtection="0"/>
    <xf numFmtId="8" fontId="79" fillId="0" borderId="0" applyBorder="0" applyAlignment="0"/>
    <xf numFmtId="3" fontId="69" fillId="0" borderId="25">
      <alignment horizontal="right"/>
    </xf>
    <xf numFmtId="3" fontId="69" fillId="0" borderId="25">
      <alignment horizontal="right"/>
    </xf>
    <xf numFmtId="174" fontId="22" fillId="0" borderId="25" applyNumberFormat="0" applyFill="0">
      <alignment horizontal="right"/>
    </xf>
    <xf numFmtId="174" fontId="22" fillId="0" borderId="25" applyNumberFormat="0" applyFill="0">
      <alignment horizontal="right"/>
    </xf>
    <xf numFmtId="181" fontId="56" fillId="0" borderId="25">
      <alignment horizontal="right" vertical="center"/>
    </xf>
    <xf numFmtId="181" fontId="56" fillId="0" borderId="25">
      <alignment horizontal="right" vertical="center"/>
    </xf>
    <xf numFmtId="49" fontId="58" fillId="0" borderId="25">
      <alignment horizontal="left" vertical="center"/>
    </xf>
    <xf numFmtId="49" fontId="58" fillId="0" borderId="25">
      <alignment horizontal="left" vertical="center"/>
    </xf>
    <xf numFmtId="0" fontId="80" fillId="53" borderId="0" applyNumberFormat="0" applyBorder="0" applyAlignment="0" applyProtection="0"/>
    <xf numFmtId="0" fontId="80" fillId="54" borderId="0" applyNumberFormat="0" applyBorder="0" applyAlignment="0" applyProtection="0"/>
    <xf numFmtId="0" fontId="80" fillId="55" borderId="0" applyNumberFormat="0" applyBorder="0" applyAlignment="0" applyProtection="0"/>
    <xf numFmtId="184" fontId="6" fillId="0" borderId="0" applyFont="0" applyFill="0" applyBorder="0" applyAlignment="0" applyProtection="0"/>
    <xf numFmtId="38" fontId="7" fillId="56" borderId="0" applyNumberFormat="0" applyBorder="0" applyAlignment="0" applyProtection="0"/>
    <xf numFmtId="0" fontId="21" fillId="0" borderId="25">
      <alignment horizontal="left"/>
    </xf>
    <xf numFmtId="0" fontId="21" fillId="0" borderId="25">
      <alignment horizontal="left"/>
    </xf>
    <xf numFmtId="0" fontId="64" fillId="0" borderId="25">
      <alignment horizontal="left" vertical="center"/>
    </xf>
    <xf numFmtId="0" fontId="64" fillId="0" borderId="25">
      <alignment horizontal="left" vertical="center"/>
    </xf>
    <xf numFmtId="0" fontId="22" fillId="0" borderId="25">
      <alignment horizontal="left" vertical="center"/>
    </xf>
    <xf numFmtId="0" fontId="22" fillId="0" borderId="25">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1" fillId="39" borderId="24">
      <alignment horizontal="left" vertical="center"/>
    </xf>
    <xf numFmtId="49" fontId="21" fillId="39" borderId="24">
      <alignment horizontal="left" vertical="center"/>
    </xf>
    <xf numFmtId="10" fontId="7" fillId="57" borderId="20"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187" fontId="78" fillId="0" borderId="0" applyFont="0" applyFill="0" applyBorder="0" applyAlignment="0" applyProtection="0"/>
    <xf numFmtId="188" fontId="78" fillId="0" borderId="0" applyFont="0" applyFill="0" applyBorder="0" applyAlignment="0" applyProtection="0"/>
    <xf numFmtId="37" fontId="81" fillId="0" borderId="0"/>
    <xf numFmtId="189" fontId="82" fillId="0" borderId="0"/>
    <xf numFmtId="0" fontId="6" fillId="0" borderId="0"/>
    <xf numFmtId="0" fontId="2" fillId="0" borderId="0"/>
    <xf numFmtId="40" fontId="83" fillId="0" borderId="0" applyFont="0" applyFill="0" applyBorder="0" applyAlignment="0" applyProtection="0"/>
    <xf numFmtId="38" fontId="83" fillId="0" borderId="0" applyFont="0" applyFill="0" applyBorder="0" applyAlignment="0" applyProtection="0"/>
    <xf numFmtId="10" fontId="6" fillId="0" borderId="0" applyFont="0" applyFill="0" applyBorder="0" applyAlignment="0" applyProtection="0"/>
    <xf numFmtId="9" fontId="55" fillId="0" borderId="0" applyFont="0" applyFill="0" applyBorder="0" applyAlignment="0" applyProtection="0"/>
    <xf numFmtId="10" fontId="84" fillId="0" borderId="0" applyFont="0" applyFill="0" applyBorder="0" applyAlignment="0" applyProtection="0"/>
    <xf numFmtId="0" fontId="85" fillId="0" borderId="38" applyNumberFormat="0" applyAlignment="0"/>
    <xf numFmtId="0" fontId="6" fillId="0" borderId="41" applyNumberFormat="0" applyFont="0" applyFill="0" applyAlignment="0" applyProtection="0"/>
    <xf numFmtId="0" fontId="6" fillId="0" borderId="41" applyNumberFormat="0" applyFont="0" applyFill="0" applyAlignment="0" applyProtection="0"/>
    <xf numFmtId="0" fontId="6" fillId="0" borderId="42" applyNumberFormat="0" applyFont="0" applyFill="0" applyAlignment="0" applyProtection="0"/>
    <xf numFmtId="0" fontId="6" fillId="0" borderId="43" applyNumberFormat="0" applyFont="0" applyFill="0" applyAlignment="0" applyProtection="0"/>
    <xf numFmtId="0" fontId="86" fillId="0" borderId="0" applyNumberFormat="0" applyFill="0" applyBorder="0" applyAlignment="0" applyProtection="0"/>
    <xf numFmtId="0" fontId="13" fillId="0" borderId="0" applyNumberFormat="0" applyFill="0" applyBorder="0" applyProtection="0">
      <alignment horizontal="left"/>
    </xf>
    <xf numFmtId="0" fontId="87" fillId="0" borderId="0" applyNumberFormat="0" applyFill="0" applyBorder="0" applyAlignment="0" applyProtection="0"/>
    <xf numFmtId="0" fontId="6" fillId="0" borderId="44" applyNumberFormat="0" applyFont="0" applyFill="0" applyAlignment="0" applyProtection="0"/>
    <xf numFmtId="0" fontId="88" fillId="0" borderId="0" applyNumberFormat="0" applyFill="0" applyBorder="0" applyAlignment="0" applyProtection="0"/>
    <xf numFmtId="49" fontId="58" fillId="0" borderId="25">
      <alignment horizontal="left"/>
    </xf>
    <xf numFmtId="49" fontId="58" fillId="0" borderId="25">
      <alignment horizontal="left"/>
    </xf>
    <xf numFmtId="49" fontId="69" fillId="0" borderId="25">
      <alignment horizontal="left"/>
    </xf>
    <xf numFmtId="49" fontId="69" fillId="0" borderId="25">
      <alignment horizontal="left"/>
    </xf>
    <xf numFmtId="49" fontId="69" fillId="0" borderId="25">
      <alignment horizontal="left"/>
    </xf>
    <xf numFmtId="49" fontId="56" fillId="0" borderId="25">
      <alignment horizontal="left"/>
    </xf>
    <xf numFmtId="49" fontId="56" fillId="0" borderId="25">
      <alignment horizontal="left"/>
    </xf>
    <xf numFmtId="0" fontId="89" fillId="0" borderId="25">
      <alignment horizontal="left"/>
    </xf>
    <xf numFmtId="0" fontId="89" fillId="0" borderId="25">
      <alignment horizontal="left"/>
    </xf>
    <xf numFmtId="0" fontId="89" fillId="0" borderId="25">
      <alignment horizontal="left"/>
    </xf>
    <xf numFmtId="43" fontId="55" fillId="0" borderId="0" applyFont="0" applyFill="0" applyBorder="0" applyAlignment="0" applyProtection="0"/>
    <xf numFmtId="174" fontId="57" fillId="0" borderId="25" applyNumberFormat="0" applyFill="0">
      <alignment horizontal="right"/>
    </xf>
    <xf numFmtId="0" fontId="18" fillId="0" borderId="0" applyNumberFormat="0" applyFill="0" applyBorder="0" applyAlignment="0" applyProtection="0"/>
    <xf numFmtId="0" fontId="2" fillId="0" borderId="0"/>
    <xf numFmtId="0" fontId="6" fillId="0" borderId="0"/>
    <xf numFmtId="0" fontId="17" fillId="0" borderId="0"/>
    <xf numFmtId="0" fontId="24" fillId="0" borderId="0"/>
    <xf numFmtId="0" fontId="24" fillId="0" borderId="0"/>
    <xf numFmtId="0" fontId="97" fillId="0" borderId="0"/>
    <xf numFmtId="0" fontId="51" fillId="6" borderId="0" applyNumberFormat="0" applyBorder="0" applyAlignment="0" applyProtection="0"/>
    <xf numFmtId="0" fontId="9" fillId="6" borderId="0" applyNumberFormat="0" applyBorder="0" applyAlignment="0" applyProtection="0"/>
    <xf numFmtId="170" fontId="9" fillId="6" borderId="0" applyNumberFormat="0" applyBorder="0" applyAlignment="0" applyProtection="0"/>
    <xf numFmtId="0" fontId="61" fillId="0" borderId="9" applyNumberFormat="0" applyFill="0" applyAlignment="0" applyProtection="0"/>
    <xf numFmtId="0" fontId="99" fillId="0" borderId="9" applyNumberFormat="0" applyFill="0" applyAlignment="0" applyProtection="0"/>
    <xf numFmtId="170" fontId="99" fillId="0" borderId="9" applyNumberFormat="0" applyFill="0" applyAlignment="0" applyProtection="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00"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170" fontId="2" fillId="0" borderId="0"/>
    <xf numFmtId="170" fontId="2" fillId="0" borderId="0"/>
    <xf numFmtId="170" fontId="2" fillId="0" borderId="0"/>
    <xf numFmtId="0" fontId="17" fillId="0" borderId="0"/>
    <xf numFmtId="0" fontId="2" fillId="0" borderId="0"/>
    <xf numFmtId="0" fontId="24" fillId="0" borderId="0"/>
    <xf numFmtId="0" fontId="2" fillId="0" borderId="0"/>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3" fontId="69" fillId="0" borderId="25">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57"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174" fontId="22" fillId="0" borderId="25" applyNumberFormat="0" applyFill="0">
      <alignment horizontal="right"/>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3" fontId="56" fillId="0" borderId="25" applyAlignment="0">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181" fontId="56" fillId="0" borderId="25">
      <alignment horizontal="righ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182" fontId="22" fillId="0" borderId="25">
      <alignment horizontal="righ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1"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23" fillId="0" borderId="25">
      <alignment horizontal="left"/>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64"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0" fontId="22" fillId="0" borderId="25">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3"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49" fontId="21" fillId="39" borderId="24">
      <alignment horizontal="left" vertical="center"/>
    </xf>
    <xf numFmtId="0" fontId="93" fillId="0" borderId="0" applyNumberFormat="0" applyFill="0" applyBorder="0" applyAlignment="0" applyProtection="0"/>
    <xf numFmtId="9" fontId="6" fillId="0" borderId="0" applyFont="0" applyFill="0" applyBorder="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0" fontId="6" fillId="0" borderId="41" applyNumberFormat="0" applyFont="0" applyFill="0" applyAlignment="0" applyProtection="0"/>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8" fillId="0" borderId="25">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54" fillId="0" borderId="25" applyFill="0">
      <alignment horizontal="left" vertical="center"/>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69"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49" fontId="56"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0" fontId="89" fillId="0" borderId="25">
      <alignment horizontal="left"/>
    </xf>
    <xf numFmtId="192" fontId="6" fillId="0" borderId="0" applyFont="0" applyFill="0" applyBorder="0" applyAlignment="0" applyProtection="0"/>
    <xf numFmtId="44" fontId="2" fillId="0" borderId="0" applyFont="0" applyFill="0" applyBorder="0" applyAlignment="0" applyProtection="0"/>
    <xf numFmtId="44" fontId="76" fillId="0" borderId="0" applyFont="0" applyFill="0" applyBorder="0" applyAlignment="0" applyProtection="0"/>
    <xf numFmtId="193" fontId="2" fillId="0" borderId="0" applyFont="0" applyFill="0" applyBorder="0" applyAlignment="0" applyProtection="0"/>
    <xf numFmtId="0" fontId="6" fillId="0" borderId="0"/>
    <xf numFmtId="0" fontId="103" fillId="0" borderId="0"/>
    <xf numFmtId="0" fontId="103" fillId="0" borderId="0"/>
    <xf numFmtId="0" fontId="76" fillId="0" borderId="0"/>
    <xf numFmtId="0" fontId="16" fillId="0" borderId="0"/>
    <xf numFmtId="0" fontId="2" fillId="0" borderId="0"/>
    <xf numFmtId="9" fontId="76"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0" fontId="55" fillId="61" borderId="0" applyNumberFormat="0" applyBorder="0" applyAlignment="0" applyProtection="0"/>
    <xf numFmtId="0" fontId="55" fillId="6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55" fillId="6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55" fillId="6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16" fillId="13" borderId="0" applyNumberFormat="0" applyBorder="0" applyAlignment="0" applyProtection="0"/>
    <xf numFmtId="194" fontId="16" fillId="13" borderId="0" applyNumberFormat="0" applyBorder="0" applyAlignment="0" applyProtection="0"/>
    <xf numFmtId="0"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1"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55" fillId="62"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55" fillId="62"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16" fillId="17" borderId="0" applyNumberFormat="0" applyBorder="0" applyAlignment="0" applyProtection="0"/>
    <xf numFmtId="194" fontId="16" fillId="17" borderId="0" applyNumberFormat="0" applyBorder="0" applyAlignment="0" applyProtection="0"/>
    <xf numFmtId="0" fontId="55" fillId="62"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2"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55" fillId="63"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55" fillId="63"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16" fillId="21" borderId="0" applyNumberFormat="0" applyBorder="0" applyAlignment="0" applyProtection="0"/>
    <xf numFmtId="194" fontId="16" fillId="21" borderId="0" applyNumberFormat="0" applyBorder="0" applyAlignment="0" applyProtection="0"/>
    <xf numFmtId="0"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3"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55" fillId="6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55" fillId="6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16" fillId="25" borderId="0" applyNumberFormat="0" applyBorder="0" applyAlignment="0" applyProtection="0"/>
    <xf numFmtId="194" fontId="16" fillId="25" borderId="0" applyNumberFormat="0" applyBorder="0" applyAlignment="0" applyProtection="0"/>
    <xf numFmtId="0"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0" fontId="55" fillId="65" borderId="0" applyNumberFormat="0" applyBorder="0" applyAlignment="0" applyProtection="0"/>
    <xf numFmtId="0" fontId="55" fillId="6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55" fillId="6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55" fillId="6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16" fillId="29" borderId="0" applyNumberFormat="0" applyBorder="0" applyAlignment="0" applyProtection="0"/>
    <xf numFmtId="194" fontId="16" fillId="29" borderId="0" applyNumberFormat="0" applyBorder="0" applyAlignment="0" applyProtection="0"/>
    <xf numFmtId="0"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5"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55" fillId="66"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55" fillId="66"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16" fillId="33" borderId="0" applyNumberFormat="0" applyBorder="0" applyAlignment="0" applyProtection="0"/>
    <xf numFmtId="194" fontId="16" fillId="33" borderId="0" applyNumberFormat="0" applyBorder="0" applyAlignment="0" applyProtection="0"/>
    <xf numFmtId="0"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6"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55" fillId="6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55" fillId="6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16" fillId="14" borderId="0" applyNumberFormat="0" applyBorder="0" applyAlignment="0" applyProtection="0"/>
    <xf numFmtId="194" fontId="16" fillId="14" borderId="0" applyNumberFormat="0" applyBorder="0" applyAlignment="0" applyProtection="0"/>
    <xf numFmtId="0" fontId="55" fillId="6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0" fontId="55" fillId="68" borderId="0" applyNumberFormat="0" applyBorder="0" applyAlignment="0" applyProtection="0"/>
    <xf numFmtId="0" fontId="55" fillId="6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55" fillId="6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55" fillId="6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16" fillId="18" borderId="0" applyNumberFormat="0" applyBorder="0" applyAlignment="0" applyProtection="0"/>
    <xf numFmtId="194" fontId="16" fillId="18" borderId="0" applyNumberFormat="0" applyBorder="0" applyAlignment="0" applyProtection="0"/>
    <xf numFmtId="0"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8"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55" fillId="69"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55" fillId="69"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16" fillId="22" borderId="0" applyNumberFormat="0" applyBorder="0" applyAlignment="0" applyProtection="0"/>
    <xf numFmtId="194" fontId="16" fillId="22" borderId="0" applyNumberFormat="0" applyBorder="0" applyAlignment="0" applyProtection="0"/>
    <xf numFmtId="0" fontId="55" fillId="69"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9"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55" fillId="6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55" fillId="6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16" fillId="26" borderId="0" applyNumberFormat="0" applyBorder="0" applyAlignment="0" applyProtection="0"/>
    <xf numFmtId="194" fontId="16" fillId="26" borderId="0" applyNumberFormat="0" applyBorder="0" applyAlignment="0" applyProtection="0"/>
    <xf numFmtId="0" fontId="55" fillId="6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4"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55" fillId="67"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55" fillId="67"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16" fillId="30" borderId="0" applyNumberFormat="0" applyBorder="0" applyAlignment="0" applyProtection="0"/>
    <xf numFmtId="194" fontId="16" fillId="30" borderId="0" applyNumberFormat="0" applyBorder="0" applyAlignment="0" applyProtection="0"/>
    <xf numFmtId="0"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67"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55" fillId="7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55" fillId="7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16" fillId="34" borderId="0" applyNumberFormat="0" applyBorder="0" applyAlignment="0" applyProtection="0"/>
    <xf numFmtId="194" fontId="16" fillId="34" borderId="0" applyNumberFormat="0" applyBorder="0" applyAlignment="0" applyProtection="0"/>
    <xf numFmtId="0" fontId="55" fillId="7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55" fillId="70"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75" fillId="71"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71"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75" fillId="68"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8"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75" fillId="69"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69"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75" fillId="72"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2"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75" fillId="73"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3"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75" fillId="74"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75" fillId="74"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05" fillId="12" borderId="0" applyNumberFormat="0" applyBorder="0" applyAlignment="0" applyProtection="0"/>
    <xf numFmtId="0" fontId="75" fillId="75" borderId="0" applyNumberFormat="0" applyBorder="0" applyAlignment="0" applyProtection="0"/>
    <xf numFmtId="184"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184" fontId="75" fillId="75" borderId="0" applyNumberFormat="0" applyBorder="0" applyAlignment="0" applyProtection="0"/>
    <xf numFmtId="0"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05" fillId="16" borderId="0" applyNumberFormat="0" applyBorder="0" applyAlignment="0" applyProtection="0"/>
    <xf numFmtId="0" fontId="75" fillId="76" borderId="0" applyNumberFormat="0" applyBorder="0" applyAlignment="0" applyProtection="0"/>
    <xf numFmtId="184"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184" fontId="75" fillId="76" borderId="0" applyNumberFormat="0" applyBorder="0" applyAlignment="0" applyProtection="0"/>
    <xf numFmtId="0"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75" fillId="76"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55" fillId="50"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105" fillId="20" borderId="0" applyNumberFormat="0" applyBorder="0" applyAlignment="0" applyProtection="0"/>
    <xf numFmtId="0" fontId="75" fillId="49" borderId="0" applyNumberFormat="0" applyBorder="0" applyAlignment="0" applyProtection="0"/>
    <xf numFmtId="184"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184" fontId="75" fillId="49" borderId="0" applyNumberFormat="0" applyBorder="0" applyAlignment="0" applyProtection="0"/>
    <xf numFmtId="0"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75" fillId="49"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5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48"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05" fillId="24" borderId="0" applyNumberFormat="0" applyBorder="0" applyAlignment="0" applyProtection="0"/>
    <xf numFmtId="0" fontId="75" fillId="75" borderId="0" applyNumberFormat="0" applyBorder="0" applyAlignment="0" applyProtection="0"/>
    <xf numFmtId="184"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184" fontId="75" fillId="75" borderId="0" applyNumberFormat="0" applyBorder="0" applyAlignment="0" applyProtection="0"/>
    <xf numFmtId="0"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75" fillId="75"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51"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55" fillId="45"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46"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05" fillId="28" borderId="0" applyNumberFormat="0" applyBorder="0" applyAlignment="0" applyProtection="0"/>
    <xf numFmtId="0" fontId="75" fillId="77" borderId="0" applyNumberFormat="0" applyBorder="0" applyAlignment="0" applyProtection="0"/>
    <xf numFmtId="184"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94" fontId="75" fillId="77" borderId="0" applyNumberFormat="0" applyBorder="0" applyAlignment="0" applyProtection="0"/>
    <xf numFmtId="184" fontId="75" fillId="77" borderId="0" applyNumberFormat="0" applyBorder="0" applyAlignment="0" applyProtection="0"/>
    <xf numFmtId="0"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75" fillId="7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47"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5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52"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05" fillId="32" borderId="0" applyNumberFormat="0" applyBorder="0" applyAlignment="0" applyProtection="0"/>
    <xf numFmtId="0" fontId="75" fillId="78" borderId="0" applyNumberFormat="0" applyBorder="0" applyAlignment="0" applyProtection="0"/>
    <xf numFmtId="184"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184" fontId="75" fillId="78" borderId="0" applyNumberFormat="0" applyBorder="0" applyAlignment="0" applyProtection="0"/>
    <xf numFmtId="0"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4" fontId="75" fillId="78" borderId="0" applyNumberFormat="0" applyBorder="0" applyAlignment="0" applyProtection="0"/>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3" fontId="76" fillId="0" borderId="0">
      <alignment vertical="center"/>
    </xf>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0" fontId="106" fillId="79" borderId="0" applyNumberFormat="0" applyBorder="0" applyAlignment="0" applyProtection="0"/>
    <xf numFmtId="0" fontId="106" fillId="79" borderId="0" applyNumberFormat="0" applyBorder="0" applyAlignment="0" applyProtection="0"/>
    <xf numFmtId="0" fontId="107" fillId="6" borderId="0" applyNumberFormat="0" applyBorder="0" applyAlignment="0" applyProtection="0"/>
    <xf numFmtId="0" fontId="107" fillId="6" borderId="0" applyNumberFormat="0" applyBorder="0" applyAlignment="0" applyProtection="0"/>
    <xf numFmtId="0" fontId="107" fillId="6" borderId="0" applyNumberFormat="0" applyBorder="0" applyAlignment="0" applyProtection="0"/>
    <xf numFmtId="0" fontId="107" fillId="6" borderId="0" applyNumberFormat="0" applyBorder="0" applyAlignment="0" applyProtection="0"/>
    <xf numFmtId="0" fontId="107" fillId="6" borderId="0" applyNumberFormat="0" applyBorder="0" applyAlignment="0" applyProtection="0"/>
    <xf numFmtId="0" fontId="108" fillId="62" borderId="0" applyNumberFormat="0" applyBorder="0" applyAlignment="0" applyProtection="0"/>
    <xf numFmtId="0"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6" fillId="79" borderId="0" applyNumberFormat="0" applyBorder="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0" fontId="109" fillId="80" borderId="70" applyNumberFormat="0" applyAlignment="0" applyProtection="0"/>
    <xf numFmtId="0" fontId="109" fillId="80" borderId="70" applyNumberFormat="0" applyAlignment="0" applyProtection="0"/>
    <xf numFmtId="0" fontId="110" fillId="9" borderId="12" applyNumberFormat="0" applyAlignment="0" applyProtection="0"/>
    <xf numFmtId="0" fontId="110" fillId="9" borderId="12" applyNumberFormat="0" applyAlignment="0" applyProtection="0"/>
    <xf numFmtId="0" fontId="110" fillId="9" borderId="12" applyNumberFormat="0" applyAlignment="0" applyProtection="0"/>
    <xf numFmtId="0" fontId="109" fillId="80" borderId="70" applyNumberFormat="0" applyAlignment="0" applyProtection="0"/>
    <xf numFmtId="0" fontId="110" fillId="9" borderId="12" applyNumberFormat="0" applyAlignment="0" applyProtection="0"/>
    <xf numFmtId="0" fontId="110" fillId="9" borderId="12" applyNumberFormat="0" applyAlignment="0" applyProtection="0"/>
    <xf numFmtId="0" fontId="111" fillId="81" borderId="70" applyNumberFormat="0" applyAlignment="0" applyProtection="0"/>
    <xf numFmtId="0"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09" fillId="80" borderId="70"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0" fontId="112" fillId="49" borderId="71" applyNumberFormat="0" applyAlignment="0" applyProtection="0"/>
    <xf numFmtId="0" fontId="112" fillId="49" borderId="71" applyNumberFormat="0" applyAlignment="0" applyProtection="0"/>
    <xf numFmtId="0" fontId="15" fillId="10" borderId="15" applyNumberFormat="0" applyAlignment="0" applyProtection="0"/>
    <xf numFmtId="0" fontId="15" fillId="10" borderId="15" applyNumberFormat="0" applyAlignment="0" applyProtection="0"/>
    <xf numFmtId="0" fontId="15" fillId="10" borderId="15" applyNumberFormat="0" applyAlignment="0" applyProtection="0"/>
    <xf numFmtId="0" fontId="112" fillId="49" borderId="71" applyNumberFormat="0" applyAlignment="0" applyProtection="0"/>
    <xf numFmtId="0" fontId="15" fillId="10" borderId="15" applyNumberFormat="0" applyAlignment="0" applyProtection="0"/>
    <xf numFmtId="0" fontId="15" fillId="10" borderId="15" applyNumberFormat="0" applyAlignment="0" applyProtection="0"/>
    <xf numFmtId="0" fontId="112" fillId="82" borderId="71" applyNumberFormat="0" applyAlignment="0" applyProtection="0"/>
    <xf numFmtId="0"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184" fontId="112" fillId="49" borderId="71" applyNumberFormat="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2"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113" fillId="8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5"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ont="0" applyFill="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3"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4"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80" fillId="55" borderId="0" applyNumberFormat="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95" fontId="114" fillId="0" borderId="0"/>
    <xf numFmtId="0" fontId="114" fillId="0" borderId="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113" fillId="80" borderId="0"/>
    <xf numFmtId="0" fontId="113" fillId="80" borderId="0"/>
    <xf numFmtId="0" fontId="113" fillId="80" borderId="0"/>
    <xf numFmtId="0" fontId="113" fillId="80" borderId="0"/>
    <xf numFmtId="0" fontId="113" fillId="80" borderId="0"/>
    <xf numFmtId="0" fontId="113" fillId="80" borderId="0"/>
    <xf numFmtId="0" fontId="113" fillId="80" borderId="0"/>
    <xf numFmtId="0" fontId="113" fillId="80" borderId="0"/>
    <xf numFmtId="0" fontId="113" fillId="80" borderId="0"/>
    <xf numFmtId="0" fontId="113" fillId="80" borderId="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7" fillId="50"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7" fillId="63" borderId="0" applyNumberFormat="0" applyBorder="0" applyAlignment="0" applyProtection="0"/>
    <xf numFmtId="0"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184" fontId="117" fillId="50"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38" fontId="7" fillId="56" borderId="0" applyNumberFormat="0" applyBorder="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1" fillId="0" borderId="73" applyNumberFormat="0" applyFill="0" applyAlignment="0" applyProtection="0"/>
    <xf numFmtId="0"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19" fillId="0" borderId="72"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0" fontId="122" fillId="0" borderId="74" applyNumberFormat="0" applyFill="0" applyAlignment="0" applyProtection="0"/>
    <xf numFmtId="0" fontId="122" fillId="0" borderId="74" applyNumberFormat="0" applyFill="0" applyAlignment="0" applyProtection="0"/>
    <xf numFmtId="0" fontId="123" fillId="0" borderId="10" applyNumberFormat="0" applyFill="0" applyAlignment="0" applyProtection="0"/>
    <xf numFmtId="0" fontId="123" fillId="0" borderId="10" applyNumberFormat="0" applyFill="0" applyAlignment="0" applyProtection="0"/>
    <xf numFmtId="0" fontId="123" fillId="0" borderId="10" applyNumberFormat="0" applyFill="0" applyAlignment="0" applyProtection="0"/>
    <xf numFmtId="0" fontId="122" fillId="0" borderId="74" applyNumberFormat="0" applyFill="0" applyAlignment="0" applyProtection="0"/>
    <xf numFmtId="0" fontId="123" fillId="0" borderId="10" applyNumberFormat="0" applyFill="0" applyAlignment="0" applyProtection="0"/>
    <xf numFmtId="0" fontId="123" fillId="0" borderId="10" applyNumberFormat="0" applyFill="0" applyAlignment="0" applyProtection="0"/>
    <xf numFmtId="0" fontId="124" fillId="0" borderId="74" applyNumberFormat="0" applyFill="0" applyAlignment="0" applyProtection="0"/>
    <xf numFmtId="0"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2" fillId="0" borderId="74"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0" fontId="125" fillId="0" borderId="75" applyNumberFormat="0" applyFill="0" applyAlignment="0" applyProtection="0"/>
    <xf numFmtId="194" fontId="125" fillId="0" borderId="75" applyNumberFormat="0" applyFill="0" applyAlignment="0" applyProtection="0"/>
    <xf numFmtId="0" fontId="125" fillId="0" borderId="75" applyNumberFormat="0" applyFill="0" applyAlignment="0" applyProtection="0"/>
    <xf numFmtId="194" fontId="125" fillId="0" borderId="75" applyNumberFormat="0" applyFill="0" applyAlignment="0" applyProtection="0"/>
    <xf numFmtId="0" fontId="126" fillId="0" borderId="11" applyNumberFormat="0" applyFill="0" applyAlignment="0" applyProtection="0"/>
    <xf numFmtId="0" fontId="126" fillId="0" borderId="11" applyNumberFormat="0" applyFill="0" applyAlignment="0" applyProtection="0"/>
    <xf numFmtId="0" fontId="126" fillId="0" borderId="11" applyNumberFormat="0" applyFill="0" applyAlignment="0" applyProtection="0"/>
    <xf numFmtId="0" fontId="125" fillId="0" borderId="75" applyNumberFormat="0" applyFill="0" applyAlignment="0" applyProtection="0"/>
    <xf numFmtId="194" fontId="125" fillId="0" borderId="75" applyNumberFormat="0" applyFill="0" applyAlignment="0" applyProtection="0"/>
    <xf numFmtId="194" fontId="125" fillId="0" borderId="75" applyNumberFormat="0" applyFill="0" applyAlignment="0" applyProtection="0"/>
    <xf numFmtId="0" fontId="126" fillId="0" borderId="11" applyNumberFormat="0" applyFill="0" applyAlignment="0" applyProtection="0"/>
    <xf numFmtId="0" fontId="126" fillId="0" borderId="11" applyNumberFormat="0" applyFill="0" applyAlignment="0" applyProtection="0"/>
    <xf numFmtId="0" fontId="127" fillId="0" borderId="76" applyNumberFormat="0" applyFill="0" applyAlignment="0" applyProtection="0"/>
    <xf numFmtId="194" fontId="127" fillId="0" borderId="76" applyNumberFormat="0" applyFill="0" applyAlignment="0" applyProtection="0"/>
    <xf numFmtId="0" fontId="125" fillId="0" borderId="75" applyNumberFormat="0" applyFill="0" applyAlignment="0" applyProtection="0"/>
    <xf numFmtId="19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75" applyNumberFormat="0" applyFill="0" applyAlignment="0" applyProtection="0"/>
    <xf numFmtId="194" fontId="125" fillId="0" borderId="75" applyNumberFormat="0" applyFill="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184" fontId="125" fillId="0" borderId="0" applyNumberFormat="0" applyFill="0" applyBorder="0" applyAlignment="0" applyProtection="0"/>
    <xf numFmtId="0" fontId="69" fillId="0" borderId="25">
      <alignment horizontal="left" vertical="center"/>
    </xf>
    <xf numFmtId="0" fontId="33" fillId="0" borderId="0" applyNumberFormat="0" applyFill="0" applyBorder="0" applyAlignment="0" applyProtection="0">
      <alignment vertical="top"/>
      <protection locked="0"/>
    </xf>
    <xf numFmtId="194" fontId="33"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0" fontId="7" fillId="57" borderId="20" applyNumberFormat="0" applyBorder="0" applyAlignment="0" applyProtection="0"/>
    <xf numFmtId="184"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0" fontId="131" fillId="8" borderId="12" applyNumberFormat="0" applyAlignment="0" applyProtection="0"/>
    <xf numFmtId="0" fontId="130" fillId="52" borderId="70" applyNumberFormat="0" applyAlignment="0" applyProtection="0"/>
    <xf numFmtId="184" fontId="130" fillId="52" borderId="70" applyNumberFormat="0" applyAlignment="0" applyProtection="0"/>
    <xf numFmtId="0" fontId="130" fillId="52" borderId="70" applyNumberFormat="0" applyAlignment="0" applyProtection="0"/>
    <xf numFmtId="0" fontId="130" fillId="52" borderId="70" applyNumberFormat="0" applyAlignment="0" applyProtection="0"/>
    <xf numFmtId="184" fontId="130" fillId="52" borderId="70" applyNumberFormat="0" applyAlignment="0" applyProtection="0"/>
    <xf numFmtId="0"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184" fontId="130" fillId="52" borderId="70" applyNumberFormat="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0" fontId="132" fillId="0" borderId="77" applyNumberFormat="0" applyFill="0" applyAlignment="0" applyProtection="0"/>
    <xf numFmtId="0" fontId="132" fillId="0" borderId="77" applyNumberFormat="0" applyFill="0" applyAlignment="0" applyProtection="0"/>
    <xf numFmtId="0" fontId="133" fillId="0" borderId="14" applyNumberFormat="0" applyFill="0" applyAlignment="0" applyProtection="0"/>
    <xf numFmtId="0" fontId="133" fillId="0" borderId="14" applyNumberFormat="0" applyFill="0" applyAlignment="0" applyProtection="0"/>
    <xf numFmtId="0" fontId="133" fillId="0" borderId="14" applyNumberFormat="0" applyFill="0" applyAlignment="0" applyProtection="0"/>
    <xf numFmtId="0" fontId="132" fillId="0" borderId="77" applyNumberFormat="0" applyFill="0" applyAlignment="0" applyProtection="0"/>
    <xf numFmtId="0" fontId="133" fillId="0" borderId="14" applyNumberFormat="0" applyFill="0" applyAlignment="0" applyProtection="0"/>
    <xf numFmtId="0" fontId="133" fillId="0" borderId="14" applyNumberFormat="0" applyFill="0" applyAlignment="0" applyProtection="0"/>
    <xf numFmtId="0" fontId="134" fillId="0" borderId="77" applyNumberFormat="0" applyFill="0" applyAlignment="0" applyProtection="0"/>
    <xf numFmtId="0"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2" fillId="0" borderId="77" applyNumberFormat="0" applyFill="0" applyAlignment="0" applyProtection="0"/>
    <xf numFmtId="184" fontId="135" fillId="0" borderId="0"/>
    <xf numFmtId="184" fontId="135" fillId="0" borderId="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0" fontId="136" fillId="83" borderId="0" applyNumberFormat="0" applyBorder="0" applyAlignment="0" applyProtection="0"/>
    <xf numFmtId="0" fontId="136" fillId="83" borderId="0" applyNumberFormat="0" applyBorder="0" applyAlignment="0" applyProtection="0"/>
    <xf numFmtId="0" fontId="137" fillId="7" borderId="0" applyNumberFormat="0" applyBorder="0" applyAlignment="0" applyProtection="0"/>
    <xf numFmtId="0" fontId="137" fillId="7" borderId="0" applyNumberFormat="0" applyBorder="0" applyAlignment="0" applyProtection="0"/>
    <xf numFmtId="0" fontId="137" fillId="7" borderId="0" applyNumberFormat="0" applyBorder="0" applyAlignment="0" applyProtection="0"/>
    <xf numFmtId="0" fontId="136" fillId="83" borderId="0" applyNumberFormat="0" applyBorder="0" applyAlignment="0" applyProtection="0"/>
    <xf numFmtId="0" fontId="137" fillId="7" borderId="0" applyNumberFormat="0" applyBorder="0" applyAlignment="0" applyProtection="0"/>
    <xf numFmtId="0" fontId="137" fillId="7" borderId="0" applyNumberFormat="0" applyBorder="0" applyAlignment="0" applyProtection="0"/>
    <xf numFmtId="0" fontId="136" fillId="84" borderId="0" applyNumberFormat="0" applyBorder="0" applyAlignment="0" applyProtection="0"/>
    <xf numFmtId="0"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184" fontId="136" fillId="83" borderId="0" applyNumberFormat="0" applyBorder="0" applyAlignment="0" applyProtection="0"/>
    <xf numFmtId="0" fontId="6" fillId="0" borderId="0"/>
    <xf numFmtId="19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8" fillId="0" borderId="0">
      <alignment vertical="top"/>
    </xf>
    <xf numFmtId="0" fontId="6" fillId="0" borderId="0"/>
    <xf numFmtId="194" fontId="6" fillId="0" borderId="0"/>
    <xf numFmtId="0" fontId="6" fillId="0" borderId="0"/>
    <xf numFmtId="0" fontId="6" fillId="0" borderId="0"/>
    <xf numFmtId="0" fontId="6" fillId="0" borderId="0"/>
    <xf numFmtId="0" fontId="16" fillId="0" borderId="0"/>
    <xf numFmtId="0" fontId="16" fillId="0" borderId="0"/>
    <xf numFmtId="194" fontId="1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194" fontId="16" fillId="0" borderId="0"/>
    <xf numFmtId="0"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39"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16" fillId="0" borderId="0"/>
    <xf numFmtId="0" fontId="16" fillId="0" borderId="0"/>
    <xf numFmtId="0" fontId="16" fillId="0" borderId="0"/>
    <xf numFmtId="194" fontId="16" fillId="0" borderId="0"/>
    <xf numFmtId="194" fontId="16" fillId="0" borderId="0"/>
    <xf numFmtId="0" fontId="16" fillId="0" borderId="0"/>
    <xf numFmtId="0" fontId="16" fillId="0" borderId="0"/>
    <xf numFmtId="194" fontId="16" fillId="0" borderId="0"/>
    <xf numFmtId="0" fontId="16" fillId="0" borderId="0"/>
    <xf numFmtId="194" fontId="16" fillId="0" borderId="0"/>
    <xf numFmtId="0" fontId="6" fillId="0" borderId="0"/>
    <xf numFmtId="0" fontId="16" fillId="0" borderId="0"/>
    <xf numFmtId="0" fontId="16" fillId="0" borderId="0"/>
    <xf numFmtId="194" fontId="16" fillId="0" borderId="0"/>
    <xf numFmtId="0" fontId="16" fillId="0" borderId="0"/>
    <xf numFmtId="194" fontId="16" fillId="0" borderId="0"/>
    <xf numFmtId="0" fontId="16" fillId="0" borderId="0"/>
    <xf numFmtId="0" fontId="16" fillId="0" borderId="0"/>
    <xf numFmtId="194" fontId="16" fillId="0" borderId="0"/>
    <xf numFmtId="0" fontId="84" fillId="0" borderId="0"/>
    <xf numFmtId="0" fontId="16" fillId="0" borderId="0"/>
    <xf numFmtId="194" fontId="16" fillId="0" borderId="0"/>
    <xf numFmtId="0" fontId="6" fillId="0" borderId="0"/>
    <xf numFmtId="0" fontId="16" fillId="0" borderId="0"/>
    <xf numFmtId="0" fontId="16" fillId="0" borderId="0"/>
    <xf numFmtId="194" fontId="16" fillId="0" borderId="0"/>
    <xf numFmtId="0" fontId="6" fillId="0" borderId="0"/>
    <xf numFmtId="0" fontId="6" fillId="0" borderId="0"/>
    <xf numFmtId="0" fontId="16" fillId="0" borderId="0"/>
    <xf numFmtId="0" fontId="16" fillId="0" borderId="0"/>
    <xf numFmtId="194" fontId="16" fillId="0" borderId="0"/>
    <xf numFmtId="0" fontId="16" fillId="0" borderId="0"/>
    <xf numFmtId="0" fontId="16" fillId="0" borderId="0"/>
    <xf numFmtId="194" fontId="16" fillId="0" borderId="0"/>
    <xf numFmtId="0" fontId="6" fillId="0" borderId="0"/>
    <xf numFmtId="194" fontId="6" fillId="0" borderId="0"/>
    <xf numFmtId="194" fontId="16" fillId="0" borderId="0"/>
    <xf numFmtId="194" fontId="16" fillId="0" borderId="0"/>
    <xf numFmtId="194" fontId="16" fillId="0" borderId="0"/>
    <xf numFmtId="0" fontId="16" fillId="0" borderId="0"/>
    <xf numFmtId="0" fontId="16" fillId="0" borderId="0"/>
    <xf numFmtId="0" fontId="16" fillId="0" borderId="0"/>
    <xf numFmtId="0" fontId="16" fillId="0" borderId="0"/>
    <xf numFmtId="0" fontId="16" fillId="0" borderId="0"/>
    <xf numFmtId="0" fontId="6" fillId="0" borderId="0"/>
    <xf numFmtId="0" fontId="6" fillId="0" borderId="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0" fontId="6" fillId="47" borderId="43" applyNumberFormat="0" applyFont="0" applyAlignment="0" applyProtection="0"/>
    <xf numFmtId="0" fontId="16" fillId="11" borderId="16" applyNumberFormat="0" applyFont="0" applyAlignment="0" applyProtection="0"/>
    <xf numFmtId="0" fontId="16" fillId="11" borderId="16" applyNumberFormat="0" applyFont="0" applyAlignment="0" applyProtection="0"/>
    <xf numFmtId="0" fontId="16" fillId="11" borderId="16" applyNumberFormat="0" applyFont="0" applyAlignment="0" applyProtection="0"/>
    <xf numFmtId="194" fontId="16" fillId="11" borderId="16" applyNumberFormat="0" applyFont="0" applyAlignment="0" applyProtection="0"/>
    <xf numFmtId="0" fontId="16" fillId="11" borderId="16" applyNumberFormat="0" applyFont="0" applyAlignment="0" applyProtection="0"/>
    <xf numFmtId="0" fontId="16" fillId="11" borderId="16" applyNumberFormat="0" applyFont="0" applyAlignment="0" applyProtection="0"/>
    <xf numFmtId="194" fontId="16" fillId="11" borderId="16" applyNumberFormat="0" applyFont="0" applyAlignment="0" applyProtection="0"/>
    <xf numFmtId="0" fontId="16" fillId="11" borderId="16" applyNumberFormat="0" applyFont="0" applyAlignment="0" applyProtection="0"/>
    <xf numFmtId="194" fontId="16" fillId="11" borderId="16"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0" fontId="6" fillId="47" borderId="43" applyNumberFormat="0" applyFont="0" applyAlignment="0" applyProtection="0"/>
    <xf numFmtId="0" fontId="6" fillId="47" borderId="43" applyNumberFormat="0" applyFont="0" applyAlignment="0" applyProtection="0"/>
    <xf numFmtId="0" fontId="16" fillId="11" borderId="16" applyNumberFormat="0" applyFont="0" applyAlignment="0" applyProtection="0"/>
    <xf numFmtId="0" fontId="16" fillId="11" borderId="16" applyNumberFormat="0" applyFont="0" applyAlignment="0" applyProtection="0"/>
    <xf numFmtId="0" fontId="16" fillId="11" borderId="16" applyNumberFormat="0" applyFont="0" applyAlignment="0" applyProtection="0"/>
    <xf numFmtId="194" fontId="16" fillId="11" borderId="16" applyNumberFormat="0" applyFont="0" applyAlignment="0" applyProtection="0"/>
    <xf numFmtId="0" fontId="16" fillId="11" borderId="16" applyNumberFormat="0" applyFont="0" applyAlignment="0" applyProtection="0"/>
    <xf numFmtId="0" fontId="16" fillId="11" borderId="16" applyNumberFormat="0" applyFont="0" applyAlignment="0" applyProtection="0"/>
    <xf numFmtId="194" fontId="16" fillId="11" borderId="16" applyNumberFormat="0" applyFont="0" applyAlignment="0" applyProtection="0"/>
    <xf numFmtId="0" fontId="16" fillId="11" borderId="16" applyNumberFormat="0" applyFont="0" applyAlignment="0" applyProtection="0"/>
    <xf numFmtId="194" fontId="16" fillId="11" borderId="16" applyNumberFormat="0" applyFont="0" applyAlignment="0" applyProtection="0"/>
    <xf numFmtId="0"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6" fillId="47" borderId="43" applyNumberFormat="0" applyFon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0" fontId="140" fillId="80" borderId="78" applyNumberFormat="0" applyAlignment="0" applyProtection="0"/>
    <xf numFmtId="0" fontId="140" fillId="80" borderId="78" applyNumberFormat="0" applyAlignment="0" applyProtection="0"/>
    <xf numFmtId="0" fontId="141" fillId="9" borderId="13" applyNumberFormat="0" applyAlignment="0" applyProtection="0"/>
    <xf numFmtId="0" fontId="141" fillId="9" borderId="13" applyNumberFormat="0" applyAlignment="0" applyProtection="0"/>
    <xf numFmtId="0" fontId="141" fillId="9" borderId="13" applyNumberFormat="0" applyAlignment="0" applyProtection="0"/>
    <xf numFmtId="0" fontId="140" fillId="80" borderId="78" applyNumberFormat="0" applyAlignment="0" applyProtection="0"/>
    <xf numFmtId="0" fontId="141" fillId="9" borderId="13" applyNumberFormat="0" applyAlignment="0" applyProtection="0"/>
    <xf numFmtId="0" fontId="141" fillId="9" borderId="13" applyNumberFormat="0" applyAlignment="0" applyProtection="0"/>
    <xf numFmtId="0" fontId="140" fillId="81" borderId="78" applyNumberFormat="0" applyAlignment="0" applyProtection="0"/>
    <xf numFmtId="0"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84" fontId="140" fillId="80" borderId="78" applyNumberFormat="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1"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0"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2" applyNumberFormat="0" applyFont="0" applyFill="0" applyAlignment="0" applyProtection="0"/>
    <xf numFmtId="184" fontId="6" fillId="0" borderId="42" applyNumberFormat="0" applyFont="0" applyFill="0" applyAlignment="0" applyProtection="0"/>
    <xf numFmtId="194" fontId="6" fillId="0" borderId="42"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3"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184" fontId="6" fillId="0" borderId="44" applyNumberFormat="0" applyFont="0" applyFill="0" applyAlignment="0" applyProtection="0"/>
    <xf numFmtId="0" fontId="6" fillId="0" borderId="0" applyNumberFormat="0" applyFill="0" applyBorder="0" applyProtection="0">
      <alignment horizontal="right" wrapText="1"/>
    </xf>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184"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142" fillId="0" borderId="0" applyNumberFormat="0" applyFill="0" applyBorder="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0" fontId="80" fillId="0" borderId="79" applyNumberFormat="0" applyFill="0" applyAlignment="0" applyProtection="0"/>
    <xf numFmtId="0" fontId="80" fillId="0" borderId="79" applyNumberFormat="0" applyFill="0" applyAlignment="0" applyProtection="0"/>
    <xf numFmtId="0" fontId="104" fillId="0" borderId="17" applyNumberFormat="0" applyFill="0" applyAlignment="0" applyProtection="0"/>
    <xf numFmtId="0" fontId="104" fillId="0" borderId="17" applyNumberFormat="0" applyFill="0" applyAlignment="0" applyProtection="0"/>
    <xf numFmtId="0" fontId="104" fillId="0" borderId="17" applyNumberFormat="0" applyFill="0" applyAlignment="0" applyProtection="0"/>
    <xf numFmtId="0" fontId="80" fillId="0" borderId="79" applyNumberFormat="0" applyFill="0" applyAlignment="0" applyProtection="0"/>
    <xf numFmtId="0" fontId="104" fillId="0" borderId="17" applyNumberFormat="0" applyFill="0" applyAlignment="0" applyProtection="0"/>
    <xf numFmtId="0" fontId="104" fillId="0" borderId="17" applyNumberFormat="0" applyFill="0" applyAlignment="0" applyProtection="0"/>
    <xf numFmtId="0" fontId="80" fillId="0" borderId="80" applyNumberFormat="0" applyFill="0" applyAlignment="0" applyProtection="0"/>
    <xf numFmtId="0"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80" fillId="0" borderId="79" applyNumberFormat="0" applyFill="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184" fontId="144" fillId="0" borderId="0" applyNumberFormat="0" applyFill="0" applyBorder="0" applyAlignment="0" applyProtection="0"/>
    <xf numFmtId="0" fontId="93" fillId="0" borderId="0" applyNumberFormat="0" applyFill="0" applyBorder="0" applyAlignment="0" applyProtection="0"/>
  </cellStyleXfs>
  <cellXfs count="1511">
    <xf numFmtId="0" fontId="0" fillId="0" borderId="0" xfId="0"/>
    <xf numFmtId="0" fontId="1" fillId="0" borderId="0" xfId="0" applyFont="1"/>
    <xf numFmtId="0" fontId="0" fillId="0" borderId="0" xfId="0" applyFill="1"/>
    <xf numFmtId="0" fontId="0" fillId="4" borderId="0" xfId="0" applyFill="1"/>
    <xf numFmtId="0" fontId="28" fillId="40" borderId="0" xfId="0" applyFont="1" applyFill="1" applyAlignment="1">
      <alignment vertical="top"/>
    </xf>
    <xf numFmtId="0" fontId="28" fillId="40" borderId="0" xfId="0" applyFont="1" applyFill="1" applyAlignment="1">
      <alignment horizontal="center" vertical="top"/>
    </xf>
    <xf numFmtId="0" fontId="28" fillId="40" borderId="0" xfId="0" applyFont="1" applyFill="1" applyAlignment="1">
      <alignment horizontal="center" vertical="top" wrapText="1" shrinkToFit="1"/>
    </xf>
    <xf numFmtId="0" fontId="29" fillId="40" borderId="0" xfId="0" applyFont="1" applyFill="1" applyAlignment="1">
      <alignment vertical="top"/>
    </xf>
    <xf numFmtId="0" fontId="30" fillId="0" borderId="0" xfId="0" applyFont="1" applyFill="1" applyAlignment="1">
      <alignment vertical="top"/>
    </xf>
    <xf numFmtId="0" fontId="31" fillId="0" borderId="0" xfId="0" applyFont="1" applyFill="1" applyAlignment="1">
      <alignment vertical="top"/>
    </xf>
    <xf numFmtId="0" fontId="30" fillId="0" borderId="0" xfId="0" applyFont="1" applyFill="1" applyAlignment="1">
      <alignment horizontal="center" vertical="top"/>
    </xf>
    <xf numFmtId="0" fontId="30" fillId="0" borderId="0" xfId="0" applyFont="1" applyFill="1" applyAlignment="1">
      <alignment horizontal="center" vertical="top" wrapText="1" shrinkToFit="1"/>
    </xf>
    <xf numFmtId="0" fontId="31" fillId="0" borderId="0" xfId="0" applyFont="1" applyAlignment="1">
      <alignment vertical="top"/>
    </xf>
    <xf numFmtId="0" fontId="30" fillId="0" borderId="0" xfId="0" applyFont="1" applyAlignment="1">
      <alignment vertical="top"/>
    </xf>
    <xf numFmtId="0" fontId="31" fillId="0" borderId="0" xfId="0" applyFont="1" applyAlignment="1">
      <alignment horizontal="center" vertical="top"/>
    </xf>
    <xf numFmtId="0" fontId="31" fillId="0" borderId="0" xfId="0" applyFont="1" applyFill="1" applyAlignment="1">
      <alignment horizontal="center" vertical="top"/>
    </xf>
    <xf numFmtId="0" fontId="31" fillId="0" borderId="0" xfId="0" applyFont="1" applyBorder="1" applyAlignment="1">
      <alignment horizontal="center" vertical="top"/>
    </xf>
    <xf numFmtId="0" fontId="31" fillId="0" borderId="0" xfId="0" applyFont="1" applyAlignment="1">
      <alignment horizontal="left" vertical="top"/>
    </xf>
    <xf numFmtId="0" fontId="31" fillId="0" borderId="0" xfId="0" applyFont="1" applyAlignment="1">
      <alignment vertical="top" wrapText="1" shrinkToFit="1"/>
    </xf>
    <xf numFmtId="0" fontId="30" fillId="0" borderId="0" xfId="0" applyFont="1" applyBorder="1" applyAlignment="1">
      <alignment horizontal="center" vertical="top"/>
    </xf>
    <xf numFmtId="0" fontId="34" fillId="0" borderId="0" xfId="17" applyFont="1" applyAlignment="1" applyProtection="1">
      <alignment vertical="top"/>
    </xf>
    <xf numFmtId="0" fontId="28" fillId="38" borderId="0" xfId="0" applyFont="1" applyFill="1" applyAlignment="1">
      <alignment vertical="top"/>
    </xf>
    <xf numFmtId="0" fontId="29" fillId="38" borderId="0" xfId="0" applyFont="1" applyFill="1" applyAlignment="1">
      <alignment vertical="top"/>
    </xf>
    <xf numFmtId="0" fontId="31" fillId="0" borderId="0" xfId="0" applyFont="1" applyBorder="1" applyAlignment="1">
      <alignment horizontal="left" vertical="top"/>
    </xf>
    <xf numFmtId="0" fontId="31" fillId="0" borderId="0" xfId="0" applyFont="1" applyBorder="1" applyAlignment="1">
      <alignment horizontal="right" vertical="center"/>
    </xf>
    <xf numFmtId="0" fontId="31" fillId="0" borderId="0" xfId="0" applyFont="1" applyAlignment="1">
      <alignment vertical="center"/>
    </xf>
    <xf numFmtId="0" fontId="29" fillId="40" borderId="0" xfId="0" applyFont="1" applyFill="1" applyBorder="1" applyAlignment="1">
      <alignment horizontal="center" vertical="top"/>
    </xf>
    <xf numFmtId="0" fontId="29" fillId="40" borderId="0" xfId="0" applyFont="1" applyFill="1" applyBorder="1" applyAlignment="1">
      <alignment horizontal="left" vertical="top"/>
    </xf>
    <xf numFmtId="0" fontId="29" fillId="40" borderId="0" xfId="0" applyFont="1" applyFill="1" applyBorder="1" applyAlignment="1">
      <alignment vertical="top"/>
    </xf>
    <xf numFmtId="0" fontId="36" fillId="0" borderId="0" xfId="0" applyFont="1" applyAlignment="1">
      <alignment vertical="center"/>
    </xf>
    <xf numFmtId="0" fontId="29" fillId="40" borderId="0" xfId="0" applyFont="1" applyFill="1" applyAlignment="1">
      <alignment horizontal="center" vertical="top"/>
    </xf>
    <xf numFmtId="0" fontId="29" fillId="40" borderId="0" xfId="0" applyFont="1" applyFill="1" applyAlignment="1">
      <alignment vertical="top" wrapText="1" shrinkToFit="1"/>
    </xf>
    <xf numFmtId="0" fontId="37" fillId="40" borderId="0" xfId="17" applyFont="1" applyFill="1" applyAlignment="1" applyProtection="1">
      <alignment vertical="top" wrapText="1" shrinkToFit="1"/>
    </xf>
    <xf numFmtId="0" fontId="19" fillId="0" borderId="0" xfId="0" applyFont="1" applyFill="1" applyAlignment="1">
      <alignment vertical="top"/>
    </xf>
    <xf numFmtId="0" fontId="7" fillId="0" borderId="0" xfId="0" applyFont="1" applyFill="1" applyAlignment="1">
      <alignment vertical="top"/>
    </xf>
    <xf numFmtId="0" fontId="7" fillId="0" borderId="0" xfId="0" applyFont="1" applyFill="1" applyAlignment="1">
      <alignment horizontal="center" vertical="top"/>
    </xf>
    <xf numFmtId="167" fontId="7" fillId="0" borderId="0" xfId="3" applyNumberFormat="1" applyFont="1" applyFill="1" applyAlignment="1">
      <alignment horizontal="center" vertical="top"/>
    </xf>
    <xf numFmtId="44" fontId="31" fillId="0" borderId="0" xfId="0" applyNumberFormat="1" applyFont="1" applyFill="1" applyAlignment="1">
      <alignment horizontal="center" vertical="top"/>
    </xf>
    <xf numFmtId="167" fontId="38" fillId="0" borderId="0" xfId="3" applyNumberFormat="1" applyFont="1" applyFill="1" applyAlignment="1">
      <alignment horizontal="center" vertical="top"/>
    </xf>
    <xf numFmtId="0" fontId="38" fillId="0" borderId="0" xfId="0" applyFont="1" applyFill="1" applyAlignment="1">
      <alignment horizontal="center" vertical="top"/>
    </xf>
    <xf numFmtId="0" fontId="39" fillId="0" borderId="0" xfId="17" applyFont="1" applyFill="1" applyAlignment="1" applyProtection="1">
      <alignment vertical="top" wrapText="1" shrinkToFit="1"/>
    </xf>
    <xf numFmtId="0" fontId="30" fillId="0" borderId="0" xfId="0" applyFont="1" applyAlignment="1">
      <alignment horizontal="center" vertical="top"/>
    </xf>
    <xf numFmtId="0" fontId="30" fillId="0" borderId="0" xfId="0" applyFont="1" applyAlignment="1">
      <alignment horizontal="center" vertical="top" wrapText="1"/>
    </xf>
    <xf numFmtId="0" fontId="30" fillId="0" borderId="0" xfId="0" applyFont="1" applyAlignment="1">
      <alignment horizontal="center" vertical="top" wrapText="1" shrinkToFit="1"/>
    </xf>
    <xf numFmtId="0" fontId="7" fillId="0" borderId="0" xfId="0" applyFont="1" applyAlignment="1">
      <alignment vertical="top"/>
    </xf>
    <xf numFmtId="0" fontId="7" fillId="0" borderId="0" xfId="0" applyFont="1" applyAlignment="1">
      <alignment horizontal="center" vertical="top"/>
    </xf>
    <xf numFmtId="0" fontId="31" fillId="0" borderId="0" xfId="0" applyFont="1" applyFill="1" applyAlignment="1">
      <alignment horizontal="left" vertical="top"/>
    </xf>
    <xf numFmtId="10" fontId="31" fillId="0" borderId="0" xfId="0" applyNumberFormat="1" applyFont="1" applyFill="1" applyAlignment="1">
      <alignment horizontal="right" vertical="top"/>
    </xf>
    <xf numFmtId="0" fontId="34" fillId="0" borderId="0" xfId="17" applyFont="1" applyFill="1" applyAlignment="1" applyProtection="1">
      <alignment vertical="top" wrapText="1" shrinkToFit="1"/>
    </xf>
    <xf numFmtId="0" fontId="31" fillId="0" borderId="0" xfId="0" applyFont="1" applyFill="1" applyAlignment="1">
      <alignment horizontal="left" vertical="top" wrapText="1" shrinkToFit="1"/>
    </xf>
    <xf numFmtId="44" fontId="31" fillId="0" borderId="0" xfId="0" applyNumberFormat="1" applyFont="1" applyAlignment="1">
      <alignment horizontal="center" vertical="top"/>
    </xf>
    <xf numFmtId="0" fontId="40" fillId="0" borderId="0" xfId="0" applyFont="1" applyFill="1" applyAlignment="1">
      <alignment horizontal="center" vertical="top"/>
    </xf>
    <xf numFmtId="0" fontId="19" fillId="0" borderId="0" xfId="0" applyFont="1" applyAlignment="1">
      <alignment vertical="top"/>
    </xf>
    <xf numFmtId="167" fontId="7" fillId="2" borderId="0" xfId="3" applyNumberFormat="1" applyFont="1" applyFill="1" applyAlignment="1">
      <alignment horizontal="center" vertical="top"/>
    </xf>
    <xf numFmtId="0" fontId="7" fillId="0" borderId="0" xfId="0" applyFont="1" applyAlignment="1">
      <alignment vertical="top" wrapText="1"/>
    </xf>
    <xf numFmtId="0" fontId="39" fillId="0" borderId="0" xfId="17" applyFont="1" applyAlignment="1" applyProtection="1">
      <alignment vertical="top" wrapText="1" shrinkToFit="1"/>
    </xf>
    <xf numFmtId="10" fontId="29" fillId="40" borderId="0" xfId="0" applyNumberFormat="1" applyFont="1" applyFill="1" applyAlignment="1">
      <alignment horizontal="right" vertical="top"/>
    </xf>
    <xf numFmtId="0" fontId="28" fillId="0" borderId="0" xfId="0" applyFont="1" applyFill="1" applyAlignment="1">
      <alignment vertical="top"/>
    </xf>
    <xf numFmtId="0" fontId="29" fillId="0" borderId="0" xfId="0" applyFont="1" applyFill="1" applyAlignment="1">
      <alignment horizontal="center" vertical="top"/>
    </xf>
    <xf numFmtId="10" fontId="29" fillId="0" borderId="0" xfId="0" applyNumberFormat="1" applyFont="1" applyFill="1" applyAlignment="1">
      <alignment horizontal="right" vertical="top"/>
    </xf>
    <xf numFmtId="0" fontId="29" fillId="0" borderId="0" xfId="0" applyFont="1" applyFill="1" applyAlignment="1">
      <alignment vertical="top"/>
    </xf>
    <xf numFmtId="0" fontId="37" fillId="0" borderId="0" xfId="17" applyFont="1" applyFill="1" applyAlignment="1" applyProtection="1">
      <alignment vertical="top" wrapText="1" shrinkToFit="1"/>
    </xf>
    <xf numFmtId="0" fontId="30" fillId="0" borderId="0" xfId="0" applyFont="1" applyFill="1" applyBorder="1" applyAlignment="1">
      <alignment vertical="top"/>
    </xf>
    <xf numFmtId="0" fontId="30" fillId="0" borderId="0" xfId="0" applyFont="1" applyFill="1" applyBorder="1" applyAlignment="1">
      <alignment horizontal="right" vertical="top"/>
    </xf>
    <xf numFmtId="168" fontId="30" fillId="0" borderId="0" xfId="0" applyNumberFormat="1" applyFont="1" applyFill="1" applyBorder="1" applyAlignment="1">
      <alignment horizontal="center" vertical="top"/>
    </xf>
    <xf numFmtId="168" fontId="19" fillId="0" borderId="0" xfId="0" applyNumberFormat="1" applyFont="1" applyBorder="1" applyAlignment="1">
      <alignment horizontal="center" vertical="top"/>
    </xf>
    <xf numFmtId="0" fontId="34" fillId="0" borderId="0" xfId="17" applyFont="1" applyFill="1" applyBorder="1" applyAlignment="1" applyProtection="1">
      <alignment vertical="top" wrapText="1" shrinkToFit="1"/>
    </xf>
    <xf numFmtId="0" fontId="31" fillId="0" borderId="0" xfId="0" applyFont="1" applyFill="1" applyBorder="1" applyAlignment="1">
      <alignment vertical="top"/>
    </xf>
    <xf numFmtId="0" fontId="19" fillId="0" borderId="0" xfId="0" applyFont="1" applyBorder="1" applyAlignment="1">
      <alignment horizontal="center" vertical="top"/>
    </xf>
    <xf numFmtId="0" fontId="31" fillId="0" borderId="0" xfId="0" applyFont="1" applyFill="1" applyBorder="1" applyAlignment="1">
      <alignment vertical="top" wrapText="1"/>
    </xf>
    <xf numFmtId="0" fontId="7" fillId="0" borderId="0" xfId="0" applyFont="1" applyBorder="1" applyAlignment="1">
      <alignment horizontal="center" vertical="top"/>
    </xf>
    <xf numFmtId="0" fontId="31" fillId="0" borderId="0" xfId="0" applyFont="1" applyAlignment="1">
      <alignment vertical="top" wrapText="1"/>
    </xf>
    <xf numFmtId="0" fontId="31" fillId="0" borderId="0" xfId="0" applyFont="1" applyFill="1" applyBorder="1" applyAlignment="1">
      <alignment horizontal="left" vertical="top"/>
    </xf>
    <xf numFmtId="0" fontId="7" fillId="0" borderId="0" xfId="0" applyFont="1" applyFill="1" applyBorder="1" applyAlignment="1">
      <alignment vertical="top"/>
    </xf>
    <xf numFmtId="0" fontId="31" fillId="0" borderId="0" xfId="0" applyFont="1" applyBorder="1" applyAlignment="1">
      <alignment vertical="top" wrapText="1" shrinkToFit="1"/>
    </xf>
    <xf numFmtId="0" fontId="34" fillId="0" borderId="0" xfId="17" applyFont="1" applyBorder="1" applyAlignment="1" applyProtection="1">
      <alignment vertical="top" wrapText="1" shrinkToFit="1"/>
    </xf>
    <xf numFmtId="0" fontId="30" fillId="0" borderId="0" xfId="0" applyFont="1" applyBorder="1" applyAlignment="1">
      <alignment vertical="top"/>
    </xf>
    <xf numFmtId="0" fontId="31" fillId="0" borderId="0" xfId="0" applyFont="1" applyBorder="1" applyAlignment="1">
      <alignment vertical="top"/>
    </xf>
    <xf numFmtId="168" fontId="31" fillId="0" borderId="0" xfId="1" applyNumberFormat="1" applyFont="1" applyAlignment="1">
      <alignment vertical="top"/>
    </xf>
    <xf numFmtId="0" fontId="28" fillId="40" borderId="0" xfId="0" applyFont="1" applyFill="1" applyAlignment="1">
      <alignment vertical="center"/>
    </xf>
    <xf numFmtId="0" fontId="29" fillId="40" borderId="0" xfId="0" applyFont="1" applyFill="1" applyAlignment="1">
      <alignment vertical="center"/>
    </xf>
    <xf numFmtId="0" fontId="31" fillId="0" borderId="0" xfId="0" applyFont="1" applyBorder="1" applyAlignment="1">
      <alignment horizontal="right"/>
    </xf>
    <xf numFmtId="0" fontId="31" fillId="0" borderId="0" xfId="0" applyFont="1" applyBorder="1"/>
    <xf numFmtId="0" fontId="31" fillId="0" borderId="0" xfId="0" applyFont="1"/>
    <xf numFmtId="0" fontId="28" fillId="38" borderId="0" xfId="0" applyFont="1" applyFill="1" applyAlignment="1">
      <alignment vertical="center"/>
    </xf>
    <xf numFmtId="0" fontId="31" fillId="0" borderId="0" xfId="0" applyFont="1" applyBorder="1" applyAlignment="1">
      <alignment horizontal="left" vertical="center"/>
    </xf>
    <xf numFmtId="0" fontId="31" fillId="0" borderId="20" xfId="0" applyFont="1" applyBorder="1" applyAlignment="1">
      <alignment horizontal="center"/>
    </xf>
    <xf numFmtId="169" fontId="7" fillId="2" borderId="20" xfId="3" quotePrefix="1" applyNumberFormat="1" applyFont="1" applyFill="1" applyBorder="1" applyAlignment="1">
      <alignment horizontal="center"/>
    </xf>
    <xf numFmtId="169" fontId="7" fillId="2" borderId="20" xfId="3" applyNumberFormat="1" applyFont="1" applyFill="1" applyBorder="1"/>
    <xf numFmtId="168" fontId="31" fillId="0" borderId="20" xfId="1" applyNumberFormat="1" applyFont="1" applyBorder="1"/>
    <xf numFmtId="0" fontId="19" fillId="0" borderId="20" xfId="0" applyFont="1" applyFill="1" applyBorder="1"/>
    <xf numFmtId="168" fontId="30" fillId="0" borderId="20" xfId="0" applyNumberFormat="1" applyFont="1" applyFill="1" applyBorder="1" applyAlignment="1">
      <alignment wrapText="1"/>
    </xf>
    <xf numFmtId="0" fontId="42" fillId="0" borderId="0" xfId="0" applyFont="1" applyFill="1" applyBorder="1"/>
    <xf numFmtId="0" fontId="32" fillId="0" borderId="0" xfId="0" applyFont="1"/>
    <xf numFmtId="0" fontId="28" fillId="38" borderId="0" xfId="0" applyFont="1" applyFill="1" applyAlignment="1">
      <alignment horizontal="center" vertical="top"/>
    </xf>
    <xf numFmtId="0" fontId="28" fillId="38" borderId="0" xfId="0" applyFont="1" applyFill="1" applyAlignment="1">
      <alignment horizontal="center" vertical="top" wrapText="1" shrinkToFit="1"/>
    </xf>
    <xf numFmtId="0" fontId="31" fillId="0" borderId="29" xfId="0" applyFont="1" applyBorder="1" applyAlignment="1">
      <alignment horizontal="center"/>
    </xf>
    <xf numFmtId="0" fontId="31" fillId="0" borderId="0" xfId="0" applyFont="1" applyBorder="1" applyAlignment="1">
      <alignment vertical="center"/>
    </xf>
    <xf numFmtId="165" fontId="45" fillId="0" borderId="20" xfId="0" applyNumberFormat="1" applyFont="1" applyBorder="1" applyAlignment="1">
      <alignment vertical="center"/>
    </xf>
    <xf numFmtId="0" fontId="31" fillId="0" borderId="30" xfId="0" applyFont="1" applyBorder="1" applyAlignment="1">
      <alignment horizontal="center"/>
    </xf>
    <xf numFmtId="0" fontId="31" fillId="0" borderId="0" xfId="0" applyFont="1" applyBorder="1" applyAlignment="1">
      <alignment horizontal="center"/>
    </xf>
    <xf numFmtId="0" fontId="28" fillId="41" borderId="0" xfId="0" applyFont="1" applyFill="1" applyBorder="1" applyAlignment="1">
      <alignment wrapText="1"/>
    </xf>
    <xf numFmtId="0" fontId="29" fillId="41" borderId="0" xfId="0" applyFont="1" applyFill="1" applyBorder="1" applyAlignment="1">
      <alignment horizontal="center" vertical="center"/>
    </xf>
    <xf numFmtId="0" fontId="29" fillId="41" borderId="0" xfId="0" applyFont="1" applyFill="1" applyBorder="1" applyAlignment="1">
      <alignment horizontal="left" vertical="center"/>
    </xf>
    <xf numFmtId="0" fontId="29" fillId="41" borderId="0" xfId="0" applyFont="1" applyFill="1" applyBorder="1"/>
    <xf numFmtId="0" fontId="41" fillId="0" borderId="0" xfId="0" applyFont="1"/>
    <xf numFmtId="0" fontId="7" fillId="0" borderId="0" xfId="0" applyFont="1"/>
    <xf numFmtId="0" fontId="29" fillId="40" borderId="0" xfId="0" applyFont="1" applyFill="1" applyAlignment="1">
      <alignment horizontal="center" vertical="center"/>
    </xf>
    <xf numFmtId="0" fontId="19" fillId="0" borderId="0" xfId="0" applyFont="1" applyAlignment="1">
      <alignment horizontal="left" vertical="center"/>
    </xf>
    <xf numFmtId="0" fontId="31" fillId="0" borderId="0" xfId="0" applyFont="1" applyAlignment="1">
      <alignment horizontal="center" vertical="center"/>
    </xf>
    <xf numFmtId="0" fontId="31" fillId="0" borderId="0" xfId="0" applyFont="1" applyFill="1" applyAlignment="1">
      <alignment vertical="center"/>
    </xf>
    <xf numFmtId="0" fontId="19" fillId="0" borderId="20" xfId="0" applyFont="1" applyFill="1" applyBorder="1" applyAlignment="1">
      <alignment horizontal="right" vertical="center"/>
    </xf>
    <xf numFmtId="0" fontId="19" fillId="0" borderId="20" xfId="0" applyFont="1" applyFill="1" applyBorder="1" applyAlignment="1">
      <alignment horizontal="center" vertical="center" wrapText="1"/>
    </xf>
    <xf numFmtId="0" fontId="7" fillId="0" borderId="20" xfId="0" applyFont="1" applyFill="1" applyBorder="1" applyAlignment="1">
      <alignment horizontal="right" vertical="center"/>
    </xf>
    <xf numFmtId="0" fontId="7" fillId="0" borderId="20" xfId="0" applyFont="1" applyFill="1" applyBorder="1" applyAlignment="1">
      <alignment horizontal="center" vertical="center" wrapText="1"/>
    </xf>
    <xf numFmtId="0" fontId="7" fillId="0" borderId="20" xfId="0" applyFont="1" applyBorder="1" applyAlignment="1" applyProtection="1">
      <alignment horizontal="left" vertical="center"/>
      <protection hidden="1"/>
    </xf>
    <xf numFmtId="0" fontId="7" fillId="0" borderId="0" xfId="0" applyFont="1" applyAlignment="1">
      <alignment vertical="center"/>
    </xf>
    <xf numFmtId="44" fontId="7" fillId="0" borderId="20" xfId="3" applyFont="1" applyBorder="1" applyAlignment="1">
      <alignment horizontal="center" vertical="center" wrapText="1" shrinkToFit="1"/>
    </xf>
    <xf numFmtId="44" fontId="7" fillId="0" borderId="20" xfId="3" applyFont="1" applyBorder="1" applyAlignment="1">
      <alignment horizontal="right" vertical="center" wrapText="1" shrinkToFit="1"/>
    </xf>
    <xf numFmtId="0" fontId="7" fillId="0" borderId="20" xfId="0" applyFont="1" applyFill="1" applyBorder="1" applyAlignment="1" applyProtection="1">
      <alignment horizontal="left" vertical="center"/>
      <protection hidden="1"/>
    </xf>
    <xf numFmtId="0" fontId="7" fillId="0" borderId="20" xfId="0" applyFont="1" applyBorder="1" applyAlignment="1">
      <alignment horizontal="right" vertical="center" wrapText="1"/>
    </xf>
    <xf numFmtId="0" fontId="46" fillId="0" borderId="0" xfId="0" applyFont="1" applyBorder="1" applyAlignment="1">
      <alignment horizontal="center" vertical="center" wrapText="1"/>
    </xf>
    <xf numFmtId="0" fontId="28" fillId="40" borderId="0" xfId="0" applyFont="1" applyFill="1"/>
    <xf numFmtId="0" fontId="29" fillId="40" borderId="0" xfId="0" applyFont="1" applyFill="1"/>
    <xf numFmtId="0" fontId="30" fillId="0" borderId="0" xfId="0" applyFont="1" applyAlignment="1">
      <alignment horizontal="center"/>
    </xf>
    <xf numFmtId="0" fontId="7" fillId="0" borderId="20" xfId="0" applyFont="1" applyBorder="1" applyAlignment="1">
      <alignment horizontal="center" vertical="center" wrapText="1"/>
    </xf>
    <xf numFmtId="165" fontId="44" fillId="0" borderId="20" xfId="0" applyNumberFormat="1" applyFont="1" applyFill="1" applyBorder="1" applyAlignment="1">
      <alignment horizontal="right" vertical="center" wrapText="1"/>
    </xf>
    <xf numFmtId="0" fontId="7" fillId="0" borderId="0" xfId="0" applyFont="1" applyBorder="1"/>
    <xf numFmtId="165" fontId="44" fillId="0" borderId="0" xfId="0" applyNumberFormat="1" applyFont="1" applyFill="1" applyBorder="1" applyAlignment="1">
      <alignment horizontal="right" vertical="center" wrapText="1"/>
    </xf>
    <xf numFmtId="0" fontId="45" fillId="0" borderId="20" xfId="0" applyFont="1" applyFill="1" applyBorder="1" applyAlignment="1">
      <alignment horizontal="center" vertical="center" wrapText="1"/>
    </xf>
    <xf numFmtId="165" fontId="45" fillId="0" borderId="20" xfId="0" applyNumberFormat="1" applyFont="1" applyFill="1" applyBorder="1" applyAlignment="1">
      <alignment horizontal="right" vertical="center" wrapText="1"/>
    </xf>
    <xf numFmtId="0" fontId="36" fillId="0" borderId="0" xfId="0" applyFont="1" applyBorder="1"/>
    <xf numFmtId="0" fontId="29" fillId="38" borderId="0" xfId="0" applyFont="1" applyFill="1"/>
    <xf numFmtId="0" fontId="7" fillId="0" borderId="1" xfId="0" applyFont="1" applyFill="1" applyBorder="1" applyAlignment="1">
      <alignment horizontal="center" vertical="center" wrapText="1"/>
    </xf>
    <xf numFmtId="0" fontId="7" fillId="0" borderId="21" xfId="0" applyFont="1" applyBorder="1" applyAlignment="1" applyProtection="1">
      <alignment horizontal="left" vertical="center"/>
      <protection hidden="1"/>
    </xf>
    <xf numFmtId="0" fontId="45" fillId="0" borderId="0" xfId="0" applyFont="1" applyAlignment="1">
      <alignment vertical="center"/>
    </xf>
    <xf numFmtId="0" fontId="30" fillId="0" borderId="20" xfId="0" applyFont="1" applyBorder="1" applyAlignment="1">
      <alignment horizontal="center" vertical="top" wrapText="1"/>
    </xf>
    <xf numFmtId="0" fontId="30" fillId="0" borderId="0" xfId="0" applyFont="1" applyBorder="1" applyAlignment="1">
      <alignment horizontal="right" vertical="top"/>
    </xf>
    <xf numFmtId="0" fontId="31" fillId="0" borderId="0" xfId="0" applyFont="1" applyBorder="1" applyAlignment="1">
      <alignment horizontal="right" vertical="top"/>
    </xf>
    <xf numFmtId="1" fontId="7" fillId="2" borderId="20" xfId="0" applyNumberFormat="1" applyFont="1" applyFill="1" applyBorder="1" applyAlignment="1">
      <alignment horizontal="center" vertical="top"/>
    </xf>
    <xf numFmtId="166" fontId="31" fillId="0" borderId="20" xfId="0" applyNumberFormat="1" applyFont="1" applyFill="1" applyBorder="1" applyAlignment="1">
      <alignment horizontal="center" vertical="top"/>
    </xf>
    <xf numFmtId="3" fontId="31" fillId="0" borderId="0" xfId="0" applyNumberFormat="1" applyFont="1" applyBorder="1" applyAlignment="1">
      <alignment horizontal="right" vertical="top"/>
    </xf>
    <xf numFmtId="0" fontId="30" fillId="0" borderId="0" xfId="0" applyFont="1" applyAlignment="1">
      <alignment horizontal="center" vertical="center"/>
    </xf>
    <xf numFmtId="3" fontId="35" fillId="43" borderId="20" xfId="0" applyNumberFormat="1" applyFont="1" applyFill="1" applyBorder="1" applyAlignment="1">
      <alignment horizontal="center" vertical="top" wrapText="1"/>
    </xf>
    <xf numFmtId="0" fontId="30" fillId="0" borderId="0" xfId="0" applyFont="1" applyAlignment="1">
      <alignment vertical="center"/>
    </xf>
    <xf numFmtId="0" fontId="30" fillId="0" borderId="0" xfId="0" applyFont="1" applyAlignment="1">
      <alignment horizontal="right" vertical="center"/>
    </xf>
    <xf numFmtId="0" fontId="30" fillId="0" borderId="0" xfId="0" applyFont="1" applyAlignment="1">
      <alignment horizontal="left" vertical="center"/>
    </xf>
    <xf numFmtId="0" fontId="31" fillId="0" borderId="0" xfId="0" applyFont="1" applyAlignment="1">
      <alignment horizontal="right" vertical="center"/>
    </xf>
    <xf numFmtId="8" fontId="31" fillId="0" borderId="0" xfId="0" applyNumberFormat="1" applyFont="1" applyAlignment="1">
      <alignment horizontal="center" vertical="center"/>
    </xf>
    <xf numFmtId="0" fontId="31" fillId="0" borderId="0" xfId="0" applyFont="1" applyAlignment="1">
      <alignment horizontal="left" vertical="center"/>
    </xf>
    <xf numFmtId="0" fontId="0" fillId="0" borderId="0" xfId="0"/>
    <xf numFmtId="0" fontId="90" fillId="0" borderId="0" xfId="0" applyFont="1" applyAlignment="1">
      <alignment horizontal="left"/>
    </xf>
    <xf numFmtId="0" fontId="3" fillId="0" borderId="0" xfId="0" applyFont="1" applyAlignment="1">
      <alignment horizontal="left"/>
    </xf>
    <xf numFmtId="177" fontId="0" fillId="0" borderId="0" xfId="0" applyNumberFormat="1"/>
    <xf numFmtId="0" fontId="1" fillId="3" borderId="0" xfId="0" applyFont="1" applyFill="1"/>
    <xf numFmtId="0" fontId="0" fillId="3" borderId="0" xfId="0" applyFill="1"/>
    <xf numFmtId="177" fontId="0" fillId="3" borderId="0" xfId="0" applyNumberFormat="1" applyFill="1"/>
    <xf numFmtId="176" fontId="0" fillId="3" borderId="0" xfId="0" applyNumberFormat="1" applyFill="1"/>
    <xf numFmtId="0" fontId="1" fillId="42" borderId="3" xfId="0" applyFont="1" applyFill="1" applyBorder="1" applyAlignment="1">
      <alignment wrapText="1"/>
    </xf>
    <xf numFmtId="0" fontId="0" fillId="42" borderId="4" xfId="0" applyFill="1" applyBorder="1" applyAlignment="1">
      <alignment horizontal="center" vertical="center"/>
    </xf>
    <xf numFmtId="0" fontId="0" fillId="42" borderId="4" xfId="0" applyFont="1" applyFill="1" applyBorder="1" applyAlignment="1">
      <alignment horizontal="center" vertical="center"/>
    </xf>
    <xf numFmtId="0" fontId="1" fillId="42" borderId="45" xfId="0" applyFont="1" applyFill="1" applyBorder="1" applyAlignment="1">
      <alignment vertical="center"/>
    </xf>
    <xf numFmtId="0" fontId="0" fillId="42" borderId="46" xfId="0" applyFill="1" applyBorder="1" applyAlignment="1">
      <alignment vertical="center"/>
    </xf>
    <xf numFmtId="0" fontId="0" fillId="42" borderId="46" xfId="0" applyFill="1" applyBorder="1"/>
    <xf numFmtId="0" fontId="0" fillId="42" borderId="8" xfId="0" applyFill="1" applyBorder="1"/>
    <xf numFmtId="0" fontId="1" fillId="42" borderId="6" xfId="0" applyFont="1" applyFill="1" applyBorder="1" applyAlignment="1">
      <alignment vertical="center"/>
    </xf>
    <xf numFmtId="0" fontId="0" fillId="42" borderId="47" xfId="0" applyFill="1" applyBorder="1" applyAlignment="1">
      <alignment vertical="center"/>
    </xf>
    <xf numFmtId="0" fontId="0" fillId="42" borderId="47" xfId="0" applyFill="1" applyBorder="1"/>
    <xf numFmtId="0" fontId="0" fillId="42" borderId="7" xfId="0" applyFill="1" applyBorder="1"/>
    <xf numFmtId="0" fontId="92" fillId="42" borderId="18" xfId="0" applyFont="1" applyFill="1" applyBorder="1" applyAlignment="1">
      <alignment horizontal="center"/>
    </xf>
    <xf numFmtId="0" fontId="91" fillId="42" borderId="19" xfId="0" applyFont="1" applyFill="1" applyBorder="1" applyAlignment="1">
      <alignment horizontal="center"/>
    </xf>
    <xf numFmtId="0" fontId="91" fillId="42" borderId="5" xfId="0" applyFont="1" applyFill="1" applyBorder="1" applyAlignment="1">
      <alignment horizontal="center"/>
    </xf>
    <xf numFmtId="0" fontId="0" fillId="0" borderId="0" xfId="0" applyFill="1" applyBorder="1"/>
    <xf numFmtId="0" fontId="11" fillId="36" borderId="54" xfId="0" applyFont="1" applyFill="1" applyBorder="1" applyAlignment="1">
      <alignment vertical="center"/>
    </xf>
    <xf numFmtId="0" fontId="28" fillId="40" borderId="0" xfId="0" applyFont="1" applyFill="1" applyBorder="1" applyAlignment="1">
      <alignment vertical="top"/>
    </xf>
    <xf numFmtId="0" fontId="29" fillId="40" borderId="0" xfId="0" applyFont="1" applyFill="1" applyBorder="1" applyAlignment="1">
      <alignment vertical="top" wrapText="1" shrinkToFit="1"/>
    </xf>
    <xf numFmtId="0" fontId="31" fillId="0" borderId="0" xfId="0" applyFont="1" applyFill="1" applyBorder="1" applyAlignment="1">
      <alignment vertical="top" wrapText="1" shrinkToFit="1"/>
    </xf>
    <xf numFmtId="0" fontId="95" fillId="0" borderId="49" xfId="0" applyFont="1" applyFill="1" applyBorder="1" applyAlignment="1">
      <alignment vertical="top" wrapText="1"/>
    </xf>
    <xf numFmtId="0" fontId="94" fillId="0" borderId="49" xfId="0" applyFont="1" applyFill="1" applyBorder="1" applyAlignment="1">
      <alignment horizontal="center" vertical="top" wrapText="1"/>
    </xf>
    <xf numFmtId="0" fontId="95" fillId="0" borderId="49" xfId="0" applyFont="1" applyBorder="1" applyAlignment="1">
      <alignment vertical="top" wrapText="1"/>
    </xf>
    <xf numFmtId="2" fontId="95" fillId="2" borderId="49" xfId="0" applyNumberFormat="1" applyFont="1" applyFill="1" applyBorder="1" applyAlignment="1">
      <alignment horizontal="center" vertical="top" wrapText="1"/>
    </xf>
    <xf numFmtId="0" fontId="94" fillId="0" borderId="49" xfId="0" applyFont="1" applyBorder="1" applyAlignment="1">
      <alignment vertical="top" wrapText="1"/>
    </xf>
    <xf numFmtId="2" fontId="94" fillId="2" borderId="49" xfId="0" applyNumberFormat="1" applyFont="1" applyFill="1" applyBorder="1" applyAlignment="1">
      <alignment horizontal="center" vertical="top" wrapText="1"/>
    </xf>
    <xf numFmtId="0" fontId="95" fillId="0" borderId="49" xfId="0" applyFont="1" applyFill="1" applyBorder="1" applyAlignment="1">
      <alignment horizontal="center" wrapText="1"/>
    </xf>
    <xf numFmtId="0" fontId="94" fillId="0" borderId="49" xfId="0" applyFont="1" applyFill="1" applyBorder="1" applyAlignment="1">
      <alignment horizontal="center" wrapText="1"/>
    </xf>
    <xf numFmtId="0" fontId="31" fillId="0" borderId="0" xfId="0" applyFont="1" applyBorder="1" applyAlignment="1">
      <alignment vertical="top" shrinkToFit="1"/>
    </xf>
    <xf numFmtId="0" fontId="31" fillId="0" borderId="0" xfId="0" applyFont="1" applyFill="1" applyBorder="1" applyAlignment="1">
      <alignment horizontal="center" vertical="top"/>
    </xf>
    <xf numFmtId="0" fontId="31" fillId="0" borderId="0" xfId="0" applyFont="1" applyFill="1" applyBorder="1" applyAlignment="1">
      <alignment vertical="top" shrinkToFit="1"/>
    </xf>
    <xf numFmtId="0" fontId="31" fillId="0" borderId="53" xfId="0" applyFont="1" applyBorder="1" applyAlignment="1">
      <alignment vertical="top" wrapText="1"/>
    </xf>
    <xf numFmtId="3" fontId="31" fillId="2" borderId="53" xfId="0" applyNumberFormat="1" applyFont="1" applyFill="1" applyBorder="1" applyAlignment="1">
      <alignment horizontal="right" vertical="top" wrapText="1"/>
    </xf>
    <xf numFmtId="3" fontId="31" fillId="2" borderId="63" xfId="0" applyNumberFormat="1" applyFont="1" applyFill="1" applyBorder="1" applyAlignment="1">
      <alignment horizontal="right" vertical="top" wrapText="1"/>
    </xf>
    <xf numFmtId="168" fontId="7" fillId="0" borderId="23" xfId="1" applyNumberFormat="1" applyFont="1" applyBorder="1" applyAlignment="1">
      <alignment horizontal="right" vertical="top"/>
    </xf>
    <xf numFmtId="0" fontId="31" fillId="0" borderId="49" xfId="0" applyFont="1" applyBorder="1" applyAlignment="1">
      <alignment vertical="top" wrapText="1"/>
    </xf>
    <xf numFmtId="3" fontId="31" fillId="2" borderId="49" xfId="0" applyNumberFormat="1" applyFont="1" applyFill="1" applyBorder="1" applyAlignment="1">
      <alignment horizontal="right" vertical="top" wrapText="1"/>
    </xf>
    <xf numFmtId="3" fontId="31" fillId="2" borderId="50" xfId="0" applyNumberFormat="1" applyFont="1" applyFill="1" applyBorder="1" applyAlignment="1">
      <alignment horizontal="right" vertical="top" wrapText="1"/>
    </xf>
    <xf numFmtId="168" fontId="7" fillId="0" borderId="20" xfId="1" applyNumberFormat="1" applyFont="1" applyBorder="1" applyAlignment="1">
      <alignment horizontal="right" vertical="top"/>
    </xf>
    <xf numFmtId="0" fontId="30" fillId="0" borderId="49" xfId="0" applyFont="1" applyBorder="1" applyAlignment="1">
      <alignment vertical="top" wrapText="1"/>
    </xf>
    <xf numFmtId="3" fontId="30" fillId="0" borderId="49" xfId="0" applyNumberFormat="1" applyFont="1" applyBorder="1" applyAlignment="1">
      <alignment horizontal="right" vertical="top" wrapText="1"/>
    </xf>
    <xf numFmtId="168" fontId="30" fillId="0" borderId="20" xfId="1" applyNumberFormat="1" applyFont="1" applyBorder="1" applyAlignment="1">
      <alignment horizontal="right" vertical="top"/>
    </xf>
    <xf numFmtId="0" fontId="30" fillId="0" borderId="0" xfId="0" applyFont="1" applyBorder="1" applyAlignment="1">
      <alignment horizontal="left" vertical="top"/>
    </xf>
    <xf numFmtId="0" fontId="30" fillId="0" borderId="0" xfId="0" applyFont="1" applyBorder="1" applyAlignment="1">
      <alignment vertical="top" wrapText="1"/>
    </xf>
    <xf numFmtId="0" fontId="31" fillId="0" borderId="20" xfId="0" applyFont="1" applyBorder="1" applyAlignment="1">
      <alignment horizontal="left" vertical="top" shrinkToFit="1"/>
    </xf>
    <xf numFmtId="173" fontId="31" fillId="0" borderId="0" xfId="0" applyNumberFormat="1" applyFont="1" applyFill="1" applyBorder="1" applyAlignment="1">
      <alignment horizontal="center" vertical="top" wrapText="1"/>
    </xf>
    <xf numFmtId="0" fontId="28" fillId="38" borderId="0" xfId="0" applyFont="1" applyFill="1" applyBorder="1" applyAlignment="1">
      <alignment vertical="top"/>
    </xf>
    <xf numFmtId="0" fontId="29" fillId="38" borderId="0" xfId="0" applyFont="1" applyFill="1" applyBorder="1" applyAlignment="1">
      <alignment horizontal="center" vertical="top"/>
    </xf>
    <xf numFmtId="0" fontId="29" fillId="38" borderId="0" xfId="0" applyFont="1" applyFill="1" applyBorder="1" applyAlignment="1">
      <alignment horizontal="left" vertical="top"/>
    </xf>
    <xf numFmtId="0" fontId="29" fillId="38" borderId="0" xfId="0" applyFont="1" applyFill="1" applyBorder="1" applyAlignment="1">
      <alignment vertical="top" wrapText="1" shrinkToFit="1"/>
    </xf>
    <xf numFmtId="0" fontId="29" fillId="38" borderId="0" xfId="0" applyFont="1" applyFill="1" applyBorder="1" applyAlignment="1">
      <alignment vertical="top"/>
    </xf>
    <xf numFmtId="169" fontId="36" fillId="0" borderId="28" xfId="3" applyNumberFormat="1" applyFont="1" applyBorder="1" applyAlignment="1">
      <alignment horizontal="center" vertical="top"/>
    </xf>
    <xf numFmtId="169" fontId="31" fillId="0" borderId="0" xfId="3" applyNumberFormat="1" applyFont="1" applyBorder="1" applyAlignment="1">
      <alignment horizontal="center" vertical="top"/>
    </xf>
    <xf numFmtId="0" fontId="45" fillId="0" borderId="0" xfId="0" applyFont="1" applyBorder="1" applyAlignment="1">
      <alignment horizontal="center" vertical="top"/>
    </xf>
    <xf numFmtId="169" fontId="36" fillId="0" borderId="29" xfId="3" applyNumberFormat="1" applyFont="1" applyBorder="1" applyAlignment="1">
      <alignment horizontal="center" vertical="top"/>
    </xf>
    <xf numFmtId="0" fontId="36" fillId="0" borderId="29" xfId="0" applyFont="1" applyBorder="1" applyAlignment="1">
      <alignment horizontal="center" vertical="top"/>
    </xf>
    <xf numFmtId="165" fontId="45" fillId="0" borderId="20" xfId="0" applyNumberFormat="1" applyFont="1" applyBorder="1" applyAlignment="1">
      <alignment horizontal="right" vertical="center"/>
    </xf>
    <xf numFmtId="169" fontId="36" fillId="0" borderId="30" xfId="3" applyNumberFormat="1" applyFont="1" applyBorder="1" applyAlignment="1">
      <alignment horizontal="center" vertical="top"/>
    </xf>
    <xf numFmtId="0" fontId="7" fillId="0" borderId="0" xfId="0" applyFont="1" applyBorder="1" applyAlignment="1">
      <alignment vertical="top"/>
    </xf>
    <xf numFmtId="0" fontId="7" fillId="0" borderId="0" xfId="0" applyFont="1" applyBorder="1" applyAlignment="1">
      <alignment horizontal="left" vertical="top"/>
    </xf>
    <xf numFmtId="0" fontId="7" fillId="0" borderId="0" xfId="0" applyFont="1" applyBorder="1" applyAlignment="1">
      <alignment vertical="top" wrapText="1" shrinkToFit="1"/>
    </xf>
    <xf numFmtId="0" fontId="19" fillId="0" borderId="0" xfId="0" applyFont="1" applyBorder="1" applyAlignment="1">
      <alignment vertical="top"/>
    </xf>
    <xf numFmtId="0" fontId="36" fillId="0" borderId="0" xfId="0" applyFont="1" applyBorder="1" applyAlignment="1">
      <alignment vertical="top"/>
    </xf>
    <xf numFmtId="0" fontId="8" fillId="4" borderId="0" xfId="0" applyFont="1" applyFill="1" applyAlignment="1">
      <alignment vertical="center"/>
    </xf>
    <xf numFmtId="0" fontId="8" fillId="4" borderId="57" xfId="0" applyFont="1" applyFill="1" applyBorder="1" applyAlignment="1">
      <alignment vertical="center"/>
    </xf>
    <xf numFmtId="0" fontId="14" fillId="2" borderId="59" xfId="0" applyFont="1" applyFill="1" applyBorder="1" applyAlignment="1">
      <alignment vertical="center"/>
    </xf>
    <xf numFmtId="0" fontId="8" fillId="4" borderId="0" xfId="0" applyFont="1" applyFill="1" applyAlignment="1">
      <alignment horizontal="center" vertical="center"/>
    </xf>
    <xf numFmtId="0" fontId="8" fillId="0" borderId="0" xfId="0" applyFont="1" applyFill="1" applyBorder="1" applyAlignment="1">
      <alignment vertical="center"/>
    </xf>
    <xf numFmtId="0" fontId="8" fillId="4" borderId="0" xfId="0" applyFont="1" applyFill="1" applyBorder="1" applyAlignment="1">
      <alignment vertical="center"/>
    </xf>
    <xf numFmtId="9" fontId="8" fillId="4" borderId="0" xfId="0" applyNumberFormat="1" applyFont="1" applyFill="1" applyBorder="1" applyAlignment="1">
      <alignment vertical="center"/>
    </xf>
    <xf numFmtId="166" fontId="8" fillId="4" borderId="0" xfId="3" applyNumberFormat="1" applyFont="1" applyFill="1" applyBorder="1" applyAlignment="1">
      <alignment vertical="center"/>
    </xf>
    <xf numFmtId="166" fontId="8" fillId="4" borderId="0" xfId="0" applyNumberFormat="1" applyFont="1" applyFill="1" applyBorder="1" applyAlignment="1">
      <alignment vertical="center"/>
    </xf>
    <xf numFmtId="0" fontId="12" fillId="4" borderId="0" xfId="0" applyFont="1" applyFill="1" applyAlignment="1">
      <alignment vertical="center"/>
    </xf>
    <xf numFmtId="0" fontId="8" fillId="0" borderId="0" xfId="0" applyFont="1" applyFill="1" applyAlignment="1">
      <alignment vertical="center"/>
    </xf>
    <xf numFmtId="0" fontId="14" fillId="2" borderId="57" xfId="0" applyFont="1" applyFill="1" applyBorder="1" applyAlignment="1">
      <alignment vertical="center"/>
    </xf>
    <xf numFmtId="0" fontId="14" fillId="58" borderId="57" xfId="0" applyFont="1" applyFill="1" applyBorder="1" applyAlignment="1">
      <alignment vertical="center"/>
    </xf>
    <xf numFmtId="3" fontId="31" fillId="0" borderId="0" xfId="0" applyNumberFormat="1" applyFont="1" applyFill="1" applyAlignment="1">
      <alignment horizontal="center" vertical="top"/>
    </xf>
    <xf numFmtId="168" fontId="7" fillId="0" borderId="0" xfId="1" applyNumberFormat="1" applyFont="1" applyFill="1" applyBorder="1" applyAlignment="1">
      <alignment horizontal="right" vertical="top"/>
    </xf>
    <xf numFmtId="0" fontId="31" fillId="0" borderId="0" xfId="0" applyFont="1" applyFill="1"/>
    <xf numFmtId="10" fontId="0" fillId="0" borderId="0" xfId="0" applyNumberFormat="1"/>
    <xf numFmtId="0" fontId="46" fillId="0" borderId="0" xfId="0" applyFont="1" applyFill="1" applyBorder="1" applyAlignment="1">
      <alignment horizontal="center" vertical="center" wrapText="1"/>
    </xf>
    <xf numFmtId="0" fontId="96" fillId="0" borderId="0" xfId="17" applyFont="1" applyBorder="1" applyAlignment="1" applyProtection="1">
      <alignment horizontal="left" vertical="top"/>
    </xf>
    <xf numFmtId="0" fontId="8" fillId="4" borderId="64" xfId="0" applyFont="1" applyFill="1" applyBorder="1" applyAlignment="1">
      <alignment vertical="center"/>
    </xf>
    <xf numFmtId="0" fontId="8" fillId="0" borderId="0" xfId="0" applyFont="1" applyFill="1" applyAlignment="1">
      <alignment horizontal="center" vertical="center"/>
    </xf>
    <xf numFmtId="0" fontId="8" fillId="0" borderId="57" xfId="0" applyFont="1" applyFill="1" applyBorder="1" applyAlignment="1">
      <alignment horizontal="left" vertical="center" wrapText="1"/>
    </xf>
    <xf numFmtId="2" fontId="101" fillId="0" borderId="0" xfId="0" applyNumberFormat="1" applyFont="1" applyFill="1" applyBorder="1" applyAlignment="1">
      <alignment horizontal="center" vertical="center"/>
    </xf>
    <xf numFmtId="0" fontId="102" fillId="0" borderId="0" xfId="0" applyFont="1" applyFill="1" applyBorder="1" applyAlignment="1">
      <alignment horizontal="center" vertical="center"/>
    </xf>
    <xf numFmtId="0" fontId="8" fillId="0" borderId="0" xfId="0" applyFont="1" applyFill="1" applyAlignment="1">
      <alignment horizontal="center" vertical="center" wrapText="1"/>
    </xf>
    <xf numFmtId="0" fontId="5" fillId="0" borderId="0" xfId="0" applyFont="1" applyFill="1" applyAlignment="1">
      <alignment vertical="center"/>
    </xf>
    <xf numFmtId="0" fontId="0" fillId="0" borderId="0" xfId="0" applyAlignment="1">
      <alignment vertical="center"/>
    </xf>
    <xf numFmtId="0" fontId="33" fillId="0" borderId="0" xfId="17" applyAlignment="1" applyProtection="1"/>
    <xf numFmtId="2" fontId="44" fillId="0" borderId="0" xfId="0" applyNumberFormat="1" applyFont="1" applyBorder="1" applyAlignment="1">
      <alignment horizontal="right" vertical="center"/>
    </xf>
    <xf numFmtId="0" fontId="146" fillId="0" borderId="0" xfId="0" applyFont="1" applyAlignment="1">
      <alignment vertical="center"/>
    </xf>
    <xf numFmtId="0" fontId="0" fillId="0" borderId="0" xfId="0" applyBorder="1" applyAlignment="1">
      <alignment vertical="center"/>
    </xf>
    <xf numFmtId="0" fontId="8" fillId="0" borderId="0" xfId="0" applyFont="1" applyFill="1" applyBorder="1" applyAlignment="1">
      <alignment horizontal="center" vertical="center"/>
    </xf>
    <xf numFmtId="166" fontId="8" fillId="4" borderId="0" xfId="0" applyNumberFormat="1" applyFont="1" applyFill="1" applyAlignment="1">
      <alignment horizontal="center" vertical="center"/>
    </xf>
    <xf numFmtId="9" fontId="8" fillId="0" borderId="0" xfId="0" applyNumberFormat="1" applyFont="1" applyFill="1" applyAlignment="1">
      <alignment horizontal="center" vertical="center"/>
    </xf>
    <xf numFmtId="2" fontId="8" fillId="4" borderId="0" xfId="0" applyNumberFormat="1" applyFont="1" applyFill="1" applyAlignment="1">
      <alignment horizontal="center" vertical="center"/>
    </xf>
    <xf numFmtId="0" fontId="148" fillId="4" borderId="0" xfId="0" applyFont="1" applyFill="1" applyAlignment="1">
      <alignment vertical="center"/>
    </xf>
    <xf numFmtId="0" fontId="11" fillId="36" borderId="82" xfId="0" applyFont="1" applyFill="1" applyBorder="1" applyAlignment="1">
      <alignment horizontal="center" vertical="center"/>
    </xf>
    <xf numFmtId="0" fontId="11" fillId="36" borderId="83" xfId="0" applyFont="1" applyFill="1" applyBorder="1" applyAlignment="1">
      <alignment horizontal="center" vertical="center"/>
    </xf>
    <xf numFmtId="0" fontId="0" fillId="0" borderId="57" xfId="0" applyBorder="1" applyAlignment="1">
      <alignment vertical="center"/>
    </xf>
    <xf numFmtId="0" fontId="147" fillId="0" borderId="0" xfId="0" applyFont="1" applyFill="1"/>
    <xf numFmtId="0" fontId="149" fillId="0" borderId="0" xfId="0" applyFont="1" applyFill="1" applyBorder="1" applyAlignment="1">
      <alignment horizontal="centerContinuous"/>
    </xf>
    <xf numFmtId="0" fontId="151" fillId="0" borderId="0" xfId="0" applyFont="1" applyFill="1" applyBorder="1" applyAlignment="1">
      <alignment horizontal="centerContinuous"/>
    </xf>
    <xf numFmtId="176" fontId="0" fillId="0" borderId="20" xfId="0" applyNumberFormat="1" applyBorder="1"/>
    <xf numFmtId="2" fontId="0" fillId="0" borderId="20" xfId="0" applyNumberFormat="1" applyBorder="1"/>
    <xf numFmtId="0" fontId="98" fillId="0" borderId="0" xfId="0" applyFont="1" applyFill="1" applyAlignment="1"/>
    <xf numFmtId="0" fontId="0" fillId="0" borderId="0" xfId="0" applyFill="1" applyBorder="1" applyAlignment="1">
      <alignment horizontal="centerContinuous"/>
    </xf>
    <xf numFmtId="0" fontId="150" fillId="0" borderId="0" xfId="0" applyFont="1" applyFill="1" applyBorder="1" applyAlignment="1">
      <alignment horizontal="left"/>
    </xf>
    <xf numFmtId="0" fontId="1" fillId="42" borderId="3" xfId="0" applyFont="1" applyFill="1" applyBorder="1" applyAlignment="1">
      <alignment horizontal="left" vertical="center" wrapText="1"/>
    </xf>
    <xf numFmtId="0" fontId="8" fillId="0" borderId="0" xfId="0" applyFont="1" applyFill="1" applyAlignment="1">
      <alignment horizontal="right" vertical="center"/>
    </xf>
    <xf numFmtId="0" fontId="8" fillId="0" borderId="0" xfId="0" applyFont="1" applyFill="1" applyAlignment="1">
      <alignment horizontal="left" vertical="center"/>
    </xf>
    <xf numFmtId="0" fontId="152" fillId="0" borderId="0" xfId="0" applyFont="1" applyAlignment="1">
      <alignment vertical="center"/>
    </xf>
    <xf numFmtId="173" fontId="0" fillId="0" borderId="0" xfId="0" applyNumberFormat="1"/>
    <xf numFmtId="0" fontId="14" fillId="0" borderId="87" xfId="0" applyFont="1" applyFill="1" applyBorder="1" applyAlignment="1">
      <alignment horizontal="left" vertical="center" wrapText="1"/>
    </xf>
    <xf numFmtId="0" fontId="14" fillId="0" borderId="93" xfId="0" applyFont="1" applyFill="1" applyBorder="1" applyAlignment="1">
      <alignment horizontal="left" vertical="center" wrapText="1"/>
    </xf>
    <xf numFmtId="7" fontId="8" fillId="0" borderId="0" xfId="0" applyNumberFormat="1" applyFont="1" applyFill="1" applyAlignment="1">
      <alignment vertical="center"/>
    </xf>
    <xf numFmtId="166" fontId="8" fillId="0" borderId="0" xfId="3" applyNumberFormat="1" applyFont="1" applyFill="1" applyBorder="1" applyAlignment="1">
      <alignment vertical="center"/>
    </xf>
    <xf numFmtId="196" fontId="8" fillId="0" borderId="48" xfId="0" applyNumberFormat="1" applyFont="1" applyFill="1" applyBorder="1" applyAlignment="1">
      <alignment horizontal="right" vertical="center"/>
    </xf>
    <xf numFmtId="196" fontId="8" fillId="0" borderId="60" xfId="0" applyNumberFormat="1" applyFont="1" applyFill="1" applyBorder="1" applyAlignment="1">
      <alignment horizontal="right" vertical="center"/>
    </xf>
    <xf numFmtId="5" fontId="8" fillId="0" borderId="48" xfId="0" applyNumberFormat="1" applyFont="1" applyFill="1" applyBorder="1" applyAlignment="1">
      <alignment horizontal="right" vertical="center"/>
    </xf>
    <xf numFmtId="5" fontId="14" fillId="2" borderId="48" xfId="0" applyNumberFormat="1" applyFont="1" applyFill="1" applyBorder="1" applyAlignment="1">
      <alignment horizontal="right" vertical="center"/>
    </xf>
    <xf numFmtId="0" fontId="14" fillId="58" borderId="68" xfId="0" applyFont="1" applyFill="1" applyBorder="1" applyAlignment="1">
      <alignment vertical="center" wrapText="1"/>
    </xf>
    <xf numFmtId="0" fontId="14" fillId="58" borderId="90" xfId="0" applyFont="1" applyFill="1" applyBorder="1" applyAlignment="1">
      <alignment vertical="center" wrapText="1"/>
    </xf>
    <xf numFmtId="0" fontId="14" fillId="58" borderId="92" xfId="0" applyFont="1" applyFill="1" applyBorder="1" applyAlignment="1">
      <alignment vertical="center" wrapText="1"/>
    </xf>
    <xf numFmtId="0" fontId="14" fillId="58" borderId="0" xfId="0" applyFont="1" applyFill="1" applyBorder="1" applyAlignment="1">
      <alignment vertical="center" wrapText="1"/>
    </xf>
    <xf numFmtId="179" fontId="8" fillId="0" borderId="0" xfId="0" applyNumberFormat="1" applyFont="1" applyFill="1" applyAlignment="1">
      <alignment vertical="center"/>
    </xf>
    <xf numFmtId="0" fontId="152" fillId="0" borderId="0" xfId="0" applyFont="1" applyFill="1" applyAlignment="1">
      <alignment vertical="center"/>
    </xf>
    <xf numFmtId="3" fontId="0" fillId="0" borderId="0" xfId="0" applyNumberFormat="1"/>
    <xf numFmtId="9" fontId="8" fillId="0" borderId="48" xfId="1" applyFont="1" applyFill="1" applyBorder="1" applyAlignment="1">
      <alignment horizontal="right" vertical="center"/>
    </xf>
    <xf numFmtId="9" fontId="8" fillId="0" borderId="58" xfId="1" applyFont="1" applyFill="1" applyBorder="1" applyAlignment="1">
      <alignment horizontal="right" vertical="center"/>
    </xf>
    <xf numFmtId="2" fontId="8" fillId="0" borderId="48" xfId="0" applyNumberFormat="1" applyFont="1" applyFill="1" applyBorder="1" applyAlignment="1">
      <alignment horizontal="right" vertical="center"/>
    </xf>
    <xf numFmtId="0" fontId="8" fillId="0" borderId="97" xfId="0" applyFont="1" applyFill="1" applyBorder="1" applyAlignment="1">
      <alignment vertical="center"/>
    </xf>
    <xf numFmtId="196" fontId="8" fillId="0" borderId="88" xfId="0" applyNumberFormat="1" applyFont="1" applyFill="1" applyBorder="1" applyAlignment="1">
      <alignment horizontal="right" vertical="center"/>
    </xf>
    <xf numFmtId="0" fontId="8" fillId="0" borderId="59" xfId="0" applyFont="1" applyFill="1" applyBorder="1" applyAlignment="1">
      <alignment horizontal="left" vertical="center" wrapText="1"/>
    </xf>
    <xf numFmtId="0" fontId="8" fillId="4" borderId="59" xfId="0" applyFont="1" applyFill="1" applyBorder="1" applyAlignment="1">
      <alignment vertical="center"/>
    </xf>
    <xf numFmtId="5" fontId="8" fillId="0" borderId="88" xfId="0" applyNumberFormat="1" applyFont="1" applyFill="1" applyBorder="1" applyAlignment="1">
      <alignment horizontal="right" vertical="center"/>
    </xf>
    <xf numFmtId="5" fontId="8" fillId="0" borderId="60" xfId="0" applyNumberFormat="1" applyFont="1" applyFill="1" applyBorder="1" applyAlignment="1">
      <alignment horizontal="right" vertical="center"/>
    </xf>
    <xf numFmtId="5" fontId="14" fillId="58" borderId="48" xfId="0" applyNumberFormat="1" applyFont="1" applyFill="1" applyBorder="1" applyAlignment="1">
      <alignment horizontal="right" vertical="center"/>
    </xf>
    <xf numFmtId="0" fontId="0" fillId="0" borderId="57" xfId="0" applyBorder="1" applyAlignment="1">
      <alignment vertical="center" wrapText="1"/>
    </xf>
    <xf numFmtId="0" fontId="3" fillId="0" borderId="0" xfId="0" applyFont="1"/>
    <xf numFmtId="0" fontId="154" fillId="87" borderId="0" xfId="0" applyFont="1" applyFill="1"/>
    <xf numFmtId="0" fontId="154" fillId="87" borderId="0" xfId="0" applyFont="1" applyFill="1" applyAlignment="1">
      <alignment horizontal="center"/>
    </xf>
    <xf numFmtId="172" fontId="3" fillId="0" borderId="0" xfId="0" applyNumberFormat="1" applyFont="1"/>
    <xf numFmtId="0" fontId="90" fillId="2" borderId="0" xfId="0" applyFont="1" applyFill="1"/>
    <xf numFmtId="172" fontId="90" fillId="2" borderId="0" xfId="0" applyNumberFormat="1" applyFont="1" applyFill="1"/>
    <xf numFmtId="0" fontId="90" fillId="86" borderId="96" xfId="0" applyFont="1" applyFill="1" applyBorder="1"/>
    <xf numFmtId="172" fontId="90" fillId="86" borderId="96" xfId="0" applyNumberFormat="1" applyFont="1" applyFill="1" applyBorder="1"/>
    <xf numFmtId="179" fontId="90" fillId="86" borderId="96" xfId="0" applyNumberFormat="1" applyFont="1" applyFill="1" applyBorder="1"/>
    <xf numFmtId="168" fontId="8" fillId="4" borderId="61" xfId="0" applyNumberFormat="1" applyFont="1" applyFill="1" applyBorder="1" applyAlignment="1">
      <alignment horizontal="right" vertical="center"/>
    </xf>
    <xf numFmtId="0" fontId="11" fillId="36" borderId="69" xfId="0" applyFont="1" applyFill="1" applyBorder="1" applyAlignment="1">
      <alignment vertical="center"/>
    </xf>
    <xf numFmtId="0" fontId="8" fillId="4" borderId="68" xfId="0" applyFont="1" applyFill="1" applyBorder="1" applyAlignment="1">
      <alignment vertical="center"/>
    </xf>
    <xf numFmtId="0" fontId="8" fillId="0" borderId="68" xfId="0" applyFont="1" applyFill="1" applyBorder="1" applyAlignment="1">
      <alignment vertical="center"/>
    </xf>
    <xf numFmtId="0" fontId="8" fillId="4" borderId="67" xfId="0" applyFont="1" applyFill="1" applyBorder="1" applyAlignment="1">
      <alignment vertical="center"/>
    </xf>
    <xf numFmtId="0" fontId="8" fillId="0" borderId="58" xfId="0" applyFont="1" applyFill="1" applyBorder="1" applyAlignment="1">
      <alignment horizontal="center" vertical="center"/>
    </xf>
    <xf numFmtId="0" fontId="8" fillId="0" borderId="89" xfId="0" applyFont="1" applyFill="1" applyBorder="1" applyAlignment="1">
      <alignment horizontal="center" vertical="center"/>
    </xf>
    <xf numFmtId="2" fontId="8" fillId="0" borderId="58" xfId="0" applyNumberFormat="1" applyFont="1" applyFill="1" applyBorder="1" applyAlignment="1">
      <alignment horizontal="right" vertical="center"/>
    </xf>
    <xf numFmtId="173" fontId="8" fillId="0" borderId="48" xfId="0" applyNumberFormat="1" applyFont="1" applyFill="1" applyBorder="1" applyAlignment="1">
      <alignment horizontal="right" vertical="center"/>
    </xf>
    <xf numFmtId="173" fontId="8" fillId="0" borderId="60" xfId="0" applyNumberFormat="1" applyFont="1" applyFill="1" applyBorder="1" applyAlignment="1">
      <alignment horizontal="right" vertical="center"/>
    </xf>
    <xf numFmtId="173" fontId="8" fillId="0" borderId="61" xfId="0" applyNumberFormat="1" applyFont="1" applyFill="1" applyBorder="1" applyAlignment="1">
      <alignment horizontal="right" vertical="center"/>
    </xf>
    <xf numFmtId="0" fontId="11" fillId="36" borderId="55" xfId="0" applyFont="1" applyFill="1" applyBorder="1" applyAlignment="1">
      <alignment horizontal="right" vertical="center" wrapText="1"/>
    </xf>
    <xf numFmtId="9" fontId="11" fillId="36" borderId="55" xfId="1" applyFont="1" applyFill="1" applyBorder="1" applyAlignment="1">
      <alignment horizontal="right" vertical="center"/>
    </xf>
    <xf numFmtId="9" fontId="11" fillId="36" borderId="56" xfId="1" applyFont="1" applyFill="1" applyBorder="1" applyAlignment="1">
      <alignment horizontal="right" vertical="center"/>
    </xf>
    <xf numFmtId="9" fontId="11" fillId="36" borderId="48" xfId="1" applyFont="1" applyFill="1" applyBorder="1" applyAlignment="1">
      <alignment horizontal="right"/>
    </xf>
    <xf numFmtId="9" fontId="11" fillId="36" borderId="58" xfId="1" applyFont="1" applyFill="1" applyBorder="1" applyAlignment="1">
      <alignment horizontal="right"/>
    </xf>
    <xf numFmtId="0" fontId="14" fillId="58" borderId="90" xfId="0" applyFont="1" applyFill="1" applyBorder="1" applyAlignment="1">
      <alignment horizontal="right" vertical="center" wrapText="1"/>
    </xf>
    <xf numFmtId="0" fontId="14" fillId="58" borderId="91" xfId="0" applyFont="1" applyFill="1" applyBorder="1" applyAlignment="1">
      <alignment horizontal="right" vertical="center" wrapText="1"/>
    </xf>
    <xf numFmtId="0" fontId="14" fillId="58" borderId="0" xfId="0" applyFont="1" applyFill="1" applyBorder="1" applyAlignment="1">
      <alignment horizontal="right" vertical="center" wrapText="1"/>
    </xf>
    <xf numFmtId="0" fontId="14" fillId="58" borderId="84" xfId="0" applyFont="1" applyFill="1" applyBorder="1" applyAlignment="1">
      <alignment horizontal="right" vertical="center" wrapText="1"/>
    </xf>
    <xf numFmtId="0" fontId="8" fillId="0" borderId="0" xfId="0" applyFont="1" applyFill="1" applyBorder="1" applyAlignment="1">
      <alignment horizontal="right" vertical="center"/>
    </xf>
    <xf numFmtId="0" fontId="11" fillId="36" borderId="48" xfId="0" applyFont="1" applyFill="1" applyBorder="1" applyAlignment="1">
      <alignment horizontal="right"/>
    </xf>
    <xf numFmtId="9" fontId="0" fillId="0" borderId="0" xfId="1" applyFont="1"/>
    <xf numFmtId="165" fontId="0" fillId="0" borderId="0" xfId="0" applyNumberFormat="1"/>
    <xf numFmtId="1" fontId="0" fillId="0" borderId="0" xfId="0" applyNumberFormat="1"/>
    <xf numFmtId="9" fontId="0" fillId="3" borderId="0" xfId="1" applyFont="1" applyFill="1"/>
    <xf numFmtId="0" fontId="11" fillId="36" borderId="55" xfId="0" applyFont="1" applyFill="1" applyBorder="1" applyAlignment="1">
      <alignment horizontal="center" vertical="center"/>
    </xf>
    <xf numFmtId="0" fontId="30" fillId="3" borderId="20" xfId="0" applyFont="1" applyFill="1" applyBorder="1" applyAlignment="1">
      <alignment horizontal="center" vertical="center" wrapText="1"/>
    </xf>
    <xf numFmtId="0" fontId="30" fillId="88" borderId="20" xfId="0" applyFont="1" applyFill="1" applyBorder="1" applyAlignment="1">
      <alignment horizontal="center" vertical="center" wrapText="1"/>
    </xf>
    <xf numFmtId="42" fontId="7" fillId="2" borderId="0" xfId="3" applyNumberFormat="1" applyFont="1" applyFill="1" applyAlignment="1">
      <alignment vertical="top"/>
    </xf>
    <xf numFmtId="42" fontId="7" fillId="2" borderId="0" xfId="3" applyNumberFormat="1" applyFont="1" applyFill="1" applyBorder="1" applyAlignment="1">
      <alignment vertical="top"/>
    </xf>
    <xf numFmtId="42" fontId="7" fillId="0" borderId="0" xfId="0" applyNumberFormat="1" applyFont="1" applyFill="1" applyAlignment="1">
      <alignment vertical="top"/>
    </xf>
    <xf numFmtId="42" fontId="19" fillId="2" borderId="0" xfId="0" applyNumberFormat="1" applyFont="1" applyFill="1" applyAlignment="1">
      <alignment vertical="top"/>
    </xf>
    <xf numFmtId="0" fontId="31" fillId="0" borderId="20" xfId="0" applyFont="1" applyBorder="1" applyAlignment="1">
      <alignment vertical="center" wrapText="1"/>
    </xf>
    <xf numFmtId="0" fontId="31" fillId="0" borderId="20" xfId="0" applyFont="1" applyBorder="1" applyAlignment="1">
      <alignment horizontal="center" vertical="center" wrapText="1"/>
    </xf>
    <xf numFmtId="3" fontId="31" fillId="2" borderId="20" xfId="0" applyNumberFormat="1" applyFont="1" applyFill="1" applyBorder="1" applyAlignment="1">
      <alignment horizontal="right" vertical="center" wrapText="1"/>
    </xf>
    <xf numFmtId="0" fontId="34" fillId="0" borderId="0" xfId="17" applyFont="1" applyAlignment="1" applyProtection="1">
      <alignment vertical="center"/>
    </xf>
    <xf numFmtId="42" fontId="31" fillId="0" borderId="20" xfId="0" applyNumberFormat="1" applyFont="1" applyFill="1" applyBorder="1" applyAlignment="1">
      <alignment horizontal="center" vertical="top"/>
    </xf>
    <xf numFmtId="42" fontId="31" fillId="2" borderId="20" xfId="0" applyNumberFormat="1" applyFont="1" applyFill="1" applyBorder="1" applyAlignment="1">
      <alignment horizontal="center" vertical="top"/>
    </xf>
    <xf numFmtId="42" fontId="30" fillId="0" borderId="20" xfId="0" applyNumberFormat="1" applyFont="1" applyBorder="1" applyAlignment="1">
      <alignment horizontal="center" vertical="center"/>
    </xf>
    <xf numFmtId="3" fontId="35" fillId="43" borderId="0" xfId="0" applyNumberFormat="1" applyFont="1" applyFill="1" applyBorder="1" applyAlignment="1">
      <alignment horizontal="center" vertical="top" wrapText="1"/>
    </xf>
    <xf numFmtId="198" fontId="31" fillId="0" borderId="20" xfId="0" applyNumberFormat="1" applyFont="1" applyBorder="1" applyAlignment="1">
      <alignment horizontal="center" vertical="center"/>
    </xf>
    <xf numFmtId="198" fontId="31" fillId="0" borderId="1" xfId="0" applyNumberFormat="1" applyFont="1" applyBorder="1" applyAlignment="1">
      <alignment horizontal="center" vertical="center"/>
    </xf>
    <xf numFmtId="198" fontId="31" fillId="0" borderId="33" xfId="0" applyNumberFormat="1" applyFont="1" applyBorder="1" applyAlignment="1">
      <alignment horizontal="center" vertical="center"/>
    </xf>
    <xf numFmtId="198" fontId="36" fillId="0" borderId="32" xfId="0" applyNumberFormat="1" applyFont="1" applyFill="1" applyBorder="1" applyAlignment="1">
      <alignment horizontal="center" vertical="center"/>
    </xf>
    <xf numFmtId="198" fontId="31" fillId="2" borderId="20" xfId="0" applyNumberFormat="1" applyFont="1" applyFill="1" applyBorder="1" applyAlignment="1">
      <alignment horizontal="center" vertical="center"/>
    </xf>
    <xf numFmtId="0" fontId="29" fillId="43" borderId="20" xfId="0" applyFont="1" applyFill="1" applyBorder="1" applyAlignment="1">
      <alignment horizontal="center" vertical="top"/>
    </xf>
    <xf numFmtId="0" fontId="29" fillId="0" borderId="0" xfId="0" applyFont="1" applyAlignment="1">
      <alignment horizontal="center" vertical="center"/>
    </xf>
    <xf numFmtId="198" fontId="19" fillId="0" borderId="20" xfId="0" applyNumberFormat="1" applyFont="1" applyBorder="1" applyAlignment="1">
      <alignment horizontal="center" vertical="center"/>
    </xf>
    <xf numFmtId="0" fontId="156" fillId="0" borderId="0" xfId="0" applyFont="1" applyAlignment="1">
      <alignment vertical="center"/>
    </xf>
    <xf numFmtId="0" fontId="158" fillId="0" borderId="0" xfId="0" applyFont="1" applyAlignment="1">
      <alignment vertical="center"/>
    </xf>
    <xf numFmtId="0" fontId="159" fillId="0" borderId="0" xfId="0" applyFont="1"/>
    <xf numFmtId="0" fontId="160" fillId="87" borderId="0" xfId="0" applyFont="1" applyFill="1" applyAlignment="1">
      <alignment horizontal="left" indent="1"/>
    </xf>
    <xf numFmtId="0" fontId="160" fillId="87" borderId="0" xfId="0" applyFont="1" applyFill="1" applyAlignment="1">
      <alignment horizontal="right" indent="1"/>
    </xf>
    <xf numFmtId="0" fontId="160" fillId="87" borderId="0" xfId="0" applyFont="1" applyFill="1" applyAlignment="1">
      <alignment horizontal="left" indent="2"/>
    </xf>
    <xf numFmtId="0" fontId="159" fillId="0" borderId="0" xfId="0" applyFont="1" applyAlignment="1">
      <alignment horizontal="left"/>
    </xf>
    <xf numFmtId="0" fontId="159" fillId="0" borderId="0" xfId="0" applyFont="1" applyAlignment="1">
      <alignment horizontal="left" indent="1"/>
    </xf>
    <xf numFmtId="0" fontId="157" fillId="0" borderId="0" xfId="0" applyFont="1"/>
    <xf numFmtId="0" fontId="160" fillId="87" borderId="0" xfId="0" applyFont="1" applyFill="1" applyAlignment="1">
      <alignment horizontal="left"/>
    </xf>
    <xf numFmtId="0" fontId="159" fillId="0" borderId="0" xfId="0" applyFont="1" applyAlignment="1">
      <alignment vertical="center"/>
    </xf>
    <xf numFmtId="0" fontId="159" fillId="0" borderId="0" xfId="0" applyFont="1" applyAlignment="1">
      <alignment horizontal="left" vertical="center"/>
    </xf>
    <xf numFmtId="3" fontId="161" fillId="0" borderId="0" xfId="0" applyNumberFormat="1" applyFont="1" applyAlignment="1">
      <alignment horizontal="right" indent="1"/>
    </xf>
    <xf numFmtId="0" fontId="159" fillId="4" borderId="0" xfId="0" applyFont="1" applyFill="1"/>
    <xf numFmtId="168" fontId="159" fillId="0" borderId="0" xfId="0" applyNumberFormat="1" applyFont="1" applyAlignment="1">
      <alignment horizontal="right" indent="1"/>
    </xf>
    <xf numFmtId="171" fontId="159" fillId="0" borderId="0" xfId="0" applyNumberFormat="1" applyFont="1" applyAlignment="1">
      <alignment horizontal="right" indent="1"/>
    </xf>
    <xf numFmtId="2" fontId="159" fillId="0" borderId="0" xfId="0" applyNumberFormat="1" applyFont="1" applyAlignment="1">
      <alignment horizontal="right" indent="1"/>
    </xf>
    <xf numFmtId="166" fontId="159" fillId="0" borderId="0" xfId="0" applyNumberFormat="1" applyFont="1" applyAlignment="1">
      <alignment horizontal="right" indent="1"/>
    </xf>
    <xf numFmtId="0" fontId="159" fillId="0" borderId="0" xfId="0" applyFont="1" applyFill="1" applyBorder="1" applyAlignment="1">
      <alignment horizontal="left" vertical="center" indent="1"/>
    </xf>
    <xf numFmtId="2" fontId="161" fillId="0" borderId="0" xfId="1" applyNumberFormat="1" applyFont="1" applyFill="1" applyBorder="1" applyAlignment="1">
      <alignment horizontal="right" vertical="center" wrapText="1" indent="1"/>
    </xf>
    <xf numFmtId="1" fontId="160" fillId="89" borderId="0" xfId="0" applyNumberFormat="1" applyFont="1" applyFill="1" applyBorder="1" applyAlignment="1">
      <alignment horizontal="center" vertical="center"/>
    </xf>
    <xf numFmtId="0" fontId="165" fillId="85" borderId="0" xfId="0" applyFont="1" applyFill="1" applyAlignment="1">
      <alignment vertical="center"/>
    </xf>
    <xf numFmtId="0" fontId="166" fillId="85" borderId="0" xfId="0" applyFont="1" applyFill="1" applyAlignment="1">
      <alignment horizontal="left" vertical="center"/>
    </xf>
    <xf numFmtId="0" fontId="159" fillId="85" borderId="0" xfId="0" applyFont="1" applyFill="1" applyAlignment="1">
      <alignment vertical="center"/>
    </xf>
    <xf numFmtId="0" fontId="159" fillId="85" borderId="0" xfId="0" applyFont="1" applyFill="1" applyAlignment="1">
      <alignment horizontal="center" vertical="center"/>
    </xf>
    <xf numFmtId="0" fontId="167" fillId="0" borderId="0" xfId="0" applyFont="1" applyFill="1" applyBorder="1" applyAlignment="1">
      <alignment horizontal="center" vertical="center"/>
    </xf>
    <xf numFmtId="0" fontId="167" fillId="0" borderId="0" xfId="0" applyFont="1" applyAlignment="1">
      <alignment horizontal="left" vertical="center" wrapText="1"/>
    </xf>
    <xf numFmtId="37" fontId="159" fillId="0" borderId="48" xfId="0" applyNumberFormat="1" applyFont="1" applyBorder="1" applyAlignment="1">
      <alignment horizontal="right" vertical="center"/>
    </xf>
    <xf numFmtId="0" fontId="159" fillId="0" borderId="0" xfId="0" applyFont="1" applyAlignment="1">
      <alignment horizontal="left" vertical="center" wrapText="1"/>
    </xf>
    <xf numFmtId="0" fontId="161" fillId="0" borderId="0" xfId="0" applyFont="1" applyFill="1"/>
    <xf numFmtId="0" fontId="159" fillId="0" borderId="0" xfId="0" applyFont="1" applyFill="1" applyAlignment="1">
      <alignment horizontal="left"/>
    </xf>
    <xf numFmtId="0" fontId="157" fillId="0" borderId="0" xfId="0" applyFont="1" applyAlignment="1">
      <alignment horizontal="left"/>
    </xf>
    <xf numFmtId="199" fontId="159" fillId="0" borderId="48" xfId="0" applyNumberFormat="1" applyFont="1" applyBorder="1" applyAlignment="1">
      <alignment horizontal="right" vertical="center"/>
    </xf>
    <xf numFmtId="0" fontId="159" fillId="4" borderId="0" xfId="0" applyFont="1" applyFill="1" applyAlignment="1">
      <alignment vertical="center"/>
    </xf>
    <xf numFmtId="0" fontId="157" fillId="90" borderId="0" xfId="0" applyFont="1" applyFill="1" applyAlignment="1">
      <alignment vertical="center"/>
    </xf>
    <xf numFmtId="0" fontId="159" fillId="90" borderId="0" xfId="0" applyFont="1" applyFill="1" applyAlignment="1">
      <alignment horizontal="left" vertical="center"/>
    </xf>
    <xf numFmtId="0" fontId="159" fillId="90" borderId="0" xfId="0" applyFont="1" applyFill="1" applyBorder="1" applyAlignment="1">
      <alignment horizontal="right" vertical="center"/>
    </xf>
    <xf numFmtId="0" fontId="168" fillId="0" borderId="0" xfId="0" applyFont="1"/>
    <xf numFmtId="0" fontId="168" fillId="0" borderId="0" xfId="0" applyFont="1" applyAlignment="1">
      <alignment horizontal="center"/>
    </xf>
    <xf numFmtId="0" fontId="157" fillId="0" borderId="24" xfId="0" applyFont="1" applyBorder="1" applyAlignment="1">
      <alignment vertical="center"/>
    </xf>
    <xf numFmtId="0" fontId="157" fillId="0" borderId="24" xfId="0" applyFont="1" applyBorder="1" applyAlignment="1">
      <alignment horizontal="center" vertical="center"/>
    </xf>
    <xf numFmtId="0" fontId="157" fillId="0" borderId="24" xfId="0" applyFont="1" applyBorder="1" applyAlignment="1">
      <alignment horizontal="right" vertical="center"/>
    </xf>
    <xf numFmtId="0" fontId="159" fillId="0" borderId="0" xfId="0" applyFont="1" applyAlignment="1">
      <alignment horizontal="right"/>
    </xf>
    <xf numFmtId="0" fontId="161" fillId="0" borderId="0" xfId="0" applyFont="1" applyFill="1" applyAlignment="1">
      <alignment horizontal="center"/>
    </xf>
    <xf numFmtId="0" fontId="157" fillId="0" borderId="0" xfId="0" applyFont="1" applyAlignment="1">
      <alignment vertical="center"/>
    </xf>
    <xf numFmtId="0" fontId="161" fillId="0" borderId="0" xfId="0" applyFont="1" applyFill="1" applyAlignment="1">
      <alignment horizontal="center" vertical="center"/>
    </xf>
    <xf numFmtId="3" fontId="162" fillId="0" borderId="0" xfId="0" applyNumberFormat="1" applyFont="1" applyAlignment="1">
      <alignment horizontal="right"/>
    </xf>
    <xf numFmtId="0" fontId="159" fillId="0" borderId="0" xfId="0" applyFont="1" applyAlignment="1">
      <alignment horizontal="center" vertical="center"/>
    </xf>
    <xf numFmtId="0" fontId="157" fillId="0" borderId="0" xfId="0" applyFont="1" applyAlignment="1">
      <alignment horizontal="center" vertical="center"/>
    </xf>
    <xf numFmtId="165" fontId="159" fillId="0" borderId="0" xfId="0" applyNumberFormat="1" applyFont="1" applyAlignment="1">
      <alignment horizontal="right" vertical="center"/>
    </xf>
    <xf numFmtId="0" fontId="159" fillId="0" borderId="0" xfId="0" applyFont="1" applyAlignment="1">
      <alignment horizontal="center"/>
    </xf>
    <xf numFmtId="0" fontId="157" fillId="0" borderId="24" xfId="0" applyFont="1" applyBorder="1" applyAlignment="1">
      <alignment horizontal="left"/>
    </xf>
    <xf numFmtId="0" fontId="157" fillId="0" borderId="0" xfId="0" applyFont="1" applyBorder="1" applyAlignment="1">
      <alignment horizontal="center"/>
    </xf>
    <xf numFmtId="0" fontId="164" fillId="0" borderId="0" xfId="0" applyFont="1" applyBorder="1" applyAlignment="1">
      <alignment horizontal="right" vertical="center"/>
    </xf>
    <xf numFmtId="0" fontId="157" fillId="0" borderId="0" xfId="0" applyFont="1" applyBorder="1" applyAlignment="1">
      <alignment horizontal="right" vertical="center"/>
    </xf>
    <xf numFmtId="0" fontId="159" fillId="0" borderId="0" xfId="0" applyFont="1" applyBorder="1" applyAlignment="1">
      <alignment horizontal="left" vertical="center" indent="1"/>
    </xf>
    <xf numFmtId="0" fontId="159" fillId="0" borderId="0" xfId="0" applyFont="1" applyBorder="1" applyAlignment="1">
      <alignment horizontal="center" vertical="center"/>
    </xf>
    <xf numFmtId="4" fontId="161" fillId="0" borderId="0" xfId="0" applyNumberFormat="1" applyFont="1" applyFill="1" applyBorder="1" applyAlignment="1">
      <alignment horizontal="right"/>
    </xf>
    <xf numFmtId="201" fontId="159" fillId="0" borderId="0" xfId="0" applyNumberFormat="1" applyFont="1" applyBorder="1" applyAlignment="1">
      <alignment horizontal="right"/>
    </xf>
    <xf numFmtId="201" fontId="159" fillId="0" borderId="0" xfId="0" applyNumberFormat="1" applyFont="1" applyAlignment="1">
      <alignment horizontal="right"/>
    </xf>
    <xf numFmtId="0" fontId="161" fillId="0" borderId="0" xfId="0" applyFont="1" applyFill="1" applyBorder="1" applyAlignment="1">
      <alignment horizontal="center" vertical="center"/>
    </xf>
    <xf numFmtId="201" fontId="159" fillId="0" borderId="0" xfId="0" applyNumberFormat="1" applyFont="1" applyFill="1" applyBorder="1" applyAlignment="1">
      <alignment horizontal="right"/>
    </xf>
    <xf numFmtId="0" fontId="157" fillId="0" borderId="0" xfId="0" applyFont="1" applyBorder="1" applyAlignment="1">
      <alignment horizontal="left"/>
    </xf>
    <xf numFmtId="0" fontId="159" fillId="0" borderId="0" xfId="0" applyFont="1" applyBorder="1" applyAlignment="1">
      <alignment horizontal="center"/>
    </xf>
    <xf numFmtId="190" fontId="159" fillId="0" borderId="0" xfId="0" applyNumberFormat="1" applyFont="1" applyBorder="1" applyAlignment="1">
      <alignment horizontal="right"/>
    </xf>
    <xf numFmtId="0" fontId="159" fillId="0" borderId="0" xfId="0" applyFont="1" applyBorder="1"/>
    <xf numFmtId="0" fontId="157" fillId="0" borderId="0" xfId="0" applyFont="1" applyBorder="1"/>
    <xf numFmtId="4" fontId="159" fillId="0" borderId="0" xfId="0" applyNumberFormat="1" applyFont="1" applyFill="1" applyBorder="1" applyAlignment="1">
      <alignment horizontal="right"/>
    </xf>
    <xf numFmtId="0" fontId="159" fillId="0" borderId="24" xfId="0" applyFont="1" applyBorder="1" applyAlignment="1">
      <alignment horizontal="left" vertical="center" indent="1"/>
    </xf>
    <xf numFmtId="0" fontId="159" fillId="0" borderId="24" xfId="0" applyFont="1" applyBorder="1" applyAlignment="1">
      <alignment horizontal="center" vertical="center"/>
    </xf>
    <xf numFmtId="201" fontId="159" fillId="0" borderId="24" xfId="0" applyNumberFormat="1" applyFont="1" applyBorder="1" applyAlignment="1">
      <alignment horizontal="right"/>
    </xf>
    <xf numFmtId="0" fontId="159" fillId="0" borderId="0" xfId="0" applyFont="1" applyFill="1" applyBorder="1" applyAlignment="1">
      <alignment horizontal="center" vertical="center"/>
    </xf>
    <xf numFmtId="190" fontId="159" fillId="0" borderId="0" xfId="0" applyNumberFormat="1" applyFont="1" applyBorder="1" applyAlignment="1">
      <alignment horizontal="center"/>
    </xf>
    <xf numFmtId="201" fontId="159" fillId="91" borderId="20" xfId="0" applyNumberFormat="1" applyFont="1" applyFill="1" applyBorder="1" applyAlignment="1">
      <alignment horizontal="right"/>
    </xf>
    <xf numFmtId="0" fontId="159" fillId="0" borderId="86" xfId="0" applyFont="1" applyBorder="1" applyAlignment="1">
      <alignment horizontal="center" vertical="center"/>
    </xf>
    <xf numFmtId="201" fontId="159" fillId="0" borderId="86" xfId="0" applyNumberFormat="1" applyFont="1" applyBorder="1" applyAlignment="1">
      <alignment horizontal="right" vertical="center"/>
    </xf>
    <xf numFmtId="201" fontId="159" fillId="0" borderId="0" xfId="0" applyNumberFormat="1" applyFont="1" applyAlignment="1">
      <alignment horizontal="right" vertical="center"/>
    </xf>
    <xf numFmtId="0" fontId="159" fillId="0" borderId="24" xfId="0" applyFont="1" applyBorder="1"/>
    <xf numFmtId="0" fontId="159" fillId="0" borderId="24" xfId="0" applyFont="1" applyBorder="1" applyAlignment="1">
      <alignment horizontal="center"/>
    </xf>
    <xf numFmtId="10" fontId="159" fillId="91" borderId="20" xfId="1" applyNumberFormat="1" applyFont="1" applyFill="1" applyBorder="1" applyAlignment="1">
      <alignment horizontal="right"/>
    </xf>
    <xf numFmtId="0" fontId="159" fillId="0" borderId="86" xfId="0" applyFont="1" applyBorder="1" applyAlignment="1">
      <alignment horizontal="center"/>
    </xf>
    <xf numFmtId="201" fontId="159" fillId="0" borderId="86" xfId="0" applyNumberFormat="1" applyFont="1" applyBorder="1" applyAlignment="1">
      <alignment horizontal="right"/>
    </xf>
    <xf numFmtId="165" fontId="159" fillId="0" borderId="0" xfId="0" applyNumberFormat="1" applyFont="1" applyAlignment="1">
      <alignment horizontal="center"/>
    </xf>
    <xf numFmtId="0" fontId="161" fillId="0" borderId="0" xfId="0" applyFont="1" applyAlignment="1">
      <alignment horizontal="right" vertical="center"/>
    </xf>
    <xf numFmtId="1" fontId="157" fillId="0" borderId="24" xfId="0" applyNumberFormat="1" applyFont="1" applyBorder="1" applyAlignment="1">
      <alignment horizontal="right" vertical="center"/>
    </xf>
    <xf numFmtId="3" fontId="161" fillId="0" borderId="0" xfId="0" applyNumberFormat="1" applyFont="1" applyAlignment="1">
      <alignment horizontal="right"/>
    </xf>
    <xf numFmtId="197" fontId="161" fillId="0" borderId="0" xfId="0" applyNumberFormat="1" applyFont="1" applyAlignment="1">
      <alignment horizontal="right"/>
    </xf>
    <xf numFmtId="0" fontId="170" fillId="0" borderId="0" xfId="0" applyFont="1" applyFill="1" applyBorder="1" applyAlignment="1">
      <alignment vertical="center"/>
    </xf>
    <xf numFmtId="0" fontId="159" fillId="3" borderId="0" xfId="0" applyFont="1" applyFill="1"/>
    <xf numFmtId="202" fontId="159" fillId="3" borderId="0" xfId="0" applyNumberFormat="1" applyFont="1" applyFill="1" applyAlignment="1">
      <alignment horizontal="center"/>
    </xf>
    <xf numFmtId="0" fontId="159" fillId="3" borderId="0" xfId="0" applyFont="1" applyFill="1" applyAlignment="1">
      <alignment horizontal="center"/>
    </xf>
    <xf numFmtId="165" fontId="159" fillId="0" borderId="0" xfId="0" applyNumberFormat="1" applyFont="1" applyAlignment="1">
      <alignment horizontal="right"/>
    </xf>
    <xf numFmtId="0" fontId="171" fillId="0" borderId="0" xfId="0" applyFont="1"/>
    <xf numFmtId="1" fontId="157" fillId="0" borderId="0" xfId="0" applyNumberFormat="1" applyFont="1" applyBorder="1" applyAlignment="1">
      <alignment horizontal="right" vertical="center"/>
    </xf>
    <xf numFmtId="0" fontId="159" fillId="0" borderId="0" xfId="0" applyFont="1" applyAlignment="1">
      <alignment wrapText="1"/>
    </xf>
    <xf numFmtId="0" fontId="172" fillId="0" borderId="0" xfId="0" applyFont="1" applyFill="1" applyBorder="1" applyAlignment="1">
      <alignment vertical="center"/>
    </xf>
    <xf numFmtId="0" fontId="165" fillId="85" borderId="0" xfId="0" applyFont="1" applyFill="1"/>
    <xf numFmtId="0" fontId="166" fillId="85" borderId="0" xfId="0" applyFont="1" applyFill="1"/>
    <xf numFmtId="0" fontId="159" fillId="85" borderId="0" xfId="0" applyFont="1" applyFill="1"/>
    <xf numFmtId="0" fontId="159" fillId="85" borderId="0" xfId="0" applyFont="1" applyFill="1" applyAlignment="1">
      <alignment horizontal="right" vertical="center"/>
    </xf>
    <xf numFmtId="0" fontId="159" fillId="4" borderId="0" xfId="0" applyFont="1" applyFill="1" applyAlignment="1">
      <alignment horizontal="left"/>
    </xf>
    <xf numFmtId="0" fontId="159" fillId="4" borderId="0" xfId="0" applyFont="1" applyFill="1" applyBorder="1" applyAlignment="1">
      <alignment vertical="center"/>
    </xf>
    <xf numFmtId="0" fontId="159" fillId="4" borderId="0" xfId="0" applyFont="1" applyFill="1" applyBorder="1" applyAlignment="1">
      <alignment horizontal="center" vertical="center"/>
    </xf>
    <xf numFmtId="0" fontId="159" fillId="4" borderId="0" xfId="0" applyFont="1" applyFill="1" applyAlignment="1">
      <alignment horizontal="center" vertical="center"/>
    </xf>
    <xf numFmtId="0" fontId="173" fillId="4" borderId="20" xfId="0" applyFont="1" applyFill="1" applyBorder="1" applyAlignment="1">
      <alignment horizontal="center"/>
    </xf>
    <xf numFmtId="1" fontId="157" fillId="3" borderId="20" xfId="0" applyNumberFormat="1" applyFont="1" applyFill="1" applyBorder="1" applyAlignment="1">
      <alignment horizontal="center" vertical="center"/>
    </xf>
    <xf numFmtId="166" fontId="159" fillId="4" borderId="0" xfId="0" applyNumberFormat="1" applyFont="1" applyFill="1"/>
    <xf numFmtId="1" fontId="160" fillId="36" borderId="0" xfId="0" applyNumberFormat="1" applyFont="1" applyFill="1" applyBorder="1" applyAlignment="1">
      <alignment horizontal="right"/>
    </xf>
    <xf numFmtId="0" fontId="159" fillId="0" borderId="0" xfId="0" applyFont="1" applyFill="1" applyAlignment="1">
      <alignment vertical="center"/>
    </xf>
    <xf numFmtId="0" fontId="159" fillId="0" borderId="0" xfId="0" applyFont="1" applyFill="1" applyAlignment="1">
      <alignment horizontal="center" vertical="center"/>
    </xf>
    <xf numFmtId="0" fontId="167" fillId="59" borderId="0" xfId="0" applyFont="1" applyFill="1"/>
    <xf numFmtId="0" fontId="161" fillId="59" borderId="0" xfId="0" applyFont="1" applyFill="1" applyAlignment="1">
      <alignment horizontal="left"/>
    </xf>
    <xf numFmtId="0" fontId="161" fillId="59" borderId="0" xfId="0" applyFont="1" applyFill="1"/>
    <xf numFmtId="0" fontId="161" fillId="59" borderId="0" xfId="0" applyFont="1" applyFill="1" applyAlignment="1">
      <alignment vertical="center"/>
    </xf>
    <xf numFmtId="0" fontId="161" fillId="59" borderId="0" xfId="0" applyFont="1" applyFill="1" applyAlignment="1">
      <alignment horizontal="right" vertical="center"/>
    </xf>
    <xf numFmtId="0" fontId="159" fillId="59" borderId="0" xfId="0" applyFont="1" applyFill="1" applyAlignment="1">
      <alignment horizontal="right" vertical="center"/>
    </xf>
    <xf numFmtId="0" fontId="159" fillId="0" borderId="0" xfId="0" applyFont="1" applyFill="1"/>
    <xf numFmtId="0" fontId="161" fillId="0" borderId="0" xfId="0" applyFont="1" applyFill="1" applyBorder="1" applyAlignment="1">
      <alignment horizontal="left" vertical="center"/>
    </xf>
    <xf numFmtId="3" fontId="159" fillId="0" borderId="48" xfId="0" applyNumberFormat="1" applyFont="1" applyBorder="1" applyAlignment="1">
      <alignment horizontal="right" vertical="center"/>
    </xf>
    <xf numFmtId="0" fontId="159" fillId="0" borderId="0" xfId="0" applyFont="1" applyAlignment="1">
      <alignment vertical="center" wrapText="1"/>
    </xf>
    <xf numFmtId="0" fontId="159" fillId="0" borderId="0" xfId="0" applyFont="1" applyFill="1" applyAlignment="1">
      <alignment vertical="center" wrapText="1"/>
    </xf>
    <xf numFmtId="0" fontId="159" fillId="0" borderId="0" xfId="0" applyFont="1" applyFill="1" applyAlignment="1">
      <alignment horizontal="left" vertical="center" wrapText="1"/>
    </xf>
    <xf numFmtId="173" fontId="159" fillId="0" borderId="0" xfId="0" applyNumberFormat="1" applyFont="1" applyFill="1" applyAlignment="1">
      <alignment vertical="center" wrapText="1"/>
    </xf>
    <xf numFmtId="171" fontId="159" fillId="0" borderId="0" xfId="0" applyNumberFormat="1" applyFont="1" applyFill="1" applyBorder="1" applyAlignment="1">
      <alignment vertical="center" wrapText="1"/>
    </xf>
    <xf numFmtId="171" fontId="159" fillId="0" borderId="0" xfId="0" applyNumberFormat="1" applyFont="1" applyFill="1" applyAlignment="1">
      <alignment horizontal="left" vertical="center" wrapText="1"/>
    </xf>
    <xf numFmtId="166" fontId="159" fillId="0" borderId="0" xfId="0" applyNumberFormat="1" applyFont="1" applyFill="1" applyBorder="1" applyAlignment="1">
      <alignment vertical="center" wrapText="1"/>
    </xf>
    <xf numFmtId="173" fontId="159" fillId="0" borderId="0" xfId="0" applyNumberFormat="1" applyFont="1" applyFill="1" applyAlignment="1">
      <alignment horizontal="left" vertical="center" wrapText="1"/>
    </xf>
    <xf numFmtId="171" fontId="159" fillId="0" borderId="48" xfId="0" applyNumberFormat="1" applyFont="1" applyBorder="1" applyAlignment="1">
      <alignment horizontal="right" vertical="center"/>
    </xf>
    <xf numFmtId="170" fontId="159" fillId="0" borderId="0" xfId="0" applyNumberFormat="1" applyFont="1" applyFill="1" applyAlignment="1">
      <alignment horizontal="left" vertical="center"/>
    </xf>
    <xf numFmtId="5" fontId="159" fillId="0" borderId="48" xfId="0" applyNumberFormat="1" applyFont="1" applyBorder="1" applyAlignment="1">
      <alignment horizontal="right" vertical="center"/>
    </xf>
    <xf numFmtId="0" fontId="157" fillId="0" borderId="0" xfId="0" applyFont="1" applyFill="1"/>
    <xf numFmtId="170" fontId="157" fillId="0" borderId="0" xfId="0" applyNumberFormat="1" applyFont="1" applyFill="1" applyAlignment="1">
      <alignment horizontal="left" vertical="center"/>
    </xf>
    <xf numFmtId="5" fontId="157" fillId="0" borderId="48" xfId="0" applyNumberFormat="1" applyFont="1" applyBorder="1" applyAlignment="1">
      <alignment horizontal="right" vertical="center"/>
    </xf>
    <xf numFmtId="5" fontId="157" fillId="0" borderId="0" xfId="0" applyNumberFormat="1" applyFont="1" applyBorder="1" applyAlignment="1">
      <alignment horizontal="right" vertical="center"/>
    </xf>
    <xf numFmtId="0" fontId="159" fillId="85" borderId="0" xfId="0" applyFont="1" applyFill="1" applyAlignment="1">
      <alignment horizontal="left"/>
    </xf>
    <xf numFmtId="166" fontId="159" fillId="85" borderId="0" xfId="0" applyNumberFormat="1" applyFont="1" applyFill="1" applyAlignment="1">
      <alignment horizontal="right" vertical="center"/>
    </xf>
    <xf numFmtId="0" fontId="157" fillId="0" borderId="0" xfId="0" applyFont="1" applyFill="1" applyAlignment="1">
      <alignment wrapText="1"/>
    </xf>
    <xf numFmtId="0" fontId="157" fillId="0" borderId="0" xfId="0" applyFont="1" applyFill="1" applyAlignment="1">
      <alignment vertical="center" wrapText="1"/>
    </xf>
    <xf numFmtId="173" fontId="157" fillId="0" borderId="0" xfId="0" applyNumberFormat="1" applyFont="1" applyFill="1" applyAlignment="1">
      <alignment vertical="center" wrapText="1"/>
    </xf>
    <xf numFmtId="0" fontId="165" fillId="85" borderId="0" xfId="0" applyFont="1" applyFill="1" applyAlignment="1">
      <alignment horizontal="left"/>
    </xf>
    <xf numFmtId="171" fontId="159" fillId="0" borderId="48" xfId="0" applyNumberFormat="1" applyFont="1" applyFill="1" applyBorder="1" applyAlignment="1">
      <alignment horizontal="right" vertical="center"/>
    </xf>
    <xf numFmtId="2" fontId="167" fillId="37" borderId="48" xfId="0" applyNumberFormat="1" applyFont="1" applyFill="1" applyBorder="1" applyAlignment="1">
      <alignment horizontal="center" vertical="center" wrapText="1"/>
    </xf>
    <xf numFmtId="166" fontId="159" fillId="0" borderId="48" xfId="0" applyNumberFormat="1" applyFont="1" applyFill="1" applyBorder="1" applyAlignment="1">
      <alignment horizontal="right" vertical="center"/>
    </xf>
    <xf numFmtId="1" fontId="11" fillId="36" borderId="55" xfId="0" applyNumberFormat="1" applyFont="1" applyFill="1" applyBorder="1" applyAlignment="1">
      <alignment horizontal="center" vertical="center"/>
    </xf>
    <xf numFmtId="171" fontId="167" fillId="37" borderId="48" xfId="0" applyNumberFormat="1" applyFont="1" applyFill="1" applyBorder="1" applyAlignment="1">
      <alignment horizontal="center" vertical="center" wrapText="1"/>
    </xf>
    <xf numFmtId="37" fontId="159" fillId="0" borderId="0" xfId="0" applyNumberFormat="1" applyFont="1" applyBorder="1" applyAlignment="1">
      <alignment horizontal="right" vertical="center"/>
    </xf>
    <xf numFmtId="0" fontId="157" fillId="0" borderId="0" xfId="0" applyFont="1" applyAlignment="1">
      <alignment wrapText="1"/>
    </xf>
    <xf numFmtId="0" fontId="159" fillId="85" borderId="0" xfId="0" applyFont="1" applyFill="1" applyAlignment="1">
      <alignment vertical="center" wrapText="1"/>
    </xf>
    <xf numFmtId="0" fontId="167" fillId="0" borderId="0" xfId="0" applyFont="1" applyFill="1" applyBorder="1" applyAlignment="1">
      <alignment horizontal="center" vertical="center" wrapText="1"/>
    </xf>
    <xf numFmtId="0" fontId="157" fillId="90" borderId="0" xfId="0" applyFont="1" applyFill="1" applyAlignment="1">
      <alignment vertical="center" wrapText="1"/>
    </xf>
    <xf numFmtId="0" fontId="159" fillId="90" borderId="0" xfId="0" applyFont="1" applyFill="1" applyAlignment="1">
      <alignment horizontal="left" vertical="center" wrapText="1"/>
    </xf>
    <xf numFmtId="1" fontId="160" fillId="36" borderId="0" xfId="0" applyNumberFormat="1" applyFont="1" applyFill="1" applyBorder="1" applyAlignment="1"/>
    <xf numFmtId="1" fontId="160" fillId="36" borderId="0" xfId="0" applyNumberFormat="1" applyFont="1" applyFill="1" applyBorder="1" applyAlignment="1">
      <alignment horizontal="right" vertical="center"/>
    </xf>
    <xf numFmtId="1" fontId="160" fillId="88" borderId="0" xfId="0" applyNumberFormat="1" applyFont="1" applyFill="1" applyBorder="1" applyAlignment="1"/>
    <xf numFmtId="1" fontId="160" fillId="88" borderId="0" xfId="0" applyNumberFormat="1" applyFont="1" applyFill="1" applyBorder="1" applyAlignment="1">
      <alignment horizontal="right"/>
    </xf>
    <xf numFmtId="1" fontId="160" fillId="88" borderId="0" xfId="0" applyNumberFormat="1" applyFont="1" applyFill="1" applyBorder="1" applyAlignment="1">
      <alignment horizontal="right" vertical="center"/>
    </xf>
    <xf numFmtId="0" fontId="167" fillId="88" borderId="0" xfId="0" applyFont="1" applyFill="1" applyBorder="1" applyAlignment="1">
      <alignment horizontal="left"/>
    </xf>
    <xf numFmtId="9" fontId="157" fillId="88" borderId="0" xfId="1" applyFont="1" applyFill="1" applyBorder="1" applyAlignment="1">
      <alignment horizontal="center"/>
    </xf>
    <xf numFmtId="1" fontId="159" fillId="88" borderId="0" xfId="0" applyNumberFormat="1" applyFont="1" applyFill="1" applyBorder="1" applyAlignment="1">
      <alignment horizontal="right" vertical="center"/>
    </xf>
    <xf numFmtId="9" fontId="167" fillId="88" borderId="0" xfId="1" applyFont="1" applyFill="1" applyBorder="1" applyAlignment="1">
      <alignment horizontal="center"/>
    </xf>
    <xf numFmtId="2" fontId="159" fillId="88" borderId="0" xfId="0" applyNumberFormat="1" applyFont="1" applyFill="1" applyBorder="1" applyAlignment="1">
      <alignment horizontal="right" vertical="center"/>
    </xf>
    <xf numFmtId="0" fontId="12" fillId="0" borderId="0" xfId="0" applyFont="1" applyFill="1" applyAlignment="1">
      <alignment horizontal="center" vertical="center"/>
    </xf>
    <xf numFmtId="9" fontId="8" fillId="4" borderId="58" xfId="0" applyNumberFormat="1" applyFont="1" applyFill="1" applyBorder="1" applyAlignment="1">
      <alignment horizontal="center" vertical="center"/>
    </xf>
    <xf numFmtId="1" fontId="8" fillId="4" borderId="58" xfId="0" applyNumberFormat="1" applyFont="1" applyFill="1" applyBorder="1" applyAlignment="1">
      <alignment horizontal="center" vertical="center"/>
    </xf>
    <xf numFmtId="0" fontId="159" fillId="0" borderId="0" xfId="0" applyFont="1" applyAlignment="1">
      <alignment wrapText="1"/>
    </xf>
    <xf numFmtId="0" fontId="174" fillId="0" borderId="0" xfId="0" applyFont="1" applyAlignment="1">
      <alignment vertical="center"/>
    </xf>
    <xf numFmtId="1" fontId="175" fillId="4" borderId="0" xfId="0" applyNumberFormat="1" applyFont="1" applyFill="1" applyBorder="1" applyAlignment="1">
      <alignment horizontal="right" vertical="center"/>
    </xf>
    <xf numFmtId="1" fontId="160" fillId="4" borderId="0" xfId="0" applyNumberFormat="1" applyFont="1" applyFill="1" applyBorder="1" applyAlignment="1">
      <alignment horizontal="right" vertical="center" wrapText="1"/>
    </xf>
    <xf numFmtId="1" fontId="165" fillId="4" borderId="0" xfId="0" applyNumberFormat="1" applyFont="1" applyFill="1" applyBorder="1" applyAlignment="1">
      <alignment horizontal="left" vertical="center"/>
    </xf>
    <xf numFmtId="0" fontId="1" fillId="0" borderId="0" xfId="0" applyFont="1" applyFill="1" applyAlignment="1">
      <alignment horizontal="left"/>
    </xf>
    <xf numFmtId="0" fontId="1" fillId="0" borderId="0" xfId="0" applyFont="1" applyFill="1" applyBorder="1" applyAlignment="1">
      <alignment horizontal="left"/>
    </xf>
    <xf numFmtId="0" fontId="1" fillId="0" borderId="0" xfId="0" applyFont="1" applyAlignment="1">
      <alignment horizontal="left"/>
    </xf>
    <xf numFmtId="0" fontId="150" fillId="58" borderId="20" xfId="0" applyFont="1" applyFill="1" applyBorder="1" applyAlignment="1">
      <alignment horizontal="center"/>
    </xf>
    <xf numFmtId="0" fontId="176" fillId="0" borderId="20" xfId="0" applyFont="1" applyBorder="1" applyAlignment="1">
      <alignment horizontal="center"/>
    </xf>
    <xf numFmtId="0" fontId="177" fillId="0" borderId="0" xfId="0" applyFont="1"/>
    <xf numFmtId="0" fontId="171" fillId="42" borderId="0" xfId="0" applyFont="1" applyFill="1" applyAlignment="1">
      <alignment horizontal="center"/>
    </xf>
    <xf numFmtId="0" fontId="30" fillId="92" borderId="33" xfId="0" applyFont="1" applyFill="1" applyBorder="1" applyAlignment="1">
      <alignment horizontal="center" vertical="center" wrapText="1"/>
    </xf>
    <xf numFmtId="0" fontId="31" fillId="0" borderId="28" xfId="0" applyFont="1" applyBorder="1" applyAlignment="1">
      <alignment horizontal="center"/>
    </xf>
    <xf numFmtId="2" fontId="155" fillId="0" borderId="28" xfId="0" applyNumberFormat="1" applyFont="1" applyBorder="1" applyAlignment="1">
      <alignment horizontal="right"/>
    </xf>
    <xf numFmtId="165" fontId="155" fillId="0" borderId="28" xfId="0" applyNumberFormat="1" applyFont="1" applyBorder="1" applyAlignment="1">
      <alignment horizontal="right"/>
    </xf>
    <xf numFmtId="2" fontId="155" fillId="0" borderId="29" xfId="0" applyNumberFormat="1" applyFont="1" applyBorder="1" applyAlignment="1">
      <alignment horizontal="right"/>
    </xf>
    <xf numFmtId="165" fontId="155" fillId="0" borderId="29" xfId="0" applyNumberFormat="1" applyFont="1" applyBorder="1" applyAlignment="1">
      <alignment horizontal="right"/>
    </xf>
    <xf numFmtId="0" fontId="31" fillId="0" borderId="102" xfId="0" applyFont="1" applyBorder="1" applyAlignment="1">
      <alignment horizontal="center"/>
    </xf>
    <xf numFmtId="2" fontId="155" fillId="0" borderId="102" xfId="0" applyNumberFormat="1" applyFont="1" applyBorder="1" applyAlignment="1">
      <alignment horizontal="right"/>
    </xf>
    <xf numFmtId="165" fontId="155" fillId="0" borderId="102" xfId="0" applyNumberFormat="1" applyFont="1" applyBorder="1" applyAlignment="1">
      <alignment horizontal="right"/>
    </xf>
    <xf numFmtId="201" fontId="159" fillId="0" borderId="48" xfId="0" applyNumberFormat="1" applyFont="1" applyBorder="1" applyAlignment="1">
      <alignment horizontal="right" vertical="center"/>
    </xf>
    <xf numFmtId="168" fontId="167" fillId="37" borderId="48" xfId="0" applyNumberFormat="1" applyFont="1" applyFill="1" applyBorder="1" applyAlignment="1">
      <alignment horizontal="center" vertical="center" wrapText="1"/>
    </xf>
    <xf numFmtId="171" fontId="159" fillId="0" borderId="0" xfId="0" applyNumberFormat="1" applyFont="1" applyBorder="1" applyAlignment="1">
      <alignment horizontal="right" vertical="center"/>
    </xf>
    <xf numFmtId="0" fontId="178" fillId="0" borderId="0" xfId="0" applyFont="1" applyFill="1" applyBorder="1" applyAlignment="1">
      <alignment vertical="center"/>
    </xf>
    <xf numFmtId="1" fontId="169" fillId="0" borderId="24" xfId="0" applyNumberFormat="1" applyFont="1" applyBorder="1" applyAlignment="1">
      <alignment horizontal="right"/>
    </xf>
    <xf numFmtId="0" fontId="160" fillId="87" borderId="108" xfId="0" applyFont="1" applyFill="1" applyBorder="1" applyAlignment="1">
      <alignment vertical="center"/>
    </xf>
    <xf numFmtId="0" fontId="160" fillId="87" borderId="109" xfId="0" applyFont="1" applyFill="1" applyBorder="1" applyAlignment="1">
      <alignment vertical="center"/>
    </xf>
    <xf numFmtId="0" fontId="159" fillId="87" borderId="110" xfId="0" applyFont="1" applyFill="1" applyBorder="1" applyAlignment="1">
      <alignment horizontal="left" vertical="center"/>
    </xf>
    <xf numFmtId="0" fontId="159" fillId="3" borderId="111" xfId="0" applyFont="1" applyFill="1" applyBorder="1"/>
    <xf numFmtId="1" fontId="160" fillId="89" borderId="105" xfId="0" applyNumberFormat="1" applyFont="1" applyFill="1" applyBorder="1" applyAlignment="1">
      <alignment horizontal="right" indent="1"/>
    </xf>
    <xf numFmtId="0" fontId="159" fillId="0" borderId="106" xfId="0" applyFont="1" applyBorder="1"/>
    <xf numFmtId="200" fontId="167" fillId="4" borderId="107" xfId="0" applyNumberFormat="1" applyFont="1" applyFill="1" applyBorder="1" applyAlignment="1">
      <alignment horizontal="right" indent="1"/>
    </xf>
    <xf numFmtId="0" fontId="159" fillId="87" borderId="109" xfId="0" applyFont="1" applyFill="1" applyBorder="1" applyAlignment="1">
      <alignment horizontal="left" vertical="center"/>
    </xf>
    <xf numFmtId="0" fontId="160" fillId="89" borderId="108" xfId="0" applyFont="1" applyFill="1" applyBorder="1" applyAlignment="1">
      <alignment horizontal="left"/>
    </xf>
    <xf numFmtId="0" fontId="160" fillId="89" borderId="109" xfId="0" applyFont="1" applyFill="1" applyBorder="1" applyAlignment="1">
      <alignment horizontal="left"/>
    </xf>
    <xf numFmtId="0" fontId="160" fillId="89" borderId="109" xfId="0" applyFont="1" applyFill="1" applyBorder="1" applyAlignment="1">
      <alignment horizontal="right" indent="1"/>
    </xf>
    <xf numFmtId="0" fontId="160" fillId="89" borderId="110" xfId="0" applyFont="1" applyFill="1" applyBorder="1" applyAlignment="1">
      <alignment horizontal="right" indent="1"/>
    </xf>
    <xf numFmtId="0" fontId="159" fillId="0" borderId="111" xfId="0" applyFont="1" applyBorder="1"/>
    <xf numFmtId="0" fontId="157" fillId="0" borderId="112" xfId="0" applyFont="1" applyBorder="1"/>
    <xf numFmtId="0" fontId="157" fillId="0" borderId="116" xfId="0" applyFont="1" applyBorder="1"/>
    <xf numFmtId="0" fontId="159" fillId="0" borderId="113" xfId="0" applyFont="1" applyBorder="1"/>
    <xf numFmtId="0" fontId="157" fillId="4" borderId="114" xfId="0" applyFont="1" applyFill="1" applyBorder="1" applyAlignment="1">
      <alignment horizontal="left"/>
    </xf>
    <xf numFmtId="200" fontId="162" fillId="4" borderId="114" xfId="0" applyNumberFormat="1" applyFont="1" applyFill="1" applyBorder="1" applyAlignment="1">
      <alignment horizontal="left"/>
    </xf>
    <xf numFmtId="200" fontId="162" fillId="4" borderId="115" xfId="0" applyNumberFormat="1" applyFont="1" applyFill="1" applyBorder="1" applyAlignment="1">
      <alignment horizontal="left"/>
    </xf>
    <xf numFmtId="0" fontId="157" fillId="0" borderId="0" xfId="0" applyFont="1" applyAlignment="1">
      <alignment horizontal="right"/>
    </xf>
    <xf numFmtId="0" fontId="4" fillId="0" borderId="118" xfId="0" applyFont="1" applyBorder="1" applyAlignment="1">
      <alignment vertical="center"/>
    </xf>
    <xf numFmtId="0" fontId="179" fillId="36" borderId="0" xfId="0" applyFont="1" applyFill="1" applyBorder="1" applyAlignment="1">
      <alignment vertical="center"/>
    </xf>
    <xf numFmtId="0" fontId="179" fillId="36" borderId="0" xfId="0" applyFont="1" applyFill="1" applyBorder="1" applyAlignment="1">
      <alignment horizontal="center" vertical="center"/>
    </xf>
    <xf numFmtId="0" fontId="157" fillId="0" borderId="0" xfId="0" applyFont="1" applyBorder="1" applyAlignment="1">
      <alignment horizontal="center" vertical="center"/>
    </xf>
    <xf numFmtId="168" fontId="159" fillId="0" borderId="48" xfId="0" applyNumberFormat="1" applyFont="1" applyBorder="1" applyAlignment="1">
      <alignment horizontal="right" vertical="center"/>
    </xf>
    <xf numFmtId="0" fontId="180" fillId="0" borderId="0" xfId="0" applyFont="1" applyFill="1" applyAlignment="1">
      <alignment wrapText="1"/>
    </xf>
    <xf numFmtId="0" fontId="180" fillId="0" borderId="0" xfId="0" applyFont="1" applyAlignment="1">
      <alignment horizontal="left" vertical="center" wrapText="1"/>
    </xf>
    <xf numFmtId="0" fontId="181" fillId="0" borderId="0" xfId="0" applyFont="1" applyFill="1" applyAlignment="1">
      <alignment wrapText="1"/>
    </xf>
    <xf numFmtId="0" fontId="181" fillId="0" borderId="0" xfId="0" applyFont="1" applyFill="1" applyAlignment="1">
      <alignment horizontal="left"/>
    </xf>
    <xf numFmtId="0" fontId="180" fillId="0" borderId="0" xfId="0" applyFont="1" applyFill="1"/>
    <xf numFmtId="3" fontId="181" fillId="0" borderId="48" xfId="0" applyNumberFormat="1" applyFont="1" applyFill="1" applyBorder="1" applyAlignment="1">
      <alignment horizontal="right" vertical="center"/>
    </xf>
    <xf numFmtId="0" fontId="150" fillId="57" borderId="20" xfId="0" applyFont="1" applyFill="1" applyBorder="1" applyAlignment="1">
      <alignment horizontal="center"/>
    </xf>
    <xf numFmtId="0" fontId="184" fillId="0" borderId="20" xfId="0" applyFont="1" applyBorder="1" applyAlignment="1">
      <alignment horizontal="center"/>
    </xf>
    <xf numFmtId="2" fontId="155" fillId="0" borderId="30" xfId="0" applyNumberFormat="1" applyFont="1" applyBorder="1" applyAlignment="1">
      <alignment horizontal="right"/>
    </xf>
    <xf numFmtId="165" fontId="155" fillId="0" borderId="30" xfId="0" applyNumberFormat="1" applyFont="1" applyBorder="1" applyAlignment="1">
      <alignment horizontal="right"/>
    </xf>
    <xf numFmtId="0" fontId="157" fillId="0" borderId="0" xfId="0" applyFont="1" applyAlignment="1">
      <alignment horizontal="left" vertical="center"/>
    </xf>
    <xf numFmtId="7" fontId="159" fillId="0" borderId="48" xfId="0" applyNumberFormat="1" applyFont="1" applyBorder="1" applyAlignment="1">
      <alignment horizontal="right" vertical="center"/>
    </xf>
    <xf numFmtId="7" fontId="157" fillId="0" borderId="48" xfId="0" applyNumberFormat="1" applyFont="1" applyBorder="1" applyAlignment="1">
      <alignment horizontal="right" vertical="center"/>
    </xf>
    <xf numFmtId="7" fontId="161" fillId="0" borderId="0" xfId="0" applyNumberFormat="1" applyFont="1" applyFill="1"/>
    <xf numFmtId="0" fontId="11" fillId="96" borderId="119" xfId="0" applyFont="1" applyFill="1" applyBorder="1" applyAlignment="1">
      <alignment horizontal="left" vertical="center"/>
    </xf>
    <xf numFmtId="1" fontId="11" fillId="96" borderId="119" xfId="0" applyNumberFormat="1" applyFont="1" applyFill="1" applyBorder="1" applyAlignment="1">
      <alignment horizontal="right" vertical="center" indent="1"/>
    </xf>
    <xf numFmtId="0" fontId="0" fillId="37" borderId="0" xfId="0" applyFont="1" applyFill="1"/>
    <xf numFmtId="0" fontId="0" fillId="37" borderId="0" xfId="0" applyFont="1" applyFill="1" applyAlignment="1">
      <alignment horizontal="center"/>
    </xf>
    <xf numFmtId="3" fontId="8" fillId="37" borderId="0" xfId="0" applyNumberFormat="1" applyFont="1" applyFill="1" applyAlignment="1">
      <alignment horizontal="right" vertical="center" indent="1"/>
    </xf>
    <xf numFmtId="0" fontId="157" fillId="0" borderId="0" xfId="0" applyFont="1" applyFill="1" applyAlignment="1">
      <alignment horizontal="left"/>
    </xf>
    <xf numFmtId="199" fontId="8" fillId="37" borderId="0" xfId="0" applyNumberFormat="1" applyFont="1" applyFill="1" applyAlignment="1">
      <alignment horizontal="right" vertical="center" indent="1"/>
    </xf>
    <xf numFmtId="197" fontId="8" fillId="37" borderId="0" xfId="0" applyNumberFormat="1" applyFont="1" applyFill="1" applyAlignment="1">
      <alignment horizontal="right" vertical="center" indent="1"/>
    </xf>
    <xf numFmtId="4" fontId="8" fillId="37" borderId="0" xfId="0" applyNumberFormat="1" applyFont="1" applyFill="1" applyAlignment="1">
      <alignment horizontal="center" vertical="center"/>
    </xf>
    <xf numFmtId="3" fontId="8" fillId="37" borderId="0" xfId="0" applyNumberFormat="1" applyFont="1" applyFill="1" applyAlignment="1">
      <alignment horizontal="center" vertical="center"/>
    </xf>
    <xf numFmtId="197" fontId="8" fillId="37" borderId="0" xfId="0" applyNumberFormat="1" applyFont="1" applyFill="1" applyAlignment="1">
      <alignment horizontal="center" vertical="center"/>
    </xf>
    <xf numFmtId="0" fontId="0" fillId="0" borderId="0" xfId="0" applyFill="1" applyAlignment="1">
      <alignment vertical="center"/>
    </xf>
    <xf numFmtId="0" fontId="11" fillId="96" borderId="48" xfId="0" applyFont="1" applyFill="1" applyBorder="1" applyAlignment="1">
      <alignment horizontal="center" vertical="center"/>
    </xf>
    <xf numFmtId="9" fontId="160" fillId="87" borderId="0" xfId="1" applyFont="1" applyFill="1" applyAlignment="1">
      <alignment horizontal="left" indent="1"/>
    </xf>
    <xf numFmtId="0" fontId="179" fillId="36" borderId="0" xfId="0" applyFont="1" applyFill="1" applyBorder="1" applyAlignment="1">
      <alignment horizontal="right" vertical="center" indent="1"/>
    </xf>
    <xf numFmtId="0" fontId="4" fillId="0" borderId="121" xfId="0" applyFont="1" applyBorder="1" applyAlignment="1">
      <alignment vertical="center"/>
    </xf>
    <xf numFmtId="0" fontId="4" fillId="0" borderId="120" xfId="0" applyFont="1" applyBorder="1" applyAlignment="1">
      <alignment vertical="center"/>
    </xf>
    <xf numFmtId="173" fontId="161" fillId="0" borderId="121" xfId="0" applyNumberFormat="1" applyFont="1" applyFill="1" applyBorder="1" applyAlignment="1">
      <alignment horizontal="right" vertical="center" indent="1"/>
    </xf>
    <xf numFmtId="173" fontId="161" fillId="3" borderId="121" xfId="0" applyNumberFormat="1" applyFont="1" applyFill="1" applyBorder="1" applyAlignment="1">
      <alignment horizontal="right" vertical="center" indent="1"/>
    </xf>
    <xf numFmtId="9" fontId="161" fillId="3" borderId="121" xfId="1" applyNumberFormat="1" applyFont="1" applyFill="1" applyBorder="1" applyAlignment="1">
      <alignment horizontal="right" vertical="center" indent="1"/>
    </xf>
    <xf numFmtId="166" fontId="162" fillId="93" borderId="121" xfId="0" applyNumberFormat="1" applyFont="1" applyFill="1" applyBorder="1" applyAlignment="1">
      <alignment horizontal="right" vertical="center" indent="1"/>
    </xf>
    <xf numFmtId="197" fontId="6" fillId="4" borderId="121" xfId="0" applyNumberFormat="1" applyFont="1" applyFill="1" applyBorder="1" applyAlignment="1">
      <alignment horizontal="right" vertical="center" indent="1"/>
    </xf>
    <xf numFmtId="0" fontId="161" fillId="4" borderId="121" xfId="0" applyNumberFormat="1" applyFont="1" applyFill="1" applyBorder="1" applyAlignment="1">
      <alignment horizontal="right" indent="1"/>
    </xf>
    <xf numFmtId="3" fontId="161" fillId="4" borderId="121" xfId="0" applyNumberFormat="1" applyFont="1" applyFill="1" applyBorder="1" applyAlignment="1">
      <alignment horizontal="right" vertical="center" indent="1"/>
    </xf>
    <xf numFmtId="1" fontId="161" fillId="4" borderId="121" xfId="0" applyNumberFormat="1" applyFont="1" applyFill="1" applyBorder="1" applyAlignment="1">
      <alignment horizontal="right" vertical="center" indent="1"/>
    </xf>
    <xf numFmtId="9" fontId="161" fillId="4" borderId="121" xfId="1" applyFont="1" applyFill="1" applyBorder="1" applyAlignment="1">
      <alignment horizontal="right" vertical="center" indent="1"/>
    </xf>
    <xf numFmtId="168" fontId="161" fillId="4" borderId="121" xfId="1" applyNumberFormat="1" applyFont="1" applyFill="1" applyBorder="1" applyAlignment="1">
      <alignment horizontal="right" vertical="center" indent="1"/>
    </xf>
    <xf numFmtId="7" fontId="8" fillId="0" borderId="48" xfId="0" applyNumberFormat="1" applyFont="1" applyFill="1" applyBorder="1" applyAlignment="1">
      <alignment horizontal="right" vertical="center"/>
    </xf>
    <xf numFmtId="7" fontId="8" fillId="0" borderId="58" xfId="0" applyNumberFormat="1" applyFont="1" applyFill="1" applyBorder="1" applyAlignment="1">
      <alignment horizontal="right" vertical="center"/>
    </xf>
    <xf numFmtId="7" fontId="14" fillId="0" borderId="60" xfId="0" applyNumberFormat="1" applyFont="1" applyFill="1" applyBorder="1" applyAlignment="1">
      <alignment horizontal="right" vertical="center"/>
    </xf>
    <xf numFmtId="7" fontId="14" fillId="0" borderId="94" xfId="0" applyNumberFormat="1" applyFont="1" applyFill="1" applyBorder="1" applyAlignment="1">
      <alignment horizontal="right" vertical="center"/>
    </xf>
    <xf numFmtId="7" fontId="14" fillId="0" borderId="95" xfId="0" applyNumberFormat="1" applyFont="1" applyFill="1" applyBorder="1" applyAlignment="1">
      <alignment horizontal="right" vertical="center"/>
    </xf>
    <xf numFmtId="7" fontId="8" fillId="0" borderId="65" xfId="0" applyNumberFormat="1" applyFont="1" applyFill="1" applyBorder="1" applyAlignment="1">
      <alignment horizontal="right" vertical="center"/>
    </xf>
    <xf numFmtId="7" fontId="8" fillId="0" borderId="66" xfId="0" applyNumberFormat="1" applyFont="1" applyFill="1" applyBorder="1" applyAlignment="1">
      <alignment horizontal="right" vertical="center"/>
    </xf>
    <xf numFmtId="7" fontId="14" fillId="0" borderId="88" xfId="0" applyNumberFormat="1" applyFont="1" applyFill="1" applyBorder="1" applyAlignment="1">
      <alignment horizontal="right" vertical="center"/>
    </xf>
    <xf numFmtId="7" fontId="14" fillId="0" borderId="89" xfId="0" applyNumberFormat="1" applyFont="1" applyFill="1" applyBorder="1" applyAlignment="1">
      <alignment horizontal="right" vertical="center"/>
    </xf>
    <xf numFmtId="7" fontId="14" fillId="2" borderId="60" xfId="0" applyNumberFormat="1" applyFont="1" applyFill="1" applyBorder="1" applyAlignment="1">
      <alignment horizontal="right" vertical="center"/>
    </xf>
    <xf numFmtId="7" fontId="14" fillId="2" borderId="61" xfId="0" applyNumberFormat="1" applyFont="1" applyFill="1" applyBorder="1" applyAlignment="1">
      <alignment horizontal="right" vertical="center"/>
    </xf>
    <xf numFmtId="9" fontId="161" fillId="0" borderId="0" xfId="0" applyNumberFormat="1" applyFont="1" applyFill="1" applyBorder="1" applyAlignment="1">
      <alignment horizontal="right" indent="1"/>
    </xf>
    <xf numFmtId="171" fontId="8" fillId="0" borderId="48" xfId="0" applyNumberFormat="1" applyFont="1" applyFill="1" applyBorder="1" applyAlignment="1">
      <alignment horizontal="right" vertical="center"/>
    </xf>
    <xf numFmtId="171" fontId="8" fillId="0" borderId="58" xfId="0" applyNumberFormat="1" applyFont="1" applyFill="1" applyBorder="1" applyAlignment="1">
      <alignment horizontal="right" vertical="center"/>
    </xf>
    <xf numFmtId="204" fontId="8" fillId="0" borderId="48" xfId="0" applyNumberFormat="1" applyFont="1" applyFill="1" applyBorder="1" applyAlignment="1">
      <alignment horizontal="right" vertical="center"/>
    </xf>
    <xf numFmtId="204" fontId="14" fillId="2" borderId="48" xfId="0" applyNumberFormat="1" applyFont="1" applyFill="1" applyBorder="1" applyAlignment="1">
      <alignment horizontal="right" vertical="center"/>
    </xf>
    <xf numFmtId="204" fontId="14" fillId="58" borderId="48" xfId="0" applyNumberFormat="1" applyFont="1" applyFill="1" applyBorder="1" applyAlignment="1">
      <alignment horizontal="right" vertical="center"/>
    </xf>
    <xf numFmtId="0" fontId="159" fillId="0" borderId="126" xfId="0" applyFont="1" applyBorder="1"/>
    <xf numFmtId="166" fontId="162" fillId="37" borderId="103" xfId="0" applyNumberFormat="1" applyFont="1" applyFill="1" applyBorder="1" applyAlignment="1">
      <alignment horizontal="right" indent="1"/>
    </xf>
    <xf numFmtId="166" fontId="162" fillId="37" borderId="104" xfId="0" applyNumberFormat="1" applyFont="1" applyFill="1" applyBorder="1" applyAlignment="1">
      <alignment horizontal="right" indent="1"/>
    </xf>
    <xf numFmtId="1" fontId="161" fillId="0" borderId="121" xfId="0" applyNumberFormat="1" applyFont="1" applyFill="1" applyBorder="1" applyAlignment="1">
      <alignment horizontal="right" vertical="center" indent="1"/>
    </xf>
    <xf numFmtId="6" fontId="159" fillId="0" borderId="0" xfId="0" applyNumberFormat="1" applyFont="1"/>
    <xf numFmtId="0" fontId="185" fillId="0" borderId="0" xfId="0" applyFont="1"/>
    <xf numFmtId="0" fontId="181" fillId="0" borderId="0" xfId="0" applyFont="1"/>
    <xf numFmtId="0" fontId="188" fillId="0" borderId="0" xfId="0" applyFont="1" applyAlignment="1">
      <alignment vertical="center"/>
    </xf>
    <xf numFmtId="6" fontId="188" fillId="0" borderId="0" xfId="0" applyNumberFormat="1" applyFont="1" applyAlignment="1">
      <alignment horizontal="right" vertical="center"/>
    </xf>
    <xf numFmtId="0" fontId="187" fillId="0" borderId="47" xfId="0" applyFont="1" applyBorder="1" applyAlignment="1">
      <alignment vertical="center"/>
    </xf>
    <xf numFmtId="0" fontId="188" fillId="0" borderId="47" xfId="0" applyFont="1" applyBorder="1" applyAlignment="1">
      <alignment vertical="center"/>
    </xf>
    <xf numFmtId="6" fontId="181" fillId="0" borderId="0" xfId="0" applyNumberFormat="1" applyFont="1"/>
    <xf numFmtId="0" fontId="187" fillId="0" borderId="0" xfId="0" applyFont="1" applyAlignment="1">
      <alignment vertical="center"/>
    </xf>
    <xf numFmtId="6" fontId="187" fillId="0" borderId="0" xfId="0" applyNumberFormat="1" applyFont="1" applyAlignment="1">
      <alignment horizontal="right" vertical="center"/>
    </xf>
    <xf numFmtId="8" fontId="181" fillId="0" borderId="0" xfId="0" applyNumberFormat="1" applyFont="1"/>
    <xf numFmtId="166" fontId="167" fillId="37" borderId="48" xfId="0" applyNumberFormat="1" applyFont="1" applyFill="1" applyBorder="1" applyAlignment="1">
      <alignment horizontal="center" vertical="center" wrapText="1"/>
    </xf>
    <xf numFmtId="0" fontId="93" fillId="0" borderId="0" xfId="43848"/>
    <xf numFmtId="1" fontId="8" fillId="4" borderId="61" xfId="0" applyNumberFormat="1" applyFont="1" applyFill="1" applyBorder="1" applyAlignment="1">
      <alignment horizontal="center" vertical="center"/>
    </xf>
    <xf numFmtId="0" fontId="159" fillId="0" borderId="0" xfId="0" applyFont="1" applyAlignment="1">
      <alignment wrapText="1"/>
    </xf>
    <xf numFmtId="0" fontId="189" fillId="0" borderId="0" xfId="0" applyFont="1" applyFill="1" applyBorder="1" applyAlignment="1">
      <alignment vertical="center"/>
    </xf>
    <xf numFmtId="0" fontId="190" fillId="0" borderId="0" xfId="0" applyFont="1" applyAlignment="1">
      <alignment vertical="center"/>
    </xf>
    <xf numFmtId="0" fontId="191" fillId="0" borderId="0" xfId="0" applyFont="1" applyFill="1" applyBorder="1" applyAlignment="1">
      <alignment vertical="center"/>
    </xf>
    <xf numFmtId="0" fontId="191" fillId="0" borderId="0" xfId="0" applyFont="1" applyFill="1" applyAlignment="1">
      <alignment vertical="center"/>
    </xf>
    <xf numFmtId="0" fontId="192" fillId="94" borderId="20" xfId="0" applyFont="1" applyFill="1" applyBorder="1" applyAlignment="1">
      <alignment horizontal="center" vertical="center" wrapText="1"/>
    </xf>
    <xf numFmtId="0" fontId="193" fillId="0" borderId="20" xfId="0" applyFont="1" applyBorder="1" applyAlignment="1">
      <alignment vertical="center" wrapText="1"/>
    </xf>
    <xf numFmtId="0" fontId="191" fillId="0" borderId="20" xfId="0" applyFont="1" applyFill="1" applyBorder="1" applyAlignment="1">
      <alignment horizontal="left" vertical="center" wrapText="1"/>
    </xf>
    <xf numFmtId="166" fontId="13" fillId="0" borderId="20" xfId="0" applyNumberFormat="1" applyFont="1" applyFill="1" applyBorder="1" applyAlignment="1">
      <alignment horizontal="center" vertical="center"/>
    </xf>
    <xf numFmtId="0" fontId="189" fillId="0" borderId="0" xfId="0" applyFont="1" applyFill="1" applyAlignment="1">
      <alignment vertical="center"/>
    </xf>
    <xf numFmtId="0" fontId="194" fillId="0" borderId="0" xfId="0" applyFont="1" applyFill="1" applyAlignment="1">
      <alignment vertical="center"/>
    </xf>
    <xf numFmtId="0" fontId="195" fillId="94" borderId="20" xfId="0" applyFont="1" applyFill="1" applyBorder="1" applyAlignment="1">
      <alignment horizontal="center" vertical="center"/>
    </xf>
    <xf numFmtId="0" fontId="195" fillId="94" borderId="20" xfId="0" applyFont="1" applyFill="1" applyBorder="1" applyAlignment="1">
      <alignment horizontal="center" vertical="center" wrapText="1"/>
    </xf>
    <xf numFmtId="1" fontId="191" fillId="0" borderId="20" xfId="0" applyNumberFormat="1" applyFont="1" applyFill="1" applyBorder="1" applyAlignment="1">
      <alignment horizontal="center" vertical="center"/>
    </xf>
    <xf numFmtId="0" fontId="191" fillId="0" borderId="20" xfId="0" applyFont="1" applyFill="1" applyBorder="1" applyAlignment="1">
      <alignment horizontal="center" vertical="center"/>
    </xf>
    <xf numFmtId="166" fontId="191" fillId="0" borderId="20" xfId="0" applyNumberFormat="1" applyFont="1" applyFill="1" applyBorder="1" applyAlignment="1">
      <alignment horizontal="center" vertical="center"/>
    </xf>
    <xf numFmtId="0" fontId="192" fillId="94" borderId="20" xfId="0" applyFont="1" applyFill="1" applyBorder="1" applyAlignment="1">
      <alignment horizontal="center" vertical="center"/>
    </xf>
    <xf numFmtId="166" fontId="195" fillId="94" borderId="20" xfId="0" applyNumberFormat="1" applyFont="1" applyFill="1" applyBorder="1" applyAlignment="1">
      <alignment horizontal="center" vertical="center"/>
    </xf>
    <xf numFmtId="0" fontId="13" fillId="95" borderId="20" xfId="0" applyFont="1" applyFill="1" applyBorder="1" applyAlignment="1">
      <alignment horizontal="center" vertical="center"/>
    </xf>
    <xf numFmtId="165" fontId="190" fillId="0" borderId="20" xfId="0" applyNumberFormat="1" applyFont="1" applyBorder="1" applyAlignment="1">
      <alignment horizontal="center" vertical="center"/>
    </xf>
    <xf numFmtId="3" fontId="190" fillId="0" borderId="20" xfId="0" applyNumberFormat="1" applyFont="1" applyBorder="1" applyAlignment="1">
      <alignment horizontal="center" vertical="center"/>
    </xf>
    <xf numFmtId="165" fontId="195" fillId="94" borderId="20" xfId="0" applyNumberFormat="1" applyFont="1" applyFill="1" applyBorder="1" applyAlignment="1">
      <alignment horizontal="center" vertical="center"/>
    </xf>
    <xf numFmtId="3" fontId="195" fillId="94" borderId="20" xfId="0" applyNumberFormat="1" applyFont="1" applyFill="1" applyBorder="1" applyAlignment="1">
      <alignment horizontal="center" vertical="center"/>
    </xf>
    <xf numFmtId="203" fontId="196" fillId="0" borderId="20" xfId="0" applyNumberFormat="1" applyFont="1" applyFill="1" applyBorder="1" applyAlignment="1">
      <alignment horizontal="center" vertical="center" wrapText="1"/>
    </xf>
    <xf numFmtId="0" fontId="194" fillId="0" borderId="20" xfId="0" applyFont="1" applyFill="1" applyBorder="1" applyAlignment="1">
      <alignment horizontal="left" vertical="center" wrapText="1"/>
    </xf>
    <xf numFmtId="168" fontId="194" fillId="0" borderId="20" xfId="0" applyNumberFormat="1" applyFont="1" applyFill="1" applyBorder="1" applyAlignment="1">
      <alignment horizontal="center" vertical="center"/>
    </xf>
    <xf numFmtId="0" fontId="189" fillId="0" borderId="0" xfId="0" applyFont="1" applyFill="1"/>
    <xf numFmtId="0" fontId="195" fillId="94" borderId="127" xfId="0" applyFont="1" applyFill="1" applyBorder="1" applyAlignment="1">
      <alignment horizontal="center" vertical="center" wrapText="1"/>
    </xf>
    <xf numFmtId="0" fontId="192" fillId="94" borderId="128" xfId="0" applyFont="1" applyFill="1" applyBorder="1" applyAlignment="1">
      <alignment horizontal="center" vertical="center" wrapText="1"/>
    </xf>
    <xf numFmtId="0" fontId="194" fillId="0" borderId="20" xfId="0" applyFont="1" applyFill="1" applyBorder="1" applyAlignment="1">
      <alignment horizontal="center" vertical="center"/>
    </xf>
    <xf numFmtId="0" fontId="194" fillId="0" borderId="20" xfId="0" quotePrefix="1" applyFont="1" applyFill="1" applyBorder="1" applyAlignment="1">
      <alignment horizontal="center" vertical="center"/>
    </xf>
    <xf numFmtId="0" fontId="190" fillId="0" borderId="20" xfId="0" applyFont="1" applyBorder="1" applyAlignment="1">
      <alignment vertical="center"/>
    </xf>
    <xf numFmtId="0" fontId="190" fillId="0" borderId="20" xfId="0" applyFont="1" applyBorder="1" applyAlignment="1">
      <alignment horizontal="center" vertical="center"/>
    </xf>
    <xf numFmtId="0" fontId="190" fillId="0" borderId="20" xfId="0" applyFont="1" applyBorder="1" applyAlignment="1">
      <alignment vertical="center" wrapText="1"/>
    </xf>
    <xf numFmtId="9" fontId="190" fillId="0" borderId="20" xfId="0" applyNumberFormat="1" applyFont="1" applyBorder="1" applyAlignment="1">
      <alignment horizontal="center" vertical="center"/>
    </xf>
    <xf numFmtId="0" fontId="190" fillId="0" borderId="20" xfId="0" applyFont="1" applyBorder="1" applyAlignment="1">
      <alignment horizontal="left" vertical="center"/>
    </xf>
    <xf numFmtId="197" fontId="190" fillId="0" borderId="20" xfId="0" applyNumberFormat="1" applyFont="1" applyBorder="1" applyAlignment="1">
      <alignment horizontal="center" vertical="center"/>
    </xf>
    <xf numFmtId="1" fontId="190" fillId="0" borderId="20" xfId="0" applyNumberFormat="1" applyFont="1" applyBorder="1" applyAlignment="1">
      <alignment horizontal="center" vertical="center"/>
    </xf>
    <xf numFmtId="0" fontId="195" fillId="94" borderId="21" xfId="0" applyFont="1" applyFill="1" applyBorder="1" applyAlignment="1">
      <alignment horizontal="center" vertical="center"/>
    </xf>
    <xf numFmtId="2" fontId="190" fillId="0" borderId="20" xfId="0" applyNumberFormat="1" applyFont="1" applyBorder="1" applyAlignment="1">
      <alignment horizontal="center" vertical="center"/>
    </xf>
    <xf numFmtId="166" fontId="190" fillId="0" borderId="20" xfId="0" applyNumberFormat="1" applyFont="1" applyBorder="1" applyAlignment="1">
      <alignment horizontal="center" vertical="center"/>
    </xf>
    <xf numFmtId="0" fontId="192" fillId="94" borderId="20" xfId="0" applyFont="1" applyFill="1" applyBorder="1" applyAlignment="1">
      <alignment horizontal="center"/>
    </xf>
    <xf numFmtId="0" fontId="192" fillId="94" borderId="20" xfId="0" applyFont="1" applyFill="1" applyBorder="1" applyAlignment="1">
      <alignment horizontal="center" wrapText="1"/>
    </xf>
    <xf numFmtId="171" fontId="190" fillId="0" borderId="20" xfId="0" applyNumberFormat="1" applyFont="1" applyBorder="1" applyAlignment="1">
      <alignment horizontal="center" vertical="center"/>
    </xf>
    <xf numFmtId="0" fontId="190" fillId="0" borderId="0" xfId="0" applyFont="1"/>
    <xf numFmtId="0" fontId="191" fillId="4" borderId="20" xfId="0" applyFont="1" applyFill="1" applyBorder="1" applyAlignment="1">
      <alignment horizontal="center" vertical="center" wrapText="1"/>
    </xf>
    <xf numFmtId="0" fontId="190" fillId="0" borderId="20" xfId="0" applyFont="1" applyBorder="1" applyAlignment="1">
      <alignment horizontal="center" vertical="center" wrapText="1"/>
    </xf>
    <xf numFmtId="0" fontId="194" fillId="0" borderId="0" xfId="0" applyFont="1" applyFill="1" applyBorder="1" applyAlignment="1">
      <alignment horizontal="center" vertical="center" wrapText="1"/>
    </xf>
    <xf numFmtId="0" fontId="191" fillId="0" borderId="0" xfId="0" applyFont="1" applyFill="1" applyBorder="1" applyAlignment="1">
      <alignment horizontal="center" vertical="center" wrapText="1"/>
    </xf>
    <xf numFmtId="172" fontId="194" fillId="0" borderId="0" xfId="0" applyNumberFormat="1" applyFont="1" applyFill="1" applyBorder="1" applyAlignment="1">
      <alignment horizontal="center" vertical="center" wrapText="1"/>
    </xf>
    <xf numFmtId="0" fontId="194" fillId="0" borderId="0" xfId="0" applyFont="1" applyFill="1" applyBorder="1" applyAlignment="1">
      <alignment horizontal="left" vertical="center" wrapText="1"/>
    </xf>
    <xf numFmtId="0" fontId="191" fillId="0" borderId="20" xfId="0" applyFont="1" applyFill="1" applyBorder="1" applyAlignment="1">
      <alignment vertical="center"/>
    </xf>
    <xf numFmtId="2" fontId="191" fillId="0" borderId="20" xfId="0" applyNumberFormat="1" applyFont="1" applyFill="1" applyBorder="1" applyAlignment="1">
      <alignment horizontal="center" vertical="center"/>
    </xf>
    <xf numFmtId="0" fontId="198" fillId="0" borderId="0" xfId="0" applyFont="1" applyFill="1" applyAlignment="1">
      <alignment vertical="center"/>
    </xf>
    <xf numFmtId="166" fontId="194" fillId="0" borderId="20" xfId="0" applyNumberFormat="1" applyFont="1" applyFill="1" applyBorder="1" applyAlignment="1">
      <alignment horizontal="center" vertical="center" wrapText="1"/>
    </xf>
    <xf numFmtId="0" fontId="13" fillId="0" borderId="20" xfId="0" applyFont="1" applyFill="1" applyBorder="1" applyAlignment="1">
      <alignment horizontal="left" vertical="center" wrapText="1"/>
    </xf>
    <xf numFmtId="166" fontId="13" fillId="0" borderId="20" xfId="0" applyNumberFormat="1" applyFont="1" applyFill="1" applyBorder="1" applyAlignment="1">
      <alignment horizontal="center" vertical="center" wrapText="1"/>
    </xf>
    <xf numFmtId="0" fontId="191" fillId="0" borderId="20" xfId="0" applyFont="1" applyBorder="1" applyAlignment="1">
      <alignment horizontal="center" vertical="center" wrapText="1"/>
    </xf>
    <xf numFmtId="2" fontId="191" fillId="0" borderId="20" xfId="0" applyNumberFormat="1" applyFont="1" applyBorder="1" applyAlignment="1">
      <alignment horizontal="center" vertical="center" wrapText="1"/>
    </xf>
    <xf numFmtId="9" fontId="191" fillId="95" borderId="0" xfId="0" applyNumberFormat="1" applyFont="1" applyFill="1" applyAlignment="1">
      <alignment horizontal="center" vertical="center"/>
    </xf>
    <xf numFmtId="165" fontId="191" fillId="95" borderId="0" xfId="0" applyNumberFormat="1" applyFont="1" applyFill="1" applyAlignment="1">
      <alignment horizontal="center" vertical="center"/>
    </xf>
    <xf numFmtId="7" fontId="13" fillId="95" borderId="20" xfId="0" applyNumberFormat="1" applyFont="1" applyFill="1" applyBorder="1" applyAlignment="1">
      <alignment horizontal="center" vertical="center"/>
    </xf>
    <xf numFmtId="0" fontId="199" fillId="0" borderId="0" xfId="0" applyFont="1"/>
    <xf numFmtId="3" fontId="192" fillId="94" borderId="20" xfId="0" applyNumberFormat="1" applyFont="1" applyFill="1" applyBorder="1" applyAlignment="1">
      <alignment horizontal="center" vertical="center"/>
    </xf>
    <xf numFmtId="4" fontId="13" fillId="95" borderId="20" xfId="0" applyNumberFormat="1" applyFont="1" applyFill="1" applyBorder="1" applyAlignment="1">
      <alignment horizontal="center" vertical="center"/>
    </xf>
    <xf numFmtId="166" fontId="191" fillId="3" borderId="20" xfId="0" applyNumberFormat="1" applyFont="1" applyFill="1" applyBorder="1" applyAlignment="1">
      <alignment horizontal="center" vertical="center"/>
    </xf>
    <xf numFmtId="0" fontId="190" fillId="0" borderId="1" xfId="0" applyFont="1" applyBorder="1" applyAlignment="1">
      <alignment vertical="center" wrapText="1"/>
    </xf>
    <xf numFmtId="0" fontId="0" fillId="0" borderId="0" xfId="0" applyFill="1" applyAlignment="1">
      <alignment vertical="center"/>
    </xf>
    <xf numFmtId="0" fontId="192" fillId="94" borderId="20" xfId="0" applyFont="1" applyFill="1" applyBorder="1" applyAlignment="1">
      <alignment horizontal="center" vertical="center" wrapText="1"/>
    </xf>
    <xf numFmtId="0" fontId="190" fillId="0" borderId="20" xfId="0" applyFont="1" applyBorder="1" applyAlignment="1">
      <alignment vertical="center" wrapText="1"/>
    </xf>
    <xf numFmtId="0" fontId="191" fillId="0" borderId="20" xfId="0" applyFont="1" applyFill="1" applyBorder="1" applyAlignment="1">
      <alignment horizontal="left" vertical="center" wrapText="1"/>
    </xf>
    <xf numFmtId="0" fontId="194" fillId="0" borderId="20" xfId="0" applyFont="1" applyFill="1" applyBorder="1" applyAlignment="1">
      <alignment horizontal="left" vertical="center" wrapText="1"/>
    </xf>
    <xf numFmtId="0" fontId="159" fillId="0" borderId="0" xfId="0" applyFont="1" applyAlignment="1">
      <alignment wrapText="1"/>
    </xf>
    <xf numFmtId="1" fontId="167" fillId="37" borderId="48" xfId="0" applyNumberFormat="1" applyFont="1" applyFill="1" applyBorder="1" applyAlignment="1">
      <alignment horizontal="center" vertical="center" wrapText="1"/>
    </xf>
    <xf numFmtId="0" fontId="190" fillId="0" borderId="0" xfId="0" applyFont="1" applyBorder="1" applyAlignment="1">
      <alignment vertical="center"/>
    </xf>
    <xf numFmtId="0" fontId="190" fillId="0" borderId="0" xfId="0" applyFont="1" applyBorder="1" applyAlignment="1">
      <alignment horizontal="center" vertical="center"/>
    </xf>
    <xf numFmtId="1" fontId="190" fillId="0" borderId="0" xfId="0" applyNumberFormat="1" applyFont="1" applyBorder="1" applyAlignment="1">
      <alignment horizontal="center" vertical="center"/>
    </xf>
    <xf numFmtId="0" fontId="190" fillId="0" borderId="0" xfId="0" applyFont="1" applyBorder="1" applyAlignment="1">
      <alignment vertical="center" wrapText="1"/>
    </xf>
    <xf numFmtId="166" fontId="162" fillId="37" borderId="103" xfId="0" applyNumberFormat="1" applyFont="1" applyFill="1" applyBorder="1" applyAlignment="1">
      <alignment horizontal="right" vertical="center" indent="1"/>
    </xf>
    <xf numFmtId="1" fontId="6" fillId="4" borderId="121" xfId="0" applyNumberFormat="1" applyFont="1" applyFill="1" applyBorder="1" applyAlignment="1">
      <alignment horizontal="right" vertical="center" indent="1"/>
    </xf>
    <xf numFmtId="166" fontId="161" fillId="4" borderId="121" xfId="0" applyNumberFormat="1" applyFont="1" applyFill="1" applyBorder="1" applyAlignment="1">
      <alignment horizontal="right" vertical="center" indent="1"/>
    </xf>
    <xf numFmtId="9" fontId="191" fillId="4" borderId="20" xfId="0" applyNumberFormat="1" applyFont="1" applyFill="1" applyBorder="1" applyAlignment="1">
      <alignment horizontal="center" vertical="center" wrapText="1"/>
    </xf>
    <xf numFmtId="0" fontId="191" fillId="4" borderId="20" xfId="0" quotePrefix="1" applyFont="1" applyFill="1" applyBorder="1" applyAlignment="1">
      <alignment horizontal="center" vertical="center" wrapText="1"/>
    </xf>
    <xf numFmtId="206" fontId="191" fillId="0" borderId="20" xfId="1" applyNumberFormat="1" applyFont="1" applyBorder="1" applyAlignment="1">
      <alignment horizontal="center" vertical="center" wrapText="1"/>
    </xf>
    <xf numFmtId="2" fontId="159" fillId="0" borderId="0" xfId="0" applyNumberFormat="1" applyFont="1"/>
    <xf numFmtId="0" fontId="190" fillId="0" borderId="1" xfId="0" applyFont="1" applyBorder="1" applyAlignment="1">
      <alignment vertical="center" wrapText="1"/>
    </xf>
    <xf numFmtId="0" fontId="190" fillId="0" borderId="20" xfId="0" applyFont="1" applyBorder="1" applyAlignment="1">
      <alignment vertical="center" wrapText="1"/>
    </xf>
    <xf numFmtId="205" fontId="196" fillId="0" borderId="20" xfId="0" applyNumberFormat="1" applyFont="1" applyFill="1" applyBorder="1" applyAlignment="1">
      <alignment horizontal="center" vertical="center"/>
    </xf>
    <xf numFmtId="168" fontId="190" fillId="0" borderId="20" xfId="0" applyNumberFormat="1" applyFont="1" applyBorder="1" applyAlignment="1">
      <alignment horizontal="center" vertical="center"/>
    </xf>
    <xf numFmtId="3" fontId="191" fillId="0" borderId="20" xfId="0" applyNumberFormat="1" applyFont="1" applyFill="1" applyBorder="1" applyAlignment="1">
      <alignment horizontal="center" vertical="center"/>
    </xf>
    <xf numFmtId="4" fontId="191" fillId="0" borderId="20" xfId="0" applyNumberFormat="1" applyFont="1" applyFill="1" applyBorder="1" applyAlignment="1">
      <alignment horizontal="center" vertical="center"/>
    </xf>
    <xf numFmtId="197" fontId="192" fillId="94" borderId="20" xfId="0" applyNumberFormat="1" applyFont="1" applyFill="1" applyBorder="1" applyAlignment="1">
      <alignment horizontal="center" vertical="center"/>
    </xf>
    <xf numFmtId="190" fontId="191" fillId="0" borderId="20" xfId="0" applyNumberFormat="1" applyFont="1" applyFill="1" applyBorder="1" applyAlignment="1">
      <alignment horizontal="center" vertical="center"/>
    </xf>
    <xf numFmtId="201" fontId="192" fillId="94" borderId="20" xfId="0" applyNumberFormat="1" applyFont="1" applyFill="1" applyBorder="1" applyAlignment="1">
      <alignment horizontal="center" vertical="center"/>
    </xf>
    <xf numFmtId="205" fontId="191" fillId="0" borderId="20" xfId="0" applyNumberFormat="1" applyFont="1" applyFill="1" applyBorder="1" applyAlignment="1">
      <alignment horizontal="center" vertical="center" wrapText="1"/>
    </xf>
    <xf numFmtId="0" fontId="159" fillId="0" borderId="0" xfId="0" applyFont="1" applyAlignment="1">
      <alignment wrapText="1"/>
    </xf>
    <xf numFmtId="0" fontId="159" fillId="4" borderId="0" xfId="0" applyFont="1" applyFill="1" applyAlignment="1">
      <alignment horizontal="left" vertical="center"/>
    </xf>
    <xf numFmtId="1" fontId="160" fillId="36" borderId="0" xfId="0" applyNumberFormat="1" applyFont="1" applyFill="1" applyBorder="1" applyAlignment="1">
      <alignment vertical="center"/>
    </xf>
    <xf numFmtId="0" fontId="166" fillId="85" borderId="0" xfId="0" applyFont="1" applyFill="1" applyAlignment="1">
      <alignment vertical="center"/>
    </xf>
    <xf numFmtId="0" fontId="159" fillId="85" borderId="0" xfId="0" applyFont="1" applyFill="1" applyAlignment="1">
      <alignment horizontal="left" vertical="center"/>
    </xf>
    <xf numFmtId="0" fontId="190" fillId="0" borderId="20" xfId="0" applyFont="1" applyBorder="1" applyAlignment="1">
      <alignment vertical="center" wrapText="1"/>
    </xf>
    <xf numFmtId="0" fontId="159" fillId="0" borderId="0" xfId="0" applyFont="1" applyAlignment="1">
      <alignment wrapText="1"/>
    </xf>
    <xf numFmtId="0" fontId="159" fillId="0" borderId="0" xfId="0" applyFont="1" applyAlignment="1">
      <alignment vertical="center" wrapText="1"/>
    </xf>
    <xf numFmtId="0" fontId="34" fillId="0" borderId="0" xfId="17" applyFont="1" applyAlignment="1" applyProtection="1">
      <alignment vertical="top" wrapText="1" shrinkToFit="1"/>
    </xf>
    <xf numFmtId="0" fontId="30" fillId="0" borderId="20" xfId="0" applyFont="1" applyBorder="1" applyAlignment="1">
      <alignment horizontal="center" wrapText="1"/>
    </xf>
    <xf numFmtId="0" fontId="30" fillId="0" borderId="20" xfId="0" applyFont="1" applyFill="1" applyBorder="1" applyAlignment="1">
      <alignment horizontal="center" vertical="top" wrapText="1"/>
    </xf>
    <xf numFmtId="0" fontId="159" fillId="0" borderId="0" xfId="0" applyFont="1" applyAlignment="1">
      <alignment wrapText="1"/>
    </xf>
    <xf numFmtId="0" fontId="159" fillId="0" borderId="0" xfId="0" applyFont="1" applyAlignment="1">
      <alignment vertical="center" wrapText="1"/>
    </xf>
    <xf numFmtId="0" fontId="200" fillId="40" borderId="0" xfId="0" applyFont="1" applyFill="1" applyAlignment="1">
      <alignment vertical="top"/>
    </xf>
    <xf numFmtId="0" fontId="201" fillId="40" borderId="0" xfId="0" applyFont="1" applyFill="1" applyAlignment="1">
      <alignment horizontal="center" vertical="top"/>
    </xf>
    <xf numFmtId="0" fontId="201" fillId="40" borderId="0" xfId="0" applyFont="1" applyFill="1" applyAlignment="1">
      <alignment horizontal="center" vertical="top" wrapText="1" shrinkToFit="1"/>
    </xf>
    <xf numFmtId="0" fontId="202" fillId="40" borderId="0" xfId="0" applyFont="1" applyFill="1" applyAlignment="1">
      <alignment vertical="top"/>
    </xf>
    <xf numFmtId="0" fontId="201" fillId="40" borderId="0" xfId="0" applyFont="1" applyFill="1" applyAlignment="1">
      <alignment vertical="top"/>
    </xf>
    <xf numFmtId="0" fontId="177" fillId="0" borderId="0" xfId="0" applyFont="1" applyFill="1" applyAlignment="1">
      <alignment vertical="top"/>
    </xf>
    <xf numFmtId="0" fontId="171" fillId="0" borderId="0" xfId="0" applyFont="1" applyFill="1" applyAlignment="1">
      <alignment vertical="top"/>
    </xf>
    <xf numFmtId="0" fontId="177" fillId="0" borderId="0" xfId="0" applyFont="1" applyFill="1" applyAlignment="1">
      <alignment horizontal="center" vertical="top"/>
    </xf>
    <xf numFmtId="0" fontId="177" fillId="0" borderId="0" xfId="0" applyFont="1" applyFill="1" applyAlignment="1">
      <alignment horizontal="center" vertical="top" wrapText="1" shrinkToFit="1"/>
    </xf>
    <xf numFmtId="0" fontId="202" fillId="0" borderId="0" xfId="0" applyFont="1" applyFill="1" applyAlignment="1">
      <alignment vertical="top"/>
    </xf>
    <xf numFmtId="0" fontId="203" fillId="0" borderId="0" xfId="0" applyFont="1"/>
    <xf numFmtId="0" fontId="171" fillId="0" borderId="0" xfId="0" applyFont="1" applyAlignment="1">
      <alignment vertical="top"/>
    </xf>
    <xf numFmtId="0" fontId="177" fillId="0" borderId="0" xfId="0" applyFont="1" applyAlignment="1">
      <alignment vertical="top"/>
    </xf>
    <xf numFmtId="0" fontId="171" fillId="0" borderId="0" xfId="0" applyFont="1" applyAlignment="1">
      <alignment horizontal="center" vertical="top"/>
    </xf>
    <xf numFmtId="5" fontId="204" fillId="2" borderId="20" xfId="3" applyNumberFormat="1" applyFont="1" applyFill="1" applyBorder="1" applyAlignment="1">
      <alignment horizontal="center" vertical="top"/>
    </xf>
    <xf numFmtId="0" fontId="204" fillId="97" borderId="0" xfId="0" applyFont="1" applyFill="1" applyAlignment="1">
      <alignment horizontal="center" vertical="top"/>
    </xf>
    <xf numFmtId="0" fontId="202" fillId="0" borderId="0" xfId="0" applyFont="1" applyAlignment="1">
      <alignment vertical="top"/>
    </xf>
    <xf numFmtId="168" fontId="207" fillId="0" borderId="0" xfId="1" applyNumberFormat="1" applyFont="1" applyBorder="1" applyAlignment="1">
      <alignment vertical="top"/>
    </xf>
    <xf numFmtId="0" fontId="207" fillId="0" borderId="0" xfId="0" applyFont="1" applyBorder="1" applyAlignment="1">
      <alignment vertical="top"/>
    </xf>
    <xf numFmtId="171" fontId="171" fillId="0" borderId="0" xfId="0" applyNumberFormat="1" applyFont="1" applyFill="1" applyAlignment="1">
      <alignment horizontal="center" vertical="top"/>
    </xf>
    <xf numFmtId="0" fontId="171" fillId="0" borderId="0" xfId="0" applyFont="1" applyFill="1" applyAlignment="1">
      <alignment horizontal="center" vertical="top"/>
    </xf>
    <xf numFmtId="5" fontId="207" fillId="0" borderId="0" xfId="0" applyNumberFormat="1" applyFont="1" applyBorder="1" applyAlignment="1">
      <alignment vertical="top"/>
    </xf>
    <xf numFmtId="0" fontId="206" fillId="0" borderId="0" xfId="17" applyFont="1" applyAlignment="1" applyProtection="1">
      <alignment horizontal="left" vertical="top" wrapText="1" shrinkToFit="1"/>
    </xf>
    <xf numFmtId="0" fontId="171" fillId="0" borderId="0" xfId="0" applyFont="1" applyBorder="1" applyAlignment="1">
      <alignment horizontal="left" vertical="top" indent="2"/>
    </xf>
    <xf numFmtId="0" fontId="171" fillId="0" borderId="0" xfId="0" applyFont="1" applyBorder="1" applyAlignment="1">
      <alignment horizontal="center" vertical="top"/>
    </xf>
    <xf numFmtId="165" fontId="171" fillId="2" borderId="20" xfId="1" applyNumberFormat="1" applyFont="1" applyFill="1" applyBorder="1" applyAlignment="1">
      <alignment horizontal="right" vertical="top"/>
    </xf>
    <xf numFmtId="175" fontId="171" fillId="0" borderId="0" xfId="0" applyNumberFormat="1" applyFont="1" applyAlignment="1">
      <alignment horizontal="center" vertical="top"/>
    </xf>
    <xf numFmtId="0" fontId="171" fillId="0" borderId="0" xfId="0" applyFont="1" applyAlignment="1">
      <alignment horizontal="left" vertical="top"/>
    </xf>
    <xf numFmtId="176" fontId="171" fillId="0" borderId="0" xfId="1" applyNumberFormat="1" applyFont="1" applyFill="1" applyAlignment="1">
      <alignment horizontal="right" vertical="top"/>
    </xf>
    <xf numFmtId="0" fontId="204" fillId="37" borderId="82" xfId="0" applyFont="1" applyFill="1" applyBorder="1" applyAlignment="1">
      <alignment vertical="top"/>
    </xf>
    <xf numFmtId="0" fontId="206" fillId="37" borderId="83" xfId="17" applyFont="1" applyFill="1" applyBorder="1" applyAlignment="1" applyProtection="1">
      <alignment horizontal="left" vertical="top" wrapText="1" shrinkToFit="1"/>
    </xf>
    <xf numFmtId="0" fontId="204" fillId="37" borderId="98" xfId="0" applyFont="1" applyFill="1" applyBorder="1" applyAlignment="1">
      <alignment vertical="top"/>
    </xf>
    <xf numFmtId="0" fontId="206" fillId="37" borderId="99" xfId="17" applyFont="1" applyFill="1" applyBorder="1" applyAlignment="1" applyProtection="1">
      <alignment horizontal="left" vertical="top" wrapText="1" shrinkToFit="1"/>
    </xf>
    <xf numFmtId="0" fontId="171" fillId="0" borderId="0" xfId="0" applyFont="1" applyAlignment="1">
      <alignment vertical="top" wrapText="1" shrinkToFit="1"/>
    </xf>
    <xf numFmtId="0" fontId="171" fillId="0" borderId="0" xfId="0" applyFont="1" applyBorder="1" applyAlignment="1">
      <alignment horizontal="left" vertical="top" wrapText="1" indent="2"/>
    </xf>
    <xf numFmtId="167" fontId="171" fillId="0" borderId="0" xfId="3" applyNumberFormat="1" applyFont="1" applyFill="1" applyAlignment="1">
      <alignment horizontal="center" vertical="top"/>
    </xf>
    <xf numFmtId="0" fontId="204" fillId="0" borderId="0" xfId="0" applyFont="1" applyFill="1" applyAlignment="1">
      <alignment horizontal="center" vertical="top"/>
    </xf>
    <xf numFmtId="0" fontId="205" fillId="0" borderId="0" xfId="0" applyFont="1" applyAlignment="1">
      <alignment horizontal="left" vertical="center" wrapText="1" shrinkToFit="1"/>
    </xf>
    <xf numFmtId="0" fontId="206" fillId="0" borderId="0" xfId="17" applyFont="1" applyAlignment="1" applyProtection="1">
      <alignment horizontal="left" vertical="center" wrapText="1" shrinkToFit="1"/>
    </xf>
    <xf numFmtId="0" fontId="206" fillId="0" borderId="0" xfId="17" applyFont="1" applyAlignment="1" applyProtection="1">
      <alignment vertical="top" wrapText="1" shrinkToFit="1"/>
    </xf>
    <xf numFmtId="167" fontId="207" fillId="0" borderId="0" xfId="3" applyNumberFormat="1" applyFont="1" applyFill="1" applyBorder="1" applyAlignment="1">
      <alignment horizontal="center" vertical="top"/>
    </xf>
    <xf numFmtId="0" fontId="208" fillId="0" borderId="0" xfId="17" applyFont="1" applyAlignment="1" applyProtection="1">
      <alignment vertical="top"/>
    </xf>
    <xf numFmtId="0" fontId="208" fillId="0" borderId="0" xfId="18" applyFont="1" applyAlignment="1">
      <alignment vertical="top"/>
    </xf>
    <xf numFmtId="0" fontId="171" fillId="0" borderId="0" xfId="18" applyFont="1" applyAlignment="1">
      <alignment vertical="top"/>
    </xf>
    <xf numFmtId="0" fontId="177" fillId="0" borderId="0" xfId="0" applyFont="1" applyFill="1" applyBorder="1" applyAlignment="1">
      <alignment horizontal="center" vertical="top"/>
    </xf>
    <xf numFmtId="0" fontId="209" fillId="0" borderId="20" xfId="17" applyFont="1" applyBorder="1" applyAlignment="1" applyProtection="1">
      <alignment vertical="top"/>
    </xf>
    <xf numFmtId="0" fontId="177" fillId="0" borderId="20" xfId="18" applyFont="1" applyBorder="1" applyAlignment="1">
      <alignment horizontal="center" vertical="top"/>
    </xf>
    <xf numFmtId="0" fontId="208" fillId="0" borderId="20" xfId="18" applyFont="1" applyBorder="1" applyAlignment="1">
      <alignment horizontal="center" vertical="top"/>
    </xf>
    <xf numFmtId="0" fontId="177" fillId="0" borderId="0" xfId="0" applyFont="1" applyBorder="1" applyAlignment="1">
      <alignment horizontal="center" vertical="top"/>
    </xf>
    <xf numFmtId="0" fontId="204" fillId="0" borderId="20" xfId="17" applyFont="1" applyBorder="1" applyAlignment="1" applyProtection="1">
      <alignment vertical="top"/>
    </xf>
    <xf numFmtId="177" fontId="171" fillId="2" borderId="20" xfId="18" applyNumberFormat="1" applyFont="1" applyFill="1" applyBorder="1" applyAlignment="1">
      <alignment horizontal="center" vertical="top"/>
    </xf>
    <xf numFmtId="0" fontId="204" fillId="0" borderId="0" xfId="17" applyFont="1" applyAlignment="1" applyProtection="1">
      <alignment vertical="top"/>
    </xf>
    <xf numFmtId="0" fontId="210" fillId="0" borderId="0" xfId="0" applyFont="1" applyAlignment="1">
      <alignment vertical="top"/>
    </xf>
    <xf numFmtId="0" fontId="177" fillId="0" borderId="0" xfId="18" applyFont="1" applyAlignment="1">
      <alignment vertical="top"/>
    </xf>
    <xf numFmtId="0" fontId="177" fillId="0" borderId="20" xfId="18" applyFont="1" applyFill="1" applyBorder="1" applyAlignment="1">
      <alignment horizontal="center" vertical="top"/>
    </xf>
    <xf numFmtId="0" fontId="206" fillId="0" borderId="0" xfId="17" applyFont="1" applyAlignment="1" applyProtection="1">
      <alignment vertical="top"/>
    </xf>
    <xf numFmtId="0" fontId="171" fillId="0" borderId="20" xfId="18" applyFont="1" applyFill="1" applyBorder="1" applyAlignment="1">
      <alignment vertical="top"/>
    </xf>
    <xf numFmtId="164" fontId="171" fillId="2" borderId="20" xfId="19" applyNumberFormat="1" applyFont="1" applyFill="1" applyBorder="1" applyAlignment="1">
      <alignment vertical="top"/>
    </xf>
    <xf numFmtId="164" fontId="171" fillId="0" borderId="20" xfId="19" applyNumberFormat="1" applyFont="1" applyFill="1" applyBorder="1" applyAlignment="1">
      <alignment vertical="top"/>
    </xf>
    <xf numFmtId="168" fontId="171" fillId="0" borderId="20" xfId="20" applyNumberFormat="1" applyFont="1" applyFill="1" applyBorder="1" applyAlignment="1">
      <alignment vertical="top"/>
    </xf>
    <xf numFmtId="0" fontId="204" fillId="0" borderId="0" xfId="18" applyFont="1" applyAlignment="1">
      <alignment vertical="top"/>
    </xf>
    <xf numFmtId="0" fontId="200" fillId="38" borderId="0" xfId="0" applyFont="1" applyFill="1" applyAlignment="1">
      <alignment vertical="top"/>
    </xf>
    <xf numFmtId="0" fontId="201" fillId="38" borderId="0" xfId="0" applyFont="1" applyFill="1" applyAlignment="1">
      <alignment vertical="top"/>
    </xf>
    <xf numFmtId="0" fontId="202" fillId="38" borderId="0" xfId="0" applyFont="1" applyFill="1" applyAlignment="1">
      <alignment vertical="top"/>
    </xf>
    <xf numFmtId="0" fontId="210" fillId="0" borderId="0" xfId="0" applyFont="1" applyAlignment="1">
      <alignment horizontal="right" vertical="top"/>
    </xf>
    <xf numFmtId="0" fontId="177" fillId="0" borderId="0" xfId="0" applyFont="1" applyAlignment="1">
      <alignment horizontal="right" vertical="top"/>
    </xf>
    <xf numFmtId="0" fontId="211" fillId="0" borderId="0" xfId="0" applyFont="1" applyAlignment="1">
      <alignment vertical="top"/>
    </xf>
    <xf numFmtId="9" fontId="207" fillId="0" borderId="0" xfId="1" applyFont="1" applyAlignment="1">
      <alignment horizontal="left" vertical="top"/>
    </xf>
    <xf numFmtId="0" fontId="204" fillId="0" borderId="0" xfId="17" applyFont="1" applyBorder="1" applyAlignment="1" applyProtection="1">
      <alignment vertical="top"/>
    </xf>
    <xf numFmtId="167" fontId="210" fillId="0" borderId="28" xfId="0" applyNumberFormat="1" applyFont="1" applyBorder="1" applyAlignment="1">
      <alignment vertical="top"/>
    </xf>
    <xf numFmtId="167" fontId="171" fillId="0" borderId="0" xfId="0" applyNumberFormat="1" applyFont="1" applyAlignment="1">
      <alignment vertical="top"/>
    </xf>
    <xf numFmtId="0" fontId="212" fillId="97" borderId="0" xfId="0" applyFont="1" applyFill="1" applyAlignment="1">
      <alignment horizontal="center" vertical="top"/>
    </xf>
    <xf numFmtId="6" fontId="171" fillId="0" borderId="0" xfId="0" applyNumberFormat="1" applyFont="1" applyAlignment="1">
      <alignment vertical="top"/>
    </xf>
    <xf numFmtId="5" fontId="207" fillId="0" borderId="0" xfId="0" applyNumberFormat="1" applyFont="1" applyFill="1" applyBorder="1" applyAlignment="1">
      <alignment vertical="top"/>
    </xf>
    <xf numFmtId="165" fontId="207" fillId="0" borderId="0" xfId="0" applyNumberFormat="1" applyFont="1" applyFill="1" applyAlignment="1">
      <alignment vertical="top"/>
    </xf>
    <xf numFmtId="165" fontId="207" fillId="0" borderId="0" xfId="0" applyNumberFormat="1" applyFont="1" applyAlignment="1">
      <alignment vertical="top"/>
    </xf>
    <xf numFmtId="167" fontId="210" fillId="0" borderId="29" xfId="0" applyNumberFormat="1" applyFont="1" applyBorder="1" applyAlignment="1">
      <alignment vertical="top"/>
    </xf>
    <xf numFmtId="0" fontId="171" fillId="0" borderId="0" xfId="0" applyFont="1" applyAlignment="1">
      <alignment horizontal="right" vertical="top"/>
    </xf>
    <xf numFmtId="167" fontId="210" fillId="0" borderId="30" xfId="0" applyNumberFormat="1" applyFont="1" applyBorder="1" applyAlignment="1">
      <alignment vertical="top"/>
    </xf>
    <xf numFmtId="167" fontId="210" fillId="0" borderId="28" xfId="0" applyNumberFormat="1" applyFont="1" applyFill="1" applyBorder="1" applyAlignment="1">
      <alignment vertical="top"/>
    </xf>
    <xf numFmtId="0" fontId="171" fillId="97" borderId="0" xfId="0" applyFont="1" applyFill="1" applyAlignment="1">
      <alignment horizontal="center" vertical="top"/>
    </xf>
    <xf numFmtId="0" fontId="207" fillId="0" borderId="0" xfId="0" applyFont="1" applyAlignment="1">
      <alignment vertical="top"/>
    </xf>
    <xf numFmtId="167" fontId="210" fillId="0" borderId="29" xfId="0" applyNumberFormat="1" applyFont="1" applyFill="1" applyBorder="1" applyAlignment="1">
      <alignment vertical="top"/>
    </xf>
    <xf numFmtId="177" fontId="171" fillId="0" borderId="0" xfId="0" applyNumberFormat="1" applyFont="1" applyAlignment="1">
      <alignment vertical="top"/>
    </xf>
    <xf numFmtId="44" fontId="171" fillId="0" borderId="0" xfId="0" applyNumberFormat="1" applyFont="1" applyAlignment="1">
      <alignment vertical="top"/>
    </xf>
    <xf numFmtId="167" fontId="210" fillId="0" borderId="30" xfId="0" applyNumberFormat="1" applyFont="1" applyFill="1" applyBorder="1" applyAlignment="1">
      <alignment vertical="top"/>
    </xf>
    <xf numFmtId="0" fontId="171" fillId="0" borderId="0" xfId="0" applyFont="1" applyBorder="1" applyAlignment="1">
      <alignment horizontal="left" vertical="top"/>
    </xf>
    <xf numFmtId="167" fontId="210" fillId="0" borderId="0" xfId="0" applyNumberFormat="1" applyFont="1" applyBorder="1" applyAlignment="1">
      <alignment vertical="top"/>
    </xf>
    <xf numFmtId="9" fontId="202" fillId="0" borderId="0" xfId="1" applyFont="1" applyAlignment="1">
      <alignment horizontal="left" vertical="top"/>
    </xf>
    <xf numFmtId="167" fontId="210" fillId="0" borderId="0" xfId="0" applyNumberFormat="1" applyFont="1" applyFill="1" applyBorder="1" applyAlignment="1">
      <alignment vertical="top"/>
    </xf>
    <xf numFmtId="167" fontId="171" fillId="0" borderId="0" xfId="0" applyNumberFormat="1" applyFont="1" applyFill="1" applyAlignment="1">
      <alignment vertical="top"/>
    </xf>
    <xf numFmtId="167" fontId="210" fillId="0" borderId="32" xfId="3" applyNumberFormat="1" applyFont="1" applyFill="1" applyBorder="1" applyAlignment="1">
      <alignment vertical="top"/>
    </xf>
    <xf numFmtId="0" fontId="171" fillId="0" borderId="0" xfId="0" applyFont="1" applyBorder="1" applyAlignment="1">
      <alignment horizontal="right" vertical="center"/>
    </xf>
    <xf numFmtId="165" fontId="212" fillId="0" borderId="0" xfId="0" applyNumberFormat="1" applyFont="1" applyFill="1" applyBorder="1" applyAlignment="1">
      <alignment vertical="center"/>
    </xf>
    <xf numFmtId="178" fontId="171" fillId="0" borderId="0" xfId="2" applyNumberFormat="1" applyFont="1" applyAlignment="1">
      <alignment vertical="top"/>
    </xf>
    <xf numFmtId="165" fontId="212" fillId="97" borderId="0" xfId="0" applyNumberFormat="1" applyFont="1" applyFill="1"/>
    <xf numFmtId="0" fontId="204" fillId="0" borderId="20" xfId="18" applyFont="1" applyBorder="1" applyAlignment="1">
      <alignment vertical="top"/>
    </xf>
    <xf numFmtId="167" fontId="204" fillId="0" borderId="20" xfId="21" applyNumberFormat="1" applyFont="1" applyBorder="1" applyAlignment="1">
      <alignment vertical="top"/>
    </xf>
    <xf numFmtId="167" fontId="210" fillId="0" borderId="20" xfId="18" applyNumberFormat="1" applyFont="1" applyFill="1" applyBorder="1" applyAlignment="1">
      <alignment vertical="top"/>
    </xf>
    <xf numFmtId="166" fontId="210" fillId="0" borderId="0" xfId="18" applyNumberFormat="1" applyFont="1" applyAlignment="1">
      <alignment horizontal="center" vertical="top"/>
    </xf>
    <xf numFmtId="167" fontId="213" fillId="0" borderId="0" xfId="18" applyNumberFormat="1" applyFont="1" applyBorder="1" applyAlignment="1">
      <alignment vertical="top"/>
    </xf>
    <xf numFmtId="44" fontId="204" fillId="0" borderId="0" xfId="18" applyNumberFormat="1" applyFont="1" applyAlignment="1">
      <alignment vertical="top"/>
    </xf>
    <xf numFmtId="0" fontId="214" fillId="0" borderId="0" xfId="18" applyFont="1" applyBorder="1" applyAlignment="1">
      <alignment vertical="top"/>
    </xf>
    <xf numFmtId="0" fontId="210" fillId="0" borderId="0" xfId="0" applyFont="1" applyAlignment="1">
      <alignment vertical="center"/>
    </xf>
    <xf numFmtId="0" fontId="200" fillId="40" borderId="0" xfId="0" applyFont="1" applyFill="1" applyBorder="1" applyAlignment="1">
      <alignment vertical="top" wrapText="1"/>
    </xf>
    <xf numFmtId="0" fontId="201" fillId="40" borderId="0" xfId="0" applyFont="1" applyFill="1" applyBorder="1" applyAlignment="1">
      <alignment horizontal="center" vertical="top"/>
    </xf>
    <xf numFmtId="0" fontId="201" fillId="40" borderId="0" xfId="0" applyFont="1" applyFill="1" applyBorder="1" applyAlignment="1">
      <alignment horizontal="left" vertical="top"/>
    </xf>
    <xf numFmtId="0" fontId="201" fillId="40" borderId="0" xfId="0" applyFont="1" applyFill="1" applyBorder="1" applyAlignment="1">
      <alignment vertical="top"/>
    </xf>
    <xf numFmtId="0" fontId="202" fillId="40" borderId="0" xfId="0" applyFont="1" applyFill="1" applyBorder="1" applyAlignment="1">
      <alignment vertical="top"/>
    </xf>
    <xf numFmtId="0" fontId="177" fillId="0" borderId="20" xfId="0" applyFont="1" applyBorder="1" applyAlignment="1">
      <alignment vertical="top"/>
    </xf>
    <xf numFmtId="0" fontId="177" fillId="0" borderId="20" xfId="0" applyFont="1" applyBorder="1" applyAlignment="1">
      <alignment horizontal="right" vertical="top" wrapText="1"/>
    </xf>
    <xf numFmtId="0" fontId="171" fillId="0" borderId="20" xfId="0" applyFont="1" applyBorder="1" applyAlignment="1">
      <alignment vertical="top"/>
    </xf>
    <xf numFmtId="177" fontId="171" fillId="2" borderId="20" xfId="0" applyNumberFormat="1" applyFont="1" applyFill="1" applyBorder="1" applyAlignment="1">
      <alignment vertical="top"/>
    </xf>
    <xf numFmtId="0" fontId="200" fillId="41" borderId="0" xfId="0" applyFont="1" applyFill="1" applyAlignment="1">
      <alignment vertical="top"/>
    </xf>
    <xf numFmtId="0" fontId="201" fillId="41" borderId="0" xfId="0" applyFont="1" applyFill="1" applyAlignment="1">
      <alignment vertical="top"/>
    </xf>
    <xf numFmtId="0" fontId="177" fillId="0" borderId="20" xfId="0" applyFont="1" applyBorder="1" applyAlignment="1">
      <alignment horizontal="center" vertical="top"/>
    </xf>
    <xf numFmtId="0" fontId="171" fillId="2" borderId="20" xfId="0" applyFont="1" applyFill="1" applyBorder="1" applyAlignment="1">
      <alignment horizontal="center" vertical="top"/>
    </xf>
    <xf numFmtId="2" fontId="171" fillId="2" borderId="20" xfId="0" applyNumberFormat="1" applyFont="1" applyFill="1" applyBorder="1" applyAlignment="1">
      <alignment horizontal="center" vertical="top"/>
    </xf>
    <xf numFmtId="0" fontId="205" fillId="0" borderId="0" xfId="0" applyFont="1" applyAlignment="1">
      <alignment vertical="top"/>
    </xf>
    <xf numFmtId="0" fontId="215" fillId="40" borderId="0" xfId="0" applyFont="1" applyFill="1" applyBorder="1" applyAlignment="1"/>
    <xf numFmtId="0" fontId="216" fillId="40" borderId="0" xfId="0" applyFont="1" applyFill="1" applyBorder="1" applyAlignment="1"/>
    <xf numFmtId="0" fontId="217" fillId="40" borderId="0" xfId="0" applyFont="1" applyFill="1" applyBorder="1" applyAlignment="1">
      <alignment horizontal="right" vertical="center"/>
    </xf>
    <xf numFmtId="0" fontId="217" fillId="40" borderId="0" xfId="0" applyFont="1" applyFill="1" applyBorder="1" applyAlignment="1">
      <alignment horizontal="center" vertical="center"/>
    </xf>
    <xf numFmtId="0" fontId="217" fillId="40" borderId="0" xfId="0" applyFont="1" applyFill="1" applyBorder="1" applyAlignment="1">
      <alignment horizontal="left" vertical="center" shrinkToFit="1"/>
    </xf>
    <xf numFmtId="0" fontId="217" fillId="40" borderId="0" xfId="0" applyFont="1" applyFill="1" applyBorder="1" applyAlignment="1">
      <alignment shrinkToFit="1"/>
    </xf>
    <xf numFmtId="0" fontId="217" fillId="40" borderId="0" xfId="0" applyFont="1" applyFill="1" applyBorder="1" applyAlignment="1">
      <alignment horizontal="right"/>
    </xf>
    <xf numFmtId="0" fontId="218" fillId="40" borderId="0" xfId="0" applyFont="1" applyFill="1" applyBorder="1" applyAlignment="1">
      <alignment horizontal="right"/>
    </xf>
    <xf numFmtId="0" fontId="217" fillId="40" borderId="0" xfId="0" applyFont="1" applyFill="1" applyBorder="1"/>
    <xf numFmtId="0" fontId="217" fillId="40" borderId="0" xfId="0" applyFont="1" applyFill="1" applyBorder="1" applyAlignment="1">
      <alignment horizontal="center"/>
    </xf>
    <xf numFmtId="0" fontId="216" fillId="40" borderId="0" xfId="5" applyFont="1" applyFill="1" applyBorder="1" applyAlignment="1">
      <alignment horizontal="center" wrapText="1"/>
    </xf>
    <xf numFmtId="0" fontId="216" fillId="40" borderId="0" xfId="5" applyFont="1" applyFill="1" applyBorder="1" applyAlignment="1">
      <alignment horizontal="center" vertical="center"/>
    </xf>
    <xf numFmtId="0" fontId="216" fillId="40" borderId="0" xfId="5" applyFont="1" applyFill="1" applyBorder="1" applyAlignment="1">
      <alignment horizontal="center" vertical="center" wrapText="1"/>
    </xf>
    <xf numFmtId="0" fontId="216" fillId="40" borderId="0" xfId="5" applyFont="1" applyFill="1" applyBorder="1" applyAlignment="1">
      <alignment horizontal="center" vertical="center" shrinkToFit="1"/>
    </xf>
    <xf numFmtId="0" fontId="216" fillId="40" borderId="0" xfId="5" applyFont="1" applyFill="1" applyBorder="1" applyAlignment="1">
      <alignment horizontal="center" shrinkToFit="1"/>
    </xf>
    <xf numFmtId="0" fontId="216" fillId="40" borderId="0" xfId="0" applyFont="1" applyFill="1" applyBorder="1" applyAlignment="1">
      <alignment horizontal="center" shrinkToFit="1"/>
    </xf>
    <xf numFmtId="0" fontId="218" fillId="40" borderId="0" xfId="0" applyFont="1" applyFill="1" applyBorder="1" applyAlignment="1">
      <alignment horizontal="center"/>
    </xf>
    <xf numFmtId="0" fontId="217" fillId="0" borderId="0" xfId="0" applyFont="1" applyFill="1" applyBorder="1" applyAlignment="1">
      <alignment horizontal="center"/>
    </xf>
    <xf numFmtId="0" fontId="216" fillId="0" borderId="0" xfId="5" applyFont="1" applyFill="1" applyBorder="1" applyAlignment="1">
      <alignment horizontal="center" wrapText="1"/>
    </xf>
    <xf numFmtId="0" fontId="216" fillId="0" borderId="0" xfId="5" applyFont="1" applyFill="1" applyBorder="1" applyAlignment="1">
      <alignment horizontal="center" vertical="center"/>
    </xf>
    <xf numFmtId="0" fontId="216" fillId="0" borderId="0" xfId="5" applyFont="1" applyFill="1" applyBorder="1" applyAlignment="1">
      <alignment horizontal="center" vertical="center" wrapText="1"/>
    </xf>
    <xf numFmtId="0" fontId="216" fillId="0" borderId="0" xfId="5" applyFont="1" applyFill="1" applyBorder="1" applyAlignment="1">
      <alignment horizontal="center" vertical="center" shrinkToFit="1"/>
    </xf>
    <xf numFmtId="0" fontId="216" fillId="0" borderId="0" xfId="5" applyFont="1" applyFill="1" applyBorder="1" applyAlignment="1">
      <alignment horizontal="center" shrinkToFit="1"/>
    </xf>
    <xf numFmtId="0" fontId="216" fillId="0" borderId="0" xfId="0" applyFont="1" applyFill="1" applyBorder="1" applyAlignment="1">
      <alignment horizontal="center" shrinkToFit="1"/>
    </xf>
    <xf numFmtId="0" fontId="218" fillId="0" borderId="0" xfId="0" applyFont="1" applyFill="1" applyBorder="1" applyAlignment="1">
      <alignment horizontal="center"/>
    </xf>
    <xf numFmtId="0" fontId="219" fillId="40" borderId="0" xfId="0" applyFont="1" applyFill="1" applyAlignment="1">
      <alignment vertical="center"/>
    </xf>
    <xf numFmtId="0" fontId="216" fillId="40" borderId="0" xfId="0" applyFont="1" applyFill="1" applyAlignment="1">
      <alignment vertical="center"/>
    </xf>
    <xf numFmtId="0" fontId="219" fillId="40" borderId="0" xfId="0" applyFont="1" applyFill="1" applyAlignment="1">
      <alignment vertical="center" shrinkToFit="1"/>
    </xf>
    <xf numFmtId="0" fontId="219" fillId="40" borderId="0" xfId="0" applyFont="1" applyFill="1" applyAlignment="1">
      <alignment horizontal="left" vertical="center"/>
    </xf>
    <xf numFmtId="0" fontId="217" fillId="0" borderId="0" xfId="0" applyFont="1" applyBorder="1"/>
    <xf numFmtId="0" fontId="220" fillId="0" borderId="0" xfId="0" applyFont="1" applyFill="1" applyBorder="1" applyAlignment="1">
      <alignment vertical="center"/>
    </xf>
    <xf numFmtId="0" fontId="217" fillId="0" borderId="0" xfId="0" applyFont="1" applyBorder="1" applyAlignment="1">
      <alignment horizontal="right" vertical="center"/>
    </xf>
    <xf numFmtId="0" fontId="217" fillId="0" borderId="0" xfId="0" applyFont="1" applyBorder="1" applyAlignment="1">
      <alignment horizontal="center" vertical="center"/>
    </xf>
    <xf numFmtId="0" fontId="217" fillId="0" borderId="0" xfId="0" applyFont="1" applyFill="1" applyBorder="1" applyAlignment="1">
      <alignment horizontal="left" vertical="center" shrinkToFit="1"/>
    </xf>
    <xf numFmtId="0" fontId="217" fillId="0" borderId="0" xfId="0" applyFont="1" applyBorder="1" applyAlignment="1">
      <alignment shrinkToFit="1"/>
    </xf>
    <xf numFmtId="0" fontId="217" fillId="0" borderId="0" xfId="0" applyFont="1" applyBorder="1" applyAlignment="1">
      <alignment horizontal="right"/>
    </xf>
    <xf numFmtId="0" fontId="218" fillId="0" borderId="0" xfId="0" applyFont="1" applyBorder="1" applyAlignment="1">
      <alignment horizontal="right"/>
    </xf>
    <xf numFmtId="0" fontId="221" fillId="0" borderId="0" xfId="0" applyFont="1" applyBorder="1" applyAlignment="1">
      <alignment horizontal="left" vertical="center" wrapText="1"/>
    </xf>
    <xf numFmtId="0" fontId="221" fillId="0" borderId="0" xfId="0" applyFont="1" applyBorder="1" applyAlignment="1">
      <alignment horizontal="left" vertical="center" wrapText="1" indent="2"/>
    </xf>
    <xf numFmtId="0" fontId="217" fillId="0" borderId="0" xfId="0" applyFont="1" applyBorder="1" applyAlignment="1">
      <alignment horizontal="center" vertical="center" wrapText="1"/>
    </xf>
    <xf numFmtId="0" fontId="217" fillId="0" borderId="0" xfId="0" applyFont="1" applyAlignment="1">
      <alignment shrinkToFit="1"/>
    </xf>
    <xf numFmtId="0" fontId="217" fillId="0" borderId="0" xfId="0" applyFont="1"/>
    <xf numFmtId="0" fontId="217" fillId="0" borderId="0" xfId="0" applyFont="1" applyBorder="1" applyAlignment="1">
      <alignment horizontal="left" wrapText="1" indent="4"/>
    </xf>
    <xf numFmtId="44" fontId="218" fillId="2" borderId="0" xfId="4" applyNumberFormat="1" applyFont="1" applyFill="1" applyBorder="1" applyAlignment="1">
      <alignment horizontal="right" vertical="center"/>
    </xf>
    <xf numFmtId="44" fontId="218" fillId="0" borderId="0" xfId="4" applyNumberFormat="1" applyFont="1" applyFill="1" applyBorder="1" applyAlignment="1">
      <alignment horizontal="right" vertical="center"/>
    </xf>
    <xf numFmtId="0" fontId="222" fillId="0" borderId="0" xfId="0" applyFont="1" applyFill="1" applyBorder="1" applyAlignment="1">
      <alignment horizontal="center" vertical="center"/>
    </xf>
    <xf numFmtId="171" fontId="225" fillId="37" borderId="0" xfId="4" applyNumberFormat="1" applyFont="1" applyFill="1" applyBorder="1" applyAlignment="1">
      <alignment horizontal="right" vertical="center"/>
    </xf>
    <xf numFmtId="2" fontId="225" fillId="0" borderId="0" xfId="0" applyNumberFormat="1" applyFont="1" applyBorder="1"/>
    <xf numFmtId="0" fontId="218" fillId="0" borderId="0" xfId="0" applyFont="1" applyFill="1" applyBorder="1" applyAlignment="1">
      <alignment horizontal="center" vertical="center"/>
    </xf>
    <xf numFmtId="0" fontId="221" fillId="0" borderId="0" xfId="0" applyFont="1" applyBorder="1" applyAlignment="1">
      <alignment horizontal="left" wrapText="1" indent="2"/>
    </xf>
    <xf numFmtId="171" fontId="218" fillId="0" borderId="0" xfId="0" applyNumberFormat="1" applyFont="1" applyFill="1" applyBorder="1" applyAlignment="1">
      <alignment horizontal="right" vertical="center"/>
    </xf>
    <xf numFmtId="171" fontId="225" fillId="0" borderId="0" xfId="0" applyNumberFormat="1" applyFont="1" applyFill="1" applyBorder="1" applyAlignment="1">
      <alignment horizontal="right" vertical="center"/>
    </xf>
    <xf numFmtId="0" fontId="217" fillId="0" borderId="0" xfId="0" applyFont="1" applyFill="1" applyBorder="1" applyAlignment="1">
      <alignment horizontal="left" wrapText="1" indent="4"/>
    </xf>
    <xf numFmtId="0" fontId="217" fillId="0" borderId="0" xfId="0" applyFont="1" applyFill="1" applyBorder="1" applyAlignment="1">
      <alignment horizontal="center" vertical="center"/>
    </xf>
    <xf numFmtId="0" fontId="217" fillId="0" borderId="0" xfId="0" applyFont="1" applyFill="1" applyBorder="1" applyAlignment="1">
      <alignment horizontal="left" wrapText="1" indent="6"/>
    </xf>
    <xf numFmtId="173" fontId="217" fillId="0" borderId="0" xfId="0" applyNumberFormat="1" applyFont="1" applyFill="1" applyBorder="1" applyAlignment="1">
      <alignment horizontal="left" vertical="center" shrinkToFit="1"/>
    </xf>
    <xf numFmtId="171" fontId="225" fillId="0" borderId="0" xfId="0" applyNumberFormat="1" applyFont="1" applyBorder="1" applyAlignment="1">
      <alignment horizontal="right" vertical="center"/>
    </xf>
    <xf numFmtId="171" fontId="225" fillId="0" borderId="0" xfId="4" applyNumberFormat="1" applyFont="1" applyFill="1" applyBorder="1" applyAlignment="1">
      <alignment horizontal="right" vertical="center"/>
    </xf>
    <xf numFmtId="171" fontId="218" fillId="0" borderId="0" xfId="0" applyNumberFormat="1" applyFont="1" applyFill="1" applyBorder="1" applyAlignment="1">
      <alignment horizontal="left" vertical="center"/>
    </xf>
    <xf numFmtId="171" fontId="225" fillId="0" borderId="0" xfId="0" applyNumberFormat="1" applyFont="1" applyFill="1" applyBorder="1" applyAlignment="1">
      <alignment horizontal="left" vertical="center"/>
    </xf>
    <xf numFmtId="0" fontId="217" fillId="0" borderId="0" xfId="0" applyFont="1" applyFill="1" applyBorder="1" applyAlignment="1">
      <alignment horizontal="left" vertical="center"/>
    </xf>
    <xf numFmtId="0" fontId="181" fillId="0" borderId="0" xfId="0" applyFont="1" applyFill="1" applyBorder="1" applyAlignment="1">
      <alignment horizontal="left" vertical="center" shrinkToFit="1"/>
    </xf>
    <xf numFmtId="0" fontId="219" fillId="38" borderId="0" xfId="0" applyFont="1" applyFill="1" applyAlignment="1">
      <alignment vertical="center"/>
    </xf>
    <xf numFmtId="0" fontId="216" fillId="38" borderId="0" xfId="0" applyFont="1" applyFill="1" applyAlignment="1">
      <alignment vertical="center"/>
    </xf>
    <xf numFmtId="0" fontId="219" fillId="38" borderId="0" xfId="0" applyFont="1" applyFill="1" applyAlignment="1">
      <alignment vertical="center" shrinkToFit="1"/>
    </xf>
    <xf numFmtId="0" fontId="217" fillId="38" borderId="0" xfId="0" applyFont="1" applyFill="1" applyBorder="1" applyAlignment="1">
      <alignment horizontal="right"/>
    </xf>
    <xf numFmtId="0" fontId="217" fillId="38" borderId="0" xfId="0" applyFont="1" applyFill="1" applyBorder="1"/>
    <xf numFmtId="0" fontId="217" fillId="4" borderId="0" xfId="0" applyFont="1" applyFill="1" applyBorder="1" applyAlignment="1">
      <alignment horizontal="left" vertical="center" shrinkToFit="1"/>
    </xf>
    <xf numFmtId="0" fontId="217" fillId="4" borderId="0" xfId="0" applyFont="1" applyFill="1" applyBorder="1" applyAlignment="1">
      <alignment shrinkToFit="1"/>
    </xf>
    <xf numFmtId="0" fontId="217" fillId="4" borderId="0" xfId="0" applyFont="1" applyFill="1" applyBorder="1" applyAlignment="1">
      <alignment horizontal="right"/>
    </xf>
    <xf numFmtId="44" fontId="217" fillId="0" borderId="0" xfId="0" applyNumberFormat="1" applyFont="1" applyBorder="1" applyAlignment="1">
      <alignment horizontal="right" vertical="center"/>
    </xf>
    <xf numFmtId="0" fontId="221" fillId="4" borderId="0" xfId="0" applyFont="1" applyFill="1" applyBorder="1" applyAlignment="1">
      <alignment horizontal="right" wrapText="1" shrinkToFit="1"/>
    </xf>
    <xf numFmtId="0" fontId="221" fillId="4" borderId="0" xfId="0" applyFont="1" applyFill="1" applyBorder="1" applyAlignment="1">
      <alignment horizontal="right"/>
    </xf>
    <xf numFmtId="165" fontId="222" fillId="0" borderId="20" xfId="0" applyNumberFormat="1" applyFont="1" applyBorder="1" applyAlignment="1">
      <alignment horizontal="right"/>
    </xf>
    <xf numFmtId="168" fontId="217" fillId="0" borderId="20" xfId="1" applyNumberFormat="1" applyFont="1" applyBorder="1" applyAlignment="1">
      <alignment horizontal="right"/>
    </xf>
    <xf numFmtId="44" fontId="220" fillId="0" borderId="0" xfId="4" applyNumberFormat="1" applyFont="1" applyFill="1" applyBorder="1" applyAlignment="1">
      <alignment horizontal="right" vertical="center"/>
    </xf>
    <xf numFmtId="44" fontId="217" fillId="0" borderId="0" xfId="0" applyNumberFormat="1" applyFont="1" applyFill="1" applyBorder="1" applyAlignment="1">
      <alignment horizontal="left" vertical="center" shrinkToFit="1"/>
    </xf>
    <xf numFmtId="0" fontId="226" fillId="0" borderId="0" xfId="17" applyFont="1" applyBorder="1" applyAlignment="1" applyProtection="1">
      <alignment horizontal="right"/>
    </xf>
    <xf numFmtId="165" fontId="227" fillId="0" borderId="0" xfId="1" applyNumberFormat="1" applyFont="1" applyBorder="1" applyAlignment="1">
      <alignment horizontal="right"/>
    </xf>
    <xf numFmtId="168" fontId="217" fillId="0" borderId="0" xfId="1" applyNumberFormat="1" applyFont="1" applyBorder="1" applyAlignment="1">
      <alignment horizontal="right"/>
    </xf>
    <xf numFmtId="165" fontId="218" fillId="0" borderId="0" xfId="0" applyNumberFormat="1" applyFont="1" applyBorder="1" applyAlignment="1">
      <alignment horizontal="right"/>
    </xf>
    <xf numFmtId="168" fontId="217" fillId="0" borderId="0" xfId="0" applyNumberFormat="1" applyFont="1" applyBorder="1" applyAlignment="1">
      <alignment horizontal="right"/>
    </xf>
    <xf numFmtId="165" fontId="222" fillId="0" borderId="0" xfId="0" applyNumberFormat="1" applyFont="1" applyFill="1" applyBorder="1" applyAlignment="1">
      <alignment horizontal="right"/>
    </xf>
    <xf numFmtId="0" fontId="228" fillId="0" borderId="0" xfId="0" applyFont="1" applyBorder="1"/>
    <xf numFmtId="0" fontId="223" fillId="0" borderId="0" xfId="0" applyFont="1" applyBorder="1"/>
    <xf numFmtId="165" fontId="222" fillId="0" borderId="0" xfId="0" applyNumberFormat="1" applyFont="1" applyBorder="1" applyAlignment="1">
      <alignment horizontal="right"/>
    </xf>
    <xf numFmtId="0" fontId="221" fillId="0" borderId="0" xfId="0" applyFont="1" applyFill="1" applyBorder="1" applyAlignment="1">
      <alignment horizontal="left" wrapText="1" indent="2"/>
    </xf>
    <xf numFmtId="0" fontId="219" fillId="40" borderId="0" xfId="0" applyFont="1" applyFill="1" applyBorder="1"/>
    <xf numFmtId="0" fontId="216" fillId="40" borderId="0" xfId="0" applyFont="1" applyFill="1" applyBorder="1" applyAlignment="1">
      <alignment wrapText="1"/>
    </xf>
    <xf numFmtId="0" fontId="219" fillId="40" borderId="0" xfId="0" applyFont="1" applyFill="1" applyBorder="1" applyAlignment="1">
      <alignment horizontal="right" vertical="center"/>
    </xf>
    <xf numFmtId="0" fontId="219" fillId="40" borderId="0" xfId="0" applyFont="1" applyFill="1" applyBorder="1" applyAlignment="1">
      <alignment horizontal="center" vertical="center"/>
    </xf>
    <xf numFmtId="0" fontId="219" fillId="40" borderId="0" xfId="0" applyFont="1" applyFill="1" applyBorder="1" applyAlignment="1">
      <alignment horizontal="left" vertical="center" shrinkToFit="1"/>
    </xf>
    <xf numFmtId="0" fontId="219" fillId="40" borderId="0" xfId="0" applyFont="1" applyFill="1" applyBorder="1" applyAlignment="1">
      <alignment shrinkToFit="1"/>
    </xf>
    <xf numFmtId="0" fontId="219" fillId="40" borderId="0" xfId="0" applyFont="1" applyFill="1" applyBorder="1" applyAlignment="1">
      <alignment horizontal="right"/>
    </xf>
    <xf numFmtId="0" fontId="219" fillId="0" borderId="0" xfId="0" applyFont="1" applyFill="1" applyBorder="1"/>
    <xf numFmtId="0" fontId="216" fillId="0" borderId="0" xfId="0" applyFont="1" applyFill="1" applyBorder="1" applyAlignment="1">
      <alignment wrapText="1"/>
    </xf>
    <xf numFmtId="0" fontId="219" fillId="0" borderId="0" xfId="0" applyFont="1" applyFill="1" applyBorder="1" applyAlignment="1">
      <alignment horizontal="right" vertical="center"/>
    </xf>
    <xf numFmtId="0" fontId="219" fillId="0" borderId="0" xfId="0" applyFont="1" applyFill="1" applyBorder="1" applyAlignment="1">
      <alignment horizontal="center" vertical="center"/>
    </xf>
    <xf numFmtId="0" fontId="219" fillId="0" borderId="0" xfId="0" applyFont="1" applyFill="1" applyBorder="1" applyAlignment="1">
      <alignment horizontal="left" vertical="center" shrinkToFit="1"/>
    </xf>
    <xf numFmtId="0" fontId="219" fillId="0" borderId="0" xfId="0" applyFont="1" applyFill="1" applyBorder="1" applyAlignment="1">
      <alignment shrinkToFit="1"/>
    </xf>
    <xf numFmtId="0" fontId="219" fillId="0" borderId="0" xfId="0" applyFont="1" applyFill="1" applyBorder="1" applyAlignment="1">
      <alignment horizontal="right"/>
    </xf>
    <xf numFmtId="0" fontId="218" fillId="0" borderId="0" xfId="0" applyFont="1" applyFill="1" applyBorder="1" applyAlignment="1">
      <alignment horizontal="right"/>
    </xf>
    <xf numFmtId="0" fontId="218" fillId="0" borderId="0" xfId="0" applyFont="1" applyFill="1" applyBorder="1" applyAlignment="1"/>
    <xf numFmtId="0" fontId="219" fillId="0" borderId="0" xfId="0" applyFont="1" applyFill="1" applyBorder="1" applyAlignment="1"/>
    <xf numFmtId="0" fontId="217" fillId="0" borderId="0" xfId="0" applyFont="1" applyFill="1" applyBorder="1"/>
    <xf numFmtId="0" fontId="220" fillId="0" borderId="0" xfId="0" applyFont="1" applyBorder="1" applyAlignment="1">
      <alignment horizontal="left" vertical="center"/>
    </xf>
    <xf numFmtId="0" fontId="223" fillId="0" borderId="0" xfId="0" applyFont="1" applyBorder="1" applyAlignment="1">
      <alignment horizontal="left"/>
    </xf>
    <xf numFmtId="171" fontId="217" fillId="0" borderId="0" xfId="0" applyNumberFormat="1" applyFont="1" applyFill="1" applyBorder="1" applyAlignment="1">
      <alignment horizontal="right" vertical="center"/>
    </xf>
    <xf numFmtId="0" fontId="217" fillId="0" borderId="0" xfId="0" applyFont="1" applyFill="1" applyBorder="1" applyAlignment="1">
      <alignment shrinkToFit="1"/>
    </xf>
    <xf numFmtId="0" fontId="217" fillId="0" borderId="0" xfId="0" applyFont="1" applyFill="1" applyBorder="1" applyAlignment="1">
      <alignment horizontal="right"/>
    </xf>
    <xf numFmtId="0" fontId="217" fillId="0" borderId="0" xfId="0" applyFont="1" applyBorder="1" applyAlignment="1">
      <alignment horizontal="left" vertical="center"/>
    </xf>
    <xf numFmtId="0" fontId="217" fillId="0" borderId="0" xfId="0" applyFont="1" applyBorder="1" applyAlignment="1"/>
    <xf numFmtId="0" fontId="217" fillId="0" borderId="0" xfId="0" applyFont="1" applyBorder="1" applyAlignment="1">
      <alignment horizontal="left"/>
    </xf>
    <xf numFmtId="0" fontId="217" fillId="0" borderId="0" xfId="0" applyFont="1" applyBorder="1" applyAlignment="1">
      <alignment vertical="center"/>
    </xf>
    <xf numFmtId="2" fontId="220" fillId="2" borderId="28" xfId="0" applyNumberFormat="1" applyFont="1" applyFill="1" applyBorder="1" applyAlignment="1">
      <alignment horizontal="right" vertical="center"/>
    </xf>
    <xf numFmtId="0" fontId="217" fillId="0" borderId="0" xfId="0" applyFont="1" applyFill="1" applyBorder="1" applyAlignment="1">
      <alignment horizontal="right" vertical="center"/>
    </xf>
    <xf numFmtId="0" fontId="217" fillId="0" borderId="0" xfId="0" applyFont="1" applyAlignment="1">
      <alignment vertical="center" wrapText="1" shrinkToFit="1"/>
    </xf>
    <xf numFmtId="2" fontId="220" fillId="2" borderId="30" xfId="0" applyNumberFormat="1" applyFont="1" applyFill="1" applyBorder="1" applyAlignment="1">
      <alignment horizontal="right" vertical="center"/>
    </xf>
    <xf numFmtId="0" fontId="230" fillId="0" borderId="0" xfId="17" applyFont="1" applyBorder="1" applyAlignment="1" applyProtection="1">
      <alignment wrapText="1" shrinkToFit="1"/>
    </xf>
    <xf numFmtId="0" fontId="217" fillId="0" borderId="0" xfId="0" applyFont="1" applyBorder="1" applyAlignment="1">
      <alignment horizontal="left" vertical="center" indent="3"/>
    </xf>
    <xf numFmtId="0" fontId="224" fillId="0" borderId="0" xfId="17" applyFont="1" applyBorder="1" applyAlignment="1" applyProtection="1">
      <alignment wrapText="1" shrinkToFit="1"/>
    </xf>
    <xf numFmtId="0" fontId="217" fillId="0" borderId="0" xfId="0" applyFont="1" applyBorder="1" applyAlignment="1">
      <alignment wrapText="1" shrinkToFit="1"/>
    </xf>
    <xf numFmtId="0" fontId="220" fillId="0" borderId="0" xfId="0" applyFont="1" applyBorder="1" applyAlignment="1">
      <alignment horizontal="left" vertical="center" indent="3"/>
    </xf>
    <xf numFmtId="0" fontId="221" fillId="0" borderId="20" xfId="0" applyFont="1" applyFill="1" applyBorder="1" applyAlignment="1">
      <alignment horizontal="left" vertical="center" indent="3"/>
    </xf>
    <xf numFmtId="2" fontId="220" fillId="0" borderId="20" xfId="0" applyNumberFormat="1" applyFont="1" applyFill="1" applyBorder="1" applyAlignment="1">
      <alignment horizontal="right" vertical="center"/>
    </xf>
    <xf numFmtId="0" fontId="217" fillId="4" borderId="20" xfId="0" applyFont="1" applyFill="1" applyBorder="1" applyAlignment="1">
      <alignment horizontal="left" vertical="center" indent="3"/>
    </xf>
    <xf numFmtId="2" fontId="220" fillId="2" borderId="20" xfId="0" applyNumberFormat="1" applyFont="1" applyFill="1" applyBorder="1" applyAlignment="1">
      <alignment horizontal="right" vertical="center"/>
    </xf>
    <xf numFmtId="0" fontId="217" fillId="0" borderId="20" xfId="0" applyFont="1" applyFill="1" applyBorder="1" applyAlignment="1">
      <alignment horizontal="left" vertical="center" indent="3"/>
    </xf>
    <xf numFmtId="2" fontId="220" fillId="98" borderId="20" xfId="0" applyNumberFormat="1" applyFont="1" applyFill="1" applyBorder="1" applyAlignment="1">
      <alignment horizontal="right" vertical="center"/>
    </xf>
    <xf numFmtId="0" fontId="217" fillId="0" borderId="92" xfId="0" applyFont="1" applyFill="1" applyBorder="1" applyAlignment="1">
      <alignment vertical="center"/>
    </xf>
    <xf numFmtId="0" fontId="217" fillId="0" borderId="0" xfId="0" applyFont="1" applyFill="1" applyBorder="1" applyAlignment="1">
      <alignment vertical="center"/>
    </xf>
    <xf numFmtId="0" fontId="224" fillId="0" borderId="0" xfId="17" applyFont="1" applyBorder="1" applyAlignment="1" applyProtection="1">
      <alignment shrinkToFit="1"/>
    </xf>
    <xf numFmtId="0" fontId="217" fillId="0" borderId="0" xfId="0" applyFont="1" applyAlignment="1">
      <alignment vertical="center" shrinkToFit="1"/>
    </xf>
    <xf numFmtId="0" fontId="217" fillId="0" borderId="0" xfId="0" applyFont="1" applyBorder="1" applyAlignment="1">
      <alignment wrapText="1"/>
    </xf>
    <xf numFmtId="0" fontId="220" fillId="0" borderId="0" xfId="0" applyFont="1" applyAlignment="1">
      <alignment vertical="center"/>
    </xf>
    <xf numFmtId="0" fontId="179" fillId="40" borderId="0" xfId="0" applyFont="1" applyFill="1" applyBorder="1" applyAlignment="1">
      <alignment vertical="top"/>
    </xf>
    <xf numFmtId="0" fontId="226" fillId="0" borderId="0" xfId="17" applyFont="1" applyBorder="1" applyAlignment="1" applyProtection="1">
      <alignment horizontal="left" vertical="top"/>
    </xf>
    <xf numFmtId="2" fontId="31" fillId="2" borderId="20" xfId="0" applyNumberFormat="1" applyFont="1" applyFill="1" applyBorder="1" applyAlignment="1">
      <alignment horizontal="center" vertical="center" wrapText="1"/>
    </xf>
    <xf numFmtId="0" fontId="179" fillId="40" borderId="0" xfId="0" applyFont="1" applyFill="1" applyAlignment="1">
      <alignment vertical="center"/>
    </xf>
    <xf numFmtId="207" fontId="7" fillId="2" borderId="20" xfId="3" applyNumberFormat="1" applyFont="1" applyFill="1" applyBorder="1" applyAlignment="1">
      <alignment horizontal="right" vertical="center"/>
    </xf>
    <xf numFmtId="42" fontId="7" fillId="2" borderId="20" xfId="3" applyNumberFormat="1" applyFont="1" applyFill="1" applyBorder="1" applyAlignment="1">
      <alignment horizontal="right" vertical="center"/>
    </xf>
    <xf numFmtId="208" fontId="7" fillId="2" borderId="20" xfId="3" applyNumberFormat="1" applyFont="1" applyFill="1" applyBorder="1" applyAlignment="1">
      <alignment horizontal="right" vertical="center"/>
    </xf>
    <xf numFmtId="0" fontId="34" fillId="0" borderId="0" xfId="17" applyFont="1" applyFill="1" applyBorder="1" applyAlignment="1" applyProtection="1">
      <alignment horizontal="left" vertical="center"/>
      <protection hidden="1"/>
    </xf>
    <xf numFmtId="0" fontId="33" fillId="0" borderId="0" xfId="17" applyFill="1" applyBorder="1" applyAlignment="1" applyProtection="1">
      <alignment horizontal="left" vertical="center"/>
      <protection hidden="1"/>
    </xf>
    <xf numFmtId="0" fontId="36" fillId="0" borderId="0" xfId="0" applyFont="1" applyBorder="1" applyAlignment="1">
      <alignment horizontal="right"/>
    </xf>
    <xf numFmtId="209" fontId="36" fillId="0" borderId="28" xfId="3" applyNumberFormat="1" applyFont="1" applyBorder="1" applyAlignment="1">
      <alignment horizontal="right" vertical="center"/>
    </xf>
    <xf numFmtId="167" fontId="36" fillId="0" borderId="28" xfId="3" applyNumberFormat="1" applyFont="1" applyBorder="1" applyAlignment="1">
      <alignment horizontal="right" vertical="center"/>
    </xf>
    <xf numFmtId="169" fontId="36" fillId="0" borderId="36" xfId="3" applyNumberFormat="1" applyFont="1" applyBorder="1" applyAlignment="1">
      <alignment horizontal="right" vertical="center"/>
    </xf>
    <xf numFmtId="209" fontId="36" fillId="0" borderId="29" xfId="3" applyNumberFormat="1" applyFont="1" applyBorder="1" applyAlignment="1">
      <alignment horizontal="right" vertical="center"/>
    </xf>
    <xf numFmtId="167" fontId="36" fillId="0" borderId="29" xfId="3" applyNumberFormat="1" applyFont="1" applyBorder="1" applyAlignment="1">
      <alignment horizontal="right" vertical="center"/>
    </xf>
    <xf numFmtId="169" fontId="36" fillId="0" borderId="34" xfId="3" applyNumberFormat="1" applyFont="1" applyBorder="1" applyAlignment="1">
      <alignment horizontal="right" vertical="center"/>
    </xf>
    <xf numFmtId="209" fontId="36" fillId="0" borderId="30" xfId="3" applyNumberFormat="1" applyFont="1" applyBorder="1" applyAlignment="1">
      <alignment horizontal="right" vertical="center"/>
    </xf>
    <xf numFmtId="167" fontId="36" fillId="0" borderId="30" xfId="3" applyNumberFormat="1" applyFont="1" applyBorder="1" applyAlignment="1">
      <alignment horizontal="right" vertical="center"/>
    </xf>
    <xf numFmtId="169" fontId="36" fillId="0" borderId="35" xfId="3" applyNumberFormat="1" applyFont="1" applyBorder="1" applyAlignment="1">
      <alignment horizontal="right" vertical="center"/>
    </xf>
    <xf numFmtId="0" fontId="226" fillId="0" borderId="0" xfId="17" applyFont="1" applyBorder="1" applyAlignment="1" applyProtection="1">
      <alignment horizontal="left" vertical="center"/>
    </xf>
    <xf numFmtId="4" fontId="48" fillId="0" borderId="20" xfId="0" applyNumberFormat="1" applyFont="1" applyFill="1" applyBorder="1" applyAlignment="1">
      <alignment horizontal="right" vertical="top" wrapText="1"/>
    </xf>
    <xf numFmtId="0" fontId="231" fillId="0" borderId="0" xfId="0" applyFont="1"/>
    <xf numFmtId="0" fontId="29" fillId="43" borderId="20" xfId="0" applyFont="1" applyFill="1" applyBorder="1" applyAlignment="1">
      <alignment horizontal="center" vertical="center"/>
    </xf>
    <xf numFmtId="10" fontId="29" fillId="43" borderId="20" xfId="0" applyNumberFormat="1" applyFont="1" applyFill="1" applyBorder="1" applyAlignment="1">
      <alignment horizontal="center" vertical="top"/>
    </xf>
    <xf numFmtId="0" fontId="232" fillId="0" borderId="0" xfId="0" applyFont="1"/>
    <xf numFmtId="4" fontId="233" fillId="0" borderId="20" xfId="0" applyNumberFormat="1" applyFont="1" applyFill="1" applyBorder="1" applyAlignment="1">
      <alignment horizontal="right" vertical="top" wrapText="1"/>
    </xf>
    <xf numFmtId="166" fontId="231" fillId="0" borderId="0" xfId="0" applyNumberFormat="1" applyFont="1"/>
    <xf numFmtId="0" fontId="31" fillId="4" borderId="0" xfId="0" applyFont="1" applyFill="1" applyAlignment="1">
      <alignment vertical="center"/>
    </xf>
    <xf numFmtId="0" fontId="30" fillId="4" borderId="0" xfId="0" applyFont="1" applyFill="1" applyBorder="1" applyAlignment="1">
      <alignment horizontal="right" vertical="top"/>
    </xf>
    <xf numFmtId="0" fontId="33" fillId="0" borderId="0" xfId="17" applyAlignment="1" applyProtection="1">
      <alignment vertical="center"/>
    </xf>
    <xf numFmtId="0" fontId="30" fillId="0" borderId="0" xfId="0" applyFont="1" applyBorder="1" applyAlignment="1">
      <alignment horizontal="center" vertical="center"/>
    </xf>
    <xf numFmtId="0" fontId="30" fillId="0" borderId="0" xfId="0" applyFont="1" applyBorder="1" applyAlignment="1">
      <alignment horizontal="center" vertical="center" wrapText="1"/>
    </xf>
    <xf numFmtId="0" fontId="231" fillId="0" borderId="0" xfId="0" applyFont="1" applyFill="1" applyAlignment="1">
      <alignment vertical="center"/>
    </xf>
    <xf numFmtId="0" fontId="231" fillId="0" borderId="0" xfId="0" applyFont="1" applyFill="1" applyAlignment="1">
      <alignment horizontal="center" vertical="center"/>
    </xf>
    <xf numFmtId="0" fontId="231" fillId="0" borderId="0" xfId="0" applyFont="1" applyFill="1" applyAlignment="1">
      <alignment horizontal="right" vertical="center"/>
    </xf>
    <xf numFmtId="0" fontId="15" fillId="40" borderId="0" xfId="0" applyFont="1" applyFill="1" applyAlignment="1">
      <alignment vertical="top"/>
    </xf>
    <xf numFmtId="0" fontId="15" fillId="40" borderId="0" xfId="0" applyFont="1" applyFill="1" applyAlignment="1">
      <alignment horizontal="left" vertical="top"/>
    </xf>
    <xf numFmtId="0" fontId="15" fillId="40" borderId="22" xfId="0" applyFont="1" applyFill="1" applyBorder="1" applyAlignment="1">
      <alignment vertical="top"/>
    </xf>
    <xf numFmtId="0" fontId="15" fillId="40" borderId="22" xfId="0" applyFont="1" applyFill="1" applyBorder="1" applyAlignment="1">
      <alignment vertical="top" wrapText="1"/>
    </xf>
    <xf numFmtId="0" fontId="15" fillId="40" borderId="22" xfId="0" applyFont="1" applyFill="1" applyBorder="1" applyAlignment="1">
      <alignment horizontal="left" vertical="top"/>
    </xf>
    <xf numFmtId="0" fontId="16" fillId="0" borderId="0" xfId="0" applyFont="1" applyFill="1" applyAlignment="1">
      <alignment vertical="top"/>
    </xf>
    <xf numFmtId="0" fontId="16" fillId="0" borderId="0" xfId="0" applyFont="1" applyFill="1" applyAlignment="1">
      <alignment vertical="top" wrapText="1"/>
    </xf>
    <xf numFmtId="173" fontId="234" fillId="0" borderId="0" xfId="0" applyNumberFormat="1" applyFont="1" applyFill="1" applyAlignment="1">
      <alignment vertical="top"/>
    </xf>
    <xf numFmtId="0" fontId="235" fillId="0" borderId="0" xfId="0" applyFont="1" applyFill="1" applyAlignment="1">
      <alignment vertical="top"/>
    </xf>
    <xf numFmtId="0" fontId="236" fillId="0" borderId="0" xfId="0" applyFont="1" applyFill="1" applyAlignment="1">
      <alignment vertical="top"/>
    </xf>
    <xf numFmtId="0" fontId="104" fillId="0" borderId="0" xfId="0" applyFont="1" applyAlignment="1">
      <alignment vertical="top"/>
    </xf>
    <xf numFmtId="0" fontId="237" fillId="0" borderId="0" xfId="0" applyFont="1" applyAlignment="1">
      <alignment vertical="top"/>
    </xf>
    <xf numFmtId="0" fontId="16" fillId="0" borderId="0" xfId="0" applyFont="1" applyAlignment="1">
      <alignment vertical="top"/>
    </xf>
    <xf numFmtId="0" fontId="238" fillId="0" borderId="0" xfId="0" applyFont="1" applyFill="1" applyAlignment="1">
      <alignment vertical="top" wrapText="1"/>
    </xf>
    <xf numFmtId="0" fontId="16" fillId="2" borderId="0" xfId="0" applyFont="1" applyFill="1"/>
    <xf numFmtId="0" fontId="33" fillId="0" borderId="0" xfId="17" applyFont="1" applyFill="1" applyAlignment="1" applyProtection="1">
      <alignment vertical="top" wrapText="1"/>
    </xf>
    <xf numFmtId="168" fontId="16" fillId="0" borderId="0" xfId="1" applyNumberFormat="1" applyFont="1" applyAlignment="1">
      <alignment vertical="top"/>
    </xf>
    <xf numFmtId="173" fontId="16" fillId="0" borderId="0" xfId="0" applyNumberFormat="1" applyFont="1" applyAlignment="1">
      <alignment vertical="top"/>
    </xf>
    <xf numFmtId="168" fontId="104" fillId="0" borderId="0" xfId="1" applyNumberFormat="1" applyFont="1" applyAlignment="1">
      <alignment vertical="top"/>
    </xf>
    <xf numFmtId="168" fontId="237" fillId="0" borderId="0" xfId="1" applyNumberFormat="1" applyFont="1" applyFill="1" applyAlignment="1">
      <alignment vertical="top"/>
    </xf>
    <xf numFmtId="168" fontId="235" fillId="0" borderId="0" xfId="1" applyNumberFormat="1" applyFont="1" applyAlignment="1">
      <alignment vertical="top"/>
    </xf>
    <xf numFmtId="168" fontId="236" fillId="0" borderId="0" xfId="1" applyNumberFormat="1" applyFont="1" applyAlignment="1">
      <alignment vertical="top"/>
    </xf>
    <xf numFmtId="0" fontId="234" fillId="0" borderId="0" xfId="0" applyFont="1" applyAlignment="1">
      <alignment vertical="top"/>
    </xf>
    <xf numFmtId="0" fontId="235" fillId="0" borderId="0" xfId="0" applyFont="1" applyAlignment="1">
      <alignment vertical="top"/>
    </xf>
    <xf numFmtId="0" fontId="236" fillId="0" borderId="0" xfId="0" applyFont="1" applyAlignment="1">
      <alignment vertical="top"/>
    </xf>
    <xf numFmtId="0" fontId="16" fillId="0" borderId="0" xfId="0" applyFont="1" applyFill="1" applyAlignment="1">
      <alignment horizontal="left" vertical="top" wrapText="1"/>
    </xf>
    <xf numFmtId="173" fontId="16" fillId="2" borderId="0" xfId="0" applyNumberFormat="1" applyFont="1" applyFill="1" applyAlignment="1">
      <alignment vertical="top"/>
    </xf>
    <xf numFmtId="173" fontId="234" fillId="2" borderId="0" xfId="0" applyNumberFormat="1" applyFont="1" applyFill="1" applyAlignment="1">
      <alignment vertical="top"/>
    </xf>
    <xf numFmtId="0" fontId="104" fillId="0" borderId="0" xfId="0" applyFont="1" applyFill="1" applyAlignment="1">
      <alignment horizontal="left" vertical="top" wrapText="1"/>
    </xf>
    <xf numFmtId="173" fontId="104" fillId="0" borderId="0" xfId="0" applyNumberFormat="1" applyFont="1" applyAlignment="1">
      <alignment vertical="top"/>
    </xf>
    <xf numFmtId="173" fontId="104" fillId="0" borderId="0" xfId="0" applyNumberFormat="1" applyFont="1" applyFill="1" applyAlignment="1">
      <alignment vertical="top"/>
    </xf>
    <xf numFmtId="0" fontId="104" fillId="0" borderId="0" xfId="0" applyFont="1" applyFill="1" applyAlignment="1">
      <alignment vertical="top" wrapText="1"/>
    </xf>
    <xf numFmtId="0" fontId="104" fillId="0" borderId="0" xfId="0" applyFont="1" applyAlignment="1">
      <alignment horizontal="left" vertical="top"/>
    </xf>
    <xf numFmtId="0" fontId="104" fillId="0" borderId="0" xfId="0" applyFont="1" applyAlignment="1">
      <alignment horizontal="center" vertical="top"/>
    </xf>
    <xf numFmtId="0" fontId="104" fillId="0" borderId="0" xfId="0" applyFont="1" applyFill="1" applyAlignment="1">
      <alignment vertical="top"/>
    </xf>
    <xf numFmtId="0" fontId="239" fillId="0" borderId="0" xfId="0" applyFont="1" applyAlignment="1">
      <alignment vertical="top"/>
    </xf>
    <xf numFmtId="165" fontId="16" fillId="0" borderId="0" xfId="0" applyNumberFormat="1" applyFont="1" applyAlignment="1">
      <alignment horizontal="left" vertical="top"/>
    </xf>
    <xf numFmtId="0" fontId="235" fillId="4" borderId="0" xfId="0" applyFont="1" applyFill="1" applyAlignment="1">
      <alignment vertical="top" wrapText="1"/>
    </xf>
    <xf numFmtId="0" fontId="16" fillId="0" borderId="0" xfId="0" applyFont="1" applyAlignment="1">
      <alignment horizontal="left" vertical="top"/>
    </xf>
    <xf numFmtId="0" fontId="235" fillId="0" borderId="0" xfId="0" applyFont="1" applyAlignment="1">
      <alignment vertical="top" wrapText="1"/>
    </xf>
    <xf numFmtId="0" fontId="235" fillId="0" borderId="0" xfId="0" applyFont="1" applyBorder="1" applyAlignment="1">
      <alignment vertical="top"/>
    </xf>
    <xf numFmtId="0" fontId="239" fillId="42" borderId="0" xfId="0" applyFont="1" applyFill="1" applyAlignment="1">
      <alignment vertical="top" wrapText="1"/>
    </xf>
    <xf numFmtId="165" fontId="239" fillId="42" borderId="0" xfId="0" applyNumberFormat="1" applyFont="1" applyFill="1" applyAlignment="1">
      <alignment vertical="top"/>
    </xf>
    <xf numFmtId="0" fontId="239" fillId="42" borderId="0" xfId="0" applyFont="1" applyFill="1" applyAlignment="1">
      <alignment vertical="top"/>
    </xf>
    <xf numFmtId="0" fontId="239" fillId="42" borderId="0" xfId="0" applyFont="1" applyFill="1"/>
    <xf numFmtId="176" fontId="235" fillId="0" borderId="0" xfId="0" applyNumberFormat="1" applyFont="1" applyBorder="1" applyAlignment="1">
      <alignment vertical="top"/>
    </xf>
    <xf numFmtId="0" fontId="235" fillId="0" borderId="0" xfId="0" applyFont="1" applyAlignment="1">
      <alignment horizontal="left" vertical="top" wrapText="1"/>
    </xf>
    <xf numFmtId="165" fontId="235" fillId="0" borderId="0" xfId="0" applyNumberFormat="1" applyFont="1" applyAlignment="1">
      <alignment vertical="top"/>
    </xf>
    <xf numFmtId="0" fontId="235" fillId="0" borderId="0" xfId="0" applyFont="1"/>
    <xf numFmtId="165" fontId="235" fillId="0" borderId="0" xfId="0" applyNumberFormat="1" applyFont="1" applyAlignment="1">
      <alignment horizontal="right" vertical="top"/>
    </xf>
    <xf numFmtId="0" fontId="235" fillId="0" borderId="0" xfId="0" applyFont="1" applyAlignment="1">
      <alignment horizontal="right" vertical="top"/>
    </xf>
    <xf numFmtId="0" fontId="16" fillId="0" borderId="0" xfId="0" applyFont="1"/>
    <xf numFmtId="0" fontId="240" fillId="0" borderId="0" xfId="17" applyFont="1" applyAlignment="1" applyProtection="1">
      <alignment vertical="top" wrapText="1"/>
    </xf>
    <xf numFmtId="0" fontId="16" fillId="0" borderId="0" xfId="0" applyFont="1" applyAlignment="1">
      <alignment vertical="top" wrapText="1"/>
    </xf>
    <xf numFmtId="0" fontId="15" fillId="0" borderId="0" xfId="0" applyFont="1" applyFill="1" applyBorder="1" applyAlignment="1">
      <alignment vertical="top" wrapText="1"/>
    </xf>
    <xf numFmtId="0" fontId="15" fillId="0" borderId="0" xfId="0" applyFont="1" applyFill="1" applyBorder="1" applyAlignment="1">
      <alignment horizontal="left" vertical="top"/>
    </xf>
    <xf numFmtId="0" fontId="15" fillId="0" borderId="0" xfId="0" applyFont="1" applyFill="1" applyBorder="1" applyAlignment="1">
      <alignment vertical="top"/>
    </xf>
    <xf numFmtId="0" fontId="237" fillId="0" borderId="0" xfId="0" applyFont="1" applyFill="1" applyBorder="1" applyAlignment="1">
      <alignment vertical="top"/>
    </xf>
    <xf numFmtId="0" fontId="238" fillId="0" borderId="0" xfId="0" applyFont="1" applyFill="1" applyBorder="1" applyAlignment="1">
      <alignment vertical="top"/>
    </xf>
    <xf numFmtId="0" fontId="238" fillId="0" borderId="0" xfId="0" applyFont="1" applyAlignment="1">
      <alignment horizontal="left" vertical="top" wrapText="1"/>
    </xf>
    <xf numFmtId="0" fontId="16" fillId="0" borderId="0" xfId="0" applyFont="1" applyAlignment="1">
      <alignment horizontal="left" vertical="top" wrapText="1"/>
    </xf>
    <xf numFmtId="0" fontId="16" fillId="42" borderId="0" xfId="0" applyFont="1" applyFill="1" applyAlignment="1">
      <alignment horizontal="left" vertical="top"/>
    </xf>
    <xf numFmtId="165" fontId="16" fillId="42" borderId="0" xfId="0" applyNumberFormat="1" applyFont="1" applyFill="1" applyAlignment="1">
      <alignment vertical="top"/>
    </xf>
    <xf numFmtId="165" fontId="104" fillId="42" borderId="0" xfId="0" applyNumberFormat="1" applyFont="1" applyFill="1" applyAlignment="1">
      <alignment vertical="top"/>
    </xf>
    <xf numFmtId="173" fontId="104" fillId="42" borderId="0" xfId="0" applyNumberFormat="1" applyFont="1" applyFill="1" applyAlignment="1">
      <alignment vertical="top"/>
    </xf>
    <xf numFmtId="165" fontId="16" fillId="0" borderId="0" xfId="0" applyNumberFormat="1" applyFont="1" applyAlignment="1">
      <alignment vertical="top"/>
    </xf>
    <xf numFmtId="0" fontId="33" fillId="0" borderId="0" xfId="17" applyFont="1" applyAlignment="1" applyProtection="1">
      <alignment vertical="top" wrapText="1"/>
    </xf>
    <xf numFmtId="0" fontId="16" fillId="0" borderId="0" xfId="0" applyFont="1" applyFill="1" applyAlignment="1">
      <alignment horizontal="left" vertical="top"/>
    </xf>
    <xf numFmtId="165" fontId="16" fillId="0" borderId="0" xfId="0" applyNumberFormat="1" applyFont="1" applyFill="1" applyAlignment="1">
      <alignment vertical="top"/>
    </xf>
    <xf numFmtId="165" fontId="104" fillId="0" borderId="0" xfId="0" applyNumberFormat="1" applyFont="1" applyFill="1" applyAlignment="1">
      <alignment vertical="top"/>
    </xf>
    <xf numFmtId="165" fontId="241" fillId="0" borderId="0" xfId="0" applyNumberFormat="1" applyFont="1" applyAlignment="1">
      <alignment vertical="top"/>
    </xf>
    <xf numFmtId="168" fontId="241" fillId="0" borderId="0" xfId="1" applyNumberFormat="1" applyFont="1" applyAlignment="1">
      <alignment vertical="top"/>
    </xf>
    <xf numFmtId="0" fontId="16" fillId="42" borderId="0" xfId="0" applyFont="1" applyFill="1" applyAlignment="1">
      <alignment vertical="top"/>
    </xf>
    <xf numFmtId="0" fontId="241" fillId="0" borderId="0" xfId="0" applyFont="1" applyAlignment="1">
      <alignment vertical="top"/>
    </xf>
    <xf numFmtId="1" fontId="16" fillId="42" borderId="0" xfId="0" applyNumberFormat="1" applyFont="1" applyFill="1" applyAlignment="1">
      <alignment horizontal="left" vertical="top"/>
    </xf>
    <xf numFmtId="0" fontId="242" fillId="0" borderId="0" xfId="0" applyFont="1" applyFill="1" applyAlignment="1">
      <alignment vertical="top"/>
    </xf>
    <xf numFmtId="165" fontId="104" fillId="0" borderId="0" xfId="0" applyNumberFormat="1" applyFont="1" applyAlignment="1">
      <alignment vertical="top"/>
    </xf>
    <xf numFmtId="17" fontId="237" fillId="0" borderId="0" xfId="0" applyNumberFormat="1" applyFont="1" applyAlignment="1">
      <alignment vertical="top"/>
    </xf>
    <xf numFmtId="1" fontId="234" fillId="42" borderId="0" xfId="0" applyNumberFormat="1" applyFont="1" applyFill="1" applyAlignment="1">
      <alignment horizontal="left" vertical="top"/>
    </xf>
    <xf numFmtId="165" fontId="234" fillId="42" borderId="0" xfId="0" applyNumberFormat="1" applyFont="1" applyFill="1" applyAlignment="1">
      <alignment horizontal="right" vertical="top"/>
    </xf>
    <xf numFmtId="165" fontId="237" fillId="0" borderId="0" xfId="0" applyNumberFormat="1" applyFont="1" applyFill="1" applyAlignment="1">
      <alignment vertical="top"/>
    </xf>
    <xf numFmtId="1" fontId="234" fillId="0" borderId="0" xfId="1" applyNumberFormat="1" applyFont="1" applyFill="1" applyAlignment="1">
      <alignment horizontal="left" vertical="top"/>
    </xf>
    <xf numFmtId="165" fontId="234" fillId="0" borderId="0" xfId="1" applyNumberFormat="1" applyFont="1" applyFill="1" applyAlignment="1">
      <alignment horizontal="right" vertical="top"/>
    </xf>
    <xf numFmtId="165" fontId="234" fillId="0" borderId="0" xfId="0" applyNumberFormat="1" applyFont="1" applyFill="1" applyAlignment="1">
      <alignment horizontal="right" vertical="top"/>
    </xf>
    <xf numFmtId="1" fontId="234" fillId="0" borderId="0" xfId="0" applyNumberFormat="1" applyFont="1" applyFill="1" applyAlignment="1">
      <alignment horizontal="left" vertical="top"/>
    </xf>
    <xf numFmtId="165" fontId="234" fillId="0" borderId="0" xfId="0" applyNumberFormat="1" applyFont="1" applyFill="1" applyBorder="1" applyAlignment="1">
      <alignment horizontal="right" vertical="top"/>
    </xf>
    <xf numFmtId="0" fontId="243" fillId="0" borderId="0" xfId="0" applyFont="1" applyAlignment="1">
      <alignment vertical="top"/>
    </xf>
    <xf numFmtId="165" fontId="244" fillId="0" borderId="0" xfId="0" applyNumberFormat="1" applyFont="1" applyFill="1" applyAlignment="1">
      <alignment horizontal="right" vertical="top"/>
    </xf>
    <xf numFmtId="165" fontId="245" fillId="0" borderId="0" xfId="0" applyNumberFormat="1" applyFont="1" applyFill="1" applyAlignment="1">
      <alignment vertical="top"/>
    </xf>
    <xf numFmtId="0" fontId="246" fillId="0" borderId="0" xfId="0" applyFont="1" applyFill="1" applyAlignment="1">
      <alignment vertical="top"/>
    </xf>
    <xf numFmtId="0" fontId="238" fillId="0" borderId="0" xfId="0" applyFont="1" applyAlignment="1">
      <alignment vertical="top" wrapText="1"/>
    </xf>
    <xf numFmtId="0" fontId="238" fillId="0" borderId="0" xfId="0" applyFont="1" applyAlignment="1">
      <alignment vertical="top"/>
    </xf>
    <xf numFmtId="0" fontId="104" fillId="0" borderId="0" xfId="0" applyFont="1" applyAlignment="1">
      <alignment vertical="top" wrapText="1"/>
    </xf>
    <xf numFmtId="0" fontId="104" fillId="60" borderId="0" xfId="0" applyFont="1" applyFill="1" applyAlignment="1">
      <alignment vertical="top" wrapText="1"/>
    </xf>
    <xf numFmtId="0" fontId="104" fillId="60" borderId="0" xfId="0" applyFont="1" applyFill="1" applyAlignment="1">
      <alignment horizontal="left" vertical="top"/>
    </xf>
    <xf numFmtId="0" fontId="104" fillId="60" borderId="0" xfId="0" applyFont="1" applyFill="1" applyAlignment="1">
      <alignment vertical="top"/>
    </xf>
    <xf numFmtId="0" fontId="104" fillId="0" borderId="0" xfId="0" applyFont="1" applyAlignment="1">
      <alignment horizontal="left" vertical="top" wrapText="1"/>
    </xf>
    <xf numFmtId="173" fontId="104" fillId="0" borderId="0" xfId="0" applyNumberFormat="1" applyFont="1" applyAlignment="1">
      <alignment horizontal="center" vertical="top"/>
    </xf>
    <xf numFmtId="191" fontId="55" fillId="0" borderId="0" xfId="249" applyNumberFormat="1" applyFont="1" applyFill="1" applyAlignment="1">
      <alignment horizontal="right"/>
    </xf>
    <xf numFmtId="191" fontId="55" fillId="0" borderId="0" xfId="249" applyNumberFormat="1" applyFont="1"/>
    <xf numFmtId="191" fontId="16" fillId="0" borderId="0" xfId="0" applyNumberFormat="1" applyFont="1" applyAlignment="1">
      <alignment horizontal="left" vertical="top"/>
    </xf>
    <xf numFmtId="191" fontId="16" fillId="0" borderId="0" xfId="0" applyNumberFormat="1" applyFont="1" applyAlignment="1">
      <alignment vertical="top"/>
    </xf>
    <xf numFmtId="165" fontId="16" fillId="0" borderId="0" xfId="0" applyNumberFormat="1" applyFont="1" applyAlignment="1">
      <alignment horizontal="right" vertical="top"/>
    </xf>
    <xf numFmtId="0" fontId="247" fillId="0" borderId="0" xfId="0" applyFont="1" applyAlignment="1">
      <alignment vertical="top" wrapText="1"/>
    </xf>
    <xf numFmtId="0" fontId="179" fillId="40" borderId="0" xfId="0" applyFont="1" applyFill="1" applyAlignment="1">
      <alignment vertical="top"/>
    </xf>
    <xf numFmtId="0" fontId="19" fillId="0" borderId="0" xfId="0" applyFont="1" applyFill="1" applyAlignment="1">
      <alignment horizontal="center" vertical="top"/>
    </xf>
    <xf numFmtId="0" fontId="30" fillId="92" borderId="1" xfId="0" applyFont="1" applyFill="1" applyBorder="1" applyAlignment="1">
      <alignment horizontal="center" vertical="center" wrapText="1"/>
    </xf>
    <xf numFmtId="0" fontId="249" fillId="0" borderId="0" xfId="0" applyFont="1"/>
    <xf numFmtId="0" fontId="249" fillId="0" borderId="0" xfId="0" applyFont="1" applyBorder="1" applyAlignment="1">
      <alignment horizontal="right"/>
    </xf>
    <xf numFmtId="0" fontId="28" fillId="40" borderId="0" xfId="0" applyFont="1" applyFill="1" applyAlignment="1">
      <alignment horizontal="left" vertical="top" wrapText="1"/>
    </xf>
    <xf numFmtId="0" fontId="28" fillId="40" borderId="0" xfId="0" applyFont="1" applyFill="1" applyAlignment="1">
      <alignment vertical="top" wrapText="1"/>
    </xf>
    <xf numFmtId="168" fontId="161" fillId="3" borderId="121" xfId="1" applyNumberFormat="1" applyFont="1" applyFill="1" applyBorder="1" applyAlignment="1">
      <alignment horizontal="right" vertical="center" indent="1"/>
    </xf>
    <xf numFmtId="0" fontId="187" fillId="0" borderId="0" xfId="0" applyFont="1" applyAlignment="1">
      <alignment vertical="center"/>
    </xf>
    <xf numFmtId="0" fontId="31" fillId="0" borderId="34" xfId="0" applyFont="1" applyBorder="1"/>
    <xf numFmtId="5" fontId="159" fillId="0" borderId="0" xfId="0" applyNumberFormat="1" applyFont="1" applyAlignment="1">
      <alignment horizontal="center" vertical="center"/>
    </xf>
    <xf numFmtId="166" fontId="159" fillId="0" borderId="106" xfId="0" applyNumberFormat="1" applyFont="1" applyBorder="1"/>
    <xf numFmtId="0" fontId="19" fillId="0" borderId="0" xfId="0" applyFont="1" applyFill="1" applyBorder="1"/>
    <xf numFmtId="168" fontId="30" fillId="0" borderId="0" xfId="0" applyNumberFormat="1" applyFont="1" applyFill="1" applyBorder="1" applyAlignment="1">
      <alignment wrapText="1"/>
    </xf>
    <xf numFmtId="44" fontId="19" fillId="0" borderId="20" xfId="0" applyNumberFormat="1" applyFont="1" applyFill="1" applyBorder="1"/>
    <xf numFmtId="44" fontId="31" fillId="0" borderId="0" xfId="0" applyNumberFormat="1" applyFont="1"/>
    <xf numFmtId="44" fontId="30" fillId="0" borderId="20" xfId="0" applyNumberFormat="1" applyFont="1" applyBorder="1"/>
    <xf numFmtId="168" fontId="30" fillId="0" borderId="20" xfId="1" applyNumberFormat="1" applyFont="1" applyBorder="1"/>
    <xf numFmtId="2" fontId="31" fillId="2" borderId="20" xfId="1" applyNumberFormat="1" applyFont="1" applyFill="1" applyBorder="1" applyAlignment="1">
      <alignment wrapText="1"/>
    </xf>
    <xf numFmtId="2" fontId="31" fillId="2" borderId="20" xfId="0" applyNumberFormat="1" applyFont="1" applyFill="1" applyBorder="1"/>
    <xf numFmtId="9" fontId="181" fillId="0" borderId="0" xfId="1" applyFont="1"/>
    <xf numFmtId="9" fontId="188" fillId="0" borderId="0" xfId="1" applyFont="1" applyAlignment="1">
      <alignment horizontal="right" vertical="center"/>
    </xf>
    <xf numFmtId="0" fontId="159" fillId="0" borderId="0" xfId="0" applyFont="1" applyAlignment="1">
      <alignment horizontal="left" indent="2"/>
    </xf>
    <xf numFmtId="6" fontId="188" fillId="0" borderId="0" xfId="1" applyNumberFormat="1" applyFont="1" applyAlignment="1">
      <alignment horizontal="right" vertical="center"/>
    </xf>
    <xf numFmtId="0" fontId="159" fillId="0" borderId="0" xfId="0" applyFont="1" applyAlignment="1">
      <alignment wrapText="1"/>
    </xf>
    <xf numFmtId="166" fontId="181" fillId="0" borderId="0" xfId="0" applyNumberFormat="1" applyFont="1"/>
    <xf numFmtId="0" fontId="0" fillId="0" borderId="0" xfId="0" applyBorder="1"/>
    <xf numFmtId="2" fontId="155" fillId="0" borderId="137" xfId="0" applyNumberFormat="1" applyFont="1" applyBorder="1" applyAlignment="1">
      <alignment horizontal="right"/>
    </xf>
    <xf numFmtId="165" fontId="155" fillId="0" borderId="137" xfId="0" applyNumberFormat="1" applyFont="1" applyBorder="1" applyAlignment="1">
      <alignment horizontal="right"/>
    </xf>
    <xf numFmtId="0" fontId="159" fillId="0" borderId="0" xfId="0" applyFont="1" applyAlignment="1">
      <alignment wrapText="1"/>
    </xf>
    <xf numFmtId="0" fontId="252" fillId="0" borderId="53" xfId="0" applyNumberFormat="1" applyFont="1" applyBorder="1" applyAlignment="1">
      <alignment horizontal="center" vertical="center" wrapText="1"/>
    </xf>
    <xf numFmtId="0" fontId="253" fillId="0" borderId="0" xfId="0" applyNumberFormat="1" applyFont="1" applyAlignment="1">
      <alignment horizontal="left" vertical="top" wrapText="1"/>
    </xf>
    <xf numFmtId="210" fontId="253" fillId="0" borderId="140" xfId="0" applyNumberFormat="1" applyFont="1" applyBorder="1" applyAlignment="1">
      <alignment horizontal="right" vertical="top" wrapText="1"/>
    </xf>
    <xf numFmtId="211" fontId="253" fillId="0" borderId="140" xfId="0" applyNumberFormat="1" applyFont="1" applyBorder="1" applyAlignment="1">
      <alignment horizontal="right" vertical="top" wrapText="1"/>
    </xf>
    <xf numFmtId="211" fontId="253" fillId="0" borderId="0" xfId="0" applyNumberFormat="1" applyFont="1" applyAlignment="1">
      <alignment horizontal="right" vertical="top" wrapText="1"/>
    </xf>
    <xf numFmtId="211" fontId="253" fillId="0" borderId="141" xfId="0" applyNumberFormat="1" applyFont="1" applyBorder="1" applyAlignment="1">
      <alignment horizontal="right" vertical="top" wrapText="1"/>
    </xf>
    <xf numFmtId="164" fontId="188" fillId="0" borderId="47" xfId="2" applyNumberFormat="1" applyFont="1" applyBorder="1" applyAlignment="1">
      <alignment horizontal="right" vertical="center"/>
    </xf>
    <xf numFmtId="197" fontId="6" fillId="0" borderId="121" xfId="0" applyNumberFormat="1" applyFont="1" applyFill="1" applyBorder="1" applyAlignment="1">
      <alignment horizontal="right" vertical="center" indent="1"/>
    </xf>
    <xf numFmtId="0" fontId="4" fillId="0" borderId="122" xfId="0" applyFont="1" applyBorder="1" applyAlignment="1">
      <alignment vertical="center"/>
    </xf>
    <xf numFmtId="0" fontId="179" fillId="36" borderId="92" xfId="0" applyFont="1" applyFill="1" applyBorder="1" applyAlignment="1">
      <alignment horizontal="center" vertical="center"/>
    </xf>
    <xf numFmtId="0" fontId="179" fillId="36" borderId="84" xfId="0" applyFont="1" applyFill="1" applyBorder="1" applyAlignment="1">
      <alignment horizontal="center" vertical="center"/>
    </xf>
    <xf numFmtId="197" fontId="6" fillId="4" borderId="143" xfId="0" applyNumberFormat="1" applyFont="1" applyFill="1" applyBorder="1" applyAlignment="1">
      <alignment horizontal="right" vertical="center" indent="1"/>
    </xf>
    <xf numFmtId="197" fontId="6" fillId="4" borderId="144" xfId="0" applyNumberFormat="1" applyFont="1" applyFill="1" applyBorder="1" applyAlignment="1">
      <alignment horizontal="right" vertical="center" indent="1"/>
    </xf>
    <xf numFmtId="0" fontId="161" fillId="4" borderId="143" xfId="0" applyNumberFormat="1" applyFont="1" applyFill="1" applyBorder="1" applyAlignment="1">
      <alignment horizontal="right" indent="1"/>
    </xf>
    <xf numFmtId="0" fontId="161" fillId="4" borderId="144" xfId="0" applyNumberFormat="1" applyFont="1" applyFill="1" applyBorder="1" applyAlignment="1">
      <alignment horizontal="right" indent="1"/>
    </xf>
    <xf numFmtId="173" fontId="161" fillId="3" borderId="143" xfId="0" applyNumberFormat="1" applyFont="1" applyFill="1" applyBorder="1" applyAlignment="1">
      <alignment horizontal="right" vertical="center" indent="1"/>
    </xf>
    <xf numFmtId="173" fontId="161" fillId="3" borderId="144" xfId="0" applyNumberFormat="1" applyFont="1" applyFill="1" applyBorder="1" applyAlignment="1">
      <alignment horizontal="right" vertical="center" indent="1"/>
    </xf>
    <xf numFmtId="0" fontId="159" fillId="0" borderId="92" xfId="0" applyFont="1" applyBorder="1"/>
    <xf numFmtId="0" fontId="159" fillId="0" borderId="84" xfId="0" applyFont="1" applyBorder="1"/>
    <xf numFmtId="3" fontId="161" fillId="4" borderId="143" xfId="0" applyNumberFormat="1" applyFont="1" applyFill="1" applyBorder="1" applyAlignment="1">
      <alignment horizontal="right" vertical="center" indent="1"/>
    </xf>
    <xf numFmtId="3" fontId="161" fillId="4" borderId="144" xfId="0" applyNumberFormat="1" applyFont="1" applyFill="1" applyBorder="1" applyAlignment="1">
      <alignment horizontal="right" vertical="center" indent="1"/>
    </xf>
    <xf numFmtId="1" fontId="161" fillId="4" borderId="143" xfId="0" applyNumberFormat="1" applyFont="1" applyFill="1" applyBorder="1" applyAlignment="1">
      <alignment horizontal="right" vertical="center" indent="1"/>
    </xf>
    <xf numFmtId="1" fontId="161" fillId="4" borderId="144" xfId="0" applyNumberFormat="1" applyFont="1" applyFill="1" applyBorder="1" applyAlignment="1">
      <alignment horizontal="right" vertical="center" indent="1"/>
    </xf>
    <xf numFmtId="168" fontId="161" fillId="3" borderId="143" xfId="1" applyNumberFormat="1" applyFont="1" applyFill="1" applyBorder="1" applyAlignment="1">
      <alignment horizontal="right" vertical="center" indent="1"/>
    </xf>
    <xf numFmtId="9" fontId="161" fillId="3" borderId="144" xfId="1" applyNumberFormat="1" applyFont="1" applyFill="1" applyBorder="1" applyAlignment="1">
      <alignment horizontal="right" vertical="center" indent="1"/>
    </xf>
    <xf numFmtId="168" fontId="161" fillId="4" borderId="143" xfId="1" applyNumberFormat="1" applyFont="1" applyFill="1" applyBorder="1" applyAlignment="1">
      <alignment horizontal="right" vertical="center" indent="1"/>
    </xf>
    <xf numFmtId="9" fontId="161" fillId="4" borderId="144" xfId="1" applyFont="1" applyFill="1" applyBorder="1" applyAlignment="1">
      <alignment horizontal="right" vertical="center" indent="1"/>
    </xf>
    <xf numFmtId="9" fontId="161" fillId="4" borderId="145" xfId="1" applyFont="1" applyFill="1" applyBorder="1" applyAlignment="1">
      <alignment horizontal="right" vertical="center" indent="1"/>
    </xf>
    <xf numFmtId="9" fontId="161" fillId="4" borderId="146" xfId="1" applyFont="1" applyFill="1" applyBorder="1" applyAlignment="1">
      <alignment horizontal="right" vertical="center" indent="1"/>
    </xf>
    <xf numFmtId="9" fontId="161" fillId="4" borderId="147" xfId="1" applyFont="1" applyFill="1" applyBorder="1" applyAlignment="1">
      <alignment horizontal="right" vertical="center" indent="1"/>
    </xf>
    <xf numFmtId="9" fontId="161" fillId="3" borderId="143" xfId="1" applyNumberFormat="1" applyFont="1" applyFill="1" applyBorder="1" applyAlignment="1">
      <alignment horizontal="right" vertical="center" indent="1"/>
    </xf>
    <xf numFmtId="168" fontId="161" fillId="3" borderId="144" xfId="1" applyNumberFormat="1" applyFont="1" applyFill="1" applyBorder="1" applyAlignment="1">
      <alignment horizontal="right" vertical="center" indent="1"/>
    </xf>
    <xf numFmtId="9" fontId="161" fillId="4" borderId="143" xfId="1" applyFont="1" applyFill="1" applyBorder="1" applyAlignment="1">
      <alignment horizontal="right" vertical="center" indent="1"/>
    </xf>
    <xf numFmtId="168" fontId="161" fillId="4" borderId="144" xfId="1" applyNumberFormat="1" applyFont="1" applyFill="1" applyBorder="1" applyAlignment="1">
      <alignment horizontal="right" vertical="center" indent="1"/>
    </xf>
    <xf numFmtId="0" fontId="159" fillId="0" borderId="0" xfId="0" applyFont="1" applyAlignment="1">
      <alignment wrapText="1"/>
    </xf>
    <xf numFmtId="0" fontId="194" fillId="0" borderId="20" xfId="0" applyFont="1" applyFill="1" applyBorder="1" applyAlignment="1">
      <alignment horizontal="left" vertical="center" wrapText="1"/>
    </xf>
    <xf numFmtId="0" fontId="191" fillId="0" borderId="20" xfId="0" applyFont="1" applyFill="1" applyBorder="1" applyAlignment="1">
      <alignment horizontal="left" vertical="center" wrapText="1"/>
    </xf>
    <xf numFmtId="0" fontId="191" fillId="0" borderId="20" xfId="0" applyFont="1" applyBorder="1" applyAlignment="1">
      <alignment horizontal="center" vertical="center" wrapText="1"/>
    </xf>
    <xf numFmtId="0" fontId="159" fillId="0" borderId="0" xfId="0" applyFont="1" applyAlignment="1">
      <alignment wrapText="1"/>
    </xf>
    <xf numFmtId="0" fontId="8" fillId="0" borderId="0" xfId="0" applyFont="1" applyFill="1"/>
    <xf numFmtId="0" fontId="4" fillId="0" borderId="150" xfId="0" applyFont="1" applyBorder="1" applyAlignment="1">
      <alignment vertical="center"/>
    </xf>
    <xf numFmtId="173" fontId="161" fillId="0" borderId="151" xfId="0" applyNumberFormat="1" applyFont="1" applyFill="1" applyBorder="1" applyAlignment="1">
      <alignment horizontal="right" vertical="center" indent="1"/>
    </xf>
    <xf numFmtId="0" fontId="6" fillId="0" borderId="148" xfId="0" applyFont="1" applyFill="1" applyBorder="1" applyAlignment="1">
      <alignment vertical="center"/>
    </xf>
    <xf numFmtId="0" fontId="4" fillId="0" borderId="149" xfId="0" applyFont="1" applyBorder="1" applyAlignment="1">
      <alignment horizontal="left" vertical="center" indent="1"/>
    </xf>
    <xf numFmtId="0" fontId="4" fillId="0" borderId="118" xfId="0" applyFont="1" applyBorder="1" applyAlignment="1">
      <alignment horizontal="left" vertical="center" indent="1"/>
    </xf>
    <xf numFmtId="0" fontId="4" fillId="0" borderId="118" xfId="0" applyFont="1" applyBorder="1" applyAlignment="1">
      <alignment horizontal="left" vertical="center"/>
    </xf>
    <xf numFmtId="0" fontId="6" fillId="0" borderId="153" xfId="0" applyFont="1" applyFill="1" applyBorder="1" applyAlignment="1">
      <alignment horizontal="right" vertical="center" indent="1"/>
    </xf>
    <xf numFmtId="173" fontId="161" fillId="0" borderId="135" xfId="0" applyNumberFormat="1" applyFont="1" applyFill="1" applyBorder="1" applyAlignment="1">
      <alignment horizontal="right" vertical="center" indent="1"/>
    </xf>
    <xf numFmtId="173" fontId="161" fillId="0" borderId="122" xfId="0" applyNumberFormat="1" applyFont="1" applyFill="1" applyBorder="1" applyAlignment="1">
      <alignment horizontal="right" vertical="center" indent="1"/>
    </xf>
    <xf numFmtId="1" fontId="169" fillId="0" borderId="24" xfId="0" applyNumberFormat="1" applyFont="1" applyFill="1" applyBorder="1" applyAlignment="1">
      <alignment horizontal="right"/>
    </xf>
    <xf numFmtId="0" fontId="159" fillId="0" borderId="0" xfId="0" applyFont="1" applyFill="1" applyAlignment="1">
      <alignment horizontal="right"/>
    </xf>
    <xf numFmtId="1" fontId="157" fillId="0" borderId="24" xfId="0" applyNumberFormat="1" applyFont="1" applyFill="1" applyBorder="1" applyAlignment="1">
      <alignment horizontal="right" vertical="center"/>
    </xf>
    <xf numFmtId="3" fontId="161" fillId="0" borderId="0" xfId="0" applyNumberFormat="1" applyFont="1" applyFill="1" applyAlignment="1">
      <alignment horizontal="right"/>
    </xf>
    <xf numFmtId="197" fontId="161" fillId="0" borderId="0" xfId="0" applyNumberFormat="1" applyFont="1" applyFill="1" applyAlignment="1">
      <alignment horizontal="right"/>
    </xf>
    <xf numFmtId="3" fontId="162" fillId="0" borderId="0" xfId="0" applyNumberFormat="1" applyFont="1" applyFill="1" applyAlignment="1">
      <alignment horizontal="right"/>
    </xf>
    <xf numFmtId="177" fontId="159" fillId="0" borderId="0" xfId="0" applyNumberFormat="1" applyFont="1" applyFill="1" applyAlignment="1">
      <alignment horizontal="right" vertical="center"/>
    </xf>
    <xf numFmtId="0" fontId="157" fillId="0" borderId="0" xfId="0" applyFont="1" applyFill="1" applyBorder="1" applyAlignment="1">
      <alignment horizontal="right" vertical="center"/>
    </xf>
    <xf numFmtId="201" fontId="159" fillId="0" borderId="0" xfId="0" applyNumberFormat="1" applyFont="1" applyFill="1" applyAlignment="1">
      <alignment horizontal="right"/>
    </xf>
    <xf numFmtId="190" fontId="159" fillId="0" borderId="0" xfId="0" applyNumberFormat="1" applyFont="1" applyFill="1" applyBorder="1" applyAlignment="1">
      <alignment horizontal="right"/>
    </xf>
    <xf numFmtId="201" fontId="159" fillId="0" borderId="24" xfId="0" applyNumberFormat="1" applyFont="1" applyFill="1" applyBorder="1" applyAlignment="1">
      <alignment horizontal="right"/>
    </xf>
    <xf numFmtId="0" fontId="157" fillId="0" borderId="24" xfId="0" applyFont="1" applyFill="1" applyBorder="1" applyAlignment="1">
      <alignment horizontal="right" vertical="center"/>
    </xf>
    <xf numFmtId="201" fontId="159" fillId="0" borderId="0" xfId="0" applyNumberFormat="1" applyFont="1" applyFill="1" applyAlignment="1">
      <alignment horizontal="right" vertical="center"/>
    </xf>
    <xf numFmtId="165" fontId="159" fillId="0" borderId="0" xfId="0" applyNumberFormat="1" applyFont="1" applyFill="1" applyAlignment="1">
      <alignment horizontal="right" vertical="center"/>
    </xf>
    <xf numFmtId="0" fontId="159" fillId="0" borderId="158" xfId="0" applyFont="1" applyBorder="1"/>
    <xf numFmtId="168" fontId="159" fillId="0" borderId="103" xfId="0" applyNumberFormat="1" applyFont="1" applyBorder="1" applyAlignment="1">
      <alignment horizontal="right" vertical="center"/>
    </xf>
    <xf numFmtId="201" fontId="8" fillId="37" borderId="0" xfId="0" applyNumberFormat="1" applyFont="1" applyFill="1" applyAlignment="1">
      <alignment horizontal="right" vertical="center" indent="1"/>
    </xf>
    <xf numFmtId="201" fontId="8" fillId="37" borderId="0" xfId="0" applyNumberFormat="1" applyFont="1" applyFill="1" applyAlignment="1">
      <alignment horizontal="center" vertical="center"/>
    </xf>
    <xf numFmtId="166" fontId="159" fillId="0" borderId="0" xfId="0" applyNumberFormat="1" applyFont="1"/>
    <xf numFmtId="5" fontId="8" fillId="0" borderId="91" xfId="0" applyNumberFormat="1" applyFont="1" applyFill="1" applyBorder="1" applyAlignment="1">
      <alignment horizontal="right" vertical="center"/>
    </xf>
    <xf numFmtId="5" fontId="8" fillId="0" borderId="159" xfId="0" applyNumberFormat="1" applyFont="1" applyFill="1" applyBorder="1" applyAlignment="1">
      <alignment horizontal="right" vertical="center"/>
    </xf>
    <xf numFmtId="5" fontId="14" fillId="2" borderId="91" xfId="0" applyNumberFormat="1" applyFont="1" applyFill="1" applyBorder="1" applyAlignment="1">
      <alignment horizontal="right" vertical="center"/>
    </xf>
    <xf numFmtId="5" fontId="14" fillId="58" borderId="91" xfId="0" applyNumberFormat="1" applyFont="1" applyFill="1" applyBorder="1" applyAlignment="1">
      <alignment horizontal="right" vertical="center"/>
    </xf>
    <xf numFmtId="5" fontId="8" fillId="0" borderId="161" xfId="0" applyNumberFormat="1" applyFont="1" applyFill="1" applyBorder="1" applyAlignment="1">
      <alignment horizontal="right" vertical="center"/>
    </xf>
    <xf numFmtId="5" fontId="8" fillId="0" borderId="162" xfId="0" applyNumberFormat="1" applyFont="1" applyFill="1" applyBorder="1" applyAlignment="1">
      <alignment horizontal="right" vertical="center"/>
    </xf>
    <xf numFmtId="5" fontId="14" fillId="2" borderId="159" xfId="0" applyNumberFormat="1" applyFont="1" applyFill="1" applyBorder="1" applyAlignment="1">
      <alignment horizontal="right" vertical="center"/>
    </xf>
    <xf numFmtId="5" fontId="14" fillId="58" borderId="159" xfId="0" applyNumberFormat="1" applyFont="1" applyFill="1" applyBorder="1" applyAlignment="1">
      <alignment horizontal="right" vertical="center"/>
    </xf>
    <xf numFmtId="5" fontId="8" fillId="0" borderId="163" xfId="0" applyNumberFormat="1" applyFont="1" applyFill="1" applyBorder="1" applyAlignment="1">
      <alignment horizontal="right" vertical="center"/>
    </xf>
    <xf numFmtId="5" fontId="8" fillId="0" borderId="160" xfId="0" applyNumberFormat="1" applyFont="1" applyFill="1" applyBorder="1" applyAlignment="1">
      <alignment horizontal="right" vertical="center"/>
    </xf>
    <xf numFmtId="1" fontId="11" fillId="36" borderId="101" xfId="0" applyNumberFormat="1" applyFont="1" applyFill="1" applyBorder="1" applyAlignment="1">
      <alignment horizontal="center" vertical="center"/>
    </xf>
    <xf numFmtId="1" fontId="11" fillId="36" borderId="164" xfId="0" applyNumberFormat="1" applyFont="1" applyFill="1" applyBorder="1" applyAlignment="1">
      <alignment horizontal="center" vertical="center"/>
    </xf>
    <xf numFmtId="1" fontId="11" fillId="36" borderId="165" xfId="0" applyNumberFormat="1" applyFont="1" applyFill="1" applyBorder="1" applyAlignment="1">
      <alignment horizontal="center" vertical="center"/>
    </xf>
    <xf numFmtId="0" fontId="31" fillId="0" borderId="0" xfId="0" applyFont="1" applyAlignment="1">
      <alignment vertical="center"/>
    </xf>
    <xf numFmtId="5" fontId="8" fillId="4" borderId="0" xfId="0" applyNumberFormat="1" applyFont="1" applyFill="1" applyAlignment="1">
      <alignment horizontal="center" vertical="center"/>
    </xf>
    <xf numFmtId="9" fontId="159" fillId="0" borderId="0" xfId="0" applyNumberFormat="1" applyFont="1"/>
    <xf numFmtId="0" fontId="190" fillId="0" borderId="20" xfId="0" applyFont="1" applyBorder="1" applyAlignment="1">
      <alignment horizontal="left" vertical="center" indent="1"/>
    </xf>
    <xf numFmtId="0" fontId="194" fillId="0" borderId="20" xfId="0" applyFont="1" applyFill="1" applyBorder="1" applyAlignment="1">
      <alignment horizontal="left" vertical="center"/>
    </xf>
    <xf numFmtId="0" fontId="190" fillId="4" borderId="0" xfId="0" applyFont="1" applyFill="1" applyBorder="1" applyAlignment="1">
      <alignment vertical="center" wrapText="1"/>
    </xf>
    <xf numFmtId="1" fontId="160" fillId="87" borderId="110" xfId="0" applyNumberFormat="1" applyFont="1" applyFill="1" applyBorder="1" applyAlignment="1">
      <alignment horizontal="right" vertical="center" indent="1"/>
    </xf>
    <xf numFmtId="212" fontId="162" fillId="3" borderId="112" xfId="0" applyNumberFormat="1" applyFont="1" applyFill="1" applyBorder="1" applyAlignment="1">
      <alignment horizontal="right" indent="1"/>
    </xf>
    <xf numFmtId="212" fontId="162" fillId="3" borderId="106" xfId="0" applyNumberFormat="1" applyFont="1" applyFill="1" applyBorder="1" applyAlignment="1">
      <alignment horizontal="right" indent="1"/>
    </xf>
    <xf numFmtId="200" fontId="161" fillId="4" borderId="106" xfId="0" applyNumberFormat="1" applyFont="1" applyFill="1" applyBorder="1" applyAlignment="1">
      <alignment horizontal="right" vertical="center"/>
    </xf>
    <xf numFmtId="200" fontId="159" fillId="0" borderId="111" xfId="0" applyNumberFormat="1" applyFont="1" applyBorder="1" applyAlignment="1">
      <alignment vertical="center"/>
    </xf>
    <xf numFmtId="200" fontId="159" fillId="0" borderId="117" xfId="0" applyNumberFormat="1" applyFont="1" applyBorder="1" applyAlignment="1">
      <alignment vertical="center"/>
    </xf>
    <xf numFmtId="166" fontId="190" fillId="0" borderId="0" xfId="0" applyNumberFormat="1" applyFont="1" applyAlignment="1">
      <alignment vertical="center"/>
    </xf>
    <xf numFmtId="168" fontId="161" fillId="0" borderId="121" xfId="1" applyNumberFormat="1" applyFont="1" applyFill="1" applyBorder="1" applyAlignment="1">
      <alignment horizontal="right" vertical="center" indent="1"/>
    </xf>
    <xf numFmtId="168" fontId="161" fillId="0" borderId="143" xfId="1" applyNumberFormat="1" applyFont="1" applyFill="1" applyBorder="1" applyAlignment="1">
      <alignment horizontal="right" vertical="center" indent="1"/>
    </xf>
    <xf numFmtId="0" fontId="16" fillId="0" borderId="0" xfId="0" applyFont="1" applyAlignment="1">
      <alignment vertical="center"/>
    </xf>
    <xf numFmtId="0" fontId="255" fillId="0" borderId="20" xfId="0" applyFont="1" applyBorder="1" applyAlignment="1">
      <alignment horizontal="left" vertical="center" wrapText="1"/>
    </xf>
    <xf numFmtId="0" fontId="190" fillId="4" borderId="20" xfId="0" applyFont="1" applyFill="1" applyBorder="1" applyAlignment="1">
      <alignment vertical="center" wrapText="1"/>
    </xf>
    <xf numFmtId="0" fontId="190" fillId="4" borderId="20" xfId="0" applyFont="1" applyFill="1" applyBorder="1" applyAlignment="1">
      <alignment horizontal="left" vertical="center" wrapText="1"/>
    </xf>
    <xf numFmtId="0" fontId="255" fillId="0" borderId="20" xfId="0" applyFont="1" applyBorder="1" applyAlignment="1">
      <alignment vertical="center" wrapText="1"/>
    </xf>
    <xf numFmtId="0" fontId="4" fillId="0" borderId="166" xfId="0" applyFont="1" applyBorder="1" applyAlignment="1">
      <alignment horizontal="left" vertical="center" indent="1"/>
    </xf>
    <xf numFmtId="0" fontId="4" fillId="0" borderId="167" xfId="0" applyFont="1" applyBorder="1" applyAlignment="1">
      <alignment vertical="center"/>
    </xf>
    <xf numFmtId="0" fontId="159" fillId="0" borderId="168" xfId="0" applyFont="1" applyBorder="1" applyAlignment="1">
      <alignment horizontal="left" vertical="center"/>
    </xf>
    <xf numFmtId="9" fontId="190" fillId="0" borderId="20" xfId="1" applyFont="1" applyBorder="1" applyAlignment="1">
      <alignment horizontal="center" vertical="center"/>
    </xf>
    <xf numFmtId="9" fontId="190" fillId="0" borderId="20" xfId="1" applyFont="1" applyBorder="1" applyAlignment="1">
      <alignment horizontal="left" vertical="center" wrapText="1"/>
    </xf>
    <xf numFmtId="166" fontId="190" fillId="0" borderId="0" xfId="0" applyNumberFormat="1" applyFont="1" applyBorder="1" applyAlignment="1">
      <alignment horizontal="center" vertical="center"/>
    </xf>
    <xf numFmtId="166" fontId="190" fillId="0" borderId="21" xfId="0" applyNumberFormat="1" applyFont="1" applyBorder="1" applyAlignment="1">
      <alignment horizontal="center" vertical="center"/>
    </xf>
    <xf numFmtId="0" fontId="192" fillId="94" borderId="1" xfId="0" applyFont="1" applyFill="1" applyBorder="1" applyAlignment="1">
      <alignment horizontal="center" vertical="center" wrapText="1"/>
    </xf>
    <xf numFmtId="7" fontId="190" fillId="0" borderId="0" xfId="0" applyNumberFormat="1" applyFont="1" applyAlignment="1">
      <alignment vertical="center"/>
    </xf>
    <xf numFmtId="7" fontId="8" fillId="4" borderId="0" xfId="0" applyNumberFormat="1" applyFont="1" applyFill="1" applyAlignment="1">
      <alignment horizontal="center" vertical="center"/>
    </xf>
    <xf numFmtId="0" fontId="193" fillId="0" borderId="20" xfId="0" applyFont="1" applyBorder="1" applyAlignment="1">
      <alignment wrapText="1"/>
    </xf>
    <xf numFmtId="0" fontId="199" fillId="0" borderId="20" xfId="0" applyFont="1" applyBorder="1" applyAlignment="1">
      <alignment horizontal="center" vertical="center"/>
    </xf>
    <xf numFmtId="49" fontId="191" fillId="4" borderId="20" xfId="0" applyNumberFormat="1" applyFont="1" applyFill="1" applyBorder="1" applyAlignment="1">
      <alignment horizontal="center" vertical="center" wrapText="1"/>
    </xf>
    <xf numFmtId="166" fontId="161" fillId="37" borderId="103" xfId="0" applyNumberFormat="1" applyFont="1" applyFill="1" applyBorder="1" applyAlignment="1">
      <alignment horizontal="right" indent="1"/>
    </xf>
    <xf numFmtId="0" fontId="167" fillId="0" borderId="0" xfId="0" applyFont="1" applyBorder="1"/>
    <xf numFmtId="166" fontId="161" fillId="37" borderId="104" xfId="0" applyNumberFormat="1" applyFont="1" applyFill="1" applyBorder="1" applyAlignment="1">
      <alignment horizontal="right" indent="1"/>
    </xf>
    <xf numFmtId="5" fontId="159" fillId="0" borderId="88" xfId="0" applyNumberFormat="1" applyFont="1" applyBorder="1" applyAlignment="1">
      <alignment horizontal="right" vertical="center"/>
    </xf>
    <xf numFmtId="5" fontId="159" fillId="0" borderId="0" xfId="0" applyNumberFormat="1" applyFont="1" applyBorder="1" applyAlignment="1">
      <alignment horizontal="right" vertical="center"/>
    </xf>
    <xf numFmtId="5" fontId="159" fillId="0" borderId="172" xfId="0" applyNumberFormat="1" applyFont="1" applyBorder="1" applyAlignment="1">
      <alignment horizontal="right" vertical="center"/>
    </xf>
    <xf numFmtId="5" fontId="157" fillId="0" borderId="172" xfId="0" applyNumberFormat="1" applyFont="1" applyBorder="1" applyAlignment="1">
      <alignment horizontal="right" vertical="center"/>
    </xf>
    <xf numFmtId="199" fontId="159" fillId="0" borderId="88" xfId="0" applyNumberFormat="1" applyFont="1" applyBorder="1" applyAlignment="1">
      <alignment horizontal="right" vertical="center"/>
    </xf>
    <xf numFmtId="5" fontId="159" fillId="0" borderId="65" xfId="0" applyNumberFormat="1" applyFont="1" applyBorder="1" applyAlignment="1">
      <alignment horizontal="right" vertical="center"/>
    </xf>
    <xf numFmtId="199" fontId="159" fillId="0" borderId="0" xfId="0" applyNumberFormat="1" applyFont="1" applyBorder="1" applyAlignment="1">
      <alignment horizontal="right" vertical="center"/>
    </xf>
    <xf numFmtId="5" fontId="159" fillId="0" borderId="173" xfId="0" applyNumberFormat="1" applyFont="1" applyBorder="1" applyAlignment="1">
      <alignment horizontal="right" vertical="center"/>
    </xf>
    <xf numFmtId="199" fontId="159" fillId="0" borderId="173" xfId="0" applyNumberFormat="1" applyFont="1" applyBorder="1" applyAlignment="1">
      <alignment horizontal="right" vertical="center"/>
    </xf>
    <xf numFmtId="199" fontId="159" fillId="0" borderId="172" xfId="0" applyNumberFormat="1" applyFont="1" applyBorder="1" applyAlignment="1">
      <alignment horizontal="right" vertical="center"/>
    </xf>
    <xf numFmtId="0" fontId="31" fillId="0" borderId="20" xfId="0" applyFont="1" applyBorder="1" applyAlignment="1">
      <alignment vertical="center"/>
    </xf>
    <xf numFmtId="190" fontId="31" fillId="0" borderId="20" xfId="0" applyNumberFormat="1" applyFont="1" applyBorder="1" applyAlignment="1">
      <alignment vertical="center"/>
    </xf>
    <xf numFmtId="0" fontId="31" fillId="40" borderId="0" xfId="0" applyFont="1" applyFill="1" applyAlignment="1">
      <alignment vertical="center"/>
    </xf>
    <xf numFmtId="0" fontId="256" fillId="0" borderId="0" xfId="0" applyFont="1"/>
    <xf numFmtId="0" fontId="31" fillId="0" borderId="174" xfId="0" applyFont="1" applyBorder="1"/>
    <xf numFmtId="0" fontId="31" fillId="0" borderId="20" xfId="0" applyFont="1" applyBorder="1"/>
    <xf numFmtId="0" fontId="30" fillId="0" borderId="20" xfId="0" applyFont="1" applyBorder="1"/>
    <xf numFmtId="0" fontId="31" fillId="0" borderId="20" xfId="0" applyFont="1" applyBorder="1" applyAlignment="1">
      <alignment horizontal="right"/>
    </xf>
    <xf numFmtId="0" fontId="29" fillId="38" borderId="0" xfId="0" applyFont="1" applyFill="1" applyAlignment="1">
      <alignment vertical="center"/>
    </xf>
    <xf numFmtId="0" fontId="257" fillId="0" borderId="0" xfId="0" applyFont="1" applyAlignment="1">
      <alignment horizontal="left" vertical="center" wrapText="1" indent="2"/>
    </xf>
    <xf numFmtId="0" fontId="31" fillId="0" borderId="175" xfId="0" applyFont="1" applyBorder="1" applyAlignment="1">
      <alignment horizontal="center"/>
    </xf>
    <xf numFmtId="0" fontId="31" fillId="0" borderId="176" xfId="0" applyFont="1" applyBorder="1" applyAlignment="1">
      <alignment horizontal="center"/>
    </xf>
    <xf numFmtId="0" fontId="31" fillId="0" borderId="177" xfId="0" applyFont="1" applyBorder="1" applyAlignment="1">
      <alignment horizontal="center"/>
    </xf>
    <xf numFmtId="169" fontId="36" fillId="0" borderId="36" xfId="0" applyNumberFormat="1" applyFont="1" applyBorder="1"/>
    <xf numFmtId="169" fontId="36" fillId="0" borderId="34" xfId="0" applyNumberFormat="1" applyFont="1" applyBorder="1"/>
    <xf numFmtId="169" fontId="36" fillId="0" borderId="35" xfId="0" applyNumberFormat="1" applyFont="1" applyBorder="1"/>
    <xf numFmtId="169" fontId="36" fillId="0" borderId="0" xfId="0" applyNumberFormat="1" applyFont="1" applyBorder="1"/>
    <xf numFmtId="169" fontId="36" fillId="0" borderId="31" xfId="0" applyNumberFormat="1" applyFont="1" applyBorder="1"/>
    <xf numFmtId="0" fontId="31" fillId="0" borderId="31" xfId="0" applyFont="1" applyBorder="1"/>
    <xf numFmtId="0" fontId="150" fillId="81" borderId="0" xfId="0" applyFont="1" applyFill="1" applyBorder="1" applyAlignment="1" applyProtection="1">
      <alignment horizontal="center"/>
    </xf>
    <xf numFmtId="0" fontId="150" fillId="81" borderId="178" xfId="0" applyFont="1" applyFill="1" applyBorder="1" applyAlignment="1" applyProtection="1">
      <alignment horizontal="center"/>
    </xf>
    <xf numFmtId="0" fontId="150" fillId="81" borderId="179" xfId="0" applyFont="1" applyFill="1" applyBorder="1" applyAlignment="1" applyProtection="1">
      <alignment horizontal="center"/>
    </xf>
    <xf numFmtId="1" fontId="6" fillId="0" borderId="0" xfId="0" applyNumberFormat="1" applyFont="1" applyFill="1" applyBorder="1" applyAlignment="1" applyProtection="1"/>
    <xf numFmtId="0" fontId="6" fillId="0" borderId="0" xfId="0" applyFont="1" applyFill="1" applyBorder="1" applyAlignment="1" applyProtection="1"/>
    <xf numFmtId="3" fontId="6" fillId="0" borderId="178" xfId="0" applyNumberFormat="1" applyFont="1" applyFill="1" applyBorder="1" applyAlignment="1" applyProtection="1"/>
    <xf numFmtId="3" fontId="6" fillId="0" borderId="0" xfId="0" applyNumberFormat="1" applyFont="1" applyFill="1" applyBorder="1" applyAlignment="1" applyProtection="1"/>
    <xf numFmtId="3" fontId="6" fillId="0" borderId="179" xfId="0" applyNumberFormat="1" applyFont="1" applyFill="1" applyBorder="1" applyAlignment="1" applyProtection="1"/>
    <xf numFmtId="3" fontId="6" fillId="0" borderId="6" xfId="0" applyNumberFormat="1" applyFont="1" applyFill="1" applyBorder="1" applyAlignment="1" applyProtection="1"/>
    <xf numFmtId="3" fontId="6" fillId="0" borderId="47" xfId="0" applyNumberFormat="1" applyFont="1" applyFill="1" applyBorder="1" applyAlignment="1" applyProtection="1"/>
    <xf numFmtId="3" fontId="6" fillId="0" borderId="7" xfId="0" applyNumberFormat="1" applyFont="1" applyFill="1" applyBorder="1" applyAlignment="1" applyProtection="1"/>
    <xf numFmtId="3" fontId="161" fillId="0" borderId="121" xfId="0" applyNumberFormat="1" applyFont="1" applyFill="1" applyBorder="1" applyAlignment="1">
      <alignment horizontal="right" vertical="center" indent="1"/>
    </xf>
    <xf numFmtId="10" fontId="31" fillId="0" borderId="0" xfId="1" applyNumberFormat="1" applyFont="1"/>
    <xf numFmtId="171" fontId="190" fillId="0" borderId="0" xfId="0" applyNumberFormat="1" applyFont="1" applyAlignment="1">
      <alignment vertical="center"/>
    </xf>
    <xf numFmtId="10" fontId="159" fillId="0" borderId="0" xfId="0" applyNumberFormat="1" applyFont="1"/>
    <xf numFmtId="0" fontId="190" fillId="0" borderId="20" xfId="0" applyFont="1" applyBorder="1" applyAlignment="1">
      <alignment horizontal="center"/>
    </xf>
    <xf numFmtId="0" fontId="258" fillId="94" borderId="105" xfId="0" applyFont="1" applyFill="1" applyBorder="1" applyAlignment="1">
      <alignment horizontal="center" vertical="center"/>
    </xf>
    <xf numFmtId="0" fontId="258" fillId="94" borderId="105" xfId="0" applyFont="1" applyFill="1" applyBorder="1" applyAlignment="1">
      <alignment vertical="center" wrapText="1"/>
    </xf>
    <xf numFmtId="165" fontId="190" fillId="0" borderId="20" xfId="0" applyNumberFormat="1" applyFont="1" applyBorder="1" applyAlignment="1">
      <alignment horizontal="center"/>
    </xf>
    <xf numFmtId="165" fontId="190" fillId="0" borderId="20" xfId="0" applyNumberFormat="1" applyFont="1" applyBorder="1" applyAlignment="1">
      <alignment horizontal="center" vertical="center" wrapText="1"/>
    </xf>
    <xf numFmtId="0" fontId="193" fillId="0" borderId="0" xfId="0" applyFont="1"/>
    <xf numFmtId="9" fontId="190" fillId="0" borderId="0" xfId="1" applyFont="1" applyAlignment="1">
      <alignment vertical="center"/>
    </xf>
    <xf numFmtId="0" fontId="31" fillId="0" borderId="0" xfId="0" applyFont="1" applyAlignment="1">
      <alignment vertical="center"/>
    </xf>
    <xf numFmtId="0" fontId="253" fillId="0" borderId="142" xfId="0" applyNumberFormat="1" applyFont="1" applyBorder="1" applyAlignment="1">
      <alignment horizontal="left" vertical="top" wrapText="1"/>
    </xf>
    <xf numFmtId="0" fontId="252" fillId="0" borderId="138" xfId="0" applyNumberFormat="1" applyFont="1" applyBorder="1" applyAlignment="1">
      <alignment horizontal="center" vertical="center" wrapText="1"/>
    </xf>
    <xf numFmtId="0" fontId="252" fillId="0" borderId="139" xfId="0" applyNumberFormat="1" applyFont="1" applyBorder="1" applyAlignment="1">
      <alignment horizontal="center" vertical="center" wrapText="1"/>
    </xf>
    <xf numFmtId="0" fontId="252" fillId="0" borderId="63" xfId="0" applyNumberFormat="1" applyFont="1" applyBorder="1" applyAlignment="1">
      <alignment horizontal="center" vertical="center" wrapText="1"/>
    </xf>
    <xf numFmtId="0" fontId="93" fillId="0" borderId="0" xfId="43848" applyFill="1" applyAlignment="1" applyProtection="1">
      <alignment vertical="top" wrapText="1"/>
    </xf>
    <xf numFmtId="213" fontId="259" fillId="0" borderId="49" xfId="0" applyNumberFormat="1" applyFont="1" applyBorder="1" applyAlignment="1">
      <alignment horizontal="right" vertical="top" shrinkToFit="1"/>
    </xf>
    <xf numFmtId="214" fontId="259" fillId="0" borderId="49" xfId="0" applyNumberFormat="1" applyFont="1" applyBorder="1" applyAlignment="1">
      <alignment horizontal="right" vertical="top" shrinkToFit="1"/>
    </xf>
    <xf numFmtId="213" fontId="259" fillId="97" borderId="49" xfId="0" applyNumberFormat="1" applyFont="1" applyFill="1" applyBorder="1" applyAlignment="1">
      <alignment horizontal="right" vertical="top" shrinkToFit="1"/>
    </xf>
    <xf numFmtId="166" fontId="162" fillId="37" borderId="183" xfId="0" applyNumberFormat="1" applyFont="1" applyFill="1" applyBorder="1" applyAlignment="1">
      <alignment horizontal="right" indent="1"/>
    </xf>
    <xf numFmtId="0" fontId="190" fillId="0" borderId="1" xfId="0" applyFont="1" applyBorder="1" applyAlignment="1">
      <alignment vertical="center" wrapText="1"/>
    </xf>
    <xf numFmtId="0" fontId="190" fillId="0" borderId="20" xfId="0" applyFont="1" applyBorder="1" applyAlignment="1">
      <alignment horizontal="center" vertical="center" wrapText="1"/>
    </xf>
    <xf numFmtId="0" fontId="190" fillId="0" borderId="20" xfId="0" applyFont="1" applyBorder="1" applyAlignment="1">
      <alignment vertical="center" wrapText="1"/>
    </xf>
    <xf numFmtId="168" fontId="167" fillId="37" borderId="0" xfId="0" applyNumberFormat="1" applyFont="1" applyFill="1" applyBorder="1" applyAlignment="1">
      <alignment horizontal="center" vertical="center" wrapText="1"/>
    </xf>
    <xf numFmtId="166" fontId="190" fillId="0" borderId="20" xfId="0" applyNumberFormat="1" applyFont="1" applyBorder="1" applyAlignment="1">
      <alignment horizontal="center"/>
    </xf>
    <xf numFmtId="166" fontId="157" fillId="0" borderId="0" xfId="0" applyNumberFormat="1" applyFont="1"/>
    <xf numFmtId="200" fontId="157" fillId="0" borderId="0" xfId="0" applyNumberFormat="1" applyFont="1"/>
    <xf numFmtId="165" fontId="159" fillId="0" borderId="106" xfId="0" applyNumberFormat="1" applyFont="1" applyBorder="1"/>
    <xf numFmtId="0" fontId="11" fillId="36" borderId="54" xfId="0" applyFont="1" applyFill="1" applyBorder="1" applyAlignment="1">
      <alignment horizontal="left"/>
    </xf>
    <xf numFmtId="0" fontId="11" fillId="36" borderId="57" xfId="0" applyFont="1" applyFill="1" applyBorder="1" applyAlignment="1">
      <alignment horizontal="left"/>
    </xf>
    <xf numFmtId="0" fontId="11" fillId="36" borderId="85" xfId="0" applyFont="1" applyFill="1" applyBorder="1" applyAlignment="1">
      <alignment horizontal="center"/>
    </xf>
    <xf numFmtId="0" fontId="11" fillId="36" borderId="100" xfId="0" applyFont="1" applyFill="1" applyBorder="1" applyAlignment="1">
      <alignment horizontal="center"/>
    </xf>
    <xf numFmtId="0" fontId="11" fillId="36" borderId="101" xfId="0" applyFont="1" applyFill="1" applyBorder="1" applyAlignment="1">
      <alignment horizontal="center"/>
    </xf>
    <xf numFmtId="0" fontId="0" fillId="0" borderId="0" xfId="0" applyFill="1" applyAlignment="1">
      <alignment vertical="center"/>
    </xf>
    <xf numFmtId="0" fontId="11" fillId="96" borderId="48" xfId="0" applyFont="1" applyFill="1" applyBorder="1" applyAlignment="1">
      <alignment horizontal="center" vertical="center" wrapText="1"/>
    </xf>
    <xf numFmtId="0" fontId="11" fillId="96" borderId="48" xfId="0" applyFont="1" applyFill="1" applyBorder="1" applyAlignment="1">
      <alignment horizontal="center" vertical="center"/>
    </xf>
    <xf numFmtId="205" fontId="189" fillId="0" borderId="20" xfId="0" applyNumberFormat="1" applyFont="1" applyBorder="1" applyAlignment="1">
      <alignment horizontal="center" vertical="center" wrapText="1"/>
    </xf>
    <xf numFmtId="0" fontId="190" fillId="0" borderId="1" xfId="0" applyFont="1" applyBorder="1" applyAlignment="1">
      <alignment vertical="center" wrapText="1"/>
    </xf>
    <xf numFmtId="0" fontId="190" fillId="0" borderId="2" xfId="0" applyFont="1" applyBorder="1" applyAlignment="1">
      <alignment vertical="center" wrapText="1"/>
    </xf>
    <xf numFmtId="0" fontId="190" fillId="0" borderId="23" xfId="0" applyFont="1" applyBorder="1" applyAlignment="1">
      <alignment vertical="center" wrapText="1"/>
    </xf>
    <xf numFmtId="0" fontId="190" fillId="0" borderId="169" xfId="0" applyFont="1" applyBorder="1" applyAlignment="1">
      <alignment horizontal="center" vertical="center" wrapText="1"/>
    </xf>
    <xf numFmtId="0" fontId="190" fillId="0" borderId="170" xfId="0" applyFont="1" applyBorder="1" applyAlignment="1">
      <alignment horizontal="center" vertical="center" wrapText="1"/>
    </xf>
    <xf numFmtId="0" fontId="190" fillId="0" borderId="171" xfId="0" applyFont="1" applyBorder="1" applyAlignment="1">
      <alignment horizontal="center" vertical="center" wrapText="1"/>
    </xf>
    <xf numFmtId="0" fontId="191" fillId="94" borderId="20" xfId="0" applyFont="1" applyFill="1" applyBorder="1"/>
    <xf numFmtId="0" fontId="192" fillId="94" borderId="20" xfId="0" applyFont="1" applyFill="1" applyBorder="1" applyAlignment="1">
      <alignment horizontal="center" vertical="center" wrapText="1"/>
    </xf>
    <xf numFmtId="0" fontId="192" fillId="94" borderId="21" xfId="0" applyFont="1" applyFill="1" applyBorder="1" applyAlignment="1">
      <alignment horizontal="center"/>
    </xf>
    <xf numFmtId="0" fontId="192" fillId="94" borderId="81" xfId="0" applyFont="1" applyFill="1" applyBorder="1" applyAlignment="1">
      <alignment horizontal="center"/>
    </xf>
    <xf numFmtId="0" fontId="191" fillId="0" borderId="20" xfId="0" applyFont="1" applyBorder="1" applyAlignment="1">
      <alignment horizontal="center" vertical="center" wrapText="1"/>
    </xf>
    <xf numFmtId="0" fontId="190" fillId="0" borderId="1" xfId="0" applyFont="1" applyBorder="1" applyAlignment="1">
      <alignment horizontal="left" vertical="center" wrapText="1"/>
    </xf>
    <xf numFmtId="0" fontId="190" fillId="0" borderId="23" xfId="0" applyFont="1" applyBorder="1" applyAlignment="1">
      <alignment horizontal="left" vertical="center" wrapText="1"/>
    </xf>
    <xf numFmtId="168" fontId="191" fillId="0" borderId="21" xfId="1" applyNumberFormat="1" applyFont="1" applyFill="1" applyBorder="1" applyAlignment="1">
      <alignment horizontal="center" vertical="center"/>
    </xf>
    <xf numFmtId="168" fontId="191" fillId="0" borderId="81" xfId="1" applyNumberFormat="1" applyFont="1" applyFill="1" applyBorder="1" applyAlignment="1">
      <alignment horizontal="center" vertical="center"/>
    </xf>
    <xf numFmtId="2" fontId="191" fillId="0" borderId="21" xfId="1" applyNumberFormat="1" applyFont="1" applyFill="1" applyBorder="1" applyAlignment="1">
      <alignment horizontal="center" vertical="center"/>
    </xf>
    <xf numFmtId="2" fontId="191" fillId="0" borderId="81" xfId="1" applyNumberFormat="1" applyFont="1" applyFill="1" applyBorder="1" applyAlignment="1">
      <alignment horizontal="center" vertical="center"/>
    </xf>
    <xf numFmtId="0" fontId="13" fillId="100" borderId="21" xfId="0" applyFont="1" applyFill="1" applyBorder="1" applyAlignment="1">
      <alignment horizontal="center" vertical="center"/>
    </xf>
    <xf numFmtId="0" fontId="13" fillId="100" borderId="22" xfId="0" applyFont="1" applyFill="1" applyBorder="1" applyAlignment="1">
      <alignment horizontal="center" vertical="center"/>
    </xf>
    <xf numFmtId="0" fontId="189" fillId="0" borderId="20" xfId="0" applyFont="1" applyFill="1" applyBorder="1" applyAlignment="1">
      <alignment horizontal="center" vertical="center" wrapText="1"/>
    </xf>
    <xf numFmtId="0" fontId="191" fillId="0" borderId="20" xfId="0" applyFont="1" applyFill="1" applyBorder="1" applyAlignment="1">
      <alignment horizontal="center" vertical="top" wrapText="1"/>
    </xf>
    <xf numFmtId="0" fontId="197" fillId="37" borderId="21" xfId="0" applyFont="1" applyFill="1" applyBorder="1" applyAlignment="1">
      <alignment horizontal="left" vertical="center"/>
    </xf>
    <xf numFmtId="0" fontId="197" fillId="37" borderId="22" xfId="0" applyFont="1" applyFill="1" applyBorder="1" applyAlignment="1">
      <alignment horizontal="left" vertical="center"/>
    </xf>
    <xf numFmtId="0" fontId="197" fillId="37" borderId="81" xfId="0" applyFont="1" applyFill="1" applyBorder="1" applyAlignment="1">
      <alignment horizontal="left" vertical="center"/>
    </xf>
    <xf numFmtId="0" fontId="196" fillId="0" borderId="1" xfId="0" applyFont="1" applyFill="1" applyBorder="1" applyAlignment="1">
      <alignment horizontal="center" vertical="center" wrapText="1"/>
    </xf>
    <xf numFmtId="0" fontId="196" fillId="0" borderId="2" xfId="0" applyFont="1" applyFill="1" applyBorder="1" applyAlignment="1">
      <alignment horizontal="center" vertical="center" wrapText="1"/>
    </xf>
    <xf numFmtId="0" fontId="196" fillId="0" borderId="23" xfId="0" applyFont="1" applyFill="1" applyBorder="1" applyAlignment="1">
      <alignment horizontal="center" vertical="center" wrapText="1"/>
    </xf>
    <xf numFmtId="0" fontId="190" fillId="0" borderId="2" xfId="0" applyFont="1" applyBorder="1" applyAlignment="1">
      <alignment horizontal="left" vertical="center" wrapText="1"/>
    </xf>
    <xf numFmtId="0" fontId="194" fillId="0" borderId="1" xfId="0" applyFont="1" applyFill="1" applyBorder="1" applyAlignment="1">
      <alignment horizontal="left" vertical="center" wrapText="1"/>
    </xf>
    <xf numFmtId="0" fontId="194" fillId="0" borderId="2" xfId="0" applyFont="1" applyFill="1" applyBorder="1" applyAlignment="1">
      <alignment horizontal="left" vertical="center" wrapText="1"/>
    </xf>
    <xf numFmtId="0" fontId="254" fillId="0" borderId="1" xfId="0" applyFont="1" applyFill="1" applyBorder="1" applyAlignment="1">
      <alignment horizontal="left" vertical="center" wrapText="1"/>
    </xf>
    <xf numFmtId="0" fontId="254" fillId="0" borderId="23" xfId="0" applyFont="1" applyFill="1" applyBorder="1" applyAlignment="1">
      <alignment horizontal="left" vertical="center" wrapText="1"/>
    </xf>
    <xf numFmtId="0" fontId="191" fillId="0" borderId="1" xfId="0" applyFont="1" applyFill="1" applyBorder="1" applyAlignment="1">
      <alignment horizontal="left" vertical="center" wrapText="1"/>
    </xf>
    <xf numFmtId="0" fontId="191" fillId="0" borderId="2" xfId="0" applyFont="1" applyFill="1" applyBorder="1" applyAlignment="1">
      <alignment horizontal="left" vertical="center" wrapText="1"/>
    </xf>
    <xf numFmtId="0" fontId="194" fillId="4" borderId="1" xfId="0" applyFont="1" applyFill="1" applyBorder="1" applyAlignment="1">
      <alignment horizontal="left" vertical="center" wrapText="1"/>
    </xf>
    <xf numFmtId="0" fontId="194" fillId="4" borderId="2" xfId="0" applyFont="1" applyFill="1" applyBorder="1" applyAlignment="1">
      <alignment horizontal="left" vertical="center" wrapText="1"/>
    </xf>
    <xf numFmtId="0" fontId="194" fillId="4" borderId="23" xfId="0" applyFont="1" applyFill="1" applyBorder="1" applyAlignment="1">
      <alignment horizontal="left" vertical="center" wrapText="1"/>
    </xf>
    <xf numFmtId="0" fontId="190" fillId="0" borderId="1" xfId="0" applyFont="1" applyBorder="1" applyAlignment="1">
      <alignment horizontal="left" vertical="top" wrapText="1"/>
    </xf>
    <xf numFmtId="0" fontId="190" fillId="0" borderId="2" xfId="0" applyFont="1" applyBorder="1" applyAlignment="1">
      <alignment horizontal="left" vertical="top" wrapText="1"/>
    </xf>
    <xf numFmtId="0" fontId="190" fillId="0" borderId="23" xfId="0" applyFont="1" applyBorder="1" applyAlignment="1">
      <alignment horizontal="left" vertical="top" wrapText="1"/>
    </xf>
    <xf numFmtId="171" fontId="194" fillId="0" borderId="20" xfId="0" applyNumberFormat="1" applyFont="1" applyFill="1" applyBorder="1" applyAlignment="1">
      <alignment horizontal="left" vertical="center" wrapText="1"/>
    </xf>
    <xf numFmtId="0" fontId="190" fillId="0" borderId="20" xfId="0" applyFont="1" applyBorder="1" applyAlignment="1">
      <alignment vertical="center" wrapText="1"/>
    </xf>
    <xf numFmtId="0" fontId="191" fillId="0" borderId="20" xfId="0" applyFont="1" applyFill="1" applyBorder="1" applyAlignment="1">
      <alignment horizontal="left" vertical="center" wrapText="1"/>
    </xf>
    <xf numFmtId="0" fontId="191" fillId="0" borderId="20" xfId="0" applyFont="1" applyFill="1" applyBorder="1" applyAlignment="1">
      <alignment horizontal="center" vertical="center" wrapText="1"/>
    </xf>
    <xf numFmtId="0" fontId="258" fillId="94" borderId="184" xfId="0" applyFont="1" applyFill="1" applyBorder="1" applyAlignment="1">
      <alignment horizontal="center" vertical="center"/>
    </xf>
    <xf numFmtId="0" fontId="258" fillId="94" borderId="185" xfId="0" applyFont="1" applyFill="1" applyBorder="1" applyAlignment="1">
      <alignment horizontal="center" vertical="center"/>
    </xf>
    <xf numFmtId="0" fontId="258" fillId="94" borderId="186" xfId="0" applyFont="1" applyFill="1" applyBorder="1" applyAlignment="1">
      <alignment horizontal="center" vertical="center"/>
    </xf>
    <xf numFmtId="0" fontId="190" fillId="0" borderId="20" xfId="0" applyFont="1" applyBorder="1" applyAlignment="1">
      <alignment horizontal="center" vertical="center" wrapText="1"/>
    </xf>
    <xf numFmtId="0" fontId="189" fillId="100" borderId="21" xfId="0" applyFont="1" applyFill="1" applyBorder="1" applyAlignment="1">
      <alignment horizontal="center" vertical="center"/>
    </xf>
    <xf numFmtId="0" fontId="189" fillId="100" borderId="22" xfId="0" applyFont="1" applyFill="1" applyBorder="1" applyAlignment="1">
      <alignment horizontal="center" vertical="center"/>
    </xf>
    <xf numFmtId="0" fontId="153" fillId="0" borderId="0" xfId="0" applyFont="1" applyAlignment="1">
      <alignment horizontal="center"/>
    </xf>
    <xf numFmtId="0" fontId="161" fillId="0" borderId="148" xfId="0" applyFont="1" applyBorder="1" applyAlignment="1">
      <alignment horizontal="left" vertical="center" wrapText="1"/>
    </xf>
    <xf numFmtId="197" fontId="6" fillId="4" borderId="122" xfId="0" applyNumberFormat="1" applyFont="1" applyFill="1" applyBorder="1" applyAlignment="1">
      <alignment horizontal="right" vertical="center" indent="1"/>
    </xf>
    <xf numFmtId="197" fontId="6" fillId="4" borderId="123" xfId="0" applyNumberFormat="1" applyFont="1" applyFill="1" applyBorder="1" applyAlignment="1">
      <alignment horizontal="right" vertical="center" indent="1"/>
    </xf>
    <xf numFmtId="197" fontId="6" fillId="4" borderId="124" xfId="0" applyNumberFormat="1" applyFont="1" applyFill="1" applyBorder="1" applyAlignment="1">
      <alignment horizontal="right" vertical="center" indent="1"/>
    </xf>
    <xf numFmtId="0" fontId="161" fillId="0" borderId="122" xfId="0" applyFont="1" applyBorder="1" applyAlignment="1">
      <alignment horizontal="left"/>
    </xf>
    <xf numFmtId="0" fontId="161" fillId="0" borderId="123" xfId="0" applyFont="1" applyBorder="1" applyAlignment="1">
      <alignment horizontal="left"/>
    </xf>
    <xf numFmtId="0" fontId="161" fillId="0" borderId="124" xfId="0" applyFont="1" applyBorder="1" applyAlignment="1">
      <alignment horizontal="left"/>
    </xf>
    <xf numFmtId="0" fontId="179" fillId="36" borderId="0" xfId="0" applyFont="1" applyFill="1" applyBorder="1" applyAlignment="1">
      <alignment vertical="center"/>
    </xf>
    <xf numFmtId="0" fontId="161" fillId="0" borderId="154" xfId="0" applyFont="1" applyBorder="1" applyAlignment="1">
      <alignment horizontal="left" vertical="center" wrapText="1"/>
    </xf>
    <xf numFmtId="0" fontId="161" fillId="0" borderId="155" xfId="0" applyFont="1" applyBorder="1" applyAlignment="1">
      <alignment horizontal="left" vertical="center" wrapText="1"/>
    </xf>
    <xf numFmtId="0" fontId="161" fillId="0" borderId="156" xfId="0" applyFont="1" applyBorder="1" applyAlignment="1">
      <alignment horizontal="left" vertical="center" wrapText="1"/>
    </xf>
    <xf numFmtId="0" fontId="161" fillId="0" borderId="152" xfId="0" applyFont="1" applyBorder="1" applyAlignment="1">
      <alignment horizontal="left" vertical="center" wrapText="1"/>
    </xf>
    <xf numFmtId="0" fontId="161" fillId="0" borderId="0" xfId="0" applyFont="1" applyBorder="1" applyAlignment="1">
      <alignment horizontal="left" vertical="center" wrapText="1"/>
    </xf>
    <xf numFmtId="0" fontId="161" fillId="0" borderId="157" xfId="0" applyFont="1" applyBorder="1" applyAlignment="1">
      <alignment horizontal="left" vertical="center" wrapText="1"/>
    </xf>
    <xf numFmtId="0" fontId="161" fillId="0" borderId="135" xfId="0" applyFont="1" applyBorder="1" applyAlignment="1">
      <alignment horizontal="left" vertical="center" wrapText="1"/>
    </xf>
    <xf numFmtId="0" fontId="161" fillId="0" borderId="125" xfId="0" applyFont="1" applyBorder="1" applyAlignment="1">
      <alignment horizontal="left" vertical="center" wrapText="1"/>
    </xf>
    <xf numFmtId="0" fontId="161" fillId="0" borderId="136" xfId="0" applyFont="1" applyBorder="1" applyAlignment="1">
      <alignment horizontal="left" vertical="center" wrapText="1"/>
    </xf>
    <xf numFmtId="0" fontId="161" fillId="0" borderId="132" xfId="0" applyFont="1" applyBorder="1" applyAlignment="1">
      <alignment horizontal="left" vertical="center" wrapText="1"/>
    </xf>
    <xf numFmtId="0" fontId="161" fillId="0" borderId="133" xfId="0" applyFont="1" applyBorder="1" applyAlignment="1">
      <alignment horizontal="left" vertical="center" wrapText="1"/>
    </xf>
    <xf numFmtId="0" fontId="161" fillId="0" borderId="134" xfId="0" applyFont="1" applyBorder="1" applyAlignment="1">
      <alignment horizontal="left" vertical="center" wrapText="1"/>
    </xf>
    <xf numFmtId="0" fontId="0" fillId="99" borderId="20" xfId="0" applyFill="1" applyBorder="1" applyAlignment="1">
      <alignment horizontal="center"/>
    </xf>
    <xf numFmtId="0" fontId="159" fillId="0" borderId="0" xfId="0" applyFont="1" applyAlignment="1">
      <alignment horizontal="left" wrapText="1" indent="1"/>
    </xf>
    <xf numFmtId="0" fontId="159" fillId="0" borderId="0" xfId="0" applyFont="1" applyAlignment="1">
      <alignment horizontal="left" wrapText="1" indent="3"/>
    </xf>
    <xf numFmtId="0" fontId="0" fillId="42" borderId="45" xfId="0" applyFill="1" applyBorder="1" applyAlignment="1">
      <alignment horizontal="center"/>
    </xf>
    <xf numFmtId="0" fontId="0" fillId="42" borderId="46" xfId="0" applyFill="1" applyBorder="1" applyAlignment="1">
      <alignment horizontal="center"/>
    </xf>
    <xf numFmtId="0" fontId="0" fillId="42" borderId="8" xfId="0" applyFill="1" applyBorder="1" applyAlignment="1">
      <alignment horizontal="center"/>
    </xf>
    <xf numFmtId="0" fontId="0" fillId="89" borderId="45" xfId="0" applyFill="1" applyBorder="1" applyAlignment="1">
      <alignment horizontal="center"/>
    </xf>
    <xf numFmtId="0" fontId="0" fillId="89" borderId="46" xfId="0" applyFill="1" applyBorder="1" applyAlignment="1">
      <alignment horizontal="center"/>
    </xf>
    <xf numFmtId="0" fontId="0" fillId="89" borderId="8" xfId="0" applyFill="1" applyBorder="1" applyAlignment="1">
      <alignment horizontal="center"/>
    </xf>
    <xf numFmtId="0" fontId="186" fillId="0" borderId="0" xfId="0" applyFont="1" applyAlignment="1">
      <alignment vertical="center"/>
    </xf>
    <xf numFmtId="0" fontId="186" fillId="0" borderId="47" xfId="0" applyFont="1" applyBorder="1" applyAlignment="1">
      <alignment vertical="center"/>
    </xf>
    <xf numFmtId="0" fontId="187" fillId="0" borderId="0" xfId="0" applyFont="1" applyAlignment="1">
      <alignment vertical="center" wrapText="1"/>
    </xf>
    <xf numFmtId="0" fontId="187" fillId="0" borderId="47" xfId="0" applyFont="1" applyBorder="1" applyAlignment="1">
      <alignment vertical="center" wrapText="1"/>
    </xf>
    <xf numFmtId="0" fontId="31" fillId="0" borderId="0" xfId="0" applyFont="1" applyAlignment="1">
      <alignment horizontal="left" vertical="top" wrapText="1"/>
    </xf>
    <xf numFmtId="0" fontId="34" fillId="0" borderId="0" xfId="17" applyFont="1" applyAlignment="1" applyProtection="1">
      <alignment horizontal="left" vertical="top" wrapText="1"/>
    </xf>
    <xf numFmtId="0" fontId="31" fillId="0" borderId="0" xfId="0" applyFont="1" applyAlignment="1">
      <alignment horizontal="left" vertical="top" wrapText="1" shrinkToFit="1"/>
    </xf>
    <xf numFmtId="0" fontId="34" fillId="0" borderId="0" xfId="17" applyFont="1" applyAlignment="1" applyProtection="1">
      <alignment vertical="top" wrapText="1" shrinkToFit="1"/>
    </xf>
    <xf numFmtId="0" fontId="34" fillId="0" borderId="0" xfId="17" applyFont="1" applyBorder="1" applyAlignment="1" applyProtection="1">
      <alignment horizontal="left" vertical="top" wrapText="1" shrinkToFit="1"/>
    </xf>
    <xf numFmtId="0" fontId="31" fillId="0" borderId="0" xfId="0" applyFont="1" applyBorder="1" applyAlignment="1">
      <alignment horizontal="left" vertical="top" wrapText="1" shrinkToFit="1"/>
    </xf>
    <xf numFmtId="0" fontId="248" fillId="0" borderId="0" xfId="17" applyFont="1" applyAlignment="1" applyProtection="1">
      <alignment horizontal="left" vertical="top" wrapText="1"/>
    </xf>
    <xf numFmtId="0" fontId="171" fillId="0" borderId="0" xfId="0" applyFont="1" applyAlignment="1">
      <alignment vertical="center" wrapText="1"/>
    </xf>
    <xf numFmtId="0" fontId="183" fillId="0" borderId="1" xfId="0" applyFont="1" applyBorder="1" applyAlignment="1">
      <alignment horizontal="center" vertical="center"/>
    </xf>
    <xf numFmtId="0" fontId="183" fillId="0" borderId="2" xfId="0" applyFont="1" applyBorder="1" applyAlignment="1">
      <alignment horizontal="center" vertical="center"/>
    </xf>
    <xf numFmtId="0" fontId="183" fillId="0" borderId="23" xfId="0" applyFont="1" applyBorder="1" applyAlignment="1">
      <alignment horizontal="center" vertical="center"/>
    </xf>
    <xf numFmtId="0" fontId="183" fillId="0" borderId="20" xfId="0" applyFont="1" applyBorder="1" applyAlignment="1">
      <alignment horizontal="center" vertical="center"/>
    </xf>
    <xf numFmtId="0" fontId="30" fillId="88" borderId="1" xfId="0" applyFont="1" applyFill="1" applyBorder="1" applyAlignment="1">
      <alignment horizontal="center" vertical="center"/>
    </xf>
    <xf numFmtId="0" fontId="30" fillId="88" borderId="23" xfId="0" applyFont="1" applyFill="1" applyBorder="1" applyAlignment="1">
      <alignment horizontal="center" vertical="center"/>
    </xf>
    <xf numFmtId="0" fontId="30" fillId="88" borderId="20" xfId="0" applyFont="1" applyFill="1" applyBorder="1" applyAlignment="1">
      <alignment horizontal="center" vertical="center" wrapText="1"/>
    </xf>
    <xf numFmtId="0" fontId="208" fillId="0" borderId="1" xfId="18" applyFont="1" applyBorder="1" applyAlignment="1">
      <alignment horizontal="center" vertical="top" wrapText="1"/>
    </xf>
    <xf numFmtId="0" fontId="208" fillId="0" borderId="23" xfId="18" applyFont="1" applyBorder="1" applyAlignment="1">
      <alignment horizontal="center" vertical="top" wrapText="1"/>
    </xf>
    <xf numFmtId="0" fontId="208" fillId="0" borderId="1" xfId="18" applyFont="1" applyBorder="1" applyAlignment="1">
      <alignment horizontal="center" vertical="top"/>
    </xf>
    <xf numFmtId="0" fontId="208" fillId="0" borderId="23" xfId="18" applyFont="1" applyBorder="1" applyAlignment="1">
      <alignment horizontal="center" vertical="top"/>
    </xf>
    <xf numFmtId="0" fontId="205" fillId="0" borderId="0" xfId="0" applyFont="1" applyFill="1" applyAlignment="1">
      <alignment horizontal="left" vertical="center" wrapText="1" shrinkToFit="1"/>
    </xf>
    <xf numFmtId="0" fontId="206" fillId="0" borderId="0" xfId="17" applyFont="1" applyAlignment="1" applyProtection="1">
      <alignment horizontal="left" vertical="center" wrapText="1" shrinkToFit="1"/>
    </xf>
    <xf numFmtId="0" fontId="223" fillId="0" borderId="0" xfId="0" applyFont="1" applyAlignment="1">
      <alignment horizontal="left" vertical="center" wrapText="1" shrinkToFit="1"/>
    </xf>
    <xf numFmtId="0" fontId="224" fillId="0" borderId="0" xfId="17" applyFont="1" applyFill="1" applyAlignment="1" applyProtection="1">
      <alignment horizontal="left" vertical="center" wrapText="1" shrinkToFit="1"/>
    </xf>
    <xf numFmtId="0" fontId="229" fillId="3" borderId="21" xfId="0" applyFont="1" applyFill="1" applyBorder="1" applyAlignment="1">
      <alignment vertical="center" wrapText="1"/>
    </xf>
    <xf numFmtId="0" fontId="217" fillId="3" borderId="22" xfId="0" applyFont="1" applyFill="1" applyBorder="1" applyAlignment="1">
      <alignment vertical="center" wrapText="1"/>
    </xf>
    <xf numFmtId="0" fontId="217" fillId="3" borderId="81" xfId="0" applyFont="1" applyFill="1" applyBorder="1" applyAlignment="1">
      <alignment vertical="center" wrapText="1"/>
    </xf>
    <xf numFmtId="0" fontId="30" fillId="0" borderId="20" xfId="0" applyFont="1" applyBorder="1" applyAlignment="1">
      <alignment horizontal="center" wrapText="1"/>
    </xf>
    <xf numFmtId="0" fontId="19" fillId="0" borderId="20" xfId="0" applyFont="1" applyBorder="1" applyAlignment="1">
      <alignment horizontal="center" wrapText="1"/>
    </xf>
    <xf numFmtId="0" fontId="94" fillId="0" borderId="50" xfId="0" applyFont="1" applyFill="1" applyBorder="1" applyAlignment="1">
      <alignment horizontal="center" wrapText="1"/>
    </xf>
    <xf numFmtId="0" fontId="94" fillId="0" borderId="51" xfId="0" applyFont="1" applyFill="1" applyBorder="1" applyAlignment="1">
      <alignment horizontal="center" wrapText="1"/>
    </xf>
    <xf numFmtId="0" fontId="94" fillId="0" borderId="52" xfId="0" applyFont="1" applyFill="1" applyBorder="1" applyAlignment="1">
      <alignment horizontal="center" wrapText="1"/>
    </xf>
    <xf numFmtId="0" fontId="30" fillId="0" borderId="20" xfId="0" applyFont="1" applyFill="1" applyBorder="1" applyAlignment="1">
      <alignment horizontal="center" vertical="top" wrapText="1"/>
    </xf>
    <xf numFmtId="3" fontId="31" fillId="2" borderId="62" xfId="0" applyNumberFormat="1" applyFont="1" applyFill="1" applyBorder="1" applyAlignment="1">
      <alignment horizontal="right" vertical="center" wrapText="1"/>
    </xf>
    <xf numFmtId="3" fontId="31" fillId="2" borderId="53" xfId="0" applyNumberFormat="1" applyFont="1" applyFill="1" applyBorder="1" applyAlignment="1">
      <alignment horizontal="right" vertical="center" wrapText="1"/>
    </xf>
    <xf numFmtId="0" fontId="94" fillId="0" borderId="50" xfId="0" applyFont="1" applyFill="1" applyBorder="1" applyAlignment="1">
      <alignment horizontal="center" vertical="top" wrapText="1"/>
    </xf>
    <xf numFmtId="0" fontId="94" fillId="0" borderId="51" xfId="0" applyFont="1" applyFill="1" applyBorder="1" applyAlignment="1">
      <alignment horizontal="center" vertical="top" wrapText="1"/>
    </xf>
    <xf numFmtId="0" fontId="94" fillId="0" borderId="52" xfId="0" applyFont="1" applyFill="1" applyBorder="1" applyAlignment="1">
      <alignment horizontal="center" vertical="top" wrapText="1"/>
    </xf>
    <xf numFmtId="44" fontId="42" fillId="0" borderId="20" xfId="3" applyFont="1" applyBorder="1" applyAlignment="1">
      <alignment horizontal="center" vertical="center" wrapText="1"/>
    </xf>
    <xf numFmtId="44" fontId="47" fillId="0" borderId="129" xfId="3" applyFont="1" applyBorder="1" applyAlignment="1">
      <alignment horizontal="center" vertical="center" wrapText="1"/>
    </xf>
    <xf numFmtId="44" fontId="47" fillId="0" borderId="130" xfId="3" applyFont="1" applyBorder="1" applyAlignment="1">
      <alignment horizontal="center" vertical="center" wrapText="1"/>
    </xf>
    <xf numFmtId="44" fontId="47" fillId="0" borderId="131" xfId="3" applyFont="1" applyBorder="1" applyAlignment="1">
      <alignment horizontal="center" vertical="center" wrapText="1"/>
    </xf>
    <xf numFmtId="0" fontId="252" fillId="0" borderId="0" xfId="0" applyNumberFormat="1" applyFont="1" applyAlignment="1">
      <alignment horizontal="center" vertical="center" wrapText="1"/>
    </xf>
    <xf numFmtId="0" fontId="253" fillId="0" borderId="0" xfId="0" applyNumberFormat="1" applyFont="1" applyAlignment="1">
      <alignment horizontal="center" vertical="center" wrapText="1"/>
    </xf>
    <xf numFmtId="0" fontId="252" fillId="0" borderId="180" xfId="0" applyNumberFormat="1" applyFont="1" applyBorder="1" applyAlignment="1">
      <alignment horizontal="center" vertical="center" wrapText="1"/>
    </xf>
    <xf numFmtId="0" fontId="252" fillId="0" borderId="140" xfId="0" applyNumberFormat="1" applyFont="1" applyBorder="1" applyAlignment="1">
      <alignment horizontal="center" vertical="center" wrapText="1"/>
    </xf>
    <xf numFmtId="0" fontId="252" fillId="0" borderId="138" xfId="0" applyNumberFormat="1" applyFont="1" applyBorder="1" applyAlignment="1">
      <alignment horizontal="center" vertical="center" wrapText="1"/>
    </xf>
    <xf numFmtId="0" fontId="252" fillId="0" borderId="181" xfId="0" applyNumberFormat="1" applyFont="1" applyBorder="1" applyAlignment="1">
      <alignment horizontal="center" vertical="center" wrapText="1"/>
    </xf>
    <xf numFmtId="0" fontId="252" fillId="0" borderId="182" xfId="0" applyNumberFormat="1" applyFont="1" applyBorder="1" applyAlignment="1">
      <alignment horizontal="center" vertical="center" wrapText="1"/>
    </xf>
    <xf numFmtId="0" fontId="252" fillId="0" borderId="53" xfId="0" applyNumberFormat="1" applyFont="1" applyBorder="1" applyAlignment="1">
      <alignment horizontal="center" vertical="center" wrapText="1"/>
    </xf>
    <xf numFmtId="0" fontId="252" fillId="0" borderId="50" xfId="0" applyNumberFormat="1" applyFont="1" applyBorder="1" applyAlignment="1">
      <alignment horizontal="center" vertical="top" wrapText="1"/>
    </xf>
    <xf numFmtId="0" fontId="252" fillId="0" borderId="51" xfId="0" applyNumberFormat="1" applyFont="1" applyBorder="1" applyAlignment="1">
      <alignment horizontal="center" vertical="top" wrapText="1"/>
    </xf>
    <xf numFmtId="0" fontId="252" fillId="0" borderId="50" xfId="0" applyNumberFormat="1" applyFont="1" applyBorder="1" applyAlignment="1">
      <alignment horizontal="center" vertical="center" wrapText="1"/>
    </xf>
    <xf numFmtId="0" fontId="252" fillId="0" borderId="51" xfId="0" applyNumberFormat="1" applyFont="1" applyBorder="1" applyAlignment="1">
      <alignment horizontal="center" vertical="center" wrapText="1"/>
    </xf>
    <xf numFmtId="0" fontId="252" fillId="0" borderId="52" xfId="0" applyNumberFormat="1" applyFont="1" applyBorder="1" applyAlignment="1">
      <alignment horizontal="center" vertical="center" wrapText="1"/>
    </xf>
  </cellXfs>
  <cellStyles count="43849">
    <cellStyle name="20% - Accent1 10" xfId="40813" xr:uid="{00000000-0005-0000-0000-000000000000}"/>
    <cellStyle name="20% - Accent1 11" xfId="40814" xr:uid="{00000000-0005-0000-0000-000001000000}"/>
    <cellStyle name="20% - Accent1 12" xfId="40815" xr:uid="{00000000-0005-0000-0000-000002000000}"/>
    <cellStyle name="20% - Accent1 13" xfId="40816" xr:uid="{00000000-0005-0000-0000-000003000000}"/>
    <cellStyle name="20% - Accent1 14" xfId="40817" xr:uid="{00000000-0005-0000-0000-000004000000}"/>
    <cellStyle name="20% - Accent1 15" xfId="40818" xr:uid="{00000000-0005-0000-0000-000005000000}"/>
    <cellStyle name="20% - Accent1 16" xfId="40819" xr:uid="{00000000-0005-0000-0000-000006000000}"/>
    <cellStyle name="20% - Accent1 17" xfId="40820" xr:uid="{00000000-0005-0000-0000-000007000000}"/>
    <cellStyle name="20% - Accent1 17 2" xfId="40821" xr:uid="{00000000-0005-0000-0000-000008000000}"/>
    <cellStyle name="20% - Accent1 17 2 2" xfId="40822" xr:uid="{00000000-0005-0000-0000-000009000000}"/>
    <cellStyle name="20% - Accent1 17 2 3" xfId="40823" xr:uid="{00000000-0005-0000-0000-00000A000000}"/>
    <cellStyle name="20% - Accent1 17 3" xfId="40824" xr:uid="{00000000-0005-0000-0000-00000B000000}"/>
    <cellStyle name="20% - Accent1 17 3 2" xfId="40825" xr:uid="{00000000-0005-0000-0000-00000C000000}"/>
    <cellStyle name="20% - Accent1 17 3 3" xfId="40826" xr:uid="{00000000-0005-0000-0000-00000D000000}"/>
    <cellStyle name="20% - Accent1 17 4" xfId="40827" xr:uid="{00000000-0005-0000-0000-00000E000000}"/>
    <cellStyle name="20% - Accent1 17 5" xfId="40828" xr:uid="{00000000-0005-0000-0000-00000F000000}"/>
    <cellStyle name="20% - Accent1 18" xfId="40829" xr:uid="{00000000-0005-0000-0000-000010000000}"/>
    <cellStyle name="20% - Accent1 18 2" xfId="40830" xr:uid="{00000000-0005-0000-0000-000011000000}"/>
    <cellStyle name="20% - Accent1 18 2 2" xfId="40831" xr:uid="{00000000-0005-0000-0000-000012000000}"/>
    <cellStyle name="20% - Accent1 18 2 3" xfId="40832" xr:uid="{00000000-0005-0000-0000-000013000000}"/>
    <cellStyle name="20% - Accent1 18 3" xfId="40833" xr:uid="{00000000-0005-0000-0000-000014000000}"/>
    <cellStyle name="20% - Accent1 18 3 2" xfId="40834" xr:uid="{00000000-0005-0000-0000-000015000000}"/>
    <cellStyle name="20% - Accent1 18 3 3" xfId="40835" xr:uid="{00000000-0005-0000-0000-000016000000}"/>
    <cellStyle name="20% - Accent1 18 4" xfId="40836" xr:uid="{00000000-0005-0000-0000-000017000000}"/>
    <cellStyle name="20% - Accent1 18 5" xfId="40837" xr:uid="{00000000-0005-0000-0000-000018000000}"/>
    <cellStyle name="20% - Accent1 19" xfId="40838" xr:uid="{00000000-0005-0000-0000-000019000000}"/>
    <cellStyle name="20% - Accent1 19 2" xfId="40839" xr:uid="{00000000-0005-0000-0000-00001A000000}"/>
    <cellStyle name="20% - Accent1 19 2 2" xfId="40840" xr:uid="{00000000-0005-0000-0000-00001B000000}"/>
    <cellStyle name="20% - Accent1 19 2 3" xfId="40841" xr:uid="{00000000-0005-0000-0000-00001C000000}"/>
    <cellStyle name="20% - Accent1 19 3" xfId="40842" xr:uid="{00000000-0005-0000-0000-00001D000000}"/>
    <cellStyle name="20% - Accent1 19 3 2" xfId="40843" xr:uid="{00000000-0005-0000-0000-00001E000000}"/>
    <cellStyle name="20% - Accent1 19 3 3" xfId="40844" xr:uid="{00000000-0005-0000-0000-00001F000000}"/>
    <cellStyle name="20% - Accent1 19 4" xfId="40845" xr:uid="{00000000-0005-0000-0000-000020000000}"/>
    <cellStyle name="20% - Accent1 19 5" xfId="40846" xr:uid="{00000000-0005-0000-0000-000021000000}"/>
    <cellStyle name="20% - Accent1 2" xfId="22" xr:uid="{00000000-0005-0000-0000-000022000000}"/>
    <cellStyle name="20% - Accent1 2 2" xfId="40847" xr:uid="{00000000-0005-0000-0000-000023000000}"/>
    <cellStyle name="20% - Accent1 2 3" xfId="40848" xr:uid="{00000000-0005-0000-0000-000024000000}"/>
    <cellStyle name="20% - Accent1 2 3 2" xfId="40849" xr:uid="{00000000-0005-0000-0000-000025000000}"/>
    <cellStyle name="20% - Accent1 2 3 2 2" xfId="40850" xr:uid="{00000000-0005-0000-0000-000026000000}"/>
    <cellStyle name="20% - Accent1 2 3 2 3" xfId="40851" xr:uid="{00000000-0005-0000-0000-000027000000}"/>
    <cellStyle name="20% - Accent1 2 3 3" xfId="40852" xr:uid="{00000000-0005-0000-0000-000028000000}"/>
    <cellStyle name="20% - Accent1 2 3 3 2" xfId="40853" xr:uid="{00000000-0005-0000-0000-000029000000}"/>
    <cellStyle name="20% - Accent1 2 3 3 3" xfId="40854" xr:uid="{00000000-0005-0000-0000-00002A000000}"/>
    <cellStyle name="20% - Accent1 2 3 4" xfId="40855" xr:uid="{00000000-0005-0000-0000-00002B000000}"/>
    <cellStyle name="20% - Accent1 2 3 5" xfId="40856" xr:uid="{00000000-0005-0000-0000-00002C000000}"/>
    <cellStyle name="20% - Accent1 20" xfId="40857" xr:uid="{00000000-0005-0000-0000-00002D000000}"/>
    <cellStyle name="20% - Accent1 20 2" xfId="40858" xr:uid="{00000000-0005-0000-0000-00002E000000}"/>
    <cellStyle name="20% - Accent1 20 2 2" xfId="40859" xr:uid="{00000000-0005-0000-0000-00002F000000}"/>
    <cellStyle name="20% - Accent1 20 2 3" xfId="40860" xr:uid="{00000000-0005-0000-0000-000030000000}"/>
    <cellStyle name="20% - Accent1 20 3" xfId="40861" xr:uid="{00000000-0005-0000-0000-000031000000}"/>
    <cellStyle name="20% - Accent1 20 3 2" xfId="40862" xr:uid="{00000000-0005-0000-0000-000032000000}"/>
    <cellStyle name="20% - Accent1 20 3 3" xfId="40863" xr:uid="{00000000-0005-0000-0000-000033000000}"/>
    <cellStyle name="20% - Accent1 20 4" xfId="40864" xr:uid="{00000000-0005-0000-0000-000034000000}"/>
    <cellStyle name="20% - Accent1 20 5" xfId="40865" xr:uid="{00000000-0005-0000-0000-000035000000}"/>
    <cellStyle name="20% - Accent1 21" xfId="40866" xr:uid="{00000000-0005-0000-0000-000036000000}"/>
    <cellStyle name="20% - Accent1 21 2" xfId="40867" xr:uid="{00000000-0005-0000-0000-000037000000}"/>
    <cellStyle name="20% - Accent1 21 2 2" xfId="40868" xr:uid="{00000000-0005-0000-0000-000038000000}"/>
    <cellStyle name="20% - Accent1 21 2 3" xfId="40869" xr:uid="{00000000-0005-0000-0000-000039000000}"/>
    <cellStyle name="20% - Accent1 21 3" xfId="40870" xr:uid="{00000000-0005-0000-0000-00003A000000}"/>
    <cellStyle name="20% - Accent1 21 3 2" xfId="40871" xr:uid="{00000000-0005-0000-0000-00003B000000}"/>
    <cellStyle name="20% - Accent1 21 3 3" xfId="40872" xr:uid="{00000000-0005-0000-0000-00003C000000}"/>
    <cellStyle name="20% - Accent1 21 4" xfId="40873" xr:uid="{00000000-0005-0000-0000-00003D000000}"/>
    <cellStyle name="20% - Accent1 21 5" xfId="40874" xr:uid="{00000000-0005-0000-0000-00003E000000}"/>
    <cellStyle name="20% - Accent1 22" xfId="40875" xr:uid="{00000000-0005-0000-0000-00003F000000}"/>
    <cellStyle name="20% - Accent1 23" xfId="40876" xr:uid="{00000000-0005-0000-0000-000040000000}"/>
    <cellStyle name="20% - Accent1 23 2" xfId="40877" xr:uid="{00000000-0005-0000-0000-000041000000}"/>
    <cellStyle name="20% - Accent1 23 2 2" xfId="40878" xr:uid="{00000000-0005-0000-0000-000042000000}"/>
    <cellStyle name="20% - Accent1 23 2 3" xfId="40879" xr:uid="{00000000-0005-0000-0000-000043000000}"/>
    <cellStyle name="20% - Accent1 23 3" xfId="40880" xr:uid="{00000000-0005-0000-0000-000044000000}"/>
    <cellStyle name="20% - Accent1 23 3 2" xfId="40881" xr:uid="{00000000-0005-0000-0000-000045000000}"/>
    <cellStyle name="20% - Accent1 23 3 3" xfId="40882" xr:uid="{00000000-0005-0000-0000-000046000000}"/>
    <cellStyle name="20% - Accent1 23 4" xfId="40883" xr:uid="{00000000-0005-0000-0000-000047000000}"/>
    <cellStyle name="20% - Accent1 23 5" xfId="40884" xr:uid="{00000000-0005-0000-0000-000048000000}"/>
    <cellStyle name="20% - Accent1 24" xfId="40885" xr:uid="{00000000-0005-0000-0000-000049000000}"/>
    <cellStyle name="20% - Accent1 3" xfId="40886" xr:uid="{00000000-0005-0000-0000-00004A000000}"/>
    <cellStyle name="20% - Accent1 4" xfId="40887" xr:uid="{00000000-0005-0000-0000-00004B000000}"/>
    <cellStyle name="20% - Accent1 5" xfId="40888" xr:uid="{00000000-0005-0000-0000-00004C000000}"/>
    <cellStyle name="20% - Accent1 6" xfId="40889" xr:uid="{00000000-0005-0000-0000-00004D000000}"/>
    <cellStyle name="20% - Accent1 7" xfId="40890" xr:uid="{00000000-0005-0000-0000-00004E000000}"/>
    <cellStyle name="20% - Accent1 8" xfId="40891" xr:uid="{00000000-0005-0000-0000-00004F000000}"/>
    <cellStyle name="20% - Accent1 9" xfId="40892" xr:uid="{00000000-0005-0000-0000-000050000000}"/>
    <cellStyle name="20% - Accent2 10" xfId="40893" xr:uid="{00000000-0005-0000-0000-000051000000}"/>
    <cellStyle name="20% - Accent2 11" xfId="40894" xr:uid="{00000000-0005-0000-0000-000052000000}"/>
    <cellStyle name="20% - Accent2 12" xfId="40895" xr:uid="{00000000-0005-0000-0000-000053000000}"/>
    <cellStyle name="20% - Accent2 13" xfId="40896" xr:uid="{00000000-0005-0000-0000-000054000000}"/>
    <cellStyle name="20% - Accent2 14" xfId="40897" xr:uid="{00000000-0005-0000-0000-000055000000}"/>
    <cellStyle name="20% - Accent2 15" xfId="40898" xr:uid="{00000000-0005-0000-0000-000056000000}"/>
    <cellStyle name="20% - Accent2 16" xfId="40899" xr:uid="{00000000-0005-0000-0000-000057000000}"/>
    <cellStyle name="20% - Accent2 17" xfId="40900" xr:uid="{00000000-0005-0000-0000-000058000000}"/>
    <cellStyle name="20% - Accent2 17 2" xfId="40901" xr:uid="{00000000-0005-0000-0000-000059000000}"/>
    <cellStyle name="20% - Accent2 17 2 2" xfId="40902" xr:uid="{00000000-0005-0000-0000-00005A000000}"/>
    <cellStyle name="20% - Accent2 17 2 3" xfId="40903" xr:uid="{00000000-0005-0000-0000-00005B000000}"/>
    <cellStyle name="20% - Accent2 17 3" xfId="40904" xr:uid="{00000000-0005-0000-0000-00005C000000}"/>
    <cellStyle name="20% - Accent2 17 3 2" xfId="40905" xr:uid="{00000000-0005-0000-0000-00005D000000}"/>
    <cellStyle name="20% - Accent2 17 3 3" xfId="40906" xr:uid="{00000000-0005-0000-0000-00005E000000}"/>
    <cellStyle name="20% - Accent2 17 4" xfId="40907" xr:uid="{00000000-0005-0000-0000-00005F000000}"/>
    <cellStyle name="20% - Accent2 17 5" xfId="40908" xr:uid="{00000000-0005-0000-0000-000060000000}"/>
    <cellStyle name="20% - Accent2 18" xfId="40909" xr:uid="{00000000-0005-0000-0000-000061000000}"/>
    <cellStyle name="20% - Accent2 18 2" xfId="40910" xr:uid="{00000000-0005-0000-0000-000062000000}"/>
    <cellStyle name="20% - Accent2 18 2 2" xfId="40911" xr:uid="{00000000-0005-0000-0000-000063000000}"/>
    <cellStyle name="20% - Accent2 18 2 3" xfId="40912" xr:uid="{00000000-0005-0000-0000-000064000000}"/>
    <cellStyle name="20% - Accent2 18 3" xfId="40913" xr:uid="{00000000-0005-0000-0000-000065000000}"/>
    <cellStyle name="20% - Accent2 18 3 2" xfId="40914" xr:uid="{00000000-0005-0000-0000-000066000000}"/>
    <cellStyle name="20% - Accent2 18 3 3" xfId="40915" xr:uid="{00000000-0005-0000-0000-000067000000}"/>
    <cellStyle name="20% - Accent2 18 4" xfId="40916" xr:uid="{00000000-0005-0000-0000-000068000000}"/>
    <cellStyle name="20% - Accent2 18 5" xfId="40917" xr:uid="{00000000-0005-0000-0000-000069000000}"/>
    <cellStyle name="20% - Accent2 19" xfId="40918" xr:uid="{00000000-0005-0000-0000-00006A000000}"/>
    <cellStyle name="20% - Accent2 19 2" xfId="40919" xr:uid="{00000000-0005-0000-0000-00006B000000}"/>
    <cellStyle name="20% - Accent2 19 2 2" xfId="40920" xr:uid="{00000000-0005-0000-0000-00006C000000}"/>
    <cellStyle name="20% - Accent2 19 2 3" xfId="40921" xr:uid="{00000000-0005-0000-0000-00006D000000}"/>
    <cellStyle name="20% - Accent2 19 3" xfId="40922" xr:uid="{00000000-0005-0000-0000-00006E000000}"/>
    <cellStyle name="20% - Accent2 19 3 2" xfId="40923" xr:uid="{00000000-0005-0000-0000-00006F000000}"/>
    <cellStyle name="20% - Accent2 19 3 3" xfId="40924" xr:uid="{00000000-0005-0000-0000-000070000000}"/>
    <cellStyle name="20% - Accent2 19 4" xfId="40925" xr:uid="{00000000-0005-0000-0000-000071000000}"/>
    <cellStyle name="20% - Accent2 19 5" xfId="40926" xr:uid="{00000000-0005-0000-0000-000072000000}"/>
    <cellStyle name="20% - Accent2 2" xfId="23" xr:uid="{00000000-0005-0000-0000-000073000000}"/>
    <cellStyle name="20% - Accent2 2 2" xfId="40927" xr:uid="{00000000-0005-0000-0000-000074000000}"/>
    <cellStyle name="20% - Accent2 2 3" xfId="40928" xr:uid="{00000000-0005-0000-0000-000075000000}"/>
    <cellStyle name="20% - Accent2 2 3 2" xfId="40929" xr:uid="{00000000-0005-0000-0000-000076000000}"/>
    <cellStyle name="20% - Accent2 2 3 2 2" xfId="40930" xr:uid="{00000000-0005-0000-0000-000077000000}"/>
    <cellStyle name="20% - Accent2 2 3 2 3" xfId="40931" xr:uid="{00000000-0005-0000-0000-000078000000}"/>
    <cellStyle name="20% - Accent2 2 3 3" xfId="40932" xr:uid="{00000000-0005-0000-0000-000079000000}"/>
    <cellStyle name="20% - Accent2 2 3 3 2" xfId="40933" xr:uid="{00000000-0005-0000-0000-00007A000000}"/>
    <cellStyle name="20% - Accent2 2 3 3 3" xfId="40934" xr:uid="{00000000-0005-0000-0000-00007B000000}"/>
    <cellStyle name="20% - Accent2 2 3 4" xfId="40935" xr:uid="{00000000-0005-0000-0000-00007C000000}"/>
    <cellStyle name="20% - Accent2 2 3 5" xfId="40936" xr:uid="{00000000-0005-0000-0000-00007D000000}"/>
    <cellStyle name="20% - Accent2 20" xfId="40937" xr:uid="{00000000-0005-0000-0000-00007E000000}"/>
    <cellStyle name="20% - Accent2 20 2" xfId="40938" xr:uid="{00000000-0005-0000-0000-00007F000000}"/>
    <cellStyle name="20% - Accent2 20 2 2" xfId="40939" xr:uid="{00000000-0005-0000-0000-000080000000}"/>
    <cellStyle name="20% - Accent2 20 2 3" xfId="40940" xr:uid="{00000000-0005-0000-0000-000081000000}"/>
    <cellStyle name="20% - Accent2 20 3" xfId="40941" xr:uid="{00000000-0005-0000-0000-000082000000}"/>
    <cellStyle name="20% - Accent2 20 3 2" xfId="40942" xr:uid="{00000000-0005-0000-0000-000083000000}"/>
    <cellStyle name="20% - Accent2 20 3 3" xfId="40943" xr:uid="{00000000-0005-0000-0000-000084000000}"/>
    <cellStyle name="20% - Accent2 20 4" xfId="40944" xr:uid="{00000000-0005-0000-0000-000085000000}"/>
    <cellStyle name="20% - Accent2 20 5" xfId="40945" xr:uid="{00000000-0005-0000-0000-000086000000}"/>
    <cellStyle name="20% - Accent2 21" xfId="40946" xr:uid="{00000000-0005-0000-0000-000087000000}"/>
    <cellStyle name="20% - Accent2 21 2" xfId="40947" xr:uid="{00000000-0005-0000-0000-000088000000}"/>
    <cellStyle name="20% - Accent2 21 2 2" xfId="40948" xr:uid="{00000000-0005-0000-0000-000089000000}"/>
    <cellStyle name="20% - Accent2 21 2 3" xfId="40949" xr:uid="{00000000-0005-0000-0000-00008A000000}"/>
    <cellStyle name="20% - Accent2 21 3" xfId="40950" xr:uid="{00000000-0005-0000-0000-00008B000000}"/>
    <cellStyle name="20% - Accent2 21 3 2" xfId="40951" xr:uid="{00000000-0005-0000-0000-00008C000000}"/>
    <cellStyle name="20% - Accent2 21 3 3" xfId="40952" xr:uid="{00000000-0005-0000-0000-00008D000000}"/>
    <cellStyle name="20% - Accent2 21 4" xfId="40953" xr:uid="{00000000-0005-0000-0000-00008E000000}"/>
    <cellStyle name="20% - Accent2 21 5" xfId="40954" xr:uid="{00000000-0005-0000-0000-00008F000000}"/>
    <cellStyle name="20% - Accent2 22" xfId="40955" xr:uid="{00000000-0005-0000-0000-000090000000}"/>
    <cellStyle name="20% - Accent2 23" xfId="40956" xr:uid="{00000000-0005-0000-0000-000091000000}"/>
    <cellStyle name="20% - Accent2 23 2" xfId="40957" xr:uid="{00000000-0005-0000-0000-000092000000}"/>
    <cellStyle name="20% - Accent2 23 2 2" xfId="40958" xr:uid="{00000000-0005-0000-0000-000093000000}"/>
    <cellStyle name="20% - Accent2 23 2 3" xfId="40959" xr:uid="{00000000-0005-0000-0000-000094000000}"/>
    <cellStyle name="20% - Accent2 23 3" xfId="40960" xr:uid="{00000000-0005-0000-0000-000095000000}"/>
    <cellStyle name="20% - Accent2 23 3 2" xfId="40961" xr:uid="{00000000-0005-0000-0000-000096000000}"/>
    <cellStyle name="20% - Accent2 23 3 3" xfId="40962" xr:uid="{00000000-0005-0000-0000-000097000000}"/>
    <cellStyle name="20% - Accent2 23 4" xfId="40963" xr:uid="{00000000-0005-0000-0000-000098000000}"/>
    <cellStyle name="20% - Accent2 23 5" xfId="40964" xr:uid="{00000000-0005-0000-0000-000099000000}"/>
    <cellStyle name="20% - Accent2 24" xfId="40965" xr:uid="{00000000-0005-0000-0000-00009A000000}"/>
    <cellStyle name="20% - Accent2 25" xfId="40966" xr:uid="{00000000-0005-0000-0000-00009B000000}"/>
    <cellStyle name="20% - Accent2 26" xfId="40967" xr:uid="{00000000-0005-0000-0000-00009C000000}"/>
    <cellStyle name="20% - Accent2 3" xfId="40968" xr:uid="{00000000-0005-0000-0000-00009D000000}"/>
    <cellStyle name="20% - Accent2 4" xfId="40969" xr:uid="{00000000-0005-0000-0000-00009E000000}"/>
    <cellStyle name="20% - Accent2 5" xfId="40970" xr:uid="{00000000-0005-0000-0000-00009F000000}"/>
    <cellStyle name="20% - Accent2 6" xfId="40971" xr:uid="{00000000-0005-0000-0000-0000A0000000}"/>
    <cellStyle name="20% - Accent2 7" xfId="40972" xr:uid="{00000000-0005-0000-0000-0000A1000000}"/>
    <cellStyle name="20% - Accent2 8" xfId="40973" xr:uid="{00000000-0005-0000-0000-0000A2000000}"/>
    <cellStyle name="20% - Accent2 9" xfId="40974" xr:uid="{00000000-0005-0000-0000-0000A3000000}"/>
    <cellStyle name="20% - Accent3 10" xfId="40975" xr:uid="{00000000-0005-0000-0000-0000A4000000}"/>
    <cellStyle name="20% - Accent3 11" xfId="40976" xr:uid="{00000000-0005-0000-0000-0000A5000000}"/>
    <cellStyle name="20% - Accent3 12" xfId="40977" xr:uid="{00000000-0005-0000-0000-0000A6000000}"/>
    <cellStyle name="20% - Accent3 13" xfId="40978" xr:uid="{00000000-0005-0000-0000-0000A7000000}"/>
    <cellStyle name="20% - Accent3 14" xfId="40979" xr:uid="{00000000-0005-0000-0000-0000A8000000}"/>
    <cellStyle name="20% - Accent3 15" xfId="40980" xr:uid="{00000000-0005-0000-0000-0000A9000000}"/>
    <cellStyle name="20% - Accent3 16" xfId="40981" xr:uid="{00000000-0005-0000-0000-0000AA000000}"/>
    <cellStyle name="20% - Accent3 17" xfId="40982" xr:uid="{00000000-0005-0000-0000-0000AB000000}"/>
    <cellStyle name="20% - Accent3 17 2" xfId="40983" xr:uid="{00000000-0005-0000-0000-0000AC000000}"/>
    <cellStyle name="20% - Accent3 17 2 2" xfId="40984" xr:uid="{00000000-0005-0000-0000-0000AD000000}"/>
    <cellStyle name="20% - Accent3 17 2 3" xfId="40985" xr:uid="{00000000-0005-0000-0000-0000AE000000}"/>
    <cellStyle name="20% - Accent3 17 3" xfId="40986" xr:uid="{00000000-0005-0000-0000-0000AF000000}"/>
    <cellStyle name="20% - Accent3 17 3 2" xfId="40987" xr:uid="{00000000-0005-0000-0000-0000B0000000}"/>
    <cellStyle name="20% - Accent3 17 3 3" xfId="40988" xr:uid="{00000000-0005-0000-0000-0000B1000000}"/>
    <cellStyle name="20% - Accent3 17 4" xfId="40989" xr:uid="{00000000-0005-0000-0000-0000B2000000}"/>
    <cellStyle name="20% - Accent3 17 5" xfId="40990" xr:uid="{00000000-0005-0000-0000-0000B3000000}"/>
    <cellStyle name="20% - Accent3 18" xfId="40991" xr:uid="{00000000-0005-0000-0000-0000B4000000}"/>
    <cellStyle name="20% - Accent3 18 2" xfId="40992" xr:uid="{00000000-0005-0000-0000-0000B5000000}"/>
    <cellStyle name="20% - Accent3 18 2 2" xfId="40993" xr:uid="{00000000-0005-0000-0000-0000B6000000}"/>
    <cellStyle name="20% - Accent3 18 2 3" xfId="40994" xr:uid="{00000000-0005-0000-0000-0000B7000000}"/>
    <cellStyle name="20% - Accent3 18 3" xfId="40995" xr:uid="{00000000-0005-0000-0000-0000B8000000}"/>
    <cellStyle name="20% - Accent3 18 3 2" xfId="40996" xr:uid="{00000000-0005-0000-0000-0000B9000000}"/>
    <cellStyle name="20% - Accent3 18 3 3" xfId="40997" xr:uid="{00000000-0005-0000-0000-0000BA000000}"/>
    <cellStyle name="20% - Accent3 18 4" xfId="40998" xr:uid="{00000000-0005-0000-0000-0000BB000000}"/>
    <cellStyle name="20% - Accent3 18 5" xfId="40999" xr:uid="{00000000-0005-0000-0000-0000BC000000}"/>
    <cellStyle name="20% - Accent3 19" xfId="41000" xr:uid="{00000000-0005-0000-0000-0000BD000000}"/>
    <cellStyle name="20% - Accent3 19 2" xfId="41001" xr:uid="{00000000-0005-0000-0000-0000BE000000}"/>
    <cellStyle name="20% - Accent3 19 2 2" xfId="41002" xr:uid="{00000000-0005-0000-0000-0000BF000000}"/>
    <cellStyle name="20% - Accent3 19 2 3" xfId="41003" xr:uid="{00000000-0005-0000-0000-0000C0000000}"/>
    <cellStyle name="20% - Accent3 19 3" xfId="41004" xr:uid="{00000000-0005-0000-0000-0000C1000000}"/>
    <cellStyle name="20% - Accent3 19 3 2" xfId="41005" xr:uid="{00000000-0005-0000-0000-0000C2000000}"/>
    <cellStyle name="20% - Accent3 19 3 3" xfId="41006" xr:uid="{00000000-0005-0000-0000-0000C3000000}"/>
    <cellStyle name="20% - Accent3 19 4" xfId="41007" xr:uid="{00000000-0005-0000-0000-0000C4000000}"/>
    <cellStyle name="20% - Accent3 19 5" xfId="41008" xr:uid="{00000000-0005-0000-0000-0000C5000000}"/>
    <cellStyle name="20% - Accent3 2" xfId="24" xr:uid="{00000000-0005-0000-0000-0000C6000000}"/>
    <cellStyle name="20% - Accent3 2 2" xfId="41009" xr:uid="{00000000-0005-0000-0000-0000C7000000}"/>
    <cellStyle name="20% - Accent3 2 3" xfId="41010" xr:uid="{00000000-0005-0000-0000-0000C8000000}"/>
    <cellStyle name="20% - Accent3 2 3 2" xfId="41011" xr:uid="{00000000-0005-0000-0000-0000C9000000}"/>
    <cellStyle name="20% - Accent3 2 3 2 2" xfId="41012" xr:uid="{00000000-0005-0000-0000-0000CA000000}"/>
    <cellStyle name="20% - Accent3 2 3 2 3" xfId="41013" xr:uid="{00000000-0005-0000-0000-0000CB000000}"/>
    <cellStyle name="20% - Accent3 2 3 3" xfId="41014" xr:uid="{00000000-0005-0000-0000-0000CC000000}"/>
    <cellStyle name="20% - Accent3 2 3 3 2" xfId="41015" xr:uid="{00000000-0005-0000-0000-0000CD000000}"/>
    <cellStyle name="20% - Accent3 2 3 3 3" xfId="41016" xr:uid="{00000000-0005-0000-0000-0000CE000000}"/>
    <cellStyle name="20% - Accent3 2 3 4" xfId="41017" xr:uid="{00000000-0005-0000-0000-0000CF000000}"/>
    <cellStyle name="20% - Accent3 2 3 5" xfId="41018" xr:uid="{00000000-0005-0000-0000-0000D0000000}"/>
    <cellStyle name="20% - Accent3 20" xfId="41019" xr:uid="{00000000-0005-0000-0000-0000D1000000}"/>
    <cellStyle name="20% - Accent3 20 2" xfId="41020" xr:uid="{00000000-0005-0000-0000-0000D2000000}"/>
    <cellStyle name="20% - Accent3 20 2 2" xfId="41021" xr:uid="{00000000-0005-0000-0000-0000D3000000}"/>
    <cellStyle name="20% - Accent3 20 2 3" xfId="41022" xr:uid="{00000000-0005-0000-0000-0000D4000000}"/>
    <cellStyle name="20% - Accent3 20 3" xfId="41023" xr:uid="{00000000-0005-0000-0000-0000D5000000}"/>
    <cellStyle name="20% - Accent3 20 3 2" xfId="41024" xr:uid="{00000000-0005-0000-0000-0000D6000000}"/>
    <cellStyle name="20% - Accent3 20 3 3" xfId="41025" xr:uid="{00000000-0005-0000-0000-0000D7000000}"/>
    <cellStyle name="20% - Accent3 20 4" xfId="41026" xr:uid="{00000000-0005-0000-0000-0000D8000000}"/>
    <cellStyle name="20% - Accent3 20 5" xfId="41027" xr:uid="{00000000-0005-0000-0000-0000D9000000}"/>
    <cellStyle name="20% - Accent3 21" xfId="41028" xr:uid="{00000000-0005-0000-0000-0000DA000000}"/>
    <cellStyle name="20% - Accent3 21 2" xfId="41029" xr:uid="{00000000-0005-0000-0000-0000DB000000}"/>
    <cellStyle name="20% - Accent3 21 2 2" xfId="41030" xr:uid="{00000000-0005-0000-0000-0000DC000000}"/>
    <cellStyle name="20% - Accent3 21 2 3" xfId="41031" xr:uid="{00000000-0005-0000-0000-0000DD000000}"/>
    <cellStyle name="20% - Accent3 21 3" xfId="41032" xr:uid="{00000000-0005-0000-0000-0000DE000000}"/>
    <cellStyle name="20% - Accent3 21 3 2" xfId="41033" xr:uid="{00000000-0005-0000-0000-0000DF000000}"/>
    <cellStyle name="20% - Accent3 21 3 3" xfId="41034" xr:uid="{00000000-0005-0000-0000-0000E0000000}"/>
    <cellStyle name="20% - Accent3 21 4" xfId="41035" xr:uid="{00000000-0005-0000-0000-0000E1000000}"/>
    <cellStyle name="20% - Accent3 21 5" xfId="41036" xr:uid="{00000000-0005-0000-0000-0000E2000000}"/>
    <cellStyle name="20% - Accent3 22" xfId="41037" xr:uid="{00000000-0005-0000-0000-0000E3000000}"/>
    <cellStyle name="20% - Accent3 23" xfId="41038" xr:uid="{00000000-0005-0000-0000-0000E4000000}"/>
    <cellStyle name="20% - Accent3 23 2" xfId="41039" xr:uid="{00000000-0005-0000-0000-0000E5000000}"/>
    <cellStyle name="20% - Accent3 23 2 2" xfId="41040" xr:uid="{00000000-0005-0000-0000-0000E6000000}"/>
    <cellStyle name="20% - Accent3 23 2 3" xfId="41041" xr:uid="{00000000-0005-0000-0000-0000E7000000}"/>
    <cellStyle name="20% - Accent3 23 3" xfId="41042" xr:uid="{00000000-0005-0000-0000-0000E8000000}"/>
    <cellStyle name="20% - Accent3 23 3 2" xfId="41043" xr:uid="{00000000-0005-0000-0000-0000E9000000}"/>
    <cellStyle name="20% - Accent3 23 3 3" xfId="41044" xr:uid="{00000000-0005-0000-0000-0000EA000000}"/>
    <cellStyle name="20% - Accent3 23 4" xfId="41045" xr:uid="{00000000-0005-0000-0000-0000EB000000}"/>
    <cellStyle name="20% - Accent3 23 5" xfId="41046" xr:uid="{00000000-0005-0000-0000-0000EC000000}"/>
    <cellStyle name="20% - Accent3 24" xfId="41047" xr:uid="{00000000-0005-0000-0000-0000ED000000}"/>
    <cellStyle name="20% - Accent3 3" xfId="41048" xr:uid="{00000000-0005-0000-0000-0000EE000000}"/>
    <cellStyle name="20% - Accent3 4" xfId="41049" xr:uid="{00000000-0005-0000-0000-0000EF000000}"/>
    <cellStyle name="20% - Accent3 5" xfId="41050" xr:uid="{00000000-0005-0000-0000-0000F0000000}"/>
    <cellStyle name="20% - Accent3 6" xfId="41051" xr:uid="{00000000-0005-0000-0000-0000F1000000}"/>
    <cellStyle name="20% - Accent3 7" xfId="41052" xr:uid="{00000000-0005-0000-0000-0000F2000000}"/>
    <cellStyle name="20% - Accent3 8" xfId="41053" xr:uid="{00000000-0005-0000-0000-0000F3000000}"/>
    <cellStyle name="20% - Accent3 9" xfId="41054" xr:uid="{00000000-0005-0000-0000-0000F4000000}"/>
    <cellStyle name="20% - Accent4 10" xfId="41055" xr:uid="{00000000-0005-0000-0000-0000F5000000}"/>
    <cellStyle name="20% - Accent4 11" xfId="41056" xr:uid="{00000000-0005-0000-0000-0000F6000000}"/>
    <cellStyle name="20% - Accent4 12" xfId="41057" xr:uid="{00000000-0005-0000-0000-0000F7000000}"/>
    <cellStyle name="20% - Accent4 13" xfId="41058" xr:uid="{00000000-0005-0000-0000-0000F8000000}"/>
    <cellStyle name="20% - Accent4 14" xfId="41059" xr:uid="{00000000-0005-0000-0000-0000F9000000}"/>
    <cellStyle name="20% - Accent4 15" xfId="41060" xr:uid="{00000000-0005-0000-0000-0000FA000000}"/>
    <cellStyle name="20% - Accent4 16" xfId="41061" xr:uid="{00000000-0005-0000-0000-0000FB000000}"/>
    <cellStyle name="20% - Accent4 17" xfId="41062" xr:uid="{00000000-0005-0000-0000-0000FC000000}"/>
    <cellStyle name="20% - Accent4 17 2" xfId="41063" xr:uid="{00000000-0005-0000-0000-0000FD000000}"/>
    <cellStyle name="20% - Accent4 17 2 2" xfId="41064" xr:uid="{00000000-0005-0000-0000-0000FE000000}"/>
    <cellStyle name="20% - Accent4 17 2 3" xfId="41065" xr:uid="{00000000-0005-0000-0000-0000FF000000}"/>
    <cellStyle name="20% - Accent4 17 3" xfId="41066" xr:uid="{00000000-0005-0000-0000-000000010000}"/>
    <cellStyle name="20% - Accent4 17 3 2" xfId="41067" xr:uid="{00000000-0005-0000-0000-000001010000}"/>
    <cellStyle name="20% - Accent4 17 3 3" xfId="41068" xr:uid="{00000000-0005-0000-0000-000002010000}"/>
    <cellStyle name="20% - Accent4 17 4" xfId="41069" xr:uid="{00000000-0005-0000-0000-000003010000}"/>
    <cellStyle name="20% - Accent4 17 5" xfId="41070" xr:uid="{00000000-0005-0000-0000-000004010000}"/>
    <cellStyle name="20% - Accent4 18" xfId="41071" xr:uid="{00000000-0005-0000-0000-000005010000}"/>
    <cellStyle name="20% - Accent4 18 2" xfId="41072" xr:uid="{00000000-0005-0000-0000-000006010000}"/>
    <cellStyle name="20% - Accent4 18 2 2" xfId="41073" xr:uid="{00000000-0005-0000-0000-000007010000}"/>
    <cellStyle name="20% - Accent4 18 2 3" xfId="41074" xr:uid="{00000000-0005-0000-0000-000008010000}"/>
    <cellStyle name="20% - Accent4 18 3" xfId="41075" xr:uid="{00000000-0005-0000-0000-000009010000}"/>
    <cellStyle name="20% - Accent4 18 3 2" xfId="41076" xr:uid="{00000000-0005-0000-0000-00000A010000}"/>
    <cellStyle name="20% - Accent4 18 3 3" xfId="41077" xr:uid="{00000000-0005-0000-0000-00000B010000}"/>
    <cellStyle name="20% - Accent4 18 4" xfId="41078" xr:uid="{00000000-0005-0000-0000-00000C010000}"/>
    <cellStyle name="20% - Accent4 18 5" xfId="41079" xr:uid="{00000000-0005-0000-0000-00000D010000}"/>
    <cellStyle name="20% - Accent4 19" xfId="41080" xr:uid="{00000000-0005-0000-0000-00000E010000}"/>
    <cellStyle name="20% - Accent4 19 2" xfId="41081" xr:uid="{00000000-0005-0000-0000-00000F010000}"/>
    <cellStyle name="20% - Accent4 19 2 2" xfId="41082" xr:uid="{00000000-0005-0000-0000-000010010000}"/>
    <cellStyle name="20% - Accent4 19 2 3" xfId="41083" xr:uid="{00000000-0005-0000-0000-000011010000}"/>
    <cellStyle name="20% - Accent4 19 3" xfId="41084" xr:uid="{00000000-0005-0000-0000-000012010000}"/>
    <cellStyle name="20% - Accent4 19 3 2" xfId="41085" xr:uid="{00000000-0005-0000-0000-000013010000}"/>
    <cellStyle name="20% - Accent4 19 3 3" xfId="41086" xr:uid="{00000000-0005-0000-0000-000014010000}"/>
    <cellStyle name="20% - Accent4 19 4" xfId="41087" xr:uid="{00000000-0005-0000-0000-000015010000}"/>
    <cellStyle name="20% - Accent4 19 5" xfId="41088" xr:uid="{00000000-0005-0000-0000-000016010000}"/>
    <cellStyle name="20% - Accent4 2" xfId="25" xr:uid="{00000000-0005-0000-0000-000017010000}"/>
    <cellStyle name="20% - Accent4 2 2" xfId="41089" xr:uid="{00000000-0005-0000-0000-000018010000}"/>
    <cellStyle name="20% - Accent4 2 3" xfId="41090" xr:uid="{00000000-0005-0000-0000-000019010000}"/>
    <cellStyle name="20% - Accent4 2 3 2" xfId="41091" xr:uid="{00000000-0005-0000-0000-00001A010000}"/>
    <cellStyle name="20% - Accent4 2 3 2 2" xfId="41092" xr:uid="{00000000-0005-0000-0000-00001B010000}"/>
    <cellStyle name="20% - Accent4 2 3 2 3" xfId="41093" xr:uid="{00000000-0005-0000-0000-00001C010000}"/>
    <cellStyle name="20% - Accent4 2 3 3" xfId="41094" xr:uid="{00000000-0005-0000-0000-00001D010000}"/>
    <cellStyle name="20% - Accent4 2 3 3 2" xfId="41095" xr:uid="{00000000-0005-0000-0000-00001E010000}"/>
    <cellStyle name="20% - Accent4 2 3 3 3" xfId="41096" xr:uid="{00000000-0005-0000-0000-00001F010000}"/>
    <cellStyle name="20% - Accent4 2 3 4" xfId="41097" xr:uid="{00000000-0005-0000-0000-000020010000}"/>
    <cellStyle name="20% - Accent4 2 3 5" xfId="41098" xr:uid="{00000000-0005-0000-0000-000021010000}"/>
    <cellStyle name="20% - Accent4 20" xfId="41099" xr:uid="{00000000-0005-0000-0000-000022010000}"/>
    <cellStyle name="20% - Accent4 20 2" xfId="41100" xr:uid="{00000000-0005-0000-0000-000023010000}"/>
    <cellStyle name="20% - Accent4 20 2 2" xfId="41101" xr:uid="{00000000-0005-0000-0000-000024010000}"/>
    <cellStyle name="20% - Accent4 20 2 3" xfId="41102" xr:uid="{00000000-0005-0000-0000-000025010000}"/>
    <cellStyle name="20% - Accent4 20 3" xfId="41103" xr:uid="{00000000-0005-0000-0000-000026010000}"/>
    <cellStyle name="20% - Accent4 20 3 2" xfId="41104" xr:uid="{00000000-0005-0000-0000-000027010000}"/>
    <cellStyle name="20% - Accent4 20 3 3" xfId="41105" xr:uid="{00000000-0005-0000-0000-000028010000}"/>
    <cellStyle name="20% - Accent4 20 4" xfId="41106" xr:uid="{00000000-0005-0000-0000-000029010000}"/>
    <cellStyle name="20% - Accent4 20 5" xfId="41107" xr:uid="{00000000-0005-0000-0000-00002A010000}"/>
    <cellStyle name="20% - Accent4 21" xfId="41108" xr:uid="{00000000-0005-0000-0000-00002B010000}"/>
    <cellStyle name="20% - Accent4 21 2" xfId="41109" xr:uid="{00000000-0005-0000-0000-00002C010000}"/>
    <cellStyle name="20% - Accent4 21 2 2" xfId="41110" xr:uid="{00000000-0005-0000-0000-00002D010000}"/>
    <cellStyle name="20% - Accent4 21 2 3" xfId="41111" xr:uid="{00000000-0005-0000-0000-00002E010000}"/>
    <cellStyle name="20% - Accent4 21 3" xfId="41112" xr:uid="{00000000-0005-0000-0000-00002F010000}"/>
    <cellStyle name="20% - Accent4 21 3 2" xfId="41113" xr:uid="{00000000-0005-0000-0000-000030010000}"/>
    <cellStyle name="20% - Accent4 21 3 3" xfId="41114" xr:uid="{00000000-0005-0000-0000-000031010000}"/>
    <cellStyle name="20% - Accent4 21 4" xfId="41115" xr:uid="{00000000-0005-0000-0000-000032010000}"/>
    <cellStyle name="20% - Accent4 21 5" xfId="41116" xr:uid="{00000000-0005-0000-0000-000033010000}"/>
    <cellStyle name="20% - Accent4 22" xfId="41117" xr:uid="{00000000-0005-0000-0000-000034010000}"/>
    <cellStyle name="20% - Accent4 23" xfId="41118" xr:uid="{00000000-0005-0000-0000-000035010000}"/>
    <cellStyle name="20% - Accent4 23 2" xfId="41119" xr:uid="{00000000-0005-0000-0000-000036010000}"/>
    <cellStyle name="20% - Accent4 23 2 2" xfId="41120" xr:uid="{00000000-0005-0000-0000-000037010000}"/>
    <cellStyle name="20% - Accent4 23 2 3" xfId="41121" xr:uid="{00000000-0005-0000-0000-000038010000}"/>
    <cellStyle name="20% - Accent4 23 3" xfId="41122" xr:uid="{00000000-0005-0000-0000-000039010000}"/>
    <cellStyle name="20% - Accent4 23 3 2" xfId="41123" xr:uid="{00000000-0005-0000-0000-00003A010000}"/>
    <cellStyle name="20% - Accent4 23 3 3" xfId="41124" xr:uid="{00000000-0005-0000-0000-00003B010000}"/>
    <cellStyle name="20% - Accent4 23 4" xfId="41125" xr:uid="{00000000-0005-0000-0000-00003C010000}"/>
    <cellStyle name="20% - Accent4 23 5" xfId="41126" xr:uid="{00000000-0005-0000-0000-00003D010000}"/>
    <cellStyle name="20% - Accent4 24" xfId="41127" xr:uid="{00000000-0005-0000-0000-00003E010000}"/>
    <cellStyle name="20% - Accent4 3" xfId="41128" xr:uid="{00000000-0005-0000-0000-00003F010000}"/>
    <cellStyle name="20% - Accent4 4" xfId="41129" xr:uid="{00000000-0005-0000-0000-000040010000}"/>
    <cellStyle name="20% - Accent4 5" xfId="41130" xr:uid="{00000000-0005-0000-0000-000041010000}"/>
    <cellStyle name="20% - Accent4 6" xfId="41131" xr:uid="{00000000-0005-0000-0000-000042010000}"/>
    <cellStyle name="20% - Accent4 7" xfId="41132" xr:uid="{00000000-0005-0000-0000-000043010000}"/>
    <cellStyle name="20% - Accent4 8" xfId="41133" xr:uid="{00000000-0005-0000-0000-000044010000}"/>
    <cellStyle name="20% - Accent4 9" xfId="41134" xr:uid="{00000000-0005-0000-0000-000045010000}"/>
    <cellStyle name="20% - Accent5 10" xfId="41135" xr:uid="{00000000-0005-0000-0000-000046010000}"/>
    <cellStyle name="20% - Accent5 11" xfId="41136" xr:uid="{00000000-0005-0000-0000-000047010000}"/>
    <cellStyle name="20% - Accent5 12" xfId="41137" xr:uid="{00000000-0005-0000-0000-000048010000}"/>
    <cellStyle name="20% - Accent5 13" xfId="41138" xr:uid="{00000000-0005-0000-0000-000049010000}"/>
    <cellStyle name="20% - Accent5 14" xfId="41139" xr:uid="{00000000-0005-0000-0000-00004A010000}"/>
    <cellStyle name="20% - Accent5 15" xfId="41140" xr:uid="{00000000-0005-0000-0000-00004B010000}"/>
    <cellStyle name="20% - Accent5 16" xfId="41141" xr:uid="{00000000-0005-0000-0000-00004C010000}"/>
    <cellStyle name="20% - Accent5 17" xfId="41142" xr:uid="{00000000-0005-0000-0000-00004D010000}"/>
    <cellStyle name="20% - Accent5 17 2" xfId="41143" xr:uid="{00000000-0005-0000-0000-00004E010000}"/>
    <cellStyle name="20% - Accent5 17 2 2" xfId="41144" xr:uid="{00000000-0005-0000-0000-00004F010000}"/>
    <cellStyle name="20% - Accent5 17 2 3" xfId="41145" xr:uid="{00000000-0005-0000-0000-000050010000}"/>
    <cellStyle name="20% - Accent5 17 3" xfId="41146" xr:uid="{00000000-0005-0000-0000-000051010000}"/>
    <cellStyle name="20% - Accent5 17 3 2" xfId="41147" xr:uid="{00000000-0005-0000-0000-000052010000}"/>
    <cellStyle name="20% - Accent5 17 3 3" xfId="41148" xr:uid="{00000000-0005-0000-0000-000053010000}"/>
    <cellStyle name="20% - Accent5 17 4" xfId="41149" xr:uid="{00000000-0005-0000-0000-000054010000}"/>
    <cellStyle name="20% - Accent5 17 5" xfId="41150" xr:uid="{00000000-0005-0000-0000-000055010000}"/>
    <cellStyle name="20% - Accent5 18" xfId="41151" xr:uid="{00000000-0005-0000-0000-000056010000}"/>
    <cellStyle name="20% - Accent5 18 2" xfId="41152" xr:uid="{00000000-0005-0000-0000-000057010000}"/>
    <cellStyle name="20% - Accent5 18 2 2" xfId="41153" xr:uid="{00000000-0005-0000-0000-000058010000}"/>
    <cellStyle name="20% - Accent5 18 2 3" xfId="41154" xr:uid="{00000000-0005-0000-0000-000059010000}"/>
    <cellStyle name="20% - Accent5 18 3" xfId="41155" xr:uid="{00000000-0005-0000-0000-00005A010000}"/>
    <cellStyle name="20% - Accent5 18 3 2" xfId="41156" xr:uid="{00000000-0005-0000-0000-00005B010000}"/>
    <cellStyle name="20% - Accent5 18 3 3" xfId="41157" xr:uid="{00000000-0005-0000-0000-00005C010000}"/>
    <cellStyle name="20% - Accent5 18 4" xfId="41158" xr:uid="{00000000-0005-0000-0000-00005D010000}"/>
    <cellStyle name="20% - Accent5 18 5" xfId="41159" xr:uid="{00000000-0005-0000-0000-00005E010000}"/>
    <cellStyle name="20% - Accent5 19" xfId="41160" xr:uid="{00000000-0005-0000-0000-00005F010000}"/>
    <cellStyle name="20% - Accent5 19 2" xfId="41161" xr:uid="{00000000-0005-0000-0000-000060010000}"/>
    <cellStyle name="20% - Accent5 19 2 2" xfId="41162" xr:uid="{00000000-0005-0000-0000-000061010000}"/>
    <cellStyle name="20% - Accent5 19 2 3" xfId="41163" xr:uid="{00000000-0005-0000-0000-000062010000}"/>
    <cellStyle name="20% - Accent5 19 3" xfId="41164" xr:uid="{00000000-0005-0000-0000-000063010000}"/>
    <cellStyle name="20% - Accent5 19 3 2" xfId="41165" xr:uid="{00000000-0005-0000-0000-000064010000}"/>
    <cellStyle name="20% - Accent5 19 3 3" xfId="41166" xr:uid="{00000000-0005-0000-0000-000065010000}"/>
    <cellStyle name="20% - Accent5 19 4" xfId="41167" xr:uid="{00000000-0005-0000-0000-000066010000}"/>
    <cellStyle name="20% - Accent5 19 5" xfId="41168" xr:uid="{00000000-0005-0000-0000-000067010000}"/>
    <cellStyle name="20% - Accent5 2" xfId="26" xr:uid="{00000000-0005-0000-0000-000068010000}"/>
    <cellStyle name="20% - Accent5 2 2" xfId="41169" xr:uid="{00000000-0005-0000-0000-000069010000}"/>
    <cellStyle name="20% - Accent5 2 3" xfId="41170" xr:uid="{00000000-0005-0000-0000-00006A010000}"/>
    <cellStyle name="20% - Accent5 2 3 2" xfId="41171" xr:uid="{00000000-0005-0000-0000-00006B010000}"/>
    <cellStyle name="20% - Accent5 2 3 2 2" xfId="41172" xr:uid="{00000000-0005-0000-0000-00006C010000}"/>
    <cellStyle name="20% - Accent5 2 3 2 3" xfId="41173" xr:uid="{00000000-0005-0000-0000-00006D010000}"/>
    <cellStyle name="20% - Accent5 2 3 3" xfId="41174" xr:uid="{00000000-0005-0000-0000-00006E010000}"/>
    <cellStyle name="20% - Accent5 2 3 3 2" xfId="41175" xr:uid="{00000000-0005-0000-0000-00006F010000}"/>
    <cellStyle name="20% - Accent5 2 3 3 3" xfId="41176" xr:uid="{00000000-0005-0000-0000-000070010000}"/>
    <cellStyle name="20% - Accent5 2 3 4" xfId="41177" xr:uid="{00000000-0005-0000-0000-000071010000}"/>
    <cellStyle name="20% - Accent5 2 3 5" xfId="41178" xr:uid="{00000000-0005-0000-0000-000072010000}"/>
    <cellStyle name="20% - Accent5 20" xfId="41179" xr:uid="{00000000-0005-0000-0000-000073010000}"/>
    <cellStyle name="20% - Accent5 20 2" xfId="41180" xr:uid="{00000000-0005-0000-0000-000074010000}"/>
    <cellStyle name="20% - Accent5 20 2 2" xfId="41181" xr:uid="{00000000-0005-0000-0000-000075010000}"/>
    <cellStyle name="20% - Accent5 20 2 3" xfId="41182" xr:uid="{00000000-0005-0000-0000-000076010000}"/>
    <cellStyle name="20% - Accent5 20 3" xfId="41183" xr:uid="{00000000-0005-0000-0000-000077010000}"/>
    <cellStyle name="20% - Accent5 20 3 2" xfId="41184" xr:uid="{00000000-0005-0000-0000-000078010000}"/>
    <cellStyle name="20% - Accent5 20 3 3" xfId="41185" xr:uid="{00000000-0005-0000-0000-000079010000}"/>
    <cellStyle name="20% - Accent5 20 4" xfId="41186" xr:uid="{00000000-0005-0000-0000-00007A010000}"/>
    <cellStyle name="20% - Accent5 20 5" xfId="41187" xr:uid="{00000000-0005-0000-0000-00007B010000}"/>
    <cellStyle name="20% - Accent5 21" xfId="41188" xr:uid="{00000000-0005-0000-0000-00007C010000}"/>
    <cellStyle name="20% - Accent5 21 2" xfId="41189" xr:uid="{00000000-0005-0000-0000-00007D010000}"/>
    <cellStyle name="20% - Accent5 21 2 2" xfId="41190" xr:uid="{00000000-0005-0000-0000-00007E010000}"/>
    <cellStyle name="20% - Accent5 21 2 3" xfId="41191" xr:uid="{00000000-0005-0000-0000-00007F010000}"/>
    <cellStyle name="20% - Accent5 21 3" xfId="41192" xr:uid="{00000000-0005-0000-0000-000080010000}"/>
    <cellStyle name="20% - Accent5 21 3 2" xfId="41193" xr:uid="{00000000-0005-0000-0000-000081010000}"/>
    <cellStyle name="20% - Accent5 21 3 3" xfId="41194" xr:uid="{00000000-0005-0000-0000-000082010000}"/>
    <cellStyle name="20% - Accent5 21 4" xfId="41195" xr:uid="{00000000-0005-0000-0000-000083010000}"/>
    <cellStyle name="20% - Accent5 21 5" xfId="41196" xr:uid="{00000000-0005-0000-0000-000084010000}"/>
    <cellStyle name="20% - Accent5 22" xfId="41197" xr:uid="{00000000-0005-0000-0000-000085010000}"/>
    <cellStyle name="20% - Accent5 23" xfId="41198" xr:uid="{00000000-0005-0000-0000-000086010000}"/>
    <cellStyle name="20% - Accent5 23 2" xfId="41199" xr:uid="{00000000-0005-0000-0000-000087010000}"/>
    <cellStyle name="20% - Accent5 23 2 2" xfId="41200" xr:uid="{00000000-0005-0000-0000-000088010000}"/>
    <cellStyle name="20% - Accent5 23 2 3" xfId="41201" xr:uid="{00000000-0005-0000-0000-000089010000}"/>
    <cellStyle name="20% - Accent5 23 3" xfId="41202" xr:uid="{00000000-0005-0000-0000-00008A010000}"/>
    <cellStyle name="20% - Accent5 23 3 2" xfId="41203" xr:uid="{00000000-0005-0000-0000-00008B010000}"/>
    <cellStyle name="20% - Accent5 23 3 3" xfId="41204" xr:uid="{00000000-0005-0000-0000-00008C010000}"/>
    <cellStyle name="20% - Accent5 23 4" xfId="41205" xr:uid="{00000000-0005-0000-0000-00008D010000}"/>
    <cellStyle name="20% - Accent5 23 5" xfId="41206" xr:uid="{00000000-0005-0000-0000-00008E010000}"/>
    <cellStyle name="20% - Accent5 24" xfId="41207" xr:uid="{00000000-0005-0000-0000-00008F010000}"/>
    <cellStyle name="20% - Accent5 3" xfId="41208" xr:uid="{00000000-0005-0000-0000-000090010000}"/>
    <cellStyle name="20% - Accent5 4" xfId="41209" xr:uid="{00000000-0005-0000-0000-000091010000}"/>
    <cellStyle name="20% - Accent5 5" xfId="41210" xr:uid="{00000000-0005-0000-0000-000092010000}"/>
    <cellStyle name="20% - Accent5 6" xfId="41211" xr:uid="{00000000-0005-0000-0000-000093010000}"/>
    <cellStyle name="20% - Accent5 7" xfId="41212" xr:uid="{00000000-0005-0000-0000-000094010000}"/>
    <cellStyle name="20% - Accent5 8" xfId="41213" xr:uid="{00000000-0005-0000-0000-000095010000}"/>
    <cellStyle name="20% - Accent5 9" xfId="41214" xr:uid="{00000000-0005-0000-0000-000096010000}"/>
    <cellStyle name="20% - Accent6 10" xfId="41215" xr:uid="{00000000-0005-0000-0000-000097010000}"/>
    <cellStyle name="20% - Accent6 11" xfId="41216" xr:uid="{00000000-0005-0000-0000-000098010000}"/>
    <cellStyle name="20% - Accent6 12" xfId="41217" xr:uid="{00000000-0005-0000-0000-000099010000}"/>
    <cellStyle name="20% - Accent6 13" xfId="41218" xr:uid="{00000000-0005-0000-0000-00009A010000}"/>
    <cellStyle name="20% - Accent6 14" xfId="41219" xr:uid="{00000000-0005-0000-0000-00009B010000}"/>
    <cellStyle name="20% - Accent6 15" xfId="41220" xr:uid="{00000000-0005-0000-0000-00009C010000}"/>
    <cellStyle name="20% - Accent6 16" xfId="41221" xr:uid="{00000000-0005-0000-0000-00009D010000}"/>
    <cellStyle name="20% - Accent6 17" xfId="41222" xr:uid="{00000000-0005-0000-0000-00009E010000}"/>
    <cellStyle name="20% - Accent6 17 2" xfId="41223" xr:uid="{00000000-0005-0000-0000-00009F010000}"/>
    <cellStyle name="20% - Accent6 17 2 2" xfId="41224" xr:uid="{00000000-0005-0000-0000-0000A0010000}"/>
    <cellStyle name="20% - Accent6 17 2 3" xfId="41225" xr:uid="{00000000-0005-0000-0000-0000A1010000}"/>
    <cellStyle name="20% - Accent6 17 3" xfId="41226" xr:uid="{00000000-0005-0000-0000-0000A2010000}"/>
    <cellStyle name="20% - Accent6 17 3 2" xfId="41227" xr:uid="{00000000-0005-0000-0000-0000A3010000}"/>
    <cellStyle name="20% - Accent6 17 3 3" xfId="41228" xr:uid="{00000000-0005-0000-0000-0000A4010000}"/>
    <cellStyle name="20% - Accent6 17 4" xfId="41229" xr:uid="{00000000-0005-0000-0000-0000A5010000}"/>
    <cellStyle name="20% - Accent6 17 5" xfId="41230" xr:uid="{00000000-0005-0000-0000-0000A6010000}"/>
    <cellStyle name="20% - Accent6 18" xfId="41231" xr:uid="{00000000-0005-0000-0000-0000A7010000}"/>
    <cellStyle name="20% - Accent6 18 2" xfId="41232" xr:uid="{00000000-0005-0000-0000-0000A8010000}"/>
    <cellStyle name="20% - Accent6 18 2 2" xfId="41233" xr:uid="{00000000-0005-0000-0000-0000A9010000}"/>
    <cellStyle name="20% - Accent6 18 2 3" xfId="41234" xr:uid="{00000000-0005-0000-0000-0000AA010000}"/>
    <cellStyle name="20% - Accent6 18 3" xfId="41235" xr:uid="{00000000-0005-0000-0000-0000AB010000}"/>
    <cellStyle name="20% - Accent6 18 3 2" xfId="41236" xr:uid="{00000000-0005-0000-0000-0000AC010000}"/>
    <cellStyle name="20% - Accent6 18 3 3" xfId="41237" xr:uid="{00000000-0005-0000-0000-0000AD010000}"/>
    <cellStyle name="20% - Accent6 18 4" xfId="41238" xr:uid="{00000000-0005-0000-0000-0000AE010000}"/>
    <cellStyle name="20% - Accent6 18 5" xfId="41239" xr:uid="{00000000-0005-0000-0000-0000AF010000}"/>
    <cellStyle name="20% - Accent6 19" xfId="41240" xr:uid="{00000000-0005-0000-0000-0000B0010000}"/>
    <cellStyle name="20% - Accent6 19 2" xfId="41241" xr:uid="{00000000-0005-0000-0000-0000B1010000}"/>
    <cellStyle name="20% - Accent6 19 2 2" xfId="41242" xr:uid="{00000000-0005-0000-0000-0000B2010000}"/>
    <cellStyle name="20% - Accent6 19 2 3" xfId="41243" xr:uid="{00000000-0005-0000-0000-0000B3010000}"/>
    <cellStyle name="20% - Accent6 19 3" xfId="41244" xr:uid="{00000000-0005-0000-0000-0000B4010000}"/>
    <cellStyle name="20% - Accent6 19 3 2" xfId="41245" xr:uid="{00000000-0005-0000-0000-0000B5010000}"/>
    <cellStyle name="20% - Accent6 19 3 3" xfId="41246" xr:uid="{00000000-0005-0000-0000-0000B6010000}"/>
    <cellStyle name="20% - Accent6 19 4" xfId="41247" xr:uid="{00000000-0005-0000-0000-0000B7010000}"/>
    <cellStyle name="20% - Accent6 19 5" xfId="41248" xr:uid="{00000000-0005-0000-0000-0000B8010000}"/>
    <cellStyle name="20% - Accent6 2" xfId="27" xr:uid="{00000000-0005-0000-0000-0000B9010000}"/>
    <cellStyle name="20% - Accent6 2 2" xfId="41249" xr:uid="{00000000-0005-0000-0000-0000BA010000}"/>
    <cellStyle name="20% - Accent6 2 3" xfId="41250" xr:uid="{00000000-0005-0000-0000-0000BB010000}"/>
    <cellStyle name="20% - Accent6 2 3 2" xfId="41251" xr:uid="{00000000-0005-0000-0000-0000BC010000}"/>
    <cellStyle name="20% - Accent6 2 3 2 2" xfId="41252" xr:uid="{00000000-0005-0000-0000-0000BD010000}"/>
    <cellStyle name="20% - Accent6 2 3 2 3" xfId="41253" xr:uid="{00000000-0005-0000-0000-0000BE010000}"/>
    <cellStyle name="20% - Accent6 2 3 3" xfId="41254" xr:uid="{00000000-0005-0000-0000-0000BF010000}"/>
    <cellStyle name="20% - Accent6 2 3 3 2" xfId="41255" xr:uid="{00000000-0005-0000-0000-0000C0010000}"/>
    <cellStyle name="20% - Accent6 2 3 3 3" xfId="41256" xr:uid="{00000000-0005-0000-0000-0000C1010000}"/>
    <cellStyle name="20% - Accent6 2 3 4" xfId="41257" xr:uid="{00000000-0005-0000-0000-0000C2010000}"/>
    <cellStyle name="20% - Accent6 2 3 5" xfId="41258" xr:uid="{00000000-0005-0000-0000-0000C3010000}"/>
    <cellStyle name="20% - Accent6 20" xfId="41259" xr:uid="{00000000-0005-0000-0000-0000C4010000}"/>
    <cellStyle name="20% - Accent6 20 2" xfId="41260" xr:uid="{00000000-0005-0000-0000-0000C5010000}"/>
    <cellStyle name="20% - Accent6 20 2 2" xfId="41261" xr:uid="{00000000-0005-0000-0000-0000C6010000}"/>
    <cellStyle name="20% - Accent6 20 2 3" xfId="41262" xr:uid="{00000000-0005-0000-0000-0000C7010000}"/>
    <cellStyle name="20% - Accent6 20 3" xfId="41263" xr:uid="{00000000-0005-0000-0000-0000C8010000}"/>
    <cellStyle name="20% - Accent6 20 3 2" xfId="41264" xr:uid="{00000000-0005-0000-0000-0000C9010000}"/>
    <cellStyle name="20% - Accent6 20 3 3" xfId="41265" xr:uid="{00000000-0005-0000-0000-0000CA010000}"/>
    <cellStyle name="20% - Accent6 20 4" xfId="41266" xr:uid="{00000000-0005-0000-0000-0000CB010000}"/>
    <cellStyle name="20% - Accent6 20 5" xfId="41267" xr:uid="{00000000-0005-0000-0000-0000CC010000}"/>
    <cellStyle name="20% - Accent6 21" xfId="41268" xr:uid="{00000000-0005-0000-0000-0000CD010000}"/>
    <cellStyle name="20% - Accent6 21 2" xfId="41269" xr:uid="{00000000-0005-0000-0000-0000CE010000}"/>
    <cellStyle name="20% - Accent6 21 2 2" xfId="41270" xr:uid="{00000000-0005-0000-0000-0000CF010000}"/>
    <cellStyle name="20% - Accent6 21 2 3" xfId="41271" xr:uid="{00000000-0005-0000-0000-0000D0010000}"/>
    <cellStyle name="20% - Accent6 21 3" xfId="41272" xr:uid="{00000000-0005-0000-0000-0000D1010000}"/>
    <cellStyle name="20% - Accent6 21 3 2" xfId="41273" xr:uid="{00000000-0005-0000-0000-0000D2010000}"/>
    <cellStyle name="20% - Accent6 21 3 3" xfId="41274" xr:uid="{00000000-0005-0000-0000-0000D3010000}"/>
    <cellStyle name="20% - Accent6 21 4" xfId="41275" xr:uid="{00000000-0005-0000-0000-0000D4010000}"/>
    <cellStyle name="20% - Accent6 21 5" xfId="41276" xr:uid="{00000000-0005-0000-0000-0000D5010000}"/>
    <cellStyle name="20% - Accent6 22" xfId="41277" xr:uid="{00000000-0005-0000-0000-0000D6010000}"/>
    <cellStyle name="20% - Accent6 23" xfId="41278" xr:uid="{00000000-0005-0000-0000-0000D7010000}"/>
    <cellStyle name="20% - Accent6 23 2" xfId="41279" xr:uid="{00000000-0005-0000-0000-0000D8010000}"/>
    <cellStyle name="20% - Accent6 23 2 2" xfId="41280" xr:uid="{00000000-0005-0000-0000-0000D9010000}"/>
    <cellStyle name="20% - Accent6 23 2 3" xfId="41281" xr:uid="{00000000-0005-0000-0000-0000DA010000}"/>
    <cellStyle name="20% - Accent6 23 3" xfId="41282" xr:uid="{00000000-0005-0000-0000-0000DB010000}"/>
    <cellStyle name="20% - Accent6 23 3 2" xfId="41283" xr:uid="{00000000-0005-0000-0000-0000DC010000}"/>
    <cellStyle name="20% - Accent6 23 3 3" xfId="41284" xr:uid="{00000000-0005-0000-0000-0000DD010000}"/>
    <cellStyle name="20% - Accent6 23 4" xfId="41285" xr:uid="{00000000-0005-0000-0000-0000DE010000}"/>
    <cellStyle name="20% - Accent6 23 5" xfId="41286" xr:uid="{00000000-0005-0000-0000-0000DF010000}"/>
    <cellStyle name="20% - Accent6 24" xfId="41287" xr:uid="{00000000-0005-0000-0000-0000E0010000}"/>
    <cellStyle name="20% - Accent6 3" xfId="41288" xr:uid="{00000000-0005-0000-0000-0000E1010000}"/>
    <cellStyle name="20% - Accent6 4" xfId="41289" xr:uid="{00000000-0005-0000-0000-0000E2010000}"/>
    <cellStyle name="20% - Accent6 5" xfId="41290" xr:uid="{00000000-0005-0000-0000-0000E3010000}"/>
    <cellStyle name="20% - Accent6 6" xfId="41291" xr:uid="{00000000-0005-0000-0000-0000E4010000}"/>
    <cellStyle name="20% - Accent6 7" xfId="41292" xr:uid="{00000000-0005-0000-0000-0000E5010000}"/>
    <cellStyle name="20% - Accent6 8" xfId="41293" xr:uid="{00000000-0005-0000-0000-0000E6010000}"/>
    <cellStyle name="20% - Accent6 9" xfId="41294" xr:uid="{00000000-0005-0000-0000-0000E7010000}"/>
    <cellStyle name="40% - Accent1 10" xfId="41295" xr:uid="{00000000-0005-0000-0000-0000E8010000}"/>
    <cellStyle name="40% - Accent1 11" xfId="41296" xr:uid="{00000000-0005-0000-0000-0000E9010000}"/>
    <cellStyle name="40% - Accent1 12" xfId="41297" xr:uid="{00000000-0005-0000-0000-0000EA010000}"/>
    <cellStyle name="40% - Accent1 13" xfId="41298" xr:uid="{00000000-0005-0000-0000-0000EB010000}"/>
    <cellStyle name="40% - Accent1 14" xfId="41299" xr:uid="{00000000-0005-0000-0000-0000EC010000}"/>
    <cellStyle name="40% - Accent1 15" xfId="41300" xr:uid="{00000000-0005-0000-0000-0000ED010000}"/>
    <cellStyle name="40% - Accent1 16" xfId="41301" xr:uid="{00000000-0005-0000-0000-0000EE010000}"/>
    <cellStyle name="40% - Accent1 17" xfId="41302" xr:uid="{00000000-0005-0000-0000-0000EF010000}"/>
    <cellStyle name="40% - Accent1 17 2" xfId="41303" xr:uid="{00000000-0005-0000-0000-0000F0010000}"/>
    <cellStyle name="40% - Accent1 17 2 2" xfId="41304" xr:uid="{00000000-0005-0000-0000-0000F1010000}"/>
    <cellStyle name="40% - Accent1 17 2 3" xfId="41305" xr:uid="{00000000-0005-0000-0000-0000F2010000}"/>
    <cellStyle name="40% - Accent1 17 3" xfId="41306" xr:uid="{00000000-0005-0000-0000-0000F3010000}"/>
    <cellStyle name="40% - Accent1 17 3 2" xfId="41307" xr:uid="{00000000-0005-0000-0000-0000F4010000}"/>
    <cellStyle name="40% - Accent1 17 3 3" xfId="41308" xr:uid="{00000000-0005-0000-0000-0000F5010000}"/>
    <cellStyle name="40% - Accent1 17 4" xfId="41309" xr:uid="{00000000-0005-0000-0000-0000F6010000}"/>
    <cellStyle name="40% - Accent1 17 5" xfId="41310" xr:uid="{00000000-0005-0000-0000-0000F7010000}"/>
    <cellStyle name="40% - Accent1 18" xfId="41311" xr:uid="{00000000-0005-0000-0000-0000F8010000}"/>
    <cellStyle name="40% - Accent1 18 2" xfId="41312" xr:uid="{00000000-0005-0000-0000-0000F9010000}"/>
    <cellStyle name="40% - Accent1 18 2 2" xfId="41313" xr:uid="{00000000-0005-0000-0000-0000FA010000}"/>
    <cellStyle name="40% - Accent1 18 2 3" xfId="41314" xr:uid="{00000000-0005-0000-0000-0000FB010000}"/>
    <cellStyle name="40% - Accent1 18 3" xfId="41315" xr:uid="{00000000-0005-0000-0000-0000FC010000}"/>
    <cellStyle name="40% - Accent1 18 3 2" xfId="41316" xr:uid="{00000000-0005-0000-0000-0000FD010000}"/>
    <cellStyle name="40% - Accent1 18 3 3" xfId="41317" xr:uid="{00000000-0005-0000-0000-0000FE010000}"/>
    <cellStyle name="40% - Accent1 18 4" xfId="41318" xr:uid="{00000000-0005-0000-0000-0000FF010000}"/>
    <cellStyle name="40% - Accent1 18 5" xfId="41319" xr:uid="{00000000-0005-0000-0000-000000020000}"/>
    <cellStyle name="40% - Accent1 19" xfId="41320" xr:uid="{00000000-0005-0000-0000-000001020000}"/>
    <cellStyle name="40% - Accent1 19 2" xfId="41321" xr:uid="{00000000-0005-0000-0000-000002020000}"/>
    <cellStyle name="40% - Accent1 19 2 2" xfId="41322" xr:uid="{00000000-0005-0000-0000-000003020000}"/>
    <cellStyle name="40% - Accent1 19 2 3" xfId="41323" xr:uid="{00000000-0005-0000-0000-000004020000}"/>
    <cellStyle name="40% - Accent1 19 3" xfId="41324" xr:uid="{00000000-0005-0000-0000-000005020000}"/>
    <cellStyle name="40% - Accent1 19 3 2" xfId="41325" xr:uid="{00000000-0005-0000-0000-000006020000}"/>
    <cellStyle name="40% - Accent1 19 3 3" xfId="41326" xr:uid="{00000000-0005-0000-0000-000007020000}"/>
    <cellStyle name="40% - Accent1 19 4" xfId="41327" xr:uid="{00000000-0005-0000-0000-000008020000}"/>
    <cellStyle name="40% - Accent1 19 5" xfId="41328" xr:uid="{00000000-0005-0000-0000-000009020000}"/>
    <cellStyle name="40% - Accent1 2" xfId="28" xr:uid="{00000000-0005-0000-0000-00000A020000}"/>
    <cellStyle name="40% - Accent1 2 2" xfId="41329" xr:uid="{00000000-0005-0000-0000-00000B020000}"/>
    <cellStyle name="40% - Accent1 2 3" xfId="41330" xr:uid="{00000000-0005-0000-0000-00000C020000}"/>
    <cellStyle name="40% - Accent1 2 3 2" xfId="41331" xr:uid="{00000000-0005-0000-0000-00000D020000}"/>
    <cellStyle name="40% - Accent1 2 3 2 2" xfId="41332" xr:uid="{00000000-0005-0000-0000-00000E020000}"/>
    <cellStyle name="40% - Accent1 2 3 2 3" xfId="41333" xr:uid="{00000000-0005-0000-0000-00000F020000}"/>
    <cellStyle name="40% - Accent1 2 3 3" xfId="41334" xr:uid="{00000000-0005-0000-0000-000010020000}"/>
    <cellStyle name="40% - Accent1 2 3 3 2" xfId="41335" xr:uid="{00000000-0005-0000-0000-000011020000}"/>
    <cellStyle name="40% - Accent1 2 3 3 3" xfId="41336" xr:uid="{00000000-0005-0000-0000-000012020000}"/>
    <cellStyle name="40% - Accent1 2 3 4" xfId="41337" xr:uid="{00000000-0005-0000-0000-000013020000}"/>
    <cellStyle name="40% - Accent1 2 3 5" xfId="41338" xr:uid="{00000000-0005-0000-0000-000014020000}"/>
    <cellStyle name="40% - Accent1 20" xfId="41339" xr:uid="{00000000-0005-0000-0000-000015020000}"/>
    <cellStyle name="40% - Accent1 20 2" xfId="41340" xr:uid="{00000000-0005-0000-0000-000016020000}"/>
    <cellStyle name="40% - Accent1 20 2 2" xfId="41341" xr:uid="{00000000-0005-0000-0000-000017020000}"/>
    <cellStyle name="40% - Accent1 20 2 3" xfId="41342" xr:uid="{00000000-0005-0000-0000-000018020000}"/>
    <cellStyle name="40% - Accent1 20 3" xfId="41343" xr:uid="{00000000-0005-0000-0000-000019020000}"/>
    <cellStyle name="40% - Accent1 20 3 2" xfId="41344" xr:uid="{00000000-0005-0000-0000-00001A020000}"/>
    <cellStyle name="40% - Accent1 20 3 3" xfId="41345" xr:uid="{00000000-0005-0000-0000-00001B020000}"/>
    <cellStyle name="40% - Accent1 20 4" xfId="41346" xr:uid="{00000000-0005-0000-0000-00001C020000}"/>
    <cellStyle name="40% - Accent1 20 5" xfId="41347" xr:uid="{00000000-0005-0000-0000-00001D020000}"/>
    <cellStyle name="40% - Accent1 21" xfId="41348" xr:uid="{00000000-0005-0000-0000-00001E020000}"/>
    <cellStyle name="40% - Accent1 21 2" xfId="41349" xr:uid="{00000000-0005-0000-0000-00001F020000}"/>
    <cellStyle name="40% - Accent1 21 2 2" xfId="41350" xr:uid="{00000000-0005-0000-0000-000020020000}"/>
    <cellStyle name="40% - Accent1 21 2 3" xfId="41351" xr:uid="{00000000-0005-0000-0000-000021020000}"/>
    <cellStyle name="40% - Accent1 21 3" xfId="41352" xr:uid="{00000000-0005-0000-0000-000022020000}"/>
    <cellStyle name="40% - Accent1 21 3 2" xfId="41353" xr:uid="{00000000-0005-0000-0000-000023020000}"/>
    <cellStyle name="40% - Accent1 21 3 3" xfId="41354" xr:uid="{00000000-0005-0000-0000-000024020000}"/>
    <cellStyle name="40% - Accent1 21 4" xfId="41355" xr:uid="{00000000-0005-0000-0000-000025020000}"/>
    <cellStyle name="40% - Accent1 21 5" xfId="41356" xr:uid="{00000000-0005-0000-0000-000026020000}"/>
    <cellStyle name="40% - Accent1 22" xfId="41357" xr:uid="{00000000-0005-0000-0000-000027020000}"/>
    <cellStyle name="40% - Accent1 23" xfId="41358" xr:uid="{00000000-0005-0000-0000-000028020000}"/>
    <cellStyle name="40% - Accent1 23 2" xfId="41359" xr:uid="{00000000-0005-0000-0000-000029020000}"/>
    <cellStyle name="40% - Accent1 23 2 2" xfId="41360" xr:uid="{00000000-0005-0000-0000-00002A020000}"/>
    <cellStyle name="40% - Accent1 23 2 3" xfId="41361" xr:uid="{00000000-0005-0000-0000-00002B020000}"/>
    <cellStyle name="40% - Accent1 23 3" xfId="41362" xr:uid="{00000000-0005-0000-0000-00002C020000}"/>
    <cellStyle name="40% - Accent1 23 3 2" xfId="41363" xr:uid="{00000000-0005-0000-0000-00002D020000}"/>
    <cellStyle name="40% - Accent1 23 3 3" xfId="41364" xr:uid="{00000000-0005-0000-0000-00002E020000}"/>
    <cellStyle name="40% - Accent1 23 4" xfId="41365" xr:uid="{00000000-0005-0000-0000-00002F020000}"/>
    <cellStyle name="40% - Accent1 23 5" xfId="41366" xr:uid="{00000000-0005-0000-0000-000030020000}"/>
    <cellStyle name="40% - Accent1 24" xfId="41367" xr:uid="{00000000-0005-0000-0000-000031020000}"/>
    <cellStyle name="40% - Accent1 25" xfId="41368" xr:uid="{00000000-0005-0000-0000-000032020000}"/>
    <cellStyle name="40% - Accent1 26" xfId="41369" xr:uid="{00000000-0005-0000-0000-000033020000}"/>
    <cellStyle name="40% - Accent1 3" xfId="41370" xr:uid="{00000000-0005-0000-0000-000034020000}"/>
    <cellStyle name="40% - Accent1 4" xfId="41371" xr:uid="{00000000-0005-0000-0000-000035020000}"/>
    <cellStyle name="40% - Accent1 5" xfId="41372" xr:uid="{00000000-0005-0000-0000-000036020000}"/>
    <cellStyle name="40% - Accent1 6" xfId="41373" xr:uid="{00000000-0005-0000-0000-000037020000}"/>
    <cellStyle name="40% - Accent1 7" xfId="41374" xr:uid="{00000000-0005-0000-0000-000038020000}"/>
    <cellStyle name="40% - Accent1 8" xfId="41375" xr:uid="{00000000-0005-0000-0000-000039020000}"/>
    <cellStyle name="40% - Accent1 9" xfId="41376" xr:uid="{00000000-0005-0000-0000-00003A020000}"/>
    <cellStyle name="40% - Accent2 10" xfId="41377" xr:uid="{00000000-0005-0000-0000-00003B020000}"/>
    <cellStyle name="40% - Accent2 11" xfId="41378" xr:uid="{00000000-0005-0000-0000-00003C020000}"/>
    <cellStyle name="40% - Accent2 12" xfId="41379" xr:uid="{00000000-0005-0000-0000-00003D020000}"/>
    <cellStyle name="40% - Accent2 13" xfId="41380" xr:uid="{00000000-0005-0000-0000-00003E020000}"/>
    <cellStyle name="40% - Accent2 14" xfId="41381" xr:uid="{00000000-0005-0000-0000-00003F020000}"/>
    <cellStyle name="40% - Accent2 15" xfId="41382" xr:uid="{00000000-0005-0000-0000-000040020000}"/>
    <cellStyle name="40% - Accent2 16" xfId="41383" xr:uid="{00000000-0005-0000-0000-000041020000}"/>
    <cellStyle name="40% - Accent2 17" xfId="41384" xr:uid="{00000000-0005-0000-0000-000042020000}"/>
    <cellStyle name="40% - Accent2 17 2" xfId="41385" xr:uid="{00000000-0005-0000-0000-000043020000}"/>
    <cellStyle name="40% - Accent2 17 2 2" xfId="41386" xr:uid="{00000000-0005-0000-0000-000044020000}"/>
    <cellStyle name="40% - Accent2 17 2 3" xfId="41387" xr:uid="{00000000-0005-0000-0000-000045020000}"/>
    <cellStyle name="40% - Accent2 17 3" xfId="41388" xr:uid="{00000000-0005-0000-0000-000046020000}"/>
    <cellStyle name="40% - Accent2 17 3 2" xfId="41389" xr:uid="{00000000-0005-0000-0000-000047020000}"/>
    <cellStyle name="40% - Accent2 17 3 3" xfId="41390" xr:uid="{00000000-0005-0000-0000-000048020000}"/>
    <cellStyle name="40% - Accent2 17 4" xfId="41391" xr:uid="{00000000-0005-0000-0000-000049020000}"/>
    <cellStyle name="40% - Accent2 17 5" xfId="41392" xr:uid="{00000000-0005-0000-0000-00004A020000}"/>
    <cellStyle name="40% - Accent2 18" xfId="41393" xr:uid="{00000000-0005-0000-0000-00004B020000}"/>
    <cellStyle name="40% - Accent2 18 2" xfId="41394" xr:uid="{00000000-0005-0000-0000-00004C020000}"/>
    <cellStyle name="40% - Accent2 18 2 2" xfId="41395" xr:uid="{00000000-0005-0000-0000-00004D020000}"/>
    <cellStyle name="40% - Accent2 18 2 3" xfId="41396" xr:uid="{00000000-0005-0000-0000-00004E020000}"/>
    <cellStyle name="40% - Accent2 18 3" xfId="41397" xr:uid="{00000000-0005-0000-0000-00004F020000}"/>
    <cellStyle name="40% - Accent2 18 3 2" xfId="41398" xr:uid="{00000000-0005-0000-0000-000050020000}"/>
    <cellStyle name="40% - Accent2 18 3 3" xfId="41399" xr:uid="{00000000-0005-0000-0000-000051020000}"/>
    <cellStyle name="40% - Accent2 18 4" xfId="41400" xr:uid="{00000000-0005-0000-0000-000052020000}"/>
    <cellStyle name="40% - Accent2 18 5" xfId="41401" xr:uid="{00000000-0005-0000-0000-000053020000}"/>
    <cellStyle name="40% - Accent2 19" xfId="41402" xr:uid="{00000000-0005-0000-0000-000054020000}"/>
    <cellStyle name="40% - Accent2 19 2" xfId="41403" xr:uid="{00000000-0005-0000-0000-000055020000}"/>
    <cellStyle name="40% - Accent2 19 2 2" xfId="41404" xr:uid="{00000000-0005-0000-0000-000056020000}"/>
    <cellStyle name="40% - Accent2 19 2 3" xfId="41405" xr:uid="{00000000-0005-0000-0000-000057020000}"/>
    <cellStyle name="40% - Accent2 19 3" xfId="41406" xr:uid="{00000000-0005-0000-0000-000058020000}"/>
    <cellStyle name="40% - Accent2 19 3 2" xfId="41407" xr:uid="{00000000-0005-0000-0000-000059020000}"/>
    <cellStyle name="40% - Accent2 19 3 3" xfId="41408" xr:uid="{00000000-0005-0000-0000-00005A020000}"/>
    <cellStyle name="40% - Accent2 19 4" xfId="41409" xr:uid="{00000000-0005-0000-0000-00005B020000}"/>
    <cellStyle name="40% - Accent2 19 5" xfId="41410" xr:uid="{00000000-0005-0000-0000-00005C020000}"/>
    <cellStyle name="40% - Accent2 2" xfId="29" xr:uid="{00000000-0005-0000-0000-00005D020000}"/>
    <cellStyle name="40% - Accent2 2 2" xfId="41411" xr:uid="{00000000-0005-0000-0000-00005E020000}"/>
    <cellStyle name="40% - Accent2 2 3" xfId="41412" xr:uid="{00000000-0005-0000-0000-00005F020000}"/>
    <cellStyle name="40% - Accent2 2 3 2" xfId="41413" xr:uid="{00000000-0005-0000-0000-000060020000}"/>
    <cellStyle name="40% - Accent2 2 3 2 2" xfId="41414" xr:uid="{00000000-0005-0000-0000-000061020000}"/>
    <cellStyle name="40% - Accent2 2 3 2 3" xfId="41415" xr:uid="{00000000-0005-0000-0000-000062020000}"/>
    <cellStyle name="40% - Accent2 2 3 3" xfId="41416" xr:uid="{00000000-0005-0000-0000-000063020000}"/>
    <cellStyle name="40% - Accent2 2 3 3 2" xfId="41417" xr:uid="{00000000-0005-0000-0000-000064020000}"/>
    <cellStyle name="40% - Accent2 2 3 3 3" xfId="41418" xr:uid="{00000000-0005-0000-0000-000065020000}"/>
    <cellStyle name="40% - Accent2 2 3 4" xfId="41419" xr:uid="{00000000-0005-0000-0000-000066020000}"/>
    <cellStyle name="40% - Accent2 2 3 5" xfId="41420" xr:uid="{00000000-0005-0000-0000-000067020000}"/>
    <cellStyle name="40% - Accent2 20" xfId="41421" xr:uid="{00000000-0005-0000-0000-000068020000}"/>
    <cellStyle name="40% - Accent2 20 2" xfId="41422" xr:uid="{00000000-0005-0000-0000-000069020000}"/>
    <cellStyle name="40% - Accent2 20 2 2" xfId="41423" xr:uid="{00000000-0005-0000-0000-00006A020000}"/>
    <cellStyle name="40% - Accent2 20 2 3" xfId="41424" xr:uid="{00000000-0005-0000-0000-00006B020000}"/>
    <cellStyle name="40% - Accent2 20 3" xfId="41425" xr:uid="{00000000-0005-0000-0000-00006C020000}"/>
    <cellStyle name="40% - Accent2 20 3 2" xfId="41426" xr:uid="{00000000-0005-0000-0000-00006D020000}"/>
    <cellStyle name="40% - Accent2 20 3 3" xfId="41427" xr:uid="{00000000-0005-0000-0000-00006E020000}"/>
    <cellStyle name="40% - Accent2 20 4" xfId="41428" xr:uid="{00000000-0005-0000-0000-00006F020000}"/>
    <cellStyle name="40% - Accent2 20 5" xfId="41429" xr:uid="{00000000-0005-0000-0000-000070020000}"/>
    <cellStyle name="40% - Accent2 21" xfId="41430" xr:uid="{00000000-0005-0000-0000-000071020000}"/>
    <cellStyle name="40% - Accent2 21 2" xfId="41431" xr:uid="{00000000-0005-0000-0000-000072020000}"/>
    <cellStyle name="40% - Accent2 21 2 2" xfId="41432" xr:uid="{00000000-0005-0000-0000-000073020000}"/>
    <cellStyle name="40% - Accent2 21 2 3" xfId="41433" xr:uid="{00000000-0005-0000-0000-000074020000}"/>
    <cellStyle name="40% - Accent2 21 3" xfId="41434" xr:uid="{00000000-0005-0000-0000-000075020000}"/>
    <cellStyle name="40% - Accent2 21 3 2" xfId="41435" xr:uid="{00000000-0005-0000-0000-000076020000}"/>
    <cellStyle name="40% - Accent2 21 3 3" xfId="41436" xr:uid="{00000000-0005-0000-0000-000077020000}"/>
    <cellStyle name="40% - Accent2 21 4" xfId="41437" xr:uid="{00000000-0005-0000-0000-000078020000}"/>
    <cellStyle name="40% - Accent2 21 5" xfId="41438" xr:uid="{00000000-0005-0000-0000-000079020000}"/>
    <cellStyle name="40% - Accent2 22" xfId="41439" xr:uid="{00000000-0005-0000-0000-00007A020000}"/>
    <cellStyle name="40% - Accent2 23" xfId="41440" xr:uid="{00000000-0005-0000-0000-00007B020000}"/>
    <cellStyle name="40% - Accent2 23 2" xfId="41441" xr:uid="{00000000-0005-0000-0000-00007C020000}"/>
    <cellStyle name="40% - Accent2 23 2 2" xfId="41442" xr:uid="{00000000-0005-0000-0000-00007D020000}"/>
    <cellStyle name="40% - Accent2 23 2 3" xfId="41443" xr:uid="{00000000-0005-0000-0000-00007E020000}"/>
    <cellStyle name="40% - Accent2 23 3" xfId="41444" xr:uid="{00000000-0005-0000-0000-00007F020000}"/>
    <cellStyle name="40% - Accent2 23 3 2" xfId="41445" xr:uid="{00000000-0005-0000-0000-000080020000}"/>
    <cellStyle name="40% - Accent2 23 3 3" xfId="41446" xr:uid="{00000000-0005-0000-0000-000081020000}"/>
    <cellStyle name="40% - Accent2 23 4" xfId="41447" xr:uid="{00000000-0005-0000-0000-000082020000}"/>
    <cellStyle name="40% - Accent2 23 5" xfId="41448" xr:uid="{00000000-0005-0000-0000-000083020000}"/>
    <cellStyle name="40% - Accent2 24" xfId="41449" xr:uid="{00000000-0005-0000-0000-000084020000}"/>
    <cellStyle name="40% - Accent2 3" xfId="41450" xr:uid="{00000000-0005-0000-0000-000085020000}"/>
    <cellStyle name="40% - Accent2 4" xfId="41451" xr:uid="{00000000-0005-0000-0000-000086020000}"/>
    <cellStyle name="40% - Accent2 5" xfId="41452" xr:uid="{00000000-0005-0000-0000-000087020000}"/>
    <cellStyle name="40% - Accent2 6" xfId="41453" xr:uid="{00000000-0005-0000-0000-000088020000}"/>
    <cellStyle name="40% - Accent2 7" xfId="41454" xr:uid="{00000000-0005-0000-0000-000089020000}"/>
    <cellStyle name="40% - Accent2 8" xfId="41455" xr:uid="{00000000-0005-0000-0000-00008A020000}"/>
    <cellStyle name="40% - Accent2 9" xfId="41456" xr:uid="{00000000-0005-0000-0000-00008B020000}"/>
    <cellStyle name="40% - Accent3 10" xfId="41457" xr:uid="{00000000-0005-0000-0000-00008C020000}"/>
    <cellStyle name="40% - Accent3 11" xfId="41458" xr:uid="{00000000-0005-0000-0000-00008D020000}"/>
    <cellStyle name="40% - Accent3 12" xfId="41459" xr:uid="{00000000-0005-0000-0000-00008E020000}"/>
    <cellStyle name="40% - Accent3 13" xfId="41460" xr:uid="{00000000-0005-0000-0000-00008F020000}"/>
    <cellStyle name="40% - Accent3 14" xfId="41461" xr:uid="{00000000-0005-0000-0000-000090020000}"/>
    <cellStyle name="40% - Accent3 15" xfId="41462" xr:uid="{00000000-0005-0000-0000-000091020000}"/>
    <cellStyle name="40% - Accent3 16" xfId="41463" xr:uid="{00000000-0005-0000-0000-000092020000}"/>
    <cellStyle name="40% - Accent3 17" xfId="41464" xr:uid="{00000000-0005-0000-0000-000093020000}"/>
    <cellStyle name="40% - Accent3 17 2" xfId="41465" xr:uid="{00000000-0005-0000-0000-000094020000}"/>
    <cellStyle name="40% - Accent3 17 2 2" xfId="41466" xr:uid="{00000000-0005-0000-0000-000095020000}"/>
    <cellStyle name="40% - Accent3 17 2 3" xfId="41467" xr:uid="{00000000-0005-0000-0000-000096020000}"/>
    <cellStyle name="40% - Accent3 17 3" xfId="41468" xr:uid="{00000000-0005-0000-0000-000097020000}"/>
    <cellStyle name="40% - Accent3 17 3 2" xfId="41469" xr:uid="{00000000-0005-0000-0000-000098020000}"/>
    <cellStyle name="40% - Accent3 17 3 3" xfId="41470" xr:uid="{00000000-0005-0000-0000-000099020000}"/>
    <cellStyle name="40% - Accent3 17 4" xfId="41471" xr:uid="{00000000-0005-0000-0000-00009A020000}"/>
    <cellStyle name="40% - Accent3 17 5" xfId="41472" xr:uid="{00000000-0005-0000-0000-00009B020000}"/>
    <cellStyle name="40% - Accent3 18" xfId="41473" xr:uid="{00000000-0005-0000-0000-00009C020000}"/>
    <cellStyle name="40% - Accent3 18 2" xfId="41474" xr:uid="{00000000-0005-0000-0000-00009D020000}"/>
    <cellStyle name="40% - Accent3 18 2 2" xfId="41475" xr:uid="{00000000-0005-0000-0000-00009E020000}"/>
    <cellStyle name="40% - Accent3 18 2 3" xfId="41476" xr:uid="{00000000-0005-0000-0000-00009F020000}"/>
    <cellStyle name="40% - Accent3 18 3" xfId="41477" xr:uid="{00000000-0005-0000-0000-0000A0020000}"/>
    <cellStyle name="40% - Accent3 18 3 2" xfId="41478" xr:uid="{00000000-0005-0000-0000-0000A1020000}"/>
    <cellStyle name="40% - Accent3 18 3 3" xfId="41479" xr:uid="{00000000-0005-0000-0000-0000A2020000}"/>
    <cellStyle name="40% - Accent3 18 4" xfId="41480" xr:uid="{00000000-0005-0000-0000-0000A3020000}"/>
    <cellStyle name="40% - Accent3 18 5" xfId="41481" xr:uid="{00000000-0005-0000-0000-0000A4020000}"/>
    <cellStyle name="40% - Accent3 19" xfId="41482" xr:uid="{00000000-0005-0000-0000-0000A5020000}"/>
    <cellStyle name="40% - Accent3 19 2" xfId="41483" xr:uid="{00000000-0005-0000-0000-0000A6020000}"/>
    <cellStyle name="40% - Accent3 19 2 2" xfId="41484" xr:uid="{00000000-0005-0000-0000-0000A7020000}"/>
    <cellStyle name="40% - Accent3 19 2 3" xfId="41485" xr:uid="{00000000-0005-0000-0000-0000A8020000}"/>
    <cellStyle name="40% - Accent3 19 3" xfId="41486" xr:uid="{00000000-0005-0000-0000-0000A9020000}"/>
    <cellStyle name="40% - Accent3 19 3 2" xfId="41487" xr:uid="{00000000-0005-0000-0000-0000AA020000}"/>
    <cellStyle name="40% - Accent3 19 3 3" xfId="41488" xr:uid="{00000000-0005-0000-0000-0000AB020000}"/>
    <cellStyle name="40% - Accent3 19 4" xfId="41489" xr:uid="{00000000-0005-0000-0000-0000AC020000}"/>
    <cellStyle name="40% - Accent3 19 5" xfId="41490" xr:uid="{00000000-0005-0000-0000-0000AD020000}"/>
    <cellStyle name="40% - Accent3 2" xfId="30" xr:uid="{00000000-0005-0000-0000-0000AE020000}"/>
    <cellStyle name="40% - Accent3 2 2" xfId="41491" xr:uid="{00000000-0005-0000-0000-0000AF020000}"/>
    <cellStyle name="40% - Accent3 2 3" xfId="41492" xr:uid="{00000000-0005-0000-0000-0000B0020000}"/>
    <cellStyle name="40% - Accent3 2 3 2" xfId="41493" xr:uid="{00000000-0005-0000-0000-0000B1020000}"/>
    <cellStyle name="40% - Accent3 2 3 2 2" xfId="41494" xr:uid="{00000000-0005-0000-0000-0000B2020000}"/>
    <cellStyle name="40% - Accent3 2 3 2 3" xfId="41495" xr:uid="{00000000-0005-0000-0000-0000B3020000}"/>
    <cellStyle name="40% - Accent3 2 3 3" xfId="41496" xr:uid="{00000000-0005-0000-0000-0000B4020000}"/>
    <cellStyle name="40% - Accent3 2 3 3 2" xfId="41497" xr:uid="{00000000-0005-0000-0000-0000B5020000}"/>
    <cellStyle name="40% - Accent3 2 3 3 3" xfId="41498" xr:uid="{00000000-0005-0000-0000-0000B6020000}"/>
    <cellStyle name="40% - Accent3 2 3 4" xfId="41499" xr:uid="{00000000-0005-0000-0000-0000B7020000}"/>
    <cellStyle name="40% - Accent3 2 3 5" xfId="41500" xr:uid="{00000000-0005-0000-0000-0000B8020000}"/>
    <cellStyle name="40% - Accent3 20" xfId="41501" xr:uid="{00000000-0005-0000-0000-0000B9020000}"/>
    <cellStyle name="40% - Accent3 20 2" xfId="41502" xr:uid="{00000000-0005-0000-0000-0000BA020000}"/>
    <cellStyle name="40% - Accent3 20 2 2" xfId="41503" xr:uid="{00000000-0005-0000-0000-0000BB020000}"/>
    <cellStyle name="40% - Accent3 20 2 3" xfId="41504" xr:uid="{00000000-0005-0000-0000-0000BC020000}"/>
    <cellStyle name="40% - Accent3 20 3" xfId="41505" xr:uid="{00000000-0005-0000-0000-0000BD020000}"/>
    <cellStyle name="40% - Accent3 20 3 2" xfId="41506" xr:uid="{00000000-0005-0000-0000-0000BE020000}"/>
    <cellStyle name="40% - Accent3 20 3 3" xfId="41507" xr:uid="{00000000-0005-0000-0000-0000BF020000}"/>
    <cellStyle name="40% - Accent3 20 4" xfId="41508" xr:uid="{00000000-0005-0000-0000-0000C0020000}"/>
    <cellStyle name="40% - Accent3 20 5" xfId="41509" xr:uid="{00000000-0005-0000-0000-0000C1020000}"/>
    <cellStyle name="40% - Accent3 21" xfId="41510" xr:uid="{00000000-0005-0000-0000-0000C2020000}"/>
    <cellStyle name="40% - Accent3 21 2" xfId="41511" xr:uid="{00000000-0005-0000-0000-0000C3020000}"/>
    <cellStyle name="40% - Accent3 21 2 2" xfId="41512" xr:uid="{00000000-0005-0000-0000-0000C4020000}"/>
    <cellStyle name="40% - Accent3 21 2 3" xfId="41513" xr:uid="{00000000-0005-0000-0000-0000C5020000}"/>
    <cellStyle name="40% - Accent3 21 3" xfId="41514" xr:uid="{00000000-0005-0000-0000-0000C6020000}"/>
    <cellStyle name="40% - Accent3 21 3 2" xfId="41515" xr:uid="{00000000-0005-0000-0000-0000C7020000}"/>
    <cellStyle name="40% - Accent3 21 3 3" xfId="41516" xr:uid="{00000000-0005-0000-0000-0000C8020000}"/>
    <cellStyle name="40% - Accent3 21 4" xfId="41517" xr:uid="{00000000-0005-0000-0000-0000C9020000}"/>
    <cellStyle name="40% - Accent3 21 5" xfId="41518" xr:uid="{00000000-0005-0000-0000-0000CA020000}"/>
    <cellStyle name="40% - Accent3 22" xfId="41519" xr:uid="{00000000-0005-0000-0000-0000CB020000}"/>
    <cellStyle name="40% - Accent3 23" xfId="41520" xr:uid="{00000000-0005-0000-0000-0000CC020000}"/>
    <cellStyle name="40% - Accent3 23 2" xfId="41521" xr:uid="{00000000-0005-0000-0000-0000CD020000}"/>
    <cellStyle name="40% - Accent3 23 2 2" xfId="41522" xr:uid="{00000000-0005-0000-0000-0000CE020000}"/>
    <cellStyle name="40% - Accent3 23 2 3" xfId="41523" xr:uid="{00000000-0005-0000-0000-0000CF020000}"/>
    <cellStyle name="40% - Accent3 23 3" xfId="41524" xr:uid="{00000000-0005-0000-0000-0000D0020000}"/>
    <cellStyle name="40% - Accent3 23 3 2" xfId="41525" xr:uid="{00000000-0005-0000-0000-0000D1020000}"/>
    <cellStyle name="40% - Accent3 23 3 3" xfId="41526" xr:uid="{00000000-0005-0000-0000-0000D2020000}"/>
    <cellStyle name="40% - Accent3 23 4" xfId="41527" xr:uid="{00000000-0005-0000-0000-0000D3020000}"/>
    <cellStyle name="40% - Accent3 23 5" xfId="41528" xr:uid="{00000000-0005-0000-0000-0000D4020000}"/>
    <cellStyle name="40% - Accent3 24" xfId="41529" xr:uid="{00000000-0005-0000-0000-0000D5020000}"/>
    <cellStyle name="40% - Accent3 25" xfId="41530" xr:uid="{00000000-0005-0000-0000-0000D6020000}"/>
    <cellStyle name="40% - Accent3 26" xfId="41531" xr:uid="{00000000-0005-0000-0000-0000D7020000}"/>
    <cellStyle name="40% - Accent3 3" xfId="41532" xr:uid="{00000000-0005-0000-0000-0000D8020000}"/>
    <cellStyle name="40% - Accent3 4" xfId="41533" xr:uid="{00000000-0005-0000-0000-0000D9020000}"/>
    <cellStyle name="40% - Accent3 5" xfId="41534" xr:uid="{00000000-0005-0000-0000-0000DA020000}"/>
    <cellStyle name="40% - Accent3 6" xfId="41535" xr:uid="{00000000-0005-0000-0000-0000DB020000}"/>
    <cellStyle name="40% - Accent3 7" xfId="41536" xr:uid="{00000000-0005-0000-0000-0000DC020000}"/>
    <cellStyle name="40% - Accent3 8" xfId="41537" xr:uid="{00000000-0005-0000-0000-0000DD020000}"/>
    <cellStyle name="40% - Accent3 9" xfId="41538" xr:uid="{00000000-0005-0000-0000-0000DE020000}"/>
    <cellStyle name="40% - Accent4 10" xfId="41539" xr:uid="{00000000-0005-0000-0000-0000DF020000}"/>
    <cellStyle name="40% - Accent4 11" xfId="41540" xr:uid="{00000000-0005-0000-0000-0000E0020000}"/>
    <cellStyle name="40% - Accent4 12" xfId="41541" xr:uid="{00000000-0005-0000-0000-0000E1020000}"/>
    <cellStyle name="40% - Accent4 13" xfId="41542" xr:uid="{00000000-0005-0000-0000-0000E2020000}"/>
    <cellStyle name="40% - Accent4 14" xfId="41543" xr:uid="{00000000-0005-0000-0000-0000E3020000}"/>
    <cellStyle name="40% - Accent4 15" xfId="41544" xr:uid="{00000000-0005-0000-0000-0000E4020000}"/>
    <cellStyle name="40% - Accent4 16" xfId="41545" xr:uid="{00000000-0005-0000-0000-0000E5020000}"/>
    <cellStyle name="40% - Accent4 17" xfId="41546" xr:uid="{00000000-0005-0000-0000-0000E6020000}"/>
    <cellStyle name="40% - Accent4 17 2" xfId="41547" xr:uid="{00000000-0005-0000-0000-0000E7020000}"/>
    <cellStyle name="40% - Accent4 17 2 2" xfId="41548" xr:uid="{00000000-0005-0000-0000-0000E8020000}"/>
    <cellStyle name="40% - Accent4 17 2 3" xfId="41549" xr:uid="{00000000-0005-0000-0000-0000E9020000}"/>
    <cellStyle name="40% - Accent4 17 3" xfId="41550" xr:uid="{00000000-0005-0000-0000-0000EA020000}"/>
    <cellStyle name="40% - Accent4 17 3 2" xfId="41551" xr:uid="{00000000-0005-0000-0000-0000EB020000}"/>
    <cellStyle name="40% - Accent4 17 3 3" xfId="41552" xr:uid="{00000000-0005-0000-0000-0000EC020000}"/>
    <cellStyle name="40% - Accent4 17 4" xfId="41553" xr:uid="{00000000-0005-0000-0000-0000ED020000}"/>
    <cellStyle name="40% - Accent4 17 5" xfId="41554" xr:uid="{00000000-0005-0000-0000-0000EE020000}"/>
    <cellStyle name="40% - Accent4 18" xfId="41555" xr:uid="{00000000-0005-0000-0000-0000EF020000}"/>
    <cellStyle name="40% - Accent4 18 2" xfId="41556" xr:uid="{00000000-0005-0000-0000-0000F0020000}"/>
    <cellStyle name="40% - Accent4 18 2 2" xfId="41557" xr:uid="{00000000-0005-0000-0000-0000F1020000}"/>
    <cellStyle name="40% - Accent4 18 2 3" xfId="41558" xr:uid="{00000000-0005-0000-0000-0000F2020000}"/>
    <cellStyle name="40% - Accent4 18 3" xfId="41559" xr:uid="{00000000-0005-0000-0000-0000F3020000}"/>
    <cellStyle name="40% - Accent4 18 3 2" xfId="41560" xr:uid="{00000000-0005-0000-0000-0000F4020000}"/>
    <cellStyle name="40% - Accent4 18 3 3" xfId="41561" xr:uid="{00000000-0005-0000-0000-0000F5020000}"/>
    <cellStyle name="40% - Accent4 18 4" xfId="41562" xr:uid="{00000000-0005-0000-0000-0000F6020000}"/>
    <cellStyle name="40% - Accent4 18 5" xfId="41563" xr:uid="{00000000-0005-0000-0000-0000F7020000}"/>
    <cellStyle name="40% - Accent4 19" xfId="41564" xr:uid="{00000000-0005-0000-0000-0000F8020000}"/>
    <cellStyle name="40% - Accent4 19 2" xfId="41565" xr:uid="{00000000-0005-0000-0000-0000F9020000}"/>
    <cellStyle name="40% - Accent4 19 2 2" xfId="41566" xr:uid="{00000000-0005-0000-0000-0000FA020000}"/>
    <cellStyle name="40% - Accent4 19 2 3" xfId="41567" xr:uid="{00000000-0005-0000-0000-0000FB020000}"/>
    <cellStyle name="40% - Accent4 19 3" xfId="41568" xr:uid="{00000000-0005-0000-0000-0000FC020000}"/>
    <cellStyle name="40% - Accent4 19 3 2" xfId="41569" xr:uid="{00000000-0005-0000-0000-0000FD020000}"/>
    <cellStyle name="40% - Accent4 19 3 3" xfId="41570" xr:uid="{00000000-0005-0000-0000-0000FE020000}"/>
    <cellStyle name="40% - Accent4 19 4" xfId="41571" xr:uid="{00000000-0005-0000-0000-0000FF020000}"/>
    <cellStyle name="40% - Accent4 19 5" xfId="41572" xr:uid="{00000000-0005-0000-0000-000000030000}"/>
    <cellStyle name="40% - Accent4 2" xfId="31" xr:uid="{00000000-0005-0000-0000-000001030000}"/>
    <cellStyle name="40% - Accent4 2 2" xfId="41573" xr:uid="{00000000-0005-0000-0000-000002030000}"/>
    <cellStyle name="40% - Accent4 2 3" xfId="41574" xr:uid="{00000000-0005-0000-0000-000003030000}"/>
    <cellStyle name="40% - Accent4 2 3 2" xfId="41575" xr:uid="{00000000-0005-0000-0000-000004030000}"/>
    <cellStyle name="40% - Accent4 2 3 2 2" xfId="41576" xr:uid="{00000000-0005-0000-0000-000005030000}"/>
    <cellStyle name="40% - Accent4 2 3 2 3" xfId="41577" xr:uid="{00000000-0005-0000-0000-000006030000}"/>
    <cellStyle name="40% - Accent4 2 3 3" xfId="41578" xr:uid="{00000000-0005-0000-0000-000007030000}"/>
    <cellStyle name="40% - Accent4 2 3 3 2" xfId="41579" xr:uid="{00000000-0005-0000-0000-000008030000}"/>
    <cellStyle name="40% - Accent4 2 3 3 3" xfId="41580" xr:uid="{00000000-0005-0000-0000-000009030000}"/>
    <cellStyle name="40% - Accent4 2 3 4" xfId="41581" xr:uid="{00000000-0005-0000-0000-00000A030000}"/>
    <cellStyle name="40% - Accent4 2 3 5" xfId="41582" xr:uid="{00000000-0005-0000-0000-00000B030000}"/>
    <cellStyle name="40% - Accent4 20" xfId="41583" xr:uid="{00000000-0005-0000-0000-00000C030000}"/>
    <cellStyle name="40% - Accent4 20 2" xfId="41584" xr:uid="{00000000-0005-0000-0000-00000D030000}"/>
    <cellStyle name="40% - Accent4 20 2 2" xfId="41585" xr:uid="{00000000-0005-0000-0000-00000E030000}"/>
    <cellStyle name="40% - Accent4 20 2 3" xfId="41586" xr:uid="{00000000-0005-0000-0000-00000F030000}"/>
    <cellStyle name="40% - Accent4 20 3" xfId="41587" xr:uid="{00000000-0005-0000-0000-000010030000}"/>
    <cellStyle name="40% - Accent4 20 3 2" xfId="41588" xr:uid="{00000000-0005-0000-0000-000011030000}"/>
    <cellStyle name="40% - Accent4 20 3 3" xfId="41589" xr:uid="{00000000-0005-0000-0000-000012030000}"/>
    <cellStyle name="40% - Accent4 20 4" xfId="41590" xr:uid="{00000000-0005-0000-0000-000013030000}"/>
    <cellStyle name="40% - Accent4 20 5" xfId="41591" xr:uid="{00000000-0005-0000-0000-000014030000}"/>
    <cellStyle name="40% - Accent4 21" xfId="41592" xr:uid="{00000000-0005-0000-0000-000015030000}"/>
    <cellStyle name="40% - Accent4 21 2" xfId="41593" xr:uid="{00000000-0005-0000-0000-000016030000}"/>
    <cellStyle name="40% - Accent4 21 2 2" xfId="41594" xr:uid="{00000000-0005-0000-0000-000017030000}"/>
    <cellStyle name="40% - Accent4 21 2 3" xfId="41595" xr:uid="{00000000-0005-0000-0000-000018030000}"/>
    <cellStyle name="40% - Accent4 21 3" xfId="41596" xr:uid="{00000000-0005-0000-0000-000019030000}"/>
    <cellStyle name="40% - Accent4 21 3 2" xfId="41597" xr:uid="{00000000-0005-0000-0000-00001A030000}"/>
    <cellStyle name="40% - Accent4 21 3 3" xfId="41598" xr:uid="{00000000-0005-0000-0000-00001B030000}"/>
    <cellStyle name="40% - Accent4 21 4" xfId="41599" xr:uid="{00000000-0005-0000-0000-00001C030000}"/>
    <cellStyle name="40% - Accent4 21 5" xfId="41600" xr:uid="{00000000-0005-0000-0000-00001D030000}"/>
    <cellStyle name="40% - Accent4 22" xfId="41601" xr:uid="{00000000-0005-0000-0000-00001E030000}"/>
    <cellStyle name="40% - Accent4 23" xfId="41602" xr:uid="{00000000-0005-0000-0000-00001F030000}"/>
    <cellStyle name="40% - Accent4 23 2" xfId="41603" xr:uid="{00000000-0005-0000-0000-000020030000}"/>
    <cellStyle name="40% - Accent4 23 2 2" xfId="41604" xr:uid="{00000000-0005-0000-0000-000021030000}"/>
    <cellStyle name="40% - Accent4 23 2 3" xfId="41605" xr:uid="{00000000-0005-0000-0000-000022030000}"/>
    <cellStyle name="40% - Accent4 23 3" xfId="41606" xr:uid="{00000000-0005-0000-0000-000023030000}"/>
    <cellStyle name="40% - Accent4 23 3 2" xfId="41607" xr:uid="{00000000-0005-0000-0000-000024030000}"/>
    <cellStyle name="40% - Accent4 23 3 3" xfId="41608" xr:uid="{00000000-0005-0000-0000-000025030000}"/>
    <cellStyle name="40% - Accent4 23 4" xfId="41609" xr:uid="{00000000-0005-0000-0000-000026030000}"/>
    <cellStyle name="40% - Accent4 23 5" xfId="41610" xr:uid="{00000000-0005-0000-0000-000027030000}"/>
    <cellStyle name="40% - Accent4 24" xfId="41611" xr:uid="{00000000-0005-0000-0000-000028030000}"/>
    <cellStyle name="40% - Accent4 25" xfId="41612" xr:uid="{00000000-0005-0000-0000-000029030000}"/>
    <cellStyle name="40% - Accent4 26" xfId="41613" xr:uid="{00000000-0005-0000-0000-00002A030000}"/>
    <cellStyle name="40% - Accent4 3" xfId="41614" xr:uid="{00000000-0005-0000-0000-00002B030000}"/>
    <cellStyle name="40% - Accent4 4" xfId="41615" xr:uid="{00000000-0005-0000-0000-00002C030000}"/>
    <cellStyle name="40% - Accent4 5" xfId="41616" xr:uid="{00000000-0005-0000-0000-00002D030000}"/>
    <cellStyle name="40% - Accent4 6" xfId="41617" xr:uid="{00000000-0005-0000-0000-00002E030000}"/>
    <cellStyle name="40% - Accent4 7" xfId="41618" xr:uid="{00000000-0005-0000-0000-00002F030000}"/>
    <cellStyle name="40% - Accent4 8" xfId="41619" xr:uid="{00000000-0005-0000-0000-000030030000}"/>
    <cellStyle name="40% - Accent4 9" xfId="41620" xr:uid="{00000000-0005-0000-0000-000031030000}"/>
    <cellStyle name="40% - Accent5 10" xfId="41621" xr:uid="{00000000-0005-0000-0000-000032030000}"/>
    <cellStyle name="40% - Accent5 11" xfId="41622" xr:uid="{00000000-0005-0000-0000-000033030000}"/>
    <cellStyle name="40% - Accent5 12" xfId="41623" xr:uid="{00000000-0005-0000-0000-000034030000}"/>
    <cellStyle name="40% - Accent5 13" xfId="41624" xr:uid="{00000000-0005-0000-0000-000035030000}"/>
    <cellStyle name="40% - Accent5 14" xfId="41625" xr:uid="{00000000-0005-0000-0000-000036030000}"/>
    <cellStyle name="40% - Accent5 15" xfId="41626" xr:uid="{00000000-0005-0000-0000-000037030000}"/>
    <cellStyle name="40% - Accent5 16" xfId="41627" xr:uid="{00000000-0005-0000-0000-000038030000}"/>
    <cellStyle name="40% - Accent5 17" xfId="41628" xr:uid="{00000000-0005-0000-0000-000039030000}"/>
    <cellStyle name="40% - Accent5 17 2" xfId="41629" xr:uid="{00000000-0005-0000-0000-00003A030000}"/>
    <cellStyle name="40% - Accent5 17 2 2" xfId="41630" xr:uid="{00000000-0005-0000-0000-00003B030000}"/>
    <cellStyle name="40% - Accent5 17 2 3" xfId="41631" xr:uid="{00000000-0005-0000-0000-00003C030000}"/>
    <cellStyle name="40% - Accent5 17 3" xfId="41632" xr:uid="{00000000-0005-0000-0000-00003D030000}"/>
    <cellStyle name="40% - Accent5 17 3 2" xfId="41633" xr:uid="{00000000-0005-0000-0000-00003E030000}"/>
    <cellStyle name="40% - Accent5 17 3 3" xfId="41634" xr:uid="{00000000-0005-0000-0000-00003F030000}"/>
    <cellStyle name="40% - Accent5 17 4" xfId="41635" xr:uid="{00000000-0005-0000-0000-000040030000}"/>
    <cellStyle name="40% - Accent5 17 5" xfId="41636" xr:uid="{00000000-0005-0000-0000-000041030000}"/>
    <cellStyle name="40% - Accent5 18" xfId="41637" xr:uid="{00000000-0005-0000-0000-000042030000}"/>
    <cellStyle name="40% - Accent5 18 2" xfId="41638" xr:uid="{00000000-0005-0000-0000-000043030000}"/>
    <cellStyle name="40% - Accent5 18 2 2" xfId="41639" xr:uid="{00000000-0005-0000-0000-000044030000}"/>
    <cellStyle name="40% - Accent5 18 2 3" xfId="41640" xr:uid="{00000000-0005-0000-0000-000045030000}"/>
    <cellStyle name="40% - Accent5 18 3" xfId="41641" xr:uid="{00000000-0005-0000-0000-000046030000}"/>
    <cellStyle name="40% - Accent5 18 3 2" xfId="41642" xr:uid="{00000000-0005-0000-0000-000047030000}"/>
    <cellStyle name="40% - Accent5 18 3 3" xfId="41643" xr:uid="{00000000-0005-0000-0000-000048030000}"/>
    <cellStyle name="40% - Accent5 18 4" xfId="41644" xr:uid="{00000000-0005-0000-0000-000049030000}"/>
    <cellStyle name="40% - Accent5 18 5" xfId="41645" xr:uid="{00000000-0005-0000-0000-00004A030000}"/>
    <cellStyle name="40% - Accent5 19" xfId="41646" xr:uid="{00000000-0005-0000-0000-00004B030000}"/>
    <cellStyle name="40% - Accent5 19 2" xfId="41647" xr:uid="{00000000-0005-0000-0000-00004C030000}"/>
    <cellStyle name="40% - Accent5 19 2 2" xfId="41648" xr:uid="{00000000-0005-0000-0000-00004D030000}"/>
    <cellStyle name="40% - Accent5 19 2 3" xfId="41649" xr:uid="{00000000-0005-0000-0000-00004E030000}"/>
    <cellStyle name="40% - Accent5 19 3" xfId="41650" xr:uid="{00000000-0005-0000-0000-00004F030000}"/>
    <cellStyle name="40% - Accent5 19 3 2" xfId="41651" xr:uid="{00000000-0005-0000-0000-000050030000}"/>
    <cellStyle name="40% - Accent5 19 3 3" xfId="41652" xr:uid="{00000000-0005-0000-0000-000051030000}"/>
    <cellStyle name="40% - Accent5 19 4" xfId="41653" xr:uid="{00000000-0005-0000-0000-000052030000}"/>
    <cellStyle name="40% - Accent5 19 5" xfId="41654" xr:uid="{00000000-0005-0000-0000-000053030000}"/>
    <cellStyle name="40% - Accent5 2" xfId="32" xr:uid="{00000000-0005-0000-0000-000054030000}"/>
    <cellStyle name="40% - Accent5 2 2" xfId="41655" xr:uid="{00000000-0005-0000-0000-000055030000}"/>
    <cellStyle name="40% - Accent5 2 3" xfId="41656" xr:uid="{00000000-0005-0000-0000-000056030000}"/>
    <cellStyle name="40% - Accent5 2 3 2" xfId="41657" xr:uid="{00000000-0005-0000-0000-000057030000}"/>
    <cellStyle name="40% - Accent5 2 3 2 2" xfId="41658" xr:uid="{00000000-0005-0000-0000-000058030000}"/>
    <cellStyle name="40% - Accent5 2 3 2 3" xfId="41659" xr:uid="{00000000-0005-0000-0000-000059030000}"/>
    <cellStyle name="40% - Accent5 2 3 3" xfId="41660" xr:uid="{00000000-0005-0000-0000-00005A030000}"/>
    <cellStyle name="40% - Accent5 2 3 3 2" xfId="41661" xr:uid="{00000000-0005-0000-0000-00005B030000}"/>
    <cellStyle name="40% - Accent5 2 3 3 3" xfId="41662" xr:uid="{00000000-0005-0000-0000-00005C030000}"/>
    <cellStyle name="40% - Accent5 2 3 4" xfId="41663" xr:uid="{00000000-0005-0000-0000-00005D030000}"/>
    <cellStyle name="40% - Accent5 2 3 5" xfId="41664" xr:uid="{00000000-0005-0000-0000-00005E030000}"/>
    <cellStyle name="40% - Accent5 20" xfId="41665" xr:uid="{00000000-0005-0000-0000-00005F030000}"/>
    <cellStyle name="40% - Accent5 20 2" xfId="41666" xr:uid="{00000000-0005-0000-0000-000060030000}"/>
    <cellStyle name="40% - Accent5 20 2 2" xfId="41667" xr:uid="{00000000-0005-0000-0000-000061030000}"/>
    <cellStyle name="40% - Accent5 20 2 3" xfId="41668" xr:uid="{00000000-0005-0000-0000-000062030000}"/>
    <cellStyle name="40% - Accent5 20 3" xfId="41669" xr:uid="{00000000-0005-0000-0000-000063030000}"/>
    <cellStyle name="40% - Accent5 20 3 2" xfId="41670" xr:uid="{00000000-0005-0000-0000-000064030000}"/>
    <cellStyle name="40% - Accent5 20 3 3" xfId="41671" xr:uid="{00000000-0005-0000-0000-000065030000}"/>
    <cellStyle name="40% - Accent5 20 4" xfId="41672" xr:uid="{00000000-0005-0000-0000-000066030000}"/>
    <cellStyle name="40% - Accent5 20 5" xfId="41673" xr:uid="{00000000-0005-0000-0000-000067030000}"/>
    <cellStyle name="40% - Accent5 21" xfId="41674" xr:uid="{00000000-0005-0000-0000-000068030000}"/>
    <cellStyle name="40% - Accent5 21 2" xfId="41675" xr:uid="{00000000-0005-0000-0000-000069030000}"/>
    <cellStyle name="40% - Accent5 21 2 2" xfId="41676" xr:uid="{00000000-0005-0000-0000-00006A030000}"/>
    <cellStyle name="40% - Accent5 21 2 3" xfId="41677" xr:uid="{00000000-0005-0000-0000-00006B030000}"/>
    <cellStyle name="40% - Accent5 21 3" xfId="41678" xr:uid="{00000000-0005-0000-0000-00006C030000}"/>
    <cellStyle name="40% - Accent5 21 3 2" xfId="41679" xr:uid="{00000000-0005-0000-0000-00006D030000}"/>
    <cellStyle name="40% - Accent5 21 3 3" xfId="41680" xr:uid="{00000000-0005-0000-0000-00006E030000}"/>
    <cellStyle name="40% - Accent5 21 4" xfId="41681" xr:uid="{00000000-0005-0000-0000-00006F030000}"/>
    <cellStyle name="40% - Accent5 21 5" xfId="41682" xr:uid="{00000000-0005-0000-0000-000070030000}"/>
    <cellStyle name="40% - Accent5 22" xfId="41683" xr:uid="{00000000-0005-0000-0000-000071030000}"/>
    <cellStyle name="40% - Accent5 23" xfId="41684" xr:uid="{00000000-0005-0000-0000-000072030000}"/>
    <cellStyle name="40% - Accent5 23 2" xfId="41685" xr:uid="{00000000-0005-0000-0000-000073030000}"/>
    <cellStyle name="40% - Accent5 23 2 2" xfId="41686" xr:uid="{00000000-0005-0000-0000-000074030000}"/>
    <cellStyle name="40% - Accent5 23 2 3" xfId="41687" xr:uid="{00000000-0005-0000-0000-000075030000}"/>
    <cellStyle name="40% - Accent5 23 3" xfId="41688" xr:uid="{00000000-0005-0000-0000-000076030000}"/>
    <cellStyle name="40% - Accent5 23 3 2" xfId="41689" xr:uid="{00000000-0005-0000-0000-000077030000}"/>
    <cellStyle name="40% - Accent5 23 3 3" xfId="41690" xr:uid="{00000000-0005-0000-0000-000078030000}"/>
    <cellStyle name="40% - Accent5 23 4" xfId="41691" xr:uid="{00000000-0005-0000-0000-000079030000}"/>
    <cellStyle name="40% - Accent5 23 5" xfId="41692" xr:uid="{00000000-0005-0000-0000-00007A030000}"/>
    <cellStyle name="40% - Accent5 24" xfId="41693" xr:uid="{00000000-0005-0000-0000-00007B030000}"/>
    <cellStyle name="40% - Accent5 3" xfId="41694" xr:uid="{00000000-0005-0000-0000-00007C030000}"/>
    <cellStyle name="40% - Accent5 4" xfId="41695" xr:uid="{00000000-0005-0000-0000-00007D030000}"/>
    <cellStyle name="40% - Accent5 5" xfId="41696" xr:uid="{00000000-0005-0000-0000-00007E030000}"/>
    <cellStyle name="40% - Accent5 6" xfId="41697" xr:uid="{00000000-0005-0000-0000-00007F030000}"/>
    <cellStyle name="40% - Accent5 7" xfId="41698" xr:uid="{00000000-0005-0000-0000-000080030000}"/>
    <cellStyle name="40% - Accent5 8" xfId="41699" xr:uid="{00000000-0005-0000-0000-000081030000}"/>
    <cellStyle name="40% - Accent5 9" xfId="41700" xr:uid="{00000000-0005-0000-0000-000082030000}"/>
    <cellStyle name="40% - Accent6 10" xfId="41701" xr:uid="{00000000-0005-0000-0000-000083030000}"/>
    <cellStyle name="40% - Accent6 11" xfId="41702" xr:uid="{00000000-0005-0000-0000-000084030000}"/>
    <cellStyle name="40% - Accent6 12" xfId="41703" xr:uid="{00000000-0005-0000-0000-000085030000}"/>
    <cellStyle name="40% - Accent6 13" xfId="41704" xr:uid="{00000000-0005-0000-0000-000086030000}"/>
    <cellStyle name="40% - Accent6 14" xfId="41705" xr:uid="{00000000-0005-0000-0000-000087030000}"/>
    <cellStyle name="40% - Accent6 15" xfId="41706" xr:uid="{00000000-0005-0000-0000-000088030000}"/>
    <cellStyle name="40% - Accent6 16" xfId="41707" xr:uid="{00000000-0005-0000-0000-000089030000}"/>
    <cellStyle name="40% - Accent6 17" xfId="41708" xr:uid="{00000000-0005-0000-0000-00008A030000}"/>
    <cellStyle name="40% - Accent6 17 2" xfId="41709" xr:uid="{00000000-0005-0000-0000-00008B030000}"/>
    <cellStyle name="40% - Accent6 17 2 2" xfId="41710" xr:uid="{00000000-0005-0000-0000-00008C030000}"/>
    <cellStyle name="40% - Accent6 17 2 3" xfId="41711" xr:uid="{00000000-0005-0000-0000-00008D030000}"/>
    <cellStyle name="40% - Accent6 17 3" xfId="41712" xr:uid="{00000000-0005-0000-0000-00008E030000}"/>
    <cellStyle name="40% - Accent6 17 3 2" xfId="41713" xr:uid="{00000000-0005-0000-0000-00008F030000}"/>
    <cellStyle name="40% - Accent6 17 3 3" xfId="41714" xr:uid="{00000000-0005-0000-0000-000090030000}"/>
    <cellStyle name="40% - Accent6 17 4" xfId="41715" xr:uid="{00000000-0005-0000-0000-000091030000}"/>
    <cellStyle name="40% - Accent6 17 5" xfId="41716" xr:uid="{00000000-0005-0000-0000-000092030000}"/>
    <cellStyle name="40% - Accent6 18" xfId="41717" xr:uid="{00000000-0005-0000-0000-000093030000}"/>
    <cellStyle name="40% - Accent6 18 2" xfId="41718" xr:uid="{00000000-0005-0000-0000-000094030000}"/>
    <cellStyle name="40% - Accent6 18 2 2" xfId="41719" xr:uid="{00000000-0005-0000-0000-000095030000}"/>
    <cellStyle name="40% - Accent6 18 2 3" xfId="41720" xr:uid="{00000000-0005-0000-0000-000096030000}"/>
    <cellStyle name="40% - Accent6 18 3" xfId="41721" xr:uid="{00000000-0005-0000-0000-000097030000}"/>
    <cellStyle name="40% - Accent6 18 3 2" xfId="41722" xr:uid="{00000000-0005-0000-0000-000098030000}"/>
    <cellStyle name="40% - Accent6 18 3 3" xfId="41723" xr:uid="{00000000-0005-0000-0000-000099030000}"/>
    <cellStyle name="40% - Accent6 18 4" xfId="41724" xr:uid="{00000000-0005-0000-0000-00009A030000}"/>
    <cellStyle name="40% - Accent6 18 5" xfId="41725" xr:uid="{00000000-0005-0000-0000-00009B030000}"/>
    <cellStyle name="40% - Accent6 19" xfId="41726" xr:uid="{00000000-0005-0000-0000-00009C030000}"/>
    <cellStyle name="40% - Accent6 19 2" xfId="41727" xr:uid="{00000000-0005-0000-0000-00009D030000}"/>
    <cellStyle name="40% - Accent6 19 2 2" xfId="41728" xr:uid="{00000000-0005-0000-0000-00009E030000}"/>
    <cellStyle name="40% - Accent6 19 2 3" xfId="41729" xr:uid="{00000000-0005-0000-0000-00009F030000}"/>
    <cellStyle name="40% - Accent6 19 3" xfId="41730" xr:uid="{00000000-0005-0000-0000-0000A0030000}"/>
    <cellStyle name="40% - Accent6 19 3 2" xfId="41731" xr:uid="{00000000-0005-0000-0000-0000A1030000}"/>
    <cellStyle name="40% - Accent6 19 3 3" xfId="41732" xr:uid="{00000000-0005-0000-0000-0000A2030000}"/>
    <cellStyle name="40% - Accent6 19 4" xfId="41733" xr:uid="{00000000-0005-0000-0000-0000A3030000}"/>
    <cellStyle name="40% - Accent6 19 5" xfId="41734" xr:uid="{00000000-0005-0000-0000-0000A4030000}"/>
    <cellStyle name="40% - Accent6 2" xfId="33" xr:uid="{00000000-0005-0000-0000-0000A5030000}"/>
    <cellStyle name="40% - Accent6 2 2" xfId="41735" xr:uid="{00000000-0005-0000-0000-0000A6030000}"/>
    <cellStyle name="40% - Accent6 2 3" xfId="41736" xr:uid="{00000000-0005-0000-0000-0000A7030000}"/>
    <cellStyle name="40% - Accent6 2 3 2" xfId="41737" xr:uid="{00000000-0005-0000-0000-0000A8030000}"/>
    <cellStyle name="40% - Accent6 2 3 2 2" xfId="41738" xr:uid="{00000000-0005-0000-0000-0000A9030000}"/>
    <cellStyle name="40% - Accent6 2 3 2 3" xfId="41739" xr:uid="{00000000-0005-0000-0000-0000AA030000}"/>
    <cellStyle name="40% - Accent6 2 3 3" xfId="41740" xr:uid="{00000000-0005-0000-0000-0000AB030000}"/>
    <cellStyle name="40% - Accent6 2 3 3 2" xfId="41741" xr:uid="{00000000-0005-0000-0000-0000AC030000}"/>
    <cellStyle name="40% - Accent6 2 3 3 3" xfId="41742" xr:uid="{00000000-0005-0000-0000-0000AD030000}"/>
    <cellStyle name="40% - Accent6 2 3 4" xfId="41743" xr:uid="{00000000-0005-0000-0000-0000AE030000}"/>
    <cellStyle name="40% - Accent6 2 3 5" xfId="41744" xr:uid="{00000000-0005-0000-0000-0000AF030000}"/>
    <cellStyle name="40% - Accent6 20" xfId="41745" xr:uid="{00000000-0005-0000-0000-0000B0030000}"/>
    <cellStyle name="40% - Accent6 20 2" xfId="41746" xr:uid="{00000000-0005-0000-0000-0000B1030000}"/>
    <cellStyle name="40% - Accent6 20 2 2" xfId="41747" xr:uid="{00000000-0005-0000-0000-0000B2030000}"/>
    <cellStyle name="40% - Accent6 20 2 3" xfId="41748" xr:uid="{00000000-0005-0000-0000-0000B3030000}"/>
    <cellStyle name="40% - Accent6 20 3" xfId="41749" xr:uid="{00000000-0005-0000-0000-0000B4030000}"/>
    <cellStyle name="40% - Accent6 20 3 2" xfId="41750" xr:uid="{00000000-0005-0000-0000-0000B5030000}"/>
    <cellStyle name="40% - Accent6 20 3 3" xfId="41751" xr:uid="{00000000-0005-0000-0000-0000B6030000}"/>
    <cellStyle name="40% - Accent6 20 4" xfId="41752" xr:uid="{00000000-0005-0000-0000-0000B7030000}"/>
    <cellStyle name="40% - Accent6 20 5" xfId="41753" xr:uid="{00000000-0005-0000-0000-0000B8030000}"/>
    <cellStyle name="40% - Accent6 21" xfId="41754" xr:uid="{00000000-0005-0000-0000-0000B9030000}"/>
    <cellStyle name="40% - Accent6 21 2" xfId="41755" xr:uid="{00000000-0005-0000-0000-0000BA030000}"/>
    <cellStyle name="40% - Accent6 21 2 2" xfId="41756" xr:uid="{00000000-0005-0000-0000-0000BB030000}"/>
    <cellStyle name="40% - Accent6 21 2 3" xfId="41757" xr:uid="{00000000-0005-0000-0000-0000BC030000}"/>
    <cellStyle name="40% - Accent6 21 3" xfId="41758" xr:uid="{00000000-0005-0000-0000-0000BD030000}"/>
    <cellStyle name="40% - Accent6 21 3 2" xfId="41759" xr:uid="{00000000-0005-0000-0000-0000BE030000}"/>
    <cellStyle name="40% - Accent6 21 3 3" xfId="41760" xr:uid="{00000000-0005-0000-0000-0000BF030000}"/>
    <cellStyle name="40% - Accent6 21 4" xfId="41761" xr:uid="{00000000-0005-0000-0000-0000C0030000}"/>
    <cellStyle name="40% - Accent6 21 5" xfId="41762" xr:uid="{00000000-0005-0000-0000-0000C1030000}"/>
    <cellStyle name="40% - Accent6 22" xfId="41763" xr:uid="{00000000-0005-0000-0000-0000C2030000}"/>
    <cellStyle name="40% - Accent6 23" xfId="41764" xr:uid="{00000000-0005-0000-0000-0000C3030000}"/>
    <cellStyle name="40% - Accent6 23 2" xfId="41765" xr:uid="{00000000-0005-0000-0000-0000C4030000}"/>
    <cellStyle name="40% - Accent6 23 2 2" xfId="41766" xr:uid="{00000000-0005-0000-0000-0000C5030000}"/>
    <cellStyle name="40% - Accent6 23 2 3" xfId="41767" xr:uid="{00000000-0005-0000-0000-0000C6030000}"/>
    <cellStyle name="40% - Accent6 23 3" xfId="41768" xr:uid="{00000000-0005-0000-0000-0000C7030000}"/>
    <cellStyle name="40% - Accent6 23 3 2" xfId="41769" xr:uid="{00000000-0005-0000-0000-0000C8030000}"/>
    <cellStyle name="40% - Accent6 23 3 3" xfId="41770" xr:uid="{00000000-0005-0000-0000-0000C9030000}"/>
    <cellStyle name="40% - Accent6 23 4" xfId="41771" xr:uid="{00000000-0005-0000-0000-0000CA030000}"/>
    <cellStyle name="40% - Accent6 23 5" xfId="41772" xr:uid="{00000000-0005-0000-0000-0000CB030000}"/>
    <cellStyle name="40% - Accent6 24" xfId="41773" xr:uid="{00000000-0005-0000-0000-0000CC030000}"/>
    <cellStyle name="40% - Accent6 25" xfId="41774" xr:uid="{00000000-0005-0000-0000-0000CD030000}"/>
    <cellStyle name="40% - Accent6 26" xfId="41775" xr:uid="{00000000-0005-0000-0000-0000CE030000}"/>
    <cellStyle name="40% - Accent6 3" xfId="41776" xr:uid="{00000000-0005-0000-0000-0000CF030000}"/>
    <cellStyle name="40% - Accent6 4" xfId="41777" xr:uid="{00000000-0005-0000-0000-0000D0030000}"/>
    <cellStyle name="40% - Accent6 5" xfId="41778" xr:uid="{00000000-0005-0000-0000-0000D1030000}"/>
    <cellStyle name="40% - Accent6 6" xfId="41779" xr:uid="{00000000-0005-0000-0000-0000D2030000}"/>
    <cellStyle name="40% - Accent6 7" xfId="41780" xr:uid="{00000000-0005-0000-0000-0000D3030000}"/>
    <cellStyle name="40% - Accent6 8" xfId="41781" xr:uid="{00000000-0005-0000-0000-0000D4030000}"/>
    <cellStyle name="40% - Accent6 9" xfId="41782" xr:uid="{00000000-0005-0000-0000-0000D5030000}"/>
    <cellStyle name="60% - Accent1 10" xfId="41783" xr:uid="{00000000-0005-0000-0000-0000D6030000}"/>
    <cellStyle name="60% - Accent1 11" xfId="41784" xr:uid="{00000000-0005-0000-0000-0000D7030000}"/>
    <cellStyle name="60% - Accent1 12" xfId="41785" xr:uid="{00000000-0005-0000-0000-0000D8030000}"/>
    <cellStyle name="60% - Accent1 13" xfId="41786" xr:uid="{00000000-0005-0000-0000-0000D9030000}"/>
    <cellStyle name="60% - Accent1 14" xfId="41787" xr:uid="{00000000-0005-0000-0000-0000DA030000}"/>
    <cellStyle name="60% - Accent1 15" xfId="41788" xr:uid="{00000000-0005-0000-0000-0000DB030000}"/>
    <cellStyle name="60% - Accent1 16" xfId="41789" xr:uid="{00000000-0005-0000-0000-0000DC030000}"/>
    <cellStyle name="60% - Accent1 17" xfId="41790" xr:uid="{00000000-0005-0000-0000-0000DD030000}"/>
    <cellStyle name="60% - Accent1 18" xfId="41791" xr:uid="{00000000-0005-0000-0000-0000DE030000}"/>
    <cellStyle name="60% - Accent1 19" xfId="41792" xr:uid="{00000000-0005-0000-0000-0000DF030000}"/>
    <cellStyle name="60% - Accent1 2" xfId="34" xr:uid="{00000000-0005-0000-0000-0000E0030000}"/>
    <cellStyle name="60% - Accent1 2 2" xfId="41793" xr:uid="{00000000-0005-0000-0000-0000E1030000}"/>
    <cellStyle name="60% - Accent1 20" xfId="41794" xr:uid="{00000000-0005-0000-0000-0000E2030000}"/>
    <cellStyle name="60% - Accent1 21" xfId="41795" xr:uid="{00000000-0005-0000-0000-0000E3030000}"/>
    <cellStyle name="60% - Accent1 22" xfId="41796" xr:uid="{00000000-0005-0000-0000-0000E4030000}"/>
    <cellStyle name="60% - Accent1 23" xfId="41797" xr:uid="{00000000-0005-0000-0000-0000E5030000}"/>
    <cellStyle name="60% - Accent1 3" xfId="41798" xr:uid="{00000000-0005-0000-0000-0000E6030000}"/>
    <cellStyle name="60% - Accent1 4" xfId="41799" xr:uid="{00000000-0005-0000-0000-0000E7030000}"/>
    <cellStyle name="60% - Accent1 5" xfId="41800" xr:uid="{00000000-0005-0000-0000-0000E8030000}"/>
    <cellStyle name="60% - Accent1 6" xfId="41801" xr:uid="{00000000-0005-0000-0000-0000E9030000}"/>
    <cellStyle name="60% - Accent1 7" xfId="41802" xr:uid="{00000000-0005-0000-0000-0000EA030000}"/>
    <cellStyle name="60% - Accent1 8" xfId="41803" xr:uid="{00000000-0005-0000-0000-0000EB030000}"/>
    <cellStyle name="60% - Accent1 9" xfId="41804" xr:uid="{00000000-0005-0000-0000-0000EC030000}"/>
    <cellStyle name="60% - Accent2 10" xfId="41805" xr:uid="{00000000-0005-0000-0000-0000ED030000}"/>
    <cellStyle name="60% - Accent2 11" xfId="41806" xr:uid="{00000000-0005-0000-0000-0000EE030000}"/>
    <cellStyle name="60% - Accent2 12" xfId="41807" xr:uid="{00000000-0005-0000-0000-0000EF030000}"/>
    <cellStyle name="60% - Accent2 13" xfId="41808" xr:uid="{00000000-0005-0000-0000-0000F0030000}"/>
    <cellStyle name="60% - Accent2 14" xfId="41809" xr:uid="{00000000-0005-0000-0000-0000F1030000}"/>
    <cellStyle name="60% - Accent2 15" xfId="41810" xr:uid="{00000000-0005-0000-0000-0000F2030000}"/>
    <cellStyle name="60% - Accent2 16" xfId="41811" xr:uid="{00000000-0005-0000-0000-0000F3030000}"/>
    <cellStyle name="60% - Accent2 17" xfId="41812" xr:uid="{00000000-0005-0000-0000-0000F4030000}"/>
    <cellStyle name="60% - Accent2 18" xfId="41813" xr:uid="{00000000-0005-0000-0000-0000F5030000}"/>
    <cellStyle name="60% - Accent2 19" xfId="41814" xr:uid="{00000000-0005-0000-0000-0000F6030000}"/>
    <cellStyle name="60% - Accent2 2" xfId="35" xr:uid="{00000000-0005-0000-0000-0000F7030000}"/>
    <cellStyle name="60% - Accent2 2 2" xfId="41815" xr:uid="{00000000-0005-0000-0000-0000F8030000}"/>
    <cellStyle name="60% - Accent2 20" xfId="41816" xr:uid="{00000000-0005-0000-0000-0000F9030000}"/>
    <cellStyle name="60% - Accent2 21" xfId="41817" xr:uid="{00000000-0005-0000-0000-0000FA030000}"/>
    <cellStyle name="60% - Accent2 22" xfId="41818" xr:uid="{00000000-0005-0000-0000-0000FB030000}"/>
    <cellStyle name="60% - Accent2 23" xfId="41819" xr:uid="{00000000-0005-0000-0000-0000FC030000}"/>
    <cellStyle name="60% - Accent2 3" xfId="41820" xr:uid="{00000000-0005-0000-0000-0000FD030000}"/>
    <cellStyle name="60% - Accent2 4" xfId="41821" xr:uid="{00000000-0005-0000-0000-0000FE030000}"/>
    <cellStyle name="60% - Accent2 5" xfId="41822" xr:uid="{00000000-0005-0000-0000-0000FF030000}"/>
    <cellStyle name="60% - Accent2 6" xfId="41823" xr:uid="{00000000-0005-0000-0000-000000040000}"/>
    <cellStyle name="60% - Accent2 7" xfId="41824" xr:uid="{00000000-0005-0000-0000-000001040000}"/>
    <cellStyle name="60% - Accent2 8" xfId="41825" xr:uid="{00000000-0005-0000-0000-000002040000}"/>
    <cellStyle name="60% - Accent2 9" xfId="41826" xr:uid="{00000000-0005-0000-0000-000003040000}"/>
    <cellStyle name="60% - Accent3 10" xfId="41827" xr:uid="{00000000-0005-0000-0000-000004040000}"/>
    <cellStyle name="60% - Accent3 11" xfId="41828" xr:uid="{00000000-0005-0000-0000-000005040000}"/>
    <cellStyle name="60% - Accent3 12" xfId="41829" xr:uid="{00000000-0005-0000-0000-000006040000}"/>
    <cellStyle name="60% - Accent3 13" xfId="41830" xr:uid="{00000000-0005-0000-0000-000007040000}"/>
    <cellStyle name="60% - Accent3 14" xfId="41831" xr:uid="{00000000-0005-0000-0000-000008040000}"/>
    <cellStyle name="60% - Accent3 15" xfId="41832" xr:uid="{00000000-0005-0000-0000-000009040000}"/>
    <cellStyle name="60% - Accent3 16" xfId="41833" xr:uid="{00000000-0005-0000-0000-00000A040000}"/>
    <cellStyle name="60% - Accent3 17" xfId="41834" xr:uid="{00000000-0005-0000-0000-00000B040000}"/>
    <cellStyle name="60% - Accent3 18" xfId="41835" xr:uid="{00000000-0005-0000-0000-00000C040000}"/>
    <cellStyle name="60% - Accent3 19" xfId="41836" xr:uid="{00000000-0005-0000-0000-00000D040000}"/>
    <cellStyle name="60% - Accent3 2" xfId="36" xr:uid="{00000000-0005-0000-0000-00000E040000}"/>
    <cellStyle name="60% - Accent3 2 2" xfId="41837" xr:uid="{00000000-0005-0000-0000-00000F040000}"/>
    <cellStyle name="60% - Accent3 20" xfId="41838" xr:uid="{00000000-0005-0000-0000-000010040000}"/>
    <cellStyle name="60% - Accent3 21" xfId="41839" xr:uid="{00000000-0005-0000-0000-000011040000}"/>
    <cellStyle name="60% - Accent3 22" xfId="41840" xr:uid="{00000000-0005-0000-0000-000012040000}"/>
    <cellStyle name="60% - Accent3 23" xfId="41841" xr:uid="{00000000-0005-0000-0000-000013040000}"/>
    <cellStyle name="60% - Accent3 3" xfId="41842" xr:uid="{00000000-0005-0000-0000-000014040000}"/>
    <cellStyle name="60% - Accent3 4" xfId="41843" xr:uid="{00000000-0005-0000-0000-000015040000}"/>
    <cellStyle name="60% - Accent3 5" xfId="41844" xr:uid="{00000000-0005-0000-0000-000016040000}"/>
    <cellStyle name="60% - Accent3 6" xfId="41845" xr:uid="{00000000-0005-0000-0000-000017040000}"/>
    <cellStyle name="60% - Accent3 7" xfId="41846" xr:uid="{00000000-0005-0000-0000-000018040000}"/>
    <cellStyle name="60% - Accent3 8" xfId="41847" xr:uid="{00000000-0005-0000-0000-000019040000}"/>
    <cellStyle name="60% - Accent3 9" xfId="41848" xr:uid="{00000000-0005-0000-0000-00001A040000}"/>
    <cellStyle name="60% - Accent4 10" xfId="41849" xr:uid="{00000000-0005-0000-0000-00001B040000}"/>
    <cellStyle name="60% - Accent4 11" xfId="41850" xr:uid="{00000000-0005-0000-0000-00001C040000}"/>
    <cellStyle name="60% - Accent4 12" xfId="41851" xr:uid="{00000000-0005-0000-0000-00001D040000}"/>
    <cellStyle name="60% - Accent4 13" xfId="41852" xr:uid="{00000000-0005-0000-0000-00001E040000}"/>
    <cellStyle name="60% - Accent4 14" xfId="41853" xr:uid="{00000000-0005-0000-0000-00001F040000}"/>
    <cellStyle name="60% - Accent4 15" xfId="41854" xr:uid="{00000000-0005-0000-0000-000020040000}"/>
    <cellStyle name="60% - Accent4 16" xfId="41855" xr:uid="{00000000-0005-0000-0000-000021040000}"/>
    <cellStyle name="60% - Accent4 17" xfId="41856" xr:uid="{00000000-0005-0000-0000-000022040000}"/>
    <cellStyle name="60% - Accent4 18" xfId="41857" xr:uid="{00000000-0005-0000-0000-000023040000}"/>
    <cellStyle name="60% - Accent4 19" xfId="41858" xr:uid="{00000000-0005-0000-0000-000024040000}"/>
    <cellStyle name="60% - Accent4 2" xfId="37" xr:uid="{00000000-0005-0000-0000-000025040000}"/>
    <cellStyle name="60% - Accent4 2 2" xfId="41859" xr:uid="{00000000-0005-0000-0000-000026040000}"/>
    <cellStyle name="60% - Accent4 20" xfId="41860" xr:uid="{00000000-0005-0000-0000-000027040000}"/>
    <cellStyle name="60% - Accent4 21" xfId="41861" xr:uid="{00000000-0005-0000-0000-000028040000}"/>
    <cellStyle name="60% - Accent4 22" xfId="41862" xr:uid="{00000000-0005-0000-0000-000029040000}"/>
    <cellStyle name="60% - Accent4 23" xfId="41863" xr:uid="{00000000-0005-0000-0000-00002A040000}"/>
    <cellStyle name="60% - Accent4 3" xfId="41864" xr:uid="{00000000-0005-0000-0000-00002B040000}"/>
    <cellStyle name="60% - Accent4 4" xfId="41865" xr:uid="{00000000-0005-0000-0000-00002C040000}"/>
    <cellStyle name="60% - Accent4 5" xfId="41866" xr:uid="{00000000-0005-0000-0000-00002D040000}"/>
    <cellStyle name="60% - Accent4 6" xfId="41867" xr:uid="{00000000-0005-0000-0000-00002E040000}"/>
    <cellStyle name="60% - Accent4 7" xfId="41868" xr:uid="{00000000-0005-0000-0000-00002F040000}"/>
    <cellStyle name="60% - Accent4 8" xfId="41869" xr:uid="{00000000-0005-0000-0000-000030040000}"/>
    <cellStyle name="60% - Accent4 9" xfId="41870" xr:uid="{00000000-0005-0000-0000-000031040000}"/>
    <cellStyle name="60% - Accent5 10" xfId="41871" xr:uid="{00000000-0005-0000-0000-000032040000}"/>
    <cellStyle name="60% - Accent5 11" xfId="41872" xr:uid="{00000000-0005-0000-0000-000033040000}"/>
    <cellStyle name="60% - Accent5 12" xfId="41873" xr:uid="{00000000-0005-0000-0000-000034040000}"/>
    <cellStyle name="60% - Accent5 13" xfId="41874" xr:uid="{00000000-0005-0000-0000-000035040000}"/>
    <cellStyle name="60% - Accent5 14" xfId="41875" xr:uid="{00000000-0005-0000-0000-000036040000}"/>
    <cellStyle name="60% - Accent5 15" xfId="41876" xr:uid="{00000000-0005-0000-0000-000037040000}"/>
    <cellStyle name="60% - Accent5 16" xfId="41877" xr:uid="{00000000-0005-0000-0000-000038040000}"/>
    <cellStyle name="60% - Accent5 17" xfId="41878" xr:uid="{00000000-0005-0000-0000-000039040000}"/>
    <cellStyle name="60% - Accent5 18" xfId="41879" xr:uid="{00000000-0005-0000-0000-00003A040000}"/>
    <cellStyle name="60% - Accent5 19" xfId="41880" xr:uid="{00000000-0005-0000-0000-00003B040000}"/>
    <cellStyle name="60% - Accent5 2" xfId="38" xr:uid="{00000000-0005-0000-0000-00003C040000}"/>
    <cellStyle name="60% - Accent5 2 2" xfId="41881" xr:uid="{00000000-0005-0000-0000-00003D040000}"/>
    <cellStyle name="60% - Accent5 20" xfId="41882" xr:uid="{00000000-0005-0000-0000-00003E040000}"/>
    <cellStyle name="60% - Accent5 21" xfId="41883" xr:uid="{00000000-0005-0000-0000-00003F040000}"/>
    <cellStyle name="60% - Accent5 22" xfId="41884" xr:uid="{00000000-0005-0000-0000-000040040000}"/>
    <cellStyle name="60% - Accent5 23" xfId="41885" xr:uid="{00000000-0005-0000-0000-000041040000}"/>
    <cellStyle name="60% - Accent5 3" xfId="41886" xr:uid="{00000000-0005-0000-0000-000042040000}"/>
    <cellStyle name="60% - Accent5 4" xfId="41887" xr:uid="{00000000-0005-0000-0000-000043040000}"/>
    <cellStyle name="60% - Accent5 5" xfId="41888" xr:uid="{00000000-0005-0000-0000-000044040000}"/>
    <cellStyle name="60% - Accent5 6" xfId="41889" xr:uid="{00000000-0005-0000-0000-000045040000}"/>
    <cellStyle name="60% - Accent5 7" xfId="41890" xr:uid="{00000000-0005-0000-0000-000046040000}"/>
    <cellStyle name="60% - Accent5 8" xfId="41891" xr:uid="{00000000-0005-0000-0000-000047040000}"/>
    <cellStyle name="60% - Accent5 9" xfId="41892" xr:uid="{00000000-0005-0000-0000-000048040000}"/>
    <cellStyle name="60% - Accent6 10" xfId="41893" xr:uid="{00000000-0005-0000-0000-000049040000}"/>
    <cellStyle name="60% - Accent6 11" xfId="41894" xr:uid="{00000000-0005-0000-0000-00004A040000}"/>
    <cellStyle name="60% - Accent6 12" xfId="41895" xr:uid="{00000000-0005-0000-0000-00004B040000}"/>
    <cellStyle name="60% - Accent6 13" xfId="41896" xr:uid="{00000000-0005-0000-0000-00004C040000}"/>
    <cellStyle name="60% - Accent6 14" xfId="41897" xr:uid="{00000000-0005-0000-0000-00004D040000}"/>
    <cellStyle name="60% - Accent6 15" xfId="41898" xr:uid="{00000000-0005-0000-0000-00004E040000}"/>
    <cellStyle name="60% - Accent6 16" xfId="41899" xr:uid="{00000000-0005-0000-0000-00004F040000}"/>
    <cellStyle name="60% - Accent6 17" xfId="41900" xr:uid="{00000000-0005-0000-0000-000050040000}"/>
    <cellStyle name="60% - Accent6 18" xfId="41901" xr:uid="{00000000-0005-0000-0000-000051040000}"/>
    <cellStyle name="60% - Accent6 19" xfId="41902" xr:uid="{00000000-0005-0000-0000-000052040000}"/>
    <cellStyle name="60% - Accent6 2" xfId="39" xr:uid="{00000000-0005-0000-0000-000053040000}"/>
    <cellStyle name="60% - Accent6 2 2" xfId="41903" xr:uid="{00000000-0005-0000-0000-000054040000}"/>
    <cellStyle name="60% - Accent6 20" xfId="41904" xr:uid="{00000000-0005-0000-0000-000055040000}"/>
    <cellStyle name="60% - Accent6 21" xfId="41905" xr:uid="{00000000-0005-0000-0000-000056040000}"/>
    <cellStyle name="60% - Accent6 22" xfId="41906" xr:uid="{00000000-0005-0000-0000-000057040000}"/>
    <cellStyle name="60% - Accent6 23" xfId="41907" xr:uid="{00000000-0005-0000-0000-000058040000}"/>
    <cellStyle name="60% - Accent6 3" xfId="41908" xr:uid="{00000000-0005-0000-0000-000059040000}"/>
    <cellStyle name="60% - Accent6 4" xfId="41909" xr:uid="{00000000-0005-0000-0000-00005A040000}"/>
    <cellStyle name="60% - Accent6 5" xfId="41910" xr:uid="{00000000-0005-0000-0000-00005B040000}"/>
    <cellStyle name="60% - Accent6 6" xfId="41911" xr:uid="{00000000-0005-0000-0000-00005C040000}"/>
    <cellStyle name="60% - Accent6 7" xfId="41912" xr:uid="{00000000-0005-0000-0000-00005D040000}"/>
    <cellStyle name="60% - Accent6 8" xfId="41913" xr:uid="{00000000-0005-0000-0000-00005E040000}"/>
    <cellStyle name="60% - Accent6 9" xfId="41914" xr:uid="{00000000-0005-0000-0000-00005F040000}"/>
    <cellStyle name="Accent1" xfId="5" builtinId="29"/>
    <cellStyle name="Accent1 - 20%" xfId="127" xr:uid="{00000000-0005-0000-0000-000061040000}"/>
    <cellStyle name="Accent1 - 20% 10" xfId="41915" xr:uid="{00000000-0005-0000-0000-000062040000}"/>
    <cellStyle name="Accent1 - 20% 11" xfId="41916" xr:uid="{00000000-0005-0000-0000-000063040000}"/>
    <cellStyle name="Accent1 - 20% 12" xfId="41917" xr:uid="{00000000-0005-0000-0000-000064040000}"/>
    <cellStyle name="Accent1 - 20% 13" xfId="41918" xr:uid="{00000000-0005-0000-0000-000065040000}"/>
    <cellStyle name="Accent1 - 20% 14" xfId="41919" xr:uid="{00000000-0005-0000-0000-000066040000}"/>
    <cellStyle name="Accent1 - 20% 2" xfId="41920" xr:uid="{00000000-0005-0000-0000-000067040000}"/>
    <cellStyle name="Accent1 - 20% 3" xfId="41921" xr:uid="{00000000-0005-0000-0000-000068040000}"/>
    <cellStyle name="Accent1 - 20% 4" xfId="41922" xr:uid="{00000000-0005-0000-0000-000069040000}"/>
    <cellStyle name="Accent1 - 20% 5" xfId="41923" xr:uid="{00000000-0005-0000-0000-00006A040000}"/>
    <cellStyle name="Accent1 - 20% 6" xfId="41924" xr:uid="{00000000-0005-0000-0000-00006B040000}"/>
    <cellStyle name="Accent1 - 20% 7" xfId="41925" xr:uid="{00000000-0005-0000-0000-00006C040000}"/>
    <cellStyle name="Accent1 - 20% 8" xfId="41926" xr:uid="{00000000-0005-0000-0000-00006D040000}"/>
    <cellStyle name="Accent1 - 20% 9" xfId="41927" xr:uid="{00000000-0005-0000-0000-00006E040000}"/>
    <cellStyle name="Accent1 - 40%" xfId="128" xr:uid="{00000000-0005-0000-0000-00006F040000}"/>
    <cellStyle name="Accent1 - 40% 10" xfId="41928" xr:uid="{00000000-0005-0000-0000-000070040000}"/>
    <cellStyle name="Accent1 - 40% 11" xfId="41929" xr:uid="{00000000-0005-0000-0000-000071040000}"/>
    <cellStyle name="Accent1 - 40% 12" xfId="41930" xr:uid="{00000000-0005-0000-0000-000072040000}"/>
    <cellStyle name="Accent1 - 40% 13" xfId="41931" xr:uid="{00000000-0005-0000-0000-000073040000}"/>
    <cellStyle name="Accent1 - 40% 14" xfId="41932" xr:uid="{00000000-0005-0000-0000-000074040000}"/>
    <cellStyle name="Accent1 - 40% 2" xfId="41933" xr:uid="{00000000-0005-0000-0000-000075040000}"/>
    <cellStyle name="Accent1 - 40% 3" xfId="41934" xr:uid="{00000000-0005-0000-0000-000076040000}"/>
    <cellStyle name="Accent1 - 40% 4" xfId="41935" xr:uid="{00000000-0005-0000-0000-000077040000}"/>
    <cellStyle name="Accent1 - 40% 5" xfId="41936" xr:uid="{00000000-0005-0000-0000-000078040000}"/>
    <cellStyle name="Accent1 - 40% 6" xfId="41937" xr:uid="{00000000-0005-0000-0000-000079040000}"/>
    <cellStyle name="Accent1 - 40% 7" xfId="41938" xr:uid="{00000000-0005-0000-0000-00007A040000}"/>
    <cellStyle name="Accent1 - 40% 8" xfId="41939" xr:uid="{00000000-0005-0000-0000-00007B040000}"/>
    <cellStyle name="Accent1 - 40% 9" xfId="41940" xr:uid="{00000000-0005-0000-0000-00007C040000}"/>
    <cellStyle name="Accent1 - 60%" xfId="129" xr:uid="{00000000-0005-0000-0000-00007D040000}"/>
    <cellStyle name="Accent1 - 60% 10" xfId="41941" xr:uid="{00000000-0005-0000-0000-00007E040000}"/>
    <cellStyle name="Accent1 - 60% 11" xfId="41942" xr:uid="{00000000-0005-0000-0000-00007F040000}"/>
    <cellStyle name="Accent1 - 60% 12" xfId="41943" xr:uid="{00000000-0005-0000-0000-000080040000}"/>
    <cellStyle name="Accent1 - 60% 13" xfId="41944" xr:uid="{00000000-0005-0000-0000-000081040000}"/>
    <cellStyle name="Accent1 - 60% 14" xfId="41945" xr:uid="{00000000-0005-0000-0000-000082040000}"/>
    <cellStyle name="Accent1 - 60% 2" xfId="41946" xr:uid="{00000000-0005-0000-0000-000083040000}"/>
    <cellStyle name="Accent1 - 60% 3" xfId="41947" xr:uid="{00000000-0005-0000-0000-000084040000}"/>
    <cellStyle name="Accent1 - 60% 4" xfId="41948" xr:uid="{00000000-0005-0000-0000-000085040000}"/>
    <cellStyle name="Accent1 - 60% 5" xfId="41949" xr:uid="{00000000-0005-0000-0000-000086040000}"/>
    <cellStyle name="Accent1 - 60% 6" xfId="41950" xr:uid="{00000000-0005-0000-0000-000087040000}"/>
    <cellStyle name="Accent1 - 60% 7" xfId="41951" xr:uid="{00000000-0005-0000-0000-000088040000}"/>
    <cellStyle name="Accent1 - 60% 8" xfId="41952" xr:uid="{00000000-0005-0000-0000-000089040000}"/>
    <cellStyle name="Accent1 - 60% 9" xfId="41953" xr:uid="{00000000-0005-0000-0000-00008A040000}"/>
    <cellStyle name="Accent1 10" xfId="41954" xr:uid="{00000000-0005-0000-0000-00008B040000}"/>
    <cellStyle name="Accent1 11" xfId="41955" xr:uid="{00000000-0005-0000-0000-00008C040000}"/>
    <cellStyle name="Accent1 12" xfId="41956" xr:uid="{00000000-0005-0000-0000-00008D040000}"/>
    <cellStyle name="Accent1 13" xfId="41957" xr:uid="{00000000-0005-0000-0000-00008E040000}"/>
    <cellStyle name="Accent1 14" xfId="41958" xr:uid="{00000000-0005-0000-0000-00008F040000}"/>
    <cellStyle name="Accent1 15" xfId="41959" xr:uid="{00000000-0005-0000-0000-000090040000}"/>
    <cellStyle name="Accent1 16" xfId="41960" xr:uid="{00000000-0005-0000-0000-000091040000}"/>
    <cellStyle name="Accent1 17" xfId="41961" xr:uid="{00000000-0005-0000-0000-000092040000}"/>
    <cellStyle name="Accent1 18" xfId="41962" xr:uid="{00000000-0005-0000-0000-000093040000}"/>
    <cellStyle name="Accent1 19" xfId="41963" xr:uid="{00000000-0005-0000-0000-000094040000}"/>
    <cellStyle name="Accent1 2" xfId="40" xr:uid="{00000000-0005-0000-0000-000095040000}"/>
    <cellStyle name="Accent1 2 2" xfId="41964" xr:uid="{00000000-0005-0000-0000-000096040000}"/>
    <cellStyle name="Accent1 20" xfId="41965" xr:uid="{00000000-0005-0000-0000-000097040000}"/>
    <cellStyle name="Accent1 21" xfId="41966" xr:uid="{00000000-0005-0000-0000-000098040000}"/>
    <cellStyle name="Accent1 22" xfId="41967" xr:uid="{00000000-0005-0000-0000-000099040000}"/>
    <cellStyle name="Accent1 23" xfId="41968" xr:uid="{00000000-0005-0000-0000-00009A040000}"/>
    <cellStyle name="Accent1 24" xfId="41969" xr:uid="{00000000-0005-0000-0000-00009B040000}"/>
    <cellStyle name="Accent1 25" xfId="41970" xr:uid="{00000000-0005-0000-0000-00009C040000}"/>
    <cellStyle name="Accent1 26" xfId="41971" xr:uid="{00000000-0005-0000-0000-00009D040000}"/>
    <cellStyle name="Accent1 27" xfId="41972" xr:uid="{00000000-0005-0000-0000-00009E040000}"/>
    <cellStyle name="Accent1 28" xfId="41973" xr:uid="{00000000-0005-0000-0000-00009F040000}"/>
    <cellStyle name="Accent1 29" xfId="41974" xr:uid="{00000000-0005-0000-0000-0000A0040000}"/>
    <cellStyle name="Accent1 3" xfId="41975" xr:uid="{00000000-0005-0000-0000-0000A1040000}"/>
    <cellStyle name="Accent1 3 2" xfId="41976" xr:uid="{00000000-0005-0000-0000-0000A2040000}"/>
    <cellStyle name="Accent1 30" xfId="41977" xr:uid="{00000000-0005-0000-0000-0000A3040000}"/>
    <cellStyle name="Accent1 4" xfId="41978" xr:uid="{00000000-0005-0000-0000-0000A4040000}"/>
    <cellStyle name="Accent1 4 2" xfId="41979" xr:uid="{00000000-0005-0000-0000-0000A5040000}"/>
    <cellStyle name="Accent1 5" xfId="41980" xr:uid="{00000000-0005-0000-0000-0000A6040000}"/>
    <cellStyle name="Accent1 6" xfId="41981" xr:uid="{00000000-0005-0000-0000-0000A7040000}"/>
    <cellStyle name="Accent1 7" xfId="41982" xr:uid="{00000000-0005-0000-0000-0000A8040000}"/>
    <cellStyle name="Accent1 8" xfId="41983" xr:uid="{00000000-0005-0000-0000-0000A9040000}"/>
    <cellStyle name="Accent1 9" xfId="41984" xr:uid="{00000000-0005-0000-0000-0000AA040000}"/>
    <cellStyle name="Accent2 - 20%" xfId="130" xr:uid="{00000000-0005-0000-0000-0000AB040000}"/>
    <cellStyle name="Accent2 - 20% 10" xfId="41985" xr:uid="{00000000-0005-0000-0000-0000AC040000}"/>
    <cellStyle name="Accent2 - 20% 11" xfId="41986" xr:uid="{00000000-0005-0000-0000-0000AD040000}"/>
    <cellStyle name="Accent2 - 20% 12" xfId="41987" xr:uid="{00000000-0005-0000-0000-0000AE040000}"/>
    <cellStyle name="Accent2 - 20% 13" xfId="41988" xr:uid="{00000000-0005-0000-0000-0000AF040000}"/>
    <cellStyle name="Accent2 - 20% 14" xfId="41989" xr:uid="{00000000-0005-0000-0000-0000B0040000}"/>
    <cellStyle name="Accent2 - 20% 2" xfId="41990" xr:uid="{00000000-0005-0000-0000-0000B1040000}"/>
    <cellStyle name="Accent2 - 20% 3" xfId="41991" xr:uid="{00000000-0005-0000-0000-0000B2040000}"/>
    <cellStyle name="Accent2 - 20% 4" xfId="41992" xr:uid="{00000000-0005-0000-0000-0000B3040000}"/>
    <cellStyle name="Accent2 - 20% 5" xfId="41993" xr:uid="{00000000-0005-0000-0000-0000B4040000}"/>
    <cellStyle name="Accent2 - 20% 6" xfId="41994" xr:uid="{00000000-0005-0000-0000-0000B5040000}"/>
    <cellStyle name="Accent2 - 20% 7" xfId="41995" xr:uid="{00000000-0005-0000-0000-0000B6040000}"/>
    <cellStyle name="Accent2 - 20% 8" xfId="41996" xr:uid="{00000000-0005-0000-0000-0000B7040000}"/>
    <cellStyle name="Accent2 - 20% 9" xfId="41997" xr:uid="{00000000-0005-0000-0000-0000B8040000}"/>
    <cellStyle name="Accent2 - 40%" xfId="131" xr:uid="{00000000-0005-0000-0000-0000B9040000}"/>
    <cellStyle name="Accent2 - 40% 10" xfId="41998" xr:uid="{00000000-0005-0000-0000-0000BA040000}"/>
    <cellStyle name="Accent2 - 40% 11" xfId="41999" xr:uid="{00000000-0005-0000-0000-0000BB040000}"/>
    <cellStyle name="Accent2 - 40% 12" xfId="42000" xr:uid="{00000000-0005-0000-0000-0000BC040000}"/>
    <cellStyle name="Accent2 - 40% 13" xfId="42001" xr:uid="{00000000-0005-0000-0000-0000BD040000}"/>
    <cellStyle name="Accent2 - 40% 14" xfId="42002" xr:uid="{00000000-0005-0000-0000-0000BE040000}"/>
    <cellStyle name="Accent2 - 40% 2" xfId="42003" xr:uid="{00000000-0005-0000-0000-0000BF040000}"/>
    <cellStyle name="Accent2 - 40% 3" xfId="42004" xr:uid="{00000000-0005-0000-0000-0000C0040000}"/>
    <cellStyle name="Accent2 - 40% 4" xfId="42005" xr:uid="{00000000-0005-0000-0000-0000C1040000}"/>
    <cellStyle name="Accent2 - 40% 5" xfId="42006" xr:uid="{00000000-0005-0000-0000-0000C2040000}"/>
    <cellStyle name="Accent2 - 40% 6" xfId="42007" xr:uid="{00000000-0005-0000-0000-0000C3040000}"/>
    <cellStyle name="Accent2 - 40% 7" xfId="42008" xr:uid="{00000000-0005-0000-0000-0000C4040000}"/>
    <cellStyle name="Accent2 - 40% 8" xfId="42009" xr:uid="{00000000-0005-0000-0000-0000C5040000}"/>
    <cellStyle name="Accent2 - 40% 9" xfId="42010" xr:uid="{00000000-0005-0000-0000-0000C6040000}"/>
    <cellStyle name="Accent2 - 60%" xfId="132" xr:uid="{00000000-0005-0000-0000-0000C7040000}"/>
    <cellStyle name="Accent2 - 60% 10" xfId="42011" xr:uid="{00000000-0005-0000-0000-0000C8040000}"/>
    <cellStyle name="Accent2 - 60% 11" xfId="42012" xr:uid="{00000000-0005-0000-0000-0000C9040000}"/>
    <cellStyle name="Accent2 - 60% 12" xfId="42013" xr:uid="{00000000-0005-0000-0000-0000CA040000}"/>
    <cellStyle name="Accent2 - 60% 13" xfId="42014" xr:uid="{00000000-0005-0000-0000-0000CB040000}"/>
    <cellStyle name="Accent2 - 60% 14" xfId="42015" xr:uid="{00000000-0005-0000-0000-0000CC040000}"/>
    <cellStyle name="Accent2 - 60% 2" xfId="42016" xr:uid="{00000000-0005-0000-0000-0000CD040000}"/>
    <cellStyle name="Accent2 - 60% 3" xfId="42017" xr:uid="{00000000-0005-0000-0000-0000CE040000}"/>
    <cellStyle name="Accent2 - 60% 4" xfId="42018" xr:uid="{00000000-0005-0000-0000-0000CF040000}"/>
    <cellStyle name="Accent2 - 60% 5" xfId="42019" xr:uid="{00000000-0005-0000-0000-0000D0040000}"/>
    <cellStyle name="Accent2 - 60% 6" xfId="42020" xr:uid="{00000000-0005-0000-0000-0000D1040000}"/>
    <cellStyle name="Accent2 - 60% 7" xfId="42021" xr:uid="{00000000-0005-0000-0000-0000D2040000}"/>
    <cellStyle name="Accent2 - 60% 8" xfId="42022" xr:uid="{00000000-0005-0000-0000-0000D3040000}"/>
    <cellStyle name="Accent2 - 60% 9" xfId="42023" xr:uid="{00000000-0005-0000-0000-0000D4040000}"/>
    <cellStyle name="Accent2 10" xfId="42024" xr:uid="{00000000-0005-0000-0000-0000D5040000}"/>
    <cellStyle name="Accent2 11" xfId="42025" xr:uid="{00000000-0005-0000-0000-0000D6040000}"/>
    <cellStyle name="Accent2 12" xfId="42026" xr:uid="{00000000-0005-0000-0000-0000D7040000}"/>
    <cellStyle name="Accent2 13" xfId="42027" xr:uid="{00000000-0005-0000-0000-0000D8040000}"/>
    <cellStyle name="Accent2 14" xfId="42028" xr:uid="{00000000-0005-0000-0000-0000D9040000}"/>
    <cellStyle name="Accent2 15" xfId="42029" xr:uid="{00000000-0005-0000-0000-0000DA040000}"/>
    <cellStyle name="Accent2 16" xfId="42030" xr:uid="{00000000-0005-0000-0000-0000DB040000}"/>
    <cellStyle name="Accent2 17" xfId="42031" xr:uid="{00000000-0005-0000-0000-0000DC040000}"/>
    <cellStyle name="Accent2 18" xfId="42032" xr:uid="{00000000-0005-0000-0000-0000DD040000}"/>
    <cellStyle name="Accent2 19" xfId="42033" xr:uid="{00000000-0005-0000-0000-0000DE040000}"/>
    <cellStyle name="Accent2 2" xfId="41" xr:uid="{00000000-0005-0000-0000-0000DF040000}"/>
    <cellStyle name="Accent2 2 2" xfId="42034" xr:uid="{00000000-0005-0000-0000-0000E0040000}"/>
    <cellStyle name="Accent2 20" xfId="42035" xr:uid="{00000000-0005-0000-0000-0000E1040000}"/>
    <cellStyle name="Accent2 21" xfId="42036" xr:uid="{00000000-0005-0000-0000-0000E2040000}"/>
    <cellStyle name="Accent2 22" xfId="42037" xr:uid="{00000000-0005-0000-0000-0000E3040000}"/>
    <cellStyle name="Accent2 23" xfId="42038" xr:uid="{00000000-0005-0000-0000-0000E4040000}"/>
    <cellStyle name="Accent2 24" xfId="42039" xr:uid="{00000000-0005-0000-0000-0000E5040000}"/>
    <cellStyle name="Accent2 25" xfId="42040" xr:uid="{00000000-0005-0000-0000-0000E6040000}"/>
    <cellStyle name="Accent2 26" xfId="42041" xr:uid="{00000000-0005-0000-0000-0000E7040000}"/>
    <cellStyle name="Accent2 27" xfId="42042" xr:uid="{00000000-0005-0000-0000-0000E8040000}"/>
    <cellStyle name="Accent2 28" xfId="42043" xr:uid="{00000000-0005-0000-0000-0000E9040000}"/>
    <cellStyle name="Accent2 29" xfId="42044" xr:uid="{00000000-0005-0000-0000-0000EA040000}"/>
    <cellStyle name="Accent2 3" xfId="42045" xr:uid="{00000000-0005-0000-0000-0000EB040000}"/>
    <cellStyle name="Accent2 3 2" xfId="42046" xr:uid="{00000000-0005-0000-0000-0000EC040000}"/>
    <cellStyle name="Accent2 30" xfId="42047" xr:uid="{00000000-0005-0000-0000-0000ED040000}"/>
    <cellStyle name="Accent2 4" xfId="42048" xr:uid="{00000000-0005-0000-0000-0000EE040000}"/>
    <cellStyle name="Accent2 4 2" xfId="42049" xr:uid="{00000000-0005-0000-0000-0000EF040000}"/>
    <cellStyle name="Accent2 5" xfId="42050" xr:uid="{00000000-0005-0000-0000-0000F0040000}"/>
    <cellStyle name="Accent2 6" xfId="42051" xr:uid="{00000000-0005-0000-0000-0000F1040000}"/>
    <cellStyle name="Accent2 7" xfId="42052" xr:uid="{00000000-0005-0000-0000-0000F2040000}"/>
    <cellStyle name="Accent2 8" xfId="42053" xr:uid="{00000000-0005-0000-0000-0000F3040000}"/>
    <cellStyle name="Accent2 9" xfId="42054" xr:uid="{00000000-0005-0000-0000-0000F4040000}"/>
    <cellStyle name="Accent3 - 20%" xfId="133" xr:uid="{00000000-0005-0000-0000-0000F5040000}"/>
    <cellStyle name="Accent3 - 20% 10" xfId="42055" xr:uid="{00000000-0005-0000-0000-0000F6040000}"/>
    <cellStyle name="Accent3 - 20% 11" xfId="42056" xr:uid="{00000000-0005-0000-0000-0000F7040000}"/>
    <cellStyle name="Accent3 - 20% 12" xfId="42057" xr:uid="{00000000-0005-0000-0000-0000F8040000}"/>
    <cellStyle name="Accent3 - 20% 13" xfId="42058" xr:uid="{00000000-0005-0000-0000-0000F9040000}"/>
    <cellStyle name="Accent3 - 20% 14" xfId="42059" xr:uid="{00000000-0005-0000-0000-0000FA040000}"/>
    <cellStyle name="Accent3 - 20% 2" xfId="42060" xr:uid="{00000000-0005-0000-0000-0000FB040000}"/>
    <cellStyle name="Accent3 - 20% 3" xfId="42061" xr:uid="{00000000-0005-0000-0000-0000FC040000}"/>
    <cellStyle name="Accent3 - 20% 4" xfId="42062" xr:uid="{00000000-0005-0000-0000-0000FD040000}"/>
    <cellStyle name="Accent3 - 20% 5" xfId="42063" xr:uid="{00000000-0005-0000-0000-0000FE040000}"/>
    <cellStyle name="Accent3 - 20% 6" xfId="42064" xr:uid="{00000000-0005-0000-0000-0000FF040000}"/>
    <cellStyle name="Accent3 - 20% 7" xfId="42065" xr:uid="{00000000-0005-0000-0000-000000050000}"/>
    <cellStyle name="Accent3 - 20% 8" xfId="42066" xr:uid="{00000000-0005-0000-0000-000001050000}"/>
    <cellStyle name="Accent3 - 20% 9" xfId="42067" xr:uid="{00000000-0005-0000-0000-000002050000}"/>
    <cellStyle name="Accent3 - 40%" xfId="134" xr:uid="{00000000-0005-0000-0000-000003050000}"/>
    <cellStyle name="Accent3 - 40% 10" xfId="42068" xr:uid="{00000000-0005-0000-0000-000004050000}"/>
    <cellStyle name="Accent3 - 40% 11" xfId="42069" xr:uid="{00000000-0005-0000-0000-000005050000}"/>
    <cellStyle name="Accent3 - 40% 12" xfId="42070" xr:uid="{00000000-0005-0000-0000-000006050000}"/>
    <cellStyle name="Accent3 - 40% 13" xfId="42071" xr:uid="{00000000-0005-0000-0000-000007050000}"/>
    <cellStyle name="Accent3 - 40% 14" xfId="42072" xr:uid="{00000000-0005-0000-0000-000008050000}"/>
    <cellStyle name="Accent3 - 40% 2" xfId="42073" xr:uid="{00000000-0005-0000-0000-000009050000}"/>
    <cellStyle name="Accent3 - 40% 3" xfId="42074" xr:uid="{00000000-0005-0000-0000-00000A050000}"/>
    <cellStyle name="Accent3 - 40% 4" xfId="42075" xr:uid="{00000000-0005-0000-0000-00000B050000}"/>
    <cellStyle name="Accent3 - 40% 5" xfId="42076" xr:uid="{00000000-0005-0000-0000-00000C050000}"/>
    <cellStyle name="Accent3 - 40% 6" xfId="42077" xr:uid="{00000000-0005-0000-0000-00000D050000}"/>
    <cellStyle name="Accent3 - 40% 7" xfId="42078" xr:uid="{00000000-0005-0000-0000-00000E050000}"/>
    <cellStyle name="Accent3 - 40% 8" xfId="42079" xr:uid="{00000000-0005-0000-0000-00000F050000}"/>
    <cellStyle name="Accent3 - 40% 9" xfId="42080" xr:uid="{00000000-0005-0000-0000-000010050000}"/>
    <cellStyle name="Accent3 - 60%" xfId="135" xr:uid="{00000000-0005-0000-0000-000011050000}"/>
    <cellStyle name="Accent3 - 60% 10" xfId="42081" xr:uid="{00000000-0005-0000-0000-000012050000}"/>
    <cellStyle name="Accent3 - 60% 11" xfId="42082" xr:uid="{00000000-0005-0000-0000-000013050000}"/>
    <cellStyle name="Accent3 - 60% 12" xfId="42083" xr:uid="{00000000-0005-0000-0000-000014050000}"/>
    <cellStyle name="Accent3 - 60% 13" xfId="42084" xr:uid="{00000000-0005-0000-0000-000015050000}"/>
    <cellStyle name="Accent3 - 60% 14" xfId="42085" xr:uid="{00000000-0005-0000-0000-000016050000}"/>
    <cellStyle name="Accent3 - 60% 2" xfId="42086" xr:uid="{00000000-0005-0000-0000-000017050000}"/>
    <cellStyle name="Accent3 - 60% 3" xfId="42087" xr:uid="{00000000-0005-0000-0000-000018050000}"/>
    <cellStyle name="Accent3 - 60% 4" xfId="42088" xr:uid="{00000000-0005-0000-0000-000019050000}"/>
    <cellStyle name="Accent3 - 60% 5" xfId="42089" xr:uid="{00000000-0005-0000-0000-00001A050000}"/>
    <cellStyle name="Accent3 - 60% 6" xfId="42090" xr:uid="{00000000-0005-0000-0000-00001B050000}"/>
    <cellStyle name="Accent3 - 60% 7" xfId="42091" xr:uid="{00000000-0005-0000-0000-00001C050000}"/>
    <cellStyle name="Accent3 - 60% 8" xfId="42092" xr:uid="{00000000-0005-0000-0000-00001D050000}"/>
    <cellStyle name="Accent3 - 60% 9" xfId="42093" xr:uid="{00000000-0005-0000-0000-00001E050000}"/>
    <cellStyle name="Accent3 10" xfId="42094" xr:uid="{00000000-0005-0000-0000-00001F050000}"/>
    <cellStyle name="Accent3 11" xfId="42095" xr:uid="{00000000-0005-0000-0000-000020050000}"/>
    <cellStyle name="Accent3 12" xfId="42096" xr:uid="{00000000-0005-0000-0000-000021050000}"/>
    <cellStyle name="Accent3 13" xfId="42097" xr:uid="{00000000-0005-0000-0000-000022050000}"/>
    <cellStyle name="Accent3 14" xfId="42098" xr:uid="{00000000-0005-0000-0000-000023050000}"/>
    <cellStyle name="Accent3 15" xfId="42099" xr:uid="{00000000-0005-0000-0000-000024050000}"/>
    <cellStyle name="Accent3 16" xfId="42100" xr:uid="{00000000-0005-0000-0000-000025050000}"/>
    <cellStyle name="Accent3 17" xfId="42101" xr:uid="{00000000-0005-0000-0000-000026050000}"/>
    <cellStyle name="Accent3 18" xfId="42102" xr:uid="{00000000-0005-0000-0000-000027050000}"/>
    <cellStyle name="Accent3 19" xfId="42103" xr:uid="{00000000-0005-0000-0000-000028050000}"/>
    <cellStyle name="Accent3 2" xfId="42" xr:uid="{00000000-0005-0000-0000-000029050000}"/>
    <cellStyle name="Accent3 2 2" xfId="42104" xr:uid="{00000000-0005-0000-0000-00002A050000}"/>
    <cellStyle name="Accent3 20" xfId="42105" xr:uid="{00000000-0005-0000-0000-00002B050000}"/>
    <cellStyle name="Accent3 21" xfId="42106" xr:uid="{00000000-0005-0000-0000-00002C050000}"/>
    <cellStyle name="Accent3 22" xfId="42107" xr:uid="{00000000-0005-0000-0000-00002D050000}"/>
    <cellStyle name="Accent3 23" xfId="42108" xr:uid="{00000000-0005-0000-0000-00002E050000}"/>
    <cellStyle name="Accent3 24" xfId="42109" xr:uid="{00000000-0005-0000-0000-00002F050000}"/>
    <cellStyle name="Accent3 25" xfId="42110" xr:uid="{00000000-0005-0000-0000-000030050000}"/>
    <cellStyle name="Accent3 26" xfId="42111" xr:uid="{00000000-0005-0000-0000-000031050000}"/>
    <cellStyle name="Accent3 27" xfId="42112" xr:uid="{00000000-0005-0000-0000-000032050000}"/>
    <cellStyle name="Accent3 28" xfId="42113" xr:uid="{00000000-0005-0000-0000-000033050000}"/>
    <cellStyle name="Accent3 29" xfId="42114" xr:uid="{00000000-0005-0000-0000-000034050000}"/>
    <cellStyle name="Accent3 3" xfId="42115" xr:uid="{00000000-0005-0000-0000-000035050000}"/>
    <cellStyle name="Accent3 3 2" xfId="42116" xr:uid="{00000000-0005-0000-0000-000036050000}"/>
    <cellStyle name="Accent3 30" xfId="42117" xr:uid="{00000000-0005-0000-0000-000037050000}"/>
    <cellStyle name="Accent3 4" xfId="42118" xr:uid="{00000000-0005-0000-0000-000038050000}"/>
    <cellStyle name="Accent3 4 2" xfId="42119" xr:uid="{00000000-0005-0000-0000-000039050000}"/>
    <cellStyle name="Accent3 5" xfId="42120" xr:uid="{00000000-0005-0000-0000-00003A050000}"/>
    <cellStyle name="Accent3 6" xfId="42121" xr:uid="{00000000-0005-0000-0000-00003B050000}"/>
    <cellStyle name="Accent3 7" xfId="42122" xr:uid="{00000000-0005-0000-0000-00003C050000}"/>
    <cellStyle name="Accent3 8" xfId="42123" xr:uid="{00000000-0005-0000-0000-00003D050000}"/>
    <cellStyle name="Accent3 9" xfId="42124" xr:uid="{00000000-0005-0000-0000-00003E050000}"/>
    <cellStyle name="Accent4 - 20%" xfId="136" xr:uid="{00000000-0005-0000-0000-00003F050000}"/>
    <cellStyle name="Accent4 - 20% 10" xfId="42125" xr:uid="{00000000-0005-0000-0000-000040050000}"/>
    <cellStyle name="Accent4 - 20% 11" xfId="42126" xr:uid="{00000000-0005-0000-0000-000041050000}"/>
    <cellStyle name="Accent4 - 20% 12" xfId="42127" xr:uid="{00000000-0005-0000-0000-000042050000}"/>
    <cellStyle name="Accent4 - 20% 13" xfId="42128" xr:uid="{00000000-0005-0000-0000-000043050000}"/>
    <cellStyle name="Accent4 - 20% 14" xfId="42129" xr:uid="{00000000-0005-0000-0000-000044050000}"/>
    <cellStyle name="Accent4 - 20% 2" xfId="42130" xr:uid="{00000000-0005-0000-0000-000045050000}"/>
    <cellStyle name="Accent4 - 20% 3" xfId="42131" xr:uid="{00000000-0005-0000-0000-000046050000}"/>
    <cellStyle name="Accent4 - 20% 4" xfId="42132" xr:uid="{00000000-0005-0000-0000-000047050000}"/>
    <cellStyle name="Accent4 - 20% 5" xfId="42133" xr:uid="{00000000-0005-0000-0000-000048050000}"/>
    <cellStyle name="Accent4 - 20% 6" xfId="42134" xr:uid="{00000000-0005-0000-0000-000049050000}"/>
    <cellStyle name="Accent4 - 20% 7" xfId="42135" xr:uid="{00000000-0005-0000-0000-00004A050000}"/>
    <cellStyle name="Accent4 - 20% 8" xfId="42136" xr:uid="{00000000-0005-0000-0000-00004B050000}"/>
    <cellStyle name="Accent4 - 20% 9" xfId="42137" xr:uid="{00000000-0005-0000-0000-00004C050000}"/>
    <cellStyle name="Accent4 - 40%" xfId="137" xr:uid="{00000000-0005-0000-0000-00004D050000}"/>
    <cellStyle name="Accent4 - 40% 10" xfId="42138" xr:uid="{00000000-0005-0000-0000-00004E050000}"/>
    <cellStyle name="Accent4 - 40% 11" xfId="42139" xr:uid="{00000000-0005-0000-0000-00004F050000}"/>
    <cellStyle name="Accent4 - 40% 12" xfId="42140" xr:uid="{00000000-0005-0000-0000-000050050000}"/>
    <cellStyle name="Accent4 - 40% 13" xfId="42141" xr:uid="{00000000-0005-0000-0000-000051050000}"/>
    <cellStyle name="Accent4 - 40% 14" xfId="42142" xr:uid="{00000000-0005-0000-0000-000052050000}"/>
    <cellStyle name="Accent4 - 40% 2" xfId="42143" xr:uid="{00000000-0005-0000-0000-000053050000}"/>
    <cellStyle name="Accent4 - 40% 3" xfId="42144" xr:uid="{00000000-0005-0000-0000-000054050000}"/>
    <cellStyle name="Accent4 - 40% 4" xfId="42145" xr:uid="{00000000-0005-0000-0000-000055050000}"/>
    <cellStyle name="Accent4 - 40% 5" xfId="42146" xr:uid="{00000000-0005-0000-0000-000056050000}"/>
    <cellStyle name="Accent4 - 40% 6" xfId="42147" xr:uid="{00000000-0005-0000-0000-000057050000}"/>
    <cellStyle name="Accent4 - 40% 7" xfId="42148" xr:uid="{00000000-0005-0000-0000-000058050000}"/>
    <cellStyle name="Accent4 - 40% 8" xfId="42149" xr:uid="{00000000-0005-0000-0000-000059050000}"/>
    <cellStyle name="Accent4 - 40% 9" xfId="42150" xr:uid="{00000000-0005-0000-0000-00005A050000}"/>
    <cellStyle name="Accent4 - 60%" xfId="138" xr:uid="{00000000-0005-0000-0000-00005B050000}"/>
    <cellStyle name="Accent4 - 60% 10" xfId="42151" xr:uid="{00000000-0005-0000-0000-00005C050000}"/>
    <cellStyle name="Accent4 - 60% 11" xfId="42152" xr:uid="{00000000-0005-0000-0000-00005D050000}"/>
    <cellStyle name="Accent4 - 60% 12" xfId="42153" xr:uid="{00000000-0005-0000-0000-00005E050000}"/>
    <cellStyle name="Accent4 - 60% 13" xfId="42154" xr:uid="{00000000-0005-0000-0000-00005F050000}"/>
    <cellStyle name="Accent4 - 60% 14" xfId="42155" xr:uid="{00000000-0005-0000-0000-000060050000}"/>
    <cellStyle name="Accent4 - 60% 2" xfId="42156" xr:uid="{00000000-0005-0000-0000-000061050000}"/>
    <cellStyle name="Accent4 - 60% 3" xfId="42157" xr:uid="{00000000-0005-0000-0000-000062050000}"/>
    <cellStyle name="Accent4 - 60% 4" xfId="42158" xr:uid="{00000000-0005-0000-0000-000063050000}"/>
    <cellStyle name="Accent4 - 60% 5" xfId="42159" xr:uid="{00000000-0005-0000-0000-000064050000}"/>
    <cellStyle name="Accent4 - 60% 6" xfId="42160" xr:uid="{00000000-0005-0000-0000-000065050000}"/>
    <cellStyle name="Accent4 - 60% 7" xfId="42161" xr:uid="{00000000-0005-0000-0000-000066050000}"/>
    <cellStyle name="Accent4 - 60% 8" xfId="42162" xr:uid="{00000000-0005-0000-0000-000067050000}"/>
    <cellStyle name="Accent4 - 60% 9" xfId="42163" xr:uid="{00000000-0005-0000-0000-000068050000}"/>
    <cellStyle name="Accent4 10" xfId="42164" xr:uid="{00000000-0005-0000-0000-000069050000}"/>
    <cellStyle name="Accent4 11" xfId="42165" xr:uid="{00000000-0005-0000-0000-00006A050000}"/>
    <cellStyle name="Accent4 12" xfId="42166" xr:uid="{00000000-0005-0000-0000-00006B050000}"/>
    <cellStyle name="Accent4 13" xfId="42167" xr:uid="{00000000-0005-0000-0000-00006C050000}"/>
    <cellStyle name="Accent4 14" xfId="42168" xr:uid="{00000000-0005-0000-0000-00006D050000}"/>
    <cellStyle name="Accent4 15" xfId="42169" xr:uid="{00000000-0005-0000-0000-00006E050000}"/>
    <cellStyle name="Accent4 16" xfId="42170" xr:uid="{00000000-0005-0000-0000-00006F050000}"/>
    <cellStyle name="Accent4 17" xfId="42171" xr:uid="{00000000-0005-0000-0000-000070050000}"/>
    <cellStyle name="Accent4 18" xfId="42172" xr:uid="{00000000-0005-0000-0000-000071050000}"/>
    <cellStyle name="Accent4 19" xfId="42173" xr:uid="{00000000-0005-0000-0000-000072050000}"/>
    <cellStyle name="Accent4 2" xfId="43" xr:uid="{00000000-0005-0000-0000-000073050000}"/>
    <cellStyle name="Accent4 2 2" xfId="42174" xr:uid="{00000000-0005-0000-0000-000074050000}"/>
    <cellStyle name="Accent4 20" xfId="42175" xr:uid="{00000000-0005-0000-0000-000075050000}"/>
    <cellStyle name="Accent4 21" xfId="42176" xr:uid="{00000000-0005-0000-0000-000076050000}"/>
    <cellStyle name="Accent4 22" xfId="42177" xr:uid="{00000000-0005-0000-0000-000077050000}"/>
    <cellStyle name="Accent4 23" xfId="42178" xr:uid="{00000000-0005-0000-0000-000078050000}"/>
    <cellStyle name="Accent4 24" xfId="42179" xr:uid="{00000000-0005-0000-0000-000079050000}"/>
    <cellStyle name="Accent4 25" xfId="42180" xr:uid="{00000000-0005-0000-0000-00007A050000}"/>
    <cellStyle name="Accent4 26" xfId="42181" xr:uid="{00000000-0005-0000-0000-00007B050000}"/>
    <cellStyle name="Accent4 27" xfId="42182" xr:uid="{00000000-0005-0000-0000-00007C050000}"/>
    <cellStyle name="Accent4 28" xfId="42183" xr:uid="{00000000-0005-0000-0000-00007D050000}"/>
    <cellStyle name="Accent4 29" xfId="42184" xr:uid="{00000000-0005-0000-0000-00007E050000}"/>
    <cellStyle name="Accent4 3" xfId="42185" xr:uid="{00000000-0005-0000-0000-00007F050000}"/>
    <cellStyle name="Accent4 3 2" xfId="42186" xr:uid="{00000000-0005-0000-0000-000080050000}"/>
    <cellStyle name="Accent4 30" xfId="42187" xr:uid="{00000000-0005-0000-0000-000081050000}"/>
    <cellStyle name="Accent4 4" xfId="42188" xr:uid="{00000000-0005-0000-0000-000082050000}"/>
    <cellStyle name="Accent4 4 2" xfId="42189" xr:uid="{00000000-0005-0000-0000-000083050000}"/>
    <cellStyle name="Accent4 5" xfId="42190" xr:uid="{00000000-0005-0000-0000-000084050000}"/>
    <cellStyle name="Accent4 6" xfId="42191" xr:uid="{00000000-0005-0000-0000-000085050000}"/>
    <cellStyle name="Accent4 7" xfId="42192" xr:uid="{00000000-0005-0000-0000-000086050000}"/>
    <cellStyle name="Accent4 8" xfId="42193" xr:uid="{00000000-0005-0000-0000-000087050000}"/>
    <cellStyle name="Accent4 9" xfId="42194" xr:uid="{00000000-0005-0000-0000-000088050000}"/>
    <cellStyle name="Accent5 - 20%" xfId="139" xr:uid="{00000000-0005-0000-0000-000089050000}"/>
    <cellStyle name="Accent5 - 20% 10" xfId="42195" xr:uid="{00000000-0005-0000-0000-00008A050000}"/>
    <cellStyle name="Accent5 - 20% 11" xfId="42196" xr:uid="{00000000-0005-0000-0000-00008B050000}"/>
    <cellStyle name="Accent5 - 20% 12" xfId="42197" xr:uid="{00000000-0005-0000-0000-00008C050000}"/>
    <cellStyle name="Accent5 - 20% 13" xfId="42198" xr:uid="{00000000-0005-0000-0000-00008D050000}"/>
    <cellStyle name="Accent5 - 20% 14" xfId="42199" xr:uid="{00000000-0005-0000-0000-00008E050000}"/>
    <cellStyle name="Accent5 - 20% 2" xfId="42200" xr:uid="{00000000-0005-0000-0000-00008F050000}"/>
    <cellStyle name="Accent5 - 20% 3" xfId="42201" xr:uid="{00000000-0005-0000-0000-000090050000}"/>
    <cellStyle name="Accent5 - 20% 4" xfId="42202" xr:uid="{00000000-0005-0000-0000-000091050000}"/>
    <cellStyle name="Accent5 - 20% 5" xfId="42203" xr:uid="{00000000-0005-0000-0000-000092050000}"/>
    <cellStyle name="Accent5 - 20% 6" xfId="42204" xr:uid="{00000000-0005-0000-0000-000093050000}"/>
    <cellStyle name="Accent5 - 20% 7" xfId="42205" xr:uid="{00000000-0005-0000-0000-000094050000}"/>
    <cellStyle name="Accent5 - 20% 8" xfId="42206" xr:uid="{00000000-0005-0000-0000-000095050000}"/>
    <cellStyle name="Accent5 - 20% 9" xfId="42207" xr:uid="{00000000-0005-0000-0000-000096050000}"/>
    <cellStyle name="Accent5 - 40%" xfId="140" xr:uid="{00000000-0005-0000-0000-000097050000}"/>
    <cellStyle name="Accent5 - 40% 10" xfId="42208" xr:uid="{00000000-0005-0000-0000-000098050000}"/>
    <cellStyle name="Accent5 - 40% 11" xfId="42209" xr:uid="{00000000-0005-0000-0000-000099050000}"/>
    <cellStyle name="Accent5 - 40% 12" xfId="42210" xr:uid="{00000000-0005-0000-0000-00009A050000}"/>
    <cellStyle name="Accent5 - 40% 13" xfId="42211" xr:uid="{00000000-0005-0000-0000-00009B050000}"/>
    <cellStyle name="Accent5 - 40% 14" xfId="42212" xr:uid="{00000000-0005-0000-0000-00009C050000}"/>
    <cellStyle name="Accent5 - 40% 2" xfId="42213" xr:uid="{00000000-0005-0000-0000-00009D050000}"/>
    <cellStyle name="Accent5 - 40% 3" xfId="42214" xr:uid="{00000000-0005-0000-0000-00009E050000}"/>
    <cellStyle name="Accent5 - 40% 4" xfId="42215" xr:uid="{00000000-0005-0000-0000-00009F050000}"/>
    <cellStyle name="Accent5 - 40% 5" xfId="42216" xr:uid="{00000000-0005-0000-0000-0000A0050000}"/>
    <cellStyle name="Accent5 - 40% 6" xfId="42217" xr:uid="{00000000-0005-0000-0000-0000A1050000}"/>
    <cellStyle name="Accent5 - 40% 7" xfId="42218" xr:uid="{00000000-0005-0000-0000-0000A2050000}"/>
    <cellStyle name="Accent5 - 40% 8" xfId="42219" xr:uid="{00000000-0005-0000-0000-0000A3050000}"/>
    <cellStyle name="Accent5 - 40% 9" xfId="42220" xr:uid="{00000000-0005-0000-0000-0000A4050000}"/>
    <cellStyle name="Accent5 - 60%" xfId="141" xr:uid="{00000000-0005-0000-0000-0000A5050000}"/>
    <cellStyle name="Accent5 - 60% 10" xfId="42221" xr:uid="{00000000-0005-0000-0000-0000A6050000}"/>
    <cellStyle name="Accent5 - 60% 11" xfId="42222" xr:uid="{00000000-0005-0000-0000-0000A7050000}"/>
    <cellStyle name="Accent5 - 60% 12" xfId="42223" xr:uid="{00000000-0005-0000-0000-0000A8050000}"/>
    <cellStyle name="Accent5 - 60% 13" xfId="42224" xr:uid="{00000000-0005-0000-0000-0000A9050000}"/>
    <cellStyle name="Accent5 - 60% 14" xfId="42225" xr:uid="{00000000-0005-0000-0000-0000AA050000}"/>
    <cellStyle name="Accent5 - 60% 2" xfId="42226" xr:uid="{00000000-0005-0000-0000-0000AB050000}"/>
    <cellStyle name="Accent5 - 60% 3" xfId="42227" xr:uid="{00000000-0005-0000-0000-0000AC050000}"/>
    <cellStyle name="Accent5 - 60% 4" xfId="42228" xr:uid="{00000000-0005-0000-0000-0000AD050000}"/>
    <cellStyle name="Accent5 - 60% 5" xfId="42229" xr:uid="{00000000-0005-0000-0000-0000AE050000}"/>
    <cellStyle name="Accent5 - 60% 6" xfId="42230" xr:uid="{00000000-0005-0000-0000-0000AF050000}"/>
    <cellStyle name="Accent5 - 60% 7" xfId="42231" xr:uid="{00000000-0005-0000-0000-0000B0050000}"/>
    <cellStyle name="Accent5 - 60% 8" xfId="42232" xr:uid="{00000000-0005-0000-0000-0000B1050000}"/>
    <cellStyle name="Accent5 - 60% 9" xfId="42233" xr:uid="{00000000-0005-0000-0000-0000B2050000}"/>
    <cellStyle name="Accent5 10" xfId="42234" xr:uid="{00000000-0005-0000-0000-0000B3050000}"/>
    <cellStyle name="Accent5 11" xfId="42235" xr:uid="{00000000-0005-0000-0000-0000B4050000}"/>
    <cellStyle name="Accent5 12" xfId="42236" xr:uid="{00000000-0005-0000-0000-0000B5050000}"/>
    <cellStyle name="Accent5 13" xfId="42237" xr:uid="{00000000-0005-0000-0000-0000B6050000}"/>
    <cellStyle name="Accent5 14" xfId="42238" xr:uid="{00000000-0005-0000-0000-0000B7050000}"/>
    <cellStyle name="Accent5 15" xfId="42239" xr:uid="{00000000-0005-0000-0000-0000B8050000}"/>
    <cellStyle name="Accent5 16" xfId="42240" xr:uid="{00000000-0005-0000-0000-0000B9050000}"/>
    <cellStyle name="Accent5 17" xfId="42241" xr:uid="{00000000-0005-0000-0000-0000BA050000}"/>
    <cellStyle name="Accent5 18" xfId="42242" xr:uid="{00000000-0005-0000-0000-0000BB050000}"/>
    <cellStyle name="Accent5 19" xfId="42243" xr:uid="{00000000-0005-0000-0000-0000BC050000}"/>
    <cellStyle name="Accent5 2" xfId="44" xr:uid="{00000000-0005-0000-0000-0000BD050000}"/>
    <cellStyle name="Accent5 2 2" xfId="42244" xr:uid="{00000000-0005-0000-0000-0000BE050000}"/>
    <cellStyle name="Accent5 20" xfId="42245" xr:uid="{00000000-0005-0000-0000-0000BF050000}"/>
    <cellStyle name="Accent5 21" xfId="42246" xr:uid="{00000000-0005-0000-0000-0000C0050000}"/>
    <cellStyle name="Accent5 22" xfId="42247" xr:uid="{00000000-0005-0000-0000-0000C1050000}"/>
    <cellStyle name="Accent5 23" xfId="42248" xr:uid="{00000000-0005-0000-0000-0000C2050000}"/>
    <cellStyle name="Accent5 24" xfId="42249" xr:uid="{00000000-0005-0000-0000-0000C3050000}"/>
    <cellStyle name="Accent5 25" xfId="42250" xr:uid="{00000000-0005-0000-0000-0000C4050000}"/>
    <cellStyle name="Accent5 26" xfId="42251" xr:uid="{00000000-0005-0000-0000-0000C5050000}"/>
    <cellStyle name="Accent5 27" xfId="42252" xr:uid="{00000000-0005-0000-0000-0000C6050000}"/>
    <cellStyle name="Accent5 28" xfId="42253" xr:uid="{00000000-0005-0000-0000-0000C7050000}"/>
    <cellStyle name="Accent5 29" xfId="42254" xr:uid="{00000000-0005-0000-0000-0000C8050000}"/>
    <cellStyle name="Accent5 3" xfId="42255" xr:uid="{00000000-0005-0000-0000-0000C9050000}"/>
    <cellStyle name="Accent5 3 2" xfId="42256" xr:uid="{00000000-0005-0000-0000-0000CA050000}"/>
    <cellStyle name="Accent5 30" xfId="42257" xr:uid="{00000000-0005-0000-0000-0000CB050000}"/>
    <cellStyle name="Accent5 31" xfId="42258" xr:uid="{00000000-0005-0000-0000-0000CC050000}"/>
    <cellStyle name="Accent5 4" xfId="42259" xr:uid="{00000000-0005-0000-0000-0000CD050000}"/>
    <cellStyle name="Accent5 4 2" xfId="42260" xr:uid="{00000000-0005-0000-0000-0000CE050000}"/>
    <cellStyle name="Accent5 5" xfId="42261" xr:uid="{00000000-0005-0000-0000-0000CF050000}"/>
    <cellStyle name="Accent5 6" xfId="42262" xr:uid="{00000000-0005-0000-0000-0000D0050000}"/>
    <cellStyle name="Accent5 7" xfId="42263" xr:uid="{00000000-0005-0000-0000-0000D1050000}"/>
    <cellStyle name="Accent5 8" xfId="42264" xr:uid="{00000000-0005-0000-0000-0000D2050000}"/>
    <cellStyle name="Accent5 9" xfId="42265" xr:uid="{00000000-0005-0000-0000-0000D3050000}"/>
    <cellStyle name="Accent6 - 20%" xfId="142" xr:uid="{00000000-0005-0000-0000-0000D4050000}"/>
    <cellStyle name="Accent6 - 20% 10" xfId="42266" xr:uid="{00000000-0005-0000-0000-0000D5050000}"/>
    <cellStyle name="Accent6 - 20% 11" xfId="42267" xr:uid="{00000000-0005-0000-0000-0000D6050000}"/>
    <cellStyle name="Accent6 - 20% 12" xfId="42268" xr:uid="{00000000-0005-0000-0000-0000D7050000}"/>
    <cellStyle name="Accent6 - 20% 13" xfId="42269" xr:uid="{00000000-0005-0000-0000-0000D8050000}"/>
    <cellStyle name="Accent6 - 20% 14" xfId="42270" xr:uid="{00000000-0005-0000-0000-0000D9050000}"/>
    <cellStyle name="Accent6 - 20% 2" xfId="42271" xr:uid="{00000000-0005-0000-0000-0000DA050000}"/>
    <cellStyle name="Accent6 - 20% 3" xfId="42272" xr:uid="{00000000-0005-0000-0000-0000DB050000}"/>
    <cellStyle name="Accent6 - 20% 4" xfId="42273" xr:uid="{00000000-0005-0000-0000-0000DC050000}"/>
    <cellStyle name="Accent6 - 20% 5" xfId="42274" xr:uid="{00000000-0005-0000-0000-0000DD050000}"/>
    <cellStyle name="Accent6 - 20% 6" xfId="42275" xr:uid="{00000000-0005-0000-0000-0000DE050000}"/>
    <cellStyle name="Accent6 - 20% 7" xfId="42276" xr:uid="{00000000-0005-0000-0000-0000DF050000}"/>
    <cellStyle name="Accent6 - 20% 8" xfId="42277" xr:uid="{00000000-0005-0000-0000-0000E0050000}"/>
    <cellStyle name="Accent6 - 20% 9" xfId="42278" xr:uid="{00000000-0005-0000-0000-0000E1050000}"/>
    <cellStyle name="Accent6 - 40%" xfId="143" xr:uid="{00000000-0005-0000-0000-0000E2050000}"/>
    <cellStyle name="Accent6 - 40% 10" xfId="42279" xr:uid="{00000000-0005-0000-0000-0000E3050000}"/>
    <cellStyle name="Accent6 - 40% 11" xfId="42280" xr:uid="{00000000-0005-0000-0000-0000E4050000}"/>
    <cellStyle name="Accent6 - 40% 12" xfId="42281" xr:uid="{00000000-0005-0000-0000-0000E5050000}"/>
    <cellStyle name="Accent6 - 40% 13" xfId="42282" xr:uid="{00000000-0005-0000-0000-0000E6050000}"/>
    <cellStyle name="Accent6 - 40% 14" xfId="42283" xr:uid="{00000000-0005-0000-0000-0000E7050000}"/>
    <cellStyle name="Accent6 - 40% 2" xfId="42284" xr:uid="{00000000-0005-0000-0000-0000E8050000}"/>
    <cellStyle name="Accent6 - 40% 3" xfId="42285" xr:uid="{00000000-0005-0000-0000-0000E9050000}"/>
    <cellStyle name="Accent6 - 40% 4" xfId="42286" xr:uid="{00000000-0005-0000-0000-0000EA050000}"/>
    <cellStyle name="Accent6 - 40% 5" xfId="42287" xr:uid="{00000000-0005-0000-0000-0000EB050000}"/>
    <cellStyle name="Accent6 - 40% 6" xfId="42288" xr:uid="{00000000-0005-0000-0000-0000EC050000}"/>
    <cellStyle name="Accent6 - 40% 7" xfId="42289" xr:uid="{00000000-0005-0000-0000-0000ED050000}"/>
    <cellStyle name="Accent6 - 40% 8" xfId="42290" xr:uid="{00000000-0005-0000-0000-0000EE050000}"/>
    <cellStyle name="Accent6 - 40% 9" xfId="42291" xr:uid="{00000000-0005-0000-0000-0000EF050000}"/>
    <cellStyle name="Accent6 - 60%" xfId="144" xr:uid="{00000000-0005-0000-0000-0000F0050000}"/>
    <cellStyle name="Accent6 - 60% 10" xfId="42292" xr:uid="{00000000-0005-0000-0000-0000F1050000}"/>
    <cellStyle name="Accent6 - 60% 11" xfId="42293" xr:uid="{00000000-0005-0000-0000-0000F2050000}"/>
    <cellStyle name="Accent6 - 60% 12" xfId="42294" xr:uid="{00000000-0005-0000-0000-0000F3050000}"/>
    <cellStyle name="Accent6 - 60% 13" xfId="42295" xr:uid="{00000000-0005-0000-0000-0000F4050000}"/>
    <cellStyle name="Accent6 - 60% 14" xfId="42296" xr:uid="{00000000-0005-0000-0000-0000F5050000}"/>
    <cellStyle name="Accent6 - 60% 2" xfId="42297" xr:uid="{00000000-0005-0000-0000-0000F6050000}"/>
    <cellStyle name="Accent6 - 60% 3" xfId="42298" xr:uid="{00000000-0005-0000-0000-0000F7050000}"/>
    <cellStyle name="Accent6 - 60% 4" xfId="42299" xr:uid="{00000000-0005-0000-0000-0000F8050000}"/>
    <cellStyle name="Accent6 - 60% 5" xfId="42300" xr:uid="{00000000-0005-0000-0000-0000F9050000}"/>
    <cellStyle name="Accent6 - 60% 6" xfId="42301" xr:uid="{00000000-0005-0000-0000-0000FA050000}"/>
    <cellStyle name="Accent6 - 60% 7" xfId="42302" xr:uid="{00000000-0005-0000-0000-0000FB050000}"/>
    <cellStyle name="Accent6 - 60% 8" xfId="42303" xr:uid="{00000000-0005-0000-0000-0000FC050000}"/>
    <cellStyle name="Accent6 - 60% 9" xfId="42304" xr:uid="{00000000-0005-0000-0000-0000FD050000}"/>
    <cellStyle name="Accent6 10" xfId="42305" xr:uid="{00000000-0005-0000-0000-0000FE050000}"/>
    <cellStyle name="Accent6 11" xfId="42306" xr:uid="{00000000-0005-0000-0000-0000FF050000}"/>
    <cellStyle name="Accent6 12" xfId="42307" xr:uid="{00000000-0005-0000-0000-000000060000}"/>
    <cellStyle name="Accent6 13" xfId="42308" xr:uid="{00000000-0005-0000-0000-000001060000}"/>
    <cellStyle name="Accent6 14" xfId="42309" xr:uid="{00000000-0005-0000-0000-000002060000}"/>
    <cellStyle name="Accent6 15" xfId="42310" xr:uid="{00000000-0005-0000-0000-000003060000}"/>
    <cellStyle name="Accent6 16" xfId="42311" xr:uid="{00000000-0005-0000-0000-000004060000}"/>
    <cellStyle name="Accent6 17" xfId="42312" xr:uid="{00000000-0005-0000-0000-000005060000}"/>
    <cellStyle name="Accent6 18" xfId="42313" xr:uid="{00000000-0005-0000-0000-000006060000}"/>
    <cellStyle name="Accent6 19" xfId="42314" xr:uid="{00000000-0005-0000-0000-000007060000}"/>
    <cellStyle name="Accent6 2" xfId="45" xr:uid="{00000000-0005-0000-0000-000008060000}"/>
    <cellStyle name="Accent6 2 2" xfId="42315" xr:uid="{00000000-0005-0000-0000-000009060000}"/>
    <cellStyle name="Accent6 20" xfId="42316" xr:uid="{00000000-0005-0000-0000-00000A060000}"/>
    <cellStyle name="Accent6 21" xfId="42317" xr:uid="{00000000-0005-0000-0000-00000B060000}"/>
    <cellStyle name="Accent6 22" xfId="42318" xr:uid="{00000000-0005-0000-0000-00000C060000}"/>
    <cellStyle name="Accent6 23" xfId="42319" xr:uid="{00000000-0005-0000-0000-00000D060000}"/>
    <cellStyle name="Accent6 24" xfId="42320" xr:uid="{00000000-0005-0000-0000-00000E060000}"/>
    <cellStyle name="Accent6 25" xfId="42321" xr:uid="{00000000-0005-0000-0000-00000F060000}"/>
    <cellStyle name="Accent6 26" xfId="42322" xr:uid="{00000000-0005-0000-0000-000010060000}"/>
    <cellStyle name="Accent6 27" xfId="42323" xr:uid="{00000000-0005-0000-0000-000011060000}"/>
    <cellStyle name="Accent6 28" xfId="42324" xr:uid="{00000000-0005-0000-0000-000012060000}"/>
    <cellStyle name="Accent6 29" xfId="42325" xr:uid="{00000000-0005-0000-0000-000013060000}"/>
    <cellStyle name="Accent6 3" xfId="42326" xr:uid="{00000000-0005-0000-0000-000014060000}"/>
    <cellStyle name="Accent6 3 2" xfId="42327" xr:uid="{00000000-0005-0000-0000-000015060000}"/>
    <cellStyle name="Accent6 30" xfId="42328" xr:uid="{00000000-0005-0000-0000-000016060000}"/>
    <cellStyle name="Accent6 4" xfId="42329" xr:uid="{00000000-0005-0000-0000-000017060000}"/>
    <cellStyle name="Accent6 4 2" xfId="42330" xr:uid="{00000000-0005-0000-0000-000018060000}"/>
    <cellStyle name="Accent6 5" xfId="42331" xr:uid="{00000000-0005-0000-0000-000019060000}"/>
    <cellStyle name="Accent6 6" xfId="42332" xr:uid="{00000000-0005-0000-0000-00001A060000}"/>
    <cellStyle name="Accent6 7" xfId="42333" xr:uid="{00000000-0005-0000-0000-00001B060000}"/>
    <cellStyle name="Accent6 8" xfId="42334" xr:uid="{00000000-0005-0000-0000-00001C060000}"/>
    <cellStyle name="Accent6 9" xfId="42335" xr:uid="{00000000-0005-0000-0000-00001D060000}"/>
    <cellStyle name="Arial 11" xfId="145" xr:uid="{00000000-0005-0000-0000-00001E060000}"/>
    <cellStyle name="Arial 11 10" xfId="42336" xr:uid="{00000000-0005-0000-0000-00001F060000}"/>
    <cellStyle name="Arial 11 11" xfId="42337" xr:uid="{00000000-0005-0000-0000-000020060000}"/>
    <cellStyle name="Arial 11 12" xfId="42338" xr:uid="{00000000-0005-0000-0000-000021060000}"/>
    <cellStyle name="Arial 11 13" xfId="42339" xr:uid="{00000000-0005-0000-0000-000022060000}"/>
    <cellStyle name="Arial 11 14" xfId="42340" xr:uid="{00000000-0005-0000-0000-000023060000}"/>
    <cellStyle name="Arial 11 15" xfId="42341" xr:uid="{00000000-0005-0000-0000-000024060000}"/>
    <cellStyle name="Arial 11 16" xfId="42342" xr:uid="{00000000-0005-0000-0000-000025060000}"/>
    <cellStyle name="Arial 11 17" xfId="42343" xr:uid="{00000000-0005-0000-0000-000026060000}"/>
    <cellStyle name="Arial 11 18" xfId="42344" xr:uid="{00000000-0005-0000-0000-000027060000}"/>
    <cellStyle name="Arial 11 19" xfId="42345" xr:uid="{00000000-0005-0000-0000-000028060000}"/>
    <cellStyle name="Arial 11 2" xfId="42346" xr:uid="{00000000-0005-0000-0000-000029060000}"/>
    <cellStyle name="Arial 11 20" xfId="42347" xr:uid="{00000000-0005-0000-0000-00002A060000}"/>
    <cellStyle name="Arial 11 21" xfId="42348" xr:uid="{00000000-0005-0000-0000-00002B060000}"/>
    <cellStyle name="Arial 11 22" xfId="42349" xr:uid="{00000000-0005-0000-0000-00002C060000}"/>
    <cellStyle name="Arial 11 3" xfId="42350" xr:uid="{00000000-0005-0000-0000-00002D060000}"/>
    <cellStyle name="Arial 11 4" xfId="42351" xr:uid="{00000000-0005-0000-0000-00002E060000}"/>
    <cellStyle name="Arial 11 5" xfId="42352" xr:uid="{00000000-0005-0000-0000-00002F060000}"/>
    <cellStyle name="Arial 11 6" xfId="42353" xr:uid="{00000000-0005-0000-0000-000030060000}"/>
    <cellStyle name="Arial 11 7" xfId="42354" xr:uid="{00000000-0005-0000-0000-000031060000}"/>
    <cellStyle name="Arial 11 8" xfId="42355" xr:uid="{00000000-0005-0000-0000-000032060000}"/>
    <cellStyle name="Arial 11 9" xfId="42356" xr:uid="{00000000-0005-0000-0000-000033060000}"/>
    <cellStyle name="Bad 10" xfId="42357" xr:uid="{00000000-0005-0000-0000-000034060000}"/>
    <cellStyle name="Bad 11" xfId="42358" xr:uid="{00000000-0005-0000-0000-000035060000}"/>
    <cellStyle name="Bad 12" xfId="42359" xr:uid="{00000000-0005-0000-0000-000036060000}"/>
    <cellStyle name="Bad 13" xfId="42360" xr:uid="{00000000-0005-0000-0000-000037060000}"/>
    <cellStyle name="Bad 14" xfId="42361" xr:uid="{00000000-0005-0000-0000-000038060000}"/>
    <cellStyle name="Bad 15" xfId="42362" xr:uid="{00000000-0005-0000-0000-000039060000}"/>
    <cellStyle name="Bad 16" xfId="42363" xr:uid="{00000000-0005-0000-0000-00003A060000}"/>
    <cellStyle name="Bad 17" xfId="42364" xr:uid="{00000000-0005-0000-0000-00003B060000}"/>
    <cellStyle name="Bad 18" xfId="42365" xr:uid="{00000000-0005-0000-0000-00003C060000}"/>
    <cellStyle name="Bad 19" xfId="42366" xr:uid="{00000000-0005-0000-0000-00003D060000}"/>
    <cellStyle name="Bad 2" xfId="46" xr:uid="{00000000-0005-0000-0000-00003E060000}"/>
    <cellStyle name="Bad 2 2" xfId="220" xr:uid="{00000000-0005-0000-0000-00003F060000}"/>
    <cellStyle name="Bad 2 3" xfId="221" xr:uid="{00000000-0005-0000-0000-000040060000}"/>
    <cellStyle name="Bad 20" xfId="42367" xr:uid="{00000000-0005-0000-0000-000041060000}"/>
    <cellStyle name="Bad 21" xfId="42368" xr:uid="{00000000-0005-0000-0000-000042060000}"/>
    <cellStyle name="Bad 22" xfId="42369" xr:uid="{00000000-0005-0000-0000-000043060000}"/>
    <cellStyle name="Bad 23" xfId="42370" xr:uid="{00000000-0005-0000-0000-000044060000}"/>
    <cellStyle name="Bad 3" xfId="222" xr:uid="{00000000-0005-0000-0000-000045060000}"/>
    <cellStyle name="Bad 4" xfId="42371" xr:uid="{00000000-0005-0000-0000-000046060000}"/>
    <cellStyle name="Bad 5" xfId="42372" xr:uid="{00000000-0005-0000-0000-000047060000}"/>
    <cellStyle name="Bad 6" xfId="42373" xr:uid="{00000000-0005-0000-0000-000048060000}"/>
    <cellStyle name="Bad 7" xfId="42374" xr:uid="{00000000-0005-0000-0000-000049060000}"/>
    <cellStyle name="Bad 8" xfId="42375" xr:uid="{00000000-0005-0000-0000-00004A060000}"/>
    <cellStyle name="Bad 9" xfId="42376" xr:uid="{00000000-0005-0000-0000-00004B060000}"/>
    <cellStyle name="biu" xfId="146" xr:uid="{00000000-0005-0000-0000-00004C060000}"/>
    <cellStyle name="Body: normal cell" xfId="16" xr:uid="{00000000-0005-0000-0000-00004D060000}"/>
    <cellStyle name="Calculation" xfId="4" builtinId="22"/>
    <cellStyle name="Calculation 10" xfId="42377" xr:uid="{00000000-0005-0000-0000-00004F060000}"/>
    <cellStyle name="Calculation 11" xfId="42378" xr:uid="{00000000-0005-0000-0000-000050060000}"/>
    <cellStyle name="Calculation 12" xfId="42379" xr:uid="{00000000-0005-0000-0000-000051060000}"/>
    <cellStyle name="Calculation 13" xfId="42380" xr:uid="{00000000-0005-0000-0000-000052060000}"/>
    <cellStyle name="Calculation 14" xfId="42381" xr:uid="{00000000-0005-0000-0000-000053060000}"/>
    <cellStyle name="Calculation 15" xfId="42382" xr:uid="{00000000-0005-0000-0000-000054060000}"/>
    <cellStyle name="Calculation 16" xfId="42383" xr:uid="{00000000-0005-0000-0000-000055060000}"/>
    <cellStyle name="Calculation 17" xfId="42384" xr:uid="{00000000-0005-0000-0000-000056060000}"/>
    <cellStyle name="Calculation 18" xfId="42385" xr:uid="{00000000-0005-0000-0000-000057060000}"/>
    <cellStyle name="Calculation 19" xfId="42386" xr:uid="{00000000-0005-0000-0000-000058060000}"/>
    <cellStyle name="Calculation 2" xfId="47" xr:uid="{00000000-0005-0000-0000-000059060000}"/>
    <cellStyle name="Calculation 2 2" xfId="42387" xr:uid="{00000000-0005-0000-0000-00005A060000}"/>
    <cellStyle name="Calculation 20" xfId="42388" xr:uid="{00000000-0005-0000-0000-00005B060000}"/>
    <cellStyle name="Calculation 21" xfId="42389" xr:uid="{00000000-0005-0000-0000-00005C060000}"/>
    <cellStyle name="Calculation 22" xfId="42390" xr:uid="{00000000-0005-0000-0000-00005D060000}"/>
    <cellStyle name="Calculation 23" xfId="42391" xr:uid="{00000000-0005-0000-0000-00005E060000}"/>
    <cellStyle name="Calculation 3" xfId="42392" xr:uid="{00000000-0005-0000-0000-00005F060000}"/>
    <cellStyle name="Calculation 4" xfId="42393" xr:uid="{00000000-0005-0000-0000-000060060000}"/>
    <cellStyle name="Calculation 5" xfId="42394" xr:uid="{00000000-0005-0000-0000-000061060000}"/>
    <cellStyle name="Calculation 6" xfId="42395" xr:uid="{00000000-0005-0000-0000-000062060000}"/>
    <cellStyle name="Calculation 7" xfId="42396" xr:uid="{00000000-0005-0000-0000-000063060000}"/>
    <cellStyle name="Calculation 8" xfId="42397" xr:uid="{00000000-0005-0000-0000-000064060000}"/>
    <cellStyle name="Calculation 9" xfId="42398" xr:uid="{00000000-0005-0000-0000-000065060000}"/>
    <cellStyle name="Check Cell 10" xfId="42399" xr:uid="{00000000-0005-0000-0000-000066060000}"/>
    <cellStyle name="Check Cell 11" xfId="42400" xr:uid="{00000000-0005-0000-0000-000067060000}"/>
    <cellStyle name="Check Cell 12" xfId="42401" xr:uid="{00000000-0005-0000-0000-000068060000}"/>
    <cellStyle name="Check Cell 13" xfId="42402" xr:uid="{00000000-0005-0000-0000-000069060000}"/>
    <cellStyle name="Check Cell 14" xfId="42403" xr:uid="{00000000-0005-0000-0000-00006A060000}"/>
    <cellStyle name="Check Cell 15" xfId="42404" xr:uid="{00000000-0005-0000-0000-00006B060000}"/>
    <cellStyle name="Check Cell 16" xfId="42405" xr:uid="{00000000-0005-0000-0000-00006C060000}"/>
    <cellStyle name="Check Cell 17" xfId="42406" xr:uid="{00000000-0005-0000-0000-00006D060000}"/>
    <cellStyle name="Check Cell 18" xfId="42407" xr:uid="{00000000-0005-0000-0000-00006E060000}"/>
    <cellStyle name="Check Cell 19" xfId="42408" xr:uid="{00000000-0005-0000-0000-00006F060000}"/>
    <cellStyle name="Check Cell 2" xfId="48" xr:uid="{00000000-0005-0000-0000-000070060000}"/>
    <cellStyle name="Check Cell 2 2" xfId="42409" xr:uid="{00000000-0005-0000-0000-000071060000}"/>
    <cellStyle name="Check Cell 20" xfId="42410" xr:uid="{00000000-0005-0000-0000-000072060000}"/>
    <cellStyle name="Check Cell 21" xfId="42411" xr:uid="{00000000-0005-0000-0000-000073060000}"/>
    <cellStyle name="Check Cell 22" xfId="42412" xr:uid="{00000000-0005-0000-0000-000074060000}"/>
    <cellStyle name="Check Cell 23" xfId="42413" xr:uid="{00000000-0005-0000-0000-000075060000}"/>
    <cellStyle name="Check Cell 3" xfId="42414" xr:uid="{00000000-0005-0000-0000-000076060000}"/>
    <cellStyle name="Check Cell 4" xfId="42415" xr:uid="{00000000-0005-0000-0000-000077060000}"/>
    <cellStyle name="Check Cell 5" xfId="42416" xr:uid="{00000000-0005-0000-0000-000078060000}"/>
    <cellStyle name="Check Cell 6" xfId="42417" xr:uid="{00000000-0005-0000-0000-000079060000}"/>
    <cellStyle name="Check Cell 7" xfId="42418" xr:uid="{00000000-0005-0000-0000-00007A060000}"/>
    <cellStyle name="Check Cell 8" xfId="42419" xr:uid="{00000000-0005-0000-0000-00007B060000}"/>
    <cellStyle name="Check Cell 9" xfId="42420" xr:uid="{00000000-0005-0000-0000-00007C060000}"/>
    <cellStyle name="Column heading" xfId="49" xr:uid="{00000000-0005-0000-0000-00007D060000}"/>
    <cellStyle name="Comma" xfId="2" builtinId="3"/>
    <cellStyle name="Comma 10" xfId="42421" xr:uid="{00000000-0005-0000-0000-00007F060000}"/>
    <cellStyle name="Comma 11" xfId="42422" xr:uid="{00000000-0005-0000-0000-000080060000}"/>
    <cellStyle name="Comma 11 2" xfId="42423" xr:uid="{00000000-0005-0000-0000-000081060000}"/>
    <cellStyle name="Comma 11 2 2" xfId="42424" xr:uid="{00000000-0005-0000-0000-000082060000}"/>
    <cellStyle name="Comma 11 2 3" xfId="42425" xr:uid="{00000000-0005-0000-0000-000083060000}"/>
    <cellStyle name="Comma 11 3" xfId="42426" xr:uid="{00000000-0005-0000-0000-000084060000}"/>
    <cellStyle name="Comma 11 3 2" xfId="42427" xr:uid="{00000000-0005-0000-0000-000085060000}"/>
    <cellStyle name="Comma 11 3 3" xfId="42428" xr:uid="{00000000-0005-0000-0000-000086060000}"/>
    <cellStyle name="Comma 11 4" xfId="42429" xr:uid="{00000000-0005-0000-0000-000087060000}"/>
    <cellStyle name="Comma 11 5" xfId="42430" xr:uid="{00000000-0005-0000-0000-000088060000}"/>
    <cellStyle name="Comma 12" xfId="42431" xr:uid="{00000000-0005-0000-0000-000089060000}"/>
    <cellStyle name="Comma 12 2" xfId="42432" xr:uid="{00000000-0005-0000-0000-00008A060000}"/>
    <cellStyle name="Comma 12 2 2" xfId="42433" xr:uid="{00000000-0005-0000-0000-00008B060000}"/>
    <cellStyle name="Comma 12 2 3" xfId="42434" xr:uid="{00000000-0005-0000-0000-00008C060000}"/>
    <cellStyle name="Comma 12 3" xfId="42435" xr:uid="{00000000-0005-0000-0000-00008D060000}"/>
    <cellStyle name="Comma 12 3 2" xfId="42436" xr:uid="{00000000-0005-0000-0000-00008E060000}"/>
    <cellStyle name="Comma 12 3 3" xfId="42437" xr:uid="{00000000-0005-0000-0000-00008F060000}"/>
    <cellStyle name="Comma 12 4" xfId="42438" xr:uid="{00000000-0005-0000-0000-000090060000}"/>
    <cellStyle name="Comma 12 5" xfId="42439" xr:uid="{00000000-0005-0000-0000-000091060000}"/>
    <cellStyle name="Comma 13" xfId="42440" xr:uid="{00000000-0005-0000-0000-000092060000}"/>
    <cellStyle name="Comma 14" xfId="42441" xr:uid="{00000000-0005-0000-0000-000093060000}"/>
    <cellStyle name="Comma 15" xfId="42442" xr:uid="{00000000-0005-0000-0000-000094060000}"/>
    <cellStyle name="Comma 16" xfId="42443" xr:uid="{00000000-0005-0000-0000-000095060000}"/>
    <cellStyle name="Comma 17" xfId="42444" xr:uid="{00000000-0005-0000-0000-000096060000}"/>
    <cellStyle name="Comma 18" xfId="42445" xr:uid="{00000000-0005-0000-0000-000097060000}"/>
    <cellStyle name="Comma 2" xfId="50" xr:uid="{00000000-0005-0000-0000-000098060000}"/>
    <cellStyle name="Comma 2 2" xfId="147" xr:uid="{00000000-0005-0000-0000-000099060000}"/>
    <cellStyle name="Comma 2 3" xfId="42446" xr:uid="{00000000-0005-0000-0000-00009A060000}"/>
    <cellStyle name="Comma 3" xfId="51" xr:uid="{00000000-0005-0000-0000-00009B060000}"/>
    <cellStyle name="Comma 3 2" xfId="211" xr:uid="{00000000-0005-0000-0000-00009C060000}"/>
    <cellStyle name="Comma 3 2 2" xfId="42447" xr:uid="{00000000-0005-0000-0000-00009D060000}"/>
    <cellStyle name="Comma 3 2 2 2" xfId="42448" xr:uid="{00000000-0005-0000-0000-00009E060000}"/>
    <cellStyle name="Comma 3 2 2 2 2" xfId="42449" xr:uid="{00000000-0005-0000-0000-00009F060000}"/>
    <cellStyle name="Comma 3 2 2 2 2 2" xfId="42450" xr:uid="{00000000-0005-0000-0000-0000A0060000}"/>
    <cellStyle name="Comma 3 2 2 2 2 3" xfId="42451" xr:uid="{00000000-0005-0000-0000-0000A1060000}"/>
    <cellStyle name="Comma 3 2 2 2 3" xfId="42452" xr:uid="{00000000-0005-0000-0000-0000A2060000}"/>
    <cellStyle name="Comma 3 2 2 2 3 2" xfId="42453" xr:uid="{00000000-0005-0000-0000-0000A3060000}"/>
    <cellStyle name="Comma 3 2 2 2 3 3" xfId="42454" xr:uid="{00000000-0005-0000-0000-0000A4060000}"/>
    <cellStyle name="Comma 3 2 2 2 4" xfId="42455" xr:uid="{00000000-0005-0000-0000-0000A5060000}"/>
    <cellStyle name="Comma 3 2 2 2 5" xfId="42456" xr:uid="{00000000-0005-0000-0000-0000A6060000}"/>
    <cellStyle name="Comma 3 2 2 3" xfId="42457" xr:uid="{00000000-0005-0000-0000-0000A7060000}"/>
    <cellStyle name="Comma 3 2 2 3 2" xfId="42458" xr:uid="{00000000-0005-0000-0000-0000A8060000}"/>
    <cellStyle name="Comma 3 2 2 3 3" xfId="42459" xr:uid="{00000000-0005-0000-0000-0000A9060000}"/>
    <cellStyle name="Comma 3 2 2 4" xfId="42460" xr:uid="{00000000-0005-0000-0000-0000AA060000}"/>
    <cellStyle name="Comma 3 2 2 4 2" xfId="42461" xr:uid="{00000000-0005-0000-0000-0000AB060000}"/>
    <cellStyle name="Comma 3 2 2 4 3" xfId="42462" xr:uid="{00000000-0005-0000-0000-0000AC060000}"/>
    <cellStyle name="Comma 3 2 2 5" xfId="42463" xr:uid="{00000000-0005-0000-0000-0000AD060000}"/>
    <cellStyle name="Comma 3 2 2 6" xfId="42464" xr:uid="{00000000-0005-0000-0000-0000AE060000}"/>
    <cellStyle name="Comma 3 2 3" xfId="42465" xr:uid="{00000000-0005-0000-0000-0000AF060000}"/>
    <cellStyle name="Comma 3 2 3 2" xfId="42466" xr:uid="{00000000-0005-0000-0000-0000B0060000}"/>
    <cellStyle name="Comma 3 2 3 2 2" xfId="42467" xr:uid="{00000000-0005-0000-0000-0000B1060000}"/>
    <cellStyle name="Comma 3 2 3 2 3" xfId="42468" xr:uid="{00000000-0005-0000-0000-0000B2060000}"/>
    <cellStyle name="Comma 3 2 3 3" xfId="42469" xr:uid="{00000000-0005-0000-0000-0000B3060000}"/>
    <cellStyle name="Comma 3 2 3 3 2" xfId="42470" xr:uid="{00000000-0005-0000-0000-0000B4060000}"/>
    <cellStyle name="Comma 3 2 3 3 3" xfId="42471" xr:uid="{00000000-0005-0000-0000-0000B5060000}"/>
    <cellStyle name="Comma 3 2 3 4" xfId="42472" xr:uid="{00000000-0005-0000-0000-0000B6060000}"/>
    <cellStyle name="Comma 3 2 3 5" xfId="42473" xr:uid="{00000000-0005-0000-0000-0000B7060000}"/>
    <cellStyle name="Comma 3 2 4" xfId="42474" xr:uid="{00000000-0005-0000-0000-0000B8060000}"/>
    <cellStyle name="Comma 3 2 4 2" xfId="42475" xr:uid="{00000000-0005-0000-0000-0000B9060000}"/>
    <cellStyle name="Comma 3 2 4 3" xfId="42476" xr:uid="{00000000-0005-0000-0000-0000BA060000}"/>
    <cellStyle name="Comma 3 2 5" xfId="42477" xr:uid="{00000000-0005-0000-0000-0000BB060000}"/>
    <cellStyle name="Comma 3 2 5 2" xfId="42478" xr:uid="{00000000-0005-0000-0000-0000BC060000}"/>
    <cellStyle name="Comma 3 2 5 3" xfId="42479" xr:uid="{00000000-0005-0000-0000-0000BD060000}"/>
    <cellStyle name="Comma 3 2 6" xfId="42480" xr:uid="{00000000-0005-0000-0000-0000BE060000}"/>
    <cellStyle name="Comma 3 2 7" xfId="42481" xr:uid="{00000000-0005-0000-0000-0000BF060000}"/>
    <cellStyle name="Comma 4" xfId="148" xr:uid="{00000000-0005-0000-0000-0000C0060000}"/>
    <cellStyle name="Comma 5" xfId="19" xr:uid="{00000000-0005-0000-0000-0000C1060000}"/>
    <cellStyle name="Comma 5 2" xfId="149" xr:uid="{00000000-0005-0000-0000-0000C2060000}"/>
    <cellStyle name="Comma 5 2 2" xfId="42482" xr:uid="{00000000-0005-0000-0000-0000C3060000}"/>
    <cellStyle name="Comma 5 2 2 2" xfId="42483" xr:uid="{00000000-0005-0000-0000-0000C4060000}"/>
    <cellStyle name="Comma 5 2 2 3" xfId="42484" xr:uid="{00000000-0005-0000-0000-0000C5060000}"/>
    <cellStyle name="Comma 5 2 3" xfId="42485" xr:uid="{00000000-0005-0000-0000-0000C6060000}"/>
    <cellStyle name="Comma 5 2 3 2" xfId="42486" xr:uid="{00000000-0005-0000-0000-0000C7060000}"/>
    <cellStyle name="Comma 5 2 3 3" xfId="42487" xr:uid="{00000000-0005-0000-0000-0000C8060000}"/>
    <cellStyle name="Comma 5 2 4" xfId="42488" xr:uid="{00000000-0005-0000-0000-0000C9060000}"/>
    <cellStyle name="Comma 5 2 5" xfId="42489" xr:uid="{00000000-0005-0000-0000-0000CA060000}"/>
    <cellStyle name="Comma 6" xfId="40799" xr:uid="{00000000-0005-0000-0000-0000CB060000}"/>
    <cellStyle name="Comma 7" xfId="40812" xr:uid="{00000000-0005-0000-0000-0000CC060000}"/>
    <cellStyle name="Comma 7 2" xfId="42490" xr:uid="{00000000-0005-0000-0000-0000CD060000}"/>
    <cellStyle name="Comma 7 2 2" xfId="42491" xr:uid="{00000000-0005-0000-0000-0000CE060000}"/>
    <cellStyle name="Comma 7 2 2 2" xfId="42492" xr:uid="{00000000-0005-0000-0000-0000CF060000}"/>
    <cellStyle name="Comma 7 2 2 3" xfId="42493" xr:uid="{00000000-0005-0000-0000-0000D0060000}"/>
    <cellStyle name="Comma 7 2 3" xfId="42494" xr:uid="{00000000-0005-0000-0000-0000D1060000}"/>
    <cellStyle name="Comma 7 2 3 2" xfId="42495" xr:uid="{00000000-0005-0000-0000-0000D2060000}"/>
    <cellStyle name="Comma 7 2 3 3" xfId="42496" xr:uid="{00000000-0005-0000-0000-0000D3060000}"/>
    <cellStyle name="Comma 7 2 4" xfId="42497" xr:uid="{00000000-0005-0000-0000-0000D4060000}"/>
    <cellStyle name="Comma 7 2 5" xfId="42498" xr:uid="{00000000-0005-0000-0000-0000D5060000}"/>
    <cellStyle name="Comma 7 3" xfId="42499" xr:uid="{00000000-0005-0000-0000-0000D6060000}"/>
    <cellStyle name="Comma 8" xfId="42500" xr:uid="{00000000-0005-0000-0000-0000D7060000}"/>
    <cellStyle name="Comma 8 2" xfId="42501" xr:uid="{00000000-0005-0000-0000-0000D8060000}"/>
    <cellStyle name="Comma 8 2 2" xfId="42502" xr:uid="{00000000-0005-0000-0000-0000D9060000}"/>
    <cellStyle name="Comma 8 2 3" xfId="42503" xr:uid="{00000000-0005-0000-0000-0000DA060000}"/>
    <cellStyle name="Comma 8 3" xfId="42504" xr:uid="{00000000-0005-0000-0000-0000DB060000}"/>
    <cellStyle name="Comma 8 3 2" xfId="42505" xr:uid="{00000000-0005-0000-0000-0000DC060000}"/>
    <cellStyle name="Comma 8 3 3" xfId="42506" xr:uid="{00000000-0005-0000-0000-0000DD060000}"/>
    <cellStyle name="Comma 8 4" xfId="42507" xr:uid="{00000000-0005-0000-0000-0000DE060000}"/>
    <cellStyle name="Comma 8 5" xfId="42508" xr:uid="{00000000-0005-0000-0000-0000DF060000}"/>
    <cellStyle name="Comma 9" xfId="42509" xr:uid="{00000000-0005-0000-0000-0000E0060000}"/>
    <cellStyle name="Comma 9 2" xfId="42510" xr:uid="{00000000-0005-0000-0000-0000E1060000}"/>
    <cellStyle name="Comma 9 2 2" xfId="42511" xr:uid="{00000000-0005-0000-0000-0000E2060000}"/>
    <cellStyle name="Comma 9 2 3" xfId="42512" xr:uid="{00000000-0005-0000-0000-0000E3060000}"/>
    <cellStyle name="Comma 9 3" xfId="42513" xr:uid="{00000000-0005-0000-0000-0000E4060000}"/>
    <cellStyle name="Comma 9 3 2" xfId="42514" xr:uid="{00000000-0005-0000-0000-0000E5060000}"/>
    <cellStyle name="Comma 9 3 3" xfId="42515" xr:uid="{00000000-0005-0000-0000-0000E6060000}"/>
    <cellStyle name="Comma 9 4" xfId="42516" xr:uid="{00000000-0005-0000-0000-0000E7060000}"/>
    <cellStyle name="Comma 9 5" xfId="42517" xr:uid="{00000000-0005-0000-0000-0000E8060000}"/>
    <cellStyle name="Comma." xfId="150" xr:uid="{00000000-0005-0000-0000-0000E9060000}"/>
    <cellStyle name="Comma0" xfId="52" xr:uid="{00000000-0005-0000-0000-0000EA060000}"/>
    <cellStyle name="Comma0 2" xfId="42518" xr:uid="{00000000-0005-0000-0000-0000EB060000}"/>
    <cellStyle name="Corner heading" xfId="53" xr:uid="{00000000-0005-0000-0000-0000EC060000}"/>
    <cellStyle name="Currency" xfId="3" builtinId="4"/>
    <cellStyle name="Currency 10" xfId="42519" xr:uid="{00000000-0005-0000-0000-0000EE060000}"/>
    <cellStyle name="Currency 11" xfId="42520" xr:uid="{00000000-0005-0000-0000-0000EF060000}"/>
    <cellStyle name="Currency 12" xfId="42521" xr:uid="{00000000-0005-0000-0000-0000F0060000}"/>
    <cellStyle name="Currency 13" xfId="42522" xr:uid="{00000000-0005-0000-0000-0000F1060000}"/>
    <cellStyle name="Currency 14" xfId="42523" xr:uid="{00000000-0005-0000-0000-0000F2060000}"/>
    <cellStyle name="Currency 15" xfId="42524" xr:uid="{00000000-0005-0000-0000-0000F3060000}"/>
    <cellStyle name="Currency 15 2" xfId="42525" xr:uid="{00000000-0005-0000-0000-0000F4060000}"/>
    <cellStyle name="Currency 16" xfId="42526" xr:uid="{00000000-0005-0000-0000-0000F5060000}"/>
    <cellStyle name="Currency 16 2" xfId="42527" xr:uid="{00000000-0005-0000-0000-0000F6060000}"/>
    <cellStyle name="Currency 16 2 2" xfId="42528" xr:uid="{00000000-0005-0000-0000-0000F7060000}"/>
    <cellStyle name="Currency 16 2 2 2" xfId="42529" xr:uid="{00000000-0005-0000-0000-0000F8060000}"/>
    <cellStyle name="Currency 16 2 2 3" xfId="42530" xr:uid="{00000000-0005-0000-0000-0000F9060000}"/>
    <cellStyle name="Currency 16 2 3" xfId="42531" xr:uid="{00000000-0005-0000-0000-0000FA060000}"/>
    <cellStyle name="Currency 16 2 3 2" xfId="42532" xr:uid="{00000000-0005-0000-0000-0000FB060000}"/>
    <cellStyle name="Currency 16 2 3 3" xfId="42533" xr:uid="{00000000-0005-0000-0000-0000FC060000}"/>
    <cellStyle name="Currency 16 2 4" xfId="42534" xr:uid="{00000000-0005-0000-0000-0000FD060000}"/>
    <cellStyle name="Currency 16 2 5" xfId="42535" xr:uid="{00000000-0005-0000-0000-0000FE060000}"/>
    <cellStyle name="Currency 16 3" xfId="42536" xr:uid="{00000000-0005-0000-0000-0000FF060000}"/>
    <cellStyle name="Currency 16 3 2" xfId="42537" xr:uid="{00000000-0005-0000-0000-000000070000}"/>
    <cellStyle name="Currency 16 3 3" xfId="42538" xr:uid="{00000000-0005-0000-0000-000001070000}"/>
    <cellStyle name="Currency 16 4" xfId="42539" xr:uid="{00000000-0005-0000-0000-000002070000}"/>
    <cellStyle name="Currency 16 4 2" xfId="42540" xr:uid="{00000000-0005-0000-0000-000003070000}"/>
    <cellStyle name="Currency 16 4 3" xfId="42541" xr:uid="{00000000-0005-0000-0000-000004070000}"/>
    <cellStyle name="Currency 16 5" xfId="42542" xr:uid="{00000000-0005-0000-0000-000005070000}"/>
    <cellStyle name="Currency 16 6" xfId="42543" xr:uid="{00000000-0005-0000-0000-000006070000}"/>
    <cellStyle name="Currency 17" xfId="42544" xr:uid="{00000000-0005-0000-0000-000007070000}"/>
    <cellStyle name="Currency 17 2" xfId="42545" xr:uid="{00000000-0005-0000-0000-000008070000}"/>
    <cellStyle name="Currency 17 2 2" xfId="42546" xr:uid="{00000000-0005-0000-0000-000009070000}"/>
    <cellStyle name="Currency 17 2 3" xfId="42547" xr:uid="{00000000-0005-0000-0000-00000A070000}"/>
    <cellStyle name="Currency 17 3" xfId="42548" xr:uid="{00000000-0005-0000-0000-00000B070000}"/>
    <cellStyle name="Currency 17 3 2" xfId="42549" xr:uid="{00000000-0005-0000-0000-00000C070000}"/>
    <cellStyle name="Currency 17 3 3" xfId="42550" xr:uid="{00000000-0005-0000-0000-00000D070000}"/>
    <cellStyle name="Currency 17 4" xfId="42551" xr:uid="{00000000-0005-0000-0000-00000E070000}"/>
    <cellStyle name="Currency 17 5" xfId="42552" xr:uid="{00000000-0005-0000-0000-00000F070000}"/>
    <cellStyle name="Currency 18" xfId="42553" xr:uid="{00000000-0005-0000-0000-000010070000}"/>
    <cellStyle name="Currency 18 2" xfId="42554" xr:uid="{00000000-0005-0000-0000-000011070000}"/>
    <cellStyle name="Currency 18 2 2" xfId="42555" xr:uid="{00000000-0005-0000-0000-000012070000}"/>
    <cellStyle name="Currency 18 2 2 2" xfId="42556" xr:uid="{00000000-0005-0000-0000-000013070000}"/>
    <cellStyle name="Currency 18 2 2 3" xfId="42557" xr:uid="{00000000-0005-0000-0000-000014070000}"/>
    <cellStyle name="Currency 18 2 3" xfId="42558" xr:uid="{00000000-0005-0000-0000-000015070000}"/>
    <cellStyle name="Currency 18 2 3 2" xfId="42559" xr:uid="{00000000-0005-0000-0000-000016070000}"/>
    <cellStyle name="Currency 18 2 3 3" xfId="42560" xr:uid="{00000000-0005-0000-0000-000017070000}"/>
    <cellStyle name="Currency 18 2 4" xfId="42561" xr:uid="{00000000-0005-0000-0000-000018070000}"/>
    <cellStyle name="Currency 18 2 5" xfId="42562" xr:uid="{00000000-0005-0000-0000-000019070000}"/>
    <cellStyle name="Currency 18 3" xfId="42563" xr:uid="{00000000-0005-0000-0000-00001A070000}"/>
    <cellStyle name="Currency 18 3 2" xfId="42564" xr:uid="{00000000-0005-0000-0000-00001B070000}"/>
    <cellStyle name="Currency 18 3 3" xfId="42565" xr:uid="{00000000-0005-0000-0000-00001C070000}"/>
    <cellStyle name="Currency 18 4" xfId="42566" xr:uid="{00000000-0005-0000-0000-00001D070000}"/>
    <cellStyle name="Currency 18 4 2" xfId="42567" xr:uid="{00000000-0005-0000-0000-00001E070000}"/>
    <cellStyle name="Currency 18 4 3" xfId="42568" xr:uid="{00000000-0005-0000-0000-00001F070000}"/>
    <cellStyle name="Currency 18 5" xfId="42569" xr:uid="{00000000-0005-0000-0000-000020070000}"/>
    <cellStyle name="Currency 18 6" xfId="42570" xr:uid="{00000000-0005-0000-0000-000021070000}"/>
    <cellStyle name="Currency 19" xfId="42571" xr:uid="{00000000-0005-0000-0000-000022070000}"/>
    <cellStyle name="Currency 2" xfId="54" xr:uid="{00000000-0005-0000-0000-000023070000}"/>
    <cellStyle name="Currency 20" xfId="42572" xr:uid="{00000000-0005-0000-0000-000024070000}"/>
    <cellStyle name="Currency 21" xfId="42573" xr:uid="{00000000-0005-0000-0000-000025070000}"/>
    <cellStyle name="Currency 22" xfId="42574" xr:uid="{00000000-0005-0000-0000-000026070000}"/>
    <cellStyle name="Currency 23" xfId="42575" xr:uid="{00000000-0005-0000-0000-000027070000}"/>
    <cellStyle name="Currency 3" xfId="55" xr:uid="{00000000-0005-0000-0000-000028070000}"/>
    <cellStyle name="Currency 4" xfId="21" xr:uid="{00000000-0005-0000-0000-000029070000}"/>
    <cellStyle name="Currency 4 2" xfId="42576" xr:uid="{00000000-0005-0000-0000-00002A070000}"/>
    <cellStyle name="Currency 4 2 2" xfId="42577" xr:uid="{00000000-0005-0000-0000-00002B070000}"/>
    <cellStyle name="Currency 4 2 2 2" xfId="42578" xr:uid="{00000000-0005-0000-0000-00002C070000}"/>
    <cellStyle name="Currency 4 2 2 3" xfId="42579" xr:uid="{00000000-0005-0000-0000-00002D070000}"/>
    <cellStyle name="Currency 4 2 3" xfId="42580" xr:uid="{00000000-0005-0000-0000-00002E070000}"/>
    <cellStyle name="Currency 4 2 3 2" xfId="42581" xr:uid="{00000000-0005-0000-0000-00002F070000}"/>
    <cellStyle name="Currency 4 2 3 3" xfId="42582" xr:uid="{00000000-0005-0000-0000-000030070000}"/>
    <cellStyle name="Currency 4 2 4" xfId="42583" xr:uid="{00000000-0005-0000-0000-000031070000}"/>
    <cellStyle name="Currency 4 2 5" xfId="42584" xr:uid="{00000000-0005-0000-0000-000032070000}"/>
    <cellStyle name="Currency 5" xfId="40800" xr:uid="{00000000-0005-0000-0000-000033070000}"/>
    <cellStyle name="Currency 6" xfId="40801" xr:uid="{00000000-0005-0000-0000-000034070000}"/>
    <cellStyle name="Currency 7" xfId="40802" xr:uid="{00000000-0005-0000-0000-000035070000}"/>
    <cellStyle name="Currency 8" xfId="42585" xr:uid="{00000000-0005-0000-0000-000036070000}"/>
    <cellStyle name="Currency 8 2" xfId="42586" xr:uid="{00000000-0005-0000-0000-000037070000}"/>
    <cellStyle name="Currency 8 2 2" xfId="42587" xr:uid="{00000000-0005-0000-0000-000038070000}"/>
    <cellStyle name="Currency 8 2 2 2" xfId="42588" xr:uid="{00000000-0005-0000-0000-000039070000}"/>
    <cellStyle name="Currency 8 2 2 3" xfId="42589" xr:uid="{00000000-0005-0000-0000-00003A070000}"/>
    <cellStyle name="Currency 8 2 3" xfId="42590" xr:uid="{00000000-0005-0000-0000-00003B070000}"/>
    <cellStyle name="Currency 8 2 3 2" xfId="42591" xr:uid="{00000000-0005-0000-0000-00003C070000}"/>
    <cellStyle name="Currency 8 2 3 3" xfId="42592" xr:uid="{00000000-0005-0000-0000-00003D070000}"/>
    <cellStyle name="Currency 8 2 4" xfId="42593" xr:uid="{00000000-0005-0000-0000-00003E070000}"/>
    <cellStyle name="Currency 8 2 5" xfId="42594" xr:uid="{00000000-0005-0000-0000-00003F070000}"/>
    <cellStyle name="Currency 9" xfId="42595" xr:uid="{00000000-0005-0000-0000-000040070000}"/>
    <cellStyle name="Currency." xfId="151" xr:uid="{00000000-0005-0000-0000-000041070000}"/>
    <cellStyle name="Currency.00" xfId="152" xr:uid="{00000000-0005-0000-0000-000042070000}"/>
    <cellStyle name="Currency0" xfId="56" xr:uid="{00000000-0005-0000-0000-000043070000}"/>
    <cellStyle name="Currency0 2" xfId="57" xr:uid="{00000000-0005-0000-0000-000044070000}"/>
    <cellStyle name="Data" xfId="58" xr:uid="{00000000-0005-0000-0000-000045070000}"/>
    <cellStyle name="Data 2" xfId="59" xr:uid="{00000000-0005-0000-0000-000046070000}"/>
    <cellStyle name="Data 2 10" xfId="307" xr:uid="{00000000-0005-0000-0000-000047070000}"/>
    <cellStyle name="Data 2 10 10" xfId="308" xr:uid="{00000000-0005-0000-0000-000048070000}"/>
    <cellStyle name="Data 2 10 10 2" xfId="309" xr:uid="{00000000-0005-0000-0000-000049070000}"/>
    <cellStyle name="Data 2 10 10 2 2" xfId="310" xr:uid="{00000000-0005-0000-0000-00004A070000}"/>
    <cellStyle name="Data 2 10 10 3" xfId="311" xr:uid="{00000000-0005-0000-0000-00004B070000}"/>
    <cellStyle name="Data 2 10 10 3 2" xfId="312" xr:uid="{00000000-0005-0000-0000-00004C070000}"/>
    <cellStyle name="Data 2 10 10 4" xfId="313" xr:uid="{00000000-0005-0000-0000-00004D070000}"/>
    <cellStyle name="Data 2 10 10 4 2" xfId="314" xr:uid="{00000000-0005-0000-0000-00004E070000}"/>
    <cellStyle name="Data 2 10 10 5" xfId="315" xr:uid="{00000000-0005-0000-0000-00004F070000}"/>
    <cellStyle name="Data 2 10 10 5 2" xfId="316" xr:uid="{00000000-0005-0000-0000-000050070000}"/>
    <cellStyle name="Data 2 10 10 6" xfId="317" xr:uid="{00000000-0005-0000-0000-000051070000}"/>
    <cellStyle name="Data 2 10 10 6 2" xfId="318" xr:uid="{00000000-0005-0000-0000-000052070000}"/>
    <cellStyle name="Data 2 10 10 7" xfId="319" xr:uid="{00000000-0005-0000-0000-000053070000}"/>
    <cellStyle name="Data 2 10 10 7 2" xfId="320" xr:uid="{00000000-0005-0000-0000-000054070000}"/>
    <cellStyle name="Data 2 10 10 8" xfId="321" xr:uid="{00000000-0005-0000-0000-000055070000}"/>
    <cellStyle name="Data 2 10 10 8 2" xfId="322" xr:uid="{00000000-0005-0000-0000-000056070000}"/>
    <cellStyle name="Data 2 10 10 9" xfId="323" xr:uid="{00000000-0005-0000-0000-000057070000}"/>
    <cellStyle name="Data 2 10 11" xfId="324" xr:uid="{00000000-0005-0000-0000-000058070000}"/>
    <cellStyle name="Data 2 10 11 2" xfId="325" xr:uid="{00000000-0005-0000-0000-000059070000}"/>
    <cellStyle name="Data 2 10 12" xfId="326" xr:uid="{00000000-0005-0000-0000-00005A070000}"/>
    <cellStyle name="Data 2 10 12 2" xfId="327" xr:uid="{00000000-0005-0000-0000-00005B070000}"/>
    <cellStyle name="Data 2 10 13" xfId="328" xr:uid="{00000000-0005-0000-0000-00005C070000}"/>
    <cellStyle name="Data 2 10 13 2" xfId="329" xr:uid="{00000000-0005-0000-0000-00005D070000}"/>
    <cellStyle name="Data 2 10 14" xfId="330" xr:uid="{00000000-0005-0000-0000-00005E070000}"/>
    <cellStyle name="Data 2 10 14 2" xfId="331" xr:uid="{00000000-0005-0000-0000-00005F070000}"/>
    <cellStyle name="Data 2 10 15" xfId="332" xr:uid="{00000000-0005-0000-0000-000060070000}"/>
    <cellStyle name="Data 2 10 15 2" xfId="333" xr:uid="{00000000-0005-0000-0000-000061070000}"/>
    <cellStyle name="Data 2 10 16" xfId="334" xr:uid="{00000000-0005-0000-0000-000062070000}"/>
    <cellStyle name="Data 2 10 16 2" xfId="335" xr:uid="{00000000-0005-0000-0000-000063070000}"/>
    <cellStyle name="Data 2 10 17" xfId="336" xr:uid="{00000000-0005-0000-0000-000064070000}"/>
    <cellStyle name="Data 2 10 17 2" xfId="337" xr:uid="{00000000-0005-0000-0000-000065070000}"/>
    <cellStyle name="Data 2 10 18" xfId="338" xr:uid="{00000000-0005-0000-0000-000066070000}"/>
    <cellStyle name="Data 2 10 2" xfId="339" xr:uid="{00000000-0005-0000-0000-000067070000}"/>
    <cellStyle name="Data 2 10 2 10" xfId="340" xr:uid="{00000000-0005-0000-0000-000068070000}"/>
    <cellStyle name="Data 2 10 2 2" xfId="341" xr:uid="{00000000-0005-0000-0000-000069070000}"/>
    <cellStyle name="Data 2 10 2 2 2" xfId="342" xr:uid="{00000000-0005-0000-0000-00006A070000}"/>
    <cellStyle name="Data 2 10 2 3" xfId="343" xr:uid="{00000000-0005-0000-0000-00006B070000}"/>
    <cellStyle name="Data 2 10 2 3 2" xfId="344" xr:uid="{00000000-0005-0000-0000-00006C070000}"/>
    <cellStyle name="Data 2 10 2 4" xfId="345" xr:uid="{00000000-0005-0000-0000-00006D070000}"/>
    <cellStyle name="Data 2 10 2 4 2" xfId="346" xr:uid="{00000000-0005-0000-0000-00006E070000}"/>
    <cellStyle name="Data 2 10 2 5" xfId="347" xr:uid="{00000000-0005-0000-0000-00006F070000}"/>
    <cellStyle name="Data 2 10 2 5 2" xfId="348" xr:uid="{00000000-0005-0000-0000-000070070000}"/>
    <cellStyle name="Data 2 10 2 6" xfId="349" xr:uid="{00000000-0005-0000-0000-000071070000}"/>
    <cellStyle name="Data 2 10 2 6 2" xfId="350" xr:uid="{00000000-0005-0000-0000-000072070000}"/>
    <cellStyle name="Data 2 10 2 7" xfId="351" xr:uid="{00000000-0005-0000-0000-000073070000}"/>
    <cellStyle name="Data 2 10 2 7 2" xfId="352" xr:uid="{00000000-0005-0000-0000-000074070000}"/>
    <cellStyle name="Data 2 10 2 8" xfId="353" xr:uid="{00000000-0005-0000-0000-000075070000}"/>
    <cellStyle name="Data 2 10 2 8 2" xfId="354" xr:uid="{00000000-0005-0000-0000-000076070000}"/>
    <cellStyle name="Data 2 10 2 9" xfId="355" xr:uid="{00000000-0005-0000-0000-000077070000}"/>
    <cellStyle name="Data 2 10 2 9 2" xfId="356" xr:uid="{00000000-0005-0000-0000-000078070000}"/>
    <cellStyle name="Data 2 10 3" xfId="357" xr:uid="{00000000-0005-0000-0000-000079070000}"/>
    <cellStyle name="Data 2 10 3 10" xfId="358" xr:uid="{00000000-0005-0000-0000-00007A070000}"/>
    <cellStyle name="Data 2 10 3 2" xfId="359" xr:uid="{00000000-0005-0000-0000-00007B070000}"/>
    <cellStyle name="Data 2 10 3 2 2" xfId="360" xr:uid="{00000000-0005-0000-0000-00007C070000}"/>
    <cellStyle name="Data 2 10 3 3" xfId="361" xr:uid="{00000000-0005-0000-0000-00007D070000}"/>
    <cellStyle name="Data 2 10 3 3 2" xfId="362" xr:uid="{00000000-0005-0000-0000-00007E070000}"/>
    <cellStyle name="Data 2 10 3 4" xfId="363" xr:uid="{00000000-0005-0000-0000-00007F070000}"/>
    <cellStyle name="Data 2 10 3 4 2" xfId="364" xr:uid="{00000000-0005-0000-0000-000080070000}"/>
    <cellStyle name="Data 2 10 3 5" xfId="365" xr:uid="{00000000-0005-0000-0000-000081070000}"/>
    <cellStyle name="Data 2 10 3 5 2" xfId="366" xr:uid="{00000000-0005-0000-0000-000082070000}"/>
    <cellStyle name="Data 2 10 3 6" xfId="367" xr:uid="{00000000-0005-0000-0000-000083070000}"/>
    <cellStyle name="Data 2 10 3 6 2" xfId="368" xr:uid="{00000000-0005-0000-0000-000084070000}"/>
    <cellStyle name="Data 2 10 3 7" xfId="369" xr:uid="{00000000-0005-0000-0000-000085070000}"/>
    <cellStyle name="Data 2 10 3 7 2" xfId="370" xr:uid="{00000000-0005-0000-0000-000086070000}"/>
    <cellStyle name="Data 2 10 3 8" xfId="371" xr:uid="{00000000-0005-0000-0000-000087070000}"/>
    <cellStyle name="Data 2 10 3 8 2" xfId="372" xr:uid="{00000000-0005-0000-0000-000088070000}"/>
    <cellStyle name="Data 2 10 3 9" xfId="373" xr:uid="{00000000-0005-0000-0000-000089070000}"/>
    <cellStyle name="Data 2 10 3 9 2" xfId="374" xr:uid="{00000000-0005-0000-0000-00008A070000}"/>
    <cellStyle name="Data 2 10 4" xfId="375" xr:uid="{00000000-0005-0000-0000-00008B070000}"/>
    <cellStyle name="Data 2 10 4 10" xfId="376" xr:uid="{00000000-0005-0000-0000-00008C070000}"/>
    <cellStyle name="Data 2 10 4 2" xfId="377" xr:uid="{00000000-0005-0000-0000-00008D070000}"/>
    <cellStyle name="Data 2 10 4 2 2" xfId="378" xr:uid="{00000000-0005-0000-0000-00008E070000}"/>
    <cellStyle name="Data 2 10 4 3" xfId="379" xr:uid="{00000000-0005-0000-0000-00008F070000}"/>
    <cellStyle name="Data 2 10 4 3 2" xfId="380" xr:uid="{00000000-0005-0000-0000-000090070000}"/>
    <cellStyle name="Data 2 10 4 4" xfId="381" xr:uid="{00000000-0005-0000-0000-000091070000}"/>
    <cellStyle name="Data 2 10 4 4 2" xfId="382" xr:uid="{00000000-0005-0000-0000-000092070000}"/>
    <cellStyle name="Data 2 10 4 5" xfId="383" xr:uid="{00000000-0005-0000-0000-000093070000}"/>
    <cellStyle name="Data 2 10 4 5 2" xfId="384" xr:uid="{00000000-0005-0000-0000-000094070000}"/>
    <cellStyle name="Data 2 10 4 6" xfId="385" xr:uid="{00000000-0005-0000-0000-000095070000}"/>
    <cellStyle name="Data 2 10 4 6 2" xfId="386" xr:uid="{00000000-0005-0000-0000-000096070000}"/>
    <cellStyle name="Data 2 10 4 7" xfId="387" xr:uid="{00000000-0005-0000-0000-000097070000}"/>
    <cellStyle name="Data 2 10 4 7 2" xfId="388" xr:uid="{00000000-0005-0000-0000-000098070000}"/>
    <cellStyle name="Data 2 10 4 8" xfId="389" xr:uid="{00000000-0005-0000-0000-000099070000}"/>
    <cellStyle name="Data 2 10 4 8 2" xfId="390" xr:uid="{00000000-0005-0000-0000-00009A070000}"/>
    <cellStyle name="Data 2 10 4 9" xfId="391" xr:uid="{00000000-0005-0000-0000-00009B070000}"/>
    <cellStyle name="Data 2 10 4 9 2" xfId="392" xr:uid="{00000000-0005-0000-0000-00009C070000}"/>
    <cellStyle name="Data 2 10 5" xfId="393" xr:uid="{00000000-0005-0000-0000-00009D070000}"/>
    <cellStyle name="Data 2 10 5 10" xfId="394" xr:uid="{00000000-0005-0000-0000-00009E070000}"/>
    <cellStyle name="Data 2 10 5 2" xfId="395" xr:uid="{00000000-0005-0000-0000-00009F070000}"/>
    <cellStyle name="Data 2 10 5 2 2" xfId="396" xr:uid="{00000000-0005-0000-0000-0000A0070000}"/>
    <cellStyle name="Data 2 10 5 3" xfId="397" xr:uid="{00000000-0005-0000-0000-0000A1070000}"/>
    <cellStyle name="Data 2 10 5 3 2" xfId="398" xr:uid="{00000000-0005-0000-0000-0000A2070000}"/>
    <cellStyle name="Data 2 10 5 4" xfId="399" xr:uid="{00000000-0005-0000-0000-0000A3070000}"/>
    <cellStyle name="Data 2 10 5 4 2" xfId="400" xr:uid="{00000000-0005-0000-0000-0000A4070000}"/>
    <cellStyle name="Data 2 10 5 5" xfId="401" xr:uid="{00000000-0005-0000-0000-0000A5070000}"/>
    <cellStyle name="Data 2 10 5 5 2" xfId="402" xr:uid="{00000000-0005-0000-0000-0000A6070000}"/>
    <cellStyle name="Data 2 10 5 6" xfId="403" xr:uid="{00000000-0005-0000-0000-0000A7070000}"/>
    <cellStyle name="Data 2 10 5 6 2" xfId="404" xr:uid="{00000000-0005-0000-0000-0000A8070000}"/>
    <cellStyle name="Data 2 10 5 7" xfId="405" xr:uid="{00000000-0005-0000-0000-0000A9070000}"/>
    <cellStyle name="Data 2 10 5 7 2" xfId="406" xr:uid="{00000000-0005-0000-0000-0000AA070000}"/>
    <cellStyle name="Data 2 10 5 8" xfId="407" xr:uid="{00000000-0005-0000-0000-0000AB070000}"/>
    <cellStyle name="Data 2 10 5 8 2" xfId="408" xr:uid="{00000000-0005-0000-0000-0000AC070000}"/>
    <cellStyle name="Data 2 10 5 9" xfId="409" xr:uid="{00000000-0005-0000-0000-0000AD070000}"/>
    <cellStyle name="Data 2 10 5 9 2" xfId="410" xr:uid="{00000000-0005-0000-0000-0000AE070000}"/>
    <cellStyle name="Data 2 10 6" xfId="411" xr:uid="{00000000-0005-0000-0000-0000AF070000}"/>
    <cellStyle name="Data 2 10 6 10" xfId="412" xr:uid="{00000000-0005-0000-0000-0000B0070000}"/>
    <cellStyle name="Data 2 10 6 2" xfId="413" xr:uid="{00000000-0005-0000-0000-0000B1070000}"/>
    <cellStyle name="Data 2 10 6 2 2" xfId="414" xr:uid="{00000000-0005-0000-0000-0000B2070000}"/>
    <cellStyle name="Data 2 10 6 3" xfId="415" xr:uid="{00000000-0005-0000-0000-0000B3070000}"/>
    <cellStyle name="Data 2 10 6 3 2" xfId="416" xr:uid="{00000000-0005-0000-0000-0000B4070000}"/>
    <cellStyle name="Data 2 10 6 4" xfId="417" xr:uid="{00000000-0005-0000-0000-0000B5070000}"/>
    <cellStyle name="Data 2 10 6 4 2" xfId="418" xr:uid="{00000000-0005-0000-0000-0000B6070000}"/>
    <cellStyle name="Data 2 10 6 5" xfId="419" xr:uid="{00000000-0005-0000-0000-0000B7070000}"/>
    <cellStyle name="Data 2 10 6 5 2" xfId="420" xr:uid="{00000000-0005-0000-0000-0000B8070000}"/>
    <cellStyle name="Data 2 10 6 6" xfId="421" xr:uid="{00000000-0005-0000-0000-0000B9070000}"/>
    <cellStyle name="Data 2 10 6 6 2" xfId="422" xr:uid="{00000000-0005-0000-0000-0000BA070000}"/>
    <cellStyle name="Data 2 10 6 7" xfId="423" xr:uid="{00000000-0005-0000-0000-0000BB070000}"/>
    <cellStyle name="Data 2 10 6 7 2" xfId="424" xr:uid="{00000000-0005-0000-0000-0000BC070000}"/>
    <cellStyle name="Data 2 10 6 8" xfId="425" xr:uid="{00000000-0005-0000-0000-0000BD070000}"/>
    <cellStyle name="Data 2 10 6 8 2" xfId="426" xr:uid="{00000000-0005-0000-0000-0000BE070000}"/>
    <cellStyle name="Data 2 10 6 9" xfId="427" xr:uid="{00000000-0005-0000-0000-0000BF070000}"/>
    <cellStyle name="Data 2 10 6 9 2" xfId="428" xr:uid="{00000000-0005-0000-0000-0000C0070000}"/>
    <cellStyle name="Data 2 10 7" xfId="429" xr:uid="{00000000-0005-0000-0000-0000C1070000}"/>
    <cellStyle name="Data 2 10 7 10" xfId="430" xr:uid="{00000000-0005-0000-0000-0000C2070000}"/>
    <cellStyle name="Data 2 10 7 2" xfId="431" xr:uid="{00000000-0005-0000-0000-0000C3070000}"/>
    <cellStyle name="Data 2 10 7 2 2" xfId="432" xr:uid="{00000000-0005-0000-0000-0000C4070000}"/>
    <cellStyle name="Data 2 10 7 3" xfId="433" xr:uid="{00000000-0005-0000-0000-0000C5070000}"/>
    <cellStyle name="Data 2 10 7 3 2" xfId="434" xr:uid="{00000000-0005-0000-0000-0000C6070000}"/>
    <cellStyle name="Data 2 10 7 4" xfId="435" xr:uid="{00000000-0005-0000-0000-0000C7070000}"/>
    <cellStyle name="Data 2 10 7 4 2" xfId="436" xr:uid="{00000000-0005-0000-0000-0000C8070000}"/>
    <cellStyle name="Data 2 10 7 5" xfId="437" xr:uid="{00000000-0005-0000-0000-0000C9070000}"/>
    <cellStyle name="Data 2 10 7 5 2" xfId="438" xr:uid="{00000000-0005-0000-0000-0000CA070000}"/>
    <cellStyle name="Data 2 10 7 6" xfId="439" xr:uid="{00000000-0005-0000-0000-0000CB070000}"/>
    <cellStyle name="Data 2 10 7 6 2" xfId="440" xr:uid="{00000000-0005-0000-0000-0000CC070000}"/>
    <cellStyle name="Data 2 10 7 7" xfId="441" xr:uid="{00000000-0005-0000-0000-0000CD070000}"/>
    <cellStyle name="Data 2 10 7 7 2" xfId="442" xr:uid="{00000000-0005-0000-0000-0000CE070000}"/>
    <cellStyle name="Data 2 10 7 8" xfId="443" xr:uid="{00000000-0005-0000-0000-0000CF070000}"/>
    <cellStyle name="Data 2 10 7 8 2" xfId="444" xr:uid="{00000000-0005-0000-0000-0000D0070000}"/>
    <cellStyle name="Data 2 10 7 9" xfId="445" xr:uid="{00000000-0005-0000-0000-0000D1070000}"/>
    <cellStyle name="Data 2 10 7 9 2" xfId="446" xr:uid="{00000000-0005-0000-0000-0000D2070000}"/>
    <cellStyle name="Data 2 10 8" xfId="447" xr:uid="{00000000-0005-0000-0000-0000D3070000}"/>
    <cellStyle name="Data 2 10 8 10" xfId="448" xr:uid="{00000000-0005-0000-0000-0000D4070000}"/>
    <cellStyle name="Data 2 10 8 2" xfId="449" xr:uid="{00000000-0005-0000-0000-0000D5070000}"/>
    <cellStyle name="Data 2 10 8 2 2" xfId="450" xr:uid="{00000000-0005-0000-0000-0000D6070000}"/>
    <cellStyle name="Data 2 10 8 3" xfId="451" xr:uid="{00000000-0005-0000-0000-0000D7070000}"/>
    <cellStyle name="Data 2 10 8 3 2" xfId="452" xr:uid="{00000000-0005-0000-0000-0000D8070000}"/>
    <cellStyle name="Data 2 10 8 4" xfId="453" xr:uid="{00000000-0005-0000-0000-0000D9070000}"/>
    <cellStyle name="Data 2 10 8 4 2" xfId="454" xr:uid="{00000000-0005-0000-0000-0000DA070000}"/>
    <cellStyle name="Data 2 10 8 5" xfId="455" xr:uid="{00000000-0005-0000-0000-0000DB070000}"/>
    <cellStyle name="Data 2 10 8 5 2" xfId="456" xr:uid="{00000000-0005-0000-0000-0000DC070000}"/>
    <cellStyle name="Data 2 10 8 6" xfId="457" xr:uid="{00000000-0005-0000-0000-0000DD070000}"/>
    <cellStyle name="Data 2 10 8 6 2" xfId="458" xr:uid="{00000000-0005-0000-0000-0000DE070000}"/>
    <cellStyle name="Data 2 10 8 7" xfId="459" xr:uid="{00000000-0005-0000-0000-0000DF070000}"/>
    <cellStyle name="Data 2 10 8 7 2" xfId="460" xr:uid="{00000000-0005-0000-0000-0000E0070000}"/>
    <cellStyle name="Data 2 10 8 8" xfId="461" xr:uid="{00000000-0005-0000-0000-0000E1070000}"/>
    <cellStyle name="Data 2 10 8 8 2" xfId="462" xr:uid="{00000000-0005-0000-0000-0000E2070000}"/>
    <cellStyle name="Data 2 10 8 9" xfId="463" xr:uid="{00000000-0005-0000-0000-0000E3070000}"/>
    <cellStyle name="Data 2 10 8 9 2" xfId="464" xr:uid="{00000000-0005-0000-0000-0000E4070000}"/>
    <cellStyle name="Data 2 10 9" xfId="465" xr:uid="{00000000-0005-0000-0000-0000E5070000}"/>
    <cellStyle name="Data 2 10 9 10" xfId="466" xr:uid="{00000000-0005-0000-0000-0000E6070000}"/>
    <cellStyle name="Data 2 10 9 2" xfId="467" xr:uid="{00000000-0005-0000-0000-0000E7070000}"/>
    <cellStyle name="Data 2 10 9 2 2" xfId="468" xr:uid="{00000000-0005-0000-0000-0000E8070000}"/>
    <cellStyle name="Data 2 10 9 3" xfId="469" xr:uid="{00000000-0005-0000-0000-0000E9070000}"/>
    <cellStyle name="Data 2 10 9 3 2" xfId="470" xr:uid="{00000000-0005-0000-0000-0000EA070000}"/>
    <cellStyle name="Data 2 10 9 4" xfId="471" xr:uid="{00000000-0005-0000-0000-0000EB070000}"/>
    <cellStyle name="Data 2 10 9 4 2" xfId="472" xr:uid="{00000000-0005-0000-0000-0000EC070000}"/>
    <cellStyle name="Data 2 10 9 5" xfId="473" xr:uid="{00000000-0005-0000-0000-0000ED070000}"/>
    <cellStyle name="Data 2 10 9 5 2" xfId="474" xr:uid="{00000000-0005-0000-0000-0000EE070000}"/>
    <cellStyle name="Data 2 10 9 6" xfId="475" xr:uid="{00000000-0005-0000-0000-0000EF070000}"/>
    <cellStyle name="Data 2 10 9 6 2" xfId="476" xr:uid="{00000000-0005-0000-0000-0000F0070000}"/>
    <cellStyle name="Data 2 10 9 7" xfId="477" xr:uid="{00000000-0005-0000-0000-0000F1070000}"/>
    <cellStyle name="Data 2 10 9 7 2" xfId="478" xr:uid="{00000000-0005-0000-0000-0000F2070000}"/>
    <cellStyle name="Data 2 10 9 8" xfId="479" xr:uid="{00000000-0005-0000-0000-0000F3070000}"/>
    <cellStyle name="Data 2 10 9 8 2" xfId="480" xr:uid="{00000000-0005-0000-0000-0000F4070000}"/>
    <cellStyle name="Data 2 10 9 9" xfId="481" xr:uid="{00000000-0005-0000-0000-0000F5070000}"/>
    <cellStyle name="Data 2 10 9 9 2" xfId="482" xr:uid="{00000000-0005-0000-0000-0000F6070000}"/>
    <cellStyle name="Data 2 11" xfId="483" xr:uid="{00000000-0005-0000-0000-0000F7070000}"/>
    <cellStyle name="Data 2 11 10" xfId="484" xr:uid="{00000000-0005-0000-0000-0000F8070000}"/>
    <cellStyle name="Data 2 11 10 2" xfId="485" xr:uid="{00000000-0005-0000-0000-0000F9070000}"/>
    <cellStyle name="Data 2 11 10 2 2" xfId="486" xr:uid="{00000000-0005-0000-0000-0000FA070000}"/>
    <cellStyle name="Data 2 11 10 3" xfId="487" xr:uid="{00000000-0005-0000-0000-0000FB070000}"/>
    <cellStyle name="Data 2 11 10 3 2" xfId="488" xr:uid="{00000000-0005-0000-0000-0000FC070000}"/>
    <cellStyle name="Data 2 11 10 4" xfId="489" xr:uid="{00000000-0005-0000-0000-0000FD070000}"/>
    <cellStyle name="Data 2 11 10 4 2" xfId="490" xr:uid="{00000000-0005-0000-0000-0000FE070000}"/>
    <cellStyle name="Data 2 11 10 5" xfId="491" xr:uid="{00000000-0005-0000-0000-0000FF070000}"/>
    <cellStyle name="Data 2 11 10 5 2" xfId="492" xr:uid="{00000000-0005-0000-0000-000000080000}"/>
    <cellStyle name="Data 2 11 10 6" xfId="493" xr:uid="{00000000-0005-0000-0000-000001080000}"/>
    <cellStyle name="Data 2 11 10 6 2" xfId="494" xr:uid="{00000000-0005-0000-0000-000002080000}"/>
    <cellStyle name="Data 2 11 10 7" xfId="495" xr:uid="{00000000-0005-0000-0000-000003080000}"/>
    <cellStyle name="Data 2 11 10 7 2" xfId="496" xr:uid="{00000000-0005-0000-0000-000004080000}"/>
    <cellStyle name="Data 2 11 10 8" xfId="497" xr:uid="{00000000-0005-0000-0000-000005080000}"/>
    <cellStyle name="Data 2 11 10 8 2" xfId="498" xr:uid="{00000000-0005-0000-0000-000006080000}"/>
    <cellStyle name="Data 2 11 10 9" xfId="499" xr:uid="{00000000-0005-0000-0000-000007080000}"/>
    <cellStyle name="Data 2 11 11" xfId="500" xr:uid="{00000000-0005-0000-0000-000008080000}"/>
    <cellStyle name="Data 2 11 11 2" xfId="501" xr:uid="{00000000-0005-0000-0000-000009080000}"/>
    <cellStyle name="Data 2 11 12" xfId="502" xr:uid="{00000000-0005-0000-0000-00000A080000}"/>
    <cellStyle name="Data 2 11 12 2" xfId="503" xr:uid="{00000000-0005-0000-0000-00000B080000}"/>
    <cellStyle name="Data 2 11 13" xfId="504" xr:uid="{00000000-0005-0000-0000-00000C080000}"/>
    <cellStyle name="Data 2 11 13 2" xfId="505" xr:uid="{00000000-0005-0000-0000-00000D080000}"/>
    <cellStyle name="Data 2 11 14" xfId="506" xr:uid="{00000000-0005-0000-0000-00000E080000}"/>
    <cellStyle name="Data 2 11 14 2" xfId="507" xr:uid="{00000000-0005-0000-0000-00000F080000}"/>
    <cellStyle name="Data 2 11 15" xfId="508" xr:uid="{00000000-0005-0000-0000-000010080000}"/>
    <cellStyle name="Data 2 11 15 2" xfId="509" xr:uid="{00000000-0005-0000-0000-000011080000}"/>
    <cellStyle name="Data 2 11 16" xfId="510" xr:uid="{00000000-0005-0000-0000-000012080000}"/>
    <cellStyle name="Data 2 11 16 2" xfId="511" xr:uid="{00000000-0005-0000-0000-000013080000}"/>
    <cellStyle name="Data 2 11 17" xfId="512" xr:uid="{00000000-0005-0000-0000-000014080000}"/>
    <cellStyle name="Data 2 11 17 2" xfId="513" xr:uid="{00000000-0005-0000-0000-000015080000}"/>
    <cellStyle name="Data 2 11 18" xfId="514" xr:uid="{00000000-0005-0000-0000-000016080000}"/>
    <cellStyle name="Data 2 11 2" xfId="515" xr:uid="{00000000-0005-0000-0000-000017080000}"/>
    <cellStyle name="Data 2 11 2 10" xfId="516" xr:uid="{00000000-0005-0000-0000-000018080000}"/>
    <cellStyle name="Data 2 11 2 2" xfId="517" xr:uid="{00000000-0005-0000-0000-000019080000}"/>
    <cellStyle name="Data 2 11 2 2 2" xfId="518" xr:uid="{00000000-0005-0000-0000-00001A080000}"/>
    <cellStyle name="Data 2 11 2 3" xfId="519" xr:uid="{00000000-0005-0000-0000-00001B080000}"/>
    <cellStyle name="Data 2 11 2 3 2" xfId="520" xr:uid="{00000000-0005-0000-0000-00001C080000}"/>
    <cellStyle name="Data 2 11 2 4" xfId="521" xr:uid="{00000000-0005-0000-0000-00001D080000}"/>
    <cellStyle name="Data 2 11 2 4 2" xfId="522" xr:uid="{00000000-0005-0000-0000-00001E080000}"/>
    <cellStyle name="Data 2 11 2 5" xfId="523" xr:uid="{00000000-0005-0000-0000-00001F080000}"/>
    <cellStyle name="Data 2 11 2 5 2" xfId="524" xr:uid="{00000000-0005-0000-0000-000020080000}"/>
    <cellStyle name="Data 2 11 2 6" xfId="525" xr:uid="{00000000-0005-0000-0000-000021080000}"/>
    <cellStyle name="Data 2 11 2 6 2" xfId="526" xr:uid="{00000000-0005-0000-0000-000022080000}"/>
    <cellStyle name="Data 2 11 2 7" xfId="527" xr:uid="{00000000-0005-0000-0000-000023080000}"/>
    <cellStyle name="Data 2 11 2 7 2" xfId="528" xr:uid="{00000000-0005-0000-0000-000024080000}"/>
    <cellStyle name="Data 2 11 2 8" xfId="529" xr:uid="{00000000-0005-0000-0000-000025080000}"/>
    <cellStyle name="Data 2 11 2 8 2" xfId="530" xr:uid="{00000000-0005-0000-0000-000026080000}"/>
    <cellStyle name="Data 2 11 2 9" xfId="531" xr:uid="{00000000-0005-0000-0000-000027080000}"/>
    <cellStyle name="Data 2 11 2 9 2" xfId="532" xr:uid="{00000000-0005-0000-0000-000028080000}"/>
    <cellStyle name="Data 2 11 3" xfId="533" xr:uid="{00000000-0005-0000-0000-000029080000}"/>
    <cellStyle name="Data 2 11 3 10" xfId="534" xr:uid="{00000000-0005-0000-0000-00002A080000}"/>
    <cellStyle name="Data 2 11 3 2" xfId="535" xr:uid="{00000000-0005-0000-0000-00002B080000}"/>
    <cellStyle name="Data 2 11 3 2 2" xfId="536" xr:uid="{00000000-0005-0000-0000-00002C080000}"/>
    <cellStyle name="Data 2 11 3 3" xfId="537" xr:uid="{00000000-0005-0000-0000-00002D080000}"/>
    <cellStyle name="Data 2 11 3 3 2" xfId="538" xr:uid="{00000000-0005-0000-0000-00002E080000}"/>
    <cellStyle name="Data 2 11 3 4" xfId="539" xr:uid="{00000000-0005-0000-0000-00002F080000}"/>
    <cellStyle name="Data 2 11 3 4 2" xfId="540" xr:uid="{00000000-0005-0000-0000-000030080000}"/>
    <cellStyle name="Data 2 11 3 5" xfId="541" xr:uid="{00000000-0005-0000-0000-000031080000}"/>
    <cellStyle name="Data 2 11 3 5 2" xfId="542" xr:uid="{00000000-0005-0000-0000-000032080000}"/>
    <cellStyle name="Data 2 11 3 6" xfId="543" xr:uid="{00000000-0005-0000-0000-000033080000}"/>
    <cellStyle name="Data 2 11 3 6 2" xfId="544" xr:uid="{00000000-0005-0000-0000-000034080000}"/>
    <cellStyle name="Data 2 11 3 7" xfId="545" xr:uid="{00000000-0005-0000-0000-000035080000}"/>
    <cellStyle name="Data 2 11 3 7 2" xfId="546" xr:uid="{00000000-0005-0000-0000-000036080000}"/>
    <cellStyle name="Data 2 11 3 8" xfId="547" xr:uid="{00000000-0005-0000-0000-000037080000}"/>
    <cellStyle name="Data 2 11 3 8 2" xfId="548" xr:uid="{00000000-0005-0000-0000-000038080000}"/>
    <cellStyle name="Data 2 11 3 9" xfId="549" xr:uid="{00000000-0005-0000-0000-000039080000}"/>
    <cellStyle name="Data 2 11 3 9 2" xfId="550" xr:uid="{00000000-0005-0000-0000-00003A080000}"/>
    <cellStyle name="Data 2 11 4" xfId="551" xr:uid="{00000000-0005-0000-0000-00003B080000}"/>
    <cellStyle name="Data 2 11 4 10" xfId="552" xr:uid="{00000000-0005-0000-0000-00003C080000}"/>
    <cellStyle name="Data 2 11 4 2" xfId="553" xr:uid="{00000000-0005-0000-0000-00003D080000}"/>
    <cellStyle name="Data 2 11 4 2 2" xfId="554" xr:uid="{00000000-0005-0000-0000-00003E080000}"/>
    <cellStyle name="Data 2 11 4 3" xfId="555" xr:uid="{00000000-0005-0000-0000-00003F080000}"/>
    <cellStyle name="Data 2 11 4 3 2" xfId="556" xr:uid="{00000000-0005-0000-0000-000040080000}"/>
    <cellStyle name="Data 2 11 4 4" xfId="557" xr:uid="{00000000-0005-0000-0000-000041080000}"/>
    <cellStyle name="Data 2 11 4 4 2" xfId="558" xr:uid="{00000000-0005-0000-0000-000042080000}"/>
    <cellStyle name="Data 2 11 4 5" xfId="559" xr:uid="{00000000-0005-0000-0000-000043080000}"/>
    <cellStyle name="Data 2 11 4 5 2" xfId="560" xr:uid="{00000000-0005-0000-0000-000044080000}"/>
    <cellStyle name="Data 2 11 4 6" xfId="561" xr:uid="{00000000-0005-0000-0000-000045080000}"/>
    <cellStyle name="Data 2 11 4 6 2" xfId="562" xr:uid="{00000000-0005-0000-0000-000046080000}"/>
    <cellStyle name="Data 2 11 4 7" xfId="563" xr:uid="{00000000-0005-0000-0000-000047080000}"/>
    <cellStyle name="Data 2 11 4 7 2" xfId="564" xr:uid="{00000000-0005-0000-0000-000048080000}"/>
    <cellStyle name="Data 2 11 4 8" xfId="565" xr:uid="{00000000-0005-0000-0000-000049080000}"/>
    <cellStyle name="Data 2 11 4 8 2" xfId="566" xr:uid="{00000000-0005-0000-0000-00004A080000}"/>
    <cellStyle name="Data 2 11 4 9" xfId="567" xr:uid="{00000000-0005-0000-0000-00004B080000}"/>
    <cellStyle name="Data 2 11 4 9 2" xfId="568" xr:uid="{00000000-0005-0000-0000-00004C080000}"/>
    <cellStyle name="Data 2 11 5" xfId="569" xr:uid="{00000000-0005-0000-0000-00004D080000}"/>
    <cellStyle name="Data 2 11 5 10" xfId="570" xr:uid="{00000000-0005-0000-0000-00004E080000}"/>
    <cellStyle name="Data 2 11 5 2" xfId="571" xr:uid="{00000000-0005-0000-0000-00004F080000}"/>
    <cellStyle name="Data 2 11 5 2 2" xfId="572" xr:uid="{00000000-0005-0000-0000-000050080000}"/>
    <cellStyle name="Data 2 11 5 3" xfId="573" xr:uid="{00000000-0005-0000-0000-000051080000}"/>
    <cellStyle name="Data 2 11 5 3 2" xfId="574" xr:uid="{00000000-0005-0000-0000-000052080000}"/>
    <cellStyle name="Data 2 11 5 4" xfId="575" xr:uid="{00000000-0005-0000-0000-000053080000}"/>
    <cellStyle name="Data 2 11 5 4 2" xfId="576" xr:uid="{00000000-0005-0000-0000-000054080000}"/>
    <cellStyle name="Data 2 11 5 5" xfId="577" xr:uid="{00000000-0005-0000-0000-000055080000}"/>
    <cellStyle name="Data 2 11 5 5 2" xfId="578" xr:uid="{00000000-0005-0000-0000-000056080000}"/>
    <cellStyle name="Data 2 11 5 6" xfId="579" xr:uid="{00000000-0005-0000-0000-000057080000}"/>
    <cellStyle name="Data 2 11 5 6 2" xfId="580" xr:uid="{00000000-0005-0000-0000-000058080000}"/>
    <cellStyle name="Data 2 11 5 7" xfId="581" xr:uid="{00000000-0005-0000-0000-000059080000}"/>
    <cellStyle name="Data 2 11 5 7 2" xfId="582" xr:uid="{00000000-0005-0000-0000-00005A080000}"/>
    <cellStyle name="Data 2 11 5 8" xfId="583" xr:uid="{00000000-0005-0000-0000-00005B080000}"/>
    <cellStyle name="Data 2 11 5 8 2" xfId="584" xr:uid="{00000000-0005-0000-0000-00005C080000}"/>
    <cellStyle name="Data 2 11 5 9" xfId="585" xr:uid="{00000000-0005-0000-0000-00005D080000}"/>
    <cellStyle name="Data 2 11 5 9 2" xfId="586" xr:uid="{00000000-0005-0000-0000-00005E080000}"/>
    <cellStyle name="Data 2 11 6" xfId="587" xr:uid="{00000000-0005-0000-0000-00005F080000}"/>
    <cellStyle name="Data 2 11 6 10" xfId="588" xr:uid="{00000000-0005-0000-0000-000060080000}"/>
    <cellStyle name="Data 2 11 6 2" xfId="589" xr:uid="{00000000-0005-0000-0000-000061080000}"/>
    <cellStyle name="Data 2 11 6 2 2" xfId="590" xr:uid="{00000000-0005-0000-0000-000062080000}"/>
    <cellStyle name="Data 2 11 6 3" xfId="591" xr:uid="{00000000-0005-0000-0000-000063080000}"/>
    <cellStyle name="Data 2 11 6 3 2" xfId="592" xr:uid="{00000000-0005-0000-0000-000064080000}"/>
    <cellStyle name="Data 2 11 6 4" xfId="593" xr:uid="{00000000-0005-0000-0000-000065080000}"/>
    <cellStyle name="Data 2 11 6 4 2" xfId="594" xr:uid="{00000000-0005-0000-0000-000066080000}"/>
    <cellStyle name="Data 2 11 6 5" xfId="595" xr:uid="{00000000-0005-0000-0000-000067080000}"/>
    <cellStyle name="Data 2 11 6 5 2" xfId="596" xr:uid="{00000000-0005-0000-0000-000068080000}"/>
    <cellStyle name="Data 2 11 6 6" xfId="597" xr:uid="{00000000-0005-0000-0000-000069080000}"/>
    <cellStyle name="Data 2 11 6 6 2" xfId="598" xr:uid="{00000000-0005-0000-0000-00006A080000}"/>
    <cellStyle name="Data 2 11 6 7" xfId="599" xr:uid="{00000000-0005-0000-0000-00006B080000}"/>
    <cellStyle name="Data 2 11 6 7 2" xfId="600" xr:uid="{00000000-0005-0000-0000-00006C080000}"/>
    <cellStyle name="Data 2 11 6 8" xfId="601" xr:uid="{00000000-0005-0000-0000-00006D080000}"/>
    <cellStyle name="Data 2 11 6 8 2" xfId="602" xr:uid="{00000000-0005-0000-0000-00006E080000}"/>
    <cellStyle name="Data 2 11 6 9" xfId="603" xr:uid="{00000000-0005-0000-0000-00006F080000}"/>
    <cellStyle name="Data 2 11 6 9 2" xfId="604" xr:uid="{00000000-0005-0000-0000-000070080000}"/>
    <cellStyle name="Data 2 11 7" xfId="605" xr:uid="{00000000-0005-0000-0000-000071080000}"/>
    <cellStyle name="Data 2 11 7 10" xfId="606" xr:uid="{00000000-0005-0000-0000-000072080000}"/>
    <cellStyle name="Data 2 11 7 2" xfId="607" xr:uid="{00000000-0005-0000-0000-000073080000}"/>
    <cellStyle name="Data 2 11 7 2 2" xfId="608" xr:uid="{00000000-0005-0000-0000-000074080000}"/>
    <cellStyle name="Data 2 11 7 3" xfId="609" xr:uid="{00000000-0005-0000-0000-000075080000}"/>
    <cellStyle name="Data 2 11 7 3 2" xfId="610" xr:uid="{00000000-0005-0000-0000-000076080000}"/>
    <cellStyle name="Data 2 11 7 4" xfId="611" xr:uid="{00000000-0005-0000-0000-000077080000}"/>
    <cellStyle name="Data 2 11 7 4 2" xfId="612" xr:uid="{00000000-0005-0000-0000-000078080000}"/>
    <cellStyle name="Data 2 11 7 5" xfId="613" xr:uid="{00000000-0005-0000-0000-000079080000}"/>
    <cellStyle name="Data 2 11 7 5 2" xfId="614" xr:uid="{00000000-0005-0000-0000-00007A080000}"/>
    <cellStyle name="Data 2 11 7 6" xfId="615" xr:uid="{00000000-0005-0000-0000-00007B080000}"/>
    <cellStyle name="Data 2 11 7 6 2" xfId="616" xr:uid="{00000000-0005-0000-0000-00007C080000}"/>
    <cellStyle name="Data 2 11 7 7" xfId="617" xr:uid="{00000000-0005-0000-0000-00007D080000}"/>
    <cellStyle name="Data 2 11 7 7 2" xfId="618" xr:uid="{00000000-0005-0000-0000-00007E080000}"/>
    <cellStyle name="Data 2 11 7 8" xfId="619" xr:uid="{00000000-0005-0000-0000-00007F080000}"/>
    <cellStyle name="Data 2 11 7 8 2" xfId="620" xr:uid="{00000000-0005-0000-0000-000080080000}"/>
    <cellStyle name="Data 2 11 7 9" xfId="621" xr:uid="{00000000-0005-0000-0000-000081080000}"/>
    <cellStyle name="Data 2 11 7 9 2" xfId="622" xr:uid="{00000000-0005-0000-0000-000082080000}"/>
    <cellStyle name="Data 2 11 8" xfId="623" xr:uid="{00000000-0005-0000-0000-000083080000}"/>
    <cellStyle name="Data 2 11 8 10" xfId="624" xr:uid="{00000000-0005-0000-0000-000084080000}"/>
    <cellStyle name="Data 2 11 8 2" xfId="625" xr:uid="{00000000-0005-0000-0000-000085080000}"/>
    <cellStyle name="Data 2 11 8 2 2" xfId="626" xr:uid="{00000000-0005-0000-0000-000086080000}"/>
    <cellStyle name="Data 2 11 8 3" xfId="627" xr:uid="{00000000-0005-0000-0000-000087080000}"/>
    <cellStyle name="Data 2 11 8 3 2" xfId="628" xr:uid="{00000000-0005-0000-0000-000088080000}"/>
    <cellStyle name="Data 2 11 8 4" xfId="629" xr:uid="{00000000-0005-0000-0000-000089080000}"/>
    <cellStyle name="Data 2 11 8 4 2" xfId="630" xr:uid="{00000000-0005-0000-0000-00008A080000}"/>
    <cellStyle name="Data 2 11 8 5" xfId="631" xr:uid="{00000000-0005-0000-0000-00008B080000}"/>
    <cellStyle name="Data 2 11 8 5 2" xfId="632" xr:uid="{00000000-0005-0000-0000-00008C080000}"/>
    <cellStyle name="Data 2 11 8 6" xfId="633" xr:uid="{00000000-0005-0000-0000-00008D080000}"/>
    <cellStyle name="Data 2 11 8 6 2" xfId="634" xr:uid="{00000000-0005-0000-0000-00008E080000}"/>
    <cellStyle name="Data 2 11 8 7" xfId="635" xr:uid="{00000000-0005-0000-0000-00008F080000}"/>
    <cellStyle name="Data 2 11 8 7 2" xfId="636" xr:uid="{00000000-0005-0000-0000-000090080000}"/>
    <cellStyle name="Data 2 11 8 8" xfId="637" xr:uid="{00000000-0005-0000-0000-000091080000}"/>
    <cellStyle name="Data 2 11 8 8 2" xfId="638" xr:uid="{00000000-0005-0000-0000-000092080000}"/>
    <cellStyle name="Data 2 11 8 9" xfId="639" xr:uid="{00000000-0005-0000-0000-000093080000}"/>
    <cellStyle name="Data 2 11 8 9 2" xfId="640" xr:uid="{00000000-0005-0000-0000-000094080000}"/>
    <cellStyle name="Data 2 11 9" xfId="641" xr:uid="{00000000-0005-0000-0000-000095080000}"/>
    <cellStyle name="Data 2 11 9 10" xfId="642" xr:uid="{00000000-0005-0000-0000-000096080000}"/>
    <cellStyle name="Data 2 11 9 2" xfId="643" xr:uid="{00000000-0005-0000-0000-000097080000}"/>
    <cellStyle name="Data 2 11 9 2 2" xfId="644" xr:uid="{00000000-0005-0000-0000-000098080000}"/>
    <cellStyle name="Data 2 11 9 3" xfId="645" xr:uid="{00000000-0005-0000-0000-000099080000}"/>
    <cellStyle name="Data 2 11 9 3 2" xfId="646" xr:uid="{00000000-0005-0000-0000-00009A080000}"/>
    <cellStyle name="Data 2 11 9 4" xfId="647" xr:uid="{00000000-0005-0000-0000-00009B080000}"/>
    <cellStyle name="Data 2 11 9 4 2" xfId="648" xr:uid="{00000000-0005-0000-0000-00009C080000}"/>
    <cellStyle name="Data 2 11 9 5" xfId="649" xr:uid="{00000000-0005-0000-0000-00009D080000}"/>
    <cellStyle name="Data 2 11 9 5 2" xfId="650" xr:uid="{00000000-0005-0000-0000-00009E080000}"/>
    <cellStyle name="Data 2 11 9 6" xfId="651" xr:uid="{00000000-0005-0000-0000-00009F080000}"/>
    <cellStyle name="Data 2 11 9 6 2" xfId="652" xr:uid="{00000000-0005-0000-0000-0000A0080000}"/>
    <cellStyle name="Data 2 11 9 7" xfId="653" xr:uid="{00000000-0005-0000-0000-0000A1080000}"/>
    <cellStyle name="Data 2 11 9 7 2" xfId="654" xr:uid="{00000000-0005-0000-0000-0000A2080000}"/>
    <cellStyle name="Data 2 11 9 8" xfId="655" xr:uid="{00000000-0005-0000-0000-0000A3080000}"/>
    <cellStyle name="Data 2 11 9 8 2" xfId="656" xr:uid="{00000000-0005-0000-0000-0000A4080000}"/>
    <cellStyle name="Data 2 11 9 9" xfId="657" xr:uid="{00000000-0005-0000-0000-0000A5080000}"/>
    <cellStyle name="Data 2 11 9 9 2" xfId="658" xr:uid="{00000000-0005-0000-0000-0000A6080000}"/>
    <cellStyle name="Data 2 2" xfId="153" xr:uid="{00000000-0005-0000-0000-0000A7080000}"/>
    <cellStyle name="Data 2 2 2" xfId="659" xr:uid="{00000000-0005-0000-0000-0000A8080000}"/>
    <cellStyle name="Data 2 2 2 10" xfId="660" xr:uid="{00000000-0005-0000-0000-0000A9080000}"/>
    <cellStyle name="Data 2 2 2 10 10" xfId="661" xr:uid="{00000000-0005-0000-0000-0000AA080000}"/>
    <cellStyle name="Data 2 2 2 10 2" xfId="662" xr:uid="{00000000-0005-0000-0000-0000AB080000}"/>
    <cellStyle name="Data 2 2 2 10 2 2" xfId="663" xr:uid="{00000000-0005-0000-0000-0000AC080000}"/>
    <cellStyle name="Data 2 2 2 10 3" xfId="664" xr:uid="{00000000-0005-0000-0000-0000AD080000}"/>
    <cellStyle name="Data 2 2 2 10 3 2" xfId="665" xr:uid="{00000000-0005-0000-0000-0000AE080000}"/>
    <cellStyle name="Data 2 2 2 10 4" xfId="666" xr:uid="{00000000-0005-0000-0000-0000AF080000}"/>
    <cellStyle name="Data 2 2 2 10 4 2" xfId="667" xr:uid="{00000000-0005-0000-0000-0000B0080000}"/>
    <cellStyle name="Data 2 2 2 10 5" xfId="668" xr:uid="{00000000-0005-0000-0000-0000B1080000}"/>
    <cellStyle name="Data 2 2 2 10 5 2" xfId="669" xr:uid="{00000000-0005-0000-0000-0000B2080000}"/>
    <cellStyle name="Data 2 2 2 10 6" xfId="670" xr:uid="{00000000-0005-0000-0000-0000B3080000}"/>
    <cellStyle name="Data 2 2 2 10 6 2" xfId="671" xr:uid="{00000000-0005-0000-0000-0000B4080000}"/>
    <cellStyle name="Data 2 2 2 10 7" xfId="672" xr:uid="{00000000-0005-0000-0000-0000B5080000}"/>
    <cellStyle name="Data 2 2 2 10 7 2" xfId="673" xr:uid="{00000000-0005-0000-0000-0000B6080000}"/>
    <cellStyle name="Data 2 2 2 10 8" xfId="674" xr:uid="{00000000-0005-0000-0000-0000B7080000}"/>
    <cellStyle name="Data 2 2 2 10 8 2" xfId="675" xr:uid="{00000000-0005-0000-0000-0000B8080000}"/>
    <cellStyle name="Data 2 2 2 10 9" xfId="676" xr:uid="{00000000-0005-0000-0000-0000B9080000}"/>
    <cellStyle name="Data 2 2 2 10 9 2" xfId="677" xr:uid="{00000000-0005-0000-0000-0000BA080000}"/>
    <cellStyle name="Data 2 2 2 11" xfId="678" xr:uid="{00000000-0005-0000-0000-0000BB080000}"/>
    <cellStyle name="Data 2 2 2 11 2" xfId="679" xr:uid="{00000000-0005-0000-0000-0000BC080000}"/>
    <cellStyle name="Data 2 2 2 11 2 2" xfId="680" xr:uid="{00000000-0005-0000-0000-0000BD080000}"/>
    <cellStyle name="Data 2 2 2 11 3" xfId="681" xr:uid="{00000000-0005-0000-0000-0000BE080000}"/>
    <cellStyle name="Data 2 2 2 11 3 2" xfId="682" xr:uid="{00000000-0005-0000-0000-0000BF080000}"/>
    <cellStyle name="Data 2 2 2 11 4" xfId="683" xr:uid="{00000000-0005-0000-0000-0000C0080000}"/>
    <cellStyle name="Data 2 2 2 11 4 2" xfId="684" xr:uid="{00000000-0005-0000-0000-0000C1080000}"/>
    <cellStyle name="Data 2 2 2 11 5" xfId="685" xr:uid="{00000000-0005-0000-0000-0000C2080000}"/>
    <cellStyle name="Data 2 2 2 11 5 2" xfId="686" xr:uid="{00000000-0005-0000-0000-0000C3080000}"/>
    <cellStyle name="Data 2 2 2 11 6" xfId="687" xr:uid="{00000000-0005-0000-0000-0000C4080000}"/>
    <cellStyle name="Data 2 2 2 11 6 2" xfId="688" xr:uid="{00000000-0005-0000-0000-0000C5080000}"/>
    <cellStyle name="Data 2 2 2 11 7" xfId="689" xr:uid="{00000000-0005-0000-0000-0000C6080000}"/>
    <cellStyle name="Data 2 2 2 11 7 2" xfId="690" xr:uid="{00000000-0005-0000-0000-0000C7080000}"/>
    <cellStyle name="Data 2 2 2 11 8" xfId="691" xr:uid="{00000000-0005-0000-0000-0000C8080000}"/>
    <cellStyle name="Data 2 2 2 11 8 2" xfId="692" xr:uid="{00000000-0005-0000-0000-0000C9080000}"/>
    <cellStyle name="Data 2 2 2 11 9" xfId="693" xr:uid="{00000000-0005-0000-0000-0000CA080000}"/>
    <cellStyle name="Data 2 2 2 2" xfId="694" xr:uid="{00000000-0005-0000-0000-0000CB080000}"/>
    <cellStyle name="Data 2 2 2 2 10" xfId="695" xr:uid="{00000000-0005-0000-0000-0000CC080000}"/>
    <cellStyle name="Data 2 2 2 2 2" xfId="696" xr:uid="{00000000-0005-0000-0000-0000CD080000}"/>
    <cellStyle name="Data 2 2 2 2 2 2" xfId="697" xr:uid="{00000000-0005-0000-0000-0000CE080000}"/>
    <cellStyle name="Data 2 2 2 2 3" xfId="698" xr:uid="{00000000-0005-0000-0000-0000CF080000}"/>
    <cellStyle name="Data 2 2 2 2 3 2" xfId="699" xr:uid="{00000000-0005-0000-0000-0000D0080000}"/>
    <cellStyle name="Data 2 2 2 2 4" xfId="700" xr:uid="{00000000-0005-0000-0000-0000D1080000}"/>
    <cellStyle name="Data 2 2 2 2 4 2" xfId="701" xr:uid="{00000000-0005-0000-0000-0000D2080000}"/>
    <cellStyle name="Data 2 2 2 2 5" xfId="702" xr:uid="{00000000-0005-0000-0000-0000D3080000}"/>
    <cellStyle name="Data 2 2 2 2 5 2" xfId="703" xr:uid="{00000000-0005-0000-0000-0000D4080000}"/>
    <cellStyle name="Data 2 2 2 2 6" xfId="704" xr:uid="{00000000-0005-0000-0000-0000D5080000}"/>
    <cellStyle name="Data 2 2 2 2 6 2" xfId="705" xr:uid="{00000000-0005-0000-0000-0000D6080000}"/>
    <cellStyle name="Data 2 2 2 2 7" xfId="706" xr:uid="{00000000-0005-0000-0000-0000D7080000}"/>
    <cellStyle name="Data 2 2 2 2 7 2" xfId="707" xr:uid="{00000000-0005-0000-0000-0000D8080000}"/>
    <cellStyle name="Data 2 2 2 2 8" xfId="708" xr:uid="{00000000-0005-0000-0000-0000D9080000}"/>
    <cellStyle name="Data 2 2 2 2 8 2" xfId="709" xr:uid="{00000000-0005-0000-0000-0000DA080000}"/>
    <cellStyle name="Data 2 2 2 2 9" xfId="710" xr:uid="{00000000-0005-0000-0000-0000DB080000}"/>
    <cellStyle name="Data 2 2 2 2 9 2" xfId="711" xr:uid="{00000000-0005-0000-0000-0000DC080000}"/>
    <cellStyle name="Data 2 2 2 3" xfId="712" xr:uid="{00000000-0005-0000-0000-0000DD080000}"/>
    <cellStyle name="Data 2 2 2 3 10" xfId="713" xr:uid="{00000000-0005-0000-0000-0000DE080000}"/>
    <cellStyle name="Data 2 2 2 3 2" xfId="714" xr:uid="{00000000-0005-0000-0000-0000DF080000}"/>
    <cellStyle name="Data 2 2 2 3 2 2" xfId="715" xr:uid="{00000000-0005-0000-0000-0000E0080000}"/>
    <cellStyle name="Data 2 2 2 3 3" xfId="716" xr:uid="{00000000-0005-0000-0000-0000E1080000}"/>
    <cellStyle name="Data 2 2 2 3 3 2" xfId="717" xr:uid="{00000000-0005-0000-0000-0000E2080000}"/>
    <cellStyle name="Data 2 2 2 3 4" xfId="718" xr:uid="{00000000-0005-0000-0000-0000E3080000}"/>
    <cellStyle name="Data 2 2 2 3 4 2" xfId="719" xr:uid="{00000000-0005-0000-0000-0000E4080000}"/>
    <cellStyle name="Data 2 2 2 3 5" xfId="720" xr:uid="{00000000-0005-0000-0000-0000E5080000}"/>
    <cellStyle name="Data 2 2 2 3 5 2" xfId="721" xr:uid="{00000000-0005-0000-0000-0000E6080000}"/>
    <cellStyle name="Data 2 2 2 3 6" xfId="722" xr:uid="{00000000-0005-0000-0000-0000E7080000}"/>
    <cellStyle name="Data 2 2 2 3 6 2" xfId="723" xr:uid="{00000000-0005-0000-0000-0000E8080000}"/>
    <cellStyle name="Data 2 2 2 3 7" xfId="724" xr:uid="{00000000-0005-0000-0000-0000E9080000}"/>
    <cellStyle name="Data 2 2 2 3 7 2" xfId="725" xr:uid="{00000000-0005-0000-0000-0000EA080000}"/>
    <cellStyle name="Data 2 2 2 3 8" xfId="726" xr:uid="{00000000-0005-0000-0000-0000EB080000}"/>
    <cellStyle name="Data 2 2 2 3 8 2" xfId="727" xr:uid="{00000000-0005-0000-0000-0000EC080000}"/>
    <cellStyle name="Data 2 2 2 3 9" xfId="728" xr:uid="{00000000-0005-0000-0000-0000ED080000}"/>
    <cellStyle name="Data 2 2 2 3 9 2" xfId="729" xr:uid="{00000000-0005-0000-0000-0000EE080000}"/>
    <cellStyle name="Data 2 2 2 4" xfId="730" xr:uid="{00000000-0005-0000-0000-0000EF080000}"/>
    <cellStyle name="Data 2 2 2 4 10" xfId="731" xr:uid="{00000000-0005-0000-0000-0000F0080000}"/>
    <cellStyle name="Data 2 2 2 4 2" xfId="732" xr:uid="{00000000-0005-0000-0000-0000F1080000}"/>
    <cellStyle name="Data 2 2 2 4 2 2" xfId="733" xr:uid="{00000000-0005-0000-0000-0000F2080000}"/>
    <cellStyle name="Data 2 2 2 4 3" xfId="734" xr:uid="{00000000-0005-0000-0000-0000F3080000}"/>
    <cellStyle name="Data 2 2 2 4 3 2" xfId="735" xr:uid="{00000000-0005-0000-0000-0000F4080000}"/>
    <cellStyle name="Data 2 2 2 4 4" xfId="736" xr:uid="{00000000-0005-0000-0000-0000F5080000}"/>
    <cellStyle name="Data 2 2 2 4 4 2" xfId="737" xr:uid="{00000000-0005-0000-0000-0000F6080000}"/>
    <cellStyle name="Data 2 2 2 4 5" xfId="738" xr:uid="{00000000-0005-0000-0000-0000F7080000}"/>
    <cellStyle name="Data 2 2 2 4 5 2" xfId="739" xr:uid="{00000000-0005-0000-0000-0000F8080000}"/>
    <cellStyle name="Data 2 2 2 4 6" xfId="740" xr:uid="{00000000-0005-0000-0000-0000F9080000}"/>
    <cellStyle name="Data 2 2 2 4 6 2" xfId="741" xr:uid="{00000000-0005-0000-0000-0000FA080000}"/>
    <cellStyle name="Data 2 2 2 4 7" xfId="742" xr:uid="{00000000-0005-0000-0000-0000FB080000}"/>
    <cellStyle name="Data 2 2 2 4 7 2" xfId="743" xr:uid="{00000000-0005-0000-0000-0000FC080000}"/>
    <cellStyle name="Data 2 2 2 4 8" xfId="744" xr:uid="{00000000-0005-0000-0000-0000FD080000}"/>
    <cellStyle name="Data 2 2 2 4 8 2" xfId="745" xr:uid="{00000000-0005-0000-0000-0000FE080000}"/>
    <cellStyle name="Data 2 2 2 4 9" xfId="746" xr:uid="{00000000-0005-0000-0000-0000FF080000}"/>
    <cellStyle name="Data 2 2 2 4 9 2" xfId="747" xr:uid="{00000000-0005-0000-0000-000000090000}"/>
    <cellStyle name="Data 2 2 2 5" xfId="748" xr:uid="{00000000-0005-0000-0000-000001090000}"/>
    <cellStyle name="Data 2 2 2 5 10" xfId="749" xr:uid="{00000000-0005-0000-0000-000002090000}"/>
    <cellStyle name="Data 2 2 2 5 2" xfId="750" xr:uid="{00000000-0005-0000-0000-000003090000}"/>
    <cellStyle name="Data 2 2 2 5 2 2" xfId="751" xr:uid="{00000000-0005-0000-0000-000004090000}"/>
    <cellStyle name="Data 2 2 2 5 3" xfId="752" xr:uid="{00000000-0005-0000-0000-000005090000}"/>
    <cellStyle name="Data 2 2 2 5 3 2" xfId="753" xr:uid="{00000000-0005-0000-0000-000006090000}"/>
    <cellStyle name="Data 2 2 2 5 4" xfId="754" xr:uid="{00000000-0005-0000-0000-000007090000}"/>
    <cellStyle name="Data 2 2 2 5 4 2" xfId="755" xr:uid="{00000000-0005-0000-0000-000008090000}"/>
    <cellStyle name="Data 2 2 2 5 5" xfId="756" xr:uid="{00000000-0005-0000-0000-000009090000}"/>
    <cellStyle name="Data 2 2 2 5 5 2" xfId="757" xr:uid="{00000000-0005-0000-0000-00000A090000}"/>
    <cellStyle name="Data 2 2 2 5 6" xfId="758" xr:uid="{00000000-0005-0000-0000-00000B090000}"/>
    <cellStyle name="Data 2 2 2 5 6 2" xfId="759" xr:uid="{00000000-0005-0000-0000-00000C090000}"/>
    <cellStyle name="Data 2 2 2 5 7" xfId="760" xr:uid="{00000000-0005-0000-0000-00000D090000}"/>
    <cellStyle name="Data 2 2 2 5 7 2" xfId="761" xr:uid="{00000000-0005-0000-0000-00000E090000}"/>
    <cellStyle name="Data 2 2 2 5 8" xfId="762" xr:uid="{00000000-0005-0000-0000-00000F090000}"/>
    <cellStyle name="Data 2 2 2 5 8 2" xfId="763" xr:uid="{00000000-0005-0000-0000-000010090000}"/>
    <cellStyle name="Data 2 2 2 5 9" xfId="764" xr:uid="{00000000-0005-0000-0000-000011090000}"/>
    <cellStyle name="Data 2 2 2 5 9 2" xfId="765" xr:uid="{00000000-0005-0000-0000-000012090000}"/>
    <cellStyle name="Data 2 2 2 6" xfId="766" xr:uid="{00000000-0005-0000-0000-000013090000}"/>
    <cellStyle name="Data 2 2 2 6 10" xfId="767" xr:uid="{00000000-0005-0000-0000-000014090000}"/>
    <cellStyle name="Data 2 2 2 6 2" xfId="768" xr:uid="{00000000-0005-0000-0000-000015090000}"/>
    <cellStyle name="Data 2 2 2 6 2 2" xfId="769" xr:uid="{00000000-0005-0000-0000-000016090000}"/>
    <cellStyle name="Data 2 2 2 6 3" xfId="770" xr:uid="{00000000-0005-0000-0000-000017090000}"/>
    <cellStyle name="Data 2 2 2 6 3 2" xfId="771" xr:uid="{00000000-0005-0000-0000-000018090000}"/>
    <cellStyle name="Data 2 2 2 6 4" xfId="772" xr:uid="{00000000-0005-0000-0000-000019090000}"/>
    <cellStyle name="Data 2 2 2 6 4 2" xfId="773" xr:uid="{00000000-0005-0000-0000-00001A090000}"/>
    <cellStyle name="Data 2 2 2 6 5" xfId="774" xr:uid="{00000000-0005-0000-0000-00001B090000}"/>
    <cellStyle name="Data 2 2 2 6 5 2" xfId="775" xr:uid="{00000000-0005-0000-0000-00001C090000}"/>
    <cellStyle name="Data 2 2 2 6 6" xfId="776" xr:uid="{00000000-0005-0000-0000-00001D090000}"/>
    <cellStyle name="Data 2 2 2 6 6 2" xfId="777" xr:uid="{00000000-0005-0000-0000-00001E090000}"/>
    <cellStyle name="Data 2 2 2 6 7" xfId="778" xr:uid="{00000000-0005-0000-0000-00001F090000}"/>
    <cellStyle name="Data 2 2 2 6 7 2" xfId="779" xr:uid="{00000000-0005-0000-0000-000020090000}"/>
    <cellStyle name="Data 2 2 2 6 8" xfId="780" xr:uid="{00000000-0005-0000-0000-000021090000}"/>
    <cellStyle name="Data 2 2 2 6 8 2" xfId="781" xr:uid="{00000000-0005-0000-0000-000022090000}"/>
    <cellStyle name="Data 2 2 2 6 9" xfId="782" xr:uid="{00000000-0005-0000-0000-000023090000}"/>
    <cellStyle name="Data 2 2 2 6 9 2" xfId="783" xr:uid="{00000000-0005-0000-0000-000024090000}"/>
    <cellStyle name="Data 2 2 2 7" xfId="784" xr:uid="{00000000-0005-0000-0000-000025090000}"/>
    <cellStyle name="Data 2 2 2 7 10" xfId="785" xr:uid="{00000000-0005-0000-0000-000026090000}"/>
    <cellStyle name="Data 2 2 2 7 2" xfId="786" xr:uid="{00000000-0005-0000-0000-000027090000}"/>
    <cellStyle name="Data 2 2 2 7 2 2" xfId="787" xr:uid="{00000000-0005-0000-0000-000028090000}"/>
    <cellStyle name="Data 2 2 2 7 3" xfId="788" xr:uid="{00000000-0005-0000-0000-000029090000}"/>
    <cellStyle name="Data 2 2 2 7 3 2" xfId="789" xr:uid="{00000000-0005-0000-0000-00002A090000}"/>
    <cellStyle name="Data 2 2 2 7 4" xfId="790" xr:uid="{00000000-0005-0000-0000-00002B090000}"/>
    <cellStyle name="Data 2 2 2 7 4 2" xfId="791" xr:uid="{00000000-0005-0000-0000-00002C090000}"/>
    <cellStyle name="Data 2 2 2 7 5" xfId="792" xr:uid="{00000000-0005-0000-0000-00002D090000}"/>
    <cellStyle name="Data 2 2 2 7 5 2" xfId="793" xr:uid="{00000000-0005-0000-0000-00002E090000}"/>
    <cellStyle name="Data 2 2 2 7 6" xfId="794" xr:uid="{00000000-0005-0000-0000-00002F090000}"/>
    <cellStyle name="Data 2 2 2 7 6 2" xfId="795" xr:uid="{00000000-0005-0000-0000-000030090000}"/>
    <cellStyle name="Data 2 2 2 7 7" xfId="796" xr:uid="{00000000-0005-0000-0000-000031090000}"/>
    <cellStyle name="Data 2 2 2 7 7 2" xfId="797" xr:uid="{00000000-0005-0000-0000-000032090000}"/>
    <cellStyle name="Data 2 2 2 7 8" xfId="798" xr:uid="{00000000-0005-0000-0000-000033090000}"/>
    <cellStyle name="Data 2 2 2 7 8 2" xfId="799" xr:uid="{00000000-0005-0000-0000-000034090000}"/>
    <cellStyle name="Data 2 2 2 7 9" xfId="800" xr:uid="{00000000-0005-0000-0000-000035090000}"/>
    <cellStyle name="Data 2 2 2 7 9 2" xfId="801" xr:uid="{00000000-0005-0000-0000-000036090000}"/>
    <cellStyle name="Data 2 2 2 8" xfId="802" xr:uid="{00000000-0005-0000-0000-000037090000}"/>
    <cellStyle name="Data 2 2 2 8 10" xfId="803" xr:uid="{00000000-0005-0000-0000-000038090000}"/>
    <cellStyle name="Data 2 2 2 8 2" xfId="804" xr:uid="{00000000-0005-0000-0000-000039090000}"/>
    <cellStyle name="Data 2 2 2 8 2 2" xfId="805" xr:uid="{00000000-0005-0000-0000-00003A090000}"/>
    <cellStyle name="Data 2 2 2 8 3" xfId="806" xr:uid="{00000000-0005-0000-0000-00003B090000}"/>
    <cellStyle name="Data 2 2 2 8 3 2" xfId="807" xr:uid="{00000000-0005-0000-0000-00003C090000}"/>
    <cellStyle name="Data 2 2 2 8 4" xfId="808" xr:uid="{00000000-0005-0000-0000-00003D090000}"/>
    <cellStyle name="Data 2 2 2 8 4 2" xfId="809" xr:uid="{00000000-0005-0000-0000-00003E090000}"/>
    <cellStyle name="Data 2 2 2 8 5" xfId="810" xr:uid="{00000000-0005-0000-0000-00003F090000}"/>
    <cellStyle name="Data 2 2 2 8 5 2" xfId="811" xr:uid="{00000000-0005-0000-0000-000040090000}"/>
    <cellStyle name="Data 2 2 2 8 6" xfId="812" xr:uid="{00000000-0005-0000-0000-000041090000}"/>
    <cellStyle name="Data 2 2 2 8 6 2" xfId="813" xr:uid="{00000000-0005-0000-0000-000042090000}"/>
    <cellStyle name="Data 2 2 2 8 7" xfId="814" xr:uid="{00000000-0005-0000-0000-000043090000}"/>
    <cellStyle name="Data 2 2 2 8 7 2" xfId="815" xr:uid="{00000000-0005-0000-0000-000044090000}"/>
    <cellStyle name="Data 2 2 2 8 8" xfId="816" xr:uid="{00000000-0005-0000-0000-000045090000}"/>
    <cellStyle name="Data 2 2 2 8 8 2" xfId="817" xr:uid="{00000000-0005-0000-0000-000046090000}"/>
    <cellStyle name="Data 2 2 2 8 9" xfId="818" xr:uid="{00000000-0005-0000-0000-000047090000}"/>
    <cellStyle name="Data 2 2 2 8 9 2" xfId="819" xr:uid="{00000000-0005-0000-0000-000048090000}"/>
    <cellStyle name="Data 2 2 2 9" xfId="820" xr:uid="{00000000-0005-0000-0000-000049090000}"/>
    <cellStyle name="Data 2 2 2 9 10" xfId="821" xr:uid="{00000000-0005-0000-0000-00004A090000}"/>
    <cellStyle name="Data 2 2 2 9 2" xfId="822" xr:uid="{00000000-0005-0000-0000-00004B090000}"/>
    <cellStyle name="Data 2 2 2 9 2 2" xfId="823" xr:uid="{00000000-0005-0000-0000-00004C090000}"/>
    <cellStyle name="Data 2 2 2 9 3" xfId="824" xr:uid="{00000000-0005-0000-0000-00004D090000}"/>
    <cellStyle name="Data 2 2 2 9 3 2" xfId="825" xr:uid="{00000000-0005-0000-0000-00004E090000}"/>
    <cellStyle name="Data 2 2 2 9 4" xfId="826" xr:uid="{00000000-0005-0000-0000-00004F090000}"/>
    <cellStyle name="Data 2 2 2 9 4 2" xfId="827" xr:uid="{00000000-0005-0000-0000-000050090000}"/>
    <cellStyle name="Data 2 2 2 9 5" xfId="828" xr:uid="{00000000-0005-0000-0000-000051090000}"/>
    <cellStyle name="Data 2 2 2 9 5 2" xfId="829" xr:uid="{00000000-0005-0000-0000-000052090000}"/>
    <cellStyle name="Data 2 2 2 9 6" xfId="830" xr:uid="{00000000-0005-0000-0000-000053090000}"/>
    <cellStyle name="Data 2 2 2 9 6 2" xfId="831" xr:uid="{00000000-0005-0000-0000-000054090000}"/>
    <cellStyle name="Data 2 2 2 9 7" xfId="832" xr:uid="{00000000-0005-0000-0000-000055090000}"/>
    <cellStyle name="Data 2 2 2 9 7 2" xfId="833" xr:uid="{00000000-0005-0000-0000-000056090000}"/>
    <cellStyle name="Data 2 2 2 9 8" xfId="834" xr:uid="{00000000-0005-0000-0000-000057090000}"/>
    <cellStyle name="Data 2 2 2 9 8 2" xfId="835" xr:uid="{00000000-0005-0000-0000-000058090000}"/>
    <cellStyle name="Data 2 2 2 9 9" xfId="836" xr:uid="{00000000-0005-0000-0000-000059090000}"/>
    <cellStyle name="Data 2 2 2 9 9 2" xfId="837" xr:uid="{00000000-0005-0000-0000-00005A090000}"/>
    <cellStyle name="Data 2 2 3" xfId="838" xr:uid="{00000000-0005-0000-0000-00005B090000}"/>
    <cellStyle name="Data 2 2 3 10" xfId="839" xr:uid="{00000000-0005-0000-0000-00005C090000}"/>
    <cellStyle name="Data 2 2 3 10 10" xfId="840" xr:uid="{00000000-0005-0000-0000-00005D090000}"/>
    <cellStyle name="Data 2 2 3 10 2" xfId="841" xr:uid="{00000000-0005-0000-0000-00005E090000}"/>
    <cellStyle name="Data 2 2 3 10 2 2" xfId="842" xr:uid="{00000000-0005-0000-0000-00005F090000}"/>
    <cellStyle name="Data 2 2 3 10 3" xfId="843" xr:uid="{00000000-0005-0000-0000-000060090000}"/>
    <cellStyle name="Data 2 2 3 10 3 2" xfId="844" xr:uid="{00000000-0005-0000-0000-000061090000}"/>
    <cellStyle name="Data 2 2 3 10 4" xfId="845" xr:uid="{00000000-0005-0000-0000-000062090000}"/>
    <cellStyle name="Data 2 2 3 10 4 2" xfId="846" xr:uid="{00000000-0005-0000-0000-000063090000}"/>
    <cellStyle name="Data 2 2 3 10 5" xfId="847" xr:uid="{00000000-0005-0000-0000-000064090000}"/>
    <cellStyle name="Data 2 2 3 10 5 2" xfId="848" xr:uid="{00000000-0005-0000-0000-000065090000}"/>
    <cellStyle name="Data 2 2 3 10 6" xfId="849" xr:uid="{00000000-0005-0000-0000-000066090000}"/>
    <cellStyle name="Data 2 2 3 10 6 2" xfId="850" xr:uid="{00000000-0005-0000-0000-000067090000}"/>
    <cellStyle name="Data 2 2 3 10 7" xfId="851" xr:uid="{00000000-0005-0000-0000-000068090000}"/>
    <cellStyle name="Data 2 2 3 10 7 2" xfId="852" xr:uid="{00000000-0005-0000-0000-000069090000}"/>
    <cellStyle name="Data 2 2 3 10 8" xfId="853" xr:uid="{00000000-0005-0000-0000-00006A090000}"/>
    <cellStyle name="Data 2 2 3 10 8 2" xfId="854" xr:uid="{00000000-0005-0000-0000-00006B090000}"/>
    <cellStyle name="Data 2 2 3 10 9" xfId="855" xr:uid="{00000000-0005-0000-0000-00006C090000}"/>
    <cellStyle name="Data 2 2 3 10 9 2" xfId="856" xr:uid="{00000000-0005-0000-0000-00006D090000}"/>
    <cellStyle name="Data 2 2 3 11" xfId="857" xr:uid="{00000000-0005-0000-0000-00006E090000}"/>
    <cellStyle name="Data 2 2 3 11 2" xfId="858" xr:uid="{00000000-0005-0000-0000-00006F090000}"/>
    <cellStyle name="Data 2 2 3 11 2 2" xfId="859" xr:uid="{00000000-0005-0000-0000-000070090000}"/>
    <cellStyle name="Data 2 2 3 11 3" xfId="860" xr:uid="{00000000-0005-0000-0000-000071090000}"/>
    <cellStyle name="Data 2 2 3 11 3 2" xfId="861" xr:uid="{00000000-0005-0000-0000-000072090000}"/>
    <cellStyle name="Data 2 2 3 11 4" xfId="862" xr:uid="{00000000-0005-0000-0000-000073090000}"/>
    <cellStyle name="Data 2 2 3 11 4 2" xfId="863" xr:uid="{00000000-0005-0000-0000-000074090000}"/>
    <cellStyle name="Data 2 2 3 11 5" xfId="864" xr:uid="{00000000-0005-0000-0000-000075090000}"/>
    <cellStyle name="Data 2 2 3 11 5 2" xfId="865" xr:uid="{00000000-0005-0000-0000-000076090000}"/>
    <cellStyle name="Data 2 2 3 11 6" xfId="866" xr:uid="{00000000-0005-0000-0000-000077090000}"/>
    <cellStyle name="Data 2 2 3 11 6 2" xfId="867" xr:uid="{00000000-0005-0000-0000-000078090000}"/>
    <cellStyle name="Data 2 2 3 11 7" xfId="868" xr:uid="{00000000-0005-0000-0000-000079090000}"/>
    <cellStyle name="Data 2 2 3 11 7 2" xfId="869" xr:uid="{00000000-0005-0000-0000-00007A090000}"/>
    <cellStyle name="Data 2 2 3 11 8" xfId="870" xr:uid="{00000000-0005-0000-0000-00007B090000}"/>
    <cellStyle name="Data 2 2 3 11 8 2" xfId="871" xr:uid="{00000000-0005-0000-0000-00007C090000}"/>
    <cellStyle name="Data 2 2 3 11 9" xfId="872" xr:uid="{00000000-0005-0000-0000-00007D090000}"/>
    <cellStyle name="Data 2 2 3 2" xfId="873" xr:uid="{00000000-0005-0000-0000-00007E090000}"/>
    <cellStyle name="Data 2 2 3 2 10" xfId="874" xr:uid="{00000000-0005-0000-0000-00007F090000}"/>
    <cellStyle name="Data 2 2 3 2 2" xfId="875" xr:uid="{00000000-0005-0000-0000-000080090000}"/>
    <cellStyle name="Data 2 2 3 2 2 2" xfId="876" xr:uid="{00000000-0005-0000-0000-000081090000}"/>
    <cellStyle name="Data 2 2 3 2 3" xfId="877" xr:uid="{00000000-0005-0000-0000-000082090000}"/>
    <cellStyle name="Data 2 2 3 2 3 2" xfId="878" xr:uid="{00000000-0005-0000-0000-000083090000}"/>
    <cellStyle name="Data 2 2 3 2 4" xfId="879" xr:uid="{00000000-0005-0000-0000-000084090000}"/>
    <cellStyle name="Data 2 2 3 2 4 2" xfId="880" xr:uid="{00000000-0005-0000-0000-000085090000}"/>
    <cellStyle name="Data 2 2 3 2 5" xfId="881" xr:uid="{00000000-0005-0000-0000-000086090000}"/>
    <cellStyle name="Data 2 2 3 2 5 2" xfId="882" xr:uid="{00000000-0005-0000-0000-000087090000}"/>
    <cellStyle name="Data 2 2 3 2 6" xfId="883" xr:uid="{00000000-0005-0000-0000-000088090000}"/>
    <cellStyle name="Data 2 2 3 2 6 2" xfId="884" xr:uid="{00000000-0005-0000-0000-000089090000}"/>
    <cellStyle name="Data 2 2 3 2 7" xfId="885" xr:uid="{00000000-0005-0000-0000-00008A090000}"/>
    <cellStyle name="Data 2 2 3 2 7 2" xfId="886" xr:uid="{00000000-0005-0000-0000-00008B090000}"/>
    <cellStyle name="Data 2 2 3 2 8" xfId="887" xr:uid="{00000000-0005-0000-0000-00008C090000}"/>
    <cellStyle name="Data 2 2 3 2 8 2" xfId="888" xr:uid="{00000000-0005-0000-0000-00008D090000}"/>
    <cellStyle name="Data 2 2 3 2 9" xfId="889" xr:uid="{00000000-0005-0000-0000-00008E090000}"/>
    <cellStyle name="Data 2 2 3 2 9 2" xfId="890" xr:uid="{00000000-0005-0000-0000-00008F090000}"/>
    <cellStyle name="Data 2 2 3 3" xfId="891" xr:uid="{00000000-0005-0000-0000-000090090000}"/>
    <cellStyle name="Data 2 2 3 3 10" xfId="892" xr:uid="{00000000-0005-0000-0000-000091090000}"/>
    <cellStyle name="Data 2 2 3 3 2" xfId="893" xr:uid="{00000000-0005-0000-0000-000092090000}"/>
    <cellStyle name="Data 2 2 3 3 2 2" xfId="894" xr:uid="{00000000-0005-0000-0000-000093090000}"/>
    <cellStyle name="Data 2 2 3 3 3" xfId="895" xr:uid="{00000000-0005-0000-0000-000094090000}"/>
    <cellStyle name="Data 2 2 3 3 3 2" xfId="896" xr:uid="{00000000-0005-0000-0000-000095090000}"/>
    <cellStyle name="Data 2 2 3 3 4" xfId="897" xr:uid="{00000000-0005-0000-0000-000096090000}"/>
    <cellStyle name="Data 2 2 3 3 4 2" xfId="898" xr:uid="{00000000-0005-0000-0000-000097090000}"/>
    <cellStyle name="Data 2 2 3 3 5" xfId="899" xr:uid="{00000000-0005-0000-0000-000098090000}"/>
    <cellStyle name="Data 2 2 3 3 5 2" xfId="900" xr:uid="{00000000-0005-0000-0000-000099090000}"/>
    <cellStyle name="Data 2 2 3 3 6" xfId="901" xr:uid="{00000000-0005-0000-0000-00009A090000}"/>
    <cellStyle name="Data 2 2 3 3 6 2" xfId="902" xr:uid="{00000000-0005-0000-0000-00009B090000}"/>
    <cellStyle name="Data 2 2 3 3 7" xfId="903" xr:uid="{00000000-0005-0000-0000-00009C090000}"/>
    <cellStyle name="Data 2 2 3 3 7 2" xfId="904" xr:uid="{00000000-0005-0000-0000-00009D090000}"/>
    <cellStyle name="Data 2 2 3 3 8" xfId="905" xr:uid="{00000000-0005-0000-0000-00009E090000}"/>
    <cellStyle name="Data 2 2 3 3 8 2" xfId="906" xr:uid="{00000000-0005-0000-0000-00009F090000}"/>
    <cellStyle name="Data 2 2 3 3 9" xfId="907" xr:uid="{00000000-0005-0000-0000-0000A0090000}"/>
    <cellStyle name="Data 2 2 3 3 9 2" xfId="908" xr:uid="{00000000-0005-0000-0000-0000A1090000}"/>
    <cellStyle name="Data 2 2 3 4" xfId="909" xr:uid="{00000000-0005-0000-0000-0000A2090000}"/>
    <cellStyle name="Data 2 2 3 4 10" xfId="910" xr:uid="{00000000-0005-0000-0000-0000A3090000}"/>
    <cellStyle name="Data 2 2 3 4 2" xfId="911" xr:uid="{00000000-0005-0000-0000-0000A4090000}"/>
    <cellStyle name="Data 2 2 3 4 2 2" xfId="912" xr:uid="{00000000-0005-0000-0000-0000A5090000}"/>
    <cellStyle name="Data 2 2 3 4 3" xfId="913" xr:uid="{00000000-0005-0000-0000-0000A6090000}"/>
    <cellStyle name="Data 2 2 3 4 3 2" xfId="914" xr:uid="{00000000-0005-0000-0000-0000A7090000}"/>
    <cellStyle name="Data 2 2 3 4 4" xfId="915" xr:uid="{00000000-0005-0000-0000-0000A8090000}"/>
    <cellStyle name="Data 2 2 3 4 4 2" xfId="916" xr:uid="{00000000-0005-0000-0000-0000A9090000}"/>
    <cellStyle name="Data 2 2 3 4 5" xfId="917" xr:uid="{00000000-0005-0000-0000-0000AA090000}"/>
    <cellStyle name="Data 2 2 3 4 5 2" xfId="918" xr:uid="{00000000-0005-0000-0000-0000AB090000}"/>
    <cellStyle name="Data 2 2 3 4 6" xfId="919" xr:uid="{00000000-0005-0000-0000-0000AC090000}"/>
    <cellStyle name="Data 2 2 3 4 6 2" xfId="920" xr:uid="{00000000-0005-0000-0000-0000AD090000}"/>
    <cellStyle name="Data 2 2 3 4 7" xfId="921" xr:uid="{00000000-0005-0000-0000-0000AE090000}"/>
    <cellStyle name="Data 2 2 3 4 7 2" xfId="922" xr:uid="{00000000-0005-0000-0000-0000AF090000}"/>
    <cellStyle name="Data 2 2 3 4 8" xfId="923" xr:uid="{00000000-0005-0000-0000-0000B0090000}"/>
    <cellStyle name="Data 2 2 3 4 8 2" xfId="924" xr:uid="{00000000-0005-0000-0000-0000B1090000}"/>
    <cellStyle name="Data 2 2 3 4 9" xfId="925" xr:uid="{00000000-0005-0000-0000-0000B2090000}"/>
    <cellStyle name="Data 2 2 3 4 9 2" xfId="926" xr:uid="{00000000-0005-0000-0000-0000B3090000}"/>
    <cellStyle name="Data 2 2 3 5" xfId="927" xr:uid="{00000000-0005-0000-0000-0000B4090000}"/>
    <cellStyle name="Data 2 2 3 5 10" xfId="928" xr:uid="{00000000-0005-0000-0000-0000B5090000}"/>
    <cellStyle name="Data 2 2 3 5 2" xfId="929" xr:uid="{00000000-0005-0000-0000-0000B6090000}"/>
    <cellStyle name="Data 2 2 3 5 2 2" xfId="930" xr:uid="{00000000-0005-0000-0000-0000B7090000}"/>
    <cellStyle name="Data 2 2 3 5 3" xfId="931" xr:uid="{00000000-0005-0000-0000-0000B8090000}"/>
    <cellStyle name="Data 2 2 3 5 3 2" xfId="932" xr:uid="{00000000-0005-0000-0000-0000B9090000}"/>
    <cellStyle name="Data 2 2 3 5 4" xfId="933" xr:uid="{00000000-0005-0000-0000-0000BA090000}"/>
    <cellStyle name="Data 2 2 3 5 4 2" xfId="934" xr:uid="{00000000-0005-0000-0000-0000BB090000}"/>
    <cellStyle name="Data 2 2 3 5 5" xfId="935" xr:uid="{00000000-0005-0000-0000-0000BC090000}"/>
    <cellStyle name="Data 2 2 3 5 5 2" xfId="936" xr:uid="{00000000-0005-0000-0000-0000BD090000}"/>
    <cellStyle name="Data 2 2 3 5 6" xfId="937" xr:uid="{00000000-0005-0000-0000-0000BE090000}"/>
    <cellStyle name="Data 2 2 3 5 6 2" xfId="938" xr:uid="{00000000-0005-0000-0000-0000BF090000}"/>
    <cellStyle name="Data 2 2 3 5 7" xfId="939" xr:uid="{00000000-0005-0000-0000-0000C0090000}"/>
    <cellStyle name="Data 2 2 3 5 7 2" xfId="940" xr:uid="{00000000-0005-0000-0000-0000C1090000}"/>
    <cellStyle name="Data 2 2 3 5 8" xfId="941" xr:uid="{00000000-0005-0000-0000-0000C2090000}"/>
    <cellStyle name="Data 2 2 3 5 8 2" xfId="942" xr:uid="{00000000-0005-0000-0000-0000C3090000}"/>
    <cellStyle name="Data 2 2 3 5 9" xfId="943" xr:uid="{00000000-0005-0000-0000-0000C4090000}"/>
    <cellStyle name="Data 2 2 3 5 9 2" xfId="944" xr:uid="{00000000-0005-0000-0000-0000C5090000}"/>
    <cellStyle name="Data 2 2 3 6" xfId="945" xr:uid="{00000000-0005-0000-0000-0000C6090000}"/>
    <cellStyle name="Data 2 2 3 6 10" xfId="946" xr:uid="{00000000-0005-0000-0000-0000C7090000}"/>
    <cellStyle name="Data 2 2 3 6 2" xfId="947" xr:uid="{00000000-0005-0000-0000-0000C8090000}"/>
    <cellStyle name="Data 2 2 3 6 2 2" xfId="948" xr:uid="{00000000-0005-0000-0000-0000C9090000}"/>
    <cellStyle name="Data 2 2 3 6 3" xfId="949" xr:uid="{00000000-0005-0000-0000-0000CA090000}"/>
    <cellStyle name="Data 2 2 3 6 3 2" xfId="950" xr:uid="{00000000-0005-0000-0000-0000CB090000}"/>
    <cellStyle name="Data 2 2 3 6 4" xfId="951" xr:uid="{00000000-0005-0000-0000-0000CC090000}"/>
    <cellStyle name="Data 2 2 3 6 4 2" xfId="952" xr:uid="{00000000-0005-0000-0000-0000CD090000}"/>
    <cellStyle name="Data 2 2 3 6 5" xfId="953" xr:uid="{00000000-0005-0000-0000-0000CE090000}"/>
    <cellStyle name="Data 2 2 3 6 5 2" xfId="954" xr:uid="{00000000-0005-0000-0000-0000CF090000}"/>
    <cellStyle name="Data 2 2 3 6 6" xfId="955" xr:uid="{00000000-0005-0000-0000-0000D0090000}"/>
    <cellStyle name="Data 2 2 3 6 6 2" xfId="956" xr:uid="{00000000-0005-0000-0000-0000D1090000}"/>
    <cellStyle name="Data 2 2 3 6 7" xfId="957" xr:uid="{00000000-0005-0000-0000-0000D2090000}"/>
    <cellStyle name="Data 2 2 3 6 7 2" xfId="958" xr:uid="{00000000-0005-0000-0000-0000D3090000}"/>
    <cellStyle name="Data 2 2 3 6 8" xfId="959" xr:uid="{00000000-0005-0000-0000-0000D4090000}"/>
    <cellStyle name="Data 2 2 3 6 8 2" xfId="960" xr:uid="{00000000-0005-0000-0000-0000D5090000}"/>
    <cellStyle name="Data 2 2 3 6 9" xfId="961" xr:uid="{00000000-0005-0000-0000-0000D6090000}"/>
    <cellStyle name="Data 2 2 3 6 9 2" xfId="962" xr:uid="{00000000-0005-0000-0000-0000D7090000}"/>
    <cellStyle name="Data 2 2 3 7" xfId="963" xr:uid="{00000000-0005-0000-0000-0000D8090000}"/>
    <cellStyle name="Data 2 2 3 7 10" xfId="964" xr:uid="{00000000-0005-0000-0000-0000D9090000}"/>
    <cellStyle name="Data 2 2 3 7 2" xfId="965" xr:uid="{00000000-0005-0000-0000-0000DA090000}"/>
    <cellStyle name="Data 2 2 3 7 2 2" xfId="966" xr:uid="{00000000-0005-0000-0000-0000DB090000}"/>
    <cellStyle name="Data 2 2 3 7 3" xfId="967" xr:uid="{00000000-0005-0000-0000-0000DC090000}"/>
    <cellStyle name="Data 2 2 3 7 3 2" xfId="968" xr:uid="{00000000-0005-0000-0000-0000DD090000}"/>
    <cellStyle name="Data 2 2 3 7 4" xfId="969" xr:uid="{00000000-0005-0000-0000-0000DE090000}"/>
    <cellStyle name="Data 2 2 3 7 4 2" xfId="970" xr:uid="{00000000-0005-0000-0000-0000DF090000}"/>
    <cellStyle name="Data 2 2 3 7 5" xfId="971" xr:uid="{00000000-0005-0000-0000-0000E0090000}"/>
    <cellStyle name="Data 2 2 3 7 5 2" xfId="972" xr:uid="{00000000-0005-0000-0000-0000E1090000}"/>
    <cellStyle name="Data 2 2 3 7 6" xfId="973" xr:uid="{00000000-0005-0000-0000-0000E2090000}"/>
    <cellStyle name="Data 2 2 3 7 6 2" xfId="974" xr:uid="{00000000-0005-0000-0000-0000E3090000}"/>
    <cellStyle name="Data 2 2 3 7 7" xfId="975" xr:uid="{00000000-0005-0000-0000-0000E4090000}"/>
    <cellStyle name="Data 2 2 3 7 7 2" xfId="976" xr:uid="{00000000-0005-0000-0000-0000E5090000}"/>
    <cellStyle name="Data 2 2 3 7 8" xfId="977" xr:uid="{00000000-0005-0000-0000-0000E6090000}"/>
    <cellStyle name="Data 2 2 3 7 8 2" xfId="978" xr:uid="{00000000-0005-0000-0000-0000E7090000}"/>
    <cellStyle name="Data 2 2 3 7 9" xfId="979" xr:uid="{00000000-0005-0000-0000-0000E8090000}"/>
    <cellStyle name="Data 2 2 3 7 9 2" xfId="980" xr:uid="{00000000-0005-0000-0000-0000E9090000}"/>
    <cellStyle name="Data 2 2 3 8" xfId="981" xr:uid="{00000000-0005-0000-0000-0000EA090000}"/>
    <cellStyle name="Data 2 2 3 8 10" xfId="982" xr:uid="{00000000-0005-0000-0000-0000EB090000}"/>
    <cellStyle name="Data 2 2 3 8 2" xfId="983" xr:uid="{00000000-0005-0000-0000-0000EC090000}"/>
    <cellStyle name="Data 2 2 3 8 2 2" xfId="984" xr:uid="{00000000-0005-0000-0000-0000ED090000}"/>
    <cellStyle name="Data 2 2 3 8 3" xfId="985" xr:uid="{00000000-0005-0000-0000-0000EE090000}"/>
    <cellStyle name="Data 2 2 3 8 3 2" xfId="986" xr:uid="{00000000-0005-0000-0000-0000EF090000}"/>
    <cellStyle name="Data 2 2 3 8 4" xfId="987" xr:uid="{00000000-0005-0000-0000-0000F0090000}"/>
    <cellStyle name="Data 2 2 3 8 4 2" xfId="988" xr:uid="{00000000-0005-0000-0000-0000F1090000}"/>
    <cellStyle name="Data 2 2 3 8 5" xfId="989" xr:uid="{00000000-0005-0000-0000-0000F2090000}"/>
    <cellStyle name="Data 2 2 3 8 5 2" xfId="990" xr:uid="{00000000-0005-0000-0000-0000F3090000}"/>
    <cellStyle name="Data 2 2 3 8 6" xfId="991" xr:uid="{00000000-0005-0000-0000-0000F4090000}"/>
    <cellStyle name="Data 2 2 3 8 6 2" xfId="992" xr:uid="{00000000-0005-0000-0000-0000F5090000}"/>
    <cellStyle name="Data 2 2 3 8 7" xfId="993" xr:uid="{00000000-0005-0000-0000-0000F6090000}"/>
    <cellStyle name="Data 2 2 3 8 7 2" xfId="994" xr:uid="{00000000-0005-0000-0000-0000F7090000}"/>
    <cellStyle name="Data 2 2 3 8 8" xfId="995" xr:uid="{00000000-0005-0000-0000-0000F8090000}"/>
    <cellStyle name="Data 2 2 3 8 8 2" xfId="996" xr:uid="{00000000-0005-0000-0000-0000F9090000}"/>
    <cellStyle name="Data 2 2 3 8 9" xfId="997" xr:uid="{00000000-0005-0000-0000-0000FA090000}"/>
    <cellStyle name="Data 2 2 3 8 9 2" xfId="998" xr:uid="{00000000-0005-0000-0000-0000FB090000}"/>
    <cellStyle name="Data 2 2 3 9" xfId="999" xr:uid="{00000000-0005-0000-0000-0000FC090000}"/>
    <cellStyle name="Data 2 2 3 9 10" xfId="1000" xr:uid="{00000000-0005-0000-0000-0000FD090000}"/>
    <cellStyle name="Data 2 2 3 9 2" xfId="1001" xr:uid="{00000000-0005-0000-0000-0000FE090000}"/>
    <cellStyle name="Data 2 2 3 9 2 2" xfId="1002" xr:uid="{00000000-0005-0000-0000-0000FF090000}"/>
    <cellStyle name="Data 2 2 3 9 3" xfId="1003" xr:uid="{00000000-0005-0000-0000-0000000A0000}"/>
    <cellStyle name="Data 2 2 3 9 3 2" xfId="1004" xr:uid="{00000000-0005-0000-0000-0000010A0000}"/>
    <cellStyle name="Data 2 2 3 9 4" xfId="1005" xr:uid="{00000000-0005-0000-0000-0000020A0000}"/>
    <cellStyle name="Data 2 2 3 9 4 2" xfId="1006" xr:uid="{00000000-0005-0000-0000-0000030A0000}"/>
    <cellStyle name="Data 2 2 3 9 5" xfId="1007" xr:uid="{00000000-0005-0000-0000-0000040A0000}"/>
    <cellStyle name="Data 2 2 3 9 5 2" xfId="1008" xr:uid="{00000000-0005-0000-0000-0000050A0000}"/>
    <cellStyle name="Data 2 2 3 9 6" xfId="1009" xr:uid="{00000000-0005-0000-0000-0000060A0000}"/>
    <cellStyle name="Data 2 2 3 9 6 2" xfId="1010" xr:uid="{00000000-0005-0000-0000-0000070A0000}"/>
    <cellStyle name="Data 2 2 3 9 7" xfId="1011" xr:uid="{00000000-0005-0000-0000-0000080A0000}"/>
    <cellStyle name="Data 2 2 3 9 7 2" xfId="1012" xr:uid="{00000000-0005-0000-0000-0000090A0000}"/>
    <cellStyle name="Data 2 2 3 9 8" xfId="1013" xr:uid="{00000000-0005-0000-0000-00000A0A0000}"/>
    <cellStyle name="Data 2 2 3 9 8 2" xfId="1014" xr:uid="{00000000-0005-0000-0000-00000B0A0000}"/>
    <cellStyle name="Data 2 2 3 9 9" xfId="1015" xr:uid="{00000000-0005-0000-0000-00000C0A0000}"/>
    <cellStyle name="Data 2 2 3 9 9 2" xfId="1016" xr:uid="{00000000-0005-0000-0000-00000D0A0000}"/>
    <cellStyle name="Data 2 2 4" xfId="1017" xr:uid="{00000000-0005-0000-0000-00000E0A0000}"/>
    <cellStyle name="Data 2 2 4 10" xfId="1018" xr:uid="{00000000-0005-0000-0000-00000F0A0000}"/>
    <cellStyle name="Data 2 2 4 10 2" xfId="1019" xr:uid="{00000000-0005-0000-0000-0000100A0000}"/>
    <cellStyle name="Data 2 2 4 10 2 2" xfId="1020" xr:uid="{00000000-0005-0000-0000-0000110A0000}"/>
    <cellStyle name="Data 2 2 4 10 3" xfId="1021" xr:uid="{00000000-0005-0000-0000-0000120A0000}"/>
    <cellStyle name="Data 2 2 4 10 3 2" xfId="1022" xr:uid="{00000000-0005-0000-0000-0000130A0000}"/>
    <cellStyle name="Data 2 2 4 10 4" xfId="1023" xr:uid="{00000000-0005-0000-0000-0000140A0000}"/>
    <cellStyle name="Data 2 2 4 10 4 2" xfId="1024" xr:uid="{00000000-0005-0000-0000-0000150A0000}"/>
    <cellStyle name="Data 2 2 4 10 5" xfId="1025" xr:uid="{00000000-0005-0000-0000-0000160A0000}"/>
    <cellStyle name="Data 2 2 4 10 5 2" xfId="1026" xr:uid="{00000000-0005-0000-0000-0000170A0000}"/>
    <cellStyle name="Data 2 2 4 10 6" xfId="1027" xr:uid="{00000000-0005-0000-0000-0000180A0000}"/>
    <cellStyle name="Data 2 2 4 10 6 2" xfId="1028" xr:uid="{00000000-0005-0000-0000-0000190A0000}"/>
    <cellStyle name="Data 2 2 4 10 7" xfId="1029" xr:uid="{00000000-0005-0000-0000-00001A0A0000}"/>
    <cellStyle name="Data 2 2 4 10 7 2" xfId="1030" xr:uid="{00000000-0005-0000-0000-00001B0A0000}"/>
    <cellStyle name="Data 2 2 4 10 8" xfId="1031" xr:uid="{00000000-0005-0000-0000-00001C0A0000}"/>
    <cellStyle name="Data 2 2 4 10 8 2" xfId="1032" xr:uid="{00000000-0005-0000-0000-00001D0A0000}"/>
    <cellStyle name="Data 2 2 4 10 9" xfId="1033" xr:uid="{00000000-0005-0000-0000-00001E0A0000}"/>
    <cellStyle name="Data 2 2 4 11" xfId="1034" xr:uid="{00000000-0005-0000-0000-00001F0A0000}"/>
    <cellStyle name="Data 2 2 4 11 2" xfId="1035" xr:uid="{00000000-0005-0000-0000-0000200A0000}"/>
    <cellStyle name="Data 2 2 4 12" xfId="1036" xr:uid="{00000000-0005-0000-0000-0000210A0000}"/>
    <cellStyle name="Data 2 2 4 12 2" xfId="1037" xr:uid="{00000000-0005-0000-0000-0000220A0000}"/>
    <cellStyle name="Data 2 2 4 13" xfId="1038" xr:uid="{00000000-0005-0000-0000-0000230A0000}"/>
    <cellStyle name="Data 2 2 4 13 2" xfId="1039" xr:uid="{00000000-0005-0000-0000-0000240A0000}"/>
    <cellStyle name="Data 2 2 4 14" xfId="1040" xr:uid="{00000000-0005-0000-0000-0000250A0000}"/>
    <cellStyle name="Data 2 2 4 14 2" xfId="1041" xr:uid="{00000000-0005-0000-0000-0000260A0000}"/>
    <cellStyle name="Data 2 2 4 15" xfId="1042" xr:uid="{00000000-0005-0000-0000-0000270A0000}"/>
    <cellStyle name="Data 2 2 4 15 2" xfId="1043" xr:uid="{00000000-0005-0000-0000-0000280A0000}"/>
    <cellStyle name="Data 2 2 4 16" xfId="1044" xr:uid="{00000000-0005-0000-0000-0000290A0000}"/>
    <cellStyle name="Data 2 2 4 16 2" xfId="1045" xr:uid="{00000000-0005-0000-0000-00002A0A0000}"/>
    <cellStyle name="Data 2 2 4 17" xfId="1046" xr:uid="{00000000-0005-0000-0000-00002B0A0000}"/>
    <cellStyle name="Data 2 2 4 17 2" xfId="1047" xr:uid="{00000000-0005-0000-0000-00002C0A0000}"/>
    <cellStyle name="Data 2 2 4 18" xfId="1048" xr:uid="{00000000-0005-0000-0000-00002D0A0000}"/>
    <cellStyle name="Data 2 2 4 2" xfId="1049" xr:uid="{00000000-0005-0000-0000-00002E0A0000}"/>
    <cellStyle name="Data 2 2 4 2 10" xfId="1050" xr:uid="{00000000-0005-0000-0000-00002F0A0000}"/>
    <cellStyle name="Data 2 2 4 2 2" xfId="1051" xr:uid="{00000000-0005-0000-0000-0000300A0000}"/>
    <cellStyle name="Data 2 2 4 2 2 2" xfId="1052" xr:uid="{00000000-0005-0000-0000-0000310A0000}"/>
    <cellStyle name="Data 2 2 4 2 3" xfId="1053" xr:uid="{00000000-0005-0000-0000-0000320A0000}"/>
    <cellStyle name="Data 2 2 4 2 3 2" xfId="1054" xr:uid="{00000000-0005-0000-0000-0000330A0000}"/>
    <cellStyle name="Data 2 2 4 2 4" xfId="1055" xr:uid="{00000000-0005-0000-0000-0000340A0000}"/>
    <cellStyle name="Data 2 2 4 2 4 2" xfId="1056" xr:uid="{00000000-0005-0000-0000-0000350A0000}"/>
    <cellStyle name="Data 2 2 4 2 5" xfId="1057" xr:uid="{00000000-0005-0000-0000-0000360A0000}"/>
    <cellStyle name="Data 2 2 4 2 5 2" xfId="1058" xr:uid="{00000000-0005-0000-0000-0000370A0000}"/>
    <cellStyle name="Data 2 2 4 2 6" xfId="1059" xr:uid="{00000000-0005-0000-0000-0000380A0000}"/>
    <cellStyle name="Data 2 2 4 2 6 2" xfId="1060" xr:uid="{00000000-0005-0000-0000-0000390A0000}"/>
    <cellStyle name="Data 2 2 4 2 7" xfId="1061" xr:uid="{00000000-0005-0000-0000-00003A0A0000}"/>
    <cellStyle name="Data 2 2 4 2 7 2" xfId="1062" xr:uid="{00000000-0005-0000-0000-00003B0A0000}"/>
    <cellStyle name="Data 2 2 4 2 8" xfId="1063" xr:uid="{00000000-0005-0000-0000-00003C0A0000}"/>
    <cellStyle name="Data 2 2 4 2 8 2" xfId="1064" xr:uid="{00000000-0005-0000-0000-00003D0A0000}"/>
    <cellStyle name="Data 2 2 4 2 9" xfId="1065" xr:uid="{00000000-0005-0000-0000-00003E0A0000}"/>
    <cellStyle name="Data 2 2 4 2 9 2" xfId="1066" xr:uid="{00000000-0005-0000-0000-00003F0A0000}"/>
    <cellStyle name="Data 2 2 4 3" xfId="1067" xr:uid="{00000000-0005-0000-0000-0000400A0000}"/>
    <cellStyle name="Data 2 2 4 3 10" xfId="1068" xr:uid="{00000000-0005-0000-0000-0000410A0000}"/>
    <cellStyle name="Data 2 2 4 3 2" xfId="1069" xr:uid="{00000000-0005-0000-0000-0000420A0000}"/>
    <cellStyle name="Data 2 2 4 3 2 2" xfId="1070" xr:uid="{00000000-0005-0000-0000-0000430A0000}"/>
    <cellStyle name="Data 2 2 4 3 3" xfId="1071" xr:uid="{00000000-0005-0000-0000-0000440A0000}"/>
    <cellStyle name="Data 2 2 4 3 3 2" xfId="1072" xr:uid="{00000000-0005-0000-0000-0000450A0000}"/>
    <cellStyle name="Data 2 2 4 3 4" xfId="1073" xr:uid="{00000000-0005-0000-0000-0000460A0000}"/>
    <cellStyle name="Data 2 2 4 3 4 2" xfId="1074" xr:uid="{00000000-0005-0000-0000-0000470A0000}"/>
    <cellStyle name="Data 2 2 4 3 5" xfId="1075" xr:uid="{00000000-0005-0000-0000-0000480A0000}"/>
    <cellStyle name="Data 2 2 4 3 5 2" xfId="1076" xr:uid="{00000000-0005-0000-0000-0000490A0000}"/>
    <cellStyle name="Data 2 2 4 3 6" xfId="1077" xr:uid="{00000000-0005-0000-0000-00004A0A0000}"/>
    <cellStyle name="Data 2 2 4 3 6 2" xfId="1078" xr:uid="{00000000-0005-0000-0000-00004B0A0000}"/>
    <cellStyle name="Data 2 2 4 3 7" xfId="1079" xr:uid="{00000000-0005-0000-0000-00004C0A0000}"/>
    <cellStyle name="Data 2 2 4 3 7 2" xfId="1080" xr:uid="{00000000-0005-0000-0000-00004D0A0000}"/>
    <cellStyle name="Data 2 2 4 3 8" xfId="1081" xr:uid="{00000000-0005-0000-0000-00004E0A0000}"/>
    <cellStyle name="Data 2 2 4 3 8 2" xfId="1082" xr:uid="{00000000-0005-0000-0000-00004F0A0000}"/>
    <cellStyle name="Data 2 2 4 3 9" xfId="1083" xr:uid="{00000000-0005-0000-0000-0000500A0000}"/>
    <cellStyle name="Data 2 2 4 3 9 2" xfId="1084" xr:uid="{00000000-0005-0000-0000-0000510A0000}"/>
    <cellStyle name="Data 2 2 4 4" xfId="1085" xr:uid="{00000000-0005-0000-0000-0000520A0000}"/>
    <cellStyle name="Data 2 2 4 4 10" xfId="1086" xr:uid="{00000000-0005-0000-0000-0000530A0000}"/>
    <cellStyle name="Data 2 2 4 4 2" xfId="1087" xr:uid="{00000000-0005-0000-0000-0000540A0000}"/>
    <cellStyle name="Data 2 2 4 4 2 2" xfId="1088" xr:uid="{00000000-0005-0000-0000-0000550A0000}"/>
    <cellStyle name="Data 2 2 4 4 3" xfId="1089" xr:uid="{00000000-0005-0000-0000-0000560A0000}"/>
    <cellStyle name="Data 2 2 4 4 3 2" xfId="1090" xr:uid="{00000000-0005-0000-0000-0000570A0000}"/>
    <cellStyle name="Data 2 2 4 4 4" xfId="1091" xr:uid="{00000000-0005-0000-0000-0000580A0000}"/>
    <cellStyle name="Data 2 2 4 4 4 2" xfId="1092" xr:uid="{00000000-0005-0000-0000-0000590A0000}"/>
    <cellStyle name="Data 2 2 4 4 5" xfId="1093" xr:uid="{00000000-0005-0000-0000-00005A0A0000}"/>
    <cellStyle name="Data 2 2 4 4 5 2" xfId="1094" xr:uid="{00000000-0005-0000-0000-00005B0A0000}"/>
    <cellStyle name="Data 2 2 4 4 6" xfId="1095" xr:uid="{00000000-0005-0000-0000-00005C0A0000}"/>
    <cellStyle name="Data 2 2 4 4 6 2" xfId="1096" xr:uid="{00000000-0005-0000-0000-00005D0A0000}"/>
    <cellStyle name="Data 2 2 4 4 7" xfId="1097" xr:uid="{00000000-0005-0000-0000-00005E0A0000}"/>
    <cellStyle name="Data 2 2 4 4 7 2" xfId="1098" xr:uid="{00000000-0005-0000-0000-00005F0A0000}"/>
    <cellStyle name="Data 2 2 4 4 8" xfId="1099" xr:uid="{00000000-0005-0000-0000-0000600A0000}"/>
    <cellStyle name="Data 2 2 4 4 8 2" xfId="1100" xr:uid="{00000000-0005-0000-0000-0000610A0000}"/>
    <cellStyle name="Data 2 2 4 4 9" xfId="1101" xr:uid="{00000000-0005-0000-0000-0000620A0000}"/>
    <cellStyle name="Data 2 2 4 4 9 2" xfId="1102" xr:uid="{00000000-0005-0000-0000-0000630A0000}"/>
    <cellStyle name="Data 2 2 4 5" xfId="1103" xr:uid="{00000000-0005-0000-0000-0000640A0000}"/>
    <cellStyle name="Data 2 2 4 5 10" xfId="1104" xr:uid="{00000000-0005-0000-0000-0000650A0000}"/>
    <cellStyle name="Data 2 2 4 5 2" xfId="1105" xr:uid="{00000000-0005-0000-0000-0000660A0000}"/>
    <cellStyle name="Data 2 2 4 5 2 2" xfId="1106" xr:uid="{00000000-0005-0000-0000-0000670A0000}"/>
    <cellStyle name="Data 2 2 4 5 3" xfId="1107" xr:uid="{00000000-0005-0000-0000-0000680A0000}"/>
    <cellStyle name="Data 2 2 4 5 3 2" xfId="1108" xr:uid="{00000000-0005-0000-0000-0000690A0000}"/>
    <cellStyle name="Data 2 2 4 5 4" xfId="1109" xr:uid="{00000000-0005-0000-0000-00006A0A0000}"/>
    <cellStyle name="Data 2 2 4 5 4 2" xfId="1110" xr:uid="{00000000-0005-0000-0000-00006B0A0000}"/>
    <cellStyle name="Data 2 2 4 5 5" xfId="1111" xr:uid="{00000000-0005-0000-0000-00006C0A0000}"/>
    <cellStyle name="Data 2 2 4 5 5 2" xfId="1112" xr:uid="{00000000-0005-0000-0000-00006D0A0000}"/>
    <cellStyle name="Data 2 2 4 5 6" xfId="1113" xr:uid="{00000000-0005-0000-0000-00006E0A0000}"/>
    <cellStyle name="Data 2 2 4 5 6 2" xfId="1114" xr:uid="{00000000-0005-0000-0000-00006F0A0000}"/>
    <cellStyle name="Data 2 2 4 5 7" xfId="1115" xr:uid="{00000000-0005-0000-0000-0000700A0000}"/>
    <cellStyle name="Data 2 2 4 5 7 2" xfId="1116" xr:uid="{00000000-0005-0000-0000-0000710A0000}"/>
    <cellStyle name="Data 2 2 4 5 8" xfId="1117" xr:uid="{00000000-0005-0000-0000-0000720A0000}"/>
    <cellStyle name="Data 2 2 4 5 8 2" xfId="1118" xr:uid="{00000000-0005-0000-0000-0000730A0000}"/>
    <cellStyle name="Data 2 2 4 5 9" xfId="1119" xr:uid="{00000000-0005-0000-0000-0000740A0000}"/>
    <cellStyle name="Data 2 2 4 5 9 2" xfId="1120" xr:uid="{00000000-0005-0000-0000-0000750A0000}"/>
    <cellStyle name="Data 2 2 4 6" xfId="1121" xr:uid="{00000000-0005-0000-0000-0000760A0000}"/>
    <cellStyle name="Data 2 2 4 6 10" xfId="1122" xr:uid="{00000000-0005-0000-0000-0000770A0000}"/>
    <cellStyle name="Data 2 2 4 6 2" xfId="1123" xr:uid="{00000000-0005-0000-0000-0000780A0000}"/>
    <cellStyle name="Data 2 2 4 6 2 2" xfId="1124" xr:uid="{00000000-0005-0000-0000-0000790A0000}"/>
    <cellStyle name="Data 2 2 4 6 3" xfId="1125" xr:uid="{00000000-0005-0000-0000-00007A0A0000}"/>
    <cellStyle name="Data 2 2 4 6 3 2" xfId="1126" xr:uid="{00000000-0005-0000-0000-00007B0A0000}"/>
    <cellStyle name="Data 2 2 4 6 4" xfId="1127" xr:uid="{00000000-0005-0000-0000-00007C0A0000}"/>
    <cellStyle name="Data 2 2 4 6 4 2" xfId="1128" xr:uid="{00000000-0005-0000-0000-00007D0A0000}"/>
    <cellStyle name="Data 2 2 4 6 5" xfId="1129" xr:uid="{00000000-0005-0000-0000-00007E0A0000}"/>
    <cellStyle name="Data 2 2 4 6 5 2" xfId="1130" xr:uid="{00000000-0005-0000-0000-00007F0A0000}"/>
    <cellStyle name="Data 2 2 4 6 6" xfId="1131" xr:uid="{00000000-0005-0000-0000-0000800A0000}"/>
    <cellStyle name="Data 2 2 4 6 6 2" xfId="1132" xr:uid="{00000000-0005-0000-0000-0000810A0000}"/>
    <cellStyle name="Data 2 2 4 6 7" xfId="1133" xr:uid="{00000000-0005-0000-0000-0000820A0000}"/>
    <cellStyle name="Data 2 2 4 6 7 2" xfId="1134" xr:uid="{00000000-0005-0000-0000-0000830A0000}"/>
    <cellStyle name="Data 2 2 4 6 8" xfId="1135" xr:uid="{00000000-0005-0000-0000-0000840A0000}"/>
    <cellStyle name="Data 2 2 4 6 8 2" xfId="1136" xr:uid="{00000000-0005-0000-0000-0000850A0000}"/>
    <cellStyle name="Data 2 2 4 6 9" xfId="1137" xr:uid="{00000000-0005-0000-0000-0000860A0000}"/>
    <cellStyle name="Data 2 2 4 6 9 2" xfId="1138" xr:uid="{00000000-0005-0000-0000-0000870A0000}"/>
    <cellStyle name="Data 2 2 4 7" xfId="1139" xr:uid="{00000000-0005-0000-0000-0000880A0000}"/>
    <cellStyle name="Data 2 2 4 7 10" xfId="1140" xr:uid="{00000000-0005-0000-0000-0000890A0000}"/>
    <cellStyle name="Data 2 2 4 7 2" xfId="1141" xr:uid="{00000000-0005-0000-0000-00008A0A0000}"/>
    <cellStyle name="Data 2 2 4 7 2 2" xfId="1142" xr:uid="{00000000-0005-0000-0000-00008B0A0000}"/>
    <cellStyle name="Data 2 2 4 7 3" xfId="1143" xr:uid="{00000000-0005-0000-0000-00008C0A0000}"/>
    <cellStyle name="Data 2 2 4 7 3 2" xfId="1144" xr:uid="{00000000-0005-0000-0000-00008D0A0000}"/>
    <cellStyle name="Data 2 2 4 7 4" xfId="1145" xr:uid="{00000000-0005-0000-0000-00008E0A0000}"/>
    <cellStyle name="Data 2 2 4 7 4 2" xfId="1146" xr:uid="{00000000-0005-0000-0000-00008F0A0000}"/>
    <cellStyle name="Data 2 2 4 7 5" xfId="1147" xr:uid="{00000000-0005-0000-0000-0000900A0000}"/>
    <cellStyle name="Data 2 2 4 7 5 2" xfId="1148" xr:uid="{00000000-0005-0000-0000-0000910A0000}"/>
    <cellStyle name="Data 2 2 4 7 6" xfId="1149" xr:uid="{00000000-0005-0000-0000-0000920A0000}"/>
    <cellStyle name="Data 2 2 4 7 6 2" xfId="1150" xr:uid="{00000000-0005-0000-0000-0000930A0000}"/>
    <cellStyle name="Data 2 2 4 7 7" xfId="1151" xr:uid="{00000000-0005-0000-0000-0000940A0000}"/>
    <cellStyle name="Data 2 2 4 7 7 2" xfId="1152" xr:uid="{00000000-0005-0000-0000-0000950A0000}"/>
    <cellStyle name="Data 2 2 4 7 8" xfId="1153" xr:uid="{00000000-0005-0000-0000-0000960A0000}"/>
    <cellStyle name="Data 2 2 4 7 8 2" xfId="1154" xr:uid="{00000000-0005-0000-0000-0000970A0000}"/>
    <cellStyle name="Data 2 2 4 7 9" xfId="1155" xr:uid="{00000000-0005-0000-0000-0000980A0000}"/>
    <cellStyle name="Data 2 2 4 7 9 2" xfId="1156" xr:uid="{00000000-0005-0000-0000-0000990A0000}"/>
    <cellStyle name="Data 2 2 4 8" xfId="1157" xr:uid="{00000000-0005-0000-0000-00009A0A0000}"/>
    <cellStyle name="Data 2 2 4 8 10" xfId="1158" xr:uid="{00000000-0005-0000-0000-00009B0A0000}"/>
    <cellStyle name="Data 2 2 4 8 2" xfId="1159" xr:uid="{00000000-0005-0000-0000-00009C0A0000}"/>
    <cellStyle name="Data 2 2 4 8 2 2" xfId="1160" xr:uid="{00000000-0005-0000-0000-00009D0A0000}"/>
    <cellStyle name="Data 2 2 4 8 3" xfId="1161" xr:uid="{00000000-0005-0000-0000-00009E0A0000}"/>
    <cellStyle name="Data 2 2 4 8 3 2" xfId="1162" xr:uid="{00000000-0005-0000-0000-00009F0A0000}"/>
    <cellStyle name="Data 2 2 4 8 4" xfId="1163" xr:uid="{00000000-0005-0000-0000-0000A00A0000}"/>
    <cellStyle name="Data 2 2 4 8 4 2" xfId="1164" xr:uid="{00000000-0005-0000-0000-0000A10A0000}"/>
    <cellStyle name="Data 2 2 4 8 5" xfId="1165" xr:uid="{00000000-0005-0000-0000-0000A20A0000}"/>
    <cellStyle name="Data 2 2 4 8 5 2" xfId="1166" xr:uid="{00000000-0005-0000-0000-0000A30A0000}"/>
    <cellStyle name="Data 2 2 4 8 6" xfId="1167" xr:uid="{00000000-0005-0000-0000-0000A40A0000}"/>
    <cellStyle name="Data 2 2 4 8 6 2" xfId="1168" xr:uid="{00000000-0005-0000-0000-0000A50A0000}"/>
    <cellStyle name="Data 2 2 4 8 7" xfId="1169" xr:uid="{00000000-0005-0000-0000-0000A60A0000}"/>
    <cellStyle name="Data 2 2 4 8 7 2" xfId="1170" xr:uid="{00000000-0005-0000-0000-0000A70A0000}"/>
    <cellStyle name="Data 2 2 4 8 8" xfId="1171" xr:uid="{00000000-0005-0000-0000-0000A80A0000}"/>
    <cellStyle name="Data 2 2 4 8 8 2" xfId="1172" xr:uid="{00000000-0005-0000-0000-0000A90A0000}"/>
    <cellStyle name="Data 2 2 4 8 9" xfId="1173" xr:uid="{00000000-0005-0000-0000-0000AA0A0000}"/>
    <cellStyle name="Data 2 2 4 8 9 2" xfId="1174" xr:uid="{00000000-0005-0000-0000-0000AB0A0000}"/>
    <cellStyle name="Data 2 2 4 9" xfId="1175" xr:uid="{00000000-0005-0000-0000-0000AC0A0000}"/>
    <cellStyle name="Data 2 2 4 9 10" xfId="1176" xr:uid="{00000000-0005-0000-0000-0000AD0A0000}"/>
    <cellStyle name="Data 2 2 4 9 2" xfId="1177" xr:uid="{00000000-0005-0000-0000-0000AE0A0000}"/>
    <cellStyle name="Data 2 2 4 9 2 2" xfId="1178" xr:uid="{00000000-0005-0000-0000-0000AF0A0000}"/>
    <cellStyle name="Data 2 2 4 9 3" xfId="1179" xr:uid="{00000000-0005-0000-0000-0000B00A0000}"/>
    <cellStyle name="Data 2 2 4 9 3 2" xfId="1180" xr:uid="{00000000-0005-0000-0000-0000B10A0000}"/>
    <cellStyle name="Data 2 2 4 9 4" xfId="1181" xr:uid="{00000000-0005-0000-0000-0000B20A0000}"/>
    <cellStyle name="Data 2 2 4 9 4 2" xfId="1182" xr:uid="{00000000-0005-0000-0000-0000B30A0000}"/>
    <cellStyle name="Data 2 2 4 9 5" xfId="1183" xr:uid="{00000000-0005-0000-0000-0000B40A0000}"/>
    <cellStyle name="Data 2 2 4 9 5 2" xfId="1184" xr:uid="{00000000-0005-0000-0000-0000B50A0000}"/>
    <cellStyle name="Data 2 2 4 9 6" xfId="1185" xr:uid="{00000000-0005-0000-0000-0000B60A0000}"/>
    <cellStyle name="Data 2 2 4 9 6 2" xfId="1186" xr:uid="{00000000-0005-0000-0000-0000B70A0000}"/>
    <cellStyle name="Data 2 2 4 9 7" xfId="1187" xr:uid="{00000000-0005-0000-0000-0000B80A0000}"/>
    <cellStyle name="Data 2 2 4 9 7 2" xfId="1188" xr:uid="{00000000-0005-0000-0000-0000B90A0000}"/>
    <cellStyle name="Data 2 2 4 9 8" xfId="1189" xr:uid="{00000000-0005-0000-0000-0000BA0A0000}"/>
    <cellStyle name="Data 2 2 4 9 8 2" xfId="1190" xr:uid="{00000000-0005-0000-0000-0000BB0A0000}"/>
    <cellStyle name="Data 2 2 4 9 9" xfId="1191" xr:uid="{00000000-0005-0000-0000-0000BC0A0000}"/>
    <cellStyle name="Data 2 2 4 9 9 2" xfId="1192" xr:uid="{00000000-0005-0000-0000-0000BD0A0000}"/>
    <cellStyle name="Data 2 2 5" xfId="1193" xr:uid="{00000000-0005-0000-0000-0000BE0A0000}"/>
    <cellStyle name="Data 2 2 5 10" xfId="1194" xr:uid="{00000000-0005-0000-0000-0000BF0A0000}"/>
    <cellStyle name="Data 2 2 5 10 2" xfId="1195" xr:uid="{00000000-0005-0000-0000-0000C00A0000}"/>
    <cellStyle name="Data 2 2 5 10 2 2" xfId="1196" xr:uid="{00000000-0005-0000-0000-0000C10A0000}"/>
    <cellStyle name="Data 2 2 5 10 3" xfId="1197" xr:uid="{00000000-0005-0000-0000-0000C20A0000}"/>
    <cellStyle name="Data 2 2 5 10 3 2" xfId="1198" xr:uid="{00000000-0005-0000-0000-0000C30A0000}"/>
    <cellStyle name="Data 2 2 5 10 4" xfId="1199" xr:uid="{00000000-0005-0000-0000-0000C40A0000}"/>
    <cellStyle name="Data 2 2 5 10 4 2" xfId="1200" xr:uid="{00000000-0005-0000-0000-0000C50A0000}"/>
    <cellStyle name="Data 2 2 5 10 5" xfId="1201" xr:uid="{00000000-0005-0000-0000-0000C60A0000}"/>
    <cellStyle name="Data 2 2 5 10 5 2" xfId="1202" xr:uid="{00000000-0005-0000-0000-0000C70A0000}"/>
    <cellStyle name="Data 2 2 5 10 6" xfId="1203" xr:uid="{00000000-0005-0000-0000-0000C80A0000}"/>
    <cellStyle name="Data 2 2 5 10 6 2" xfId="1204" xr:uid="{00000000-0005-0000-0000-0000C90A0000}"/>
    <cellStyle name="Data 2 2 5 10 7" xfId="1205" xr:uid="{00000000-0005-0000-0000-0000CA0A0000}"/>
    <cellStyle name="Data 2 2 5 10 7 2" xfId="1206" xr:uid="{00000000-0005-0000-0000-0000CB0A0000}"/>
    <cellStyle name="Data 2 2 5 10 8" xfId="1207" xr:uid="{00000000-0005-0000-0000-0000CC0A0000}"/>
    <cellStyle name="Data 2 2 5 10 8 2" xfId="1208" xr:uid="{00000000-0005-0000-0000-0000CD0A0000}"/>
    <cellStyle name="Data 2 2 5 10 9" xfId="1209" xr:uid="{00000000-0005-0000-0000-0000CE0A0000}"/>
    <cellStyle name="Data 2 2 5 11" xfId="1210" xr:uid="{00000000-0005-0000-0000-0000CF0A0000}"/>
    <cellStyle name="Data 2 2 5 11 2" xfId="1211" xr:uid="{00000000-0005-0000-0000-0000D00A0000}"/>
    <cellStyle name="Data 2 2 5 12" xfId="1212" xr:uid="{00000000-0005-0000-0000-0000D10A0000}"/>
    <cellStyle name="Data 2 2 5 12 2" xfId="1213" xr:uid="{00000000-0005-0000-0000-0000D20A0000}"/>
    <cellStyle name="Data 2 2 5 13" xfId="1214" xr:uid="{00000000-0005-0000-0000-0000D30A0000}"/>
    <cellStyle name="Data 2 2 5 13 2" xfId="1215" xr:uid="{00000000-0005-0000-0000-0000D40A0000}"/>
    <cellStyle name="Data 2 2 5 14" xfId="1216" xr:uid="{00000000-0005-0000-0000-0000D50A0000}"/>
    <cellStyle name="Data 2 2 5 14 2" xfId="1217" xr:uid="{00000000-0005-0000-0000-0000D60A0000}"/>
    <cellStyle name="Data 2 2 5 15" xfId="1218" xr:uid="{00000000-0005-0000-0000-0000D70A0000}"/>
    <cellStyle name="Data 2 2 5 15 2" xfId="1219" xr:uid="{00000000-0005-0000-0000-0000D80A0000}"/>
    <cellStyle name="Data 2 2 5 16" xfId="1220" xr:uid="{00000000-0005-0000-0000-0000D90A0000}"/>
    <cellStyle name="Data 2 2 5 16 2" xfId="1221" xr:uid="{00000000-0005-0000-0000-0000DA0A0000}"/>
    <cellStyle name="Data 2 2 5 17" xfId="1222" xr:uid="{00000000-0005-0000-0000-0000DB0A0000}"/>
    <cellStyle name="Data 2 2 5 17 2" xfId="1223" xr:uid="{00000000-0005-0000-0000-0000DC0A0000}"/>
    <cellStyle name="Data 2 2 5 18" xfId="1224" xr:uid="{00000000-0005-0000-0000-0000DD0A0000}"/>
    <cellStyle name="Data 2 2 5 2" xfId="1225" xr:uid="{00000000-0005-0000-0000-0000DE0A0000}"/>
    <cellStyle name="Data 2 2 5 2 10" xfId="1226" xr:uid="{00000000-0005-0000-0000-0000DF0A0000}"/>
    <cellStyle name="Data 2 2 5 2 2" xfId="1227" xr:uid="{00000000-0005-0000-0000-0000E00A0000}"/>
    <cellStyle name="Data 2 2 5 2 2 2" xfId="1228" xr:uid="{00000000-0005-0000-0000-0000E10A0000}"/>
    <cellStyle name="Data 2 2 5 2 3" xfId="1229" xr:uid="{00000000-0005-0000-0000-0000E20A0000}"/>
    <cellStyle name="Data 2 2 5 2 3 2" xfId="1230" xr:uid="{00000000-0005-0000-0000-0000E30A0000}"/>
    <cellStyle name="Data 2 2 5 2 4" xfId="1231" xr:uid="{00000000-0005-0000-0000-0000E40A0000}"/>
    <cellStyle name="Data 2 2 5 2 4 2" xfId="1232" xr:uid="{00000000-0005-0000-0000-0000E50A0000}"/>
    <cellStyle name="Data 2 2 5 2 5" xfId="1233" xr:uid="{00000000-0005-0000-0000-0000E60A0000}"/>
    <cellStyle name="Data 2 2 5 2 5 2" xfId="1234" xr:uid="{00000000-0005-0000-0000-0000E70A0000}"/>
    <cellStyle name="Data 2 2 5 2 6" xfId="1235" xr:uid="{00000000-0005-0000-0000-0000E80A0000}"/>
    <cellStyle name="Data 2 2 5 2 6 2" xfId="1236" xr:uid="{00000000-0005-0000-0000-0000E90A0000}"/>
    <cellStyle name="Data 2 2 5 2 7" xfId="1237" xr:uid="{00000000-0005-0000-0000-0000EA0A0000}"/>
    <cellStyle name="Data 2 2 5 2 7 2" xfId="1238" xr:uid="{00000000-0005-0000-0000-0000EB0A0000}"/>
    <cellStyle name="Data 2 2 5 2 8" xfId="1239" xr:uid="{00000000-0005-0000-0000-0000EC0A0000}"/>
    <cellStyle name="Data 2 2 5 2 8 2" xfId="1240" xr:uid="{00000000-0005-0000-0000-0000ED0A0000}"/>
    <cellStyle name="Data 2 2 5 2 9" xfId="1241" xr:uid="{00000000-0005-0000-0000-0000EE0A0000}"/>
    <cellStyle name="Data 2 2 5 2 9 2" xfId="1242" xr:uid="{00000000-0005-0000-0000-0000EF0A0000}"/>
    <cellStyle name="Data 2 2 5 3" xfId="1243" xr:uid="{00000000-0005-0000-0000-0000F00A0000}"/>
    <cellStyle name="Data 2 2 5 3 10" xfId="1244" xr:uid="{00000000-0005-0000-0000-0000F10A0000}"/>
    <cellStyle name="Data 2 2 5 3 2" xfId="1245" xr:uid="{00000000-0005-0000-0000-0000F20A0000}"/>
    <cellStyle name="Data 2 2 5 3 2 2" xfId="1246" xr:uid="{00000000-0005-0000-0000-0000F30A0000}"/>
    <cellStyle name="Data 2 2 5 3 3" xfId="1247" xr:uid="{00000000-0005-0000-0000-0000F40A0000}"/>
    <cellStyle name="Data 2 2 5 3 3 2" xfId="1248" xr:uid="{00000000-0005-0000-0000-0000F50A0000}"/>
    <cellStyle name="Data 2 2 5 3 4" xfId="1249" xr:uid="{00000000-0005-0000-0000-0000F60A0000}"/>
    <cellStyle name="Data 2 2 5 3 4 2" xfId="1250" xr:uid="{00000000-0005-0000-0000-0000F70A0000}"/>
    <cellStyle name="Data 2 2 5 3 5" xfId="1251" xr:uid="{00000000-0005-0000-0000-0000F80A0000}"/>
    <cellStyle name="Data 2 2 5 3 5 2" xfId="1252" xr:uid="{00000000-0005-0000-0000-0000F90A0000}"/>
    <cellStyle name="Data 2 2 5 3 6" xfId="1253" xr:uid="{00000000-0005-0000-0000-0000FA0A0000}"/>
    <cellStyle name="Data 2 2 5 3 6 2" xfId="1254" xr:uid="{00000000-0005-0000-0000-0000FB0A0000}"/>
    <cellStyle name="Data 2 2 5 3 7" xfId="1255" xr:uid="{00000000-0005-0000-0000-0000FC0A0000}"/>
    <cellStyle name="Data 2 2 5 3 7 2" xfId="1256" xr:uid="{00000000-0005-0000-0000-0000FD0A0000}"/>
    <cellStyle name="Data 2 2 5 3 8" xfId="1257" xr:uid="{00000000-0005-0000-0000-0000FE0A0000}"/>
    <cellStyle name="Data 2 2 5 3 8 2" xfId="1258" xr:uid="{00000000-0005-0000-0000-0000FF0A0000}"/>
    <cellStyle name="Data 2 2 5 3 9" xfId="1259" xr:uid="{00000000-0005-0000-0000-0000000B0000}"/>
    <cellStyle name="Data 2 2 5 3 9 2" xfId="1260" xr:uid="{00000000-0005-0000-0000-0000010B0000}"/>
    <cellStyle name="Data 2 2 5 4" xfId="1261" xr:uid="{00000000-0005-0000-0000-0000020B0000}"/>
    <cellStyle name="Data 2 2 5 4 10" xfId="1262" xr:uid="{00000000-0005-0000-0000-0000030B0000}"/>
    <cellStyle name="Data 2 2 5 4 2" xfId="1263" xr:uid="{00000000-0005-0000-0000-0000040B0000}"/>
    <cellStyle name="Data 2 2 5 4 2 2" xfId="1264" xr:uid="{00000000-0005-0000-0000-0000050B0000}"/>
    <cellStyle name="Data 2 2 5 4 3" xfId="1265" xr:uid="{00000000-0005-0000-0000-0000060B0000}"/>
    <cellStyle name="Data 2 2 5 4 3 2" xfId="1266" xr:uid="{00000000-0005-0000-0000-0000070B0000}"/>
    <cellStyle name="Data 2 2 5 4 4" xfId="1267" xr:uid="{00000000-0005-0000-0000-0000080B0000}"/>
    <cellStyle name="Data 2 2 5 4 4 2" xfId="1268" xr:uid="{00000000-0005-0000-0000-0000090B0000}"/>
    <cellStyle name="Data 2 2 5 4 5" xfId="1269" xr:uid="{00000000-0005-0000-0000-00000A0B0000}"/>
    <cellStyle name="Data 2 2 5 4 5 2" xfId="1270" xr:uid="{00000000-0005-0000-0000-00000B0B0000}"/>
    <cellStyle name="Data 2 2 5 4 6" xfId="1271" xr:uid="{00000000-0005-0000-0000-00000C0B0000}"/>
    <cellStyle name="Data 2 2 5 4 6 2" xfId="1272" xr:uid="{00000000-0005-0000-0000-00000D0B0000}"/>
    <cellStyle name="Data 2 2 5 4 7" xfId="1273" xr:uid="{00000000-0005-0000-0000-00000E0B0000}"/>
    <cellStyle name="Data 2 2 5 4 7 2" xfId="1274" xr:uid="{00000000-0005-0000-0000-00000F0B0000}"/>
    <cellStyle name="Data 2 2 5 4 8" xfId="1275" xr:uid="{00000000-0005-0000-0000-0000100B0000}"/>
    <cellStyle name="Data 2 2 5 4 8 2" xfId="1276" xr:uid="{00000000-0005-0000-0000-0000110B0000}"/>
    <cellStyle name="Data 2 2 5 4 9" xfId="1277" xr:uid="{00000000-0005-0000-0000-0000120B0000}"/>
    <cellStyle name="Data 2 2 5 4 9 2" xfId="1278" xr:uid="{00000000-0005-0000-0000-0000130B0000}"/>
    <cellStyle name="Data 2 2 5 5" xfId="1279" xr:uid="{00000000-0005-0000-0000-0000140B0000}"/>
    <cellStyle name="Data 2 2 5 5 10" xfId="1280" xr:uid="{00000000-0005-0000-0000-0000150B0000}"/>
    <cellStyle name="Data 2 2 5 5 2" xfId="1281" xr:uid="{00000000-0005-0000-0000-0000160B0000}"/>
    <cellStyle name="Data 2 2 5 5 2 2" xfId="1282" xr:uid="{00000000-0005-0000-0000-0000170B0000}"/>
    <cellStyle name="Data 2 2 5 5 3" xfId="1283" xr:uid="{00000000-0005-0000-0000-0000180B0000}"/>
    <cellStyle name="Data 2 2 5 5 3 2" xfId="1284" xr:uid="{00000000-0005-0000-0000-0000190B0000}"/>
    <cellStyle name="Data 2 2 5 5 4" xfId="1285" xr:uid="{00000000-0005-0000-0000-00001A0B0000}"/>
    <cellStyle name="Data 2 2 5 5 4 2" xfId="1286" xr:uid="{00000000-0005-0000-0000-00001B0B0000}"/>
    <cellStyle name="Data 2 2 5 5 5" xfId="1287" xr:uid="{00000000-0005-0000-0000-00001C0B0000}"/>
    <cellStyle name="Data 2 2 5 5 5 2" xfId="1288" xr:uid="{00000000-0005-0000-0000-00001D0B0000}"/>
    <cellStyle name="Data 2 2 5 5 6" xfId="1289" xr:uid="{00000000-0005-0000-0000-00001E0B0000}"/>
    <cellStyle name="Data 2 2 5 5 6 2" xfId="1290" xr:uid="{00000000-0005-0000-0000-00001F0B0000}"/>
    <cellStyle name="Data 2 2 5 5 7" xfId="1291" xr:uid="{00000000-0005-0000-0000-0000200B0000}"/>
    <cellStyle name="Data 2 2 5 5 7 2" xfId="1292" xr:uid="{00000000-0005-0000-0000-0000210B0000}"/>
    <cellStyle name="Data 2 2 5 5 8" xfId="1293" xr:uid="{00000000-0005-0000-0000-0000220B0000}"/>
    <cellStyle name="Data 2 2 5 5 8 2" xfId="1294" xr:uid="{00000000-0005-0000-0000-0000230B0000}"/>
    <cellStyle name="Data 2 2 5 5 9" xfId="1295" xr:uid="{00000000-0005-0000-0000-0000240B0000}"/>
    <cellStyle name="Data 2 2 5 5 9 2" xfId="1296" xr:uid="{00000000-0005-0000-0000-0000250B0000}"/>
    <cellStyle name="Data 2 2 5 6" xfId="1297" xr:uid="{00000000-0005-0000-0000-0000260B0000}"/>
    <cellStyle name="Data 2 2 5 6 10" xfId="1298" xr:uid="{00000000-0005-0000-0000-0000270B0000}"/>
    <cellStyle name="Data 2 2 5 6 2" xfId="1299" xr:uid="{00000000-0005-0000-0000-0000280B0000}"/>
    <cellStyle name="Data 2 2 5 6 2 2" xfId="1300" xr:uid="{00000000-0005-0000-0000-0000290B0000}"/>
    <cellStyle name="Data 2 2 5 6 3" xfId="1301" xr:uid="{00000000-0005-0000-0000-00002A0B0000}"/>
    <cellStyle name="Data 2 2 5 6 3 2" xfId="1302" xr:uid="{00000000-0005-0000-0000-00002B0B0000}"/>
    <cellStyle name="Data 2 2 5 6 4" xfId="1303" xr:uid="{00000000-0005-0000-0000-00002C0B0000}"/>
    <cellStyle name="Data 2 2 5 6 4 2" xfId="1304" xr:uid="{00000000-0005-0000-0000-00002D0B0000}"/>
    <cellStyle name="Data 2 2 5 6 5" xfId="1305" xr:uid="{00000000-0005-0000-0000-00002E0B0000}"/>
    <cellStyle name="Data 2 2 5 6 5 2" xfId="1306" xr:uid="{00000000-0005-0000-0000-00002F0B0000}"/>
    <cellStyle name="Data 2 2 5 6 6" xfId="1307" xr:uid="{00000000-0005-0000-0000-0000300B0000}"/>
    <cellStyle name="Data 2 2 5 6 6 2" xfId="1308" xr:uid="{00000000-0005-0000-0000-0000310B0000}"/>
    <cellStyle name="Data 2 2 5 6 7" xfId="1309" xr:uid="{00000000-0005-0000-0000-0000320B0000}"/>
    <cellStyle name="Data 2 2 5 6 7 2" xfId="1310" xr:uid="{00000000-0005-0000-0000-0000330B0000}"/>
    <cellStyle name="Data 2 2 5 6 8" xfId="1311" xr:uid="{00000000-0005-0000-0000-0000340B0000}"/>
    <cellStyle name="Data 2 2 5 6 8 2" xfId="1312" xr:uid="{00000000-0005-0000-0000-0000350B0000}"/>
    <cellStyle name="Data 2 2 5 6 9" xfId="1313" xr:uid="{00000000-0005-0000-0000-0000360B0000}"/>
    <cellStyle name="Data 2 2 5 6 9 2" xfId="1314" xr:uid="{00000000-0005-0000-0000-0000370B0000}"/>
    <cellStyle name="Data 2 2 5 7" xfId="1315" xr:uid="{00000000-0005-0000-0000-0000380B0000}"/>
    <cellStyle name="Data 2 2 5 7 10" xfId="1316" xr:uid="{00000000-0005-0000-0000-0000390B0000}"/>
    <cellStyle name="Data 2 2 5 7 2" xfId="1317" xr:uid="{00000000-0005-0000-0000-00003A0B0000}"/>
    <cellStyle name="Data 2 2 5 7 2 2" xfId="1318" xr:uid="{00000000-0005-0000-0000-00003B0B0000}"/>
    <cellStyle name="Data 2 2 5 7 3" xfId="1319" xr:uid="{00000000-0005-0000-0000-00003C0B0000}"/>
    <cellStyle name="Data 2 2 5 7 3 2" xfId="1320" xr:uid="{00000000-0005-0000-0000-00003D0B0000}"/>
    <cellStyle name="Data 2 2 5 7 4" xfId="1321" xr:uid="{00000000-0005-0000-0000-00003E0B0000}"/>
    <cellStyle name="Data 2 2 5 7 4 2" xfId="1322" xr:uid="{00000000-0005-0000-0000-00003F0B0000}"/>
    <cellStyle name="Data 2 2 5 7 5" xfId="1323" xr:uid="{00000000-0005-0000-0000-0000400B0000}"/>
    <cellStyle name="Data 2 2 5 7 5 2" xfId="1324" xr:uid="{00000000-0005-0000-0000-0000410B0000}"/>
    <cellStyle name="Data 2 2 5 7 6" xfId="1325" xr:uid="{00000000-0005-0000-0000-0000420B0000}"/>
    <cellStyle name="Data 2 2 5 7 6 2" xfId="1326" xr:uid="{00000000-0005-0000-0000-0000430B0000}"/>
    <cellStyle name="Data 2 2 5 7 7" xfId="1327" xr:uid="{00000000-0005-0000-0000-0000440B0000}"/>
    <cellStyle name="Data 2 2 5 7 7 2" xfId="1328" xr:uid="{00000000-0005-0000-0000-0000450B0000}"/>
    <cellStyle name="Data 2 2 5 7 8" xfId="1329" xr:uid="{00000000-0005-0000-0000-0000460B0000}"/>
    <cellStyle name="Data 2 2 5 7 8 2" xfId="1330" xr:uid="{00000000-0005-0000-0000-0000470B0000}"/>
    <cellStyle name="Data 2 2 5 7 9" xfId="1331" xr:uid="{00000000-0005-0000-0000-0000480B0000}"/>
    <cellStyle name="Data 2 2 5 7 9 2" xfId="1332" xr:uid="{00000000-0005-0000-0000-0000490B0000}"/>
    <cellStyle name="Data 2 2 5 8" xfId="1333" xr:uid="{00000000-0005-0000-0000-00004A0B0000}"/>
    <cellStyle name="Data 2 2 5 8 10" xfId="1334" xr:uid="{00000000-0005-0000-0000-00004B0B0000}"/>
    <cellStyle name="Data 2 2 5 8 2" xfId="1335" xr:uid="{00000000-0005-0000-0000-00004C0B0000}"/>
    <cellStyle name="Data 2 2 5 8 2 2" xfId="1336" xr:uid="{00000000-0005-0000-0000-00004D0B0000}"/>
    <cellStyle name="Data 2 2 5 8 3" xfId="1337" xr:uid="{00000000-0005-0000-0000-00004E0B0000}"/>
    <cellStyle name="Data 2 2 5 8 3 2" xfId="1338" xr:uid="{00000000-0005-0000-0000-00004F0B0000}"/>
    <cellStyle name="Data 2 2 5 8 4" xfId="1339" xr:uid="{00000000-0005-0000-0000-0000500B0000}"/>
    <cellStyle name="Data 2 2 5 8 4 2" xfId="1340" xr:uid="{00000000-0005-0000-0000-0000510B0000}"/>
    <cellStyle name="Data 2 2 5 8 5" xfId="1341" xr:uid="{00000000-0005-0000-0000-0000520B0000}"/>
    <cellStyle name="Data 2 2 5 8 5 2" xfId="1342" xr:uid="{00000000-0005-0000-0000-0000530B0000}"/>
    <cellStyle name="Data 2 2 5 8 6" xfId="1343" xr:uid="{00000000-0005-0000-0000-0000540B0000}"/>
    <cellStyle name="Data 2 2 5 8 6 2" xfId="1344" xr:uid="{00000000-0005-0000-0000-0000550B0000}"/>
    <cellStyle name="Data 2 2 5 8 7" xfId="1345" xr:uid="{00000000-0005-0000-0000-0000560B0000}"/>
    <cellStyle name="Data 2 2 5 8 7 2" xfId="1346" xr:uid="{00000000-0005-0000-0000-0000570B0000}"/>
    <cellStyle name="Data 2 2 5 8 8" xfId="1347" xr:uid="{00000000-0005-0000-0000-0000580B0000}"/>
    <cellStyle name="Data 2 2 5 8 8 2" xfId="1348" xr:uid="{00000000-0005-0000-0000-0000590B0000}"/>
    <cellStyle name="Data 2 2 5 8 9" xfId="1349" xr:uid="{00000000-0005-0000-0000-00005A0B0000}"/>
    <cellStyle name="Data 2 2 5 8 9 2" xfId="1350" xr:uid="{00000000-0005-0000-0000-00005B0B0000}"/>
    <cellStyle name="Data 2 2 5 9" xfId="1351" xr:uid="{00000000-0005-0000-0000-00005C0B0000}"/>
    <cellStyle name="Data 2 2 5 9 10" xfId="1352" xr:uid="{00000000-0005-0000-0000-00005D0B0000}"/>
    <cellStyle name="Data 2 2 5 9 2" xfId="1353" xr:uid="{00000000-0005-0000-0000-00005E0B0000}"/>
    <cellStyle name="Data 2 2 5 9 2 2" xfId="1354" xr:uid="{00000000-0005-0000-0000-00005F0B0000}"/>
    <cellStyle name="Data 2 2 5 9 3" xfId="1355" xr:uid="{00000000-0005-0000-0000-0000600B0000}"/>
    <cellStyle name="Data 2 2 5 9 3 2" xfId="1356" xr:uid="{00000000-0005-0000-0000-0000610B0000}"/>
    <cellStyle name="Data 2 2 5 9 4" xfId="1357" xr:uid="{00000000-0005-0000-0000-0000620B0000}"/>
    <cellStyle name="Data 2 2 5 9 4 2" xfId="1358" xr:uid="{00000000-0005-0000-0000-0000630B0000}"/>
    <cellStyle name="Data 2 2 5 9 5" xfId="1359" xr:uid="{00000000-0005-0000-0000-0000640B0000}"/>
    <cellStyle name="Data 2 2 5 9 5 2" xfId="1360" xr:uid="{00000000-0005-0000-0000-0000650B0000}"/>
    <cellStyle name="Data 2 2 5 9 6" xfId="1361" xr:uid="{00000000-0005-0000-0000-0000660B0000}"/>
    <cellStyle name="Data 2 2 5 9 6 2" xfId="1362" xr:uid="{00000000-0005-0000-0000-0000670B0000}"/>
    <cellStyle name="Data 2 2 5 9 7" xfId="1363" xr:uid="{00000000-0005-0000-0000-0000680B0000}"/>
    <cellStyle name="Data 2 2 5 9 7 2" xfId="1364" xr:uid="{00000000-0005-0000-0000-0000690B0000}"/>
    <cellStyle name="Data 2 2 5 9 8" xfId="1365" xr:uid="{00000000-0005-0000-0000-00006A0B0000}"/>
    <cellStyle name="Data 2 2 5 9 8 2" xfId="1366" xr:uid="{00000000-0005-0000-0000-00006B0B0000}"/>
    <cellStyle name="Data 2 2 5 9 9" xfId="1367" xr:uid="{00000000-0005-0000-0000-00006C0B0000}"/>
    <cellStyle name="Data 2 2 5 9 9 2" xfId="1368" xr:uid="{00000000-0005-0000-0000-00006D0B0000}"/>
    <cellStyle name="Data 2 2 6" xfId="1369" xr:uid="{00000000-0005-0000-0000-00006E0B0000}"/>
    <cellStyle name="Data 2 2 6 10" xfId="1370" xr:uid="{00000000-0005-0000-0000-00006F0B0000}"/>
    <cellStyle name="Data 2 2 6 10 2" xfId="1371" xr:uid="{00000000-0005-0000-0000-0000700B0000}"/>
    <cellStyle name="Data 2 2 6 10 2 2" xfId="1372" xr:uid="{00000000-0005-0000-0000-0000710B0000}"/>
    <cellStyle name="Data 2 2 6 10 3" xfId="1373" xr:uid="{00000000-0005-0000-0000-0000720B0000}"/>
    <cellStyle name="Data 2 2 6 10 3 2" xfId="1374" xr:uid="{00000000-0005-0000-0000-0000730B0000}"/>
    <cellStyle name="Data 2 2 6 10 4" xfId="1375" xr:uid="{00000000-0005-0000-0000-0000740B0000}"/>
    <cellStyle name="Data 2 2 6 10 4 2" xfId="1376" xr:uid="{00000000-0005-0000-0000-0000750B0000}"/>
    <cellStyle name="Data 2 2 6 10 5" xfId="1377" xr:uid="{00000000-0005-0000-0000-0000760B0000}"/>
    <cellStyle name="Data 2 2 6 10 5 2" xfId="1378" xr:uid="{00000000-0005-0000-0000-0000770B0000}"/>
    <cellStyle name="Data 2 2 6 10 6" xfId="1379" xr:uid="{00000000-0005-0000-0000-0000780B0000}"/>
    <cellStyle name="Data 2 2 6 10 6 2" xfId="1380" xr:uid="{00000000-0005-0000-0000-0000790B0000}"/>
    <cellStyle name="Data 2 2 6 10 7" xfId="1381" xr:uid="{00000000-0005-0000-0000-00007A0B0000}"/>
    <cellStyle name="Data 2 2 6 10 7 2" xfId="1382" xr:uid="{00000000-0005-0000-0000-00007B0B0000}"/>
    <cellStyle name="Data 2 2 6 10 8" xfId="1383" xr:uid="{00000000-0005-0000-0000-00007C0B0000}"/>
    <cellStyle name="Data 2 2 6 10 8 2" xfId="1384" xr:uid="{00000000-0005-0000-0000-00007D0B0000}"/>
    <cellStyle name="Data 2 2 6 10 9" xfId="1385" xr:uid="{00000000-0005-0000-0000-00007E0B0000}"/>
    <cellStyle name="Data 2 2 6 11" xfId="1386" xr:uid="{00000000-0005-0000-0000-00007F0B0000}"/>
    <cellStyle name="Data 2 2 6 11 2" xfId="1387" xr:uid="{00000000-0005-0000-0000-0000800B0000}"/>
    <cellStyle name="Data 2 2 6 12" xfId="1388" xr:uid="{00000000-0005-0000-0000-0000810B0000}"/>
    <cellStyle name="Data 2 2 6 12 2" xfId="1389" xr:uid="{00000000-0005-0000-0000-0000820B0000}"/>
    <cellStyle name="Data 2 2 6 13" xfId="1390" xr:uid="{00000000-0005-0000-0000-0000830B0000}"/>
    <cellStyle name="Data 2 2 6 13 2" xfId="1391" xr:uid="{00000000-0005-0000-0000-0000840B0000}"/>
    <cellStyle name="Data 2 2 6 14" xfId="1392" xr:uid="{00000000-0005-0000-0000-0000850B0000}"/>
    <cellStyle name="Data 2 2 6 14 2" xfId="1393" xr:uid="{00000000-0005-0000-0000-0000860B0000}"/>
    <cellStyle name="Data 2 2 6 15" xfId="1394" xr:uid="{00000000-0005-0000-0000-0000870B0000}"/>
    <cellStyle name="Data 2 2 6 15 2" xfId="1395" xr:uid="{00000000-0005-0000-0000-0000880B0000}"/>
    <cellStyle name="Data 2 2 6 16" xfId="1396" xr:uid="{00000000-0005-0000-0000-0000890B0000}"/>
    <cellStyle name="Data 2 2 6 16 2" xfId="1397" xr:uid="{00000000-0005-0000-0000-00008A0B0000}"/>
    <cellStyle name="Data 2 2 6 17" xfId="1398" xr:uid="{00000000-0005-0000-0000-00008B0B0000}"/>
    <cellStyle name="Data 2 2 6 17 2" xfId="1399" xr:uid="{00000000-0005-0000-0000-00008C0B0000}"/>
    <cellStyle name="Data 2 2 6 18" xfId="1400" xr:uid="{00000000-0005-0000-0000-00008D0B0000}"/>
    <cellStyle name="Data 2 2 6 2" xfId="1401" xr:uid="{00000000-0005-0000-0000-00008E0B0000}"/>
    <cellStyle name="Data 2 2 6 2 10" xfId="1402" xr:uid="{00000000-0005-0000-0000-00008F0B0000}"/>
    <cellStyle name="Data 2 2 6 2 2" xfId="1403" xr:uid="{00000000-0005-0000-0000-0000900B0000}"/>
    <cellStyle name="Data 2 2 6 2 2 2" xfId="1404" xr:uid="{00000000-0005-0000-0000-0000910B0000}"/>
    <cellStyle name="Data 2 2 6 2 3" xfId="1405" xr:uid="{00000000-0005-0000-0000-0000920B0000}"/>
    <cellStyle name="Data 2 2 6 2 3 2" xfId="1406" xr:uid="{00000000-0005-0000-0000-0000930B0000}"/>
    <cellStyle name="Data 2 2 6 2 4" xfId="1407" xr:uid="{00000000-0005-0000-0000-0000940B0000}"/>
    <cellStyle name="Data 2 2 6 2 4 2" xfId="1408" xr:uid="{00000000-0005-0000-0000-0000950B0000}"/>
    <cellStyle name="Data 2 2 6 2 5" xfId="1409" xr:uid="{00000000-0005-0000-0000-0000960B0000}"/>
    <cellStyle name="Data 2 2 6 2 5 2" xfId="1410" xr:uid="{00000000-0005-0000-0000-0000970B0000}"/>
    <cellStyle name="Data 2 2 6 2 6" xfId="1411" xr:uid="{00000000-0005-0000-0000-0000980B0000}"/>
    <cellStyle name="Data 2 2 6 2 6 2" xfId="1412" xr:uid="{00000000-0005-0000-0000-0000990B0000}"/>
    <cellStyle name="Data 2 2 6 2 7" xfId="1413" xr:uid="{00000000-0005-0000-0000-00009A0B0000}"/>
    <cellStyle name="Data 2 2 6 2 7 2" xfId="1414" xr:uid="{00000000-0005-0000-0000-00009B0B0000}"/>
    <cellStyle name="Data 2 2 6 2 8" xfId="1415" xr:uid="{00000000-0005-0000-0000-00009C0B0000}"/>
    <cellStyle name="Data 2 2 6 2 8 2" xfId="1416" xr:uid="{00000000-0005-0000-0000-00009D0B0000}"/>
    <cellStyle name="Data 2 2 6 2 9" xfId="1417" xr:uid="{00000000-0005-0000-0000-00009E0B0000}"/>
    <cellStyle name="Data 2 2 6 2 9 2" xfId="1418" xr:uid="{00000000-0005-0000-0000-00009F0B0000}"/>
    <cellStyle name="Data 2 2 6 3" xfId="1419" xr:uid="{00000000-0005-0000-0000-0000A00B0000}"/>
    <cellStyle name="Data 2 2 6 3 10" xfId="1420" xr:uid="{00000000-0005-0000-0000-0000A10B0000}"/>
    <cellStyle name="Data 2 2 6 3 2" xfId="1421" xr:uid="{00000000-0005-0000-0000-0000A20B0000}"/>
    <cellStyle name="Data 2 2 6 3 2 2" xfId="1422" xr:uid="{00000000-0005-0000-0000-0000A30B0000}"/>
    <cellStyle name="Data 2 2 6 3 3" xfId="1423" xr:uid="{00000000-0005-0000-0000-0000A40B0000}"/>
    <cellStyle name="Data 2 2 6 3 3 2" xfId="1424" xr:uid="{00000000-0005-0000-0000-0000A50B0000}"/>
    <cellStyle name="Data 2 2 6 3 4" xfId="1425" xr:uid="{00000000-0005-0000-0000-0000A60B0000}"/>
    <cellStyle name="Data 2 2 6 3 4 2" xfId="1426" xr:uid="{00000000-0005-0000-0000-0000A70B0000}"/>
    <cellStyle name="Data 2 2 6 3 5" xfId="1427" xr:uid="{00000000-0005-0000-0000-0000A80B0000}"/>
    <cellStyle name="Data 2 2 6 3 5 2" xfId="1428" xr:uid="{00000000-0005-0000-0000-0000A90B0000}"/>
    <cellStyle name="Data 2 2 6 3 6" xfId="1429" xr:uid="{00000000-0005-0000-0000-0000AA0B0000}"/>
    <cellStyle name="Data 2 2 6 3 6 2" xfId="1430" xr:uid="{00000000-0005-0000-0000-0000AB0B0000}"/>
    <cellStyle name="Data 2 2 6 3 7" xfId="1431" xr:uid="{00000000-0005-0000-0000-0000AC0B0000}"/>
    <cellStyle name="Data 2 2 6 3 7 2" xfId="1432" xr:uid="{00000000-0005-0000-0000-0000AD0B0000}"/>
    <cellStyle name="Data 2 2 6 3 8" xfId="1433" xr:uid="{00000000-0005-0000-0000-0000AE0B0000}"/>
    <cellStyle name="Data 2 2 6 3 8 2" xfId="1434" xr:uid="{00000000-0005-0000-0000-0000AF0B0000}"/>
    <cellStyle name="Data 2 2 6 3 9" xfId="1435" xr:uid="{00000000-0005-0000-0000-0000B00B0000}"/>
    <cellStyle name="Data 2 2 6 3 9 2" xfId="1436" xr:uid="{00000000-0005-0000-0000-0000B10B0000}"/>
    <cellStyle name="Data 2 2 6 4" xfId="1437" xr:uid="{00000000-0005-0000-0000-0000B20B0000}"/>
    <cellStyle name="Data 2 2 6 4 10" xfId="1438" xr:uid="{00000000-0005-0000-0000-0000B30B0000}"/>
    <cellStyle name="Data 2 2 6 4 2" xfId="1439" xr:uid="{00000000-0005-0000-0000-0000B40B0000}"/>
    <cellStyle name="Data 2 2 6 4 2 2" xfId="1440" xr:uid="{00000000-0005-0000-0000-0000B50B0000}"/>
    <cellStyle name="Data 2 2 6 4 3" xfId="1441" xr:uid="{00000000-0005-0000-0000-0000B60B0000}"/>
    <cellStyle name="Data 2 2 6 4 3 2" xfId="1442" xr:uid="{00000000-0005-0000-0000-0000B70B0000}"/>
    <cellStyle name="Data 2 2 6 4 4" xfId="1443" xr:uid="{00000000-0005-0000-0000-0000B80B0000}"/>
    <cellStyle name="Data 2 2 6 4 4 2" xfId="1444" xr:uid="{00000000-0005-0000-0000-0000B90B0000}"/>
    <cellStyle name="Data 2 2 6 4 5" xfId="1445" xr:uid="{00000000-0005-0000-0000-0000BA0B0000}"/>
    <cellStyle name="Data 2 2 6 4 5 2" xfId="1446" xr:uid="{00000000-0005-0000-0000-0000BB0B0000}"/>
    <cellStyle name="Data 2 2 6 4 6" xfId="1447" xr:uid="{00000000-0005-0000-0000-0000BC0B0000}"/>
    <cellStyle name="Data 2 2 6 4 6 2" xfId="1448" xr:uid="{00000000-0005-0000-0000-0000BD0B0000}"/>
    <cellStyle name="Data 2 2 6 4 7" xfId="1449" xr:uid="{00000000-0005-0000-0000-0000BE0B0000}"/>
    <cellStyle name="Data 2 2 6 4 7 2" xfId="1450" xr:uid="{00000000-0005-0000-0000-0000BF0B0000}"/>
    <cellStyle name="Data 2 2 6 4 8" xfId="1451" xr:uid="{00000000-0005-0000-0000-0000C00B0000}"/>
    <cellStyle name="Data 2 2 6 4 8 2" xfId="1452" xr:uid="{00000000-0005-0000-0000-0000C10B0000}"/>
    <cellStyle name="Data 2 2 6 4 9" xfId="1453" xr:uid="{00000000-0005-0000-0000-0000C20B0000}"/>
    <cellStyle name="Data 2 2 6 4 9 2" xfId="1454" xr:uid="{00000000-0005-0000-0000-0000C30B0000}"/>
    <cellStyle name="Data 2 2 6 5" xfId="1455" xr:uid="{00000000-0005-0000-0000-0000C40B0000}"/>
    <cellStyle name="Data 2 2 6 5 10" xfId="1456" xr:uid="{00000000-0005-0000-0000-0000C50B0000}"/>
    <cellStyle name="Data 2 2 6 5 2" xfId="1457" xr:uid="{00000000-0005-0000-0000-0000C60B0000}"/>
    <cellStyle name="Data 2 2 6 5 2 2" xfId="1458" xr:uid="{00000000-0005-0000-0000-0000C70B0000}"/>
    <cellStyle name="Data 2 2 6 5 3" xfId="1459" xr:uid="{00000000-0005-0000-0000-0000C80B0000}"/>
    <cellStyle name="Data 2 2 6 5 3 2" xfId="1460" xr:uid="{00000000-0005-0000-0000-0000C90B0000}"/>
    <cellStyle name="Data 2 2 6 5 4" xfId="1461" xr:uid="{00000000-0005-0000-0000-0000CA0B0000}"/>
    <cellStyle name="Data 2 2 6 5 4 2" xfId="1462" xr:uid="{00000000-0005-0000-0000-0000CB0B0000}"/>
    <cellStyle name="Data 2 2 6 5 5" xfId="1463" xr:uid="{00000000-0005-0000-0000-0000CC0B0000}"/>
    <cellStyle name="Data 2 2 6 5 5 2" xfId="1464" xr:uid="{00000000-0005-0000-0000-0000CD0B0000}"/>
    <cellStyle name="Data 2 2 6 5 6" xfId="1465" xr:uid="{00000000-0005-0000-0000-0000CE0B0000}"/>
    <cellStyle name="Data 2 2 6 5 6 2" xfId="1466" xr:uid="{00000000-0005-0000-0000-0000CF0B0000}"/>
    <cellStyle name="Data 2 2 6 5 7" xfId="1467" xr:uid="{00000000-0005-0000-0000-0000D00B0000}"/>
    <cellStyle name="Data 2 2 6 5 7 2" xfId="1468" xr:uid="{00000000-0005-0000-0000-0000D10B0000}"/>
    <cellStyle name="Data 2 2 6 5 8" xfId="1469" xr:uid="{00000000-0005-0000-0000-0000D20B0000}"/>
    <cellStyle name="Data 2 2 6 5 8 2" xfId="1470" xr:uid="{00000000-0005-0000-0000-0000D30B0000}"/>
    <cellStyle name="Data 2 2 6 5 9" xfId="1471" xr:uid="{00000000-0005-0000-0000-0000D40B0000}"/>
    <cellStyle name="Data 2 2 6 5 9 2" xfId="1472" xr:uid="{00000000-0005-0000-0000-0000D50B0000}"/>
    <cellStyle name="Data 2 2 6 6" xfId="1473" xr:uid="{00000000-0005-0000-0000-0000D60B0000}"/>
    <cellStyle name="Data 2 2 6 6 10" xfId="1474" xr:uid="{00000000-0005-0000-0000-0000D70B0000}"/>
    <cellStyle name="Data 2 2 6 6 2" xfId="1475" xr:uid="{00000000-0005-0000-0000-0000D80B0000}"/>
    <cellStyle name="Data 2 2 6 6 2 2" xfId="1476" xr:uid="{00000000-0005-0000-0000-0000D90B0000}"/>
    <cellStyle name="Data 2 2 6 6 3" xfId="1477" xr:uid="{00000000-0005-0000-0000-0000DA0B0000}"/>
    <cellStyle name="Data 2 2 6 6 3 2" xfId="1478" xr:uid="{00000000-0005-0000-0000-0000DB0B0000}"/>
    <cellStyle name="Data 2 2 6 6 4" xfId="1479" xr:uid="{00000000-0005-0000-0000-0000DC0B0000}"/>
    <cellStyle name="Data 2 2 6 6 4 2" xfId="1480" xr:uid="{00000000-0005-0000-0000-0000DD0B0000}"/>
    <cellStyle name="Data 2 2 6 6 5" xfId="1481" xr:uid="{00000000-0005-0000-0000-0000DE0B0000}"/>
    <cellStyle name="Data 2 2 6 6 5 2" xfId="1482" xr:uid="{00000000-0005-0000-0000-0000DF0B0000}"/>
    <cellStyle name="Data 2 2 6 6 6" xfId="1483" xr:uid="{00000000-0005-0000-0000-0000E00B0000}"/>
    <cellStyle name="Data 2 2 6 6 6 2" xfId="1484" xr:uid="{00000000-0005-0000-0000-0000E10B0000}"/>
    <cellStyle name="Data 2 2 6 6 7" xfId="1485" xr:uid="{00000000-0005-0000-0000-0000E20B0000}"/>
    <cellStyle name="Data 2 2 6 6 7 2" xfId="1486" xr:uid="{00000000-0005-0000-0000-0000E30B0000}"/>
    <cellStyle name="Data 2 2 6 6 8" xfId="1487" xr:uid="{00000000-0005-0000-0000-0000E40B0000}"/>
    <cellStyle name="Data 2 2 6 6 8 2" xfId="1488" xr:uid="{00000000-0005-0000-0000-0000E50B0000}"/>
    <cellStyle name="Data 2 2 6 6 9" xfId="1489" xr:uid="{00000000-0005-0000-0000-0000E60B0000}"/>
    <cellStyle name="Data 2 2 6 6 9 2" xfId="1490" xr:uid="{00000000-0005-0000-0000-0000E70B0000}"/>
    <cellStyle name="Data 2 2 6 7" xfId="1491" xr:uid="{00000000-0005-0000-0000-0000E80B0000}"/>
    <cellStyle name="Data 2 2 6 7 10" xfId="1492" xr:uid="{00000000-0005-0000-0000-0000E90B0000}"/>
    <cellStyle name="Data 2 2 6 7 2" xfId="1493" xr:uid="{00000000-0005-0000-0000-0000EA0B0000}"/>
    <cellStyle name="Data 2 2 6 7 2 2" xfId="1494" xr:uid="{00000000-0005-0000-0000-0000EB0B0000}"/>
    <cellStyle name="Data 2 2 6 7 3" xfId="1495" xr:uid="{00000000-0005-0000-0000-0000EC0B0000}"/>
    <cellStyle name="Data 2 2 6 7 3 2" xfId="1496" xr:uid="{00000000-0005-0000-0000-0000ED0B0000}"/>
    <cellStyle name="Data 2 2 6 7 4" xfId="1497" xr:uid="{00000000-0005-0000-0000-0000EE0B0000}"/>
    <cellStyle name="Data 2 2 6 7 4 2" xfId="1498" xr:uid="{00000000-0005-0000-0000-0000EF0B0000}"/>
    <cellStyle name="Data 2 2 6 7 5" xfId="1499" xr:uid="{00000000-0005-0000-0000-0000F00B0000}"/>
    <cellStyle name="Data 2 2 6 7 5 2" xfId="1500" xr:uid="{00000000-0005-0000-0000-0000F10B0000}"/>
    <cellStyle name="Data 2 2 6 7 6" xfId="1501" xr:uid="{00000000-0005-0000-0000-0000F20B0000}"/>
    <cellStyle name="Data 2 2 6 7 6 2" xfId="1502" xr:uid="{00000000-0005-0000-0000-0000F30B0000}"/>
    <cellStyle name="Data 2 2 6 7 7" xfId="1503" xr:uid="{00000000-0005-0000-0000-0000F40B0000}"/>
    <cellStyle name="Data 2 2 6 7 7 2" xfId="1504" xr:uid="{00000000-0005-0000-0000-0000F50B0000}"/>
    <cellStyle name="Data 2 2 6 7 8" xfId="1505" xr:uid="{00000000-0005-0000-0000-0000F60B0000}"/>
    <cellStyle name="Data 2 2 6 7 8 2" xfId="1506" xr:uid="{00000000-0005-0000-0000-0000F70B0000}"/>
    <cellStyle name="Data 2 2 6 7 9" xfId="1507" xr:uid="{00000000-0005-0000-0000-0000F80B0000}"/>
    <cellStyle name="Data 2 2 6 7 9 2" xfId="1508" xr:uid="{00000000-0005-0000-0000-0000F90B0000}"/>
    <cellStyle name="Data 2 2 6 8" xfId="1509" xr:uid="{00000000-0005-0000-0000-0000FA0B0000}"/>
    <cellStyle name="Data 2 2 6 8 10" xfId="1510" xr:uid="{00000000-0005-0000-0000-0000FB0B0000}"/>
    <cellStyle name="Data 2 2 6 8 2" xfId="1511" xr:uid="{00000000-0005-0000-0000-0000FC0B0000}"/>
    <cellStyle name="Data 2 2 6 8 2 2" xfId="1512" xr:uid="{00000000-0005-0000-0000-0000FD0B0000}"/>
    <cellStyle name="Data 2 2 6 8 3" xfId="1513" xr:uid="{00000000-0005-0000-0000-0000FE0B0000}"/>
    <cellStyle name="Data 2 2 6 8 3 2" xfId="1514" xr:uid="{00000000-0005-0000-0000-0000FF0B0000}"/>
    <cellStyle name="Data 2 2 6 8 4" xfId="1515" xr:uid="{00000000-0005-0000-0000-0000000C0000}"/>
    <cellStyle name="Data 2 2 6 8 4 2" xfId="1516" xr:uid="{00000000-0005-0000-0000-0000010C0000}"/>
    <cellStyle name="Data 2 2 6 8 5" xfId="1517" xr:uid="{00000000-0005-0000-0000-0000020C0000}"/>
    <cellStyle name="Data 2 2 6 8 5 2" xfId="1518" xr:uid="{00000000-0005-0000-0000-0000030C0000}"/>
    <cellStyle name="Data 2 2 6 8 6" xfId="1519" xr:uid="{00000000-0005-0000-0000-0000040C0000}"/>
    <cellStyle name="Data 2 2 6 8 6 2" xfId="1520" xr:uid="{00000000-0005-0000-0000-0000050C0000}"/>
    <cellStyle name="Data 2 2 6 8 7" xfId="1521" xr:uid="{00000000-0005-0000-0000-0000060C0000}"/>
    <cellStyle name="Data 2 2 6 8 7 2" xfId="1522" xr:uid="{00000000-0005-0000-0000-0000070C0000}"/>
    <cellStyle name="Data 2 2 6 8 8" xfId="1523" xr:uid="{00000000-0005-0000-0000-0000080C0000}"/>
    <cellStyle name="Data 2 2 6 8 8 2" xfId="1524" xr:uid="{00000000-0005-0000-0000-0000090C0000}"/>
    <cellStyle name="Data 2 2 6 8 9" xfId="1525" xr:uid="{00000000-0005-0000-0000-00000A0C0000}"/>
    <cellStyle name="Data 2 2 6 8 9 2" xfId="1526" xr:uid="{00000000-0005-0000-0000-00000B0C0000}"/>
    <cellStyle name="Data 2 2 6 9" xfId="1527" xr:uid="{00000000-0005-0000-0000-00000C0C0000}"/>
    <cellStyle name="Data 2 2 6 9 10" xfId="1528" xr:uid="{00000000-0005-0000-0000-00000D0C0000}"/>
    <cellStyle name="Data 2 2 6 9 2" xfId="1529" xr:uid="{00000000-0005-0000-0000-00000E0C0000}"/>
    <cellStyle name="Data 2 2 6 9 2 2" xfId="1530" xr:uid="{00000000-0005-0000-0000-00000F0C0000}"/>
    <cellStyle name="Data 2 2 6 9 3" xfId="1531" xr:uid="{00000000-0005-0000-0000-0000100C0000}"/>
    <cellStyle name="Data 2 2 6 9 3 2" xfId="1532" xr:uid="{00000000-0005-0000-0000-0000110C0000}"/>
    <cellStyle name="Data 2 2 6 9 4" xfId="1533" xr:uid="{00000000-0005-0000-0000-0000120C0000}"/>
    <cellStyle name="Data 2 2 6 9 4 2" xfId="1534" xr:uid="{00000000-0005-0000-0000-0000130C0000}"/>
    <cellStyle name="Data 2 2 6 9 5" xfId="1535" xr:uid="{00000000-0005-0000-0000-0000140C0000}"/>
    <cellStyle name="Data 2 2 6 9 5 2" xfId="1536" xr:uid="{00000000-0005-0000-0000-0000150C0000}"/>
    <cellStyle name="Data 2 2 6 9 6" xfId="1537" xr:uid="{00000000-0005-0000-0000-0000160C0000}"/>
    <cellStyle name="Data 2 2 6 9 6 2" xfId="1538" xr:uid="{00000000-0005-0000-0000-0000170C0000}"/>
    <cellStyle name="Data 2 2 6 9 7" xfId="1539" xr:uid="{00000000-0005-0000-0000-0000180C0000}"/>
    <cellStyle name="Data 2 2 6 9 7 2" xfId="1540" xr:uid="{00000000-0005-0000-0000-0000190C0000}"/>
    <cellStyle name="Data 2 2 6 9 8" xfId="1541" xr:uid="{00000000-0005-0000-0000-00001A0C0000}"/>
    <cellStyle name="Data 2 2 6 9 8 2" xfId="1542" xr:uid="{00000000-0005-0000-0000-00001B0C0000}"/>
    <cellStyle name="Data 2 2 6 9 9" xfId="1543" xr:uid="{00000000-0005-0000-0000-00001C0C0000}"/>
    <cellStyle name="Data 2 2 6 9 9 2" xfId="1544" xr:uid="{00000000-0005-0000-0000-00001D0C0000}"/>
    <cellStyle name="Data 2 2 7" xfId="1545" xr:uid="{00000000-0005-0000-0000-00001E0C0000}"/>
    <cellStyle name="Data 2 2 7 10" xfId="1546" xr:uid="{00000000-0005-0000-0000-00001F0C0000}"/>
    <cellStyle name="Data 2 2 7 10 2" xfId="1547" xr:uid="{00000000-0005-0000-0000-0000200C0000}"/>
    <cellStyle name="Data 2 2 7 10 2 2" xfId="1548" xr:uid="{00000000-0005-0000-0000-0000210C0000}"/>
    <cellStyle name="Data 2 2 7 10 3" xfId="1549" xr:uid="{00000000-0005-0000-0000-0000220C0000}"/>
    <cellStyle name="Data 2 2 7 10 3 2" xfId="1550" xr:uid="{00000000-0005-0000-0000-0000230C0000}"/>
    <cellStyle name="Data 2 2 7 10 4" xfId="1551" xr:uid="{00000000-0005-0000-0000-0000240C0000}"/>
    <cellStyle name="Data 2 2 7 10 4 2" xfId="1552" xr:uid="{00000000-0005-0000-0000-0000250C0000}"/>
    <cellStyle name="Data 2 2 7 10 5" xfId="1553" xr:uid="{00000000-0005-0000-0000-0000260C0000}"/>
    <cellStyle name="Data 2 2 7 10 5 2" xfId="1554" xr:uid="{00000000-0005-0000-0000-0000270C0000}"/>
    <cellStyle name="Data 2 2 7 10 6" xfId="1555" xr:uid="{00000000-0005-0000-0000-0000280C0000}"/>
    <cellStyle name="Data 2 2 7 10 6 2" xfId="1556" xr:uid="{00000000-0005-0000-0000-0000290C0000}"/>
    <cellStyle name="Data 2 2 7 10 7" xfId="1557" xr:uid="{00000000-0005-0000-0000-00002A0C0000}"/>
    <cellStyle name="Data 2 2 7 10 7 2" xfId="1558" xr:uid="{00000000-0005-0000-0000-00002B0C0000}"/>
    <cellStyle name="Data 2 2 7 10 8" xfId="1559" xr:uid="{00000000-0005-0000-0000-00002C0C0000}"/>
    <cellStyle name="Data 2 2 7 10 8 2" xfId="1560" xr:uid="{00000000-0005-0000-0000-00002D0C0000}"/>
    <cellStyle name="Data 2 2 7 10 9" xfId="1561" xr:uid="{00000000-0005-0000-0000-00002E0C0000}"/>
    <cellStyle name="Data 2 2 7 11" xfId="1562" xr:uid="{00000000-0005-0000-0000-00002F0C0000}"/>
    <cellStyle name="Data 2 2 7 11 2" xfId="1563" xr:uid="{00000000-0005-0000-0000-0000300C0000}"/>
    <cellStyle name="Data 2 2 7 12" xfId="1564" xr:uid="{00000000-0005-0000-0000-0000310C0000}"/>
    <cellStyle name="Data 2 2 7 12 2" xfId="1565" xr:uid="{00000000-0005-0000-0000-0000320C0000}"/>
    <cellStyle name="Data 2 2 7 13" xfId="1566" xr:uid="{00000000-0005-0000-0000-0000330C0000}"/>
    <cellStyle name="Data 2 2 7 13 2" xfId="1567" xr:uid="{00000000-0005-0000-0000-0000340C0000}"/>
    <cellStyle name="Data 2 2 7 14" xfId="1568" xr:uid="{00000000-0005-0000-0000-0000350C0000}"/>
    <cellStyle name="Data 2 2 7 14 2" xfId="1569" xr:uid="{00000000-0005-0000-0000-0000360C0000}"/>
    <cellStyle name="Data 2 2 7 15" xfId="1570" xr:uid="{00000000-0005-0000-0000-0000370C0000}"/>
    <cellStyle name="Data 2 2 7 15 2" xfId="1571" xr:uid="{00000000-0005-0000-0000-0000380C0000}"/>
    <cellStyle name="Data 2 2 7 16" xfId="1572" xr:uid="{00000000-0005-0000-0000-0000390C0000}"/>
    <cellStyle name="Data 2 2 7 16 2" xfId="1573" xr:uid="{00000000-0005-0000-0000-00003A0C0000}"/>
    <cellStyle name="Data 2 2 7 17" xfId="1574" xr:uid="{00000000-0005-0000-0000-00003B0C0000}"/>
    <cellStyle name="Data 2 2 7 17 2" xfId="1575" xr:uid="{00000000-0005-0000-0000-00003C0C0000}"/>
    <cellStyle name="Data 2 2 7 18" xfId="1576" xr:uid="{00000000-0005-0000-0000-00003D0C0000}"/>
    <cellStyle name="Data 2 2 7 2" xfId="1577" xr:uid="{00000000-0005-0000-0000-00003E0C0000}"/>
    <cellStyle name="Data 2 2 7 2 10" xfId="1578" xr:uid="{00000000-0005-0000-0000-00003F0C0000}"/>
    <cellStyle name="Data 2 2 7 2 2" xfId="1579" xr:uid="{00000000-0005-0000-0000-0000400C0000}"/>
    <cellStyle name="Data 2 2 7 2 2 2" xfId="1580" xr:uid="{00000000-0005-0000-0000-0000410C0000}"/>
    <cellStyle name="Data 2 2 7 2 3" xfId="1581" xr:uid="{00000000-0005-0000-0000-0000420C0000}"/>
    <cellStyle name="Data 2 2 7 2 3 2" xfId="1582" xr:uid="{00000000-0005-0000-0000-0000430C0000}"/>
    <cellStyle name="Data 2 2 7 2 4" xfId="1583" xr:uid="{00000000-0005-0000-0000-0000440C0000}"/>
    <cellStyle name="Data 2 2 7 2 4 2" xfId="1584" xr:uid="{00000000-0005-0000-0000-0000450C0000}"/>
    <cellStyle name="Data 2 2 7 2 5" xfId="1585" xr:uid="{00000000-0005-0000-0000-0000460C0000}"/>
    <cellStyle name="Data 2 2 7 2 5 2" xfId="1586" xr:uid="{00000000-0005-0000-0000-0000470C0000}"/>
    <cellStyle name="Data 2 2 7 2 6" xfId="1587" xr:uid="{00000000-0005-0000-0000-0000480C0000}"/>
    <cellStyle name="Data 2 2 7 2 6 2" xfId="1588" xr:uid="{00000000-0005-0000-0000-0000490C0000}"/>
    <cellStyle name="Data 2 2 7 2 7" xfId="1589" xr:uid="{00000000-0005-0000-0000-00004A0C0000}"/>
    <cellStyle name="Data 2 2 7 2 7 2" xfId="1590" xr:uid="{00000000-0005-0000-0000-00004B0C0000}"/>
    <cellStyle name="Data 2 2 7 2 8" xfId="1591" xr:uid="{00000000-0005-0000-0000-00004C0C0000}"/>
    <cellStyle name="Data 2 2 7 2 8 2" xfId="1592" xr:uid="{00000000-0005-0000-0000-00004D0C0000}"/>
    <cellStyle name="Data 2 2 7 2 9" xfId="1593" xr:uid="{00000000-0005-0000-0000-00004E0C0000}"/>
    <cellStyle name="Data 2 2 7 2 9 2" xfId="1594" xr:uid="{00000000-0005-0000-0000-00004F0C0000}"/>
    <cellStyle name="Data 2 2 7 3" xfId="1595" xr:uid="{00000000-0005-0000-0000-0000500C0000}"/>
    <cellStyle name="Data 2 2 7 3 10" xfId="1596" xr:uid="{00000000-0005-0000-0000-0000510C0000}"/>
    <cellStyle name="Data 2 2 7 3 2" xfId="1597" xr:uid="{00000000-0005-0000-0000-0000520C0000}"/>
    <cellStyle name="Data 2 2 7 3 2 2" xfId="1598" xr:uid="{00000000-0005-0000-0000-0000530C0000}"/>
    <cellStyle name="Data 2 2 7 3 3" xfId="1599" xr:uid="{00000000-0005-0000-0000-0000540C0000}"/>
    <cellStyle name="Data 2 2 7 3 3 2" xfId="1600" xr:uid="{00000000-0005-0000-0000-0000550C0000}"/>
    <cellStyle name="Data 2 2 7 3 4" xfId="1601" xr:uid="{00000000-0005-0000-0000-0000560C0000}"/>
    <cellStyle name="Data 2 2 7 3 4 2" xfId="1602" xr:uid="{00000000-0005-0000-0000-0000570C0000}"/>
    <cellStyle name="Data 2 2 7 3 5" xfId="1603" xr:uid="{00000000-0005-0000-0000-0000580C0000}"/>
    <cellStyle name="Data 2 2 7 3 5 2" xfId="1604" xr:uid="{00000000-0005-0000-0000-0000590C0000}"/>
    <cellStyle name="Data 2 2 7 3 6" xfId="1605" xr:uid="{00000000-0005-0000-0000-00005A0C0000}"/>
    <cellStyle name="Data 2 2 7 3 6 2" xfId="1606" xr:uid="{00000000-0005-0000-0000-00005B0C0000}"/>
    <cellStyle name="Data 2 2 7 3 7" xfId="1607" xr:uid="{00000000-0005-0000-0000-00005C0C0000}"/>
    <cellStyle name="Data 2 2 7 3 7 2" xfId="1608" xr:uid="{00000000-0005-0000-0000-00005D0C0000}"/>
    <cellStyle name="Data 2 2 7 3 8" xfId="1609" xr:uid="{00000000-0005-0000-0000-00005E0C0000}"/>
    <cellStyle name="Data 2 2 7 3 8 2" xfId="1610" xr:uid="{00000000-0005-0000-0000-00005F0C0000}"/>
    <cellStyle name="Data 2 2 7 3 9" xfId="1611" xr:uid="{00000000-0005-0000-0000-0000600C0000}"/>
    <cellStyle name="Data 2 2 7 3 9 2" xfId="1612" xr:uid="{00000000-0005-0000-0000-0000610C0000}"/>
    <cellStyle name="Data 2 2 7 4" xfId="1613" xr:uid="{00000000-0005-0000-0000-0000620C0000}"/>
    <cellStyle name="Data 2 2 7 4 10" xfId="1614" xr:uid="{00000000-0005-0000-0000-0000630C0000}"/>
    <cellStyle name="Data 2 2 7 4 2" xfId="1615" xr:uid="{00000000-0005-0000-0000-0000640C0000}"/>
    <cellStyle name="Data 2 2 7 4 2 2" xfId="1616" xr:uid="{00000000-0005-0000-0000-0000650C0000}"/>
    <cellStyle name="Data 2 2 7 4 3" xfId="1617" xr:uid="{00000000-0005-0000-0000-0000660C0000}"/>
    <cellStyle name="Data 2 2 7 4 3 2" xfId="1618" xr:uid="{00000000-0005-0000-0000-0000670C0000}"/>
    <cellStyle name="Data 2 2 7 4 4" xfId="1619" xr:uid="{00000000-0005-0000-0000-0000680C0000}"/>
    <cellStyle name="Data 2 2 7 4 4 2" xfId="1620" xr:uid="{00000000-0005-0000-0000-0000690C0000}"/>
    <cellStyle name="Data 2 2 7 4 5" xfId="1621" xr:uid="{00000000-0005-0000-0000-00006A0C0000}"/>
    <cellStyle name="Data 2 2 7 4 5 2" xfId="1622" xr:uid="{00000000-0005-0000-0000-00006B0C0000}"/>
    <cellStyle name="Data 2 2 7 4 6" xfId="1623" xr:uid="{00000000-0005-0000-0000-00006C0C0000}"/>
    <cellStyle name="Data 2 2 7 4 6 2" xfId="1624" xr:uid="{00000000-0005-0000-0000-00006D0C0000}"/>
    <cellStyle name="Data 2 2 7 4 7" xfId="1625" xr:uid="{00000000-0005-0000-0000-00006E0C0000}"/>
    <cellStyle name="Data 2 2 7 4 7 2" xfId="1626" xr:uid="{00000000-0005-0000-0000-00006F0C0000}"/>
    <cellStyle name="Data 2 2 7 4 8" xfId="1627" xr:uid="{00000000-0005-0000-0000-0000700C0000}"/>
    <cellStyle name="Data 2 2 7 4 8 2" xfId="1628" xr:uid="{00000000-0005-0000-0000-0000710C0000}"/>
    <cellStyle name="Data 2 2 7 4 9" xfId="1629" xr:uid="{00000000-0005-0000-0000-0000720C0000}"/>
    <cellStyle name="Data 2 2 7 4 9 2" xfId="1630" xr:uid="{00000000-0005-0000-0000-0000730C0000}"/>
    <cellStyle name="Data 2 2 7 5" xfId="1631" xr:uid="{00000000-0005-0000-0000-0000740C0000}"/>
    <cellStyle name="Data 2 2 7 5 10" xfId="1632" xr:uid="{00000000-0005-0000-0000-0000750C0000}"/>
    <cellStyle name="Data 2 2 7 5 2" xfId="1633" xr:uid="{00000000-0005-0000-0000-0000760C0000}"/>
    <cellStyle name="Data 2 2 7 5 2 2" xfId="1634" xr:uid="{00000000-0005-0000-0000-0000770C0000}"/>
    <cellStyle name="Data 2 2 7 5 3" xfId="1635" xr:uid="{00000000-0005-0000-0000-0000780C0000}"/>
    <cellStyle name="Data 2 2 7 5 3 2" xfId="1636" xr:uid="{00000000-0005-0000-0000-0000790C0000}"/>
    <cellStyle name="Data 2 2 7 5 4" xfId="1637" xr:uid="{00000000-0005-0000-0000-00007A0C0000}"/>
    <cellStyle name="Data 2 2 7 5 4 2" xfId="1638" xr:uid="{00000000-0005-0000-0000-00007B0C0000}"/>
    <cellStyle name="Data 2 2 7 5 5" xfId="1639" xr:uid="{00000000-0005-0000-0000-00007C0C0000}"/>
    <cellStyle name="Data 2 2 7 5 5 2" xfId="1640" xr:uid="{00000000-0005-0000-0000-00007D0C0000}"/>
    <cellStyle name="Data 2 2 7 5 6" xfId="1641" xr:uid="{00000000-0005-0000-0000-00007E0C0000}"/>
    <cellStyle name="Data 2 2 7 5 6 2" xfId="1642" xr:uid="{00000000-0005-0000-0000-00007F0C0000}"/>
    <cellStyle name="Data 2 2 7 5 7" xfId="1643" xr:uid="{00000000-0005-0000-0000-0000800C0000}"/>
    <cellStyle name="Data 2 2 7 5 7 2" xfId="1644" xr:uid="{00000000-0005-0000-0000-0000810C0000}"/>
    <cellStyle name="Data 2 2 7 5 8" xfId="1645" xr:uid="{00000000-0005-0000-0000-0000820C0000}"/>
    <cellStyle name="Data 2 2 7 5 8 2" xfId="1646" xr:uid="{00000000-0005-0000-0000-0000830C0000}"/>
    <cellStyle name="Data 2 2 7 5 9" xfId="1647" xr:uid="{00000000-0005-0000-0000-0000840C0000}"/>
    <cellStyle name="Data 2 2 7 5 9 2" xfId="1648" xr:uid="{00000000-0005-0000-0000-0000850C0000}"/>
    <cellStyle name="Data 2 2 7 6" xfId="1649" xr:uid="{00000000-0005-0000-0000-0000860C0000}"/>
    <cellStyle name="Data 2 2 7 6 10" xfId="1650" xr:uid="{00000000-0005-0000-0000-0000870C0000}"/>
    <cellStyle name="Data 2 2 7 6 2" xfId="1651" xr:uid="{00000000-0005-0000-0000-0000880C0000}"/>
    <cellStyle name="Data 2 2 7 6 2 2" xfId="1652" xr:uid="{00000000-0005-0000-0000-0000890C0000}"/>
    <cellStyle name="Data 2 2 7 6 3" xfId="1653" xr:uid="{00000000-0005-0000-0000-00008A0C0000}"/>
    <cellStyle name="Data 2 2 7 6 3 2" xfId="1654" xr:uid="{00000000-0005-0000-0000-00008B0C0000}"/>
    <cellStyle name="Data 2 2 7 6 4" xfId="1655" xr:uid="{00000000-0005-0000-0000-00008C0C0000}"/>
    <cellStyle name="Data 2 2 7 6 4 2" xfId="1656" xr:uid="{00000000-0005-0000-0000-00008D0C0000}"/>
    <cellStyle name="Data 2 2 7 6 5" xfId="1657" xr:uid="{00000000-0005-0000-0000-00008E0C0000}"/>
    <cellStyle name="Data 2 2 7 6 5 2" xfId="1658" xr:uid="{00000000-0005-0000-0000-00008F0C0000}"/>
    <cellStyle name="Data 2 2 7 6 6" xfId="1659" xr:uid="{00000000-0005-0000-0000-0000900C0000}"/>
    <cellStyle name="Data 2 2 7 6 6 2" xfId="1660" xr:uid="{00000000-0005-0000-0000-0000910C0000}"/>
    <cellStyle name="Data 2 2 7 6 7" xfId="1661" xr:uid="{00000000-0005-0000-0000-0000920C0000}"/>
    <cellStyle name="Data 2 2 7 6 7 2" xfId="1662" xr:uid="{00000000-0005-0000-0000-0000930C0000}"/>
    <cellStyle name="Data 2 2 7 6 8" xfId="1663" xr:uid="{00000000-0005-0000-0000-0000940C0000}"/>
    <cellStyle name="Data 2 2 7 6 8 2" xfId="1664" xr:uid="{00000000-0005-0000-0000-0000950C0000}"/>
    <cellStyle name="Data 2 2 7 6 9" xfId="1665" xr:uid="{00000000-0005-0000-0000-0000960C0000}"/>
    <cellStyle name="Data 2 2 7 6 9 2" xfId="1666" xr:uid="{00000000-0005-0000-0000-0000970C0000}"/>
    <cellStyle name="Data 2 2 7 7" xfId="1667" xr:uid="{00000000-0005-0000-0000-0000980C0000}"/>
    <cellStyle name="Data 2 2 7 7 10" xfId="1668" xr:uid="{00000000-0005-0000-0000-0000990C0000}"/>
    <cellStyle name="Data 2 2 7 7 2" xfId="1669" xr:uid="{00000000-0005-0000-0000-00009A0C0000}"/>
    <cellStyle name="Data 2 2 7 7 2 2" xfId="1670" xr:uid="{00000000-0005-0000-0000-00009B0C0000}"/>
    <cellStyle name="Data 2 2 7 7 3" xfId="1671" xr:uid="{00000000-0005-0000-0000-00009C0C0000}"/>
    <cellStyle name="Data 2 2 7 7 3 2" xfId="1672" xr:uid="{00000000-0005-0000-0000-00009D0C0000}"/>
    <cellStyle name="Data 2 2 7 7 4" xfId="1673" xr:uid="{00000000-0005-0000-0000-00009E0C0000}"/>
    <cellStyle name="Data 2 2 7 7 4 2" xfId="1674" xr:uid="{00000000-0005-0000-0000-00009F0C0000}"/>
    <cellStyle name="Data 2 2 7 7 5" xfId="1675" xr:uid="{00000000-0005-0000-0000-0000A00C0000}"/>
    <cellStyle name="Data 2 2 7 7 5 2" xfId="1676" xr:uid="{00000000-0005-0000-0000-0000A10C0000}"/>
    <cellStyle name="Data 2 2 7 7 6" xfId="1677" xr:uid="{00000000-0005-0000-0000-0000A20C0000}"/>
    <cellStyle name="Data 2 2 7 7 6 2" xfId="1678" xr:uid="{00000000-0005-0000-0000-0000A30C0000}"/>
    <cellStyle name="Data 2 2 7 7 7" xfId="1679" xr:uid="{00000000-0005-0000-0000-0000A40C0000}"/>
    <cellStyle name="Data 2 2 7 7 7 2" xfId="1680" xr:uid="{00000000-0005-0000-0000-0000A50C0000}"/>
    <cellStyle name="Data 2 2 7 7 8" xfId="1681" xr:uid="{00000000-0005-0000-0000-0000A60C0000}"/>
    <cellStyle name="Data 2 2 7 7 8 2" xfId="1682" xr:uid="{00000000-0005-0000-0000-0000A70C0000}"/>
    <cellStyle name="Data 2 2 7 7 9" xfId="1683" xr:uid="{00000000-0005-0000-0000-0000A80C0000}"/>
    <cellStyle name="Data 2 2 7 7 9 2" xfId="1684" xr:uid="{00000000-0005-0000-0000-0000A90C0000}"/>
    <cellStyle name="Data 2 2 7 8" xfId="1685" xr:uid="{00000000-0005-0000-0000-0000AA0C0000}"/>
    <cellStyle name="Data 2 2 7 8 10" xfId="1686" xr:uid="{00000000-0005-0000-0000-0000AB0C0000}"/>
    <cellStyle name="Data 2 2 7 8 2" xfId="1687" xr:uid="{00000000-0005-0000-0000-0000AC0C0000}"/>
    <cellStyle name="Data 2 2 7 8 2 2" xfId="1688" xr:uid="{00000000-0005-0000-0000-0000AD0C0000}"/>
    <cellStyle name="Data 2 2 7 8 3" xfId="1689" xr:uid="{00000000-0005-0000-0000-0000AE0C0000}"/>
    <cellStyle name="Data 2 2 7 8 3 2" xfId="1690" xr:uid="{00000000-0005-0000-0000-0000AF0C0000}"/>
    <cellStyle name="Data 2 2 7 8 4" xfId="1691" xr:uid="{00000000-0005-0000-0000-0000B00C0000}"/>
    <cellStyle name="Data 2 2 7 8 4 2" xfId="1692" xr:uid="{00000000-0005-0000-0000-0000B10C0000}"/>
    <cellStyle name="Data 2 2 7 8 5" xfId="1693" xr:uid="{00000000-0005-0000-0000-0000B20C0000}"/>
    <cellStyle name="Data 2 2 7 8 5 2" xfId="1694" xr:uid="{00000000-0005-0000-0000-0000B30C0000}"/>
    <cellStyle name="Data 2 2 7 8 6" xfId="1695" xr:uid="{00000000-0005-0000-0000-0000B40C0000}"/>
    <cellStyle name="Data 2 2 7 8 6 2" xfId="1696" xr:uid="{00000000-0005-0000-0000-0000B50C0000}"/>
    <cellStyle name="Data 2 2 7 8 7" xfId="1697" xr:uid="{00000000-0005-0000-0000-0000B60C0000}"/>
    <cellStyle name="Data 2 2 7 8 7 2" xfId="1698" xr:uid="{00000000-0005-0000-0000-0000B70C0000}"/>
    <cellStyle name="Data 2 2 7 8 8" xfId="1699" xr:uid="{00000000-0005-0000-0000-0000B80C0000}"/>
    <cellStyle name="Data 2 2 7 8 8 2" xfId="1700" xr:uid="{00000000-0005-0000-0000-0000B90C0000}"/>
    <cellStyle name="Data 2 2 7 8 9" xfId="1701" xr:uid="{00000000-0005-0000-0000-0000BA0C0000}"/>
    <cellStyle name="Data 2 2 7 8 9 2" xfId="1702" xr:uid="{00000000-0005-0000-0000-0000BB0C0000}"/>
    <cellStyle name="Data 2 2 7 9" xfId="1703" xr:uid="{00000000-0005-0000-0000-0000BC0C0000}"/>
    <cellStyle name="Data 2 2 7 9 10" xfId="1704" xr:uid="{00000000-0005-0000-0000-0000BD0C0000}"/>
    <cellStyle name="Data 2 2 7 9 2" xfId="1705" xr:uid="{00000000-0005-0000-0000-0000BE0C0000}"/>
    <cellStyle name="Data 2 2 7 9 2 2" xfId="1706" xr:uid="{00000000-0005-0000-0000-0000BF0C0000}"/>
    <cellStyle name="Data 2 2 7 9 3" xfId="1707" xr:uid="{00000000-0005-0000-0000-0000C00C0000}"/>
    <cellStyle name="Data 2 2 7 9 3 2" xfId="1708" xr:uid="{00000000-0005-0000-0000-0000C10C0000}"/>
    <cellStyle name="Data 2 2 7 9 4" xfId="1709" xr:uid="{00000000-0005-0000-0000-0000C20C0000}"/>
    <cellStyle name="Data 2 2 7 9 4 2" xfId="1710" xr:uid="{00000000-0005-0000-0000-0000C30C0000}"/>
    <cellStyle name="Data 2 2 7 9 5" xfId="1711" xr:uid="{00000000-0005-0000-0000-0000C40C0000}"/>
    <cellStyle name="Data 2 2 7 9 5 2" xfId="1712" xr:uid="{00000000-0005-0000-0000-0000C50C0000}"/>
    <cellStyle name="Data 2 2 7 9 6" xfId="1713" xr:uid="{00000000-0005-0000-0000-0000C60C0000}"/>
    <cellStyle name="Data 2 2 7 9 6 2" xfId="1714" xr:uid="{00000000-0005-0000-0000-0000C70C0000}"/>
    <cellStyle name="Data 2 2 7 9 7" xfId="1715" xr:uid="{00000000-0005-0000-0000-0000C80C0000}"/>
    <cellStyle name="Data 2 2 7 9 7 2" xfId="1716" xr:uid="{00000000-0005-0000-0000-0000C90C0000}"/>
    <cellStyle name="Data 2 2 7 9 8" xfId="1717" xr:uid="{00000000-0005-0000-0000-0000CA0C0000}"/>
    <cellStyle name="Data 2 2 7 9 8 2" xfId="1718" xr:uid="{00000000-0005-0000-0000-0000CB0C0000}"/>
    <cellStyle name="Data 2 2 7 9 9" xfId="1719" xr:uid="{00000000-0005-0000-0000-0000CC0C0000}"/>
    <cellStyle name="Data 2 2 7 9 9 2" xfId="1720" xr:uid="{00000000-0005-0000-0000-0000CD0C0000}"/>
    <cellStyle name="Data 2 2 8" xfId="1721" xr:uid="{00000000-0005-0000-0000-0000CE0C0000}"/>
    <cellStyle name="Data 2 2 8 10" xfId="1722" xr:uid="{00000000-0005-0000-0000-0000CF0C0000}"/>
    <cellStyle name="Data 2 2 8 10 2" xfId="1723" xr:uid="{00000000-0005-0000-0000-0000D00C0000}"/>
    <cellStyle name="Data 2 2 8 10 2 2" xfId="1724" xr:uid="{00000000-0005-0000-0000-0000D10C0000}"/>
    <cellStyle name="Data 2 2 8 10 3" xfId="1725" xr:uid="{00000000-0005-0000-0000-0000D20C0000}"/>
    <cellStyle name="Data 2 2 8 10 3 2" xfId="1726" xr:uid="{00000000-0005-0000-0000-0000D30C0000}"/>
    <cellStyle name="Data 2 2 8 10 4" xfId="1727" xr:uid="{00000000-0005-0000-0000-0000D40C0000}"/>
    <cellStyle name="Data 2 2 8 10 4 2" xfId="1728" xr:uid="{00000000-0005-0000-0000-0000D50C0000}"/>
    <cellStyle name="Data 2 2 8 10 5" xfId="1729" xr:uid="{00000000-0005-0000-0000-0000D60C0000}"/>
    <cellStyle name="Data 2 2 8 10 5 2" xfId="1730" xr:uid="{00000000-0005-0000-0000-0000D70C0000}"/>
    <cellStyle name="Data 2 2 8 10 6" xfId="1731" xr:uid="{00000000-0005-0000-0000-0000D80C0000}"/>
    <cellStyle name="Data 2 2 8 10 6 2" xfId="1732" xr:uid="{00000000-0005-0000-0000-0000D90C0000}"/>
    <cellStyle name="Data 2 2 8 10 7" xfId="1733" xr:uid="{00000000-0005-0000-0000-0000DA0C0000}"/>
    <cellStyle name="Data 2 2 8 10 7 2" xfId="1734" xr:uid="{00000000-0005-0000-0000-0000DB0C0000}"/>
    <cellStyle name="Data 2 2 8 10 8" xfId="1735" xr:uid="{00000000-0005-0000-0000-0000DC0C0000}"/>
    <cellStyle name="Data 2 2 8 10 8 2" xfId="1736" xr:uid="{00000000-0005-0000-0000-0000DD0C0000}"/>
    <cellStyle name="Data 2 2 8 10 9" xfId="1737" xr:uid="{00000000-0005-0000-0000-0000DE0C0000}"/>
    <cellStyle name="Data 2 2 8 11" xfId="1738" xr:uid="{00000000-0005-0000-0000-0000DF0C0000}"/>
    <cellStyle name="Data 2 2 8 11 2" xfId="1739" xr:uid="{00000000-0005-0000-0000-0000E00C0000}"/>
    <cellStyle name="Data 2 2 8 12" xfId="1740" xr:uid="{00000000-0005-0000-0000-0000E10C0000}"/>
    <cellStyle name="Data 2 2 8 12 2" xfId="1741" xr:uid="{00000000-0005-0000-0000-0000E20C0000}"/>
    <cellStyle name="Data 2 2 8 13" xfId="1742" xr:uid="{00000000-0005-0000-0000-0000E30C0000}"/>
    <cellStyle name="Data 2 2 8 13 2" xfId="1743" xr:uid="{00000000-0005-0000-0000-0000E40C0000}"/>
    <cellStyle name="Data 2 2 8 14" xfId="1744" xr:uid="{00000000-0005-0000-0000-0000E50C0000}"/>
    <cellStyle name="Data 2 2 8 14 2" xfId="1745" xr:uid="{00000000-0005-0000-0000-0000E60C0000}"/>
    <cellStyle name="Data 2 2 8 15" xfId="1746" xr:uid="{00000000-0005-0000-0000-0000E70C0000}"/>
    <cellStyle name="Data 2 2 8 15 2" xfId="1747" xr:uid="{00000000-0005-0000-0000-0000E80C0000}"/>
    <cellStyle name="Data 2 2 8 16" xfId="1748" xr:uid="{00000000-0005-0000-0000-0000E90C0000}"/>
    <cellStyle name="Data 2 2 8 16 2" xfId="1749" xr:uid="{00000000-0005-0000-0000-0000EA0C0000}"/>
    <cellStyle name="Data 2 2 8 17" xfId="1750" xr:uid="{00000000-0005-0000-0000-0000EB0C0000}"/>
    <cellStyle name="Data 2 2 8 17 2" xfId="1751" xr:uid="{00000000-0005-0000-0000-0000EC0C0000}"/>
    <cellStyle name="Data 2 2 8 18" xfId="1752" xr:uid="{00000000-0005-0000-0000-0000ED0C0000}"/>
    <cellStyle name="Data 2 2 8 2" xfId="1753" xr:uid="{00000000-0005-0000-0000-0000EE0C0000}"/>
    <cellStyle name="Data 2 2 8 2 10" xfId="1754" xr:uid="{00000000-0005-0000-0000-0000EF0C0000}"/>
    <cellStyle name="Data 2 2 8 2 2" xfId="1755" xr:uid="{00000000-0005-0000-0000-0000F00C0000}"/>
    <cellStyle name="Data 2 2 8 2 2 2" xfId="1756" xr:uid="{00000000-0005-0000-0000-0000F10C0000}"/>
    <cellStyle name="Data 2 2 8 2 3" xfId="1757" xr:uid="{00000000-0005-0000-0000-0000F20C0000}"/>
    <cellStyle name="Data 2 2 8 2 3 2" xfId="1758" xr:uid="{00000000-0005-0000-0000-0000F30C0000}"/>
    <cellStyle name="Data 2 2 8 2 4" xfId="1759" xr:uid="{00000000-0005-0000-0000-0000F40C0000}"/>
    <cellStyle name="Data 2 2 8 2 4 2" xfId="1760" xr:uid="{00000000-0005-0000-0000-0000F50C0000}"/>
    <cellStyle name="Data 2 2 8 2 5" xfId="1761" xr:uid="{00000000-0005-0000-0000-0000F60C0000}"/>
    <cellStyle name="Data 2 2 8 2 5 2" xfId="1762" xr:uid="{00000000-0005-0000-0000-0000F70C0000}"/>
    <cellStyle name="Data 2 2 8 2 6" xfId="1763" xr:uid="{00000000-0005-0000-0000-0000F80C0000}"/>
    <cellStyle name="Data 2 2 8 2 6 2" xfId="1764" xr:uid="{00000000-0005-0000-0000-0000F90C0000}"/>
    <cellStyle name="Data 2 2 8 2 7" xfId="1765" xr:uid="{00000000-0005-0000-0000-0000FA0C0000}"/>
    <cellStyle name="Data 2 2 8 2 7 2" xfId="1766" xr:uid="{00000000-0005-0000-0000-0000FB0C0000}"/>
    <cellStyle name="Data 2 2 8 2 8" xfId="1767" xr:uid="{00000000-0005-0000-0000-0000FC0C0000}"/>
    <cellStyle name="Data 2 2 8 2 8 2" xfId="1768" xr:uid="{00000000-0005-0000-0000-0000FD0C0000}"/>
    <cellStyle name="Data 2 2 8 2 9" xfId="1769" xr:uid="{00000000-0005-0000-0000-0000FE0C0000}"/>
    <cellStyle name="Data 2 2 8 2 9 2" xfId="1770" xr:uid="{00000000-0005-0000-0000-0000FF0C0000}"/>
    <cellStyle name="Data 2 2 8 3" xfId="1771" xr:uid="{00000000-0005-0000-0000-0000000D0000}"/>
    <cellStyle name="Data 2 2 8 3 10" xfId="1772" xr:uid="{00000000-0005-0000-0000-0000010D0000}"/>
    <cellStyle name="Data 2 2 8 3 2" xfId="1773" xr:uid="{00000000-0005-0000-0000-0000020D0000}"/>
    <cellStyle name="Data 2 2 8 3 2 2" xfId="1774" xr:uid="{00000000-0005-0000-0000-0000030D0000}"/>
    <cellStyle name="Data 2 2 8 3 3" xfId="1775" xr:uid="{00000000-0005-0000-0000-0000040D0000}"/>
    <cellStyle name="Data 2 2 8 3 3 2" xfId="1776" xr:uid="{00000000-0005-0000-0000-0000050D0000}"/>
    <cellStyle name="Data 2 2 8 3 4" xfId="1777" xr:uid="{00000000-0005-0000-0000-0000060D0000}"/>
    <cellStyle name="Data 2 2 8 3 4 2" xfId="1778" xr:uid="{00000000-0005-0000-0000-0000070D0000}"/>
    <cellStyle name="Data 2 2 8 3 5" xfId="1779" xr:uid="{00000000-0005-0000-0000-0000080D0000}"/>
    <cellStyle name="Data 2 2 8 3 5 2" xfId="1780" xr:uid="{00000000-0005-0000-0000-0000090D0000}"/>
    <cellStyle name="Data 2 2 8 3 6" xfId="1781" xr:uid="{00000000-0005-0000-0000-00000A0D0000}"/>
    <cellStyle name="Data 2 2 8 3 6 2" xfId="1782" xr:uid="{00000000-0005-0000-0000-00000B0D0000}"/>
    <cellStyle name="Data 2 2 8 3 7" xfId="1783" xr:uid="{00000000-0005-0000-0000-00000C0D0000}"/>
    <cellStyle name="Data 2 2 8 3 7 2" xfId="1784" xr:uid="{00000000-0005-0000-0000-00000D0D0000}"/>
    <cellStyle name="Data 2 2 8 3 8" xfId="1785" xr:uid="{00000000-0005-0000-0000-00000E0D0000}"/>
    <cellStyle name="Data 2 2 8 3 8 2" xfId="1786" xr:uid="{00000000-0005-0000-0000-00000F0D0000}"/>
    <cellStyle name="Data 2 2 8 3 9" xfId="1787" xr:uid="{00000000-0005-0000-0000-0000100D0000}"/>
    <cellStyle name="Data 2 2 8 3 9 2" xfId="1788" xr:uid="{00000000-0005-0000-0000-0000110D0000}"/>
    <cellStyle name="Data 2 2 8 4" xfId="1789" xr:uid="{00000000-0005-0000-0000-0000120D0000}"/>
    <cellStyle name="Data 2 2 8 4 10" xfId="1790" xr:uid="{00000000-0005-0000-0000-0000130D0000}"/>
    <cellStyle name="Data 2 2 8 4 2" xfId="1791" xr:uid="{00000000-0005-0000-0000-0000140D0000}"/>
    <cellStyle name="Data 2 2 8 4 2 2" xfId="1792" xr:uid="{00000000-0005-0000-0000-0000150D0000}"/>
    <cellStyle name="Data 2 2 8 4 3" xfId="1793" xr:uid="{00000000-0005-0000-0000-0000160D0000}"/>
    <cellStyle name="Data 2 2 8 4 3 2" xfId="1794" xr:uid="{00000000-0005-0000-0000-0000170D0000}"/>
    <cellStyle name="Data 2 2 8 4 4" xfId="1795" xr:uid="{00000000-0005-0000-0000-0000180D0000}"/>
    <cellStyle name="Data 2 2 8 4 4 2" xfId="1796" xr:uid="{00000000-0005-0000-0000-0000190D0000}"/>
    <cellStyle name="Data 2 2 8 4 5" xfId="1797" xr:uid="{00000000-0005-0000-0000-00001A0D0000}"/>
    <cellStyle name="Data 2 2 8 4 5 2" xfId="1798" xr:uid="{00000000-0005-0000-0000-00001B0D0000}"/>
    <cellStyle name="Data 2 2 8 4 6" xfId="1799" xr:uid="{00000000-0005-0000-0000-00001C0D0000}"/>
    <cellStyle name="Data 2 2 8 4 6 2" xfId="1800" xr:uid="{00000000-0005-0000-0000-00001D0D0000}"/>
    <cellStyle name="Data 2 2 8 4 7" xfId="1801" xr:uid="{00000000-0005-0000-0000-00001E0D0000}"/>
    <cellStyle name="Data 2 2 8 4 7 2" xfId="1802" xr:uid="{00000000-0005-0000-0000-00001F0D0000}"/>
    <cellStyle name="Data 2 2 8 4 8" xfId="1803" xr:uid="{00000000-0005-0000-0000-0000200D0000}"/>
    <cellStyle name="Data 2 2 8 4 8 2" xfId="1804" xr:uid="{00000000-0005-0000-0000-0000210D0000}"/>
    <cellStyle name="Data 2 2 8 4 9" xfId="1805" xr:uid="{00000000-0005-0000-0000-0000220D0000}"/>
    <cellStyle name="Data 2 2 8 4 9 2" xfId="1806" xr:uid="{00000000-0005-0000-0000-0000230D0000}"/>
    <cellStyle name="Data 2 2 8 5" xfId="1807" xr:uid="{00000000-0005-0000-0000-0000240D0000}"/>
    <cellStyle name="Data 2 2 8 5 10" xfId="1808" xr:uid="{00000000-0005-0000-0000-0000250D0000}"/>
    <cellStyle name="Data 2 2 8 5 2" xfId="1809" xr:uid="{00000000-0005-0000-0000-0000260D0000}"/>
    <cellStyle name="Data 2 2 8 5 2 2" xfId="1810" xr:uid="{00000000-0005-0000-0000-0000270D0000}"/>
    <cellStyle name="Data 2 2 8 5 3" xfId="1811" xr:uid="{00000000-0005-0000-0000-0000280D0000}"/>
    <cellStyle name="Data 2 2 8 5 3 2" xfId="1812" xr:uid="{00000000-0005-0000-0000-0000290D0000}"/>
    <cellStyle name="Data 2 2 8 5 4" xfId="1813" xr:uid="{00000000-0005-0000-0000-00002A0D0000}"/>
    <cellStyle name="Data 2 2 8 5 4 2" xfId="1814" xr:uid="{00000000-0005-0000-0000-00002B0D0000}"/>
    <cellStyle name="Data 2 2 8 5 5" xfId="1815" xr:uid="{00000000-0005-0000-0000-00002C0D0000}"/>
    <cellStyle name="Data 2 2 8 5 5 2" xfId="1816" xr:uid="{00000000-0005-0000-0000-00002D0D0000}"/>
    <cellStyle name="Data 2 2 8 5 6" xfId="1817" xr:uid="{00000000-0005-0000-0000-00002E0D0000}"/>
    <cellStyle name="Data 2 2 8 5 6 2" xfId="1818" xr:uid="{00000000-0005-0000-0000-00002F0D0000}"/>
    <cellStyle name="Data 2 2 8 5 7" xfId="1819" xr:uid="{00000000-0005-0000-0000-0000300D0000}"/>
    <cellStyle name="Data 2 2 8 5 7 2" xfId="1820" xr:uid="{00000000-0005-0000-0000-0000310D0000}"/>
    <cellStyle name="Data 2 2 8 5 8" xfId="1821" xr:uid="{00000000-0005-0000-0000-0000320D0000}"/>
    <cellStyle name="Data 2 2 8 5 8 2" xfId="1822" xr:uid="{00000000-0005-0000-0000-0000330D0000}"/>
    <cellStyle name="Data 2 2 8 5 9" xfId="1823" xr:uid="{00000000-0005-0000-0000-0000340D0000}"/>
    <cellStyle name="Data 2 2 8 5 9 2" xfId="1824" xr:uid="{00000000-0005-0000-0000-0000350D0000}"/>
    <cellStyle name="Data 2 2 8 6" xfId="1825" xr:uid="{00000000-0005-0000-0000-0000360D0000}"/>
    <cellStyle name="Data 2 2 8 6 10" xfId="1826" xr:uid="{00000000-0005-0000-0000-0000370D0000}"/>
    <cellStyle name="Data 2 2 8 6 2" xfId="1827" xr:uid="{00000000-0005-0000-0000-0000380D0000}"/>
    <cellStyle name="Data 2 2 8 6 2 2" xfId="1828" xr:uid="{00000000-0005-0000-0000-0000390D0000}"/>
    <cellStyle name="Data 2 2 8 6 3" xfId="1829" xr:uid="{00000000-0005-0000-0000-00003A0D0000}"/>
    <cellStyle name="Data 2 2 8 6 3 2" xfId="1830" xr:uid="{00000000-0005-0000-0000-00003B0D0000}"/>
    <cellStyle name="Data 2 2 8 6 4" xfId="1831" xr:uid="{00000000-0005-0000-0000-00003C0D0000}"/>
    <cellStyle name="Data 2 2 8 6 4 2" xfId="1832" xr:uid="{00000000-0005-0000-0000-00003D0D0000}"/>
    <cellStyle name="Data 2 2 8 6 5" xfId="1833" xr:uid="{00000000-0005-0000-0000-00003E0D0000}"/>
    <cellStyle name="Data 2 2 8 6 5 2" xfId="1834" xr:uid="{00000000-0005-0000-0000-00003F0D0000}"/>
    <cellStyle name="Data 2 2 8 6 6" xfId="1835" xr:uid="{00000000-0005-0000-0000-0000400D0000}"/>
    <cellStyle name="Data 2 2 8 6 6 2" xfId="1836" xr:uid="{00000000-0005-0000-0000-0000410D0000}"/>
    <cellStyle name="Data 2 2 8 6 7" xfId="1837" xr:uid="{00000000-0005-0000-0000-0000420D0000}"/>
    <cellStyle name="Data 2 2 8 6 7 2" xfId="1838" xr:uid="{00000000-0005-0000-0000-0000430D0000}"/>
    <cellStyle name="Data 2 2 8 6 8" xfId="1839" xr:uid="{00000000-0005-0000-0000-0000440D0000}"/>
    <cellStyle name="Data 2 2 8 6 8 2" xfId="1840" xr:uid="{00000000-0005-0000-0000-0000450D0000}"/>
    <cellStyle name="Data 2 2 8 6 9" xfId="1841" xr:uid="{00000000-0005-0000-0000-0000460D0000}"/>
    <cellStyle name="Data 2 2 8 6 9 2" xfId="1842" xr:uid="{00000000-0005-0000-0000-0000470D0000}"/>
    <cellStyle name="Data 2 2 8 7" xfId="1843" xr:uid="{00000000-0005-0000-0000-0000480D0000}"/>
    <cellStyle name="Data 2 2 8 7 10" xfId="1844" xr:uid="{00000000-0005-0000-0000-0000490D0000}"/>
    <cellStyle name="Data 2 2 8 7 2" xfId="1845" xr:uid="{00000000-0005-0000-0000-00004A0D0000}"/>
    <cellStyle name="Data 2 2 8 7 2 2" xfId="1846" xr:uid="{00000000-0005-0000-0000-00004B0D0000}"/>
    <cellStyle name="Data 2 2 8 7 3" xfId="1847" xr:uid="{00000000-0005-0000-0000-00004C0D0000}"/>
    <cellStyle name="Data 2 2 8 7 3 2" xfId="1848" xr:uid="{00000000-0005-0000-0000-00004D0D0000}"/>
    <cellStyle name="Data 2 2 8 7 4" xfId="1849" xr:uid="{00000000-0005-0000-0000-00004E0D0000}"/>
    <cellStyle name="Data 2 2 8 7 4 2" xfId="1850" xr:uid="{00000000-0005-0000-0000-00004F0D0000}"/>
    <cellStyle name="Data 2 2 8 7 5" xfId="1851" xr:uid="{00000000-0005-0000-0000-0000500D0000}"/>
    <cellStyle name="Data 2 2 8 7 5 2" xfId="1852" xr:uid="{00000000-0005-0000-0000-0000510D0000}"/>
    <cellStyle name="Data 2 2 8 7 6" xfId="1853" xr:uid="{00000000-0005-0000-0000-0000520D0000}"/>
    <cellStyle name="Data 2 2 8 7 6 2" xfId="1854" xr:uid="{00000000-0005-0000-0000-0000530D0000}"/>
    <cellStyle name="Data 2 2 8 7 7" xfId="1855" xr:uid="{00000000-0005-0000-0000-0000540D0000}"/>
    <cellStyle name="Data 2 2 8 7 7 2" xfId="1856" xr:uid="{00000000-0005-0000-0000-0000550D0000}"/>
    <cellStyle name="Data 2 2 8 7 8" xfId="1857" xr:uid="{00000000-0005-0000-0000-0000560D0000}"/>
    <cellStyle name="Data 2 2 8 7 8 2" xfId="1858" xr:uid="{00000000-0005-0000-0000-0000570D0000}"/>
    <cellStyle name="Data 2 2 8 7 9" xfId="1859" xr:uid="{00000000-0005-0000-0000-0000580D0000}"/>
    <cellStyle name="Data 2 2 8 7 9 2" xfId="1860" xr:uid="{00000000-0005-0000-0000-0000590D0000}"/>
    <cellStyle name="Data 2 2 8 8" xfId="1861" xr:uid="{00000000-0005-0000-0000-00005A0D0000}"/>
    <cellStyle name="Data 2 2 8 8 10" xfId="1862" xr:uid="{00000000-0005-0000-0000-00005B0D0000}"/>
    <cellStyle name="Data 2 2 8 8 2" xfId="1863" xr:uid="{00000000-0005-0000-0000-00005C0D0000}"/>
    <cellStyle name="Data 2 2 8 8 2 2" xfId="1864" xr:uid="{00000000-0005-0000-0000-00005D0D0000}"/>
    <cellStyle name="Data 2 2 8 8 3" xfId="1865" xr:uid="{00000000-0005-0000-0000-00005E0D0000}"/>
    <cellStyle name="Data 2 2 8 8 3 2" xfId="1866" xr:uid="{00000000-0005-0000-0000-00005F0D0000}"/>
    <cellStyle name="Data 2 2 8 8 4" xfId="1867" xr:uid="{00000000-0005-0000-0000-0000600D0000}"/>
    <cellStyle name="Data 2 2 8 8 4 2" xfId="1868" xr:uid="{00000000-0005-0000-0000-0000610D0000}"/>
    <cellStyle name="Data 2 2 8 8 5" xfId="1869" xr:uid="{00000000-0005-0000-0000-0000620D0000}"/>
    <cellStyle name="Data 2 2 8 8 5 2" xfId="1870" xr:uid="{00000000-0005-0000-0000-0000630D0000}"/>
    <cellStyle name="Data 2 2 8 8 6" xfId="1871" xr:uid="{00000000-0005-0000-0000-0000640D0000}"/>
    <cellStyle name="Data 2 2 8 8 6 2" xfId="1872" xr:uid="{00000000-0005-0000-0000-0000650D0000}"/>
    <cellStyle name="Data 2 2 8 8 7" xfId="1873" xr:uid="{00000000-0005-0000-0000-0000660D0000}"/>
    <cellStyle name="Data 2 2 8 8 7 2" xfId="1874" xr:uid="{00000000-0005-0000-0000-0000670D0000}"/>
    <cellStyle name="Data 2 2 8 8 8" xfId="1875" xr:uid="{00000000-0005-0000-0000-0000680D0000}"/>
    <cellStyle name="Data 2 2 8 8 8 2" xfId="1876" xr:uid="{00000000-0005-0000-0000-0000690D0000}"/>
    <cellStyle name="Data 2 2 8 8 9" xfId="1877" xr:uid="{00000000-0005-0000-0000-00006A0D0000}"/>
    <cellStyle name="Data 2 2 8 8 9 2" xfId="1878" xr:uid="{00000000-0005-0000-0000-00006B0D0000}"/>
    <cellStyle name="Data 2 2 8 9" xfId="1879" xr:uid="{00000000-0005-0000-0000-00006C0D0000}"/>
    <cellStyle name="Data 2 2 8 9 10" xfId="1880" xr:uid="{00000000-0005-0000-0000-00006D0D0000}"/>
    <cellStyle name="Data 2 2 8 9 2" xfId="1881" xr:uid="{00000000-0005-0000-0000-00006E0D0000}"/>
    <cellStyle name="Data 2 2 8 9 2 2" xfId="1882" xr:uid="{00000000-0005-0000-0000-00006F0D0000}"/>
    <cellStyle name="Data 2 2 8 9 3" xfId="1883" xr:uid="{00000000-0005-0000-0000-0000700D0000}"/>
    <cellStyle name="Data 2 2 8 9 3 2" xfId="1884" xr:uid="{00000000-0005-0000-0000-0000710D0000}"/>
    <cellStyle name="Data 2 2 8 9 4" xfId="1885" xr:uid="{00000000-0005-0000-0000-0000720D0000}"/>
    <cellStyle name="Data 2 2 8 9 4 2" xfId="1886" xr:uid="{00000000-0005-0000-0000-0000730D0000}"/>
    <cellStyle name="Data 2 2 8 9 5" xfId="1887" xr:uid="{00000000-0005-0000-0000-0000740D0000}"/>
    <cellStyle name="Data 2 2 8 9 5 2" xfId="1888" xr:uid="{00000000-0005-0000-0000-0000750D0000}"/>
    <cellStyle name="Data 2 2 8 9 6" xfId="1889" xr:uid="{00000000-0005-0000-0000-0000760D0000}"/>
    <cellStyle name="Data 2 2 8 9 6 2" xfId="1890" xr:uid="{00000000-0005-0000-0000-0000770D0000}"/>
    <cellStyle name="Data 2 2 8 9 7" xfId="1891" xr:uid="{00000000-0005-0000-0000-0000780D0000}"/>
    <cellStyle name="Data 2 2 8 9 7 2" xfId="1892" xr:uid="{00000000-0005-0000-0000-0000790D0000}"/>
    <cellStyle name="Data 2 2 8 9 8" xfId="1893" xr:uid="{00000000-0005-0000-0000-00007A0D0000}"/>
    <cellStyle name="Data 2 2 8 9 8 2" xfId="1894" xr:uid="{00000000-0005-0000-0000-00007B0D0000}"/>
    <cellStyle name="Data 2 2 8 9 9" xfId="1895" xr:uid="{00000000-0005-0000-0000-00007C0D0000}"/>
    <cellStyle name="Data 2 2 8 9 9 2" xfId="1896" xr:uid="{00000000-0005-0000-0000-00007D0D0000}"/>
    <cellStyle name="Data 2 3" xfId="154" xr:uid="{00000000-0005-0000-0000-00007E0D0000}"/>
    <cellStyle name="Data 2 3 2" xfId="1897" xr:uid="{00000000-0005-0000-0000-00007F0D0000}"/>
    <cellStyle name="Data 2 3 2 10" xfId="1898" xr:uid="{00000000-0005-0000-0000-0000800D0000}"/>
    <cellStyle name="Data 2 3 2 10 10" xfId="1899" xr:uid="{00000000-0005-0000-0000-0000810D0000}"/>
    <cellStyle name="Data 2 3 2 10 2" xfId="1900" xr:uid="{00000000-0005-0000-0000-0000820D0000}"/>
    <cellStyle name="Data 2 3 2 10 2 2" xfId="1901" xr:uid="{00000000-0005-0000-0000-0000830D0000}"/>
    <cellStyle name="Data 2 3 2 10 3" xfId="1902" xr:uid="{00000000-0005-0000-0000-0000840D0000}"/>
    <cellStyle name="Data 2 3 2 10 3 2" xfId="1903" xr:uid="{00000000-0005-0000-0000-0000850D0000}"/>
    <cellStyle name="Data 2 3 2 10 4" xfId="1904" xr:uid="{00000000-0005-0000-0000-0000860D0000}"/>
    <cellStyle name="Data 2 3 2 10 4 2" xfId="1905" xr:uid="{00000000-0005-0000-0000-0000870D0000}"/>
    <cellStyle name="Data 2 3 2 10 5" xfId="1906" xr:uid="{00000000-0005-0000-0000-0000880D0000}"/>
    <cellStyle name="Data 2 3 2 10 5 2" xfId="1907" xr:uid="{00000000-0005-0000-0000-0000890D0000}"/>
    <cellStyle name="Data 2 3 2 10 6" xfId="1908" xr:uid="{00000000-0005-0000-0000-00008A0D0000}"/>
    <cellStyle name="Data 2 3 2 10 6 2" xfId="1909" xr:uid="{00000000-0005-0000-0000-00008B0D0000}"/>
    <cellStyle name="Data 2 3 2 10 7" xfId="1910" xr:uid="{00000000-0005-0000-0000-00008C0D0000}"/>
    <cellStyle name="Data 2 3 2 10 7 2" xfId="1911" xr:uid="{00000000-0005-0000-0000-00008D0D0000}"/>
    <cellStyle name="Data 2 3 2 10 8" xfId="1912" xr:uid="{00000000-0005-0000-0000-00008E0D0000}"/>
    <cellStyle name="Data 2 3 2 10 8 2" xfId="1913" xr:uid="{00000000-0005-0000-0000-00008F0D0000}"/>
    <cellStyle name="Data 2 3 2 10 9" xfId="1914" xr:uid="{00000000-0005-0000-0000-0000900D0000}"/>
    <cellStyle name="Data 2 3 2 10 9 2" xfId="1915" xr:uid="{00000000-0005-0000-0000-0000910D0000}"/>
    <cellStyle name="Data 2 3 2 11" xfId="1916" xr:uid="{00000000-0005-0000-0000-0000920D0000}"/>
    <cellStyle name="Data 2 3 2 11 2" xfId="1917" xr:uid="{00000000-0005-0000-0000-0000930D0000}"/>
    <cellStyle name="Data 2 3 2 11 2 2" xfId="1918" xr:uid="{00000000-0005-0000-0000-0000940D0000}"/>
    <cellStyle name="Data 2 3 2 11 3" xfId="1919" xr:uid="{00000000-0005-0000-0000-0000950D0000}"/>
    <cellStyle name="Data 2 3 2 11 3 2" xfId="1920" xr:uid="{00000000-0005-0000-0000-0000960D0000}"/>
    <cellStyle name="Data 2 3 2 11 4" xfId="1921" xr:uid="{00000000-0005-0000-0000-0000970D0000}"/>
    <cellStyle name="Data 2 3 2 11 4 2" xfId="1922" xr:uid="{00000000-0005-0000-0000-0000980D0000}"/>
    <cellStyle name="Data 2 3 2 11 5" xfId="1923" xr:uid="{00000000-0005-0000-0000-0000990D0000}"/>
    <cellStyle name="Data 2 3 2 11 5 2" xfId="1924" xr:uid="{00000000-0005-0000-0000-00009A0D0000}"/>
    <cellStyle name="Data 2 3 2 11 6" xfId="1925" xr:uid="{00000000-0005-0000-0000-00009B0D0000}"/>
    <cellStyle name="Data 2 3 2 11 6 2" xfId="1926" xr:uid="{00000000-0005-0000-0000-00009C0D0000}"/>
    <cellStyle name="Data 2 3 2 11 7" xfId="1927" xr:uid="{00000000-0005-0000-0000-00009D0D0000}"/>
    <cellStyle name="Data 2 3 2 11 7 2" xfId="1928" xr:uid="{00000000-0005-0000-0000-00009E0D0000}"/>
    <cellStyle name="Data 2 3 2 11 8" xfId="1929" xr:uid="{00000000-0005-0000-0000-00009F0D0000}"/>
    <cellStyle name="Data 2 3 2 11 8 2" xfId="1930" xr:uid="{00000000-0005-0000-0000-0000A00D0000}"/>
    <cellStyle name="Data 2 3 2 11 9" xfId="1931" xr:uid="{00000000-0005-0000-0000-0000A10D0000}"/>
    <cellStyle name="Data 2 3 2 2" xfId="1932" xr:uid="{00000000-0005-0000-0000-0000A20D0000}"/>
    <cellStyle name="Data 2 3 2 2 10" xfId="1933" xr:uid="{00000000-0005-0000-0000-0000A30D0000}"/>
    <cellStyle name="Data 2 3 2 2 2" xfId="1934" xr:uid="{00000000-0005-0000-0000-0000A40D0000}"/>
    <cellStyle name="Data 2 3 2 2 2 2" xfId="1935" xr:uid="{00000000-0005-0000-0000-0000A50D0000}"/>
    <cellStyle name="Data 2 3 2 2 3" xfId="1936" xr:uid="{00000000-0005-0000-0000-0000A60D0000}"/>
    <cellStyle name="Data 2 3 2 2 3 2" xfId="1937" xr:uid="{00000000-0005-0000-0000-0000A70D0000}"/>
    <cellStyle name="Data 2 3 2 2 4" xfId="1938" xr:uid="{00000000-0005-0000-0000-0000A80D0000}"/>
    <cellStyle name="Data 2 3 2 2 4 2" xfId="1939" xr:uid="{00000000-0005-0000-0000-0000A90D0000}"/>
    <cellStyle name="Data 2 3 2 2 5" xfId="1940" xr:uid="{00000000-0005-0000-0000-0000AA0D0000}"/>
    <cellStyle name="Data 2 3 2 2 5 2" xfId="1941" xr:uid="{00000000-0005-0000-0000-0000AB0D0000}"/>
    <cellStyle name="Data 2 3 2 2 6" xfId="1942" xr:uid="{00000000-0005-0000-0000-0000AC0D0000}"/>
    <cellStyle name="Data 2 3 2 2 6 2" xfId="1943" xr:uid="{00000000-0005-0000-0000-0000AD0D0000}"/>
    <cellStyle name="Data 2 3 2 2 7" xfId="1944" xr:uid="{00000000-0005-0000-0000-0000AE0D0000}"/>
    <cellStyle name="Data 2 3 2 2 7 2" xfId="1945" xr:uid="{00000000-0005-0000-0000-0000AF0D0000}"/>
    <cellStyle name="Data 2 3 2 2 8" xfId="1946" xr:uid="{00000000-0005-0000-0000-0000B00D0000}"/>
    <cellStyle name="Data 2 3 2 2 8 2" xfId="1947" xr:uid="{00000000-0005-0000-0000-0000B10D0000}"/>
    <cellStyle name="Data 2 3 2 2 9" xfId="1948" xr:uid="{00000000-0005-0000-0000-0000B20D0000}"/>
    <cellStyle name="Data 2 3 2 2 9 2" xfId="1949" xr:uid="{00000000-0005-0000-0000-0000B30D0000}"/>
    <cellStyle name="Data 2 3 2 3" xfId="1950" xr:uid="{00000000-0005-0000-0000-0000B40D0000}"/>
    <cellStyle name="Data 2 3 2 3 10" xfId="1951" xr:uid="{00000000-0005-0000-0000-0000B50D0000}"/>
    <cellStyle name="Data 2 3 2 3 2" xfId="1952" xr:uid="{00000000-0005-0000-0000-0000B60D0000}"/>
    <cellStyle name="Data 2 3 2 3 2 2" xfId="1953" xr:uid="{00000000-0005-0000-0000-0000B70D0000}"/>
    <cellStyle name="Data 2 3 2 3 3" xfId="1954" xr:uid="{00000000-0005-0000-0000-0000B80D0000}"/>
    <cellStyle name="Data 2 3 2 3 3 2" xfId="1955" xr:uid="{00000000-0005-0000-0000-0000B90D0000}"/>
    <cellStyle name="Data 2 3 2 3 4" xfId="1956" xr:uid="{00000000-0005-0000-0000-0000BA0D0000}"/>
    <cellStyle name="Data 2 3 2 3 4 2" xfId="1957" xr:uid="{00000000-0005-0000-0000-0000BB0D0000}"/>
    <cellStyle name="Data 2 3 2 3 5" xfId="1958" xr:uid="{00000000-0005-0000-0000-0000BC0D0000}"/>
    <cellStyle name="Data 2 3 2 3 5 2" xfId="1959" xr:uid="{00000000-0005-0000-0000-0000BD0D0000}"/>
    <cellStyle name="Data 2 3 2 3 6" xfId="1960" xr:uid="{00000000-0005-0000-0000-0000BE0D0000}"/>
    <cellStyle name="Data 2 3 2 3 6 2" xfId="1961" xr:uid="{00000000-0005-0000-0000-0000BF0D0000}"/>
    <cellStyle name="Data 2 3 2 3 7" xfId="1962" xr:uid="{00000000-0005-0000-0000-0000C00D0000}"/>
    <cellStyle name="Data 2 3 2 3 7 2" xfId="1963" xr:uid="{00000000-0005-0000-0000-0000C10D0000}"/>
    <cellStyle name="Data 2 3 2 3 8" xfId="1964" xr:uid="{00000000-0005-0000-0000-0000C20D0000}"/>
    <cellStyle name="Data 2 3 2 3 8 2" xfId="1965" xr:uid="{00000000-0005-0000-0000-0000C30D0000}"/>
    <cellStyle name="Data 2 3 2 3 9" xfId="1966" xr:uid="{00000000-0005-0000-0000-0000C40D0000}"/>
    <cellStyle name="Data 2 3 2 3 9 2" xfId="1967" xr:uid="{00000000-0005-0000-0000-0000C50D0000}"/>
    <cellStyle name="Data 2 3 2 4" xfId="1968" xr:uid="{00000000-0005-0000-0000-0000C60D0000}"/>
    <cellStyle name="Data 2 3 2 4 10" xfId="1969" xr:uid="{00000000-0005-0000-0000-0000C70D0000}"/>
    <cellStyle name="Data 2 3 2 4 2" xfId="1970" xr:uid="{00000000-0005-0000-0000-0000C80D0000}"/>
    <cellStyle name="Data 2 3 2 4 2 2" xfId="1971" xr:uid="{00000000-0005-0000-0000-0000C90D0000}"/>
    <cellStyle name="Data 2 3 2 4 3" xfId="1972" xr:uid="{00000000-0005-0000-0000-0000CA0D0000}"/>
    <cellStyle name="Data 2 3 2 4 3 2" xfId="1973" xr:uid="{00000000-0005-0000-0000-0000CB0D0000}"/>
    <cellStyle name="Data 2 3 2 4 4" xfId="1974" xr:uid="{00000000-0005-0000-0000-0000CC0D0000}"/>
    <cellStyle name="Data 2 3 2 4 4 2" xfId="1975" xr:uid="{00000000-0005-0000-0000-0000CD0D0000}"/>
    <cellStyle name="Data 2 3 2 4 5" xfId="1976" xr:uid="{00000000-0005-0000-0000-0000CE0D0000}"/>
    <cellStyle name="Data 2 3 2 4 5 2" xfId="1977" xr:uid="{00000000-0005-0000-0000-0000CF0D0000}"/>
    <cellStyle name="Data 2 3 2 4 6" xfId="1978" xr:uid="{00000000-0005-0000-0000-0000D00D0000}"/>
    <cellStyle name="Data 2 3 2 4 6 2" xfId="1979" xr:uid="{00000000-0005-0000-0000-0000D10D0000}"/>
    <cellStyle name="Data 2 3 2 4 7" xfId="1980" xr:uid="{00000000-0005-0000-0000-0000D20D0000}"/>
    <cellStyle name="Data 2 3 2 4 7 2" xfId="1981" xr:uid="{00000000-0005-0000-0000-0000D30D0000}"/>
    <cellStyle name="Data 2 3 2 4 8" xfId="1982" xr:uid="{00000000-0005-0000-0000-0000D40D0000}"/>
    <cellStyle name="Data 2 3 2 4 8 2" xfId="1983" xr:uid="{00000000-0005-0000-0000-0000D50D0000}"/>
    <cellStyle name="Data 2 3 2 4 9" xfId="1984" xr:uid="{00000000-0005-0000-0000-0000D60D0000}"/>
    <cellStyle name="Data 2 3 2 4 9 2" xfId="1985" xr:uid="{00000000-0005-0000-0000-0000D70D0000}"/>
    <cellStyle name="Data 2 3 2 5" xfId="1986" xr:uid="{00000000-0005-0000-0000-0000D80D0000}"/>
    <cellStyle name="Data 2 3 2 5 10" xfId="1987" xr:uid="{00000000-0005-0000-0000-0000D90D0000}"/>
    <cellStyle name="Data 2 3 2 5 2" xfId="1988" xr:uid="{00000000-0005-0000-0000-0000DA0D0000}"/>
    <cellStyle name="Data 2 3 2 5 2 2" xfId="1989" xr:uid="{00000000-0005-0000-0000-0000DB0D0000}"/>
    <cellStyle name="Data 2 3 2 5 3" xfId="1990" xr:uid="{00000000-0005-0000-0000-0000DC0D0000}"/>
    <cellStyle name="Data 2 3 2 5 3 2" xfId="1991" xr:uid="{00000000-0005-0000-0000-0000DD0D0000}"/>
    <cellStyle name="Data 2 3 2 5 4" xfId="1992" xr:uid="{00000000-0005-0000-0000-0000DE0D0000}"/>
    <cellStyle name="Data 2 3 2 5 4 2" xfId="1993" xr:uid="{00000000-0005-0000-0000-0000DF0D0000}"/>
    <cellStyle name="Data 2 3 2 5 5" xfId="1994" xr:uid="{00000000-0005-0000-0000-0000E00D0000}"/>
    <cellStyle name="Data 2 3 2 5 5 2" xfId="1995" xr:uid="{00000000-0005-0000-0000-0000E10D0000}"/>
    <cellStyle name="Data 2 3 2 5 6" xfId="1996" xr:uid="{00000000-0005-0000-0000-0000E20D0000}"/>
    <cellStyle name="Data 2 3 2 5 6 2" xfId="1997" xr:uid="{00000000-0005-0000-0000-0000E30D0000}"/>
    <cellStyle name="Data 2 3 2 5 7" xfId="1998" xr:uid="{00000000-0005-0000-0000-0000E40D0000}"/>
    <cellStyle name="Data 2 3 2 5 7 2" xfId="1999" xr:uid="{00000000-0005-0000-0000-0000E50D0000}"/>
    <cellStyle name="Data 2 3 2 5 8" xfId="2000" xr:uid="{00000000-0005-0000-0000-0000E60D0000}"/>
    <cellStyle name="Data 2 3 2 5 8 2" xfId="2001" xr:uid="{00000000-0005-0000-0000-0000E70D0000}"/>
    <cellStyle name="Data 2 3 2 5 9" xfId="2002" xr:uid="{00000000-0005-0000-0000-0000E80D0000}"/>
    <cellStyle name="Data 2 3 2 5 9 2" xfId="2003" xr:uid="{00000000-0005-0000-0000-0000E90D0000}"/>
    <cellStyle name="Data 2 3 2 6" xfId="2004" xr:uid="{00000000-0005-0000-0000-0000EA0D0000}"/>
    <cellStyle name="Data 2 3 2 6 10" xfId="2005" xr:uid="{00000000-0005-0000-0000-0000EB0D0000}"/>
    <cellStyle name="Data 2 3 2 6 2" xfId="2006" xr:uid="{00000000-0005-0000-0000-0000EC0D0000}"/>
    <cellStyle name="Data 2 3 2 6 2 2" xfId="2007" xr:uid="{00000000-0005-0000-0000-0000ED0D0000}"/>
    <cellStyle name="Data 2 3 2 6 3" xfId="2008" xr:uid="{00000000-0005-0000-0000-0000EE0D0000}"/>
    <cellStyle name="Data 2 3 2 6 3 2" xfId="2009" xr:uid="{00000000-0005-0000-0000-0000EF0D0000}"/>
    <cellStyle name="Data 2 3 2 6 4" xfId="2010" xr:uid="{00000000-0005-0000-0000-0000F00D0000}"/>
    <cellStyle name="Data 2 3 2 6 4 2" xfId="2011" xr:uid="{00000000-0005-0000-0000-0000F10D0000}"/>
    <cellStyle name="Data 2 3 2 6 5" xfId="2012" xr:uid="{00000000-0005-0000-0000-0000F20D0000}"/>
    <cellStyle name="Data 2 3 2 6 5 2" xfId="2013" xr:uid="{00000000-0005-0000-0000-0000F30D0000}"/>
    <cellStyle name="Data 2 3 2 6 6" xfId="2014" xr:uid="{00000000-0005-0000-0000-0000F40D0000}"/>
    <cellStyle name="Data 2 3 2 6 6 2" xfId="2015" xr:uid="{00000000-0005-0000-0000-0000F50D0000}"/>
    <cellStyle name="Data 2 3 2 6 7" xfId="2016" xr:uid="{00000000-0005-0000-0000-0000F60D0000}"/>
    <cellStyle name="Data 2 3 2 6 7 2" xfId="2017" xr:uid="{00000000-0005-0000-0000-0000F70D0000}"/>
    <cellStyle name="Data 2 3 2 6 8" xfId="2018" xr:uid="{00000000-0005-0000-0000-0000F80D0000}"/>
    <cellStyle name="Data 2 3 2 6 8 2" xfId="2019" xr:uid="{00000000-0005-0000-0000-0000F90D0000}"/>
    <cellStyle name="Data 2 3 2 6 9" xfId="2020" xr:uid="{00000000-0005-0000-0000-0000FA0D0000}"/>
    <cellStyle name="Data 2 3 2 6 9 2" xfId="2021" xr:uid="{00000000-0005-0000-0000-0000FB0D0000}"/>
    <cellStyle name="Data 2 3 2 7" xfId="2022" xr:uid="{00000000-0005-0000-0000-0000FC0D0000}"/>
    <cellStyle name="Data 2 3 2 7 10" xfId="2023" xr:uid="{00000000-0005-0000-0000-0000FD0D0000}"/>
    <cellStyle name="Data 2 3 2 7 2" xfId="2024" xr:uid="{00000000-0005-0000-0000-0000FE0D0000}"/>
    <cellStyle name="Data 2 3 2 7 2 2" xfId="2025" xr:uid="{00000000-0005-0000-0000-0000FF0D0000}"/>
    <cellStyle name="Data 2 3 2 7 3" xfId="2026" xr:uid="{00000000-0005-0000-0000-0000000E0000}"/>
    <cellStyle name="Data 2 3 2 7 3 2" xfId="2027" xr:uid="{00000000-0005-0000-0000-0000010E0000}"/>
    <cellStyle name="Data 2 3 2 7 4" xfId="2028" xr:uid="{00000000-0005-0000-0000-0000020E0000}"/>
    <cellStyle name="Data 2 3 2 7 4 2" xfId="2029" xr:uid="{00000000-0005-0000-0000-0000030E0000}"/>
    <cellStyle name="Data 2 3 2 7 5" xfId="2030" xr:uid="{00000000-0005-0000-0000-0000040E0000}"/>
    <cellStyle name="Data 2 3 2 7 5 2" xfId="2031" xr:uid="{00000000-0005-0000-0000-0000050E0000}"/>
    <cellStyle name="Data 2 3 2 7 6" xfId="2032" xr:uid="{00000000-0005-0000-0000-0000060E0000}"/>
    <cellStyle name="Data 2 3 2 7 6 2" xfId="2033" xr:uid="{00000000-0005-0000-0000-0000070E0000}"/>
    <cellStyle name="Data 2 3 2 7 7" xfId="2034" xr:uid="{00000000-0005-0000-0000-0000080E0000}"/>
    <cellStyle name="Data 2 3 2 7 7 2" xfId="2035" xr:uid="{00000000-0005-0000-0000-0000090E0000}"/>
    <cellStyle name="Data 2 3 2 7 8" xfId="2036" xr:uid="{00000000-0005-0000-0000-00000A0E0000}"/>
    <cellStyle name="Data 2 3 2 7 8 2" xfId="2037" xr:uid="{00000000-0005-0000-0000-00000B0E0000}"/>
    <cellStyle name="Data 2 3 2 7 9" xfId="2038" xr:uid="{00000000-0005-0000-0000-00000C0E0000}"/>
    <cellStyle name="Data 2 3 2 7 9 2" xfId="2039" xr:uid="{00000000-0005-0000-0000-00000D0E0000}"/>
    <cellStyle name="Data 2 3 2 8" xfId="2040" xr:uid="{00000000-0005-0000-0000-00000E0E0000}"/>
    <cellStyle name="Data 2 3 2 8 10" xfId="2041" xr:uid="{00000000-0005-0000-0000-00000F0E0000}"/>
    <cellStyle name="Data 2 3 2 8 2" xfId="2042" xr:uid="{00000000-0005-0000-0000-0000100E0000}"/>
    <cellStyle name="Data 2 3 2 8 2 2" xfId="2043" xr:uid="{00000000-0005-0000-0000-0000110E0000}"/>
    <cellStyle name="Data 2 3 2 8 3" xfId="2044" xr:uid="{00000000-0005-0000-0000-0000120E0000}"/>
    <cellStyle name="Data 2 3 2 8 3 2" xfId="2045" xr:uid="{00000000-0005-0000-0000-0000130E0000}"/>
    <cellStyle name="Data 2 3 2 8 4" xfId="2046" xr:uid="{00000000-0005-0000-0000-0000140E0000}"/>
    <cellStyle name="Data 2 3 2 8 4 2" xfId="2047" xr:uid="{00000000-0005-0000-0000-0000150E0000}"/>
    <cellStyle name="Data 2 3 2 8 5" xfId="2048" xr:uid="{00000000-0005-0000-0000-0000160E0000}"/>
    <cellStyle name="Data 2 3 2 8 5 2" xfId="2049" xr:uid="{00000000-0005-0000-0000-0000170E0000}"/>
    <cellStyle name="Data 2 3 2 8 6" xfId="2050" xr:uid="{00000000-0005-0000-0000-0000180E0000}"/>
    <cellStyle name="Data 2 3 2 8 6 2" xfId="2051" xr:uid="{00000000-0005-0000-0000-0000190E0000}"/>
    <cellStyle name="Data 2 3 2 8 7" xfId="2052" xr:uid="{00000000-0005-0000-0000-00001A0E0000}"/>
    <cellStyle name="Data 2 3 2 8 7 2" xfId="2053" xr:uid="{00000000-0005-0000-0000-00001B0E0000}"/>
    <cellStyle name="Data 2 3 2 8 8" xfId="2054" xr:uid="{00000000-0005-0000-0000-00001C0E0000}"/>
    <cellStyle name="Data 2 3 2 8 8 2" xfId="2055" xr:uid="{00000000-0005-0000-0000-00001D0E0000}"/>
    <cellStyle name="Data 2 3 2 8 9" xfId="2056" xr:uid="{00000000-0005-0000-0000-00001E0E0000}"/>
    <cellStyle name="Data 2 3 2 8 9 2" xfId="2057" xr:uid="{00000000-0005-0000-0000-00001F0E0000}"/>
    <cellStyle name="Data 2 3 2 9" xfId="2058" xr:uid="{00000000-0005-0000-0000-0000200E0000}"/>
    <cellStyle name="Data 2 3 2 9 10" xfId="2059" xr:uid="{00000000-0005-0000-0000-0000210E0000}"/>
    <cellStyle name="Data 2 3 2 9 2" xfId="2060" xr:uid="{00000000-0005-0000-0000-0000220E0000}"/>
    <cellStyle name="Data 2 3 2 9 2 2" xfId="2061" xr:uid="{00000000-0005-0000-0000-0000230E0000}"/>
    <cellStyle name="Data 2 3 2 9 3" xfId="2062" xr:uid="{00000000-0005-0000-0000-0000240E0000}"/>
    <cellStyle name="Data 2 3 2 9 3 2" xfId="2063" xr:uid="{00000000-0005-0000-0000-0000250E0000}"/>
    <cellStyle name="Data 2 3 2 9 4" xfId="2064" xr:uid="{00000000-0005-0000-0000-0000260E0000}"/>
    <cellStyle name="Data 2 3 2 9 4 2" xfId="2065" xr:uid="{00000000-0005-0000-0000-0000270E0000}"/>
    <cellStyle name="Data 2 3 2 9 5" xfId="2066" xr:uid="{00000000-0005-0000-0000-0000280E0000}"/>
    <cellStyle name="Data 2 3 2 9 5 2" xfId="2067" xr:uid="{00000000-0005-0000-0000-0000290E0000}"/>
    <cellStyle name="Data 2 3 2 9 6" xfId="2068" xr:uid="{00000000-0005-0000-0000-00002A0E0000}"/>
    <cellStyle name="Data 2 3 2 9 6 2" xfId="2069" xr:uid="{00000000-0005-0000-0000-00002B0E0000}"/>
    <cellStyle name="Data 2 3 2 9 7" xfId="2070" xr:uid="{00000000-0005-0000-0000-00002C0E0000}"/>
    <cellStyle name="Data 2 3 2 9 7 2" xfId="2071" xr:uid="{00000000-0005-0000-0000-00002D0E0000}"/>
    <cellStyle name="Data 2 3 2 9 8" xfId="2072" xr:uid="{00000000-0005-0000-0000-00002E0E0000}"/>
    <cellStyle name="Data 2 3 2 9 8 2" xfId="2073" xr:uid="{00000000-0005-0000-0000-00002F0E0000}"/>
    <cellStyle name="Data 2 3 2 9 9" xfId="2074" xr:uid="{00000000-0005-0000-0000-0000300E0000}"/>
    <cellStyle name="Data 2 3 2 9 9 2" xfId="2075" xr:uid="{00000000-0005-0000-0000-0000310E0000}"/>
    <cellStyle name="Data 2 3 3" xfId="2076" xr:uid="{00000000-0005-0000-0000-0000320E0000}"/>
    <cellStyle name="Data 2 3 3 10" xfId="2077" xr:uid="{00000000-0005-0000-0000-0000330E0000}"/>
    <cellStyle name="Data 2 3 3 10 10" xfId="2078" xr:uid="{00000000-0005-0000-0000-0000340E0000}"/>
    <cellStyle name="Data 2 3 3 10 2" xfId="2079" xr:uid="{00000000-0005-0000-0000-0000350E0000}"/>
    <cellStyle name="Data 2 3 3 10 2 2" xfId="2080" xr:uid="{00000000-0005-0000-0000-0000360E0000}"/>
    <cellStyle name="Data 2 3 3 10 3" xfId="2081" xr:uid="{00000000-0005-0000-0000-0000370E0000}"/>
    <cellStyle name="Data 2 3 3 10 3 2" xfId="2082" xr:uid="{00000000-0005-0000-0000-0000380E0000}"/>
    <cellStyle name="Data 2 3 3 10 4" xfId="2083" xr:uid="{00000000-0005-0000-0000-0000390E0000}"/>
    <cellStyle name="Data 2 3 3 10 4 2" xfId="2084" xr:uid="{00000000-0005-0000-0000-00003A0E0000}"/>
    <cellStyle name="Data 2 3 3 10 5" xfId="2085" xr:uid="{00000000-0005-0000-0000-00003B0E0000}"/>
    <cellStyle name="Data 2 3 3 10 5 2" xfId="2086" xr:uid="{00000000-0005-0000-0000-00003C0E0000}"/>
    <cellStyle name="Data 2 3 3 10 6" xfId="2087" xr:uid="{00000000-0005-0000-0000-00003D0E0000}"/>
    <cellStyle name="Data 2 3 3 10 6 2" xfId="2088" xr:uid="{00000000-0005-0000-0000-00003E0E0000}"/>
    <cellStyle name="Data 2 3 3 10 7" xfId="2089" xr:uid="{00000000-0005-0000-0000-00003F0E0000}"/>
    <cellStyle name="Data 2 3 3 10 7 2" xfId="2090" xr:uid="{00000000-0005-0000-0000-0000400E0000}"/>
    <cellStyle name="Data 2 3 3 10 8" xfId="2091" xr:uid="{00000000-0005-0000-0000-0000410E0000}"/>
    <cellStyle name="Data 2 3 3 10 8 2" xfId="2092" xr:uid="{00000000-0005-0000-0000-0000420E0000}"/>
    <cellStyle name="Data 2 3 3 10 9" xfId="2093" xr:uid="{00000000-0005-0000-0000-0000430E0000}"/>
    <cellStyle name="Data 2 3 3 10 9 2" xfId="2094" xr:uid="{00000000-0005-0000-0000-0000440E0000}"/>
    <cellStyle name="Data 2 3 3 11" xfId="2095" xr:uid="{00000000-0005-0000-0000-0000450E0000}"/>
    <cellStyle name="Data 2 3 3 11 2" xfId="2096" xr:uid="{00000000-0005-0000-0000-0000460E0000}"/>
    <cellStyle name="Data 2 3 3 11 2 2" xfId="2097" xr:uid="{00000000-0005-0000-0000-0000470E0000}"/>
    <cellStyle name="Data 2 3 3 11 3" xfId="2098" xr:uid="{00000000-0005-0000-0000-0000480E0000}"/>
    <cellStyle name="Data 2 3 3 11 3 2" xfId="2099" xr:uid="{00000000-0005-0000-0000-0000490E0000}"/>
    <cellStyle name="Data 2 3 3 11 4" xfId="2100" xr:uid="{00000000-0005-0000-0000-00004A0E0000}"/>
    <cellStyle name="Data 2 3 3 11 4 2" xfId="2101" xr:uid="{00000000-0005-0000-0000-00004B0E0000}"/>
    <cellStyle name="Data 2 3 3 11 5" xfId="2102" xr:uid="{00000000-0005-0000-0000-00004C0E0000}"/>
    <cellStyle name="Data 2 3 3 11 5 2" xfId="2103" xr:uid="{00000000-0005-0000-0000-00004D0E0000}"/>
    <cellStyle name="Data 2 3 3 11 6" xfId="2104" xr:uid="{00000000-0005-0000-0000-00004E0E0000}"/>
    <cellStyle name="Data 2 3 3 11 6 2" xfId="2105" xr:uid="{00000000-0005-0000-0000-00004F0E0000}"/>
    <cellStyle name="Data 2 3 3 11 7" xfId="2106" xr:uid="{00000000-0005-0000-0000-0000500E0000}"/>
    <cellStyle name="Data 2 3 3 11 7 2" xfId="2107" xr:uid="{00000000-0005-0000-0000-0000510E0000}"/>
    <cellStyle name="Data 2 3 3 11 8" xfId="2108" xr:uid="{00000000-0005-0000-0000-0000520E0000}"/>
    <cellStyle name="Data 2 3 3 11 8 2" xfId="2109" xr:uid="{00000000-0005-0000-0000-0000530E0000}"/>
    <cellStyle name="Data 2 3 3 11 9" xfId="2110" xr:uid="{00000000-0005-0000-0000-0000540E0000}"/>
    <cellStyle name="Data 2 3 3 2" xfId="2111" xr:uid="{00000000-0005-0000-0000-0000550E0000}"/>
    <cellStyle name="Data 2 3 3 2 10" xfId="2112" xr:uid="{00000000-0005-0000-0000-0000560E0000}"/>
    <cellStyle name="Data 2 3 3 2 2" xfId="2113" xr:uid="{00000000-0005-0000-0000-0000570E0000}"/>
    <cellStyle name="Data 2 3 3 2 2 2" xfId="2114" xr:uid="{00000000-0005-0000-0000-0000580E0000}"/>
    <cellStyle name="Data 2 3 3 2 3" xfId="2115" xr:uid="{00000000-0005-0000-0000-0000590E0000}"/>
    <cellStyle name="Data 2 3 3 2 3 2" xfId="2116" xr:uid="{00000000-0005-0000-0000-00005A0E0000}"/>
    <cellStyle name="Data 2 3 3 2 4" xfId="2117" xr:uid="{00000000-0005-0000-0000-00005B0E0000}"/>
    <cellStyle name="Data 2 3 3 2 4 2" xfId="2118" xr:uid="{00000000-0005-0000-0000-00005C0E0000}"/>
    <cellStyle name="Data 2 3 3 2 5" xfId="2119" xr:uid="{00000000-0005-0000-0000-00005D0E0000}"/>
    <cellStyle name="Data 2 3 3 2 5 2" xfId="2120" xr:uid="{00000000-0005-0000-0000-00005E0E0000}"/>
    <cellStyle name="Data 2 3 3 2 6" xfId="2121" xr:uid="{00000000-0005-0000-0000-00005F0E0000}"/>
    <cellStyle name="Data 2 3 3 2 6 2" xfId="2122" xr:uid="{00000000-0005-0000-0000-0000600E0000}"/>
    <cellStyle name="Data 2 3 3 2 7" xfId="2123" xr:uid="{00000000-0005-0000-0000-0000610E0000}"/>
    <cellStyle name="Data 2 3 3 2 7 2" xfId="2124" xr:uid="{00000000-0005-0000-0000-0000620E0000}"/>
    <cellStyle name="Data 2 3 3 2 8" xfId="2125" xr:uid="{00000000-0005-0000-0000-0000630E0000}"/>
    <cellStyle name="Data 2 3 3 2 8 2" xfId="2126" xr:uid="{00000000-0005-0000-0000-0000640E0000}"/>
    <cellStyle name="Data 2 3 3 2 9" xfId="2127" xr:uid="{00000000-0005-0000-0000-0000650E0000}"/>
    <cellStyle name="Data 2 3 3 2 9 2" xfId="2128" xr:uid="{00000000-0005-0000-0000-0000660E0000}"/>
    <cellStyle name="Data 2 3 3 3" xfId="2129" xr:uid="{00000000-0005-0000-0000-0000670E0000}"/>
    <cellStyle name="Data 2 3 3 3 10" xfId="2130" xr:uid="{00000000-0005-0000-0000-0000680E0000}"/>
    <cellStyle name="Data 2 3 3 3 2" xfId="2131" xr:uid="{00000000-0005-0000-0000-0000690E0000}"/>
    <cellStyle name="Data 2 3 3 3 2 2" xfId="2132" xr:uid="{00000000-0005-0000-0000-00006A0E0000}"/>
    <cellStyle name="Data 2 3 3 3 3" xfId="2133" xr:uid="{00000000-0005-0000-0000-00006B0E0000}"/>
    <cellStyle name="Data 2 3 3 3 3 2" xfId="2134" xr:uid="{00000000-0005-0000-0000-00006C0E0000}"/>
    <cellStyle name="Data 2 3 3 3 4" xfId="2135" xr:uid="{00000000-0005-0000-0000-00006D0E0000}"/>
    <cellStyle name="Data 2 3 3 3 4 2" xfId="2136" xr:uid="{00000000-0005-0000-0000-00006E0E0000}"/>
    <cellStyle name="Data 2 3 3 3 5" xfId="2137" xr:uid="{00000000-0005-0000-0000-00006F0E0000}"/>
    <cellStyle name="Data 2 3 3 3 5 2" xfId="2138" xr:uid="{00000000-0005-0000-0000-0000700E0000}"/>
    <cellStyle name="Data 2 3 3 3 6" xfId="2139" xr:uid="{00000000-0005-0000-0000-0000710E0000}"/>
    <cellStyle name="Data 2 3 3 3 6 2" xfId="2140" xr:uid="{00000000-0005-0000-0000-0000720E0000}"/>
    <cellStyle name="Data 2 3 3 3 7" xfId="2141" xr:uid="{00000000-0005-0000-0000-0000730E0000}"/>
    <cellStyle name="Data 2 3 3 3 7 2" xfId="2142" xr:uid="{00000000-0005-0000-0000-0000740E0000}"/>
    <cellStyle name="Data 2 3 3 3 8" xfId="2143" xr:uid="{00000000-0005-0000-0000-0000750E0000}"/>
    <cellStyle name="Data 2 3 3 3 8 2" xfId="2144" xr:uid="{00000000-0005-0000-0000-0000760E0000}"/>
    <cellStyle name="Data 2 3 3 3 9" xfId="2145" xr:uid="{00000000-0005-0000-0000-0000770E0000}"/>
    <cellStyle name="Data 2 3 3 3 9 2" xfId="2146" xr:uid="{00000000-0005-0000-0000-0000780E0000}"/>
    <cellStyle name="Data 2 3 3 4" xfId="2147" xr:uid="{00000000-0005-0000-0000-0000790E0000}"/>
    <cellStyle name="Data 2 3 3 4 10" xfId="2148" xr:uid="{00000000-0005-0000-0000-00007A0E0000}"/>
    <cellStyle name="Data 2 3 3 4 2" xfId="2149" xr:uid="{00000000-0005-0000-0000-00007B0E0000}"/>
    <cellStyle name="Data 2 3 3 4 2 2" xfId="2150" xr:uid="{00000000-0005-0000-0000-00007C0E0000}"/>
    <cellStyle name="Data 2 3 3 4 3" xfId="2151" xr:uid="{00000000-0005-0000-0000-00007D0E0000}"/>
    <cellStyle name="Data 2 3 3 4 3 2" xfId="2152" xr:uid="{00000000-0005-0000-0000-00007E0E0000}"/>
    <cellStyle name="Data 2 3 3 4 4" xfId="2153" xr:uid="{00000000-0005-0000-0000-00007F0E0000}"/>
    <cellStyle name="Data 2 3 3 4 4 2" xfId="2154" xr:uid="{00000000-0005-0000-0000-0000800E0000}"/>
    <cellStyle name="Data 2 3 3 4 5" xfId="2155" xr:uid="{00000000-0005-0000-0000-0000810E0000}"/>
    <cellStyle name="Data 2 3 3 4 5 2" xfId="2156" xr:uid="{00000000-0005-0000-0000-0000820E0000}"/>
    <cellStyle name="Data 2 3 3 4 6" xfId="2157" xr:uid="{00000000-0005-0000-0000-0000830E0000}"/>
    <cellStyle name="Data 2 3 3 4 6 2" xfId="2158" xr:uid="{00000000-0005-0000-0000-0000840E0000}"/>
    <cellStyle name="Data 2 3 3 4 7" xfId="2159" xr:uid="{00000000-0005-0000-0000-0000850E0000}"/>
    <cellStyle name="Data 2 3 3 4 7 2" xfId="2160" xr:uid="{00000000-0005-0000-0000-0000860E0000}"/>
    <cellStyle name="Data 2 3 3 4 8" xfId="2161" xr:uid="{00000000-0005-0000-0000-0000870E0000}"/>
    <cellStyle name="Data 2 3 3 4 8 2" xfId="2162" xr:uid="{00000000-0005-0000-0000-0000880E0000}"/>
    <cellStyle name="Data 2 3 3 4 9" xfId="2163" xr:uid="{00000000-0005-0000-0000-0000890E0000}"/>
    <cellStyle name="Data 2 3 3 4 9 2" xfId="2164" xr:uid="{00000000-0005-0000-0000-00008A0E0000}"/>
    <cellStyle name="Data 2 3 3 5" xfId="2165" xr:uid="{00000000-0005-0000-0000-00008B0E0000}"/>
    <cellStyle name="Data 2 3 3 5 10" xfId="2166" xr:uid="{00000000-0005-0000-0000-00008C0E0000}"/>
    <cellStyle name="Data 2 3 3 5 2" xfId="2167" xr:uid="{00000000-0005-0000-0000-00008D0E0000}"/>
    <cellStyle name="Data 2 3 3 5 2 2" xfId="2168" xr:uid="{00000000-0005-0000-0000-00008E0E0000}"/>
    <cellStyle name="Data 2 3 3 5 3" xfId="2169" xr:uid="{00000000-0005-0000-0000-00008F0E0000}"/>
    <cellStyle name="Data 2 3 3 5 3 2" xfId="2170" xr:uid="{00000000-0005-0000-0000-0000900E0000}"/>
    <cellStyle name="Data 2 3 3 5 4" xfId="2171" xr:uid="{00000000-0005-0000-0000-0000910E0000}"/>
    <cellStyle name="Data 2 3 3 5 4 2" xfId="2172" xr:uid="{00000000-0005-0000-0000-0000920E0000}"/>
    <cellStyle name="Data 2 3 3 5 5" xfId="2173" xr:uid="{00000000-0005-0000-0000-0000930E0000}"/>
    <cellStyle name="Data 2 3 3 5 5 2" xfId="2174" xr:uid="{00000000-0005-0000-0000-0000940E0000}"/>
    <cellStyle name="Data 2 3 3 5 6" xfId="2175" xr:uid="{00000000-0005-0000-0000-0000950E0000}"/>
    <cellStyle name="Data 2 3 3 5 6 2" xfId="2176" xr:uid="{00000000-0005-0000-0000-0000960E0000}"/>
    <cellStyle name="Data 2 3 3 5 7" xfId="2177" xr:uid="{00000000-0005-0000-0000-0000970E0000}"/>
    <cellStyle name="Data 2 3 3 5 7 2" xfId="2178" xr:uid="{00000000-0005-0000-0000-0000980E0000}"/>
    <cellStyle name="Data 2 3 3 5 8" xfId="2179" xr:uid="{00000000-0005-0000-0000-0000990E0000}"/>
    <cellStyle name="Data 2 3 3 5 8 2" xfId="2180" xr:uid="{00000000-0005-0000-0000-00009A0E0000}"/>
    <cellStyle name="Data 2 3 3 5 9" xfId="2181" xr:uid="{00000000-0005-0000-0000-00009B0E0000}"/>
    <cellStyle name="Data 2 3 3 5 9 2" xfId="2182" xr:uid="{00000000-0005-0000-0000-00009C0E0000}"/>
    <cellStyle name="Data 2 3 3 6" xfId="2183" xr:uid="{00000000-0005-0000-0000-00009D0E0000}"/>
    <cellStyle name="Data 2 3 3 6 10" xfId="2184" xr:uid="{00000000-0005-0000-0000-00009E0E0000}"/>
    <cellStyle name="Data 2 3 3 6 2" xfId="2185" xr:uid="{00000000-0005-0000-0000-00009F0E0000}"/>
    <cellStyle name="Data 2 3 3 6 2 2" xfId="2186" xr:uid="{00000000-0005-0000-0000-0000A00E0000}"/>
    <cellStyle name="Data 2 3 3 6 3" xfId="2187" xr:uid="{00000000-0005-0000-0000-0000A10E0000}"/>
    <cellStyle name="Data 2 3 3 6 3 2" xfId="2188" xr:uid="{00000000-0005-0000-0000-0000A20E0000}"/>
    <cellStyle name="Data 2 3 3 6 4" xfId="2189" xr:uid="{00000000-0005-0000-0000-0000A30E0000}"/>
    <cellStyle name="Data 2 3 3 6 4 2" xfId="2190" xr:uid="{00000000-0005-0000-0000-0000A40E0000}"/>
    <cellStyle name="Data 2 3 3 6 5" xfId="2191" xr:uid="{00000000-0005-0000-0000-0000A50E0000}"/>
    <cellStyle name="Data 2 3 3 6 5 2" xfId="2192" xr:uid="{00000000-0005-0000-0000-0000A60E0000}"/>
    <cellStyle name="Data 2 3 3 6 6" xfId="2193" xr:uid="{00000000-0005-0000-0000-0000A70E0000}"/>
    <cellStyle name="Data 2 3 3 6 6 2" xfId="2194" xr:uid="{00000000-0005-0000-0000-0000A80E0000}"/>
    <cellStyle name="Data 2 3 3 6 7" xfId="2195" xr:uid="{00000000-0005-0000-0000-0000A90E0000}"/>
    <cellStyle name="Data 2 3 3 6 7 2" xfId="2196" xr:uid="{00000000-0005-0000-0000-0000AA0E0000}"/>
    <cellStyle name="Data 2 3 3 6 8" xfId="2197" xr:uid="{00000000-0005-0000-0000-0000AB0E0000}"/>
    <cellStyle name="Data 2 3 3 6 8 2" xfId="2198" xr:uid="{00000000-0005-0000-0000-0000AC0E0000}"/>
    <cellStyle name="Data 2 3 3 6 9" xfId="2199" xr:uid="{00000000-0005-0000-0000-0000AD0E0000}"/>
    <cellStyle name="Data 2 3 3 6 9 2" xfId="2200" xr:uid="{00000000-0005-0000-0000-0000AE0E0000}"/>
    <cellStyle name="Data 2 3 3 7" xfId="2201" xr:uid="{00000000-0005-0000-0000-0000AF0E0000}"/>
    <cellStyle name="Data 2 3 3 7 10" xfId="2202" xr:uid="{00000000-0005-0000-0000-0000B00E0000}"/>
    <cellStyle name="Data 2 3 3 7 2" xfId="2203" xr:uid="{00000000-0005-0000-0000-0000B10E0000}"/>
    <cellStyle name="Data 2 3 3 7 2 2" xfId="2204" xr:uid="{00000000-0005-0000-0000-0000B20E0000}"/>
    <cellStyle name="Data 2 3 3 7 3" xfId="2205" xr:uid="{00000000-0005-0000-0000-0000B30E0000}"/>
    <cellStyle name="Data 2 3 3 7 3 2" xfId="2206" xr:uid="{00000000-0005-0000-0000-0000B40E0000}"/>
    <cellStyle name="Data 2 3 3 7 4" xfId="2207" xr:uid="{00000000-0005-0000-0000-0000B50E0000}"/>
    <cellStyle name="Data 2 3 3 7 4 2" xfId="2208" xr:uid="{00000000-0005-0000-0000-0000B60E0000}"/>
    <cellStyle name="Data 2 3 3 7 5" xfId="2209" xr:uid="{00000000-0005-0000-0000-0000B70E0000}"/>
    <cellStyle name="Data 2 3 3 7 5 2" xfId="2210" xr:uid="{00000000-0005-0000-0000-0000B80E0000}"/>
    <cellStyle name="Data 2 3 3 7 6" xfId="2211" xr:uid="{00000000-0005-0000-0000-0000B90E0000}"/>
    <cellStyle name="Data 2 3 3 7 6 2" xfId="2212" xr:uid="{00000000-0005-0000-0000-0000BA0E0000}"/>
    <cellStyle name="Data 2 3 3 7 7" xfId="2213" xr:uid="{00000000-0005-0000-0000-0000BB0E0000}"/>
    <cellStyle name="Data 2 3 3 7 7 2" xfId="2214" xr:uid="{00000000-0005-0000-0000-0000BC0E0000}"/>
    <cellStyle name="Data 2 3 3 7 8" xfId="2215" xr:uid="{00000000-0005-0000-0000-0000BD0E0000}"/>
    <cellStyle name="Data 2 3 3 7 8 2" xfId="2216" xr:uid="{00000000-0005-0000-0000-0000BE0E0000}"/>
    <cellStyle name="Data 2 3 3 7 9" xfId="2217" xr:uid="{00000000-0005-0000-0000-0000BF0E0000}"/>
    <cellStyle name="Data 2 3 3 7 9 2" xfId="2218" xr:uid="{00000000-0005-0000-0000-0000C00E0000}"/>
    <cellStyle name="Data 2 3 3 8" xfId="2219" xr:uid="{00000000-0005-0000-0000-0000C10E0000}"/>
    <cellStyle name="Data 2 3 3 8 10" xfId="2220" xr:uid="{00000000-0005-0000-0000-0000C20E0000}"/>
    <cellStyle name="Data 2 3 3 8 2" xfId="2221" xr:uid="{00000000-0005-0000-0000-0000C30E0000}"/>
    <cellStyle name="Data 2 3 3 8 2 2" xfId="2222" xr:uid="{00000000-0005-0000-0000-0000C40E0000}"/>
    <cellStyle name="Data 2 3 3 8 3" xfId="2223" xr:uid="{00000000-0005-0000-0000-0000C50E0000}"/>
    <cellStyle name="Data 2 3 3 8 3 2" xfId="2224" xr:uid="{00000000-0005-0000-0000-0000C60E0000}"/>
    <cellStyle name="Data 2 3 3 8 4" xfId="2225" xr:uid="{00000000-0005-0000-0000-0000C70E0000}"/>
    <cellStyle name="Data 2 3 3 8 4 2" xfId="2226" xr:uid="{00000000-0005-0000-0000-0000C80E0000}"/>
    <cellStyle name="Data 2 3 3 8 5" xfId="2227" xr:uid="{00000000-0005-0000-0000-0000C90E0000}"/>
    <cellStyle name="Data 2 3 3 8 5 2" xfId="2228" xr:uid="{00000000-0005-0000-0000-0000CA0E0000}"/>
    <cellStyle name="Data 2 3 3 8 6" xfId="2229" xr:uid="{00000000-0005-0000-0000-0000CB0E0000}"/>
    <cellStyle name="Data 2 3 3 8 6 2" xfId="2230" xr:uid="{00000000-0005-0000-0000-0000CC0E0000}"/>
    <cellStyle name="Data 2 3 3 8 7" xfId="2231" xr:uid="{00000000-0005-0000-0000-0000CD0E0000}"/>
    <cellStyle name="Data 2 3 3 8 7 2" xfId="2232" xr:uid="{00000000-0005-0000-0000-0000CE0E0000}"/>
    <cellStyle name="Data 2 3 3 8 8" xfId="2233" xr:uid="{00000000-0005-0000-0000-0000CF0E0000}"/>
    <cellStyle name="Data 2 3 3 8 8 2" xfId="2234" xr:uid="{00000000-0005-0000-0000-0000D00E0000}"/>
    <cellStyle name="Data 2 3 3 8 9" xfId="2235" xr:uid="{00000000-0005-0000-0000-0000D10E0000}"/>
    <cellStyle name="Data 2 3 3 8 9 2" xfId="2236" xr:uid="{00000000-0005-0000-0000-0000D20E0000}"/>
    <cellStyle name="Data 2 3 3 9" xfId="2237" xr:uid="{00000000-0005-0000-0000-0000D30E0000}"/>
    <cellStyle name="Data 2 3 3 9 10" xfId="2238" xr:uid="{00000000-0005-0000-0000-0000D40E0000}"/>
    <cellStyle name="Data 2 3 3 9 2" xfId="2239" xr:uid="{00000000-0005-0000-0000-0000D50E0000}"/>
    <cellStyle name="Data 2 3 3 9 2 2" xfId="2240" xr:uid="{00000000-0005-0000-0000-0000D60E0000}"/>
    <cellStyle name="Data 2 3 3 9 3" xfId="2241" xr:uid="{00000000-0005-0000-0000-0000D70E0000}"/>
    <cellStyle name="Data 2 3 3 9 3 2" xfId="2242" xr:uid="{00000000-0005-0000-0000-0000D80E0000}"/>
    <cellStyle name="Data 2 3 3 9 4" xfId="2243" xr:uid="{00000000-0005-0000-0000-0000D90E0000}"/>
    <cellStyle name="Data 2 3 3 9 4 2" xfId="2244" xr:uid="{00000000-0005-0000-0000-0000DA0E0000}"/>
    <cellStyle name="Data 2 3 3 9 5" xfId="2245" xr:uid="{00000000-0005-0000-0000-0000DB0E0000}"/>
    <cellStyle name="Data 2 3 3 9 5 2" xfId="2246" xr:uid="{00000000-0005-0000-0000-0000DC0E0000}"/>
    <cellStyle name="Data 2 3 3 9 6" xfId="2247" xr:uid="{00000000-0005-0000-0000-0000DD0E0000}"/>
    <cellStyle name="Data 2 3 3 9 6 2" xfId="2248" xr:uid="{00000000-0005-0000-0000-0000DE0E0000}"/>
    <cellStyle name="Data 2 3 3 9 7" xfId="2249" xr:uid="{00000000-0005-0000-0000-0000DF0E0000}"/>
    <cellStyle name="Data 2 3 3 9 7 2" xfId="2250" xr:uid="{00000000-0005-0000-0000-0000E00E0000}"/>
    <cellStyle name="Data 2 3 3 9 8" xfId="2251" xr:uid="{00000000-0005-0000-0000-0000E10E0000}"/>
    <cellStyle name="Data 2 3 3 9 8 2" xfId="2252" xr:uid="{00000000-0005-0000-0000-0000E20E0000}"/>
    <cellStyle name="Data 2 3 3 9 9" xfId="2253" xr:uid="{00000000-0005-0000-0000-0000E30E0000}"/>
    <cellStyle name="Data 2 3 3 9 9 2" xfId="2254" xr:uid="{00000000-0005-0000-0000-0000E40E0000}"/>
    <cellStyle name="Data 2 3 4" xfId="2255" xr:uid="{00000000-0005-0000-0000-0000E50E0000}"/>
    <cellStyle name="Data 2 3 4 10" xfId="2256" xr:uid="{00000000-0005-0000-0000-0000E60E0000}"/>
    <cellStyle name="Data 2 3 4 10 2" xfId="2257" xr:uid="{00000000-0005-0000-0000-0000E70E0000}"/>
    <cellStyle name="Data 2 3 4 10 2 2" xfId="2258" xr:uid="{00000000-0005-0000-0000-0000E80E0000}"/>
    <cellStyle name="Data 2 3 4 10 3" xfId="2259" xr:uid="{00000000-0005-0000-0000-0000E90E0000}"/>
    <cellStyle name="Data 2 3 4 10 3 2" xfId="2260" xr:uid="{00000000-0005-0000-0000-0000EA0E0000}"/>
    <cellStyle name="Data 2 3 4 10 4" xfId="2261" xr:uid="{00000000-0005-0000-0000-0000EB0E0000}"/>
    <cellStyle name="Data 2 3 4 10 4 2" xfId="2262" xr:uid="{00000000-0005-0000-0000-0000EC0E0000}"/>
    <cellStyle name="Data 2 3 4 10 5" xfId="2263" xr:uid="{00000000-0005-0000-0000-0000ED0E0000}"/>
    <cellStyle name="Data 2 3 4 10 5 2" xfId="2264" xr:uid="{00000000-0005-0000-0000-0000EE0E0000}"/>
    <cellStyle name="Data 2 3 4 10 6" xfId="2265" xr:uid="{00000000-0005-0000-0000-0000EF0E0000}"/>
    <cellStyle name="Data 2 3 4 10 6 2" xfId="2266" xr:uid="{00000000-0005-0000-0000-0000F00E0000}"/>
    <cellStyle name="Data 2 3 4 10 7" xfId="2267" xr:uid="{00000000-0005-0000-0000-0000F10E0000}"/>
    <cellStyle name="Data 2 3 4 10 7 2" xfId="2268" xr:uid="{00000000-0005-0000-0000-0000F20E0000}"/>
    <cellStyle name="Data 2 3 4 10 8" xfId="2269" xr:uid="{00000000-0005-0000-0000-0000F30E0000}"/>
    <cellStyle name="Data 2 3 4 10 8 2" xfId="2270" xr:uid="{00000000-0005-0000-0000-0000F40E0000}"/>
    <cellStyle name="Data 2 3 4 10 9" xfId="2271" xr:uid="{00000000-0005-0000-0000-0000F50E0000}"/>
    <cellStyle name="Data 2 3 4 11" xfId="2272" xr:uid="{00000000-0005-0000-0000-0000F60E0000}"/>
    <cellStyle name="Data 2 3 4 11 2" xfId="2273" xr:uid="{00000000-0005-0000-0000-0000F70E0000}"/>
    <cellStyle name="Data 2 3 4 12" xfId="2274" xr:uid="{00000000-0005-0000-0000-0000F80E0000}"/>
    <cellStyle name="Data 2 3 4 12 2" xfId="2275" xr:uid="{00000000-0005-0000-0000-0000F90E0000}"/>
    <cellStyle name="Data 2 3 4 13" xfId="2276" xr:uid="{00000000-0005-0000-0000-0000FA0E0000}"/>
    <cellStyle name="Data 2 3 4 13 2" xfId="2277" xr:uid="{00000000-0005-0000-0000-0000FB0E0000}"/>
    <cellStyle name="Data 2 3 4 14" xfId="2278" xr:uid="{00000000-0005-0000-0000-0000FC0E0000}"/>
    <cellStyle name="Data 2 3 4 14 2" xfId="2279" xr:uid="{00000000-0005-0000-0000-0000FD0E0000}"/>
    <cellStyle name="Data 2 3 4 15" xfId="2280" xr:uid="{00000000-0005-0000-0000-0000FE0E0000}"/>
    <cellStyle name="Data 2 3 4 15 2" xfId="2281" xr:uid="{00000000-0005-0000-0000-0000FF0E0000}"/>
    <cellStyle name="Data 2 3 4 16" xfId="2282" xr:uid="{00000000-0005-0000-0000-0000000F0000}"/>
    <cellStyle name="Data 2 3 4 16 2" xfId="2283" xr:uid="{00000000-0005-0000-0000-0000010F0000}"/>
    <cellStyle name="Data 2 3 4 17" xfId="2284" xr:uid="{00000000-0005-0000-0000-0000020F0000}"/>
    <cellStyle name="Data 2 3 4 17 2" xfId="2285" xr:uid="{00000000-0005-0000-0000-0000030F0000}"/>
    <cellStyle name="Data 2 3 4 18" xfId="2286" xr:uid="{00000000-0005-0000-0000-0000040F0000}"/>
    <cellStyle name="Data 2 3 4 2" xfId="2287" xr:uid="{00000000-0005-0000-0000-0000050F0000}"/>
    <cellStyle name="Data 2 3 4 2 10" xfId="2288" xr:uid="{00000000-0005-0000-0000-0000060F0000}"/>
    <cellStyle name="Data 2 3 4 2 2" xfId="2289" xr:uid="{00000000-0005-0000-0000-0000070F0000}"/>
    <cellStyle name="Data 2 3 4 2 2 2" xfId="2290" xr:uid="{00000000-0005-0000-0000-0000080F0000}"/>
    <cellStyle name="Data 2 3 4 2 3" xfId="2291" xr:uid="{00000000-0005-0000-0000-0000090F0000}"/>
    <cellStyle name="Data 2 3 4 2 3 2" xfId="2292" xr:uid="{00000000-0005-0000-0000-00000A0F0000}"/>
    <cellStyle name="Data 2 3 4 2 4" xfId="2293" xr:uid="{00000000-0005-0000-0000-00000B0F0000}"/>
    <cellStyle name="Data 2 3 4 2 4 2" xfId="2294" xr:uid="{00000000-0005-0000-0000-00000C0F0000}"/>
    <cellStyle name="Data 2 3 4 2 5" xfId="2295" xr:uid="{00000000-0005-0000-0000-00000D0F0000}"/>
    <cellStyle name="Data 2 3 4 2 5 2" xfId="2296" xr:uid="{00000000-0005-0000-0000-00000E0F0000}"/>
    <cellStyle name="Data 2 3 4 2 6" xfId="2297" xr:uid="{00000000-0005-0000-0000-00000F0F0000}"/>
    <cellStyle name="Data 2 3 4 2 6 2" xfId="2298" xr:uid="{00000000-0005-0000-0000-0000100F0000}"/>
    <cellStyle name="Data 2 3 4 2 7" xfId="2299" xr:uid="{00000000-0005-0000-0000-0000110F0000}"/>
    <cellStyle name="Data 2 3 4 2 7 2" xfId="2300" xr:uid="{00000000-0005-0000-0000-0000120F0000}"/>
    <cellStyle name="Data 2 3 4 2 8" xfId="2301" xr:uid="{00000000-0005-0000-0000-0000130F0000}"/>
    <cellStyle name="Data 2 3 4 2 8 2" xfId="2302" xr:uid="{00000000-0005-0000-0000-0000140F0000}"/>
    <cellStyle name="Data 2 3 4 2 9" xfId="2303" xr:uid="{00000000-0005-0000-0000-0000150F0000}"/>
    <cellStyle name="Data 2 3 4 2 9 2" xfId="2304" xr:uid="{00000000-0005-0000-0000-0000160F0000}"/>
    <cellStyle name="Data 2 3 4 3" xfId="2305" xr:uid="{00000000-0005-0000-0000-0000170F0000}"/>
    <cellStyle name="Data 2 3 4 3 10" xfId="2306" xr:uid="{00000000-0005-0000-0000-0000180F0000}"/>
    <cellStyle name="Data 2 3 4 3 2" xfId="2307" xr:uid="{00000000-0005-0000-0000-0000190F0000}"/>
    <cellStyle name="Data 2 3 4 3 2 2" xfId="2308" xr:uid="{00000000-0005-0000-0000-00001A0F0000}"/>
    <cellStyle name="Data 2 3 4 3 3" xfId="2309" xr:uid="{00000000-0005-0000-0000-00001B0F0000}"/>
    <cellStyle name="Data 2 3 4 3 3 2" xfId="2310" xr:uid="{00000000-0005-0000-0000-00001C0F0000}"/>
    <cellStyle name="Data 2 3 4 3 4" xfId="2311" xr:uid="{00000000-0005-0000-0000-00001D0F0000}"/>
    <cellStyle name="Data 2 3 4 3 4 2" xfId="2312" xr:uid="{00000000-0005-0000-0000-00001E0F0000}"/>
    <cellStyle name="Data 2 3 4 3 5" xfId="2313" xr:uid="{00000000-0005-0000-0000-00001F0F0000}"/>
    <cellStyle name="Data 2 3 4 3 5 2" xfId="2314" xr:uid="{00000000-0005-0000-0000-0000200F0000}"/>
    <cellStyle name="Data 2 3 4 3 6" xfId="2315" xr:uid="{00000000-0005-0000-0000-0000210F0000}"/>
    <cellStyle name="Data 2 3 4 3 6 2" xfId="2316" xr:uid="{00000000-0005-0000-0000-0000220F0000}"/>
    <cellStyle name="Data 2 3 4 3 7" xfId="2317" xr:uid="{00000000-0005-0000-0000-0000230F0000}"/>
    <cellStyle name="Data 2 3 4 3 7 2" xfId="2318" xr:uid="{00000000-0005-0000-0000-0000240F0000}"/>
    <cellStyle name="Data 2 3 4 3 8" xfId="2319" xr:uid="{00000000-0005-0000-0000-0000250F0000}"/>
    <cellStyle name="Data 2 3 4 3 8 2" xfId="2320" xr:uid="{00000000-0005-0000-0000-0000260F0000}"/>
    <cellStyle name="Data 2 3 4 3 9" xfId="2321" xr:uid="{00000000-0005-0000-0000-0000270F0000}"/>
    <cellStyle name="Data 2 3 4 3 9 2" xfId="2322" xr:uid="{00000000-0005-0000-0000-0000280F0000}"/>
    <cellStyle name="Data 2 3 4 4" xfId="2323" xr:uid="{00000000-0005-0000-0000-0000290F0000}"/>
    <cellStyle name="Data 2 3 4 4 10" xfId="2324" xr:uid="{00000000-0005-0000-0000-00002A0F0000}"/>
    <cellStyle name="Data 2 3 4 4 2" xfId="2325" xr:uid="{00000000-0005-0000-0000-00002B0F0000}"/>
    <cellStyle name="Data 2 3 4 4 2 2" xfId="2326" xr:uid="{00000000-0005-0000-0000-00002C0F0000}"/>
    <cellStyle name="Data 2 3 4 4 3" xfId="2327" xr:uid="{00000000-0005-0000-0000-00002D0F0000}"/>
    <cellStyle name="Data 2 3 4 4 3 2" xfId="2328" xr:uid="{00000000-0005-0000-0000-00002E0F0000}"/>
    <cellStyle name="Data 2 3 4 4 4" xfId="2329" xr:uid="{00000000-0005-0000-0000-00002F0F0000}"/>
    <cellStyle name="Data 2 3 4 4 4 2" xfId="2330" xr:uid="{00000000-0005-0000-0000-0000300F0000}"/>
    <cellStyle name="Data 2 3 4 4 5" xfId="2331" xr:uid="{00000000-0005-0000-0000-0000310F0000}"/>
    <cellStyle name="Data 2 3 4 4 5 2" xfId="2332" xr:uid="{00000000-0005-0000-0000-0000320F0000}"/>
    <cellStyle name="Data 2 3 4 4 6" xfId="2333" xr:uid="{00000000-0005-0000-0000-0000330F0000}"/>
    <cellStyle name="Data 2 3 4 4 6 2" xfId="2334" xr:uid="{00000000-0005-0000-0000-0000340F0000}"/>
    <cellStyle name="Data 2 3 4 4 7" xfId="2335" xr:uid="{00000000-0005-0000-0000-0000350F0000}"/>
    <cellStyle name="Data 2 3 4 4 7 2" xfId="2336" xr:uid="{00000000-0005-0000-0000-0000360F0000}"/>
    <cellStyle name="Data 2 3 4 4 8" xfId="2337" xr:uid="{00000000-0005-0000-0000-0000370F0000}"/>
    <cellStyle name="Data 2 3 4 4 8 2" xfId="2338" xr:uid="{00000000-0005-0000-0000-0000380F0000}"/>
    <cellStyle name="Data 2 3 4 4 9" xfId="2339" xr:uid="{00000000-0005-0000-0000-0000390F0000}"/>
    <cellStyle name="Data 2 3 4 4 9 2" xfId="2340" xr:uid="{00000000-0005-0000-0000-00003A0F0000}"/>
    <cellStyle name="Data 2 3 4 5" xfId="2341" xr:uid="{00000000-0005-0000-0000-00003B0F0000}"/>
    <cellStyle name="Data 2 3 4 5 10" xfId="2342" xr:uid="{00000000-0005-0000-0000-00003C0F0000}"/>
    <cellStyle name="Data 2 3 4 5 2" xfId="2343" xr:uid="{00000000-0005-0000-0000-00003D0F0000}"/>
    <cellStyle name="Data 2 3 4 5 2 2" xfId="2344" xr:uid="{00000000-0005-0000-0000-00003E0F0000}"/>
    <cellStyle name="Data 2 3 4 5 3" xfId="2345" xr:uid="{00000000-0005-0000-0000-00003F0F0000}"/>
    <cellStyle name="Data 2 3 4 5 3 2" xfId="2346" xr:uid="{00000000-0005-0000-0000-0000400F0000}"/>
    <cellStyle name="Data 2 3 4 5 4" xfId="2347" xr:uid="{00000000-0005-0000-0000-0000410F0000}"/>
    <cellStyle name="Data 2 3 4 5 4 2" xfId="2348" xr:uid="{00000000-0005-0000-0000-0000420F0000}"/>
    <cellStyle name="Data 2 3 4 5 5" xfId="2349" xr:uid="{00000000-0005-0000-0000-0000430F0000}"/>
    <cellStyle name="Data 2 3 4 5 5 2" xfId="2350" xr:uid="{00000000-0005-0000-0000-0000440F0000}"/>
    <cellStyle name="Data 2 3 4 5 6" xfId="2351" xr:uid="{00000000-0005-0000-0000-0000450F0000}"/>
    <cellStyle name="Data 2 3 4 5 6 2" xfId="2352" xr:uid="{00000000-0005-0000-0000-0000460F0000}"/>
    <cellStyle name="Data 2 3 4 5 7" xfId="2353" xr:uid="{00000000-0005-0000-0000-0000470F0000}"/>
    <cellStyle name="Data 2 3 4 5 7 2" xfId="2354" xr:uid="{00000000-0005-0000-0000-0000480F0000}"/>
    <cellStyle name="Data 2 3 4 5 8" xfId="2355" xr:uid="{00000000-0005-0000-0000-0000490F0000}"/>
    <cellStyle name="Data 2 3 4 5 8 2" xfId="2356" xr:uid="{00000000-0005-0000-0000-00004A0F0000}"/>
    <cellStyle name="Data 2 3 4 5 9" xfId="2357" xr:uid="{00000000-0005-0000-0000-00004B0F0000}"/>
    <cellStyle name="Data 2 3 4 5 9 2" xfId="2358" xr:uid="{00000000-0005-0000-0000-00004C0F0000}"/>
    <cellStyle name="Data 2 3 4 6" xfId="2359" xr:uid="{00000000-0005-0000-0000-00004D0F0000}"/>
    <cellStyle name="Data 2 3 4 6 10" xfId="2360" xr:uid="{00000000-0005-0000-0000-00004E0F0000}"/>
    <cellStyle name="Data 2 3 4 6 2" xfId="2361" xr:uid="{00000000-0005-0000-0000-00004F0F0000}"/>
    <cellStyle name="Data 2 3 4 6 2 2" xfId="2362" xr:uid="{00000000-0005-0000-0000-0000500F0000}"/>
    <cellStyle name="Data 2 3 4 6 3" xfId="2363" xr:uid="{00000000-0005-0000-0000-0000510F0000}"/>
    <cellStyle name="Data 2 3 4 6 3 2" xfId="2364" xr:uid="{00000000-0005-0000-0000-0000520F0000}"/>
    <cellStyle name="Data 2 3 4 6 4" xfId="2365" xr:uid="{00000000-0005-0000-0000-0000530F0000}"/>
    <cellStyle name="Data 2 3 4 6 4 2" xfId="2366" xr:uid="{00000000-0005-0000-0000-0000540F0000}"/>
    <cellStyle name="Data 2 3 4 6 5" xfId="2367" xr:uid="{00000000-0005-0000-0000-0000550F0000}"/>
    <cellStyle name="Data 2 3 4 6 5 2" xfId="2368" xr:uid="{00000000-0005-0000-0000-0000560F0000}"/>
    <cellStyle name="Data 2 3 4 6 6" xfId="2369" xr:uid="{00000000-0005-0000-0000-0000570F0000}"/>
    <cellStyle name="Data 2 3 4 6 6 2" xfId="2370" xr:uid="{00000000-0005-0000-0000-0000580F0000}"/>
    <cellStyle name="Data 2 3 4 6 7" xfId="2371" xr:uid="{00000000-0005-0000-0000-0000590F0000}"/>
    <cellStyle name="Data 2 3 4 6 7 2" xfId="2372" xr:uid="{00000000-0005-0000-0000-00005A0F0000}"/>
    <cellStyle name="Data 2 3 4 6 8" xfId="2373" xr:uid="{00000000-0005-0000-0000-00005B0F0000}"/>
    <cellStyle name="Data 2 3 4 6 8 2" xfId="2374" xr:uid="{00000000-0005-0000-0000-00005C0F0000}"/>
    <cellStyle name="Data 2 3 4 6 9" xfId="2375" xr:uid="{00000000-0005-0000-0000-00005D0F0000}"/>
    <cellStyle name="Data 2 3 4 6 9 2" xfId="2376" xr:uid="{00000000-0005-0000-0000-00005E0F0000}"/>
    <cellStyle name="Data 2 3 4 7" xfId="2377" xr:uid="{00000000-0005-0000-0000-00005F0F0000}"/>
    <cellStyle name="Data 2 3 4 7 10" xfId="2378" xr:uid="{00000000-0005-0000-0000-0000600F0000}"/>
    <cellStyle name="Data 2 3 4 7 2" xfId="2379" xr:uid="{00000000-0005-0000-0000-0000610F0000}"/>
    <cellStyle name="Data 2 3 4 7 2 2" xfId="2380" xr:uid="{00000000-0005-0000-0000-0000620F0000}"/>
    <cellStyle name="Data 2 3 4 7 3" xfId="2381" xr:uid="{00000000-0005-0000-0000-0000630F0000}"/>
    <cellStyle name="Data 2 3 4 7 3 2" xfId="2382" xr:uid="{00000000-0005-0000-0000-0000640F0000}"/>
    <cellStyle name="Data 2 3 4 7 4" xfId="2383" xr:uid="{00000000-0005-0000-0000-0000650F0000}"/>
    <cellStyle name="Data 2 3 4 7 4 2" xfId="2384" xr:uid="{00000000-0005-0000-0000-0000660F0000}"/>
    <cellStyle name="Data 2 3 4 7 5" xfId="2385" xr:uid="{00000000-0005-0000-0000-0000670F0000}"/>
    <cellStyle name="Data 2 3 4 7 5 2" xfId="2386" xr:uid="{00000000-0005-0000-0000-0000680F0000}"/>
    <cellStyle name="Data 2 3 4 7 6" xfId="2387" xr:uid="{00000000-0005-0000-0000-0000690F0000}"/>
    <cellStyle name="Data 2 3 4 7 6 2" xfId="2388" xr:uid="{00000000-0005-0000-0000-00006A0F0000}"/>
    <cellStyle name="Data 2 3 4 7 7" xfId="2389" xr:uid="{00000000-0005-0000-0000-00006B0F0000}"/>
    <cellStyle name="Data 2 3 4 7 7 2" xfId="2390" xr:uid="{00000000-0005-0000-0000-00006C0F0000}"/>
    <cellStyle name="Data 2 3 4 7 8" xfId="2391" xr:uid="{00000000-0005-0000-0000-00006D0F0000}"/>
    <cellStyle name="Data 2 3 4 7 8 2" xfId="2392" xr:uid="{00000000-0005-0000-0000-00006E0F0000}"/>
    <cellStyle name="Data 2 3 4 7 9" xfId="2393" xr:uid="{00000000-0005-0000-0000-00006F0F0000}"/>
    <cellStyle name="Data 2 3 4 7 9 2" xfId="2394" xr:uid="{00000000-0005-0000-0000-0000700F0000}"/>
    <cellStyle name="Data 2 3 4 8" xfId="2395" xr:uid="{00000000-0005-0000-0000-0000710F0000}"/>
    <cellStyle name="Data 2 3 4 8 10" xfId="2396" xr:uid="{00000000-0005-0000-0000-0000720F0000}"/>
    <cellStyle name="Data 2 3 4 8 2" xfId="2397" xr:uid="{00000000-0005-0000-0000-0000730F0000}"/>
    <cellStyle name="Data 2 3 4 8 2 2" xfId="2398" xr:uid="{00000000-0005-0000-0000-0000740F0000}"/>
    <cellStyle name="Data 2 3 4 8 3" xfId="2399" xr:uid="{00000000-0005-0000-0000-0000750F0000}"/>
    <cellStyle name="Data 2 3 4 8 3 2" xfId="2400" xr:uid="{00000000-0005-0000-0000-0000760F0000}"/>
    <cellStyle name="Data 2 3 4 8 4" xfId="2401" xr:uid="{00000000-0005-0000-0000-0000770F0000}"/>
    <cellStyle name="Data 2 3 4 8 4 2" xfId="2402" xr:uid="{00000000-0005-0000-0000-0000780F0000}"/>
    <cellStyle name="Data 2 3 4 8 5" xfId="2403" xr:uid="{00000000-0005-0000-0000-0000790F0000}"/>
    <cellStyle name="Data 2 3 4 8 5 2" xfId="2404" xr:uid="{00000000-0005-0000-0000-00007A0F0000}"/>
    <cellStyle name="Data 2 3 4 8 6" xfId="2405" xr:uid="{00000000-0005-0000-0000-00007B0F0000}"/>
    <cellStyle name="Data 2 3 4 8 6 2" xfId="2406" xr:uid="{00000000-0005-0000-0000-00007C0F0000}"/>
    <cellStyle name="Data 2 3 4 8 7" xfId="2407" xr:uid="{00000000-0005-0000-0000-00007D0F0000}"/>
    <cellStyle name="Data 2 3 4 8 7 2" xfId="2408" xr:uid="{00000000-0005-0000-0000-00007E0F0000}"/>
    <cellStyle name="Data 2 3 4 8 8" xfId="2409" xr:uid="{00000000-0005-0000-0000-00007F0F0000}"/>
    <cellStyle name="Data 2 3 4 8 8 2" xfId="2410" xr:uid="{00000000-0005-0000-0000-0000800F0000}"/>
    <cellStyle name="Data 2 3 4 8 9" xfId="2411" xr:uid="{00000000-0005-0000-0000-0000810F0000}"/>
    <cellStyle name="Data 2 3 4 8 9 2" xfId="2412" xr:uid="{00000000-0005-0000-0000-0000820F0000}"/>
    <cellStyle name="Data 2 3 4 9" xfId="2413" xr:uid="{00000000-0005-0000-0000-0000830F0000}"/>
    <cellStyle name="Data 2 3 4 9 10" xfId="2414" xr:uid="{00000000-0005-0000-0000-0000840F0000}"/>
    <cellStyle name="Data 2 3 4 9 2" xfId="2415" xr:uid="{00000000-0005-0000-0000-0000850F0000}"/>
    <cellStyle name="Data 2 3 4 9 2 2" xfId="2416" xr:uid="{00000000-0005-0000-0000-0000860F0000}"/>
    <cellStyle name="Data 2 3 4 9 3" xfId="2417" xr:uid="{00000000-0005-0000-0000-0000870F0000}"/>
    <cellStyle name="Data 2 3 4 9 3 2" xfId="2418" xr:uid="{00000000-0005-0000-0000-0000880F0000}"/>
    <cellStyle name="Data 2 3 4 9 4" xfId="2419" xr:uid="{00000000-0005-0000-0000-0000890F0000}"/>
    <cellStyle name="Data 2 3 4 9 4 2" xfId="2420" xr:uid="{00000000-0005-0000-0000-00008A0F0000}"/>
    <cellStyle name="Data 2 3 4 9 5" xfId="2421" xr:uid="{00000000-0005-0000-0000-00008B0F0000}"/>
    <cellStyle name="Data 2 3 4 9 5 2" xfId="2422" xr:uid="{00000000-0005-0000-0000-00008C0F0000}"/>
    <cellStyle name="Data 2 3 4 9 6" xfId="2423" xr:uid="{00000000-0005-0000-0000-00008D0F0000}"/>
    <cellStyle name="Data 2 3 4 9 6 2" xfId="2424" xr:uid="{00000000-0005-0000-0000-00008E0F0000}"/>
    <cellStyle name="Data 2 3 4 9 7" xfId="2425" xr:uid="{00000000-0005-0000-0000-00008F0F0000}"/>
    <cellStyle name="Data 2 3 4 9 7 2" xfId="2426" xr:uid="{00000000-0005-0000-0000-0000900F0000}"/>
    <cellStyle name="Data 2 3 4 9 8" xfId="2427" xr:uid="{00000000-0005-0000-0000-0000910F0000}"/>
    <cellStyle name="Data 2 3 4 9 8 2" xfId="2428" xr:uid="{00000000-0005-0000-0000-0000920F0000}"/>
    <cellStyle name="Data 2 3 4 9 9" xfId="2429" xr:uid="{00000000-0005-0000-0000-0000930F0000}"/>
    <cellStyle name="Data 2 3 4 9 9 2" xfId="2430" xr:uid="{00000000-0005-0000-0000-0000940F0000}"/>
    <cellStyle name="Data 2 3 5" xfId="2431" xr:uid="{00000000-0005-0000-0000-0000950F0000}"/>
    <cellStyle name="Data 2 3 5 10" xfId="2432" xr:uid="{00000000-0005-0000-0000-0000960F0000}"/>
    <cellStyle name="Data 2 3 5 10 2" xfId="2433" xr:uid="{00000000-0005-0000-0000-0000970F0000}"/>
    <cellStyle name="Data 2 3 5 10 2 2" xfId="2434" xr:uid="{00000000-0005-0000-0000-0000980F0000}"/>
    <cellStyle name="Data 2 3 5 10 3" xfId="2435" xr:uid="{00000000-0005-0000-0000-0000990F0000}"/>
    <cellStyle name="Data 2 3 5 10 3 2" xfId="2436" xr:uid="{00000000-0005-0000-0000-00009A0F0000}"/>
    <cellStyle name="Data 2 3 5 10 4" xfId="2437" xr:uid="{00000000-0005-0000-0000-00009B0F0000}"/>
    <cellStyle name="Data 2 3 5 10 4 2" xfId="2438" xr:uid="{00000000-0005-0000-0000-00009C0F0000}"/>
    <cellStyle name="Data 2 3 5 10 5" xfId="2439" xr:uid="{00000000-0005-0000-0000-00009D0F0000}"/>
    <cellStyle name="Data 2 3 5 10 5 2" xfId="2440" xr:uid="{00000000-0005-0000-0000-00009E0F0000}"/>
    <cellStyle name="Data 2 3 5 10 6" xfId="2441" xr:uid="{00000000-0005-0000-0000-00009F0F0000}"/>
    <cellStyle name="Data 2 3 5 10 6 2" xfId="2442" xr:uid="{00000000-0005-0000-0000-0000A00F0000}"/>
    <cellStyle name="Data 2 3 5 10 7" xfId="2443" xr:uid="{00000000-0005-0000-0000-0000A10F0000}"/>
    <cellStyle name="Data 2 3 5 10 7 2" xfId="2444" xr:uid="{00000000-0005-0000-0000-0000A20F0000}"/>
    <cellStyle name="Data 2 3 5 10 8" xfId="2445" xr:uid="{00000000-0005-0000-0000-0000A30F0000}"/>
    <cellStyle name="Data 2 3 5 10 8 2" xfId="2446" xr:uid="{00000000-0005-0000-0000-0000A40F0000}"/>
    <cellStyle name="Data 2 3 5 10 9" xfId="2447" xr:uid="{00000000-0005-0000-0000-0000A50F0000}"/>
    <cellStyle name="Data 2 3 5 11" xfId="2448" xr:uid="{00000000-0005-0000-0000-0000A60F0000}"/>
    <cellStyle name="Data 2 3 5 11 2" xfId="2449" xr:uid="{00000000-0005-0000-0000-0000A70F0000}"/>
    <cellStyle name="Data 2 3 5 12" xfId="2450" xr:uid="{00000000-0005-0000-0000-0000A80F0000}"/>
    <cellStyle name="Data 2 3 5 12 2" xfId="2451" xr:uid="{00000000-0005-0000-0000-0000A90F0000}"/>
    <cellStyle name="Data 2 3 5 13" xfId="2452" xr:uid="{00000000-0005-0000-0000-0000AA0F0000}"/>
    <cellStyle name="Data 2 3 5 13 2" xfId="2453" xr:uid="{00000000-0005-0000-0000-0000AB0F0000}"/>
    <cellStyle name="Data 2 3 5 14" xfId="2454" xr:uid="{00000000-0005-0000-0000-0000AC0F0000}"/>
    <cellStyle name="Data 2 3 5 14 2" xfId="2455" xr:uid="{00000000-0005-0000-0000-0000AD0F0000}"/>
    <cellStyle name="Data 2 3 5 15" xfId="2456" xr:uid="{00000000-0005-0000-0000-0000AE0F0000}"/>
    <cellStyle name="Data 2 3 5 15 2" xfId="2457" xr:uid="{00000000-0005-0000-0000-0000AF0F0000}"/>
    <cellStyle name="Data 2 3 5 16" xfId="2458" xr:uid="{00000000-0005-0000-0000-0000B00F0000}"/>
    <cellStyle name="Data 2 3 5 16 2" xfId="2459" xr:uid="{00000000-0005-0000-0000-0000B10F0000}"/>
    <cellStyle name="Data 2 3 5 17" xfId="2460" xr:uid="{00000000-0005-0000-0000-0000B20F0000}"/>
    <cellStyle name="Data 2 3 5 17 2" xfId="2461" xr:uid="{00000000-0005-0000-0000-0000B30F0000}"/>
    <cellStyle name="Data 2 3 5 18" xfId="2462" xr:uid="{00000000-0005-0000-0000-0000B40F0000}"/>
    <cellStyle name="Data 2 3 5 2" xfId="2463" xr:uid="{00000000-0005-0000-0000-0000B50F0000}"/>
    <cellStyle name="Data 2 3 5 2 10" xfId="2464" xr:uid="{00000000-0005-0000-0000-0000B60F0000}"/>
    <cellStyle name="Data 2 3 5 2 2" xfId="2465" xr:uid="{00000000-0005-0000-0000-0000B70F0000}"/>
    <cellStyle name="Data 2 3 5 2 2 2" xfId="2466" xr:uid="{00000000-0005-0000-0000-0000B80F0000}"/>
    <cellStyle name="Data 2 3 5 2 3" xfId="2467" xr:uid="{00000000-0005-0000-0000-0000B90F0000}"/>
    <cellStyle name="Data 2 3 5 2 3 2" xfId="2468" xr:uid="{00000000-0005-0000-0000-0000BA0F0000}"/>
    <cellStyle name="Data 2 3 5 2 4" xfId="2469" xr:uid="{00000000-0005-0000-0000-0000BB0F0000}"/>
    <cellStyle name="Data 2 3 5 2 4 2" xfId="2470" xr:uid="{00000000-0005-0000-0000-0000BC0F0000}"/>
    <cellStyle name="Data 2 3 5 2 5" xfId="2471" xr:uid="{00000000-0005-0000-0000-0000BD0F0000}"/>
    <cellStyle name="Data 2 3 5 2 5 2" xfId="2472" xr:uid="{00000000-0005-0000-0000-0000BE0F0000}"/>
    <cellStyle name="Data 2 3 5 2 6" xfId="2473" xr:uid="{00000000-0005-0000-0000-0000BF0F0000}"/>
    <cellStyle name="Data 2 3 5 2 6 2" xfId="2474" xr:uid="{00000000-0005-0000-0000-0000C00F0000}"/>
    <cellStyle name="Data 2 3 5 2 7" xfId="2475" xr:uid="{00000000-0005-0000-0000-0000C10F0000}"/>
    <cellStyle name="Data 2 3 5 2 7 2" xfId="2476" xr:uid="{00000000-0005-0000-0000-0000C20F0000}"/>
    <cellStyle name="Data 2 3 5 2 8" xfId="2477" xr:uid="{00000000-0005-0000-0000-0000C30F0000}"/>
    <cellStyle name="Data 2 3 5 2 8 2" xfId="2478" xr:uid="{00000000-0005-0000-0000-0000C40F0000}"/>
    <cellStyle name="Data 2 3 5 2 9" xfId="2479" xr:uid="{00000000-0005-0000-0000-0000C50F0000}"/>
    <cellStyle name="Data 2 3 5 2 9 2" xfId="2480" xr:uid="{00000000-0005-0000-0000-0000C60F0000}"/>
    <cellStyle name="Data 2 3 5 3" xfId="2481" xr:uid="{00000000-0005-0000-0000-0000C70F0000}"/>
    <cellStyle name="Data 2 3 5 3 10" xfId="2482" xr:uid="{00000000-0005-0000-0000-0000C80F0000}"/>
    <cellStyle name="Data 2 3 5 3 2" xfId="2483" xr:uid="{00000000-0005-0000-0000-0000C90F0000}"/>
    <cellStyle name="Data 2 3 5 3 2 2" xfId="2484" xr:uid="{00000000-0005-0000-0000-0000CA0F0000}"/>
    <cellStyle name="Data 2 3 5 3 3" xfId="2485" xr:uid="{00000000-0005-0000-0000-0000CB0F0000}"/>
    <cellStyle name="Data 2 3 5 3 3 2" xfId="2486" xr:uid="{00000000-0005-0000-0000-0000CC0F0000}"/>
    <cellStyle name="Data 2 3 5 3 4" xfId="2487" xr:uid="{00000000-0005-0000-0000-0000CD0F0000}"/>
    <cellStyle name="Data 2 3 5 3 4 2" xfId="2488" xr:uid="{00000000-0005-0000-0000-0000CE0F0000}"/>
    <cellStyle name="Data 2 3 5 3 5" xfId="2489" xr:uid="{00000000-0005-0000-0000-0000CF0F0000}"/>
    <cellStyle name="Data 2 3 5 3 5 2" xfId="2490" xr:uid="{00000000-0005-0000-0000-0000D00F0000}"/>
    <cellStyle name="Data 2 3 5 3 6" xfId="2491" xr:uid="{00000000-0005-0000-0000-0000D10F0000}"/>
    <cellStyle name="Data 2 3 5 3 6 2" xfId="2492" xr:uid="{00000000-0005-0000-0000-0000D20F0000}"/>
    <cellStyle name="Data 2 3 5 3 7" xfId="2493" xr:uid="{00000000-0005-0000-0000-0000D30F0000}"/>
    <cellStyle name="Data 2 3 5 3 7 2" xfId="2494" xr:uid="{00000000-0005-0000-0000-0000D40F0000}"/>
    <cellStyle name="Data 2 3 5 3 8" xfId="2495" xr:uid="{00000000-0005-0000-0000-0000D50F0000}"/>
    <cellStyle name="Data 2 3 5 3 8 2" xfId="2496" xr:uid="{00000000-0005-0000-0000-0000D60F0000}"/>
    <cellStyle name="Data 2 3 5 3 9" xfId="2497" xr:uid="{00000000-0005-0000-0000-0000D70F0000}"/>
    <cellStyle name="Data 2 3 5 3 9 2" xfId="2498" xr:uid="{00000000-0005-0000-0000-0000D80F0000}"/>
    <cellStyle name="Data 2 3 5 4" xfId="2499" xr:uid="{00000000-0005-0000-0000-0000D90F0000}"/>
    <cellStyle name="Data 2 3 5 4 10" xfId="2500" xr:uid="{00000000-0005-0000-0000-0000DA0F0000}"/>
    <cellStyle name="Data 2 3 5 4 2" xfId="2501" xr:uid="{00000000-0005-0000-0000-0000DB0F0000}"/>
    <cellStyle name="Data 2 3 5 4 2 2" xfId="2502" xr:uid="{00000000-0005-0000-0000-0000DC0F0000}"/>
    <cellStyle name="Data 2 3 5 4 3" xfId="2503" xr:uid="{00000000-0005-0000-0000-0000DD0F0000}"/>
    <cellStyle name="Data 2 3 5 4 3 2" xfId="2504" xr:uid="{00000000-0005-0000-0000-0000DE0F0000}"/>
    <cellStyle name="Data 2 3 5 4 4" xfId="2505" xr:uid="{00000000-0005-0000-0000-0000DF0F0000}"/>
    <cellStyle name="Data 2 3 5 4 4 2" xfId="2506" xr:uid="{00000000-0005-0000-0000-0000E00F0000}"/>
    <cellStyle name="Data 2 3 5 4 5" xfId="2507" xr:uid="{00000000-0005-0000-0000-0000E10F0000}"/>
    <cellStyle name="Data 2 3 5 4 5 2" xfId="2508" xr:uid="{00000000-0005-0000-0000-0000E20F0000}"/>
    <cellStyle name="Data 2 3 5 4 6" xfId="2509" xr:uid="{00000000-0005-0000-0000-0000E30F0000}"/>
    <cellStyle name="Data 2 3 5 4 6 2" xfId="2510" xr:uid="{00000000-0005-0000-0000-0000E40F0000}"/>
    <cellStyle name="Data 2 3 5 4 7" xfId="2511" xr:uid="{00000000-0005-0000-0000-0000E50F0000}"/>
    <cellStyle name="Data 2 3 5 4 7 2" xfId="2512" xr:uid="{00000000-0005-0000-0000-0000E60F0000}"/>
    <cellStyle name="Data 2 3 5 4 8" xfId="2513" xr:uid="{00000000-0005-0000-0000-0000E70F0000}"/>
    <cellStyle name="Data 2 3 5 4 8 2" xfId="2514" xr:uid="{00000000-0005-0000-0000-0000E80F0000}"/>
    <cellStyle name="Data 2 3 5 4 9" xfId="2515" xr:uid="{00000000-0005-0000-0000-0000E90F0000}"/>
    <cellStyle name="Data 2 3 5 4 9 2" xfId="2516" xr:uid="{00000000-0005-0000-0000-0000EA0F0000}"/>
    <cellStyle name="Data 2 3 5 5" xfId="2517" xr:uid="{00000000-0005-0000-0000-0000EB0F0000}"/>
    <cellStyle name="Data 2 3 5 5 10" xfId="2518" xr:uid="{00000000-0005-0000-0000-0000EC0F0000}"/>
    <cellStyle name="Data 2 3 5 5 2" xfId="2519" xr:uid="{00000000-0005-0000-0000-0000ED0F0000}"/>
    <cellStyle name="Data 2 3 5 5 2 2" xfId="2520" xr:uid="{00000000-0005-0000-0000-0000EE0F0000}"/>
    <cellStyle name="Data 2 3 5 5 3" xfId="2521" xr:uid="{00000000-0005-0000-0000-0000EF0F0000}"/>
    <cellStyle name="Data 2 3 5 5 3 2" xfId="2522" xr:uid="{00000000-0005-0000-0000-0000F00F0000}"/>
    <cellStyle name="Data 2 3 5 5 4" xfId="2523" xr:uid="{00000000-0005-0000-0000-0000F10F0000}"/>
    <cellStyle name="Data 2 3 5 5 4 2" xfId="2524" xr:uid="{00000000-0005-0000-0000-0000F20F0000}"/>
    <cellStyle name="Data 2 3 5 5 5" xfId="2525" xr:uid="{00000000-0005-0000-0000-0000F30F0000}"/>
    <cellStyle name="Data 2 3 5 5 5 2" xfId="2526" xr:uid="{00000000-0005-0000-0000-0000F40F0000}"/>
    <cellStyle name="Data 2 3 5 5 6" xfId="2527" xr:uid="{00000000-0005-0000-0000-0000F50F0000}"/>
    <cellStyle name="Data 2 3 5 5 6 2" xfId="2528" xr:uid="{00000000-0005-0000-0000-0000F60F0000}"/>
    <cellStyle name="Data 2 3 5 5 7" xfId="2529" xr:uid="{00000000-0005-0000-0000-0000F70F0000}"/>
    <cellStyle name="Data 2 3 5 5 7 2" xfId="2530" xr:uid="{00000000-0005-0000-0000-0000F80F0000}"/>
    <cellStyle name="Data 2 3 5 5 8" xfId="2531" xr:uid="{00000000-0005-0000-0000-0000F90F0000}"/>
    <cellStyle name="Data 2 3 5 5 8 2" xfId="2532" xr:uid="{00000000-0005-0000-0000-0000FA0F0000}"/>
    <cellStyle name="Data 2 3 5 5 9" xfId="2533" xr:uid="{00000000-0005-0000-0000-0000FB0F0000}"/>
    <cellStyle name="Data 2 3 5 5 9 2" xfId="2534" xr:uid="{00000000-0005-0000-0000-0000FC0F0000}"/>
    <cellStyle name="Data 2 3 5 6" xfId="2535" xr:uid="{00000000-0005-0000-0000-0000FD0F0000}"/>
    <cellStyle name="Data 2 3 5 6 10" xfId="2536" xr:uid="{00000000-0005-0000-0000-0000FE0F0000}"/>
    <cellStyle name="Data 2 3 5 6 2" xfId="2537" xr:uid="{00000000-0005-0000-0000-0000FF0F0000}"/>
    <cellStyle name="Data 2 3 5 6 2 2" xfId="2538" xr:uid="{00000000-0005-0000-0000-000000100000}"/>
    <cellStyle name="Data 2 3 5 6 3" xfId="2539" xr:uid="{00000000-0005-0000-0000-000001100000}"/>
    <cellStyle name="Data 2 3 5 6 3 2" xfId="2540" xr:uid="{00000000-0005-0000-0000-000002100000}"/>
    <cellStyle name="Data 2 3 5 6 4" xfId="2541" xr:uid="{00000000-0005-0000-0000-000003100000}"/>
    <cellStyle name="Data 2 3 5 6 4 2" xfId="2542" xr:uid="{00000000-0005-0000-0000-000004100000}"/>
    <cellStyle name="Data 2 3 5 6 5" xfId="2543" xr:uid="{00000000-0005-0000-0000-000005100000}"/>
    <cellStyle name="Data 2 3 5 6 5 2" xfId="2544" xr:uid="{00000000-0005-0000-0000-000006100000}"/>
    <cellStyle name="Data 2 3 5 6 6" xfId="2545" xr:uid="{00000000-0005-0000-0000-000007100000}"/>
    <cellStyle name="Data 2 3 5 6 6 2" xfId="2546" xr:uid="{00000000-0005-0000-0000-000008100000}"/>
    <cellStyle name="Data 2 3 5 6 7" xfId="2547" xr:uid="{00000000-0005-0000-0000-000009100000}"/>
    <cellStyle name="Data 2 3 5 6 7 2" xfId="2548" xr:uid="{00000000-0005-0000-0000-00000A100000}"/>
    <cellStyle name="Data 2 3 5 6 8" xfId="2549" xr:uid="{00000000-0005-0000-0000-00000B100000}"/>
    <cellStyle name="Data 2 3 5 6 8 2" xfId="2550" xr:uid="{00000000-0005-0000-0000-00000C100000}"/>
    <cellStyle name="Data 2 3 5 6 9" xfId="2551" xr:uid="{00000000-0005-0000-0000-00000D100000}"/>
    <cellStyle name="Data 2 3 5 6 9 2" xfId="2552" xr:uid="{00000000-0005-0000-0000-00000E100000}"/>
    <cellStyle name="Data 2 3 5 7" xfId="2553" xr:uid="{00000000-0005-0000-0000-00000F100000}"/>
    <cellStyle name="Data 2 3 5 7 10" xfId="2554" xr:uid="{00000000-0005-0000-0000-000010100000}"/>
    <cellStyle name="Data 2 3 5 7 2" xfId="2555" xr:uid="{00000000-0005-0000-0000-000011100000}"/>
    <cellStyle name="Data 2 3 5 7 2 2" xfId="2556" xr:uid="{00000000-0005-0000-0000-000012100000}"/>
    <cellStyle name="Data 2 3 5 7 3" xfId="2557" xr:uid="{00000000-0005-0000-0000-000013100000}"/>
    <cellStyle name="Data 2 3 5 7 3 2" xfId="2558" xr:uid="{00000000-0005-0000-0000-000014100000}"/>
    <cellStyle name="Data 2 3 5 7 4" xfId="2559" xr:uid="{00000000-0005-0000-0000-000015100000}"/>
    <cellStyle name="Data 2 3 5 7 4 2" xfId="2560" xr:uid="{00000000-0005-0000-0000-000016100000}"/>
    <cellStyle name="Data 2 3 5 7 5" xfId="2561" xr:uid="{00000000-0005-0000-0000-000017100000}"/>
    <cellStyle name="Data 2 3 5 7 5 2" xfId="2562" xr:uid="{00000000-0005-0000-0000-000018100000}"/>
    <cellStyle name="Data 2 3 5 7 6" xfId="2563" xr:uid="{00000000-0005-0000-0000-000019100000}"/>
    <cellStyle name="Data 2 3 5 7 6 2" xfId="2564" xr:uid="{00000000-0005-0000-0000-00001A100000}"/>
    <cellStyle name="Data 2 3 5 7 7" xfId="2565" xr:uid="{00000000-0005-0000-0000-00001B100000}"/>
    <cellStyle name="Data 2 3 5 7 7 2" xfId="2566" xr:uid="{00000000-0005-0000-0000-00001C100000}"/>
    <cellStyle name="Data 2 3 5 7 8" xfId="2567" xr:uid="{00000000-0005-0000-0000-00001D100000}"/>
    <cellStyle name="Data 2 3 5 7 8 2" xfId="2568" xr:uid="{00000000-0005-0000-0000-00001E100000}"/>
    <cellStyle name="Data 2 3 5 7 9" xfId="2569" xr:uid="{00000000-0005-0000-0000-00001F100000}"/>
    <cellStyle name="Data 2 3 5 7 9 2" xfId="2570" xr:uid="{00000000-0005-0000-0000-000020100000}"/>
    <cellStyle name="Data 2 3 5 8" xfId="2571" xr:uid="{00000000-0005-0000-0000-000021100000}"/>
    <cellStyle name="Data 2 3 5 8 10" xfId="2572" xr:uid="{00000000-0005-0000-0000-000022100000}"/>
    <cellStyle name="Data 2 3 5 8 2" xfId="2573" xr:uid="{00000000-0005-0000-0000-000023100000}"/>
    <cellStyle name="Data 2 3 5 8 2 2" xfId="2574" xr:uid="{00000000-0005-0000-0000-000024100000}"/>
    <cellStyle name="Data 2 3 5 8 3" xfId="2575" xr:uid="{00000000-0005-0000-0000-000025100000}"/>
    <cellStyle name="Data 2 3 5 8 3 2" xfId="2576" xr:uid="{00000000-0005-0000-0000-000026100000}"/>
    <cellStyle name="Data 2 3 5 8 4" xfId="2577" xr:uid="{00000000-0005-0000-0000-000027100000}"/>
    <cellStyle name="Data 2 3 5 8 4 2" xfId="2578" xr:uid="{00000000-0005-0000-0000-000028100000}"/>
    <cellStyle name="Data 2 3 5 8 5" xfId="2579" xr:uid="{00000000-0005-0000-0000-000029100000}"/>
    <cellStyle name="Data 2 3 5 8 5 2" xfId="2580" xr:uid="{00000000-0005-0000-0000-00002A100000}"/>
    <cellStyle name="Data 2 3 5 8 6" xfId="2581" xr:uid="{00000000-0005-0000-0000-00002B100000}"/>
    <cellStyle name="Data 2 3 5 8 6 2" xfId="2582" xr:uid="{00000000-0005-0000-0000-00002C100000}"/>
    <cellStyle name="Data 2 3 5 8 7" xfId="2583" xr:uid="{00000000-0005-0000-0000-00002D100000}"/>
    <cellStyle name="Data 2 3 5 8 7 2" xfId="2584" xr:uid="{00000000-0005-0000-0000-00002E100000}"/>
    <cellStyle name="Data 2 3 5 8 8" xfId="2585" xr:uid="{00000000-0005-0000-0000-00002F100000}"/>
    <cellStyle name="Data 2 3 5 8 8 2" xfId="2586" xr:uid="{00000000-0005-0000-0000-000030100000}"/>
    <cellStyle name="Data 2 3 5 8 9" xfId="2587" xr:uid="{00000000-0005-0000-0000-000031100000}"/>
    <cellStyle name="Data 2 3 5 8 9 2" xfId="2588" xr:uid="{00000000-0005-0000-0000-000032100000}"/>
    <cellStyle name="Data 2 3 5 9" xfId="2589" xr:uid="{00000000-0005-0000-0000-000033100000}"/>
    <cellStyle name="Data 2 3 5 9 10" xfId="2590" xr:uid="{00000000-0005-0000-0000-000034100000}"/>
    <cellStyle name="Data 2 3 5 9 2" xfId="2591" xr:uid="{00000000-0005-0000-0000-000035100000}"/>
    <cellStyle name="Data 2 3 5 9 2 2" xfId="2592" xr:uid="{00000000-0005-0000-0000-000036100000}"/>
    <cellStyle name="Data 2 3 5 9 3" xfId="2593" xr:uid="{00000000-0005-0000-0000-000037100000}"/>
    <cellStyle name="Data 2 3 5 9 3 2" xfId="2594" xr:uid="{00000000-0005-0000-0000-000038100000}"/>
    <cellStyle name="Data 2 3 5 9 4" xfId="2595" xr:uid="{00000000-0005-0000-0000-000039100000}"/>
    <cellStyle name="Data 2 3 5 9 4 2" xfId="2596" xr:uid="{00000000-0005-0000-0000-00003A100000}"/>
    <cellStyle name="Data 2 3 5 9 5" xfId="2597" xr:uid="{00000000-0005-0000-0000-00003B100000}"/>
    <cellStyle name="Data 2 3 5 9 5 2" xfId="2598" xr:uid="{00000000-0005-0000-0000-00003C100000}"/>
    <cellStyle name="Data 2 3 5 9 6" xfId="2599" xr:uid="{00000000-0005-0000-0000-00003D100000}"/>
    <cellStyle name="Data 2 3 5 9 6 2" xfId="2600" xr:uid="{00000000-0005-0000-0000-00003E100000}"/>
    <cellStyle name="Data 2 3 5 9 7" xfId="2601" xr:uid="{00000000-0005-0000-0000-00003F100000}"/>
    <cellStyle name="Data 2 3 5 9 7 2" xfId="2602" xr:uid="{00000000-0005-0000-0000-000040100000}"/>
    <cellStyle name="Data 2 3 5 9 8" xfId="2603" xr:uid="{00000000-0005-0000-0000-000041100000}"/>
    <cellStyle name="Data 2 3 5 9 8 2" xfId="2604" xr:uid="{00000000-0005-0000-0000-000042100000}"/>
    <cellStyle name="Data 2 3 5 9 9" xfId="2605" xr:uid="{00000000-0005-0000-0000-000043100000}"/>
    <cellStyle name="Data 2 3 5 9 9 2" xfId="2606" xr:uid="{00000000-0005-0000-0000-000044100000}"/>
    <cellStyle name="Data 2 3 6" xfId="2607" xr:uid="{00000000-0005-0000-0000-000045100000}"/>
    <cellStyle name="Data 2 3 6 10" xfId="2608" xr:uid="{00000000-0005-0000-0000-000046100000}"/>
    <cellStyle name="Data 2 3 6 10 2" xfId="2609" xr:uid="{00000000-0005-0000-0000-000047100000}"/>
    <cellStyle name="Data 2 3 6 10 2 2" xfId="2610" xr:uid="{00000000-0005-0000-0000-000048100000}"/>
    <cellStyle name="Data 2 3 6 10 3" xfId="2611" xr:uid="{00000000-0005-0000-0000-000049100000}"/>
    <cellStyle name="Data 2 3 6 10 3 2" xfId="2612" xr:uid="{00000000-0005-0000-0000-00004A100000}"/>
    <cellStyle name="Data 2 3 6 10 4" xfId="2613" xr:uid="{00000000-0005-0000-0000-00004B100000}"/>
    <cellStyle name="Data 2 3 6 10 4 2" xfId="2614" xr:uid="{00000000-0005-0000-0000-00004C100000}"/>
    <cellStyle name="Data 2 3 6 10 5" xfId="2615" xr:uid="{00000000-0005-0000-0000-00004D100000}"/>
    <cellStyle name="Data 2 3 6 10 5 2" xfId="2616" xr:uid="{00000000-0005-0000-0000-00004E100000}"/>
    <cellStyle name="Data 2 3 6 10 6" xfId="2617" xr:uid="{00000000-0005-0000-0000-00004F100000}"/>
    <cellStyle name="Data 2 3 6 10 6 2" xfId="2618" xr:uid="{00000000-0005-0000-0000-000050100000}"/>
    <cellStyle name="Data 2 3 6 10 7" xfId="2619" xr:uid="{00000000-0005-0000-0000-000051100000}"/>
    <cellStyle name="Data 2 3 6 10 7 2" xfId="2620" xr:uid="{00000000-0005-0000-0000-000052100000}"/>
    <cellStyle name="Data 2 3 6 10 8" xfId="2621" xr:uid="{00000000-0005-0000-0000-000053100000}"/>
    <cellStyle name="Data 2 3 6 10 8 2" xfId="2622" xr:uid="{00000000-0005-0000-0000-000054100000}"/>
    <cellStyle name="Data 2 3 6 10 9" xfId="2623" xr:uid="{00000000-0005-0000-0000-000055100000}"/>
    <cellStyle name="Data 2 3 6 11" xfId="2624" xr:uid="{00000000-0005-0000-0000-000056100000}"/>
    <cellStyle name="Data 2 3 6 11 2" xfId="2625" xr:uid="{00000000-0005-0000-0000-000057100000}"/>
    <cellStyle name="Data 2 3 6 12" xfId="2626" xr:uid="{00000000-0005-0000-0000-000058100000}"/>
    <cellStyle name="Data 2 3 6 12 2" xfId="2627" xr:uid="{00000000-0005-0000-0000-000059100000}"/>
    <cellStyle name="Data 2 3 6 13" xfId="2628" xr:uid="{00000000-0005-0000-0000-00005A100000}"/>
    <cellStyle name="Data 2 3 6 13 2" xfId="2629" xr:uid="{00000000-0005-0000-0000-00005B100000}"/>
    <cellStyle name="Data 2 3 6 14" xfId="2630" xr:uid="{00000000-0005-0000-0000-00005C100000}"/>
    <cellStyle name="Data 2 3 6 14 2" xfId="2631" xr:uid="{00000000-0005-0000-0000-00005D100000}"/>
    <cellStyle name="Data 2 3 6 15" xfId="2632" xr:uid="{00000000-0005-0000-0000-00005E100000}"/>
    <cellStyle name="Data 2 3 6 15 2" xfId="2633" xr:uid="{00000000-0005-0000-0000-00005F100000}"/>
    <cellStyle name="Data 2 3 6 16" xfId="2634" xr:uid="{00000000-0005-0000-0000-000060100000}"/>
    <cellStyle name="Data 2 3 6 16 2" xfId="2635" xr:uid="{00000000-0005-0000-0000-000061100000}"/>
    <cellStyle name="Data 2 3 6 17" xfId="2636" xr:uid="{00000000-0005-0000-0000-000062100000}"/>
    <cellStyle name="Data 2 3 6 17 2" xfId="2637" xr:uid="{00000000-0005-0000-0000-000063100000}"/>
    <cellStyle name="Data 2 3 6 18" xfId="2638" xr:uid="{00000000-0005-0000-0000-000064100000}"/>
    <cellStyle name="Data 2 3 6 2" xfId="2639" xr:uid="{00000000-0005-0000-0000-000065100000}"/>
    <cellStyle name="Data 2 3 6 2 10" xfId="2640" xr:uid="{00000000-0005-0000-0000-000066100000}"/>
    <cellStyle name="Data 2 3 6 2 2" xfId="2641" xr:uid="{00000000-0005-0000-0000-000067100000}"/>
    <cellStyle name="Data 2 3 6 2 2 2" xfId="2642" xr:uid="{00000000-0005-0000-0000-000068100000}"/>
    <cellStyle name="Data 2 3 6 2 3" xfId="2643" xr:uid="{00000000-0005-0000-0000-000069100000}"/>
    <cellStyle name="Data 2 3 6 2 3 2" xfId="2644" xr:uid="{00000000-0005-0000-0000-00006A100000}"/>
    <cellStyle name="Data 2 3 6 2 4" xfId="2645" xr:uid="{00000000-0005-0000-0000-00006B100000}"/>
    <cellStyle name="Data 2 3 6 2 4 2" xfId="2646" xr:uid="{00000000-0005-0000-0000-00006C100000}"/>
    <cellStyle name="Data 2 3 6 2 5" xfId="2647" xr:uid="{00000000-0005-0000-0000-00006D100000}"/>
    <cellStyle name="Data 2 3 6 2 5 2" xfId="2648" xr:uid="{00000000-0005-0000-0000-00006E100000}"/>
    <cellStyle name="Data 2 3 6 2 6" xfId="2649" xr:uid="{00000000-0005-0000-0000-00006F100000}"/>
    <cellStyle name="Data 2 3 6 2 6 2" xfId="2650" xr:uid="{00000000-0005-0000-0000-000070100000}"/>
    <cellStyle name="Data 2 3 6 2 7" xfId="2651" xr:uid="{00000000-0005-0000-0000-000071100000}"/>
    <cellStyle name="Data 2 3 6 2 7 2" xfId="2652" xr:uid="{00000000-0005-0000-0000-000072100000}"/>
    <cellStyle name="Data 2 3 6 2 8" xfId="2653" xr:uid="{00000000-0005-0000-0000-000073100000}"/>
    <cellStyle name="Data 2 3 6 2 8 2" xfId="2654" xr:uid="{00000000-0005-0000-0000-000074100000}"/>
    <cellStyle name="Data 2 3 6 2 9" xfId="2655" xr:uid="{00000000-0005-0000-0000-000075100000}"/>
    <cellStyle name="Data 2 3 6 2 9 2" xfId="2656" xr:uid="{00000000-0005-0000-0000-000076100000}"/>
    <cellStyle name="Data 2 3 6 3" xfId="2657" xr:uid="{00000000-0005-0000-0000-000077100000}"/>
    <cellStyle name="Data 2 3 6 3 10" xfId="2658" xr:uid="{00000000-0005-0000-0000-000078100000}"/>
    <cellStyle name="Data 2 3 6 3 2" xfId="2659" xr:uid="{00000000-0005-0000-0000-000079100000}"/>
    <cellStyle name="Data 2 3 6 3 2 2" xfId="2660" xr:uid="{00000000-0005-0000-0000-00007A100000}"/>
    <cellStyle name="Data 2 3 6 3 3" xfId="2661" xr:uid="{00000000-0005-0000-0000-00007B100000}"/>
    <cellStyle name="Data 2 3 6 3 3 2" xfId="2662" xr:uid="{00000000-0005-0000-0000-00007C100000}"/>
    <cellStyle name="Data 2 3 6 3 4" xfId="2663" xr:uid="{00000000-0005-0000-0000-00007D100000}"/>
    <cellStyle name="Data 2 3 6 3 4 2" xfId="2664" xr:uid="{00000000-0005-0000-0000-00007E100000}"/>
    <cellStyle name="Data 2 3 6 3 5" xfId="2665" xr:uid="{00000000-0005-0000-0000-00007F100000}"/>
    <cellStyle name="Data 2 3 6 3 5 2" xfId="2666" xr:uid="{00000000-0005-0000-0000-000080100000}"/>
    <cellStyle name="Data 2 3 6 3 6" xfId="2667" xr:uid="{00000000-0005-0000-0000-000081100000}"/>
    <cellStyle name="Data 2 3 6 3 6 2" xfId="2668" xr:uid="{00000000-0005-0000-0000-000082100000}"/>
    <cellStyle name="Data 2 3 6 3 7" xfId="2669" xr:uid="{00000000-0005-0000-0000-000083100000}"/>
    <cellStyle name="Data 2 3 6 3 7 2" xfId="2670" xr:uid="{00000000-0005-0000-0000-000084100000}"/>
    <cellStyle name="Data 2 3 6 3 8" xfId="2671" xr:uid="{00000000-0005-0000-0000-000085100000}"/>
    <cellStyle name="Data 2 3 6 3 8 2" xfId="2672" xr:uid="{00000000-0005-0000-0000-000086100000}"/>
    <cellStyle name="Data 2 3 6 3 9" xfId="2673" xr:uid="{00000000-0005-0000-0000-000087100000}"/>
    <cellStyle name="Data 2 3 6 3 9 2" xfId="2674" xr:uid="{00000000-0005-0000-0000-000088100000}"/>
    <cellStyle name="Data 2 3 6 4" xfId="2675" xr:uid="{00000000-0005-0000-0000-000089100000}"/>
    <cellStyle name="Data 2 3 6 4 10" xfId="2676" xr:uid="{00000000-0005-0000-0000-00008A100000}"/>
    <cellStyle name="Data 2 3 6 4 2" xfId="2677" xr:uid="{00000000-0005-0000-0000-00008B100000}"/>
    <cellStyle name="Data 2 3 6 4 2 2" xfId="2678" xr:uid="{00000000-0005-0000-0000-00008C100000}"/>
    <cellStyle name="Data 2 3 6 4 3" xfId="2679" xr:uid="{00000000-0005-0000-0000-00008D100000}"/>
    <cellStyle name="Data 2 3 6 4 3 2" xfId="2680" xr:uid="{00000000-0005-0000-0000-00008E100000}"/>
    <cellStyle name="Data 2 3 6 4 4" xfId="2681" xr:uid="{00000000-0005-0000-0000-00008F100000}"/>
    <cellStyle name="Data 2 3 6 4 4 2" xfId="2682" xr:uid="{00000000-0005-0000-0000-000090100000}"/>
    <cellStyle name="Data 2 3 6 4 5" xfId="2683" xr:uid="{00000000-0005-0000-0000-000091100000}"/>
    <cellStyle name="Data 2 3 6 4 5 2" xfId="2684" xr:uid="{00000000-0005-0000-0000-000092100000}"/>
    <cellStyle name="Data 2 3 6 4 6" xfId="2685" xr:uid="{00000000-0005-0000-0000-000093100000}"/>
    <cellStyle name="Data 2 3 6 4 6 2" xfId="2686" xr:uid="{00000000-0005-0000-0000-000094100000}"/>
    <cellStyle name="Data 2 3 6 4 7" xfId="2687" xr:uid="{00000000-0005-0000-0000-000095100000}"/>
    <cellStyle name="Data 2 3 6 4 7 2" xfId="2688" xr:uid="{00000000-0005-0000-0000-000096100000}"/>
    <cellStyle name="Data 2 3 6 4 8" xfId="2689" xr:uid="{00000000-0005-0000-0000-000097100000}"/>
    <cellStyle name="Data 2 3 6 4 8 2" xfId="2690" xr:uid="{00000000-0005-0000-0000-000098100000}"/>
    <cellStyle name="Data 2 3 6 4 9" xfId="2691" xr:uid="{00000000-0005-0000-0000-000099100000}"/>
    <cellStyle name="Data 2 3 6 4 9 2" xfId="2692" xr:uid="{00000000-0005-0000-0000-00009A100000}"/>
    <cellStyle name="Data 2 3 6 5" xfId="2693" xr:uid="{00000000-0005-0000-0000-00009B100000}"/>
    <cellStyle name="Data 2 3 6 5 10" xfId="2694" xr:uid="{00000000-0005-0000-0000-00009C100000}"/>
    <cellStyle name="Data 2 3 6 5 2" xfId="2695" xr:uid="{00000000-0005-0000-0000-00009D100000}"/>
    <cellStyle name="Data 2 3 6 5 2 2" xfId="2696" xr:uid="{00000000-0005-0000-0000-00009E100000}"/>
    <cellStyle name="Data 2 3 6 5 3" xfId="2697" xr:uid="{00000000-0005-0000-0000-00009F100000}"/>
    <cellStyle name="Data 2 3 6 5 3 2" xfId="2698" xr:uid="{00000000-0005-0000-0000-0000A0100000}"/>
    <cellStyle name="Data 2 3 6 5 4" xfId="2699" xr:uid="{00000000-0005-0000-0000-0000A1100000}"/>
    <cellStyle name="Data 2 3 6 5 4 2" xfId="2700" xr:uid="{00000000-0005-0000-0000-0000A2100000}"/>
    <cellStyle name="Data 2 3 6 5 5" xfId="2701" xr:uid="{00000000-0005-0000-0000-0000A3100000}"/>
    <cellStyle name="Data 2 3 6 5 5 2" xfId="2702" xr:uid="{00000000-0005-0000-0000-0000A4100000}"/>
    <cellStyle name="Data 2 3 6 5 6" xfId="2703" xr:uid="{00000000-0005-0000-0000-0000A5100000}"/>
    <cellStyle name="Data 2 3 6 5 6 2" xfId="2704" xr:uid="{00000000-0005-0000-0000-0000A6100000}"/>
    <cellStyle name="Data 2 3 6 5 7" xfId="2705" xr:uid="{00000000-0005-0000-0000-0000A7100000}"/>
    <cellStyle name="Data 2 3 6 5 7 2" xfId="2706" xr:uid="{00000000-0005-0000-0000-0000A8100000}"/>
    <cellStyle name="Data 2 3 6 5 8" xfId="2707" xr:uid="{00000000-0005-0000-0000-0000A9100000}"/>
    <cellStyle name="Data 2 3 6 5 8 2" xfId="2708" xr:uid="{00000000-0005-0000-0000-0000AA100000}"/>
    <cellStyle name="Data 2 3 6 5 9" xfId="2709" xr:uid="{00000000-0005-0000-0000-0000AB100000}"/>
    <cellStyle name="Data 2 3 6 5 9 2" xfId="2710" xr:uid="{00000000-0005-0000-0000-0000AC100000}"/>
    <cellStyle name="Data 2 3 6 6" xfId="2711" xr:uid="{00000000-0005-0000-0000-0000AD100000}"/>
    <cellStyle name="Data 2 3 6 6 10" xfId="2712" xr:uid="{00000000-0005-0000-0000-0000AE100000}"/>
    <cellStyle name="Data 2 3 6 6 2" xfId="2713" xr:uid="{00000000-0005-0000-0000-0000AF100000}"/>
    <cellStyle name="Data 2 3 6 6 2 2" xfId="2714" xr:uid="{00000000-0005-0000-0000-0000B0100000}"/>
    <cellStyle name="Data 2 3 6 6 3" xfId="2715" xr:uid="{00000000-0005-0000-0000-0000B1100000}"/>
    <cellStyle name="Data 2 3 6 6 3 2" xfId="2716" xr:uid="{00000000-0005-0000-0000-0000B2100000}"/>
    <cellStyle name="Data 2 3 6 6 4" xfId="2717" xr:uid="{00000000-0005-0000-0000-0000B3100000}"/>
    <cellStyle name="Data 2 3 6 6 4 2" xfId="2718" xr:uid="{00000000-0005-0000-0000-0000B4100000}"/>
    <cellStyle name="Data 2 3 6 6 5" xfId="2719" xr:uid="{00000000-0005-0000-0000-0000B5100000}"/>
    <cellStyle name="Data 2 3 6 6 5 2" xfId="2720" xr:uid="{00000000-0005-0000-0000-0000B6100000}"/>
    <cellStyle name="Data 2 3 6 6 6" xfId="2721" xr:uid="{00000000-0005-0000-0000-0000B7100000}"/>
    <cellStyle name="Data 2 3 6 6 6 2" xfId="2722" xr:uid="{00000000-0005-0000-0000-0000B8100000}"/>
    <cellStyle name="Data 2 3 6 6 7" xfId="2723" xr:uid="{00000000-0005-0000-0000-0000B9100000}"/>
    <cellStyle name="Data 2 3 6 6 7 2" xfId="2724" xr:uid="{00000000-0005-0000-0000-0000BA100000}"/>
    <cellStyle name="Data 2 3 6 6 8" xfId="2725" xr:uid="{00000000-0005-0000-0000-0000BB100000}"/>
    <cellStyle name="Data 2 3 6 6 8 2" xfId="2726" xr:uid="{00000000-0005-0000-0000-0000BC100000}"/>
    <cellStyle name="Data 2 3 6 6 9" xfId="2727" xr:uid="{00000000-0005-0000-0000-0000BD100000}"/>
    <cellStyle name="Data 2 3 6 6 9 2" xfId="2728" xr:uid="{00000000-0005-0000-0000-0000BE100000}"/>
    <cellStyle name="Data 2 3 6 7" xfId="2729" xr:uid="{00000000-0005-0000-0000-0000BF100000}"/>
    <cellStyle name="Data 2 3 6 7 10" xfId="2730" xr:uid="{00000000-0005-0000-0000-0000C0100000}"/>
    <cellStyle name="Data 2 3 6 7 2" xfId="2731" xr:uid="{00000000-0005-0000-0000-0000C1100000}"/>
    <cellStyle name="Data 2 3 6 7 2 2" xfId="2732" xr:uid="{00000000-0005-0000-0000-0000C2100000}"/>
    <cellStyle name="Data 2 3 6 7 3" xfId="2733" xr:uid="{00000000-0005-0000-0000-0000C3100000}"/>
    <cellStyle name="Data 2 3 6 7 3 2" xfId="2734" xr:uid="{00000000-0005-0000-0000-0000C4100000}"/>
    <cellStyle name="Data 2 3 6 7 4" xfId="2735" xr:uid="{00000000-0005-0000-0000-0000C5100000}"/>
    <cellStyle name="Data 2 3 6 7 4 2" xfId="2736" xr:uid="{00000000-0005-0000-0000-0000C6100000}"/>
    <cellStyle name="Data 2 3 6 7 5" xfId="2737" xr:uid="{00000000-0005-0000-0000-0000C7100000}"/>
    <cellStyle name="Data 2 3 6 7 5 2" xfId="2738" xr:uid="{00000000-0005-0000-0000-0000C8100000}"/>
    <cellStyle name="Data 2 3 6 7 6" xfId="2739" xr:uid="{00000000-0005-0000-0000-0000C9100000}"/>
    <cellStyle name="Data 2 3 6 7 6 2" xfId="2740" xr:uid="{00000000-0005-0000-0000-0000CA100000}"/>
    <cellStyle name="Data 2 3 6 7 7" xfId="2741" xr:uid="{00000000-0005-0000-0000-0000CB100000}"/>
    <cellStyle name="Data 2 3 6 7 7 2" xfId="2742" xr:uid="{00000000-0005-0000-0000-0000CC100000}"/>
    <cellStyle name="Data 2 3 6 7 8" xfId="2743" xr:uid="{00000000-0005-0000-0000-0000CD100000}"/>
    <cellStyle name="Data 2 3 6 7 8 2" xfId="2744" xr:uid="{00000000-0005-0000-0000-0000CE100000}"/>
    <cellStyle name="Data 2 3 6 7 9" xfId="2745" xr:uid="{00000000-0005-0000-0000-0000CF100000}"/>
    <cellStyle name="Data 2 3 6 7 9 2" xfId="2746" xr:uid="{00000000-0005-0000-0000-0000D0100000}"/>
    <cellStyle name="Data 2 3 6 8" xfId="2747" xr:uid="{00000000-0005-0000-0000-0000D1100000}"/>
    <cellStyle name="Data 2 3 6 8 10" xfId="2748" xr:uid="{00000000-0005-0000-0000-0000D2100000}"/>
    <cellStyle name="Data 2 3 6 8 2" xfId="2749" xr:uid="{00000000-0005-0000-0000-0000D3100000}"/>
    <cellStyle name="Data 2 3 6 8 2 2" xfId="2750" xr:uid="{00000000-0005-0000-0000-0000D4100000}"/>
    <cellStyle name="Data 2 3 6 8 3" xfId="2751" xr:uid="{00000000-0005-0000-0000-0000D5100000}"/>
    <cellStyle name="Data 2 3 6 8 3 2" xfId="2752" xr:uid="{00000000-0005-0000-0000-0000D6100000}"/>
    <cellStyle name="Data 2 3 6 8 4" xfId="2753" xr:uid="{00000000-0005-0000-0000-0000D7100000}"/>
    <cellStyle name="Data 2 3 6 8 4 2" xfId="2754" xr:uid="{00000000-0005-0000-0000-0000D8100000}"/>
    <cellStyle name="Data 2 3 6 8 5" xfId="2755" xr:uid="{00000000-0005-0000-0000-0000D9100000}"/>
    <cellStyle name="Data 2 3 6 8 5 2" xfId="2756" xr:uid="{00000000-0005-0000-0000-0000DA100000}"/>
    <cellStyle name="Data 2 3 6 8 6" xfId="2757" xr:uid="{00000000-0005-0000-0000-0000DB100000}"/>
    <cellStyle name="Data 2 3 6 8 6 2" xfId="2758" xr:uid="{00000000-0005-0000-0000-0000DC100000}"/>
    <cellStyle name="Data 2 3 6 8 7" xfId="2759" xr:uid="{00000000-0005-0000-0000-0000DD100000}"/>
    <cellStyle name="Data 2 3 6 8 7 2" xfId="2760" xr:uid="{00000000-0005-0000-0000-0000DE100000}"/>
    <cellStyle name="Data 2 3 6 8 8" xfId="2761" xr:uid="{00000000-0005-0000-0000-0000DF100000}"/>
    <cellStyle name="Data 2 3 6 8 8 2" xfId="2762" xr:uid="{00000000-0005-0000-0000-0000E0100000}"/>
    <cellStyle name="Data 2 3 6 8 9" xfId="2763" xr:uid="{00000000-0005-0000-0000-0000E1100000}"/>
    <cellStyle name="Data 2 3 6 8 9 2" xfId="2764" xr:uid="{00000000-0005-0000-0000-0000E2100000}"/>
    <cellStyle name="Data 2 3 6 9" xfId="2765" xr:uid="{00000000-0005-0000-0000-0000E3100000}"/>
    <cellStyle name="Data 2 3 6 9 10" xfId="2766" xr:uid="{00000000-0005-0000-0000-0000E4100000}"/>
    <cellStyle name="Data 2 3 6 9 2" xfId="2767" xr:uid="{00000000-0005-0000-0000-0000E5100000}"/>
    <cellStyle name="Data 2 3 6 9 2 2" xfId="2768" xr:uid="{00000000-0005-0000-0000-0000E6100000}"/>
    <cellStyle name="Data 2 3 6 9 3" xfId="2769" xr:uid="{00000000-0005-0000-0000-0000E7100000}"/>
    <cellStyle name="Data 2 3 6 9 3 2" xfId="2770" xr:uid="{00000000-0005-0000-0000-0000E8100000}"/>
    <cellStyle name="Data 2 3 6 9 4" xfId="2771" xr:uid="{00000000-0005-0000-0000-0000E9100000}"/>
    <cellStyle name="Data 2 3 6 9 4 2" xfId="2772" xr:uid="{00000000-0005-0000-0000-0000EA100000}"/>
    <cellStyle name="Data 2 3 6 9 5" xfId="2773" xr:uid="{00000000-0005-0000-0000-0000EB100000}"/>
    <cellStyle name="Data 2 3 6 9 5 2" xfId="2774" xr:uid="{00000000-0005-0000-0000-0000EC100000}"/>
    <cellStyle name="Data 2 3 6 9 6" xfId="2775" xr:uid="{00000000-0005-0000-0000-0000ED100000}"/>
    <cellStyle name="Data 2 3 6 9 6 2" xfId="2776" xr:uid="{00000000-0005-0000-0000-0000EE100000}"/>
    <cellStyle name="Data 2 3 6 9 7" xfId="2777" xr:uid="{00000000-0005-0000-0000-0000EF100000}"/>
    <cellStyle name="Data 2 3 6 9 7 2" xfId="2778" xr:uid="{00000000-0005-0000-0000-0000F0100000}"/>
    <cellStyle name="Data 2 3 6 9 8" xfId="2779" xr:uid="{00000000-0005-0000-0000-0000F1100000}"/>
    <cellStyle name="Data 2 3 6 9 8 2" xfId="2780" xr:uid="{00000000-0005-0000-0000-0000F2100000}"/>
    <cellStyle name="Data 2 3 6 9 9" xfId="2781" xr:uid="{00000000-0005-0000-0000-0000F3100000}"/>
    <cellStyle name="Data 2 3 6 9 9 2" xfId="2782" xr:uid="{00000000-0005-0000-0000-0000F4100000}"/>
    <cellStyle name="Data 2 3 7" xfId="2783" xr:uid="{00000000-0005-0000-0000-0000F5100000}"/>
    <cellStyle name="Data 2 3 7 10" xfId="2784" xr:uid="{00000000-0005-0000-0000-0000F6100000}"/>
    <cellStyle name="Data 2 3 7 10 2" xfId="2785" xr:uid="{00000000-0005-0000-0000-0000F7100000}"/>
    <cellStyle name="Data 2 3 7 10 2 2" xfId="2786" xr:uid="{00000000-0005-0000-0000-0000F8100000}"/>
    <cellStyle name="Data 2 3 7 10 3" xfId="2787" xr:uid="{00000000-0005-0000-0000-0000F9100000}"/>
    <cellStyle name="Data 2 3 7 10 3 2" xfId="2788" xr:uid="{00000000-0005-0000-0000-0000FA100000}"/>
    <cellStyle name="Data 2 3 7 10 4" xfId="2789" xr:uid="{00000000-0005-0000-0000-0000FB100000}"/>
    <cellStyle name="Data 2 3 7 10 4 2" xfId="2790" xr:uid="{00000000-0005-0000-0000-0000FC100000}"/>
    <cellStyle name="Data 2 3 7 10 5" xfId="2791" xr:uid="{00000000-0005-0000-0000-0000FD100000}"/>
    <cellStyle name="Data 2 3 7 10 5 2" xfId="2792" xr:uid="{00000000-0005-0000-0000-0000FE100000}"/>
    <cellStyle name="Data 2 3 7 10 6" xfId="2793" xr:uid="{00000000-0005-0000-0000-0000FF100000}"/>
    <cellStyle name="Data 2 3 7 10 6 2" xfId="2794" xr:uid="{00000000-0005-0000-0000-000000110000}"/>
    <cellStyle name="Data 2 3 7 10 7" xfId="2795" xr:uid="{00000000-0005-0000-0000-000001110000}"/>
    <cellStyle name="Data 2 3 7 10 7 2" xfId="2796" xr:uid="{00000000-0005-0000-0000-000002110000}"/>
    <cellStyle name="Data 2 3 7 10 8" xfId="2797" xr:uid="{00000000-0005-0000-0000-000003110000}"/>
    <cellStyle name="Data 2 3 7 10 8 2" xfId="2798" xr:uid="{00000000-0005-0000-0000-000004110000}"/>
    <cellStyle name="Data 2 3 7 10 9" xfId="2799" xr:uid="{00000000-0005-0000-0000-000005110000}"/>
    <cellStyle name="Data 2 3 7 11" xfId="2800" xr:uid="{00000000-0005-0000-0000-000006110000}"/>
    <cellStyle name="Data 2 3 7 11 2" xfId="2801" xr:uid="{00000000-0005-0000-0000-000007110000}"/>
    <cellStyle name="Data 2 3 7 12" xfId="2802" xr:uid="{00000000-0005-0000-0000-000008110000}"/>
    <cellStyle name="Data 2 3 7 12 2" xfId="2803" xr:uid="{00000000-0005-0000-0000-000009110000}"/>
    <cellStyle name="Data 2 3 7 13" xfId="2804" xr:uid="{00000000-0005-0000-0000-00000A110000}"/>
    <cellStyle name="Data 2 3 7 13 2" xfId="2805" xr:uid="{00000000-0005-0000-0000-00000B110000}"/>
    <cellStyle name="Data 2 3 7 14" xfId="2806" xr:uid="{00000000-0005-0000-0000-00000C110000}"/>
    <cellStyle name="Data 2 3 7 14 2" xfId="2807" xr:uid="{00000000-0005-0000-0000-00000D110000}"/>
    <cellStyle name="Data 2 3 7 15" xfId="2808" xr:uid="{00000000-0005-0000-0000-00000E110000}"/>
    <cellStyle name="Data 2 3 7 15 2" xfId="2809" xr:uid="{00000000-0005-0000-0000-00000F110000}"/>
    <cellStyle name="Data 2 3 7 16" xfId="2810" xr:uid="{00000000-0005-0000-0000-000010110000}"/>
    <cellStyle name="Data 2 3 7 16 2" xfId="2811" xr:uid="{00000000-0005-0000-0000-000011110000}"/>
    <cellStyle name="Data 2 3 7 17" xfId="2812" xr:uid="{00000000-0005-0000-0000-000012110000}"/>
    <cellStyle name="Data 2 3 7 17 2" xfId="2813" xr:uid="{00000000-0005-0000-0000-000013110000}"/>
    <cellStyle name="Data 2 3 7 18" xfId="2814" xr:uid="{00000000-0005-0000-0000-000014110000}"/>
    <cellStyle name="Data 2 3 7 2" xfId="2815" xr:uid="{00000000-0005-0000-0000-000015110000}"/>
    <cellStyle name="Data 2 3 7 2 10" xfId="2816" xr:uid="{00000000-0005-0000-0000-000016110000}"/>
    <cellStyle name="Data 2 3 7 2 2" xfId="2817" xr:uid="{00000000-0005-0000-0000-000017110000}"/>
    <cellStyle name="Data 2 3 7 2 2 2" xfId="2818" xr:uid="{00000000-0005-0000-0000-000018110000}"/>
    <cellStyle name="Data 2 3 7 2 3" xfId="2819" xr:uid="{00000000-0005-0000-0000-000019110000}"/>
    <cellStyle name="Data 2 3 7 2 3 2" xfId="2820" xr:uid="{00000000-0005-0000-0000-00001A110000}"/>
    <cellStyle name="Data 2 3 7 2 4" xfId="2821" xr:uid="{00000000-0005-0000-0000-00001B110000}"/>
    <cellStyle name="Data 2 3 7 2 4 2" xfId="2822" xr:uid="{00000000-0005-0000-0000-00001C110000}"/>
    <cellStyle name="Data 2 3 7 2 5" xfId="2823" xr:uid="{00000000-0005-0000-0000-00001D110000}"/>
    <cellStyle name="Data 2 3 7 2 5 2" xfId="2824" xr:uid="{00000000-0005-0000-0000-00001E110000}"/>
    <cellStyle name="Data 2 3 7 2 6" xfId="2825" xr:uid="{00000000-0005-0000-0000-00001F110000}"/>
    <cellStyle name="Data 2 3 7 2 6 2" xfId="2826" xr:uid="{00000000-0005-0000-0000-000020110000}"/>
    <cellStyle name="Data 2 3 7 2 7" xfId="2827" xr:uid="{00000000-0005-0000-0000-000021110000}"/>
    <cellStyle name="Data 2 3 7 2 7 2" xfId="2828" xr:uid="{00000000-0005-0000-0000-000022110000}"/>
    <cellStyle name="Data 2 3 7 2 8" xfId="2829" xr:uid="{00000000-0005-0000-0000-000023110000}"/>
    <cellStyle name="Data 2 3 7 2 8 2" xfId="2830" xr:uid="{00000000-0005-0000-0000-000024110000}"/>
    <cellStyle name="Data 2 3 7 2 9" xfId="2831" xr:uid="{00000000-0005-0000-0000-000025110000}"/>
    <cellStyle name="Data 2 3 7 2 9 2" xfId="2832" xr:uid="{00000000-0005-0000-0000-000026110000}"/>
    <cellStyle name="Data 2 3 7 3" xfId="2833" xr:uid="{00000000-0005-0000-0000-000027110000}"/>
    <cellStyle name="Data 2 3 7 3 10" xfId="2834" xr:uid="{00000000-0005-0000-0000-000028110000}"/>
    <cellStyle name="Data 2 3 7 3 2" xfId="2835" xr:uid="{00000000-0005-0000-0000-000029110000}"/>
    <cellStyle name="Data 2 3 7 3 2 2" xfId="2836" xr:uid="{00000000-0005-0000-0000-00002A110000}"/>
    <cellStyle name="Data 2 3 7 3 3" xfId="2837" xr:uid="{00000000-0005-0000-0000-00002B110000}"/>
    <cellStyle name="Data 2 3 7 3 3 2" xfId="2838" xr:uid="{00000000-0005-0000-0000-00002C110000}"/>
    <cellStyle name="Data 2 3 7 3 4" xfId="2839" xr:uid="{00000000-0005-0000-0000-00002D110000}"/>
    <cellStyle name="Data 2 3 7 3 4 2" xfId="2840" xr:uid="{00000000-0005-0000-0000-00002E110000}"/>
    <cellStyle name="Data 2 3 7 3 5" xfId="2841" xr:uid="{00000000-0005-0000-0000-00002F110000}"/>
    <cellStyle name="Data 2 3 7 3 5 2" xfId="2842" xr:uid="{00000000-0005-0000-0000-000030110000}"/>
    <cellStyle name="Data 2 3 7 3 6" xfId="2843" xr:uid="{00000000-0005-0000-0000-000031110000}"/>
    <cellStyle name="Data 2 3 7 3 6 2" xfId="2844" xr:uid="{00000000-0005-0000-0000-000032110000}"/>
    <cellStyle name="Data 2 3 7 3 7" xfId="2845" xr:uid="{00000000-0005-0000-0000-000033110000}"/>
    <cellStyle name="Data 2 3 7 3 7 2" xfId="2846" xr:uid="{00000000-0005-0000-0000-000034110000}"/>
    <cellStyle name="Data 2 3 7 3 8" xfId="2847" xr:uid="{00000000-0005-0000-0000-000035110000}"/>
    <cellStyle name="Data 2 3 7 3 8 2" xfId="2848" xr:uid="{00000000-0005-0000-0000-000036110000}"/>
    <cellStyle name="Data 2 3 7 3 9" xfId="2849" xr:uid="{00000000-0005-0000-0000-000037110000}"/>
    <cellStyle name="Data 2 3 7 3 9 2" xfId="2850" xr:uid="{00000000-0005-0000-0000-000038110000}"/>
    <cellStyle name="Data 2 3 7 4" xfId="2851" xr:uid="{00000000-0005-0000-0000-000039110000}"/>
    <cellStyle name="Data 2 3 7 4 10" xfId="2852" xr:uid="{00000000-0005-0000-0000-00003A110000}"/>
    <cellStyle name="Data 2 3 7 4 2" xfId="2853" xr:uid="{00000000-0005-0000-0000-00003B110000}"/>
    <cellStyle name="Data 2 3 7 4 2 2" xfId="2854" xr:uid="{00000000-0005-0000-0000-00003C110000}"/>
    <cellStyle name="Data 2 3 7 4 3" xfId="2855" xr:uid="{00000000-0005-0000-0000-00003D110000}"/>
    <cellStyle name="Data 2 3 7 4 3 2" xfId="2856" xr:uid="{00000000-0005-0000-0000-00003E110000}"/>
    <cellStyle name="Data 2 3 7 4 4" xfId="2857" xr:uid="{00000000-0005-0000-0000-00003F110000}"/>
    <cellStyle name="Data 2 3 7 4 4 2" xfId="2858" xr:uid="{00000000-0005-0000-0000-000040110000}"/>
    <cellStyle name="Data 2 3 7 4 5" xfId="2859" xr:uid="{00000000-0005-0000-0000-000041110000}"/>
    <cellStyle name="Data 2 3 7 4 5 2" xfId="2860" xr:uid="{00000000-0005-0000-0000-000042110000}"/>
    <cellStyle name="Data 2 3 7 4 6" xfId="2861" xr:uid="{00000000-0005-0000-0000-000043110000}"/>
    <cellStyle name="Data 2 3 7 4 6 2" xfId="2862" xr:uid="{00000000-0005-0000-0000-000044110000}"/>
    <cellStyle name="Data 2 3 7 4 7" xfId="2863" xr:uid="{00000000-0005-0000-0000-000045110000}"/>
    <cellStyle name="Data 2 3 7 4 7 2" xfId="2864" xr:uid="{00000000-0005-0000-0000-000046110000}"/>
    <cellStyle name="Data 2 3 7 4 8" xfId="2865" xr:uid="{00000000-0005-0000-0000-000047110000}"/>
    <cellStyle name="Data 2 3 7 4 8 2" xfId="2866" xr:uid="{00000000-0005-0000-0000-000048110000}"/>
    <cellStyle name="Data 2 3 7 4 9" xfId="2867" xr:uid="{00000000-0005-0000-0000-000049110000}"/>
    <cellStyle name="Data 2 3 7 4 9 2" xfId="2868" xr:uid="{00000000-0005-0000-0000-00004A110000}"/>
    <cellStyle name="Data 2 3 7 5" xfId="2869" xr:uid="{00000000-0005-0000-0000-00004B110000}"/>
    <cellStyle name="Data 2 3 7 5 10" xfId="2870" xr:uid="{00000000-0005-0000-0000-00004C110000}"/>
    <cellStyle name="Data 2 3 7 5 2" xfId="2871" xr:uid="{00000000-0005-0000-0000-00004D110000}"/>
    <cellStyle name="Data 2 3 7 5 2 2" xfId="2872" xr:uid="{00000000-0005-0000-0000-00004E110000}"/>
    <cellStyle name="Data 2 3 7 5 3" xfId="2873" xr:uid="{00000000-0005-0000-0000-00004F110000}"/>
    <cellStyle name="Data 2 3 7 5 3 2" xfId="2874" xr:uid="{00000000-0005-0000-0000-000050110000}"/>
    <cellStyle name="Data 2 3 7 5 4" xfId="2875" xr:uid="{00000000-0005-0000-0000-000051110000}"/>
    <cellStyle name="Data 2 3 7 5 4 2" xfId="2876" xr:uid="{00000000-0005-0000-0000-000052110000}"/>
    <cellStyle name="Data 2 3 7 5 5" xfId="2877" xr:uid="{00000000-0005-0000-0000-000053110000}"/>
    <cellStyle name="Data 2 3 7 5 5 2" xfId="2878" xr:uid="{00000000-0005-0000-0000-000054110000}"/>
    <cellStyle name="Data 2 3 7 5 6" xfId="2879" xr:uid="{00000000-0005-0000-0000-000055110000}"/>
    <cellStyle name="Data 2 3 7 5 6 2" xfId="2880" xr:uid="{00000000-0005-0000-0000-000056110000}"/>
    <cellStyle name="Data 2 3 7 5 7" xfId="2881" xr:uid="{00000000-0005-0000-0000-000057110000}"/>
    <cellStyle name="Data 2 3 7 5 7 2" xfId="2882" xr:uid="{00000000-0005-0000-0000-000058110000}"/>
    <cellStyle name="Data 2 3 7 5 8" xfId="2883" xr:uid="{00000000-0005-0000-0000-000059110000}"/>
    <cellStyle name="Data 2 3 7 5 8 2" xfId="2884" xr:uid="{00000000-0005-0000-0000-00005A110000}"/>
    <cellStyle name="Data 2 3 7 5 9" xfId="2885" xr:uid="{00000000-0005-0000-0000-00005B110000}"/>
    <cellStyle name="Data 2 3 7 5 9 2" xfId="2886" xr:uid="{00000000-0005-0000-0000-00005C110000}"/>
    <cellStyle name="Data 2 3 7 6" xfId="2887" xr:uid="{00000000-0005-0000-0000-00005D110000}"/>
    <cellStyle name="Data 2 3 7 6 10" xfId="2888" xr:uid="{00000000-0005-0000-0000-00005E110000}"/>
    <cellStyle name="Data 2 3 7 6 2" xfId="2889" xr:uid="{00000000-0005-0000-0000-00005F110000}"/>
    <cellStyle name="Data 2 3 7 6 2 2" xfId="2890" xr:uid="{00000000-0005-0000-0000-000060110000}"/>
    <cellStyle name="Data 2 3 7 6 3" xfId="2891" xr:uid="{00000000-0005-0000-0000-000061110000}"/>
    <cellStyle name="Data 2 3 7 6 3 2" xfId="2892" xr:uid="{00000000-0005-0000-0000-000062110000}"/>
    <cellStyle name="Data 2 3 7 6 4" xfId="2893" xr:uid="{00000000-0005-0000-0000-000063110000}"/>
    <cellStyle name="Data 2 3 7 6 4 2" xfId="2894" xr:uid="{00000000-0005-0000-0000-000064110000}"/>
    <cellStyle name="Data 2 3 7 6 5" xfId="2895" xr:uid="{00000000-0005-0000-0000-000065110000}"/>
    <cellStyle name="Data 2 3 7 6 5 2" xfId="2896" xr:uid="{00000000-0005-0000-0000-000066110000}"/>
    <cellStyle name="Data 2 3 7 6 6" xfId="2897" xr:uid="{00000000-0005-0000-0000-000067110000}"/>
    <cellStyle name="Data 2 3 7 6 6 2" xfId="2898" xr:uid="{00000000-0005-0000-0000-000068110000}"/>
    <cellStyle name="Data 2 3 7 6 7" xfId="2899" xr:uid="{00000000-0005-0000-0000-000069110000}"/>
    <cellStyle name="Data 2 3 7 6 7 2" xfId="2900" xr:uid="{00000000-0005-0000-0000-00006A110000}"/>
    <cellStyle name="Data 2 3 7 6 8" xfId="2901" xr:uid="{00000000-0005-0000-0000-00006B110000}"/>
    <cellStyle name="Data 2 3 7 6 8 2" xfId="2902" xr:uid="{00000000-0005-0000-0000-00006C110000}"/>
    <cellStyle name="Data 2 3 7 6 9" xfId="2903" xr:uid="{00000000-0005-0000-0000-00006D110000}"/>
    <cellStyle name="Data 2 3 7 6 9 2" xfId="2904" xr:uid="{00000000-0005-0000-0000-00006E110000}"/>
    <cellStyle name="Data 2 3 7 7" xfId="2905" xr:uid="{00000000-0005-0000-0000-00006F110000}"/>
    <cellStyle name="Data 2 3 7 7 10" xfId="2906" xr:uid="{00000000-0005-0000-0000-000070110000}"/>
    <cellStyle name="Data 2 3 7 7 2" xfId="2907" xr:uid="{00000000-0005-0000-0000-000071110000}"/>
    <cellStyle name="Data 2 3 7 7 2 2" xfId="2908" xr:uid="{00000000-0005-0000-0000-000072110000}"/>
    <cellStyle name="Data 2 3 7 7 3" xfId="2909" xr:uid="{00000000-0005-0000-0000-000073110000}"/>
    <cellStyle name="Data 2 3 7 7 3 2" xfId="2910" xr:uid="{00000000-0005-0000-0000-000074110000}"/>
    <cellStyle name="Data 2 3 7 7 4" xfId="2911" xr:uid="{00000000-0005-0000-0000-000075110000}"/>
    <cellStyle name="Data 2 3 7 7 4 2" xfId="2912" xr:uid="{00000000-0005-0000-0000-000076110000}"/>
    <cellStyle name="Data 2 3 7 7 5" xfId="2913" xr:uid="{00000000-0005-0000-0000-000077110000}"/>
    <cellStyle name="Data 2 3 7 7 5 2" xfId="2914" xr:uid="{00000000-0005-0000-0000-000078110000}"/>
    <cellStyle name="Data 2 3 7 7 6" xfId="2915" xr:uid="{00000000-0005-0000-0000-000079110000}"/>
    <cellStyle name="Data 2 3 7 7 6 2" xfId="2916" xr:uid="{00000000-0005-0000-0000-00007A110000}"/>
    <cellStyle name="Data 2 3 7 7 7" xfId="2917" xr:uid="{00000000-0005-0000-0000-00007B110000}"/>
    <cellStyle name="Data 2 3 7 7 7 2" xfId="2918" xr:uid="{00000000-0005-0000-0000-00007C110000}"/>
    <cellStyle name="Data 2 3 7 7 8" xfId="2919" xr:uid="{00000000-0005-0000-0000-00007D110000}"/>
    <cellStyle name="Data 2 3 7 7 8 2" xfId="2920" xr:uid="{00000000-0005-0000-0000-00007E110000}"/>
    <cellStyle name="Data 2 3 7 7 9" xfId="2921" xr:uid="{00000000-0005-0000-0000-00007F110000}"/>
    <cellStyle name="Data 2 3 7 7 9 2" xfId="2922" xr:uid="{00000000-0005-0000-0000-000080110000}"/>
    <cellStyle name="Data 2 3 7 8" xfId="2923" xr:uid="{00000000-0005-0000-0000-000081110000}"/>
    <cellStyle name="Data 2 3 7 8 10" xfId="2924" xr:uid="{00000000-0005-0000-0000-000082110000}"/>
    <cellStyle name="Data 2 3 7 8 2" xfId="2925" xr:uid="{00000000-0005-0000-0000-000083110000}"/>
    <cellStyle name="Data 2 3 7 8 2 2" xfId="2926" xr:uid="{00000000-0005-0000-0000-000084110000}"/>
    <cellStyle name="Data 2 3 7 8 3" xfId="2927" xr:uid="{00000000-0005-0000-0000-000085110000}"/>
    <cellStyle name="Data 2 3 7 8 3 2" xfId="2928" xr:uid="{00000000-0005-0000-0000-000086110000}"/>
    <cellStyle name="Data 2 3 7 8 4" xfId="2929" xr:uid="{00000000-0005-0000-0000-000087110000}"/>
    <cellStyle name="Data 2 3 7 8 4 2" xfId="2930" xr:uid="{00000000-0005-0000-0000-000088110000}"/>
    <cellStyle name="Data 2 3 7 8 5" xfId="2931" xr:uid="{00000000-0005-0000-0000-000089110000}"/>
    <cellStyle name="Data 2 3 7 8 5 2" xfId="2932" xr:uid="{00000000-0005-0000-0000-00008A110000}"/>
    <cellStyle name="Data 2 3 7 8 6" xfId="2933" xr:uid="{00000000-0005-0000-0000-00008B110000}"/>
    <cellStyle name="Data 2 3 7 8 6 2" xfId="2934" xr:uid="{00000000-0005-0000-0000-00008C110000}"/>
    <cellStyle name="Data 2 3 7 8 7" xfId="2935" xr:uid="{00000000-0005-0000-0000-00008D110000}"/>
    <cellStyle name="Data 2 3 7 8 7 2" xfId="2936" xr:uid="{00000000-0005-0000-0000-00008E110000}"/>
    <cellStyle name="Data 2 3 7 8 8" xfId="2937" xr:uid="{00000000-0005-0000-0000-00008F110000}"/>
    <cellStyle name="Data 2 3 7 8 8 2" xfId="2938" xr:uid="{00000000-0005-0000-0000-000090110000}"/>
    <cellStyle name="Data 2 3 7 8 9" xfId="2939" xr:uid="{00000000-0005-0000-0000-000091110000}"/>
    <cellStyle name="Data 2 3 7 8 9 2" xfId="2940" xr:uid="{00000000-0005-0000-0000-000092110000}"/>
    <cellStyle name="Data 2 3 7 9" xfId="2941" xr:uid="{00000000-0005-0000-0000-000093110000}"/>
    <cellStyle name="Data 2 3 7 9 10" xfId="2942" xr:uid="{00000000-0005-0000-0000-000094110000}"/>
    <cellStyle name="Data 2 3 7 9 2" xfId="2943" xr:uid="{00000000-0005-0000-0000-000095110000}"/>
    <cellStyle name="Data 2 3 7 9 2 2" xfId="2944" xr:uid="{00000000-0005-0000-0000-000096110000}"/>
    <cellStyle name="Data 2 3 7 9 3" xfId="2945" xr:uid="{00000000-0005-0000-0000-000097110000}"/>
    <cellStyle name="Data 2 3 7 9 3 2" xfId="2946" xr:uid="{00000000-0005-0000-0000-000098110000}"/>
    <cellStyle name="Data 2 3 7 9 4" xfId="2947" xr:uid="{00000000-0005-0000-0000-000099110000}"/>
    <cellStyle name="Data 2 3 7 9 4 2" xfId="2948" xr:uid="{00000000-0005-0000-0000-00009A110000}"/>
    <cellStyle name="Data 2 3 7 9 5" xfId="2949" xr:uid="{00000000-0005-0000-0000-00009B110000}"/>
    <cellStyle name="Data 2 3 7 9 5 2" xfId="2950" xr:uid="{00000000-0005-0000-0000-00009C110000}"/>
    <cellStyle name="Data 2 3 7 9 6" xfId="2951" xr:uid="{00000000-0005-0000-0000-00009D110000}"/>
    <cellStyle name="Data 2 3 7 9 6 2" xfId="2952" xr:uid="{00000000-0005-0000-0000-00009E110000}"/>
    <cellStyle name="Data 2 3 7 9 7" xfId="2953" xr:uid="{00000000-0005-0000-0000-00009F110000}"/>
    <cellStyle name="Data 2 3 7 9 7 2" xfId="2954" xr:uid="{00000000-0005-0000-0000-0000A0110000}"/>
    <cellStyle name="Data 2 3 7 9 8" xfId="2955" xr:uid="{00000000-0005-0000-0000-0000A1110000}"/>
    <cellStyle name="Data 2 3 7 9 8 2" xfId="2956" xr:uid="{00000000-0005-0000-0000-0000A2110000}"/>
    <cellStyle name="Data 2 3 7 9 9" xfId="2957" xr:uid="{00000000-0005-0000-0000-0000A3110000}"/>
    <cellStyle name="Data 2 3 7 9 9 2" xfId="2958" xr:uid="{00000000-0005-0000-0000-0000A4110000}"/>
    <cellStyle name="Data 2 3 8" xfId="2959" xr:uid="{00000000-0005-0000-0000-0000A5110000}"/>
    <cellStyle name="Data 2 3 8 10" xfId="2960" xr:uid="{00000000-0005-0000-0000-0000A6110000}"/>
    <cellStyle name="Data 2 3 8 10 2" xfId="2961" xr:uid="{00000000-0005-0000-0000-0000A7110000}"/>
    <cellStyle name="Data 2 3 8 10 2 2" xfId="2962" xr:uid="{00000000-0005-0000-0000-0000A8110000}"/>
    <cellStyle name="Data 2 3 8 10 3" xfId="2963" xr:uid="{00000000-0005-0000-0000-0000A9110000}"/>
    <cellStyle name="Data 2 3 8 10 3 2" xfId="2964" xr:uid="{00000000-0005-0000-0000-0000AA110000}"/>
    <cellStyle name="Data 2 3 8 10 4" xfId="2965" xr:uid="{00000000-0005-0000-0000-0000AB110000}"/>
    <cellStyle name="Data 2 3 8 10 4 2" xfId="2966" xr:uid="{00000000-0005-0000-0000-0000AC110000}"/>
    <cellStyle name="Data 2 3 8 10 5" xfId="2967" xr:uid="{00000000-0005-0000-0000-0000AD110000}"/>
    <cellStyle name="Data 2 3 8 10 5 2" xfId="2968" xr:uid="{00000000-0005-0000-0000-0000AE110000}"/>
    <cellStyle name="Data 2 3 8 10 6" xfId="2969" xr:uid="{00000000-0005-0000-0000-0000AF110000}"/>
    <cellStyle name="Data 2 3 8 10 6 2" xfId="2970" xr:uid="{00000000-0005-0000-0000-0000B0110000}"/>
    <cellStyle name="Data 2 3 8 10 7" xfId="2971" xr:uid="{00000000-0005-0000-0000-0000B1110000}"/>
    <cellStyle name="Data 2 3 8 10 7 2" xfId="2972" xr:uid="{00000000-0005-0000-0000-0000B2110000}"/>
    <cellStyle name="Data 2 3 8 10 8" xfId="2973" xr:uid="{00000000-0005-0000-0000-0000B3110000}"/>
    <cellStyle name="Data 2 3 8 10 8 2" xfId="2974" xr:uid="{00000000-0005-0000-0000-0000B4110000}"/>
    <cellStyle name="Data 2 3 8 10 9" xfId="2975" xr:uid="{00000000-0005-0000-0000-0000B5110000}"/>
    <cellStyle name="Data 2 3 8 11" xfId="2976" xr:uid="{00000000-0005-0000-0000-0000B6110000}"/>
    <cellStyle name="Data 2 3 8 11 2" xfId="2977" xr:uid="{00000000-0005-0000-0000-0000B7110000}"/>
    <cellStyle name="Data 2 3 8 12" xfId="2978" xr:uid="{00000000-0005-0000-0000-0000B8110000}"/>
    <cellStyle name="Data 2 3 8 12 2" xfId="2979" xr:uid="{00000000-0005-0000-0000-0000B9110000}"/>
    <cellStyle name="Data 2 3 8 13" xfId="2980" xr:uid="{00000000-0005-0000-0000-0000BA110000}"/>
    <cellStyle name="Data 2 3 8 13 2" xfId="2981" xr:uid="{00000000-0005-0000-0000-0000BB110000}"/>
    <cellStyle name="Data 2 3 8 14" xfId="2982" xr:uid="{00000000-0005-0000-0000-0000BC110000}"/>
    <cellStyle name="Data 2 3 8 14 2" xfId="2983" xr:uid="{00000000-0005-0000-0000-0000BD110000}"/>
    <cellStyle name="Data 2 3 8 15" xfId="2984" xr:uid="{00000000-0005-0000-0000-0000BE110000}"/>
    <cellStyle name="Data 2 3 8 15 2" xfId="2985" xr:uid="{00000000-0005-0000-0000-0000BF110000}"/>
    <cellStyle name="Data 2 3 8 16" xfId="2986" xr:uid="{00000000-0005-0000-0000-0000C0110000}"/>
    <cellStyle name="Data 2 3 8 16 2" xfId="2987" xr:uid="{00000000-0005-0000-0000-0000C1110000}"/>
    <cellStyle name="Data 2 3 8 17" xfId="2988" xr:uid="{00000000-0005-0000-0000-0000C2110000}"/>
    <cellStyle name="Data 2 3 8 17 2" xfId="2989" xr:uid="{00000000-0005-0000-0000-0000C3110000}"/>
    <cellStyle name="Data 2 3 8 18" xfId="2990" xr:uid="{00000000-0005-0000-0000-0000C4110000}"/>
    <cellStyle name="Data 2 3 8 2" xfId="2991" xr:uid="{00000000-0005-0000-0000-0000C5110000}"/>
    <cellStyle name="Data 2 3 8 2 10" xfId="2992" xr:uid="{00000000-0005-0000-0000-0000C6110000}"/>
    <cellStyle name="Data 2 3 8 2 2" xfId="2993" xr:uid="{00000000-0005-0000-0000-0000C7110000}"/>
    <cellStyle name="Data 2 3 8 2 2 2" xfId="2994" xr:uid="{00000000-0005-0000-0000-0000C8110000}"/>
    <cellStyle name="Data 2 3 8 2 3" xfId="2995" xr:uid="{00000000-0005-0000-0000-0000C9110000}"/>
    <cellStyle name="Data 2 3 8 2 3 2" xfId="2996" xr:uid="{00000000-0005-0000-0000-0000CA110000}"/>
    <cellStyle name="Data 2 3 8 2 4" xfId="2997" xr:uid="{00000000-0005-0000-0000-0000CB110000}"/>
    <cellStyle name="Data 2 3 8 2 4 2" xfId="2998" xr:uid="{00000000-0005-0000-0000-0000CC110000}"/>
    <cellStyle name="Data 2 3 8 2 5" xfId="2999" xr:uid="{00000000-0005-0000-0000-0000CD110000}"/>
    <cellStyle name="Data 2 3 8 2 5 2" xfId="3000" xr:uid="{00000000-0005-0000-0000-0000CE110000}"/>
    <cellStyle name="Data 2 3 8 2 6" xfId="3001" xr:uid="{00000000-0005-0000-0000-0000CF110000}"/>
    <cellStyle name="Data 2 3 8 2 6 2" xfId="3002" xr:uid="{00000000-0005-0000-0000-0000D0110000}"/>
    <cellStyle name="Data 2 3 8 2 7" xfId="3003" xr:uid="{00000000-0005-0000-0000-0000D1110000}"/>
    <cellStyle name="Data 2 3 8 2 7 2" xfId="3004" xr:uid="{00000000-0005-0000-0000-0000D2110000}"/>
    <cellStyle name="Data 2 3 8 2 8" xfId="3005" xr:uid="{00000000-0005-0000-0000-0000D3110000}"/>
    <cellStyle name="Data 2 3 8 2 8 2" xfId="3006" xr:uid="{00000000-0005-0000-0000-0000D4110000}"/>
    <cellStyle name="Data 2 3 8 2 9" xfId="3007" xr:uid="{00000000-0005-0000-0000-0000D5110000}"/>
    <cellStyle name="Data 2 3 8 2 9 2" xfId="3008" xr:uid="{00000000-0005-0000-0000-0000D6110000}"/>
    <cellStyle name="Data 2 3 8 3" xfId="3009" xr:uid="{00000000-0005-0000-0000-0000D7110000}"/>
    <cellStyle name="Data 2 3 8 3 10" xfId="3010" xr:uid="{00000000-0005-0000-0000-0000D8110000}"/>
    <cellStyle name="Data 2 3 8 3 2" xfId="3011" xr:uid="{00000000-0005-0000-0000-0000D9110000}"/>
    <cellStyle name="Data 2 3 8 3 2 2" xfId="3012" xr:uid="{00000000-0005-0000-0000-0000DA110000}"/>
    <cellStyle name="Data 2 3 8 3 3" xfId="3013" xr:uid="{00000000-0005-0000-0000-0000DB110000}"/>
    <cellStyle name="Data 2 3 8 3 3 2" xfId="3014" xr:uid="{00000000-0005-0000-0000-0000DC110000}"/>
    <cellStyle name="Data 2 3 8 3 4" xfId="3015" xr:uid="{00000000-0005-0000-0000-0000DD110000}"/>
    <cellStyle name="Data 2 3 8 3 4 2" xfId="3016" xr:uid="{00000000-0005-0000-0000-0000DE110000}"/>
    <cellStyle name="Data 2 3 8 3 5" xfId="3017" xr:uid="{00000000-0005-0000-0000-0000DF110000}"/>
    <cellStyle name="Data 2 3 8 3 5 2" xfId="3018" xr:uid="{00000000-0005-0000-0000-0000E0110000}"/>
    <cellStyle name="Data 2 3 8 3 6" xfId="3019" xr:uid="{00000000-0005-0000-0000-0000E1110000}"/>
    <cellStyle name="Data 2 3 8 3 6 2" xfId="3020" xr:uid="{00000000-0005-0000-0000-0000E2110000}"/>
    <cellStyle name="Data 2 3 8 3 7" xfId="3021" xr:uid="{00000000-0005-0000-0000-0000E3110000}"/>
    <cellStyle name="Data 2 3 8 3 7 2" xfId="3022" xr:uid="{00000000-0005-0000-0000-0000E4110000}"/>
    <cellStyle name="Data 2 3 8 3 8" xfId="3023" xr:uid="{00000000-0005-0000-0000-0000E5110000}"/>
    <cellStyle name="Data 2 3 8 3 8 2" xfId="3024" xr:uid="{00000000-0005-0000-0000-0000E6110000}"/>
    <cellStyle name="Data 2 3 8 3 9" xfId="3025" xr:uid="{00000000-0005-0000-0000-0000E7110000}"/>
    <cellStyle name="Data 2 3 8 3 9 2" xfId="3026" xr:uid="{00000000-0005-0000-0000-0000E8110000}"/>
    <cellStyle name="Data 2 3 8 4" xfId="3027" xr:uid="{00000000-0005-0000-0000-0000E9110000}"/>
    <cellStyle name="Data 2 3 8 4 10" xfId="3028" xr:uid="{00000000-0005-0000-0000-0000EA110000}"/>
    <cellStyle name="Data 2 3 8 4 2" xfId="3029" xr:uid="{00000000-0005-0000-0000-0000EB110000}"/>
    <cellStyle name="Data 2 3 8 4 2 2" xfId="3030" xr:uid="{00000000-0005-0000-0000-0000EC110000}"/>
    <cellStyle name="Data 2 3 8 4 3" xfId="3031" xr:uid="{00000000-0005-0000-0000-0000ED110000}"/>
    <cellStyle name="Data 2 3 8 4 3 2" xfId="3032" xr:uid="{00000000-0005-0000-0000-0000EE110000}"/>
    <cellStyle name="Data 2 3 8 4 4" xfId="3033" xr:uid="{00000000-0005-0000-0000-0000EF110000}"/>
    <cellStyle name="Data 2 3 8 4 4 2" xfId="3034" xr:uid="{00000000-0005-0000-0000-0000F0110000}"/>
    <cellStyle name="Data 2 3 8 4 5" xfId="3035" xr:uid="{00000000-0005-0000-0000-0000F1110000}"/>
    <cellStyle name="Data 2 3 8 4 5 2" xfId="3036" xr:uid="{00000000-0005-0000-0000-0000F2110000}"/>
    <cellStyle name="Data 2 3 8 4 6" xfId="3037" xr:uid="{00000000-0005-0000-0000-0000F3110000}"/>
    <cellStyle name="Data 2 3 8 4 6 2" xfId="3038" xr:uid="{00000000-0005-0000-0000-0000F4110000}"/>
    <cellStyle name="Data 2 3 8 4 7" xfId="3039" xr:uid="{00000000-0005-0000-0000-0000F5110000}"/>
    <cellStyle name="Data 2 3 8 4 7 2" xfId="3040" xr:uid="{00000000-0005-0000-0000-0000F6110000}"/>
    <cellStyle name="Data 2 3 8 4 8" xfId="3041" xr:uid="{00000000-0005-0000-0000-0000F7110000}"/>
    <cellStyle name="Data 2 3 8 4 8 2" xfId="3042" xr:uid="{00000000-0005-0000-0000-0000F8110000}"/>
    <cellStyle name="Data 2 3 8 4 9" xfId="3043" xr:uid="{00000000-0005-0000-0000-0000F9110000}"/>
    <cellStyle name="Data 2 3 8 4 9 2" xfId="3044" xr:uid="{00000000-0005-0000-0000-0000FA110000}"/>
    <cellStyle name="Data 2 3 8 5" xfId="3045" xr:uid="{00000000-0005-0000-0000-0000FB110000}"/>
    <cellStyle name="Data 2 3 8 5 10" xfId="3046" xr:uid="{00000000-0005-0000-0000-0000FC110000}"/>
    <cellStyle name="Data 2 3 8 5 2" xfId="3047" xr:uid="{00000000-0005-0000-0000-0000FD110000}"/>
    <cellStyle name="Data 2 3 8 5 2 2" xfId="3048" xr:uid="{00000000-0005-0000-0000-0000FE110000}"/>
    <cellStyle name="Data 2 3 8 5 3" xfId="3049" xr:uid="{00000000-0005-0000-0000-0000FF110000}"/>
    <cellStyle name="Data 2 3 8 5 3 2" xfId="3050" xr:uid="{00000000-0005-0000-0000-000000120000}"/>
    <cellStyle name="Data 2 3 8 5 4" xfId="3051" xr:uid="{00000000-0005-0000-0000-000001120000}"/>
    <cellStyle name="Data 2 3 8 5 4 2" xfId="3052" xr:uid="{00000000-0005-0000-0000-000002120000}"/>
    <cellStyle name="Data 2 3 8 5 5" xfId="3053" xr:uid="{00000000-0005-0000-0000-000003120000}"/>
    <cellStyle name="Data 2 3 8 5 5 2" xfId="3054" xr:uid="{00000000-0005-0000-0000-000004120000}"/>
    <cellStyle name="Data 2 3 8 5 6" xfId="3055" xr:uid="{00000000-0005-0000-0000-000005120000}"/>
    <cellStyle name="Data 2 3 8 5 6 2" xfId="3056" xr:uid="{00000000-0005-0000-0000-000006120000}"/>
    <cellStyle name="Data 2 3 8 5 7" xfId="3057" xr:uid="{00000000-0005-0000-0000-000007120000}"/>
    <cellStyle name="Data 2 3 8 5 7 2" xfId="3058" xr:uid="{00000000-0005-0000-0000-000008120000}"/>
    <cellStyle name="Data 2 3 8 5 8" xfId="3059" xr:uid="{00000000-0005-0000-0000-000009120000}"/>
    <cellStyle name="Data 2 3 8 5 8 2" xfId="3060" xr:uid="{00000000-0005-0000-0000-00000A120000}"/>
    <cellStyle name="Data 2 3 8 5 9" xfId="3061" xr:uid="{00000000-0005-0000-0000-00000B120000}"/>
    <cellStyle name="Data 2 3 8 5 9 2" xfId="3062" xr:uid="{00000000-0005-0000-0000-00000C120000}"/>
    <cellStyle name="Data 2 3 8 6" xfId="3063" xr:uid="{00000000-0005-0000-0000-00000D120000}"/>
    <cellStyle name="Data 2 3 8 6 10" xfId="3064" xr:uid="{00000000-0005-0000-0000-00000E120000}"/>
    <cellStyle name="Data 2 3 8 6 2" xfId="3065" xr:uid="{00000000-0005-0000-0000-00000F120000}"/>
    <cellStyle name="Data 2 3 8 6 2 2" xfId="3066" xr:uid="{00000000-0005-0000-0000-000010120000}"/>
    <cellStyle name="Data 2 3 8 6 3" xfId="3067" xr:uid="{00000000-0005-0000-0000-000011120000}"/>
    <cellStyle name="Data 2 3 8 6 3 2" xfId="3068" xr:uid="{00000000-0005-0000-0000-000012120000}"/>
    <cellStyle name="Data 2 3 8 6 4" xfId="3069" xr:uid="{00000000-0005-0000-0000-000013120000}"/>
    <cellStyle name="Data 2 3 8 6 4 2" xfId="3070" xr:uid="{00000000-0005-0000-0000-000014120000}"/>
    <cellStyle name="Data 2 3 8 6 5" xfId="3071" xr:uid="{00000000-0005-0000-0000-000015120000}"/>
    <cellStyle name="Data 2 3 8 6 5 2" xfId="3072" xr:uid="{00000000-0005-0000-0000-000016120000}"/>
    <cellStyle name="Data 2 3 8 6 6" xfId="3073" xr:uid="{00000000-0005-0000-0000-000017120000}"/>
    <cellStyle name="Data 2 3 8 6 6 2" xfId="3074" xr:uid="{00000000-0005-0000-0000-000018120000}"/>
    <cellStyle name="Data 2 3 8 6 7" xfId="3075" xr:uid="{00000000-0005-0000-0000-000019120000}"/>
    <cellStyle name="Data 2 3 8 6 7 2" xfId="3076" xr:uid="{00000000-0005-0000-0000-00001A120000}"/>
    <cellStyle name="Data 2 3 8 6 8" xfId="3077" xr:uid="{00000000-0005-0000-0000-00001B120000}"/>
    <cellStyle name="Data 2 3 8 6 8 2" xfId="3078" xr:uid="{00000000-0005-0000-0000-00001C120000}"/>
    <cellStyle name="Data 2 3 8 6 9" xfId="3079" xr:uid="{00000000-0005-0000-0000-00001D120000}"/>
    <cellStyle name="Data 2 3 8 6 9 2" xfId="3080" xr:uid="{00000000-0005-0000-0000-00001E120000}"/>
    <cellStyle name="Data 2 3 8 7" xfId="3081" xr:uid="{00000000-0005-0000-0000-00001F120000}"/>
    <cellStyle name="Data 2 3 8 7 10" xfId="3082" xr:uid="{00000000-0005-0000-0000-000020120000}"/>
    <cellStyle name="Data 2 3 8 7 2" xfId="3083" xr:uid="{00000000-0005-0000-0000-000021120000}"/>
    <cellStyle name="Data 2 3 8 7 2 2" xfId="3084" xr:uid="{00000000-0005-0000-0000-000022120000}"/>
    <cellStyle name="Data 2 3 8 7 3" xfId="3085" xr:uid="{00000000-0005-0000-0000-000023120000}"/>
    <cellStyle name="Data 2 3 8 7 3 2" xfId="3086" xr:uid="{00000000-0005-0000-0000-000024120000}"/>
    <cellStyle name="Data 2 3 8 7 4" xfId="3087" xr:uid="{00000000-0005-0000-0000-000025120000}"/>
    <cellStyle name="Data 2 3 8 7 4 2" xfId="3088" xr:uid="{00000000-0005-0000-0000-000026120000}"/>
    <cellStyle name="Data 2 3 8 7 5" xfId="3089" xr:uid="{00000000-0005-0000-0000-000027120000}"/>
    <cellStyle name="Data 2 3 8 7 5 2" xfId="3090" xr:uid="{00000000-0005-0000-0000-000028120000}"/>
    <cellStyle name="Data 2 3 8 7 6" xfId="3091" xr:uid="{00000000-0005-0000-0000-000029120000}"/>
    <cellStyle name="Data 2 3 8 7 6 2" xfId="3092" xr:uid="{00000000-0005-0000-0000-00002A120000}"/>
    <cellStyle name="Data 2 3 8 7 7" xfId="3093" xr:uid="{00000000-0005-0000-0000-00002B120000}"/>
    <cellStyle name="Data 2 3 8 7 7 2" xfId="3094" xr:uid="{00000000-0005-0000-0000-00002C120000}"/>
    <cellStyle name="Data 2 3 8 7 8" xfId="3095" xr:uid="{00000000-0005-0000-0000-00002D120000}"/>
    <cellStyle name="Data 2 3 8 7 8 2" xfId="3096" xr:uid="{00000000-0005-0000-0000-00002E120000}"/>
    <cellStyle name="Data 2 3 8 7 9" xfId="3097" xr:uid="{00000000-0005-0000-0000-00002F120000}"/>
    <cellStyle name="Data 2 3 8 7 9 2" xfId="3098" xr:uid="{00000000-0005-0000-0000-000030120000}"/>
    <cellStyle name="Data 2 3 8 8" xfId="3099" xr:uid="{00000000-0005-0000-0000-000031120000}"/>
    <cellStyle name="Data 2 3 8 8 10" xfId="3100" xr:uid="{00000000-0005-0000-0000-000032120000}"/>
    <cellStyle name="Data 2 3 8 8 2" xfId="3101" xr:uid="{00000000-0005-0000-0000-000033120000}"/>
    <cellStyle name="Data 2 3 8 8 2 2" xfId="3102" xr:uid="{00000000-0005-0000-0000-000034120000}"/>
    <cellStyle name="Data 2 3 8 8 3" xfId="3103" xr:uid="{00000000-0005-0000-0000-000035120000}"/>
    <cellStyle name="Data 2 3 8 8 3 2" xfId="3104" xr:uid="{00000000-0005-0000-0000-000036120000}"/>
    <cellStyle name="Data 2 3 8 8 4" xfId="3105" xr:uid="{00000000-0005-0000-0000-000037120000}"/>
    <cellStyle name="Data 2 3 8 8 4 2" xfId="3106" xr:uid="{00000000-0005-0000-0000-000038120000}"/>
    <cellStyle name="Data 2 3 8 8 5" xfId="3107" xr:uid="{00000000-0005-0000-0000-000039120000}"/>
    <cellStyle name="Data 2 3 8 8 5 2" xfId="3108" xr:uid="{00000000-0005-0000-0000-00003A120000}"/>
    <cellStyle name="Data 2 3 8 8 6" xfId="3109" xr:uid="{00000000-0005-0000-0000-00003B120000}"/>
    <cellStyle name="Data 2 3 8 8 6 2" xfId="3110" xr:uid="{00000000-0005-0000-0000-00003C120000}"/>
    <cellStyle name="Data 2 3 8 8 7" xfId="3111" xr:uid="{00000000-0005-0000-0000-00003D120000}"/>
    <cellStyle name="Data 2 3 8 8 7 2" xfId="3112" xr:uid="{00000000-0005-0000-0000-00003E120000}"/>
    <cellStyle name="Data 2 3 8 8 8" xfId="3113" xr:uid="{00000000-0005-0000-0000-00003F120000}"/>
    <cellStyle name="Data 2 3 8 8 8 2" xfId="3114" xr:uid="{00000000-0005-0000-0000-000040120000}"/>
    <cellStyle name="Data 2 3 8 8 9" xfId="3115" xr:uid="{00000000-0005-0000-0000-000041120000}"/>
    <cellStyle name="Data 2 3 8 8 9 2" xfId="3116" xr:uid="{00000000-0005-0000-0000-000042120000}"/>
    <cellStyle name="Data 2 3 8 9" xfId="3117" xr:uid="{00000000-0005-0000-0000-000043120000}"/>
    <cellStyle name="Data 2 3 8 9 10" xfId="3118" xr:uid="{00000000-0005-0000-0000-000044120000}"/>
    <cellStyle name="Data 2 3 8 9 2" xfId="3119" xr:uid="{00000000-0005-0000-0000-000045120000}"/>
    <cellStyle name="Data 2 3 8 9 2 2" xfId="3120" xr:uid="{00000000-0005-0000-0000-000046120000}"/>
    <cellStyle name="Data 2 3 8 9 3" xfId="3121" xr:uid="{00000000-0005-0000-0000-000047120000}"/>
    <cellStyle name="Data 2 3 8 9 3 2" xfId="3122" xr:uid="{00000000-0005-0000-0000-000048120000}"/>
    <cellStyle name="Data 2 3 8 9 4" xfId="3123" xr:uid="{00000000-0005-0000-0000-000049120000}"/>
    <cellStyle name="Data 2 3 8 9 4 2" xfId="3124" xr:uid="{00000000-0005-0000-0000-00004A120000}"/>
    <cellStyle name="Data 2 3 8 9 5" xfId="3125" xr:uid="{00000000-0005-0000-0000-00004B120000}"/>
    <cellStyle name="Data 2 3 8 9 5 2" xfId="3126" xr:uid="{00000000-0005-0000-0000-00004C120000}"/>
    <cellStyle name="Data 2 3 8 9 6" xfId="3127" xr:uid="{00000000-0005-0000-0000-00004D120000}"/>
    <cellStyle name="Data 2 3 8 9 6 2" xfId="3128" xr:uid="{00000000-0005-0000-0000-00004E120000}"/>
    <cellStyle name="Data 2 3 8 9 7" xfId="3129" xr:uid="{00000000-0005-0000-0000-00004F120000}"/>
    <cellStyle name="Data 2 3 8 9 7 2" xfId="3130" xr:uid="{00000000-0005-0000-0000-000050120000}"/>
    <cellStyle name="Data 2 3 8 9 8" xfId="3131" xr:uid="{00000000-0005-0000-0000-000051120000}"/>
    <cellStyle name="Data 2 3 8 9 8 2" xfId="3132" xr:uid="{00000000-0005-0000-0000-000052120000}"/>
    <cellStyle name="Data 2 3 8 9 9" xfId="3133" xr:uid="{00000000-0005-0000-0000-000053120000}"/>
    <cellStyle name="Data 2 3 8 9 9 2" xfId="3134" xr:uid="{00000000-0005-0000-0000-000054120000}"/>
    <cellStyle name="Data 2 4" xfId="212" xr:uid="{00000000-0005-0000-0000-000055120000}"/>
    <cellStyle name="Data 2 4 2" xfId="3135" xr:uid="{00000000-0005-0000-0000-000056120000}"/>
    <cellStyle name="Data 2 4 2 10" xfId="3136" xr:uid="{00000000-0005-0000-0000-000057120000}"/>
    <cellStyle name="Data 2 4 2 10 10" xfId="3137" xr:uid="{00000000-0005-0000-0000-000058120000}"/>
    <cellStyle name="Data 2 4 2 10 2" xfId="3138" xr:uid="{00000000-0005-0000-0000-000059120000}"/>
    <cellStyle name="Data 2 4 2 10 2 2" xfId="3139" xr:uid="{00000000-0005-0000-0000-00005A120000}"/>
    <cellStyle name="Data 2 4 2 10 3" xfId="3140" xr:uid="{00000000-0005-0000-0000-00005B120000}"/>
    <cellStyle name="Data 2 4 2 10 3 2" xfId="3141" xr:uid="{00000000-0005-0000-0000-00005C120000}"/>
    <cellStyle name="Data 2 4 2 10 4" xfId="3142" xr:uid="{00000000-0005-0000-0000-00005D120000}"/>
    <cellStyle name="Data 2 4 2 10 4 2" xfId="3143" xr:uid="{00000000-0005-0000-0000-00005E120000}"/>
    <cellStyle name="Data 2 4 2 10 5" xfId="3144" xr:uid="{00000000-0005-0000-0000-00005F120000}"/>
    <cellStyle name="Data 2 4 2 10 5 2" xfId="3145" xr:uid="{00000000-0005-0000-0000-000060120000}"/>
    <cellStyle name="Data 2 4 2 10 6" xfId="3146" xr:uid="{00000000-0005-0000-0000-000061120000}"/>
    <cellStyle name="Data 2 4 2 10 6 2" xfId="3147" xr:uid="{00000000-0005-0000-0000-000062120000}"/>
    <cellStyle name="Data 2 4 2 10 7" xfId="3148" xr:uid="{00000000-0005-0000-0000-000063120000}"/>
    <cellStyle name="Data 2 4 2 10 7 2" xfId="3149" xr:uid="{00000000-0005-0000-0000-000064120000}"/>
    <cellStyle name="Data 2 4 2 10 8" xfId="3150" xr:uid="{00000000-0005-0000-0000-000065120000}"/>
    <cellStyle name="Data 2 4 2 10 8 2" xfId="3151" xr:uid="{00000000-0005-0000-0000-000066120000}"/>
    <cellStyle name="Data 2 4 2 10 9" xfId="3152" xr:uid="{00000000-0005-0000-0000-000067120000}"/>
    <cellStyle name="Data 2 4 2 10 9 2" xfId="3153" xr:uid="{00000000-0005-0000-0000-000068120000}"/>
    <cellStyle name="Data 2 4 2 11" xfId="3154" xr:uid="{00000000-0005-0000-0000-000069120000}"/>
    <cellStyle name="Data 2 4 2 11 2" xfId="3155" xr:uid="{00000000-0005-0000-0000-00006A120000}"/>
    <cellStyle name="Data 2 4 2 11 2 2" xfId="3156" xr:uid="{00000000-0005-0000-0000-00006B120000}"/>
    <cellStyle name="Data 2 4 2 11 3" xfId="3157" xr:uid="{00000000-0005-0000-0000-00006C120000}"/>
    <cellStyle name="Data 2 4 2 11 3 2" xfId="3158" xr:uid="{00000000-0005-0000-0000-00006D120000}"/>
    <cellStyle name="Data 2 4 2 11 4" xfId="3159" xr:uid="{00000000-0005-0000-0000-00006E120000}"/>
    <cellStyle name="Data 2 4 2 11 4 2" xfId="3160" xr:uid="{00000000-0005-0000-0000-00006F120000}"/>
    <cellStyle name="Data 2 4 2 11 5" xfId="3161" xr:uid="{00000000-0005-0000-0000-000070120000}"/>
    <cellStyle name="Data 2 4 2 11 5 2" xfId="3162" xr:uid="{00000000-0005-0000-0000-000071120000}"/>
    <cellStyle name="Data 2 4 2 11 6" xfId="3163" xr:uid="{00000000-0005-0000-0000-000072120000}"/>
    <cellStyle name="Data 2 4 2 11 6 2" xfId="3164" xr:uid="{00000000-0005-0000-0000-000073120000}"/>
    <cellStyle name="Data 2 4 2 11 7" xfId="3165" xr:uid="{00000000-0005-0000-0000-000074120000}"/>
    <cellStyle name="Data 2 4 2 11 7 2" xfId="3166" xr:uid="{00000000-0005-0000-0000-000075120000}"/>
    <cellStyle name="Data 2 4 2 11 8" xfId="3167" xr:uid="{00000000-0005-0000-0000-000076120000}"/>
    <cellStyle name="Data 2 4 2 11 8 2" xfId="3168" xr:uid="{00000000-0005-0000-0000-000077120000}"/>
    <cellStyle name="Data 2 4 2 11 9" xfId="3169" xr:uid="{00000000-0005-0000-0000-000078120000}"/>
    <cellStyle name="Data 2 4 2 2" xfId="3170" xr:uid="{00000000-0005-0000-0000-000079120000}"/>
    <cellStyle name="Data 2 4 2 2 10" xfId="3171" xr:uid="{00000000-0005-0000-0000-00007A120000}"/>
    <cellStyle name="Data 2 4 2 2 2" xfId="3172" xr:uid="{00000000-0005-0000-0000-00007B120000}"/>
    <cellStyle name="Data 2 4 2 2 2 2" xfId="3173" xr:uid="{00000000-0005-0000-0000-00007C120000}"/>
    <cellStyle name="Data 2 4 2 2 3" xfId="3174" xr:uid="{00000000-0005-0000-0000-00007D120000}"/>
    <cellStyle name="Data 2 4 2 2 3 2" xfId="3175" xr:uid="{00000000-0005-0000-0000-00007E120000}"/>
    <cellStyle name="Data 2 4 2 2 4" xfId="3176" xr:uid="{00000000-0005-0000-0000-00007F120000}"/>
    <cellStyle name="Data 2 4 2 2 4 2" xfId="3177" xr:uid="{00000000-0005-0000-0000-000080120000}"/>
    <cellStyle name="Data 2 4 2 2 5" xfId="3178" xr:uid="{00000000-0005-0000-0000-000081120000}"/>
    <cellStyle name="Data 2 4 2 2 5 2" xfId="3179" xr:uid="{00000000-0005-0000-0000-000082120000}"/>
    <cellStyle name="Data 2 4 2 2 6" xfId="3180" xr:uid="{00000000-0005-0000-0000-000083120000}"/>
    <cellStyle name="Data 2 4 2 2 6 2" xfId="3181" xr:uid="{00000000-0005-0000-0000-000084120000}"/>
    <cellStyle name="Data 2 4 2 2 7" xfId="3182" xr:uid="{00000000-0005-0000-0000-000085120000}"/>
    <cellStyle name="Data 2 4 2 2 7 2" xfId="3183" xr:uid="{00000000-0005-0000-0000-000086120000}"/>
    <cellStyle name="Data 2 4 2 2 8" xfId="3184" xr:uid="{00000000-0005-0000-0000-000087120000}"/>
    <cellStyle name="Data 2 4 2 2 8 2" xfId="3185" xr:uid="{00000000-0005-0000-0000-000088120000}"/>
    <cellStyle name="Data 2 4 2 2 9" xfId="3186" xr:uid="{00000000-0005-0000-0000-000089120000}"/>
    <cellStyle name="Data 2 4 2 2 9 2" xfId="3187" xr:uid="{00000000-0005-0000-0000-00008A120000}"/>
    <cellStyle name="Data 2 4 2 3" xfId="3188" xr:uid="{00000000-0005-0000-0000-00008B120000}"/>
    <cellStyle name="Data 2 4 2 3 10" xfId="3189" xr:uid="{00000000-0005-0000-0000-00008C120000}"/>
    <cellStyle name="Data 2 4 2 3 2" xfId="3190" xr:uid="{00000000-0005-0000-0000-00008D120000}"/>
    <cellStyle name="Data 2 4 2 3 2 2" xfId="3191" xr:uid="{00000000-0005-0000-0000-00008E120000}"/>
    <cellStyle name="Data 2 4 2 3 3" xfId="3192" xr:uid="{00000000-0005-0000-0000-00008F120000}"/>
    <cellStyle name="Data 2 4 2 3 3 2" xfId="3193" xr:uid="{00000000-0005-0000-0000-000090120000}"/>
    <cellStyle name="Data 2 4 2 3 4" xfId="3194" xr:uid="{00000000-0005-0000-0000-000091120000}"/>
    <cellStyle name="Data 2 4 2 3 4 2" xfId="3195" xr:uid="{00000000-0005-0000-0000-000092120000}"/>
    <cellStyle name="Data 2 4 2 3 5" xfId="3196" xr:uid="{00000000-0005-0000-0000-000093120000}"/>
    <cellStyle name="Data 2 4 2 3 5 2" xfId="3197" xr:uid="{00000000-0005-0000-0000-000094120000}"/>
    <cellStyle name="Data 2 4 2 3 6" xfId="3198" xr:uid="{00000000-0005-0000-0000-000095120000}"/>
    <cellStyle name="Data 2 4 2 3 6 2" xfId="3199" xr:uid="{00000000-0005-0000-0000-000096120000}"/>
    <cellStyle name="Data 2 4 2 3 7" xfId="3200" xr:uid="{00000000-0005-0000-0000-000097120000}"/>
    <cellStyle name="Data 2 4 2 3 7 2" xfId="3201" xr:uid="{00000000-0005-0000-0000-000098120000}"/>
    <cellStyle name="Data 2 4 2 3 8" xfId="3202" xr:uid="{00000000-0005-0000-0000-000099120000}"/>
    <cellStyle name="Data 2 4 2 3 8 2" xfId="3203" xr:uid="{00000000-0005-0000-0000-00009A120000}"/>
    <cellStyle name="Data 2 4 2 3 9" xfId="3204" xr:uid="{00000000-0005-0000-0000-00009B120000}"/>
    <cellStyle name="Data 2 4 2 3 9 2" xfId="3205" xr:uid="{00000000-0005-0000-0000-00009C120000}"/>
    <cellStyle name="Data 2 4 2 4" xfId="3206" xr:uid="{00000000-0005-0000-0000-00009D120000}"/>
    <cellStyle name="Data 2 4 2 4 10" xfId="3207" xr:uid="{00000000-0005-0000-0000-00009E120000}"/>
    <cellStyle name="Data 2 4 2 4 2" xfId="3208" xr:uid="{00000000-0005-0000-0000-00009F120000}"/>
    <cellStyle name="Data 2 4 2 4 2 2" xfId="3209" xr:uid="{00000000-0005-0000-0000-0000A0120000}"/>
    <cellStyle name="Data 2 4 2 4 3" xfId="3210" xr:uid="{00000000-0005-0000-0000-0000A1120000}"/>
    <cellStyle name="Data 2 4 2 4 3 2" xfId="3211" xr:uid="{00000000-0005-0000-0000-0000A2120000}"/>
    <cellStyle name="Data 2 4 2 4 4" xfId="3212" xr:uid="{00000000-0005-0000-0000-0000A3120000}"/>
    <cellStyle name="Data 2 4 2 4 4 2" xfId="3213" xr:uid="{00000000-0005-0000-0000-0000A4120000}"/>
    <cellStyle name="Data 2 4 2 4 5" xfId="3214" xr:uid="{00000000-0005-0000-0000-0000A5120000}"/>
    <cellStyle name="Data 2 4 2 4 5 2" xfId="3215" xr:uid="{00000000-0005-0000-0000-0000A6120000}"/>
    <cellStyle name="Data 2 4 2 4 6" xfId="3216" xr:uid="{00000000-0005-0000-0000-0000A7120000}"/>
    <cellStyle name="Data 2 4 2 4 6 2" xfId="3217" xr:uid="{00000000-0005-0000-0000-0000A8120000}"/>
    <cellStyle name="Data 2 4 2 4 7" xfId="3218" xr:uid="{00000000-0005-0000-0000-0000A9120000}"/>
    <cellStyle name="Data 2 4 2 4 7 2" xfId="3219" xr:uid="{00000000-0005-0000-0000-0000AA120000}"/>
    <cellStyle name="Data 2 4 2 4 8" xfId="3220" xr:uid="{00000000-0005-0000-0000-0000AB120000}"/>
    <cellStyle name="Data 2 4 2 4 8 2" xfId="3221" xr:uid="{00000000-0005-0000-0000-0000AC120000}"/>
    <cellStyle name="Data 2 4 2 4 9" xfId="3222" xr:uid="{00000000-0005-0000-0000-0000AD120000}"/>
    <cellStyle name="Data 2 4 2 4 9 2" xfId="3223" xr:uid="{00000000-0005-0000-0000-0000AE120000}"/>
    <cellStyle name="Data 2 4 2 5" xfId="3224" xr:uid="{00000000-0005-0000-0000-0000AF120000}"/>
    <cellStyle name="Data 2 4 2 5 10" xfId="3225" xr:uid="{00000000-0005-0000-0000-0000B0120000}"/>
    <cellStyle name="Data 2 4 2 5 2" xfId="3226" xr:uid="{00000000-0005-0000-0000-0000B1120000}"/>
    <cellStyle name="Data 2 4 2 5 2 2" xfId="3227" xr:uid="{00000000-0005-0000-0000-0000B2120000}"/>
    <cellStyle name="Data 2 4 2 5 3" xfId="3228" xr:uid="{00000000-0005-0000-0000-0000B3120000}"/>
    <cellStyle name="Data 2 4 2 5 3 2" xfId="3229" xr:uid="{00000000-0005-0000-0000-0000B4120000}"/>
    <cellStyle name="Data 2 4 2 5 4" xfId="3230" xr:uid="{00000000-0005-0000-0000-0000B5120000}"/>
    <cellStyle name="Data 2 4 2 5 4 2" xfId="3231" xr:uid="{00000000-0005-0000-0000-0000B6120000}"/>
    <cellStyle name="Data 2 4 2 5 5" xfId="3232" xr:uid="{00000000-0005-0000-0000-0000B7120000}"/>
    <cellStyle name="Data 2 4 2 5 5 2" xfId="3233" xr:uid="{00000000-0005-0000-0000-0000B8120000}"/>
    <cellStyle name="Data 2 4 2 5 6" xfId="3234" xr:uid="{00000000-0005-0000-0000-0000B9120000}"/>
    <cellStyle name="Data 2 4 2 5 6 2" xfId="3235" xr:uid="{00000000-0005-0000-0000-0000BA120000}"/>
    <cellStyle name="Data 2 4 2 5 7" xfId="3236" xr:uid="{00000000-0005-0000-0000-0000BB120000}"/>
    <cellStyle name="Data 2 4 2 5 7 2" xfId="3237" xr:uid="{00000000-0005-0000-0000-0000BC120000}"/>
    <cellStyle name="Data 2 4 2 5 8" xfId="3238" xr:uid="{00000000-0005-0000-0000-0000BD120000}"/>
    <cellStyle name="Data 2 4 2 5 8 2" xfId="3239" xr:uid="{00000000-0005-0000-0000-0000BE120000}"/>
    <cellStyle name="Data 2 4 2 5 9" xfId="3240" xr:uid="{00000000-0005-0000-0000-0000BF120000}"/>
    <cellStyle name="Data 2 4 2 5 9 2" xfId="3241" xr:uid="{00000000-0005-0000-0000-0000C0120000}"/>
    <cellStyle name="Data 2 4 2 6" xfId="3242" xr:uid="{00000000-0005-0000-0000-0000C1120000}"/>
    <cellStyle name="Data 2 4 2 6 10" xfId="3243" xr:uid="{00000000-0005-0000-0000-0000C2120000}"/>
    <cellStyle name="Data 2 4 2 6 2" xfId="3244" xr:uid="{00000000-0005-0000-0000-0000C3120000}"/>
    <cellStyle name="Data 2 4 2 6 2 2" xfId="3245" xr:uid="{00000000-0005-0000-0000-0000C4120000}"/>
    <cellStyle name="Data 2 4 2 6 3" xfId="3246" xr:uid="{00000000-0005-0000-0000-0000C5120000}"/>
    <cellStyle name="Data 2 4 2 6 3 2" xfId="3247" xr:uid="{00000000-0005-0000-0000-0000C6120000}"/>
    <cellStyle name="Data 2 4 2 6 4" xfId="3248" xr:uid="{00000000-0005-0000-0000-0000C7120000}"/>
    <cellStyle name="Data 2 4 2 6 4 2" xfId="3249" xr:uid="{00000000-0005-0000-0000-0000C8120000}"/>
    <cellStyle name="Data 2 4 2 6 5" xfId="3250" xr:uid="{00000000-0005-0000-0000-0000C9120000}"/>
    <cellStyle name="Data 2 4 2 6 5 2" xfId="3251" xr:uid="{00000000-0005-0000-0000-0000CA120000}"/>
    <cellStyle name="Data 2 4 2 6 6" xfId="3252" xr:uid="{00000000-0005-0000-0000-0000CB120000}"/>
    <cellStyle name="Data 2 4 2 6 6 2" xfId="3253" xr:uid="{00000000-0005-0000-0000-0000CC120000}"/>
    <cellStyle name="Data 2 4 2 6 7" xfId="3254" xr:uid="{00000000-0005-0000-0000-0000CD120000}"/>
    <cellStyle name="Data 2 4 2 6 7 2" xfId="3255" xr:uid="{00000000-0005-0000-0000-0000CE120000}"/>
    <cellStyle name="Data 2 4 2 6 8" xfId="3256" xr:uid="{00000000-0005-0000-0000-0000CF120000}"/>
    <cellStyle name="Data 2 4 2 6 8 2" xfId="3257" xr:uid="{00000000-0005-0000-0000-0000D0120000}"/>
    <cellStyle name="Data 2 4 2 6 9" xfId="3258" xr:uid="{00000000-0005-0000-0000-0000D1120000}"/>
    <cellStyle name="Data 2 4 2 6 9 2" xfId="3259" xr:uid="{00000000-0005-0000-0000-0000D2120000}"/>
    <cellStyle name="Data 2 4 2 7" xfId="3260" xr:uid="{00000000-0005-0000-0000-0000D3120000}"/>
    <cellStyle name="Data 2 4 2 7 10" xfId="3261" xr:uid="{00000000-0005-0000-0000-0000D4120000}"/>
    <cellStyle name="Data 2 4 2 7 2" xfId="3262" xr:uid="{00000000-0005-0000-0000-0000D5120000}"/>
    <cellStyle name="Data 2 4 2 7 2 2" xfId="3263" xr:uid="{00000000-0005-0000-0000-0000D6120000}"/>
    <cellStyle name="Data 2 4 2 7 3" xfId="3264" xr:uid="{00000000-0005-0000-0000-0000D7120000}"/>
    <cellStyle name="Data 2 4 2 7 3 2" xfId="3265" xr:uid="{00000000-0005-0000-0000-0000D8120000}"/>
    <cellStyle name="Data 2 4 2 7 4" xfId="3266" xr:uid="{00000000-0005-0000-0000-0000D9120000}"/>
    <cellStyle name="Data 2 4 2 7 4 2" xfId="3267" xr:uid="{00000000-0005-0000-0000-0000DA120000}"/>
    <cellStyle name="Data 2 4 2 7 5" xfId="3268" xr:uid="{00000000-0005-0000-0000-0000DB120000}"/>
    <cellStyle name="Data 2 4 2 7 5 2" xfId="3269" xr:uid="{00000000-0005-0000-0000-0000DC120000}"/>
    <cellStyle name="Data 2 4 2 7 6" xfId="3270" xr:uid="{00000000-0005-0000-0000-0000DD120000}"/>
    <cellStyle name="Data 2 4 2 7 6 2" xfId="3271" xr:uid="{00000000-0005-0000-0000-0000DE120000}"/>
    <cellStyle name="Data 2 4 2 7 7" xfId="3272" xr:uid="{00000000-0005-0000-0000-0000DF120000}"/>
    <cellStyle name="Data 2 4 2 7 7 2" xfId="3273" xr:uid="{00000000-0005-0000-0000-0000E0120000}"/>
    <cellStyle name="Data 2 4 2 7 8" xfId="3274" xr:uid="{00000000-0005-0000-0000-0000E1120000}"/>
    <cellStyle name="Data 2 4 2 7 8 2" xfId="3275" xr:uid="{00000000-0005-0000-0000-0000E2120000}"/>
    <cellStyle name="Data 2 4 2 7 9" xfId="3276" xr:uid="{00000000-0005-0000-0000-0000E3120000}"/>
    <cellStyle name="Data 2 4 2 7 9 2" xfId="3277" xr:uid="{00000000-0005-0000-0000-0000E4120000}"/>
    <cellStyle name="Data 2 4 2 8" xfId="3278" xr:uid="{00000000-0005-0000-0000-0000E5120000}"/>
    <cellStyle name="Data 2 4 2 8 10" xfId="3279" xr:uid="{00000000-0005-0000-0000-0000E6120000}"/>
    <cellStyle name="Data 2 4 2 8 2" xfId="3280" xr:uid="{00000000-0005-0000-0000-0000E7120000}"/>
    <cellStyle name="Data 2 4 2 8 2 2" xfId="3281" xr:uid="{00000000-0005-0000-0000-0000E8120000}"/>
    <cellStyle name="Data 2 4 2 8 3" xfId="3282" xr:uid="{00000000-0005-0000-0000-0000E9120000}"/>
    <cellStyle name="Data 2 4 2 8 3 2" xfId="3283" xr:uid="{00000000-0005-0000-0000-0000EA120000}"/>
    <cellStyle name="Data 2 4 2 8 4" xfId="3284" xr:uid="{00000000-0005-0000-0000-0000EB120000}"/>
    <cellStyle name="Data 2 4 2 8 4 2" xfId="3285" xr:uid="{00000000-0005-0000-0000-0000EC120000}"/>
    <cellStyle name="Data 2 4 2 8 5" xfId="3286" xr:uid="{00000000-0005-0000-0000-0000ED120000}"/>
    <cellStyle name="Data 2 4 2 8 5 2" xfId="3287" xr:uid="{00000000-0005-0000-0000-0000EE120000}"/>
    <cellStyle name="Data 2 4 2 8 6" xfId="3288" xr:uid="{00000000-0005-0000-0000-0000EF120000}"/>
    <cellStyle name="Data 2 4 2 8 6 2" xfId="3289" xr:uid="{00000000-0005-0000-0000-0000F0120000}"/>
    <cellStyle name="Data 2 4 2 8 7" xfId="3290" xr:uid="{00000000-0005-0000-0000-0000F1120000}"/>
    <cellStyle name="Data 2 4 2 8 7 2" xfId="3291" xr:uid="{00000000-0005-0000-0000-0000F2120000}"/>
    <cellStyle name="Data 2 4 2 8 8" xfId="3292" xr:uid="{00000000-0005-0000-0000-0000F3120000}"/>
    <cellStyle name="Data 2 4 2 8 8 2" xfId="3293" xr:uid="{00000000-0005-0000-0000-0000F4120000}"/>
    <cellStyle name="Data 2 4 2 8 9" xfId="3294" xr:uid="{00000000-0005-0000-0000-0000F5120000}"/>
    <cellStyle name="Data 2 4 2 8 9 2" xfId="3295" xr:uid="{00000000-0005-0000-0000-0000F6120000}"/>
    <cellStyle name="Data 2 4 2 9" xfId="3296" xr:uid="{00000000-0005-0000-0000-0000F7120000}"/>
    <cellStyle name="Data 2 4 2 9 10" xfId="3297" xr:uid="{00000000-0005-0000-0000-0000F8120000}"/>
    <cellStyle name="Data 2 4 2 9 2" xfId="3298" xr:uid="{00000000-0005-0000-0000-0000F9120000}"/>
    <cellStyle name="Data 2 4 2 9 2 2" xfId="3299" xr:uid="{00000000-0005-0000-0000-0000FA120000}"/>
    <cellStyle name="Data 2 4 2 9 3" xfId="3300" xr:uid="{00000000-0005-0000-0000-0000FB120000}"/>
    <cellStyle name="Data 2 4 2 9 3 2" xfId="3301" xr:uid="{00000000-0005-0000-0000-0000FC120000}"/>
    <cellStyle name="Data 2 4 2 9 4" xfId="3302" xr:uid="{00000000-0005-0000-0000-0000FD120000}"/>
    <cellStyle name="Data 2 4 2 9 4 2" xfId="3303" xr:uid="{00000000-0005-0000-0000-0000FE120000}"/>
    <cellStyle name="Data 2 4 2 9 5" xfId="3304" xr:uid="{00000000-0005-0000-0000-0000FF120000}"/>
    <cellStyle name="Data 2 4 2 9 5 2" xfId="3305" xr:uid="{00000000-0005-0000-0000-000000130000}"/>
    <cellStyle name="Data 2 4 2 9 6" xfId="3306" xr:uid="{00000000-0005-0000-0000-000001130000}"/>
    <cellStyle name="Data 2 4 2 9 6 2" xfId="3307" xr:uid="{00000000-0005-0000-0000-000002130000}"/>
    <cellStyle name="Data 2 4 2 9 7" xfId="3308" xr:uid="{00000000-0005-0000-0000-000003130000}"/>
    <cellStyle name="Data 2 4 2 9 7 2" xfId="3309" xr:uid="{00000000-0005-0000-0000-000004130000}"/>
    <cellStyle name="Data 2 4 2 9 8" xfId="3310" xr:uid="{00000000-0005-0000-0000-000005130000}"/>
    <cellStyle name="Data 2 4 2 9 8 2" xfId="3311" xr:uid="{00000000-0005-0000-0000-000006130000}"/>
    <cellStyle name="Data 2 4 2 9 9" xfId="3312" xr:uid="{00000000-0005-0000-0000-000007130000}"/>
    <cellStyle name="Data 2 4 2 9 9 2" xfId="3313" xr:uid="{00000000-0005-0000-0000-000008130000}"/>
    <cellStyle name="Data 2 4 3" xfId="3314" xr:uid="{00000000-0005-0000-0000-000009130000}"/>
    <cellStyle name="Data 2 4 3 10" xfId="3315" xr:uid="{00000000-0005-0000-0000-00000A130000}"/>
    <cellStyle name="Data 2 4 3 10 10" xfId="3316" xr:uid="{00000000-0005-0000-0000-00000B130000}"/>
    <cellStyle name="Data 2 4 3 10 2" xfId="3317" xr:uid="{00000000-0005-0000-0000-00000C130000}"/>
    <cellStyle name="Data 2 4 3 10 2 2" xfId="3318" xr:uid="{00000000-0005-0000-0000-00000D130000}"/>
    <cellStyle name="Data 2 4 3 10 3" xfId="3319" xr:uid="{00000000-0005-0000-0000-00000E130000}"/>
    <cellStyle name="Data 2 4 3 10 3 2" xfId="3320" xr:uid="{00000000-0005-0000-0000-00000F130000}"/>
    <cellStyle name="Data 2 4 3 10 4" xfId="3321" xr:uid="{00000000-0005-0000-0000-000010130000}"/>
    <cellStyle name="Data 2 4 3 10 4 2" xfId="3322" xr:uid="{00000000-0005-0000-0000-000011130000}"/>
    <cellStyle name="Data 2 4 3 10 5" xfId="3323" xr:uid="{00000000-0005-0000-0000-000012130000}"/>
    <cellStyle name="Data 2 4 3 10 5 2" xfId="3324" xr:uid="{00000000-0005-0000-0000-000013130000}"/>
    <cellStyle name="Data 2 4 3 10 6" xfId="3325" xr:uid="{00000000-0005-0000-0000-000014130000}"/>
    <cellStyle name="Data 2 4 3 10 6 2" xfId="3326" xr:uid="{00000000-0005-0000-0000-000015130000}"/>
    <cellStyle name="Data 2 4 3 10 7" xfId="3327" xr:uid="{00000000-0005-0000-0000-000016130000}"/>
    <cellStyle name="Data 2 4 3 10 7 2" xfId="3328" xr:uid="{00000000-0005-0000-0000-000017130000}"/>
    <cellStyle name="Data 2 4 3 10 8" xfId="3329" xr:uid="{00000000-0005-0000-0000-000018130000}"/>
    <cellStyle name="Data 2 4 3 10 8 2" xfId="3330" xr:uid="{00000000-0005-0000-0000-000019130000}"/>
    <cellStyle name="Data 2 4 3 10 9" xfId="3331" xr:uid="{00000000-0005-0000-0000-00001A130000}"/>
    <cellStyle name="Data 2 4 3 10 9 2" xfId="3332" xr:uid="{00000000-0005-0000-0000-00001B130000}"/>
    <cellStyle name="Data 2 4 3 11" xfId="3333" xr:uid="{00000000-0005-0000-0000-00001C130000}"/>
    <cellStyle name="Data 2 4 3 11 2" xfId="3334" xr:uid="{00000000-0005-0000-0000-00001D130000}"/>
    <cellStyle name="Data 2 4 3 11 2 2" xfId="3335" xr:uid="{00000000-0005-0000-0000-00001E130000}"/>
    <cellStyle name="Data 2 4 3 11 3" xfId="3336" xr:uid="{00000000-0005-0000-0000-00001F130000}"/>
    <cellStyle name="Data 2 4 3 11 3 2" xfId="3337" xr:uid="{00000000-0005-0000-0000-000020130000}"/>
    <cellStyle name="Data 2 4 3 11 4" xfId="3338" xr:uid="{00000000-0005-0000-0000-000021130000}"/>
    <cellStyle name="Data 2 4 3 11 4 2" xfId="3339" xr:uid="{00000000-0005-0000-0000-000022130000}"/>
    <cellStyle name="Data 2 4 3 11 5" xfId="3340" xr:uid="{00000000-0005-0000-0000-000023130000}"/>
    <cellStyle name="Data 2 4 3 11 5 2" xfId="3341" xr:uid="{00000000-0005-0000-0000-000024130000}"/>
    <cellStyle name="Data 2 4 3 11 6" xfId="3342" xr:uid="{00000000-0005-0000-0000-000025130000}"/>
    <cellStyle name="Data 2 4 3 11 6 2" xfId="3343" xr:uid="{00000000-0005-0000-0000-000026130000}"/>
    <cellStyle name="Data 2 4 3 11 7" xfId="3344" xr:uid="{00000000-0005-0000-0000-000027130000}"/>
    <cellStyle name="Data 2 4 3 11 7 2" xfId="3345" xr:uid="{00000000-0005-0000-0000-000028130000}"/>
    <cellStyle name="Data 2 4 3 11 8" xfId="3346" xr:uid="{00000000-0005-0000-0000-000029130000}"/>
    <cellStyle name="Data 2 4 3 11 8 2" xfId="3347" xr:uid="{00000000-0005-0000-0000-00002A130000}"/>
    <cellStyle name="Data 2 4 3 11 9" xfId="3348" xr:uid="{00000000-0005-0000-0000-00002B130000}"/>
    <cellStyle name="Data 2 4 3 2" xfId="3349" xr:uid="{00000000-0005-0000-0000-00002C130000}"/>
    <cellStyle name="Data 2 4 3 2 10" xfId="3350" xr:uid="{00000000-0005-0000-0000-00002D130000}"/>
    <cellStyle name="Data 2 4 3 2 2" xfId="3351" xr:uid="{00000000-0005-0000-0000-00002E130000}"/>
    <cellStyle name="Data 2 4 3 2 2 2" xfId="3352" xr:uid="{00000000-0005-0000-0000-00002F130000}"/>
    <cellStyle name="Data 2 4 3 2 3" xfId="3353" xr:uid="{00000000-0005-0000-0000-000030130000}"/>
    <cellStyle name="Data 2 4 3 2 3 2" xfId="3354" xr:uid="{00000000-0005-0000-0000-000031130000}"/>
    <cellStyle name="Data 2 4 3 2 4" xfId="3355" xr:uid="{00000000-0005-0000-0000-000032130000}"/>
    <cellStyle name="Data 2 4 3 2 4 2" xfId="3356" xr:uid="{00000000-0005-0000-0000-000033130000}"/>
    <cellStyle name="Data 2 4 3 2 5" xfId="3357" xr:uid="{00000000-0005-0000-0000-000034130000}"/>
    <cellStyle name="Data 2 4 3 2 5 2" xfId="3358" xr:uid="{00000000-0005-0000-0000-000035130000}"/>
    <cellStyle name="Data 2 4 3 2 6" xfId="3359" xr:uid="{00000000-0005-0000-0000-000036130000}"/>
    <cellStyle name="Data 2 4 3 2 6 2" xfId="3360" xr:uid="{00000000-0005-0000-0000-000037130000}"/>
    <cellStyle name="Data 2 4 3 2 7" xfId="3361" xr:uid="{00000000-0005-0000-0000-000038130000}"/>
    <cellStyle name="Data 2 4 3 2 7 2" xfId="3362" xr:uid="{00000000-0005-0000-0000-000039130000}"/>
    <cellStyle name="Data 2 4 3 2 8" xfId="3363" xr:uid="{00000000-0005-0000-0000-00003A130000}"/>
    <cellStyle name="Data 2 4 3 2 8 2" xfId="3364" xr:uid="{00000000-0005-0000-0000-00003B130000}"/>
    <cellStyle name="Data 2 4 3 2 9" xfId="3365" xr:uid="{00000000-0005-0000-0000-00003C130000}"/>
    <cellStyle name="Data 2 4 3 2 9 2" xfId="3366" xr:uid="{00000000-0005-0000-0000-00003D130000}"/>
    <cellStyle name="Data 2 4 3 3" xfId="3367" xr:uid="{00000000-0005-0000-0000-00003E130000}"/>
    <cellStyle name="Data 2 4 3 3 10" xfId="3368" xr:uid="{00000000-0005-0000-0000-00003F130000}"/>
    <cellStyle name="Data 2 4 3 3 2" xfId="3369" xr:uid="{00000000-0005-0000-0000-000040130000}"/>
    <cellStyle name="Data 2 4 3 3 2 2" xfId="3370" xr:uid="{00000000-0005-0000-0000-000041130000}"/>
    <cellStyle name="Data 2 4 3 3 3" xfId="3371" xr:uid="{00000000-0005-0000-0000-000042130000}"/>
    <cellStyle name="Data 2 4 3 3 3 2" xfId="3372" xr:uid="{00000000-0005-0000-0000-000043130000}"/>
    <cellStyle name="Data 2 4 3 3 4" xfId="3373" xr:uid="{00000000-0005-0000-0000-000044130000}"/>
    <cellStyle name="Data 2 4 3 3 4 2" xfId="3374" xr:uid="{00000000-0005-0000-0000-000045130000}"/>
    <cellStyle name="Data 2 4 3 3 5" xfId="3375" xr:uid="{00000000-0005-0000-0000-000046130000}"/>
    <cellStyle name="Data 2 4 3 3 5 2" xfId="3376" xr:uid="{00000000-0005-0000-0000-000047130000}"/>
    <cellStyle name="Data 2 4 3 3 6" xfId="3377" xr:uid="{00000000-0005-0000-0000-000048130000}"/>
    <cellStyle name="Data 2 4 3 3 6 2" xfId="3378" xr:uid="{00000000-0005-0000-0000-000049130000}"/>
    <cellStyle name="Data 2 4 3 3 7" xfId="3379" xr:uid="{00000000-0005-0000-0000-00004A130000}"/>
    <cellStyle name="Data 2 4 3 3 7 2" xfId="3380" xr:uid="{00000000-0005-0000-0000-00004B130000}"/>
    <cellStyle name="Data 2 4 3 3 8" xfId="3381" xr:uid="{00000000-0005-0000-0000-00004C130000}"/>
    <cellStyle name="Data 2 4 3 3 8 2" xfId="3382" xr:uid="{00000000-0005-0000-0000-00004D130000}"/>
    <cellStyle name="Data 2 4 3 3 9" xfId="3383" xr:uid="{00000000-0005-0000-0000-00004E130000}"/>
    <cellStyle name="Data 2 4 3 3 9 2" xfId="3384" xr:uid="{00000000-0005-0000-0000-00004F130000}"/>
    <cellStyle name="Data 2 4 3 4" xfId="3385" xr:uid="{00000000-0005-0000-0000-000050130000}"/>
    <cellStyle name="Data 2 4 3 4 10" xfId="3386" xr:uid="{00000000-0005-0000-0000-000051130000}"/>
    <cellStyle name="Data 2 4 3 4 2" xfId="3387" xr:uid="{00000000-0005-0000-0000-000052130000}"/>
    <cellStyle name="Data 2 4 3 4 2 2" xfId="3388" xr:uid="{00000000-0005-0000-0000-000053130000}"/>
    <cellStyle name="Data 2 4 3 4 3" xfId="3389" xr:uid="{00000000-0005-0000-0000-000054130000}"/>
    <cellStyle name="Data 2 4 3 4 3 2" xfId="3390" xr:uid="{00000000-0005-0000-0000-000055130000}"/>
    <cellStyle name="Data 2 4 3 4 4" xfId="3391" xr:uid="{00000000-0005-0000-0000-000056130000}"/>
    <cellStyle name="Data 2 4 3 4 4 2" xfId="3392" xr:uid="{00000000-0005-0000-0000-000057130000}"/>
    <cellStyle name="Data 2 4 3 4 5" xfId="3393" xr:uid="{00000000-0005-0000-0000-000058130000}"/>
    <cellStyle name="Data 2 4 3 4 5 2" xfId="3394" xr:uid="{00000000-0005-0000-0000-000059130000}"/>
    <cellStyle name="Data 2 4 3 4 6" xfId="3395" xr:uid="{00000000-0005-0000-0000-00005A130000}"/>
    <cellStyle name="Data 2 4 3 4 6 2" xfId="3396" xr:uid="{00000000-0005-0000-0000-00005B130000}"/>
    <cellStyle name="Data 2 4 3 4 7" xfId="3397" xr:uid="{00000000-0005-0000-0000-00005C130000}"/>
    <cellStyle name="Data 2 4 3 4 7 2" xfId="3398" xr:uid="{00000000-0005-0000-0000-00005D130000}"/>
    <cellStyle name="Data 2 4 3 4 8" xfId="3399" xr:uid="{00000000-0005-0000-0000-00005E130000}"/>
    <cellStyle name="Data 2 4 3 4 8 2" xfId="3400" xr:uid="{00000000-0005-0000-0000-00005F130000}"/>
    <cellStyle name="Data 2 4 3 4 9" xfId="3401" xr:uid="{00000000-0005-0000-0000-000060130000}"/>
    <cellStyle name="Data 2 4 3 4 9 2" xfId="3402" xr:uid="{00000000-0005-0000-0000-000061130000}"/>
    <cellStyle name="Data 2 4 3 5" xfId="3403" xr:uid="{00000000-0005-0000-0000-000062130000}"/>
    <cellStyle name="Data 2 4 3 5 10" xfId="3404" xr:uid="{00000000-0005-0000-0000-000063130000}"/>
    <cellStyle name="Data 2 4 3 5 2" xfId="3405" xr:uid="{00000000-0005-0000-0000-000064130000}"/>
    <cellStyle name="Data 2 4 3 5 2 2" xfId="3406" xr:uid="{00000000-0005-0000-0000-000065130000}"/>
    <cellStyle name="Data 2 4 3 5 3" xfId="3407" xr:uid="{00000000-0005-0000-0000-000066130000}"/>
    <cellStyle name="Data 2 4 3 5 3 2" xfId="3408" xr:uid="{00000000-0005-0000-0000-000067130000}"/>
    <cellStyle name="Data 2 4 3 5 4" xfId="3409" xr:uid="{00000000-0005-0000-0000-000068130000}"/>
    <cellStyle name="Data 2 4 3 5 4 2" xfId="3410" xr:uid="{00000000-0005-0000-0000-000069130000}"/>
    <cellStyle name="Data 2 4 3 5 5" xfId="3411" xr:uid="{00000000-0005-0000-0000-00006A130000}"/>
    <cellStyle name="Data 2 4 3 5 5 2" xfId="3412" xr:uid="{00000000-0005-0000-0000-00006B130000}"/>
    <cellStyle name="Data 2 4 3 5 6" xfId="3413" xr:uid="{00000000-0005-0000-0000-00006C130000}"/>
    <cellStyle name="Data 2 4 3 5 6 2" xfId="3414" xr:uid="{00000000-0005-0000-0000-00006D130000}"/>
    <cellStyle name="Data 2 4 3 5 7" xfId="3415" xr:uid="{00000000-0005-0000-0000-00006E130000}"/>
    <cellStyle name="Data 2 4 3 5 7 2" xfId="3416" xr:uid="{00000000-0005-0000-0000-00006F130000}"/>
    <cellStyle name="Data 2 4 3 5 8" xfId="3417" xr:uid="{00000000-0005-0000-0000-000070130000}"/>
    <cellStyle name="Data 2 4 3 5 8 2" xfId="3418" xr:uid="{00000000-0005-0000-0000-000071130000}"/>
    <cellStyle name="Data 2 4 3 5 9" xfId="3419" xr:uid="{00000000-0005-0000-0000-000072130000}"/>
    <cellStyle name="Data 2 4 3 5 9 2" xfId="3420" xr:uid="{00000000-0005-0000-0000-000073130000}"/>
    <cellStyle name="Data 2 4 3 6" xfId="3421" xr:uid="{00000000-0005-0000-0000-000074130000}"/>
    <cellStyle name="Data 2 4 3 6 10" xfId="3422" xr:uid="{00000000-0005-0000-0000-000075130000}"/>
    <cellStyle name="Data 2 4 3 6 2" xfId="3423" xr:uid="{00000000-0005-0000-0000-000076130000}"/>
    <cellStyle name="Data 2 4 3 6 2 2" xfId="3424" xr:uid="{00000000-0005-0000-0000-000077130000}"/>
    <cellStyle name="Data 2 4 3 6 3" xfId="3425" xr:uid="{00000000-0005-0000-0000-000078130000}"/>
    <cellStyle name="Data 2 4 3 6 3 2" xfId="3426" xr:uid="{00000000-0005-0000-0000-000079130000}"/>
    <cellStyle name="Data 2 4 3 6 4" xfId="3427" xr:uid="{00000000-0005-0000-0000-00007A130000}"/>
    <cellStyle name="Data 2 4 3 6 4 2" xfId="3428" xr:uid="{00000000-0005-0000-0000-00007B130000}"/>
    <cellStyle name="Data 2 4 3 6 5" xfId="3429" xr:uid="{00000000-0005-0000-0000-00007C130000}"/>
    <cellStyle name="Data 2 4 3 6 5 2" xfId="3430" xr:uid="{00000000-0005-0000-0000-00007D130000}"/>
    <cellStyle name="Data 2 4 3 6 6" xfId="3431" xr:uid="{00000000-0005-0000-0000-00007E130000}"/>
    <cellStyle name="Data 2 4 3 6 6 2" xfId="3432" xr:uid="{00000000-0005-0000-0000-00007F130000}"/>
    <cellStyle name="Data 2 4 3 6 7" xfId="3433" xr:uid="{00000000-0005-0000-0000-000080130000}"/>
    <cellStyle name="Data 2 4 3 6 7 2" xfId="3434" xr:uid="{00000000-0005-0000-0000-000081130000}"/>
    <cellStyle name="Data 2 4 3 6 8" xfId="3435" xr:uid="{00000000-0005-0000-0000-000082130000}"/>
    <cellStyle name="Data 2 4 3 6 8 2" xfId="3436" xr:uid="{00000000-0005-0000-0000-000083130000}"/>
    <cellStyle name="Data 2 4 3 6 9" xfId="3437" xr:uid="{00000000-0005-0000-0000-000084130000}"/>
    <cellStyle name="Data 2 4 3 6 9 2" xfId="3438" xr:uid="{00000000-0005-0000-0000-000085130000}"/>
    <cellStyle name="Data 2 4 3 7" xfId="3439" xr:uid="{00000000-0005-0000-0000-000086130000}"/>
    <cellStyle name="Data 2 4 3 7 10" xfId="3440" xr:uid="{00000000-0005-0000-0000-000087130000}"/>
    <cellStyle name="Data 2 4 3 7 2" xfId="3441" xr:uid="{00000000-0005-0000-0000-000088130000}"/>
    <cellStyle name="Data 2 4 3 7 2 2" xfId="3442" xr:uid="{00000000-0005-0000-0000-000089130000}"/>
    <cellStyle name="Data 2 4 3 7 3" xfId="3443" xr:uid="{00000000-0005-0000-0000-00008A130000}"/>
    <cellStyle name="Data 2 4 3 7 3 2" xfId="3444" xr:uid="{00000000-0005-0000-0000-00008B130000}"/>
    <cellStyle name="Data 2 4 3 7 4" xfId="3445" xr:uid="{00000000-0005-0000-0000-00008C130000}"/>
    <cellStyle name="Data 2 4 3 7 4 2" xfId="3446" xr:uid="{00000000-0005-0000-0000-00008D130000}"/>
    <cellStyle name="Data 2 4 3 7 5" xfId="3447" xr:uid="{00000000-0005-0000-0000-00008E130000}"/>
    <cellStyle name="Data 2 4 3 7 5 2" xfId="3448" xr:uid="{00000000-0005-0000-0000-00008F130000}"/>
    <cellStyle name="Data 2 4 3 7 6" xfId="3449" xr:uid="{00000000-0005-0000-0000-000090130000}"/>
    <cellStyle name="Data 2 4 3 7 6 2" xfId="3450" xr:uid="{00000000-0005-0000-0000-000091130000}"/>
    <cellStyle name="Data 2 4 3 7 7" xfId="3451" xr:uid="{00000000-0005-0000-0000-000092130000}"/>
    <cellStyle name="Data 2 4 3 7 7 2" xfId="3452" xr:uid="{00000000-0005-0000-0000-000093130000}"/>
    <cellStyle name="Data 2 4 3 7 8" xfId="3453" xr:uid="{00000000-0005-0000-0000-000094130000}"/>
    <cellStyle name="Data 2 4 3 7 8 2" xfId="3454" xr:uid="{00000000-0005-0000-0000-000095130000}"/>
    <cellStyle name="Data 2 4 3 7 9" xfId="3455" xr:uid="{00000000-0005-0000-0000-000096130000}"/>
    <cellStyle name="Data 2 4 3 7 9 2" xfId="3456" xr:uid="{00000000-0005-0000-0000-000097130000}"/>
    <cellStyle name="Data 2 4 3 8" xfId="3457" xr:uid="{00000000-0005-0000-0000-000098130000}"/>
    <cellStyle name="Data 2 4 3 8 10" xfId="3458" xr:uid="{00000000-0005-0000-0000-000099130000}"/>
    <cellStyle name="Data 2 4 3 8 2" xfId="3459" xr:uid="{00000000-0005-0000-0000-00009A130000}"/>
    <cellStyle name="Data 2 4 3 8 2 2" xfId="3460" xr:uid="{00000000-0005-0000-0000-00009B130000}"/>
    <cellStyle name="Data 2 4 3 8 3" xfId="3461" xr:uid="{00000000-0005-0000-0000-00009C130000}"/>
    <cellStyle name="Data 2 4 3 8 3 2" xfId="3462" xr:uid="{00000000-0005-0000-0000-00009D130000}"/>
    <cellStyle name="Data 2 4 3 8 4" xfId="3463" xr:uid="{00000000-0005-0000-0000-00009E130000}"/>
    <cellStyle name="Data 2 4 3 8 4 2" xfId="3464" xr:uid="{00000000-0005-0000-0000-00009F130000}"/>
    <cellStyle name="Data 2 4 3 8 5" xfId="3465" xr:uid="{00000000-0005-0000-0000-0000A0130000}"/>
    <cellStyle name="Data 2 4 3 8 5 2" xfId="3466" xr:uid="{00000000-0005-0000-0000-0000A1130000}"/>
    <cellStyle name="Data 2 4 3 8 6" xfId="3467" xr:uid="{00000000-0005-0000-0000-0000A2130000}"/>
    <cellStyle name="Data 2 4 3 8 6 2" xfId="3468" xr:uid="{00000000-0005-0000-0000-0000A3130000}"/>
    <cellStyle name="Data 2 4 3 8 7" xfId="3469" xr:uid="{00000000-0005-0000-0000-0000A4130000}"/>
    <cellStyle name="Data 2 4 3 8 7 2" xfId="3470" xr:uid="{00000000-0005-0000-0000-0000A5130000}"/>
    <cellStyle name="Data 2 4 3 8 8" xfId="3471" xr:uid="{00000000-0005-0000-0000-0000A6130000}"/>
    <cellStyle name="Data 2 4 3 8 8 2" xfId="3472" xr:uid="{00000000-0005-0000-0000-0000A7130000}"/>
    <cellStyle name="Data 2 4 3 8 9" xfId="3473" xr:uid="{00000000-0005-0000-0000-0000A8130000}"/>
    <cellStyle name="Data 2 4 3 8 9 2" xfId="3474" xr:uid="{00000000-0005-0000-0000-0000A9130000}"/>
    <cellStyle name="Data 2 4 3 9" xfId="3475" xr:uid="{00000000-0005-0000-0000-0000AA130000}"/>
    <cellStyle name="Data 2 4 3 9 10" xfId="3476" xr:uid="{00000000-0005-0000-0000-0000AB130000}"/>
    <cellStyle name="Data 2 4 3 9 2" xfId="3477" xr:uid="{00000000-0005-0000-0000-0000AC130000}"/>
    <cellStyle name="Data 2 4 3 9 2 2" xfId="3478" xr:uid="{00000000-0005-0000-0000-0000AD130000}"/>
    <cellStyle name="Data 2 4 3 9 3" xfId="3479" xr:uid="{00000000-0005-0000-0000-0000AE130000}"/>
    <cellStyle name="Data 2 4 3 9 3 2" xfId="3480" xr:uid="{00000000-0005-0000-0000-0000AF130000}"/>
    <cellStyle name="Data 2 4 3 9 4" xfId="3481" xr:uid="{00000000-0005-0000-0000-0000B0130000}"/>
    <cellStyle name="Data 2 4 3 9 4 2" xfId="3482" xr:uid="{00000000-0005-0000-0000-0000B1130000}"/>
    <cellStyle name="Data 2 4 3 9 5" xfId="3483" xr:uid="{00000000-0005-0000-0000-0000B2130000}"/>
    <cellStyle name="Data 2 4 3 9 5 2" xfId="3484" xr:uid="{00000000-0005-0000-0000-0000B3130000}"/>
    <cellStyle name="Data 2 4 3 9 6" xfId="3485" xr:uid="{00000000-0005-0000-0000-0000B4130000}"/>
    <cellStyle name="Data 2 4 3 9 6 2" xfId="3486" xr:uid="{00000000-0005-0000-0000-0000B5130000}"/>
    <cellStyle name="Data 2 4 3 9 7" xfId="3487" xr:uid="{00000000-0005-0000-0000-0000B6130000}"/>
    <cellStyle name="Data 2 4 3 9 7 2" xfId="3488" xr:uid="{00000000-0005-0000-0000-0000B7130000}"/>
    <cellStyle name="Data 2 4 3 9 8" xfId="3489" xr:uid="{00000000-0005-0000-0000-0000B8130000}"/>
    <cellStyle name="Data 2 4 3 9 8 2" xfId="3490" xr:uid="{00000000-0005-0000-0000-0000B9130000}"/>
    <cellStyle name="Data 2 4 3 9 9" xfId="3491" xr:uid="{00000000-0005-0000-0000-0000BA130000}"/>
    <cellStyle name="Data 2 4 3 9 9 2" xfId="3492" xr:uid="{00000000-0005-0000-0000-0000BB130000}"/>
    <cellStyle name="Data 2 4 4" xfId="3493" xr:uid="{00000000-0005-0000-0000-0000BC130000}"/>
    <cellStyle name="Data 2 4 4 10" xfId="3494" xr:uid="{00000000-0005-0000-0000-0000BD130000}"/>
    <cellStyle name="Data 2 4 4 10 2" xfId="3495" xr:uid="{00000000-0005-0000-0000-0000BE130000}"/>
    <cellStyle name="Data 2 4 4 10 2 2" xfId="3496" xr:uid="{00000000-0005-0000-0000-0000BF130000}"/>
    <cellStyle name="Data 2 4 4 10 3" xfId="3497" xr:uid="{00000000-0005-0000-0000-0000C0130000}"/>
    <cellStyle name="Data 2 4 4 10 3 2" xfId="3498" xr:uid="{00000000-0005-0000-0000-0000C1130000}"/>
    <cellStyle name="Data 2 4 4 10 4" xfId="3499" xr:uid="{00000000-0005-0000-0000-0000C2130000}"/>
    <cellStyle name="Data 2 4 4 10 4 2" xfId="3500" xr:uid="{00000000-0005-0000-0000-0000C3130000}"/>
    <cellStyle name="Data 2 4 4 10 5" xfId="3501" xr:uid="{00000000-0005-0000-0000-0000C4130000}"/>
    <cellStyle name="Data 2 4 4 10 5 2" xfId="3502" xr:uid="{00000000-0005-0000-0000-0000C5130000}"/>
    <cellStyle name="Data 2 4 4 10 6" xfId="3503" xr:uid="{00000000-0005-0000-0000-0000C6130000}"/>
    <cellStyle name="Data 2 4 4 10 6 2" xfId="3504" xr:uid="{00000000-0005-0000-0000-0000C7130000}"/>
    <cellStyle name="Data 2 4 4 10 7" xfId="3505" xr:uid="{00000000-0005-0000-0000-0000C8130000}"/>
    <cellStyle name="Data 2 4 4 10 7 2" xfId="3506" xr:uid="{00000000-0005-0000-0000-0000C9130000}"/>
    <cellStyle name="Data 2 4 4 10 8" xfId="3507" xr:uid="{00000000-0005-0000-0000-0000CA130000}"/>
    <cellStyle name="Data 2 4 4 10 8 2" xfId="3508" xr:uid="{00000000-0005-0000-0000-0000CB130000}"/>
    <cellStyle name="Data 2 4 4 10 9" xfId="3509" xr:uid="{00000000-0005-0000-0000-0000CC130000}"/>
    <cellStyle name="Data 2 4 4 11" xfId="3510" xr:uid="{00000000-0005-0000-0000-0000CD130000}"/>
    <cellStyle name="Data 2 4 4 11 2" xfId="3511" xr:uid="{00000000-0005-0000-0000-0000CE130000}"/>
    <cellStyle name="Data 2 4 4 12" xfId="3512" xr:uid="{00000000-0005-0000-0000-0000CF130000}"/>
    <cellStyle name="Data 2 4 4 12 2" xfId="3513" xr:uid="{00000000-0005-0000-0000-0000D0130000}"/>
    <cellStyle name="Data 2 4 4 13" xfId="3514" xr:uid="{00000000-0005-0000-0000-0000D1130000}"/>
    <cellStyle name="Data 2 4 4 13 2" xfId="3515" xr:uid="{00000000-0005-0000-0000-0000D2130000}"/>
    <cellStyle name="Data 2 4 4 14" xfId="3516" xr:uid="{00000000-0005-0000-0000-0000D3130000}"/>
    <cellStyle name="Data 2 4 4 14 2" xfId="3517" xr:uid="{00000000-0005-0000-0000-0000D4130000}"/>
    <cellStyle name="Data 2 4 4 15" xfId="3518" xr:uid="{00000000-0005-0000-0000-0000D5130000}"/>
    <cellStyle name="Data 2 4 4 15 2" xfId="3519" xr:uid="{00000000-0005-0000-0000-0000D6130000}"/>
    <cellStyle name="Data 2 4 4 16" xfId="3520" xr:uid="{00000000-0005-0000-0000-0000D7130000}"/>
    <cellStyle name="Data 2 4 4 16 2" xfId="3521" xr:uid="{00000000-0005-0000-0000-0000D8130000}"/>
    <cellStyle name="Data 2 4 4 17" xfId="3522" xr:uid="{00000000-0005-0000-0000-0000D9130000}"/>
    <cellStyle name="Data 2 4 4 17 2" xfId="3523" xr:uid="{00000000-0005-0000-0000-0000DA130000}"/>
    <cellStyle name="Data 2 4 4 18" xfId="3524" xr:uid="{00000000-0005-0000-0000-0000DB130000}"/>
    <cellStyle name="Data 2 4 4 2" xfId="3525" xr:uid="{00000000-0005-0000-0000-0000DC130000}"/>
    <cellStyle name="Data 2 4 4 2 10" xfId="3526" xr:uid="{00000000-0005-0000-0000-0000DD130000}"/>
    <cellStyle name="Data 2 4 4 2 2" xfId="3527" xr:uid="{00000000-0005-0000-0000-0000DE130000}"/>
    <cellStyle name="Data 2 4 4 2 2 2" xfId="3528" xr:uid="{00000000-0005-0000-0000-0000DF130000}"/>
    <cellStyle name="Data 2 4 4 2 3" xfId="3529" xr:uid="{00000000-0005-0000-0000-0000E0130000}"/>
    <cellStyle name="Data 2 4 4 2 3 2" xfId="3530" xr:uid="{00000000-0005-0000-0000-0000E1130000}"/>
    <cellStyle name="Data 2 4 4 2 4" xfId="3531" xr:uid="{00000000-0005-0000-0000-0000E2130000}"/>
    <cellStyle name="Data 2 4 4 2 4 2" xfId="3532" xr:uid="{00000000-0005-0000-0000-0000E3130000}"/>
    <cellStyle name="Data 2 4 4 2 5" xfId="3533" xr:uid="{00000000-0005-0000-0000-0000E4130000}"/>
    <cellStyle name="Data 2 4 4 2 5 2" xfId="3534" xr:uid="{00000000-0005-0000-0000-0000E5130000}"/>
    <cellStyle name="Data 2 4 4 2 6" xfId="3535" xr:uid="{00000000-0005-0000-0000-0000E6130000}"/>
    <cellStyle name="Data 2 4 4 2 6 2" xfId="3536" xr:uid="{00000000-0005-0000-0000-0000E7130000}"/>
    <cellStyle name="Data 2 4 4 2 7" xfId="3537" xr:uid="{00000000-0005-0000-0000-0000E8130000}"/>
    <cellStyle name="Data 2 4 4 2 7 2" xfId="3538" xr:uid="{00000000-0005-0000-0000-0000E9130000}"/>
    <cellStyle name="Data 2 4 4 2 8" xfId="3539" xr:uid="{00000000-0005-0000-0000-0000EA130000}"/>
    <cellStyle name="Data 2 4 4 2 8 2" xfId="3540" xr:uid="{00000000-0005-0000-0000-0000EB130000}"/>
    <cellStyle name="Data 2 4 4 2 9" xfId="3541" xr:uid="{00000000-0005-0000-0000-0000EC130000}"/>
    <cellStyle name="Data 2 4 4 2 9 2" xfId="3542" xr:uid="{00000000-0005-0000-0000-0000ED130000}"/>
    <cellStyle name="Data 2 4 4 3" xfId="3543" xr:uid="{00000000-0005-0000-0000-0000EE130000}"/>
    <cellStyle name="Data 2 4 4 3 10" xfId="3544" xr:uid="{00000000-0005-0000-0000-0000EF130000}"/>
    <cellStyle name="Data 2 4 4 3 2" xfId="3545" xr:uid="{00000000-0005-0000-0000-0000F0130000}"/>
    <cellStyle name="Data 2 4 4 3 2 2" xfId="3546" xr:uid="{00000000-0005-0000-0000-0000F1130000}"/>
    <cellStyle name="Data 2 4 4 3 3" xfId="3547" xr:uid="{00000000-0005-0000-0000-0000F2130000}"/>
    <cellStyle name="Data 2 4 4 3 3 2" xfId="3548" xr:uid="{00000000-0005-0000-0000-0000F3130000}"/>
    <cellStyle name="Data 2 4 4 3 4" xfId="3549" xr:uid="{00000000-0005-0000-0000-0000F4130000}"/>
    <cellStyle name="Data 2 4 4 3 4 2" xfId="3550" xr:uid="{00000000-0005-0000-0000-0000F5130000}"/>
    <cellStyle name="Data 2 4 4 3 5" xfId="3551" xr:uid="{00000000-0005-0000-0000-0000F6130000}"/>
    <cellStyle name="Data 2 4 4 3 5 2" xfId="3552" xr:uid="{00000000-0005-0000-0000-0000F7130000}"/>
    <cellStyle name="Data 2 4 4 3 6" xfId="3553" xr:uid="{00000000-0005-0000-0000-0000F8130000}"/>
    <cellStyle name="Data 2 4 4 3 6 2" xfId="3554" xr:uid="{00000000-0005-0000-0000-0000F9130000}"/>
    <cellStyle name="Data 2 4 4 3 7" xfId="3555" xr:uid="{00000000-0005-0000-0000-0000FA130000}"/>
    <cellStyle name="Data 2 4 4 3 7 2" xfId="3556" xr:uid="{00000000-0005-0000-0000-0000FB130000}"/>
    <cellStyle name="Data 2 4 4 3 8" xfId="3557" xr:uid="{00000000-0005-0000-0000-0000FC130000}"/>
    <cellStyle name="Data 2 4 4 3 8 2" xfId="3558" xr:uid="{00000000-0005-0000-0000-0000FD130000}"/>
    <cellStyle name="Data 2 4 4 3 9" xfId="3559" xr:uid="{00000000-0005-0000-0000-0000FE130000}"/>
    <cellStyle name="Data 2 4 4 3 9 2" xfId="3560" xr:uid="{00000000-0005-0000-0000-0000FF130000}"/>
    <cellStyle name="Data 2 4 4 4" xfId="3561" xr:uid="{00000000-0005-0000-0000-000000140000}"/>
    <cellStyle name="Data 2 4 4 4 10" xfId="3562" xr:uid="{00000000-0005-0000-0000-000001140000}"/>
    <cellStyle name="Data 2 4 4 4 2" xfId="3563" xr:uid="{00000000-0005-0000-0000-000002140000}"/>
    <cellStyle name="Data 2 4 4 4 2 2" xfId="3564" xr:uid="{00000000-0005-0000-0000-000003140000}"/>
    <cellStyle name="Data 2 4 4 4 3" xfId="3565" xr:uid="{00000000-0005-0000-0000-000004140000}"/>
    <cellStyle name="Data 2 4 4 4 3 2" xfId="3566" xr:uid="{00000000-0005-0000-0000-000005140000}"/>
    <cellStyle name="Data 2 4 4 4 4" xfId="3567" xr:uid="{00000000-0005-0000-0000-000006140000}"/>
    <cellStyle name="Data 2 4 4 4 4 2" xfId="3568" xr:uid="{00000000-0005-0000-0000-000007140000}"/>
    <cellStyle name="Data 2 4 4 4 5" xfId="3569" xr:uid="{00000000-0005-0000-0000-000008140000}"/>
    <cellStyle name="Data 2 4 4 4 5 2" xfId="3570" xr:uid="{00000000-0005-0000-0000-000009140000}"/>
    <cellStyle name="Data 2 4 4 4 6" xfId="3571" xr:uid="{00000000-0005-0000-0000-00000A140000}"/>
    <cellStyle name="Data 2 4 4 4 6 2" xfId="3572" xr:uid="{00000000-0005-0000-0000-00000B140000}"/>
    <cellStyle name="Data 2 4 4 4 7" xfId="3573" xr:uid="{00000000-0005-0000-0000-00000C140000}"/>
    <cellStyle name="Data 2 4 4 4 7 2" xfId="3574" xr:uid="{00000000-0005-0000-0000-00000D140000}"/>
    <cellStyle name="Data 2 4 4 4 8" xfId="3575" xr:uid="{00000000-0005-0000-0000-00000E140000}"/>
    <cellStyle name="Data 2 4 4 4 8 2" xfId="3576" xr:uid="{00000000-0005-0000-0000-00000F140000}"/>
    <cellStyle name="Data 2 4 4 4 9" xfId="3577" xr:uid="{00000000-0005-0000-0000-000010140000}"/>
    <cellStyle name="Data 2 4 4 4 9 2" xfId="3578" xr:uid="{00000000-0005-0000-0000-000011140000}"/>
    <cellStyle name="Data 2 4 4 5" xfId="3579" xr:uid="{00000000-0005-0000-0000-000012140000}"/>
    <cellStyle name="Data 2 4 4 5 10" xfId="3580" xr:uid="{00000000-0005-0000-0000-000013140000}"/>
    <cellStyle name="Data 2 4 4 5 2" xfId="3581" xr:uid="{00000000-0005-0000-0000-000014140000}"/>
    <cellStyle name="Data 2 4 4 5 2 2" xfId="3582" xr:uid="{00000000-0005-0000-0000-000015140000}"/>
    <cellStyle name="Data 2 4 4 5 3" xfId="3583" xr:uid="{00000000-0005-0000-0000-000016140000}"/>
    <cellStyle name="Data 2 4 4 5 3 2" xfId="3584" xr:uid="{00000000-0005-0000-0000-000017140000}"/>
    <cellStyle name="Data 2 4 4 5 4" xfId="3585" xr:uid="{00000000-0005-0000-0000-000018140000}"/>
    <cellStyle name="Data 2 4 4 5 4 2" xfId="3586" xr:uid="{00000000-0005-0000-0000-000019140000}"/>
    <cellStyle name="Data 2 4 4 5 5" xfId="3587" xr:uid="{00000000-0005-0000-0000-00001A140000}"/>
    <cellStyle name="Data 2 4 4 5 5 2" xfId="3588" xr:uid="{00000000-0005-0000-0000-00001B140000}"/>
    <cellStyle name="Data 2 4 4 5 6" xfId="3589" xr:uid="{00000000-0005-0000-0000-00001C140000}"/>
    <cellStyle name="Data 2 4 4 5 6 2" xfId="3590" xr:uid="{00000000-0005-0000-0000-00001D140000}"/>
    <cellStyle name="Data 2 4 4 5 7" xfId="3591" xr:uid="{00000000-0005-0000-0000-00001E140000}"/>
    <cellStyle name="Data 2 4 4 5 7 2" xfId="3592" xr:uid="{00000000-0005-0000-0000-00001F140000}"/>
    <cellStyle name="Data 2 4 4 5 8" xfId="3593" xr:uid="{00000000-0005-0000-0000-000020140000}"/>
    <cellStyle name="Data 2 4 4 5 8 2" xfId="3594" xr:uid="{00000000-0005-0000-0000-000021140000}"/>
    <cellStyle name="Data 2 4 4 5 9" xfId="3595" xr:uid="{00000000-0005-0000-0000-000022140000}"/>
    <cellStyle name="Data 2 4 4 5 9 2" xfId="3596" xr:uid="{00000000-0005-0000-0000-000023140000}"/>
    <cellStyle name="Data 2 4 4 6" xfId="3597" xr:uid="{00000000-0005-0000-0000-000024140000}"/>
    <cellStyle name="Data 2 4 4 6 10" xfId="3598" xr:uid="{00000000-0005-0000-0000-000025140000}"/>
    <cellStyle name="Data 2 4 4 6 2" xfId="3599" xr:uid="{00000000-0005-0000-0000-000026140000}"/>
    <cellStyle name="Data 2 4 4 6 2 2" xfId="3600" xr:uid="{00000000-0005-0000-0000-000027140000}"/>
    <cellStyle name="Data 2 4 4 6 3" xfId="3601" xr:uid="{00000000-0005-0000-0000-000028140000}"/>
    <cellStyle name="Data 2 4 4 6 3 2" xfId="3602" xr:uid="{00000000-0005-0000-0000-000029140000}"/>
    <cellStyle name="Data 2 4 4 6 4" xfId="3603" xr:uid="{00000000-0005-0000-0000-00002A140000}"/>
    <cellStyle name="Data 2 4 4 6 4 2" xfId="3604" xr:uid="{00000000-0005-0000-0000-00002B140000}"/>
    <cellStyle name="Data 2 4 4 6 5" xfId="3605" xr:uid="{00000000-0005-0000-0000-00002C140000}"/>
    <cellStyle name="Data 2 4 4 6 5 2" xfId="3606" xr:uid="{00000000-0005-0000-0000-00002D140000}"/>
    <cellStyle name="Data 2 4 4 6 6" xfId="3607" xr:uid="{00000000-0005-0000-0000-00002E140000}"/>
    <cellStyle name="Data 2 4 4 6 6 2" xfId="3608" xr:uid="{00000000-0005-0000-0000-00002F140000}"/>
    <cellStyle name="Data 2 4 4 6 7" xfId="3609" xr:uid="{00000000-0005-0000-0000-000030140000}"/>
    <cellStyle name="Data 2 4 4 6 7 2" xfId="3610" xr:uid="{00000000-0005-0000-0000-000031140000}"/>
    <cellStyle name="Data 2 4 4 6 8" xfId="3611" xr:uid="{00000000-0005-0000-0000-000032140000}"/>
    <cellStyle name="Data 2 4 4 6 8 2" xfId="3612" xr:uid="{00000000-0005-0000-0000-000033140000}"/>
    <cellStyle name="Data 2 4 4 6 9" xfId="3613" xr:uid="{00000000-0005-0000-0000-000034140000}"/>
    <cellStyle name="Data 2 4 4 6 9 2" xfId="3614" xr:uid="{00000000-0005-0000-0000-000035140000}"/>
    <cellStyle name="Data 2 4 4 7" xfId="3615" xr:uid="{00000000-0005-0000-0000-000036140000}"/>
    <cellStyle name="Data 2 4 4 7 10" xfId="3616" xr:uid="{00000000-0005-0000-0000-000037140000}"/>
    <cellStyle name="Data 2 4 4 7 2" xfId="3617" xr:uid="{00000000-0005-0000-0000-000038140000}"/>
    <cellStyle name="Data 2 4 4 7 2 2" xfId="3618" xr:uid="{00000000-0005-0000-0000-000039140000}"/>
    <cellStyle name="Data 2 4 4 7 3" xfId="3619" xr:uid="{00000000-0005-0000-0000-00003A140000}"/>
    <cellStyle name="Data 2 4 4 7 3 2" xfId="3620" xr:uid="{00000000-0005-0000-0000-00003B140000}"/>
    <cellStyle name="Data 2 4 4 7 4" xfId="3621" xr:uid="{00000000-0005-0000-0000-00003C140000}"/>
    <cellStyle name="Data 2 4 4 7 4 2" xfId="3622" xr:uid="{00000000-0005-0000-0000-00003D140000}"/>
    <cellStyle name="Data 2 4 4 7 5" xfId="3623" xr:uid="{00000000-0005-0000-0000-00003E140000}"/>
    <cellStyle name="Data 2 4 4 7 5 2" xfId="3624" xr:uid="{00000000-0005-0000-0000-00003F140000}"/>
    <cellStyle name="Data 2 4 4 7 6" xfId="3625" xr:uid="{00000000-0005-0000-0000-000040140000}"/>
    <cellStyle name="Data 2 4 4 7 6 2" xfId="3626" xr:uid="{00000000-0005-0000-0000-000041140000}"/>
    <cellStyle name="Data 2 4 4 7 7" xfId="3627" xr:uid="{00000000-0005-0000-0000-000042140000}"/>
    <cellStyle name="Data 2 4 4 7 7 2" xfId="3628" xr:uid="{00000000-0005-0000-0000-000043140000}"/>
    <cellStyle name="Data 2 4 4 7 8" xfId="3629" xr:uid="{00000000-0005-0000-0000-000044140000}"/>
    <cellStyle name="Data 2 4 4 7 8 2" xfId="3630" xr:uid="{00000000-0005-0000-0000-000045140000}"/>
    <cellStyle name="Data 2 4 4 7 9" xfId="3631" xr:uid="{00000000-0005-0000-0000-000046140000}"/>
    <cellStyle name="Data 2 4 4 7 9 2" xfId="3632" xr:uid="{00000000-0005-0000-0000-000047140000}"/>
    <cellStyle name="Data 2 4 4 8" xfId="3633" xr:uid="{00000000-0005-0000-0000-000048140000}"/>
    <cellStyle name="Data 2 4 4 8 10" xfId="3634" xr:uid="{00000000-0005-0000-0000-000049140000}"/>
    <cellStyle name="Data 2 4 4 8 2" xfId="3635" xr:uid="{00000000-0005-0000-0000-00004A140000}"/>
    <cellStyle name="Data 2 4 4 8 2 2" xfId="3636" xr:uid="{00000000-0005-0000-0000-00004B140000}"/>
    <cellStyle name="Data 2 4 4 8 3" xfId="3637" xr:uid="{00000000-0005-0000-0000-00004C140000}"/>
    <cellStyle name="Data 2 4 4 8 3 2" xfId="3638" xr:uid="{00000000-0005-0000-0000-00004D140000}"/>
    <cellStyle name="Data 2 4 4 8 4" xfId="3639" xr:uid="{00000000-0005-0000-0000-00004E140000}"/>
    <cellStyle name="Data 2 4 4 8 4 2" xfId="3640" xr:uid="{00000000-0005-0000-0000-00004F140000}"/>
    <cellStyle name="Data 2 4 4 8 5" xfId="3641" xr:uid="{00000000-0005-0000-0000-000050140000}"/>
    <cellStyle name="Data 2 4 4 8 5 2" xfId="3642" xr:uid="{00000000-0005-0000-0000-000051140000}"/>
    <cellStyle name="Data 2 4 4 8 6" xfId="3643" xr:uid="{00000000-0005-0000-0000-000052140000}"/>
    <cellStyle name="Data 2 4 4 8 6 2" xfId="3644" xr:uid="{00000000-0005-0000-0000-000053140000}"/>
    <cellStyle name="Data 2 4 4 8 7" xfId="3645" xr:uid="{00000000-0005-0000-0000-000054140000}"/>
    <cellStyle name="Data 2 4 4 8 7 2" xfId="3646" xr:uid="{00000000-0005-0000-0000-000055140000}"/>
    <cellStyle name="Data 2 4 4 8 8" xfId="3647" xr:uid="{00000000-0005-0000-0000-000056140000}"/>
    <cellStyle name="Data 2 4 4 8 8 2" xfId="3648" xr:uid="{00000000-0005-0000-0000-000057140000}"/>
    <cellStyle name="Data 2 4 4 8 9" xfId="3649" xr:uid="{00000000-0005-0000-0000-000058140000}"/>
    <cellStyle name="Data 2 4 4 8 9 2" xfId="3650" xr:uid="{00000000-0005-0000-0000-000059140000}"/>
    <cellStyle name="Data 2 4 4 9" xfId="3651" xr:uid="{00000000-0005-0000-0000-00005A140000}"/>
    <cellStyle name="Data 2 4 4 9 10" xfId="3652" xr:uid="{00000000-0005-0000-0000-00005B140000}"/>
    <cellStyle name="Data 2 4 4 9 2" xfId="3653" xr:uid="{00000000-0005-0000-0000-00005C140000}"/>
    <cellStyle name="Data 2 4 4 9 2 2" xfId="3654" xr:uid="{00000000-0005-0000-0000-00005D140000}"/>
    <cellStyle name="Data 2 4 4 9 3" xfId="3655" xr:uid="{00000000-0005-0000-0000-00005E140000}"/>
    <cellStyle name="Data 2 4 4 9 3 2" xfId="3656" xr:uid="{00000000-0005-0000-0000-00005F140000}"/>
    <cellStyle name="Data 2 4 4 9 4" xfId="3657" xr:uid="{00000000-0005-0000-0000-000060140000}"/>
    <cellStyle name="Data 2 4 4 9 4 2" xfId="3658" xr:uid="{00000000-0005-0000-0000-000061140000}"/>
    <cellStyle name="Data 2 4 4 9 5" xfId="3659" xr:uid="{00000000-0005-0000-0000-000062140000}"/>
    <cellStyle name="Data 2 4 4 9 5 2" xfId="3660" xr:uid="{00000000-0005-0000-0000-000063140000}"/>
    <cellStyle name="Data 2 4 4 9 6" xfId="3661" xr:uid="{00000000-0005-0000-0000-000064140000}"/>
    <cellStyle name="Data 2 4 4 9 6 2" xfId="3662" xr:uid="{00000000-0005-0000-0000-000065140000}"/>
    <cellStyle name="Data 2 4 4 9 7" xfId="3663" xr:uid="{00000000-0005-0000-0000-000066140000}"/>
    <cellStyle name="Data 2 4 4 9 7 2" xfId="3664" xr:uid="{00000000-0005-0000-0000-000067140000}"/>
    <cellStyle name="Data 2 4 4 9 8" xfId="3665" xr:uid="{00000000-0005-0000-0000-000068140000}"/>
    <cellStyle name="Data 2 4 4 9 8 2" xfId="3666" xr:uid="{00000000-0005-0000-0000-000069140000}"/>
    <cellStyle name="Data 2 4 4 9 9" xfId="3667" xr:uid="{00000000-0005-0000-0000-00006A140000}"/>
    <cellStyle name="Data 2 4 4 9 9 2" xfId="3668" xr:uid="{00000000-0005-0000-0000-00006B140000}"/>
    <cellStyle name="Data 2 4 5" xfId="3669" xr:uid="{00000000-0005-0000-0000-00006C140000}"/>
    <cellStyle name="Data 2 4 5 10" xfId="3670" xr:uid="{00000000-0005-0000-0000-00006D140000}"/>
    <cellStyle name="Data 2 4 5 10 2" xfId="3671" xr:uid="{00000000-0005-0000-0000-00006E140000}"/>
    <cellStyle name="Data 2 4 5 10 2 2" xfId="3672" xr:uid="{00000000-0005-0000-0000-00006F140000}"/>
    <cellStyle name="Data 2 4 5 10 3" xfId="3673" xr:uid="{00000000-0005-0000-0000-000070140000}"/>
    <cellStyle name="Data 2 4 5 10 3 2" xfId="3674" xr:uid="{00000000-0005-0000-0000-000071140000}"/>
    <cellStyle name="Data 2 4 5 10 4" xfId="3675" xr:uid="{00000000-0005-0000-0000-000072140000}"/>
    <cellStyle name="Data 2 4 5 10 4 2" xfId="3676" xr:uid="{00000000-0005-0000-0000-000073140000}"/>
    <cellStyle name="Data 2 4 5 10 5" xfId="3677" xr:uid="{00000000-0005-0000-0000-000074140000}"/>
    <cellStyle name="Data 2 4 5 10 5 2" xfId="3678" xr:uid="{00000000-0005-0000-0000-000075140000}"/>
    <cellStyle name="Data 2 4 5 10 6" xfId="3679" xr:uid="{00000000-0005-0000-0000-000076140000}"/>
    <cellStyle name="Data 2 4 5 10 6 2" xfId="3680" xr:uid="{00000000-0005-0000-0000-000077140000}"/>
    <cellStyle name="Data 2 4 5 10 7" xfId="3681" xr:uid="{00000000-0005-0000-0000-000078140000}"/>
    <cellStyle name="Data 2 4 5 10 7 2" xfId="3682" xr:uid="{00000000-0005-0000-0000-000079140000}"/>
    <cellStyle name="Data 2 4 5 10 8" xfId="3683" xr:uid="{00000000-0005-0000-0000-00007A140000}"/>
    <cellStyle name="Data 2 4 5 10 8 2" xfId="3684" xr:uid="{00000000-0005-0000-0000-00007B140000}"/>
    <cellStyle name="Data 2 4 5 10 9" xfId="3685" xr:uid="{00000000-0005-0000-0000-00007C140000}"/>
    <cellStyle name="Data 2 4 5 11" xfId="3686" xr:uid="{00000000-0005-0000-0000-00007D140000}"/>
    <cellStyle name="Data 2 4 5 11 2" xfId="3687" xr:uid="{00000000-0005-0000-0000-00007E140000}"/>
    <cellStyle name="Data 2 4 5 12" xfId="3688" xr:uid="{00000000-0005-0000-0000-00007F140000}"/>
    <cellStyle name="Data 2 4 5 12 2" xfId="3689" xr:uid="{00000000-0005-0000-0000-000080140000}"/>
    <cellStyle name="Data 2 4 5 13" xfId="3690" xr:uid="{00000000-0005-0000-0000-000081140000}"/>
    <cellStyle name="Data 2 4 5 13 2" xfId="3691" xr:uid="{00000000-0005-0000-0000-000082140000}"/>
    <cellStyle name="Data 2 4 5 14" xfId="3692" xr:uid="{00000000-0005-0000-0000-000083140000}"/>
    <cellStyle name="Data 2 4 5 14 2" xfId="3693" xr:uid="{00000000-0005-0000-0000-000084140000}"/>
    <cellStyle name="Data 2 4 5 15" xfId="3694" xr:uid="{00000000-0005-0000-0000-000085140000}"/>
    <cellStyle name="Data 2 4 5 15 2" xfId="3695" xr:uid="{00000000-0005-0000-0000-000086140000}"/>
    <cellStyle name="Data 2 4 5 16" xfId="3696" xr:uid="{00000000-0005-0000-0000-000087140000}"/>
    <cellStyle name="Data 2 4 5 16 2" xfId="3697" xr:uid="{00000000-0005-0000-0000-000088140000}"/>
    <cellStyle name="Data 2 4 5 17" xfId="3698" xr:uid="{00000000-0005-0000-0000-000089140000}"/>
    <cellStyle name="Data 2 4 5 17 2" xfId="3699" xr:uid="{00000000-0005-0000-0000-00008A140000}"/>
    <cellStyle name="Data 2 4 5 18" xfId="3700" xr:uid="{00000000-0005-0000-0000-00008B140000}"/>
    <cellStyle name="Data 2 4 5 2" xfId="3701" xr:uid="{00000000-0005-0000-0000-00008C140000}"/>
    <cellStyle name="Data 2 4 5 2 10" xfId="3702" xr:uid="{00000000-0005-0000-0000-00008D140000}"/>
    <cellStyle name="Data 2 4 5 2 2" xfId="3703" xr:uid="{00000000-0005-0000-0000-00008E140000}"/>
    <cellStyle name="Data 2 4 5 2 2 2" xfId="3704" xr:uid="{00000000-0005-0000-0000-00008F140000}"/>
    <cellStyle name="Data 2 4 5 2 3" xfId="3705" xr:uid="{00000000-0005-0000-0000-000090140000}"/>
    <cellStyle name="Data 2 4 5 2 3 2" xfId="3706" xr:uid="{00000000-0005-0000-0000-000091140000}"/>
    <cellStyle name="Data 2 4 5 2 4" xfId="3707" xr:uid="{00000000-0005-0000-0000-000092140000}"/>
    <cellStyle name="Data 2 4 5 2 4 2" xfId="3708" xr:uid="{00000000-0005-0000-0000-000093140000}"/>
    <cellStyle name="Data 2 4 5 2 5" xfId="3709" xr:uid="{00000000-0005-0000-0000-000094140000}"/>
    <cellStyle name="Data 2 4 5 2 5 2" xfId="3710" xr:uid="{00000000-0005-0000-0000-000095140000}"/>
    <cellStyle name="Data 2 4 5 2 6" xfId="3711" xr:uid="{00000000-0005-0000-0000-000096140000}"/>
    <cellStyle name="Data 2 4 5 2 6 2" xfId="3712" xr:uid="{00000000-0005-0000-0000-000097140000}"/>
    <cellStyle name="Data 2 4 5 2 7" xfId="3713" xr:uid="{00000000-0005-0000-0000-000098140000}"/>
    <cellStyle name="Data 2 4 5 2 7 2" xfId="3714" xr:uid="{00000000-0005-0000-0000-000099140000}"/>
    <cellStyle name="Data 2 4 5 2 8" xfId="3715" xr:uid="{00000000-0005-0000-0000-00009A140000}"/>
    <cellStyle name="Data 2 4 5 2 8 2" xfId="3716" xr:uid="{00000000-0005-0000-0000-00009B140000}"/>
    <cellStyle name="Data 2 4 5 2 9" xfId="3717" xr:uid="{00000000-0005-0000-0000-00009C140000}"/>
    <cellStyle name="Data 2 4 5 2 9 2" xfId="3718" xr:uid="{00000000-0005-0000-0000-00009D140000}"/>
    <cellStyle name="Data 2 4 5 3" xfId="3719" xr:uid="{00000000-0005-0000-0000-00009E140000}"/>
    <cellStyle name="Data 2 4 5 3 10" xfId="3720" xr:uid="{00000000-0005-0000-0000-00009F140000}"/>
    <cellStyle name="Data 2 4 5 3 2" xfId="3721" xr:uid="{00000000-0005-0000-0000-0000A0140000}"/>
    <cellStyle name="Data 2 4 5 3 2 2" xfId="3722" xr:uid="{00000000-0005-0000-0000-0000A1140000}"/>
    <cellStyle name="Data 2 4 5 3 3" xfId="3723" xr:uid="{00000000-0005-0000-0000-0000A2140000}"/>
    <cellStyle name="Data 2 4 5 3 3 2" xfId="3724" xr:uid="{00000000-0005-0000-0000-0000A3140000}"/>
    <cellStyle name="Data 2 4 5 3 4" xfId="3725" xr:uid="{00000000-0005-0000-0000-0000A4140000}"/>
    <cellStyle name="Data 2 4 5 3 4 2" xfId="3726" xr:uid="{00000000-0005-0000-0000-0000A5140000}"/>
    <cellStyle name="Data 2 4 5 3 5" xfId="3727" xr:uid="{00000000-0005-0000-0000-0000A6140000}"/>
    <cellStyle name="Data 2 4 5 3 5 2" xfId="3728" xr:uid="{00000000-0005-0000-0000-0000A7140000}"/>
    <cellStyle name="Data 2 4 5 3 6" xfId="3729" xr:uid="{00000000-0005-0000-0000-0000A8140000}"/>
    <cellStyle name="Data 2 4 5 3 6 2" xfId="3730" xr:uid="{00000000-0005-0000-0000-0000A9140000}"/>
    <cellStyle name="Data 2 4 5 3 7" xfId="3731" xr:uid="{00000000-0005-0000-0000-0000AA140000}"/>
    <cellStyle name="Data 2 4 5 3 7 2" xfId="3732" xr:uid="{00000000-0005-0000-0000-0000AB140000}"/>
    <cellStyle name="Data 2 4 5 3 8" xfId="3733" xr:uid="{00000000-0005-0000-0000-0000AC140000}"/>
    <cellStyle name="Data 2 4 5 3 8 2" xfId="3734" xr:uid="{00000000-0005-0000-0000-0000AD140000}"/>
    <cellStyle name="Data 2 4 5 3 9" xfId="3735" xr:uid="{00000000-0005-0000-0000-0000AE140000}"/>
    <cellStyle name="Data 2 4 5 3 9 2" xfId="3736" xr:uid="{00000000-0005-0000-0000-0000AF140000}"/>
    <cellStyle name="Data 2 4 5 4" xfId="3737" xr:uid="{00000000-0005-0000-0000-0000B0140000}"/>
    <cellStyle name="Data 2 4 5 4 10" xfId="3738" xr:uid="{00000000-0005-0000-0000-0000B1140000}"/>
    <cellStyle name="Data 2 4 5 4 2" xfId="3739" xr:uid="{00000000-0005-0000-0000-0000B2140000}"/>
    <cellStyle name="Data 2 4 5 4 2 2" xfId="3740" xr:uid="{00000000-0005-0000-0000-0000B3140000}"/>
    <cellStyle name="Data 2 4 5 4 3" xfId="3741" xr:uid="{00000000-0005-0000-0000-0000B4140000}"/>
    <cellStyle name="Data 2 4 5 4 3 2" xfId="3742" xr:uid="{00000000-0005-0000-0000-0000B5140000}"/>
    <cellStyle name="Data 2 4 5 4 4" xfId="3743" xr:uid="{00000000-0005-0000-0000-0000B6140000}"/>
    <cellStyle name="Data 2 4 5 4 4 2" xfId="3744" xr:uid="{00000000-0005-0000-0000-0000B7140000}"/>
    <cellStyle name="Data 2 4 5 4 5" xfId="3745" xr:uid="{00000000-0005-0000-0000-0000B8140000}"/>
    <cellStyle name="Data 2 4 5 4 5 2" xfId="3746" xr:uid="{00000000-0005-0000-0000-0000B9140000}"/>
    <cellStyle name="Data 2 4 5 4 6" xfId="3747" xr:uid="{00000000-0005-0000-0000-0000BA140000}"/>
    <cellStyle name="Data 2 4 5 4 6 2" xfId="3748" xr:uid="{00000000-0005-0000-0000-0000BB140000}"/>
    <cellStyle name="Data 2 4 5 4 7" xfId="3749" xr:uid="{00000000-0005-0000-0000-0000BC140000}"/>
    <cellStyle name="Data 2 4 5 4 7 2" xfId="3750" xr:uid="{00000000-0005-0000-0000-0000BD140000}"/>
    <cellStyle name="Data 2 4 5 4 8" xfId="3751" xr:uid="{00000000-0005-0000-0000-0000BE140000}"/>
    <cellStyle name="Data 2 4 5 4 8 2" xfId="3752" xr:uid="{00000000-0005-0000-0000-0000BF140000}"/>
    <cellStyle name="Data 2 4 5 4 9" xfId="3753" xr:uid="{00000000-0005-0000-0000-0000C0140000}"/>
    <cellStyle name="Data 2 4 5 4 9 2" xfId="3754" xr:uid="{00000000-0005-0000-0000-0000C1140000}"/>
    <cellStyle name="Data 2 4 5 5" xfId="3755" xr:uid="{00000000-0005-0000-0000-0000C2140000}"/>
    <cellStyle name="Data 2 4 5 5 10" xfId="3756" xr:uid="{00000000-0005-0000-0000-0000C3140000}"/>
    <cellStyle name="Data 2 4 5 5 2" xfId="3757" xr:uid="{00000000-0005-0000-0000-0000C4140000}"/>
    <cellStyle name="Data 2 4 5 5 2 2" xfId="3758" xr:uid="{00000000-0005-0000-0000-0000C5140000}"/>
    <cellStyle name="Data 2 4 5 5 3" xfId="3759" xr:uid="{00000000-0005-0000-0000-0000C6140000}"/>
    <cellStyle name="Data 2 4 5 5 3 2" xfId="3760" xr:uid="{00000000-0005-0000-0000-0000C7140000}"/>
    <cellStyle name="Data 2 4 5 5 4" xfId="3761" xr:uid="{00000000-0005-0000-0000-0000C8140000}"/>
    <cellStyle name="Data 2 4 5 5 4 2" xfId="3762" xr:uid="{00000000-0005-0000-0000-0000C9140000}"/>
    <cellStyle name="Data 2 4 5 5 5" xfId="3763" xr:uid="{00000000-0005-0000-0000-0000CA140000}"/>
    <cellStyle name="Data 2 4 5 5 5 2" xfId="3764" xr:uid="{00000000-0005-0000-0000-0000CB140000}"/>
    <cellStyle name="Data 2 4 5 5 6" xfId="3765" xr:uid="{00000000-0005-0000-0000-0000CC140000}"/>
    <cellStyle name="Data 2 4 5 5 6 2" xfId="3766" xr:uid="{00000000-0005-0000-0000-0000CD140000}"/>
    <cellStyle name="Data 2 4 5 5 7" xfId="3767" xr:uid="{00000000-0005-0000-0000-0000CE140000}"/>
    <cellStyle name="Data 2 4 5 5 7 2" xfId="3768" xr:uid="{00000000-0005-0000-0000-0000CF140000}"/>
    <cellStyle name="Data 2 4 5 5 8" xfId="3769" xr:uid="{00000000-0005-0000-0000-0000D0140000}"/>
    <cellStyle name="Data 2 4 5 5 8 2" xfId="3770" xr:uid="{00000000-0005-0000-0000-0000D1140000}"/>
    <cellStyle name="Data 2 4 5 5 9" xfId="3771" xr:uid="{00000000-0005-0000-0000-0000D2140000}"/>
    <cellStyle name="Data 2 4 5 5 9 2" xfId="3772" xr:uid="{00000000-0005-0000-0000-0000D3140000}"/>
    <cellStyle name="Data 2 4 5 6" xfId="3773" xr:uid="{00000000-0005-0000-0000-0000D4140000}"/>
    <cellStyle name="Data 2 4 5 6 10" xfId="3774" xr:uid="{00000000-0005-0000-0000-0000D5140000}"/>
    <cellStyle name="Data 2 4 5 6 2" xfId="3775" xr:uid="{00000000-0005-0000-0000-0000D6140000}"/>
    <cellStyle name="Data 2 4 5 6 2 2" xfId="3776" xr:uid="{00000000-0005-0000-0000-0000D7140000}"/>
    <cellStyle name="Data 2 4 5 6 3" xfId="3777" xr:uid="{00000000-0005-0000-0000-0000D8140000}"/>
    <cellStyle name="Data 2 4 5 6 3 2" xfId="3778" xr:uid="{00000000-0005-0000-0000-0000D9140000}"/>
    <cellStyle name="Data 2 4 5 6 4" xfId="3779" xr:uid="{00000000-0005-0000-0000-0000DA140000}"/>
    <cellStyle name="Data 2 4 5 6 4 2" xfId="3780" xr:uid="{00000000-0005-0000-0000-0000DB140000}"/>
    <cellStyle name="Data 2 4 5 6 5" xfId="3781" xr:uid="{00000000-0005-0000-0000-0000DC140000}"/>
    <cellStyle name="Data 2 4 5 6 5 2" xfId="3782" xr:uid="{00000000-0005-0000-0000-0000DD140000}"/>
    <cellStyle name="Data 2 4 5 6 6" xfId="3783" xr:uid="{00000000-0005-0000-0000-0000DE140000}"/>
    <cellStyle name="Data 2 4 5 6 6 2" xfId="3784" xr:uid="{00000000-0005-0000-0000-0000DF140000}"/>
    <cellStyle name="Data 2 4 5 6 7" xfId="3785" xr:uid="{00000000-0005-0000-0000-0000E0140000}"/>
    <cellStyle name="Data 2 4 5 6 7 2" xfId="3786" xr:uid="{00000000-0005-0000-0000-0000E1140000}"/>
    <cellStyle name="Data 2 4 5 6 8" xfId="3787" xr:uid="{00000000-0005-0000-0000-0000E2140000}"/>
    <cellStyle name="Data 2 4 5 6 8 2" xfId="3788" xr:uid="{00000000-0005-0000-0000-0000E3140000}"/>
    <cellStyle name="Data 2 4 5 6 9" xfId="3789" xr:uid="{00000000-0005-0000-0000-0000E4140000}"/>
    <cellStyle name="Data 2 4 5 6 9 2" xfId="3790" xr:uid="{00000000-0005-0000-0000-0000E5140000}"/>
    <cellStyle name="Data 2 4 5 7" xfId="3791" xr:uid="{00000000-0005-0000-0000-0000E6140000}"/>
    <cellStyle name="Data 2 4 5 7 10" xfId="3792" xr:uid="{00000000-0005-0000-0000-0000E7140000}"/>
    <cellStyle name="Data 2 4 5 7 2" xfId="3793" xr:uid="{00000000-0005-0000-0000-0000E8140000}"/>
    <cellStyle name="Data 2 4 5 7 2 2" xfId="3794" xr:uid="{00000000-0005-0000-0000-0000E9140000}"/>
    <cellStyle name="Data 2 4 5 7 3" xfId="3795" xr:uid="{00000000-0005-0000-0000-0000EA140000}"/>
    <cellStyle name="Data 2 4 5 7 3 2" xfId="3796" xr:uid="{00000000-0005-0000-0000-0000EB140000}"/>
    <cellStyle name="Data 2 4 5 7 4" xfId="3797" xr:uid="{00000000-0005-0000-0000-0000EC140000}"/>
    <cellStyle name="Data 2 4 5 7 4 2" xfId="3798" xr:uid="{00000000-0005-0000-0000-0000ED140000}"/>
    <cellStyle name="Data 2 4 5 7 5" xfId="3799" xr:uid="{00000000-0005-0000-0000-0000EE140000}"/>
    <cellStyle name="Data 2 4 5 7 5 2" xfId="3800" xr:uid="{00000000-0005-0000-0000-0000EF140000}"/>
    <cellStyle name="Data 2 4 5 7 6" xfId="3801" xr:uid="{00000000-0005-0000-0000-0000F0140000}"/>
    <cellStyle name="Data 2 4 5 7 6 2" xfId="3802" xr:uid="{00000000-0005-0000-0000-0000F1140000}"/>
    <cellStyle name="Data 2 4 5 7 7" xfId="3803" xr:uid="{00000000-0005-0000-0000-0000F2140000}"/>
    <cellStyle name="Data 2 4 5 7 7 2" xfId="3804" xr:uid="{00000000-0005-0000-0000-0000F3140000}"/>
    <cellStyle name="Data 2 4 5 7 8" xfId="3805" xr:uid="{00000000-0005-0000-0000-0000F4140000}"/>
    <cellStyle name="Data 2 4 5 7 8 2" xfId="3806" xr:uid="{00000000-0005-0000-0000-0000F5140000}"/>
    <cellStyle name="Data 2 4 5 7 9" xfId="3807" xr:uid="{00000000-0005-0000-0000-0000F6140000}"/>
    <cellStyle name="Data 2 4 5 7 9 2" xfId="3808" xr:uid="{00000000-0005-0000-0000-0000F7140000}"/>
    <cellStyle name="Data 2 4 5 8" xfId="3809" xr:uid="{00000000-0005-0000-0000-0000F8140000}"/>
    <cellStyle name="Data 2 4 5 8 10" xfId="3810" xr:uid="{00000000-0005-0000-0000-0000F9140000}"/>
    <cellStyle name="Data 2 4 5 8 2" xfId="3811" xr:uid="{00000000-0005-0000-0000-0000FA140000}"/>
    <cellStyle name="Data 2 4 5 8 2 2" xfId="3812" xr:uid="{00000000-0005-0000-0000-0000FB140000}"/>
    <cellStyle name="Data 2 4 5 8 3" xfId="3813" xr:uid="{00000000-0005-0000-0000-0000FC140000}"/>
    <cellStyle name="Data 2 4 5 8 3 2" xfId="3814" xr:uid="{00000000-0005-0000-0000-0000FD140000}"/>
    <cellStyle name="Data 2 4 5 8 4" xfId="3815" xr:uid="{00000000-0005-0000-0000-0000FE140000}"/>
    <cellStyle name="Data 2 4 5 8 4 2" xfId="3816" xr:uid="{00000000-0005-0000-0000-0000FF140000}"/>
    <cellStyle name="Data 2 4 5 8 5" xfId="3817" xr:uid="{00000000-0005-0000-0000-000000150000}"/>
    <cellStyle name="Data 2 4 5 8 5 2" xfId="3818" xr:uid="{00000000-0005-0000-0000-000001150000}"/>
    <cellStyle name="Data 2 4 5 8 6" xfId="3819" xr:uid="{00000000-0005-0000-0000-000002150000}"/>
    <cellStyle name="Data 2 4 5 8 6 2" xfId="3820" xr:uid="{00000000-0005-0000-0000-000003150000}"/>
    <cellStyle name="Data 2 4 5 8 7" xfId="3821" xr:uid="{00000000-0005-0000-0000-000004150000}"/>
    <cellStyle name="Data 2 4 5 8 7 2" xfId="3822" xr:uid="{00000000-0005-0000-0000-000005150000}"/>
    <cellStyle name="Data 2 4 5 8 8" xfId="3823" xr:uid="{00000000-0005-0000-0000-000006150000}"/>
    <cellStyle name="Data 2 4 5 8 8 2" xfId="3824" xr:uid="{00000000-0005-0000-0000-000007150000}"/>
    <cellStyle name="Data 2 4 5 8 9" xfId="3825" xr:uid="{00000000-0005-0000-0000-000008150000}"/>
    <cellStyle name="Data 2 4 5 8 9 2" xfId="3826" xr:uid="{00000000-0005-0000-0000-000009150000}"/>
    <cellStyle name="Data 2 4 5 9" xfId="3827" xr:uid="{00000000-0005-0000-0000-00000A150000}"/>
    <cellStyle name="Data 2 4 5 9 10" xfId="3828" xr:uid="{00000000-0005-0000-0000-00000B150000}"/>
    <cellStyle name="Data 2 4 5 9 2" xfId="3829" xr:uid="{00000000-0005-0000-0000-00000C150000}"/>
    <cellStyle name="Data 2 4 5 9 2 2" xfId="3830" xr:uid="{00000000-0005-0000-0000-00000D150000}"/>
    <cellStyle name="Data 2 4 5 9 3" xfId="3831" xr:uid="{00000000-0005-0000-0000-00000E150000}"/>
    <cellStyle name="Data 2 4 5 9 3 2" xfId="3832" xr:uid="{00000000-0005-0000-0000-00000F150000}"/>
    <cellStyle name="Data 2 4 5 9 4" xfId="3833" xr:uid="{00000000-0005-0000-0000-000010150000}"/>
    <cellStyle name="Data 2 4 5 9 4 2" xfId="3834" xr:uid="{00000000-0005-0000-0000-000011150000}"/>
    <cellStyle name="Data 2 4 5 9 5" xfId="3835" xr:uid="{00000000-0005-0000-0000-000012150000}"/>
    <cellStyle name="Data 2 4 5 9 5 2" xfId="3836" xr:uid="{00000000-0005-0000-0000-000013150000}"/>
    <cellStyle name="Data 2 4 5 9 6" xfId="3837" xr:uid="{00000000-0005-0000-0000-000014150000}"/>
    <cellStyle name="Data 2 4 5 9 6 2" xfId="3838" xr:uid="{00000000-0005-0000-0000-000015150000}"/>
    <cellStyle name="Data 2 4 5 9 7" xfId="3839" xr:uid="{00000000-0005-0000-0000-000016150000}"/>
    <cellStyle name="Data 2 4 5 9 7 2" xfId="3840" xr:uid="{00000000-0005-0000-0000-000017150000}"/>
    <cellStyle name="Data 2 4 5 9 8" xfId="3841" xr:uid="{00000000-0005-0000-0000-000018150000}"/>
    <cellStyle name="Data 2 4 5 9 8 2" xfId="3842" xr:uid="{00000000-0005-0000-0000-000019150000}"/>
    <cellStyle name="Data 2 4 5 9 9" xfId="3843" xr:uid="{00000000-0005-0000-0000-00001A150000}"/>
    <cellStyle name="Data 2 4 5 9 9 2" xfId="3844" xr:uid="{00000000-0005-0000-0000-00001B150000}"/>
    <cellStyle name="Data 2 4 6" xfId="3845" xr:uid="{00000000-0005-0000-0000-00001C150000}"/>
    <cellStyle name="Data 2 4 6 10" xfId="3846" xr:uid="{00000000-0005-0000-0000-00001D150000}"/>
    <cellStyle name="Data 2 4 6 10 2" xfId="3847" xr:uid="{00000000-0005-0000-0000-00001E150000}"/>
    <cellStyle name="Data 2 4 6 10 2 2" xfId="3848" xr:uid="{00000000-0005-0000-0000-00001F150000}"/>
    <cellStyle name="Data 2 4 6 10 3" xfId="3849" xr:uid="{00000000-0005-0000-0000-000020150000}"/>
    <cellStyle name="Data 2 4 6 10 3 2" xfId="3850" xr:uid="{00000000-0005-0000-0000-000021150000}"/>
    <cellStyle name="Data 2 4 6 10 4" xfId="3851" xr:uid="{00000000-0005-0000-0000-000022150000}"/>
    <cellStyle name="Data 2 4 6 10 4 2" xfId="3852" xr:uid="{00000000-0005-0000-0000-000023150000}"/>
    <cellStyle name="Data 2 4 6 10 5" xfId="3853" xr:uid="{00000000-0005-0000-0000-000024150000}"/>
    <cellStyle name="Data 2 4 6 10 5 2" xfId="3854" xr:uid="{00000000-0005-0000-0000-000025150000}"/>
    <cellStyle name="Data 2 4 6 10 6" xfId="3855" xr:uid="{00000000-0005-0000-0000-000026150000}"/>
    <cellStyle name="Data 2 4 6 10 6 2" xfId="3856" xr:uid="{00000000-0005-0000-0000-000027150000}"/>
    <cellStyle name="Data 2 4 6 10 7" xfId="3857" xr:uid="{00000000-0005-0000-0000-000028150000}"/>
    <cellStyle name="Data 2 4 6 10 7 2" xfId="3858" xr:uid="{00000000-0005-0000-0000-000029150000}"/>
    <cellStyle name="Data 2 4 6 10 8" xfId="3859" xr:uid="{00000000-0005-0000-0000-00002A150000}"/>
    <cellStyle name="Data 2 4 6 10 8 2" xfId="3860" xr:uid="{00000000-0005-0000-0000-00002B150000}"/>
    <cellStyle name="Data 2 4 6 10 9" xfId="3861" xr:uid="{00000000-0005-0000-0000-00002C150000}"/>
    <cellStyle name="Data 2 4 6 11" xfId="3862" xr:uid="{00000000-0005-0000-0000-00002D150000}"/>
    <cellStyle name="Data 2 4 6 11 2" xfId="3863" xr:uid="{00000000-0005-0000-0000-00002E150000}"/>
    <cellStyle name="Data 2 4 6 12" xfId="3864" xr:uid="{00000000-0005-0000-0000-00002F150000}"/>
    <cellStyle name="Data 2 4 6 12 2" xfId="3865" xr:uid="{00000000-0005-0000-0000-000030150000}"/>
    <cellStyle name="Data 2 4 6 13" xfId="3866" xr:uid="{00000000-0005-0000-0000-000031150000}"/>
    <cellStyle name="Data 2 4 6 13 2" xfId="3867" xr:uid="{00000000-0005-0000-0000-000032150000}"/>
    <cellStyle name="Data 2 4 6 14" xfId="3868" xr:uid="{00000000-0005-0000-0000-000033150000}"/>
    <cellStyle name="Data 2 4 6 14 2" xfId="3869" xr:uid="{00000000-0005-0000-0000-000034150000}"/>
    <cellStyle name="Data 2 4 6 15" xfId="3870" xr:uid="{00000000-0005-0000-0000-000035150000}"/>
    <cellStyle name="Data 2 4 6 15 2" xfId="3871" xr:uid="{00000000-0005-0000-0000-000036150000}"/>
    <cellStyle name="Data 2 4 6 16" xfId="3872" xr:uid="{00000000-0005-0000-0000-000037150000}"/>
    <cellStyle name="Data 2 4 6 16 2" xfId="3873" xr:uid="{00000000-0005-0000-0000-000038150000}"/>
    <cellStyle name="Data 2 4 6 17" xfId="3874" xr:uid="{00000000-0005-0000-0000-000039150000}"/>
    <cellStyle name="Data 2 4 6 17 2" xfId="3875" xr:uid="{00000000-0005-0000-0000-00003A150000}"/>
    <cellStyle name="Data 2 4 6 18" xfId="3876" xr:uid="{00000000-0005-0000-0000-00003B150000}"/>
    <cellStyle name="Data 2 4 6 2" xfId="3877" xr:uid="{00000000-0005-0000-0000-00003C150000}"/>
    <cellStyle name="Data 2 4 6 2 10" xfId="3878" xr:uid="{00000000-0005-0000-0000-00003D150000}"/>
    <cellStyle name="Data 2 4 6 2 2" xfId="3879" xr:uid="{00000000-0005-0000-0000-00003E150000}"/>
    <cellStyle name="Data 2 4 6 2 2 2" xfId="3880" xr:uid="{00000000-0005-0000-0000-00003F150000}"/>
    <cellStyle name="Data 2 4 6 2 3" xfId="3881" xr:uid="{00000000-0005-0000-0000-000040150000}"/>
    <cellStyle name="Data 2 4 6 2 3 2" xfId="3882" xr:uid="{00000000-0005-0000-0000-000041150000}"/>
    <cellStyle name="Data 2 4 6 2 4" xfId="3883" xr:uid="{00000000-0005-0000-0000-000042150000}"/>
    <cellStyle name="Data 2 4 6 2 4 2" xfId="3884" xr:uid="{00000000-0005-0000-0000-000043150000}"/>
    <cellStyle name="Data 2 4 6 2 5" xfId="3885" xr:uid="{00000000-0005-0000-0000-000044150000}"/>
    <cellStyle name="Data 2 4 6 2 5 2" xfId="3886" xr:uid="{00000000-0005-0000-0000-000045150000}"/>
    <cellStyle name="Data 2 4 6 2 6" xfId="3887" xr:uid="{00000000-0005-0000-0000-000046150000}"/>
    <cellStyle name="Data 2 4 6 2 6 2" xfId="3888" xr:uid="{00000000-0005-0000-0000-000047150000}"/>
    <cellStyle name="Data 2 4 6 2 7" xfId="3889" xr:uid="{00000000-0005-0000-0000-000048150000}"/>
    <cellStyle name="Data 2 4 6 2 7 2" xfId="3890" xr:uid="{00000000-0005-0000-0000-000049150000}"/>
    <cellStyle name="Data 2 4 6 2 8" xfId="3891" xr:uid="{00000000-0005-0000-0000-00004A150000}"/>
    <cellStyle name="Data 2 4 6 2 8 2" xfId="3892" xr:uid="{00000000-0005-0000-0000-00004B150000}"/>
    <cellStyle name="Data 2 4 6 2 9" xfId="3893" xr:uid="{00000000-0005-0000-0000-00004C150000}"/>
    <cellStyle name="Data 2 4 6 2 9 2" xfId="3894" xr:uid="{00000000-0005-0000-0000-00004D150000}"/>
    <cellStyle name="Data 2 4 6 3" xfId="3895" xr:uid="{00000000-0005-0000-0000-00004E150000}"/>
    <cellStyle name="Data 2 4 6 3 10" xfId="3896" xr:uid="{00000000-0005-0000-0000-00004F150000}"/>
    <cellStyle name="Data 2 4 6 3 2" xfId="3897" xr:uid="{00000000-0005-0000-0000-000050150000}"/>
    <cellStyle name="Data 2 4 6 3 2 2" xfId="3898" xr:uid="{00000000-0005-0000-0000-000051150000}"/>
    <cellStyle name="Data 2 4 6 3 3" xfId="3899" xr:uid="{00000000-0005-0000-0000-000052150000}"/>
    <cellStyle name="Data 2 4 6 3 3 2" xfId="3900" xr:uid="{00000000-0005-0000-0000-000053150000}"/>
    <cellStyle name="Data 2 4 6 3 4" xfId="3901" xr:uid="{00000000-0005-0000-0000-000054150000}"/>
    <cellStyle name="Data 2 4 6 3 4 2" xfId="3902" xr:uid="{00000000-0005-0000-0000-000055150000}"/>
    <cellStyle name="Data 2 4 6 3 5" xfId="3903" xr:uid="{00000000-0005-0000-0000-000056150000}"/>
    <cellStyle name="Data 2 4 6 3 5 2" xfId="3904" xr:uid="{00000000-0005-0000-0000-000057150000}"/>
    <cellStyle name="Data 2 4 6 3 6" xfId="3905" xr:uid="{00000000-0005-0000-0000-000058150000}"/>
    <cellStyle name="Data 2 4 6 3 6 2" xfId="3906" xr:uid="{00000000-0005-0000-0000-000059150000}"/>
    <cellStyle name="Data 2 4 6 3 7" xfId="3907" xr:uid="{00000000-0005-0000-0000-00005A150000}"/>
    <cellStyle name="Data 2 4 6 3 7 2" xfId="3908" xr:uid="{00000000-0005-0000-0000-00005B150000}"/>
    <cellStyle name="Data 2 4 6 3 8" xfId="3909" xr:uid="{00000000-0005-0000-0000-00005C150000}"/>
    <cellStyle name="Data 2 4 6 3 8 2" xfId="3910" xr:uid="{00000000-0005-0000-0000-00005D150000}"/>
    <cellStyle name="Data 2 4 6 3 9" xfId="3911" xr:uid="{00000000-0005-0000-0000-00005E150000}"/>
    <cellStyle name="Data 2 4 6 3 9 2" xfId="3912" xr:uid="{00000000-0005-0000-0000-00005F150000}"/>
    <cellStyle name="Data 2 4 6 4" xfId="3913" xr:uid="{00000000-0005-0000-0000-000060150000}"/>
    <cellStyle name="Data 2 4 6 4 10" xfId="3914" xr:uid="{00000000-0005-0000-0000-000061150000}"/>
    <cellStyle name="Data 2 4 6 4 2" xfId="3915" xr:uid="{00000000-0005-0000-0000-000062150000}"/>
    <cellStyle name="Data 2 4 6 4 2 2" xfId="3916" xr:uid="{00000000-0005-0000-0000-000063150000}"/>
    <cellStyle name="Data 2 4 6 4 3" xfId="3917" xr:uid="{00000000-0005-0000-0000-000064150000}"/>
    <cellStyle name="Data 2 4 6 4 3 2" xfId="3918" xr:uid="{00000000-0005-0000-0000-000065150000}"/>
    <cellStyle name="Data 2 4 6 4 4" xfId="3919" xr:uid="{00000000-0005-0000-0000-000066150000}"/>
    <cellStyle name="Data 2 4 6 4 4 2" xfId="3920" xr:uid="{00000000-0005-0000-0000-000067150000}"/>
    <cellStyle name="Data 2 4 6 4 5" xfId="3921" xr:uid="{00000000-0005-0000-0000-000068150000}"/>
    <cellStyle name="Data 2 4 6 4 5 2" xfId="3922" xr:uid="{00000000-0005-0000-0000-000069150000}"/>
    <cellStyle name="Data 2 4 6 4 6" xfId="3923" xr:uid="{00000000-0005-0000-0000-00006A150000}"/>
    <cellStyle name="Data 2 4 6 4 6 2" xfId="3924" xr:uid="{00000000-0005-0000-0000-00006B150000}"/>
    <cellStyle name="Data 2 4 6 4 7" xfId="3925" xr:uid="{00000000-0005-0000-0000-00006C150000}"/>
    <cellStyle name="Data 2 4 6 4 7 2" xfId="3926" xr:uid="{00000000-0005-0000-0000-00006D150000}"/>
    <cellStyle name="Data 2 4 6 4 8" xfId="3927" xr:uid="{00000000-0005-0000-0000-00006E150000}"/>
    <cellStyle name="Data 2 4 6 4 8 2" xfId="3928" xr:uid="{00000000-0005-0000-0000-00006F150000}"/>
    <cellStyle name="Data 2 4 6 4 9" xfId="3929" xr:uid="{00000000-0005-0000-0000-000070150000}"/>
    <cellStyle name="Data 2 4 6 4 9 2" xfId="3930" xr:uid="{00000000-0005-0000-0000-000071150000}"/>
    <cellStyle name="Data 2 4 6 5" xfId="3931" xr:uid="{00000000-0005-0000-0000-000072150000}"/>
    <cellStyle name="Data 2 4 6 5 10" xfId="3932" xr:uid="{00000000-0005-0000-0000-000073150000}"/>
    <cellStyle name="Data 2 4 6 5 2" xfId="3933" xr:uid="{00000000-0005-0000-0000-000074150000}"/>
    <cellStyle name="Data 2 4 6 5 2 2" xfId="3934" xr:uid="{00000000-0005-0000-0000-000075150000}"/>
    <cellStyle name="Data 2 4 6 5 3" xfId="3935" xr:uid="{00000000-0005-0000-0000-000076150000}"/>
    <cellStyle name="Data 2 4 6 5 3 2" xfId="3936" xr:uid="{00000000-0005-0000-0000-000077150000}"/>
    <cellStyle name="Data 2 4 6 5 4" xfId="3937" xr:uid="{00000000-0005-0000-0000-000078150000}"/>
    <cellStyle name="Data 2 4 6 5 4 2" xfId="3938" xr:uid="{00000000-0005-0000-0000-000079150000}"/>
    <cellStyle name="Data 2 4 6 5 5" xfId="3939" xr:uid="{00000000-0005-0000-0000-00007A150000}"/>
    <cellStyle name="Data 2 4 6 5 5 2" xfId="3940" xr:uid="{00000000-0005-0000-0000-00007B150000}"/>
    <cellStyle name="Data 2 4 6 5 6" xfId="3941" xr:uid="{00000000-0005-0000-0000-00007C150000}"/>
    <cellStyle name="Data 2 4 6 5 6 2" xfId="3942" xr:uid="{00000000-0005-0000-0000-00007D150000}"/>
    <cellStyle name="Data 2 4 6 5 7" xfId="3943" xr:uid="{00000000-0005-0000-0000-00007E150000}"/>
    <cellStyle name="Data 2 4 6 5 7 2" xfId="3944" xr:uid="{00000000-0005-0000-0000-00007F150000}"/>
    <cellStyle name="Data 2 4 6 5 8" xfId="3945" xr:uid="{00000000-0005-0000-0000-000080150000}"/>
    <cellStyle name="Data 2 4 6 5 8 2" xfId="3946" xr:uid="{00000000-0005-0000-0000-000081150000}"/>
    <cellStyle name="Data 2 4 6 5 9" xfId="3947" xr:uid="{00000000-0005-0000-0000-000082150000}"/>
    <cellStyle name="Data 2 4 6 5 9 2" xfId="3948" xr:uid="{00000000-0005-0000-0000-000083150000}"/>
    <cellStyle name="Data 2 4 6 6" xfId="3949" xr:uid="{00000000-0005-0000-0000-000084150000}"/>
    <cellStyle name="Data 2 4 6 6 10" xfId="3950" xr:uid="{00000000-0005-0000-0000-000085150000}"/>
    <cellStyle name="Data 2 4 6 6 2" xfId="3951" xr:uid="{00000000-0005-0000-0000-000086150000}"/>
    <cellStyle name="Data 2 4 6 6 2 2" xfId="3952" xr:uid="{00000000-0005-0000-0000-000087150000}"/>
    <cellStyle name="Data 2 4 6 6 3" xfId="3953" xr:uid="{00000000-0005-0000-0000-000088150000}"/>
    <cellStyle name="Data 2 4 6 6 3 2" xfId="3954" xr:uid="{00000000-0005-0000-0000-000089150000}"/>
    <cellStyle name="Data 2 4 6 6 4" xfId="3955" xr:uid="{00000000-0005-0000-0000-00008A150000}"/>
    <cellStyle name="Data 2 4 6 6 4 2" xfId="3956" xr:uid="{00000000-0005-0000-0000-00008B150000}"/>
    <cellStyle name="Data 2 4 6 6 5" xfId="3957" xr:uid="{00000000-0005-0000-0000-00008C150000}"/>
    <cellStyle name="Data 2 4 6 6 5 2" xfId="3958" xr:uid="{00000000-0005-0000-0000-00008D150000}"/>
    <cellStyle name="Data 2 4 6 6 6" xfId="3959" xr:uid="{00000000-0005-0000-0000-00008E150000}"/>
    <cellStyle name="Data 2 4 6 6 6 2" xfId="3960" xr:uid="{00000000-0005-0000-0000-00008F150000}"/>
    <cellStyle name="Data 2 4 6 6 7" xfId="3961" xr:uid="{00000000-0005-0000-0000-000090150000}"/>
    <cellStyle name="Data 2 4 6 6 7 2" xfId="3962" xr:uid="{00000000-0005-0000-0000-000091150000}"/>
    <cellStyle name="Data 2 4 6 6 8" xfId="3963" xr:uid="{00000000-0005-0000-0000-000092150000}"/>
    <cellStyle name="Data 2 4 6 6 8 2" xfId="3964" xr:uid="{00000000-0005-0000-0000-000093150000}"/>
    <cellStyle name="Data 2 4 6 6 9" xfId="3965" xr:uid="{00000000-0005-0000-0000-000094150000}"/>
    <cellStyle name="Data 2 4 6 6 9 2" xfId="3966" xr:uid="{00000000-0005-0000-0000-000095150000}"/>
    <cellStyle name="Data 2 4 6 7" xfId="3967" xr:uid="{00000000-0005-0000-0000-000096150000}"/>
    <cellStyle name="Data 2 4 6 7 10" xfId="3968" xr:uid="{00000000-0005-0000-0000-000097150000}"/>
    <cellStyle name="Data 2 4 6 7 2" xfId="3969" xr:uid="{00000000-0005-0000-0000-000098150000}"/>
    <cellStyle name="Data 2 4 6 7 2 2" xfId="3970" xr:uid="{00000000-0005-0000-0000-000099150000}"/>
    <cellStyle name="Data 2 4 6 7 3" xfId="3971" xr:uid="{00000000-0005-0000-0000-00009A150000}"/>
    <cellStyle name="Data 2 4 6 7 3 2" xfId="3972" xr:uid="{00000000-0005-0000-0000-00009B150000}"/>
    <cellStyle name="Data 2 4 6 7 4" xfId="3973" xr:uid="{00000000-0005-0000-0000-00009C150000}"/>
    <cellStyle name="Data 2 4 6 7 4 2" xfId="3974" xr:uid="{00000000-0005-0000-0000-00009D150000}"/>
    <cellStyle name="Data 2 4 6 7 5" xfId="3975" xr:uid="{00000000-0005-0000-0000-00009E150000}"/>
    <cellStyle name="Data 2 4 6 7 5 2" xfId="3976" xr:uid="{00000000-0005-0000-0000-00009F150000}"/>
    <cellStyle name="Data 2 4 6 7 6" xfId="3977" xr:uid="{00000000-0005-0000-0000-0000A0150000}"/>
    <cellStyle name="Data 2 4 6 7 6 2" xfId="3978" xr:uid="{00000000-0005-0000-0000-0000A1150000}"/>
    <cellStyle name="Data 2 4 6 7 7" xfId="3979" xr:uid="{00000000-0005-0000-0000-0000A2150000}"/>
    <cellStyle name="Data 2 4 6 7 7 2" xfId="3980" xr:uid="{00000000-0005-0000-0000-0000A3150000}"/>
    <cellStyle name="Data 2 4 6 7 8" xfId="3981" xr:uid="{00000000-0005-0000-0000-0000A4150000}"/>
    <cellStyle name="Data 2 4 6 7 8 2" xfId="3982" xr:uid="{00000000-0005-0000-0000-0000A5150000}"/>
    <cellStyle name="Data 2 4 6 7 9" xfId="3983" xr:uid="{00000000-0005-0000-0000-0000A6150000}"/>
    <cellStyle name="Data 2 4 6 7 9 2" xfId="3984" xr:uid="{00000000-0005-0000-0000-0000A7150000}"/>
    <cellStyle name="Data 2 4 6 8" xfId="3985" xr:uid="{00000000-0005-0000-0000-0000A8150000}"/>
    <cellStyle name="Data 2 4 6 8 10" xfId="3986" xr:uid="{00000000-0005-0000-0000-0000A9150000}"/>
    <cellStyle name="Data 2 4 6 8 2" xfId="3987" xr:uid="{00000000-0005-0000-0000-0000AA150000}"/>
    <cellStyle name="Data 2 4 6 8 2 2" xfId="3988" xr:uid="{00000000-0005-0000-0000-0000AB150000}"/>
    <cellStyle name="Data 2 4 6 8 3" xfId="3989" xr:uid="{00000000-0005-0000-0000-0000AC150000}"/>
    <cellStyle name="Data 2 4 6 8 3 2" xfId="3990" xr:uid="{00000000-0005-0000-0000-0000AD150000}"/>
    <cellStyle name="Data 2 4 6 8 4" xfId="3991" xr:uid="{00000000-0005-0000-0000-0000AE150000}"/>
    <cellStyle name="Data 2 4 6 8 4 2" xfId="3992" xr:uid="{00000000-0005-0000-0000-0000AF150000}"/>
    <cellStyle name="Data 2 4 6 8 5" xfId="3993" xr:uid="{00000000-0005-0000-0000-0000B0150000}"/>
    <cellStyle name="Data 2 4 6 8 5 2" xfId="3994" xr:uid="{00000000-0005-0000-0000-0000B1150000}"/>
    <cellStyle name="Data 2 4 6 8 6" xfId="3995" xr:uid="{00000000-0005-0000-0000-0000B2150000}"/>
    <cellStyle name="Data 2 4 6 8 6 2" xfId="3996" xr:uid="{00000000-0005-0000-0000-0000B3150000}"/>
    <cellStyle name="Data 2 4 6 8 7" xfId="3997" xr:uid="{00000000-0005-0000-0000-0000B4150000}"/>
    <cellStyle name="Data 2 4 6 8 7 2" xfId="3998" xr:uid="{00000000-0005-0000-0000-0000B5150000}"/>
    <cellStyle name="Data 2 4 6 8 8" xfId="3999" xr:uid="{00000000-0005-0000-0000-0000B6150000}"/>
    <cellStyle name="Data 2 4 6 8 8 2" xfId="4000" xr:uid="{00000000-0005-0000-0000-0000B7150000}"/>
    <cellStyle name="Data 2 4 6 8 9" xfId="4001" xr:uid="{00000000-0005-0000-0000-0000B8150000}"/>
    <cellStyle name="Data 2 4 6 8 9 2" xfId="4002" xr:uid="{00000000-0005-0000-0000-0000B9150000}"/>
    <cellStyle name="Data 2 4 6 9" xfId="4003" xr:uid="{00000000-0005-0000-0000-0000BA150000}"/>
    <cellStyle name="Data 2 4 6 9 10" xfId="4004" xr:uid="{00000000-0005-0000-0000-0000BB150000}"/>
    <cellStyle name="Data 2 4 6 9 2" xfId="4005" xr:uid="{00000000-0005-0000-0000-0000BC150000}"/>
    <cellStyle name="Data 2 4 6 9 2 2" xfId="4006" xr:uid="{00000000-0005-0000-0000-0000BD150000}"/>
    <cellStyle name="Data 2 4 6 9 3" xfId="4007" xr:uid="{00000000-0005-0000-0000-0000BE150000}"/>
    <cellStyle name="Data 2 4 6 9 3 2" xfId="4008" xr:uid="{00000000-0005-0000-0000-0000BF150000}"/>
    <cellStyle name="Data 2 4 6 9 4" xfId="4009" xr:uid="{00000000-0005-0000-0000-0000C0150000}"/>
    <cellStyle name="Data 2 4 6 9 4 2" xfId="4010" xr:uid="{00000000-0005-0000-0000-0000C1150000}"/>
    <cellStyle name="Data 2 4 6 9 5" xfId="4011" xr:uid="{00000000-0005-0000-0000-0000C2150000}"/>
    <cellStyle name="Data 2 4 6 9 5 2" xfId="4012" xr:uid="{00000000-0005-0000-0000-0000C3150000}"/>
    <cellStyle name="Data 2 4 6 9 6" xfId="4013" xr:uid="{00000000-0005-0000-0000-0000C4150000}"/>
    <cellStyle name="Data 2 4 6 9 6 2" xfId="4014" xr:uid="{00000000-0005-0000-0000-0000C5150000}"/>
    <cellStyle name="Data 2 4 6 9 7" xfId="4015" xr:uid="{00000000-0005-0000-0000-0000C6150000}"/>
    <cellStyle name="Data 2 4 6 9 7 2" xfId="4016" xr:uid="{00000000-0005-0000-0000-0000C7150000}"/>
    <cellStyle name="Data 2 4 6 9 8" xfId="4017" xr:uid="{00000000-0005-0000-0000-0000C8150000}"/>
    <cellStyle name="Data 2 4 6 9 8 2" xfId="4018" xr:uid="{00000000-0005-0000-0000-0000C9150000}"/>
    <cellStyle name="Data 2 4 6 9 9" xfId="4019" xr:uid="{00000000-0005-0000-0000-0000CA150000}"/>
    <cellStyle name="Data 2 4 6 9 9 2" xfId="4020" xr:uid="{00000000-0005-0000-0000-0000CB150000}"/>
    <cellStyle name="Data 2 4 7" xfId="4021" xr:uid="{00000000-0005-0000-0000-0000CC150000}"/>
    <cellStyle name="Data 2 4 7 10" xfId="4022" xr:uid="{00000000-0005-0000-0000-0000CD150000}"/>
    <cellStyle name="Data 2 4 7 10 2" xfId="4023" xr:uid="{00000000-0005-0000-0000-0000CE150000}"/>
    <cellStyle name="Data 2 4 7 10 2 2" xfId="4024" xr:uid="{00000000-0005-0000-0000-0000CF150000}"/>
    <cellStyle name="Data 2 4 7 10 3" xfId="4025" xr:uid="{00000000-0005-0000-0000-0000D0150000}"/>
    <cellStyle name="Data 2 4 7 10 3 2" xfId="4026" xr:uid="{00000000-0005-0000-0000-0000D1150000}"/>
    <cellStyle name="Data 2 4 7 10 4" xfId="4027" xr:uid="{00000000-0005-0000-0000-0000D2150000}"/>
    <cellStyle name="Data 2 4 7 10 4 2" xfId="4028" xr:uid="{00000000-0005-0000-0000-0000D3150000}"/>
    <cellStyle name="Data 2 4 7 10 5" xfId="4029" xr:uid="{00000000-0005-0000-0000-0000D4150000}"/>
    <cellStyle name="Data 2 4 7 10 5 2" xfId="4030" xr:uid="{00000000-0005-0000-0000-0000D5150000}"/>
    <cellStyle name="Data 2 4 7 10 6" xfId="4031" xr:uid="{00000000-0005-0000-0000-0000D6150000}"/>
    <cellStyle name="Data 2 4 7 10 6 2" xfId="4032" xr:uid="{00000000-0005-0000-0000-0000D7150000}"/>
    <cellStyle name="Data 2 4 7 10 7" xfId="4033" xr:uid="{00000000-0005-0000-0000-0000D8150000}"/>
    <cellStyle name="Data 2 4 7 10 7 2" xfId="4034" xr:uid="{00000000-0005-0000-0000-0000D9150000}"/>
    <cellStyle name="Data 2 4 7 10 8" xfId="4035" xr:uid="{00000000-0005-0000-0000-0000DA150000}"/>
    <cellStyle name="Data 2 4 7 10 8 2" xfId="4036" xr:uid="{00000000-0005-0000-0000-0000DB150000}"/>
    <cellStyle name="Data 2 4 7 10 9" xfId="4037" xr:uid="{00000000-0005-0000-0000-0000DC150000}"/>
    <cellStyle name="Data 2 4 7 11" xfId="4038" xr:uid="{00000000-0005-0000-0000-0000DD150000}"/>
    <cellStyle name="Data 2 4 7 11 2" xfId="4039" xr:uid="{00000000-0005-0000-0000-0000DE150000}"/>
    <cellStyle name="Data 2 4 7 12" xfId="4040" xr:uid="{00000000-0005-0000-0000-0000DF150000}"/>
    <cellStyle name="Data 2 4 7 12 2" xfId="4041" xr:uid="{00000000-0005-0000-0000-0000E0150000}"/>
    <cellStyle name="Data 2 4 7 13" xfId="4042" xr:uid="{00000000-0005-0000-0000-0000E1150000}"/>
    <cellStyle name="Data 2 4 7 13 2" xfId="4043" xr:uid="{00000000-0005-0000-0000-0000E2150000}"/>
    <cellStyle name="Data 2 4 7 14" xfId="4044" xr:uid="{00000000-0005-0000-0000-0000E3150000}"/>
    <cellStyle name="Data 2 4 7 14 2" xfId="4045" xr:uid="{00000000-0005-0000-0000-0000E4150000}"/>
    <cellStyle name="Data 2 4 7 15" xfId="4046" xr:uid="{00000000-0005-0000-0000-0000E5150000}"/>
    <cellStyle name="Data 2 4 7 15 2" xfId="4047" xr:uid="{00000000-0005-0000-0000-0000E6150000}"/>
    <cellStyle name="Data 2 4 7 16" xfId="4048" xr:uid="{00000000-0005-0000-0000-0000E7150000}"/>
    <cellStyle name="Data 2 4 7 16 2" xfId="4049" xr:uid="{00000000-0005-0000-0000-0000E8150000}"/>
    <cellStyle name="Data 2 4 7 17" xfId="4050" xr:uid="{00000000-0005-0000-0000-0000E9150000}"/>
    <cellStyle name="Data 2 4 7 17 2" xfId="4051" xr:uid="{00000000-0005-0000-0000-0000EA150000}"/>
    <cellStyle name="Data 2 4 7 18" xfId="4052" xr:uid="{00000000-0005-0000-0000-0000EB150000}"/>
    <cellStyle name="Data 2 4 7 2" xfId="4053" xr:uid="{00000000-0005-0000-0000-0000EC150000}"/>
    <cellStyle name="Data 2 4 7 2 10" xfId="4054" xr:uid="{00000000-0005-0000-0000-0000ED150000}"/>
    <cellStyle name="Data 2 4 7 2 2" xfId="4055" xr:uid="{00000000-0005-0000-0000-0000EE150000}"/>
    <cellStyle name="Data 2 4 7 2 2 2" xfId="4056" xr:uid="{00000000-0005-0000-0000-0000EF150000}"/>
    <cellStyle name="Data 2 4 7 2 3" xfId="4057" xr:uid="{00000000-0005-0000-0000-0000F0150000}"/>
    <cellStyle name="Data 2 4 7 2 3 2" xfId="4058" xr:uid="{00000000-0005-0000-0000-0000F1150000}"/>
    <cellStyle name="Data 2 4 7 2 4" xfId="4059" xr:uid="{00000000-0005-0000-0000-0000F2150000}"/>
    <cellStyle name="Data 2 4 7 2 4 2" xfId="4060" xr:uid="{00000000-0005-0000-0000-0000F3150000}"/>
    <cellStyle name="Data 2 4 7 2 5" xfId="4061" xr:uid="{00000000-0005-0000-0000-0000F4150000}"/>
    <cellStyle name="Data 2 4 7 2 5 2" xfId="4062" xr:uid="{00000000-0005-0000-0000-0000F5150000}"/>
    <cellStyle name="Data 2 4 7 2 6" xfId="4063" xr:uid="{00000000-0005-0000-0000-0000F6150000}"/>
    <cellStyle name="Data 2 4 7 2 6 2" xfId="4064" xr:uid="{00000000-0005-0000-0000-0000F7150000}"/>
    <cellStyle name="Data 2 4 7 2 7" xfId="4065" xr:uid="{00000000-0005-0000-0000-0000F8150000}"/>
    <cellStyle name="Data 2 4 7 2 7 2" xfId="4066" xr:uid="{00000000-0005-0000-0000-0000F9150000}"/>
    <cellStyle name="Data 2 4 7 2 8" xfId="4067" xr:uid="{00000000-0005-0000-0000-0000FA150000}"/>
    <cellStyle name="Data 2 4 7 2 8 2" xfId="4068" xr:uid="{00000000-0005-0000-0000-0000FB150000}"/>
    <cellStyle name="Data 2 4 7 2 9" xfId="4069" xr:uid="{00000000-0005-0000-0000-0000FC150000}"/>
    <cellStyle name="Data 2 4 7 2 9 2" xfId="4070" xr:uid="{00000000-0005-0000-0000-0000FD150000}"/>
    <cellStyle name="Data 2 4 7 3" xfId="4071" xr:uid="{00000000-0005-0000-0000-0000FE150000}"/>
    <cellStyle name="Data 2 4 7 3 10" xfId="4072" xr:uid="{00000000-0005-0000-0000-0000FF150000}"/>
    <cellStyle name="Data 2 4 7 3 2" xfId="4073" xr:uid="{00000000-0005-0000-0000-000000160000}"/>
    <cellStyle name="Data 2 4 7 3 2 2" xfId="4074" xr:uid="{00000000-0005-0000-0000-000001160000}"/>
    <cellStyle name="Data 2 4 7 3 3" xfId="4075" xr:uid="{00000000-0005-0000-0000-000002160000}"/>
    <cellStyle name="Data 2 4 7 3 3 2" xfId="4076" xr:uid="{00000000-0005-0000-0000-000003160000}"/>
    <cellStyle name="Data 2 4 7 3 4" xfId="4077" xr:uid="{00000000-0005-0000-0000-000004160000}"/>
    <cellStyle name="Data 2 4 7 3 4 2" xfId="4078" xr:uid="{00000000-0005-0000-0000-000005160000}"/>
    <cellStyle name="Data 2 4 7 3 5" xfId="4079" xr:uid="{00000000-0005-0000-0000-000006160000}"/>
    <cellStyle name="Data 2 4 7 3 5 2" xfId="4080" xr:uid="{00000000-0005-0000-0000-000007160000}"/>
    <cellStyle name="Data 2 4 7 3 6" xfId="4081" xr:uid="{00000000-0005-0000-0000-000008160000}"/>
    <cellStyle name="Data 2 4 7 3 6 2" xfId="4082" xr:uid="{00000000-0005-0000-0000-000009160000}"/>
    <cellStyle name="Data 2 4 7 3 7" xfId="4083" xr:uid="{00000000-0005-0000-0000-00000A160000}"/>
    <cellStyle name="Data 2 4 7 3 7 2" xfId="4084" xr:uid="{00000000-0005-0000-0000-00000B160000}"/>
    <cellStyle name="Data 2 4 7 3 8" xfId="4085" xr:uid="{00000000-0005-0000-0000-00000C160000}"/>
    <cellStyle name="Data 2 4 7 3 8 2" xfId="4086" xr:uid="{00000000-0005-0000-0000-00000D160000}"/>
    <cellStyle name="Data 2 4 7 3 9" xfId="4087" xr:uid="{00000000-0005-0000-0000-00000E160000}"/>
    <cellStyle name="Data 2 4 7 3 9 2" xfId="4088" xr:uid="{00000000-0005-0000-0000-00000F160000}"/>
    <cellStyle name="Data 2 4 7 4" xfId="4089" xr:uid="{00000000-0005-0000-0000-000010160000}"/>
    <cellStyle name="Data 2 4 7 4 10" xfId="4090" xr:uid="{00000000-0005-0000-0000-000011160000}"/>
    <cellStyle name="Data 2 4 7 4 2" xfId="4091" xr:uid="{00000000-0005-0000-0000-000012160000}"/>
    <cellStyle name="Data 2 4 7 4 2 2" xfId="4092" xr:uid="{00000000-0005-0000-0000-000013160000}"/>
    <cellStyle name="Data 2 4 7 4 3" xfId="4093" xr:uid="{00000000-0005-0000-0000-000014160000}"/>
    <cellStyle name="Data 2 4 7 4 3 2" xfId="4094" xr:uid="{00000000-0005-0000-0000-000015160000}"/>
    <cellStyle name="Data 2 4 7 4 4" xfId="4095" xr:uid="{00000000-0005-0000-0000-000016160000}"/>
    <cellStyle name="Data 2 4 7 4 4 2" xfId="4096" xr:uid="{00000000-0005-0000-0000-000017160000}"/>
    <cellStyle name="Data 2 4 7 4 5" xfId="4097" xr:uid="{00000000-0005-0000-0000-000018160000}"/>
    <cellStyle name="Data 2 4 7 4 5 2" xfId="4098" xr:uid="{00000000-0005-0000-0000-000019160000}"/>
    <cellStyle name="Data 2 4 7 4 6" xfId="4099" xr:uid="{00000000-0005-0000-0000-00001A160000}"/>
    <cellStyle name="Data 2 4 7 4 6 2" xfId="4100" xr:uid="{00000000-0005-0000-0000-00001B160000}"/>
    <cellStyle name="Data 2 4 7 4 7" xfId="4101" xr:uid="{00000000-0005-0000-0000-00001C160000}"/>
    <cellStyle name="Data 2 4 7 4 7 2" xfId="4102" xr:uid="{00000000-0005-0000-0000-00001D160000}"/>
    <cellStyle name="Data 2 4 7 4 8" xfId="4103" xr:uid="{00000000-0005-0000-0000-00001E160000}"/>
    <cellStyle name="Data 2 4 7 4 8 2" xfId="4104" xr:uid="{00000000-0005-0000-0000-00001F160000}"/>
    <cellStyle name="Data 2 4 7 4 9" xfId="4105" xr:uid="{00000000-0005-0000-0000-000020160000}"/>
    <cellStyle name="Data 2 4 7 4 9 2" xfId="4106" xr:uid="{00000000-0005-0000-0000-000021160000}"/>
    <cellStyle name="Data 2 4 7 5" xfId="4107" xr:uid="{00000000-0005-0000-0000-000022160000}"/>
    <cellStyle name="Data 2 4 7 5 10" xfId="4108" xr:uid="{00000000-0005-0000-0000-000023160000}"/>
    <cellStyle name="Data 2 4 7 5 2" xfId="4109" xr:uid="{00000000-0005-0000-0000-000024160000}"/>
    <cellStyle name="Data 2 4 7 5 2 2" xfId="4110" xr:uid="{00000000-0005-0000-0000-000025160000}"/>
    <cellStyle name="Data 2 4 7 5 3" xfId="4111" xr:uid="{00000000-0005-0000-0000-000026160000}"/>
    <cellStyle name="Data 2 4 7 5 3 2" xfId="4112" xr:uid="{00000000-0005-0000-0000-000027160000}"/>
    <cellStyle name="Data 2 4 7 5 4" xfId="4113" xr:uid="{00000000-0005-0000-0000-000028160000}"/>
    <cellStyle name="Data 2 4 7 5 4 2" xfId="4114" xr:uid="{00000000-0005-0000-0000-000029160000}"/>
    <cellStyle name="Data 2 4 7 5 5" xfId="4115" xr:uid="{00000000-0005-0000-0000-00002A160000}"/>
    <cellStyle name="Data 2 4 7 5 5 2" xfId="4116" xr:uid="{00000000-0005-0000-0000-00002B160000}"/>
    <cellStyle name="Data 2 4 7 5 6" xfId="4117" xr:uid="{00000000-0005-0000-0000-00002C160000}"/>
    <cellStyle name="Data 2 4 7 5 6 2" xfId="4118" xr:uid="{00000000-0005-0000-0000-00002D160000}"/>
    <cellStyle name="Data 2 4 7 5 7" xfId="4119" xr:uid="{00000000-0005-0000-0000-00002E160000}"/>
    <cellStyle name="Data 2 4 7 5 7 2" xfId="4120" xr:uid="{00000000-0005-0000-0000-00002F160000}"/>
    <cellStyle name="Data 2 4 7 5 8" xfId="4121" xr:uid="{00000000-0005-0000-0000-000030160000}"/>
    <cellStyle name="Data 2 4 7 5 8 2" xfId="4122" xr:uid="{00000000-0005-0000-0000-000031160000}"/>
    <cellStyle name="Data 2 4 7 5 9" xfId="4123" xr:uid="{00000000-0005-0000-0000-000032160000}"/>
    <cellStyle name="Data 2 4 7 5 9 2" xfId="4124" xr:uid="{00000000-0005-0000-0000-000033160000}"/>
    <cellStyle name="Data 2 4 7 6" xfId="4125" xr:uid="{00000000-0005-0000-0000-000034160000}"/>
    <cellStyle name="Data 2 4 7 6 10" xfId="4126" xr:uid="{00000000-0005-0000-0000-000035160000}"/>
    <cellStyle name="Data 2 4 7 6 2" xfId="4127" xr:uid="{00000000-0005-0000-0000-000036160000}"/>
    <cellStyle name="Data 2 4 7 6 2 2" xfId="4128" xr:uid="{00000000-0005-0000-0000-000037160000}"/>
    <cellStyle name="Data 2 4 7 6 3" xfId="4129" xr:uid="{00000000-0005-0000-0000-000038160000}"/>
    <cellStyle name="Data 2 4 7 6 3 2" xfId="4130" xr:uid="{00000000-0005-0000-0000-000039160000}"/>
    <cellStyle name="Data 2 4 7 6 4" xfId="4131" xr:uid="{00000000-0005-0000-0000-00003A160000}"/>
    <cellStyle name="Data 2 4 7 6 4 2" xfId="4132" xr:uid="{00000000-0005-0000-0000-00003B160000}"/>
    <cellStyle name="Data 2 4 7 6 5" xfId="4133" xr:uid="{00000000-0005-0000-0000-00003C160000}"/>
    <cellStyle name="Data 2 4 7 6 5 2" xfId="4134" xr:uid="{00000000-0005-0000-0000-00003D160000}"/>
    <cellStyle name="Data 2 4 7 6 6" xfId="4135" xr:uid="{00000000-0005-0000-0000-00003E160000}"/>
    <cellStyle name="Data 2 4 7 6 6 2" xfId="4136" xr:uid="{00000000-0005-0000-0000-00003F160000}"/>
    <cellStyle name="Data 2 4 7 6 7" xfId="4137" xr:uid="{00000000-0005-0000-0000-000040160000}"/>
    <cellStyle name="Data 2 4 7 6 7 2" xfId="4138" xr:uid="{00000000-0005-0000-0000-000041160000}"/>
    <cellStyle name="Data 2 4 7 6 8" xfId="4139" xr:uid="{00000000-0005-0000-0000-000042160000}"/>
    <cellStyle name="Data 2 4 7 6 8 2" xfId="4140" xr:uid="{00000000-0005-0000-0000-000043160000}"/>
    <cellStyle name="Data 2 4 7 6 9" xfId="4141" xr:uid="{00000000-0005-0000-0000-000044160000}"/>
    <cellStyle name="Data 2 4 7 6 9 2" xfId="4142" xr:uid="{00000000-0005-0000-0000-000045160000}"/>
    <cellStyle name="Data 2 4 7 7" xfId="4143" xr:uid="{00000000-0005-0000-0000-000046160000}"/>
    <cellStyle name="Data 2 4 7 7 10" xfId="4144" xr:uid="{00000000-0005-0000-0000-000047160000}"/>
    <cellStyle name="Data 2 4 7 7 2" xfId="4145" xr:uid="{00000000-0005-0000-0000-000048160000}"/>
    <cellStyle name="Data 2 4 7 7 2 2" xfId="4146" xr:uid="{00000000-0005-0000-0000-000049160000}"/>
    <cellStyle name="Data 2 4 7 7 3" xfId="4147" xr:uid="{00000000-0005-0000-0000-00004A160000}"/>
    <cellStyle name="Data 2 4 7 7 3 2" xfId="4148" xr:uid="{00000000-0005-0000-0000-00004B160000}"/>
    <cellStyle name="Data 2 4 7 7 4" xfId="4149" xr:uid="{00000000-0005-0000-0000-00004C160000}"/>
    <cellStyle name="Data 2 4 7 7 4 2" xfId="4150" xr:uid="{00000000-0005-0000-0000-00004D160000}"/>
    <cellStyle name="Data 2 4 7 7 5" xfId="4151" xr:uid="{00000000-0005-0000-0000-00004E160000}"/>
    <cellStyle name="Data 2 4 7 7 5 2" xfId="4152" xr:uid="{00000000-0005-0000-0000-00004F160000}"/>
    <cellStyle name="Data 2 4 7 7 6" xfId="4153" xr:uid="{00000000-0005-0000-0000-000050160000}"/>
    <cellStyle name="Data 2 4 7 7 6 2" xfId="4154" xr:uid="{00000000-0005-0000-0000-000051160000}"/>
    <cellStyle name="Data 2 4 7 7 7" xfId="4155" xr:uid="{00000000-0005-0000-0000-000052160000}"/>
    <cellStyle name="Data 2 4 7 7 7 2" xfId="4156" xr:uid="{00000000-0005-0000-0000-000053160000}"/>
    <cellStyle name="Data 2 4 7 7 8" xfId="4157" xr:uid="{00000000-0005-0000-0000-000054160000}"/>
    <cellStyle name="Data 2 4 7 7 8 2" xfId="4158" xr:uid="{00000000-0005-0000-0000-000055160000}"/>
    <cellStyle name="Data 2 4 7 7 9" xfId="4159" xr:uid="{00000000-0005-0000-0000-000056160000}"/>
    <cellStyle name="Data 2 4 7 7 9 2" xfId="4160" xr:uid="{00000000-0005-0000-0000-000057160000}"/>
    <cellStyle name="Data 2 4 7 8" xfId="4161" xr:uid="{00000000-0005-0000-0000-000058160000}"/>
    <cellStyle name="Data 2 4 7 8 10" xfId="4162" xr:uid="{00000000-0005-0000-0000-000059160000}"/>
    <cellStyle name="Data 2 4 7 8 2" xfId="4163" xr:uid="{00000000-0005-0000-0000-00005A160000}"/>
    <cellStyle name="Data 2 4 7 8 2 2" xfId="4164" xr:uid="{00000000-0005-0000-0000-00005B160000}"/>
    <cellStyle name="Data 2 4 7 8 3" xfId="4165" xr:uid="{00000000-0005-0000-0000-00005C160000}"/>
    <cellStyle name="Data 2 4 7 8 3 2" xfId="4166" xr:uid="{00000000-0005-0000-0000-00005D160000}"/>
    <cellStyle name="Data 2 4 7 8 4" xfId="4167" xr:uid="{00000000-0005-0000-0000-00005E160000}"/>
    <cellStyle name="Data 2 4 7 8 4 2" xfId="4168" xr:uid="{00000000-0005-0000-0000-00005F160000}"/>
    <cellStyle name="Data 2 4 7 8 5" xfId="4169" xr:uid="{00000000-0005-0000-0000-000060160000}"/>
    <cellStyle name="Data 2 4 7 8 5 2" xfId="4170" xr:uid="{00000000-0005-0000-0000-000061160000}"/>
    <cellStyle name="Data 2 4 7 8 6" xfId="4171" xr:uid="{00000000-0005-0000-0000-000062160000}"/>
    <cellStyle name="Data 2 4 7 8 6 2" xfId="4172" xr:uid="{00000000-0005-0000-0000-000063160000}"/>
    <cellStyle name="Data 2 4 7 8 7" xfId="4173" xr:uid="{00000000-0005-0000-0000-000064160000}"/>
    <cellStyle name="Data 2 4 7 8 7 2" xfId="4174" xr:uid="{00000000-0005-0000-0000-000065160000}"/>
    <cellStyle name="Data 2 4 7 8 8" xfId="4175" xr:uid="{00000000-0005-0000-0000-000066160000}"/>
    <cellStyle name="Data 2 4 7 8 8 2" xfId="4176" xr:uid="{00000000-0005-0000-0000-000067160000}"/>
    <cellStyle name="Data 2 4 7 8 9" xfId="4177" xr:uid="{00000000-0005-0000-0000-000068160000}"/>
    <cellStyle name="Data 2 4 7 8 9 2" xfId="4178" xr:uid="{00000000-0005-0000-0000-000069160000}"/>
    <cellStyle name="Data 2 4 7 9" xfId="4179" xr:uid="{00000000-0005-0000-0000-00006A160000}"/>
    <cellStyle name="Data 2 4 7 9 10" xfId="4180" xr:uid="{00000000-0005-0000-0000-00006B160000}"/>
    <cellStyle name="Data 2 4 7 9 2" xfId="4181" xr:uid="{00000000-0005-0000-0000-00006C160000}"/>
    <cellStyle name="Data 2 4 7 9 2 2" xfId="4182" xr:uid="{00000000-0005-0000-0000-00006D160000}"/>
    <cellStyle name="Data 2 4 7 9 3" xfId="4183" xr:uid="{00000000-0005-0000-0000-00006E160000}"/>
    <cellStyle name="Data 2 4 7 9 3 2" xfId="4184" xr:uid="{00000000-0005-0000-0000-00006F160000}"/>
    <cellStyle name="Data 2 4 7 9 4" xfId="4185" xr:uid="{00000000-0005-0000-0000-000070160000}"/>
    <cellStyle name="Data 2 4 7 9 4 2" xfId="4186" xr:uid="{00000000-0005-0000-0000-000071160000}"/>
    <cellStyle name="Data 2 4 7 9 5" xfId="4187" xr:uid="{00000000-0005-0000-0000-000072160000}"/>
    <cellStyle name="Data 2 4 7 9 5 2" xfId="4188" xr:uid="{00000000-0005-0000-0000-000073160000}"/>
    <cellStyle name="Data 2 4 7 9 6" xfId="4189" xr:uid="{00000000-0005-0000-0000-000074160000}"/>
    <cellStyle name="Data 2 4 7 9 6 2" xfId="4190" xr:uid="{00000000-0005-0000-0000-000075160000}"/>
    <cellStyle name="Data 2 4 7 9 7" xfId="4191" xr:uid="{00000000-0005-0000-0000-000076160000}"/>
    <cellStyle name="Data 2 4 7 9 7 2" xfId="4192" xr:uid="{00000000-0005-0000-0000-000077160000}"/>
    <cellStyle name="Data 2 4 7 9 8" xfId="4193" xr:uid="{00000000-0005-0000-0000-000078160000}"/>
    <cellStyle name="Data 2 4 7 9 8 2" xfId="4194" xr:uid="{00000000-0005-0000-0000-000079160000}"/>
    <cellStyle name="Data 2 4 7 9 9" xfId="4195" xr:uid="{00000000-0005-0000-0000-00007A160000}"/>
    <cellStyle name="Data 2 4 7 9 9 2" xfId="4196" xr:uid="{00000000-0005-0000-0000-00007B160000}"/>
    <cellStyle name="Data 2 4 8" xfId="4197" xr:uid="{00000000-0005-0000-0000-00007C160000}"/>
    <cellStyle name="Data 2 4 8 10" xfId="4198" xr:uid="{00000000-0005-0000-0000-00007D160000}"/>
    <cellStyle name="Data 2 4 8 10 2" xfId="4199" xr:uid="{00000000-0005-0000-0000-00007E160000}"/>
    <cellStyle name="Data 2 4 8 10 2 2" xfId="4200" xr:uid="{00000000-0005-0000-0000-00007F160000}"/>
    <cellStyle name="Data 2 4 8 10 3" xfId="4201" xr:uid="{00000000-0005-0000-0000-000080160000}"/>
    <cellStyle name="Data 2 4 8 10 3 2" xfId="4202" xr:uid="{00000000-0005-0000-0000-000081160000}"/>
    <cellStyle name="Data 2 4 8 10 4" xfId="4203" xr:uid="{00000000-0005-0000-0000-000082160000}"/>
    <cellStyle name="Data 2 4 8 10 4 2" xfId="4204" xr:uid="{00000000-0005-0000-0000-000083160000}"/>
    <cellStyle name="Data 2 4 8 10 5" xfId="4205" xr:uid="{00000000-0005-0000-0000-000084160000}"/>
    <cellStyle name="Data 2 4 8 10 5 2" xfId="4206" xr:uid="{00000000-0005-0000-0000-000085160000}"/>
    <cellStyle name="Data 2 4 8 10 6" xfId="4207" xr:uid="{00000000-0005-0000-0000-000086160000}"/>
    <cellStyle name="Data 2 4 8 10 6 2" xfId="4208" xr:uid="{00000000-0005-0000-0000-000087160000}"/>
    <cellStyle name="Data 2 4 8 10 7" xfId="4209" xr:uid="{00000000-0005-0000-0000-000088160000}"/>
    <cellStyle name="Data 2 4 8 10 7 2" xfId="4210" xr:uid="{00000000-0005-0000-0000-000089160000}"/>
    <cellStyle name="Data 2 4 8 10 8" xfId="4211" xr:uid="{00000000-0005-0000-0000-00008A160000}"/>
    <cellStyle name="Data 2 4 8 10 8 2" xfId="4212" xr:uid="{00000000-0005-0000-0000-00008B160000}"/>
    <cellStyle name="Data 2 4 8 10 9" xfId="4213" xr:uid="{00000000-0005-0000-0000-00008C160000}"/>
    <cellStyle name="Data 2 4 8 11" xfId="4214" xr:uid="{00000000-0005-0000-0000-00008D160000}"/>
    <cellStyle name="Data 2 4 8 11 2" xfId="4215" xr:uid="{00000000-0005-0000-0000-00008E160000}"/>
    <cellStyle name="Data 2 4 8 12" xfId="4216" xr:uid="{00000000-0005-0000-0000-00008F160000}"/>
    <cellStyle name="Data 2 4 8 12 2" xfId="4217" xr:uid="{00000000-0005-0000-0000-000090160000}"/>
    <cellStyle name="Data 2 4 8 13" xfId="4218" xr:uid="{00000000-0005-0000-0000-000091160000}"/>
    <cellStyle name="Data 2 4 8 13 2" xfId="4219" xr:uid="{00000000-0005-0000-0000-000092160000}"/>
    <cellStyle name="Data 2 4 8 14" xfId="4220" xr:uid="{00000000-0005-0000-0000-000093160000}"/>
    <cellStyle name="Data 2 4 8 14 2" xfId="4221" xr:uid="{00000000-0005-0000-0000-000094160000}"/>
    <cellStyle name="Data 2 4 8 15" xfId="4222" xr:uid="{00000000-0005-0000-0000-000095160000}"/>
    <cellStyle name="Data 2 4 8 15 2" xfId="4223" xr:uid="{00000000-0005-0000-0000-000096160000}"/>
    <cellStyle name="Data 2 4 8 16" xfId="4224" xr:uid="{00000000-0005-0000-0000-000097160000}"/>
    <cellStyle name="Data 2 4 8 16 2" xfId="4225" xr:uid="{00000000-0005-0000-0000-000098160000}"/>
    <cellStyle name="Data 2 4 8 17" xfId="4226" xr:uid="{00000000-0005-0000-0000-000099160000}"/>
    <cellStyle name="Data 2 4 8 17 2" xfId="4227" xr:uid="{00000000-0005-0000-0000-00009A160000}"/>
    <cellStyle name="Data 2 4 8 18" xfId="4228" xr:uid="{00000000-0005-0000-0000-00009B160000}"/>
    <cellStyle name="Data 2 4 8 2" xfId="4229" xr:uid="{00000000-0005-0000-0000-00009C160000}"/>
    <cellStyle name="Data 2 4 8 2 10" xfId="4230" xr:uid="{00000000-0005-0000-0000-00009D160000}"/>
    <cellStyle name="Data 2 4 8 2 2" xfId="4231" xr:uid="{00000000-0005-0000-0000-00009E160000}"/>
    <cellStyle name="Data 2 4 8 2 2 2" xfId="4232" xr:uid="{00000000-0005-0000-0000-00009F160000}"/>
    <cellStyle name="Data 2 4 8 2 3" xfId="4233" xr:uid="{00000000-0005-0000-0000-0000A0160000}"/>
    <cellStyle name="Data 2 4 8 2 3 2" xfId="4234" xr:uid="{00000000-0005-0000-0000-0000A1160000}"/>
    <cellStyle name="Data 2 4 8 2 4" xfId="4235" xr:uid="{00000000-0005-0000-0000-0000A2160000}"/>
    <cellStyle name="Data 2 4 8 2 4 2" xfId="4236" xr:uid="{00000000-0005-0000-0000-0000A3160000}"/>
    <cellStyle name="Data 2 4 8 2 5" xfId="4237" xr:uid="{00000000-0005-0000-0000-0000A4160000}"/>
    <cellStyle name="Data 2 4 8 2 5 2" xfId="4238" xr:uid="{00000000-0005-0000-0000-0000A5160000}"/>
    <cellStyle name="Data 2 4 8 2 6" xfId="4239" xr:uid="{00000000-0005-0000-0000-0000A6160000}"/>
    <cellStyle name="Data 2 4 8 2 6 2" xfId="4240" xr:uid="{00000000-0005-0000-0000-0000A7160000}"/>
    <cellStyle name="Data 2 4 8 2 7" xfId="4241" xr:uid="{00000000-0005-0000-0000-0000A8160000}"/>
    <cellStyle name="Data 2 4 8 2 7 2" xfId="4242" xr:uid="{00000000-0005-0000-0000-0000A9160000}"/>
    <cellStyle name="Data 2 4 8 2 8" xfId="4243" xr:uid="{00000000-0005-0000-0000-0000AA160000}"/>
    <cellStyle name="Data 2 4 8 2 8 2" xfId="4244" xr:uid="{00000000-0005-0000-0000-0000AB160000}"/>
    <cellStyle name="Data 2 4 8 2 9" xfId="4245" xr:uid="{00000000-0005-0000-0000-0000AC160000}"/>
    <cellStyle name="Data 2 4 8 2 9 2" xfId="4246" xr:uid="{00000000-0005-0000-0000-0000AD160000}"/>
    <cellStyle name="Data 2 4 8 3" xfId="4247" xr:uid="{00000000-0005-0000-0000-0000AE160000}"/>
    <cellStyle name="Data 2 4 8 3 10" xfId="4248" xr:uid="{00000000-0005-0000-0000-0000AF160000}"/>
    <cellStyle name="Data 2 4 8 3 2" xfId="4249" xr:uid="{00000000-0005-0000-0000-0000B0160000}"/>
    <cellStyle name="Data 2 4 8 3 2 2" xfId="4250" xr:uid="{00000000-0005-0000-0000-0000B1160000}"/>
    <cellStyle name="Data 2 4 8 3 3" xfId="4251" xr:uid="{00000000-0005-0000-0000-0000B2160000}"/>
    <cellStyle name="Data 2 4 8 3 3 2" xfId="4252" xr:uid="{00000000-0005-0000-0000-0000B3160000}"/>
    <cellStyle name="Data 2 4 8 3 4" xfId="4253" xr:uid="{00000000-0005-0000-0000-0000B4160000}"/>
    <cellStyle name="Data 2 4 8 3 4 2" xfId="4254" xr:uid="{00000000-0005-0000-0000-0000B5160000}"/>
    <cellStyle name="Data 2 4 8 3 5" xfId="4255" xr:uid="{00000000-0005-0000-0000-0000B6160000}"/>
    <cellStyle name="Data 2 4 8 3 5 2" xfId="4256" xr:uid="{00000000-0005-0000-0000-0000B7160000}"/>
    <cellStyle name="Data 2 4 8 3 6" xfId="4257" xr:uid="{00000000-0005-0000-0000-0000B8160000}"/>
    <cellStyle name="Data 2 4 8 3 6 2" xfId="4258" xr:uid="{00000000-0005-0000-0000-0000B9160000}"/>
    <cellStyle name="Data 2 4 8 3 7" xfId="4259" xr:uid="{00000000-0005-0000-0000-0000BA160000}"/>
    <cellStyle name="Data 2 4 8 3 7 2" xfId="4260" xr:uid="{00000000-0005-0000-0000-0000BB160000}"/>
    <cellStyle name="Data 2 4 8 3 8" xfId="4261" xr:uid="{00000000-0005-0000-0000-0000BC160000}"/>
    <cellStyle name="Data 2 4 8 3 8 2" xfId="4262" xr:uid="{00000000-0005-0000-0000-0000BD160000}"/>
    <cellStyle name="Data 2 4 8 3 9" xfId="4263" xr:uid="{00000000-0005-0000-0000-0000BE160000}"/>
    <cellStyle name="Data 2 4 8 3 9 2" xfId="4264" xr:uid="{00000000-0005-0000-0000-0000BF160000}"/>
    <cellStyle name="Data 2 4 8 4" xfId="4265" xr:uid="{00000000-0005-0000-0000-0000C0160000}"/>
    <cellStyle name="Data 2 4 8 4 10" xfId="4266" xr:uid="{00000000-0005-0000-0000-0000C1160000}"/>
    <cellStyle name="Data 2 4 8 4 2" xfId="4267" xr:uid="{00000000-0005-0000-0000-0000C2160000}"/>
    <cellStyle name="Data 2 4 8 4 2 2" xfId="4268" xr:uid="{00000000-0005-0000-0000-0000C3160000}"/>
    <cellStyle name="Data 2 4 8 4 3" xfId="4269" xr:uid="{00000000-0005-0000-0000-0000C4160000}"/>
    <cellStyle name="Data 2 4 8 4 3 2" xfId="4270" xr:uid="{00000000-0005-0000-0000-0000C5160000}"/>
    <cellStyle name="Data 2 4 8 4 4" xfId="4271" xr:uid="{00000000-0005-0000-0000-0000C6160000}"/>
    <cellStyle name="Data 2 4 8 4 4 2" xfId="4272" xr:uid="{00000000-0005-0000-0000-0000C7160000}"/>
    <cellStyle name="Data 2 4 8 4 5" xfId="4273" xr:uid="{00000000-0005-0000-0000-0000C8160000}"/>
    <cellStyle name="Data 2 4 8 4 5 2" xfId="4274" xr:uid="{00000000-0005-0000-0000-0000C9160000}"/>
    <cellStyle name="Data 2 4 8 4 6" xfId="4275" xr:uid="{00000000-0005-0000-0000-0000CA160000}"/>
    <cellStyle name="Data 2 4 8 4 6 2" xfId="4276" xr:uid="{00000000-0005-0000-0000-0000CB160000}"/>
    <cellStyle name="Data 2 4 8 4 7" xfId="4277" xr:uid="{00000000-0005-0000-0000-0000CC160000}"/>
    <cellStyle name="Data 2 4 8 4 7 2" xfId="4278" xr:uid="{00000000-0005-0000-0000-0000CD160000}"/>
    <cellStyle name="Data 2 4 8 4 8" xfId="4279" xr:uid="{00000000-0005-0000-0000-0000CE160000}"/>
    <cellStyle name="Data 2 4 8 4 8 2" xfId="4280" xr:uid="{00000000-0005-0000-0000-0000CF160000}"/>
    <cellStyle name="Data 2 4 8 4 9" xfId="4281" xr:uid="{00000000-0005-0000-0000-0000D0160000}"/>
    <cellStyle name="Data 2 4 8 4 9 2" xfId="4282" xr:uid="{00000000-0005-0000-0000-0000D1160000}"/>
    <cellStyle name="Data 2 4 8 5" xfId="4283" xr:uid="{00000000-0005-0000-0000-0000D2160000}"/>
    <cellStyle name="Data 2 4 8 5 10" xfId="4284" xr:uid="{00000000-0005-0000-0000-0000D3160000}"/>
    <cellStyle name="Data 2 4 8 5 2" xfId="4285" xr:uid="{00000000-0005-0000-0000-0000D4160000}"/>
    <cellStyle name="Data 2 4 8 5 2 2" xfId="4286" xr:uid="{00000000-0005-0000-0000-0000D5160000}"/>
    <cellStyle name="Data 2 4 8 5 3" xfId="4287" xr:uid="{00000000-0005-0000-0000-0000D6160000}"/>
    <cellStyle name="Data 2 4 8 5 3 2" xfId="4288" xr:uid="{00000000-0005-0000-0000-0000D7160000}"/>
    <cellStyle name="Data 2 4 8 5 4" xfId="4289" xr:uid="{00000000-0005-0000-0000-0000D8160000}"/>
    <cellStyle name="Data 2 4 8 5 4 2" xfId="4290" xr:uid="{00000000-0005-0000-0000-0000D9160000}"/>
    <cellStyle name="Data 2 4 8 5 5" xfId="4291" xr:uid="{00000000-0005-0000-0000-0000DA160000}"/>
    <cellStyle name="Data 2 4 8 5 5 2" xfId="4292" xr:uid="{00000000-0005-0000-0000-0000DB160000}"/>
    <cellStyle name="Data 2 4 8 5 6" xfId="4293" xr:uid="{00000000-0005-0000-0000-0000DC160000}"/>
    <cellStyle name="Data 2 4 8 5 6 2" xfId="4294" xr:uid="{00000000-0005-0000-0000-0000DD160000}"/>
    <cellStyle name="Data 2 4 8 5 7" xfId="4295" xr:uid="{00000000-0005-0000-0000-0000DE160000}"/>
    <cellStyle name="Data 2 4 8 5 7 2" xfId="4296" xr:uid="{00000000-0005-0000-0000-0000DF160000}"/>
    <cellStyle name="Data 2 4 8 5 8" xfId="4297" xr:uid="{00000000-0005-0000-0000-0000E0160000}"/>
    <cellStyle name="Data 2 4 8 5 8 2" xfId="4298" xr:uid="{00000000-0005-0000-0000-0000E1160000}"/>
    <cellStyle name="Data 2 4 8 5 9" xfId="4299" xr:uid="{00000000-0005-0000-0000-0000E2160000}"/>
    <cellStyle name="Data 2 4 8 5 9 2" xfId="4300" xr:uid="{00000000-0005-0000-0000-0000E3160000}"/>
    <cellStyle name="Data 2 4 8 6" xfId="4301" xr:uid="{00000000-0005-0000-0000-0000E4160000}"/>
    <cellStyle name="Data 2 4 8 6 10" xfId="4302" xr:uid="{00000000-0005-0000-0000-0000E5160000}"/>
    <cellStyle name="Data 2 4 8 6 2" xfId="4303" xr:uid="{00000000-0005-0000-0000-0000E6160000}"/>
    <cellStyle name="Data 2 4 8 6 2 2" xfId="4304" xr:uid="{00000000-0005-0000-0000-0000E7160000}"/>
    <cellStyle name="Data 2 4 8 6 3" xfId="4305" xr:uid="{00000000-0005-0000-0000-0000E8160000}"/>
    <cellStyle name="Data 2 4 8 6 3 2" xfId="4306" xr:uid="{00000000-0005-0000-0000-0000E9160000}"/>
    <cellStyle name="Data 2 4 8 6 4" xfId="4307" xr:uid="{00000000-0005-0000-0000-0000EA160000}"/>
    <cellStyle name="Data 2 4 8 6 4 2" xfId="4308" xr:uid="{00000000-0005-0000-0000-0000EB160000}"/>
    <cellStyle name="Data 2 4 8 6 5" xfId="4309" xr:uid="{00000000-0005-0000-0000-0000EC160000}"/>
    <cellStyle name="Data 2 4 8 6 5 2" xfId="4310" xr:uid="{00000000-0005-0000-0000-0000ED160000}"/>
    <cellStyle name="Data 2 4 8 6 6" xfId="4311" xr:uid="{00000000-0005-0000-0000-0000EE160000}"/>
    <cellStyle name="Data 2 4 8 6 6 2" xfId="4312" xr:uid="{00000000-0005-0000-0000-0000EF160000}"/>
    <cellStyle name="Data 2 4 8 6 7" xfId="4313" xr:uid="{00000000-0005-0000-0000-0000F0160000}"/>
    <cellStyle name="Data 2 4 8 6 7 2" xfId="4314" xr:uid="{00000000-0005-0000-0000-0000F1160000}"/>
    <cellStyle name="Data 2 4 8 6 8" xfId="4315" xr:uid="{00000000-0005-0000-0000-0000F2160000}"/>
    <cellStyle name="Data 2 4 8 6 8 2" xfId="4316" xr:uid="{00000000-0005-0000-0000-0000F3160000}"/>
    <cellStyle name="Data 2 4 8 6 9" xfId="4317" xr:uid="{00000000-0005-0000-0000-0000F4160000}"/>
    <cellStyle name="Data 2 4 8 6 9 2" xfId="4318" xr:uid="{00000000-0005-0000-0000-0000F5160000}"/>
    <cellStyle name="Data 2 4 8 7" xfId="4319" xr:uid="{00000000-0005-0000-0000-0000F6160000}"/>
    <cellStyle name="Data 2 4 8 7 10" xfId="4320" xr:uid="{00000000-0005-0000-0000-0000F7160000}"/>
    <cellStyle name="Data 2 4 8 7 2" xfId="4321" xr:uid="{00000000-0005-0000-0000-0000F8160000}"/>
    <cellStyle name="Data 2 4 8 7 2 2" xfId="4322" xr:uid="{00000000-0005-0000-0000-0000F9160000}"/>
    <cellStyle name="Data 2 4 8 7 3" xfId="4323" xr:uid="{00000000-0005-0000-0000-0000FA160000}"/>
    <cellStyle name="Data 2 4 8 7 3 2" xfId="4324" xr:uid="{00000000-0005-0000-0000-0000FB160000}"/>
    <cellStyle name="Data 2 4 8 7 4" xfId="4325" xr:uid="{00000000-0005-0000-0000-0000FC160000}"/>
    <cellStyle name="Data 2 4 8 7 4 2" xfId="4326" xr:uid="{00000000-0005-0000-0000-0000FD160000}"/>
    <cellStyle name="Data 2 4 8 7 5" xfId="4327" xr:uid="{00000000-0005-0000-0000-0000FE160000}"/>
    <cellStyle name="Data 2 4 8 7 5 2" xfId="4328" xr:uid="{00000000-0005-0000-0000-0000FF160000}"/>
    <cellStyle name="Data 2 4 8 7 6" xfId="4329" xr:uid="{00000000-0005-0000-0000-000000170000}"/>
    <cellStyle name="Data 2 4 8 7 6 2" xfId="4330" xr:uid="{00000000-0005-0000-0000-000001170000}"/>
    <cellStyle name="Data 2 4 8 7 7" xfId="4331" xr:uid="{00000000-0005-0000-0000-000002170000}"/>
    <cellStyle name="Data 2 4 8 7 7 2" xfId="4332" xr:uid="{00000000-0005-0000-0000-000003170000}"/>
    <cellStyle name="Data 2 4 8 7 8" xfId="4333" xr:uid="{00000000-0005-0000-0000-000004170000}"/>
    <cellStyle name="Data 2 4 8 7 8 2" xfId="4334" xr:uid="{00000000-0005-0000-0000-000005170000}"/>
    <cellStyle name="Data 2 4 8 7 9" xfId="4335" xr:uid="{00000000-0005-0000-0000-000006170000}"/>
    <cellStyle name="Data 2 4 8 7 9 2" xfId="4336" xr:uid="{00000000-0005-0000-0000-000007170000}"/>
    <cellStyle name="Data 2 4 8 8" xfId="4337" xr:uid="{00000000-0005-0000-0000-000008170000}"/>
    <cellStyle name="Data 2 4 8 8 10" xfId="4338" xr:uid="{00000000-0005-0000-0000-000009170000}"/>
    <cellStyle name="Data 2 4 8 8 2" xfId="4339" xr:uid="{00000000-0005-0000-0000-00000A170000}"/>
    <cellStyle name="Data 2 4 8 8 2 2" xfId="4340" xr:uid="{00000000-0005-0000-0000-00000B170000}"/>
    <cellStyle name="Data 2 4 8 8 3" xfId="4341" xr:uid="{00000000-0005-0000-0000-00000C170000}"/>
    <cellStyle name="Data 2 4 8 8 3 2" xfId="4342" xr:uid="{00000000-0005-0000-0000-00000D170000}"/>
    <cellStyle name="Data 2 4 8 8 4" xfId="4343" xr:uid="{00000000-0005-0000-0000-00000E170000}"/>
    <cellStyle name="Data 2 4 8 8 4 2" xfId="4344" xr:uid="{00000000-0005-0000-0000-00000F170000}"/>
    <cellStyle name="Data 2 4 8 8 5" xfId="4345" xr:uid="{00000000-0005-0000-0000-000010170000}"/>
    <cellStyle name="Data 2 4 8 8 5 2" xfId="4346" xr:uid="{00000000-0005-0000-0000-000011170000}"/>
    <cellStyle name="Data 2 4 8 8 6" xfId="4347" xr:uid="{00000000-0005-0000-0000-000012170000}"/>
    <cellStyle name="Data 2 4 8 8 6 2" xfId="4348" xr:uid="{00000000-0005-0000-0000-000013170000}"/>
    <cellStyle name="Data 2 4 8 8 7" xfId="4349" xr:uid="{00000000-0005-0000-0000-000014170000}"/>
    <cellStyle name="Data 2 4 8 8 7 2" xfId="4350" xr:uid="{00000000-0005-0000-0000-000015170000}"/>
    <cellStyle name="Data 2 4 8 8 8" xfId="4351" xr:uid="{00000000-0005-0000-0000-000016170000}"/>
    <cellStyle name="Data 2 4 8 8 8 2" xfId="4352" xr:uid="{00000000-0005-0000-0000-000017170000}"/>
    <cellStyle name="Data 2 4 8 8 9" xfId="4353" xr:uid="{00000000-0005-0000-0000-000018170000}"/>
    <cellStyle name="Data 2 4 8 8 9 2" xfId="4354" xr:uid="{00000000-0005-0000-0000-000019170000}"/>
    <cellStyle name="Data 2 4 8 9" xfId="4355" xr:uid="{00000000-0005-0000-0000-00001A170000}"/>
    <cellStyle name="Data 2 4 8 9 10" xfId="4356" xr:uid="{00000000-0005-0000-0000-00001B170000}"/>
    <cellStyle name="Data 2 4 8 9 2" xfId="4357" xr:uid="{00000000-0005-0000-0000-00001C170000}"/>
    <cellStyle name="Data 2 4 8 9 2 2" xfId="4358" xr:uid="{00000000-0005-0000-0000-00001D170000}"/>
    <cellStyle name="Data 2 4 8 9 3" xfId="4359" xr:uid="{00000000-0005-0000-0000-00001E170000}"/>
    <cellStyle name="Data 2 4 8 9 3 2" xfId="4360" xr:uid="{00000000-0005-0000-0000-00001F170000}"/>
    <cellStyle name="Data 2 4 8 9 4" xfId="4361" xr:uid="{00000000-0005-0000-0000-000020170000}"/>
    <cellStyle name="Data 2 4 8 9 4 2" xfId="4362" xr:uid="{00000000-0005-0000-0000-000021170000}"/>
    <cellStyle name="Data 2 4 8 9 5" xfId="4363" xr:uid="{00000000-0005-0000-0000-000022170000}"/>
    <cellStyle name="Data 2 4 8 9 5 2" xfId="4364" xr:uid="{00000000-0005-0000-0000-000023170000}"/>
    <cellStyle name="Data 2 4 8 9 6" xfId="4365" xr:uid="{00000000-0005-0000-0000-000024170000}"/>
    <cellStyle name="Data 2 4 8 9 6 2" xfId="4366" xr:uid="{00000000-0005-0000-0000-000025170000}"/>
    <cellStyle name="Data 2 4 8 9 7" xfId="4367" xr:uid="{00000000-0005-0000-0000-000026170000}"/>
    <cellStyle name="Data 2 4 8 9 7 2" xfId="4368" xr:uid="{00000000-0005-0000-0000-000027170000}"/>
    <cellStyle name="Data 2 4 8 9 8" xfId="4369" xr:uid="{00000000-0005-0000-0000-000028170000}"/>
    <cellStyle name="Data 2 4 8 9 8 2" xfId="4370" xr:uid="{00000000-0005-0000-0000-000029170000}"/>
    <cellStyle name="Data 2 4 8 9 9" xfId="4371" xr:uid="{00000000-0005-0000-0000-00002A170000}"/>
    <cellStyle name="Data 2 4 8 9 9 2" xfId="4372" xr:uid="{00000000-0005-0000-0000-00002B170000}"/>
    <cellStyle name="Data 2 5" xfId="4373" xr:uid="{00000000-0005-0000-0000-00002C170000}"/>
    <cellStyle name="Data 2 5 10" xfId="4374" xr:uid="{00000000-0005-0000-0000-00002D170000}"/>
    <cellStyle name="Data 2 5 10 10" xfId="4375" xr:uid="{00000000-0005-0000-0000-00002E170000}"/>
    <cellStyle name="Data 2 5 10 2" xfId="4376" xr:uid="{00000000-0005-0000-0000-00002F170000}"/>
    <cellStyle name="Data 2 5 10 2 2" xfId="4377" xr:uid="{00000000-0005-0000-0000-000030170000}"/>
    <cellStyle name="Data 2 5 10 3" xfId="4378" xr:uid="{00000000-0005-0000-0000-000031170000}"/>
    <cellStyle name="Data 2 5 10 3 2" xfId="4379" xr:uid="{00000000-0005-0000-0000-000032170000}"/>
    <cellStyle name="Data 2 5 10 4" xfId="4380" xr:uid="{00000000-0005-0000-0000-000033170000}"/>
    <cellStyle name="Data 2 5 10 4 2" xfId="4381" xr:uid="{00000000-0005-0000-0000-000034170000}"/>
    <cellStyle name="Data 2 5 10 5" xfId="4382" xr:uid="{00000000-0005-0000-0000-000035170000}"/>
    <cellStyle name="Data 2 5 10 5 2" xfId="4383" xr:uid="{00000000-0005-0000-0000-000036170000}"/>
    <cellStyle name="Data 2 5 10 6" xfId="4384" xr:uid="{00000000-0005-0000-0000-000037170000}"/>
    <cellStyle name="Data 2 5 10 6 2" xfId="4385" xr:uid="{00000000-0005-0000-0000-000038170000}"/>
    <cellStyle name="Data 2 5 10 7" xfId="4386" xr:uid="{00000000-0005-0000-0000-000039170000}"/>
    <cellStyle name="Data 2 5 10 7 2" xfId="4387" xr:uid="{00000000-0005-0000-0000-00003A170000}"/>
    <cellStyle name="Data 2 5 10 8" xfId="4388" xr:uid="{00000000-0005-0000-0000-00003B170000}"/>
    <cellStyle name="Data 2 5 10 8 2" xfId="4389" xr:uid="{00000000-0005-0000-0000-00003C170000}"/>
    <cellStyle name="Data 2 5 10 9" xfId="4390" xr:uid="{00000000-0005-0000-0000-00003D170000}"/>
    <cellStyle name="Data 2 5 10 9 2" xfId="4391" xr:uid="{00000000-0005-0000-0000-00003E170000}"/>
    <cellStyle name="Data 2 5 11" xfId="4392" xr:uid="{00000000-0005-0000-0000-00003F170000}"/>
    <cellStyle name="Data 2 5 11 2" xfId="4393" xr:uid="{00000000-0005-0000-0000-000040170000}"/>
    <cellStyle name="Data 2 5 11 2 2" xfId="4394" xr:uid="{00000000-0005-0000-0000-000041170000}"/>
    <cellStyle name="Data 2 5 11 3" xfId="4395" xr:uid="{00000000-0005-0000-0000-000042170000}"/>
    <cellStyle name="Data 2 5 11 3 2" xfId="4396" xr:uid="{00000000-0005-0000-0000-000043170000}"/>
    <cellStyle name="Data 2 5 11 4" xfId="4397" xr:uid="{00000000-0005-0000-0000-000044170000}"/>
    <cellStyle name="Data 2 5 11 4 2" xfId="4398" xr:uid="{00000000-0005-0000-0000-000045170000}"/>
    <cellStyle name="Data 2 5 11 5" xfId="4399" xr:uid="{00000000-0005-0000-0000-000046170000}"/>
    <cellStyle name="Data 2 5 11 5 2" xfId="4400" xr:uid="{00000000-0005-0000-0000-000047170000}"/>
    <cellStyle name="Data 2 5 11 6" xfId="4401" xr:uid="{00000000-0005-0000-0000-000048170000}"/>
    <cellStyle name="Data 2 5 11 6 2" xfId="4402" xr:uid="{00000000-0005-0000-0000-000049170000}"/>
    <cellStyle name="Data 2 5 11 7" xfId="4403" xr:uid="{00000000-0005-0000-0000-00004A170000}"/>
    <cellStyle name="Data 2 5 11 7 2" xfId="4404" xr:uid="{00000000-0005-0000-0000-00004B170000}"/>
    <cellStyle name="Data 2 5 11 8" xfId="4405" xr:uid="{00000000-0005-0000-0000-00004C170000}"/>
    <cellStyle name="Data 2 5 11 8 2" xfId="4406" xr:uid="{00000000-0005-0000-0000-00004D170000}"/>
    <cellStyle name="Data 2 5 11 9" xfId="4407" xr:uid="{00000000-0005-0000-0000-00004E170000}"/>
    <cellStyle name="Data 2 5 2" xfId="4408" xr:uid="{00000000-0005-0000-0000-00004F170000}"/>
    <cellStyle name="Data 2 5 2 10" xfId="4409" xr:uid="{00000000-0005-0000-0000-000050170000}"/>
    <cellStyle name="Data 2 5 2 2" xfId="4410" xr:uid="{00000000-0005-0000-0000-000051170000}"/>
    <cellStyle name="Data 2 5 2 2 2" xfId="4411" xr:uid="{00000000-0005-0000-0000-000052170000}"/>
    <cellStyle name="Data 2 5 2 3" xfId="4412" xr:uid="{00000000-0005-0000-0000-000053170000}"/>
    <cellStyle name="Data 2 5 2 3 2" xfId="4413" xr:uid="{00000000-0005-0000-0000-000054170000}"/>
    <cellStyle name="Data 2 5 2 4" xfId="4414" xr:uid="{00000000-0005-0000-0000-000055170000}"/>
    <cellStyle name="Data 2 5 2 4 2" xfId="4415" xr:uid="{00000000-0005-0000-0000-000056170000}"/>
    <cellStyle name="Data 2 5 2 5" xfId="4416" xr:uid="{00000000-0005-0000-0000-000057170000}"/>
    <cellStyle name="Data 2 5 2 5 2" xfId="4417" xr:uid="{00000000-0005-0000-0000-000058170000}"/>
    <cellStyle name="Data 2 5 2 6" xfId="4418" xr:uid="{00000000-0005-0000-0000-000059170000}"/>
    <cellStyle name="Data 2 5 2 6 2" xfId="4419" xr:uid="{00000000-0005-0000-0000-00005A170000}"/>
    <cellStyle name="Data 2 5 2 7" xfId="4420" xr:uid="{00000000-0005-0000-0000-00005B170000}"/>
    <cellStyle name="Data 2 5 2 7 2" xfId="4421" xr:uid="{00000000-0005-0000-0000-00005C170000}"/>
    <cellStyle name="Data 2 5 2 8" xfId="4422" xr:uid="{00000000-0005-0000-0000-00005D170000}"/>
    <cellStyle name="Data 2 5 2 8 2" xfId="4423" xr:uid="{00000000-0005-0000-0000-00005E170000}"/>
    <cellStyle name="Data 2 5 2 9" xfId="4424" xr:uid="{00000000-0005-0000-0000-00005F170000}"/>
    <cellStyle name="Data 2 5 2 9 2" xfId="4425" xr:uid="{00000000-0005-0000-0000-000060170000}"/>
    <cellStyle name="Data 2 5 3" xfId="4426" xr:uid="{00000000-0005-0000-0000-000061170000}"/>
    <cellStyle name="Data 2 5 3 10" xfId="4427" xr:uid="{00000000-0005-0000-0000-000062170000}"/>
    <cellStyle name="Data 2 5 3 2" xfId="4428" xr:uid="{00000000-0005-0000-0000-000063170000}"/>
    <cellStyle name="Data 2 5 3 2 2" xfId="4429" xr:uid="{00000000-0005-0000-0000-000064170000}"/>
    <cellStyle name="Data 2 5 3 3" xfId="4430" xr:uid="{00000000-0005-0000-0000-000065170000}"/>
    <cellStyle name="Data 2 5 3 3 2" xfId="4431" xr:uid="{00000000-0005-0000-0000-000066170000}"/>
    <cellStyle name="Data 2 5 3 4" xfId="4432" xr:uid="{00000000-0005-0000-0000-000067170000}"/>
    <cellStyle name="Data 2 5 3 4 2" xfId="4433" xr:uid="{00000000-0005-0000-0000-000068170000}"/>
    <cellStyle name="Data 2 5 3 5" xfId="4434" xr:uid="{00000000-0005-0000-0000-000069170000}"/>
    <cellStyle name="Data 2 5 3 5 2" xfId="4435" xr:uid="{00000000-0005-0000-0000-00006A170000}"/>
    <cellStyle name="Data 2 5 3 6" xfId="4436" xr:uid="{00000000-0005-0000-0000-00006B170000}"/>
    <cellStyle name="Data 2 5 3 6 2" xfId="4437" xr:uid="{00000000-0005-0000-0000-00006C170000}"/>
    <cellStyle name="Data 2 5 3 7" xfId="4438" xr:uid="{00000000-0005-0000-0000-00006D170000}"/>
    <cellStyle name="Data 2 5 3 7 2" xfId="4439" xr:uid="{00000000-0005-0000-0000-00006E170000}"/>
    <cellStyle name="Data 2 5 3 8" xfId="4440" xr:uid="{00000000-0005-0000-0000-00006F170000}"/>
    <cellStyle name="Data 2 5 3 8 2" xfId="4441" xr:uid="{00000000-0005-0000-0000-000070170000}"/>
    <cellStyle name="Data 2 5 3 9" xfId="4442" xr:uid="{00000000-0005-0000-0000-000071170000}"/>
    <cellStyle name="Data 2 5 3 9 2" xfId="4443" xr:uid="{00000000-0005-0000-0000-000072170000}"/>
    <cellStyle name="Data 2 5 4" xfId="4444" xr:uid="{00000000-0005-0000-0000-000073170000}"/>
    <cellStyle name="Data 2 5 4 10" xfId="4445" xr:uid="{00000000-0005-0000-0000-000074170000}"/>
    <cellStyle name="Data 2 5 4 2" xfId="4446" xr:uid="{00000000-0005-0000-0000-000075170000}"/>
    <cellStyle name="Data 2 5 4 2 2" xfId="4447" xr:uid="{00000000-0005-0000-0000-000076170000}"/>
    <cellStyle name="Data 2 5 4 3" xfId="4448" xr:uid="{00000000-0005-0000-0000-000077170000}"/>
    <cellStyle name="Data 2 5 4 3 2" xfId="4449" xr:uid="{00000000-0005-0000-0000-000078170000}"/>
    <cellStyle name="Data 2 5 4 4" xfId="4450" xr:uid="{00000000-0005-0000-0000-000079170000}"/>
    <cellStyle name="Data 2 5 4 4 2" xfId="4451" xr:uid="{00000000-0005-0000-0000-00007A170000}"/>
    <cellStyle name="Data 2 5 4 5" xfId="4452" xr:uid="{00000000-0005-0000-0000-00007B170000}"/>
    <cellStyle name="Data 2 5 4 5 2" xfId="4453" xr:uid="{00000000-0005-0000-0000-00007C170000}"/>
    <cellStyle name="Data 2 5 4 6" xfId="4454" xr:uid="{00000000-0005-0000-0000-00007D170000}"/>
    <cellStyle name="Data 2 5 4 6 2" xfId="4455" xr:uid="{00000000-0005-0000-0000-00007E170000}"/>
    <cellStyle name="Data 2 5 4 7" xfId="4456" xr:uid="{00000000-0005-0000-0000-00007F170000}"/>
    <cellStyle name="Data 2 5 4 7 2" xfId="4457" xr:uid="{00000000-0005-0000-0000-000080170000}"/>
    <cellStyle name="Data 2 5 4 8" xfId="4458" xr:uid="{00000000-0005-0000-0000-000081170000}"/>
    <cellStyle name="Data 2 5 4 8 2" xfId="4459" xr:uid="{00000000-0005-0000-0000-000082170000}"/>
    <cellStyle name="Data 2 5 4 9" xfId="4460" xr:uid="{00000000-0005-0000-0000-000083170000}"/>
    <cellStyle name="Data 2 5 4 9 2" xfId="4461" xr:uid="{00000000-0005-0000-0000-000084170000}"/>
    <cellStyle name="Data 2 5 5" xfId="4462" xr:uid="{00000000-0005-0000-0000-000085170000}"/>
    <cellStyle name="Data 2 5 5 10" xfId="4463" xr:uid="{00000000-0005-0000-0000-000086170000}"/>
    <cellStyle name="Data 2 5 5 2" xfId="4464" xr:uid="{00000000-0005-0000-0000-000087170000}"/>
    <cellStyle name="Data 2 5 5 2 2" xfId="4465" xr:uid="{00000000-0005-0000-0000-000088170000}"/>
    <cellStyle name="Data 2 5 5 3" xfId="4466" xr:uid="{00000000-0005-0000-0000-000089170000}"/>
    <cellStyle name="Data 2 5 5 3 2" xfId="4467" xr:uid="{00000000-0005-0000-0000-00008A170000}"/>
    <cellStyle name="Data 2 5 5 4" xfId="4468" xr:uid="{00000000-0005-0000-0000-00008B170000}"/>
    <cellStyle name="Data 2 5 5 4 2" xfId="4469" xr:uid="{00000000-0005-0000-0000-00008C170000}"/>
    <cellStyle name="Data 2 5 5 5" xfId="4470" xr:uid="{00000000-0005-0000-0000-00008D170000}"/>
    <cellStyle name="Data 2 5 5 5 2" xfId="4471" xr:uid="{00000000-0005-0000-0000-00008E170000}"/>
    <cellStyle name="Data 2 5 5 6" xfId="4472" xr:uid="{00000000-0005-0000-0000-00008F170000}"/>
    <cellStyle name="Data 2 5 5 6 2" xfId="4473" xr:uid="{00000000-0005-0000-0000-000090170000}"/>
    <cellStyle name="Data 2 5 5 7" xfId="4474" xr:uid="{00000000-0005-0000-0000-000091170000}"/>
    <cellStyle name="Data 2 5 5 7 2" xfId="4475" xr:uid="{00000000-0005-0000-0000-000092170000}"/>
    <cellStyle name="Data 2 5 5 8" xfId="4476" xr:uid="{00000000-0005-0000-0000-000093170000}"/>
    <cellStyle name="Data 2 5 5 8 2" xfId="4477" xr:uid="{00000000-0005-0000-0000-000094170000}"/>
    <cellStyle name="Data 2 5 5 9" xfId="4478" xr:uid="{00000000-0005-0000-0000-000095170000}"/>
    <cellStyle name="Data 2 5 5 9 2" xfId="4479" xr:uid="{00000000-0005-0000-0000-000096170000}"/>
    <cellStyle name="Data 2 5 6" xfId="4480" xr:uid="{00000000-0005-0000-0000-000097170000}"/>
    <cellStyle name="Data 2 5 6 10" xfId="4481" xr:uid="{00000000-0005-0000-0000-000098170000}"/>
    <cellStyle name="Data 2 5 6 2" xfId="4482" xr:uid="{00000000-0005-0000-0000-000099170000}"/>
    <cellStyle name="Data 2 5 6 2 2" xfId="4483" xr:uid="{00000000-0005-0000-0000-00009A170000}"/>
    <cellStyle name="Data 2 5 6 3" xfId="4484" xr:uid="{00000000-0005-0000-0000-00009B170000}"/>
    <cellStyle name="Data 2 5 6 3 2" xfId="4485" xr:uid="{00000000-0005-0000-0000-00009C170000}"/>
    <cellStyle name="Data 2 5 6 4" xfId="4486" xr:uid="{00000000-0005-0000-0000-00009D170000}"/>
    <cellStyle name="Data 2 5 6 4 2" xfId="4487" xr:uid="{00000000-0005-0000-0000-00009E170000}"/>
    <cellStyle name="Data 2 5 6 5" xfId="4488" xr:uid="{00000000-0005-0000-0000-00009F170000}"/>
    <cellStyle name="Data 2 5 6 5 2" xfId="4489" xr:uid="{00000000-0005-0000-0000-0000A0170000}"/>
    <cellStyle name="Data 2 5 6 6" xfId="4490" xr:uid="{00000000-0005-0000-0000-0000A1170000}"/>
    <cellStyle name="Data 2 5 6 6 2" xfId="4491" xr:uid="{00000000-0005-0000-0000-0000A2170000}"/>
    <cellStyle name="Data 2 5 6 7" xfId="4492" xr:uid="{00000000-0005-0000-0000-0000A3170000}"/>
    <cellStyle name="Data 2 5 6 7 2" xfId="4493" xr:uid="{00000000-0005-0000-0000-0000A4170000}"/>
    <cellStyle name="Data 2 5 6 8" xfId="4494" xr:uid="{00000000-0005-0000-0000-0000A5170000}"/>
    <cellStyle name="Data 2 5 6 8 2" xfId="4495" xr:uid="{00000000-0005-0000-0000-0000A6170000}"/>
    <cellStyle name="Data 2 5 6 9" xfId="4496" xr:uid="{00000000-0005-0000-0000-0000A7170000}"/>
    <cellStyle name="Data 2 5 6 9 2" xfId="4497" xr:uid="{00000000-0005-0000-0000-0000A8170000}"/>
    <cellStyle name="Data 2 5 7" xfId="4498" xr:uid="{00000000-0005-0000-0000-0000A9170000}"/>
    <cellStyle name="Data 2 5 7 10" xfId="4499" xr:uid="{00000000-0005-0000-0000-0000AA170000}"/>
    <cellStyle name="Data 2 5 7 2" xfId="4500" xr:uid="{00000000-0005-0000-0000-0000AB170000}"/>
    <cellStyle name="Data 2 5 7 2 2" xfId="4501" xr:uid="{00000000-0005-0000-0000-0000AC170000}"/>
    <cellStyle name="Data 2 5 7 3" xfId="4502" xr:uid="{00000000-0005-0000-0000-0000AD170000}"/>
    <cellStyle name="Data 2 5 7 3 2" xfId="4503" xr:uid="{00000000-0005-0000-0000-0000AE170000}"/>
    <cellStyle name="Data 2 5 7 4" xfId="4504" xr:uid="{00000000-0005-0000-0000-0000AF170000}"/>
    <cellStyle name="Data 2 5 7 4 2" xfId="4505" xr:uid="{00000000-0005-0000-0000-0000B0170000}"/>
    <cellStyle name="Data 2 5 7 5" xfId="4506" xr:uid="{00000000-0005-0000-0000-0000B1170000}"/>
    <cellStyle name="Data 2 5 7 5 2" xfId="4507" xr:uid="{00000000-0005-0000-0000-0000B2170000}"/>
    <cellStyle name="Data 2 5 7 6" xfId="4508" xr:uid="{00000000-0005-0000-0000-0000B3170000}"/>
    <cellStyle name="Data 2 5 7 6 2" xfId="4509" xr:uid="{00000000-0005-0000-0000-0000B4170000}"/>
    <cellStyle name="Data 2 5 7 7" xfId="4510" xr:uid="{00000000-0005-0000-0000-0000B5170000}"/>
    <cellStyle name="Data 2 5 7 7 2" xfId="4511" xr:uid="{00000000-0005-0000-0000-0000B6170000}"/>
    <cellStyle name="Data 2 5 7 8" xfId="4512" xr:uid="{00000000-0005-0000-0000-0000B7170000}"/>
    <cellStyle name="Data 2 5 7 8 2" xfId="4513" xr:uid="{00000000-0005-0000-0000-0000B8170000}"/>
    <cellStyle name="Data 2 5 7 9" xfId="4514" xr:uid="{00000000-0005-0000-0000-0000B9170000}"/>
    <cellStyle name="Data 2 5 7 9 2" xfId="4515" xr:uid="{00000000-0005-0000-0000-0000BA170000}"/>
    <cellStyle name="Data 2 5 8" xfId="4516" xr:uid="{00000000-0005-0000-0000-0000BB170000}"/>
    <cellStyle name="Data 2 5 8 10" xfId="4517" xr:uid="{00000000-0005-0000-0000-0000BC170000}"/>
    <cellStyle name="Data 2 5 8 2" xfId="4518" xr:uid="{00000000-0005-0000-0000-0000BD170000}"/>
    <cellStyle name="Data 2 5 8 2 2" xfId="4519" xr:uid="{00000000-0005-0000-0000-0000BE170000}"/>
    <cellStyle name="Data 2 5 8 3" xfId="4520" xr:uid="{00000000-0005-0000-0000-0000BF170000}"/>
    <cellStyle name="Data 2 5 8 3 2" xfId="4521" xr:uid="{00000000-0005-0000-0000-0000C0170000}"/>
    <cellStyle name="Data 2 5 8 4" xfId="4522" xr:uid="{00000000-0005-0000-0000-0000C1170000}"/>
    <cellStyle name="Data 2 5 8 4 2" xfId="4523" xr:uid="{00000000-0005-0000-0000-0000C2170000}"/>
    <cellStyle name="Data 2 5 8 5" xfId="4524" xr:uid="{00000000-0005-0000-0000-0000C3170000}"/>
    <cellStyle name="Data 2 5 8 5 2" xfId="4525" xr:uid="{00000000-0005-0000-0000-0000C4170000}"/>
    <cellStyle name="Data 2 5 8 6" xfId="4526" xr:uid="{00000000-0005-0000-0000-0000C5170000}"/>
    <cellStyle name="Data 2 5 8 6 2" xfId="4527" xr:uid="{00000000-0005-0000-0000-0000C6170000}"/>
    <cellStyle name="Data 2 5 8 7" xfId="4528" xr:uid="{00000000-0005-0000-0000-0000C7170000}"/>
    <cellStyle name="Data 2 5 8 7 2" xfId="4529" xr:uid="{00000000-0005-0000-0000-0000C8170000}"/>
    <cellStyle name="Data 2 5 8 8" xfId="4530" xr:uid="{00000000-0005-0000-0000-0000C9170000}"/>
    <cellStyle name="Data 2 5 8 8 2" xfId="4531" xr:uid="{00000000-0005-0000-0000-0000CA170000}"/>
    <cellStyle name="Data 2 5 8 9" xfId="4532" xr:uid="{00000000-0005-0000-0000-0000CB170000}"/>
    <cellStyle name="Data 2 5 8 9 2" xfId="4533" xr:uid="{00000000-0005-0000-0000-0000CC170000}"/>
    <cellStyle name="Data 2 5 9" xfId="4534" xr:uid="{00000000-0005-0000-0000-0000CD170000}"/>
    <cellStyle name="Data 2 5 9 10" xfId="4535" xr:uid="{00000000-0005-0000-0000-0000CE170000}"/>
    <cellStyle name="Data 2 5 9 2" xfId="4536" xr:uid="{00000000-0005-0000-0000-0000CF170000}"/>
    <cellStyle name="Data 2 5 9 2 2" xfId="4537" xr:uid="{00000000-0005-0000-0000-0000D0170000}"/>
    <cellStyle name="Data 2 5 9 3" xfId="4538" xr:uid="{00000000-0005-0000-0000-0000D1170000}"/>
    <cellStyle name="Data 2 5 9 3 2" xfId="4539" xr:uid="{00000000-0005-0000-0000-0000D2170000}"/>
    <cellStyle name="Data 2 5 9 4" xfId="4540" xr:uid="{00000000-0005-0000-0000-0000D3170000}"/>
    <cellStyle name="Data 2 5 9 4 2" xfId="4541" xr:uid="{00000000-0005-0000-0000-0000D4170000}"/>
    <cellStyle name="Data 2 5 9 5" xfId="4542" xr:uid="{00000000-0005-0000-0000-0000D5170000}"/>
    <cellStyle name="Data 2 5 9 5 2" xfId="4543" xr:uid="{00000000-0005-0000-0000-0000D6170000}"/>
    <cellStyle name="Data 2 5 9 6" xfId="4544" xr:uid="{00000000-0005-0000-0000-0000D7170000}"/>
    <cellStyle name="Data 2 5 9 6 2" xfId="4545" xr:uid="{00000000-0005-0000-0000-0000D8170000}"/>
    <cellStyle name="Data 2 5 9 7" xfId="4546" xr:uid="{00000000-0005-0000-0000-0000D9170000}"/>
    <cellStyle name="Data 2 5 9 7 2" xfId="4547" xr:uid="{00000000-0005-0000-0000-0000DA170000}"/>
    <cellStyle name="Data 2 5 9 8" xfId="4548" xr:uid="{00000000-0005-0000-0000-0000DB170000}"/>
    <cellStyle name="Data 2 5 9 8 2" xfId="4549" xr:uid="{00000000-0005-0000-0000-0000DC170000}"/>
    <cellStyle name="Data 2 5 9 9" xfId="4550" xr:uid="{00000000-0005-0000-0000-0000DD170000}"/>
    <cellStyle name="Data 2 5 9 9 2" xfId="4551" xr:uid="{00000000-0005-0000-0000-0000DE170000}"/>
    <cellStyle name="Data 2 6" xfId="4552" xr:uid="{00000000-0005-0000-0000-0000DF170000}"/>
    <cellStyle name="Data 2 6 10" xfId="4553" xr:uid="{00000000-0005-0000-0000-0000E0170000}"/>
    <cellStyle name="Data 2 6 10 10" xfId="4554" xr:uid="{00000000-0005-0000-0000-0000E1170000}"/>
    <cellStyle name="Data 2 6 10 2" xfId="4555" xr:uid="{00000000-0005-0000-0000-0000E2170000}"/>
    <cellStyle name="Data 2 6 10 2 2" xfId="4556" xr:uid="{00000000-0005-0000-0000-0000E3170000}"/>
    <cellStyle name="Data 2 6 10 3" xfId="4557" xr:uid="{00000000-0005-0000-0000-0000E4170000}"/>
    <cellStyle name="Data 2 6 10 3 2" xfId="4558" xr:uid="{00000000-0005-0000-0000-0000E5170000}"/>
    <cellStyle name="Data 2 6 10 4" xfId="4559" xr:uid="{00000000-0005-0000-0000-0000E6170000}"/>
    <cellStyle name="Data 2 6 10 4 2" xfId="4560" xr:uid="{00000000-0005-0000-0000-0000E7170000}"/>
    <cellStyle name="Data 2 6 10 5" xfId="4561" xr:uid="{00000000-0005-0000-0000-0000E8170000}"/>
    <cellStyle name="Data 2 6 10 5 2" xfId="4562" xr:uid="{00000000-0005-0000-0000-0000E9170000}"/>
    <cellStyle name="Data 2 6 10 6" xfId="4563" xr:uid="{00000000-0005-0000-0000-0000EA170000}"/>
    <cellStyle name="Data 2 6 10 6 2" xfId="4564" xr:uid="{00000000-0005-0000-0000-0000EB170000}"/>
    <cellStyle name="Data 2 6 10 7" xfId="4565" xr:uid="{00000000-0005-0000-0000-0000EC170000}"/>
    <cellStyle name="Data 2 6 10 7 2" xfId="4566" xr:uid="{00000000-0005-0000-0000-0000ED170000}"/>
    <cellStyle name="Data 2 6 10 8" xfId="4567" xr:uid="{00000000-0005-0000-0000-0000EE170000}"/>
    <cellStyle name="Data 2 6 10 8 2" xfId="4568" xr:uid="{00000000-0005-0000-0000-0000EF170000}"/>
    <cellStyle name="Data 2 6 10 9" xfId="4569" xr:uid="{00000000-0005-0000-0000-0000F0170000}"/>
    <cellStyle name="Data 2 6 10 9 2" xfId="4570" xr:uid="{00000000-0005-0000-0000-0000F1170000}"/>
    <cellStyle name="Data 2 6 11" xfId="4571" xr:uid="{00000000-0005-0000-0000-0000F2170000}"/>
    <cellStyle name="Data 2 6 11 2" xfId="4572" xr:uid="{00000000-0005-0000-0000-0000F3170000}"/>
    <cellStyle name="Data 2 6 11 2 2" xfId="4573" xr:uid="{00000000-0005-0000-0000-0000F4170000}"/>
    <cellStyle name="Data 2 6 11 3" xfId="4574" xr:uid="{00000000-0005-0000-0000-0000F5170000}"/>
    <cellStyle name="Data 2 6 11 3 2" xfId="4575" xr:uid="{00000000-0005-0000-0000-0000F6170000}"/>
    <cellStyle name="Data 2 6 11 4" xfId="4576" xr:uid="{00000000-0005-0000-0000-0000F7170000}"/>
    <cellStyle name="Data 2 6 11 4 2" xfId="4577" xr:uid="{00000000-0005-0000-0000-0000F8170000}"/>
    <cellStyle name="Data 2 6 11 5" xfId="4578" xr:uid="{00000000-0005-0000-0000-0000F9170000}"/>
    <cellStyle name="Data 2 6 11 5 2" xfId="4579" xr:uid="{00000000-0005-0000-0000-0000FA170000}"/>
    <cellStyle name="Data 2 6 11 6" xfId="4580" xr:uid="{00000000-0005-0000-0000-0000FB170000}"/>
    <cellStyle name="Data 2 6 11 6 2" xfId="4581" xr:uid="{00000000-0005-0000-0000-0000FC170000}"/>
    <cellStyle name="Data 2 6 11 7" xfId="4582" xr:uid="{00000000-0005-0000-0000-0000FD170000}"/>
    <cellStyle name="Data 2 6 11 7 2" xfId="4583" xr:uid="{00000000-0005-0000-0000-0000FE170000}"/>
    <cellStyle name="Data 2 6 11 8" xfId="4584" xr:uid="{00000000-0005-0000-0000-0000FF170000}"/>
    <cellStyle name="Data 2 6 11 8 2" xfId="4585" xr:uid="{00000000-0005-0000-0000-000000180000}"/>
    <cellStyle name="Data 2 6 11 9" xfId="4586" xr:uid="{00000000-0005-0000-0000-000001180000}"/>
    <cellStyle name="Data 2 6 2" xfId="4587" xr:uid="{00000000-0005-0000-0000-000002180000}"/>
    <cellStyle name="Data 2 6 2 10" xfId="4588" xr:uid="{00000000-0005-0000-0000-000003180000}"/>
    <cellStyle name="Data 2 6 2 2" xfId="4589" xr:uid="{00000000-0005-0000-0000-000004180000}"/>
    <cellStyle name="Data 2 6 2 2 2" xfId="4590" xr:uid="{00000000-0005-0000-0000-000005180000}"/>
    <cellStyle name="Data 2 6 2 3" xfId="4591" xr:uid="{00000000-0005-0000-0000-000006180000}"/>
    <cellStyle name="Data 2 6 2 3 2" xfId="4592" xr:uid="{00000000-0005-0000-0000-000007180000}"/>
    <cellStyle name="Data 2 6 2 4" xfId="4593" xr:uid="{00000000-0005-0000-0000-000008180000}"/>
    <cellStyle name="Data 2 6 2 4 2" xfId="4594" xr:uid="{00000000-0005-0000-0000-000009180000}"/>
    <cellStyle name="Data 2 6 2 5" xfId="4595" xr:uid="{00000000-0005-0000-0000-00000A180000}"/>
    <cellStyle name="Data 2 6 2 5 2" xfId="4596" xr:uid="{00000000-0005-0000-0000-00000B180000}"/>
    <cellStyle name="Data 2 6 2 6" xfId="4597" xr:uid="{00000000-0005-0000-0000-00000C180000}"/>
    <cellStyle name="Data 2 6 2 6 2" xfId="4598" xr:uid="{00000000-0005-0000-0000-00000D180000}"/>
    <cellStyle name="Data 2 6 2 7" xfId="4599" xr:uid="{00000000-0005-0000-0000-00000E180000}"/>
    <cellStyle name="Data 2 6 2 7 2" xfId="4600" xr:uid="{00000000-0005-0000-0000-00000F180000}"/>
    <cellStyle name="Data 2 6 2 8" xfId="4601" xr:uid="{00000000-0005-0000-0000-000010180000}"/>
    <cellStyle name="Data 2 6 2 8 2" xfId="4602" xr:uid="{00000000-0005-0000-0000-000011180000}"/>
    <cellStyle name="Data 2 6 2 9" xfId="4603" xr:uid="{00000000-0005-0000-0000-000012180000}"/>
    <cellStyle name="Data 2 6 2 9 2" xfId="4604" xr:uid="{00000000-0005-0000-0000-000013180000}"/>
    <cellStyle name="Data 2 6 3" xfId="4605" xr:uid="{00000000-0005-0000-0000-000014180000}"/>
    <cellStyle name="Data 2 6 3 10" xfId="4606" xr:uid="{00000000-0005-0000-0000-000015180000}"/>
    <cellStyle name="Data 2 6 3 2" xfId="4607" xr:uid="{00000000-0005-0000-0000-000016180000}"/>
    <cellStyle name="Data 2 6 3 2 2" xfId="4608" xr:uid="{00000000-0005-0000-0000-000017180000}"/>
    <cellStyle name="Data 2 6 3 3" xfId="4609" xr:uid="{00000000-0005-0000-0000-000018180000}"/>
    <cellStyle name="Data 2 6 3 3 2" xfId="4610" xr:uid="{00000000-0005-0000-0000-000019180000}"/>
    <cellStyle name="Data 2 6 3 4" xfId="4611" xr:uid="{00000000-0005-0000-0000-00001A180000}"/>
    <cellStyle name="Data 2 6 3 4 2" xfId="4612" xr:uid="{00000000-0005-0000-0000-00001B180000}"/>
    <cellStyle name="Data 2 6 3 5" xfId="4613" xr:uid="{00000000-0005-0000-0000-00001C180000}"/>
    <cellStyle name="Data 2 6 3 5 2" xfId="4614" xr:uid="{00000000-0005-0000-0000-00001D180000}"/>
    <cellStyle name="Data 2 6 3 6" xfId="4615" xr:uid="{00000000-0005-0000-0000-00001E180000}"/>
    <cellStyle name="Data 2 6 3 6 2" xfId="4616" xr:uid="{00000000-0005-0000-0000-00001F180000}"/>
    <cellStyle name="Data 2 6 3 7" xfId="4617" xr:uid="{00000000-0005-0000-0000-000020180000}"/>
    <cellStyle name="Data 2 6 3 7 2" xfId="4618" xr:uid="{00000000-0005-0000-0000-000021180000}"/>
    <cellStyle name="Data 2 6 3 8" xfId="4619" xr:uid="{00000000-0005-0000-0000-000022180000}"/>
    <cellStyle name="Data 2 6 3 8 2" xfId="4620" xr:uid="{00000000-0005-0000-0000-000023180000}"/>
    <cellStyle name="Data 2 6 3 9" xfId="4621" xr:uid="{00000000-0005-0000-0000-000024180000}"/>
    <cellStyle name="Data 2 6 3 9 2" xfId="4622" xr:uid="{00000000-0005-0000-0000-000025180000}"/>
    <cellStyle name="Data 2 6 4" xfId="4623" xr:uid="{00000000-0005-0000-0000-000026180000}"/>
    <cellStyle name="Data 2 6 4 10" xfId="4624" xr:uid="{00000000-0005-0000-0000-000027180000}"/>
    <cellStyle name="Data 2 6 4 2" xfId="4625" xr:uid="{00000000-0005-0000-0000-000028180000}"/>
    <cellStyle name="Data 2 6 4 2 2" xfId="4626" xr:uid="{00000000-0005-0000-0000-000029180000}"/>
    <cellStyle name="Data 2 6 4 3" xfId="4627" xr:uid="{00000000-0005-0000-0000-00002A180000}"/>
    <cellStyle name="Data 2 6 4 3 2" xfId="4628" xr:uid="{00000000-0005-0000-0000-00002B180000}"/>
    <cellStyle name="Data 2 6 4 4" xfId="4629" xr:uid="{00000000-0005-0000-0000-00002C180000}"/>
    <cellStyle name="Data 2 6 4 4 2" xfId="4630" xr:uid="{00000000-0005-0000-0000-00002D180000}"/>
    <cellStyle name="Data 2 6 4 5" xfId="4631" xr:uid="{00000000-0005-0000-0000-00002E180000}"/>
    <cellStyle name="Data 2 6 4 5 2" xfId="4632" xr:uid="{00000000-0005-0000-0000-00002F180000}"/>
    <cellStyle name="Data 2 6 4 6" xfId="4633" xr:uid="{00000000-0005-0000-0000-000030180000}"/>
    <cellStyle name="Data 2 6 4 6 2" xfId="4634" xr:uid="{00000000-0005-0000-0000-000031180000}"/>
    <cellStyle name="Data 2 6 4 7" xfId="4635" xr:uid="{00000000-0005-0000-0000-000032180000}"/>
    <cellStyle name="Data 2 6 4 7 2" xfId="4636" xr:uid="{00000000-0005-0000-0000-000033180000}"/>
    <cellStyle name="Data 2 6 4 8" xfId="4637" xr:uid="{00000000-0005-0000-0000-000034180000}"/>
    <cellStyle name="Data 2 6 4 8 2" xfId="4638" xr:uid="{00000000-0005-0000-0000-000035180000}"/>
    <cellStyle name="Data 2 6 4 9" xfId="4639" xr:uid="{00000000-0005-0000-0000-000036180000}"/>
    <cellStyle name="Data 2 6 4 9 2" xfId="4640" xr:uid="{00000000-0005-0000-0000-000037180000}"/>
    <cellStyle name="Data 2 6 5" xfId="4641" xr:uid="{00000000-0005-0000-0000-000038180000}"/>
    <cellStyle name="Data 2 6 5 10" xfId="4642" xr:uid="{00000000-0005-0000-0000-000039180000}"/>
    <cellStyle name="Data 2 6 5 2" xfId="4643" xr:uid="{00000000-0005-0000-0000-00003A180000}"/>
    <cellStyle name="Data 2 6 5 2 2" xfId="4644" xr:uid="{00000000-0005-0000-0000-00003B180000}"/>
    <cellStyle name="Data 2 6 5 3" xfId="4645" xr:uid="{00000000-0005-0000-0000-00003C180000}"/>
    <cellStyle name="Data 2 6 5 3 2" xfId="4646" xr:uid="{00000000-0005-0000-0000-00003D180000}"/>
    <cellStyle name="Data 2 6 5 4" xfId="4647" xr:uid="{00000000-0005-0000-0000-00003E180000}"/>
    <cellStyle name="Data 2 6 5 4 2" xfId="4648" xr:uid="{00000000-0005-0000-0000-00003F180000}"/>
    <cellStyle name="Data 2 6 5 5" xfId="4649" xr:uid="{00000000-0005-0000-0000-000040180000}"/>
    <cellStyle name="Data 2 6 5 5 2" xfId="4650" xr:uid="{00000000-0005-0000-0000-000041180000}"/>
    <cellStyle name="Data 2 6 5 6" xfId="4651" xr:uid="{00000000-0005-0000-0000-000042180000}"/>
    <cellStyle name="Data 2 6 5 6 2" xfId="4652" xr:uid="{00000000-0005-0000-0000-000043180000}"/>
    <cellStyle name="Data 2 6 5 7" xfId="4653" xr:uid="{00000000-0005-0000-0000-000044180000}"/>
    <cellStyle name="Data 2 6 5 7 2" xfId="4654" xr:uid="{00000000-0005-0000-0000-000045180000}"/>
    <cellStyle name="Data 2 6 5 8" xfId="4655" xr:uid="{00000000-0005-0000-0000-000046180000}"/>
    <cellStyle name="Data 2 6 5 8 2" xfId="4656" xr:uid="{00000000-0005-0000-0000-000047180000}"/>
    <cellStyle name="Data 2 6 5 9" xfId="4657" xr:uid="{00000000-0005-0000-0000-000048180000}"/>
    <cellStyle name="Data 2 6 5 9 2" xfId="4658" xr:uid="{00000000-0005-0000-0000-000049180000}"/>
    <cellStyle name="Data 2 6 6" xfId="4659" xr:uid="{00000000-0005-0000-0000-00004A180000}"/>
    <cellStyle name="Data 2 6 6 10" xfId="4660" xr:uid="{00000000-0005-0000-0000-00004B180000}"/>
    <cellStyle name="Data 2 6 6 2" xfId="4661" xr:uid="{00000000-0005-0000-0000-00004C180000}"/>
    <cellStyle name="Data 2 6 6 2 2" xfId="4662" xr:uid="{00000000-0005-0000-0000-00004D180000}"/>
    <cellStyle name="Data 2 6 6 3" xfId="4663" xr:uid="{00000000-0005-0000-0000-00004E180000}"/>
    <cellStyle name="Data 2 6 6 3 2" xfId="4664" xr:uid="{00000000-0005-0000-0000-00004F180000}"/>
    <cellStyle name="Data 2 6 6 4" xfId="4665" xr:uid="{00000000-0005-0000-0000-000050180000}"/>
    <cellStyle name="Data 2 6 6 4 2" xfId="4666" xr:uid="{00000000-0005-0000-0000-000051180000}"/>
    <cellStyle name="Data 2 6 6 5" xfId="4667" xr:uid="{00000000-0005-0000-0000-000052180000}"/>
    <cellStyle name="Data 2 6 6 5 2" xfId="4668" xr:uid="{00000000-0005-0000-0000-000053180000}"/>
    <cellStyle name="Data 2 6 6 6" xfId="4669" xr:uid="{00000000-0005-0000-0000-000054180000}"/>
    <cellStyle name="Data 2 6 6 6 2" xfId="4670" xr:uid="{00000000-0005-0000-0000-000055180000}"/>
    <cellStyle name="Data 2 6 6 7" xfId="4671" xr:uid="{00000000-0005-0000-0000-000056180000}"/>
    <cellStyle name="Data 2 6 6 7 2" xfId="4672" xr:uid="{00000000-0005-0000-0000-000057180000}"/>
    <cellStyle name="Data 2 6 6 8" xfId="4673" xr:uid="{00000000-0005-0000-0000-000058180000}"/>
    <cellStyle name="Data 2 6 6 8 2" xfId="4674" xr:uid="{00000000-0005-0000-0000-000059180000}"/>
    <cellStyle name="Data 2 6 6 9" xfId="4675" xr:uid="{00000000-0005-0000-0000-00005A180000}"/>
    <cellStyle name="Data 2 6 6 9 2" xfId="4676" xr:uid="{00000000-0005-0000-0000-00005B180000}"/>
    <cellStyle name="Data 2 6 7" xfId="4677" xr:uid="{00000000-0005-0000-0000-00005C180000}"/>
    <cellStyle name="Data 2 6 7 10" xfId="4678" xr:uid="{00000000-0005-0000-0000-00005D180000}"/>
    <cellStyle name="Data 2 6 7 2" xfId="4679" xr:uid="{00000000-0005-0000-0000-00005E180000}"/>
    <cellStyle name="Data 2 6 7 2 2" xfId="4680" xr:uid="{00000000-0005-0000-0000-00005F180000}"/>
    <cellStyle name="Data 2 6 7 3" xfId="4681" xr:uid="{00000000-0005-0000-0000-000060180000}"/>
    <cellStyle name="Data 2 6 7 3 2" xfId="4682" xr:uid="{00000000-0005-0000-0000-000061180000}"/>
    <cellStyle name="Data 2 6 7 4" xfId="4683" xr:uid="{00000000-0005-0000-0000-000062180000}"/>
    <cellStyle name="Data 2 6 7 4 2" xfId="4684" xr:uid="{00000000-0005-0000-0000-000063180000}"/>
    <cellStyle name="Data 2 6 7 5" xfId="4685" xr:uid="{00000000-0005-0000-0000-000064180000}"/>
    <cellStyle name="Data 2 6 7 5 2" xfId="4686" xr:uid="{00000000-0005-0000-0000-000065180000}"/>
    <cellStyle name="Data 2 6 7 6" xfId="4687" xr:uid="{00000000-0005-0000-0000-000066180000}"/>
    <cellStyle name="Data 2 6 7 6 2" xfId="4688" xr:uid="{00000000-0005-0000-0000-000067180000}"/>
    <cellStyle name="Data 2 6 7 7" xfId="4689" xr:uid="{00000000-0005-0000-0000-000068180000}"/>
    <cellStyle name="Data 2 6 7 7 2" xfId="4690" xr:uid="{00000000-0005-0000-0000-000069180000}"/>
    <cellStyle name="Data 2 6 7 8" xfId="4691" xr:uid="{00000000-0005-0000-0000-00006A180000}"/>
    <cellStyle name="Data 2 6 7 8 2" xfId="4692" xr:uid="{00000000-0005-0000-0000-00006B180000}"/>
    <cellStyle name="Data 2 6 7 9" xfId="4693" xr:uid="{00000000-0005-0000-0000-00006C180000}"/>
    <cellStyle name="Data 2 6 7 9 2" xfId="4694" xr:uid="{00000000-0005-0000-0000-00006D180000}"/>
    <cellStyle name="Data 2 6 8" xfId="4695" xr:uid="{00000000-0005-0000-0000-00006E180000}"/>
    <cellStyle name="Data 2 6 8 10" xfId="4696" xr:uid="{00000000-0005-0000-0000-00006F180000}"/>
    <cellStyle name="Data 2 6 8 2" xfId="4697" xr:uid="{00000000-0005-0000-0000-000070180000}"/>
    <cellStyle name="Data 2 6 8 2 2" xfId="4698" xr:uid="{00000000-0005-0000-0000-000071180000}"/>
    <cellStyle name="Data 2 6 8 3" xfId="4699" xr:uid="{00000000-0005-0000-0000-000072180000}"/>
    <cellStyle name="Data 2 6 8 3 2" xfId="4700" xr:uid="{00000000-0005-0000-0000-000073180000}"/>
    <cellStyle name="Data 2 6 8 4" xfId="4701" xr:uid="{00000000-0005-0000-0000-000074180000}"/>
    <cellStyle name="Data 2 6 8 4 2" xfId="4702" xr:uid="{00000000-0005-0000-0000-000075180000}"/>
    <cellStyle name="Data 2 6 8 5" xfId="4703" xr:uid="{00000000-0005-0000-0000-000076180000}"/>
    <cellStyle name="Data 2 6 8 5 2" xfId="4704" xr:uid="{00000000-0005-0000-0000-000077180000}"/>
    <cellStyle name="Data 2 6 8 6" xfId="4705" xr:uid="{00000000-0005-0000-0000-000078180000}"/>
    <cellStyle name="Data 2 6 8 6 2" xfId="4706" xr:uid="{00000000-0005-0000-0000-000079180000}"/>
    <cellStyle name="Data 2 6 8 7" xfId="4707" xr:uid="{00000000-0005-0000-0000-00007A180000}"/>
    <cellStyle name="Data 2 6 8 7 2" xfId="4708" xr:uid="{00000000-0005-0000-0000-00007B180000}"/>
    <cellStyle name="Data 2 6 8 8" xfId="4709" xr:uid="{00000000-0005-0000-0000-00007C180000}"/>
    <cellStyle name="Data 2 6 8 8 2" xfId="4710" xr:uid="{00000000-0005-0000-0000-00007D180000}"/>
    <cellStyle name="Data 2 6 8 9" xfId="4711" xr:uid="{00000000-0005-0000-0000-00007E180000}"/>
    <cellStyle name="Data 2 6 8 9 2" xfId="4712" xr:uid="{00000000-0005-0000-0000-00007F180000}"/>
    <cellStyle name="Data 2 6 9" xfId="4713" xr:uid="{00000000-0005-0000-0000-000080180000}"/>
    <cellStyle name="Data 2 6 9 10" xfId="4714" xr:uid="{00000000-0005-0000-0000-000081180000}"/>
    <cellStyle name="Data 2 6 9 2" xfId="4715" xr:uid="{00000000-0005-0000-0000-000082180000}"/>
    <cellStyle name="Data 2 6 9 2 2" xfId="4716" xr:uid="{00000000-0005-0000-0000-000083180000}"/>
    <cellStyle name="Data 2 6 9 3" xfId="4717" xr:uid="{00000000-0005-0000-0000-000084180000}"/>
    <cellStyle name="Data 2 6 9 3 2" xfId="4718" xr:uid="{00000000-0005-0000-0000-000085180000}"/>
    <cellStyle name="Data 2 6 9 4" xfId="4719" xr:uid="{00000000-0005-0000-0000-000086180000}"/>
    <cellStyle name="Data 2 6 9 4 2" xfId="4720" xr:uid="{00000000-0005-0000-0000-000087180000}"/>
    <cellStyle name="Data 2 6 9 5" xfId="4721" xr:uid="{00000000-0005-0000-0000-000088180000}"/>
    <cellStyle name="Data 2 6 9 5 2" xfId="4722" xr:uid="{00000000-0005-0000-0000-000089180000}"/>
    <cellStyle name="Data 2 6 9 6" xfId="4723" xr:uid="{00000000-0005-0000-0000-00008A180000}"/>
    <cellStyle name="Data 2 6 9 6 2" xfId="4724" xr:uid="{00000000-0005-0000-0000-00008B180000}"/>
    <cellStyle name="Data 2 6 9 7" xfId="4725" xr:uid="{00000000-0005-0000-0000-00008C180000}"/>
    <cellStyle name="Data 2 6 9 7 2" xfId="4726" xr:uid="{00000000-0005-0000-0000-00008D180000}"/>
    <cellStyle name="Data 2 6 9 8" xfId="4727" xr:uid="{00000000-0005-0000-0000-00008E180000}"/>
    <cellStyle name="Data 2 6 9 8 2" xfId="4728" xr:uid="{00000000-0005-0000-0000-00008F180000}"/>
    <cellStyle name="Data 2 6 9 9" xfId="4729" xr:uid="{00000000-0005-0000-0000-000090180000}"/>
    <cellStyle name="Data 2 6 9 9 2" xfId="4730" xr:uid="{00000000-0005-0000-0000-000091180000}"/>
    <cellStyle name="Data 2 7" xfId="4731" xr:uid="{00000000-0005-0000-0000-000092180000}"/>
    <cellStyle name="Data 2 7 10" xfId="4732" xr:uid="{00000000-0005-0000-0000-000093180000}"/>
    <cellStyle name="Data 2 7 10 2" xfId="4733" xr:uid="{00000000-0005-0000-0000-000094180000}"/>
    <cellStyle name="Data 2 7 10 2 2" xfId="4734" xr:uid="{00000000-0005-0000-0000-000095180000}"/>
    <cellStyle name="Data 2 7 10 3" xfId="4735" xr:uid="{00000000-0005-0000-0000-000096180000}"/>
    <cellStyle name="Data 2 7 10 3 2" xfId="4736" xr:uid="{00000000-0005-0000-0000-000097180000}"/>
    <cellStyle name="Data 2 7 10 4" xfId="4737" xr:uid="{00000000-0005-0000-0000-000098180000}"/>
    <cellStyle name="Data 2 7 10 4 2" xfId="4738" xr:uid="{00000000-0005-0000-0000-000099180000}"/>
    <cellStyle name="Data 2 7 10 5" xfId="4739" xr:uid="{00000000-0005-0000-0000-00009A180000}"/>
    <cellStyle name="Data 2 7 10 5 2" xfId="4740" xr:uid="{00000000-0005-0000-0000-00009B180000}"/>
    <cellStyle name="Data 2 7 10 6" xfId="4741" xr:uid="{00000000-0005-0000-0000-00009C180000}"/>
    <cellStyle name="Data 2 7 10 6 2" xfId="4742" xr:uid="{00000000-0005-0000-0000-00009D180000}"/>
    <cellStyle name="Data 2 7 10 7" xfId="4743" xr:uid="{00000000-0005-0000-0000-00009E180000}"/>
    <cellStyle name="Data 2 7 10 7 2" xfId="4744" xr:uid="{00000000-0005-0000-0000-00009F180000}"/>
    <cellStyle name="Data 2 7 10 8" xfId="4745" xr:uid="{00000000-0005-0000-0000-0000A0180000}"/>
    <cellStyle name="Data 2 7 10 8 2" xfId="4746" xr:uid="{00000000-0005-0000-0000-0000A1180000}"/>
    <cellStyle name="Data 2 7 10 9" xfId="4747" xr:uid="{00000000-0005-0000-0000-0000A2180000}"/>
    <cellStyle name="Data 2 7 11" xfId="4748" xr:uid="{00000000-0005-0000-0000-0000A3180000}"/>
    <cellStyle name="Data 2 7 11 2" xfId="4749" xr:uid="{00000000-0005-0000-0000-0000A4180000}"/>
    <cellStyle name="Data 2 7 12" xfId="4750" xr:uid="{00000000-0005-0000-0000-0000A5180000}"/>
    <cellStyle name="Data 2 7 12 2" xfId="4751" xr:uid="{00000000-0005-0000-0000-0000A6180000}"/>
    <cellStyle name="Data 2 7 13" xfId="4752" xr:uid="{00000000-0005-0000-0000-0000A7180000}"/>
    <cellStyle name="Data 2 7 13 2" xfId="4753" xr:uid="{00000000-0005-0000-0000-0000A8180000}"/>
    <cellStyle name="Data 2 7 14" xfId="4754" xr:uid="{00000000-0005-0000-0000-0000A9180000}"/>
    <cellStyle name="Data 2 7 14 2" xfId="4755" xr:uid="{00000000-0005-0000-0000-0000AA180000}"/>
    <cellStyle name="Data 2 7 15" xfId="4756" xr:uid="{00000000-0005-0000-0000-0000AB180000}"/>
    <cellStyle name="Data 2 7 15 2" xfId="4757" xr:uid="{00000000-0005-0000-0000-0000AC180000}"/>
    <cellStyle name="Data 2 7 16" xfId="4758" xr:uid="{00000000-0005-0000-0000-0000AD180000}"/>
    <cellStyle name="Data 2 7 16 2" xfId="4759" xr:uid="{00000000-0005-0000-0000-0000AE180000}"/>
    <cellStyle name="Data 2 7 17" xfId="4760" xr:uid="{00000000-0005-0000-0000-0000AF180000}"/>
    <cellStyle name="Data 2 7 17 2" xfId="4761" xr:uid="{00000000-0005-0000-0000-0000B0180000}"/>
    <cellStyle name="Data 2 7 18" xfId="4762" xr:uid="{00000000-0005-0000-0000-0000B1180000}"/>
    <cellStyle name="Data 2 7 2" xfId="4763" xr:uid="{00000000-0005-0000-0000-0000B2180000}"/>
    <cellStyle name="Data 2 7 2 10" xfId="4764" xr:uid="{00000000-0005-0000-0000-0000B3180000}"/>
    <cellStyle name="Data 2 7 2 2" xfId="4765" xr:uid="{00000000-0005-0000-0000-0000B4180000}"/>
    <cellStyle name="Data 2 7 2 2 2" xfId="4766" xr:uid="{00000000-0005-0000-0000-0000B5180000}"/>
    <cellStyle name="Data 2 7 2 3" xfId="4767" xr:uid="{00000000-0005-0000-0000-0000B6180000}"/>
    <cellStyle name="Data 2 7 2 3 2" xfId="4768" xr:uid="{00000000-0005-0000-0000-0000B7180000}"/>
    <cellStyle name="Data 2 7 2 4" xfId="4769" xr:uid="{00000000-0005-0000-0000-0000B8180000}"/>
    <cellStyle name="Data 2 7 2 4 2" xfId="4770" xr:uid="{00000000-0005-0000-0000-0000B9180000}"/>
    <cellStyle name="Data 2 7 2 5" xfId="4771" xr:uid="{00000000-0005-0000-0000-0000BA180000}"/>
    <cellStyle name="Data 2 7 2 5 2" xfId="4772" xr:uid="{00000000-0005-0000-0000-0000BB180000}"/>
    <cellStyle name="Data 2 7 2 6" xfId="4773" xr:uid="{00000000-0005-0000-0000-0000BC180000}"/>
    <cellStyle name="Data 2 7 2 6 2" xfId="4774" xr:uid="{00000000-0005-0000-0000-0000BD180000}"/>
    <cellStyle name="Data 2 7 2 7" xfId="4775" xr:uid="{00000000-0005-0000-0000-0000BE180000}"/>
    <cellStyle name="Data 2 7 2 7 2" xfId="4776" xr:uid="{00000000-0005-0000-0000-0000BF180000}"/>
    <cellStyle name="Data 2 7 2 8" xfId="4777" xr:uid="{00000000-0005-0000-0000-0000C0180000}"/>
    <cellStyle name="Data 2 7 2 8 2" xfId="4778" xr:uid="{00000000-0005-0000-0000-0000C1180000}"/>
    <cellStyle name="Data 2 7 2 9" xfId="4779" xr:uid="{00000000-0005-0000-0000-0000C2180000}"/>
    <cellStyle name="Data 2 7 2 9 2" xfId="4780" xr:uid="{00000000-0005-0000-0000-0000C3180000}"/>
    <cellStyle name="Data 2 7 3" xfId="4781" xr:uid="{00000000-0005-0000-0000-0000C4180000}"/>
    <cellStyle name="Data 2 7 3 10" xfId="4782" xr:uid="{00000000-0005-0000-0000-0000C5180000}"/>
    <cellStyle name="Data 2 7 3 2" xfId="4783" xr:uid="{00000000-0005-0000-0000-0000C6180000}"/>
    <cellStyle name="Data 2 7 3 2 2" xfId="4784" xr:uid="{00000000-0005-0000-0000-0000C7180000}"/>
    <cellStyle name="Data 2 7 3 3" xfId="4785" xr:uid="{00000000-0005-0000-0000-0000C8180000}"/>
    <cellStyle name="Data 2 7 3 3 2" xfId="4786" xr:uid="{00000000-0005-0000-0000-0000C9180000}"/>
    <cellStyle name="Data 2 7 3 4" xfId="4787" xr:uid="{00000000-0005-0000-0000-0000CA180000}"/>
    <cellStyle name="Data 2 7 3 4 2" xfId="4788" xr:uid="{00000000-0005-0000-0000-0000CB180000}"/>
    <cellStyle name="Data 2 7 3 5" xfId="4789" xr:uid="{00000000-0005-0000-0000-0000CC180000}"/>
    <cellStyle name="Data 2 7 3 5 2" xfId="4790" xr:uid="{00000000-0005-0000-0000-0000CD180000}"/>
    <cellStyle name="Data 2 7 3 6" xfId="4791" xr:uid="{00000000-0005-0000-0000-0000CE180000}"/>
    <cellStyle name="Data 2 7 3 6 2" xfId="4792" xr:uid="{00000000-0005-0000-0000-0000CF180000}"/>
    <cellStyle name="Data 2 7 3 7" xfId="4793" xr:uid="{00000000-0005-0000-0000-0000D0180000}"/>
    <cellStyle name="Data 2 7 3 7 2" xfId="4794" xr:uid="{00000000-0005-0000-0000-0000D1180000}"/>
    <cellStyle name="Data 2 7 3 8" xfId="4795" xr:uid="{00000000-0005-0000-0000-0000D2180000}"/>
    <cellStyle name="Data 2 7 3 8 2" xfId="4796" xr:uid="{00000000-0005-0000-0000-0000D3180000}"/>
    <cellStyle name="Data 2 7 3 9" xfId="4797" xr:uid="{00000000-0005-0000-0000-0000D4180000}"/>
    <cellStyle name="Data 2 7 3 9 2" xfId="4798" xr:uid="{00000000-0005-0000-0000-0000D5180000}"/>
    <cellStyle name="Data 2 7 4" xfId="4799" xr:uid="{00000000-0005-0000-0000-0000D6180000}"/>
    <cellStyle name="Data 2 7 4 10" xfId="4800" xr:uid="{00000000-0005-0000-0000-0000D7180000}"/>
    <cellStyle name="Data 2 7 4 2" xfId="4801" xr:uid="{00000000-0005-0000-0000-0000D8180000}"/>
    <cellStyle name="Data 2 7 4 2 2" xfId="4802" xr:uid="{00000000-0005-0000-0000-0000D9180000}"/>
    <cellStyle name="Data 2 7 4 3" xfId="4803" xr:uid="{00000000-0005-0000-0000-0000DA180000}"/>
    <cellStyle name="Data 2 7 4 3 2" xfId="4804" xr:uid="{00000000-0005-0000-0000-0000DB180000}"/>
    <cellStyle name="Data 2 7 4 4" xfId="4805" xr:uid="{00000000-0005-0000-0000-0000DC180000}"/>
    <cellStyle name="Data 2 7 4 4 2" xfId="4806" xr:uid="{00000000-0005-0000-0000-0000DD180000}"/>
    <cellStyle name="Data 2 7 4 5" xfId="4807" xr:uid="{00000000-0005-0000-0000-0000DE180000}"/>
    <cellStyle name="Data 2 7 4 5 2" xfId="4808" xr:uid="{00000000-0005-0000-0000-0000DF180000}"/>
    <cellStyle name="Data 2 7 4 6" xfId="4809" xr:uid="{00000000-0005-0000-0000-0000E0180000}"/>
    <cellStyle name="Data 2 7 4 6 2" xfId="4810" xr:uid="{00000000-0005-0000-0000-0000E1180000}"/>
    <cellStyle name="Data 2 7 4 7" xfId="4811" xr:uid="{00000000-0005-0000-0000-0000E2180000}"/>
    <cellStyle name="Data 2 7 4 7 2" xfId="4812" xr:uid="{00000000-0005-0000-0000-0000E3180000}"/>
    <cellStyle name="Data 2 7 4 8" xfId="4813" xr:uid="{00000000-0005-0000-0000-0000E4180000}"/>
    <cellStyle name="Data 2 7 4 8 2" xfId="4814" xr:uid="{00000000-0005-0000-0000-0000E5180000}"/>
    <cellStyle name="Data 2 7 4 9" xfId="4815" xr:uid="{00000000-0005-0000-0000-0000E6180000}"/>
    <cellStyle name="Data 2 7 4 9 2" xfId="4816" xr:uid="{00000000-0005-0000-0000-0000E7180000}"/>
    <cellStyle name="Data 2 7 5" xfId="4817" xr:uid="{00000000-0005-0000-0000-0000E8180000}"/>
    <cellStyle name="Data 2 7 5 10" xfId="4818" xr:uid="{00000000-0005-0000-0000-0000E9180000}"/>
    <cellStyle name="Data 2 7 5 2" xfId="4819" xr:uid="{00000000-0005-0000-0000-0000EA180000}"/>
    <cellStyle name="Data 2 7 5 2 2" xfId="4820" xr:uid="{00000000-0005-0000-0000-0000EB180000}"/>
    <cellStyle name="Data 2 7 5 3" xfId="4821" xr:uid="{00000000-0005-0000-0000-0000EC180000}"/>
    <cellStyle name="Data 2 7 5 3 2" xfId="4822" xr:uid="{00000000-0005-0000-0000-0000ED180000}"/>
    <cellStyle name="Data 2 7 5 4" xfId="4823" xr:uid="{00000000-0005-0000-0000-0000EE180000}"/>
    <cellStyle name="Data 2 7 5 4 2" xfId="4824" xr:uid="{00000000-0005-0000-0000-0000EF180000}"/>
    <cellStyle name="Data 2 7 5 5" xfId="4825" xr:uid="{00000000-0005-0000-0000-0000F0180000}"/>
    <cellStyle name="Data 2 7 5 5 2" xfId="4826" xr:uid="{00000000-0005-0000-0000-0000F1180000}"/>
    <cellStyle name="Data 2 7 5 6" xfId="4827" xr:uid="{00000000-0005-0000-0000-0000F2180000}"/>
    <cellStyle name="Data 2 7 5 6 2" xfId="4828" xr:uid="{00000000-0005-0000-0000-0000F3180000}"/>
    <cellStyle name="Data 2 7 5 7" xfId="4829" xr:uid="{00000000-0005-0000-0000-0000F4180000}"/>
    <cellStyle name="Data 2 7 5 7 2" xfId="4830" xr:uid="{00000000-0005-0000-0000-0000F5180000}"/>
    <cellStyle name="Data 2 7 5 8" xfId="4831" xr:uid="{00000000-0005-0000-0000-0000F6180000}"/>
    <cellStyle name="Data 2 7 5 8 2" xfId="4832" xr:uid="{00000000-0005-0000-0000-0000F7180000}"/>
    <cellStyle name="Data 2 7 5 9" xfId="4833" xr:uid="{00000000-0005-0000-0000-0000F8180000}"/>
    <cellStyle name="Data 2 7 5 9 2" xfId="4834" xr:uid="{00000000-0005-0000-0000-0000F9180000}"/>
    <cellStyle name="Data 2 7 6" xfId="4835" xr:uid="{00000000-0005-0000-0000-0000FA180000}"/>
    <cellStyle name="Data 2 7 6 10" xfId="4836" xr:uid="{00000000-0005-0000-0000-0000FB180000}"/>
    <cellStyle name="Data 2 7 6 2" xfId="4837" xr:uid="{00000000-0005-0000-0000-0000FC180000}"/>
    <cellStyle name="Data 2 7 6 2 2" xfId="4838" xr:uid="{00000000-0005-0000-0000-0000FD180000}"/>
    <cellStyle name="Data 2 7 6 3" xfId="4839" xr:uid="{00000000-0005-0000-0000-0000FE180000}"/>
    <cellStyle name="Data 2 7 6 3 2" xfId="4840" xr:uid="{00000000-0005-0000-0000-0000FF180000}"/>
    <cellStyle name="Data 2 7 6 4" xfId="4841" xr:uid="{00000000-0005-0000-0000-000000190000}"/>
    <cellStyle name="Data 2 7 6 4 2" xfId="4842" xr:uid="{00000000-0005-0000-0000-000001190000}"/>
    <cellStyle name="Data 2 7 6 5" xfId="4843" xr:uid="{00000000-0005-0000-0000-000002190000}"/>
    <cellStyle name="Data 2 7 6 5 2" xfId="4844" xr:uid="{00000000-0005-0000-0000-000003190000}"/>
    <cellStyle name="Data 2 7 6 6" xfId="4845" xr:uid="{00000000-0005-0000-0000-000004190000}"/>
    <cellStyle name="Data 2 7 6 6 2" xfId="4846" xr:uid="{00000000-0005-0000-0000-000005190000}"/>
    <cellStyle name="Data 2 7 6 7" xfId="4847" xr:uid="{00000000-0005-0000-0000-000006190000}"/>
    <cellStyle name="Data 2 7 6 7 2" xfId="4848" xr:uid="{00000000-0005-0000-0000-000007190000}"/>
    <cellStyle name="Data 2 7 6 8" xfId="4849" xr:uid="{00000000-0005-0000-0000-000008190000}"/>
    <cellStyle name="Data 2 7 6 8 2" xfId="4850" xr:uid="{00000000-0005-0000-0000-000009190000}"/>
    <cellStyle name="Data 2 7 6 9" xfId="4851" xr:uid="{00000000-0005-0000-0000-00000A190000}"/>
    <cellStyle name="Data 2 7 6 9 2" xfId="4852" xr:uid="{00000000-0005-0000-0000-00000B190000}"/>
    <cellStyle name="Data 2 7 7" xfId="4853" xr:uid="{00000000-0005-0000-0000-00000C190000}"/>
    <cellStyle name="Data 2 7 7 10" xfId="4854" xr:uid="{00000000-0005-0000-0000-00000D190000}"/>
    <cellStyle name="Data 2 7 7 2" xfId="4855" xr:uid="{00000000-0005-0000-0000-00000E190000}"/>
    <cellStyle name="Data 2 7 7 2 2" xfId="4856" xr:uid="{00000000-0005-0000-0000-00000F190000}"/>
    <cellStyle name="Data 2 7 7 3" xfId="4857" xr:uid="{00000000-0005-0000-0000-000010190000}"/>
    <cellStyle name="Data 2 7 7 3 2" xfId="4858" xr:uid="{00000000-0005-0000-0000-000011190000}"/>
    <cellStyle name="Data 2 7 7 4" xfId="4859" xr:uid="{00000000-0005-0000-0000-000012190000}"/>
    <cellStyle name="Data 2 7 7 4 2" xfId="4860" xr:uid="{00000000-0005-0000-0000-000013190000}"/>
    <cellStyle name="Data 2 7 7 5" xfId="4861" xr:uid="{00000000-0005-0000-0000-000014190000}"/>
    <cellStyle name="Data 2 7 7 5 2" xfId="4862" xr:uid="{00000000-0005-0000-0000-000015190000}"/>
    <cellStyle name="Data 2 7 7 6" xfId="4863" xr:uid="{00000000-0005-0000-0000-000016190000}"/>
    <cellStyle name="Data 2 7 7 6 2" xfId="4864" xr:uid="{00000000-0005-0000-0000-000017190000}"/>
    <cellStyle name="Data 2 7 7 7" xfId="4865" xr:uid="{00000000-0005-0000-0000-000018190000}"/>
    <cellStyle name="Data 2 7 7 7 2" xfId="4866" xr:uid="{00000000-0005-0000-0000-000019190000}"/>
    <cellStyle name="Data 2 7 7 8" xfId="4867" xr:uid="{00000000-0005-0000-0000-00001A190000}"/>
    <cellStyle name="Data 2 7 7 8 2" xfId="4868" xr:uid="{00000000-0005-0000-0000-00001B190000}"/>
    <cellStyle name="Data 2 7 7 9" xfId="4869" xr:uid="{00000000-0005-0000-0000-00001C190000}"/>
    <cellStyle name="Data 2 7 7 9 2" xfId="4870" xr:uid="{00000000-0005-0000-0000-00001D190000}"/>
    <cellStyle name="Data 2 7 8" xfId="4871" xr:uid="{00000000-0005-0000-0000-00001E190000}"/>
    <cellStyle name="Data 2 7 8 10" xfId="4872" xr:uid="{00000000-0005-0000-0000-00001F190000}"/>
    <cellStyle name="Data 2 7 8 2" xfId="4873" xr:uid="{00000000-0005-0000-0000-000020190000}"/>
    <cellStyle name="Data 2 7 8 2 2" xfId="4874" xr:uid="{00000000-0005-0000-0000-000021190000}"/>
    <cellStyle name="Data 2 7 8 3" xfId="4875" xr:uid="{00000000-0005-0000-0000-000022190000}"/>
    <cellStyle name="Data 2 7 8 3 2" xfId="4876" xr:uid="{00000000-0005-0000-0000-000023190000}"/>
    <cellStyle name="Data 2 7 8 4" xfId="4877" xr:uid="{00000000-0005-0000-0000-000024190000}"/>
    <cellStyle name="Data 2 7 8 4 2" xfId="4878" xr:uid="{00000000-0005-0000-0000-000025190000}"/>
    <cellStyle name="Data 2 7 8 5" xfId="4879" xr:uid="{00000000-0005-0000-0000-000026190000}"/>
    <cellStyle name="Data 2 7 8 5 2" xfId="4880" xr:uid="{00000000-0005-0000-0000-000027190000}"/>
    <cellStyle name="Data 2 7 8 6" xfId="4881" xr:uid="{00000000-0005-0000-0000-000028190000}"/>
    <cellStyle name="Data 2 7 8 6 2" xfId="4882" xr:uid="{00000000-0005-0000-0000-000029190000}"/>
    <cellStyle name="Data 2 7 8 7" xfId="4883" xr:uid="{00000000-0005-0000-0000-00002A190000}"/>
    <cellStyle name="Data 2 7 8 7 2" xfId="4884" xr:uid="{00000000-0005-0000-0000-00002B190000}"/>
    <cellStyle name="Data 2 7 8 8" xfId="4885" xr:uid="{00000000-0005-0000-0000-00002C190000}"/>
    <cellStyle name="Data 2 7 8 8 2" xfId="4886" xr:uid="{00000000-0005-0000-0000-00002D190000}"/>
    <cellStyle name="Data 2 7 8 9" xfId="4887" xr:uid="{00000000-0005-0000-0000-00002E190000}"/>
    <cellStyle name="Data 2 7 8 9 2" xfId="4888" xr:uid="{00000000-0005-0000-0000-00002F190000}"/>
    <cellStyle name="Data 2 7 9" xfId="4889" xr:uid="{00000000-0005-0000-0000-000030190000}"/>
    <cellStyle name="Data 2 7 9 10" xfId="4890" xr:uid="{00000000-0005-0000-0000-000031190000}"/>
    <cellStyle name="Data 2 7 9 2" xfId="4891" xr:uid="{00000000-0005-0000-0000-000032190000}"/>
    <cellStyle name="Data 2 7 9 2 2" xfId="4892" xr:uid="{00000000-0005-0000-0000-000033190000}"/>
    <cellStyle name="Data 2 7 9 3" xfId="4893" xr:uid="{00000000-0005-0000-0000-000034190000}"/>
    <cellStyle name="Data 2 7 9 3 2" xfId="4894" xr:uid="{00000000-0005-0000-0000-000035190000}"/>
    <cellStyle name="Data 2 7 9 4" xfId="4895" xr:uid="{00000000-0005-0000-0000-000036190000}"/>
    <cellStyle name="Data 2 7 9 4 2" xfId="4896" xr:uid="{00000000-0005-0000-0000-000037190000}"/>
    <cellStyle name="Data 2 7 9 5" xfId="4897" xr:uid="{00000000-0005-0000-0000-000038190000}"/>
    <cellStyle name="Data 2 7 9 5 2" xfId="4898" xr:uid="{00000000-0005-0000-0000-000039190000}"/>
    <cellStyle name="Data 2 7 9 6" xfId="4899" xr:uid="{00000000-0005-0000-0000-00003A190000}"/>
    <cellStyle name="Data 2 7 9 6 2" xfId="4900" xr:uid="{00000000-0005-0000-0000-00003B190000}"/>
    <cellStyle name="Data 2 7 9 7" xfId="4901" xr:uid="{00000000-0005-0000-0000-00003C190000}"/>
    <cellStyle name="Data 2 7 9 7 2" xfId="4902" xr:uid="{00000000-0005-0000-0000-00003D190000}"/>
    <cellStyle name="Data 2 7 9 8" xfId="4903" xr:uid="{00000000-0005-0000-0000-00003E190000}"/>
    <cellStyle name="Data 2 7 9 8 2" xfId="4904" xr:uid="{00000000-0005-0000-0000-00003F190000}"/>
    <cellStyle name="Data 2 7 9 9" xfId="4905" xr:uid="{00000000-0005-0000-0000-000040190000}"/>
    <cellStyle name="Data 2 7 9 9 2" xfId="4906" xr:uid="{00000000-0005-0000-0000-000041190000}"/>
    <cellStyle name="Data 2 8" xfId="4907" xr:uid="{00000000-0005-0000-0000-000042190000}"/>
    <cellStyle name="Data 2 8 10" xfId="4908" xr:uid="{00000000-0005-0000-0000-000043190000}"/>
    <cellStyle name="Data 2 8 10 2" xfId="4909" xr:uid="{00000000-0005-0000-0000-000044190000}"/>
    <cellStyle name="Data 2 8 10 2 2" xfId="4910" xr:uid="{00000000-0005-0000-0000-000045190000}"/>
    <cellStyle name="Data 2 8 10 3" xfId="4911" xr:uid="{00000000-0005-0000-0000-000046190000}"/>
    <cellStyle name="Data 2 8 10 3 2" xfId="4912" xr:uid="{00000000-0005-0000-0000-000047190000}"/>
    <cellStyle name="Data 2 8 10 4" xfId="4913" xr:uid="{00000000-0005-0000-0000-000048190000}"/>
    <cellStyle name="Data 2 8 10 4 2" xfId="4914" xr:uid="{00000000-0005-0000-0000-000049190000}"/>
    <cellStyle name="Data 2 8 10 5" xfId="4915" xr:uid="{00000000-0005-0000-0000-00004A190000}"/>
    <cellStyle name="Data 2 8 10 5 2" xfId="4916" xr:uid="{00000000-0005-0000-0000-00004B190000}"/>
    <cellStyle name="Data 2 8 10 6" xfId="4917" xr:uid="{00000000-0005-0000-0000-00004C190000}"/>
    <cellStyle name="Data 2 8 10 6 2" xfId="4918" xr:uid="{00000000-0005-0000-0000-00004D190000}"/>
    <cellStyle name="Data 2 8 10 7" xfId="4919" xr:uid="{00000000-0005-0000-0000-00004E190000}"/>
    <cellStyle name="Data 2 8 10 7 2" xfId="4920" xr:uid="{00000000-0005-0000-0000-00004F190000}"/>
    <cellStyle name="Data 2 8 10 8" xfId="4921" xr:uid="{00000000-0005-0000-0000-000050190000}"/>
    <cellStyle name="Data 2 8 10 8 2" xfId="4922" xr:uid="{00000000-0005-0000-0000-000051190000}"/>
    <cellStyle name="Data 2 8 10 9" xfId="4923" xr:uid="{00000000-0005-0000-0000-000052190000}"/>
    <cellStyle name="Data 2 8 11" xfId="4924" xr:uid="{00000000-0005-0000-0000-000053190000}"/>
    <cellStyle name="Data 2 8 11 2" xfId="4925" xr:uid="{00000000-0005-0000-0000-000054190000}"/>
    <cellStyle name="Data 2 8 12" xfId="4926" xr:uid="{00000000-0005-0000-0000-000055190000}"/>
    <cellStyle name="Data 2 8 12 2" xfId="4927" xr:uid="{00000000-0005-0000-0000-000056190000}"/>
    <cellStyle name="Data 2 8 13" xfId="4928" xr:uid="{00000000-0005-0000-0000-000057190000}"/>
    <cellStyle name="Data 2 8 13 2" xfId="4929" xr:uid="{00000000-0005-0000-0000-000058190000}"/>
    <cellStyle name="Data 2 8 14" xfId="4930" xr:uid="{00000000-0005-0000-0000-000059190000}"/>
    <cellStyle name="Data 2 8 14 2" xfId="4931" xr:uid="{00000000-0005-0000-0000-00005A190000}"/>
    <cellStyle name="Data 2 8 15" xfId="4932" xr:uid="{00000000-0005-0000-0000-00005B190000}"/>
    <cellStyle name="Data 2 8 15 2" xfId="4933" xr:uid="{00000000-0005-0000-0000-00005C190000}"/>
    <cellStyle name="Data 2 8 16" xfId="4934" xr:uid="{00000000-0005-0000-0000-00005D190000}"/>
    <cellStyle name="Data 2 8 16 2" xfId="4935" xr:uid="{00000000-0005-0000-0000-00005E190000}"/>
    <cellStyle name="Data 2 8 17" xfId="4936" xr:uid="{00000000-0005-0000-0000-00005F190000}"/>
    <cellStyle name="Data 2 8 17 2" xfId="4937" xr:uid="{00000000-0005-0000-0000-000060190000}"/>
    <cellStyle name="Data 2 8 18" xfId="4938" xr:uid="{00000000-0005-0000-0000-000061190000}"/>
    <cellStyle name="Data 2 8 2" xfId="4939" xr:uid="{00000000-0005-0000-0000-000062190000}"/>
    <cellStyle name="Data 2 8 2 10" xfId="4940" xr:uid="{00000000-0005-0000-0000-000063190000}"/>
    <cellStyle name="Data 2 8 2 2" xfId="4941" xr:uid="{00000000-0005-0000-0000-000064190000}"/>
    <cellStyle name="Data 2 8 2 2 2" xfId="4942" xr:uid="{00000000-0005-0000-0000-000065190000}"/>
    <cellStyle name="Data 2 8 2 3" xfId="4943" xr:uid="{00000000-0005-0000-0000-000066190000}"/>
    <cellStyle name="Data 2 8 2 3 2" xfId="4944" xr:uid="{00000000-0005-0000-0000-000067190000}"/>
    <cellStyle name="Data 2 8 2 4" xfId="4945" xr:uid="{00000000-0005-0000-0000-000068190000}"/>
    <cellStyle name="Data 2 8 2 4 2" xfId="4946" xr:uid="{00000000-0005-0000-0000-000069190000}"/>
    <cellStyle name="Data 2 8 2 5" xfId="4947" xr:uid="{00000000-0005-0000-0000-00006A190000}"/>
    <cellStyle name="Data 2 8 2 5 2" xfId="4948" xr:uid="{00000000-0005-0000-0000-00006B190000}"/>
    <cellStyle name="Data 2 8 2 6" xfId="4949" xr:uid="{00000000-0005-0000-0000-00006C190000}"/>
    <cellStyle name="Data 2 8 2 6 2" xfId="4950" xr:uid="{00000000-0005-0000-0000-00006D190000}"/>
    <cellStyle name="Data 2 8 2 7" xfId="4951" xr:uid="{00000000-0005-0000-0000-00006E190000}"/>
    <cellStyle name="Data 2 8 2 7 2" xfId="4952" xr:uid="{00000000-0005-0000-0000-00006F190000}"/>
    <cellStyle name="Data 2 8 2 8" xfId="4953" xr:uid="{00000000-0005-0000-0000-000070190000}"/>
    <cellStyle name="Data 2 8 2 8 2" xfId="4954" xr:uid="{00000000-0005-0000-0000-000071190000}"/>
    <cellStyle name="Data 2 8 2 9" xfId="4955" xr:uid="{00000000-0005-0000-0000-000072190000}"/>
    <cellStyle name="Data 2 8 2 9 2" xfId="4956" xr:uid="{00000000-0005-0000-0000-000073190000}"/>
    <cellStyle name="Data 2 8 3" xfId="4957" xr:uid="{00000000-0005-0000-0000-000074190000}"/>
    <cellStyle name="Data 2 8 3 10" xfId="4958" xr:uid="{00000000-0005-0000-0000-000075190000}"/>
    <cellStyle name="Data 2 8 3 2" xfId="4959" xr:uid="{00000000-0005-0000-0000-000076190000}"/>
    <cellStyle name="Data 2 8 3 2 2" xfId="4960" xr:uid="{00000000-0005-0000-0000-000077190000}"/>
    <cellStyle name="Data 2 8 3 3" xfId="4961" xr:uid="{00000000-0005-0000-0000-000078190000}"/>
    <cellStyle name="Data 2 8 3 3 2" xfId="4962" xr:uid="{00000000-0005-0000-0000-000079190000}"/>
    <cellStyle name="Data 2 8 3 4" xfId="4963" xr:uid="{00000000-0005-0000-0000-00007A190000}"/>
    <cellStyle name="Data 2 8 3 4 2" xfId="4964" xr:uid="{00000000-0005-0000-0000-00007B190000}"/>
    <cellStyle name="Data 2 8 3 5" xfId="4965" xr:uid="{00000000-0005-0000-0000-00007C190000}"/>
    <cellStyle name="Data 2 8 3 5 2" xfId="4966" xr:uid="{00000000-0005-0000-0000-00007D190000}"/>
    <cellStyle name="Data 2 8 3 6" xfId="4967" xr:uid="{00000000-0005-0000-0000-00007E190000}"/>
    <cellStyle name="Data 2 8 3 6 2" xfId="4968" xr:uid="{00000000-0005-0000-0000-00007F190000}"/>
    <cellStyle name="Data 2 8 3 7" xfId="4969" xr:uid="{00000000-0005-0000-0000-000080190000}"/>
    <cellStyle name="Data 2 8 3 7 2" xfId="4970" xr:uid="{00000000-0005-0000-0000-000081190000}"/>
    <cellStyle name="Data 2 8 3 8" xfId="4971" xr:uid="{00000000-0005-0000-0000-000082190000}"/>
    <cellStyle name="Data 2 8 3 8 2" xfId="4972" xr:uid="{00000000-0005-0000-0000-000083190000}"/>
    <cellStyle name="Data 2 8 3 9" xfId="4973" xr:uid="{00000000-0005-0000-0000-000084190000}"/>
    <cellStyle name="Data 2 8 3 9 2" xfId="4974" xr:uid="{00000000-0005-0000-0000-000085190000}"/>
    <cellStyle name="Data 2 8 4" xfId="4975" xr:uid="{00000000-0005-0000-0000-000086190000}"/>
    <cellStyle name="Data 2 8 4 10" xfId="4976" xr:uid="{00000000-0005-0000-0000-000087190000}"/>
    <cellStyle name="Data 2 8 4 2" xfId="4977" xr:uid="{00000000-0005-0000-0000-000088190000}"/>
    <cellStyle name="Data 2 8 4 2 2" xfId="4978" xr:uid="{00000000-0005-0000-0000-000089190000}"/>
    <cellStyle name="Data 2 8 4 3" xfId="4979" xr:uid="{00000000-0005-0000-0000-00008A190000}"/>
    <cellStyle name="Data 2 8 4 3 2" xfId="4980" xr:uid="{00000000-0005-0000-0000-00008B190000}"/>
    <cellStyle name="Data 2 8 4 4" xfId="4981" xr:uid="{00000000-0005-0000-0000-00008C190000}"/>
    <cellStyle name="Data 2 8 4 4 2" xfId="4982" xr:uid="{00000000-0005-0000-0000-00008D190000}"/>
    <cellStyle name="Data 2 8 4 5" xfId="4983" xr:uid="{00000000-0005-0000-0000-00008E190000}"/>
    <cellStyle name="Data 2 8 4 5 2" xfId="4984" xr:uid="{00000000-0005-0000-0000-00008F190000}"/>
    <cellStyle name="Data 2 8 4 6" xfId="4985" xr:uid="{00000000-0005-0000-0000-000090190000}"/>
    <cellStyle name="Data 2 8 4 6 2" xfId="4986" xr:uid="{00000000-0005-0000-0000-000091190000}"/>
    <cellStyle name="Data 2 8 4 7" xfId="4987" xr:uid="{00000000-0005-0000-0000-000092190000}"/>
    <cellStyle name="Data 2 8 4 7 2" xfId="4988" xr:uid="{00000000-0005-0000-0000-000093190000}"/>
    <cellStyle name="Data 2 8 4 8" xfId="4989" xr:uid="{00000000-0005-0000-0000-000094190000}"/>
    <cellStyle name="Data 2 8 4 8 2" xfId="4990" xr:uid="{00000000-0005-0000-0000-000095190000}"/>
    <cellStyle name="Data 2 8 4 9" xfId="4991" xr:uid="{00000000-0005-0000-0000-000096190000}"/>
    <cellStyle name="Data 2 8 4 9 2" xfId="4992" xr:uid="{00000000-0005-0000-0000-000097190000}"/>
    <cellStyle name="Data 2 8 5" xfId="4993" xr:uid="{00000000-0005-0000-0000-000098190000}"/>
    <cellStyle name="Data 2 8 5 10" xfId="4994" xr:uid="{00000000-0005-0000-0000-000099190000}"/>
    <cellStyle name="Data 2 8 5 2" xfId="4995" xr:uid="{00000000-0005-0000-0000-00009A190000}"/>
    <cellStyle name="Data 2 8 5 2 2" xfId="4996" xr:uid="{00000000-0005-0000-0000-00009B190000}"/>
    <cellStyle name="Data 2 8 5 3" xfId="4997" xr:uid="{00000000-0005-0000-0000-00009C190000}"/>
    <cellStyle name="Data 2 8 5 3 2" xfId="4998" xr:uid="{00000000-0005-0000-0000-00009D190000}"/>
    <cellStyle name="Data 2 8 5 4" xfId="4999" xr:uid="{00000000-0005-0000-0000-00009E190000}"/>
    <cellStyle name="Data 2 8 5 4 2" xfId="5000" xr:uid="{00000000-0005-0000-0000-00009F190000}"/>
    <cellStyle name="Data 2 8 5 5" xfId="5001" xr:uid="{00000000-0005-0000-0000-0000A0190000}"/>
    <cellStyle name="Data 2 8 5 5 2" xfId="5002" xr:uid="{00000000-0005-0000-0000-0000A1190000}"/>
    <cellStyle name="Data 2 8 5 6" xfId="5003" xr:uid="{00000000-0005-0000-0000-0000A2190000}"/>
    <cellStyle name="Data 2 8 5 6 2" xfId="5004" xr:uid="{00000000-0005-0000-0000-0000A3190000}"/>
    <cellStyle name="Data 2 8 5 7" xfId="5005" xr:uid="{00000000-0005-0000-0000-0000A4190000}"/>
    <cellStyle name="Data 2 8 5 7 2" xfId="5006" xr:uid="{00000000-0005-0000-0000-0000A5190000}"/>
    <cellStyle name="Data 2 8 5 8" xfId="5007" xr:uid="{00000000-0005-0000-0000-0000A6190000}"/>
    <cellStyle name="Data 2 8 5 8 2" xfId="5008" xr:uid="{00000000-0005-0000-0000-0000A7190000}"/>
    <cellStyle name="Data 2 8 5 9" xfId="5009" xr:uid="{00000000-0005-0000-0000-0000A8190000}"/>
    <cellStyle name="Data 2 8 5 9 2" xfId="5010" xr:uid="{00000000-0005-0000-0000-0000A9190000}"/>
    <cellStyle name="Data 2 8 6" xfId="5011" xr:uid="{00000000-0005-0000-0000-0000AA190000}"/>
    <cellStyle name="Data 2 8 6 10" xfId="5012" xr:uid="{00000000-0005-0000-0000-0000AB190000}"/>
    <cellStyle name="Data 2 8 6 2" xfId="5013" xr:uid="{00000000-0005-0000-0000-0000AC190000}"/>
    <cellStyle name="Data 2 8 6 2 2" xfId="5014" xr:uid="{00000000-0005-0000-0000-0000AD190000}"/>
    <cellStyle name="Data 2 8 6 3" xfId="5015" xr:uid="{00000000-0005-0000-0000-0000AE190000}"/>
    <cellStyle name="Data 2 8 6 3 2" xfId="5016" xr:uid="{00000000-0005-0000-0000-0000AF190000}"/>
    <cellStyle name="Data 2 8 6 4" xfId="5017" xr:uid="{00000000-0005-0000-0000-0000B0190000}"/>
    <cellStyle name="Data 2 8 6 4 2" xfId="5018" xr:uid="{00000000-0005-0000-0000-0000B1190000}"/>
    <cellStyle name="Data 2 8 6 5" xfId="5019" xr:uid="{00000000-0005-0000-0000-0000B2190000}"/>
    <cellStyle name="Data 2 8 6 5 2" xfId="5020" xr:uid="{00000000-0005-0000-0000-0000B3190000}"/>
    <cellStyle name="Data 2 8 6 6" xfId="5021" xr:uid="{00000000-0005-0000-0000-0000B4190000}"/>
    <cellStyle name="Data 2 8 6 6 2" xfId="5022" xr:uid="{00000000-0005-0000-0000-0000B5190000}"/>
    <cellStyle name="Data 2 8 6 7" xfId="5023" xr:uid="{00000000-0005-0000-0000-0000B6190000}"/>
    <cellStyle name="Data 2 8 6 7 2" xfId="5024" xr:uid="{00000000-0005-0000-0000-0000B7190000}"/>
    <cellStyle name="Data 2 8 6 8" xfId="5025" xr:uid="{00000000-0005-0000-0000-0000B8190000}"/>
    <cellStyle name="Data 2 8 6 8 2" xfId="5026" xr:uid="{00000000-0005-0000-0000-0000B9190000}"/>
    <cellStyle name="Data 2 8 6 9" xfId="5027" xr:uid="{00000000-0005-0000-0000-0000BA190000}"/>
    <cellStyle name="Data 2 8 6 9 2" xfId="5028" xr:uid="{00000000-0005-0000-0000-0000BB190000}"/>
    <cellStyle name="Data 2 8 7" xfId="5029" xr:uid="{00000000-0005-0000-0000-0000BC190000}"/>
    <cellStyle name="Data 2 8 7 10" xfId="5030" xr:uid="{00000000-0005-0000-0000-0000BD190000}"/>
    <cellStyle name="Data 2 8 7 2" xfId="5031" xr:uid="{00000000-0005-0000-0000-0000BE190000}"/>
    <cellStyle name="Data 2 8 7 2 2" xfId="5032" xr:uid="{00000000-0005-0000-0000-0000BF190000}"/>
    <cellStyle name="Data 2 8 7 3" xfId="5033" xr:uid="{00000000-0005-0000-0000-0000C0190000}"/>
    <cellStyle name="Data 2 8 7 3 2" xfId="5034" xr:uid="{00000000-0005-0000-0000-0000C1190000}"/>
    <cellStyle name="Data 2 8 7 4" xfId="5035" xr:uid="{00000000-0005-0000-0000-0000C2190000}"/>
    <cellStyle name="Data 2 8 7 4 2" xfId="5036" xr:uid="{00000000-0005-0000-0000-0000C3190000}"/>
    <cellStyle name="Data 2 8 7 5" xfId="5037" xr:uid="{00000000-0005-0000-0000-0000C4190000}"/>
    <cellStyle name="Data 2 8 7 5 2" xfId="5038" xr:uid="{00000000-0005-0000-0000-0000C5190000}"/>
    <cellStyle name="Data 2 8 7 6" xfId="5039" xr:uid="{00000000-0005-0000-0000-0000C6190000}"/>
    <cellStyle name="Data 2 8 7 6 2" xfId="5040" xr:uid="{00000000-0005-0000-0000-0000C7190000}"/>
    <cellStyle name="Data 2 8 7 7" xfId="5041" xr:uid="{00000000-0005-0000-0000-0000C8190000}"/>
    <cellStyle name="Data 2 8 7 7 2" xfId="5042" xr:uid="{00000000-0005-0000-0000-0000C9190000}"/>
    <cellStyle name="Data 2 8 7 8" xfId="5043" xr:uid="{00000000-0005-0000-0000-0000CA190000}"/>
    <cellStyle name="Data 2 8 7 8 2" xfId="5044" xr:uid="{00000000-0005-0000-0000-0000CB190000}"/>
    <cellStyle name="Data 2 8 7 9" xfId="5045" xr:uid="{00000000-0005-0000-0000-0000CC190000}"/>
    <cellStyle name="Data 2 8 7 9 2" xfId="5046" xr:uid="{00000000-0005-0000-0000-0000CD190000}"/>
    <cellStyle name="Data 2 8 8" xfId="5047" xr:uid="{00000000-0005-0000-0000-0000CE190000}"/>
    <cellStyle name="Data 2 8 8 10" xfId="5048" xr:uid="{00000000-0005-0000-0000-0000CF190000}"/>
    <cellStyle name="Data 2 8 8 2" xfId="5049" xr:uid="{00000000-0005-0000-0000-0000D0190000}"/>
    <cellStyle name="Data 2 8 8 2 2" xfId="5050" xr:uid="{00000000-0005-0000-0000-0000D1190000}"/>
    <cellStyle name="Data 2 8 8 3" xfId="5051" xr:uid="{00000000-0005-0000-0000-0000D2190000}"/>
    <cellStyle name="Data 2 8 8 3 2" xfId="5052" xr:uid="{00000000-0005-0000-0000-0000D3190000}"/>
    <cellStyle name="Data 2 8 8 4" xfId="5053" xr:uid="{00000000-0005-0000-0000-0000D4190000}"/>
    <cellStyle name="Data 2 8 8 4 2" xfId="5054" xr:uid="{00000000-0005-0000-0000-0000D5190000}"/>
    <cellStyle name="Data 2 8 8 5" xfId="5055" xr:uid="{00000000-0005-0000-0000-0000D6190000}"/>
    <cellStyle name="Data 2 8 8 5 2" xfId="5056" xr:uid="{00000000-0005-0000-0000-0000D7190000}"/>
    <cellStyle name="Data 2 8 8 6" xfId="5057" xr:uid="{00000000-0005-0000-0000-0000D8190000}"/>
    <cellStyle name="Data 2 8 8 6 2" xfId="5058" xr:uid="{00000000-0005-0000-0000-0000D9190000}"/>
    <cellStyle name="Data 2 8 8 7" xfId="5059" xr:uid="{00000000-0005-0000-0000-0000DA190000}"/>
    <cellStyle name="Data 2 8 8 7 2" xfId="5060" xr:uid="{00000000-0005-0000-0000-0000DB190000}"/>
    <cellStyle name="Data 2 8 8 8" xfId="5061" xr:uid="{00000000-0005-0000-0000-0000DC190000}"/>
    <cellStyle name="Data 2 8 8 8 2" xfId="5062" xr:uid="{00000000-0005-0000-0000-0000DD190000}"/>
    <cellStyle name="Data 2 8 8 9" xfId="5063" xr:uid="{00000000-0005-0000-0000-0000DE190000}"/>
    <cellStyle name="Data 2 8 8 9 2" xfId="5064" xr:uid="{00000000-0005-0000-0000-0000DF190000}"/>
    <cellStyle name="Data 2 8 9" xfId="5065" xr:uid="{00000000-0005-0000-0000-0000E0190000}"/>
    <cellStyle name="Data 2 8 9 10" xfId="5066" xr:uid="{00000000-0005-0000-0000-0000E1190000}"/>
    <cellStyle name="Data 2 8 9 2" xfId="5067" xr:uid="{00000000-0005-0000-0000-0000E2190000}"/>
    <cellStyle name="Data 2 8 9 2 2" xfId="5068" xr:uid="{00000000-0005-0000-0000-0000E3190000}"/>
    <cellStyle name="Data 2 8 9 3" xfId="5069" xr:uid="{00000000-0005-0000-0000-0000E4190000}"/>
    <cellStyle name="Data 2 8 9 3 2" xfId="5070" xr:uid="{00000000-0005-0000-0000-0000E5190000}"/>
    <cellStyle name="Data 2 8 9 4" xfId="5071" xr:uid="{00000000-0005-0000-0000-0000E6190000}"/>
    <cellStyle name="Data 2 8 9 4 2" xfId="5072" xr:uid="{00000000-0005-0000-0000-0000E7190000}"/>
    <cellStyle name="Data 2 8 9 5" xfId="5073" xr:uid="{00000000-0005-0000-0000-0000E8190000}"/>
    <cellStyle name="Data 2 8 9 5 2" xfId="5074" xr:uid="{00000000-0005-0000-0000-0000E9190000}"/>
    <cellStyle name="Data 2 8 9 6" xfId="5075" xr:uid="{00000000-0005-0000-0000-0000EA190000}"/>
    <cellStyle name="Data 2 8 9 6 2" xfId="5076" xr:uid="{00000000-0005-0000-0000-0000EB190000}"/>
    <cellStyle name="Data 2 8 9 7" xfId="5077" xr:uid="{00000000-0005-0000-0000-0000EC190000}"/>
    <cellStyle name="Data 2 8 9 7 2" xfId="5078" xr:uid="{00000000-0005-0000-0000-0000ED190000}"/>
    <cellStyle name="Data 2 8 9 8" xfId="5079" xr:uid="{00000000-0005-0000-0000-0000EE190000}"/>
    <cellStyle name="Data 2 8 9 8 2" xfId="5080" xr:uid="{00000000-0005-0000-0000-0000EF190000}"/>
    <cellStyle name="Data 2 8 9 9" xfId="5081" xr:uid="{00000000-0005-0000-0000-0000F0190000}"/>
    <cellStyle name="Data 2 8 9 9 2" xfId="5082" xr:uid="{00000000-0005-0000-0000-0000F1190000}"/>
    <cellStyle name="Data 2 9" xfId="5083" xr:uid="{00000000-0005-0000-0000-0000F2190000}"/>
    <cellStyle name="Data 2 9 10" xfId="5084" xr:uid="{00000000-0005-0000-0000-0000F3190000}"/>
    <cellStyle name="Data 2 9 10 2" xfId="5085" xr:uid="{00000000-0005-0000-0000-0000F4190000}"/>
    <cellStyle name="Data 2 9 10 2 2" xfId="5086" xr:uid="{00000000-0005-0000-0000-0000F5190000}"/>
    <cellStyle name="Data 2 9 10 3" xfId="5087" xr:uid="{00000000-0005-0000-0000-0000F6190000}"/>
    <cellStyle name="Data 2 9 10 3 2" xfId="5088" xr:uid="{00000000-0005-0000-0000-0000F7190000}"/>
    <cellStyle name="Data 2 9 10 4" xfId="5089" xr:uid="{00000000-0005-0000-0000-0000F8190000}"/>
    <cellStyle name="Data 2 9 10 4 2" xfId="5090" xr:uid="{00000000-0005-0000-0000-0000F9190000}"/>
    <cellStyle name="Data 2 9 10 5" xfId="5091" xr:uid="{00000000-0005-0000-0000-0000FA190000}"/>
    <cellStyle name="Data 2 9 10 5 2" xfId="5092" xr:uid="{00000000-0005-0000-0000-0000FB190000}"/>
    <cellStyle name="Data 2 9 10 6" xfId="5093" xr:uid="{00000000-0005-0000-0000-0000FC190000}"/>
    <cellStyle name="Data 2 9 10 6 2" xfId="5094" xr:uid="{00000000-0005-0000-0000-0000FD190000}"/>
    <cellStyle name="Data 2 9 10 7" xfId="5095" xr:uid="{00000000-0005-0000-0000-0000FE190000}"/>
    <cellStyle name="Data 2 9 10 7 2" xfId="5096" xr:uid="{00000000-0005-0000-0000-0000FF190000}"/>
    <cellStyle name="Data 2 9 10 8" xfId="5097" xr:uid="{00000000-0005-0000-0000-0000001A0000}"/>
    <cellStyle name="Data 2 9 10 8 2" xfId="5098" xr:uid="{00000000-0005-0000-0000-0000011A0000}"/>
    <cellStyle name="Data 2 9 10 9" xfId="5099" xr:uid="{00000000-0005-0000-0000-0000021A0000}"/>
    <cellStyle name="Data 2 9 11" xfId="5100" xr:uid="{00000000-0005-0000-0000-0000031A0000}"/>
    <cellStyle name="Data 2 9 11 2" xfId="5101" xr:uid="{00000000-0005-0000-0000-0000041A0000}"/>
    <cellStyle name="Data 2 9 12" xfId="5102" xr:uid="{00000000-0005-0000-0000-0000051A0000}"/>
    <cellStyle name="Data 2 9 12 2" xfId="5103" xr:uid="{00000000-0005-0000-0000-0000061A0000}"/>
    <cellStyle name="Data 2 9 13" xfId="5104" xr:uid="{00000000-0005-0000-0000-0000071A0000}"/>
    <cellStyle name="Data 2 9 13 2" xfId="5105" xr:uid="{00000000-0005-0000-0000-0000081A0000}"/>
    <cellStyle name="Data 2 9 14" xfId="5106" xr:uid="{00000000-0005-0000-0000-0000091A0000}"/>
    <cellStyle name="Data 2 9 14 2" xfId="5107" xr:uid="{00000000-0005-0000-0000-00000A1A0000}"/>
    <cellStyle name="Data 2 9 15" xfId="5108" xr:uid="{00000000-0005-0000-0000-00000B1A0000}"/>
    <cellStyle name="Data 2 9 15 2" xfId="5109" xr:uid="{00000000-0005-0000-0000-00000C1A0000}"/>
    <cellStyle name="Data 2 9 16" xfId="5110" xr:uid="{00000000-0005-0000-0000-00000D1A0000}"/>
    <cellStyle name="Data 2 9 16 2" xfId="5111" xr:uid="{00000000-0005-0000-0000-00000E1A0000}"/>
    <cellStyle name="Data 2 9 17" xfId="5112" xr:uid="{00000000-0005-0000-0000-00000F1A0000}"/>
    <cellStyle name="Data 2 9 17 2" xfId="5113" xr:uid="{00000000-0005-0000-0000-0000101A0000}"/>
    <cellStyle name="Data 2 9 18" xfId="5114" xr:uid="{00000000-0005-0000-0000-0000111A0000}"/>
    <cellStyle name="Data 2 9 2" xfId="5115" xr:uid="{00000000-0005-0000-0000-0000121A0000}"/>
    <cellStyle name="Data 2 9 2 10" xfId="5116" xr:uid="{00000000-0005-0000-0000-0000131A0000}"/>
    <cellStyle name="Data 2 9 2 2" xfId="5117" xr:uid="{00000000-0005-0000-0000-0000141A0000}"/>
    <cellStyle name="Data 2 9 2 2 2" xfId="5118" xr:uid="{00000000-0005-0000-0000-0000151A0000}"/>
    <cellStyle name="Data 2 9 2 3" xfId="5119" xr:uid="{00000000-0005-0000-0000-0000161A0000}"/>
    <cellStyle name="Data 2 9 2 3 2" xfId="5120" xr:uid="{00000000-0005-0000-0000-0000171A0000}"/>
    <cellStyle name="Data 2 9 2 4" xfId="5121" xr:uid="{00000000-0005-0000-0000-0000181A0000}"/>
    <cellStyle name="Data 2 9 2 4 2" xfId="5122" xr:uid="{00000000-0005-0000-0000-0000191A0000}"/>
    <cellStyle name="Data 2 9 2 5" xfId="5123" xr:uid="{00000000-0005-0000-0000-00001A1A0000}"/>
    <cellStyle name="Data 2 9 2 5 2" xfId="5124" xr:uid="{00000000-0005-0000-0000-00001B1A0000}"/>
    <cellStyle name="Data 2 9 2 6" xfId="5125" xr:uid="{00000000-0005-0000-0000-00001C1A0000}"/>
    <cellStyle name="Data 2 9 2 6 2" xfId="5126" xr:uid="{00000000-0005-0000-0000-00001D1A0000}"/>
    <cellStyle name="Data 2 9 2 7" xfId="5127" xr:uid="{00000000-0005-0000-0000-00001E1A0000}"/>
    <cellStyle name="Data 2 9 2 7 2" xfId="5128" xr:uid="{00000000-0005-0000-0000-00001F1A0000}"/>
    <cellStyle name="Data 2 9 2 8" xfId="5129" xr:uid="{00000000-0005-0000-0000-0000201A0000}"/>
    <cellStyle name="Data 2 9 2 8 2" xfId="5130" xr:uid="{00000000-0005-0000-0000-0000211A0000}"/>
    <cellStyle name="Data 2 9 2 9" xfId="5131" xr:uid="{00000000-0005-0000-0000-0000221A0000}"/>
    <cellStyle name="Data 2 9 2 9 2" xfId="5132" xr:uid="{00000000-0005-0000-0000-0000231A0000}"/>
    <cellStyle name="Data 2 9 3" xfId="5133" xr:uid="{00000000-0005-0000-0000-0000241A0000}"/>
    <cellStyle name="Data 2 9 3 10" xfId="5134" xr:uid="{00000000-0005-0000-0000-0000251A0000}"/>
    <cellStyle name="Data 2 9 3 2" xfId="5135" xr:uid="{00000000-0005-0000-0000-0000261A0000}"/>
    <cellStyle name="Data 2 9 3 2 2" xfId="5136" xr:uid="{00000000-0005-0000-0000-0000271A0000}"/>
    <cellStyle name="Data 2 9 3 3" xfId="5137" xr:uid="{00000000-0005-0000-0000-0000281A0000}"/>
    <cellStyle name="Data 2 9 3 3 2" xfId="5138" xr:uid="{00000000-0005-0000-0000-0000291A0000}"/>
    <cellStyle name="Data 2 9 3 4" xfId="5139" xr:uid="{00000000-0005-0000-0000-00002A1A0000}"/>
    <cellStyle name="Data 2 9 3 4 2" xfId="5140" xr:uid="{00000000-0005-0000-0000-00002B1A0000}"/>
    <cellStyle name="Data 2 9 3 5" xfId="5141" xr:uid="{00000000-0005-0000-0000-00002C1A0000}"/>
    <cellStyle name="Data 2 9 3 5 2" xfId="5142" xr:uid="{00000000-0005-0000-0000-00002D1A0000}"/>
    <cellStyle name="Data 2 9 3 6" xfId="5143" xr:uid="{00000000-0005-0000-0000-00002E1A0000}"/>
    <cellStyle name="Data 2 9 3 6 2" xfId="5144" xr:uid="{00000000-0005-0000-0000-00002F1A0000}"/>
    <cellStyle name="Data 2 9 3 7" xfId="5145" xr:uid="{00000000-0005-0000-0000-0000301A0000}"/>
    <cellStyle name="Data 2 9 3 7 2" xfId="5146" xr:uid="{00000000-0005-0000-0000-0000311A0000}"/>
    <cellStyle name="Data 2 9 3 8" xfId="5147" xr:uid="{00000000-0005-0000-0000-0000321A0000}"/>
    <cellStyle name="Data 2 9 3 8 2" xfId="5148" xr:uid="{00000000-0005-0000-0000-0000331A0000}"/>
    <cellStyle name="Data 2 9 3 9" xfId="5149" xr:uid="{00000000-0005-0000-0000-0000341A0000}"/>
    <cellStyle name="Data 2 9 3 9 2" xfId="5150" xr:uid="{00000000-0005-0000-0000-0000351A0000}"/>
    <cellStyle name="Data 2 9 4" xfId="5151" xr:uid="{00000000-0005-0000-0000-0000361A0000}"/>
    <cellStyle name="Data 2 9 4 10" xfId="5152" xr:uid="{00000000-0005-0000-0000-0000371A0000}"/>
    <cellStyle name="Data 2 9 4 2" xfId="5153" xr:uid="{00000000-0005-0000-0000-0000381A0000}"/>
    <cellStyle name="Data 2 9 4 2 2" xfId="5154" xr:uid="{00000000-0005-0000-0000-0000391A0000}"/>
    <cellStyle name="Data 2 9 4 3" xfId="5155" xr:uid="{00000000-0005-0000-0000-00003A1A0000}"/>
    <cellStyle name="Data 2 9 4 3 2" xfId="5156" xr:uid="{00000000-0005-0000-0000-00003B1A0000}"/>
    <cellStyle name="Data 2 9 4 4" xfId="5157" xr:uid="{00000000-0005-0000-0000-00003C1A0000}"/>
    <cellStyle name="Data 2 9 4 4 2" xfId="5158" xr:uid="{00000000-0005-0000-0000-00003D1A0000}"/>
    <cellStyle name="Data 2 9 4 5" xfId="5159" xr:uid="{00000000-0005-0000-0000-00003E1A0000}"/>
    <cellStyle name="Data 2 9 4 5 2" xfId="5160" xr:uid="{00000000-0005-0000-0000-00003F1A0000}"/>
    <cellStyle name="Data 2 9 4 6" xfId="5161" xr:uid="{00000000-0005-0000-0000-0000401A0000}"/>
    <cellStyle name="Data 2 9 4 6 2" xfId="5162" xr:uid="{00000000-0005-0000-0000-0000411A0000}"/>
    <cellStyle name="Data 2 9 4 7" xfId="5163" xr:uid="{00000000-0005-0000-0000-0000421A0000}"/>
    <cellStyle name="Data 2 9 4 7 2" xfId="5164" xr:uid="{00000000-0005-0000-0000-0000431A0000}"/>
    <cellStyle name="Data 2 9 4 8" xfId="5165" xr:uid="{00000000-0005-0000-0000-0000441A0000}"/>
    <cellStyle name="Data 2 9 4 8 2" xfId="5166" xr:uid="{00000000-0005-0000-0000-0000451A0000}"/>
    <cellStyle name="Data 2 9 4 9" xfId="5167" xr:uid="{00000000-0005-0000-0000-0000461A0000}"/>
    <cellStyle name="Data 2 9 4 9 2" xfId="5168" xr:uid="{00000000-0005-0000-0000-0000471A0000}"/>
    <cellStyle name="Data 2 9 5" xfId="5169" xr:uid="{00000000-0005-0000-0000-0000481A0000}"/>
    <cellStyle name="Data 2 9 5 10" xfId="5170" xr:uid="{00000000-0005-0000-0000-0000491A0000}"/>
    <cellStyle name="Data 2 9 5 2" xfId="5171" xr:uid="{00000000-0005-0000-0000-00004A1A0000}"/>
    <cellStyle name="Data 2 9 5 2 2" xfId="5172" xr:uid="{00000000-0005-0000-0000-00004B1A0000}"/>
    <cellStyle name="Data 2 9 5 3" xfId="5173" xr:uid="{00000000-0005-0000-0000-00004C1A0000}"/>
    <cellStyle name="Data 2 9 5 3 2" xfId="5174" xr:uid="{00000000-0005-0000-0000-00004D1A0000}"/>
    <cellStyle name="Data 2 9 5 4" xfId="5175" xr:uid="{00000000-0005-0000-0000-00004E1A0000}"/>
    <cellStyle name="Data 2 9 5 4 2" xfId="5176" xr:uid="{00000000-0005-0000-0000-00004F1A0000}"/>
    <cellStyle name="Data 2 9 5 5" xfId="5177" xr:uid="{00000000-0005-0000-0000-0000501A0000}"/>
    <cellStyle name="Data 2 9 5 5 2" xfId="5178" xr:uid="{00000000-0005-0000-0000-0000511A0000}"/>
    <cellStyle name="Data 2 9 5 6" xfId="5179" xr:uid="{00000000-0005-0000-0000-0000521A0000}"/>
    <cellStyle name="Data 2 9 5 6 2" xfId="5180" xr:uid="{00000000-0005-0000-0000-0000531A0000}"/>
    <cellStyle name="Data 2 9 5 7" xfId="5181" xr:uid="{00000000-0005-0000-0000-0000541A0000}"/>
    <cellStyle name="Data 2 9 5 7 2" xfId="5182" xr:uid="{00000000-0005-0000-0000-0000551A0000}"/>
    <cellStyle name="Data 2 9 5 8" xfId="5183" xr:uid="{00000000-0005-0000-0000-0000561A0000}"/>
    <cellStyle name="Data 2 9 5 8 2" xfId="5184" xr:uid="{00000000-0005-0000-0000-0000571A0000}"/>
    <cellStyle name="Data 2 9 5 9" xfId="5185" xr:uid="{00000000-0005-0000-0000-0000581A0000}"/>
    <cellStyle name="Data 2 9 5 9 2" xfId="5186" xr:uid="{00000000-0005-0000-0000-0000591A0000}"/>
    <cellStyle name="Data 2 9 6" xfId="5187" xr:uid="{00000000-0005-0000-0000-00005A1A0000}"/>
    <cellStyle name="Data 2 9 6 10" xfId="5188" xr:uid="{00000000-0005-0000-0000-00005B1A0000}"/>
    <cellStyle name="Data 2 9 6 2" xfId="5189" xr:uid="{00000000-0005-0000-0000-00005C1A0000}"/>
    <cellStyle name="Data 2 9 6 2 2" xfId="5190" xr:uid="{00000000-0005-0000-0000-00005D1A0000}"/>
    <cellStyle name="Data 2 9 6 3" xfId="5191" xr:uid="{00000000-0005-0000-0000-00005E1A0000}"/>
    <cellStyle name="Data 2 9 6 3 2" xfId="5192" xr:uid="{00000000-0005-0000-0000-00005F1A0000}"/>
    <cellStyle name="Data 2 9 6 4" xfId="5193" xr:uid="{00000000-0005-0000-0000-0000601A0000}"/>
    <cellStyle name="Data 2 9 6 4 2" xfId="5194" xr:uid="{00000000-0005-0000-0000-0000611A0000}"/>
    <cellStyle name="Data 2 9 6 5" xfId="5195" xr:uid="{00000000-0005-0000-0000-0000621A0000}"/>
    <cellStyle name="Data 2 9 6 5 2" xfId="5196" xr:uid="{00000000-0005-0000-0000-0000631A0000}"/>
    <cellStyle name="Data 2 9 6 6" xfId="5197" xr:uid="{00000000-0005-0000-0000-0000641A0000}"/>
    <cellStyle name="Data 2 9 6 6 2" xfId="5198" xr:uid="{00000000-0005-0000-0000-0000651A0000}"/>
    <cellStyle name="Data 2 9 6 7" xfId="5199" xr:uid="{00000000-0005-0000-0000-0000661A0000}"/>
    <cellStyle name="Data 2 9 6 7 2" xfId="5200" xr:uid="{00000000-0005-0000-0000-0000671A0000}"/>
    <cellStyle name="Data 2 9 6 8" xfId="5201" xr:uid="{00000000-0005-0000-0000-0000681A0000}"/>
    <cellStyle name="Data 2 9 6 8 2" xfId="5202" xr:uid="{00000000-0005-0000-0000-0000691A0000}"/>
    <cellStyle name="Data 2 9 6 9" xfId="5203" xr:uid="{00000000-0005-0000-0000-00006A1A0000}"/>
    <cellStyle name="Data 2 9 6 9 2" xfId="5204" xr:uid="{00000000-0005-0000-0000-00006B1A0000}"/>
    <cellStyle name="Data 2 9 7" xfId="5205" xr:uid="{00000000-0005-0000-0000-00006C1A0000}"/>
    <cellStyle name="Data 2 9 7 10" xfId="5206" xr:uid="{00000000-0005-0000-0000-00006D1A0000}"/>
    <cellStyle name="Data 2 9 7 2" xfId="5207" xr:uid="{00000000-0005-0000-0000-00006E1A0000}"/>
    <cellStyle name="Data 2 9 7 2 2" xfId="5208" xr:uid="{00000000-0005-0000-0000-00006F1A0000}"/>
    <cellStyle name="Data 2 9 7 3" xfId="5209" xr:uid="{00000000-0005-0000-0000-0000701A0000}"/>
    <cellStyle name="Data 2 9 7 3 2" xfId="5210" xr:uid="{00000000-0005-0000-0000-0000711A0000}"/>
    <cellStyle name="Data 2 9 7 4" xfId="5211" xr:uid="{00000000-0005-0000-0000-0000721A0000}"/>
    <cellStyle name="Data 2 9 7 4 2" xfId="5212" xr:uid="{00000000-0005-0000-0000-0000731A0000}"/>
    <cellStyle name="Data 2 9 7 5" xfId="5213" xr:uid="{00000000-0005-0000-0000-0000741A0000}"/>
    <cellStyle name="Data 2 9 7 5 2" xfId="5214" xr:uid="{00000000-0005-0000-0000-0000751A0000}"/>
    <cellStyle name="Data 2 9 7 6" xfId="5215" xr:uid="{00000000-0005-0000-0000-0000761A0000}"/>
    <cellStyle name="Data 2 9 7 6 2" xfId="5216" xr:uid="{00000000-0005-0000-0000-0000771A0000}"/>
    <cellStyle name="Data 2 9 7 7" xfId="5217" xr:uid="{00000000-0005-0000-0000-0000781A0000}"/>
    <cellStyle name="Data 2 9 7 7 2" xfId="5218" xr:uid="{00000000-0005-0000-0000-0000791A0000}"/>
    <cellStyle name="Data 2 9 7 8" xfId="5219" xr:uid="{00000000-0005-0000-0000-00007A1A0000}"/>
    <cellStyle name="Data 2 9 7 8 2" xfId="5220" xr:uid="{00000000-0005-0000-0000-00007B1A0000}"/>
    <cellStyle name="Data 2 9 7 9" xfId="5221" xr:uid="{00000000-0005-0000-0000-00007C1A0000}"/>
    <cellStyle name="Data 2 9 7 9 2" xfId="5222" xr:uid="{00000000-0005-0000-0000-00007D1A0000}"/>
    <cellStyle name="Data 2 9 8" xfId="5223" xr:uid="{00000000-0005-0000-0000-00007E1A0000}"/>
    <cellStyle name="Data 2 9 8 10" xfId="5224" xr:uid="{00000000-0005-0000-0000-00007F1A0000}"/>
    <cellStyle name="Data 2 9 8 2" xfId="5225" xr:uid="{00000000-0005-0000-0000-0000801A0000}"/>
    <cellStyle name="Data 2 9 8 2 2" xfId="5226" xr:uid="{00000000-0005-0000-0000-0000811A0000}"/>
    <cellStyle name="Data 2 9 8 3" xfId="5227" xr:uid="{00000000-0005-0000-0000-0000821A0000}"/>
    <cellStyle name="Data 2 9 8 3 2" xfId="5228" xr:uid="{00000000-0005-0000-0000-0000831A0000}"/>
    <cellStyle name="Data 2 9 8 4" xfId="5229" xr:uid="{00000000-0005-0000-0000-0000841A0000}"/>
    <cellStyle name="Data 2 9 8 4 2" xfId="5230" xr:uid="{00000000-0005-0000-0000-0000851A0000}"/>
    <cellStyle name="Data 2 9 8 5" xfId="5231" xr:uid="{00000000-0005-0000-0000-0000861A0000}"/>
    <cellStyle name="Data 2 9 8 5 2" xfId="5232" xr:uid="{00000000-0005-0000-0000-0000871A0000}"/>
    <cellStyle name="Data 2 9 8 6" xfId="5233" xr:uid="{00000000-0005-0000-0000-0000881A0000}"/>
    <cellStyle name="Data 2 9 8 6 2" xfId="5234" xr:uid="{00000000-0005-0000-0000-0000891A0000}"/>
    <cellStyle name="Data 2 9 8 7" xfId="5235" xr:uid="{00000000-0005-0000-0000-00008A1A0000}"/>
    <cellStyle name="Data 2 9 8 7 2" xfId="5236" xr:uid="{00000000-0005-0000-0000-00008B1A0000}"/>
    <cellStyle name="Data 2 9 8 8" xfId="5237" xr:uid="{00000000-0005-0000-0000-00008C1A0000}"/>
    <cellStyle name="Data 2 9 8 8 2" xfId="5238" xr:uid="{00000000-0005-0000-0000-00008D1A0000}"/>
    <cellStyle name="Data 2 9 8 9" xfId="5239" xr:uid="{00000000-0005-0000-0000-00008E1A0000}"/>
    <cellStyle name="Data 2 9 8 9 2" xfId="5240" xr:uid="{00000000-0005-0000-0000-00008F1A0000}"/>
    <cellStyle name="Data 2 9 9" xfId="5241" xr:uid="{00000000-0005-0000-0000-0000901A0000}"/>
    <cellStyle name="Data 2 9 9 10" xfId="5242" xr:uid="{00000000-0005-0000-0000-0000911A0000}"/>
    <cellStyle name="Data 2 9 9 2" xfId="5243" xr:uid="{00000000-0005-0000-0000-0000921A0000}"/>
    <cellStyle name="Data 2 9 9 2 2" xfId="5244" xr:uid="{00000000-0005-0000-0000-0000931A0000}"/>
    <cellStyle name="Data 2 9 9 3" xfId="5245" xr:uid="{00000000-0005-0000-0000-0000941A0000}"/>
    <cellStyle name="Data 2 9 9 3 2" xfId="5246" xr:uid="{00000000-0005-0000-0000-0000951A0000}"/>
    <cellStyle name="Data 2 9 9 4" xfId="5247" xr:uid="{00000000-0005-0000-0000-0000961A0000}"/>
    <cellStyle name="Data 2 9 9 4 2" xfId="5248" xr:uid="{00000000-0005-0000-0000-0000971A0000}"/>
    <cellStyle name="Data 2 9 9 5" xfId="5249" xr:uid="{00000000-0005-0000-0000-0000981A0000}"/>
    <cellStyle name="Data 2 9 9 5 2" xfId="5250" xr:uid="{00000000-0005-0000-0000-0000991A0000}"/>
    <cellStyle name="Data 2 9 9 6" xfId="5251" xr:uid="{00000000-0005-0000-0000-00009A1A0000}"/>
    <cellStyle name="Data 2 9 9 6 2" xfId="5252" xr:uid="{00000000-0005-0000-0000-00009B1A0000}"/>
    <cellStyle name="Data 2 9 9 7" xfId="5253" xr:uid="{00000000-0005-0000-0000-00009C1A0000}"/>
    <cellStyle name="Data 2 9 9 7 2" xfId="5254" xr:uid="{00000000-0005-0000-0000-00009D1A0000}"/>
    <cellStyle name="Data 2 9 9 8" xfId="5255" xr:uid="{00000000-0005-0000-0000-00009E1A0000}"/>
    <cellStyle name="Data 2 9 9 8 2" xfId="5256" xr:uid="{00000000-0005-0000-0000-00009F1A0000}"/>
    <cellStyle name="Data 2 9 9 9" xfId="5257" xr:uid="{00000000-0005-0000-0000-0000A01A0000}"/>
    <cellStyle name="Data 2 9 9 9 2" xfId="5258" xr:uid="{00000000-0005-0000-0000-0000A11A0000}"/>
    <cellStyle name="Data 3" xfId="155" xr:uid="{00000000-0005-0000-0000-0000A21A0000}"/>
    <cellStyle name="Data 3 2" xfId="5259" xr:uid="{00000000-0005-0000-0000-0000A31A0000}"/>
    <cellStyle name="Data 3 2 10" xfId="5260" xr:uid="{00000000-0005-0000-0000-0000A41A0000}"/>
    <cellStyle name="Data 3 2 10 10" xfId="5261" xr:uid="{00000000-0005-0000-0000-0000A51A0000}"/>
    <cellStyle name="Data 3 2 10 2" xfId="5262" xr:uid="{00000000-0005-0000-0000-0000A61A0000}"/>
    <cellStyle name="Data 3 2 10 2 2" xfId="5263" xr:uid="{00000000-0005-0000-0000-0000A71A0000}"/>
    <cellStyle name="Data 3 2 10 3" xfId="5264" xr:uid="{00000000-0005-0000-0000-0000A81A0000}"/>
    <cellStyle name="Data 3 2 10 3 2" xfId="5265" xr:uid="{00000000-0005-0000-0000-0000A91A0000}"/>
    <cellStyle name="Data 3 2 10 4" xfId="5266" xr:uid="{00000000-0005-0000-0000-0000AA1A0000}"/>
    <cellStyle name="Data 3 2 10 4 2" xfId="5267" xr:uid="{00000000-0005-0000-0000-0000AB1A0000}"/>
    <cellStyle name="Data 3 2 10 5" xfId="5268" xr:uid="{00000000-0005-0000-0000-0000AC1A0000}"/>
    <cellStyle name="Data 3 2 10 5 2" xfId="5269" xr:uid="{00000000-0005-0000-0000-0000AD1A0000}"/>
    <cellStyle name="Data 3 2 10 6" xfId="5270" xr:uid="{00000000-0005-0000-0000-0000AE1A0000}"/>
    <cellStyle name="Data 3 2 10 6 2" xfId="5271" xr:uid="{00000000-0005-0000-0000-0000AF1A0000}"/>
    <cellStyle name="Data 3 2 10 7" xfId="5272" xr:uid="{00000000-0005-0000-0000-0000B01A0000}"/>
    <cellStyle name="Data 3 2 10 7 2" xfId="5273" xr:uid="{00000000-0005-0000-0000-0000B11A0000}"/>
    <cellStyle name="Data 3 2 10 8" xfId="5274" xr:uid="{00000000-0005-0000-0000-0000B21A0000}"/>
    <cellStyle name="Data 3 2 10 8 2" xfId="5275" xr:uid="{00000000-0005-0000-0000-0000B31A0000}"/>
    <cellStyle name="Data 3 2 10 9" xfId="5276" xr:uid="{00000000-0005-0000-0000-0000B41A0000}"/>
    <cellStyle name="Data 3 2 10 9 2" xfId="5277" xr:uid="{00000000-0005-0000-0000-0000B51A0000}"/>
    <cellStyle name="Data 3 2 11" xfId="5278" xr:uid="{00000000-0005-0000-0000-0000B61A0000}"/>
    <cellStyle name="Data 3 2 11 2" xfId="5279" xr:uid="{00000000-0005-0000-0000-0000B71A0000}"/>
    <cellStyle name="Data 3 2 11 2 2" xfId="5280" xr:uid="{00000000-0005-0000-0000-0000B81A0000}"/>
    <cellStyle name="Data 3 2 11 3" xfId="5281" xr:uid="{00000000-0005-0000-0000-0000B91A0000}"/>
    <cellStyle name="Data 3 2 11 3 2" xfId="5282" xr:uid="{00000000-0005-0000-0000-0000BA1A0000}"/>
    <cellStyle name="Data 3 2 11 4" xfId="5283" xr:uid="{00000000-0005-0000-0000-0000BB1A0000}"/>
    <cellStyle name="Data 3 2 11 4 2" xfId="5284" xr:uid="{00000000-0005-0000-0000-0000BC1A0000}"/>
    <cellStyle name="Data 3 2 11 5" xfId="5285" xr:uid="{00000000-0005-0000-0000-0000BD1A0000}"/>
    <cellStyle name="Data 3 2 11 5 2" xfId="5286" xr:uid="{00000000-0005-0000-0000-0000BE1A0000}"/>
    <cellStyle name="Data 3 2 11 6" xfId="5287" xr:uid="{00000000-0005-0000-0000-0000BF1A0000}"/>
    <cellStyle name="Data 3 2 11 6 2" xfId="5288" xr:uid="{00000000-0005-0000-0000-0000C01A0000}"/>
    <cellStyle name="Data 3 2 11 7" xfId="5289" xr:uid="{00000000-0005-0000-0000-0000C11A0000}"/>
    <cellStyle name="Data 3 2 11 7 2" xfId="5290" xr:uid="{00000000-0005-0000-0000-0000C21A0000}"/>
    <cellStyle name="Data 3 2 11 8" xfId="5291" xr:uid="{00000000-0005-0000-0000-0000C31A0000}"/>
    <cellStyle name="Data 3 2 11 8 2" xfId="5292" xr:uid="{00000000-0005-0000-0000-0000C41A0000}"/>
    <cellStyle name="Data 3 2 11 9" xfId="5293" xr:uid="{00000000-0005-0000-0000-0000C51A0000}"/>
    <cellStyle name="Data 3 2 2" xfId="5294" xr:uid="{00000000-0005-0000-0000-0000C61A0000}"/>
    <cellStyle name="Data 3 2 2 10" xfId="5295" xr:uid="{00000000-0005-0000-0000-0000C71A0000}"/>
    <cellStyle name="Data 3 2 2 2" xfId="5296" xr:uid="{00000000-0005-0000-0000-0000C81A0000}"/>
    <cellStyle name="Data 3 2 2 2 2" xfId="5297" xr:uid="{00000000-0005-0000-0000-0000C91A0000}"/>
    <cellStyle name="Data 3 2 2 3" xfId="5298" xr:uid="{00000000-0005-0000-0000-0000CA1A0000}"/>
    <cellStyle name="Data 3 2 2 3 2" xfId="5299" xr:uid="{00000000-0005-0000-0000-0000CB1A0000}"/>
    <cellStyle name="Data 3 2 2 4" xfId="5300" xr:uid="{00000000-0005-0000-0000-0000CC1A0000}"/>
    <cellStyle name="Data 3 2 2 4 2" xfId="5301" xr:uid="{00000000-0005-0000-0000-0000CD1A0000}"/>
    <cellStyle name="Data 3 2 2 5" xfId="5302" xr:uid="{00000000-0005-0000-0000-0000CE1A0000}"/>
    <cellStyle name="Data 3 2 2 5 2" xfId="5303" xr:uid="{00000000-0005-0000-0000-0000CF1A0000}"/>
    <cellStyle name="Data 3 2 2 6" xfId="5304" xr:uid="{00000000-0005-0000-0000-0000D01A0000}"/>
    <cellStyle name="Data 3 2 2 6 2" xfId="5305" xr:uid="{00000000-0005-0000-0000-0000D11A0000}"/>
    <cellStyle name="Data 3 2 2 7" xfId="5306" xr:uid="{00000000-0005-0000-0000-0000D21A0000}"/>
    <cellStyle name="Data 3 2 2 7 2" xfId="5307" xr:uid="{00000000-0005-0000-0000-0000D31A0000}"/>
    <cellStyle name="Data 3 2 2 8" xfId="5308" xr:uid="{00000000-0005-0000-0000-0000D41A0000}"/>
    <cellStyle name="Data 3 2 2 8 2" xfId="5309" xr:uid="{00000000-0005-0000-0000-0000D51A0000}"/>
    <cellStyle name="Data 3 2 2 9" xfId="5310" xr:uid="{00000000-0005-0000-0000-0000D61A0000}"/>
    <cellStyle name="Data 3 2 2 9 2" xfId="5311" xr:uid="{00000000-0005-0000-0000-0000D71A0000}"/>
    <cellStyle name="Data 3 2 3" xfId="5312" xr:uid="{00000000-0005-0000-0000-0000D81A0000}"/>
    <cellStyle name="Data 3 2 3 10" xfId="5313" xr:uid="{00000000-0005-0000-0000-0000D91A0000}"/>
    <cellStyle name="Data 3 2 3 2" xfId="5314" xr:uid="{00000000-0005-0000-0000-0000DA1A0000}"/>
    <cellStyle name="Data 3 2 3 2 2" xfId="5315" xr:uid="{00000000-0005-0000-0000-0000DB1A0000}"/>
    <cellStyle name="Data 3 2 3 3" xfId="5316" xr:uid="{00000000-0005-0000-0000-0000DC1A0000}"/>
    <cellStyle name="Data 3 2 3 3 2" xfId="5317" xr:uid="{00000000-0005-0000-0000-0000DD1A0000}"/>
    <cellStyle name="Data 3 2 3 4" xfId="5318" xr:uid="{00000000-0005-0000-0000-0000DE1A0000}"/>
    <cellStyle name="Data 3 2 3 4 2" xfId="5319" xr:uid="{00000000-0005-0000-0000-0000DF1A0000}"/>
    <cellStyle name="Data 3 2 3 5" xfId="5320" xr:uid="{00000000-0005-0000-0000-0000E01A0000}"/>
    <cellStyle name="Data 3 2 3 5 2" xfId="5321" xr:uid="{00000000-0005-0000-0000-0000E11A0000}"/>
    <cellStyle name="Data 3 2 3 6" xfId="5322" xr:uid="{00000000-0005-0000-0000-0000E21A0000}"/>
    <cellStyle name="Data 3 2 3 6 2" xfId="5323" xr:uid="{00000000-0005-0000-0000-0000E31A0000}"/>
    <cellStyle name="Data 3 2 3 7" xfId="5324" xr:uid="{00000000-0005-0000-0000-0000E41A0000}"/>
    <cellStyle name="Data 3 2 3 7 2" xfId="5325" xr:uid="{00000000-0005-0000-0000-0000E51A0000}"/>
    <cellStyle name="Data 3 2 3 8" xfId="5326" xr:uid="{00000000-0005-0000-0000-0000E61A0000}"/>
    <cellStyle name="Data 3 2 3 8 2" xfId="5327" xr:uid="{00000000-0005-0000-0000-0000E71A0000}"/>
    <cellStyle name="Data 3 2 3 9" xfId="5328" xr:uid="{00000000-0005-0000-0000-0000E81A0000}"/>
    <cellStyle name="Data 3 2 3 9 2" xfId="5329" xr:uid="{00000000-0005-0000-0000-0000E91A0000}"/>
    <cellStyle name="Data 3 2 4" xfId="5330" xr:uid="{00000000-0005-0000-0000-0000EA1A0000}"/>
    <cellStyle name="Data 3 2 4 10" xfId="5331" xr:uid="{00000000-0005-0000-0000-0000EB1A0000}"/>
    <cellStyle name="Data 3 2 4 2" xfId="5332" xr:uid="{00000000-0005-0000-0000-0000EC1A0000}"/>
    <cellStyle name="Data 3 2 4 2 2" xfId="5333" xr:uid="{00000000-0005-0000-0000-0000ED1A0000}"/>
    <cellStyle name="Data 3 2 4 3" xfId="5334" xr:uid="{00000000-0005-0000-0000-0000EE1A0000}"/>
    <cellStyle name="Data 3 2 4 3 2" xfId="5335" xr:uid="{00000000-0005-0000-0000-0000EF1A0000}"/>
    <cellStyle name="Data 3 2 4 4" xfId="5336" xr:uid="{00000000-0005-0000-0000-0000F01A0000}"/>
    <cellStyle name="Data 3 2 4 4 2" xfId="5337" xr:uid="{00000000-0005-0000-0000-0000F11A0000}"/>
    <cellStyle name="Data 3 2 4 5" xfId="5338" xr:uid="{00000000-0005-0000-0000-0000F21A0000}"/>
    <cellStyle name="Data 3 2 4 5 2" xfId="5339" xr:uid="{00000000-0005-0000-0000-0000F31A0000}"/>
    <cellStyle name="Data 3 2 4 6" xfId="5340" xr:uid="{00000000-0005-0000-0000-0000F41A0000}"/>
    <cellStyle name="Data 3 2 4 6 2" xfId="5341" xr:uid="{00000000-0005-0000-0000-0000F51A0000}"/>
    <cellStyle name="Data 3 2 4 7" xfId="5342" xr:uid="{00000000-0005-0000-0000-0000F61A0000}"/>
    <cellStyle name="Data 3 2 4 7 2" xfId="5343" xr:uid="{00000000-0005-0000-0000-0000F71A0000}"/>
    <cellStyle name="Data 3 2 4 8" xfId="5344" xr:uid="{00000000-0005-0000-0000-0000F81A0000}"/>
    <cellStyle name="Data 3 2 4 8 2" xfId="5345" xr:uid="{00000000-0005-0000-0000-0000F91A0000}"/>
    <cellStyle name="Data 3 2 4 9" xfId="5346" xr:uid="{00000000-0005-0000-0000-0000FA1A0000}"/>
    <cellStyle name="Data 3 2 4 9 2" xfId="5347" xr:uid="{00000000-0005-0000-0000-0000FB1A0000}"/>
    <cellStyle name="Data 3 2 5" xfId="5348" xr:uid="{00000000-0005-0000-0000-0000FC1A0000}"/>
    <cellStyle name="Data 3 2 5 10" xfId="5349" xr:uid="{00000000-0005-0000-0000-0000FD1A0000}"/>
    <cellStyle name="Data 3 2 5 2" xfId="5350" xr:uid="{00000000-0005-0000-0000-0000FE1A0000}"/>
    <cellStyle name="Data 3 2 5 2 2" xfId="5351" xr:uid="{00000000-0005-0000-0000-0000FF1A0000}"/>
    <cellStyle name="Data 3 2 5 3" xfId="5352" xr:uid="{00000000-0005-0000-0000-0000001B0000}"/>
    <cellStyle name="Data 3 2 5 3 2" xfId="5353" xr:uid="{00000000-0005-0000-0000-0000011B0000}"/>
    <cellStyle name="Data 3 2 5 4" xfId="5354" xr:uid="{00000000-0005-0000-0000-0000021B0000}"/>
    <cellStyle name="Data 3 2 5 4 2" xfId="5355" xr:uid="{00000000-0005-0000-0000-0000031B0000}"/>
    <cellStyle name="Data 3 2 5 5" xfId="5356" xr:uid="{00000000-0005-0000-0000-0000041B0000}"/>
    <cellStyle name="Data 3 2 5 5 2" xfId="5357" xr:uid="{00000000-0005-0000-0000-0000051B0000}"/>
    <cellStyle name="Data 3 2 5 6" xfId="5358" xr:uid="{00000000-0005-0000-0000-0000061B0000}"/>
    <cellStyle name="Data 3 2 5 6 2" xfId="5359" xr:uid="{00000000-0005-0000-0000-0000071B0000}"/>
    <cellStyle name="Data 3 2 5 7" xfId="5360" xr:uid="{00000000-0005-0000-0000-0000081B0000}"/>
    <cellStyle name="Data 3 2 5 7 2" xfId="5361" xr:uid="{00000000-0005-0000-0000-0000091B0000}"/>
    <cellStyle name="Data 3 2 5 8" xfId="5362" xr:uid="{00000000-0005-0000-0000-00000A1B0000}"/>
    <cellStyle name="Data 3 2 5 8 2" xfId="5363" xr:uid="{00000000-0005-0000-0000-00000B1B0000}"/>
    <cellStyle name="Data 3 2 5 9" xfId="5364" xr:uid="{00000000-0005-0000-0000-00000C1B0000}"/>
    <cellStyle name="Data 3 2 5 9 2" xfId="5365" xr:uid="{00000000-0005-0000-0000-00000D1B0000}"/>
    <cellStyle name="Data 3 2 6" xfId="5366" xr:uid="{00000000-0005-0000-0000-00000E1B0000}"/>
    <cellStyle name="Data 3 2 6 10" xfId="5367" xr:uid="{00000000-0005-0000-0000-00000F1B0000}"/>
    <cellStyle name="Data 3 2 6 2" xfId="5368" xr:uid="{00000000-0005-0000-0000-0000101B0000}"/>
    <cellStyle name="Data 3 2 6 2 2" xfId="5369" xr:uid="{00000000-0005-0000-0000-0000111B0000}"/>
    <cellStyle name="Data 3 2 6 3" xfId="5370" xr:uid="{00000000-0005-0000-0000-0000121B0000}"/>
    <cellStyle name="Data 3 2 6 3 2" xfId="5371" xr:uid="{00000000-0005-0000-0000-0000131B0000}"/>
    <cellStyle name="Data 3 2 6 4" xfId="5372" xr:uid="{00000000-0005-0000-0000-0000141B0000}"/>
    <cellStyle name="Data 3 2 6 4 2" xfId="5373" xr:uid="{00000000-0005-0000-0000-0000151B0000}"/>
    <cellStyle name="Data 3 2 6 5" xfId="5374" xr:uid="{00000000-0005-0000-0000-0000161B0000}"/>
    <cellStyle name="Data 3 2 6 5 2" xfId="5375" xr:uid="{00000000-0005-0000-0000-0000171B0000}"/>
    <cellStyle name="Data 3 2 6 6" xfId="5376" xr:uid="{00000000-0005-0000-0000-0000181B0000}"/>
    <cellStyle name="Data 3 2 6 6 2" xfId="5377" xr:uid="{00000000-0005-0000-0000-0000191B0000}"/>
    <cellStyle name="Data 3 2 6 7" xfId="5378" xr:uid="{00000000-0005-0000-0000-00001A1B0000}"/>
    <cellStyle name="Data 3 2 6 7 2" xfId="5379" xr:uid="{00000000-0005-0000-0000-00001B1B0000}"/>
    <cellStyle name="Data 3 2 6 8" xfId="5380" xr:uid="{00000000-0005-0000-0000-00001C1B0000}"/>
    <cellStyle name="Data 3 2 6 8 2" xfId="5381" xr:uid="{00000000-0005-0000-0000-00001D1B0000}"/>
    <cellStyle name="Data 3 2 6 9" xfId="5382" xr:uid="{00000000-0005-0000-0000-00001E1B0000}"/>
    <cellStyle name="Data 3 2 6 9 2" xfId="5383" xr:uid="{00000000-0005-0000-0000-00001F1B0000}"/>
    <cellStyle name="Data 3 2 7" xfId="5384" xr:uid="{00000000-0005-0000-0000-0000201B0000}"/>
    <cellStyle name="Data 3 2 7 10" xfId="5385" xr:uid="{00000000-0005-0000-0000-0000211B0000}"/>
    <cellStyle name="Data 3 2 7 2" xfId="5386" xr:uid="{00000000-0005-0000-0000-0000221B0000}"/>
    <cellStyle name="Data 3 2 7 2 2" xfId="5387" xr:uid="{00000000-0005-0000-0000-0000231B0000}"/>
    <cellStyle name="Data 3 2 7 3" xfId="5388" xr:uid="{00000000-0005-0000-0000-0000241B0000}"/>
    <cellStyle name="Data 3 2 7 3 2" xfId="5389" xr:uid="{00000000-0005-0000-0000-0000251B0000}"/>
    <cellStyle name="Data 3 2 7 4" xfId="5390" xr:uid="{00000000-0005-0000-0000-0000261B0000}"/>
    <cellStyle name="Data 3 2 7 4 2" xfId="5391" xr:uid="{00000000-0005-0000-0000-0000271B0000}"/>
    <cellStyle name="Data 3 2 7 5" xfId="5392" xr:uid="{00000000-0005-0000-0000-0000281B0000}"/>
    <cellStyle name="Data 3 2 7 5 2" xfId="5393" xr:uid="{00000000-0005-0000-0000-0000291B0000}"/>
    <cellStyle name="Data 3 2 7 6" xfId="5394" xr:uid="{00000000-0005-0000-0000-00002A1B0000}"/>
    <cellStyle name="Data 3 2 7 6 2" xfId="5395" xr:uid="{00000000-0005-0000-0000-00002B1B0000}"/>
    <cellStyle name="Data 3 2 7 7" xfId="5396" xr:uid="{00000000-0005-0000-0000-00002C1B0000}"/>
    <cellStyle name="Data 3 2 7 7 2" xfId="5397" xr:uid="{00000000-0005-0000-0000-00002D1B0000}"/>
    <cellStyle name="Data 3 2 7 8" xfId="5398" xr:uid="{00000000-0005-0000-0000-00002E1B0000}"/>
    <cellStyle name="Data 3 2 7 8 2" xfId="5399" xr:uid="{00000000-0005-0000-0000-00002F1B0000}"/>
    <cellStyle name="Data 3 2 7 9" xfId="5400" xr:uid="{00000000-0005-0000-0000-0000301B0000}"/>
    <cellStyle name="Data 3 2 7 9 2" xfId="5401" xr:uid="{00000000-0005-0000-0000-0000311B0000}"/>
    <cellStyle name="Data 3 2 8" xfId="5402" xr:uid="{00000000-0005-0000-0000-0000321B0000}"/>
    <cellStyle name="Data 3 2 8 10" xfId="5403" xr:uid="{00000000-0005-0000-0000-0000331B0000}"/>
    <cellStyle name="Data 3 2 8 2" xfId="5404" xr:uid="{00000000-0005-0000-0000-0000341B0000}"/>
    <cellStyle name="Data 3 2 8 2 2" xfId="5405" xr:uid="{00000000-0005-0000-0000-0000351B0000}"/>
    <cellStyle name="Data 3 2 8 3" xfId="5406" xr:uid="{00000000-0005-0000-0000-0000361B0000}"/>
    <cellStyle name="Data 3 2 8 3 2" xfId="5407" xr:uid="{00000000-0005-0000-0000-0000371B0000}"/>
    <cellStyle name="Data 3 2 8 4" xfId="5408" xr:uid="{00000000-0005-0000-0000-0000381B0000}"/>
    <cellStyle name="Data 3 2 8 4 2" xfId="5409" xr:uid="{00000000-0005-0000-0000-0000391B0000}"/>
    <cellStyle name="Data 3 2 8 5" xfId="5410" xr:uid="{00000000-0005-0000-0000-00003A1B0000}"/>
    <cellStyle name="Data 3 2 8 5 2" xfId="5411" xr:uid="{00000000-0005-0000-0000-00003B1B0000}"/>
    <cellStyle name="Data 3 2 8 6" xfId="5412" xr:uid="{00000000-0005-0000-0000-00003C1B0000}"/>
    <cellStyle name="Data 3 2 8 6 2" xfId="5413" xr:uid="{00000000-0005-0000-0000-00003D1B0000}"/>
    <cellStyle name="Data 3 2 8 7" xfId="5414" xr:uid="{00000000-0005-0000-0000-00003E1B0000}"/>
    <cellStyle name="Data 3 2 8 7 2" xfId="5415" xr:uid="{00000000-0005-0000-0000-00003F1B0000}"/>
    <cellStyle name="Data 3 2 8 8" xfId="5416" xr:uid="{00000000-0005-0000-0000-0000401B0000}"/>
    <cellStyle name="Data 3 2 8 8 2" xfId="5417" xr:uid="{00000000-0005-0000-0000-0000411B0000}"/>
    <cellStyle name="Data 3 2 8 9" xfId="5418" xr:uid="{00000000-0005-0000-0000-0000421B0000}"/>
    <cellStyle name="Data 3 2 8 9 2" xfId="5419" xr:uid="{00000000-0005-0000-0000-0000431B0000}"/>
    <cellStyle name="Data 3 2 9" xfId="5420" xr:uid="{00000000-0005-0000-0000-0000441B0000}"/>
    <cellStyle name="Data 3 2 9 10" xfId="5421" xr:uid="{00000000-0005-0000-0000-0000451B0000}"/>
    <cellStyle name="Data 3 2 9 2" xfId="5422" xr:uid="{00000000-0005-0000-0000-0000461B0000}"/>
    <cellStyle name="Data 3 2 9 2 2" xfId="5423" xr:uid="{00000000-0005-0000-0000-0000471B0000}"/>
    <cellStyle name="Data 3 2 9 3" xfId="5424" xr:uid="{00000000-0005-0000-0000-0000481B0000}"/>
    <cellStyle name="Data 3 2 9 3 2" xfId="5425" xr:uid="{00000000-0005-0000-0000-0000491B0000}"/>
    <cellStyle name="Data 3 2 9 4" xfId="5426" xr:uid="{00000000-0005-0000-0000-00004A1B0000}"/>
    <cellStyle name="Data 3 2 9 4 2" xfId="5427" xr:uid="{00000000-0005-0000-0000-00004B1B0000}"/>
    <cellStyle name="Data 3 2 9 5" xfId="5428" xr:uid="{00000000-0005-0000-0000-00004C1B0000}"/>
    <cellStyle name="Data 3 2 9 5 2" xfId="5429" xr:uid="{00000000-0005-0000-0000-00004D1B0000}"/>
    <cellStyle name="Data 3 2 9 6" xfId="5430" xr:uid="{00000000-0005-0000-0000-00004E1B0000}"/>
    <cellStyle name="Data 3 2 9 6 2" xfId="5431" xr:uid="{00000000-0005-0000-0000-00004F1B0000}"/>
    <cellStyle name="Data 3 2 9 7" xfId="5432" xr:uid="{00000000-0005-0000-0000-0000501B0000}"/>
    <cellStyle name="Data 3 2 9 7 2" xfId="5433" xr:uid="{00000000-0005-0000-0000-0000511B0000}"/>
    <cellStyle name="Data 3 2 9 8" xfId="5434" xr:uid="{00000000-0005-0000-0000-0000521B0000}"/>
    <cellStyle name="Data 3 2 9 8 2" xfId="5435" xr:uid="{00000000-0005-0000-0000-0000531B0000}"/>
    <cellStyle name="Data 3 2 9 9" xfId="5436" xr:uid="{00000000-0005-0000-0000-0000541B0000}"/>
    <cellStyle name="Data 3 2 9 9 2" xfId="5437" xr:uid="{00000000-0005-0000-0000-0000551B0000}"/>
    <cellStyle name="Data 3 3" xfId="5438" xr:uid="{00000000-0005-0000-0000-0000561B0000}"/>
    <cellStyle name="Data 3 3 10" xfId="5439" xr:uid="{00000000-0005-0000-0000-0000571B0000}"/>
    <cellStyle name="Data 3 3 10 10" xfId="5440" xr:uid="{00000000-0005-0000-0000-0000581B0000}"/>
    <cellStyle name="Data 3 3 10 2" xfId="5441" xr:uid="{00000000-0005-0000-0000-0000591B0000}"/>
    <cellStyle name="Data 3 3 10 2 2" xfId="5442" xr:uid="{00000000-0005-0000-0000-00005A1B0000}"/>
    <cellStyle name="Data 3 3 10 3" xfId="5443" xr:uid="{00000000-0005-0000-0000-00005B1B0000}"/>
    <cellStyle name="Data 3 3 10 3 2" xfId="5444" xr:uid="{00000000-0005-0000-0000-00005C1B0000}"/>
    <cellStyle name="Data 3 3 10 4" xfId="5445" xr:uid="{00000000-0005-0000-0000-00005D1B0000}"/>
    <cellStyle name="Data 3 3 10 4 2" xfId="5446" xr:uid="{00000000-0005-0000-0000-00005E1B0000}"/>
    <cellStyle name="Data 3 3 10 5" xfId="5447" xr:uid="{00000000-0005-0000-0000-00005F1B0000}"/>
    <cellStyle name="Data 3 3 10 5 2" xfId="5448" xr:uid="{00000000-0005-0000-0000-0000601B0000}"/>
    <cellStyle name="Data 3 3 10 6" xfId="5449" xr:uid="{00000000-0005-0000-0000-0000611B0000}"/>
    <cellStyle name="Data 3 3 10 6 2" xfId="5450" xr:uid="{00000000-0005-0000-0000-0000621B0000}"/>
    <cellStyle name="Data 3 3 10 7" xfId="5451" xr:uid="{00000000-0005-0000-0000-0000631B0000}"/>
    <cellStyle name="Data 3 3 10 7 2" xfId="5452" xr:uid="{00000000-0005-0000-0000-0000641B0000}"/>
    <cellStyle name="Data 3 3 10 8" xfId="5453" xr:uid="{00000000-0005-0000-0000-0000651B0000}"/>
    <cellStyle name="Data 3 3 10 8 2" xfId="5454" xr:uid="{00000000-0005-0000-0000-0000661B0000}"/>
    <cellStyle name="Data 3 3 10 9" xfId="5455" xr:uid="{00000000-0005-0000-0000-0000671B0000}"/>
    <cellStyle name="Data 3 3 10 9 2" xfId="5456" xr:uid="{00000000-0005-0000-0000-0000681B0000}"/>
    <cellStyle name="Data 3 3 11" xfId="5457" xr:uid="{00000000-0005-0000-0000-0000691B0000}"/>
    <cellStyle name="Data 3 3 11 2" xfId="5458" xr:uid="{00000000-0005-0000-0000-00006A1B0000}"/>
    <cellStyle name="Data 3 3 11 2 2" xfId="5459" xr:uid="{00000000-0005-0000-0000-00006B1B0000}"/>
    <cellStyle name="Data 3 3 11 3" xfId="5460" xr:uid="{00000000-0005-0000-0000-00006C1B0000}"/>
    <cellStyle name="Data 3 3 11 3 2" xfId="5461" xr:uid="{00000000-0005-0000-0000-00006D1B0000}"/>
    <cellStyle name="Data 3 3 11 4" xfId="5462" xr:uid="{00000000-0005-0000-0000-00006E1B0000}"/>
    <cellStyle name="Data 3 3 11 4 2" xfId="5463" xr:uid="{00000000-0005-0000-0000-00006F1B0000}"/>
    <cellStyle name="Data 3 3 11 5" xfId="5464" xr:uid="{00000000-0005-0000-0000-0000701B0000}"/>
    <cellStyle name="Data 3 3 11 5 2" xfId="5465" xr:uid="{00000000-0005-0000-0000-0000711B0000}"/>
    <cellStyle name="Data 3 3 11 6" xfId="5466" xr:uid="{00000000-0005-0000-0000-0000721B0000}"/>
    <cellStyle name="Data 3 3 11 6 2" xfId="5467" xr:uid="{00000000-0005-0000-0000-0000731B0000}"/>
    <cellStyle name="Data 3 3 11 7" xfId="5468" xr:uid="{00000000-0005-0000-0000-0000741B0000}"/>
    <cellStyle name="Data 3 3 11 7 2" xfId="5469" xr:uid="{00000000-0005-0000-0000-0000751B0000}"/>
    <cellStyle name="Data 3 3 11 8" xfId="5470" xr:uid="{00000000-0005-0000-0000-0000761B0000}"/>
    <cellStyle name="Data 3 3 11 8 2" xfId="5471" xr:uid="{00000000-0005-0000-0000-0000771B0000}"/>
    <cellStyle name="Data 3 3 11 9" xfId="5472" xr:uid="{00000000-0005-0000-0000-0000781B0000}"/>
    <cellStyle name="Data 3 3 2" xfId="5473" xr:uid="{00000000-0005-0000-0000-0000791B0000}"/>
    <cellStyle name="Data 3 3 2 10" xfId="5474" xr:uid="{00000000-0005-0000-0000-00007A1B0000}"/>
    <cellStyle name="Data 3 3 2 2" xfId="5475" xr:uid="{00000000-0005-0000-0000-00007B1B0000}"/>
    <cellStyle name="Data 3 3 2 2 2" xfId="5476" xr:uid="{00000000-0005-0000-0000-00007C1B0000}"/>
    <cellStyle name="Data 3 3 2 3" xfId="5477" xr:uid="{00000000-0005-0000-0000-00007D1B0000}"/>
    <cellStyle name="Data 3 3 2 3 2" xfId="5478" xr:uid="{00000000-0005-0000-0000-00007E1B0000}"/>
    <cellStyle name="Data 3 3 2 4" xfId="5479" xr:uid="{00000000-0005-0000-0000-00007F1B0000}"/>
    <cellStyle name="Data 3 3 2 4 2" xfId="5480" xr:uid="{00000000-0005-0000-0000-0000801B0000}"/>
    <cellStyle name="Data 3 3 2 5" xfId="5481" xr:uid="{00000000-0005-0000-0000-0000811B0000}"/>
    <cellStyle name="Data 3 3 2 5 2" xfId="5482" xr:uid="{00000000-0005-0000-0000-0000821B0000}"/>
    <cellStyle name="Data 3 3 2 6" xfId="5483" xr:uid="{00000000-0005-0000-0000-0000831B0000}"/>
    <cellStyle name="Data 3 3 2 6 2" xfId="5484" xr:uid="{00000000-0005-0000-0000-0000841B0000}"/>
    <cellStyle name="Data 3 3 2 7" xfId="5485" xr:uid="{00000000-0005-0000-0000-0000851B0000}"/>
    <cellStyle name="Data 3 3 2 7 2" xfId="5486" xr:uid="{00000000-0005-0000-0000-0000861B0000}"/>
    <cellStyle name="Data 3 3 2 8" xfId="5487" xr:uid="{00000000-0005-0000-0000-0000871B0000}"/>
    <cellStyle name="Data 3 3 2 8 2" xfId="5488" xr:uid="{00000000-0005-0000-0000-0000881B0000}"/>
    <cellStyle name="Data 3 3 2 9" xfId="5489" xr:uid="{00000000-0005-0000-0000-0000891B0000}"/>
    <cellStyle name="Data 3 3 2 9 2" xfId="5490" xr:uid="{00000000-0005-0000-0000-00008A1B0000}"/>
    <cellStyle name="Data 3 3 3" xfId="5491" xr:uid="{00000000-0005-0000-0000-00008B1B0000}"/>
    <cellStyle name="Data 3 3 3 10" xfId="5492" xr:uid="{00000000-0005-0000-0000-00008C1B0000}"/>
    <cellStyle name="Data 3 3 3 2" xfId="5493" xr:uid="{00000000-0005-0000-0000-00008D1B0000}"/>
    <cellStyle name="Data 3 3 3 2 2" xfId="5494" xr:uid="{00000000-0005-0000-0000-00008E1B0000}"/>
    <cellStyle name="Data 3 3 3 3" xfId="5495" xr:uid="{00000000-0005-0000-0000-00008F1B0000}"/>
    <cellStyle name="Data 3 3 3 3 2" xfId="5496" xr:uid="{00000000-0005-0000-0000-0000901B0000}"/>
    <cellStyle name="Data 3 3 3 4" xfId="5497" xr:uid="{00000000-0005-0000-0000-0000911B0000}"/>
    <cellStyle name="Data 3 3 3 4 2" xfId="5498" xr:uid="{00000000-0005-0000-0000-0000921B0000}"/>
    <cellStyle name="Data 3 3 3 5" xfId="5499" xr:uid="{00000000-0005-0000-0000-0000931B0000}"/>
    <cellStyle name="Data 3 3 3 5 2" xfId="5500" xr:uid="{00000000-0005-0000-0000-0000941B0000}"/>
    <cellStyle name="Data 3 3 3 6" xfId="5501" xr:uid="{00000000-0005-0000-0000-0000951B0000}"/>
    <cellStyle name="Data 3 3 3 6 2" xfId="5502" xr:uid="{00000000-0005-0000-0000-0000961B0000}"/>
    <cellStyle name="Data 3 3 3 7" xfId="5503" xr:uid="{00000000-0005-0000-0000-0000971B0000}"/>
    <cellStyle name="Data 3 3 3 7 2" xfId="5504" xr:uid="{00000000-0005-0000-0000-0000981B0000}"/>
    <cellStyle name="Data 3 3 3 8" xfId="5505" xr:uid="{00000000-0005-0000-0000-0000991B0000}"/>
    <cellStyle name="Data 3 3 3 8 2" xfId="5506" xr:uid="{00000000-0005-0000-0000-00009A1B0000}"/>
    <cellStyle name="Data 3 3 3 9" xfId="5507" xr:uid="{00000000-0005-0000-0000-00009B1B0000}"/>
    <cellStyle name="Data 3 3 3 9 2" xfId="5508" xr:uid="{00000000-0005-0000-0000-00009C1B0000}"/>
    <cellStyle name="Data 3 3 4" xfId="5509" xr:uid="{00000000-0005-0000-0000-00009D1B0000}"/>
    <cellStyle name="Data 3 3 4 10" xfId="5510" xr:uid="{00000000-0005-0000-0000-00009E1B0000}"/>
    <cellStyle name="Data 3 3 4 2" xfId="5511" xr:uid="{00000000-0005-0000-0000-00009F1B0000}"/>
    <cellStyle name="Data 3 3 4 2 2" xfId="5512" xr:uid="{00000000-0005-0000-0000-0000A01B0000}"/>
    <cellStyle name="Data 3 3 4 3" xfId="5513" xr:uid="{00000000-0005-0000-0000-0000A11B0000}"/>
    <cellStyle name="Data 3 3 4 3 2" xfId="5514" xr:uid="{00000000-0005-0000-0000-0000A21B0000}"/>
    <cellStyle name="Data 3 3 4 4" xfId="5515" xr:uid="{00000000-0005-0000-0000-0000A31B0000}"/>
    <cellStyle name="Data 3 3 4 4 2" xfId="5516" xr:uid="{00000000-0005-0000-0000-0000A41B0000}"/>
    <cellStyle name="Data 3 3 4 5" xfId="5517" xr:uid="{00000000-0005-0000-0000-0000A51B0000}"/>
    <cellStyle name="Data 3 3 4 5 2" xfId="5518" xr:uid="{00000000-0005-0000-0000-0000A61B0000}"/>
    <cellStyle name="Data 3 3 4 6" xfId="5519" xr:uid="{00000000-0005-0000-0000-0000A71B0000}"/>
    <cellStyle name="Data 3 3 4 6 2" xfId="5520" xr:uid="{00000000-0005-0000-0000-0000A81B0000}"/>
    <cellStyle name="Data 3 3 4 7" xfId="5521" xr:uid="{00000000-0005-0000-0000-0000A91B0000}"/>
    <cellStyle name="Data 3 3 4 7 2" xfId="5522" xr:uid="{00000000-0005-0000-0000-0000AA1B0000}"/>
    <cellStyle name="Data 3 3 4 8" xfId="5523" xr:uid="{00000000-0005-0000-0000-0000AB1B0000}"/>
    <cellStyle name="Data 3 3 4 8 2" xfId="5524" xr:uid="{00000000-0005-0000-0000-0000AC1B0000}"/>
    <cellStyle name="Data 3 3 4 9" xfId="5525" xr:uid="{00000000-0005-0000-0000-0000AD1B0000}"/>
    <cellStyle name="Data 3 3 4 9 2" xfId="5526" xr:uid="{00000000-0005-0000-0000-0000AE1B0000}"/>
    <cellStyle name="Data 3 3 5" xfId="5527" xr:uid="{00000000-0005-0000-0000-0000AF1B0000}"/>
    <cellStyle name="Data 3 3 5 10" xfId="5528" xr:uid="{00000000-0005-0000-0000-0000B01B0000}"/>
    <cellStyle name="Data 3 3 5 2" xfId="5529" xr:uid="{00000000-0005-0000-0000-0000B11B0000}"/>
    <cellStyle name="Data 3 3 5 2 2" xfId="5530" xr:uid="{00000000-0005-0000-0000-0000B21B0000}"/>
    <cellStyle name="Data 3 3 5 3" xfId="5531" xr:uid="{00000000-0005-0000-0000-0000B31B0000}"/>
    <cellStyle name="Data 3 3 5 3 2" xfId="5532" xr:uid="{00000000-0005-0000-0000-0000B41B0000}"/>
    <cellStyle name="Data 3 3 5 4" xfId="5533" xr:uid="{00000000-0005-0000-0000-0000B51B0000}"/>
    <cellStyle name="Data 3 3 5 4 2" xfId="5534" xr:uid="{00000000-0005-0000-0000-0000B61B0000}"/>
    <cellStyle name="Data 3 3 5 5" xfId="5535" xr:uid="{00000000-0005-0000-0000-0000B71B0000}"/>
    <cellStyle name="Data 3 3 5 5 2" xfId="5536" xr:uid="{00000000-0005-0000-0000-0000B81B0000}"/>
    <cellStyle name="Data 3 3 5 6" xfId="5537" xr:uid="{00000000-0005-0000-0000-0000B91B0000}"/>
    <cellStyle name="Data 3 3 5 6 2" xfId="5538" xr:uid="{00000000-0005-0000-0000-0000BA1B0000}"/>
    <cellStyle name="Data 3 3 5 7" xfId="5539" xr:uid="{00000000-0005-0000-0000-0000BB1B0000}"/>
    <cellStyle name="Data 3 3 5 7 2" xfId="5540" xr:uid="{00000000-0005-0000-0000-0000BC1B0000}"/>
    <cellStyle name="Data 3 3 5 8" xfId="5541" xr:uid="{00000000-0005-0000-0000-0000BD1B0000}"/>
    <cellStyle name="Data 3 3 5 8 2" xfId="5542" xr:uid="{00000000-0005-0000-0000-0000BE1B0000}"/>
    <cellStyle name="Data 3 3 5 9" xfId="5543" xr:uid="{00000000-0005-0000-0000-0000BF1B0000}"/>
    <cellStyle name="Data 3 3 5 9 2" xfId="5544" xr:uid="{00000000-0005-0000-0000-0000C01B0000}"/>
    <cellStyle name="Data 3 3 6" xfId="5545" xr:uid="{00000000-0005-0000-0000-0000C11B0000}"/>
    <cellStyle name="Data 3 3 6 10" xfId="5546" xr:uid="{00000000-0005-0000-0000-0000C21B0000}"/>
    <cellStyle name="Data 3 3 6 2" xfId="5547" xr:uid="{00000000-0005-0000-0000-0000C31B0000}"/>
    <cellStyle name="Data 3 3 6 2 2" xfId="5548" xr:uid="{00000000-0005-0000-0000-0000C41B0000}"/>
    <cellStyle name="Data 3 3 6 3" xfId="5549" xr:uid="{00000000-0005-0000-0000-0000C51B0000}"/>
    <cellStyle name="Data 3 3 6 3 2" xfId="5550" xr:uid="{00000000-0005-0000-0000-0000C61B0000}"/>
    <cellStyle name="Data 3 3 6 4" xfId="5551" xr:uid="{00000000-0005-0000-0000-0000C71B0000}"/>
    <cellStyle name="Data 3 3 6 4 2" xfId="5552" xr:uid="{00000000-0005-0000-0000-0000C81B0000}"/>
    <cellStyle name="Data 3 3 6 5" xfId="5553" xr:uid="{00000000-0005-0000-0000-0000C91B0000}"/>
    <cellStyle name="Data 3 3 6 5 2" xfId="5554" xr:uid="{00000000-0005-0000-0000-0000CA1B0000}"/>
    <cellStyle name="Data 3 3 6 6" xfId="5555" xr:uid="{00000000-0005-0000-0000-0000CB1B0000}"/>
    <cellStyle name="Data 3 3 6 6 2" xfId="5556" xr:uid="{00000000-0005-0000-0000-0000CC1B0000}"/>
    <cellStyle name="Data 3 3 6 7" xfId="5557" xr:uid="{00000000-0005-0000-0000-0000CD1B0000}"/>
    <cellStyle name="Data 3 3 6 7 2" xfId="5558" xr:uid="{00000000-0005-0000-0000-0000CE1B0000}"/>
    <cellStyle name="Data 3 3 6 8" xfId="5559" xr:uid="{00000000-0005-0000-0000-0000CF1B0000}"/>
    <cellStyle name="Data 3 3 6 8 2" xfId="5560" xr:uid="{00000000-0005-0000-0000-0000D01B0000}"/>
    <cellStyle name="Data 3 3 6 9" xfId="5561" xr:uid="{00000000-0005-0000-0000-0000D11B0000}"/>
    <cellStyle name="Data 3 3 6 9 2" xfId="5562" xr:uid="{00000000-0005-0000-0000-0000D21B0000}"/>
    <cellStyle name="Data 3 3 7" xfId="5563" xr:uid="{00000000-0005-0000-0000-0000D31B0000}"/>
    <cellStyle name="Data 3 3 7 10" xfId="5564" xr:uid="{00000000-0005-0000-0000-0000D41B0000}"/>
    <cellStyle name="Data 3 3 7 2" xfId="5565" xr:uid="{00000000-0005-0000-0000-0000D51B0000}"/>
    <cellStyle name="Data 3 3 7 2 2" xfId="5566" xr:uid="{00000000-0005-0000-0000-0000D61B0000}"/>
    <cellStyle name="Data 3 3 7 3" xfId="5567" xr:uid="{00000000-0005-0000-0000-0000D71B0000}"/>
    <cellStyle name="Data 3 3 7 3 2" xfId="5568" xr:uid="{00000000-0005-0000-0000-0000D81B0000}"/>
    <cellStyle name="Data 3 3 7 4" xfId="5569" xr:uid="{00000000-0005-0000-0000-0000D91B0000}"/>
    <cellStyle name="Data 3 3 7 4 2" xfId="5570" xr:uid="{00000000-0005-0000-0000-0000DA1B0000}"/>
    <cellStyle name="Data 3 3 7 5" xfId="5571" xr:uid="{00000000-0005-0000-0000-0000DB1B0000}"/>
    <cellStyle name="Data 3 3 7 5 2" xfId="5572" xr:uid="{00000000-0005-0000-0000-0000DC1B0000}"/>
    <cellStyle name="Data 3 3 7 6" xfId="5573" xr:uid="{00000000-0005-0000-0000-0000DD1B0000}"/>
    <cellStyle name="Data 3 3 7 6 2" xfId="5574" xr:uid="{00000000-0005-0000-0000-0000DE1B0000}"/>
    <cellStyle name="Data 3 3 7 7" xfId="5575" xr:uid="{00000000-0005-0000-0000-0000DF1B0000}"/>
    <cellStyle name="Data 3 3 7 7 2" xfId="5576" xr:uid="{00000000-0005-0000-0000-0000E01B0000}"/>
    <cellStyle name="Data 3 3 7 8" xfId="5577" xr:uid="{00000000-0005-0000-0000-0000E11B0000}"/>
    <cellStyle name="Data 3 3 7 8 2" xfId="5578" xr:uid="{00000000-0005-0000-0000-0000E21B0000}"/>
    <cellStyle name="Data 3 3 7 9" xfId="5579" xr:uid="{00000000-0005-0000-0000-0000E31B0000}"/>
    <cellStyle name="Data 3 3 7 9 2" xfId="5580" xr:uid="{00000000-0005-0000-0000-0000E41B0000}"/>
    <cellStyle name="Data 3 3 8" xfId="5581" xr:uid="{00000000-0005-0000-0000-0000E51B0000}"/>
    <cellStyle name="Data 3 3 8 10" xfId="5582" xr:uid="{00000000-0005-0000-0000-0000E61B0000}"/>
    <cellStyle name="Data 3 3 8 2" xfId="5583" xr:uid="{00000000-0005-0000-0000-0000E71B0000}"/>
    <cellStyle name="Data 3 3 8 2 2" xfId="5584" xr:uid="{00000000-0005-0000-0000-0000E81B0000}"/>
    <cellStyle name="Data 3 3 8 3" xfId="5585" xr:uid="{00000000-0005-0000-0000-0000E91B0000}"/>
    <cellStyle name="Data 3 3 8 3 2" xfId="5586" xr:uid="{00000000-0005-0000-0000-0000EA1B0000}"/>
    <cellStyle name="Data 3 3 8 4" xfId="5587" xr:uid="{00000000-0005-0000-0000-0000EB1B0000}"/>
    <cellStyle name="Data 3 3 8 4 2" xfId="5588" xr:uid="{00000000-0005-0000-0000-0000EC1B0000}"/>
    <cellStyle name="Data 3 3 8 5" xfId="5589" xr:uid="{00000000-0005-0000-0000-0000ED1B0000}"/>
    <cellStyle name="Data 3 3 8 5 2" xfId="5590" xr:uid="{00000000-0005-0000-0000-0000EE1B0000}"/>
    <cellStyle name="Data 3 3 8 6" xfId="5591" xr:uid="{00000000-0005-0000-0000-0000EF1B0000}"/>
    <cellStyle name="Data 3 3 8 6 2" xfId="5592" xr:uid="{00000000-0005-0000-0000-0000F01B0000}"/>
    <cellStyle name="Data 3 3 8 7" xfId="5593" xr:uid="{00000000-0005-0000-0000-0000F11B0000}"/>
    <cellStyle name="Data 3 3 8 7 2" xfId="5594" xr:uid="{00000000-0005-0000-0000-0000F21B0000}"/>
    <cellStyle name="Data 3 3 8 8" xfId="5595" xr:uid="{00000000-0005-0000-0000-0000F31B0000}"/>
    <cellStyle name="Data 3 3 8 8 2" xfId="5596" xr:uid="{00000000-0005-0000-0000-0000F41B0000}"/>
    <cellStyle name="Data 3 3 8 9" xfId="5597" xr:uid="{00000000-0005-0000-0000-0000F51B0000}"/>
    <cellStyle name="Data 3 3 8 9 2" xfId="5598" xr:uid="{00000000-0005-0000-0000-0000F61B0000}"/>
    <cellStyle name="Data 3 3 9" xfId="5599" xr:uid="{00000000-0005-0000-0000-0000F71B0000}"/>
    <cellStyle name="Data 3 3 9 10" xfId="5600" xr:uid="{00000000-0005-0000-0000-0000F81B0000}"/>
    <cellStyle name="Data 3 3 9 2" xfId="5601" xr:uid="{00000000-0005-0000-0000-0000F91B0000}"/>
    <cellStyle name="Data 3 3 9 2 2" xfId="5602" xr:uid="{00000000-0005-0000-0000-0000FA1B0000}"/>
    <cellStyle name="Data 3 3 9 3" xfId="5603" xr:uid="{00000000-0005-0000-0000-0000FB1B0000}"/>
    <cellStyle name="Data 3 3 9 3 2" xfId="5604" xr:uid="{00000000-0005-0000-0000-0000FC1B0000}"/>
    <cellStyle name="Data 3 3 9 4" xfId="5605" xr:uid="{00000000-0005-0000-0000-0000FD1B0000}"/>
    <cellStyle name="Data 3 3 9 4 2" xfId="5606" xr:uid="{00000000-0005-0000-0000-0000FE1B0000}"/>
    <cellStyle name="Data 3 3 9 5" xfId="5607" xr:uid="{00000000-0005-0000-0000-0000FF1B0000}"/>
    <cellStyle name="Data 3 3 9 5 2" xfId="5608" xr:uid="{00000000-0005-0000-0000-0000001C0000}"/>
    <cellStyle name="Data 3 3 9 6" xfId="5609" xr:uid="{00000000-0005-0000-0000-0000011C0000}"/>
    <cellStyle name="Data 3 3 9 6 2" xfId="5610" xr:uid="{00000000-0005-0000-0000-0000021C0000}"/>
    <cellStyle name="Data 3 3 9 7" xfId="5611" xr:uid="{00000000-0005-0000-0000-0000031C0000}"/>
    <cellStyle name="Data 3 3 9 7 2" xfId="5612" xr:uid="{00000000-0005-0000-0000-0000041C0000}"/>
    <cellStyle name="Data 3 3 9 8" xfId="5613" xr:uid="{00000000-0005-0000-0000-0000051C0000}"/>
    <cellStyle name="Data 3 3 9 8 2" xfId="5614" xr:uid="{00000000-0005-0000-0000-0000061C0000}"/>
    <cellStyle name="Data 3 3 9 9" xfId="5615" xr:uid="{00000000-0005-0000-0000-0000071C0000}"/>
    <cellStyle name="Data 3 3 9 9 2" xfId="5616" xr:uid="{00000000-0005-0000-0000-0000081C0000}"/>
    <cellStyle name="Data 3 4" xfId="5617" xr:uid="{00000000-0005-0000-0000-0000091C0000}"/>
    <cellStyle name="Data 3 4 10" xfId="5618" xr:uid="{00000000-0005-0000-0000-00000A1C0000}"/>
    <cellStyle name="Data 3 4 10 2" xfId="5619" xr:uid="{00000000-0005-0000-0000-00000B1C0000}"/>
    <cellStyle name="Data 3 4 10 2 2" xfId="5620" xr:uid="{00000000-0005-0000-0000-00000C1C0000}"/>
    <cellStyle name="Data 3 4 10 3" xfId="5621" xr:uid="{00000000-0005-0000-0000-00000D1C0000}"/>
    <cellStyle name="Data 3 4 10 3 2" xfId="5622" xr:uid="{00000000-0005-0000-0000-00000E1C0000}"/>
    <cellStyle name="Data 3 4 10 4" xfId="5623" xr:uid="{00000000-0005-0000-0000-00000F1C0000}"/>
    <cellStyle name="Data 3 4 10 4 2" xfId="5624" xr:uid="{00000000-0005-0000-0000-0000101C0000}"/>
    <cellStyle name="Data 3 4 10 5" xfId="5625" xr:uid="{00000000-0005-0000-0000-0000111C0000}"/>
    <cellStyle name="Data 3 4 10 5 2" xfId="5626" xr:uid="{00000000-0005-0000-0000-0000121C0000}"/>
    <cellStyle name="Data 3 4 10 6" xfId="5627" xr:uid="{00000000-0005-0000-0000-0000131C0000}"/>
    <cellStyle name="Data 3 4 10 6 2" xfId="5628" xr:uid="{00000000-0005-0000-0000-0000141C0000}"/>
    <cellStyle name="Data 3 4 10 7" xfId="5629" xr:uid="{00000000-0005-0000-0000-0000151C0000}"/>
    <cellStyle name="Data 3 4 10 7 2" xfId="5630" xr:uid="{00000000-0005-0000-0000-0000161C0000}"/>
    <cellStyle name="Data 3 4 10 8" xfId="5631" xr:uid="{00000000-0005-0000-0000-0000171C0000}"/>
    <cellStyle name="Data 3 4 10 8 2" xfId="5632" xr:uid="{00000000-0005-0000-0000-0000181C0000}"/>
    <cellStyle name="Data 3 4 10 9" xfId="5633" xr:uid="{00000000-0005-0000-0000-0000191C0000}"/>
    <cellStyle name="Data 3 4 11" xfId="5634" xr:uid="{00000000-0005-0000-0000-00001A1C0000}"/>
    <cellStyle name="Data 3 4 11 2" xfId="5635" xr:uid="{00000000-0005-0000-0000-00001B1C0000}"/>
    <cellStyle name="Data 3 4 12" xfId="5636" xr:uid="{00000000-0005-0000-0000-00001C1C0000}"/>
    <cellStyle name="Data 3 4 12 2" xfId="5637" xr:uid="{00000000-0005-0000-0000-00001D1C0000}"/>
    <cellStyle name="Data 3 4 13" xfId="5638" xr:uid="{00000000-0005-0000-0000-00001E1C0000}"/>
    <cellStyle name="Data 3 4 13 2" xfId="5639" xr:uid="{00000000-0005-0000-0000-00001F1C0000}"/>
    <cellStyle name="Data 3 4 14" xfId="5640" xr:uid="{00000000-0005-0000-0000-0000201C0000}"/>
    <cellStyle name="Data 3 4 14 2" xfId="5641" xr:uid="{00000000-0005-0000-0000-0000211C0000}"/>
    <cellStyle name="Data 3 4 15" xfId="5642" xr:uid="{00000000-0005-0000-0000-0000221C0000}"/>
    <cellStyle name="Data 3 4 15 2" xfId="5643" xr:uid="{00000000-0005-0000-0000-0000231C0000}"/>
    <cellStyle name="Data 3 4 16" xfId="5644" xr:uid="{00000000-0005-0000-0000-0000241C0000}"/>
    <cellStyle name="Data 3 4 16 2" xfId="5645" xr:uid="{00000000-0005-0000-0000-0000251C0000}"/>
    <cellStyle name="Data 3 4 17" xfId="5646" xr:uid="{00000000-0005-0000-0000-0000261C0000}"/>
    <cellStyle name="Data 3 4 17 2" xfId="5647" xr:uid="{00000000-0005-0000-0000-0000271C0000}"/>
    <cellStyle name="Data 3 4 18" xfId="5648" xr:uid="{00000000-0005-0000-0000-0000281C0000}"/>
    <cellStyle name="Data 3 4 2" xfId="5649" xr:uid="{00000000-0005-0000-0000-0000291C0000}"/>
    <cellStyle name="Data 3 4 2 10" xfId="5650" xr:uid="{00000000-0005-0000-0000-00002A1C0000}"/>
    <cellStyle name="Data 3 4 2 2" xfId="5651" xr:uid="{00000000-0005-0000-0000-00002B1C0000}"/>
    <cellStyle name="Data 3 4 2 2 2" xfId="5652" xr:uid="{00000000-0005-0000-0000-00002C1C0000}"/>
    <cellStyle name="Data 3 4 2 3" xfId="5653" xr:uid="{00000000-0005-0000-0000-00002D1C0000}"/>
    <cellStyle name="Data 3 4 2 3 2" xfId="5654" xr:uid="{00000000-0005-0000-0000-00002E1C0000}"/>
    <cellStyle name="Data 3 4 2 4" xfId="5655" xr:uid="{00000000-0005-0000-0000-00002F1C0000}"/>
    <cellStyle name="Data 3 4 2 4 2" xfId="5656" xr:uid="{00000000-0005-0000-0000-0000301C0000}"/>
    <cellStyle name="Data 3 4 2 5" xfId="5657" xr:uid="{00000000-0005-0000-0000-0000311C0000}"/>
    <cellStyle name="Data 3 4 2 5 2" xfId="5658" xr:uid="{00000000-0005-0000-0000-0000321C0000}"/>
    <cellStyle name="Data 3 4 2 6" xfId="5659" xr:uid="{00000000-0005-0000-0000-0000331C0000}"/>
    <cellStyle name="Data 3 4 2 6 2" xfId="5660" xr:uid="{00000000-0005-0000-0000-0000341C0000}"/>
    <cellStyle name="Data 3 4 2 7" xfId="5661" xr:uid="{00000000-0005-0000-0000-0000351C0000}"/>
    <cellStyle name="Data 3 4 2 7 2" xfId="5662" xr:uid="{00000000-0005-0000-0000-0000361C0000}"/>
    <cellStyle name="Data 3 4 2 8" xfId="5663" xr:uid="{00000000-0005-0000-0000-0000371C0000}"/>
    <cellStyle name="Data 3 4 2 8 2" xfId="5664" xr:uid="{00000000-0005-0000-0000-0000381C0000}"/>
    <cellStyle name="Data 3 4 2 9" xfId="5665" xr:uid="{00000000-0005-0000-0000-0000391C0000}"/>
    <cellStyle name="Data 3 4 2 9 2" xfId="5666" xr:uid="{00000000-0005-0000-0000-00003A1C0000}"/>
    <cellStyle name="Data 3 4 3" xfId="5667" xr:uid="{00000000-0005-0000-0000-00003B1C0000}"/>
    <cellStyle name="Data 3 4 3 10" xfId="5668" xr:uid="{00000000-0005-0000-0000-00003C1C0000}"/>
    <cellStyle name="Data 3 4 3 2" xfId="5669" xr:uid="{00000000-0005-0000-0000-00003D1C0000}"/>
    <cellStyle name="Data 3 4 3 2 2" xfId="5670" xr:uid="{00000000-0005-0000-0000-00003E1C0000}"/>
    <cellStyle name="Data 3 4 3 3" xfId="5671" xr:uid="{00000000-0005-0000-0000-00003F1C0000}"/>
    <cellStyle name="Data 3 4 3 3 2" xfId="5672" xr:uid="{00000000-0005-0000-0000-0000401C0000}"/>
    <cellStyle name="Data 3 4 3 4" xfId="5673" xr:uid="{00000000-0005-0000-0000-0000411C0000}"/>
    <cellStyle name="Data 3 4 3 4 2" xfId="5674" xr:uid="{00000000-0005-0000-0000-0000421C0000}"/>
    <cellStyle name="Data 3 4 3 5" xfId="5675" xr:uid="{00000000-0005-0000-0000-0000431C0000}"/>
    <cellStyle name="Data 3 4 3 5 2" xfId="5676" xr:uid="{00000000-0005-0000-0000-0000441C0000}"/>
    <cellStyle name="Data 3 4 3 6" xfId="5677" xr:uid="{00000000-0005-0000-0000-0000451C0000}"/>
    <cellStyle name="Data 3 4 3 6 2" xfId="5678" xr:uid="{00000000-0005-0000-0000-0000461C0000}"/>
    <cellStyle name="Data 3 4 3 7" xfId="5679" xr:uid="{00000000-0005-0000-0000-0000471C0000}"/>
    <cellStyle name="Data 3 4 3 7 2" xfId="5680" xr:uid="{00000000-0005-0000-0000-0000481C0000}"/>
    <cellStyle name="Data 3 4 3 8" xfId="5681" xr:uid="{00000000-0005-0000-0000-0000491C0000}"/>
    <cellStyle name="Data 3 4 3 8 2" xfId="5682" xr:uid="{00000000-0005-0000-0000-00004A1C0000}"/>
    <cellStyle name="Data 3 4 3 9" xfId="5683" xr:uid="{00000000-0005-0000-0000-00004B1C0000}"/>
    <cellStyle name="Data 3 4 3 9 2" xfId="5684" xr:uid="{00000000-0005-0000-0000-00004C1C0000}"/>
    <cellStyle name="Data 3 4 4" xfId="5685" xr:uid="{00000000-0005-0000-0000-00004D1C0000}"/>
    <cellStyle name="Data 3 4 4 10" xfId="5686" xr:uid="{00000000-0005-0000-0000-00004E1C0000}"/>
    <cellStyle name="Data 3 4 4 2" xfId="5687" xr:uid="{00000000-0005-0000-0000-00004F1C0000}"/>
    <cellStyle name="Data 3 4 4 2 2" xfId="5688" xr:uid="{00000000-0005-0000-0000-0000501C0000}"/>
    <cellStyle name="Data 3 4 4 3" xfId="5689" xr:uid="{00000000-0005-0000-0000-0000511C0000}"/>
    <cellStyle name="Data 3 4 4 3 2" xfId="5690" xr:uid="{00000000-0005-0000-0000-0000521C0000}"/>
    <cellStyle name="Data 3 4 4 4" xfId="5691" xr:uid="{00000000-0005-0000-0000-0000531C0000}"/>
    <cellStyle name="Data 3 4 4 4 2" xfId="5692" xr:uid="{00000000-0005-0000-0000-0000541C0000}"/>
    <cellStyle name="Data 3 4 4 5" xfId="5693" xr:uid="{00000000-0005-0000-0000-0000551C0000}"/>
    <cellStyle name="Data 3 4 4 5 2" xfId="5694" xr:uid="{00000000-0005-0000-0000-0000561C0000}"/>
    <cellStyle name="Data 3 4 4 6" xfId="5695" xr:uid="{00000000-0005-0000-0000-0000571C0000}"/>
    <cellStyle name="Data 3 4 4 6 2" xfId="5696" xr:uid="{00000000-0005-0000-0000-0000581C0000}"/>
    <cellStyle name="Data 3 4 4 7" xfId="5697" xr:uid="{00000000-0005-0000-0000-0000591C0000}"/>
    <cellStyle name="Data 3 4 4 7 2" xfId="5698" xr:uid="{00000000-0005-0000-0000-00005A1C0000}"/>
    <cellStyle name="Data 3 4 4 8" xfId="5699" xr:uid="{00000000-0005-0000-0000-00005B1C0000}"/>
    <cellStyle name="Data 3 4 4 8 2" xfId="5700" xr:uid="{00000000-0005-0000-0000-00005C1C0000}"/>
    <cellStyle name="Data 3 4 4 9" xfId="5701" xr:uid="{00000000-0005-0000-0000-00005D1C0000}"/>
    <cellStyle name="Data 3 4 4 9 2" xfId="5702" xr:uid="{00000000-0005-0000-0000-00005E1C0000}"/>
    <cellStyle name="Data 3 4 5" xfId="5703" xr:uid="{00000000-0005-0000-0000-00005F1C0000}"/>
    <cellStyle name="Data 3 4 5 10" xfId="5704" xr:uid="{00000000-0005-0000-0000-0000601C0000}"/>
    <cellStyle name="Data 3 4 5 2" xfId="5705" xr:uid="{00000000-0005-0000-0000-0000611C0000}"/>
    <cellStyle name="Data 3 4 5 2 2" xfId="5706" xr:uid="{00000000-0005-0000-0000-0000621C0000}"/>
    <cellStyle name="Data 3 4 5 3" xfId="5707" xr:uid="{00000000-0005-0000-0000-0000631C0000}"/>
    <cellStyle name="Data 3 4 5 3 2" xfId="5708" xr:uid="{00000000-0005-0000-0000-0000641C0000}"/>
    <cellStyle name="Data 3 4 5 4" xfId="5709" xr:uid="{00000000-0005-0000-0000-0000651C0000}"/>
    <cellStyle name="Data 3 4 5 4 2" xfId="5710" xr:uid="{00000000-0005-0000-0000-0000661C0000}"/>
    <cellStyle name="Data 3 4 5 5" xfId="5711" xr:uid="{00000000-0005-0000-0000-0000671C0000}"/>
    <cellStyle name="Data 3 4 5 5 2" xfId="5712" xr:uid="{00000000-0005-0000-0000-0000681C0000}"/>
    <cellStyle name="Data 3 4 5 6" xfId="5713" xr:uid="{00000000-0005-0000-0000-0000691C0000}"/>
    <cellStyle name="Data 3 4 5 6 2" xfId="5714" xr:uid="{00000000-0005-0000-0000-00006A1C0000}"/>
    <cellStyle name="Data 3 4 5 7" xfId="5715" xr:uid="{00000000-0005-0000-0000-00006B1C0000}"/>
    <cellStyle name="Data 3 4 5 7 2" xfId="5716" xr:uid="{00000000-0005-0000-0000-00006C1C0000}"/>
    <cellStyle name="Data 3 4 5 8" xfId="5717" xr:uid="{00000000-0005-0000-0000-00006D1C0000}"/>
    <cellStyle name="Data 3 4 5 8 2" xfId="5718" xr:uid="{00000000-0005-0000-0000-00006E1C0000}"/>
    <cellStyle name="Data 3 4 5 9" xfId="5719" xr:uid="{00000000-0005-0000-0000-00006F1C0000}"/>
    <cellStyle name="Data 3 4 5 9 2" xfId="5720" xr:uid="{00000000-0005-0000-0000-0000701C0000}"/>
    <cellStyle name="Data 3 4 6" xfId="5721" xr:uid="{00000000-0005-0000-0000-0000711C0000}"/>
    <cellStyle name="Data 3 4 6 10" xfId="5722" xr:uid="{00000000-0005-0000-0000-0000721C0000}"/>
    <cellStyle name="Data 3 4 6 2" xfId="5723" xr:uid="{00000000-0005-0000-0000-0000731C0000}"/>
    <cellStyle name="Data 3 4 6 2 2" xfId="5724" xr:uid="{00000000-0005-0000-0000-0000741C0000}"/>
    <cellStyle name="Data 3 4 6 3" xfId="5725" xr:uid="{00000000-0005-0000-0000-0000751C0000}"/>
    <cellStyle name="Data 3 4 6 3 2" xfId="5726" xr:uid="{00000000-0005-0000-0000-0000761C0000}"/>
    <cellStyle name="Data 3 4 6 4" xfId="5727" xr:uid="{00000000-0005-0000-0000-0000771C0000}"/>
    <cellStyle name="Data 3 4 6 4 2" xfId="5728" xr:uid="{00000000-0005-0000-0000-0000781C0000}"/>
    <cellStyle name="Data 3 4 6 5" xfId="5729" xr:uid="{00000000-0005-0000-0000-0000791C0000}"/>
    <cellStyle name="Data 3 4 6 5 2" xfId="5730" xr:uid="{00000000-0005-0000-0000-00007A1C0000}"/>
    <cellStyle name="Data 3 4 6 6" xfId="5731" xr:uid="{00000000-0005-0000-0000-00007B1C0000}"/>
    <cellStyle name="Data 3 4 6 6 2" xfId="5732" xr:uid="{00000000-0005-0000-0000-00007C1C0000}"/>
    <cellStyle name="Data 3 4 6 7" xfId="5733" xr:uid="{00000000-0005-0000-0000-00007D1C0000}"/>
    <cellStyle name="Data 3 4 6 7 2" xfId="5734" xr:uid="{00000000-0005-0000-0000-00007E1C0000}"/>
    <cellStyle name="Data 3 4 6 8" xfId="5735" xr:uid="{00000000-0005-0000-0000-00007F1C0000}"/>
    <cellStyle name="Data 3 4 6 8 2" xfId="5736" xr:uid="{00000000-0005-0000-0000-0000801C0000}"/>
    <cellStyle name="Data 3 4 6 9" xfId="5737" xr:uid="{00000000-0005-0000-0000-0000811C0000}"/>
    <cellStyle name="Data 3 4 6 9 2" xfId="5738" xr:uid="{00000000-0005-0000-0000-0000821C0000}"/>
    <cellStyle name="Data 3 4 7" xfId="5739" xr:uid="{00000000-0005-0000-0000-0000831C0000}"/>
    <cellStyle name="Data 3 4 7 10" xfId="5740" xr:uid="{00000000-0005-0000-0000-0000841C0000}"/>
    <cellStyle name="Data 3 4 7 2" xfId="5741" xr:uid="{00000000-0005-0000-0000-0000851C0000}"/>
    <cellStyle name="Data 3 4 7 2 2" xfId="5742" xr:uid="{00000000-0005-0000-0000-0000861C0000}"/>
    <cellStyle name="Data 3 4 7 3" xfId="5743" xr:uid="{00000000-0005-0000-0000-0000871C0000}"/>
    <cellStyle name="Data 3 4 7 3 2" xfId="5744" xr:uid="{00000000-0005-0000-0000-0000881C0000}"/>
    <cellStyle name="Data 3 4 7 4" xfId="5745" xr:uid="{00000000-0005-0000-0000-0000891C0000}"/>
    <cellStyle name="Data 3 4 7 4 2" xfId="5746" xr:uid="{00000000-0005-0000-0000-00008A1C0000}"/>
    <cellStyle name="Data 3 4 7 5" xfId="5747" xr:uid="{00000000-0005-0000-0000-00008B1C0000}"/>
    <cellStyle name="Data 3 4 7 5 2" xfId="5748" xr:uid="{00000000-0005-0000-0000-00008C1C0000}"/>
    <cellStyle name="Data 3 4 7 6" xfId="5749" xr:uid="{00000000-0005-0000-0000-00008D1C0000}"/>
    <cellStyle name="Data 3 4 7 6 2" xfId="5750" xr:uid="{00000000-0005-0000-0000-00008E1C0000}"/>
    <cellStyle name="Data 3 4 7 7" xfId="5751" xr:uid="{00000000-0005-0000-0000-00008F1C0000}"/>
    <cellStyle name="Data 3 4 7 7 2" xfId="5752" xr:uid="{00000000-0005-0000-0000-0000901C0000}"/>
    <cellStyle name="Data 3 4 7 8" xfId="5753" xr:uid="{00000000-0005-0000-0000-0000911C0000}"/>
    <cellStyle name="Data 3 4 7 8 2" xfId="5754" xr:uid="{00000000-0005-0000-0000-0000921C0000}"/>
    <cellStyle name="Data 3 4 7 9" xfId="5755" xr:uid="{00000000-0005-0000-0000-0000931C0000}"/>
    <cellStyle name="Data 3 4 7 9 2" xfId="5756" xr:uid="{00000000-0005-0000-0000-0000941C0000}"/>
    <cellStyle name="Data 3 4 8" xfId="5757" xr:uid="{00000000-0005-0000-0000-0000951C0000}"/>
    <cellStyle name="Data 3 4 8 10" xfId="5758" xr:uid="{00000000-0005-0000-0000-0000961C0000}"/>
    <cellStyle name="Data 3 4 8 2" xfId="5759" xr:uid="{00000000-0005-0000-0000-0000971C0000}"/>
    <cellStyle name="Data 3 4 8 2 2" xfId="5760" xr:uid="{00000000-0005-0000-0000-0000981C0000}"/>
    <cellStyle name="Data 3 4 8 3" xfId="5761" xr:uid="{00000000-0005-0000-0000-0000991C0000}"/>
    <cellStyle name="Data 3 4 8 3 2" xfId="5762" xr:uid="{00000000-0005-0000-0000-00009A1C0000}"/>
    <cellStyle name="Data 3 4 8 4" xfId="5763" xr:uid="{00000000-0005-0000-0000-00009B1C0000}"/>
    <cellStyle name="Data 3 4 8 4 2" xfId="5764" xr:uid="{00000000-0005-0000-0000-00009C1C0000}"/>
    <cellStyle name="Data 3 4 8 5" xfId="5765" xr:uid="{00000000-0005-0000-0000-00009D1C0000}"/>
    <cellStyle name="Data 3 4 8 5 2" xfId="5766" xr:uid="{00000000-0005-0000-0000-00009E1C0000}"/>
    <cellStyle name="Data 3 4 8 6" xfId="5767" xr:uid="{00000000-0005-0000-0000-00009F1C0000}"/>
    <cellStyle name="Data 3 4 8 6 2" xfId="5768" xr:uid="{00000000-0005-0000-0000-0000A01C0000}"/>
    <cellStyle name="Data 3 4 8 7" xfId="5769" xr:uid="{00000000-0005-0000-0000-0000A11C0000}"/>
    <cellStyle name="Data 3 4 8 7 2" xfId="5770" xr:uid="{00000000-0005-0000-0000-0000A21C0000}"/>
    <cellStyle name="Data 3 4 8 8" xfId="5771" xr:uid="{00000000-0005-0000-0000-0000A31C0000}"/>
    <cellStyle name="Data 3 4 8 8 2" xfId="5772" xr:uid="{00000000-0005-0000-0000-0000A41C0000}"/>
    <cellStyle name="Data 3 4 8 9" xfId="5773" xr:uid="{00000000-0005-0000-0000-0000A51C0000}"/>
    <cellStyle name="Data 3 4 8 9 2" xfId="5774" xr:uid="{00000000-0005-0000-0000-0000A61C0000}"/>
    <cellStyle name="Data 3 4 9" xfId="5775" xr:uid="{00000000-0005-0000-0000-0000A71C0000}"/>
    <cellStyle name="Data 3 4 9 10" xfId="5776" xr:uid="{00000000-0005-0000-0000-0000A81C0000}"/>
    <cellStyle name="Data 3 4 9 2" xfId="5777" xr:uid="{00000000-0005-0000-0000-0000A91C0000}"/>
    <cellStyle name="Data 3 4 9 2 2" xfId="5778" xr:uid="{00000000-0005-0000-0000-0000AA1C0000}"/>
    <cellStyle name="Data 3 4 9 3" xfId="5779" xr:uid="{00000000-0005-0000-0000-0000AB1C0000}"/>
    <cellStyle name="Data 3 4 9 3 2" xfId="5780" xr:uid="{00000000-0005-0000-0000-0000AC1C0000}"/>
    <cellStyle name="Data 3 4 9 4" xfId="5781" xr:uid="{00000000-0005-0000-0000-0000AD1C0000}"/>
    <cellStyle name="Data 3 4 9 4 2" xfId="5782" xr:uid="{00000000-0005-0000-0000-0000AE1C0000}"/>
    <cellStyle name="Data 3 4 9 5" xfId="5783" xr:uid="{00000000-0005-0000-0000-0000AF1C0000}"/>
    <cellStyle name="Data 3 4 9 5 2" xfId="5784" xr:uid="{00000000-0005-0000-0000-0000B01C0000}"/>
    <cellStyle name="Data 3 4 9 6" xfId="5785" xr:uid="{00000000-0005-0000-0000-0000B11C0000}"/>
    <cellStyle name="Data 3 4 9 6 2" xfId="5786" xr:uid="{00000000-0005-0000-0000-0000B21C0000}"/>
    <cellStyle name="Data 3 4 9 7" xfId="5787" xr:uid="{00000000-0005-0000-0000-0000B31C0000}"/>
    <cellStyle name="Data 3 4 9 7 2" xfId="5788" xr:uid="{00000000-0005-0000-0000-0000B41C0000}"/>
    <cellStyle name="Data 3 4 9 8" xfId="5789" xr:uid="{00000000-0005-0000-0000-0000B51C0000}"/>
    <cellStyle name="Data 3 4 9 8 2" xfId="5790" xr:uid="{00000000-0005-0000-0000-0000B61C0000}"/>
    <cellStyle name="Data 3 4 9 9" xfId="5791" xr:uid="{00000000-0005-0000-0000-0000B71C0000}"/>
    <cellStyle name="Data 3 4 9 9 2" xfId="5792" xr:uid="{00000000-0005-0000-0000-0000B81C0000}"/>
    <cellStyle name="Data 3 5" xfId="5793" xr:uid="{00000000-0005-0000-0000-0000B91C0000}"/>
    <cellStyle name="Data 3 5 10" xfId="5794" xr:uid="{00000000-0005-0000-0000-0000BA1C0000}"/>
    <cellStyle name="Data 3 5 10 2" xfId="5795" xr:uid="{00000000-0005-0000-0000-0000BB1C0000}"/>
    <cellStyle name="Data 3 5 10 2 2" xfId="5796" xr:uid="{00000000-0005-0000-0000-0000BC1C0000}"/>
    <cellStyle name="Data 3 5 10 3" xfId="5797" xr:uid="{00000000-0005-0000-0000-0000BD1C0000}"/>
    <cellStyle name="Data 3 5 10 3 2" xfId="5798" xr:uid="{00000000-0005-0000-0000-0000BE1C0000}"/>
    <cellStyle name="Data 3 5 10 4" xfId="5799" xr:uid="{00000000-0005-0000-0000-0000BF1C0000}"/>
    <cellStyle name="Data 3 5 10 4 2" xfId="5800" xr:uid="{00000000-0005-0000-0000-0000C01C0000}"/>
    <cellStyle name="Data 3 5 10 5" xfId="5801" xr:uid="{00000000-0005-0000-0000-0000C11C0000}"/>
    <cellStyle name="Data 3 5 10 5 2" xfId="5802" xr:uid="{00000000-0005-0000-0000-0000C21C0000}"/>
    <cellStyle name="Data 3 5 10 6" xfId="5803" xr:uid="{00000000-0005-0000-0000-0000C31C0000}"/>
    <cellStyle name="Data 3 5 10 6 2" xfId="5804" xr:uid="{00000000-0005-0000-0000-0000C41C0000}"/>
    <cellStyle name="Data 3 5 10 7" xfId="5805" xr:uid="{00000000-0005-0000-0000-0000C51C0000}"/>
    <cellStyle name="Data 3 5 10 7 2" xfId="5806" xr:uid="{00000000-0005-0000-0000-0000C61C0000}"/>
    <cellStyle name="Data 3 5 10 8" xfId="5807" xr:uid="{00000000-0005-0000-0000-0000C71C0000}"/>
    <cellStyle name="Data 3 5 10 8 2" xfId="5808" xr:uid="{00000000-0005-0000-0000-0000C81C0000}"/>
    <cellStyle name="Data 3 5 10 9" xfId="5809" xr:uid="{00000000-0005-0000-0000-0000C91C0000}"/>
    <cellStyle name="Data 3 5 11" xfId="5810" xr:uid="{00000000-0005-0000-0000-0000CA1C0000}"/>
    <cellStyle name="Data 3 5 11 2" xfId="5811" xr:uid="{00000000-0005-0000-0000-0000CB1C0000}"/>
    <cellStyle name="Data 3 5 12" xfId="5812" xr:uid="{00000000-0005-0000-0000-0000CC1C0000}"/>
    <cellStyle name="Data 3 5 12 2" xfId="5813" xr:uid="{00000000-0005-0000-0000-0000CD1C0000}"/>
    <cellStyle name="Data 3 5 13" xfId="5814" xr:uid="{00000000-0005-0000-0000-0000CE1C0000}"/>
    <cellStyle name="Data 3 5 13 2" xfId="5815" xr:uid="{00000000-0005-0000-0000-0000CF1C0000}"/>
    <cellStyle name="Data 3 5 14" xfId="5816" xr:uid="{00000000-0005-0000-0000-0000D01C0000}"/>
    <cellStyle name="Data 3 5 14 2" xfId="5817" xr:uid="{00000000-0005-0000-0000-0000D11C0000}"/>
    <cellStyle name="Data 3 5 15" xfId="5818" xr:uid="{00000000-0005-0000-0000-0000D21C0000}"/>
    <cellStyle name="Data 3 5 15 2" xfId="5819" xr:uid="{00000000-0005-0000-0000-0000D31C0000}"/>
    <cellStyle name="Data 3 5 16" xfId="5820" xr:uid="{00000000-0005-0000-0000-0000D41C0000}"/>
    <cellStyle name="Data 3 5 16 2" xfId="5821" xr:uid="{00000000-0005-0000-0000-0000D51C0000}"/>
    <cellStyle name="Data 3 5 17" xfId="5822" xr:uid="{00000000-0005-0000-0000-0000D61C0000}"/>
    <cellStyle name="Data 3 5 17 2" xfId="5823" xr:uid="{00000000-0005-0000-0000-0000D71C0000}"/>
    <cellStyle name="Data 3 5 18" xfId="5824" xr:uid="{00000000-0005-0000-0000-0000D81C0000}"/>
    <cellStyle name="Data 3 5 2" xfId="5825" xr:uid="{00000000-0005-0000-0000-0000D91C0000}"/>
    <cellStyle name="Data 3 5 2 10" xfId="5826" xr:uid="{00000000-0005-0000-0000-0000DA1C0000}"/>
    <cellStyle name="Data 3 5 2 2" xfId="5827" xr:uid="{00000000-0005-0000-0000-0000DB1C0000}"/>
    <cellStyle name="Data 3 5 2 2 2" xfId="5828" xr:uid="{00000000-0005-0000-0000-0000DC1C0000}"/>
    <cellStyle name="Data 3 5 2 3" xfId="5829" xr:uid="{00000000-0005-0000-0000-0000DD1C0000}"/>
    <cellStyle name="Data 3 5 2 3 2" xfId="5830" xr:uid="{00000000-0005-0000-0000-0000DE1C0000}"/>
    <cellStyle name="Data 3 5 2 4" xfId="5831" xr:uid="{00000000-0005-0000-0000-0000DF1C0000}"/>
    <cellStyle name="Data 3 5 2 4 2" xfId="5832" xr:uid="{00000000-0005-0000-0000-0000E01C0000}"/>
    <cellStyle name="Data 3 5 2 5" xfId="5833" xr:uid="{00000000-0005-0000-0000-0000E11C0000}"/>
    <cellStyle name="Data 3 5 2 5 2" xfId="5834" xr:uid="{00000000-0005-0000-0000-0000E21C0000}"/>
    <cellStyle name="Data 3 5 2 6" xfId="5835" xr:uid="{00000000-0005-0000-0000-0000E31C0000}"/>
    <cellStyle name="Data 3 5 2 6 2" xfId="5836" xr:uid="{00000000-0005-0000-0000-0000E41C0000}"/>
    <cellStyle name="Data 3 5 2 7" xfId="5837" xr:uid="{00000000-0005-0000-0000-0000E51C0000}"/>
    <cellStyle name="Data 3 5 2 7 2" xfId="5838" xr:uid="{00000000-0005-0000-0000-0000E61C0000}"/>
    <cellStyle name="Data 3 5 2 8" xfId="5839" xr:uid="{00000000-0005-0000-0000-0000E71C0000}"/>
    <cellStyle name="Data 3 5 2 8 2" xfId="5840" xr:uid="{00000000-0005-0000-0000-0000E81C0000}"/>
    <cellStyle name="Data 3 5 2 9" xfId="5841" xr:uid="{00000000-0005-0000-0000-0000E91C0000}"/>
    <cellStyle name="Data 3 5 2 9 2" xfId="5842" xr:uid="{00000000-0005-0000-0000-0000EA1C0000}"/>
    <cellStyle name="Data 3 5 3" xfId="5843" xr:uid="{00000000-0005-0000-0000-0000EB1C0000}"/>
    <cellStyle name="Data 3 5 3 10" xfId="5844" xr:uid="{00000000-0005-0000-0000-0000EC1C0000}"/>
    <cellStyle name="Data 3 5 3 2" xfId="5845" xr:uid="{00000000-0005-0000-0000-0000ED1C0000}"/>
    <cellStyle name="Data 3 5 3 2 2" xfId="5846" xr:uid="{00000000-0005-0000-0000-0000EE1C0000}"/>
    <cellStyle name="Data 3 5 3 3" xfId="5847" xr:uid="{00000000-0005-0000-0000-0000EF1C0000}"/>
    <cellStyle name="Data 3 5 3 3 2" xfId="5848" xr:uid="{00000000-0005-0000-0000-0000F01C0000}"/>
    <cellStyle name="Data 3 5 3 4" xfId="5849" xr:uid="{00000000-0005-0000-0000-0000F11C0000}"/>
    <cellStyle name="Data 3 5 3 4 2" xfId="5850" xr:uid="{00000000-0005-0000-0000-0000F21C0000}"/>
    <cellStyle name="Data 3 5 3 5" xfId="5851" xr:uid="{00000000-0005-0000-0000-0000F31C0000}"/>
    <cellStyle name="Data 3 5 3 5 2" xfId="5852" xr:uid="{00000000-0005-0000-0000-0000F41C0000}"/>
    <cellStyle name="Data 3 5 3 6" xfId="5853" xr:uid="{00000000-0005-0000-0000-0000F51C0000}"/>
    <cellStyle name="Data 3 5 3 6 2" xfId="5854" xr:uid="{00000000-0005-0000-0000-0000F61C0000}"/>
    <cellStyle name="Data 3 5 3 7" xfId="5855" xr:uid="{00000000-0005-0000-0000-0000F71C0000}"/>
    <cellStyle name="Data 3 5 3 7 2" xfId="5856" xr:uid="{00000000-0005-0000-0000-0000F81C0000}"/>
    <cellStyle name="Data 3 5 3 8" xfId="5857" xr:uid="{00000000-0005-0000-0000-0000F91C0000}"/>
    <cellStyle name="Data 3 5 3 8 2" xfId="5858" xr:uid="{00000000-0005-0000-0000-0000FA1C0000}"/>
    <cellStyle name="Data 3 5 3 9" xfId="5859" xr:uid="{00000000-0005-0000-0000-0000FB1C0000}"/>
    <cellStyle name="Data 3 5 3 9 2" xfId="5860" xr:uid="{00000000-0005-0000-0000-0000FC1C0000}"/>
    <cellStyle name="Data 3 5 4" xfId="5861" xr:uid="{00000000-0005-0000-0000-0000FD1C0000}"/>
    <cellStyle name="Data 3 5 4 10" xfId="5862" xr:uid="{00000000-0005-0000-0000-0000FE1C0000}"/>
    <cellStyle name="Data 3 5 4 2" xfId="5863" xr:uid="{00000000-0005-0000-0000-0000FF1C0000}"/>
    <cellStyle name="Data 3 5 4 2 2" xfId="5864" xr:uid="{00000000-0005-0000-0000-0000001D0000}"/>
    <cellStyle name="Data 3 5 4 3" xfId="5865" xr:uid="{00000000-0005-0000-0000-0000011D0000}"/>
    <cellStyle name="Data 3 5 4 3 2" xfId="5866" xr:uid="{00000000-0005-0000-0000-0000021D0000}"/>
    <cellStyle name="Data 3 5 4 4" xfId="5867" xr:uid="{00000000-0005-0000-0000-0000031D0000}"/>
    <cellStyle name="Data 3 5 4 4 2" xfId="5868" xr:uid="{00000000-0005-0000-0000-0000041D0000}"/>
    <cellStyle name="Data 3 5 4 5" xfId="5869" xr:uid="{00000000-0005-0000-0000-0000051D0000}"/>
    <cellStyle name="Data 3 5 4 5 2" xfId="5870" xr:uid="{00000000-0005-0000-0000-0000061D0000}"/>
    <cellStyle name="Data 3 5 4 6" xfId="5871" xr:uid="{00000000-0005-0000-0000-0000071D0000}"/>
    <cellStyle name="Data 3 5 4 6 2" xfId="5872" xr:uid="{00000000-0005-0000-0000-0000081D0000}"/>
    <cellStyle name="Data 3 5 4 7" xfId="5873" xr:uid="{00000000-0005-0000-0000-0000091D0000}"/>
    <cellStyle name="Data 3 5 4 7 2" xfId="5874" xr:uid="{00000000-0005-0000-0000-00000A1D0000}"/>
    <cellStyle name="Data 3 5 4 8" xfId="5875" xr:uid="{00000000-0005-0000-0000-00000B1D0000}"/>
    <cellStyle name="Data 3 5 4 8 2" xfId="5876" xr:uid="{00000000-0005-0000-0000-00000C1D0000}"/>
    <cellStyle name="Data 3 5 4 9" xfId="5877" xr:uid="{00000000-0005-0000-0000-00000D1D0000}"/>
    <cellStyle name="Data 3 5 4 9 2" xfId="5878" xr:uid="{00000000-0005-0000-0000-00000E1D0000}"/>
    <cellStyle name="Data 3 5 5" xfId="5879" xr:uid="{00000000-0005-0000-0000-00000F1D0000}"/>
    <cellStyle name="Data 3 5 5 10" xfId="5880" xr:uid="{00000000-0005-0000-0000-0000101D0000}"/>
    <cellStyle name="Data 3 5 5 2" xfId="5881" xr:uid="{00000000-0005-0000-0000-0000111D0000}"/>
    <cellStyle name="Data 3 5 5 2 2" xfId="5882" xr:uid="{00000000-0005-0000-0000-0000121D0000}"/>
    <cellStyle name="Data 3 5 5 3" xfId="5883" xr:uid="{00000000-0005-0000-0000-0000131D0000}"/>
    <cellStyle name="Data 3 5 5 3 2" xfId="5884" xr:uid="{00000000-0005-0000-0000-0000141D0000}"/>
    <cellStyle name="Data 3 5 5 4" xfId="5885" xr:uid="{00000000-0005-0000-0000-0000151D0000}"/>
    <cellStyle name="Data 3 5 5 4 2" xfId="5886" xr:uid="{00000000-0005-0000-0000-0000161D0000}"/>
    <cellStyle name="Data 3 5 5 5" xfId="5887" xr:uid="{00000000-0005-0000-0000-0000171D0000}"/>
    <cellStyle name="Data 3 5 5 5 2" xfId="5888" xr:uid="{00000000-0005-0000-0000-0000181D0000}"/>
    <cellStyle name="Data 3 5 5 6" xfId="5889" xr:uid="{00000000-0005-0000-0000-0000191D0000}"/>
    <cellStyle name="Data 3 5 5 6 2" xfId="5890" xr:uid="{00000000-0005-0000-0000-00001A1D0000}"/>
    <cellStyle name="Data 3 5 5 7" xfId="5891" xr:uid="{00000000-0005-0000-0000-00001B1D0000}"/>
    <cellStyle name="Data 3 5 5 7 2" xfId="5892" xr:uid="{00000000-0005-0000-0000-00001C1D0000}"/>
    <cellStyle name="Data 3 5 5 8" xfId="5893" xr:uid="{00000000-0005-0000-0000-00001D1D0000}"/>
    <cellStyle name="Data 3 5 5 8 2" xfId="5894" xr:uid="{00000000-0005-0000-0000-00001E1D0000}"/>
    <cellStyle name="Data 3 5 5 9" xfId="5895" xr:uid="{00000000-0005-0000-0000-00001F1D0000}"/>
    <cellStyle name="Data 3 5 5 9 2" xfId="5896" xr:uid="{00000000-0005-0000-0000-0000201D0000}"/>
    <cellStyle name="Data 3 5 6" xfId="5897" xr:uid="{00000000-0005-0000-0000-0000211D0000}"/>
    <cellStyle name="Data 3 5 6 10" xfId="5898" xr:uid="{00000000-0005-0000-0000-0000221D0000}"/>
    <cellStyle name="Data 3 5 6 2" xfId="5899" xr:uid="{00000000-0005-0000-0000-0000231D0000}"/>
    <cellStyle name="Data 3 5 6 2 2" xfId="5900" xr:uid="{00000000-0005-0000-0000-0000241D0000}"/>
    <cellStyle name="Data 3 5 6 3" xfId="5901" xr:uid="{00000000-0005-0000-0000-0000251D0000}"/>
    <cellStyle name="Data 3 5 6 3 2" xfId="5902" xr:uid="{00000000-0005-0000-0000-0000261D0000}"/>
    <cellStyle name="Data 3 5 6 4" xfId="5903" xr:uid="{00000000-0005-0000-0000-0000271D0000}"/>
    <cellStyle name="Data 3 5 6 4 2" xfId="5904" xr:uid="{00000000-0005-0000-0000-0000281D0000}"/>
    <cellStyle name="Data 3 5 6 5" xfId="5905" xr:uid="{00000000-0005-0000-0000-0000291D0000}"/>
    <cellStyle name="Data 3 5 6 5 2" xfId="5906" xr:uid="{00000000-0005-0000-0000-00002A1D0000}"/>
    <cellStyle name="Data 3 5 6 6" xfId="5907" xr:uid="{00000000-0005-0000-0000-00002B1D0000}"/>
    <cellStyle name="Data 3 5 6 6 2" xfId="5908" xr:uid="{00000000-0005-0000-0000-00002C1D0000}"/>
    <cellStyle name="Data 3 5 6 7" xfId="5909" xr:uid="{00000000-0005-0000-0000-00002D1D0000}"/>
    <cellStyle name="Data 3 5 6 7 2" xfId="5910" xr:uid="{00000000-0005-0000-0000-00002E1D0000}"/>
    <cellStyle name="Data 3 5 6 8" xfId="5911" xr:uid="{00000000-0005-0000-0000-00002F1D0000}"/>
    <cellStyle name="Data 3 5 6 8 2" xfId="5912" xr:uid="{00000000-0005-0000-0000-0000301D0000}"/>
    <cellStyle name="Data 3 5 6 9" xfId="5913" xr:uid="{00000000-0005-0000-0000-0000311D0000}"/>
    <cellStyle name="Data 3 5 6 9 2" xfId="5914" xr:uid="{00000000-0005-0000-0000-0000321D0000}"/>
    <cellStyle name="Data 3 5 7" xfId="5915" xr:uid="{00000000-0005-0000-0000-0000331D0000}"/>
    <cellStyle name="Data 3 5 7 10" xfId="5916" xr:uid="{00000000-0005-0000-0000-0000341D0000}"/>
    <cellStyle name="Data 3 5 7 2" xfId="5917" xr:uid="{00000000-0005-0000-0000-0000351D0000}"/>
    <cellStyle name="Data 3 5 7 2 2" xfId="5918" xr:uid="{00000000-0005-0000-0000-0000361D0000}"/>
    <cellStyle name="Data 3 5 7 3" xfId="5919" xr:uid="{00000000-0005-0000-0000-0000371D0000}"/>
    <cellStyle name="Data 3 5 7 3 2" xfId="5920" xr:uid="{00000000-0005-0000-0000-0000381D0000}"/>
    <cellStyle name="Data 3 5 7 4" xfId="5921" xr:uid="{00000000-0005-0000-0000-0000391D0000}"/>
    <cellStyle name="Data 3 5 7 4 2" xfId="5922" xr:uid="{00000000-0005-0000-0000-00003A1D0000}"/>
    <cellStyle name="Data 3 5 7 5" xfId="5923" xr:uid="{00000000-0005-0000-0000-00003B1D0000}"/>
    <cellStyle name="Data 3 5 7 5 2" xfId="5924" xr:uid="{00000000-0005-0000-0000-00003C1D0000}"/>
    <cellStyle name="Data 3 5 7 6" xfId="5925" xr:uid="{00000000-0005-0000-0000-00003D1D0000}"/>
    <cellStyle name="Data 3 5 7 6 2" xfId="5926" xr:uid="{00000000-0005-0000-0000-00003E1D0000}"/>
    <cellStyle name="Data 3 5 7 7" xfId="5927" xr:uid="{00000000-0005-0000-0000-00003F1D0000}"/>
    <cellStyle name="Data 3 5 7 7 2" xfId="5928" xr:uid="{00000000-0005-0000-0000-0000401D0000}"/>
    <cellStyle name="Data 3 5 7 8" xfId="5929" xr:uid="{00000000-0005-0000-0000-0000411D0000}"/>
    <cellStyle name="Data 3 5 7 8 2" xfId="5930" xr:uid="{00000000-0005-0000-0000-0000421D0000}"/>
    <cellStyle name="Data 3 5 7 9" xfId="5931" xr:uid="{00000000-0005-0000-0000-0000431D0000}"/>
    <cellStyle name="Data 3 5 7 9 2" xfId="5932" xr:uid="{00000000-0005-0000-0000-0000441D0000}"/>
    <cellStyle name="Data 3 5 8" xfId="5933" xr:uid="{00000000-0005-0000-0000-0000451D0000}"/>
    <cellStyle name="Data 3 5 8 10" xfId="5934" xr:uid="{00000000-0005-0000-0000-0000461D0000}"/>
    <cellStyle name="Data 3 5 8 2" xfId="5935" xr:uid="{00000000-0005-0000-0000-0000471D0000}"/>
    <cellStyle name="Data 3 5 8 2 2" xfId="5936" xr:uid="{00000000-0005-0000-0000-0000481D0000}"/>
    <cellStyle name="Data 3 5 8 3" xfId="5937" xr:uid="{00000000-0005-0000-0000-0000491D0000}"/>
    <cellStyle name="Data 3 5 8 3 2" xfId="5938" xr:uid="{00000000-0005-0000-0000-00004A1D0000}"/>
    <cellStyle name="Data 3 5 8 4" xfId="5939" xr:uid="{00000000-0005-0000-0000-00004B1D0000}"/>
    <cellStyle name="Data 3 5 8 4 2" xfId="5940" xr:uid="{00000000-0005-0000-0000-00004C1D0000}"/>
    <cellStyle name="Data 3 5 8 5" xfId="5941" xr:uid="{00000000-0005-0000-0000-00004D1D0000}"/>
    <cellStyle name="Data 3 5 8 5 2" xfId="5942" xr:uid="{00000000-0005-0000-0000-00004E1D0000}"/>
    <cellStyle name="Data 3 5 8 6" xfId="5943" xr:uid="{00000000-0005-0000-0000-00004F1D0000}"/>
    <cellStyle name="Data 3 5 8 6 2" xfId="5944" xr:uid="{00000000-0005-0000-0000-0000501D0000}"/>
    <cellStyle name="Data 3 5 8 7" xfId="5945" xr:uid="{00000000-0005-0000-0000-0000511D0000}"/>
    <cellStyle name="Data 3 5 8 7 2" xfId="5946" xr:uid="{00000000-0005-0000-0000-0000521D0000}"/>
    <cellStyle name="Data 3 5 8 8" xfId="5947" xr:uid="{00000000-0005-0000-0000-0000531D0000}"/>
    <cellStyle name="Data 3 5 8 8 2" xfId="5948" xr:uid="{00000000-0005-0000-0000-0000541D0000}"/>
    <cellStyle name="Data 3 5 8 9" xfId="5949" xr:uid="{00000000-0005-0000-0000-0000551D0000}"/>
    <cellStyle name="Data 3 5 8 9 2" xfId="5950" xr:uid="{00000000-0005-0000-0000-0000561D0000}"/>
    <cellStyle name="Data 3 5 9" xfId="5951" xr:uid="{00000000-0005-0000-0000-0000571D0000}"/>
    <cellStyle name="Data 3 5 9 10" xfId="5952" xr:uid="{00000000-0005-0000-0000-0000581D0000}"/>
    <cellStyle name="Data 3 5 9 2" xfId="5953" xr:uid="{00000000-0005-0000-0000-0000591D0000}"/>
    <cellStyle name="Data 3 5 9 2 2" xfId="5954" xr:uid="{00000000-0005-0000-0000-00005A1D0000}"/>
    <cellStyle name="Data 3 5 9 3" xfId="5955" xr:uid="{00000000-0005-0000-0000-00005B1D0000}"/>
    <cellStyle name="Data 3 5 9 3 2" xfId="5956" xr:uid="{00000000-0005-0000-0000-00005C1D0000}"/>
    <cellStyle name="Data 3 5 9 4" xfId="5957" xr:uid="{00000000-0005-0000-0000-00005D1D0000}"/>
    <cellStyle name="Data 3 5 9 4 2" xfId="5958" xr:uid="{00000000-0005-0000-0000-00005E1D0000}"/>
    <cellStyle name="Data 3 5 9 5" xfId="5959" xr:uid="{00000000-0005-0000-0000-00005F1D0000}"/>
    <cellStyle name="Data 3 5 9 5 2" xfId="5960" xr:uid="{00000000-0005-0000-0000-0000601D0000}"/>
    <cellStyle name="Data 3 5 9 6" xfId="5961" xr:uid="{00000000-0005-0000-0000-0000611D0000}"/>
    <cellStyle name="Data 3 5 9 6 2" xfId="5962" xr:uid="{00000000-0005-0000-0000-0000621D0000}"/>
    <cellStyle name="Data 3 5 9 7" xfId="5963" xr:uid="{00000000-0005-0000-0000-0000631D0000}"/>
    <cellStyle name="Data 3 5 9 7 2" xfId="5964" xr:uid="{00000000-0005-0000-0000-0000641D0000}"/>
    <cellStyle name="Data 3 5 9 8" xfId="5965" xr:uid="{00000000-0005-0000-0000-0000651D0000}"/>
    <cellStyle name="Data 3 5 9 8 2" xfId="5966" xr:uid="{00000000-0005-0000-0000-0000661D0000}"/>
    <cellStyle name="Data 3 5 9 9" xfId="5967" xr:uid="{00000000-0005-0000-0000-0000671D0000}"/>
    <cellStyle name="Data 3 5 9 9 2" xfId="5968" xr:uid="{00000000-0005-0000-0000-0000681D0000}"/>
    <cellStyle name="Data 3 6" xfId="5969" xr:uid="{00000000-0005-0000-0000-0000691D0000}"/>
    <cellStyle name="Data 3 6 10" xfId="5970" xr:uid="{00000000-0005-0000-0000-00006A1D0000}"/>
    <cellStyle name="Data 3 6 10 2" xfId="5971" xr:uid="{00000000-0005-0000-0000-00006B1D0000}"/>
    <cellStyle name="Data 3 6 10 2 2" xfId="5972" xr:uid="{00000000-0005-0000-0000-00006C1D0000}"/>
    <cellStyle name="Data 3 6 10 3" xfId="5973" xr:uid="{00000000-0005-0000-0000-00006D1D0000}"/>
    <cellStyle name="Data 3 6 10 3 2" xfId="5974" xr:uid="{00000000-0005-0000-0000-00006E1D0000}"/>
    <cellStyle name="Data 3 6 10 4" xfId="5975" xr:uid="{00000000-0005-0000-0000-00006F1D0000}"/>
    <cellStyle name="Data 3 6 10 4 2" xfId="5976" xr:uid="{00000000-0005-0000-0000-0000701D0000}"/>
    <cellStyle name="Data 3 6 10 5" xfId="5977" xr:uid="{00000000-0005-0000-0000-0000711D0000}"/>
    <cellStyle name="Data 3 6 10 5 2" xfId="5978" xr:uid="{00000000-0005-0000-0000-0000721D0000}"/>
    <cellStyle name="Data 3 6 10 6" xfId="5979" xr:uid="{00000000-0005-0000-0000-0000731D0000}"/>
    <cellStyle name="Data 3 6 10 6 2" xfId="5980" xr:uid="{00000000-0005-0000-0000-0000741D0000}"/>
    <cellStyle name="Data 3 6 10 7" xfId="5981" xr:uid="{00000000-0005-0000-0000-0000751D0000}"/>
    <cellStyle name="Data 3 6 10 7 2" xfId="5982" xr:uid="{00000000-0005-0000-0000-0000761D0000}"/>
    <cellStyle name="Data 3 6 10 8" xfId="5983" xr:uid="{00000000-0005-0000-0000-0000771D0000}"/>
    <cellStyle name="Data 3 6 10 8 2" xfId="5984" xr:uid="{00000000-0005-0000-0000-0000781D0000}"/>
    <cellStyle name="Data 3 6 10 9" xfId="5985" xr:uid="{00000000-0005-0000-0000-0000791D0000}"/>
    <cellStyle name="Data 3 6 11" xfId="5986" xr:uid="{00000000-0005-0000-0000-00007A1D0000}"/>
    <cellStyle name="Data 3 6 11 2" xfId="5987" xr:uid="{00000000-0005-0000-0000-00007B1D0000}"/>
    <cellStyle name="Data 3 6 12" xfId="5988" xr:uid="{00000000-0005-0000-0000-00007C1D0000}"/>
    <cellStyle name="Data 3 6 12 2" xfId="5989" xr:uid="{00000000-0005-0000-0000-00007D1D0000}"/>
    <cellStyle name="Data 3 6 13" xfId="5990" xr:uid="{00000000-0005-0000-0000-00007E1D0000}"/>
    <cellStyle name="Data 3 6 13 2" xfId="5991" xr:uid="{00000000-0005-0000-0000-00007F1D0000}"/>
    <cellStyle name="Data 3 6 14" xfId="5992" xr:uid="{00000000-0005-0000-0000-0000801D0000}"/>
    <cellStyle name="Data 3 6 14 2" xfId="5993" xr:uid="{00000000-0005-0000-0000-0000811D0000}"/>
    <cellStyle name="Data 3 6 15" xfId="5994" xr:uid="{00000000-0005-0000-0000-0000821D0000}"/>
    <cellStyle name="Data 3 6 15 2" xfId="5995" xr:uid="{00000000-0005-0000-0000-0000831D0000}"/>
    <cellStyle name="Data 3 6 16" xfId="5996" xr:uid="{00000000-0005-0000-0000-0000841D0000}"/>
    <cellStyle name="Data 3 6 16 2" xfId="5997" xr:uid="{00000000-0005-0000-0000-0000851D0000}"/>
    <cellStyle name="Data 3 6 17" xfId="5998" xr:uid="{00000000-0005-0000-0000-0000861D0000}"/>
    <cellStyle name="Data 3 6 17 2" xfId="5999" xr:uid="{00000000-0005-0000-0000-0000871D0000}"/>
    <cellStyle name="Data 3 6 18" xfId="6000" xr:uid="{00000000-0005-0000-0000-0000881D0000}"/>
    <cellStyle name="Data 3 6 2" xfId="6001" xr:uid="{00000000-0005-0000-0000-0000891D0000}"/>
    <cellStyle name="Data 3 6 2 10" xfId="6002" xr:uid="{00000000-0005-0000-0000-00008A1D0000}"/>
    <cellStyle name="Data 3 6 2 2" xfId="6003" xr:uid="{00000000-0005-0000-0000-00008B1D0000}"/>
    <cellStyle name="Data 3 6 2 2 2" xfId="6004" xr:uid="{00000000-0005-0000-0000-00008C1D0000}"/>
    <cellStyle name="Data 3 6 2 3" xfId="6005" xr:uid="{00000000-0005-0000-0000-00008D1D0000}"/>
    <cellStyle name="Data 3 6 2 3 2" xfId="6006" xr:uid="{00000000-0005-0000-0000-00008E1D0000}"/>
    <cellStyle name="Data 3 6 2 4" xfId="6007" xr:uid="{00000000-0005-0000-0000-00008F1D0000}"/>
    <cellStyle name="Data 3 6 2 4 2" xfId="6008" xr:uid="{00000000-0005-0000-0000-0000901D0000}"/>
    <cellStyle name="Data 3 6 2 5" xfId="6009" xr:uid="{00000000-0005-0000-0000-0000911D0000}"/>
    <cellStyle name="Data 3 6 2 5 2" xfId="6010" xr:uid="{00000000-0005-0000-0000-0000921D0000}"/>
    <cellStyle name="Data 3 6 2 6" xfId="6011" xr:uid="{00000000-0005-0000-0000-0000931D0000}"/>
    <cellStyle name="Data 3 6 2 6 2" xfId="6012" xr:uid="{00000000-0005-0000-0000-0000941D0000}"/>
    <cellStyle name="Data 3 6 2 7" xfId="6013" xr:uid="{00000000-0005-0000-0000-0000951D0000}"/>
    <cellStyle name="Data 3 6 2 7 2" xfId="6014" xr:uid="{00000000-0005-0000-0000-0000961D0000}"/>
    <cellStyle name="Data 3 6 2 8" xfId="6015" xr:uid="{00000000-0005-0000-0000-0000971D0000}"/>
    <cellStyle name="Data 3 6 2 8 2" xfId="6016" xr:uid="{00000000-0005-0000-0000-0000981D0000}"/>
    <cellStyle name="Data 3 6 2 9" xfId="6017" xr:uid="{00000000-0005-0000-0000-0000991D0000}"/>
    <cellStyle name="Data 3 6 2 9 2" xfId="6018" xr:uid="{00000000-0005-0000-0000-00009A1D0000}"/>
    <cellStyle name="Data 3 6 3" xfId="6019" xr:uid="{00000000-0005-0000-0000-00009B1D0000}"/>
    <cellStyle name="Data 3 6 3 10" xfId="6020" xr:uid="{00000000-0005-0000-0000-00009C1D0000}"/>
    <cellStyle name="Data 3 6 3 2" xfId="6021" xr:uid="{00000000-0005-0000-0000-00009D1D0000}"/>
    <cellStyle name="Data 3 6 3 2 2" xfId="6022" xr:uid="{00000000-0005-0000-0000-00009E1D0000}"/>
    <cellStyle name="Data 3 6 3 3" xfId="6023" xr:uid="{00000000-0005-0000-0000-00009F1D0000}"/>
    <cellStyle name="Data 3 6 3 3 2" xfId="6024" xr:uid="{00000000-0005-0000-0000-0000A01D0000}"/>
    <cellStyle name="Data 3 6 3 4" xfId="6025" xr:uid="{00000000-0005-0000-0000-0000A11D0000}"/>
    <cellStyle name="Data 3 6 3 4 2" xfId="6026" xr:uid="{00000000-0005-0000-0000-0000A21D0000}"/>
    <cellStyle name="Data 3 6 3 5" xfId="6027" xr:uid="{00000000-0005-0000-0000-0000A31D0000}"/>
    <cellStyle name="Data 3 6 3 5 2" xfId="6028" xr:uid="{00000000-0005-0000-0000-0000A41D0000}"/>
    <cellStyle name="Data 3 6 3 6" xfId="6029" xr:uid="{00000000-0005-0000-0000-0000A51D0000}"/>
    <cellStyle name="Data 3 6 3 6 2" xfId="6030" xr:uid="{00000000-0005-0000-0000-0000A61D0000}"/>
    <cellStyle name="Data 3 6 3 7" xfId="6031" xr:uid="{00000000-0005-0000-0000-0000A71D0000}"/>
    <cellStyle name="Data 3 6 3 7 2" xfId="6032" xr:uid="{00000000-0005-0000-0000-0000A81D0000}"/>
    <cellStyle name="Data 3 6 3 8" xfId="6033" xr:uid="{00000000-0005-0000-0000-0000A91D0000}"/>
    <cellStyle name="Data 3 6 3 8 2" xfId="6034" xr:uid="{00000000-0005-0000-0000-0000AA1D0000}"/>
    <cellStyle name="Data 3 6 3 9" xfId="6035" xr:uid="{00000000-0005-0000-0000-0000AB1D0000}"/>
    <cellStyle name="Data 3 6 3 9 2" xfId="6036" xr:uid="{00000000-0005-0000-0000-0000AC1D0000}"/>
    <cellStyle name="Data 3 6 4" xfId="6037" xr:uid="{00000000-0005-0000-0000-0000AD1D0000}"/>
    <cellStyle name="Data 3 6 4 10" xfId="6038" xr:uid="{00000000-0005-0000-0000-0000AE1D0000}"/>
    <cellStyle name="Data 3 6 4 2" xfId="6039" xr:uid="{00000000-0005-0000-0000-0000AF1D0000}"/>
    <cellStyle name="Data 3 6 4 2 2" xfId="6040" xr:uid="{00000000-0005-0000-0000-0000B01D0000}"/>
    <cellStyle name="Data 3 6 4 3" xfId="6041" xr:uid="{00000000-0005-0000-0000-0000B11D0000}"/>
    <cellStyle name="Data 3 6 4 3 2" xfId="6042" xr:uid="{00000000-0005-0000-0000-0000B21D0000}"/>
    <cellStyle name="Data 3 6 4 4" xfId="6043" xr:uid="{00000000-0005-0000-0000-0000B31D0000}"/>
    <cellStyle name="Data 3 6 4 4 2" xfId="6044" xr:uid="{00000000-0005-0000-0000-0000B41D0000}"/>
    <cellStyle name="Data 3 6 4 5" xfId="6045" xr:uid="{00000000-0005-0000-0000-0000B51D0000}"/>
    <cellStyle name="Data 3 6 4 5 2" xfId="6046" xr:uid="{00000000-0005-0000-0000-0000B61D0000}"/>
    <cellStyle name="Data 3 6 4 6" xfId="6047" xr:uid="{00000000-0005-0000-0000-0000B71D0000}"/>
    <cellStyle name="Data 3 6 4 6 2" xfId="6048" xr:uid="{00000000-0005-0000-0000-0000B81D0000}"/>
    <cellStyle name="Data 3 6 4 7" xfId="6049" xr:uid="{00000000-0005-0000-0000-0000B91D0000}"/>
    <cellStyle name="Data 3 6 4 7 2" xfId="6050" xr:uid="{00000000-0005-0000-0000-0000BA1D0000}"/>
    <cellStyle name="Data 3 6 4 8" xfId="6051" xr:uid="{00000000-0005-0000-0000-0000BB1D0000}"/>
    <cellStyle name="Data 3 6 4 8 2" xfId="6052" xr:uid="{00000000-0005-0000-0000-0000BC1D0000}"/>
    <cellStyle name="Data 3 6 4 9" xfId="6053" xr:uid="{00000000-0005-0000-0000-0000BD1D0000}"/>
    <cellStyle name="Data 3 6 4 9 2" xfId="6054" xr:uid="{00000000-0005-0000-0000-0000BE1D0000}"/>
    <cellStyle name="Data 3 6 5" xfId="6055" xr:uid="{00000000-0005-0000-0000-0000BF1D0000}"/>
    <cellStyle name="Data 3 6 5 10" xfId="6056" xr:uid="{00000000-0005-0000-0000-0000C01D0000}"/>
    <cellStyle name="Data 3 6 5 2" xfId="6057" xr:uid="{00000000-0005-0000-0000-0000C11D0000}"/>
    <cellStyle name="Data 3 6 5 2 2" xfId="6058" xr:uid="{00000000-0005-0000-0000-0000C21D0000}"/>
    <cellStyle name="Data 3 6 5 3" xfId="6059" xr:uid="{00000000-0005-0000-0000-0000C31D0000}"/>
    <cellStyle name="Data 3 6 5 3 2" xfId="6060" xr:uid="{00000000-0005-0000-0000-0000C41D0000}"/>
    <cellStyle name="Data 3 6 5 4" xfId="6061" xr:uid="{00000000-0005-0000-0000-0000C51D0000}"/>
    <cellStyle name="Data 3 6 5 4 2" xfId="6062" xr:uid="{00000000-0005-0000-0000-0000C61D0000}"/>
    <cellStyle name="Data 3 6 5 5" xfId="6063" xr:uid="{00000000-0005-0000-0000-0000C71D0000}"/>
    <cellStyle name="Data 3 6 5 5 2" xfId="6064" xr:uid="{00000000-0005-0000-0000-0000C81D0000}"/>
    <cellStyle name="Data 3 6 5 6" xfId="6065" xr:uid="{00000000-0005-0000-0000-0000C91D0000}"/>
    <cellStyle name="Data 3 6 5 6 2" xfId="6066" xr:uid="{00000000-0005-0000-0000-0000CA1D0000}"/>
    <cellStyle name="Data 3 6 5 7" xfId="6067" xr:uid="{00000000-0005-0000-0000-0000CB1D0000}"/>
    <cellStyle name="Data 3 6 5 7 2" xfId="6068" xr:uid="{00000000-0005-0000-0000-0000CC1D0000}"/>
    <cellStyle name="Data 3 6 5 8" xfId="6069" xr:uid="{00000000-0005-0000-0000-0000CD1D0000}"/>
    <cellStyle name="Data 3 6 5 8 2" xfId="6070" xr:uid="{00000000-0005-0000-0000-0000CE1D0000}"/>
    <cellStyle name="Data 3 6 5 9" xfId="6071" xr:uid="{00000000-0005-0000-0000-0000CF1D0000}"/>
    <cellStyle name="Data 3 6 5 9 2" xfId="6072" xr:uid="{00000000-0005-0000-0000-0000D01D0000}"/>
    <cellStyle name="Data 3 6 6" xfId="6073" xr:uid="{00000000-0005-0000-0000-0000D11D0000}"/>
    <cellStyle name="Data 3 6 6 10" xfId="6074" xr:uid="{00000000-0005-0000-0000-0000D21D0000}"/>
    <cellStyle name="Data 3 6 6 2" xfId="6075" xr:uid="{00000000-0005-0000-0000-0000D31D0000}"/>
    <cellStyle name="Data 3 6 6 2 2" xfId="6076" xr:uid="{00000000-0005-0000-0000-0000D41D0000}"/>
    <cellStyle name="Data 3 6 6 3" xfId="6077" xr:uid="{00000000-0005-0000-0000-0000D51D0000}"/>
    <cellStyle name="Data 3 6 6 3 2" xfId="6078" xr:uid="{00000000-0005-0000-0000-0000D61D0000}"/>
    <cellStyle name="Data 3 6 6 4" xfId="6079" xr:uid="{00000000-0005-0000-0000-0000D71D0000}"/>
    <cellStyle name="Data 3 6 6 4 2" xfId="6080" xr:uid="{00000000-0005-0000-0000-0000D81D0000}"/>
    <cellStyle name="Data 3 6 6 5" xfId="6081" xr:uid="{00000000-0005-0000-0000-0000D91D0000}"/>
    <cellStyle name="Data 3 6 6 5 2" xfId="6082" xr:uid="{00000000-0005-0000-0000-0000DA1D0000}"/>
    <cellStyle name="Data 3 6 6 6" xfId="6083" xr:uid="{00000000-0005-0000-0000-0000DB1D0000}"/>
    <cellStyle name="Data 3 6 6 6 2" xfId="6084" xr:uid="{00000000-0005-0000-0000-0000DC1D0000}"/>
    <cellStyle name="Data 3 6 6 7" xfId="6085" xr:uid="{00000000-0005-0000-0000-0000DD1D0000}"/>
    <cellStyle name="Data 3 6 6 7 2" xfId="6086" xr:uid="{00000000-0005-0000-0000-0000DE1D0000}"/>
    <cellStyle name="Data 3 6 6 8" xfId="6087" xr:uid="{00000000-0005-0000-0000-0000DF1D0000}"/>
    <cellStyle name="Data 3 6 6 8 2" xfId="6088" xr:uid="{00000000-0005-0000-0000-0000E01D0000}"/>
    <cellStyle name="Data 3 6 6 9" xfId="6089" xr:uid="{00000000-0005-0000-0000-0000E11D0000}"/>
    <cellStyle name="Data 3 6 6 9 2" xfId="6090" xr:uid="{00000000-0005-0000-0000-0000E21D0000}"/>
    <cellStyle name="Data 3 6 7" xfId="6091" xr:uid="{00000000-0005-0000-0000-0000E31D0000}"/>
    <cellStyle name="Data 3 6 7 10" xfId="6092" xr:uid="{00000000-0005-0000-0000-0000E41D0000}"/>
    <cellStyle name="Data 3 6 7 2" xfId="6093" xr:uid="{00000000-0005-0000-0000-0000E51D0000}"/>
    <cellStyle name="Data 3 6 7 2 2" xfId="6094" xr:uid="{00000000-0005-0000-0000-0000E61D0000}"/>
    <cellStyle name="Data 3 6 7 3" xfId="6095" xr:uid="{00000000-0005-0000-0000-0000E71D0000}"/>
    <cellStyle name="Data 3 6 7 3 2" xfId="6096" xr:uid="{00000000-0005-0000-0000-0000E81D0000}"/>
    <cellStyle name="Data 3 6 7 4" xfId="6097" xr:uid="{00000000-0005-0000-0000-0000E91D0000}"/>
    <cellStyle name="Data 3 6 7 4 2" xfId="6098" xr:uid="{00000000-0005-0000-0000-0000EA1D0000}"/>
    <cellStyle name="Data 3 6 7 5" xfId="6099" xr:uid="{00000000-0005-0000-0000-0000EB1D0000}"/>
    <cellStyle name="Data 3 6 7 5 2" xfId="6100" xr:uid="{00000000-0005-0000-0000-0000EC1D0000}"/>
    <cellStyle name="Data 3 6 7 6" xfId="6101" xr:uid="{00000000-0005-0000-0000-0000ED1D0000}"/>
    <cellStyle name="Data 3 6 7 6 2" xfId="6102" xr:uid="{00000000-0005-0000-0000-0000EE1D0000}"/>
    <cellStyle name="Data 3 6 7 7" xfId="6103" xr:uid="{00000000-0005-0000-0000-0000EF1D0000}"/>
    <cellStyle name="Data 3 6 7 7 2" xfId="6104" xr:uid="{00000000-0005-0000-0000-0000F01D0000}"/>
    <cellStyle name="Data 3 6 7 8" xfId="6105" xr:uid="{00000000-0005-0000-0000-0000F11D0000}"/>
    <cellStyle name="Data 3 6 7 8 2" xfId="6106" xr:uid="{00000000-0005-0000-0000-0000F21D0000}"/>
    <cellStyle name="Data 3 6 7 9" xfId="6107" xr:uid="{00000000-0005-0000-0000-0000F31D0000}"/>
    <cellStyle name="Data 3 6 7 9 2" xfId="6108" xr:uid="{00000000-0005-0000-0000-0000F41D0000}"/>
    <cellStyle name="Data 3 6 8" xfId="6109" xr:uid="{00000000-0005-0000-0000-0000F51D0000}"/>
    <cellStyle name="Data 3 6 8 10" xfId="6110" xr:uid="{00000000-0005-0000-0000-0000F61D0000}"/>
    <cellStyle name="Data 3 6 8 2" xfId="6111" xr:uid="{00000000-0005-0000-0000-0000F71D0000}"/>
    <cellStyle name="Data 3 6 8 2 2" xfId="6112" xr:uid="{00000000-0005-0000-0000-0000F81D0000}"/>
    <cellStyle name="Data 3 6 8 3" xfId="6113" xr:uid="{00000000-0005-0000-0000-0000F91D0000}"/>
    <cellStyle name="Data 3 6 8 3 2" xfId="6114" xr:uid="{00000000-0005-0000-0000-0000FA1D0000}"/>
    <cellStyle name="Data 3 6 8 4" xfId="6115" xr:uid="{00000000-0005-0000-0000-0000FB1D0000}"/>
    <cellStyle name="Data 3 6 8 4 2" xfId="6116" xr:uid="{00000000-0005-0000-0000-0000FC1D0000}"/>
    <cellStyle name="Data 3 6 8 5" xfId="6117" xr:uid="{00000000-0005-0000-0000-0000FD1D0000}"/>
    <cellStyle name="Data 3 6 8 5 2" xfId="6118" xr:uid="{00000000-0005-0000-0000-0000FE1D0000}"/>
    <cellStyle name="Data 3 6 8 6" xfId="6119" xr:uid="{00000000-0005-0000-0000-0000FF1D0000}"/>
    <cellStyle name="Data 3 6 8 6 2" xfId="6120" xr:uid="{00000000-0005-0000-0000-0000001E0000}"/>
    <cellStyle name="Data 3 6 8 7" xfId="6121" xr:uid="{00000000-0005-0000-0000-0000011E0000}"/>
    <cellStyle name="Data 3 6 8 7 2" xfId="6122" xr:uid="{00000000-0005-0000-0000-0000021E0000}"/>
    <cellStyle name="Data 3 6 8 8" xfId="6123" xr:uid="{00000000-0005-0000-0000-0000031E0000}"/>
    <cellStyle name="Data 3 6 8 8 2" xfId="6124" xr:uid="{00000000-0005-0000-0000-0000041E0000}"/>
    <cellStyle name="Data 3 6 8 9" xfId="6125" xr:uid="{00000000-0005-0000-0000-0000051E0000}"/>
    <cellStyle name="Data 3 6 8 9 2" xfId="6126" xr:uid="{00000000-0005-0000-0000-0000061E0000}"/>
    <cellStyle name="Data 3 6 9" xfId="6127" xr:uid="{00000000-0005-0000-0000-0000071E0000}"/>
    <cellStyle name="Data 3 6 9 10" xfId="6128" xr:uid="{00000000-0005-0000-0000-0000081E0000}"/>
    <cellStyle name="Data 3 6 9 2" xfId="6129" xr:uid="{00000000-0005-0000-0000-0000091E0000}"/>
    <cellStyle name="Data 3 6 9 2 2" xfId="6130" xr:uid="{00000000-0005-0000-0000-00000A1E0000}"/>
    <cellStyle name="Data 3 6 9 3" xfId="6131" xr:uid="{00000000-0005-0000-0000-00000B1E0000}"/>
    <cellStyle name="Data 3 6 9 3 2" xfId="6132" xr:uid="{00000000-0005-0000-0000-00000C1E0000}"/>
    <cellStyle name="Data 3 6 9 4" xfId="6133" xr:uid="{00000000-0005-0000-0000-00000D1E0000}"/>
    <cellStyle name="Data 3 6 9 4 2" xfId="6134" xr:uid="{00000000-0005-0000-0000-00000E1E0000}"/>
    <cellStyle name="Data 3 6 9 5" xfId="6135" xr:uid="{00000000-0005-0000-0000-00000F1E0000}"/>
    <cellStyle name="Data 3 6 9 5 2" xfId="6136" xr:uid="{00000000-0005-0000-0000-0000101E0000}"/>
    <cellStyle name="Data 3 6 9 6" xfId="6137" xr:uid="{00000000-0005-0000-0000-0000111E0000}"/>
    <cellStyle name="Data 3 6 9 6 2" xfId="6138" xr:uid="{00000000-0005-0000-0000-0000121E0000}"/>
    <cellStyle name="Data 3 6 9 7" xfId="6139" xr:uid="{00000000-0005-0000-0000-0000131E0000}"/>
    <cellStyle name="Data 3 6 9 7 2" xfId="6140" xr:uid="{00000000-0005-0000-0000-0000141E0000}"/>
    <cellStyle name="Data 3 6 9 8" xfId="6141" xr:uid="{00000000-0005-0000-0000-0000151E0000}"/>
    <cellStyle name="Data 3 6 9 8 2" xfId="6142" xr:uid="{00000000-0005-0000-0000-0000161E0000}"/>
    <cellStyle name="Data 3 6 9 9" xfId="6143" xr:uid="{00000000-0005-0000-0000-0000171E0000}"/>
    <cellStyle name="Data 3 6 9 9 2" xfId="6144" xr:uid="{00000000-0005-0000-0000-0000181E0000}"/>
    <cellStyle name="Data 3 7" xfId="6145" xr:uid="{00000000-0005-0000-0000-0000191E0000}"/>
    <cellStyle name="Data 3 7 10" xfId="6146" xr:uid="{00000000-0005-0000-0000-00001A1E0000}"/>
    <cellStyle name="Data 3 7 10 2" xfId="6147" xr:uid="{00000000-0005-0000-0000-00001B1E0000}"/>
    <cellStyle name="Data 3 7 10 2 2" xfId="6148" xr:uid="{00000000-0005-0000-0000-00001C1E0000}"/>
    <cellStyle name="Data 3 7 10 3" xfId="6149" xr:uid="{00000000-0005-0000-0000-00001D1E0000}"/>
    <cellStyle name="Data 3 7 10 3 2" xfId="6150" xr:uid="{00000000-0005-0000-0000-00001E1E0000}"/>
    <cellStyle name="Data 3 7 10 4" xfId="6151" xr:uid="{00000000-0005-0000-0000-00001F1E0000}"/>
    <cellStyle name="Data 3 7 10 4 2" xfId="6152" xr:uid="{00000000-0005-0000-0000-0000201E0000}"/>
    <cellStyle name="Data 3 7 10 5" xfId="6153" xr:uid="{00000000-0005-0000-0000-0000211E0000}"/>
    <cellStyle name="Data 3 7 10 5 2" xfId="6154" xr:uid="{00000000-0005-0000-0000-0000221E0000}"/>
    <cellStyle name="Data 3 7 10 6" xfId="6155" xr:uid="{00000000-0005-0000-0000-0000231E0000}"/>
    <cellStyle name="Data 3 7 10 6 2" xfId="6156" xr:uid="{00000000-0005-0000-0000-0000241E0000}"/>
    <cellStyle name="Data 3 7 10 7" xfId="6157" xr:uid="{00000000-0005-0000-0000-0000251E0000}"/>
    <cellStyle name="Data 3 7 10 7 2" xfId="6158" xr:uid="{00000000-0005-0000-0000-0000261E0000}"/>
    <cellStyle name="Data 3 7 10 8" xfId="6159" xr:uid="{00000000-0005-0000-0000-0000271E0000}"/>
    <cellStyle name="Data 3 7 10 8 2" xfId="6160" xr:uid="{00000000-0005-0000-0000-0000281E0000}"/>
    <cellStyle name="Data 3 7 10 9" xfId="6161" xr:uid="{00000000-0005-0000-0000-0000291E0000}"/>
    <cellStyle name="Data 3 7 11" xfId="6162" xr:uid="{00000000-0005-0000-0000-00002A1E0000}"/>
    <cellStyle name="Data 3 7 11 2" xfId="6163" xr:uid="{00000000-0005-0000-0000-00002B1E0000}"/>
    <cellStyle name="Data 3 7 12" xfId="6164" xr:uid="{00000000-0005-0000-0000-00002C1E0000}"/>
    <cellStyle name="Data 3 7 12 2" xfId="6165" xr:uid="{00000000-0005-0000-0000-00002D1E0000}"/>
    <cellStyle name="Data 3 7 13" xfId="6166" xr:uid="{00000000-0005-0000-0000-00002E1E0000}"/>
    <cellStyle name="Data 3 7 13 2" xfId="6167" xr:uid="{00000000-0005-0000-0000-00002F1E0000}"/>
    <cellStyle name="Data 3 7 14" xfId="6168" xr:uid="{00000000-0005-0000-0000-0000301E0000}"/>
    <cellStyle name="Data 3 7 14 2" xfId="6169" xr:uid="{00000000-0005-0000-0000-0000311E0000}"/>
    <cellStyle name="Data 3 7 15" xfId="6170" xr:uid="{00000000-0005-0000-0000-0000321E0000}"/>
    <cellStyle name="Data 3 7 15 2" xfId="6171" xr:uid="{00000000-0005-0000-0000-0000331E0000}"/>
    <cellStyle name="Data 3 7 16" xfId="6172" xr:uid="{00000000-0005-0000-0000-0000341E0000}"/>
    <cellStyle name="Data 3 7 16 2" xfId="6173" xr:uid="{00000000-0005-0000-0000-0000351E0000}"/>
    <cellStyle name="Data 3 7 17" xfId="6174" xr:uid="{00000000-0005-0000-0000-0000361E0000}"/>
    <cellStyle name="Data 3 7 17 2" xfId="6175" xr:uid="{00000000-0005-0000-0000-0000371E0000}"/>
    <cellStyle name="Data 3 7 18" xfId="6176" xr:uid="{00000000-0005-0000-0000-0000381E0000}"/>
    <cellStyle name="Data 3 7 2" xfId="6177" xr:uid="{00000000-0005-0000-0000-0000391E0000}"/>
    <cellStyle name="Data 3 7 2 10" xfId="6178" xr:uid="{00000000-0005-0000-0000-00003A1E0000}"/>
    <cellStyle name="Data 3 7 2 2" xfId="6179" xr:uid="{00000000-0005-0000-0000-00003B1E0000}"/>
    <cellStyle name="Data 3 7 2 2 2" xfId="6180" xr:uid="{00000000-0005-0000-0000-00003C1E0000}"/>
    <cellStyle name="Data 3 7 2 3" xfId="6181" xr:uid="{00000000-0005-0000-0000-00003D1E0000}"/>
    <cellStyle name="Data 3 7 2 3 2" xfId="6182" xr:uid="{00000000-0005-0000-0000-00003E1E0000}"/>
    <cellStyle name="Data 3 7 2 4" xfId="6183" xr:uid="{00000000-0005-0000-0000-00003F1E0000}"/>
    <cellStyle name="Data 3 7 2 4 2" xfId="6184" xr:uid="{00000000-0005-0000-0000-0000401E0000}"/>
    <cellStyle name="Data 3 7 2 5" xfId="6185" xr:uid="{00000000-0005-0000-0000-0000411E0000}"/>
    <cellStyle name="Data 3 7 2 5 2" xfId="6186" xr:uid="{00000000-0005-0000-0000-0000421E0000}"/>
    <cellStyle name="Data 3 7 2 6" xfId="6187" xr:uid="{00000000-0005-0000-0000-0000431E0000}"/>
    <cellStyle name="Data 3 7 2 6 2" xfId="6188" xr:uid="{00000000-0005-0000-0000-0000441E0000}"/>
    <cellStyle name="Data 3 7 2 7" xfId="6189" xr:uid="{00000000-0005-0000-0000-0000451E0000}"/>
    <cellStyle name="Data 3 7 2 7 2" xfId="6190" xr:uid="{00000000-0005-0000-0000-0000461E0000}"/>
    <cellStyle name="Data 3 7 2 8" xfId="6191" xr:uid="{00000000-0005-0000-0000-0000471E0000}"/>
    <cellStyle name="Data 3 7 2 8 2" xfId="6192" xr:uid="{00000000-0005-0000-0000-0000481E0000}"/>
    <cellStyle name="Data 3 7 2 9" xfId="6193" xr:uid="{00000000-0005-0000-0000-0000491E0000}"/>
    <cellStyle name="Data 3 7 2 9 2" xfId="6194" xr:uid="{00000000-0005-0000-0000-00004A1E0000}"/>
    <cellStyle name="Data 3 7 3" xfId="6195" xr:uid="{00000000-0005-0000-0000-00004B1E0000}"/>
    <cellStyle name="Data 3 7 3 10" xfId="6196" xr:uid="{00000000-0005-0000-0000-00004C1E0000}"/>
    <cellStyle name="Data 3 7 3 2" xfId="6197" xr:uid="{00000000-0005-0000-0000-00004D1E0000}"/>
    <cellStyle name="Data 3 7 3 2 2" xfId="6198" xr:uid="{00000000-0005-0000-0000-00004E1E0000}"/>
    <cellStyle name="Data 3 7 3 3" xfId="6199" xr:uid="{00000000-0005-0000-0000-00004F1E0000}"/>
    <cellStyle name="Data 3 7 3 3 2" xfId="6200" xr:uid="{00000000-0005-0000-0000-0000501E0000}"/>
    <cellStyle name="Data 3 7 3 4" xfId="6201" xr:uid="{00000000-0005-0000-0000-0000511E0000}"/>
    <cellStyle name="Data 3 7 3 4 2" xfId="6202" xr:uid="{00000000-0005-0000-0000-0000521E0000}"/>
    <cellStyle name="Data 3 7 3 5" xfId="6203" xr:uid="{00000000-0005-0000-0000-0000531E0000}"/>
    <cellStyle name="Data 3 7 3 5 2" xfId="6204" xr:uid="{00000000-0005-0000-0000-0000541E0000}"/>
    <cellStyle name="Data 3 7 3 6" xfId="6205" xr:uid="{00000000-0005-0000-0000-0000551E0000}"/>
    <cellStyle name="Data 3 7 3 6 2" xfId="6206" xr:uid="{00000000-0005-0000-0000-0000561E0000}"/>
    <cellStyle name="Data 3 7 3 7" xfId="6207" xr:uid="{00000000-0005-0000-0000-0000571E0000}"/>
    <cellStyle name="Data 3 7 3 7 2" xfId="6208" xr:uid="{00000000-0005-0000-0000-0000581E0000}"/>
    <cellStyle name="Data 3 7 3 8" xfId="6209" xr:uid="{00000000-0005-0000-0000-0000591E0000}"/>
    <cellStyle name="Data 3 7 3 8 2" xfId="6210" xr:uid="{00000000-0005-0000-0000-00005A1E0000}"/>
    <cellStyle name="Data 3 7 3 9" xfId="6211" xr:uid="{00000000-0005-0000-0000-00005B1E0000}"/>
    <cellStyle name="Data 3 7 3 9 2" xfId="6212" xr:uid="{00000000-0005-0000-0000-00005C1E0000}"/>
    <cellStyle name="Data 3 7 4" xfId="6213" xr:uid="{00000000-0005-0000-0000-00005D1E0000}"/>
    <cellStyle name="Data 3 7 4 10" xfId="6214" xr:uid="{00000000-0005-0000-0000-00005E1E0000}"/>
    <cellStyle name="Data 3 7 4 2" xfId="6215" xr:uid="{00000000-0005-0000-0000-00005F1E0000}"/>
    <cellStyle name="Data 3 7 4 2 2" xfId="6216" xr:uid="{00000000-0005-0000-0000-0000601E0000}"/>
    <cellStyle name="Data 3 7 4 3" xfId="6217" xr:uid="{00000000-0005-0000-0000-0000611E0000}"/>
    <cellStyle name="Data 3 7 4 3 2" xfId="6218" xr:uid="{00000000-0005-0000-0000-0000621E0000}"/>
    <cellStyle name="Data 3 7 4 4" xfId="6219" xr:uid="{00000000-0005-0000-0000-0000631E0000}"/>
    <cellStyle name="Data 3 7 4 4 2" xfId="6220" xr:uid="{00000000-0005-0000-0000-0000641E0000}"/>
    <cellStyle name="Data 3 7 4 5" xfId="6221" xr:uid="{00000000-0005-0000-0000-0000651E0000}"/>
    <cellStyle name="Data 3 7 4 5 2" xfId="6222" xr:uid="{00000000-0005-0000-0000-0000661E0000}"/>
    <cellStyle name="Data 3 7 4 6" xfId="6223" xr:uid="{00000000-0005-0000-0000-0000671E0000}"/>
    <cellStyle name="Data 3 7 4 6 2" xfId="6224" xr:uid="{00000000-0005-0000-0000-0000681E0000}"/>
    <cellStyle name="Data 3 7 4 7" xfId="6225" xr:uid="{00000000-0005-0000-0000-0000691E0000}"/>
    <cellStyle name="Data 3 7 4 7 2" xfId="6226" xr:uid="{00000000-0005-0000-0000-00006A1E0000}"/>
    <cellStyle name="Data 3 7 4 8" xfId="6227" xr:uid="{00000000-0005-0000-0000-00006B1E0000}"/>
    <cellStyle name="Data 3 7 4 8 2" xfId="6228" xr:uid="{00000000-0005-0000-0000-00006C1E0000}"/>
    <cellStyle name="Data 3 7 4 9" xfId="6229" xr:uid="{00000000-0005-0000-0000-00006D1E0000}"/>
    <cellStyle name="Data 3 7 4 9 2" xfId="6230" xr:uid="{00000000-0005-0000-0000-00006E1E0000}"/>
    <cellStyle name="Data 3 7 5" xfId="6231" xr:uid="{00000000-0005-0000-0000-00006F1E0000}"/>
    <cellStyle name="Data 3 7 5 10" xfId="6232" xr:uid="{00000000-0005-0000-0000-0000701E0000}"/>
    <cellStyle name="Data 3 7 5 2" xfId="6233" xr:uid="{00000000-0005-0000-0000-0000711E0000}"/>
    <cellStyle name="Data 3 7 5 2 2" xfId="6234" xr:uid="{00000000-0005-0000-0000-0000721E0000}"/>
    <cellStyle name="Data 3 7 5 3" xfId="6235" xr:uid="{00000000-0005-0000-0000-0000731E0000}"/>
    <cellStyle name="Data 3 7 5 3 2" xfId="6236" xr:uid="{00000000-0005-0000-0000-0000741E0000}"/>
    <cellStyle name="Data 3 7 5 4" xfId="6237" xr:uid="{00000000-0005-0000-0000-0000751E0000}"/>
    <cellStyle name="Data 3 7 5 4 2" xfId="6238" xr:uid="{00000000-0005-0000-0000-0000761E0000}"/>
    <cellStyle name="Data 3 7 5 5" xfId="6239" xr:uid="{00000000-0005-0000-0000-0000771E0000}"/>
    <cellStyle name="Data 3 7 5 5 2" xfId="6240" xr:uid="{00000000-0005-0000-0000-0000781E0000}"/>
    <cellStyle name="Data 3 7 5 6" xfId="6241" xr:uid="{00000000-0005-0000-0000-0000791E0000}"/>
    <cellStyle name="Data 3 7 5 6 2" xfId="6242" xr:uid="{00000000-0005-0000-0000-00007A1E0000}"/>
    <cellStyle name="Data 3 7 5 7" xfId="6243" xr:uid="{00000000-0005-0000-0000-00007B1E0000}"/>
    <cellStyle name="Data 3 7 5 7 2" xfId="6244" xr:uid="{00000000-0005-0000-0000-00007C1E0000}"/>
    <cellStyle name="Data 3 7 5 8" xfId="6245" xr:uid="{00000000-0005-0000-0000-00007D1E0000}"/>
    <cellStyle name="Data 3 7 5 8 2" xfId="6246" xr:uid="{00000000-0005-0000-0000-00007E1E0000}"/>
    <cellStyle name="Data 3 7 5 9" xfId="6247" xr:uid="{00000000-0005-0000-0000-00007F1E0000}"/>
    <cellStyle name="Data 3 7 5 9 2" xfId="6248" xr:uid="{00000000-0005-0000-0000-0000801E0000}"/>
    <cellStyle name="Data 3 7 6" xfId="6249" xr:uid="{00000000-0005-0000-0000-0000811E0000}"/>
    <cellStyle name="Data 3 7 6 10" xfId="6250" xr:uid="{00000000-0005-0000-0000-0000821E0000}"/>
    <cellStyle name="Data 3 7 6 2" xfId="6251" xr:uid="{00000000-0005-0000-0000-0000831E0000}"/>
    <cellStyle name="Data 3 7 6 2 2" xfId="6252" xr:uid="{00000000-0005-0000-0000-0000841E0000}"/>
    <cellStyle name="Data 3 7 6 3" xfId="6253" xr:uid="{00000000-0005-0000-0000-0000851E0000}"/>
    <cellStyle name="Data 3 7 6 3 2" xfId="6254" xr:uid="{00000000-0005-0000-0000-0000861E0000}"/>
    <cellStyle name="Data 3 7 6 4" xfId="6255" xr:uid="{00000000-0005-0000-0000-0000871E0000}"/>
    <cellStyle name="Data 3 7 6 4 2" xfId="6256" xr:uid="{00000000-0005-0000-0000-0000881E0000}"/>
    <cellStyle name="Data 3 7 6 5" xfId="6257" xr:uid="{00000000-0005-0000-0000-0000891E0000}"/>
    <cellStyle name="Data 3 7 6 5 2" xfId="6258" xr:uid="{00000000-0005-0000-0000-00008A1E0000}"/>
    <cellStyle name="Data 3 7 6 6" xfId="6259" xr:uid="{00000000-0005-0000-0000-00008B1E0000}"/>
    <cellStyle name="Data 3 7 6 6 2" xfId="6260" xr:uid="{00000000-0005-0000-0000-00008C1E0000}"/>
    <cellStyle name="Data 3 7 6 7" xfId="6261" xr:uid="{00000000-0005-0000-0000-00008D1E0000}"/>
    <cellStyle name="Data 3 7 6 7 2" xfId="6262" xr:uid="{00000000-0005-0000-0000-00008E1E0000}"/>
    <cellStyle name="Data 3 7 6 8" xfId="6263" xr:uid="{00000000-0005-0000-0000-00008F1E0000}"/>
    <cellStyle name="Data 3 7 6 8 2" xfId="6264" xr:uid="{00000000-0005-0000-0000-0000901E0000}"/>
    <cellStyle name="Data 3 7 6 9" xfId="6265" xr:uid="{00000000-0005-0000-0000-0000911E0000}"/>
    <cellStyle name="Data 3 7 6 9 2" xfId="6266" xr:uid="{00000000-0005-0000-0000-0000921E0000}"/>
    <cellStyle name="Data 3 7 7" xfId="6267" xr:uid="{00000000-0005-0000-0000-0000931E0000}"/>
    <cellStyle name="Data 3 7 7 10" xfId="6268" xr:uid="{00000000-0005-0000-0000-0000941E0000}"/>
    <cellStyle name="Data 3 7 7 2" xfId="6269" xr:uid="{00000000-0005-0000-0000-0000951E0000}"/>
    <cellStyle name="Data 3 7 7 2 2" xfId="6270" xr:uid="{00000000-0005-0000-0000-0000961E0000}"/>
    <cellStyle name="Data 3 7 7 3" xfId="6271" xr:uid="{00000000-0005-0000-0000-0000971E0000}"/>
    <cellStyle name="Data 3 7 7 3 2" xfId="6272" xr:uid="{00000000-0005-0000-0000-0000981E0000}"/>
    <cellStyle name="Data 3 7 7 4" xfId="6273" xr:uid="{00000000-0005-0000-0000-0000991E0000}"/>
    <cellStyle name="Data 3 7 7 4 2" xfId="6274" xr:uid="{00000000-0005-0000-0000-00009A1E0000}"/>
    <cellStyle name="Data 3 7 7 5" xfId="6275" xr:uid="{00000000-0005-0000-0000-00009B1E0000}"/>
    <cellStyle name="Data 3 7 7 5 2" xfId="6276" xr:uid="{00000000-0005-0000-0000-00009C1E0000}"/>
    <cellStyle name="Data 3 7 7 6" xfId="6277" xr:uid="{00000000-0005-0000-0000-00009D1E0000}"/>
    <cellStyle name="Data 3 7 7 6 2" xfId="6278" xr:uid="{00000000-0005-0000-0000-00009E1E0000}"/>
    <cellStyle name="Data 3 7 7 7" xfId="6279" xr:uid="{00000000-0005-0000-0000-00009F1E0000}"/>
    <cellStyle name="Data 3 7 7 7 2" xfId="6280" xr:uid="{00000000-0005-0000-0000-0000A01E0000}"/>
    <cellStyle name="Data 3 7 7 8" xfId="6281" xr:uid="{00000000-0005-0000-0000-0000A11E0000}"/>
    <cellStyle name="Data 3 7 7 8 2" xfId="6282" xr:uid="{00000000-0005-0000-0000-0000A21E0000}"/>
    <cellStyle name="Data 3 7 7 9" xfId="6283" xr:uid="{00000000-0005-0000-0000-0000A31E0000}"/>
    <cellStyle name="Data 3 7 7 9 2" xfId="6284" xr:uid="{00000000-0005-0000-0000-0000A41E0000}"/>
    <cellStyle name="Data 3 7 8" xfId="6285" xr:uid="{00000000-0005-0000-0000-0000A51E0000}"/>
    <cellStyle name="Data 3 7 8 10" xfId="6286" xr:uid="{00000000-0005-0000-0000-0000A61E0000}"/>
    <cellStyle name="Data 3 7 8 2" xfId="6287" xr:uid="{00000000-0005-0000-0000-0000A71E0000}"/>
    <cellStyle name="Data 3 7 8 2 2" xfId="6288" xr:uid="{00000000-0005-0000-0000-0000A81E0000}"/>
    <cellStyle name="Data 3 7 8 3" xfId="6289" xr:uid="{00000000-0005-0000-0000-0000A91E0000}"/>
    <cellStyle name="Data 3 7 8 3 2" xfId="6290" xr:uid="{00000000-0005-0000-0000-0000AA1E0000}"/>
    <cellStyle name="Data 3 7 8 4" xfId="6291" xr:uid="{00000000-0005-0000-0000-0000AB1E0000}"/>
    <cellStyle name="Data 3 7 8 4 2" xfId="6292" xr:uid="{00000000-0005-0000-0000-0000AC1E0000}"/>
    <cellStyle name="Data 3 7 8 5" xfId="6293" xr:uid="{00000000-0005-0000-0000-0000AD1E0000}"/>
    <cellStyle name="Data 3 7 8 5 2" xfId="6294" xr:uid="{00000000-0005-0000-0000-0000AE1E0000}"/>
    <cellStyle name="Data 3 7 8 6" xfId="6295" xr:uid="{00000000-0005-0000-0000-0000AF1E0000}"/>
    <cellStyle name="Data 3 7 8 6 2" xfId="6296" xr:uid="{00000000-0005-0000-0000-0000B01E0000}"/>
    <cellStyle name="Data 3 7 8 7" xfId="6297" xr:uid="{00000000-0005-0000-0000-0000B11E0000}"/>
    <cellStyle name="Data 3 7 8 7 2" xfId="6298" xr:uid="{00000000-0005-0000-0000-0000B21E0000}"/>
    <cellStyle name="Data 3 7 8 8" xfId="6299" xr:uid="{00000000-0005-0000-0000-0000B31E0000}"/>
    <cellStyle name="Data 3 7 8 8 2" xfId="6300" xr:uid="{00000000-0005-0000-0000-0000B41E0000}"/>
    <cellStyle name="Data 3 7 8 9" xfId="6301" xr:uid="{00000000-0005-0000-0000-0000B51E0000}"/>
    <cellStyle name="Data 3 7 8 9 2" xfId="6302" xr:uid="{00000000-0005-0000-0000-0000B61E0000}"/>
    <cellStyle name="Data 3 7 9" xfId="6303" xr:uid="{00000000-0005-0000-0000-0000B71E0000}"/>
    <cellStyle name="Data 3 7 9 10" xfId="6304" xr:uid="{00000000-0005-0000-0000-0000B81E0000}"/>
    <cellStyle name="Data 3 7 9 2" xfId="6305" xr:uid="{00000000-0005-0000-0000-0000B91E0000}"/>
    <cellStyle name="Data 3 7 9 2 2" xfId="6306" xr:uid="{00000000-0005-0000-0000-0000BA1E0000}"/>
    <cellStyle name="Data 3 7 9 3" xfId="6307" xr:uid="{00000000-0005-0000-0000-0000BB1E0000}"/>
    <cellStyle name="Data 3 7 9 3 2" xfId="6308" xr:uid="{00000000-0005-0000-0000-0000BC1E0000}"/>
    <cellStyle name="Data 3 7 9 4" xfId="6309" xr:uid="{00000000-0005-0000-0000-0000BD1E0000}"/>
    <cellStyle name="Data 3 7 9 4 2" xfId="6310" xr:uid="{00000000-0005-0000-0000-0000BE1E0000}"/>
    <cellStyle name="Data 3 7 9 5" xfId="6311" xr:uid="{00000000-0005-0000-0000-0000BF1E0000}"/>
    <cellStyle name="Data 3 7 9 5 2" xfId="6312" xr:uid="{00000000-0005-0000-0000-0000C01E0000}"/>
    <cellStyle name="Data 3 7 9 6" xfId="6313" xr:uid="{00000000-0005-0000-0000-0000C11E0000}"/>
    <cellStyle name="Data 3 7 9 6 2" xfId="6314" xr:uid="{00000000-0005-0000-0000-0000C21E0000}"/>
    <cellStyle name="Data 3 7 9 7" xfId="6315" xr:uid="{00000000-0005-0000-0000-0000C31E0000}"/>
    <cellStyle name="Data 3 7 9 7 2" xfId="6316" xr:uid="{00000000-0005-0000-0000-0000C41E0000}"/>
    <cellStyle name="Data 3 7 9 8" xfId="6317" xr:uid="{00000000-0005-0000-0000-0000C51E0000}"/>
    <cellStyle name="Data 3 7 9 8 2" xfId="6318" xr:uid="{00000000-0005-0000-0000-0000C61E0000}"/>
    <cellStyle name="Data 3 7 9 9" xfId="6319" xr:uid="{00000000-0005-0000-0000-0000C71E0000}"/>
    <cellStyle name="Data 3 7 9 9 2" xfId="6320" xr:uid="{00000000-0005-0000-0000-0000C81E0000}"/>
    <cellStyle name="Data 3 8" xfId="6321" xr:uid="{00000000-0005-0000-0000-0000C91E0000}"/>
    <cellStyle name="Data 3 8 10" xfId="6322" xr:uid="{00000000-0005-0000-0000-0000CA1E0000}"/>
    <cellStyle name="Data 3 8 10 2" xfId="6323" xr:uid="{00000000-0005-0000-0000-0000CB1E0000}"/>
    <cellStyle name="Data 3 8 10 2 2" xfId="6324" xr:uid="{00000000-0005-0000-0000-0000CC1E0000}"/>
    <cellStyle name="Data 3 8 10 3" xfId="6325" xr:uid="{00000000-0005-0000-0000-0000CD1E0000}"/>
    <cellStyle name="Data 3 8 10 3 2" xfId="6326" xr:uid="{00000000-0005-0000-0000-0000CE1E0000}"/>
    <cellStyle name="Data 3 8 10 4" xfId="6327" xr:uid="{00000000-0005-0000-0000-0000CF1E0000}"/>
    <cellStyle name="Data 3 8 10 4 2" xfId="6328" xr:uid="{00000000-0005-0000-0000-0000D01E0000}"/>
    <cellStyle name="Data 3 8 10 5" xfId="6329" xr:uid="{00000000-0005-0000-0000-0000D11E0000}"/>
    <cellStyle name="Data 3 8 10 5 2" xfId="6330" xr:uid="{00000000-0005-0000-0000-0000D21E0000}"/>
    <cellStyle name="Data 3 8 10 6" xfId="6331" xr:uid="{00000000-0005-0000-0000-0000D31E0000}"/>
    <cellStyle name="Data 3 8 10 6 2" xfId="6332" xr:uid="{00000000-0005-0000-0000-0000D41E0000}"/>
    <cellStyle name="Data 3 8 10 7" xfId="6333" xr:uid="{00000000-0005-0000-0000-0000D51E0000}"/>
    <cellStyle name="Data 3 8 10 7 2" xfId="6334" xr:uid="{00000000-0005-0000-0000-0000D61E0000}"/>
    <cellStyle name="Data 3 8 10 8" xfId="6335" xr:uid="{00000000-0005-0000-0000-0000D71E0000}"/>
    <cellStyle name="Data 3 8 10 8 2" xfId="6336" xr:uid="{00000000-0005-0000-0000-0000D81E0000}"/>
    <cellStyle name="Data 3 8 10 9" xfId="6337" xr:uid="{00000000-0005-0000-0000-0000D91E0000}"/>
    <cellStyle name="Data 3 8 11" xfId="6338" xr:uid="{00000000-0005-0000-0000-0000DA1E0000}"/>
    <cellStyle name="Data 3 8 11 2" xfId="6339" xr:uid="{00000000-0005-0000-0000-0000DB1E0000}"/>
    <cellStyle name="Data 3 8 12" xfId="6340" xr:uid="{00000000-0005-0000-0000-0000DC1E0000}"/>
    <cellStyle name="Data 3 8 12 2" xfId="6341" xr:uid="{00000000-0005-0000-0000-0000DD1E0000}"/>
    <cellStyle name="Data 3 8 13" xfId="6342" xr:uid="{00000000-0005-0000-0000-0000DE1E0000}"/>
    <cellStyle name="Data 3 8 13 2" xfId="6343" xr:uid="{00000000-0005-0000-0000-0000DF1E0000}"/>
    <cellStyle name="Data 3 8 14" xfId="6344" xr:uid="{00000000-0005-0000-0000-0000E01E0000}"/>
    <cellStyle name="Data 3 8 14 2" xfId="6345" xr:uid="{00000000-0005-0000-0000-0000E11E0000}"/>
    <cellStyle name="Data 3 8 15" xfId="6346" xr:uid="{00000000-0005-0000-0000-0000E21E0000}"/>
    <cellStyle name="Data 3 8 15 2" xfId="6347" xr:uid="{00000000-0005-0000-0000-0000E31E0000}"/>
    <cellStyle name="Data 3 8 16" xfId="6348" xr:uid="{00000000-0005-0000-0000-0000E41E0000}"/>
    <cellStyle name="Data 3 8 16 2" xfId="6349" xr:uid="{00000000-0005-0000-0000-0000E51E0000}"/>
    <cellStyle name="Data 3 8 17" xfId="6350" xr:uid="{00000000-0005-0000-0000-0000E61E0000}"/>
    <cellStyle name="Data 3 8 17 2" xfId="6351" xr:uid="{00000000-0005-0000-0000-0000E71E0000}"/>
    <cellStyle name="Data 3 8 18" xfId="6352" xr:uid="{00000000-0005-0000-0000-0000E81E0000}"/>
    <cellStyle name="Data 3 8 2" xfId="6353" xr:uid="{00000000-0005-0000-0000-0000E91E0000}"/>
    <cellStyle name="Data 3 8 2 10" xfId="6354" xr:uid="{00000000-0005-0000-0000-0000EA1E0000}"/>
    <cellStyle name="Data 3 8 2 2" xfId="6355" xr:uid="{00000000-0005-0000-0000-0000EB1E0000}"/>
    <cellStyle name="Data 3 8 2 2 2" xfId="6356" xr:uid="{00000000-0005-0000-0000-0000EC1E0000}"/>
    <cellStyle name="Data 3 8 2 3" xfId="6357" xr:uid="{00000000-0005-0000-0000-0000ED1E0000}"/>
    <cellStyle name="Data 3 8 2 3 2" xfId="6358" xr:uid="{00000000-0005-0000-0000-0000EE1E0000}"/>
    <cellStyle name="Data 3 8 2 4" xfId="6359" xr:uid="{00000000-0005-0000-0000-0000EF1E0000}"/>
    <cellStyle name="Data 3 8 2 4 2" xfId="6360" xr:uid="{00000000-0005-0000-0000-0000F01E0000}"/>
    <cellStyle name="Data 3 8 2 5" xfId="6361" xr:uid="{00000000-0005-0000-0000-0000F11E0000}"/>
    <cellStyle name="Data 3 8 2 5 2" xfId="6362" xr:uid="{00000000-0005-0000-0000-0000F21E0000}"/>
    <cellStyle name="Data 3 8 2 6" xfId="6363" xr:uid="{00000000-0005-0000-0000-0000F31E0000}"/>
    <cellStyle name="Data 3 8 2 6 2" xfId="6364" xr:uid="{00000000-0005-0000-0000-0000F41E0000}"/>
    <cellStyle name="Data 3 8 2 7" xfId="6365" xr:uid="{00000000-0005-0000-0000-0000F51E0000}"/>
    <cellStyle name="Data 3 8 2 7 2" xfId="6366" xr:uid="{00000000-0005-0000-0000-0000F61E0000}"/>
    <cellStyle name="Data 3 8 2 8" xfId="6367" xr:uid="{00000000-0005-0000-0000-0000F71E0000}"/>
    <cellStyle name="Data 3 8 2 8 2" xfId="6368" xr:uid="{00000000-0005-0000-0000-0000F81E0000}"/>
    <cellStyle name="Data 3 8 2 9" xfId="6369" xr:uid="{00000000-0005-0000-0000-0000F91E0000}"/>
    <cellStyle name="Data 3 8 2 9 2" xfId="6370" xr:uid="{00000000-0005-0000-0000-0000FA1E0000}"/>
    <cellStyle name="Data 3 8 3" xfId="6371" xr:uid="{00000000-0005-0000-0000-0000FB1E0000}"/>
    <cellStyle name="Data 3 8 3 10" xfId="6372" xr:uid="{00000000-0005-0000-0000-0000FC1E0000}"/>
    <cellStyle name="Data 3 8 3 2" xfId="6373" xr:uid="{00000000-0005-0000-0000-0000FD1E0000}"/>
    <cellStyle name="Data 3 8 3 2 2" xfId="6374" xr:uid="{00000000-0005-0000-0000-0000FE1E0000}"/>
    <cellStyle name="Data 3 8 3 3" xfId="6375" xr:uid="{00000000-0005-0000-0000-0000FF1E0000}"/>
    <cellStyle name="Data 3 8 3 3 2" xfId="6376" xr:uid="{00000000-0005-0000-0000-0000001F0000}"/>
    <cellStyle name="Data 3 8 3 4" xfId="6377" xr:uid="{00000000-0005-0000-0000-0000011F0000}"/>
    <cellStyle name="Data 3 8 3 4 2" xfId="6378" xr:uid="{00000000-0005-0000-0000-0000021F0000}"/>
    <cellStyle name="Data 3 8 3 5" xfId="6379" xr:uid="{00000000-0005-0000-0000-0000031F0000}"/>
    <cellStyle name="Data 3 8 3 5 2" xfId="6380" xr:uid="{00000000-0005-0000-0000-0000041F0000}"/>
    <cellStyle name="Data 3 8 3 6" xfId="6381" xr:uid="{00000000-0005-0000-0000-0000051F0000}"/>
    <cellStyle name="Data 3 8 3 6 2" xfId="6382" xr:uid="{00000000-0005-0000-0000-0000061F0000}"/>
    <cellStyle name="Data 3 8 3 7" xfId="6383" xr:uid="{00000000-0005-0000-0000-0000071F0000}"/>
    <cellStyle name="Data 3 8 3 7 2" xfId="6384" xr:uid="{00000000-0005-0000-0000-0000081F0000}"/>
    <cellStyle name="Data 3 8 3 8" xfId="6385" xr:uid="{00000000-0005-0000-0000-0000091F0000}"/>
    <cellStyle name="Data 3 8 3 8 2" xfId="6386" xr:uid="{00000000-0005-0000-0000-00000A1F0000}"/>
    <cellStyle name="Data 3 8 3 9" xfId="6387" xr:uid="{00000000-0005-0000-0000-00000B1F0000}"/>
    <cellStyle name="Data 3 8 3 9 2" xfId="6388" xr:uid="{00000000-0005-0000-0000-00000C1F0000}"/>
    <cellStyle name="Data 3 8 4" xfId="6389" xr:uid="{00000000-0005-0000-0000-00000D1F0000}"/>
    <cellStyle name="Data 3 8 4 10" xfId="6390" xr:uid="{00000000-0005-0000-0000-00000E1F0000}"/>
    <cellStyle name="Data 3 8 4 2" xfId="6391" xr:uid="{00000000-0005-0000-0000-00000F1F0000}"/>
    <cellStyle name="Data 3 8 4 2 2" xfId="6392" xr:uid="{00000000-0005-0000-0000-0000101F0000}"/>
    <cellStyle name="Data 3 8 4 3" xfId="6393" xr:uid="{00000000-0005-0000-0000-0000111F0000}"/>
    <cellStyle name="Data 3 8 4 3 2" xfId="6394" xr:uid="{00000000-0005-0000-0000-0000121F0000}"/>
    <cellStyle name="Data 3 8 4 4" xfId="6395" xr:uid="{00000000-0005-0000-0000-0000131F0000}"/>
    <cellStyle name="Data 3 8 4 4 2" xfId="6396" xr:uid="{00000000-0005-0000-0000-0000141F0000}"/>
    <cellStyle name="Data 3 8 4 5" xfId="6397" xr:uid="{00000000-0005-0000-0000-0000151F0000}"/>
    <cellStyle name="Data 3 8 4 5 2" xfId="6398" xr:uid="{00000000-0005-0000-0000-0000161F0000}"/>
    <cellStyle name="Data 3 8 4 6" xfId="6399" xr:uid="{00000000-0005-0000-0000-0000171F0000}"/>
    <cellStyle name="Data 3 8 4 6 2" xfId="6400" xr:uid="{00000000-0005-0000-0000-0000181F0000}"/>
    <cellStyle name="Data 3 8 4 7" xfId="6401" xr:uid="{00000000-0005-0000-0000-0000191F0000}"/>
    <cellStyle name="Data 3 8 4 7 2" xfId="6402" xr:uid="{00000000-0005-0000-0000-00001A1F0000}"/>
    <cellStyle name="Data 3 8 4 8" xfId="6403" xr:uid="{00000000-0005-0000-0000-00001B1F0000}"/>
    <cellStyle name="Data 3 8 4 8 2" xfId="6404" xr:uid="{00000000-0005-0000-0000-00001C1F0000}"/>
    <cellStyle name="Data 3 8 4 9" xfId="6405" xr:uid="{00000000-0005-0000-0000-00001D1F0000}"/>
    <cellStyle name="Data 3 8 4 9 2" xfId="6406" xr:uid="{00000000-0005-0000-0000-00001E1F0000}"/>
    <cellStyle name="Data 3 8 5" xfId="6407" xr:uid="{00000000-0005-0000-0000-00001F1F0000}"/>
    <cellStyle name="Data 3 8 5 10" xfId="6408" xr:uid="{00000000-0005-0000-0000-0000201F0000}"/>
    <cellStyle name="Data 3 8 5 2" xfId="6409" xr:uid="{00000000-0005-0000-0000-0000211F0000}"/>
    <cellStyle name="Data 3 8 5 2 2" xfId="6410" xr:uid="{00000000-0005-0000-0000-0000221F0000}"/>
    <cellStyle name="Data 3 8 5 3" xfId="6411" xr:uid="{00000000-0005-0000-0000-0000231F0000}"/>
    <cellStyle name="Data 3 8 5 3 2" xfId="6412" xr:uid="{00000000-0005-0000-0000-0000241F0000}"/>
    <cellStyle name="Data 3 8 5 4" xfId="6413" xr:uid="{00000000-0005-0000-0000-0000251F0000}"/>
    <cellStyle name="Data 3 8 5 4 2" xfId="6414" xr:uid="{00000000-0005-0000-0000-0000261F0000}"/>
    <cellStyle name="Data 3 8 5 5" xfId="6415" xr:uid="{00000000-0005-0000-0000-0000271F0000}"/>
    <cellStyle name="Data 3 8 5 5 2" xfId="6416" xr:uid="{00000000-0005-0000-0000-0000281F0000}"/>
    <cellStyle name="Data 3 8 5 6" xfId="6417" xr:uid="{00000000-0005-0000-0000-0000291F0000}"/>
    <cellStyle name="Data 3 8 5 6 2" xfId="6418" xr:uid="{00000000-0005-0000-0000-00002A1F0000}"/>
    <cellStyle name="Data 3 8 5 7" xfId="6419" xr:uid="{00000000-0005-0000-0000-00002B1F0000}"/>
    <cellStyle name="Data 3 8 5 7 2" xfId="6420" xr:uid="{00000000-0005-0000-0000-00002C1F0000}"/>
    <cellStyle name="Data 3 8 5 8" xfId="6421" xr:uid="{00000000-0005-0000-0000-00002D1F0000}"/>
    <cellStyle name="Data 3 8 5 8 2" xfId="6422" xr:uid="{00000000-0005-0000-0000-00002E1F0000}"/>
    <cellStyle name="Data 3 8 5 9" xfId="6423" xr:uid="{00000000-0005-0000-0000-00002F1F0000}"/>
    <cellStyle name="Data 3 8 5 9 2" xfId="6424" xr:uid="{00000000-0005-0000-0000-0000301F0000}"/>
    <cellStyle name="Data 3 8 6" xfId="6425" xr:uid="{00000000-0005-0000-0000-0000311F0000}"/>
    <cellStyle name="Data 3 8 6 10" xfId="6426" xr:uid="{00000000-0005-0000-0000-0000321F0000}"/>
    <cellStyle name="Data 3 8 6 2" xfId="6427" xr:uid="{00000000-0005-0000-0000-0000331F0000}"/>
    <cellStyle name="Data 3 8 6 2 2" xfId="6428" xr:uid="{00000000-0005-0000-0000-0000341F0000}"/>
    <cellStyle name="Data 3 8 6 3" xfId="6429" xr:uid="{00000000-0005-0000-0000-0000351F0000}"/>
    <cellStyle name="Data 3 8 6 3 2" xfId="6430" xr:uid="{00000000-0005-0000-0000-0000361F0000}"/>
    <cellStyle name="Data 3 8 6 4" xfId="6431" xr:uid="{00000000-0005-0000-0000-0000371F0000}"/>
    <cellStyle name="Data 3 8 6 4 2" xfId="6432" xr:uid="{00000000-0005-0000-0000-0000381F0000}"/>
    <cellStyle name="Data 3 8 6 5" xfId="6433" xr:uid="{00000000-0005-0000-0000-0000391F0000}"/>
    <cellStyle name="Data 3 8 6 5 2" xfId="6434" xr:uid="{00000000-0005-0000-0000-00003A1F0000}"/>
    <cellStyle name="Data 3 8 6 6" xfId="6435" xr:uid="{00000000-0005-0000-0000-00003B1F0000}"/>
    <cellStyle name="Data 3 8 6 6 2" xfId="6436" xr:uid="{00000000-0005-0000-0000-00003C1F0000}"/>
    <cellStyle name="Data 3 8 6 7" xfId="6437" xr:uid="{00000000-0005-0000-0000-00003D1F0000}"/>
    <cellStyle name="Data 3 8 6 7 2" xfId="6438" xr:uid="{00000000-0005-0000-0000-00003E1F0000}"/>
    <cellStyle name="Data 3 8 6 8" xfId="6439" xr:uid="{00000000-0005-0000-0000-00003F1F0000}"/>
    <cellStyle name="Data 3 8 6 8 2" xfId="6440" xr:uid="{00000000-0005-0000-0000-0000401F0000}"/>
    <cellStyle name="Data 3 8 6 9" xfId="6441" xr:uid="{00000000-0005-0000-0000-0000411F0000}"/>
    <cellStyle name="Data 3 8 6 9 2" xfId="6442" xr:uid="{00000000-0005-0000-0000-0000421F0000}"/>
    <cellStyle name="Data 3 8 7" xfId="6443" xr:uid="{00000000-0005-0000-0000-0000431F0000}"/>
    <cellStyle name="Data 3 8 7 10" xfId="6444" xr:uid="{00000000-0005-0000-0000-0000441F0000}"/>
    <cellStyle name="Data 3 8 7 2" xfId="6445" xr:uid="{00000000-0005-0000-0000-0000451F0000}"/>
    <cellStyle name="Data 3 8 7 2 2" xfId="6446" xr:uid="{00000000-0005-0000-0000-0000461F0000}"/>
    <cellStyle name="Data 3 8 7 3" xfId="6447" xr:uid="{00000000-0005-0000-0000-0000471F0000}"/>
    <cellStyle name="Data 3 8 7 3 2" xfId="6448" xr:uid="{00000000-0005-0000-0000-0000481F0000}"/>
    <cellStyle name="Data 3 8 7 4" xfId="6449" xr:uid="{00000000-0005-0000-0000-0000491F0000}"/>
    <cellStyle name="Data 3 8 7 4 2" xfId="6450" xr:uid="{00000000-0005-0000-0000-00004A1F0000}"/>
    <cellStyle name="Data 3 8 7 5" xfId="6451" xr:uid="{00000000-0005-0000-0000-00004B1F0000}"/>
    <cellStyle name="Data 3 8 7 5 2" xfId="6452" xr:uid="{00000000-0005-0000-0000-00004C1F0000}"/>
    <cellStyle name="Data 3 8 7 6" xfId="6453" xr:uid="{00000000-0005-0000-0000-00004D1F0000}"/>
    <cellStyle name="Data 3 8 7 6 2" xfId="6454" xr:uid="{00000000-0005-0000-0000-00004E1F0000}"/>
    <cellStyle name="Data 3 8 7 7" xfId="6455" xr:uid="{00000000-0005-0000-0000-00004F1F0000}"/>
    <cellStyle name="Data 3 8 7 7 2" xfId="6456" xr:uid="{00000000-0005-0000-0000-0000501F0000}"/>
    <cellStyle name="Data 3 8 7 8" xfId="6457" xr:uid="{00000000-0005-0000-0000-0000511F0000}"/>
    <cellStyle name="Data 3 8 7 8 2" xfId="6458" xr:uid="{00000000-0005-0000-0000-0000521F0000}"/>
    <cellStyle name="Data 3 8 7 9" xfId="6459" xr:uid="{00000000-0005-0000-0000-0000531F0000}"/>
    <cellStyle name="Data 3 8 7 9 2" xfId="6460" xr:uid="{00000000-0005-0000-0000-0000541F0000}"/>
    <cellStyle name="Data 3 8 8" xfId="6461" xr:uid="{00000000-0005-0000-0000-0000551F0000}"/>
    <cellStyle name="Data 3 8 8 10" xfId="6462" xr:uid="{00000000-0005-0000-0000-0000561F0000}"/>
    <cellStyle name="Data 3 8 8 2" xfId="6463" xr:uid="{00000000-0005-0000-0000-0000571F0000}"/>
    <cellStyle name="Data 3 8 8 2 2" xfId="6464" xr:uid="{00000000-0005-0000-0000-0000581F0000}"/>
    <cellStyle name="Data 3 8 8 3" xfId="6465" xr:uid="{00000000-0005-0000-0000-0000591F0000}"/>
    <cellStyle name="Data 3 8 8 3 2" xfId="6466" xr:uid="{00000000-0005-0000-0000-00005A1F0000}"/>
    <cellStyle name="Data 3 8 8 4" xfId="6467" xr:uid="{00000000-0005-0000-0000-00005B1F0000}"/>
    <cellStyle name="Data 3 8 8 4 2" xfId="6468" xr:uid="{00000000-0005-0000-0000-00005C1F0000}"/>
    <cellStyle name="Data 3 8 8 5" xfId="6469" xr:uid="{00000000-0005-0000-0000-00005D1F0000}"/>
    <cellStyle name="Data 3 8 8 5 2" xfId="6470" xr:uid="{00000000-0005-0000-0000-00005E1F0000}"/>
    <cellStyle name="Data 3 8 8 6" xfId="6471" xr:uid="{00000000-0005-0000-0000-00005F1F0000}"/>
    <cellStyle name="Data 3 8 8 6 2" xfId="6472" xr:uid="{00000000-0005-0000-0000-0000601F0000}"/>
    <cellStyle name="Data 3 8 8 7" xfId="6473" xr:uid="{00000000-0005-0000-0000-0000611F0000}"/>
    <cellStyle name="Data 3 8 8 7 2" xfId="6474" xr:uid="{00000000-0005-0000-0000-0000621F0000}"/>
    <cellStyle name="Data 3 8 8 8" xfId="6475" xr:uid="{00000000-0005-0000-0000-0000631F0000}"/>
    <cellStyle name="Data 3 8 8 8 2" xfId="6476" xr:uid="{00000000-0005-0000-0000-0000641F0000}"/>
    <cellStyle name="Data 3 8 8 9" xfId="6477" xr:uid="{00000000-0005-0000-0000-0000651F0000}"/>
    <cellStyle name="Data 3 8 8 9 2" xfId="6478" xr:uid="{00000000-0005-0000-0000-0000661F0000}"/>
    <cellStyle name="Data 3 8 9" xfId="6479" xr:uid="{00000000-0005-0000-0000-0000671F0000}"/>
    <cellStyle name="Data 3 8 9 10" xfId="6480" xr:uid="{00000000-0005-0000-0000-0000681F0000}"/>
    <cellStyle name="Data 3 8 9 2" xfId="6481" xr:uid="{00000000-0005-0000-0000-0000691F0000}"/>
    <cellStyle name="Data 3 8 9 2 2" xfId="6482" xr:uid="{00000000-0005-0000-0000-00006A1F0000}"/>
    <cellStyle name="Data 3 8 9 3" xfId="6483" xr:uid="{00000000-0005-0000-0000-00006B1F0000}"/>
    <cellStyle name="Data 3 8 9 3 2" xfId="6484" xr:uid="{00000000-0005-0000-0000-00006C1F0000}"/>
    <cellStyle name="Data 3 8 9 4" xfId="6485" xr:uid="{00000000-0005-0000-0000-00006D1F0000}"/>
    <cellStyle name="Data 3 8 9 4 2" xfId="6486" xr:uid="{00000000-0005-0000-0000-00006E1F0000}"/>
    <cellStyle name="Data 3 8 9 5" xfId="6487" xr:uid="{00000000-0005-0000-0000-00006F1F0000}"/>
    <cellStyle name="Data 3 8 9 5 2" xfId="6488" xr:uid="{00000000-0005-0000-0000-0000701F0000}"/>
    <cellStyle name="Data 3 8 9 6" xfId="6489" xr:uid="{00000000-0005-0000-0000-0000711F0000}"/>
    <cellStyle name="Data 3 8 9 6 2" xfId="6490" xr:uid="{00000000-0005-0000-0000-0000721F0000}"/>
    <cellStyle name="Data 3 8 9 7" xfId="6491" xr:uid="{00000000-0005-0000-0000-0000731F0000}"/>
    <cellStyle name="Data 3 8 9 7 2" xfId="6492" xr:uid="{00000000-0005-0000-0000-0000741F0000}"/>
    <cellStyle name="Data 3 8 9 8" xfId="6493" xr:uid="{00000000-0005-0000-0000-0000751F0000}"/>
    <cellStyle name="Data 3 8 9 8 2" xfId="6494" xr:uid="{00000000-0005-0000-0000-0000761F0000}"/>
    <cellStyle name="Data 3 8 9 9" xfId="6495" xr:uid="{00000000-0005-0000-0000-0000771F0000}"/>
    <cellStyle name="Data 3 8 9 9 2" xfId="6496" xr:uid="{00000000-0005-0000-0000-0000781F0000}"/>
    <cellStyle name="Data 4" xfId="156" xr:uid="{00000000-0005-0000-0000-0000791F0000}"/>
    <cellStyle name="Data 4 2" xfId="6497" xr:uid="{00000000-0005-0000-0000-00007A1F0000}"/>
    <cellStyle name="Data 4 2 10" xfId="6498" xr:uid="{00000000-0005-0000-0000-00007B1F0000}"/>
    <cellStyle name="Data 4 2 10 10" xfId="6499" xr:uid="{00000000-0005-0000-0000-00007C1F0000}"/>
    <cellStyle name="Data 4 2 10 2" xfId="6500" xr:uid="{00000000-0005-0000-0000-00007D1F0000}"/>
    <cellStyle name="Data 4 2 10 2 2" xfId="6501" xr:uid="{00000000-0005-0000-0000-00007E1F0000}"/>
    <cellStyle name="Data 4 2 10 3" xfId="6502" xr:uid="{00000000-0005-0000-0000-00007F1F0000}"/>
    <cellStyle name="Data 4 2 10 3 2" xfId="6503" xr:uid="{00000000-0005-0000-0000-0000801F0000}"/>
    <cellStyle name="Data 4 2 10 4" xfId="6504" xr:uid="{00000000-0005-0000-0000-0000811F0000}"/>
    <cellStyle name="Data 4 2 10 4 2" xfId="6505" xr:uid="{00000000-0005-0000-0000-0000821F0000}"/>
    <cellStyle name="Data 4 2 10 5" xfId="6506" xr:uid="{00000000-0005-0000-0000-0000831F0000}"/>
    <cellStyle name="Data 4 2 10 5 2" xfId="6507" xr:uid="{00000000-0005-0000-0000-0000841F0000}"/>
    <cellStyle name="Data 4 2 10 6" xfId="6508" xr:uid="{00000000-0005-0000-0000-0000851F0000}"/>
    <cellStyle name="Data 4 2 10 6 2" xfId="6509" xr:uid="{00000000-0005-0000-0000-0000861F0000}"/>
    <cellStyle name="Data 4 2 10 7" xfId="6510" xr:uid="{00000000-0005-0000-0000-0000871F0000}"/>
    <cellStyle name="Data 4 2 10 7 2" xfId="6511" xr:uid="{00000000-0005-0000-0000-0000881F0000}"/>
    <cellStyle name="Data 4 2 10 8" xfId="6512" xr:uid="{00000000-0005-0000-0000-0000891F0000}"/>
    <cellStyle name="Data 4 2 10 8 2" xfId="6513" xr:uid="{00000000-0005-0000-0000-00008A1F0000}"/>
    <cellStyle name="Data 4 2 10 9" xfId="6514" xr:uid="{00000000-0005-0000-0000-00008B1F0000}"/>
    <cellStyle name="Data 4 2 10 9 2" xfId="6515" xr:uid="{00000000-0005-0000-0000-00008C1F0000}"/>
    <cellStyle name="Data 4 2 11" xfId="6516" xr:uid="{00000000-0005-0000-0000-00008D1F0000}"/>
    <cellStyle name="Data 4 2 11 2" xfId="6517" xr:uid="{00000000-0005-0000-0000-00008E1F0000}"/>
    <cellStyle name="Data 4 2 11 2 2" xfId="6518" xr:uid="{00000000-0005-0000-0000-00008F1F0000}"/>
    <cellStyle name="Data 4 2 11 3" xfId="6519" xr:uid="{00000000-0005-0000-0000-0000901F0000}"/>
    <cellStyle name="Data 4 2 11 3 2" xfId="6520" xr:uid="{00000000-0005-0000-0000-0000911F0000}"/>
    <cellStyle name="Data 4 2 11 4" xfId="6521" xr:uid="{00000000-0005-0000-0000-0000921F0000}"/>
    <cellStyle name="Data 4 2 11 4 2" xfId="6522" xr:uid="{00000000-0005-0000-0000-0000931F0000}"/>
    <cellStyle name="Data 4 2 11 5" xfId="6523" xr:uid="{00000000-0005-0000-0000-0000941F0000}"/>
    <cellStyle name="Data 4 2 11 5 2" xfId="6524" xr:uid="{00000000-0005-0000-0000-0000951F0000}"/>
    <cellStyle name="Data 4 2 11 6" xfId="6525" xr:uid="{00000000-0005-0000-0000-0000961F0000}"/>
    <cellStyle name="Data 4 2 11 6 2" xfId="6526" xr:uid="{00000000-0005-0000-0000-0000971F0000}"/>
    <cellStyle name="Data 4 2 11 7" xfId="6527" xr:uid="{00000000-0005-0000-0000-0000981F0000}"/>
    <cellStyle name="Data 4 2 11 7 2" xfId="6528" xr:uid="{00000000-0005-0000-0000-0000991F0000}"/>
    <cellStyle name="Data 4 2 11 8" xfId="6529" xr:uid="{00000000-0005-0000-0000-00009A1F0000}"/>
    <cellStyle name="Data 4 2 11 8 2" xfId="6530" xr:uid="{00000000-0005-0000-0000-00009B1F0000}"/>
    <cellStyle name="Data 4 2 11 9" xfId="6531" xr:uid="{00000000-0005-0000-0000-00009C1F0000}"/>
    <cellStyle name="Data 4 2 2" xfId="6532" xr:uid="{00000000-0005-0000-0000-00009D1F0000}"/>
    <cellStyle name="Data 4 2 2 10" xfId="6533" xr:uid="{00000000-0005-0000-0000-00009E1F0000}"/>
    <cellStyle name="Data 4 2 2 2" xfId="6534" xr:uid="{00000000-0005-0000-0000-00009F1F0000}"/>
    <cellStyle name="Data 4 2 2 2 2" xfId="6535" xr:uid="{00000000-0005-0000-0000-0000A01F0000}"/>
    <cellStyle name="Data 4 2 2 3" xfId="6536" xr:uid="{00000000-0005-0000-0000-0000A11F0000}"/>
    <cellStyle name="Data 4 2 2 3 2" xfId="6537" xr:uid="{00000000-0005-0000-0000-0000A21F0000}"/>
    <cellStyle name="Data 4 2 2 4" xfId="6538" xr:uid="{00000000-0005-0000-0000-0000A31F0000}"/>
    <cellStyle name="Data 4 2 2 4 2" xfId="6539" xr:uid="{00000000-0005-0000-0000-0000A41F0000}"/>
    <cellStyle name="Data 4 2 2 5" xfId="6540" xr:uid="{00000000-0005-0000-0000-0000A51F0000}"/>
    <cellStyle name="Data 4 2 2 5 2" xfId="6541" xr:uid="{00000000-0005-0000-0000-0000A61F0000}"/>
    <cellStyle name="Data 4 2 2 6" xfId="6542" xr:uid="{00000000-0005-0000-0000-0000A71F0000}"/>
    <cellStyle name="Data 4 2 2 6 2" xfId="6543" xr:uid="{00000000-0005-0000-0000-0000A81F0000}"/>
    <cellStyle name="Data 4 2 2 7" xfId="6544" xr:uid="{00000000-0005-0000-0000-0000A91F0000}"/>
    <cellStyle name="Data 4 2 2 7 2" xfId="6545" xr:uid="{00000000-0005-0000-0000-0000AA1F0000}"/>
    <cellStyle name="Data 4 2 2 8" xfId="6546" xr:uid="{00000000-0005-0000-0000-0000AB1F0000}"/>
    <cellStyle name="Data 4 2 2 8 2" xfId="6547" xr:uid="{00000000-0005-0000-0000-0000AC1F0000}"/>
    <cellStyle name="Data 4 2 2 9" xfId="6548" xr:uid="{00000000-0005-0000-0000-0000AD1F0000}"/>
    <cellStyle name="Data 4 2 2 9 2" xfId="6549" xr:uid="{00000000-0005-0000-0000-0000AE1F0000}"/>
    <cellStyle name="Data 4 2 3" xfId="6550" xr:uid="{00000000-0005-0000-0000-0000AF1F0000}"/>
    <cellStyle name="Data 4 2 3 10" xfId="6551" xr:uid="{00000000-0005-0000-0000-0000B01F0000}"/>
    <cellStyle name="Data 4 2 3 2" xfId="6552" xr:uid="{00000000-0005-0000-0000-0000B11F0000}"/>
    <cellStyle name="Data 4 2 3 2 2" xfId="6553" xr:uid="{00000000-0005-0000-0000-0000B21F0000}"/>
    <cellStyle name="Data 4 2 3 3" xfId="6554" xr:uid="{00000000-0005-0000-0000-0000B31F0000}"/>
    <cellStyle name="Data 4 2 3 3 2" xfId="6555" xr:uid="{00000000-0005-0000-0000-0000B41F0000}"/>
    <cellStyle name="Data 4 2 3 4" xfId="6556" xr:uid="{00000000-0005-0000-0000-0000B51F0000}"/>
    <cellStyle name="Data 4 2 3 4 2" xfId="6557" xr:uid="{00000000-0005-0000-0000-0000B61F0000}"/>
    <cellStyle name="Data 4 2 3 5" xfId="6558" xr:uid="{00000000-0005-0000-0000-0000B71F0000}"/>
    <cellStyle name="Data 4 2 3 5 2" xfId="6559" xr:uid="{00000000-0005-0000-0000-0000B81F0000}"/>
    <cellStyle name="Data 4 2 3 6" xfId="6560" xr:uid="{00000000-0005-0000-0000-0000B91F0000}"/>
    <cellStyle name="Data 4 2 3 6 2" xfId="6561" xr:uid="{00000000-0005-0000-0000-0000BA1F0000}"/>
    <cellStyle name="Data 4 2 3 7" xfId="6562" xr:uid="{00000000-0005-0000-0000-0000BB1F0000}"/>
    <cellStyle name="Data 4 2 3 7 2" xfId="6563" xr:uid="{00000000-0005-0000-0000-0000BC1F0000}"/>
    <cellStyle name="Data 4 2 3 8" xfId="6564" xr:uid="{00000000-0005-0000-0000-0000BD1F0000}"/>
    <cellStyle name="Data 4 2 3 8 2" xfId="6565" xr:uid="{00000000-0005-0000-0000-0000BE1F0000}"/>
    <cellStyle name="Data 4 2 3 9" xfId="6566" xr:uid="{00000000-0005-0000-0000-0000BF1F0000}"/>
    <cellStyle name="Data 4 2 3 9 2" xfId="6567" xr:uid="{00000000-0005-0000-0000-0000C01F0000}"/>
    <cellStyle name="Data 4 2 4" xfId="6568" xr:uid="{00000000-0005-0000-0000-0000C11F0000}"/>
    <cellStyle name="Data 4 2 4 10" xfId="6569" xr:uid="{00000000-0005-0000-0000-0000C21F0000}"/>
    <cellStyle name="Data 4 2 4 2" xfId="6570" xr:uid="{00000000-0005-0000-0000-0000C31F0000}"/>
    <cellStyle name="Data 4 2 4 2 2" xfId="6571" xr:uid="{00000000-0005-0000-0000-0000C41F0000}"/>
    <cellStyle name="Data 4 2 4 3" xfId="6572" xr:uid="{00000000-0005-0000-0000-0000C51F0000}"/>
    <cellStyle name="Data 4 2 4 3 2" xfId="6573" xr:uid="{00000000-0005-0000-0000-0000C61F0000}"/>
    <cellStyle name="Data 4 2 4 4" xfId="6574" xr:uid="{00000000-0005-0000-0000-0000C71F0000}"/>
    <cellStyle name="Data 4 2 4 4 2" xfId="6575" xr:uid="{00000000-0005-0000-0000-0000C81F0000}"/>
    <cellStyle name="Data 4 2 4 5" xfId="6576" xr:uid="{00000000-0005-0000-0000-0000C91F0000}"/>
    <cellStyle name="Data 4 2 4 5 2" xfId="6577" xr:uid="{00000000-0005-0000-0000-0000CA1F0000}"/>
    <cellStyle name="Data 4 2 4 6" xfId="6578" xr:uid="{00000000-0005-0000-0000-0000CB1F0000}"/>
    <cellStyle name="Data 4 2 4 6 2" xfId="6579" xr:uid="{00000000-0005-0000-0000-0000CC1F0000}"/>
    <cellStyle name="Data 4 2 4 7" xfId="6580" xr:uid="{00000000-0005-0000-0000-0000CD1F0000}"/>
    <cellStyle name="Data 4 2 4 7 2" xfId="6581" xr:uid="{00000000-0005-0000-0000-0000CE1F0000}"/>
    <cellStyle name="Data 4 2 4 8" xfId="6582" xr:uid="{00000000-0005-0000-0000-0000CF1F0000}"/>
    <cellStyle name="Data 4 2 4 8 2" xfId="6583" xr:uid="{00000000-0005-0000-0000-0000D01F0000}"/>
    <cellStyle name="Data 4 2 4 9" xfId="6584" xr:uid="{00000000-0005-0000-0000-0000D11F0000}"/>
    <cellStyle name="Data 4 2 4 9 2" xfId="6585" xr:uid="{00000000-0005-0000-0000-0000D21F0000}"/>
    <cellStyle name="Data 4 2 5" xfId="6586" xr:uid="{00000000-0005-0000-0000-0000D31F0000}"/>
    <cellStyle name="Data 4 2 5 10" xfId="6587" xr:uid="{00000000-0005-0000-0000-0000D41F0000}"/>
    <cellStyle name="Data 4 2 5 2" xfId="6588" xr:uid="{00000000-0005-0000-0000-0000D51F0000}"/>
    <cellStyle name="Data 4 2 5 2 2" xfId="6589" xr:uid="{00000000-0005-0000-0000-0000D61F0000}"/>
    <cellStyle name="Data 4 2 5 3" xfId="6590" xr:uid="{00000000-0005-0000-0000-0000D71F0000}"/>
    <cellStyle name="Data 4 2 5 3 2" xfId="6591" xr:uid="{00000000-0005-0000-0000-0000D81F0000}"/>
    <cellStyle name="Data 4 2 5 4" xfId="6592" xr:uid="{00000000-0005-0000-0000-0000D91F0000}"/>
    <cellStyle name="Data 4 2 5 4 2" xfId="6593" xr:uid="{00000000-0005-0000-0000-0000DA1F0000}"/>
    <cellStyle name="Data 4 2 5 5" xfId="6594" xr:uid="{00000000-0005-0000-0000-0000DB1F0000}"/>
    <cellStyle name="Data 4 2 5 5 2" xfId="6595" xr:uid="{00000000-0005-0000-0000-0000DC1F0000}"/>
    <cellStyle name="Data 4 2 5 6" xfId="6596" xr:uid="{00000000-0005-0000-0000-0000DD1F0000}"/>
    <cellStyle name="Data 4 2 5 6 2" xfId="6597" xr:uid="{00000000-0005-0000-0000-0000DE1F0000}"/>
    <cellStyle name="Data 4 2 5 7" xfId="6598" xr:uid="{00000000-0005-0000-0000-0000DF1F0000}"/>
    <cellStyle name="Data 4 2 5 7 2" xfId="6599" xr:uid="{00000000-0005-0000-0000-0000E01F0000}"/>
    <cellStyle name="Data 4 2 5 8" xfId="6600" xr:uid="{00000000-0005-0000-0000-0000E11F0000}"/>
    <cellStyle name="Data 4 2 5 8 2" xfId="6601" xr:uid="{00000000-0005-0000-0000-0000E21F0000}"/>
    <cellStyle name="Data 4 2 5 9" xfId="6602" xr:uid="{00000000-0005-0000-0000-0000E31F0000}"/>
    <cellStyle name="Data 4 2 5 9 2" xfId="6603" xr:uid="{00000000-0005-0000-0000-0000E41F0000}"/>
    <cellStyle name="Data 4 2 6" xfId="6604" xr:uid="{00000000-0005-0000-0000-0000E51F0000}"/>
    <cellStyle name="Data 4 2 6 10" xfId="6605" xr:uid="{00000000-0005-0000-0000-0000E61F0000}"/>
    <cellStyle name="Data 4 2 6 2" xfId="6606" xr:uid="{00000000-0005-0000-0000-0000E71F0000}"/>
    <cellStyle name="Data 4 2 6 2 2" xfId="6607" xr:uid="{00000000-0005-0000-0000-0000E81F0000}"/>
    <cellStyle name="Data 4 2 6 3" xfId="6608" xr:uid="{00000000-0005-0000-0000-0000E91F0000}"/>
    <cellStyle name="Data 4 2 6 3 2" xfId="6609" xr:uid="{00000000-0005-0000-0000-0000EA1F0000}"/>
    <cellStyle name="Data 4 2 6 4" xfId="6610" xr:uid="{00000000-0005-0000-0000-0000EB1F0000}"/>
    <cellStyle name="Data 4 2 6 4 2" xfId="6611" xr:uid="{00000000-0005-0000-0000-0000EC1F0000}"/>
    <cellStyle name="Data 4 2 6 5" xfId="6612" xr:uid="{00000000-0005-0000-0000-0000ED1F0000}"/>
    <cellStyle name="Data 4 2 6 5 2" xfId="6613" xr:uid="{00000000-0005-0000-0000-0000EE1F0000}"/>
    <cellStyle name="Data 4 2 6 6" xfId="6614" xr:uid="{00000000-0005-0000-0000-0000EF1F0000}"/>
    <cellStyle name="Data 4 2 6 6 2" xfId="6615" xr:uid="{00000000-0005-0000-0000-0000F01F0000}"/>
    <cellStyle name="Data 4 2 6 7" xfId="6616" xr:uid="{00000000-0005-0000-0000-0000F11F0000}"/>
    <cellStyle name="Data 4 2 6 7 2" xfId="6617" xr:uid="{00000000-0005-0000-0000-0000F21F0000}"/>
    <cellStyle name="Data 4 2 6 8" xfId="6618" xr:uid="{00000000-0005-0000-0000-0000F31F0000}"/>
    <cellStyle name="Data 4 2 6 8 2" xfId="6619" xr:uid="{00000000-0005-0000-0000-0000F41F0000}"/>
    <cellStyle name="Data 4 2 6 9" xfId="6620" xr:uid="{00000000-0005-0000-0000-0000F51F0000}"/>
    <cellStyle name="Data 4 2 6 9 2" xfId="6621" xr:uid="{00000000-0005-0000-0000-0000F61F0000}"/>
    <cellStyle name="Data 4 2 7" xfId="6622" xr:uid="{00000000-0005-0000-0000-0000F71F0000}"/>
    <cellStyle name="Data 4 2 7 10" xfId="6623" xr:uid="{00000000-0005-0000-0000-0000F81F0000}"/>
    <cellStyle name="Data 4 2 7 2" xfId="6624" xr:uid="{00000000-0005-0000-0000-0000F91F0000}"/>
    <cellStyle name="Data 4 2 7 2 2" xfId="6625" xr:uid="{00000000-0005-0000-0000-0000FA1F0000}"/>
    <cellStyle name="Data 4 2 7 3" xfId="6626" xr:uid="{00000000-0005-0000-0000-0000FB1F0000}"/>
    <cellStyle name="Data 4 2 7 3 2" xfId="6627" xr:uid="{00000000-0005-0000-0000-0000FC1F0000}"/>
    <cellStyle name="Data 4 2 7 4" xfId="6628" xr:uid="{00000000-0005-0000-0000-0000FD1F0000}"/>
    <cellStyle name="Data 4 2 7 4 2" xfId="6629" xr:uid="{00000000-0005-0000-0000-0000FE1F0000}"/>
    <cellStyle name="Data 4 2 7 5" xfId="6630" xr:uid="{00000000-0005-0000-0000-0000FF1F0000}"/>
    <cellStyle name="Data 4 2 7 5 2" xfId="6631" xr:uid="{00000000-0005-0000-0000-000000200000}"/>
    <cellStyle name="Data 4 2 7 6" xfId="6632" xr:uid="{00000000-0005-0000-0000-000001200000}"/>
    <cellStyle name="Data 4 2 7 6 2" xfId="6633" xr:uid="{00000000-0005-0000-0000-000002200000}"/>
    <cellStyle name="Data 4 2 7 7" xfId="6634" xr:uid="{00000000-0005-0000-0000-000003200000}"/>
    <cellStyle name="Data 4 2 7 7 2" xfId="6635" xr:uid="{00000000-0005-0000-0000-000004200000}"/>
    <cellStyle name="Data 4 2 7 8" xfId="6636" xr:uid="{00000000-0005-0000-0000-000005200000}"/>
    <cellStyle name="Data 4 2 7 8 2" xfId="6637" xr:uid="{00000000-0005-0000-0000-000006200000}"/>
    <cellStyle name="Data 4 2 7 9" xfId="6638" xr:uid="{00000000-0005-0000-0000-000007200000}"/>
    <cellStyle name="Data 4 2 7 9 2" xfId="6639" xr:uid="{00000000-0005-0000-0000-000008200000}"/>
    <cellStyle name="Data 4 2 8" xfId="6640" xr:uid="{00000000-0005-0000-0000-000009200000}"/>
    <cellStyle name="Data 4 2 8 10" xfId="6641" xr:uid="{00000000-0005-0000-0000-00000A200000}"/>
    <cellStyle name="Data 4 2 8 2" xfId="6642" xr:uid="{00000000-0005-0000-0000-00000B200000}"/>
    <cellStyle name="Data 4 2 8 2 2" xfId="6643" xr:uid="{00000000-0005-0000-0000-00000C200000}"/>
    <cellStyle name="Data 4 2 8 3" xfId="6644" xr:uid="{00000000-0005-0000-0000-00000D200000}"/>
    <cellStyle name="Data 4 2 8 3 2" xfId="6645" xr:uid="{00000000-0005-0000-0000-00000E200000}"/>
    <cellStyle name="Data 4 2 8 4" xfId="6646" xr:uid="{00000000-0005-0000-0000-00000F200000}"/>
    <cellStyle name="Data 4 2 8 4 2" xfId="6647" xr:uid="{00000000-0005-0000-0000-000010200000}"/>
    <cellStyle name="Data 4 2 8 5" xfId="6648" xr:uid="{00000000-0005-0000-0000-000011200000}"/>
    <cellStyle name="Data 4 2 8 5 2" xfId="6649" xr:uid="{00000000-0005-0000-0000-000012200000}"/>
    <cellStyle name="Data 4 2 8 6" xfId="6650" xr:uid="{00000000-0005-0000-0000-000013200000}"/>
    <cellStyle name="Data 4 2 8 6 2" xfId="6651" xr:uid="{00000000-0005-0000-0000-000014200000}"/>
    <cellStyle name="Data 4 2 8 7" xfId="6652" xr:uid="{00000000-0005-0000-0000-000015200000}"/>
    <cellStyle name="Data 4 2 8 7 2" xfId="6653" xr:uid="{00000000-0005-0000-0000-000016200000}"/>
    <cellStyle name="Data 4 2 8 8" xfId="6654" xr:uid="{00000000-0005-0000-0000-000017200000}"/>
    <cellStyle name="Data 4 2 8 8 2" xfId="6655" xr:uid="{00000000-0005-0000-0000-000018200000}"/>
    <cellStyle name="Data 4 2 8 9" xfId="6656" xr:uid="{00000000-0005-0000-0000-000019200000}"/>
    <cellStyle name="Data 4 2 8 9 2" xfId="6657" xr:uid="{00000000-0005-0000-0000-00001A200000}"/>
    <cellStyle name="Data 4 2 9" xfId="6658" xr:uid="{00000000-0005-0000-0000-00001B200000}"/>
    <cellStyle name="Data 4 2 9 10" xfId="6659" xr:uid="{00000000-0005-0000-0000-00001C200000}"/>
    <cellStyle name="Data 4 2 9 2" xfId="6660" xr:uid="{00000000-0005-0000-0000-00001D200000}"/>
    <cellStyle name="Data 4 2 9 2 2" xfId="6661" xr:uid="{00000000-0005-0000-0000-00001E200000}"/>
    <cellStyle name="Data 4 2 9 3" xfId="6662" xr:uid="{00000000-0005-0000-0000-00001F200000}"/>
    <cellStyle name="Data 4 2 9 3 2" xfId="6663" xr:uid="{00000000-0005-0000-0000-000020200000}"/>
    <cellStyle name="Data 4 2 9 4" xfId="6664" xr:uid="{00000000-0005-0000-0000-000021200000}"/>
    <cellStyle name="Data 4 2 9 4 2" xfId="6665" xr:uid="{00000000-0005-0000-0000-000022200000}"/>
    <cellStyle name="Data 4 2 9 5" xfId="6666" xr:uid="{00000000-0005-0000-0000-000023200000}"/>
    <cellStyle name="Data 4 2 9 5 2" xfId="6667" xr:uid="{00000000-0005-0000-0000-000024200000}"/>
    <cellStyle name="Data 4 2 9 6" xfId="6668" xr:uid="{00000000-0005-0000-0000-000025200000}"/>
    <cellStyle name="Data 4 2 9 6 2" xfId="6669" xr:uid="{00000000-0005-0000-0000-000026200000}"/>
    <cellStyle name="Data 4 2 9 7" xfId="6670" xr:uid="{00000000-0005-0000-0000-000027200000}"/>
    <cellStyle name="Data 4 2 9 7 2" xfId="6671" xr:uid="{00000000-0005-0000-0000-000028200000}"/>
    <cellStyle name="Data 4 2 9 8" xfId="6672" xr:uid="{00000000-0005-0000-0000-000029200000}"/>
    <cellStyle name="Data 4 2 9 8 2" xfId="6673" xr:uid="{00000000-0005-0000-0000-00002A200000}"/>
    <cellStyle name="Data 4 2 9 9" xfId="6674" xr:uid="{00000000-0005-0000-0000-00002B200000}"/>
    <cellStyle name="Data 4 2 9 9 2" xfId="6675" xr:uid="{00000000-0005-0000-0000-00002C200000}"/>
    <cellStyle name="Data 4 3" xfId="6676" xr:uid="{00000000-0005-0000-0000-00002D200000}"/>
    <cellStyle name="Data 4 3 10" xfId="6677" xr:uid="{00000000-0005-0000-0000-00002E200000}"/>
    <cellStyle name="Data 4 3 10 10" xfId="6678" xr:uid="{00000000-0005-0000-0000-00002F200000}"/>
    <cellStyle name="Data 4 3 10 2" xfId="6679" xr:uid="{00000000-0005-0000-0000-000030200000}"/>
    <cellStyle name="Data 4 3 10 2 2" xfId="6680" xr:uid="{00000000-0005-0000-0000-000031200000}"/>
    <cellStyle name="Data 4 3 10 3" xfId="6681" xr:uid="{00000000-0005-0000-0000-000032200000}"/>
    <cellStyle name="Data 4 3 10 3 2" xfId="6682" xr:uid="{00000000-0005-0000-0000-000033200000}"/>
    <cellStyle name="Data 4 3 10 4" xfId="6683" xr:uid="{00000000-0005-0000-0000-000034200000}"/>
    <cellStyle name="Data 4 3 10 4 2" xfId="6684" xr:uid="{00000000-0005-0000-0000-000035200000}"/>
    <cellStyle name="Data 4 3 10 5" xfId="6685" xr:uid="{00000000-0005-0000-0000-000036200000}"/>
    <cellStyle name="Data 4 3 10 5 2" xfId="6686" xr:uid="{00000000-0005-0000-0000-000037200000}"/>
    <cellStyle name="Data 4 3 10 6" xfId="6687" xr:uid="{00000000-0005-0000-0000-000038200000}"/>
    <cellStyle name="Data 4 3 10 6 2" xfId="6688" xr:uid="{00000000-0005-0000-0000-000039200000}"/>
    <cellStyle name="Data 4 3 10 7" xfId="6689" xr:uid="{00000000-0005-0000-0000-00003A200000}"/>
    <cellStyle name="Data 4 3 10 7 2" xfId="6690" xr:uid="{00000000-0005-0000-0000-00003B200000}"/>
    <cellStyle name="Data 4 3 10 8" xfId="6691" xr:uid="{00000000-0005-0000-0000-00003C200000}"/>
    <cellStyle name="Data 4 3 10 8 2" xfId="6692" xr:uid="{00000000-0005-0000-0000-00003D200000}"/>
    <cellStyle name="Data 4 3 10 9" xfId="6693" xr:uid="{00000000-0005-0000-0000-00003E200000}"/>
    <cellStyle name="Data 4 3 10 9 2" xfId="6694" xr:uid="{00000000-0005-0000-0000-00003F200000}"/>
    <cellStyle name="Data 4 3 11" xfId="6695" xr:uid="{00000000-0005-0000-0000-000040200000}"/>
    <cellStyle name="Data 4 3 11 2" xfId="6696" xr:uid="{00000000-0005-0000-0000-000041200000}"/>
    <cellStyle name="Data 4 3 11 2 2" xfId="6697" xr:uid="{00000000-0005-0000-0000-000042200000}"/>
    <cellStyle name="Data 4 3 11 3" xfId="6698" xr:uid="{00000000-0005-0000-0000-000043200000}"/>
    <cellStyle name="Data 4 3 11 3 2" xfId="6699" xr:uid="{00000000-0005-0000-0000-000044200000}"/>
    <cellStyle name="Data 4 3 11 4" xfId="6700" xr:uid="{00000000-0005-0000-0000-000045200000}"/>
    <cellStyle name="Data 4 3 11 4 2" xfId="6701" xr:uid="{00000000-0005-0000-0000-000046200000}"/>
    <cellStyle name="Data 4 3 11 5" xfId="6702" xr:uid="{00000000-0005-0000-0000-000047200000}"/>
    <cellStyle name="Data 4 3 11 5 2" xfId="6703" xr:uid="{00000000-0005-0000-0000-000048200000}"/>
    <cellStyle name="Data 4 3 11 6" xfId="6704" xr:uid="{00000000-0005-0000-0000-000049200000}"/>
    <cellStyle name="Data 4 3 11 6 2" xfId="6705" xr:uid="{00000000-0005-0000-0000-00004A200000}"/>
    <cellStyle name="Data 4 3 11 7" xfId="6706" xr:uid="{00000000-0005-0000-0000-00004B200000}"/>
    <cellStyle name="Data 4 3 11 7 2" xfId="6707" xr:uid="{00000000-0005-0000-0000-00004C200000}"/>
    <cellStyle name="Data 4 3 11 8" xfId="6708" xr:uid="{00000000-0005-0000-0000-00004D200000}"/>
    <cellStyle name="Data 4 3 11 8 2" xfId="6709" xr:uid="{00000000-0005-0000-0000-00004E200000}"/>
    <cellStyle name="Data 4 3 11 9" xfId="6710" xr:uid="{00000000-0005-0000-0000-00004F200000}"/>
    <cellStyle name="Data 4 3 2" xfId="6711" xr:uid="{00000000-0005-0000-0000-000050200000}"/>
    <cellStyle name="Data 4 3 2 10" xfId="6712" xr:uid="{00000000-0005-0000-0000-000051200000}"/>
    <cellStyle name="Data 4 3 2 2" xfId="6713" xr:uid="{00000000-0005-0000-0000-000052200000}"/>
    <cellStyle name="Data 4 3 2 2 2" xfId="6714" xr:uid="{00000000-0005-0000-0000-000053200000}"/>
    <cellStyle name="Data 4 3 2 3" xfId="6715" xr:uid="{00000000-0005-0000-0000-000054200000}"/>
    <cellStyle name="Data 4 3 2 3 2" xfId="6716" xr:uid="{00000000-0005-0000-0000-000055200000}"/>
    <cellStyle name="Data 4 3 2 4" xfId="6717" xr:uid="{00000000-0005-0000-0000-000056200000}"/>
    <cellStyle name="Data 4 3 2 4 2" xfId="6718" xr:uid="{00000000-0005-0000-0000-000057200000}"/>
    <cellStyle name="Data 4 3 2 5" xfId="6719" xr:uid="{00000000-0005-0000-0000-000058200000}"/>
    <cellStyle name="Data 4 3 2 5 2" xfId="6720" xr:uid="{00000000-0005-0000-0000-000059200000}"/>
    <cellStyle name="Data 4 3 2 6" xfId="6721" xr:uid="{00000000-0005-0000-0000-00005A200000}"/>
    <cellStyle name="Data 4 3 2 6 2" xfId="6722" xr:uid="{00000000-0005-0000-0000-00005B200000}"/>
    <cellStyle name="Data 4 3 2 7" xfId="6723" xr:uid="{00000000-0005-0000-0000-00005C200000}"/>
    <cellStyle name="Data 4 3 2 7 2" xfId="6724" xr:uid="{00000000-0005-0000-0000-00005D200000}"/>
    <cellStyle name="Data 4 3 2 8" xfId="6725" xr:uid="{00000000-0005-0000-0000-00005E200000}"/>
    <cellStyle name="Data 4 3 2 8 2" xfId="6726" xr:uid="{00000000-0005-0000-0000-00005F200000}"/>
    <cellStyle name="Data 4 3 2 9" xfId="6727" xr:uid="{00000000-0005-0000-0000-000060200000}"/>
    <cellStyle name="Data 4 3 2 9 2" xfId="6728" xr:uid="{00000000-0005-0000-0000-000061200000}"/>
    <cellStyle name="Data 4 3 3" xfId="6729" xr:uid="{00000000-0005-0000-0000-000062200000}"/>
    <cellStyle name="Data 4 3 3 10" xfId="6730" xr:uid="{00000000-0005-0000-0000-000063200000}"/>
    <cellStyle name="Data 4 3 3 2" xfId="6731" xr:uid="{00000000-0005-0000-0000-000064200000}"/>
    <cellStyle name="Data 4 3 3 2 2" xfId="6732" xr:uid="{00000000-0005-0000-0000-000065200000}"/>
    <cellStyle name="Data 4 3 3 3" xfId="6733" xr:uid="{00000000-0005-0000-0000-000066200000}"/>
    <cellStyle name="Data 4 3 3 3 2" xfId="6734" xr:uid="{00000000-0005-0000-0000-000067200000}"/>
    <cellStyle name="Data 4 3 3 4" xfId="6735" xr:uid="{00000000-0005-0000-0000-000068200000}"/>
    <cellStyle name="Data 4 3 3 4 2" xfId="6736" xr:uid="{00000000-0005-0000-0000-000069200000}"/>
    <cellStyle name="Data 4 3 3 5" xfId="6737" xr:uid="{00000000-0005-0000-0000-00006A200000}"/>
    <cellStyle name="Data 4 3 3 5 2" xfId="6738" xr:uid="{00000000-0005-0000-0000-00006B200000}"/>
    <cellStyle name="Data 4 3 3 6" xfId="6739" xr:uid="{00000000-0005-0000-0000-00006C200000}"/>
    <cellStyle name="Data 4 3 3 6 2" xfId="6740" xr:uid="{00000000-0005-0000-0000-00006D200000}"/>
    <cellStyle name="Data 4 3 3 7" xfId="6741" xr:uid="{00000000-0005-0000-0000-00006E200000}"/>
    <cellStyle name="Data 4 3 3 7 2" xfId="6742" xr:uid="{00000000-0005-0000-0000-00006F200000}"/>
    <cellStyle name="Data 4 3 3 8" xfId="6743" xr:uid="{00000000-0005-0000-0000-000070200000}"/>
    <cellStyle name="Data 4 3 3 8 2" xfId="6744" xr:uid="{00000000-0005-0000-0000-000071200000}"/>
    <cellStyle name="Data 4 3 3 9" xfId="6745" xr:uid="{00000000-0005-0000-0000-000072200000}"/>
    <cellStyle name="Data 4 3 3 9 2" xfId="6746" xr:uid="{00000000-0005-0000-0000-000073200000}"/>
    <cellStyle name="Data 4 3 4" xfId="6747" xr:uid="{00000000-0005-0000-0000-000074200000}"/>
    <cellStyle name="Data 4 3 4 10" xfId="6748" xr:uid="{00000000-0005-0000-0000-000075200000}"/>
    <cellStyle name="Data 4 3 4 2" xfId="6749" xr:uid="{00000000-0005-0000-0000-000076200000}"/>
    <cellStyle name="Data 4 3 4 2 2" xfId="6750" xr:uid="{00000000-0005-0000-0000-000077200000}"/>
    <cellStyle name="Data 4 3 4 3" xfId="6751" xr:uid="{00000000-0005-0000-0000-000078200000}"/>
    <cellStyle name="Data 4 3 4 3 2" xfId="6752" xr:uid="{00000000-0005-0000-0000-000079200000}"/>
    <cellStyle name="Data 4 3 4 4" xfId="6753" xr:uid="{00000000-0005-0000-0000-00007A200000}"/>
    <cellStyle name="Data 4 3 4 4 2" xfId="6754" xr:uid="{00000000-0005-0000-0000-00007B200000}"/>
    <cellStyle name="Data 4 3 4 5" xfId="6755" xr:uid="{00000000-0005-0000-0000-00007C200000}"/>
    <cellStyle name="Data 4 3 4 5 2" xfId="6756" xr:uid="{00000000-0005-0000-0000-00007D200000}"/>
    <cellStyle name="Data 4 3 4 6" xfId="6757" xr:uid="{00000000-0005-0000-0000-00007E200000}"/>
    <cellStyle name="Data 4 3 4 6 2" xfId="6758" xr:uid="{00000000-0005-0000-0000-00007F200000}"/>
    <cellStyle name="Data 4 3 4 7" xfId="6759" xr:uid="{00000000-0005-0000-0000-000080200000}"/>
    <cellStyle name="Data 4 3 4 7 2" xfId="6760" xr:uid="{00000000-0005-0000-0000-000081200000}"/>
    <cellStyle name="Data 4 3 4 8" xfId="6761" xr:uid="{00000000-0005-0000-0000-000082200000}"/>
    <cellStyle name="Data 4 3 4 8 2" xfId="6762" xr:uid="{00000000-0005-0000-0000-000083200000}"/>
    <cellStyle name="Data 4 3 4 9" xfId="6763" xr:uid="{00000000-0005-0000-0000-000084200000}"/>
    <cellStyle name="Data 4 3 4 9 2" xfId="6764" xr:uid="{00000000-0005-0000-0000-000085200000}"/>
    <cellStyle name="Data 4 3 5" xfId="6765" xr:uid="{00000000-0005-0000-0000-000086200000}"/>
    <cellStyle name="Data 4 3 5 10" xfId="6766" xr:uid="{00000000-0005-0000-0000-000087200000}"/>
    <cellStyle name="Data 4 3 5 2" xfId="6767" xr:uid="{00000000-0005-0000-0000-000088200000}"/>
    <cellStyle name="Data 4 3 5 2 2" xfId="6768" xr:uid="{00000000-0005-0000-0000-000089200000}"/>
    <cellStyle name="Data 4 3 5 3" xfId="6769" xr:uid="{00000000-0005-0000-0000-00008A200000}"/>
    <cellStyle name="Data 4 3 5 3 2" xfId="6770" xr:uid="{00000000-0005-0000-0000-00008B200000}"/>
    <cellStyle name="Data 4 3 5 4" xfId="6771" xr:uid="{00000000-0005-0000-0000-00008C200000}"/>
    <cellStyle name="Data 4 3 5 4 2" xfId="6772" xr:uid="{00000000-0005-0000-0000-00008D200000}"/>
    <cellStyle name="Data 4 3 5 5" xfId="6773" xr:uid="{00000000-0005-0000-0000-00008E200000}"/>
    <cellStyle name="Data 4 3 5 5 2" xfId="6774" xr:uid="{00000000-0005-0000-0000-00008F200000}"/>
    <cellStyle name="Data 4 3 5 6" xfId="6775" xr:uid="{00000000-0005-0000-0000-000090200000}"/>
    <cellStyle name="Data 4 3 5 6 2" xfId="6776" xr:uid="{00000000-0005-0000-0000-000091200000}"/>
    <cellStyle name="Data 4 3 5 7" xfId="6777" xr:uid="{00000000-0005-0000-0000-000092200000}"/>
    <cellStyle name="Data 4 3 5 7 2" xfId="6778" xr:uid="{00000000-0005-0000-0000-000093200000}"/>
    <cellStyle name="Data 4 3 5 8" xfId="6779" xr:uid="{00000000-0005-0000-0000-000094200000}"/>
    <cellStyle name="Data 4 3 5 8 2" xfId="6780" xr:uid="{00000000-0005-0000-0000-000095200000}"/>
    <cellStyle name="Data 4 3 5 9" xfId="6781" xr:uid="{00000000-0005-0000-0000-000096200000}"/>
    <cellStyle name="Data 4 3 5 9 2" xfId="6782" xr:uid="{00000000-0005-0000-0000-000097200000}"/>
    <cellStyle name="Data 4 3 6" xfId="6783" xr:uid="{00000000-0005-0000-0000-000098200000}"/>
    <cellStyle name="Data 4 3 6 10" xfId="6784" xr:uid="{00000000-0005-0000-0000-000099200000}"/>
    <cellStyle name="Data 4 3 6 2" xfId="6785" xr:uid="{00000000-0005-0000-0000-00009A200000}"/>
    <cellStyle name="Data 4 3 6 2 2" xfId="6786" xr:uid="{00000000-0005-0000-0000-00009B200000}"/>
    <cellStyle name="Data 4 3 6 3" xfId="6787" xr:uid="{00000000-0005-0000-0000-00009C200000}"/>
    <cellStyle name="Data 4 3 6 3 2" xfId="6788" xr:uid="{00000000-0005-0000-0000-00009D200000}"/>
    <cellStyle name="Data 4 3 6 4" xfId="6789" xr:uid="{00000000-0005-0000-0000-00009E200000}"/>
    <cellStyle name="Data 4 3 6 4 2" xfId="6790" xr:uid="{00000000-0005-0000-0000-00009F200000}"/>
    <cellStyle name="Data 4 3 6 5" xfId="6791" xr:uid="{00000000-0005-0000-0000-0000A0200000}"/>
    <cellStyle name="Data 4 3 6 5 2" xfId="6792" xr:uid="{00000000-0005-0000-0000-0000A1200000}"/>
    <cellStyle name="Data 4 3 6 6" xfId="6793" xr:uid="{00000000-0005-0000-0000-0000A2200000}"/>
    <cellStyle name="Data 4 3 6 6 2" xfId="6794" xr:uid="{00000000-0005-0000-0000-0000A3200000}"/>
    <cellStyle name="Data 4 3 6 7" xfId="6795" xr:uid="{00000000-0005-0000-0000-0000A4200000}"/>
    <cellStyle name="Data 4 3 6 7 2" xfId="6796" xr:uid="{00000000-0005-0000-0000-0000A5200000}"/>
    <cellStyle name="Data 4 3 6 8" xfId="6797" xr:uid="{00000000-0005-0000-0000-0000A6200000}"/>
    <cellStyle name="Data 4 3 6 8 2" xfId="6798" xr:uid="{00000000-0005-0000-0000-0000A7200000}"/>
    <cellStyle name="Data 4 3 6 9" xfId="6799" xr:uid="{00000000-0005-0000-0000-0000A8200000}"/>
    <cellStyle name="Data 4 3 6 9 2" xfId="6800" xr:uid="{00000000-0005-0000-0000-0000A9200000}"/>
    <cellStyle name="Data 4 3 7" xfId="6801" xr:uid="{00000000-0005-0000-0000-0000AA200000}"/>
    <cellStyle name="Data 4 3 7 10" xfId="6802" xr:uid="{00000000-0005-0000-0000-0000AB200000}"/>
    <cellStyle name="Data 4 3 7 2" xfId="6803" xr:uid="{00000000-0005-0000-0000-0000AC200000}"/>
    <cellStyle name="Data 4 3 7 2 2" xfId="6804" xr:uid="{00000000-0005-0000-0000-0000AD200000}"/>
    <cellStyle name="Data 4 3 7 3" xfId="6805" xr:uid="{00000000-0005-0000-0000-0000AE200000}"/>
    <cellStyle name="Data 4 3 7 3 2" xfId="6806" xr:uid="{00000000-0005-0000-0000-0000AF200000}"/>
    <cellStyle name="Data 4 3 7 4" xfId="6807" xr:uid="{00000000-0005-0000-0000-0000B0200000}"/>
    <cellStyle name="Data 4 3 7 4 2" xfId="6808" xr:uid="{00000000-0005-0000-0000-0000B1200000}"/>
    <cellStyle name="Data 4 3 7 5" xfId="6809" xr:uid="{00000000-0005-0000-0000-0000B2200000}"/>
    <cellStyle name="Data 4 3 7 5 2" xfId="6810" xr:uid="{00000000-0005-0000-0000-0000B3200000}"/>
    <cellStyle name="Data 4 3 7 6" xfId="6811" xr:uid="{00000000-0005-0000-0000-0000B4200000}"/>
    <cellStyle name="Data 4 3 7 6 2" xfId="6812" xr:uid="{00000000-0005-0000-0000-0000B5200000}"/>
    <cellStyle name="Data 4 3 7 7" xfId="6813" xr:uid="{00000000-0005-0000-0000-0000B6200000}"/>
    <cellStyle name="Data 4 3 7 7 2" xfId="6814" xr:uid="{00000000-0005-0000-0000-0000B7200000}"/>
    <cellStyle name="Data 4 3 7 8" xfId="6815" xr:uid="{00000000-0005-0000-0000-0000B8200000}"/>
    <cellStyle name="Data 4 3 7 8 2" xfId="6816" xr:uid="{00000000-0005-0000-0000-0000B9200000}"/>
    <cellStyle name="Data 4 3 7 9" xfId="6817" xr:uid="{00000000-0005-0000-0000-0000BA200000}"/>
    <cellStyle name="Data 4 3 7 9 2" xfId="6818" xr:uid="{00000000-0005-0000-0000-0000BB200000}"/>
    <cellStyle name="Data 4 3 8" xfId="6819" xr:uid="{00000000-0005-0000-0000-0000BC200000}"/>
    <cellStyle name="Data 4 3 8 10" xfId="6820" xr:uid="{00000000-0005-0000-0000-0000BD200000}"/>
    <cellStyle name="Data 4 3 8 2" xfId="6821" xr:uid="{00000000-0005-0000-0000-0000BE200000}"/>
    <cellStyle name="Data 4 3 8 2 2" xfId="6822" xr:uid="{00000000-0005-0000-0000-0000BF200000}"/>
    <cellStyle name="Data 4 3 8 3" xfId="6823" xr:uid="{00000000-0005-0000-0000-0000C0200000}"/>
    <cellStyle name="Data 4 3 8 3 2" xfId="6824" xr:uid="{00000000-0005-0000-0000-0000C1200000}"/>
    <cellStyle name="Data 4 3 8 4" xfId="6825" xr:uid="{00000000-0005-0000-0000-0000C2200000}"/>
    <cellStyle name="Data 4 3 8 4 2" xfId="6826" xr:uid="{00000000-0005-0000-0000-0000C3200000}"/>
    <cellStyle name="Data 4 3 8 5" xfId="6827" xr:uid="{00000000-0005-0000-0000-0000C4200000}"/>
    <cellStyle name="Data 4 3 8 5 2" xfId="6828" xr:uid="{00000000-0005-0000-0000-0000C5200000}"/>
    <cellStyle name="Data 4 3 8 6" xfId="6829" xr:uid="{00000000-0005-0000-0000-0000C6200000}"/>
    <cellStyle name="Data 4 3 8 6 2" xfId="6830" xr:uid="{00000000-0005-0000-0000-0000C7200000}"/>
    <cellStyle name="Data 4 3 8 7" xfId="6831" xr:uid="{00000000-0005-0000-0000-0000C8200000}"/>
    <cellStyle name="Data 4 3 8 7 2" xfId="6832" xr:uid="{00000000-0005-0000-0000-0000C9200000}"/>
    <cellStyle name="Data 4 3 8 8" xfId="6833" xr:uid="{00000000-0005-0000-0000-0000CA200000}"/>
    <cellStyle name="Data 4 3 8 8 2" xfId="6834" xr:uid="{00000000-0005-0000-0000-0000CB200000}"/>
    <cellStyle name="Data 4 3 8 9" xfId="6835" xr:uid="{00000000-0005-0000-0000-0000CC200000}"/>
    <cellStyle name="Data 4 3 8 9 2" xfId="6836" xr:uid="{00000000-0005-0000-0000-0000CD200000}"/>
    <cellStyle name="Data 4 3 9" xfId="6837" xr:uid="{00000000-0005-0000-0000-0000CE200000}"/>
    <cellStyle name="Data 4 3 9 10" xfId="6838" xr:uid="{00000000-0005-0000-0000-0000CF200000}"/>
    <cellStyle name="Data 4 3 9 2" xfId="6839" xr:uid="{00000000-0005-0000-0000-0000D0200000}"/>
    <cellStyle name="Data 4 3 9 2 2" xfId="6840" xr:uid="{00000000-0005-0000-0000-0000D1200000}"/>
    <cellStyle name="Data 4 3 9 3" xfId="6841" xr:uid="{00000000-0005-0000-0000-0000D2200000}"/>
    <cellStyle name="Data 4 3 9 3 2" xfId="6842" xr:uid="{00000000-0005-0000-0000-0000D3200000}"/>
    <cellStyle name="Data 4 3 9 4" xfId="6843" xr:uid="{00000000-0005-0000-0000-0000D4200000}"/>
    <cellStyle name="Data 4 3 9 4 2" xfId="6844" xr:uid="{00000000-0005-0000-0000-0000D5200000}"/>
    <cellStyle name="Data 4 3 9 5" xfId="6845" xr:uid="{00000000-0005-0000-0000-0000D6200000}"/>
    <cellStyle name="Data 4 3 9 5 2" xfId="6846" xr:uid="{00000000-0005-0000-0000-0000D7200000}"/>
    <cellStyle name="Data 4 3 9 6" xfId="6847" xr:uid="{00000000-0005-0000-0000-0000D8200000}"/>
    <cellStyle name="Data 4 3 9 6 2" xfId="6848" xr:uid="{00000000-0005-0000-0000-0000D9200000}"/>
    <cellStyle name="Data 4 3 9 7" xfId="6849" xr:uid="{00000000-0005-0000-0000-0000DA200000}"/>
    <cellStyle name="Data 4 3 9 7 2" xfId="6850" xr:uid="{00000000-0005-0000-0000-0000DB200000}"/>
    <cellStyle name="Data 4 3 9 8" xfId="6851" xr:uid="{00000000-0005-0000-0000-0000DC200000}"/>
    <cellStyle name="Data 4 3 9 8 2" xfId="6852" xr:uid="{00000000-0005-0000-0000-0000DD200000}"/>
    <cellStyle name="Data 4 3 9 9" xfId="6853" xr:uid="{00000000-0005-0000-0000-0000DE200000}"/>
    <cellStyle name="Data 4 3 9 9 2" xfId="6854" xr:uid="{00000000-0005-0000-0000-0000DF200000}"/>
    <cellStyle name="Data 4 4" xfId="6855" xr:uid="{00000000-0005-0000-0000-0000E0200000}"/>
    <cellStyle name="Data 4 4 10" xfId="6856" xr:uid="{00000000-0005-0000-0000-0000E1200000}"/>
    <cellStyle name="Data 4 4 10 2" xfId="6857" xr:uid="{00000000-0005-0000-0000-0000E2200000}"/>
    <cellStyle name="Data 4 4 10 2 2" xfId="6858" xr:uid="{00000000-0005-0000-0000-0000E3200000}"/>
    <cellStyle name="Data 4 4 10 3" xfId="6859" xr:uid="{00000000-0005-0000-0000-0000E4200000}"/>
    <cellStyle name="Data 4 4 10 3 2" xfId="6860" xr:uid="{00000000-0005-0000-0000-0000E5200000}"/>
    <cellStyle name="Data 4 4 10 4" xfId="6861" xr:uid="{00000000-0005-0000-0000-0000E6200000}"/>
    <cellStyle name="Data 4 4 10 4 2" xfId="6862" xr:uid="{00000000-0005-0000-0000-0000E7200000}"/>
    <cellStyle name="Data 4 4 10 5" xfId="6863" xr:uid="{00000000-0005-0000-0000-0000E8200000}"/>
    <cellStyle name="Data 4 4 10 5 2" xfId="6864" xr:uid="{00000000-0005-0000-0000-0000E9200000}"/>
    <cellStyle name="Data 4 4 10 6" xfId="6865" xr:uid="{00000000-0005-0000-0000-0000EA200000}"/>
    <cellStyle name="Data 4 4 10 6 2" xfId="6866" xr:uid="{00000000-0005-0000-0000-0000EB200000}"/>
    <cellStyle name="Data 4 4 10 7" xfId="6867" xr:uid="{00000000-0005-0000-0000-0000EC200000}"/>
    <cellStyle name="Data 4 4 10 7 2" xfId="6868" xr:uid="{00000000-0005-0000-0000-0000ED200000}"/>
    <cellStyle name="Data 4 4 10 8" xfId="6869" xr:uid="{00000000-0005-0000-0000-0000EE200000}"/>
    <cellStyle name="Data 4 4 10 8 2" xfId="6870" xr:uid="{00000000-0005-0000-0000-0000EF200000}"/>
    <cellStyle name="Data 4 4 10 9" xfId="6871" xr:uid="{00000000-0005-0000-0000-0000F0200000}"/>
    <cellStyle name="Data 4 4 11" xfId="6872" xr:uid="{00000000-0005-0000-0000-0000F1200000}"/>
    <cellStyle name="Data 4 4 11 2" xfId="6873" xr:uid="{00000000-0005-0000-0000-0000F2200000}"/>
    <cellStyle name="Data 4 4 12" xfId="6874" xr:uid="{00000000-0005-0000-0000-0000F3200000}"/>
    <cellStyle name="Data 4 4 12 2" xfId="6875" xr:uid="{00000000-0005-0000-0000-0000F4200000}"/>
    <cellStyle name="Data 4 4 13" xfId="6876" xr:uid="{00000000-0005-0000-0000-0000F5200000}"/>
    <cellStyle name="Data 4 4 13 2" xfId="6877" xr:uid="{00000000-0005-0000-0000-0000F6200000}"/>
    <cellStyle name="Data 4 4 14" xfId="6878" xr:uid="{00000000-0005-0000-0000-0000F7200000}"/>
    <cellStyle name="Data 4 4 14 2" xfId="6879" xr:uid="{00000000-0005-0000-0000-0000F8200000}"/>
    <cellStyle name="Data 4 4 15" xfId="6880" xr:uid="{00000000-0005-0000-0000-0000F9200000}"/>
    <cellStyle name="Data 4 4 15 2" xfId="6881" xr:uid="{00000000-0005-0000-0000-0000FA200000}"/>
    <cellStyle name="Data 4 4 16" xfId="6882" xr:uid="{00000000-0005-0000-0000-0000FB200000}"/>
    <cellStyle name="Data 4 4 16 2" xfId="6883" xr:uid="{00000000-0005-0000-0000-0000FC200000}"/>
    <cellStyle name="Data 4 4 17" xfId="6884" xr:uid="{00000000-0005-0000-0000-0000FD200000}"/>
    <cellStyle name="Data 4 4 17 2" xfId="6885" xr:uid="{00000000-0005-0000-0000-0000FE200000}"/>
    <cellStyle name="Data 4 4 18" xfId="6886" xr:uid="{00000000-0005-0000-0000-0000FF200000}"/>
    <cellStyle name="Data 4 4 2" xfId="6887" xr:uid="{00000000-0005-0000-0000-000000210000}"/>
    <cellStyle name="Data 4 4 2 10" xfId="6888" xr:uid="{00000000-0005-0000-0000-000001210000}"/>
    <cellStyle name="Data 4 4 2 2" xfId="6889" xr:uid="{00000000-0005-0000-0000-000002210000}"/>
    <cellStyle name="Data 4 4 2 2 2" xfId="6890" xr:uid="{00000000-0005-0000-0000-000003210000}"/>
    <cellStyle name="Data 4 4 2 3" xfId="6891" xr:uid="{00000000-0005-0000-0000-000004210000}"/>
    <cellStyle name="Data 4 4 2 3 2" xfId="6892" xr:uid="{00000000-0005-0000-0000-000005210000}"/>
    <cellStyle name="Data 4 4 2 4" xfId="6893" xr:uid="{00000000-0005-0000-0000-000006210000}"/>
    <cellStyle name="Data 4 4 2 4 2" xfId="6894" xr:uid="{00000000-0005-0000-0000-000007210000}"/>
    <cellStyle name="Data 4 4 2 5" xfId="6895" xr:uid="{00000000-0005-0000-0000-000008210000}"/>
    <cellStyle name="Data 4 4 2 5 2" xfId="6896" xr:uid="{00000000-0005-0000-0000-000009210000}"/>
    <cellStyle name="Data 4 4 2 6" xfId="6897" xr:uid="{00000000-0005-0000-0000-00000A210000}"/>
    <cellStyle name="Data 4 4 2 6 2" xfId="6898" xr:uid="{00000000-0005-0000-0000-00000B210000}"/>
    <cellStyle name="Data 4 4 2 7" xfId="6899" xr:uid="{00000000-0005-0000-0000-00000C210000}"/>
    <cellStyle name="Data 4 4 2 7 2" xfId="6900" xr:uid="{00000000-0005-0000-0000-00000D210000}"/>
    <cellStyle name="Data 4 4 2 8" xfId="6901" xr:uid="{00000000-0005-0000-0000-00000E210000}"/>
    <cellStyle name="Data 4 4 2 8 2" xfId="6902" xr:uid="{00000000-0005-0000-0000-00000F210000}"/>
    <cellStyle name="Data 4 4 2 9" xfId="6903" xr:uid="{00000000-0005-0000-0000-000010210000}"/>
    <cellStyle name="Data 4 4 2 9 2" xfId="6904" xr:uid="{00000000-0005-0000-0000-000011210000}"/>
    <cellStyle name="Data 4 4 3" xfId="6905" xr:uid="{00000000-0005-0000-0000-000012210000}"/>
    <cellStyle name="Data 4 4 3 10" xfId="6906" xr:uid="{00000000-0005-0000-0000-000013210000}"/>
    <cellStyle name="Data 4 4 3 2" xfId="6907" xr:uid="{00000000-0005-0000-0000-000014210000}"/>
    <cellStyle name="Data 4 4 3 2 2" xfId="6908" xr:uid="{00000000-0005-0000-0000-000015210000}"/>
    <cellStyle name="Data 4 4 3 3" xfId="6909" xr:uid="{00000000-0005-0000-0000-000016210000}"/>
    <cellStyle name="Data 4 4 3 3 2" xfId="6910" xr:uid="{00000000-0005-0000-0000-000017210000}"/>
    <cellStyle name="Data 4 4 3 4" xfId="6911" xr:uid="{00000000-0005-0000-0000-000018210000}"/>
    <cellStyle name="Data 4 4 3 4 2" xfId="6912" xr:uid="{00000000-0005-0000-0000-000019210000}"/>
    <cellStyle name="Data 4 4 3 5" xfId="6913" xr:uid="{00000000-0005-0000-0000-00001A210000}"/>
    <cellStyle name="Data 4 4 3 5 2" xfId="6914" xr:uid="{00000000-0005-0000-0000-00001B210000}"/>
    <cellStyle name="Data 4 4 3 6" xfId="6915" xr:uid="{00000000-0005-0000-0000-00001C210000}"/>
    <cellStyle name="Data 4 4 3 6 2" xfId="6916" xr:uid="{00000000-0005-0000-0000-00001D210000}"/>
    <cellStyle name="Data 4 4 3 7" xfId="6917" xr:uid="{00000000-0005-0000-0000-00001E210000}"/>
    <cellStyle name="Data 4 4 3 7 2" xfId="6918" xr:uid="{00000000-0005-0000-0000-00001F210000}"/>
    <cellStyle name="Data 4 4 3 8" xfId="6919" xr:uid="{00000000-0005-0000-0000-000020210000}"/>
    <cellStyle name="Data 4 4 3 8 2" xfId="6920" xr:uid="{00000000-0005-0000-0000-000021210000}"/>
    <cellStyle name="Data 4 4 3 9" xfId="6921" xr:uid="{00000000-0005-0000-0000-000022210000}"/>
    <cellStyle name="Data 4 4 3 9 2" xfId="6922" xr:uid="{00000000-0005-0000-0000-000023210000}"/>
    <cellStyle name="Data 4 4 4" xfId="6923" xr:uid="{00000000-0005-0000-0000-000024210000}"/>
    <cellStyle name="Data 4 4 4 10" xfId="6924" xr:uid="{00000000-0005-0000-0000-000025210000}"/>
    <cellStyle name="Data 4 4 4 2" xfId="6925" xr:uid="{00000000-0005-0000-0000-000026210000}"/>
    <cellStyle name="Data 4 4 4 2 2" xfId="6926" xr:uid="{00000000-0005-0000-0000-000027210000}"/>
    <cellStyle name="Data 4 4 4 3" xfId="6927" xr:uid="{00000000-0005-0000-0000-000028210000}"/>
    <cellStyle name="Data 4 4 4 3 2" xfId="6928" xr:uid="{00000000-0005-0000-0000-000029210000}"/>
    <cellStyle name="Data 4 4 4 4" xfId="6929" xr:uid="{00000000-0005-0000-0000-00002A210000}"/>
    <cellStyle name="Data 4 4 4 4 2" xfId="6930" xr:uid="{00000000-0005-0000-0000-00002B210000}"/>
    <cellStyle name="Data 4 4 4 5" xfId="6931" xr:uid="{00000000-0005-0000-0000-00002C210000}"/>
    <cellStyle name="Data 4 4 4 5 2" xfId="6932" xr:uid="{00000000-0005-0000-0000-00002D210000}"/>
    <cellStyle name="Data 4 4 4 6" xfId="6933" xr:uid="{00000000-0005-0000-0000-00002E210000}"/>
    <cellStyle name="Data 4 4 4 6 2" xfId="6934" xr:uid="{00000000-0005-0000-0000-00002F210000}"/>
    <cellStyle name="Data 4 4 4 7" xfId="6935" xr:uid="{00000000-0005-0000-0000-000030210000}"/>
    <cellStyle name="Data 4 4 4 7 2" xfId="6936" xr:uid="{00000000-0005-0000-0000-000031210000}"/>
    <cellStyle name="Data 4 4 4 8" xfId="6937" xr:uid="{00000000-0005-0000-0000-000032210000}"/>
    <cellStyle name="Data 4 4 4 8 2" xfId="6938" xr:uid="{00000000-0005-0000-0000-000033210000}"/>
    <cellStyle name="Data 4 4 4 9" xfId="6939" xr:uid="{00000000-0005-0000-0000-000034210000}"/>
    <cellStyle name="Data 4 4 4 9 2" xfId="6940" xr:uid="{00000000-0005-0000-0000-000035210000}"/>
    <cellStyle name="Data 4 4 5" xfId="6941" xr:uid="{00000000-0005-0000-0000-000036210000}"/>
    <cellStyle name="Data 4 4 5 10" xfId="6942" xr:uid="{00000000-0005-0000-0000-000037210000}"/>
    <cellStyle name="Data 4 4 5 2" xfId="6943" xr:uid="{00000000-0005-0000-0000-000038210000}"/>
    <cellStyle name="Data 4 4 5 2 2" xfId="6944" xr:uid="{00000000-0005-0000-0000-000039210000}"/>
    <cellStyle name="Data 4 4 5 3" xfId="6945" xr:uid="{00000000-0005-0000-0000-00003A210000}"/>
    <cellStyle name="Data 4 4 5 3 2" xfId="6946" xr:uid="{00000000-0005-0000-0000-00003B210000}"/>
    <cellStyle name="Data 4 4 5 4" xfId="6947" xr:uid="{00000000-0005-0000-0000-00003C210000}"/>
    <cellStyle name="Data 4 4 5 4 2" xfId="6948" xr:uid="{00000000-0005-0000-0000-00003D210000}"/>
    <cellStyle name="Data 4 4 5 5" xfId="6949" xr:uid="{00000000-0005-0000-0000-00003E210000}"/>
    <cellStyle name="Data 4 4 5 5 2" xfId="6950" xr:uid="{00000000-0005-0000-0000-00003F210000}"/>
    <cellStyle name="Data 4 4 5 6" xfId="6951" xr:uid="{00000000-0005-0000-0000-000040210000}"/>
    <cellStyle name="Data 4 4 5 6 2" xfId="6952" xr:uid="{00000000-0005-0000-0000-000041210000}"/>
    <cellStyle name="Data 4 4 5 7" xfId="6953" xr:uid="{00000000-0005-0000-0000-000042210000}"/>
    <cellStyle name="Data 4 4 5 7 2" xfId="6954" xr:uid="{00000000-0005-0000-0000-000043210000}"/>
    <cellStyle name="Data 4 4 5 8" xfId="6955" xr:uid="{00000000-0005-0000-0000-000044210000}"/>
    <cellStyle name="Data 4 4 5 8 2" xfId="6956" xr:uid="{00000000-0005-0000-0000-000045210000}"/>
    <cellStyle name="Data 4 4 5 9" xfId="6957" xr:uid="{00000000-0005-0000-0000-000046210000}"/>
    <cellStyle name="Data 4 4 5 9 2" xfId="6958" xr:uid="{00000000-0005-0000-0000-000047210000}"/>
    <cellStyle name="Data 4 4 6" xfId="6959" xr:uid="{00000000-0005-0000-0000-000048210000}"/>
    <cellStyle name="Data 4 4 6 10" xfId="6960" xr:uid="{00000000-0005-0000-0000-000049210000}"/>
    <cellStyle name="Data 4 4 6 2" xfId="6961" xr:uid="{00000000-0005-0000-0000-00004A210000}"/>
    <cellStyle name="Data 4 4 6 2 2" xfId="6962" xr:uid="{00000000-0005-0000-0000-00004B210000}"/>
    <cellStyle name="Data 4 4 6 3" xfId="6963" xr:uid="{00000000-0005-0000-0000-00004C210000}"/>
    <cellStyle name="Data 4 4 6 3 2" xfId="6964" xr:uid="{00000000-0005-0000-0000-00004D210000}"/>
    <cellStyle name="Data 4 4 6 4" xfId="6965" xr:uid="{00000000-0005-0000-0000-00004E210000}"/>
    <cellStyle name="Data 4 4 6 4 2" xfId="6966" xr:uid="{00000000-0005-0000-0000-00004F210000}"/>
    <cellStyle name="Data 4 4 6 5" xfId="6967" xr:uid="{00000000-0005-0000-0000-000050210000}"/>
    <cellStyle name="Data 4 4 6 5 2" xfId="6968" xr:uid="{00000000-0005-0000-0000-000051210000}"/>
    <cellStyle name="Data 4 4 6 6" xfId="6969" xr:uid="{00000000-0005-0000-0000-000052210000}"/>
    <cellStyle name="Data 4 4 6 6 2" xfId="6970" xr:uid="{00000000-0005-0000-0000-000053210000}"/>
    <cellStyle name="Data 4 4 6 7" xfId="6971" xr:uid="{00000000-0005-0000-0000-000054210000}"/>
    <cellStyle name="Data 4 4 6 7 2" xfId="6972" xr:uid="{00000000-0005-0000-0000-000055210000}"/>
    <cellStyle name="Data 4 4 6 8" xfId="6973" xr:uid="{00000000-0005-0000-0000-000056210000}"/>
    <cellStyle name="Data 4 4 6 8 2" xfId="6974" xr:uid="{00000000-0005-0000-0000-000057210000}"/>
    <cellStyle name="Data 4 4 6 9" xfId="6975" xr:uid="{00000000-0005-0000-0000-000058210000}"/>
    <cellStyle name="Data 4 4 6 9 2" xfId="6976" xr:uid="{00000000-0005-0000-0000-000059210000}"/>
    <cellStyle name="Data 4 4 7" xfId="6977" xr:uid="{00000000-0005-0000-0000-00005A210000}"/>
    <cellStyle name="Data 4 4 7 10" xfId="6978" xr:uid="{00000000-0005-0000-0000-00005B210000}"/>
    <cellStyle name="Data 4 4 7 2" xfId="6979" xr:uid="{00000000-0005-0000-0000-00005C210000}"/>
    <cellStyle name="Data 4 4 7 2 2" xfId="6980" xr:uid="{00000000-0005-0000-0000-00005D210000}"/>
    <cellStyle name="Data 4 4 7 3" xfId="6981" xr:uid="{00000000-0005-0000-0000-00005E210000}"/>
    <cellStyle name="Data 4 4 7 3 2" xfId="6982" xr:uid="{00000000-0005-0000-0000-00005F210000}"/>
    <cellStyle name="Data 4 4 7 4" xfId="6983" xr:uid="{00000000-0005-0000-0000-000060210000}"/>
    <cellStyle name="Data 4 4 7 4 2" xfId="6984" xr:uid="{00000000-0005-0000-0000-000061210000}"/>
    <cellStyle name="Data 4 4 7 5" xfId="6985" xr:uid="{00000000-0005-0000-0000-000062210000}"/>
    <cellStyle name="Data 4 4 7 5 2" xfId="6986" xr:uid="{00000000-0005-0000-0000-000063210000}"/>
    <cellStyle name="Data 4 4 7 6" xfId="6987" xr:uid="{00000000-0005-0000-0000-000064210000}"/>
    <cellStyle name="Data 4 4 7 6 2" xfId="6988" xr:uid="{00000000-0005-0000-0000-000065210000}"/>
    <cellStyle name="Data 4 4 7 7" xfId="6989" xr:uid="{00000000-0005-0000-0000-000066210000}"/>
    <cellStyle name="Data 4 4 7 7 2" xfId="6990" xr:uid="{00000000-0005-0000-0000-000067210000}"/>
    <cellStyle name="Data 4 4 7 8" xfId="6991" xr:uid="{00000000-0005-0000-0000-000068210000}"/>
    <cellStyle name="Data 4 4 7 8 2" xfId="6992" xr:uid="{00000000-0005-0000-0000-000069210000}"/>
    <cellStyle name="Data 4 4 7 9" xfId="6993" xr:uid="{00000000-0005-0000-0000-00006A210000}"/>
    <cellStyle name="Data 4 4 7 9 2" xfId="6994" xr:uid="{00000000-0005-0000-0000-00006B210000}"/>
    <cellStyle name="Data 4 4 8" xfId="6995" xr:uid="{00000000-0005-0000-0000-00006C210000}"/>
    <cellStyle name="Data 4 4 8 10" xfId="6996" xr:uid="{00000000-0005-0000-0000-00006D210000}"/>
    <cellStyle name="Data 4 4 8 2" xfId="6997" xr:uid="{00000000-0005-0000-0000-00006E210000}"/>
    <cellStyle name="Data 4 4 8 2 2" xfId="6998" xr:uid="{00000000-0005-0000-0000-00006F210000}"/>
    <cellStyle name="Data 4 4 8 3" xfId="6999" xr:uid="{00000000-0005-0000-0000-000070210000}"/>
    <cellStyle name="Data 4 4 8 3 2" xfId="7000" xr:uid="{00000000-0005-0000-0000-000071210000}"/>
    <cellStyle name="Data 4 4 8 4" xfId="7001" xr:uid="{00000000-0005-0000-0000-000072210000}"/>
    <cellStyle name="Data 4 4 8 4 2" xfId="7002" xr:uid="{00000000-0005-0000-0000-000073210000}"/>
    <cellStyle name="Data 4 4 8 5" xfId="7003" xr:uid="{00000000-0005-0000-0000-000074210000}"/>
    <cellStyle name="Data 4 4 8 5 2" xfId="7004" xr:uid="{00000000-0005-0000-0000-000075210000}"/>
    <cellStyle name="Data 4 4 8 6" xfId="7005" xr:uid="{00000000-0005-0000-0000-000076210000}"/>
    <cellStyle name="Data 4 4 8 6 2" xfId="7006" xr:uid="{00000000-0005-0000-0000-000077210000}"/>
    <cellStyle name="Data 4 4 8 7" xfId="7007" xr:uid="{00000000-0005-0000-0000-000078210000}"/>
    <cellStyle name="Data 4 4 8 7 2" xfId="7008" xr:uid="{00000000-0005-0000-0000-000079210000}"/>
    <cellStyle name="Data 4 4 8 8" xfId="7009" xr:uid="{00000000-0005-0000-0000-00007A210000}"/>
    <cellStyle name="Data 4 4 8 8 2" xfId="7010" xr:uid="{00000000-0005-0000-0000-00007B210000}"/>
    <cellStyle name="Data 4 4 8 9" xfId="7011" xr:uid="{00000000-0005-0000-0000-00007C210000}"/>
    <cellStyle name="Data 4 4 8 9 2" xfId="7012" xr:uid="{00000000-0005-0000-0000-00007D210000}"/>
    <cellStyle name="Data 4 4 9" xfId="7013" xr:uid="{00000000-0005-0000-0000-00007E210000}"/>
    <cellStyle name="Data 4 4 9 10" xfId="7014" xr:uid="{00000000-0005-0000-0000-00007F210000}"/>
    <cellStyle name="Data 4 4 9 2" xfId="7015" xr:uid="{00000000-0005-0000-0000-000080210000}"/>
    <cellStyle name="Data 4 4 9 2 2" xfId="7016" xr:uid="{00000000-0005-0000-0000-000081210000}"/>
    <cellStyle name="Data 4 4 9 3" xfId="7017" xr:uid="{00000000-0005-0000-0000-000082210000}"/>
    <cellStyle name="Data 4 4 9 3 2" xfId="7018" xr:uid="{00000000-0005-0000-0000-000083210000}"/>
    <cellStyle name="Data 4 4 9 4" xfId="7019" xr:uid="{00000000-0005-0000-0000-000084210000}"/>
    <cellStyle name="Data 4 4 9 4 2" xfId="7020" xr:uid="{00000000-0005-0000-0000-000085210000}"/>
    <cellStyle name="Data 4 4 9 5" xfId="7021" xr:uid="{00000000-0005-0000-0000-000086210000}"/>
    <cellStyle name="Data 4 4 9 5 2" xfId="7022" xr:uid="{00000000-0005-0000-0000-000087210000}"/>
    <cellStyle name="Data 4 4 9 6" xfId="7023" xr:uid="{00000000-0005-0000-0000-000088210000}"/>
    <cellStyle name="Data 4 4 9 6 2" xfId="7024" xr:uid="{00000000-0005-0000-0000-000089210000}"/>
    <cellStyle name="Data 4 4 9 7" xfId="7025" xr:uid="{00000000-0005-0000-0000-00008A210000}"/>
    <cellStyle name="Data 4 4 9 7 2" xfId="7026" xr:uid="{00000000-0005-0000-0000-00008B210000}"/>
    <cellStyle name="Data 4 4 9 8" xfId="7027" xr:uid="{00000000-0005-0000-0000-00008C210000}"/>
    <cellStyle name="Data 4 4 9 8 2" xfId="7028" xr:uid="{00000000-0005-0000-0000-00008D210000}"/>
    <cellStyle name="Data 4 4 9 9" xfId="7029" xr:uid="{00000000-0005-0000-0000-00008E210000}"/>
    <cellStyle name="Data 4 4 9 9 2" xfId="7030" xr:uid="{00000000-0005-0000-0000-00008F210000}"/>
    <cellStyle name="Data 4 5" xfId="7031" xr:uid="{00000000-0005-0000-0000-000090210000}"/>
    <cellStyle name="Data 4 5 10" xfId="7032" xr:uid="{00000000-0005-0000-0000-000091210000}"/>
    <cellStyle name="Data 4 5 10 2" xfId="7033" xr:uid="{00000000-0005-0000-0000-000092210000}"/>
    <cellStyle name="Data 4 5 10 2 2" xfId="7034" xr:uid="{00000000-0005-0000-0000-000093210000}"/>
    <cellStyle name="Data 4 5 10 3" xfId="7035" xr:uid="{00000000-0005-0000-0000-000094210000}"/>
    <cellStyle name="Data 4 5 10 3 2" xfId="7036" xr:uid="{00000000-0005-0000-0000-000095210000}"/>
    <cellStyle name="Data 4 5 10 4" xfId="7037" xr:uid="{00000000-0005-0000-0000-000096210000}"/>
    <cellStyle name="Data 4 5 10 4 2" xfId="7038" xr:uid="{00000000-0005-0000-0000-000097210000}"/>
    <cellStyle name="Data 4 5 10 5" xfId="7039" xr:uid="{00000000-0005-0000-0000-000098210000}"/>
    <cellStyle name="Data 4 5 10 5 2" xfId="7040" xr:uid="{00000000-0005-0000-0000-000099210000}"/>
    <cellStyle name="Data 4 5 10 6" xfId="7041" xr:uid="{00000000-0005-0000-0000-00009A210000}"/>
    <cellStyle name="Data 4 5 10 6 2" xfId="7042" xr:uid="{00000000-0005-0000-0000-00009B210000}"/>
    <cellStyle name="Data 4 5 10 7" xfId="7043" xr:uid="{00000000-0005-0000-0000-00009C210000}"/>
    <cellStyle name="Data 4 5 10 7 2" xfId="7044" xr:uid="{00000000-0005-0000-0000-00009D210000}"/>
    <cellStyle name="Data 4 5 10 8" xfId="7045" xr:uid="{00000000-0005-0000-0000-00009E210000}"/>
    <cellStyle name="Data 4 5 10 8 2" xfId="7046" xr:uid="{00000000-0005-0000-0000-00009F210000}"/>
    <cellStyle name="Data 4 5 10 9" xfId="7047" xr:uid="{00000000-0005-0000-0000-0000A0210000}"/>
    <cellStyle name="Data 4 5 11" xfId="7048" xr:uid="{00000000-0005-0000-0000-0000A1210000}"/>
    <cellStyle name="Data 4 5 11 2" xfId="7049" xr:uid="{00000000-0005-0000-0000-0000A2210000}"/>
    <cellStyle name="Data 4 5 12" xfId="7050" xr:uid="{00000000-0005-0000-0000-0000A3210000}"/>
    <cellStyle name="Data 4 5 12 2" xfId="7051" xr:uid="{00000000-0005-0000-0000-0000A4210000}"/>
    <cellStyle name="Data 4 5 13" xfId="7052" xr:uid="{00000000-0005-0000-0000-0000A5210000}"/>
    <cellStyle name="Data 4 5 13 2" xfId="7053" xr:uid="{00000000-0005-0000-0000-0000A6210000}"/>
    <cellStyle name="Data 4 5 14" xfId="7054" xr:uid="{00000000-0005-0000-0000-0000A7210000}"/>
    <cellStyle name="Data 4 5 14 2" xfId="7055" xr:uid="{00000000-0005-0000-0000-0000A8210000}"/>
    <cellStyle name="Data 4 5 15" xfId="7056" xr:uid="{00000000-0005-0000-0000-0000A9210000}"/>
    <cellStyle name="Data 4 5 15 2" xfId="7057" xr:uid="{00000000-0005-0000-0000-0000AA210000}"/>
    <cellStyle name="Data 4 5 16" xfId="7058" xr:uid="{00000000-0005-0000-0000-0000AB210000}"/>
    <cellStyle name="Data 4 5 16 2" xfId="7059" xr:uid="{00000000-0005-0000-0000-0000AC210000}"/>
    <cellStyle name="Data 4 5 17" xfId="7060" xr:uid="{00000000-0005-0000-0000-0000AD210000}"/>
    <cellStyle name="Data 4 5 17 2" xfId="7061" xr:uid="{00000000-0005-0000-0000-0000AE210000}"/>
    <cellStyle name="Data 4 5 18" xfId="7062" xr:uid="{00000000-0005-0000-0000-0000AF210000}"/>
    <cellStyle name="Data 4 5 2" xfId="7063" xr:uid="{00000000-0005-0000-0000-0000B0210000}"/>
    <cellStyle name="Data 4 5 2 10" xfId="7064" xr:uid="{00000000-0005-0000-0000-0000B1210000}"/>
    <cellStyle name="Data 4 5 2 2" xfId="7065" xr:uid="{00000000-0005-0000-0000-0000B2210000}"/>
    <cellStyle name="Data 4 5 2 2 2" xfId="7066" xr:uid="{00000000-0005-0000-0000-0000B3210000}"/>
    <cellStyle name="Data 4 5 2 3" xfId="7067" xr:uid="{00000000-0005-0000-0000-0000B4210000}"/>
    <cellStyle name="Data 4 5 2 3 2" xfId="7068" xr:uid="{00000000-0005-0000-0000-0000B5210000}"/>
    <cellStyle name="Data 4 5 2 4" xfId="7069" xr:uid="{00000000-0005-0000-0000-0000B6210000}"/>
    <cellStyle name="Data 4 5 2 4 2" xfId="7070" xr:uid="{00000000-0005-0000-0000-0000B7210000}"/>
    <cellStyle name="Data 4 5 2 5" xfId="7071" xr:uid="{00000000-0005-0000-0000-0000B8210000}"/>
    <cellStyle name="Data 4 5 2 5 2" xfId="7072" xr:uid="{00000000-0005-0000-0000-0000B9210000}"/>
    <cellStyle name="Data 4 5 2 6" xfId="7073" xr:uid="{00000000-0005-0000-0000-0000BA210000}"/>
    <cellStyle name="Data 4 5 2 6 2" xfId="7074" xr:uid="{00000000-0005-0000-0000-0000BB210000}"/>
    <cellStyle name="Data 4 5 2 7" xfId="7075" xr:uid="{00000000-0005-0000-0000-0000BC210000}"/>
    <cellStyle name="Data 4 5 2 7 2" xfId="7076" xr:uid="{00000000-0005-0000-0000-0000BD210000}"/>
    <cellStyle name="Data 4 5 2 8" xfId="7077" xr:uid="{00000000-0005-0000-0000-0000BE210000}"/>
    <cellStyle name="Data 4 5 2 8 2" xfId="7078" xr:uid="{00000000-0005-0000-0000-0000BF210000}"/>
    <cellStyle name="Data 4 5 2 9" xfId="7079" xr:uid="{00000000-0005-0000-0000-0000C0210000}"/>
    <cellStyle name="Data 4 5 2 9 2" xfId="7080" xr:uid="{00000000-0005-0000-0000-0000C1210000}"/>
    <cellStyle name="Data 4 5 3" xfId="7081" xr:uid="{00000000-0005-0000-0000-0000C2210000}"/>
    <cellStyle name="Data 4 5 3 10" xfId="7082" xr:uid="{00000000-0005-0000-0000-0000C3210000}"/>
    <cellStyle name="Data 4 5 3 2" xfId="7083" xr:uid="{00000000-0005-0000-0000-0000C4210000}"/>
    <cellStyle name="Data 4 5 3 2 2" xfId="7084" xr:uid="{00000000-0005-0000-0000-0000C5210000}"/>
    <cellStyle name="Data 4 5 3 3" xfId="7085" xr:uid="{00000000-0005-0000-0000-0000C6210000}"/>
    <cellStyle name="Data 4 5 3 3 2" xfId="7086" xr:uid="{00000000-0005-0000-0000-0000C7210000}"/>
    <cellStyle name="Data 4 5 3 4" xfId="7087" xr:uid="{00000000-0005-0000-0000-0000C8210000}"/>
    <cellStyle name="Data 4 5 3 4 2" xfId="7088" xr:uid="{00000000-0005-0000-0000-0000C9210000}"/>
    <cellStyle name="Data 4 5 3 5" xfId="7089" xr:uid="{00000000-0005-0000-0000-0000CA210000}"/>
    <cellStyle name="Data 4 5 3 5 2" xfId="7090" xr:uid="{00000000-0005-0000-0000-0000CB210000}"/>
    <cellStyle name="Data 4 5 3 6" xfId="7091" xr:uid="{00000000-0005-0000-0000-0000CC210000}"/>
    <cellStyle name="Data 4 5 3 6 2" xfId="7092" xr:uid="{00000000-0005-0000-0000-0000CD210000}"/>
    <cellStyle name="Data 4 5 3 7" xfId="7093" xr:uid="{00000000-0005-0000-0000-0000CE210000}"/>
    <cellStyle name="Data 4 5 3 7 2" xfId="7094" xr:uid="{00000000-0005-0000-0000-0000CF210000}"/>
    <cellStyle name="Data 4 5 3 8" xfId="7095" xr:uid="{00000000-0005-0000-0000-0000D0210000}"/>
    <cellStyle name="Data 4 5 3 8 2" xfId="7096" xr:uid="{00000000-0005-0000-0000-0000D1210000}"/>
    <cellStyle name="Data 4 5 3 9" xfId="7097" xr:uid="{00000000-0005-0000-0000-0000D2210000}"/>
    <cellStyle name="Data 4 5 3 9 2" xfId="7098" xr:uid="{00000000-0005-0000-0000-0000D3210000}"/>
    <cellStyle name="Data 4 5 4" xfId="7099" xr:uid="{00000000-0005-0000-0000-0000D4210000}"/>
    <cellStyle name="Data 4 5 4 10" xfId="7100" xr:uid="{00000000-0005-0000-0000-0000D5210000}"/>
    <cellStyle name="Data 4 5 4 2" xfId="7101" xr:uid="{00000000-0005-0000-0000-0000D6210000}"/>
    <cellStyle name="Data 4 5 4 2 2" xfId="7102" xr:uid="{00000000-0005-0000-0000-0000D7210000}"/>
    <cellStyle name="Data 4 5 4 3" xfId="7103" xr:uid="{00000000-0005-0000-0000-0000D8210000}"/>
    <cellStyle name="Data 4 5 4 3 2" xfId="7104" xr:uid="{00000000-0005-0000-0000-0000D9210000}"/>
    <cellStyle name="Data 4 5 4 4" xfId="7105" xr:uid="{00000000-0005-0000-0000-0000DA210000}"/>
    <cellStyle name="Data 4 5 4 4 2" xfId="7106" xr:uid="{00000000-0005-0000-0000-0000DB210000}"/>
    <cellStyle name="Data 4 5 4 5" xfId="7107" xr:uid="{00000000-0005-0000-0000-0000DC210000}"/>
    <cellStyle name="Data 4 5 4 5 2" xfId="7108" xr:uid="{00000000-0005-0000-0000-0000DD210000}"/>
    <cellStyle name="Data 4 5 4 6" xfId="7109" xr:uid="{00000000-0005-0000-0000-0000DE210000}"/>
    <cellStyle name="Data 4 5 4 6 2" xfId="7110" xr:uid="{00000000-0005-0000-0000-0000DF210000}"/>
    <cellStyle name="Data 4 5 4 7" xfId="7111" xr:uid="{00000000-0005-0000-0000-0000E0210000}"/>
    <cellStyle name="Data 4 5 4 7 2" xfId="7112" xr:uid="{00000000-0005-0000-0000-0000E1210000}"/>
    <cellStyle name="Data 4 5 4 8" xfId="7113" xr:uid="{00000000-0005-0000-0000-0000E2210000}"/>
    <cellStyle name="Data 4 5 4 8 2" xfId="7114" xr:uid="{00000000-0005-0000-0000-0000E3210000}"/>
    <cellStyle name="Data 4 5 4 9" xfId="7115" xr:uid="{00000000-0005-0000-0000-0000E4210000}"/>
    <cellStyle name="Data 4 5 4 9 2" xfId="7116" xr:uid="{00000000-0005-0000-0000-0000E5210000}"/>
    <cellStyle name="Data 4 5 5" xfId="7117" xr:uid="{00000000-0005-0000-0000-0000E6210000}"/>
    <cellStyle name="Data 4 5 5 10" xfId="7118" xr:uid="{00000000-0005-0000-0000-0000E7210000}"/>
    <cellStyle name="Data 4 5 5 2" xfId="7119" xr:uid="{00000000-0005-0000-0000-0000E8210000}"/>
    <cellStyle name="Data 4 5 5 2 2" xfId="7120" xr:uid="{00000000-0005-0000-0000-0000E9210000}"/>
    <cellStyle name="Data 4 5 5 3" xfId="7121" xr:uid="{00000000-0005-0000-0000-0000EA210000}"/>
    <cellStyle name="Data 4 5 5 3 2" xfId="7122" xr:uid="{00000000-0005-0000-0000-0000EB210000}"/>
    <cellStyle name="Data 4 5 5 4" xfId="7123" xr:uid="{00000000-0005-0000-0000-0000EC210000}"/>
    <cellStyle name="Data 4 5 5 4 2" xfId="7124" xr:uid="{00000000-0005-0000-0000-0000ED210000}"/>
    <cellStyle name="Data 4 5 5 5" xfId="7125" xr:uid="{00000000-0005-0000-0000-0000EE210000}"/>
    <cellStyle name="Data 4 5 5 5 2" xfId="7126" xr:uid="{00000000-0005-0000-0000-0000EF210000}"/>
    <cellStyle name="Data 4 5 5 6" xfId="7127" xr:uid="{00000000-0005-0000-0000-0000F0210000}"/>
    <cellStyle name="Data 4 5 5 6 2" xfId="7128" xr:uid="{00000000-0005-0000-0000-0000F1210000}"/>
    <cellStyle name="Data 4 5 5 7" xfId="7129" xr:uid="{00000000-0005-0000-0000-0000F2210000}"/>
    <cellStyle name="Data 4 5 5 7 2" xfId="7130" xr:uid="{00000000-0005-0000-0000-0000F3210000}"/>
    <cellStyle name="Data 4 5 5 8" xfId="7131" xr:uid="{00000000-0005-0000-0000-0000F4210000}"/>
    <cellStyle name="Data 4 5 5 8 2" xfId="7132" xr:uid="{00000000-0005-0000-0000-0000F5210000}"/>
    <cellStyle name="Data 4 5 5 9" xfId="7133" xr:uid="{00000000-0005-0000-0000-0000F6210000}"/>
    <cellStyle name="Data 4 5 5 9 2" xfId="7134" xr:uid="{00000000-0005-0000-0000-0000F7210000}"/>
    <cellStyle name="Data 4 5 6" xfId="7135" xr:uid="{00000000-0005-0000-0000-0000F8210000}"/>
    <cellStyle name="Data 4 5 6 10" xfId="7136" xr:uid="{00000000-0005-0000-0000-0000F9210000}"/>
    <cellStyle name="Data 4 5 6 2" xfId="7137" xr:uid="{00000000-0005-0000-0000-0000FA210000}"/>
    <cellStyle name="Data 4 5 6 2 2" xfId="7138" xr:uid="{00000000-0005-0000-0000-0000FB210000}"/>
    <cellStyle name="Data 4 5 6 3" xfId="7139" xr:uid="{00000000-0005-0000-0000-0000FC210000}"/>
    <cellStyle name="Data 4 5 6 3 2" xfId="7140" xr:uid="{00000000-0005-0000-0000-0000FD210000}"/>
    <cellStyle name="Data 4 5 6 4" xfId="7141" xr:uid="{00000000-0005-0000-0000-0000FE210000}"/>
    <cellStyle name="Data 4 5 6 4 2" xfId="7142" xr:uid="{00000000-0005-0000-0000-0000FF210000}"/>
    <cellStyle name="Data 4 5 6 5" xfId="7143" xr:uid="{00000000-0005-0000-0000-000000220000}"/>
    <cellStyle name="Data 4 5 6 5 2" xfId="7144" xr:uid="{00000000-0005-0000-0000-000001220000}"/>
    <cellStyle name="Data 4 5 6 6" xfId="7145" xr:uid="{00000000-0005-0000-0000-000002220000}"/>
    <cellStyle name="Data 4 5 6 6 2" xfId="7146" xr:uid="{00000000-0005-0000-0000-000003220000}"/>
    <cellStyle name="Data 4 5 6 7" xfId="7147" xr:uid="{00000000-0005-0000-0000-000004220000}"/>
    <cellStyle name="Data 4 5 6 7 2" xfId="7148" xr:uid="{00000000-0005-0000-0000-000005220000}"/>
    <cellStyle name="Data 4 5 6 8" xfId="7149" xr:uid="{00000000-0005-0000-0000-000006220000}"/>
    <cellStyle name="Data 4 5 6 8 2" xfId="7150" xr:uid="{00000000-0005-0000-0000-000007220000}"/>
    <cellStyle name="Data 4 5 6 9" xfId="7151" xr:uid="{00000000-0005-0000-0000-000008220000}"/>
    <cellStyle name="Data 4 5 6 9 2" xfId="7152" xr:uid="{00000000-0005-0000-0000-000009220000}"/>
    <cellStyle name="Data 4 5 7" xfId="7153" xr:uid="{00000000-0005-0000-0000-00000A220000}"/>
    <cellStyle name="Data 4 5 7 10" xfId="7154" xr:uid="{00000000-0005-0000-0000-00000B220000}"/>
    <cellStyle name="Data 4 5 7 2" xfId="7155" xr:uid="{00000000-0005-0000-0000-00000C220000}"/>
    <cellStyle name="Data 4 5 7 2 2" xfId="7156" xr:uid="{00000000-0005-0000-0000-00000D220000}"/>
    <cellStyle name="Data 4 5 7 3" xfId="7157" xr:uid="{00000000-0005-0000-0000-00000E220000}"/>
    <cellStyle name="Data 4 5 7 3 2" xfId="7158" xr:uid="{00000000-0005-0000-0000-00000F220000}"/>
    <cellStyle name="Data 4 5 7 4" xfId="7159" xr:uid="{00000000-0005-0000-0000-000010220000}"/>
    <cellStyle name="Data 4 5 7 4 2" xfId="7160" xr:uid="{00000000-0005-0000-0000-000011220000}"/>
    <cellStyle name="Data 4 5 7 5" xfId="7161" xr:uid="{00000000-0005-0000-0000-000012220000}"/>
    <cellStyle name="Data 4 5 7 5 2" xfId="7162" xr:uid="{00000000-0005-0000-0000-000013220000}"/>
    <cellStyle name="Data 4 5 7 6" xfId="7163" xr:uid="{00000000-0005-0000-0000-000014220000}"/>
    <cellStyle name="Data 4 5 7 6 2" xfId="7164" xr:uid="{00000000-0005-0000-0000-000015220000}"/>
    <cellStyle name="Data 4 5 7 7" xfId="7165" xr:uid="{00000000-0005-0000-0000-000016220000}"/>
    <cellStyle name="Data 4 5 7 7 2" xfId="7166" xr:uid="{00000000-0005-0000-0000-000017220000}"/>
    <cellStyle name="Data 4 5 7 8" xfId="7167" xr:uid="{00000000-0005-0000-0000-000018220000}"/>
    <cellStyle name="Data 4 5 7 8 2" xfId="7168" xr:uid="{00000000-0005-0000-0000-000019220000}"/>
    <cellStyle name="Data 4 5 7 9" xfId="7169" xr:uid="{00000000-0005-0000-0000-00001A220000}"/>
    <cellStyle name="Data 4 5 7 9 2" xfId="7170" xr:uid="{00000000-0005-0000-0000-00001B220000}"/>
    <cellStyle name="Data 4 5 8" xfId="7171" xr:uid="{00000000-0005-0000-0000-00001C220000}"/>
    <cellStyle name="Data 4 5 8 10" xfId="7172" xr:uid="{00000000-0005-0000-0000-00001D220000}"/>
    <cellStyle name="Data 4 5 8 2" xfId="7173" xr:uid="{00000000-0005-0000-0000-00001E220000}"/>
    <cellStyle name="Data 4 5 8 2 2" xfId="7174" xr:uid="{00000000-0005-0000-0000-00001F220000}"/>
    <cellStyle name="Data 4 5 8 3" xfId="7175" xr:uid="{00000000-0005-0000-0000-000020220000}"/>
    <cellStyle name="Data 4 5 8 3 2" xfId="7176" xr:uid="{00000000-0005-0000-0000-000021220000}"/>
    <cellStyle name="Data 4 5 8 4" xfId="7177" xr:uid="{00000000-0005-0000-0000-000022220000}"/>
    <cellStyle name="Data 4 5 8 4 2" xfId="7178" xr:uid="{00000000-0005-0000-0000-000023220000}"/>
    <cellStyle name="Data 4 5 8 5" xfId="7179" xr:uid="{00000000-0005-0000-0000-000024220000}"/>
    <cellStyle name="Data 4 5 8 5 2" xfId="7180" xr:uid="{00000000-0005-0000-0000-000025220000}"/>
    <cellStyle name="Data 4 5 8 6" xfId="7181" xr:uid="{00000000-0005-0000-0000-000026220000}"/>
    <cellStyle name="Data 4 5 8 6 2" xfId="7182" xr:uid="{00000000-0005-0000-0000-000027220000}"/>
    <cellStyle name="Data 4 5 8 7" xfId="7183" xr:uid="{00000000-0005-0000-0000-000028220000}"/>
    <cellStyle name="Data 4 5 8 7 2" xfId="7184" xr:uid="{00000000-0005-0000-0000-000029220000}"/>
    <cellStyle name="Data 4 5 8 8" xfId="7185" xr:uid="{00000000-0005-0000-0000-00002A220000}"/>
    <cellStyle name="Data 4 5 8 8 2" xfId="7186" xr:uid="{00000000-0005-0000-0000-00002B220000}"/>
    <cellStyle name="Data 4 5 8 9" xfId="7187" xr:uid="{00000000-0005-0000-0000-00002C220000}"/>
    <cellStyle name="Data 4 5 8 9 2" xfId="7188" xr:uid="{00000000-0005-0000-0000-00002D220000}"/>
    <cellStyle name="Data 4 5 9" xfId="7189" xr:uid="{00000000-0005-0000-0000-00002E220000}"/>
    <cellStyle name="Data 4 5 9 10" xfId="7190" xr:uid="{00000000-0005-0000-0000-00002F220000}"/>
    <cellStyle name="Data 4 5 9 2" xfId="7191" xr:uid="{00000000-0005-0000-0000-000030220000}"/>
    <cellStyle name="Data 4 5 9 2 2" xfId="7192" xr:uid="{00000000-0005-0000-0000-000031220000}"/>
    <cellStyle name="Data 4 5 9 3" xfId="7193" xr:uid="{00000000-0005-0000-0000-000032220000}"/>
    <cellStyle name="Data 4 5 9 3 2" xfId="7194" xr:uid="{00000000-0005-0000-0000-000033220000}"/>
    <cellStyle name="Data 4 5 9 4" xfId="7195" xr:uid="{00000000-0005-0000-0000-000034220000}"/>
    <cellStyle name="Data 4 5 9 4 2" xfId="7196" xr:uid="{00000000-0005-0000-0000-000035220000}"/>
    <cellStyle name="Data 4 5 9 5" xfId="7197" xr:uid="{00000000-0005-0000-0000-000036220000}"/>
    <cellStyle name="Data 4 5 9 5 2" xfId="7198" xr:uid="{00000000-0005-0000-0000-000037220000}"/>
    <cellStyle name="Data 4 5 9 6" xfId="7199" xr:uid="{00000000-0005-0000-0000-000038220000}"/>
    <cellStyle name="Data 4 5 9 6 2" xfId="7200" xr:uid="{00000000-0005-0000-0000-000039220000}"/>
    <cellStyle name="Data 4 5 9 7" xfId="7201" xr:uid="{00000000-0005-0000-0000-00003A220000}"/>
    <cellStyle name="Data 4 5 9 7 2" xfId="7202" xr:uid="{00000000-0005-0000-0000-00003B220000}"/>
    <cellStyle name="Data 4 5 9 8" xfId="7203" xr:uid="{00000000-0005-0000-0000-00003C220000}"/>
    <cellStyle name="Data 4 5 9 8 2" xfId="7204" xr:uid="{00000000-0005-0000-0000-00003D220000}"/>
    <cellStyle name="Data 4 5 9 9" xfId="7205" xr:uid="{00000000-0005-0000-0000-00003E220000}"/>
    <cellStyle name="Data 4 5 9 9 2" xfId="7206" xr:uid="{00000000-0005-0000-0000-00003F220000}"/>
    <cellStyle name="Data 4 6" xfId="7207" xr:uid="{00000000-0005-0000-0000-000040220000}"/>
    <cellStyle name="Data 4 6 10" xfId="7208" xr:uid="{00000000-0005-0000-0000-000041220000}"/>
    <cellStyle name="Data 4 6 10 2" xfId="7209" xr:uid="{00000000-0005-0000-0000-000042220000}"/>
    <cellStyle name="Data 4 6 10 2 2" xfId="7210" xr:uid="{00000000-0005-0000-0000-000043220000}"/>
    <cellStyle name="Data 4 6 10 3" xfId="7211" xr:uid="{00000000-0005-0000-0000-000044220000}"/>
    <cellStyle name="Data 4 6 10 3 2" xfId="7212" xr:uid="{00000000-0005-0000-0000-000045220000}"/>
    <cellStyle name="Data 4 6 10 4" xfId="7213" xr:uid="{00000000-0005-0000-0000-000046220000}"/>
    <cellStyle name="Data 4 6 10 4 2" xfId="7214" xr:uid="{00000000-0005-0000-0000-000047220000}"/>
    <cellStyle name="Data 4 6 10 5" xfId="7215" xr:uid="{00000000-0005-0000-0000-000048220000}"/>
    <cellStyle name="Data 4 6 10 5 2" xfId="7216" xr:uid="{00000000-0005-0000-0000-000049220000}"/>
    <cellStyle name="Data 4 6 10 6" xfId="7217" xr:uid="{00000000-0005-0000-0000-00004A220000}"/>
    <cellStyle name="Data 4 6 10 6 2" xfId="7218" xr:uid="{00000000-0005-0000-0000-00004B220000}"/>
    <cellStyle name="Data 4 6 10 7" xfId="7219" xr:uid="{00000000-0005-0000-0000-00004C220000}"/>
    <cellStyle name="Data 4 6 10 7 2" xfId="7220" xr:uid="{00000000-0005-0000-0000-00004D220000}"/>
    <cellStyle name="Data 4 6 10 8" xfId="7221" xr:uid="{00000000-0005-0000-0000-00004E220000}"/>
    <cellStyle name="Data 4 6 10 8 2" xfId="7222" xr:uid="{00000000-0005-0000-0000-00004F220000}"/>
    <cellStyle name="Data 4 6 10 9" xfId="7223" xr:uid="{00000000-0005-0000-0000-000050220000}"/>
    <cellStyle name="Data 4 6 11" xfId="7224" xr:uid="{00000000-0005-0000-0000-000051220000}"/>
    <cellStyle name="Data 4 6 11 2" xfId="7225" xr:uid="{00000000-0005-0000-0000-000052220000}"/>
    <cellStyle name="Data 4 6 12" xfId="7226" xr:uid="{00000000-0005-0000-0000-000053220000}"/>
    <cellStyle name="Data 4 6 12 2" xfId="7227" xr:uid="{00000000-0005-0000-0000-000054220000}"/>
    <cellStyle name="Data 4 6 13" xfId="7228" xr:uid="{00000000-0005-0000-0000-000055220000}"/>
    <cellStyle name="Data 4 6 13 2" xfId="7229" xr:uid="{00000000-0005-0000-0000-000056220000}"/>
    <cellStyle name="Data 4 6 14" xfId="7230" xr:uid="{00000000-0005-0000-0000-000057220000}"/>
    <cellStyle name="Data 4 6 14 2" xfId="7231" xr:uid="{00000000-0005-0000-0000-000058220000}"/>
    <cellStyle name="Data 4 6 15" xfId="7232" xr:uid="{00000000-0005-0000-0000-000059220000}"/>
    <cellStyle name="Data 4 6 15 2" xfId="7233" xr:uid="{00000000-0005-0000-0000-00005A220000}"/>
    <cellStyle name="Data 4 6 16" xfId="7234" xr:uid="{00000000-0005-0000-0000-00005B220000}"/>
    <cellStyle name="Data 4 6 16 2" xfId="7235" xr:uid="{00000000-0005-0000-0000-00005C220000}"/>
    <cellStyle name="Data 4 6 17" xfId="7236" xr:uid="{00000000-0005-0000-0000-00005D220000}"/>
    <cellStyle name="Data 4 6 17 2" xfId="7237" xr:uid="{00000000-0005-0000-0000-00005E220000}"/>
    <cellStyle name="Data 4 6 18" xfId="7238" xr:uid="{00000000-0005-0000-0000-00005F220000}"/>
    <cellStyle name="Data 4 6 2" xfId="7239" xr:uid="{00000000-0005-0000-0000-000060220000}"/>
    <cellStyle name="Data 4 6 2 10" xfId="7240" xr:uid="{00000000-0005-0000-0000-000061220000}"/>
    <cellStyle name="Data 4 6 2 2" xfId="7241" xr:uid="{00000000-0005-0000-0000-000062220000}"/>
    <cellStyle name="Data 4 6 2 2 2" xfId="7242" xr:uid="{00000000-0005-0000-0000-000063220000}"/>
    <cellStyle name="Data 4 6 2 3" xfId="7243" xr:uid="{00000000-0005-0000-0000-000064220000}"/>
    <cellStyle name="Data 4 6 2 3 2" xfId="7244" xr:uid="{00000000-0005-0000-0000-000065220000}"/>
    <cellStyle name="Data 4 6 2 4" xfId="7245" xr:uid="{00000000-0005-0000-0000-000066220000}"/>
    <cellStyle name="Data 4 6 2 4 2" xfId="7246" xr:uid="{00000000-0005-0000-0000-000067220000}"/>
    <cellStyle name="Data 4 6 2 5" xfId="7247" xr:uid="{00000000-0005-0000-0000-000068220000}"/>
    <cellStyle name="Data 4 6 2 5 2" xfId="7248" xr:uid="{00000000-0005-0000-0000-000069220000}"/>
    <cellStyle name="Data 4 6 2 6" xfId="7249" xr:uid="{00000000-0005-0000-0000-00006A220000}"/>
    <cellStyle name="Data 4 6 2 6 2" xfId="7250" xr:uid="{00000000-0005-0000-0000-00006B220000}"/>
    <cellStyle name="Data 4 6 2 7" xfId="7251" xr:uid="{00000000-0005-0000-0000-00006C220000}"/>
    <cellStyle name="Data 4 6 2 7 2" xfId="7252" xr:uid="{00000000-0005-0000-0000-00006D220000}"/>
    <cellStyle name="Data 4 6 2 8" xfId="7253" xr:uid="{00000000-0005-0000-0000-00006E220000}"/>
    <cellStyle name="Data 4 6 2 8 2" xfId="7254" xr:uid="{00000000-0005-0000-0000-00006F220000}"/>
    <cellStyle name="Data 4 6 2 9" xfId="7255" xr:uid="{00000000-0005-0000-0000-000070220000}"/>
    <cellStyle name="Data 4 6 2 9 2" xfId="7256" xr:uid="{00000000-0005-0000-0000-000071220000}"/>
    <cellStyle name="Data 4 6 3" xfId="7257" xr:uid="{00000000-0005-0000-0000-000072220000}"/>
    <cellStyle name="Data 4 6 3 10" xfId="7258" xr:uid="{00000000-0005-0000-0000-000073220000}"/>
    <cellStyle name="Data 4 6 3 2" xfId="7259" xr:uid="{00000000-0005-0000-0000-000074220000}"/>
    <cellStyle name="Data 4 6 3 2 2" xfId="7260" xr:uid="{00000000-0005-0000-0000-000075220000}"/>
    <cellStyle name="Data 4 6 3 3" xfId="7261" xr:uid="{00000000-0005-0000-0000-000076220000}"/>
    <cellStyle name="Data 4 6 3 3 2" xfId="7262" xr:uid="{00000000-0005-0000-0000-000077220000}"/>
    <cellStyle name="Data 4 6 3 4" xfId="7263" xr:uid="{00000000-0005-0000-0000-000078220000}"/>
    <cellStyle name="Data 4 6 3 4 2" xfId="7264" xr:uid="{00000000-0005-0000-0000-000079220000}"/>
    <cellStyle name="Data 4 6 3 5" xfId="7265" xr:uid="{00000000-0005-0000-0000-00007A220000}"/>
    <cellStyle name="Data 4 6 3 5 2" xfId="7266" xr:uid="{00000000-0005-0000-0000-00007B220000}"/>
    <cellStyle name="Data 4 6 3 6" xfId="7267" xr:uid="{00000000-0005-0000-0000-00007C220000}"/>
    <cellStyle name="Data 4 6 3 6 2" xfId="7268" xr:uid="{00000000-0005-0000-0000-00007D220000}"/>
    <cellStyle name="Data 4 6 3 7" xfId="7269" xr:uid="{00000000-0005-0000-0000-00007E220000}"/>
    <cellStyle name="Data 4 6 3 7 2" xfId="7270" xr:uid="{00000000-0005-0000-0000-00007F220000}"/>
    <cellStyle name="Data 4 6 3 8" xfId="7271" xr:uid="{00000000-0005-0000-0000-000080220000}"/>
    <cellStyle name="Data 4 6 3 8 2" xfId="7272" xr:uid="{00000000-0005-0000-0000-000081220000}"/>
    <cellStyle name="Data 4 6 3 9" xfId="7273" xr:uid="{00000000-0005-0000-0000-000082220000}"/>
    <cellStyle name="Data 4 6 3 9 2" xfId="7274" xr:uid="{00000000-0005-0000-0000-000083220000}"/>
    <cellStyle name="Data 4 6 4" xfId="7275" xr:uid="{00000000-0005-0000-0000-000084220000}"/>
    <cellStyle name="Data 4 6 4 10" xfId="7276" xr:uid="{00000000-0005-0000-0000-000085220000}"/>
    <cellStyle name="Data 4 6 4 2" xfId="7277" xr:uid="{00000000-0005-0000-0000-000086220000}"/>
    <cellStyle name="Data 4 6 4 2 2" xfId="7278" xr:uid="{00000000-0005-0000-0000-000087220000}"/>
    <cellStyle name="Data 4 6 4 3" xfId="7279" xr:uid="{00000000-0005-0000-0000-000088220000}"/>
    <cellStyle name="Data 4 6 4 3 2" xfId="7280" xr:uid="{00000000-0005-0000-0000-000089220000}"/>
    <cellStyle name="Data 4 6 4 4" xfId="7281" xr:uid="{00000000-0005-0000-0000-00008A220000}"/>
    <cellStyle name="Data 4 6 4 4 2" xfId="7282" xr:uid="{00000000-0005-0000-0000-00008B220000}"/>
    <cellStyle name="Data 4 6 4 5" xfId="7283" xr:uid="{00000000-0005-0000-0000-00008C220000}"/>
    <cellStyle name="Data 4 6 4 5 2" xfId="7284" xr:uid="{00000000-0005-0000-0000-00008D220000}"/>
    <cellStyle name="Data 4 6 4 6" xfId="7285" xr:uid="{00000000-0005-0000-0000-00008E220000}"/>
    <cellStyle name="Data 4 6 4 6 2" xfId="7286" xr:uid="{00000000-0005-0000-0000-00008F220000}"/>
    <cellStyle name="Data 4 6 4 7" xfId="7287" xr:uid="{00000000-0005-0000-0000-000090220000}"/>
    <cellStyle name="Data 4 6 4 7 2" xfId="7288" xr:uid="{00000000-0005-0000-0000-000091220000}"/>
    <cellStyle name="Data 4 6 4 8" xfId="7289" xr:uid="{00000000-0005-0000-0000-000092220000}"/>
    <cellStyle name="Data 4 6 4 8 2" xfId="7290" xr:uid="{00000000-0005-0000-0000-000093220000}"/>
    <cellStyle name="Data 4 6 4 9" xfId="7291" xr:uid="{00000000-0005-0000-0000-000094220000}"/>
    <cellStyle name="Data 4 6 4 9 2" xfId="7292" xr:uid="{00000000-0005-0000-0000-000095220000}"/>
    <cellStyle name="Data 4 6 5" xfId="7293" xr:uid="{00000000-0005-0000-0000-000096220000}"/>
    <cellStyle name="Data 4 6 5 10" xfId="7294" xr:uid="{00000000-0005-0000-0000-000097220000}"/>
    <cellStyle name="Data 4 6 5 2" xfId="7295" xr:uid="{00000000-0005-0000-0000-000098220000}"/>
    <cellStyle name="Data 4 6 5 2 2" xfId="7296" xr:uid="{00000000-0005-0000-0000-000099220000}"/>
    <cellStyle name="Data 4 6 5 3" xfId="7297" xr:uid="{00000000-0005-0000-0000-00009A220000}"/>
    <cellStyle name="Data 4 6 5 3 2" xfId="7298" xr:uid="{00000000-0005-0000-0000-00009B220000}"/>
    <cellStyle name="Data 4 6 5 4" xfId="7299" xr:uid="{00000000-0005-0000-0000-00009C220000}"/>
    <cellStyle name="Data 4 6 5 4 2" xfId="7300" xr:uid="{00000000-0005-0000-0000-00009D220000}"/>
    <cellStyle name="Data 4 6 5 5" xfId="7301" xr:uid="{00000000-0005-0000-0000-00009E220000}"/>
    <cellStyle name="Data 4 6 5 5 2" xfId="7302" xr:uid="{00000000-0005-0000-0000-00009F220000}"/>
    <cellStyle name="Data 4 6 5 6" xfId="7303" xr:uid="{00000000-0005-0000-0000-0000A0220000}"/>
    <cellStyle name="Data 4 6 5 6 2" xfId="7304" xr:uid="{00000000-0005-0000-0000-0000A1220000}"/>
    <cellStyle name="Data 4 6 5 7" xfId="7305" xr:uid="{00000000-0005-0000-0000-0000A2220000}"/>
    <cellStyle name="Data 4 6 5 7 2" xfId="7306" xr:uid="{00000000-0005-0000-0000-0000A3220000}"/>
    <cellStyle name="Data 4 6 5 8" xfId="7307" xr:uid="{00000000-0005-0000-0000-0000A4220000}"/>
    <cellStyle name="Data 4 6 5 8 2" xfId="7308" xr:uid="{00000000-0005-0000-0000-0000A5220000}"/>
    <cellStyle name="Data 4 6 5 9" xfId="7309" xr:uid="{00000000-0005-0000-0000-0000A6220000}"/>
    <cellStyle name="Data 4 6 5 9 2" xfId="7310" xr:uid="{00000000-0005-0000-0000-0000A7220000}"/>
    <cellStyle name="Data 4 6 6" xfId="7311" xr:uid="{00000000-0005-0000-0000-0000A8220000}"/>
    <cellStyle name="Data 4 6 6 10" xfId="7312" xr:uid="{00000000-0005-0000-0000-0000A9220000}"/>
    <cellStyle name="Data 4 6 6 2" xfId="7313" xr:uid="{00000000-0005-0000-0000-0000AA220000}"/>
    <cellStyle name="Data 4 6 6 2 2" xfId="7314" xr:uid="{00000000-0005-0000-0000-0000AB220000}"/>
    <cellStyle name="Data 4 6 6 3" xfId="7315" xr:uid="{00000000-0005-0000-0000-0000AC220000}"/>
    <cellStyle name="Data 4 6 6 3 2" xfId="7316" xr:uid="{00000000-0005-0000-0000-0000AD220000}"/>
    <cellStyle name="Data 4 6 6 4" xfId="7317" xr:uid="{00000000-0005-0000-0000-0000AE220000}"/>
    <cellStyle name="Data 4 6 6 4 2" xfId="7318" xr:uid="{00000000-0005-0000-0000-0000AF220000}"/>
    <cellStyle name="Data 4 6 6 5" xfId="7319" xr:uid="{00000000-0005-0000-0000-0000B0220000}"/>
    <cellStyle name="Data 4 6 6 5 2" xfId="7320" xr:uid="{00000000-0005-0000-0000-0000B1220000}"/>
    <cellStyle name="Data 4 6 6 6" xfId="7321" xr:uid="{00000000-0005-0000-0000-0000B2220000}"/>
    <cellStyle name="Data 4 6 6 6 2" xfId="7322" xr:uid="{00000000-0005-0000-0000-0000B3220000}"/>
    <cellStyle name="Data 4 6 6 7" xfId="7323" xr:uid="{00000000-0005-0000-0000-0000B4220000}"/>
    <cellStyle name="Data 4 6 6 7 2" xfId="7324" xr:uid="{00000000-0005-0000-0000-0000B5220000}"/>
    <cellStyle name="Data 4 6 6 8" xfId="7325" xr:uid="{00000000-0005-0000-0000-0000B6220000}"/>
    <cellStyle name="Data 4 6 6 8 2" xfId="7326" xr:uid="{00000000-0005-0000-0000-0000B7220000}"/>
    <cellStyle name="Data 4 6 6 9" xfId="7327" xr:uid="{00000000-0005-0000-0000-0000B8220000}"/>
    <cellStyle name="Data 4 6 6 9 2" xfId="7328" xr:uid="{00000000-0005-0000-0000-0000B9220000}"/>
    <cellStyle name="Data 4 6 7" xfId="7329" xr:uid="{00000000-0005-0000-0000-0000BA220000}"/>
    <cellStyle name="Data 4 6 7 10" xfId="7330" xr:uid="{00000000-0005-0000-0000-0000BB220000}"/>
    <cellStyle name="Data 4 6 7 2" xfId="7331" xr:uid="{00000000-0005-0000-0000-0000BC220000}"/>
    <cellStyle name="Data 4 6 7 2 2" xfId="7332" xr:uid="{00000000-0005-0000-0000-0000BD220000}"/>
    <cellStyle name="Data 4 6 7 3" xfId="7333" xr:uid="{00000000-0005-0000-0000-0000BE220000}"/>
    <cellStyle name="Data 4 6 7 3 2" xfId="7334" xr:uid="{00000000-0005-0000-0000-0000BF220000}"/>
    <cellStyle name="Data 4 6 7 4" xfId="7335" xr:uid="{00000000-0005-0000-0000-0000C0220000}"/>
    <cellStyle name="Data 4 6 7 4 2" xfId="7336" xr:uid="{00000000-0005-0000-0000-0000C1220000}"/>
    <cellStyle name="Data 4 6 7 5" xfId="7337" xr:uid="{00000000-0005-0000-0000-0000C2220000}"/>
    <cellStyle name="Data 4 6 7 5 2" xfId="7338" xr:uid="{00000000-0005-0000-0000-0000C3220000}"/>
    <cellStyle name="Data 4 6 7 6" xfId="7339" xr:uid="{00000000-0005-0000-0000-0000C4220000}"/>
    <cellStyle name="Data 4 6 7 6 2" xfId="7340" xr:uid="{00000000-0005-0000-0000-0000C5220000}"/>
    <cellStyle name="Data 4 6 7 7" xfId="7341" xr:uid="{00000000-0005-0000-0000-0000C6220000}"/>
    <cellStyle name="Data 4 6 7 7 2" xfId="7342" xr:uid="{00000000-0005-0000-0000-0000C7220000}"/>
    <cellStyle name="Data 4 6 7 8" xfId="7343" xr:uid="{00000000-0005-0000-0000-0000C8220000}"/>
    <cellStyle name="Data 4 6 7 8 2" xfId="7344" xr:uid="{00000000-0005-0000-0000-0000C9220000}"/>
    <cellStyle name="Data 4 6 7 9" xfId="7345" xr:uid="{00000000-0005-0000-0000-0000CA220000}"/>
    <cellStyle name="Data 4 6 7 9 2" xfId="7346" xr:uid="{00000000-0005-0000-0000-0000CB220000}"/>
    <cellStyle name="Data 4 6 8" xfId="7347" xr:uid="{00000000-0005-0000-0000-0000CC220000}"/>
    <cellStyle name="Data 4 6 8 10" xfId="7348" xr:uid="{00000000-0005-0000-0000-0000CD220000}"/>
    <cellStyle name="Data 4 6 8 2" xfId="7349" xr:uid="{00000000-0005-0000-0000-0000CE220000}"/>
    <cellStyle name="Data 4 6 8 2 2" xfId="7350" xr:uid="{00000000-0005-0000-0000-0000CF220000}"/>
    <cellStyle name="Data 4 6 8 3" xfId="7351" xr:uid="{00000000-0005-0000-0000-0000D0220000}"/>
    <cellStyle name="Data 4 6 8 3 2" xfId="7352" xr:uid="{00000000-0005-0000-0000-0000D1220000}"/>
    <cellStyle name="Data 4 6 8 4" xfId="7353" xr:uid="{00000000-0005-0000-0000-0000D2220000}"/>
    <cellStyle name="Data 4 6 8 4 2" xfId="7354" xr:uid="{00000000-0005-0000-0000-0000D3220000}"/>
    <cellStyle name="Data 4 6 8 5" xfId="7355" xr:uid="{00000000-0005-0000-0000-0000D4220000}"/>
    <cellStyle name="Data 4 6 8 5 2" xfId="7356" xr:uid="{00000000-0005-0000-0000-0000D5220000}"/>
    <cellStyle name="Data 4 6 8 6" xfId="7357" xr:uid="{00000000-0005-0000-0000-0000D6220000}"/>
    <cellStyle name="Data 4 6 8 6 2" xfId="7358" xr:uid="{00000000-0005-0000-0000-0000D7220000}"/>
    <cellStyle name="Data 4 6 8 7" xfId="7359" xr:uid="{00000000-0005-0000-0000-0000D8220000}"/>
    <cellStyle name="Data 4 6 8 7 2" xfId="7360" xr:uid="{00000000-0005-0000-0000-0000D9220000}"/>
    <cellStyle name="Data 4 6 8 8" xfId="7361" xr:uid="{00000000-0005-0000-0000-0000DA220000}"/>
    <cellStyle name="Data 4 6 8 8 2" xfId="7362" xr:uid="{00000000-0005-0000-0000-0000DB220000}"/>
    <cellStyle name="Data 4 6 8 9" xfId="7363" xr:uid="{00000000-0005-0000-0000-0000DC220000}"/>
    <cellStyle name="Data 4 6 8 9 2" xfId="7364" xr:uid="{00000000-0005-0000-0000-0000DD220000}"/>
    <cellStyle name="Data 4 6 9" xfId="7365" xr:uid="{00000000-0005-0000-0000-0000DE220000}"/>
    <cellStyle name="Data 4 6 9 10" xfId="7366" xr:uid="{00000000-0005-0000-0000-0000DF220000}"/>
    <cellStyle name="Data 4 6 9 2" xfId="7367" xr:uid="{00000000-0005-0000-0000-0000E0220000}"/>
    <cellStyle name="Data 4 6 9 2 2" xfId="7368" xr:uid="{00000000-0005-0000-0000-0000E1220000}"/>
    <cellStyle name="Data 4 6 9 3" xfId="7369" xr:uid="{00000000-0005-0000-0000-0000E2220000}"/>
    <cellStyle name="Data 4 6 9 3 2" xfId="7370" xr:uid="{00000000-0005-0000-0000-0000E3220000}"/>
    <cellStyle name="Data 4 6 9 4" xfId="7371" xr:uid="{00000000-0005-0000-0000-0000E4220000}"/>
    <cellStyle name="Data 4 6 9 4 2" xfId="7372" xr:uid="{00000000-0005-0000-0000-0000E5220000}"/>
    <cellStyle name="Data 4 6 9 5" xfId="7373" xr:uid="{00000000-0005-0000-0000-0000E6220000}"/>
    <cellStyle name="Data 4 6 9 5 2" xfId="7374" xr:uid="{00000000-0005-0000-0000-0000E7220000}"/>
    <cellStyle name="Data 4 6 9 6" xfId="7375" xr:uid="{00000000-0005-0000-0000-0000E8220000}"/>
    <cellStyle name="Data 4 6 9 6 2" xfId="7376" xr:uid="{00000000-0005-0000-0000-0000E9220000}"/>
    <cellStyle name="Data 4 6 9 7" xfId="7377" xr:uid="{00000000-0005-0000-0000-0000EA220000}"/>
    <cellStyle name="Data 4 6 9 7 2" xfId="7378" xr:uid="{00000000-0005-0000-0000-0000EB220000}"/>
    <cellStyle name="Data 4 6 9 8" xfId="7379" xr:uid="{00000000-0005-0000-0000-0000EC220000}"/>
    <cellStyle name="Data 4 6 9 8 2" xfId="7380" xr:uid="{00000000-0005-0000-0000-0000ED220000}"/>
    <cellStyle name="Data 4 6 9 9" xfId="7381" xr:uid="{00000000-0005-0000-0000-0000EE220000}"/>
    <cellStyle name="Data 4 6 9 9 2" xfId="7382" xr:uid="{00000000-0005-0000-0000-0000EF220000}"/>
    <cellStyle name="Data 4 7" xfId="7383" xr:uid="{00000000-0005-0000-0000-0000F0220000}"/>
    <cellStyle name="Data 4 7 10" xfId="7384" xr:uid="{00000000-0005-0000-0000-0000F1220000}"/>
    <cellStyle name="Data 4 7 10 2" xfId="7385" xr:uid="{00000000-0005-0000-0000-0000F2220000}"/>
    <cellStyle name="Data 4 7 10 2 2" xfId="7386" xr:uid="{00000000-0005-0000-0000-0000F3220000}"/>
    <cellStyle name="Data 4 7 10 3" xfId="7387" xr:uid="{00000000-0005-0000-0000-0000F4220000}"/>
    <cellStyle name="Data 4 7 10 3 2" xfId="7388" xr:uid="{00000000-0005-0000-0000-0000F5220000}"/>
    <cellStyle name="Data 4 7 10 4" xfId="7389" xr:uid="{00000000-0005-0000-0000-0000F6220000}"/>
    <cellStyle name="Data 4 7 10 4 2" xfId="7390" xr:uid="{00000000-0005-0000-0000-0000F7220000}"/>
    <cellStyle name="Data 4 7 10 5" xfId="7391" xr:uid="{00000000-0005-0000-0000-0000F8220000}"/>
    <cellStyle name="Data 4 7 10 5 2" xfId="7392" xr:uid="{00000000-0005-0000-0000-0000F9220000}"/>
    <cellStyle name="Data 4 7 10 6" xfId="7393" xr:uid="{00000000-0005-0000-0000-0000FA220000}"/>
    <cellStyle name="Data 4 7 10 6 2" xfId="7394" xr:uid="{00000000-0005-0000-0000-0000FB220000}"/>
    <cellStyle name="Data 4 7 10 7" xfId="7395" xr:uid="{00000000-0005-0000-0000-0000FC220000}"/>
    <cellStyle name="Data 4 7 10 7 2" xfId="7396" xr:uid="{00000000-0005-0000-0000-0000FD220000}"/>
    <cellStyle name="Data 4 7 10 8" xfId="7397" xr:uid="{00000000-0005-0000-0000-0000FE220000}"/>
    <cellStyle name="Data 4 7 10 8 2" xfId="7398" xr:uid="{00000000-0005-0000-0000-0000FF220000}"/>
    <cellStyle name="Data 4 7 10 9" xfId="7399" xr:uid="{00000000-0005-0000-0000-000000230000}"/>
    <cellStyle name="Data 4 7 11" xfId="7400" xr:uid="{00000000-0005-0000-0000-000001230000}"/>
    <cellStyle name="Data 4 7 11 2" xfId="7401" xr:uid="{00000000-0005-0000-0000-000002230000}"/>
    <cellStyle name="Data 4 7 12" xfId="7402" xr:uid="{00000000-0005-0000-0000-000003230000}"/>
    <cellStyle name="Data 4 7 12 2" xfId="7403" xr:uid="{00000000-0005-0000-0000-000004230000}"/>
    <cellStyle name="Data 4 7 13" xfId="7404" xr:uid="{00000000-0005-0000-0000-000005230000}"/>
    <cellStyle name="Data 4 7 13 2" xfId="7405" xr:uid="{00000000-0005-0000-0000-000006230000}"/>
    <cellStyle name="Data 4 7 14" xfId="7406" xr:uid="{00000000-0005-0000-0000-000007230000}"/>
    <cellStyle name="Data 4 7 14 2" xfId="7407" xr:uid="{00000000-0005-0000-0000-000008230000}"/>
    <cellStyle name="Data 4 7 15" xfId="7408" xr:uid="{00000000-0005-0000-0000-000009230000}"/>
    <cellStyle name="Data 4 7 15 2" xfId="7409" xr:uid="{00000000-0005-0000-0000-00000A230000}"/>
    <cellStyle name="Data 4 7 16" xfId="7410" xr:uid="{00000000-0005-0000-0000-00000B230000}"/>
    <cellStyle name="Data 4 7 16 2" xfId="7411" xr:uid="{00000000-0005-0000-0000-00000C230000}"/>
    <cellStyle name="Data 4 7 17" xfId="7412" xr:uid="{00000000-0005-0000-0000-00000D230000}"/>
    <cellStyle name="Data 4 7 17 2" xfId="7413" xr:uid="{00000000-0005-0000-0000-00000E230000}"/>
    <cellStyle name="Data 4 7 18" xfId="7414" xr:uid="{00000000-0005-0000-0000-00000F230000}"/>
    <cellStyle name="Data 4 7 2" xfId="7415" xr:uid="{00000000-0005-0000-0000-000010230000}"/>
    <cellStyle name="Data 4 7 2 10" xfId="7416" xr:uid="{00000000-0005-0000-0000-000011230000}"/>
    <cellStyle name="Data 4 7 2 2" xfId="7417" xr:uid="{00000000-0005-0000-0000-000012230000}"/>
    <cellStyle name="Data 4 7 2 2 2" xfId="7418" xr:uid="{00000000-0005-0000-0000-000013230000}"/>
    <cellStyle name="Data 4 7 2 3" xfId="7419" xr:uid="{00000000-0005-0000-0000-000014230000}"/>
    <cellStyle name="Data 4 7 2 3 2" xfId="7420" xr:uid="{00000000-0005-0000-0000-000015230000}"/>
    <cellStyle name="Data 4 7 2 4" xfId="7421" xr:uid="{00000000-0005-0000-0000-000016230000}"/>
    <cellStyle name="Data 4 7 2 4 2" xfId="7422" xr:uid="{00000000-0005-0000-0000-000017230000}"/>
    <cellStyle name="Data 4 7 2 5" xfId="7423" xr:uid="{00000000-0005-0000-0000-000018230000}"/>
    <cellStyle name="Data 4 7 2 5 2" xfId="7424" xr:uid="{00000000-0005-0000-0000-000019230000}"/>
    <cellStyle name="Data 4 7 2 6" xfId="7425" xr:uid="{00000000-0005-0000-0000-00001A230000}"/>
    <cellStyle name="Data 4 7 2 6 2" xfId="7426" xr:uid="{00000000-0005-0000-0000-00001B230000}"/>
    <cellStyle name="Data 4 7 2 7" xfId="7427" xr:uid="{00000000-0005-0000-0000-00001C230000}"/>
    <cellStyle name="Data 4 7 2 7 2" xfId="7428" xr:uid="{00000000-0005-0000-0000-00001D230000}"/>
    <cellStyle name="Data 4 7 2 8" xfId="7429" xr:uid="{00000000-0005-0000-0000-00001E230000}"/>
    <cellStyle name="Data 4 7 2 8 2" xfId="7430" xr:uid="{00000000-0005-0000-0000-00001F230000}"/>
    <cellStyle name="Data 4 7 2 9" xfId="7431" xr:uid="{00000000-0005-0000-0000-000020230000}"/>
    <cellStyle name="Data 4 7 2 9 2" xfId="7432" xr:uid="{00000000-0005-0000-0000-000021230000}"/>
    <cellStyle name="Data 4 7 3" xfId="7433" xr:uid="{00000000-0005-0000-0000-000022230000}"/>
    <cellStyle name="Data 4 7 3 10" xfId="7434" xr:uid="{00000000-0005-0000-0000-000023230000}"/>
    <cellStyle name="Data 4 7 3 2" xfId="7435" xr:uid="{00000000-0005-0000-0000-000024230000}"/>
    <cellStyle name="Data 4 7 3 2 2" xfId="7436" xr:uid="{00000000-0005-0000-0000-000025230000}"/>
    <cellStyle name="Data 4 7 3 3" xfId="7437" xr:uid="{00000000-0005-0000-0000-000026230000}"/>
    <cellStyle name="Data 4 7 3 3 2" xfId="7438" xr:uid="{00000000-0005-0000-0000-000027230000}"/>
    <cellStyle name="Data 4 7 3 4" xfId="7439" xr:uid="{00000000-0005-0000-0000-000028230000}"/>
    <cellStyle name="Data 4 7 3 4 2" xfId="7440" xr:uid="{00000000-0005-0000-0000-000029230000}"/>
    <cellStyle name="Data 4 7 3 5" xfId="7441" xr:uid="{00000000-0005-0000-0000-00002A230000}"/>
    <cellStyle name="Data 4 7 3 5 2" xfId="7442" xr:uid="{00000000-0005-0000-0000-00002B230000}"/>
    <cellStyle name="Data 4 7 3 6" xfId="7443" xr:uid="{00000000-0005-0000-0000-00002C230000}"/>
    <cellStyle name="Data 4 7 3 6 2" xfId="7444" xr:uid="{00000000-0005-0000-0000-00002D230000}"/>
    <cellStyle name="Data 4 7 3 7" xfId="7445" xr:uid="{00000000-0005-0000-0000-00002E230000}"/>
    <cellStyle name="Data 4 7 3 7 2" xfId="7446" xr:uid="{00000000-0005-0000-0000-00002F230000}"/>
    <cellStyle name="Data 4 7 3 8" xfId="7447" xr:uid="{00000000-0005-0000-0000-000030230000}"/>
    <cellStyle name="Data 4 7 3 8 2" xfId="7448" xr:uid="{00000000-0005-0000-0000-000031230000}"/>
    <cellStyle name="Data 4 7 3 9" xfId="7449" xr:uid="{00000000-0005-0000-0000-000032230000}"/>
    <cellStyle name="Data 4 7 3 9 2" xfId="7450" xr:uid="{00000000-0005-0000-0000-000033230000}"/>
    <cellStyle name="Data 4 7 4" xfId="7451" xr:uid="{00000000-0005-0000-0000-000034230000}"/>
    <cellStyle name="Data 4 7 4 10" xfId="7452" xr:uid="{00000000-0005-0000-0000-000035230000}"/>
    <cellStyle name="Data 4 7 4 2" xfId="7453" xr:uid="{00000000-0005-0000-0000-000036230000}"/>
    <cellStyle name="Data 4 7 4 2 2" xfId="7454" xr:uid="{00000000-0005-0000-0000-000037230000}"/>
    <cellStyle name="Data 4 7 4 3" xfId="7455" xr:uid="{00000000-0005-0000-0000-000038230000}"/>
    <cellStyle name="Data 4 7 4 3 2" xfId="7456" xr:uid="{00000000-0005-0000-0000-000039230000}"/>
    <cellStyle name="Data 4 7 4 4" xfId="7457" xr:uid="{00000000-0005-0000-0000-00003A230000}"/>
    <cellStyle name="Data 4 7 4 4 2" xfId="7458" xr:uid="{00000000-0005-0000-0000-00003B230000}"/>
    <cellStyle name="Data 4 7 4 5" xfId="7459" xr:uid="{00000000-0005-0000-0000-00003C230000}"/>
    <cellStyle name="Data 4 7 4 5 2" xfId="7460" xr:uid="{00000000-0005-0000-0000-00003D230000}"/>
    <cellStyle name="Data 4 7 4 6" xfId="7461" xr:uid="{00000000-0005-0000-0000-00003E230000}"/>
    <cellStyle name="Data 4 7 4 6 2" xfId="7462" xr:uid="{00000000-0005-0000-0000-00003F230000}"/>
    <cellStyle name="Data 4 7 4 7" xfId="7463" xr:uid="{00000000-0005-0000-0000-000040230000}"/>
    <cellStyle name="Data 4 7 4 7 2" xfId="7464" xr:uid="{00000000-0005-0000-0000-000041230000}"/>
    <cellStyle name="Data 4 7 4 8" xfId="7465" xr:uid="{00000000-0005-0000-0000-000042230000}"/>
    <cellStyle name="Data 4 7 4 8 2" xfId="7466" xr:uid="{00000000-0005-0000-0000-000043230000}"/>
    <cellStyle name="Data 4 7 4 9" xfId="7467" xr:uid="{00000000-0005-0000-0000-000044230000}"/>
    <cellStyle name="Data 4 7 4 9 2" xfId="7468" xr:uid="{00000000-0005-0000-0000-000045230000}"/>
    <cellStyle name="Data 4 7 5" xfId="7469" xr:uid="{00000000-0005-0000-0000-000046230000}"/>
    <cellStyle name="Data 4 7 5 10" xfId="7470" xr:uid="{00000000-0005-0000-0000-000047230000}"/>
    <cellStyle name="Data 4 7 5 2" xfId="7471" xr:uid="{00000000-0005-0000-0000-000048230000}"/>
    <cellStyle name="Data 4 7 5 2 2" xfId="7472" xr:uid="{00000000-0005-0000-0000-000049230000}"/>
    <cellStyle name="Data 4 7 5 3" xfId="7473" xr:uid="{00000000-0005-0000-0000-00004A230000}"/>
    <cellStyle name="Data 4 7 5 3 2" xfId="7474" xr:uid="{00000000-0005-0000-0000-00004B230000}"/>
    <cellStyle name="Data 4 7 5 4" xfId="7475" xr:uid="{00000000-0005-0000-0000-00004C230000}"/>
    <cellStyle name="Data 4 7 5 4 2" xfId="7476" xr:uid="{00000000-0005-0000-0000-00004D230000}"/>
    <cellStyle name="Data 4 7 5 5" xfId="7477" xr:uid="{00000000-0005-0000-0000-00004E230000}"/>
    <cellStyle name="Data 4 7 5 5 2" xfId="7478" xr:uid="{00000000-0005-0000-0000-00004F230000}"/>
    <cellStyle name="Data 4 7 5 6" xfId="7479" xr:uid="{00000000-0005-0000-0000-000050230000}"/>
    <cellStyle name="Data 4 7 5 6 2" xfId="7480" xr:uid="{00000000-0005-0000-0000-000051230000}"/>
    <cellStyle name="Data 4 7 5 7" xfId="7481" xr:uid="{00000000-0005-0000-0000-000052230000}"/>
    <cellStyle name="Data 4 7 5 7 2" xfId="7482" xr:uid="{00000000-0005-0000-0000-000053230000}"/>
    <cellStyle name="Data 4 7 5 8" xfId="7483" xr:uid="{00000000-0005-0000-0000-000054230000}"/>
    <cellStyle name="Data 4 7 5 8 2" xfId="7484" xr:uid="{00000000-0005-0000-0000-000055230000}"/>
    <cellStyle name="Data 4 7 5 9" xfId="7485" xr:uid="{00000000-0005-0000-0000-000056230000}"/>
    <cellStyle name="Data 4 7 5 9 2" xfId="7486" xr:uid="{00000000-0005-0000-0000-000057230000}"/>
    <cellStyle name="Data 4 7 6" xfId="7487" xr:uid="{00000000-0005-0000-0000-000058230000}"/>
    <cellStyle name="Data 4 7 6 10" xfId="7488" xr:uid="{00000000-0005-0000-0000-000059230000}"/>
    <cellStyle name="Data 4 7 6 2" xfId="7489" xr:uid="{00000000-0005-0000-0000-00005A230000}"/>
    <cellStyle name="Data 4 7 6 2 2" xfId="7490" xr:uid="{00000000-0005-0000-0000-00005B230000}"/>
    <cellStyle name="Data 4 7 6 3" xfId="7491" xr:uid="{00000000-0005-0000-0000-00005C230000}"/>
    <cellStyle name="Data 4 7 6 3 2" xfId="7492" xr:uid="{00000000-0005-0000-0000-00005D230000}"/>
    <cellStyle name="Data 4 7 6 4" xfId="7493" xr:uid="{00000000-0005-0000-0000-00005E230000}"/>
    <cellStyle name="Data 4 7 6 4 2" xfId="7494" xr:uid="{00000000-0005-0000-0000-00005F230000}"/>
    <cellStyle name="Data 4 7 6 5" xfId="7495" xr:uid="{00000000-0005-0000-0000-000060230000}"/>
    <cellStyle name="Data 4 7 6 5 2" xfId="7496" xr:uid="{00000000-0005-0000-0000-000061230000}"/>
    <cellStyle name="Data 4 7 6 6" xfId="7497" xr:uid="{00000000-0005-0000-0000-000062230000}"/>
    <cellStyle name="Data 4 7 6 6 2" xfId="7498" xr:uid="{00000000-0005-0000-0000-000063230000}"/>
    <cellStyle name="Data 4 7 6 7" xfId="7499" xr:uid="{00000000-0005-0000-0000-000064230000}"/>
    <cellStyle name="Data 4 7 6 7 2" xfId="7500" xr:uid="{00000000-0005-0000-0000-000065230000}"/>
    <cellStyle name="Data 4 7 6 8" xfId="7501" xr:uid="{00000000-0005-0000-0000-000066230000}"/>
    <cellStyle name="Data 4 7 6 8 2" xfId="7502" xr:uid="{00000000-0005-0000-0000-000067230000}"/>
    <cellStyle name="Data 4 7 6 9" xfId="7503" xr:uid="{00000000-0005-0000-0000-000068230000}"/>
    <cellStyle name="Data 4 7 6 9 2" xfId="7504" xr:uid="{00000000-0005-0000-0000-000069230000}"/>
    <cellStyle name="Data 4 7 7" xfId="7505" xr:uid="{00000000-0005-0000-0000-00006A230000}"/>
    <cellStyle name="Data 4 7 7 10" xfId="7506" xr:uid="{00000000-0005-0000-0000-00006B230000}"/>
    <cellStyle name="Data 4 7 7 2" xfId="7507" xr:uid="{00000000-0005-0000-0000-00006C230000}"/>
    <cellStyle name="Data 4 7 7 2 2" xfId="7508" xr:uid="{00000000-0005-0000-0000-00006D230000}"/>
    <cellStyle name="Data 4 7 7 3" xfId="7509" xr:uid="{00000000-0005-0000-0000-00006E230000}"/>
    <cellStyle name="Data 4 7 7 3 2" xfId="7510" xr:uid="{00000000-0005-0000-0000-00006F230000}"/>
    <cellStyle name="Data 4 7 7 4" xfId="7511" xr:uid="{00000000-0005-0000-0000-000070230000}"/>
    <cellStyle name="Data 4 7 7 4 2" xfId="7512" xr:uid="{00000000-0005-0000-0000-000071230000}"/>
    <cellStyle name="Data 4 7 7 5" xfId="7513" xr:uid="{00000000-0005-0000-0000-000072230000}"/>
    <cellStyle name="Data 4 7 7 5 2" xfId="7514" xr:uid="{00000000-0005-0000-0000-000073230000}"/>
    <cellStyle name="Data 4 7 7 6" xfId="7515" xr:uid="{00000000-0005-0000-0000-000074230000}"/>
    <cellStyle name="Data 4 7 7 6 2" xfId="7516" xr:uid="{00000000-0005-0000-0000-000075230000}"/>
    <cellStyle name="Data 4 7 7 7" xfId="7517" xr:uid="{00000000-0005-0000-0000-000076230000}"/>
    <cellStyle name="Data 4 7 7 7 2" xfId="7518" xr:uid="{00000000-0005-0000-0000-000077230000}"/>
    <cellStyle name="Data 4 7 7 8" xfId="7519" xr:uid="{00000000-0005-0000-0000-000078230000}"/>
    <cellStyle name="Data 4 7 7 8 2" xfId="7520" xr:uid="{00000000-0005-0000-0000-000079230000}"/>
    <cellStyle name="Data 4 7 7 9" xfId="7521" xr:uid="{00000000-0005-0000-0000-00007A230000}"/>
    <cellStyle name="Data 4 7 7 9 2" xfId="7522" xr:uid="{00000000-0005-0000-0000-00007B230000}"/>
    <cellStyle name="Data 4 7 8" xfId="7523" xr:uid="{00000000-0005-0000-0000-00007C230000}"/>
    <cellStyle name="Data 4 7 8 10" xfId="7524" xr:uid="{00000000-0005-0000-0000-00007D230000}"/>
    <cellStyle name="Data 4 7 8 2" xfId="7525" xr:uid="{00000000-0005-0000-0000-00007E230000}"/>
    <cellStyle name="Data 4 7 8 2 2" xfId="7526" xr:uid="{00000000-0005-0000-0000-00007F230000}"/>
    <cellStyle name="Data 4 7 8 3" xfId="7527" xr:uid="{00000000-0005-0000-0000-000080230000}"/>
    <cellStyle name="Data 4 7 8 3 2" xfId="7528" xr:uid="{00000000-0005-0000-0000-000081230000}"/>
    <cellStyle name="Data 4 7 8 4" xfId="7529" xr:uid="{00000000-0005-0000-0000-000082230000}"/>
    <cellStyle name="Data 4 7 8 4 2" xfId="7530" xr:uid="{00000000-0005-0000-0000-000083230000}"/>
    <cellStyle name="Data 4 7 8 5" xfId="7531" xr:uid="{00000000-0005-0000-0000-000084230000}"/>
    <cellStyle name="Data 4 7 8 5 2" xfId="7532" xr:uid="{00000000-0005-0000-0000-000085230000}"/>
    <cellStyle name="Data 4 7 8 6" xfId="7533" xr:uid="{00000000-0005-0000-0000-000086230000}"/>
    <cellStyle name="Data 4 7 8 6 2" xfId="7534" xr:uid="{00000000-0005-0000-0000-000087230000}"/>
    <cellStyle name="Data 4 7 8 7" xfId="7535" xr:uid="{00000000-0005-0000-0000-000088230000}"/>
    <cellStyle name="Data 4 7 8 7 2" xfId="7536" xr:uid="{00000000-0005-0000-0000-000089230000}"/>
    <cellStyle name="Data 4 7 8 8" xfId="7537" xr:uid="{00000000-0005-0000-0000-00008A230000}"/>
    <cellStyle name="Data 4 7 8 8 2" xfId="7538" xr:uid="{00000000-0005-0000-0000-00008B230000}"/>
    <cellStyle name="Data 4 7 8 9" xfId="7539" xr:uid="{00000000-0005-0000-0000-00008C230000}"/>
    <cellStyle name="Data 4 7 8 9 2" xfId="7540" xr:uid="{00000000-0005-0000-0000-00008D230000}"/>
    <cellStyle name="Data 4 7 9" xfId="7541" xr:uid="{00000000-0005-0000-0000-00008E230000}"/>
    <cellStyle name="Data 4 7 9 10" xfId="7542" xr:uid="{00000000-0005-0000-0000-00008F230000}"/>
    <cellStyle name="Data 4 7 9 2" xfId="7543" xr:uid="{00000000-0005-0000-0000-000090230000}"/>
    <cellStyle name="Data 4 7 9 2 2" xfId="7544" xr:uid="{00000000-0005-0000-0000-000091230000}"/>
    <cellStyle name="Data 4 7 9 3" xfId="7545" xr:uid="{00000000-0005-0000-0000-000092230000}"/>
    <cellStyle name="Data 4 7 9 3 2" xfId="7546" xr:uid="{00000000-0005-0000-0000-000093230000}"/>
    <cellStyle name="Data 4 7 9 4" xfId="7547" xr:uid="{00000000-0005-0000-0000-000094230000}"/>
    <cellStyle name="Data 4 7 9 4 2" xfId="7548" xr:uid="{00000000-0005-0000-0000-000095230000}"/>
    <cellStyle name="Data 4 7 9 5" xfId="7549" xr:uid="{00000000-0005-0000-0000-000096230000}"/>
    <cellStyle name="Data 4 7 9 5 2" xfId="7550" xr:uid="{00000000-0005-0000-0000-000097230000}"/>
    <cellStyle name="Data 4 7 9 6" xfId="7551" xr:uid="{00000000-0005-0000-0000-000098230000}"/>
    <cellStyle name="Data 4 7 9 6 2" xfId="7552" xr:uid="{00000000-0005-0000-0000-000099230000}"/>
    <cellStyle name="Data 4 7 9 7" xfId="7553" xr:uid="{00000000-0005-0000-0000-00009A230000}"/>
    <cellStyle name="Data 4 7 9 7 2" xfId="7554" xr:uid="{00000000-0005-0000-0000-00009B230000}"/>
    <cellStyle name="Data 4 7 9 8" xfId="7555" xr:uid="{00000000-0005-0000-0000-00009C230000}"/>
    <cellStyle name="Data 4 7 9 8 2" xfId="7556" xr:uid="{00000000-0005-0000-0000-00009D230000}"/>
    <cellStyle name="Data 4 7 9 9" xfId="7557" xr:uid="{00000000-0005-0000-0000-00009E230000}"/>
    <cellStyle name="Data 4 7 9 9 2" xfId="7558" xr:uid="{00000000-0005-0000-0000-00009F230000}"/>
    <cellStyle name="Data 4 8" xfId="7559" xr:uid="{00000000-0005-0000-0000-0000A0230000}"/>
    <cellStyle name="Data 4 8 10" xfId="7560" xr:uid="{00000000-0005-0000-0000-0000A1230000}"/>
    <cellStyle name="Data 4 8 10 2" xfId="7561" xr:uid="{00000000-0005-0000-0000-0000A2230000}"/>
    <cellStyle name="Data 4 8 10 2 2" xfId="7562" xr:uid="{00000000-0005-0000-0000-0000A3230000}"/>
    <cellStyle name="Data 4 8 10 3" xfId="7563" xr:uid="{00000000-0005-0000-0000-0000A4230000}"/>
    <cellStyle name="Data 4 8 10 3 2" xfId="7564" xr:uid="{00000000-0005-0000-0000-0000A5230000}"/>
    <cellStyle name="Data 4 8 10 4" xfId="7565" xr:uid="{00000000-0005-0000-0000-0000A6230000}"/>
    <cellStyle name="Data 4 8 10 4 2" xfId="7566" xr:uid="{00000000-0005-0000-0000-0000A7230000}"/>
    <cellStyle name="Data 4 8 10 5" xfId="7567" xr:uid="{00000000-0005-0000-0000-0000A8230000}"/>
    <cellStyle name="Data 4 8 10 5 2" xfId="7568" xr:uid="{00000000-0005-0000-0000-0000A9230000}"/>
    <cellStyle name="Data 4 8 10 6" xfId="7569" xr:uid="{00000000-0005-0000-0000-0000AA230000}"/>
    <cellStyle name="Data 4 8 10 6 2" xfId="7570" xr:uid="{00000000-0005-0000-0000-0000AB230000}"/>
    <cellStyle name="Data 4 8 10 7" xfId="7571" xr:uid="{00000000-0005-0000-0000-0000AC230000}"/>
    <cellStyle name="Data 4 8 10 7 2" xfId="7572" xr:uid="{00000000-0005-0000-0000-0000AD230000}"/>
    <cellStyle name="Data 4 8 10 8" xfId="7573" xr:uid="{00000000-0005-0000-0000-0000AE230000}"/>
    <cellStyle name="Data 4 8 10 8 2" xfId="7574" xr:uid="{00000000-0005-0000-0000-0000AF230000}"/>
    <cellStyle name="Data 4 8 10 9" xfId="7575" xr:uid="{00000000-0005-0000-0000-0000B0230000}"/>
    <cellStyle name="Data 4 8 11" xfId="7576" xr:uid="{00000000-0005-0000-0000-0000B1230000}"/>
    <cellStyle name="Data 4 8 11 2" xfId="7577" xr:uid="{00000000-0005-0000-0000-0000B2230000}"/>
    <cellStyle name="Data 4 8 12" xfId="7578" xr:uid="{00000000-0005-0000-0000-0000B3230000}"/>
    <cellStyle name="Data 4 8 12 2" xfId="7579" xr:uid="{00000000-0005-0000-0000-0000B4230000}"/>
    <cellStyle name="Data 4 8 13" xfId="7580" xr:uid="{00000000-0005-0000-0000-0000B5230000}"/>
    <cellStyle name="Data 4 8 13 2" xfId="7581" xr:uid="{00000000-0005-0000-0000-0000B6230000}"/>
    <cellStyle name="Data 4 8 14" xfId="7582" xr:uid="{00000000-0005-0000-0000-0000B7230000}"/>
    <cellStyle name="Data 4 8 14 2" xfId="7583" xr:uid="{00000000-0005-0000-0000-0000B8230000}"/>
    <cellStyle name="Data 4 8 15" xfId="7584" xr:uid="{00000000-0005-0000-0000-0000B9230000}"/>
    <cellStyle name="Data 4 8 15 2" xfId="7585" xr:uid="{00000000-0005-0000-0000-0000BA230000}"/>
    <cellStyle name="Data 4 8 16" xfId="7586" xr:uid="{00000000-0005-0000-0000-0000BB230000}"/>
    <cellStyle name="Data 4 8 16 2" xfId="7587" xr:uid="{00000000-0005-0000-0000-0000BC230000}"/>
    <cellStyle name="Data 4 8 17" xfId="7588" xr:uid="{00000000-0005-0000-0000-0000BD230000}"/>
    <cellStyle name="Data 4 8 17 2" xfId="7589" xr:uid="{00000000-0005-0000-0000-0000BE230000}"/>
    <cellStyle name="Data 4 8 18" xfId="7590" xr:uid="{00000000-0005-0000-0000-0000BF230000}"/>
    <cellStyle name="Data 4 8 2" xfId="7591" xr:uid="{00000000-0005-0000-0000-0000C0230000}"/>
    <cellStyle name="Data 4 8 2 10" xfId="7592" xr:uid="{00000000-0005-0000-0000-0000C1230000}"/>
    <cellStyle name="Data 4 8 2 2" xfId="7593" xr:uid="{00000000-0005-0000-0000-0000C2230000}"/>
    <cellStyle name="Data 4 8 2 2 2" xfId="7594" xr:uid="{00000000-0005-0000-0000-0000C3230000}"/>
    <cellStyle name="Data 4 8 2 3" xfId="7595" xr:uid="{00000000-0005-0000-0000-0000C4230000}"/>
    <cellStyle name="Data 4 8 2 3 2" xfId="7596" xr:uid="{00000000-0005-0000-0000-0000C5230000}"/>
    <cellStyle name="Data 4 8 2 4" xfId="7597" xr:uid="{00000000-0005-0000-0000-0000C6230000}"/>
    <cellStyle name="Data 4 8 2 4 2" xfId="7598" xr:uid="{00000000-0005-0000-0000-0000C7230000}"/>
    <cellStyle name="Data 4 8 2 5" xfId="7599" xr:uid="{00000000-0005-0000-0000-0000C8230000}"/>
    <cellStyle name="Data 4 8 2 5 2" xfId="7600" xr:uid="{00000000-0005-0000-0000-0000C9230000}"/>
    <cellStyle name="Data 4 8 2 6" xfId="7601" xr:uid="{00000000-0005-0000-0000-0000CA230000}"/>
    <cellStyle name="Data 4 8 2 6 2" xfId="7602" xr:uid="{00000000-0005-0000-0000-0000CB230000}"/>
    <cellStyle name="Data 4 8 2 7" xfId="7603" xr:uid="{00000000-0005-0000-0000-0000CC230000}"/>
    <cellStyle name="Data 4 8 2 7 2" xfId="7604" xr:uid="{00000000-0005-0000-0000-0000CD230000}"/>
    <cellStyle name="Data 4 8 2 8" xfId="7605" xr:uid="{00000000-0005-0000-0000-0000CE230000}"/>
    <cellStyle name="Data 4 8 2 8 2" xfId="7606" xr:uid="{00000000-0005-0000-0000-0000CF230000}"/>
    <cellStyle name="Data 4 8 2 9" xfId="7607" xr:uid="{00000000-0005-0000-0000-0000D0230000}"/>
    <cellStyle name="Data 4 8 2 9 2" xfId="7608" xr:uid="{00000000-0005-0000-0000-0000D1230000}"/>
    <cellStyle name="Data 4 8 3" xfId="7609" xr:uid="{00000000-0005-0000-0000-0000D2230000}"/>
    <cellStyle name="Data 4 8 3 10" xfId="7610" xr:uid="{00000000-0005-0000-0000-0000D3230000}"/>
    <cellStyle name="Data 4 8 3 2" xfId="7611" xr:uid="{00000000-0005-0000-0000-0000D4230000}"/>
    <cellStyle name="Data 4 8 3 2 2" xfId="7612" xr:uid="{00000000-0005-0000-0000-0000D5230000}"/>
    <cellStyle name="Data 4 8 3 3" xfId="7613" xr:uid="{00000000-0005-0000-0000-0000D6230000}"/>
    <cellStyle name="Data 4 8 3 3 2" xfId="7614" xr:uid="{00000000-0005-0000-0000-0000D7230000}"/>
    <cellStyle name="Data 4 8 3 4" xfId="7615" xr:uid="{00000000-0005-0000-0000-0000D8230000}"/>
    <cellStyle name="Data 4 8 3 4 2" xfId="7616" xr:uid="{00000000-0005-0000-0000-0000D9230000}"/>
    <cellStyle name="Data 4 8 3 5" xfId="7617" xr:uid="{00000000-0005-0000-0000-0000DA230000}"/>
    <cellStyle name="Data 4 8 3 5 2" xfId="7618" xr:uid="{00000000-0005-0000-0000-0000DB230000}"/>
    <cellStyle name="Data 4 8 3 6" xfId="7619" xr:uid="{00000000-0005-0000-0000-0000DC230000}"/>
    <cellStyle name="Data 4 8 3 6 2" xfId="7620" xr:uid="{00000000-0005-0000-0000-0000DD230000}"/>
    <cellStyle name="Data 4 8 3 7" xfId="7621" xr:uid="{00000000-0005-0000-0000-0000DE230000}"/>
    <cellStyle name="Data 4 8 3 7 2" xfId="7622" xr:uid="{00000000-0005-0000-0000-0000DF230000}"/>
    <cellStyle name="Data 4 8 3 8" xfId="7623" xr:uid="{00000000-0005-0000-0000-0000E0230000}"/>
    <cellStyle name="Data 4 8 3 8 2" xfId="7624" xr:uid="{00000000-0005-0000-0000-0000E1230000}"/>
    <cellStyle name="Data 4 8 3 9" xfId="7625" xr:uid="{00000000-0005-0000-0000-0000E2230000}"/>
    <cellStyle name="Data 4 8 3 9 2" xfId="7626" xr:uid="{00000000-0005-0000-0000-0000E3230000}"/>
    <cellStyle name="Data 4 8 4" xfId="7627" xr:uid="{00000000-0005-0000-0000-0000E4230000}"/>
    <cellStyle name="Data 4 8 4 10" xfId="7628" xr:uid="{00000000-0005-0000-0000-0000E5230000}"/>
    <cellStyle name="Data 4 8 4 2" xfId="7629" xr:uid="{00000000-0005-0000-0000-0000E6230000}"/>
    <cellStyle name="Data 4 8 4 2 2" xfId="7630" xr:uid="{00000000-0005-0000-0000-0000E7230000}"/>
    <cellStyle name="Data 4 8 4 3" xfId="7631" xr:uid="{00000000-0005-0000-0000-0000E8230000}"/>
    <cellStyle name="Data 4 8 4 3 2" xfId="7632" xr:uid="{00000000-0005-0000-0000-0000E9230000}"/>
    <cellStyle name="Data 4 8 4 4" xfId="7633" xr:uid="{00000000-0005-0000-0000-0000EA230000}"/>
    <cellStyle name="Data 4 8 4 4 2" xfId="7634" xr:uid="{00000000-0005-0000-0000-0000EB230000}"/>
    <cellStyle name="Data 4 8 4 5" xfId="7635" xr:uid="{00000000-0005-0000-0000-0000EC230000}"/>
    <cellStyle name="Data 4 8 4 5 2" xfId="7636" xr:uid="{00000000-0005-0000-0000-0000ED230000}"/>
    <cellStyle name="Data 4 8 4 6" xfId="7637" xr:uid="{00000000-0005-0000-0000-0000EE230000}"/>
    <cellStyle name="Data 4 8 4 6 2" xfId="7638" xr:uid="{00000000-0005-0000-0000-0000EF230000}"/>
    <cellStyle name="Data 4 8 4 7" xfId="7639" xr:uid="{00000000-0005-0000-0000-0000F0230000}"/>
    <cellStyle name="Data 4 8 4 7 2" xfId="7640" xr:uid="{00000000-0005-0000-0000-0000F1230000}"/>
    <cellStyle name="Data 4 8 4 8" xfId="7641" xr:uid="{00000000-0005-0000-0000-0000F2230000}"/>
    <cellStyle name="Data 4 8 4 8 2" xfId="7642" xr:uid="{00000000-0005-0000-0000-0000F3230000}"/>
    <cellStyle name="Data 4 8 4 9" xfId="7643" xr:uid="{00000000-0005-0000-0000-0000F4230000}"/>
    <cellStyle name="Data 4 8 4 9 2" xfId="7644" xr:uid="{00000000-0005-0000-0000-0000F5230000}"/>
    <cellStyle name="Data 4 8 5" xfId="7645" xr:uid="{00000000-0005-0000-0000-0000F6230000}"/>
    <cellStyle name="Data 4 8 5 10" xfId="7646" xr:uid="{00000000-0005-0000-0000-0000F7230000}"/>
    <cellStyle name="Data 4 8 5 2" xfId="7647" xr:uid="{00000000-0005-0000-0000-0000F8230000}"/>
    <cellStyle name="Data 4 8 5 2 2" xfId="7648" xr:uid="{00000000-0005-0000-0000-0000F9230000}"/>
    <cellStyle name="Data 4 8 5 3" xfId="7649" xr:uid="{00000000-0005-0000-0000-0000FA230000}"/>
    <cellStyle name="Data 4 8 5 3 2" xfId="7650" xr:uid="{00000000-0005-0000-0000-0000FB230000}"/>
    <cellStyle name="Data 4 8 5 4" xfId="7651" xr:uid="{00000000-0005-0000-0000-0000FC230000}"/>
    <cellStyle name="Data 4 8 5 4 2" xfId="7652" xr:uid="{00000000-0005-0000-0000-0000FD230000}"/>
    <cellStyle name="Data 4 8 5 5" xfId="7653" xr:uid="{00000000-0005-0000-0000-0000FE230000}"/>
    <cellStyle name="Data 4 8 5 5 2" xfId="7654" xr:uid="{00000000-0005-0000-0000-0000FF230000}"/>
    <cellStyle name="Data 4 8 5 6" xfId="7655" xr:uid="{00000000-0005-0000-0000-000000240000}"/>
    <cellStyle name="Data 4 8 5 6 2" xfId="7656" xr:uid="{00000000-0005-0000-0000-000001240000}"/>
    <cellStyle name="Data 4 8 5 7" xfId="7657" xr:uid="{00000000-0005-0000-0000-000002240000}"/>
    <cellStyle name="Data 4 8 5 7 2" xfId="7658" xr:uid="{00000000-0005-0000-0000-000003240000}"/>
    <cellStyle name="Data 4 8 5 8" xfId="7659" xr:uid="{00000000-0005-0000-0000-000004240000}"/>
    <cellStyle name="Data 4 8 5 8 2" xfId="7660" xr:uid="{00000000-0005-0000-0000-000005240000}"/>
    <cellStyle name="Data 4 8 5 9" xfId="7661" xr:uid="{00000000-0005-0000-0000-000006240000}"/>
    <cellStyle name="Data 4 8 5 9 2" xfId="7662" xr:uid="{00000000-0005-0000-0000-000007240000}"/>
    <cellStyle name="Data 4 8 6" xfId="7663" xr:uid="{00000000-0005-0000-0000-000008240000}"/>
    <cellStyle name="Data 4 8 6 10" xfId="7664" xr:uid="{00000000-0005-0000-0000-000009240000}"/>
    <cellStyle name="Data 4 8 6 2" xfId="7665" xr:uid="{00000000-0005-0000-0000-00000A240000}"/>
    <cellStyle name="Data 4 8 6 2 2" xfId="7666" xr:uid="{00000000-0005-0000-0000-00000B240000}"/>
    <cellStyle name="Data 4 8 6 3" xfId="7667" xr:uid="{00000000-0005-0000-0000-00000C240000}"/>
    <cellStyle name="Data 4 8 6 3 2" xfId="7668" xr:uid="{00000000-0005-0000-0000-00000D240000}"/>
    <cellStyle name="Data 4 8 6 4" xfId="7669" xr:uid="{00000000-0005-0000-0000-00000E240000}"/>
    <cellStyle name="Data 4 8 6 4 2" xfId="7670" xr:uid="{00000000-0005-0000-0000-00000F240000}"/>
    <cellStyle name="Data 4 8 6 5" xfId="7671" xr:uid="{00000000-0005-0000-0000-000010240000}"/>
    <cellStyle name="Data 4 8 6 5 2" xfId="7672" xr:uid="{00000000-0005-0000-0000-000011240000}"/>
    <cellStyle name="Data 4 8 6 6" xfId="7673" xr:uid="{00000000-0005-0000-0000-000012240000}"/>
    <cellStyle name="Data 4 8 6 6 2" xfId="7674" xr:uid="{00000000-0005-0000-0000-000013240000}"/>
    <cellStyle name="Data 4 8 6 7" xfId="7675" xr:uid="{00000000-0005-0000-0000-000014240000}"/>
    <cellStyle name="Data 4 8 6 7 2" xfId="7676" xr:uid="{00000000-0005-0000-0000-000015240000}"/>
    <cellStyle name="Data 4 8 6 8" xfId="7677" xr:uid="{00000000-0005-0000-0000-000016240000}"/>
    <cellStyle name="Data 4 8 6 8 2" xfId="7678" xr:uid="{00000000-0005-0000-0000-000017240000}"/>
    <cellStyle name="Data 4 8 6 9" xfId="7679" xr:uid="{00000000-0005-0000-0000-000018240000}"/>
    <cellStyle name="Data 4 8 6 9 2" xfId="7680" xr:uid="{00000000-0005-0000-0000-000019240000}"/>
    <cellStyle name="Data 4 8 7" xfId="7681" xr:uid="{00000000-0005-0000-0000-00001A240000}"/>
    <cellStyle name="Data 4 8 7 10" xfId="7682" xr:uid="{00000000-0005-0000-0000-00001B240000}"/>
    <cellStyle name="Data 4 8 7 2" xfId="7683" xr:uid="{00000000-0005-0000-0000-00001C240000}"/>
    <cellStyle name="Data 4 8 7 2 2" xfId="7684" xr:uid="{00000000-0005-0000-0000-00001D240000}"/>
    <cellStyle name="Data 4 8 7 3" xfId="7685" xr:uid="{00000000-0005-0000-0000-00001E240000}"/>
    <cellStyle name="Data 4 8 7 3 2" xfId="7686" xr:uid="{00000000-0005-0000-0000-00001F240000}"/>
    <cellStyle name="Data 4 8 7 4" xfId="7687" xr:uid="{00000000-0005-0000-0000-000020240000}"/>
    <cellStyle name="Data 4 8 7 4 2" xfId="7688" xr:uid="{00000000-0005-0000-0000-000021240000}"/>
    <cellStyle name="Data 4 8 7 5" xfId="7689" xr:uid="{00000000-0005-0000-0000-000022240000}"/>
    <cellStyle name="Data 4 8 7 5 2" xfId="7690" xr:uid="{00000000-0005-0000-0000-000023240000}"/>
    <cellStyle name="Data 4 8 7 6" xfId="7691" xr:uid="{00000000-0005-0000-0000-000024240000}"/>
    <cellStyle name="Data 4 8 7 6 2" xfId="7692" xr:uid="{00000000-0005-0000-0000-000025240000}"/>
    <cellStyle name="Data 4 8 7 7" xfId="7693" xr:uid="{00000000-0005-0000-0000-000026240000}"/>
    <cellStyle name="Data 4 8 7 7 2" xfId="7694" xr:uid="{00000000-0005-0000-0000-000027240000}"/>
    <cellStyle name="Data 4 8 7 8" xfId="7695" xr:uid="{00000000-0005-0000-0000-000028240000}"/>
    <cellStyle name="Data 4 8 7 8 2" xfId="7696" xr:uid="{00000000-0005-0000-0000-000029240000}"/>
    <cellStyle name="Data 4 8 7 9" xfId="7697" xr:uid="{00000000-0005-0000-0000-00002A240000}"/>
    <cellStyle name="Data 4 8 7 9 2" xfId="7698" xr:uid="{00000000-0005-0000-0000-00002B240000}"/>
    <cellStyle name="Data 4 8 8" xfId="7699" xr:uid="{00000000-0005-0000-0000-00002C240000}"/>
    <cellStyle name="Data 4 8 8 10" xfId="7700" xr:uid="{00000000-0005-0000-0000-00002D240000}"/>
    <cellStyle name="Data 4 8 8 2" xfId="7701" xr:uid="{00000000-0005-0000-0000-00002E240000}"/>
    <cellStyle name="Data 4 8 8 2 2" xfId="7702" xr:uid="{00000000-0005-0000-0000-00002F240000}"/>
    <cellStyle name="Data 4 8 8 3" xfId="7703" xr:uid="{00000000-0005-0000-0000-000030240000}"/>
    <cellStyle name="Data 4 8 8 3 2" xfId="7704" xr:uid="{00000000-0005-0000-0000-000031240000}"/>
    <cellStyle name="Data 4 8 8 4" xfId="7705" xr:uid="{00000000-0005-0000-0000-000032240000}"/>
    <cellStyle name="Data 4 8 8 4 2" xfId="7706" xr:uid="{00000000-0005-0000-0000-000033240000}"/>
    <cellStyle name="Data 4 8 8 5" xfId="7707" xr:uid="{00000000-0005-0000-0000-000034240000}"/>
    <cellStyle name="Data 4 8 8 5 2" xfId="7708" xr:uid="{00000000-0005-0000-0000-000035240000}"/>
    <cellStyle name="Data 4 8 8 6" xfId="7709" xr:uid="{00000000-0005-0000-0000-000036240000}"/>
    <cellStyle name="Data 4 8 8 6 2" xfId="7710" xr:uid="{00000000-0005-0000-0000-000037240000}"/>
    <cellStyle name="Data 4 8 8 7" xfId="7711" xr:uid="{00000000-0005-0000-0000-000038240000}"/>
    <cellStyle name="Data 4 8 8 7 2" xfId="7712" xr:uid="{00000000-0005-0000-0000-000039240000}"/>
    <cellStyle name="Data 4 8 8 8" xfId="7713" xr:uid="{00000000-0005-0000-0000-00003A240000}"/>
    <cellStyle name="Data 4 8 8 8 2" xfId="7714" xr:uid="{00000000-0005-0000-0000-00003B240000}"/>
    <cellStyle name="Data 4 8 8 9" xfId="7715" xr:uid="{00000000-0005-0000-0000-00003C240000}"/>
    <cellStyle name="Data 4 8 8 9 2" xfId="7716" xr:uid="{00000000-0005-0000-0000-00003D240000}"/>
    <cellStyle name="Data 4 8 9" xfId="7717" xr:uid="{00000000-0005-0000-0000-00003E240000}"/>
    <cellStyle name="Data 4 8 9 10" xfId="7718" xr:uid="{00000000-0005-0000-0000-00003F240000}"/>
    <cellStyle name="Data 4 8 9 2" xfId="7719" xr:uid="{00000000-0005-0000-0000-000040240000}"/>
    <cellStyle name="Data 4 8 9 2 2" xfId="7720" xr:uid="{00000000-0005-0000-0000-000041240000}"/>
    <cellStyle name="Data 4 8 9 3" xfId="7721" xr:uid="{00000000-0005-0000-0000-000042240000}"/>
    <cellStyle name="Data 4 8 9 3 2" xfId="7722" xr:uid="{00000000-0005-0000-0000-000043240000}"/>
    <cellStyle name="Data 4 8 9 4" xfId="7723" xr:uid="{00000000-0005-0000-0000-000044240000}"/>
    <cellStyle name="Data 4 8 9 4 2" xfId="7724" xr:uid="{00000000-0005-0000-0000-000045240000}"/>
    <cellStyle name="Data 4 8 9 5" xfId="7725" xr:uid="{00000000-0005-0000-0000-000046240000}"/>
    <cellStyle name="Data 4 8 9 5 2" xfId="7726" xr:uid="{00000000-0005-0000-0000-000047240000}"/>
    <cellStyle name="Data 4 8 9 6" xfId="7727" xr:uid="{00000000-0005-0000-0000-000048240000}"/>
    <cellStyle name="Data 4 8 9 6 2" xfId="7728" xr:uid="{00000000-0005-0000-0000-000049240000}"/>
    <cellStyle name="Data 4 8 9 7" xfId="7729" xr:uid="{00000000-0005-0000-0000-00004A240000}"/>
    <cellStyle name="Data 4 8 9 7 2" xfId="7730" xr:uid="{00000000-0005-0000-0000-00004B240000}"/>
    <cellStyle name="Data 4 8 9 8" xfId="7731" xr:uid="{00000000-0005-0000-0000-00004C240000}"/>
    <cellStyle name="Data 4 8 9 8 2" xfId="7732" xr:uid="{00000000-0005-0000-0000-00004D240000}"/>
    <cellStyle name="Data 4 8 9 9" xfId="7733" xr:uid="{00000000-0005-0000-0000-00004E240000}"/>
    <cellStyle name="Data 4 8 9 9 2" xfId="7734" xr:uid="{00000000-0005-0000-0000-00004F240000}"/>
    <cellStyle name="Data 5" xfId="7735" xr:uid="{00000000-0005-0000-0000-000050240000}"/>
    <cellStyle name="Data 5 10" xfId="7736" xr:uid="{00000000-0005-0000-0000-000051240000}"/>
    <cellStyle name="Data 5 10 10" xfId="7737" xr:uid="{00000000-0005-0000-0000-000052240000}"/>
    <cellStyle name="Data 5 10 2" xfId="7738" xr:uid="{00000000-0005-0000-0000-000053240000}"/>
    <cellStyle name="Data 5 10 2 2" xfId="7739" xr:uid="{00000000-0005-0000-0000-000054240000}"/>
    <cellStyle name="Data 5 10 3" xfId="7740" xr:uid="{00000000-0005-0000-0000-000055240000}"/>
    <cellStyle name="Data 5 10 3 2" xfId="7741" xr:uid="{00000000-0005-0000-0000-000056240000}"/>
    <cellStyle name="Data 5 10 4" xfId="7742" xr:uid="{00000000-0005-0000-0000-000057240000}"/>
    <cellStyle name="Data 5 10 4 2" xfId="7743" xr:uid="{00000000-0005-0000-0000-000058240000}"/>
    <cellStyle name="Data 5 10 5" xfId="7744" xr:uid="{00000000-0005-0000-0000-000059240000}"/>
    <cellStyle name="Data 5 10 5 2" xfId="7745" xr:uid="{00000000-0005-0000-0000-00005A240000}"/>
    <cellStyle name="Data 5 10 6" xfId="7746" xr:uid="{00000000-0005-0000-0000-00005B240000}"/>
    <cellStyle name="Data 5 10 6 2" xfId="7747" xr:uid="{00000000-0005-0000-0000-00005C240000}"/>
    <cellStyle name="Data 5 10 7" xfId="7748" xr:uid="{00000000-0005-0000-0000-00005D240000}"/>
    <cellStyle name="Data 5 10 7 2" xfId="7749" xr:uid="{00000000-0005-0000-0000-00005E240000}"/>
    <cellStyle name="Data 5 10 8" xfId="7750" xr:uid="{00000000-0005-0000-0000-00005F240000}"/>
    <cellStyle name="Data 5 10 8 2" xfId="7751" xr:uid="{00000000-0005-0000-0000-000060240000}"/>
    <cellStyle name="Data 5 10 9" xfId="7752" xr:uid="{00000000-0005-0000-0000-000061240000}"/>
    <cellStyle name="Data 5 10 9 2" xfId="7753" xr:uid="{00000000-0005-0000-0000-000062240000}"/>
    <cellStyle name="Data 5 11" xfId="7754" xr:uid="{00000000-0005-0000-0000-000063240000}"/>
    <cellStyle name="Data 5 11 2" xfId="7755" xr:uid="{00000000-0005-0000-0000-000064240000}"/>
    <cellStyle name="Data 5 11 2 2" xfId="7756" xr:uid="{00000000-0005-0000-0000-000065240000}"/>
    <cellStyle name="Data 5 11 3" xfId="7757" xr:uid="{00000000-0005-0000-0000-000066240000}"/>
    <cellStyle name="Data 5 11 3 2" xfId="7758" xr:uid="{00000000-0005-0000-0000-000067240000}"/>
    <cellStyle name="Data 5 11 4" xfId="7759" xr:uid="{00000000-0005-0000-0000-000068240000}"/>
    <cellStyle name="Data 5 11 4 2" xfId="7760" xr:uid="{00000000-0005-0000-0000-000069240000}"/>
    <cellStyle name="Data 5 11 5" xfId="7761" xr:uid="{00000000-0005-0000-0000-00006A240000}"/>
    <cellStyle name="Data 5 11 5 2" xfId="7762" xr:uid="{00000000-0005-0000-0000-00006B240000}"/>
    <cellStyle name="Data 5 11 6" xfId="7763" xr:uid="{00000000-0005-0000-0000-00006C240000}"/>
    <cellStyle name="Data 5 11 6 2" xfId="7764" xr:uid="{00000000-0005-0000-0000-00006D240000}"/>
    <cellStyle name="Data 5 11 7" xfId="7765" xr:uid="{00000000-0005-0000-0000-00006E240000}"/>
    <cellStyle name="Data 5 11 7 2" xfId="7766" xr:uid="{00000000-0005-0000-0000-00006F240000}"/>
    <cellStyle name="Data 5 11 8" xfId="7767" xr:uid="{00000000-0005-0000-0000-000070240000}"/>
    <cellStyle name="Data 5 11 8 2" xfId="7768" xr:uid="{00000000-0005-0000-0000-000071240000}"/>
    <cellStyle name="Data 5 11 9" xfId="7769" xr:uid="{00000000-0005-0000-0000-000072240000}"/>
    <cellStyle name="Data 5 2" xfId="7770" xr:uid="{00000000-0005-0000-0000-000073240000}"/>
    <cellStyle name="Data 5 2 10" xfId="7771" xr:uid="{00000000-0005-0000-0000-000074240000}"/>
    <cellStyle name="Data 5 2 2" xfId="7772" xr:uid="{00000000-0005-0000-0000-000075240000}"/>
    <cellStyle name="Data 5 2 2 2" xfId="7773" xr:uid="{00000000-0005-0000-0000-000076240000}"/>
    <cellStyle name="Data 5 2 3" xfId="7774" xr:uid="{00000000-0005-0000-0000-000077240000}"/>
    <cellStyle name="Data 5 2 3 2" xfId="7775" xr:uid="{00000000-0005-0000-0000-000078240000}"/>
    <cellStyle name="Data 5 2 4" xfId="7776" xr:uid="{00000000-0005-0000-0000-000079240000}"/>
    <cellStyle name="Data 5 2 4 2" xfId="7777" xr:uid="{00000000-0005-0000-0000-00007A240000}"/>
    <cellStyle name="Data 5 2 5" xfId="7778" xr:uid="{00000000-0005-0000-0000-00007B240000}"/>
    <cellStyle name="Data 5 2 5 2" xfId="7779" xr:uid="{00000000-0005-0000-0000-00007C240000}"/>
    <cellStyle name="Data 5 2 6" xfId="7780" xr:uid="{00000000-0005-0000-0000-00007D240000}"/>
    <cellStyle name="Data 5 2 6 2" xfId="7781" xr:uid="{00000000-0005-0000-0000-00007E240000}"/>
    <cellStyle name="Data 5 2 7" xfId="7782" xr:uid="{00000000-0005-0000-0000-00007F240000}"/>
    <cellStyle name="Data 5 2 7 2" xfId="7783" xr:uid="{00000000-0005-0000-0000-000080240000}"/>
    <cellStyle name="Data 5 2 8" xfId="7784" xr:uid="{00000000-0005-0000-0000-000081240000}"/>
    <cellStyle name="Data 5 2 8 2" xfId="7785" xr:uid="{00000000-0005-0000-0000-000082240000}"/>
    <cellStyle name="Data 5 2 9" xfId="7786" xr:uid="{00000000-0005-0000-0000-000083240000}"/>
    <cellStyle name="Data 5 2 9 2" xfId="7787" xr:uid="{00000000-0005-0000-0000-000084240000}"/>
    <cellStyle name="Data 5 3" xfId="7788" xr:uid="{00000000-0005-0000-0000-000085240000}"/>
    <cellStyle name="Data 5 3 10" xfId="7789" xr:uid="{00000000-0005-0000-0000-000086240000}"/>
    <cellStyle name="Data 5 3 2" xfId="7790" xr:uid="{00000000-0005-0000-0000-000087240000}"/>
    <cellStyle name="Data 5 3 2 2" xfId="7791" xr:uid="{00000000-0005-0000-0000-000088240000}"/>
    <cellStyle name="Data 5 3 3" xfId="7792" xr:uid="{00000000-0005-0000-0000-000089240000}"/>
    <cellStyle name="Data 5 3 3 2" xfId="7793" xr:uid="{00000000-0005-0000-0000-00008A240000}"/>
    <cellStyle name="Data 5 3 4" xfId="7794" xr:uid="{00000000-0005-0000-0000-00008B240000}"/>
    <cellStyle name="Data 5 3 4 2" xfId="7795" xr:uid="{00000000-0005-0000-0000-00008C240000}"/>
    <cellStyle name="Data 5 3 5" xfId="7796" xr:uid="{00000000-0005-0000-0000-00008D240000}"/>
    <cellStyle name="Data 5 3 5 2" xfId="7797" xr:uid="{00000000-0005-0000-0000-00008E240000}"/>
    <cellStyle name="Data 5 3 6" xfId="7798" xr:uid="{00000000-0005-0000-0000-00008F240000}"/>
    <cellStyle name="Data 5 3 6 2" xfId="7799" xr:uid="{00000000-0005-0000-0000-000090240000}"/>
    <cellStyle name="Data 5 3 7" xfId="7800" xr:uid="{00000000-0005-0000-0000-000091240000}"/>
    <cellStyle name="Data 5 3 7 2" xfId="7801" xr:uid="{00000000-0005-0000-0000-000092240000}"/>
    <cellStyle name="Data 5 3 8" xfId="7802" xr:uid="{00000000-0005-0000-0000-000093240000}"/>
    <cellStyle name="Data 5 3 8 2" xfId="7803" xr:uid="{00000000-0005-0000-0000-000094240000}"/>
    <cellStyle name="Data 5 3 9" xfId="7804" xr:uid="{00000000-0005-0000-0000-000095240000}"/>
    <cellStyle name="Data 5 3 9 2" xfId="7805" xr:uid="{00000000-0005-0000-0000-000096240000}"/>
    <cellStyle name="Data 5 4" xfId="7806" xr:uid="{00000000-0005-0000-0000-000097240000}"/>
    <cellStyle name="Data 5 4 10" xfId="7807" xr:uid="{00000000-0005-0000-0000-000098240000}"/>
    <cellStyle name="Data 5 4 2" xfId="7808" xr:uid="{00000000-0005-0000-0000-000099240000}"/>
    <cellStyle name="Data 5 4 2 2" xfId="7809" xr:uid="{00000000-0005-0000-0000-00009A240000}"/>
    <cellStyle name="Data 5 4 3" xfId="7810" xr:uid="{00000000-0005-0000-0000-00009B240000}"/>
    <cellStyle name="Data 5 4 3 2" xfId="7811" xr:uid="{00000000-0005-0000-0000-00009C240000}"/>
    <cellStyle name="Data 5 4 4" xfId="7812" xr:uid="{00000000-0005-0000-0000-00009D240000}"/>
    <cellStyle name="Data 5 4 4 2" xfId="7813" xr:uid="{00000000-0005-0000-0000-00009E240000}"/>
    <cellStyle name="Data 5 4 5" xfId="7814" xr:uid="{00000000-0005-0000-0000-00009F240000}"/>
    <cellStyle name="Data 5 4 5 2" xfId="7815" xr:uid="{00000000-0005-0000-0000-0000A0240000}"/>
    <cellStyle name="Data 5 4 6" xfId="7816" xr:uid="{00000000-0005-0000-0000-0000A1240000}"/>
    <cellStyle name="Data 5 4 6 2" xfId="7817" xr:uid="{00000000-0005-0000-0000-0000A2240000}"/>
    <cellStyle name="Data 5 4 7" xfId="7818" xr:uid="{00000000-0005-0000-0000-0000A3240000}"/>
    <cellStyle name="Data 5 4 7 2" xfId="7819" xr:uid="{00000000-0005-0000-0000-0000A4240000}"/>
    <cellStyle name="Data 5 4 8" xfId="7820" xr:uid="{00000000-0005-0000-0000-0000A5240000}"/>
    <cellStyle name="Data 5 4 8 2" xfId="7821" xr:uid="{00000000-0005-0000-0000-0000A6240000}"/>
    <cellStyle name="Data 5 4 9" xfId="7822" xr:uid="{00000000-0005-0000-0000-0000A7240000}"/>
    <cellStyle name="Data 5 4 9 2" xfId="7823" xr:uid="{00000000-0005-0000-0000-0000A8240000}"/>
    <cellStyle name="Data 5 5" xfId="7824" xr:uid="{00000000-0005-0000-0000-0000A9240000}"/>
    <cellStyle name="Data 5 5 10" xfId="7825" xr:uid="{00000000-0005-0000-0000-0000AA240000}"/>
    <cellStyle name="Data 5 5 2" xfId="7826" xr:uid="{00000000-0005-0000-0000-0000AB240000}"/>
    <cellStyle name="Data 5 5 2 2" xfId="7827" xr:uid="{00000000-0005-0000-0000-0000AC240000}"/>
    <cellStyle name="Data 5 5 3" xfId="7828" xr:uid="{00000000-0005-0000-0000-0000AD240000}"/>
    <cellStyle name="Data 5 5 3 2" xfId="7829" xr:uid="{00000000-0005-0000-0000-0000AE240000}"/>
    <cellStyle name="Data 5 5 4" xfId="7830" xr:uid="{00000000-0005-0000-0000-0000AF240000}"/>
    <cellStyle name="Data 5 5 4 2" xfId="7831" xr:uid="{00000000-0005-0000-0000-0000B0240000}"/>
    <cellStyle name="Data 5 5 5" xfId="7832" xr:uid="{00000000-0005-0000-0000-0000B1240000}"/>
    <cellStyle name="Data 5 5 5 2" xfId="7833" xr:uid="{00000000-0005-0000-0000-0000B2240000}"/>
    <cellStyle name="Data 5 5 6" xfId="7834" xr:uid="{00000000-0005-0000-0000-0000B3240000}"/>
    <cellStyle name="Data 5 5 6 2" xfId="7835" xr:uid="{00000000-0005-0000-0000-0000B4240000}"/>
    <cellStyle name="Data 5 5 7" xfId="7836" xr:uid="{00000000-0005-0000-0000-0000B5240000}"/>
    <cellStyle name="Data 5 5 7 2" xfId="7837" xr:uid="{00000000-0005-0000-0000-0000B6240000}"/>
    <cellStyle name="Data 5 5 8" xfId="7838" xr:uid="{00000000-0005-0000-0000-0000B7240000}"/>
    <cellStyle name="Data 5 5 8 2" xfId="7839" xr:uid="{00000000-0005-0000-0000-0000B8240000}"/>
    <cellStyle name="Data 5 5 9" xfId="7840" xr:uid="{00000000-0005-0000-0000-0000B9240000}"/>
    <cellStyle name="Data 5 5 9 2" xfId="7841" xr:uid="{00000000-0005-0000-0000-0000BA240000}"/>
    <cellStyle name="Data 5 6" xfId="7842" xr:uid="{00000000-0005-0000-0000-0000BB240000}"/>
    <cellStyle name="Data 5 6 10" xfId="7843" xr:uid="{00000000-0005-0000-0000-0000BC240000}"/>
    <cellStyle name="Data 5 6 2" xfId="7844" xr:uid="{00000000-0005-0000-0000-0000BD240000}"/>
    <cellStyle name="Data 5 6 2 2" xfId="7845" xr:uid="{00000000-0005-0000-0000-0000BE240000}"/>
    <cellStyle name="Data 5 6 3" xfId="7846" xr:uid="{00000000-0005-0000-0000-0000BF240000}"/>
    <cellStyle name="Data 5 6 3 2" xfId="7847" xr:uid="{00000000-0005-0000-0000-0000C0240000}"/>
    <cellStyle name="Data 5 6 4" xfId="7848" xr:uid="{00000000-0005-0000-0000-0000C1240000}"/>
    <cellStyle name="Data 5 6 4 2" xfId="7849" xr:uid="{00000000-0005-0000-0000-0000C2240000}"/>
    <cellStyle name="Data 5 6 5" xfId="7850" xr:uid="{00000000-0005-0000-0000-0000C3240000}"/>
    <cellStyle name="Data 5 6 5 2" xfId="7851" xr:uid="{00000000-0005-0000-0000-0000C4240000}"/>
    <cellStyle name="Data 5 6 6" xfId="7852" xr:uid="{00000000-0005-0000-0000-0000C5240000}"/>
    <cellStyle name="Data 5 6 6 2" xfId="7853" xr:uid="{00000000-0005-0000-0000-0000C6240000}"/>
    <cellStyle name="Data 5 6 7" xfId="7854" xr:uid="{00000000-0005-0000-0000-0000C7240000}"/>
    <cellStyle name="Data 5 6 7 2" xfId="7855" xr:uid="{00000000-0005-0000-0000-0000C8240000}"/>
    <cellStyle name="Data 5 6 8" xfId="7856" xr:uid="{00000000-0005-0000-0000-0000C9240000}"/>
    <cellStyle name="Data 5 6 8 2" xfId="7857" xr:uid="{00000000-0005-0000-0000-0000CA240000}"/>
    <cellStyle name="Data 5 6 9" xfId="7858" xr:uid="{00000000-0005-0000-0000-0000CB240000}"/>
    <cellStyle name="Data 5 6 9 2" xfId="7859" xr:uid="{00000000-0005-0000-0000-0000CC240000}"/>
    <cellStyle name="Data 5 7" xfId="7860" xr:uid="{00000000-0005-0000-0000-0000CD240000}"/>
    <cellStyle name="Data 5 7 10" xfId="7861" xr:uid="{00000000-0005-0000-0000-0000CE240000}"/>
    <cellStyle name="Data 5 7 2" xfId="7862" xr:uid="{00000000-0005-0000-0000-0000CF240000}"/>
    <cellStyle name="Data 5 7 2 2" xfId="7863" xr:uid="{00000000-0005-0000-0000-0000D0240000}"/>
    <cellStyle name="Data 5 7 3" xfId="7864" xr:uid="{00000000-0005-0000-0000-0000D1240000}"/>
    <cellStyle name="Data 5 7 3 2" xfId="7865" xr:uid="{00000000-0005-0000-0000-0000D2240000}"/>
    <cellStyle name="Data 5 7 4" xfId="7866" xr:uid="{00000000-0005-0000-0000-0000D3240000}"/>
    <cellStyle name="Data 5 7 4 2" xfId="7867" xr:uid="{00000000-0005-0000-0000-0000D4240000}"/>
    <cellStyle name="Data 5 7 5" xfId="7868" xr:uid="{00000000-0005-0000-0000-0000D5240000}"/>
    <cellStyle name="Data 5 7 5 2" xfId="7869" xr:uid="{00000000-0005-0000-0000-0000D6240000}"/>
    <cellStyle name="Data 5 7 6" xfId="7870" xr:uid="{00000000-0005-0000-0000-0000D7240000}"/>
    <cellStyle name="Data 5 7 6 2" xfId="7871" xr:uid="{00000000-0005-0000-0000-0000D8240000}"/>
    <cellStyle name="Data 5 7 7" xfId="7872" xr:uid="{00000000-0005-0000-0000-0000D9240000}"/>
    <cellStyle name="Data 5 7 7 2" xfId="7873" xr:uid="{00000000-0005-0000-0000-0000DA240000}"/>
    <cellStyle name="Data 5 7 8" xfId="7874" xr:uid="{00000000-0005-0000-0000-0000DB240000}"/>
    <cellStyle name="Data 5 7 8 2" xfId="7875" xr:uid="{00000000-0005-0000-0000-0000DC240000}"/>
    <cellStyle name="Data 5 7 9" xfId="7876" xr:uid="{00000000-0005-0000-0000-0000DD240000}"/>
    <cellStyle name="Data 5 7 9 2" xfId="7877" xr:uid="{00000000-0005-0000-0000-0000DE240000}"/>
    <cellStyle name="Data 5 8" xfId="7878" xr:uid="{00000000-0005-0000-0000-0000DF240000}"/>
    <cellStyle name="Data 5 8 10" xfId="7879" xr:uid="{00000000-0005-0000-0000-0000E0240000}"/>
    <cellStyle name="Data 5 8 2" xfId="7880" xr:uid="{00000000-0005-0000-0000-0000E1240000}"/>
    <cellStyle name="Data 5 8 2 2" xfId="7881" xr:uid="{00000000-0005-0000-0000-0000E2240000}"/>
    <cellStyle name="Data 5 8 3" xfId="7882" xr:uid="{00000000-0005-0000-0000-0000E3240000}"/>
    <cellStyle name="Data 5 8 3 2" xfId="7883" xr:uid="{00000000-0005-0000-0000-0000E4240000}"/>
    <cellStyle name="Data 5 8 4" xfId="7884" xr:uid="{00000000-0005-0000-0000-0000E5240000}"/>
    <cellStyle name="Data 5 8 4 2" xfId="7885" xr:uid="{00000000-0005-0000-0000-0000E6240000}"/>
    <cellStyle name="Data 5 8 5" xfId="7886" xr:uid="{00000000-0005-0000-0000-0000E7240000}"/>
    <cellStyle name="Data 5 8 5 2" xfId="7887" xr:uid="{00000000-0005-0000-0000-0000E8240000}"/>
    <cellStyle name="Data 5 8 6" xfId="7888" xr:uid="{00000000-0005-0000-0000-0000E9240000}"/>
    <cellStyle name="Data 5 8 6 2" xfId="7889" xr:uid="{00000000-0005-0000-0000-0000EA240000}"/>
    <cellStyle name="Data 5 8 7" xfId="7890" xr:uid="{00000000-0005-0000-0000-0000EB240000}"/>
    <cellStyle name="Data 5 8 7 2" xfId="7891" xr:uid="{00000000-0005-0000-0000-0000EC240000}"/>
    <cellStyle name="Data 5 8 8" xfId="7892" xr:uid="{00000000-0005-0000-0000-0000ED240000}"/>
    <cellStyle name="Data 5 8 8 2" xfId="7893" xr:uid="{00000000-0005-0000-0000-0000EE240000}"/>
    <cellStyle name="Data 5 8 9" xfId="7894" xr:uid="{00000000-0005-0000-0000-0000EF240000}"/>
    <cellStyle name="Data 5 8 9 2" xfId="7895" xr:uid="{00000000-0005-0000-0000-0000F0240000}"/>
    <cellStyle name="Data 5 9" xfId="7896" xr:uid="{00000000-0005-0000-0000-0000F1240000}"/>
    <cellStyle name="Data 5 9 10" xfId="7897" xr:uid="{00000000-0005-0000-0000-0000F2240000}"/>
    <cellStyle name="Data 5 9 2" xfId="7898" xr:uid="{00000000-0005-0000-0000-0000F3240000}"/>
    <cellStyle name="Data 5 9 2 2" xfId="7899" xr:uid="{00000000-0005-0000-0000-0000F4240000}"/>
    <cellStyle name="Data 5 9 3" xfId="7900" xr:uid="{00000000-0005-0000-0000-0000F5240000}"/>
    <cellStyle name="Data 5 9 3 2" xfId="7901" xr:uid="{00000000-0005-0000-0000-0000F6240000}"/>
    <cellStyle name="Data 5 9 4" xfId="7902" xr:uid="{00000000-0005-0000-0000-0000F7240000}"/>
    <cellStyle name="Data 5 9 4 2" xfId="7903" xr:uid="{00000000-0005-0000-0000-0000F8240000}"/>
    <cellStyle name="Data 5 9 5" xfId="7904" xr:uid="{00000000-0005-0000-0000-0000F9240000}"/>
    <cellStyle name="Data 5 9 5 2" xfId="7905" xr:uid="{00000000-0005-0000-0000-0000FA240000}"/>
    <cellStyle name="Data 5 9 6" xfId="7906" xr:uid="{00000000-0005-0000-0000-0000FB240000}"/>
    <cellStyle name="Data 5 9 6 2" xfId="7907" xr:uid="{00000000-0005-0000-0000-0000FC240000}"/>
    <cellStyle name="Data 5 9 7" xfId="7908" xr:uid="{00000000-0005-0000-0000-0000FD240000}"/>
    <cellStyle name="Data 5 9 7 2" xfId="7909" xr:uid="{00000000-0005-0000-0000-0000FE240000}"/>
    <cellStyle name="Data 5 9 8" xfId="7910" xr:uid="{00000000-0005-0000-0000-0000FF240000}"/>
    <cellStyle name="Data 5 9 8 2" xfId="7911" xr:uid="{00000000-0005-0000-0000-000000250000}"/>
    <cellStyle name="Data 5 9 9" xfId="7912" xr:uid="{00000000-0005-0000-0000-000001250000}"/>
    <cellStyle name="Data 5 9 9 2" xfId="7913" xr:uid="{00000000-0005-0000-0000-000002250000}"/>
    <cellStyle name="Data 6" xfId="7914" xr:uid="{00000000-0005-0000-0000-000003250000}"/>
    <cellStyle name="Data 6 10" xfId="7915" xr:uid="{00000000-0005-0000-0000-000004250000}"/>
    <cellStyle name="Data 6 10 2" xfId="7916" xr:uid="{00000000-0005-0000-0000-000005250000}"/>
    <cellStyle name="Data 6 10 2 2" xfId="7917" xr:uid="{00000000-0005-0000-0000-000006250000}"/>
    <cellStyle name="Data 6 10 3" xfId="7918" xr:uid="{00000000-0005-0000-0000-000007250000}"/>
    <cellStyle name="Data 6 10 3 2" xfId="7919" xr:uid="{00000000-0005-0000-0000-000008250000}"/>
    <cellStyle name="Data 6 10 4" xfId="7920" xr:uid="{00000000-0005-0000-0000-000009250000}"/>
    <cellStyle name="Data 6 10 4 2" xfId="7921" xr:uid="{00000000-0005-0000-0000-00000A250000}"/>
    <cellStyle name="Data 6 10 5" xfId="7922" xr:uid="{00000000-0005-0000-0000-00000B250000}"/>
    <cellStyle name="Data 6 10 5 2" xfId="7923" xr:uid="{00000000-0005-0000-0000-00000C250000}"/>
    <cellStyle name="Data 6 10 6" xfId="7924" xr:uid="{00000000-0005-0000-0000-00000D250000}"/>
    <cellStyle name="Data 6 10 6 2" xfId="7925" xr:uid="{00000000-0005-0000-0000-00000E250000}"/>
    <cellStyle name="Data 6 10 7" xfId="7926" xr:uid="{00000000-0005-0000-0000-00000F250000}"/>
    <cellStyle name="Data 6 10 7 2" xfId="7927" xr:uid="{00000000-0005-0000-0000-000010250000}"/>
    <cellStyle name="Data 6 10 8" xfId="7928" xr:uid="{00000000-0005-0000-0000-000011250000}"/>
    <cellStyle name="Data 6 10 8 2" xfId="7929" xr:uid="{00000000-0005-0000-0000-000012250000}"/>
    <cellStyle name="Data 6 10 9" xfId="7930" xr:uid="{00000000-0005-0000-0000-000013250000}"/>
    <cellStyle name="Data 6 11" xfId="7931" xr:uid="{00000000-0005-0000-0000-000014250000}"/>
    <cellStyle name="Data 6 11 2" xfId="7932" xr:uid="{00000000-0005-0000-0000-000015250000}"/>
    <cellStyle name="Data 6 12" xfId="7933" xr:uid="{00000000-0005-0000-0000-000016250000}"/>
    <cellStyle name="Data 6 12 2" xfId="7934" xr:uid="{00000000-0005-0000-0000-000017250000}"/>
    <cellStyle name="Data 6 13" xfId="7935" xr:uid="{00000000-0005-0000-0000-000018250000}"/>
    <cellStyle name="Data 6 13 2" xfId="7936" xr:uid="{00000000-0005-0000-0000-000019250000}"/>
    <cellStyle name="Data 6 14" xfId="7937" xr:uid="{00000000-0005-0000-0000-00001A250000}"/>
    <cellStyle name="Data 6 14 2" xfId="7938" xr:uid="{00000000-0005-0000-0000-00001B250000}"/>
    <cellStyle name="Data 6 15" xfId="7939" xr:uid="{00000000-0005-0000-0000-00001C250000}"/>
    <cellStyle name="Data 6 15 2" xfId="7940" xr:uid="{00000000-0005-0000-0000-00001D250000}"/>
    <cellStyle name="Data 6 16" xfId="7941" xr:uid="{00000000-0005-0000-0000-00001E250000}"/>
    <cellStyle name="Data 6 16 2" xfId="7942" xr:uid="{00000000-0005-0000-0000-00001F250000}"/>
    <cellStyle name="Data 6 17" xfId="7943" xr:uid="{00000000-0005-0000-0000-000020250000}"/>
    <cellStyle name="Data 6 17 2" xfId="7944" xr:uid="{00000000-0005-0000-0000-000021250000}"/>
    <cellStyle name="Data 6 18" xfId="7945" xr:uid="{00000000-0005-0000-0000-000022250000}"/>
    <cellStyle name="Data 6 2" xfId="7946" xr:uid="{00000000-0005-0000-0000-000023250000}"/>
    <cellStyle name="Data 6 2 10" xfId="7947" xr:uid="{00000000-0005-0000-0000-000024250000}"/>
    <cellStyle name="Data 6 2 2" xfId="7948" xr:uid="{00000000-0005-0000-0000-000025250000}"/>
    <cellStyle name="Data 6 2 2 2" xfId="7949" xr:uid="{00000000-0005-0000-0000-000026250000}"/>
    <cellStyle name="Data 6 2 3" xfId="7950" xr:uid="{00000000-0005-0000-0000-000027250000}"/>
    <cellStyle name="Data 6 2 3 2" xfId="7951" xr:uid="{00000000-0005-0000-0000-000028250000}"/>
    <cellStyle name="Data 6 2 4" xfId="7952" xr:uid="{00000000-0005-0000-0000-000029250000}"/>
    <cellStyle name="Data 6 2 4 2" xfId="7953" xr:uid="{00000000-0005-0000-0000-00002A250000}"/>
    <cellStyle name="Data 6 2 5" xfId="7954" xr:uid="{00000000-0005-0000-0000-00002B250000}"/>
    <cellStyle name="Data 6 2 5 2" xfId="7955" xr:uid="{00000000-0005-0000-0000-00002C250000}"/>
    <cellStyle name="Data 6 2 6" xfId="7956" xr:uid="{00000000-0005-0000-0000-00002D250000}"/>
    <cellStyle name="Data 6 2 6 2" xfId="7957" xr:uid="{00000000-0005-0000-0000-00002E250000}"/>
    <cellStyle name="Data 6 2 7" xfId="7958" xr:uid="{00000000-0005-0000-0000-00002F250000}"/>
    <cellStyle name="Data 6 2 7 2" xfId="7959" xr:uid="{00000000-0005-0000-0000-000030250000}"/>
    <cellStyle name="Data 6 2 8" xfId="7960" xr:uid="{00000000-0005-0000-0000-000031250000}"/>
    <cellStyle name="Data 6 2 8 2" xfId="7961" xr:uid="{00000000-0005-0000-0000-000032250000}"/>
    <cellStyle name="Data 6 2 9" xfId="7962" xr:uid="{00000000-0005-0000-0000-000033250000}"/>
    <cellStyle name="Data 6 2 9 2" xfId="7963" xr:uid="{00000000-0005-0000-0000-000034250000}"/>
    <cellStyle name="Data 6 3" xfId="7964" xr:uid="{00000000-0005-0000-0000-000035250000}"/>
    <cellStyle name="Data 6 3 10" xfId="7965" xr:uid="{00000000-0005-0000-0000-000036250000}"/>
    <cellStyle name="Data 6 3 2" xfId="7966" xr:uid="{00000000-0005-0000-0000-000037250000}"/>
    <cellStyle name="Data 6 3 2 2" xfId="7967" xr:uid="{00000000-0005-0000-0000-000038250000}"/>
    <cellStyle name="Data 6 3 3" xfId="7968" xr:uid="{00000000-0005-0000-0000-000039250000}"/>
    <cellStyle name="Data 6 3 3 2" xfId="7969" xr:uid="{00000000-0005-0000-0000-00003A250000}"/>
    <cellStyle name="Data 6 3 4" xfId="7970" xr:uid="{00000000-0005-0000-0000-00003B250000}"/>
    <cellStyle name="Data 6 3 4 2" xfId="7971" xr:uid="{00000000-0005-0000-0000-00003C250000}"/>
    <cellStyle name="Data 6 3 5" xfId="7972" xr:uid="{00000000-0005-0000-0000-00003D250000}"/>
    <cellStyle name="Data 6 3 5 2" xfId="7973" xr:uid="{00000000-0005-0000-0000-00003E250000}"/>
    <cellStyle name="Data 6 3 6" xfId="7974" xr:uid="{00000000-0005-0000-0000-00003F250000}"/>
    <cellStyle name="Data 6 3 6 2" xfId="7975" xr:uid="{00000000-0005-0000-0000-000040250000}"/>
    <cellStyle name="Data 6 3 7" xfId="7976" xr:uid="{00000000-0005-0000-0000-000041250000}"/>
    <cellStyle name="Data 6 3 7 2" xfId="7977" xr:uid="{00000000-0005-0000-0000-000042250000}"/>
    <cellStyle name="Data 6 3 8" xfId="7978" xr:uid="{00000000-0005-0000-0000-000043250000}"/>
    <cellStyle name="Data 6 3 8 2" xfId="7979" xr:uid="{00000000-0005-0000-0000-000044250000}"/>
    <cellStyle name="Data 6 3 9" xfId="7980" xr:uid="{00000000-0005-0000-0000-000045250000}"/>
    <cellStyle name="Data 6 3 9 2" xfId="7981" xr:uid="{00000000-0005-0000-0000-000046250000}"/>
    <cellStyle name="Data 6 4" xfId="7982" xr:uid="{00000000-0005-0000-0000-000047250000}"/>
    <cellStyle name="Data 6 4 10" xfId="7983" xr:uid="{00000000-0005-0000-0000-000048250000}"/>
    <cellStyle name="Data 6 4 2" xfId="7984" xr:uid="{00000000-0005-0000-0000-000049250000}"/>
    <cellStyle name="Data 6 4 2 2" xfId="7985" xr:uid="{00000000-0005-0000-0000-00004A250000}"/>
    <cellStyle name="Data 6 4 3" xfId="7986" xr:uid="{00000000-0005-0000-0000-00004B250000}"/>
    <cellStyle name="Data 6 4 3 2" xfId="7987" xr:uid="{00000000-0005-0000-0000-00004C250000}"/>
    <cellStyle name="Data 6 4 4" xfId="7988" xr:uid="{00000000-0005-0000-0000-00004D250000}"/>
    <cellStyle name="Data 6 4 4 2" xfId="7989" xr:uid="{00000000-0005-0000-0000-00004E250000}"/>
    <cellStyle name="Data 6 4 5" xfId="7990" xr:uid="{00000000-0005-0000-0000-00004F250000}"/>
    <cellStyle name="Data 6 4 5 2" xfId="7991" xr:uid="{00000000-0005-0000-0000-000050250000}"/>
    <cellStyle name="Data 6 4 6" xfId="7992" xr:uid="{00000000-0005-0000-0000-000051250000}"/>
    <cellStyle name="Data 6 4 6 2" xfId="7993" xr:uid="{00000000-0005-0000-0000-000052250000}"/>
    <cellStyle name="Data 6 4 7" xfId="7994" xr:uid="{00000000-0005-0000-0000-000053250000}"/>
    <cellStyle name="Data 6 4 7 2" xfId="7995" xr:uid="{00000000-0005-0000-0000-000054250000}"/>
    <cellStyle name="Data 6 4 8" xfId="7996" xr:uid="{00000000-0005-0000-0000-000055250000}"/>
    <cellStyle name="Data 6 4 8 2" xfId="7997" xr:uid="{00000000-0005-0000-0000-000056250000}"/>
    <cellStyle name="Data 6 4 9" xfId="7998" xr:uid="{00000000-0005-0000-0000-000057250000}"/>
    <cellStyle name="Data 6 4 9 2" xfId="7999" xr:uid="{00000000-0005-0000-0000-000058250000}"/>
    <cellStyle name="Data 6 5" xfId="8000" xr:uid="{00000000-0005-0000-0000-000059250000}"/>
    <cellStyle name="Data 6 5 10" xfId="8001" xr:uid="{00000000-0005-0000-0000-00005A250000}"/>
    <cellStyle name="Data 6 5 2" xfId="8002" xr:uid="{00000000-0005-0000-0000-00005B250000}"/>
    <cellStyle name="Data 6 5 2 2" xfId="8003" xr:uid="{00000000-0005-0000-0000-00005C250000}"/>
    <cellStyle name="Data 6 5 3" xfId="8004" xr:uid="{00000000-0005-0000-0000-00005D250000}"/>
    <cellStyle name="Data 6 5 3 2" xfId="8005" xr:uid="{00000000-0005-0000-0000-00005E250000}"/>
    <cellStyle name="Data 6 5 4" xfId="8006" xr:uid="{00000000-0005-0000-0000-00005F250000}"/>
    <cellStyle name="Data 6 5 4 2" xfId="8007" xr:uid="{00000000-0005-0000-0000-000060250000}"/>
    <cellStyle name="Data 6 5 5" xfId="8008" xr:uid="{00000000-0005-0000-0000-000061250000}"/>
    <cellStyle name="Data 6 5 5 2" xfId="8009" xr:uid="{00000000-0005-0000-0000-000062250000}"/>
    <cellStyle name="Data 6 5 6" xfId="8010" xr:uid="{00000000-0005-0000-0000-000063250000}"/>
    <cellStyle name="Data 6 5 6 2" xfId="8011" xr:uid="{00000000-0005-0000-0000-000064250000}"/>
    <cellStyle name="Data 6 5 7" xfId="8012" xr:uid="{00000000-0005-0000-0000-000065250000}"/>
    <cellStyle name="Data 6 5 7 2" xfId="8013" xr:uid="{00000000-0005-0000-0000-000066250000}"/>
    <cellStyle name="Data 6 5 8" xfId="8014" xr:uid="{00000000-0005-0000-0000-000067250000}"/>
    <cellStyle name="Data 6 5 8 2" xfId="8015" xr:uid="{00000000-0005-0000-0000-000068250000}"/>
    <cellStyle name="Data 6 5 9" xfId="8016" xr:uid="{00000000-0005-0000-0000-000069250000}"/>
    <cellStyle name="Data 6 5 9 2" xfId="8017" xr:uid="{00000000-0005-0000-0000-00006A250000}"/>
    <cellStyle name="Data 6 6" xfId="8018" xr:uid="{00000000-0005-0000-0000-00006B250000}"/>
    <cellStyle name="Data 6 6 10" xfId="8019" xr:uid="{00000000-0005-0000-0000-00006C250000}"/>
    <cellStyle name="Data 6 6 2" xfId="8020" xr:uid="{00000000-0005-0000-0000-00006D250000}"/>
    <cellStyle name="Data 6 6 2 2" xfId="8021" xr:uid="{00000000-0005-0000-0000-00006E250000}"/>
    <cellStyle name="Data 6 6 3" xfId="8022" xr:uid="{00000000-0005-0000-0000-00006F250000}"/>
    <cellStyle name="Data 6 6 3 2" xfId="8023" xr:uid="{00000000-0005-0000-0000-000070250000}"/>
    <cellStyle name="Data 6 6 4" xfId="8024" xr:uid="{00000000-0005-0000-0000-000071250000}"/>
    <cellStyle name="Data 6 6 4 2" xfId="8025" xr:uid="{00000000-0005-0000-0000-000072250000}"/>
    <cellStyle name="Data 6 6 5" xfId="8026" xr:uid="{00000000-0005-0000-0000-000073250000}"/>
    <cellStyle name="Data 6 6 5 2" xfId="8027" xr:uid="{00000000-0005-0000-0000-000074250000}"/>
    <cellStyle name="Data 6 6 6" xfId="8028" xr:uid="{00000000-0005-0000-0000-000075250000}"/>
    <cellStyle name="Data 6 6 6 2" xfId="8029" xr:uid="{00000000-0005-0000-0000-000076250000}"/>
    <cellStyle name="Data 6 6 7" xfId="8030" xr:uid="{00000000-0005-0000-0000-000077250000}"/>
    <cellStyle name="Data 6 6 7 2" xfId="8031" xr:uid="{00000000-0005-0000-0000-000078250000}"/>
    <cellStyle name="Data 6 6 8" xfId="8032" xr:uid="{00000000-0005-0000-0000-000079250000}"/>
    <cellStyle name="Data 6 6 8 2" xfId="8033" xr:uid="{00000000-0005-0000-0000-00007A250000}"/>
    <cellStyle name="Data 6 6 9" xfId="8034" xr:uid="{00000000-0005-0000-0000-00007B250000}"/>
    <cellStyle name="Data 6 6 9 2" xfId="8035" xr:uid="{00000000-0005-0000-0000-00007C250000}"/>
    <cellStyle name="Data 6 7" xfId="8036" xr:uid="{00000000-0005-0000-0000-00007D250000}"/>
    <cellStyle name="Data 6 7 10" xfId="8037" xr:uid="{00000000-0005-0000-0000-00007E250000}"/>
    <cellStyle name="Data 6 7 2" xfId="8038" xr:uid="{00000000-0005-0000-0000-00007F250000}"/>
    <cellStyle name="Data 6 7 2 2" xfId="8039" xr:uid="{00000000-0005-0000-0000-000080250000}"/>
    <cellStyle name="Data 6 7 3" xfId="8040" xr:uid="{00000000-0005-0000-0000-000081250000}"/>
    <cellStyle name="Data 6 7 3 2" xfId="8041" xr:uid="{00000000-0005-0000-0000-000082250000}"/>
    <cellStyle name="Data 6 7 4" xfId="8042" xr:uid="{00000000-0005-0000-0000-000083250000}"/>
    <cellStyle name="Data 6 7 4 2" xfId="8043" xr:uid="{00000000-0005-0000-0000-000084250000}"/>
    <cellStyle name="Data 6 7 5" xfId="8044" xr:uid="{00000000-0005-0000-0000-000085250000}"/>
    <cellStyle name="Data 6 7 5 2" xfId="8045" xr:uid="{00000000-0005-0000-0000-000086250000}"/>
    <cellStyle name="Data 6 7 6" xfId="8046" xr:uid="{00000000-0005-0000-0000-000087250000}"/>
    <cellStyle name="Data 6 7 6 2" xfId="8047" xr:uid="{00000000-0005-0000-0000-000088250000}"/>
    <cellStyle name="Data 6 7 7" xfId="8048" xr:uid="{00000000-0005-0000-0000-000089250000}"/>
    <cellStyle name="Data 6 7 7 2" xfId="8049" xr:uid="{00000000-0005-0000-0000-00008A250000}"/>
    <cellStyle name="Data 6 7 8" xfId="8050" xr:uid="{00000000-0005-0000-0000-00008B250000}"/>
    <cellStyle name="Data 6 7 8 2" xfId="8051" xr:uid="{00000000-0005-0000-0000-00008C250000}"/>
    <cellStyle name="Data 6 7 9" xfId="8052" xr:uid="{00000000-0005-0000-0000-00008D250000}"/>
    <cellStyle name="Data 6 7 9 2" xfId="8053" xr:uid="{00000000-0005-0000-0000-00008E250000}"/>
    <cellStyle name="Data 6 8" xfId="8054" xr:uid="{00000000-0005-0000-0000-00008F250000}"/>
    <cellStyle name="Data 6 8 10" xfId="8055" xr:uid="{00000000-0005-0000-0000-000090250000}"/>
    <cellStyle name="Data 6 8 2" xfId="8056" xr:uid="{00000000-0005-0000-0000-000091250000}"/>
    <cellStyle name="Data 6 8 2 2" xfId="8057" xr:uid="{00000000-0005-0000-0000-000092250000}"/>
    <cellStyle name="Data 6 8 3" xfId="8058" xr:uid="{00000000-0005-0000-0000-000093250000}"/>
    <cellStyle name="Data 6 8 3 2" xfId="8059" xr:uid="{00000000-0005-0000-0000-000094250000}"/>
    <cellStyle name="Data 6 8 4" xfId="8060" xr:uid="{00000000-0005-0000-0000-000095250000}"/>
    <cellStyle name="Data 6 8 4 2" xfId="8061" xr:uid="{00000000-0005-0000-0000-000096250000}"/>
    <cellStyle name="Data 6 8 5" xfId="8062" xr:uid="{00000000-0005-0000-0000-000097250000}"/>
    <cellStyle name="Data 6 8 5 2" xfId="8063" xr:uid="{00000000-0005-0000-0000-000098250000}"/>
    <cellStyle name="Data 6 8 6" xfId="8064" xr:uid="{00000000-0005-0000-0000-000099250000}"/>
    <cellStyle name="Data 6 8 6 2" xfId="8065" xr:uid="{00000000-0005-0000-0000-00009A250000}"/>
    <cellStyle name="Data 6 8 7" xfId="8066" xr:uid="{00000000-0005-0000-0000-00009B250000}"/>
    <cellStyle name="Data 6 8 7 2" xfId="8067" xr:uid="{00000000-0005-0000-0000-00009C250000}"/>
    <cellStyle name="Data 6 8 8" xfId="8068" xr:uid="{00000000-0005-0000-0000-00009D250000}"/>
    <cellStyle name="Data 6 8 8 2" xfId="8069" xr:uid="{00000000-0005-0000-0000-00009E250000}"/>
    <cellStyle name="Data 6 8 9" xfId="8070" xr:uid="{00000000-0005-0000-0000-00009F250000}"/>
    <cellStyle name="Data 6 8 9 2" xfId="8071" xr:uid="{00000000-0005-0000-0000-0000A0250000}"/>
    <cellStyle name="Data 6 9" xfId="8072" xr:uid="{00000000-0005-0000-0000-0000A1250000}"/>
    <cellStyle name="Data 6 9 10" xfId="8073" xr:uid="{00000000-0005-0000-0000-0000A2250000}"/>
    <cellStyle name="Data 6 9 2" xfId="8074" xr:uid="{00000000-0005-0000-0000-0000A3250000}"/>
    <cellStyle name="Data 6 9 2 2" xfId="8075" xr:uid="{00000000-0005-0000-0000-0000A4250000}"/>
    <cellStyle name="Data 6 9 3" xfId="8076" xr:uid="{00000000-0005-0000-0000-0000A5250000}"/>
    <cellStyle name="Data 6 9 3 2" xfId="8077" xr:uid="{00000000-0005-0000-0000-0000A6250000}"/>
    <cellStyle name="Data 6 9 4" xfId="8078" xr:uid="{00000000-0005-0000-0000-0000A7250000}"/>
    <cellStyle name="Data 6 9 4 2" xfId="8079" xr:uid="{00000000-0005-0000-0000-0000A8250000}"/>
    <cellStyle name="Data 6 9 5" xfId="8080" xr:uid="{00000000-0005-0000-0000-0000A9250000}"/>
    <cellStyle name="Data 6 9 5 2" xfId="8081" xr:uid="{00000000-0005-0000-0000-0000AA250000}"/>
    <cellStyle name="Data 6 9 6" xfId="8082" xr:uid="{00000000-0005-0000-0000-0000AB250000}"/>
    <cellStyle name="Data 6 9 6 2" xfId="8083" xr:uid="{00000000-0005-0000-0000-0000AC250000}"/>
    <cellStyle name="Data 6 9 7" xfId="8084" xr:uid="{00000000-0005-0000-0000-0000AD250000}"/>
    <cellStyle name="Data 6 9 7 2" xfId="8085" xr:uid="{00000000-0005-0000-0000-0000AE250000}"/>
    <cellStyle name="Data 6 9 8" xfId="8086" xr:uid="{00000000-0005-0000-0000-0000AF250000}"/>
    <cellStyle name="Data 6 9 8 2" xfId="8087" xr:uid="{00000000-0005-0000-0000-0000B0250000}"/>
    <cellStyle name="Data 6 9 9" xfId="8088" xr:uid="{00000000-0005-0000-0000-0000B1250000}"/>
    <cellStyle name="Data 6 9 9 2" xfId="8089" xr:uid="{00000000-0005-0000-0000-0000B2250000}"/>
    <cellStyle name="Data 7" xfId="8090" xr:uid="{00000000-0005-0000-0000-0000B3250000}"/>
    <cellStyle name="Data 7 10" xfId="8091" xr:uid="{00000000-0005-0000-0000-0000B4250000}"/>
    <cellStyle name="Data 7 10 2" xfId="8092" xr:uid="{00000000-0005-0000-0000-0000B5250000}"/>
    <cellStyle name="Data 7 10 2 2" xfId="8093" xr:uid="{00000000-0005-0000-0000-0000B6250000}"/>
    <cellStyle name="Data 7 10 3" xfId="8094" xr:uid="{00000000-0005-0000-0000-0000B7250000}"/>
    <cellStyle name="Data 7 10 3 2" xfId="8095" xr:uid="{00000000-0005-0000-0000-0000B8250000}"/>
    <cellStyle name="Data 7 10 4" xfId="8096" xr:uid="{00000000-0005-0000-0000-0000B9250000}"/>
    <cellStyle name="Data 7 10 4 2" xfId="8097" xr:uid="{00000000-0005-0000-0000-0000BA250000}"/>
    <cellStyle name="Data 7 10 5" xfId="8098" xr:uid="{00000000-0005-0000-0000-0000BB250000}"/>
    <cellStyle name="Data 7 10 5 2" xfId="8099" xr:uid="{00000000-0005-0000-0000-0000BC250000}"/>
    <cellStyle name="Data 7 10 6" xfId="8100" xr:uid="{00000000-0005-0000-0000-0000BD250000}"/>
    <cellStyle name="Data 7 10 6 2" xfId="8101" xr:uid="{00000000-0005-0000-0000-0000BE250000}"/>
    <cellStyle name="Data 7 10 7" xfId="8102" xr:uid="{00000000-0005-0000-0000-0000BF250000}"/>
    <cellStyle name="Data 7 10 7 2" xfId="8103" xr:uid="{00000000-0005-0000-0000-0000C0250000}"/>
    <cellStyle name="Data 7 10 8" xfId="8104" xr:uid="{00000000-0005-0000-0000-0000C1250000}"/>
    <cellStyle name="Data 7 10 8 2" xfId="8105" xr:uid="{00000000-0005-0000-0000-0000C2250000}"/>
    <cellStyle name="Data 7 10 9" xfId="8106" xr:uid="{00000000-0005-0000-0000-0000C3250000}"/>
    <cellStyle name="Data 7 11" xfId="8107" xr:uid="{00000000-0005-0000-0000-0000C4250000}"/>
    <cellStyle name="Data 7 11 2" xfId="8108" xr:uid="{00000000-0005-0000-0000-0000C5250000}"/>
    <cellStyle name="Data 7 12" xfId="8109" xr:uid="{00000000-0005-0000-0000-0000C6250000}"/>
    <cellStyle name="Data 7 12 2" xfId="8110" xr:uid="{00000000-0005-0000-0000-0000C7250000}"/>
    <cellStyle name="Data 7 13" xfId="8111" xr:uid="{00000000-0005-0000-0000-0000C8250000}"/>
    <cellStyle name="Data 7 13 2" xfId="8112" xr:uid="{00000000-0005-0000-0000-0000C9250000}"/>
    <cellStyle name="Data 7 14" xfId="8113" xr:uid="{00000000-0005-0000-0000-0000CA250000}"/>
    <cellStyle name="Data 7 14 2" xfId="8114" xr:uid="{00000000-0005-0000-0000-0000CB250000}"/>
    <cellStyle name="Data 7 15" xfId="8115" xr:uid="{00000000-0005-0000-0000-0000CC250000}"/>
    <cellStyle name="Data 7 15 2" xfId="8116" xr:uid="{00000000-0005-0000-0000-0000CD250000}"/>
    <cellStyle name="Data 7 16" xfId="8117" xr:uid="{00000000-0005-0000-0000-0000CE250000}"/>
    <cellStyle name="Data 7 16 2" xfId="8118" xr:uid="{00000000-0005-0000-0000-0000CF250000}"/>
    <cellStyle name="Data 7 17" xfId="8119" xr:uid="{00000000-0005-0000-0000-0000D0250000}"/>
    <cellStyle name="Data 7 17 2" xfId="8120" xr:uid="{00000000-0005-0000-0000-0000D1250000}"/>
    <cellStyle name="Data 7 18" xfId="8121" xr:uid="{00000000-0005-0000-0000-0000D2250000}"/>
    <cellStyle name="Data 7 2" xfId="8122" xr:uid="{00000000-0005-0000-0000-0000D3250000}"/>
    <cellStyle name="Data 7 2 10" xfId="8123" xr:uid="{00000000-0005-0000-0000-0000D4250000}"/>
    <cellStyle name="Data 7 2 2" xfId="8124" xr:uid="{00000000-0005-0000-0000-0000D5250000}"/>
    <cellStyle name="Data 7 2 2 2" xfId="8125" xr:uid="{00000000-0005-0000-0000-0000D6250000}"/>
    <cellStyle name="Data 7 2 3" xfId="8126" xr:uid="{00000000-0005-0000-0000-0000D7250000}"/>
    <cellStyle name="Data 7 2 3 2" xfId="8127" xr:uid="{00000000-0005-0000-0000-0000D8250000}"/>
    <cellStyle name="Data 7 2 4" xfId="8128" xr:uid="{00000000-0005-0000-0000-0000D9250000}"/>
    <cellStyle name="Data 7 2 4 2" xfId="8129" xr:uid="{00000000-0005-0000-0000-0000DA250000}"/>
    <cellStyle name="Data 7 2 5" xfId="8130" xr:uid="{00000000-0005-0000-0000-0000DB250000}"/>
    <cellStyle name="Data 7 2 5 2" xfId="8131" xr:uid="{00000000-0005-0000-0000-0000DC250000}"/>
    <cellStyle name="Data 7 2 6" xfId="8132" xr:uid="{00000000-0005-0000-0000-0000DD250000}"/>
    <cellStyle name="Data 7 2 6 2" xfId="8133" xr:uid="{00000000-0005-0000-0000-0000DE250000}"/>
    <cellStyle name="Data 7 2 7" xfId="8134" xr:uid="{00000000-0005-0000-0000-0000DF250000}"/>
    <cellStyle name="Data 7 2 7 2" xfId="8135" xr:uid="{00000000-0005-0000-0000-0000E0250000}"/>
    <cellStyle name="Data 7 2 8" xfId="8136" xr:uid="{00000000-0005-0000-0000-0000E1250000}"/>
    <cellStyle name="Data 7 2 8 2" xfId="8137" xr:uid="{00000000-0005-0000-0000-0000E2250000}"/>
    <cellStyle name="Data 7 2 9" xfId="8138" xr:uid="{00000000-0005-0000-0000-0000E3250000}"/>
    <cellStyle name="Data 7 2 9 2" xfId="8139" xr:uid="{00000000-0005-0000-0000-0000E4250000}"/>
    <cellStyle name="Data 7 3" xfId="8140" xr:uid="{00000000-0005-0000-0000-0000E5250000}"/>
    <cellStyle name="Data 7 3 10" xfId="8141" xr:uid="{00000000-0005-0000-0000-0000E6250000}"/>
    <cellStyle name="Data 7 3 2" xfId="8142" xr:uid="{00000000-0005-0000-0000-0000E7250000}"/>
    <cellStyle name="Data 7 3 2 2" xfId="8143" xr:uid="{00000000-0005-0000-0000-0000E8250000}"/>
    <cellStyle name="Data 7 3 3" xfId="8144" xr:uid="{00000000-0005-0000-0000-0000E9250000}"/>
    <cellStyle name="Data 7 3 3 2" xfId="8145" xr:uid="{00000000-0005-0000-0000-0000EA250000}"/>
    <cellStyle name="Data 7 3 4" xfId="8146" xr:uid="{00000000-0005-0000-0000-0000EB250000}"/>
    <cellStyle name="Data 7 3 4 2" xfId="8147" xr:uid="{00000000-0005-0000-0000-0000EC250000}"/>
    <cellStyle name="Data 7 3 5" xfId="8148" xr:uid="{00000000-0005-0000-0000-0000ED250000}"/>
    <cellStyle name="Data 7 3 5 2" xfId="8149" xr:uid="{00000000-0005-0000-0000-0000EE250000}"/>
    <cellStyle name="Data 7 3 6" xfId="8150" xr:uid="{00000000-0005-0000-0000-0000EF250000}"/>
    <cellStyle name="Data 7 3 6 2" xfId="8151" xr:uid="{00000000-0005-0000-0000-0000F0250000}"/>
    <cellStyle name="Data 7 3 7" xfId="8152" xr:uid="{00000000-0005-0000-0000-0000F1250000}"/>
    <cellStyle name="Data 7 3 7 2" xfId="8153" xr:uid="{00000000-0005-0000-0000-0000F2250000}"/>
    <cellStyle name="Data 7 3 8" xfId="8154" xr:uid="{00000000-0005-0000-0000-0000F3250000}"/>
    <cellStyle name="Data 7 3 8 2" xfId="8155" xr:uid="{00000000-0005-0000-0000-0000F4250000}"/>
    <cellStyle name="Data 7 3 9" xfId="8156" xr:uid="{00000000-0005-0000-0000-0000F5250000}"/>
    <cellStyle name="Data 7 3 9 2" xfId="8157" xr:uid="{00000000-0005-0000-0000-0000F6250000}"/>
    <cellStyle name="Data 7 4" xfId="8158" xr:uid="{00000000-0005-0000-0000-0000F7250000}"/>
    <cellStyle name="Data 7 4 10" xfId="8159" xr:uid="{00000000-0005-0000-0000-0000F8250000}"/>
    <cellStyle name="Data 7 4 2" xfId="8160" xr:uid="{00000000-0005-0000-0000-0000F9250000}"/>
    <cellStyle name="Data 7 4 2 2" xfId="8161" xr:uid="{00000000-0005-0000-0000-0000FA250000}"/>
    <cellStyle name="Data 7 4 3" xfId="8162" xr:uid="{00000000-0005-0000-0000-0000FB250000}"/>
    <cellStyle name="Data 7 4 3 2" xfId="8163" xr:uid="{00000000-0005-0000-0000-0000FC250000}"/>
    <cellStyle name="Data 7 4 4" xfId="8164" xr:uid="{00000000-0005-0000-0000-0000FD250000}"/>
    <cellStyle name="Data 7 4 4 2" xfId="8165" xr:uid="{00000000-0005-0000-0000-0000FE250000}"/>
    <cellStyle name="Data 7 4 5" xfId="8166" xr:uid="{00000000-0005-0000-0000-0000FF250000}"/>
    <cellStyle name="Data 7 4 5 2" xfId="8167" xr:uid="{00000000-0005-0000-0000-000000260000}"/>
    <cellStyle name="Data 7 4 6" xfId="8168" xr:uid="{00000000-0005-0000-0000-000001260000}"/>
    <cellStyle name="Data 7 4 6 2" xfId="8169" xr:uid="{00000000-0005-0000-0000-000002260000}"/>
    <cellStyle name="Data 7 4 7" xfId="8170" xr:uid="{00000000-0005-0000-0000-000003260000}"/>
    <cellStyle name="Data 7 4 7 2" xfId="8171" xr:uid="{00000000-0005-0000-0000-000004260000}"/>
    <cellStyle name="Data 7 4 8" xfId="8172" xr:uid="{00000000-0005-0000-0000-000005260000}"/>
    <cellStyle name="Data 7 4 8 2" xfId="8173" xr:uid="{00000000-0005-0000-0000-000006260000}"/>
    <cellStyle name="Data 7 4 9" xfId="8174" xr:uid="{00000000-0005-0000-0000-000007260000}"/>
    <cellStyle name="Data 7 4 9 2" xfId="8175" xr:uid="{00000000-0005-0000-0000-000008260000}"/>
    <cellStyle name="Data 7 5" xfId="8176" xr:uid="{00000000-0005-0000-0000-000009260000}"/>
    <cellStyle name="Data 7 5 10" xfId="8177" xr:uid="{00000000-0005-0000-0000-00000A260000}"/>
    <cellStyle name="Data 7 5 2" xfId="8178" xr:uid="{00000000-0005-0000-0000-00000B260000}"/>
    <cellStyle name="Data 7 5 2 2" xfId="8179" xr:uid="{00000000-0005-0000-0000-00000C260000}"/>
    <cellStyle name="Data 7 5 3" xfId="8180" xr:uid="{00000000-0005-0000-0000-00000D260000}"/>
    <cellStyle name="Data 7 5 3 2" xfId="8181" xr:uid="{00000000-0005-0000-0000-00000E260000}"/>
    <cellStyle name="Data 7 5 4" xfId="8182" xr:uid="{00000000-0005-0000-0000-00000F260000}"/>
    <cellStyle name="Data 7 5 4 2" xfId="8183" xr:uid="{00000000-0005-0000-0000-000010260000}"/>
    <cellStyle name="Data 7 5 5" xfId="8184" xr:uid="{00000000-0005-0000-0000-000011260000}"/>
    <cellStyle name="Data 7 5 5 2" xfId="8185" xr:uid="{00000000-0005-0000-0000-000012260000}"/>
    <cellStyle name="Data 7 5 6" xfId="8186" xr:uid="{00000000-0005-0000-0000-000013260000}"/>
    <cellStyle name="Data 7 5 6 2" xfId="8187" xr:uid="{00000000-0005-0000-0000-000014260000}"/>
    <cellStyle name="Data 7 5 7" xfId="8188" xr:uid="{00000000-0005-0000-0000-000015260000}"/>
    <cellStyle name="Data 7 5 7 2" xfId="8189" xr:uid="{00000000-0005-0000-0000-000016260000}"/>
    <cellStyle name="Data 7 5 8" xfId="8190" xr:uid="{00000000-0005-0000-0000-000017260000}"/>
    <cellStyle name="Data 7 5 8 2" xfId="8191" xr:uid="{00000000-0005-0000-0000-000018260000}"/>
    <cellStyle name="Data 7 5 9" xfId="8192" xr:uid="{00000000-0005-0000-0000-000019260000}"/>
    <cellStyle name="Data 7 5 9 2" xfId="8193" xr:uid="{00000000-0005-0000-0000-00001A260000}"/>
    <cellStyle name="Data 7 6" xfId="8194" xr:uid="{00000000-0005-0000-0000-00001B260000}"/>
    <cellStyle name="Data 7 6 10" xfId="8195" xr:uid="{00000000-0005-0000-0000-00001C260000}"/>
    <cellStyle name="Data 7 6 2" xfId="8196" xr:uid="{00000000-0005-0000-0000-00001D260000}"/>
    <cellStyle name="Data 7 6 2 2" xfId="8197" xr:uid="{00000000-0005-0000-0000-00001E260000}"/>
    <cellStyle name="Data 7 6 3" xfId="8198" xr:uid="{00000000-0005-0000-0000-00001F260000}"/>
    <cellStyle name="Data 7 6 3 2" xfId="8199" xr:uid="{00000000-0005-0000-0000-000020260000}"/>
    <cellStyle name="Data 7 6 4" xfId="8200" xr:uid="{00000000-0005-0000-0000-000021260000}"/>
    <cellStyle name="Data 7 6 4 2" xfId="8201" xr:uid="{00000000-0005-0000-0000-000022260000}"/>
    <cellStyle name="Data 7 6 5" xfId="8202" xr:uid="{00000000-0005-0000-0000-000023260000}"/>
    <cellStyle name="Data 7 6 5 2" xfId="8203" xr:uid="{00000000-0005-0000-0000-000024260000}"/>
    <cellStyle name="Data 7 6 6" xfId="8204" xr:uid="{00000000-0005-0000-0000-000025260000}"/>
    <cellStyle name="Data 7 6 6 2" xfId="8205" xr:uid="{00000000-0005-0000-0000-000026260000}"/>
    <cellStyle name="Data 7 6 7" xfId="8206" xr:uid="{00000000-0005-0000-0000-000027260000}"/>
    <cellStyle name="Data 7 6 7 2" xfId="8207" xr:uid="{00000000-0005-0000-0000-000028260000}"/>
    <cellStyle name="Data 7 6 8" xfId="8208" xr:uid="{00000000-0005-0000-0000-000029260000}"/>
    <cellStyle name="Data 7 6 8 2" xfId="8209" xr:uid="{00000000-0005-0000-0000-00002A260000}"/>
    <cellStyle name="Data 7 6 9" xfId="8210" xr:uid="{00000000-0005-0000-0000-00002B260000}"/>
    <cellStyle name="Data 7 6 9 2" xfId="8211" xr:uid="{00000000-0005-0000-0000-00002C260000}"/>
    <cellStyle name="Data 7 7" xfId="8212" xr:uid="{00000000-0005-0000-0000-00002D260000}"/>
    <cellStyle name="Data 7 7 10" xfId="8213" xr:uid="{00000000-0005-0000-0000-00002E260000}"/>
    <cellStyle name="Data 7 7 2" xfId="8214" xr:uid="{00000000-0005-0000-0000-00002F260000}"/>
    <cellStyle name="Data 7 7 2 2" xfId="8215" xr:uid="{00000000-0005-0000-0000-000030260000}"/>
    <cellStyle name="Data 7 7 3" xfId="8216" xr:uid="{00000000-0005-0000-0000-000031260000}"/>
    <cellStyle name="Data 7 7 3 2" xfId="8217" xr:uid="{00000000-0005-0000-0000-000032260000}"/>
    <cellStyle name="Data 7 7 4" xfId="8218" xr:uid="{00000000-0005-0000-0000-000033260000}"/>
    <cellStyle name="Data 7 7 4 2" xfId="8219" xr:uid="{00000000-0005-0000-0000-000034260000}"/>
    <cellStyle name="Data 7 7 5" xfId="8220" xr:uid="{00000000-0005-0000-0000-000035260000}"/>
    <cellStyle name="Data 7 7 5 2" xfId="8221" xr:uid="{00000000-0005-0000-0000-000036260000}"/>
    <cellStyle name="Data 7 7 6" xfId="8222" xr:uid="{00000000-0005-0000-0000-000037260000}"/>
    <cellStyle name="Data 7 7 6 2" xfId="8223" xr:uid="{00000000-0005-0000-0000-000038260000}"/>
    <cellStyle name="Data 7 7 7" xfId="8224" xr:uid="{00000000-0005-0000-0000-000039260000}"/>
    <cellStyle name="Data 7 7 7 2" xfId="8225" xr:uid="{00000000-0005-0000-0000-00003A260000}"/>
    <cellStyle name="Data 7 7 8" xfId="8226" xr:uid="{00000000-0005-0000-0000-00003B260000}"/>
    <cellStyle name="Data 7 7 8 2" xfId="8227" xr:uid="{00000000-0005-0000-0000-00003C260000}"/>
    <cellStyle name="Data 7 7 9" xfId="8228" xr:uid="{00000000-0005-0000-0000-00003D260000}"/>
    <cellStyle name="Data 7 7 9 2" xfId="8229" xr:uid="{00000000-0005-0000-0000-00003E260000}"/>
    <cellStyle name="Data 7 8" xfId="8230" xr:uid="{00000000-0005-0000-0000-00003F260000}"/>
    <cellStyle name="Data 7 8 10" xfId="8231" xr:uid="{00000000-0005-0000-0000-000040260000}"/>
    <cellStyle name="Data 7 8 2" xfId="8232" xr:uid="{00000000-0005-0000-0000-000041260000}"/>
    <cellStyle name="Data 7 8 2 2" xfId="8233" xr:uid="{00000000-0005-0000-0000-000042260000}"/>
    <cellStyle name="Data 7 8 3" xfId="8234" xr:uid="{00000000-0005-0000-0000-000043260000}"/>
    <cellStyle name="Data 7 8 3 2" xfId="8235" xr:uid="{00000000-0005-0000-0000-000044260000}"/>
    <cellStyle name="Data 7 8 4" xfId="8236" xr:uid="{00000000-0005-0000-0000-000045260000}"/>
    <cellStyle name="Data 7 8 4 2" xfId="8237" xr:uid="{00000000-0005-0000-0000-000046260000}"/>
    <cellStyle name="Data 7 8 5" xfId="8238" xr:uid="{00000000-0005-0000-0000-000047260000}"/>
    <cellStyle name="Data 7 8 5 2" xfId="8239" xr:uid="{00000000-0005-0000-0000-000048260000}"/>
    <cellStyle name="Data 7 8 6" xfId="8240" xr:uid="{00000000-0005-0000-0000-000049260000}"/>
    <cellStyle name="Data 7 8 6 2" xfId="8241" xr:uid="{00000000-0005-0000-0000-00004A260000}"/>
    <cellStyle name="Data 7 8 7" xfId="8242" xr:uid="{00000000-0005-0000-0000-00004B260000}"/>
    <cellStyle name="Data 7 8 7 2" xfId="8243" xr:uid="{00000000-0005-0000-0000-00004C260000}"/>
    <cellStyle name="Data 7 8 8" xfId="8244" xr:uid="{00000000-0005-0000-0000-00004D260000}"/>
    <cellStyle name="Data 7 8 8 2" xfId="8245" xr:uid="{00000000-0005-0000-0000-00004E260000}"/>
    <cellStyle name="Data 7 8 9" xfId="8246" xr:uid="{00000000-0005-0000-0000-00004F260000}"/>
    <cellStyle name="Data 7 8 9 2" xfId="8247" xr:uid="{00000000-0005-0000-0000-000050260000}"/>
    <cellStyle name="Data 7 9" xfId="8248" xr:uid="{00000000-0005-0000-0000-000051260000}"/>
    <cellStyle name="Data 7 9 10" xfId="8249" xr:uid="{00000000-0005-0000-0000-000052260000}"/>
    <cellStyle name="Data 7 9 2" xfId="8250" xr:uid="{00000000-0005-0000-0000-000053260000}"/>
    <cellStyle name="Data 7 9 2 2" xfId="8251" xr:uid="{00000000-0005-0000-0000-000054260000}"/>
    <cellStyle name="Data 7 9 3" xfId="8252" xr:uid="{00000000-0005-0000-0000-000055260000}"/>
    <cellStyle name="Data 7 9 3 2" xfId="8253" xr:uid="{00000000-0005-0000-0000-000056260000}"/>
    <cellStyle name="Data 7 9 4" xfId="8254" xr:uid="{00000000-0005-0000-0000-000057260000}"/>
    <cellStyle name="Data 7 9 4 2" xfId="8255" xr:uid="{00000000-0005-0000-0000-000058260000}"/>
    <cellStyle name="Data 7 9 5" xfId="8256" xr:uid="{00000000-0005-0000-0000-000059260000}"/>
    <cellStyle name="Data 7 9 5 2" xfId="8257" xr:uid="{00000000-0005-0000-0000-00005A260000}"/>
    <cellStyle name="Data 7 9 6" xfId="8258" xr:uid="{00000000-0005-0000-0000-00005B260000}"/>
    <cellStyle name="Data 7 9 6 2" xfId="8259" xr:uid="{00000000-0005-0000-0000-00005C260000}"/>
    <cellStyle name="Data 7 9 7" xfId="8260" xr:uid="{00000000-0005-0000-0000-00005D260000}"/>
    <cellStyle name="Data 7 9 7 2" xfId="8261" xr:uid="{00000000-0005-0000-0000-00005E260000}"/>
    <cellStyle name="Data 7 9 8" xfId="8262" xr:uid="{00000000-0005-0000-0000-00005F260000}"/>
    <cellStyle name="Data 7 9 8 2" xfId="8263" xr:uid="{00000000-0005-0000-0000-000060260000}"/>
    <cellStyle name="Data 7 9 9" xfId="8264" xr:uid="{00000000-0005-0000-0000-000061260000}"/>
    <cellStyle name="Data 7 9 9 2" xfId="8265" xr:uid="{00000000-0005-0000-0000-000062260000}"/>
    <cellStyle name="Data no deci" xfId="60" xr:uid="{00000000-0005-0000-0000-000063260000}"/>
    <cellStyle name="Data no deci 2" xfId="157" xr:uid="{00000000-0005-0000-0000-000064260000}"/>
    <cellStyle name="Data no deci 2 2" xfId="8266" xr:uid="{00000000-0005-0000-0000-000065260000}"/>
    <cellStyle name="Data no deci 2 2 10" xfId="8267" xr:uid="{00000000-0005-0000-0000-000066260000}"/>
    <cellStyle name="Data no deci 2 2 10 10" xfId="8268" xr:uid="{00000000-0005-0000-0000-000067260000}"/>
    <cellStyle name="Data no deci 2 2 10 2" xfId="8269" xr:uid="{00000000-0005-0000-0000-000068260000}"/>
    <cellStyle name="Data no deci 2 2 10 2 2" xfId="8270" xr:uid="{00000000-0005-0000-0000-000069260000}"/>
    <cellStyle name="Data no deci 2 2 10 3" xfId="8271" xr:uid="{00000000-0005-0000-0000-00006A260000}"/>
    <cellStyle name="Data no deci 2 2 10 3 2" xfId="8272" xr:uid="{00000000-0005-0000-0000-00006B260000}"/>
    <cellStyle name="Data no deci 2 2 10 4" xfId="8273" xr:uid="{00000000-0005-0000-0000-00006C260000}"/>
    <cellStyle name="Data no deci 2 2 10 4 2" xfId="8274" xr:uid="{00000000-0005-0000-0000-00006D260000}"/>
    <cellStyle name="Data no deci 2 2 10 5" xfId="8275" xr:uid="{00000000-0005-0000-0000-00006E260000}"/>
    <cellStyle name="Data no deci 2 2 10 5 2" xfId="8276" xr:uid="{00000000-0005-0000-0000-00006F260000}"/>
    <cellStyle name="Data no deci 2 2 10 6" xfId="8277" xr:uid="{00000000-0005-0000-0000-000070260000}"/>
    <cellStyle name="Data no deci 2 2 10 6 2" xfId="8278" xr:uid="{00000000-0005-0000-0000-000071260000}"/>
    <cellStyle name="Data no deci 2 2 10 7" xfId="8279" xr:uid="{00000000-0005-0000-0000-000072260000}"/>
    <cellStyle name="Data no deci 2 2 10 7 2" xfId="8280" xr:uid="{00000000-0005-0000-0000-000073260000}"/>
    <cellStyle name="Data no deci 2 2 10 8" xfId="8281" xr:uid="{00000000-0005-0000-0000-000074260000}"/>
    <cellStyle name="Data no deci 2 2 10 8 2" xfId="8282" xr:uid="{00000000-0005-0000-0000-000075260000}"/>
    <cellStyle name="Data no deci 2 2 10 9" xfId="8283" xr:uid="{00000000-0005-0000-0000-000076260000}"/>
    <cellStyle name="Data no deci 2 2 10 9 2" xfId="8284" xr:uid="{00000000-0005-0000-0000-000077260000}"/>
    <cellStyle name="Data no deci 2 2 11" xfId="8285" xr:uid="{00000000-0005-0000-0000-000078260000}"/>
    <cellStyle name="Data no deci 2 2 11 2" xfId="8286" xr:uid="{00000000-0005-0000-0000-000079260000}"/>
    <cellStyle name="Data no deci 2 2 11 2 2" xfId="8287" xr:uid="{00000000-0005-0000-0000-00007A260000}"/>
    <cellStyle name="Data no deci 2 2 11 3" xfId="8288" xr:uid="{00000000-0005-0000-0000-00007B260000}"/>
    <cellStyle name="Data no deci 2 2 11 3 2" xfId="8289" xr:uid="{00000000-0005-0000-0000-00007C260000}"/>
    <cellStyle name="Data no deci 2 2 11 4" xfId="8290" xr:uid="{00000000-0005-0000-0000-00007D260000}"/>
    <cellStyle name="Data no deci 2 2 11 4 2" xfId="8291" xr:uid="{00000000-0005-0000-0000-00007E260000}"/>
    <cellStyle name="Data no deci 2 2 11 5" xfId="8292" xr:uid="{00000000-0005-0000-0000-00007F260000}"/>
    <cellStyle name="Data no deci 2 2 11 5 2" xfId="8293" xr:uid="{00000000-0005-0000-0000-000080260000}"/>
    <cellStyle name="Data no deci 2 2 11 6" xfId="8294" xr:uid="{00000000-0005-0000-0000-000081260000}"/>
    <cellStyle name="Data no deci 2 2 11 6 2" xfId="8295" xr:uid="{00000000-0005-0000-0000-000082260000}"/>
    <cellStyle name="Data no deci 2 2 11 7" xfId="8296" xr:uid="{00000000-0005-0000-0000-000083260000}"/>
    <cellStyle name="Data no deci 2 2 11 7 2" xfId="8297" xr:uid="{00000000-0005-0000-0000-000084260000}"/>
    <cellStyle name="Data no deci 2 2 11 8" xfId="8298" xr:uid="{00000000-0005-0000-0000-000085260000}"/>
    <cellStyle name="Data no deci 2 2 11 8 2" xfId="8299" xr:uid="{00000000-0005-0000-0000-000086260000}"/>
    <cellStyle name="Data no deci 2 2 11 9" xfId="8300" xr:uid="{00000000-0005-0000-0000-000087260000}"/>
    <cellStyle name="Data no deci 2 2 2" xfId="8301" xr:uid="{00000000-0005-0000-0000-000088260000}"/>
    <cellStyle name="Data no deci 2 2 2 10" xfId="8302" xr:uid="{00000000-0005-0000-0000-000089260000}"/>
    <cellStyle name="Data no deci 2 2 2 2" xfId="8303" xr:uid="{00000000-0005-0000-0000-00008A260000}"/>
    <cellStyle name="Data no deci 2 2 2 2 2" xfId="8304" xr:uid="{00000000-0005-0000-0000-00008B260000}"/>
    <cellStyle name="Data no deci 2 2 2 3" xfId="8305" xr:uid="{00000000-0005-0000-0000-00008C260000}"/>
    <cellStyle name="Data no deci 2 2 2 3 2" xfId="8306" xr:uid="{00000000-0005-0000-0000-00008D260000}"/>
    <cellStyle name="Data no deci 2 2 2 4" xfId="8307" xr:uid="{00000000-0005-0000-0000-00008E260000}"/>
    <cellStyle name="Data no deci 2 2 2 4 2" xfId="8308" xr:uid="{00000000-0005-0000-0000-00008F260000}"/>
    <cellStyle name="Data no deci 2 2 2 5" xfId="8309" xr:uid="{00000000-0005-0000-0000-000090260000}"/>
    <cellStyle name="Data no deci 2 2 2 5 2" xfId="8310" xr:uid="{00000000-0005-0000-0000-000091260000}"/>
    <cellStyle name="Data no deci 2 2 2 6" xfId="8311" xr:uid="{00000000-0005-0000-0000-000092260000}"/>
    <cellStyle name="Data no deci 2 2 2 6 2" xfId="8312" xr:uid="{00000000-0005-0000-0000-000093260000}"/>
    <cellStyle name="Data no deci 2 2 2 7" xfId="8313" xr:uid="{00000000-0005-0000-0000-000094260000}"/>
    <cellStyle name="Data no deci 2 2 2 7 2" xfId="8314" xr:uid="{00000000-0005-0000-0000-000095260000}"/>
    <cellStyle name="Data no deci 2 2 2 8" xfId="8315" xr:uid="{00000000-0005-0000-0000-000096260000}"/>
    <cellStyle name="Data no deci 2 2 2 8 2" xfId="8316" xr:uid="{00000000-0005-0000-0000-000097260000}"/>
    <cellStyle name="Data no deci 2 2 2 9" xfId="8317" xr:uid="{00000000-0005-0000-0000-000098260000}"/>
    <cellStyle name="Data no deci 2 2 2 9 2" xfId="8318" xr:uid="{00000000-0005-0000-0000-000099260000}"/>
    <cellStyle name="Data no deci 2 2 3" xfId="8319" xr:uid="{00000000-0005-0000-0000-00009A260000}"/>
    <cellStyle name="Data no deci 2 2 3 10" xfId="8320" xr:uid="{00000000-0005-0000-0000-00009B260000}"/>
    <cellStyle name="Data no deci 2 2 3 2" xfId="8321" xr:uid="{00000000-0005-0000-0000-00009C260000}"/>
    <cellStyle name="Data no deci 2 2 3 2 2" xfId="8322" xr:uid="{00000000-0005-0000-0000-00009D260000}"/>
    <cellStyle name="Data no deci 2 2 3 3" xfId="8323" xr:uid="{00000000-0005-0000-0000-00009E260000}"/>
    <cellStyle name="Data no deci 2 2 3 3 2" xfId="8324" xr:uid="{00000000-0005-0000-0000-00009F260000}"/>
    <cellStyle name="Data no deci 2 2 3 4" xfId="8325" xr:uid="{00000000-0005-0000-0000-0000A0260000}"/>
    <cellStyle name="Data no deci 2 2 3 4 2" xfId="8326" xr:uid="{00000000-0005-0000-0000-0000A1260000}"/>
    <cellStyle name="Data no deci 2 2 3 5" xfId="8327" xr:uid="{00000000-0005-0000-0000-0000A2260000}"/>
    <cellStyle name="Data no deci 2 2 3 5 2" xfId="8328" xr:uid="{00000000-0005-0000-0000-0000A3260000}"/>
    <cellStyle name="Data no deci 2 2 3 6" xfId="8329" xr:uid="{00000000-0005-0000-0000-0000A4260000}"/>
    <cellStyle name="Data no deci 2 2 3 6 2" xfId="8330" xr:uid="{00000000-0005-0000-0000-0000A5260000}"/>
    <cellStyle name="Data no deci 2 2 3 7" xfId="8331" xr:uid="{00000000-0005-0000-0000-0000A6260000}"/>
    <cellStyle name="Data no deci 2 2 3 7 2" xfId="8332" xr:uid="{00000000-0005-0000-0000-0000A7260000}"/>
    <cellStyle name="Data no deci 2 2 3 8" xfId="8333" xr:uid="{00000000-0005-0000-0000-0000A8260000}"/>
    <cellStyle name="Data no deci 2 2 3 8 2" xfId="8334" xr:uid="{00000000-0005-0000-0000-0000A9260000}"/>
    <cellStyle name="Data no deci 2 2 3 9" xfId="8335" xr:uid="{00000000-0005-0000-0000-0000AA260000}"/>
    <cellStyle name="Data no deci 2 2 3 9 2" xfId="8336" xr:uid="{00000000-0005-0000-0000-0000AB260000}"/>
    <cellStyle name="Data no deci 2 2 4" xfId="8337" xr:uid="{00000000-0005-0000-0000-0000AC260000}"/>
    <cellStyle name="Data no deci 2 2 4 10" xfId="8338" xr:uid="{00000000-0005-0000-0000-0000AD260000}"/>
    <cellStyle name="Data no deci 2 2 4 2" xfId="8339" xr:uid="{00000000-0005-0000-0000-0000AE260000}"/>
    <cellStyle name="Data no deci 2 2 4 2 2" xfId="8340" xr:uid="{00000000-0005-0000-0000-0000AF260000}"/>
    <cellStyle name="Data no deci 2 2 4 3" xfId="8341" xr:uid="{00000000-0005-0000-0000-0000B0260000}"/>
    <cellStyle name="Data no deci 2 2 4 3 2" xfId="8342" xr:uid="{00000000-0005-0000-0000-0000B1260000}"/>
    <cellStyle name="Data no deci 2 2 4 4" xfId="8343" xr:uid="{00000000-0005-0000-0000-0000B2260000}"/>
    <cellStyle name="Data no deci 2 2 4 4 2" xfId="8344" xr:uid="{00000000-0005-0000-0000-0000B3260000}"/>
    <cellStyle name="Data no deci 2 2 4 5" xfId="8345" xr:uid="{00000000-0005-0000-0000-0000B4260000}"/>
    <cellStyle name="Data no deci 2 2 4 5 2" xfId="8346" xr:uid="{00000000-0005-0000-0000-0000B5260000}"/>
    <cellStyle name="Data no deci 2 2 4 6" xfId="8347" xr:uid="{00000000-0005-0000-0000-0000B6260000}"/>
    <cellStyle name="Data no deci 2 2 4 6 2" xfId="8348" xr:uid="{00000000-0005-0000-0000-0000B7260000}"/>
    <cellStyle name="Data no deci 2 2 4 7" xfId="8349" xr:uid="{00000000-0005-0000-0000-0000B8260000}"/>
    <cellStyle name="Data no deci 2 2 4 7 2" xfId="8350" xr:uid="{00000000-0005-0000-0000-0000B9260000}"/>
    <cellStyle name="Data no deci 2 2 4 8" xfId="8351" xr:uid="{00000000-0005-0000-0000-0000BA260000}"/>
    <cellStyle name="Data no deci 2 2 4 8 2" xfId="8352" xr:uid="{00000000-0005-0000-0000-0000BB260000}"/>
    <cellStyle name="Data no deci 2 2 4 9" xfId="8353" xr:uid="{00000000-0005-0000-0000-0000BC260000}"/>
    <cellStyle name="Data no deci 2 2 4 9 2" xfId="8354" xr:uid="{00000000-0005-0000-0000-0000BD260000}"/>
    <cellStyle name="Data no deci 2 2 5" xfId="8355" xr:uid="{00000000-0005-0000-0000-0000BE260000}"/>
    <cellStyle name="Data no deci 2 2 5 10" xfId="8356" xr:uid="{00000000-0005-0000-0000-0000BF260000}"/>
    <cellStyle name="Data no deci 2 2 5 2" xfId="8357" xr:uid="{00000000-0005-0000-0000-0000C0260000}"/>
    <cellStyle name="Data no deci 2 2 5 2 2" xfId="8358" xr:uid="{00000000-0005-0000-0000-0000C1260000}"/>
    <cellStyle name="Data no deci 2 2 5 3" xfId="8359" xr:uid="{00000000-0005-0000-0000-0000C2260000}"/>
    <cellStyle name="Data no deci 2 2 5 3 2" xfId="8360" xr:uid="{00000000-0005-0000-0000-0000C3260000}"/>
    <cellStyle name="Data no deci 2 2 5 4" xfId="8361" xr:uid="{00000000-0005-0000-0000-0000C4260000}"/>
    <cellStyle name="Data no deci 2 2 5 4 2" xfId="8362" xr:uid="{00000000-0005-0000-0000-0000C5260000}"/>
    <cellStyle name="Data no deci 2 2 5 5" xfId="8363" xr:uid="{00000000-0005-0000-0000-0000C6260000}"/>
    <cellStyle name="Data no deci 2 2 5 5 2" xfId="8364" xr:uid="{00000000-0005-0000-0000-0000C7260000}"/>
    <cellStyle name="Data no deci 2 2 5 6" xfId="8365" xr:uid="{00000000-0005-0000-0000-0000C8260000}"/>
    <cellStyle name="Data no deci 2 2 5 6 2" xfId="8366" xr:uid="{00000000-0005-0000-0000-0000C9260000}"/>
    <cellStyle name="Data no deci 2 2 5 7" xfId="8367" xr:uid="{00000000-0005-0000-0000-0000CA260000}"/>
    <cellStyle name="Data no deci 2 2 5 7 2" xfId="8368" xr:uid="{00000000-0005-0000-0000-0000CB260000}"/>
    <cellStyle name="Data no deci 2 2 5 8" xfId="8369" xr:uid="{00000000-0005-0000-0000-0000CC260000}"/>
    <cellStyle name="Data no deci 2 2 5 8 2" xfId="8370" xr:uid="{00000000-0005-0000-0000-0000CD260000}"/>
    <cellStyle name="Data no deci 2 2 5 9" xfId="8371" xr:uid="{00000000-0005-0000-0000-0000CE260000}"/>
    <cellStyle name="Data no deci 2 2 5 9 2" xfId="8372" xr:uid="{00000000-0005-0000-0000-0000CF260000}"/>
    <cellStyle name="Data no deci 2 2 6" xfId="8373" xr:uid="{00000000-0005-0000-0000-0000D0260000}"/>
    <cellStyle name="Data no deci 2 2 6 10" xfId="8374" xr:uid="{00000000-0005-0000-0000-0000D1260000}"/>
    <cellStyle name="Data no deci 2 2 6 2" xfId="8375" xr:uid="{00000000-0005-0000-0000-0000D2260000}"/>
    <cellStyle name="Data no deci 2 2 6 2 2" xfId="8376" xr:uid="{00000000-0005-0000-0000-0000D3260000}"/>
    <cellStyle name="Data no deci 2 2 6 3" xfId="8377" xr:uid="{00000000-0005-0000-0000-0000D4260000}"/>
    <cellStyle name="Data no deci 2 2 6 3 2" xfId="8378" xr:uid="{00000000-0005-0000-0000-0000D5260000}"/>
    <cellStyle name="Data no deci 2 2 6 4" xfId="8379" xr:uid="{00000000-0005-0000-0000-0000D6260000}"/>
    <cellStyle name="Data no deci 2 2 6 4 2" xfId="8380" xr:uid="{00000000-0005-0000-0000-0000D7260000}"/>
    <cellStyle name="Data no deci 2 2 6 5" xfId="8381" xr:uid="{00000000-0005-0000-0000-0000D8260000}"/>
    <cellStyle name="Data no deci 2 2 6 5 2" xfId="8382" xr:uid="{00000000-0005-0000-0000-0000D9260000}"/>
    <cellStyle name="Data no deci 2 2 6 6" xfId="8383" xr:uid="{00000000-0005-0000-0000-0000DA260000}"/>
    <cellStyle name="Data no deci 2 2 6 6 2" xfId="8384" xr:uid="{00000000-0005-0000-0000-0000DB260000}"/>
    <cellStyle name="Data no deci 2 2 6 7" xfId="8385" xr:uid="{00000000-0005-0000-0000-0000DC260000}"/>
    <cellStyle name="Data no deci 2 2 6 7 2" xfId="8386" xr:uid="{00000000-0005-0000-0000-0000DD260000}"/>
    <cellStyle name="Data no deci 2 2 6 8" xfId="8387" xr:uid="{00000000-0005-0000-0000-0000DE260000}"/>
    <cellStyle name="Data no deci 2 2 6 8 2" xfId="8388" xr:uid="{00000000-0005-0000-0000-0000DF260000}"/>
    <cellStyle name="Data no deci 2 2 6 9" xfId="8389" xr:uid="{00000000-0005-0000-0000-0000E0260000}"/>
    <cellStyle name="Data no deci 2 2 6 9 2" xfId="8390" xr:uid="{00000000-0005-0000-0000-0000E1260000}"/>
    <cellStyle name="Data no deci 2 2 7" xfId="8391" xr:uid="{00000000-0005-0000-0000-0000E2260000}"/>
    <cellStyle name="Data no deci 2 2 7 10" xfId="8392" xr:uid="{00000000-0005-0000-0000-0000E3260000}"/>
    <cellStyle name="Data no deci 2 2 7 2" xfId="8393" xr:uid="{00000000-0005-0000-0000-0000E4260000}"/>
    <cellStyle name="Data no deci 2 2 7 2 2" xfId="8394" xr:uid="{00000000-0005-0000-0000-0000E5260000}"/>
    <cellStyle name="Data no deci 2 2 7 3" xfId="8395" xr:uid="{00000000-0005-0000-0000-0000E6260000}"/>
    <cellStyle name="Data no deci 2 2 7 3 2" xfId="8396" xr:uid="{00000000-0005-0000-0000-0000E7260000}"/>
    <cellStyle name="Data no deci 2 2 7 4" xfId="8397" xr:uid="{00000000-0005-0000-0000-0000E8260000}"/>
    <cellStyle name="Data no deci 2 2 7 4 2" xfId="8398" xr:uid="{00000000-0005-0000-0000-0000E9260000}"/>
    <cellStyle name="Data no deci 2 2 7 5" xfId="8399" xr:uid="{00000000-0005-0000-0000-0000EA260000}"/>
    <cellStyle name="Data no deci 2 2 7 5 2" xfId="8400" xr:uid="{00000000-0005-0000-0000-0000EB260000}"/>
    <cellStyle name="Data no deci 2 2 7 6" xfId="8401" xr:uid="{00000000-0005-0000-0000-0000EC260000}"/>
    <cellStyle name="Data no deci 2 2 7 6 2" xfId="8402" xr:uid="{00000000-0005-0000-0000-0000ED260000}"/>
    <cellStyle name="Data no deci 2 2 7 7" xfId="8403" xr:uid="{00000000-0005-0000-0000-0000EE260000}"/>
    <cellStyle name="Data no deci 2 2 7 7 2" xfId="8404" xr:uid="{00000000-0005-0000-0000-0000EF260000}"/>
    <cellStyle name="Data no deci 2 2 7 8" xfId="8405" xr:uid="{00000000-0005-0000-0000-0000F0260000}"/>
    <cellStyle name="Data no deci 2 2 7 8 2" xfId="8406" xr:uid="{00000000-0005-0000-0000-0000F1260000}"/>
    <cellStyle name="Data no deci 2 2 7 9" xfId="8407" xr:uid="{00000000-0005-0000-0000-0000F2260000}"/>
    <cellStyle name="Data no deci 2 2 7 9 2" xfId="8408" xr:uid="{00000000-0005-0000-0000-0000F3260000}"/>
    <cellStyle name="Data no deci 2 2 8" xfId="8409" xr:uid="{00000000-0005-0000-0000-0000F4260000}"/>
    <cellStyle name="Data no deci 2 2 8 10" xfId="8410" xr:uid="{00000000-0005-0000-0000-0000F5260000}"/>
    <cellStyle name="Data no deci 2 2 8 2" xfId="8411" xr:uid="{00000000-0005-0000-0000-0000F6260000}"/>
    <cellStyle name="Data no deci 2 2 8 2 2" xfId="8412" xr:uid="{00000000-0005-0000-0000-0000F7260000}"/>
    <cellStyle name="Data no deci 2 2 8 3" xfId="8413" xr:uid="{00000000-0005-0000-0000-0000F8260000}"/>
    <cellStyle name="Data no deci 2 2 8 3 2" xfId="8414" xr:uid="{00000000-0005-0000-0000-0000F9260000}"/>
    <cellStyle name="Data no deci 2 2 8 4" xfId="8415" xr:uid="{00000000-0005-0000-0000-0000FA260000}"/>
    <cellStyle name="Data no deci 2 2 8 4 2" xfId="8416" xr:uid="{00000000-0005-0000-0000-0000FB260000}"/>
    <cellStyle name="Data no deci 2 2 8 5" xfId="8417" xr:uid="{00000000-0005-0000-0000-0000FC260000}"/>
    <cellStyle name="Data no deci 2 2 8 5 2" xfId="8418" xr:uid="{00000000-0005-0000-0000-0000FD260000}"/>
    <cellStyle name="Data no deci 2 2 8 6" xfId="8419" xr:uid="{00000000-0005-0000-0000-0000FE260000}"/>
    <cellStyle name="Data no deci 2 2 8 6 2" xfId="8420" xr:uid="{00000000-0005-0000-0000-0000FF260000}"/>
    <cellStyle name="Data no deci 2 2 8 7" xfId="8421" xr:uid="{00000000-0005-0000-0000-000000270000}"/>
    <cellStyle name="Data no deci 2 2 8 7 2" xfId="8422" xr:uid="{00000000-0005-0000-0000-000001270000}"/>
    <cellStyle name="Data no deci 2 2 8 8" xfId="8423" xr:uid="{00000000-0005-0000-0000-000002270000}"/>
    <cellStyle name="Data no deci 2 2 8 8 2" xfId="8424" xr:uid="{00000000-0005-0000-0000-000003270000}"/>
    <cellStyle name="Data no deci 2 2 8 9" xfId="8425" xr:uid="{00000000-0005-0000-0000-000004270000}"/>
    <cellStyle name="Data no deci 2 2 8 9 2" xfId="8426" xr:uid="{00000000-0005-0000-0000-000005270000}"/>
    <cellStyle name="Data no deci 2 2 9" xfId="8427" xr:uid="{00000000-0005-0000-0000-000006270000}"/>
    <cellStyle name="Data no deci 2 2 9 10" xfId="8428" xr:uid="{00000000-0005-0000-0000-000007270000}"/>
    <cellStyle name="Data no deci 2 2 9 2" xfId="8429" xr:uid="{00000000-0005-0000-0000-000008270000}"/>
    <cellStyle name="Data no deci 2 2 9 2 2" xfId="8430" xr:uid="{00000000-0005-0000-0000-000009270000}"/>
    <cellStyle name="Data no deci 2 2 9 3" xfId="8431" xr:uid="{00000000-0005-0000-0000-00000A270000}"/>
    <cellStyle name="Data no deci 2 2 9 3 2" xfId="8432" xr:uid="{00000000-0005-0000-0000-00000B270000}"/>
    <cellStyle name="Data no deci 2 2 9 4" xfId="8433" xr:uid="{00000000-0005-0000-0000-00000C270000}"/>
    <cellStyle name="Data no deci 2 2 9 4 2" xfId="8434" xr:uid="{00000000-0005-0000-0000-00000D270000}"/>
    <cellStyle name="Data no deci 2 2 9 5" xfId="8435" xr:uid="{00000000-0005-0000-0000-00000E270000}"/>
    <cellStyle name="Data no deci 2 2 9 5 2" xfId="8436" xr:uid="{00000000-0005-0000-0000-00000F270000}"/>
    <cellStyle name="Data no deci 2 2 9 6" xfId="8437" xr:uid="{00000000-0005-0000-0000-000010270000}"/>
    <cellStyle name="Data no deci 2 2 9 6 2" xfId="8438" xr:uid="{00000000-0005-0000-0000-000011270000}"/>
    <cellStyle name="Data no deci 2 2 9 7" xfId="8439" xr:uid="{00000000-0005-0000-0000-000012270000}"/>
    <cellStyle name="Data no deci 2 2 9 7 2" xfId="8440" xr:uid="{00000000-0005-0000-0000-000013270000}"/>
    <cellStyle name="Data no deci 2 2 9 8" xfId="8441" xr:uid="{00000000-0005-0000-0000-000014270000}"/>
    <cellStyle name="Data no deci 2 2 9 8 2" xfId="8442" xr:uid="{00000000-0005-0000-0000-000015270000}"/>
    <cellStyle name="Data no deci 2 2 9 9" xfId="8443" xr:uid="{00000000-0005-0000-0000-000016270000}"/>
    <cellStyle name="Data no deci 2 2 9 9 2" xfId="8444" xr:uid="{00000000-0005-0000-0000-000017270000}"/>
    <cellStyle name="Data no deci 2 3" xfId="8445" xr:uid="{00000000-0005-0000-0000-000018270000}"/>
    <cellStyle name="Data no deci 2 3 10" xfId="8446" xr:uid="{00000000-0005-0000-0000-000019270000}"/>
    <cellStyle name="Data no deci 2 3 10 10" xfId="8447" xr:uid="{00000000-0005-0000-0000-00001A270000}"/>
    <cellStyle name="Data no deci 2 3 10 2" xfId="8448" xr:uid="{00000000-0005-0000-0000-00001B270000}"/>
    <cellStyle name="Data no deci 2 3 10 2 2" xfId="8449" xr:uid="{00000000-0005-0000-0000-00001C270000}"/>
    <cellStyle name="Data no deci 2 3 10 3" xfId="8450" xr:uid="{00000000-0005-0000-0000-00001D270000}"/>
    <cellStyle name="Data no deci 2 3 10 3 2" xfId="8451" xr:uid="{00000000-0005-0000-0000-00001E270000}"/>
    <cellStyle name="Data no deci 2 3 10 4" xfId="8452" xr:uid="{00000000-0005-0000-0000-00001F270000}"/>
    <cellStyle name="Data no deci 2 3 10 4 2" xfId="8453" xr:uid="{00000000-0005-0000-0000-000020270000}"/>
    <cellStyle name="Data no deci 2 3 10 5" xfId="8454" xr:uid="{00000000-0005-0000-0000-000021270000}"/>
    <cellStyle name="Data no deci 2 3 10 5 2" xfId="8455" xr:uid="{00000000-0005-0000-0000-000022270000}"/>
    <cellStyle name="Data no deci 2 3 10 6" xfId="8456" xr:uid="{00000000-0005-0000-0000-000023270000}"/>
    <cellStyle name="Data no deci 2 3 10 6 2" xfId="8457" xr:uid="{00000000-0005-0000-0000-000024270000}"/>
    <cellStyle name="Data no deci 2 3 10 7" xfId="8458" xr:uid="{00000000-0005-0000-0000-000025270000}"/>
    <cellStyle name="Data no deci 2 3 10 7 2" xfId="8459" xr:uid="{00000000-0005-0000-0000-000026270000}"/>
    <cellStyle name="Data no deci 2 3 10 8" xfId="8460" xr:uid="{00000000-0005-0000-0000-000027270000}"/>
    <cellStyle name="Data no deci 2 3 10 8 2" xfId="8461" xr:uid="{00000000-0005-0000-0000-000028270000}"/>
    <cellStyle name="Data no deci 2 3 10 9" xfId="8462" xr:uid="{00000000-0005-0000-0000-000029270000}"/>
    <cellStyle name="Data no deci 2 3 10 9 2" xfId="8463" xr:uid="{00000000-0005-0000-0000-00002A270000}"/>
    <cellStyle name="Data no deci 2 3 11" xfId="8464" xr:uid="{00000000-0005-0000-0000-00002B270000}"/>
    <cellStyle name="Data no deci 2 3 11 2" xfId="8465" xr:uid="{00000000-0005-0000-0000-00002C270000}"/>
    <cellStyle name="Data no deci 2 3 11 2 2" xfId="8466" xr:uid="{00000000-0005-0000-0000-00002D270000}"/>
    <cellStyle name="Data no deci 2 3 11 3" xfId="8467" xr:uid="{00000000-0005-0000-0000-00002E270000}"/>
    <cellStyle name="Data no deci 2 3 11 3 2" xfId="8468" xr:uid="{00000000-0005-0000-0000-00002F270000}"/>
    <cellStyle name="Data no deci 2 3 11 4" xfId="8469" xr:uid="{00000000-0005-0000-0000-000030270000}"/>
    <cellStyle name="Data no deci 2 3 11 4 2" xfId="8470" xr:uid="{00000000-0005-0000-0000-000031270000}"/>
    <cellStyle name="Data no deci 2 3 11 5" xfId="8471" xr:uid="{00000000-0005-0000-0000-000032270000}"/>
    <cellStyle name="Data no deci 2 3 11 5 2" xfId="8472" xr:uid="{00000000-0005-0000-0000-000033270000}"/>
    <cellStyle name="Data no deci 2 3 11 6" xfId="8473" xr:uid="{00000000-0005-0000-0000-000034270000}"/>
    <cellStyle name="Data no deci 2 3 11 6 2" xfId="8474" xr:uid="{00000000-0005-0000-0000-000035270000}"/>
    <cellStyle name="Data no deci 2 3 11 7" xfId="8475" xr:uid="{00000000-0005-0000-0000-000036270000}"/>
    <cellStyle name="Data no deci 2 3 11 7 2" xfId="8476" xr:uid="{00000000-0005-0000-0000-000037270000}"/>
    <cellStyle name="Data no deci 2 3 11 8" xfId="8477" xr:uid="{00000000-0005-0000-0000-000038270000}"/>
    <cellStyle name="Data no deci 2 3 11 8 2" xfId="8478" xr:uid="{00000000-0005-0000-0000-000039270000}"/>
    <cellStyle name="Data no deci 2 3 11 9" xfId="8479" xr:uid="{00000000-0005-0000-0000-00003A270000}"/>
    <cellStyle name="Data no deci 2 3 2" xfId="8480" xr:uid="{00000000-0005-0000-0000-00003B270000}"/>
    <cellStyle name="Data no deci 2 3 2 10" xfId="8481" xr:uid="{00000000-0005-0000-0000-00003C270000}"/>
    <cellStyle name="Data no deci 2 3 2 2" xfId="8482" xr:uid="{00000000-0005-0000-0000-00003D270000}"/>
    <cellStyle name="Data no deci 2 3 2 2 2" xfId="8483" xr:uid="{00000000-0005-0000-0000-00003E270000}"/>
    <cellStyle name="Data no deci 2 3 2 3" xfId="8484" xr:uid="{00000000-0005-0000-0000-00003F270000}"/>
    <cellStyle name="Data no deci 2 3 2 3 2" xfId="8485" xr:uid="{00000000-0005-0000-0000-000040270000}"/>
    <cellStyle name="Data no deci 2 3 2 4" xfId="8486" xr:uid="{00000000-0005-0000-0000-000041270000}"/>
    <cellStyle name="Data no deci 2 3 2 4 2" xfId="8487" xr:uid="{00000000-0005-0000-0000-000042270000}"/>
    <cellStyle name="Data no deci 2 3 2 5" xfId="8488" xr:uid="{00000000-0005-0000-0000-000043270000}"/>
    <cellStyle name="Data no deci 2 3 2 5 2" xfId="8489" xr:uid="{00000000-0005-0000-0000-000044270000}"/>
    <cellStyle name="Data no deci 2 3 2 6" xfId="8490" xr:uid="{00000000-0005-0000-0000-000045270000}"/>
    <cellStyle name="Data no deci 2 3 2 6 2" xfId="8491" xr:uid="{00000000-0005-0000-0000-000046270000}"/>
    <cellStyle name="Data no deci 2 3 2 7" xfId="8492" xr:uid="{00000000-0005-0000-0000-000047270000}"/>
    <cellStyle name="Data no deci 2 3 2 7 2" xfId="8493" xr:uid="{00000000-0005-0000-0000-000048270000}"/>
    <cellStyle name="Data no deci 2 3 2 8" xfId="8494" xr:uid="{00000000-0005-0000-0000-000049270000}"/>
    <cellStyle name="Data no deci 2 3 2 8 2" xfId="8495" xr:uid="{00000000-0005-0000-0000-00004A270000}"/>
    <cellStyle name="Data no deci 2 3 2 9" xfId="8496" xr:uid="{00000000-0005-0000-0000-00004B270000}"/>
    <cellStyle name="Data no deci 2 3 2 9 2" xfId="8497" xr:uid="{00000000-0005-0000-0000-00004C270000}"/>
    <cellStyle name="Data no deci 2 3 3" xfId="8498" xr:uid="{00000000-0005-0000-0000-00004D270000}"/>
    <cellStyle name="Data no deci 2 3 3 10" xfId="8499" xr:uid="{00000000-0005-0000-0000-00004E270000}"/>
    <cellStyle name="Data no deci 2 3 3 2" xfId="8500" xr:uid="{00000000-0005-0000-0000-00004F270000}"/>
    <cellStyle name="Data no deci 2 3 3 2 2" xfId="8501" xr:uid="{00000000-0005-0000-0000-000050270000}"/>
    <cellStyle name="Data no deci 2 3 3 3" xfId="8502" xr:uid="{00000000-0005-0000-0000-000051270000}"/>
    <cellStyle name="Data no deci 2 3 3 3 2" xfId="8503" xr:uid="{00000000-0005-0000-0000-000052270000}"/>
    <cellStyle name="Data no deci 2 3 3 4" xfId="8504" xr:uid="{00000000-0005-0000-0000-000053270000}"/>
    <cellStyle name="Data no deci 2 3 3 4 2" xfId="8505" xr:uid="{00000000-0005-0000-0000-000054270000}"/>
    <cellStyle name="Data no deci 2 3 3 5" xfId="8506" xr:uid="{00000000-0005-0000-0000-000055270000}"/>
    <cellStyle name="Data no deci 2 3 3 5 2" xfId="8507" xr:uid="{00000000-0005-0000-0000-000056270000}"/>
    <cellStyle name="Data no deci 2 3 3 6" xfId="8508" xr:uid="{00000000-0005-0000-0000-000057270000}"/>
    <cellStyle name="Data no deci 2 3 3 6 2" xfId="8509" xr:uid="{00000000-0005-0000-0000-000058270000}"/>
    <cellStyle name="Data no deci 2 3 3 7" xfId="8510" xr:uid="{00000000-0005-0000-0000-000059270000}"/>
    <cellStyle name="Data no deci 2 3 3 7 2" xfId="8511" xr:uid="{00000000-0005-0000-0000-00005A270000}"/>
    <cellStyle name="Data no deci 2 3 3 8" xfId="8512" xr:uid="{00000000-0005-0000-0000-00005B270000}"/>
    <cellStyle name="Data no deci 2 3 3 8 2" xfId="8513" xr:uid="{00000000-0005-0000-0000-00005C270000}"/>
    <cellStyle name="Data no deci 2 3 3 9" xfId="8514" xr:uid="{00000000-0005-0000-0000-00005D270000}"/>
    <cellStyle name="Data no deci 2 3 3 9 2" xfId="8515" xr:uid="{00000000-0005-0000-0000-00005E270000}"/>
    <cellStyle name="Data no deci 2 3 4" xfId="8516" xr:uid="{00000000-0005-0000-0000-00005F270000}"/>
    <cellStyle name="Data no deci 2 3 4 10" xfId="8517" xr:uid="{00000000-0005-0000-0000-000060270000}"/>
    <cellStyle name="Data no deci 2 3 4 2" xfId="8518" xr:uid="{00000000-0005-0000-0000-000061270000}"/>
    <cellStyle name="Data no deci 2 3 4 2 2" xfId="8519" xr:uid="{00000000-0005-0000-0000-000062270000}"/>
    <cellStyle name="Data no deci 2 3 4 3" xfId="8520" xr:uid="{00000000-0005-0000-0000-000063270000}"/>
    <cellStyle name="Data no deci 2 3 4 3 2" xfId="8521" xr:uid="{00000000-0005-0000-0000-000064270000}"/>
    <cellStyle name="Data no deci 2 3 4 4" xfId="8522" xr:uid="{00000000-0005-0000-0000-000065270000}"/>
    <cellStyle name="Data no deci 2 3 4 4 2" xfId="8523" xr:uid="{00000000-0005-0000-0000-000066270000}"/>
    <cellStyle name="Data no deci 2 3 4 5" xfId="8524" xr:uid="{00000000-0005-0000-0000-000067270000}"/>
    <cellStyle name="Data no deci 2 3 4 5 2" xfId="8525" xr:uid="{00000000-0005-0000-0000-000068270000}"/>
    <cellStyle name="Data no deci 2 3 4 6" xfId="8526" xr:uid="{00000000-0005-0000-0000-000069270000}"/>
    <cellStyle name="Data no deci 2 3 4 6 2" xfId="8527" xr:uid="{00000000-0005-0000-0000-00006A270000}"/>
    <cellStyle name="Data no deci 2 3 4 7" xfId="8528" xr:uid="{00000000-0005-0000-0000-00006B270000}"/>
    <cellStyle name="Data no deci 2 3 4 7 2" xfId="8529" xr:uid="{00000000-0005-0000-0000-00006C270000}"/>
    <cellStyle name="Data no deci 2 3 4 8" xfId="8530" xr:uid="{00000000-0005-0000-0000-00006D270000}"/>
    <cellStyle name="Data no deci 2 3 4 8 2" xfId="8531" xr:uid="{00000000-0005-0000-0000-00006E270000}"/>
    <cellStyle name="Data no deci 2 3 4 9" xfId="8532" xr:uid="{00000000-0005-0000-0000-00006F270000}"/>
    <cellStyle name="Data no deci 2 3 4 9 2" xfId="8533" xr:uid="{00000000-0005-0000-0000-000070270000}"/>
    <cellStyle name="Data no deci 2 3 5" xfId="8534" xr:uid="{00000000-0005-0000-0000-000071270000}"/>
    <cellStyle name="Data no deci 2 3 5 10" xfId="8535" xr:uid="{00000000-0005-0000-0000-000072270000}"/>
    <cellStyle name="Data no deci 2 3 5 2" xfId="8536" xr:uid="{00000000-0005-0000-0000-000073270000}"/>
    <cellStyle name="Data no deci 2 3 5 2 2" xfId="8537" xr:uid="{00000000-0005-0000-0000-000074270000}"/>
    <cellStyle name="Data no deci 2 3 5 3" xfId="8538" xr:uid="{00000000-0005-0000-0000-000075270000}"/>
    <cellStyle name="Data no deci 2 3 5 3 2" xfId="8539" xr:uid="{00000000-0005-0000-0000-000076270000}"/>
    <cellStyle name="Data no deci 2 3 5 4" xfId="8540" xr:uid="{00000000-0005-0000-0000-000077270000}"/>
    <cellStyle name="Data no deci 2 3 5 4 2" xfId="8541" xr:uid="{00000000-0005-0000-0000-000078270000}"/>
    <cellStyle name="Data no deci 2 3 5 5" xfId="8542" xr:uid="{00000000-0005-0000-0000-000079270000}"/>
    <cellStyle name="Data no deci 2 3 5 5 2" xfId="8543" xr:uid="{00000000-0005-0000-0000-00007A270000}"/>
    <cellStyle name="Data no deci 2 3 5 6" xfId="8544" xr:uid="{00000000-0005-0000-0000-00007B270000}"/>
    <cellStyle name="Data no deci 2 3 5 6 2" xfId="8545" xr:uid="{00000000-0005-0000-0000-00007C270000}"/>
    <cellStyle name="Data no deci 2 3 5 7" xfId="8546" xr:uid="{00000000-0005-0000-0000-00007D270000}"/>
    <cellStyle name="Data no deci 2 3 5 7 2" xfId="8547" xr:uid="{00000000-0005-0000-0000-00007E270000}"/>
    <cellStyle name="Data no deci 2 3 5 8" xfId="8548" xr:uid="{00000000-0005-0000-0000-00007F270000}"/>
    <cellStyle name="Data no deci 2 3 5 8 2" xfId="8549" xr:uid="{00000000-0005-0000-0000-000080270000}"/>
    <cellStyle name="Data no deci 2 3 5 9" xfId="8550" xr:uid="{00000000-0005-0000-0000-000081270000}"/>
    <cellStyle name="Data no deci 2 3 5 9 2" xfId="8551" xr:uid="{00000000-0005-0000-0000-000082270000}"/>
    <cellStyle name="Data no deci 2 3 6" xfId="8552" xr:uid="{00000000-0005-0000-0000-000083270000}"/>
    <cellStyle name="Data no deci 2 3 6 10" xfId="8553" xr:uid="{00000000-0005-0000-0000-000084270000}"/>
    <cellStyle name="Data no deci 2 3 6 2" xfId="8554" xr:uid="{00000000-0005-0000-0000-000085270000}"/>
    <cellStyle name="Data no deci 2 3 6 2 2" xfId="8555" xr:uid="{00000000-0005-0000-0000-000086270000}"/>
    <cellStyle name="Data no deci 2 3 6 3" xfId="8556" xr:uid="{00000000-0005-0000-0000-000087270000}"/>
    <cellStyle name="Data no deci 2 3 6 3 2" xfId="8557" xr:uid="{00000000-0005-0000-0000-000088270000}"/>
    <cellStyle name="Data no deci 2 3 6 4" xfId="8558" xr:uid="{00000000-0005-0000-0000-000089270000}"/>
    <cellStyle name="Data no deci 2 3 6 4 2" xfId="8559" xr:uid="{00000000-0005-0000-0000-00008A270000}"/>
    <cellStyle name="Data no deci 2 3 6 5" xfId="8560" xr:uid="{00000000-0005-0000-0000-00008B270000}"/>
    <cellStyle name="Data no deci 2 3 6 5 2" xfId="8561" xr:uid="{00000000-0005-0000-0000-00008C270000}"/>
    <cellStyle name="Data no deci 2 3 6 6" xfId="8562" xr:uid="{00000000-0005-0000-0000-00008D270000}"/>
    <cellStyle name="Data no deci 2 3 6 6 2" xfId="8563" xr:uid="{00000000-0005-0000-0000-00008E270000}"/>
    <cellStyle name="Data no deci 2 3 6 7" xfId="8564" xr:uid="{00000000-0005-0000-0000-00008F270000}"/>
    <cellStyle name="Data no deci 2 3 6 7 2" xfId="8565" xr:uid="{00000000-0005-0000-0000-000090270000}"/>
    <cellStyle name="Data no deci 2 3 6 8" xfId="8566" xr:uid="{00000000-0005-0000-0000-000091270000}"/>
    <cellStyle name="Data no deci 2 3 6 8 2" xfId="8567" xr:uid="{00000000-0005-0000-0000-000092270000}"/>
    <cellStyle name="Data no deci 2 3 6 9" xfId="8568" xr:uid="{00000000-0005-0000-0000-000093270000}"/>
    <cellStyle name="Data no deci 2 3 6 9 2" xfId="8569" xr:uid="{00000000-0005-0000-0000-000094270000}"/>
    <cellStyle name="Data no deci 2 3 7" xfId="8570" xr:uid="{00000000-0005-0000-0000-000095270000}"/>
    <cellStyle name="Data no deci 2 3 7 10" xfId="8571" xr:uid="{00000000-0005-0000-0000-000096270000}"/>
    <cellStyle name="Data no deci 2 3 7 2" xfId="8572" xr:uid="{00000000-0005-0000-0000-000097270000}"/>
    <cellStyle name="Data no deci 2 3 7 2 2" xfId="8573" xr:uid="{00000000-0005-0000-0000-000098270000}"/>
    <cellStyle name="Data no deci 2 3 7 3" xfId="8574" xr:uid="{00000000-0005-0000-0000-000099270000}"/>
    <cellStyle name="Data no deci 2 3 7 3 2" xfId="8575" xr:uid="{00000000-0005-0000-0000-00009A270000}"/>
    <cellStyle name="Data no deci 2 3 7 4" xfId="8576" xr:uid="{00000000-0005-0000-0000-00009B270000}"/>
    <cellStyle name="Data no deci 2 3 7 4 2" xfId="8577" xr:uid="{00000000-0005-0000-0000-00009C270000}"/>
    <cellStyle name="Data no deci 2 3 7 5" xfId="8578" xr:uid="{00000000-0005-0000-0000-00009D270000}"/>
    <cellStyle name="Data no deci 2 3 7 5 2" xfId="8579" xr:uid="{00000000-0005-0000-0000-00009E270000}"/>
    <cellStyle name="Data no deci 2 3 7 6" xfId="8580" xr:uid="{00000000-0005-0000-0000-00009F270000}"/>
    <cellStyle name="Data no deci 2 3 7 6 2" xfId="8581" xr:uid="{00000000-0005-0000-0000-0000A0270000}"/>
    <cellStyle name="Data no deci 2 3 7 7" xfId="8582" xr:uid="{00000000-0005-0000-0000-0000A1270000}"/>
    <cellStyle name="Data no deci 2 3 7 7 2" xfId="8583" xr:uid="{00000000-0005-0000-0000-0000A2270000}"/>
    <cellStyle name="Data no deci 2 3 7 8" xfId="8584" xr:uid="{00000000-0005-0000-0000-0000A3270000}"/>
    <cellStyle name="Data no deci 2 3 7 8 2" xfId="8585" xr:uid="{00000000-0005-0000-0000-0000A4270000}"/>
    <cellStyle name="Data no deci 2 3 7 9" xfId="8586" xr:uid="{00000000-0005-0000-0000-0000A5270000}"/>
    <cellStyle name="Data no deci 2 3 7 9 2" xfId="8587" xr:uid="{00000000-0005-0000-0000-0000A6270000}"/>
    <cellStyle name="Data no deci 2 3 8" xfId="8588" xr:uid="{00000000-0005-0000-0000-0000A7270000}"/>
    <cellStyle name="Data no deci 2 3 8 10" xfId="8589" xr:uid="{00000000-0005-0000-0000-0000A8270000}"/>
    <cellStyle name="Data no deci 2 3 8 2" xfId="8590" xr:uid="{00000000-0005-0000-0000-0000A9270000}"/>
    <cellStyle name="Data no deci 2 3 8 2 2" xfId="8591" xr:uid="{00000000-0005-0000-0000-0000AA270000}"/>
    <cellStyle name="Data no deci 2 3 8 3" xfId="8592" xr:uid="{00000000-0005-0000-0000-0000AB270000}"/>
    <cellStyle name="Data no deci 2 3 8 3 2" xfId="8593" xr:uid="{00000000-0005-0000-0000-0000AC270000}"/>
    <cellStyle name="Data no deci 2 3 8 4" xfId="8594" xr:uid="{00000000-0005-0000-0000-0000AD270000}"/>
    <cellStyle name="Data no deci 2 3 8 4 2" xfId="8595" xr:uid="{00000000-0005-0000-0000-0000AE270000}"/>
    <cellStyle name="Data no deci 2 3 8 5" xfId="8596" xr:uid="{00000000-0005-0000-0000-0000AF270000}"/>
    <cellStyle name="Data no deci 2 3 8 5 2" xfId="8597" xr:uid="{00000000-0005-0000-0000-0000B0270000}"/>
    <cellStyle name="Data no deci 2 3 8 6" xfId="8598" xr:uid="{00000000-0005-0000-0000-0000B1270000}"/>
    <cellStyle name="Data no deci 2 3 8 6 2" xfId="8599" xr:uid="{00000000-0005-0000-0000-0000B2270000}"/>
    <cellStyle name="Data no deci 2 3 8 7" xfId="8600" xr:uid="{00000000-0005-0000-0000-0000B3270000}"/>
    <cellStyle name="Data no deci 2 3 8 7 2" xfId="8601" xr:uid="{00000000-0005-0000-0000-0000B4270000}"/>
    <cellStyle name="Data no deci 2 3 8 8" xfId="8602" xr:uid="{00000000-0005-0000-0000-0000B5270000}"/>
    <cellStyle name="Data no deci 2 3 8 8 2" xfId="8603" xr:uid="{00000000-0005-0000-0000-0000B6270000}"/>
    <cellStyle name="Data no deci 2 3 8 9" xfId="8604" xr:uid="{00000000-0005-0000-0000-0000B7270000}"/>
    <cellStyle name="Data no deci 2 3 8 9 2" xfId="8605" xr:uid="{00000000-0005-0000-0000-0000B8270000}"/>
    <cellStyle name="Data no deci 2 3 9" xfId="8606" xr:uid="{00000000-0005-0000-0000-0000B9270000}"/>
    <cellStyle name="Data no deci 2 3 9 10" xfId="8607" xr:uid="{00000000-0005-0000-0000-0000BA270000}"/>
    <cellStyle name="Data no deci 2 3 9 2" xfId="8608" xr:uid="{00000000-0005-0000-0000-0000BB270000}"/>
    <cellStyle name="Data no deci 2 3 9 2 2" xfId="8609" xr:uid="{00000000-0005-0000-0000-0000BC270000}"/>
    <cellStyle name="Data no deci 2 3 9 3" xfId="8610" xr:uid="{00000000-0005-0000-0000-0000BD270000}"/>
    <cellStyle name="Data no deci 2 3 9 3 2" xfId="8611" xr:uid="{00000000-0005-0000-0000-0000BE270000}"/>
    <cellStyle name="Data no deci 2 3 9 4" xfId="8612" xr:uid="{00000000-0005-0000-0000-0000BF270000}"/>
    <cellStyle name="Data no deci 2 3 9 4 2" xfId="8613" xr:uid="{00000000-0005-0000-0000-0000C0270000}"/>
    <cellStyle name="Data no deci 2 3 9 5" xfId="8614" xr:uid="{00000000-0005-0000-0000-0000C1270000}"/>
    <cellStyle name="Data no deci 2 3 9 5 2" xfId="8615" xr:uid="{00000000-0005-0000-0000-0000C2270000}"/>
    <cellStyle name="Data no deci 2 3 9 6" xfId="8616" xr:uid="{00000000-0005-0000-0000-0000C3270000}"/>
    <cellStyle name="Data no deci 2 3 9 6 2" xfId="8617" xr:uid="{00000000-0005-0000-0000-0000C4270000}"/>
    <cellStyle name="Data no deci 2 3 9 7" xfId="8618" xr:uid="{00000000-0005-0000-0000-0000C5270000}"/>
    <cellStyle name="Data no deci 2 3 9 7 2" xfId="8619" xr:uid="{00000000-0005-0000-0000-0000C6270000}"/>
    <cellStyle name="Data no deci 2 3 9 8" xfId="8620" xr:uid="{00000000-0005-0000-0000-0000C7270000}"/>
    <cellStyle name="Data no deci 2 3 9 8 2" xfId="8621" xr:uid="{00000000-0005-0000-0000-0000C8270000}"/>
    <cellStyle name="Data no deci 2 3 9 9" xfId="8622" xr:uid="{00000000-0005-0000-0000-0000C9270000}"/>
    <cellStyle name="Data no deci 2 3 9 9 2" xfId="8623" xr:uid="{00000000-0005-0000-0000-0000CA270000}"/>
    <cellStyle name="Data no deci 2 4" xfId="8624" xr:uid="{00000000-0005-0000-0000-0000CB270000}"/>
    <cellStyle name="Data no deci 2 4 10" xfId="8625" xr:uid="{00000000-0005-0000-0000-0000CC270000}"/>
    <cellStyle name="Data no deci 2 4 10 2" xfId="8626" xr:uid="{00000000-0005-0000-0000-0000CD270000}"/>
    <cellStyle name="Data no deci 2 4 10 2 2" xfId="8627" xr:uid="{00000000-0005-0000-0000-0000CE270000}"/>
    <cellStyle name="Data no deci 2 4 10 3" xfId="8628" xr:uid="{00000000-0005-0000-0000-0000CF270000}"/>
    <cellStyle name="Data no deci 2 4 10 3 2" xfId="8629" xr:uid="{00000000-0005-0000-0000-0000D0270000}"/>
    <cellStyle name="Data no deci 2 4 10 4" xfId="8630" xr:uid="{00000000-0005-0000-0000-0000D1270000}"/>
    <cellStyle name="Data no deci 2 4 10 4 2" xfId="8631" xr:uid="{00000000-0005-0000-0000-0000D2270000}"/>
    <cellStyle name="Data no deci 2 4 10 5" xfId="8632" xr:uid="{00000000-0005-0000-0000-0000D3270000}"/>
    <cellStyle name="Data no deci 2 4 10 5 2" xfId="8633" xr:uid="{00000000-0005-0000-0000-0000D4270000}"/>
    <cellStyle name="Data no deci 2 4 10 6" xfId="8634" xr:uid="{00000000-0005-0000-0000-0000D5270000}"/>
    <cellStyle name="Data no deci 2 4 10 6 2" xfId="8635" xr:uid="{00000000-0005-0000-0000-0000D6270000}"/>
    <cellStyle name="Data no deci 2 4 10 7" xfId="8636" xr:uid="{00000000-0005-0000-0000-0000D7270000}"/>
    <cellStyle name="Data no deci 2 4 10 7 2" xfId="8637" xr:uid="{00000000-0005-0000-0000-0000D8270000}"/>
    <cellStyle name="Data no deci 2 4 10 8" xfId="8638" xr:uid="{00000000-0005-0000-0000-0000D9270000}"/>
    <cellStyle name="Data no deci 2 4 10 8 2" xfId="8639" xr:uid="{00000000-0005-0000-0000-0000DA270000}"/>
    <cellStyle name="Data no deci 2 4 10 9" xfId="8640" xr:uid="{00000000-0005-0000-0000-0000DB270000}"/>
    <cellStyle name="Data no deci 2 4 11" xfId="8641" xr:uid="{00000000-0005-0000-0000-0000DC270000}"/>
    <cellStyle name="Data no deci 2 4 11 2" xfId="8642" xr:uid="{00000000-0005-0000-0000-0000DD270000}"/>
    <cellStyle name="Data no deci 2 4 12" xfId="8643" xr:uid="{00000000-0005-0000-0000-0000DE270000}"/>
    <cellStyle name="Data no deci 2 4 12 2" xfId="8644" xr:uid="{00000000-0005-0000-0000-0000DF270000}"/>
    <cellStyle name="Data no deci 2 4 13" xfId="8645" xr:uid="{00000000-0005-0000-0000-0000E0270000}"/>
    <cellStyle name="Data no deci 2 4 13 2" xfId="8646" xr:uid="{00000000-0005-0000-0000-0000E1270000}"/>
    <cellStyle name="Data no deci 2 4 14" xfId="8647" xr:uid="{00000000-0005-0000-0000-0000E2270000}"/>
    <cellStyle name="Data no deci 2 4 14 2" xfId="8648" xr:uid="{00000000-0005-0000-0000-0000E3270000}"/>
    <cellStyle name="Data no deci 2 4 15" xfId="8649" xr:uid="{00000000-0005-0000-0000-0000E4270000}"/>
    <cellStyle name="Data no deci 2 4 15 2" xfId="8650" xr:uid="{00000000-0005-0000-0000-0000E5270000}"/>
    <cellStyle name="Data no deci 2 4 16" xfId="8651" xr:uid="{00000000-0005-0000-0000-0000E6270000}"/>
    <cellStyle name="Data no deci 2 4 16 2" xfId="8652" xr:uid="{00000000-0005-0000-0000-0000E7270000}"/>
    <cellStyle name="Data no deci 2 4 17" xfId="8653" xr:uid="{00000000-0005-0000-0000-0000E8270000}"/>
    <cellStyle name="Data no deci 2 4 17 2" xfId="8654" xr:uid="{00000000-0005-0000-0000-0000E9270000}"/>
    <cellStyle name="Data no deci 2 4 18" xfId="8655" xr:uid="{00000000-0005-0000-0000-0000EA270000}"/>
    <cellStyle name="Data no deci 2 4 2" xfId="8656" xr:uid="{00000000-0005-0000-0000-0000EB270000}"/>
    <cellStyle name="Data no deci 2 4 2 10" xfId="8657" xr:uid="{00000000-0005-0000-0000-0000EC270000}"/>
    <cellStyle name="Data no deci 2 4 2 2" xfId="8658" xr:uid="{00000000-0005-0000-0000-0000ED270000}"/>
    <cellStyle name="Data no deci 2 4 2 2 2" xfId="8659" xr:uid="{00000000-0005-0000-0000-0000EE270000}"/>
    <cellStyle name="Data no deci 2 4 2 3" xfId="8660" xr:uid="{00000000-0005-0000-0000-0000EF270000}"/>
    <cellStyle name="Data no deci 2 4 2 3 2" xfId="8661" xr:uid="{00000000-0005-0000-0000-0000F0270000}"/>
    <cellStyle name="Data no deci 2 4 2 4" xfId="8662" xr:uid="{00000000-0005-0000-0000-0000F1270000}"/>
    <cellStyle name="Data no deci 2 4 2 4 2" xfId="8663" xr:uid="{00000000-0005-0000-0000-0000F2270000}"/>
    <cellStyle name="Data no deci 2 4 2 5" xfId="8664" xr:uid="{00000000-0005-0000-0000-0000F3270000}"/>
    <cellStyle name="Data no deci 2 4 2 5 2" xfId="8665" xr:uid="{00000000-0005-0000-0000-0000F4270000}"/>
    <cellStyle name="Data no deci 2 4 2 6" xfId="8666" xr:uid="{00000000-0005-0000-0000-0000F5270000}"/>
    <cellStyle name="Data no deci 2 4 2 6 2" xfId="8667" xr:uid="{00000000-0005-0000-0000-0000F6270000}"/>
    <cellStyle name="Data no deci 2 4 2 7" xfId="8668" xr:uid="{00000000-0005-0000-0000-0000F7270000}"/>
    <cellStyle name="Data no deci 2 4 2 7 2" xfId="8669" xr:uid="{00000000-0005-0000-0000-0000F8270000}"/>
    <cellStyle name="Data no deci 2 4 2 8" xfId="8670" xr:uid="{00000000-0005-0000-0000-0000F9270000}"/>
    <cellStyle name="Data no deci 2 4 2 8 2" xfId="8671" xr:uid="{00000000-0005-0000-0000-0000FA270000}"/>
    <cellStyle name="Data no deci 2 4 2 9" xfId="8672" xr:uid="{00000000-0005-0000-0000-0000FB270000}"/>
    <cellStyle name="Data no deci 2 4 2 9 2" xfId="8673" xr:uid="{00000000-0005-0000-0000-0000FC270000}"/>
    <cellStyle name="Data no deci 2 4 3" xfId="8674" xr:uid="{00000000-0005-0000-0000-0000FD270000}"/>
    <cellStyle name="Data no deci 2 4 3 10" xfId="8675" xr:uid="{00000000-0005-0000-0000-0000FE270000}"/>
    <cellStyle name="Data no deci 2 4 3 2" xfId="8676" xr:uid="{00000000-0005-0000-0000-0000FF270000}"/>
    <cellStyle name="Data no deci 2 4 3 2 2" xfId="8677" xr:uid="{00000000-0005-0000-0000-000000280000}"/>
    <cellStyle name="Data no deci 2 4 3 3" xfId="8678" xr:uid="{00000000-0005-0000-0000-000001280000}"/>
    <cellStyle name="Data no deci 2 4 3 3 2" xfId="8679" xr:uid="{00000000-0005-0000-0000-000002280000}"/>
    <cellStyle name="Data no deci 2 4 3 4" xfId="8680" xr:uid="{00000000-0005-0000-0000-000003280000}"/>
    <cellStyle name="Data no deci 2 4 3 4 2" xfId="8681" xr:uid="{00000000-0005-0000-0000-000004280000}"/>
    <cellStyle name="Data no deci 2 4 3 5" xfId="8682" xr:uid="{00000000-0005-0000-0000-000005280000}"/>
    <cellStyle name="Data no deci 2 4 3 5 2" xfId="8683" xr:uid="{00000000-0005-0000-0000-000006280000}"/>
    <cellStyle name="Data no deci 2 4 3 6" xfId="8684" xr:uid="{00000000-0005-0000-0000-000007280000}"/>
    <cellStyle name="Data no deci 2 4 3 6 2" xfId="8685" xr:uid="{00000000-0005-0000-0000-000008280000}"/>
    <cellStyle name="Data no deci 2 4 3 7" xfId="8686" xr:uid="{00000000-0005-0000-0000-000009280000}"/>
    <cellStyle name="Data no deci 2 4 3 7 2" xfId="8687" xr:uid="{00000000-0005-0000-0000-00000A280000}"/>
    <cellStyle name="Data no deci 2 4 3 8" xfId="8688" xr:uid="{00000000-0005-0000-0000-00000B280000}"/>
    <cellStyle name="Data no deci 2 4 3 8 2" xfId="8689" xr:uid="{00000000-0005-0000-0000-00000C280000}"/>
    <cellStyle name="Data no deci 2 4 3 9" xfId="8690" xr:uid="{00000000-0005-0000-0000-00000D280000}"/>
    <cellStyle name="Data no deci 2 4 3 9 2" xfId="8691" xr:uid="{00000000-0005-0000-0000-00000E280000}"/>
    <cellStyle name="Data no deci 2 4 4" xfId="8692" xr:uid="{00000000-0005-0000-0000-00000F280000}"/>
    <cellStyle name="Data no deci 2 4 4 10" xfId="8693" xr:uid="{00000000-0005-0000-0000-000010280000}"/>
    <cellStyle name="Data no deci 2 4 4 2" xfId="8694" xr:uid="{00000000-0005-0000-0000-000011280000}"/>
    <cellStyle name="Data no deci 2 4 4 2 2" xfId="8695" xr:uid="{00000000-0005-0000-0000-000012280000}"/>
    <cellStyle name="Data no deci 2 4 4 3" xfId="8696" xr:uid="{00000000-0005-0000-0000-000013280000}"/>
    <cellStyle name="Data no deci 2 4 4 3 2" xfId="8697" xr:uid="{00000000-0005-0000-0000-000014280000}"/>
    <cellStyle name="Data no deci 2 4 4 4" xfId="8698" xr:uid="{00000000-0005-0000-0000-000015280000}"/>
    <cellStyle name="Data no deci 2 4 4 4 2" xfId="8699" xr:uid="{00000000-0005-0000-0000-000016280000}"/>
    <cellStyle name="Data no deci 2 4 4 5" xfId="8700" xr:uid="{00000000-0005-0000-0000-000017280000}"/>
    <cellStyle name="Data no deci 2 4 4 5 2" xfId="8701" xr:uid="{00000000-0005-0000-0000-000018280000}"/>
    <cellStyle name="Data no deci 2 4 4 6" xfId="8702" xr:uid="{00000000-0005-0000-0000-000019280000}"/>
    <cellStyle name="Data no deci 2 4 4 6 2" xfId="8703" xr:uid="{00000000-0005-0000-0000-00001A280000}"/>
    <cellStyle name="Data no deci 2 4 4 7" xfId="8704" xr:uid="{00000000-0005-0000-0000-00001B280000}"/>
    <cellStyle name="Data no deci 2 4 4 7 2" xfId="8705" xr:uid="{00000000-0005-0000-0000-00001C280000}"/>
    <cellStyle name="Data no deci 2 4 4 8" xfId="8706" xr:uid="{00000000-0005-0000-0000-00001D280000}"/>
    <cellStyle name="Data no deci 2 4 4 8 2" xfId="8707" xr:uid="{00000000-0005-0000-0000-00001E280000}"/>
    <cellStyle name="Data no deci 2 4 4 9" xfId="8708" xr:uid="{00000000-0005-0000-0000-00001F280000}"/>
    <cellStyle name="Data no deci 2 4 4 9 2" xfId="8709" xr:uid="{00000000-0005-0000-0000-000020280000}"/>
    <cellStyle name="Data no deci 2 4 5" xfId="8710" xr:uid="{00000000-0005-0000-0000-000021280000}"/>
    <cellStyle name="Data no deci 2 4 5 10" xfId="8711" xr:uid="{00000000-0005-0000-0000-000022280000}"/>
    <cellStyle name="Data no deci 2 4 5 2" xfId="8712" xr:uid="{00000000-0005-0000-0000-000023280000}"/>
    <cellStyle name="Data no deci 2 4 5 2 2" xfId="8713" xr:uid="{00000000-0005-0000-0000-000024280000}"/>
    <cellStyle name="Data no deci 2 4 5 3" xfId="8714" xr:uid="{00000000-0005-0000-0000-000025280000}"/>
    <cellStyle name="Data no deci 2 4 5 3 2" xfId="8715" xr:uid="{00000000-0005-0000-0000-000026280000}"/>
    <cellStyle name="Data no deci 2 4 5 4" xfId="8716" xr:uid="{00000000-0005-0000-0000-000027280000}"/>
    <cellStyle name="Data no deci 2 4 5 4 2" xfId="8717" xr:uid="{00000000-0005-0000-0000-000028280000}"/>
    <cellStyle name="Data no deci 2 4 5 5" xfId="8718" xr:uid="{00000000-0005-0000-0000-000029280000}"/>
    <cellStyle name="Data no deci 2 4 5 5 2" xfId="8719" xr:uid="{00000000-0005-0000-0000-00002A280000}"/>
    <cellStyle name="Data no deci 2 4 5 6" xfId="8720" xr:uid="{00000000-0005-0000-0000-00002B280000}"/>
    <cellStyle name="Data no deci 2 4 5 6 2" xfId="8721" xr:uid="{00000000-0005-0000-0000-00002C280000}"/>
    <cellStyle name="Data no deci 2 4 5 7" xfId="8722" xr:uid="{00000000-0005-0000-0000-00002D280000}"/>
    <cellStyle name="Data no deci 2 4 5 7 2" xfId="8723" xr:uid="{00000000-0005-0000-0000-00002E280000}"/>
    <cellStyle name="Data no deci 2 4 5 8" xfId="8724" xr:uid="{00000000-0005-0000-0000-00002F280000}"/>
    <cellStyle name="Data no deci 2 4 5 8 2" xfId="8725" xr:uid="{00000000-0005-0000-0000-000030280000}"/>
    <cellStyle name="Data no deci 2 4 5 9" xfId="8726" xr:uid="{00000000-0005-0000-0000-000031280000}"/>
    <cellStyle name="Data no deci 2 4 5 9 2" xfId="8727" xr:uid="{00000000-0005-0000-0000-000032280000}"/>
    <cellStyle name="Data no deci 2 4 6" xfId="8728" xr:uid="{00000000-0005-0000-0000-000033280000}"/>
    <cellStyle name="Data no deci 2 4 6 10" xfId="8729" xr:uid="{00000000-0005-0000-0000-000034280000}"/>
    <cellStyle name="Data no deci 2 4 6 2" xfId="8730" xr:uid="{00000000-0005-0000-0000-000035280000}"/>
    <cellStyle name="Data no deci 2 4 6 2 2" xfId="8731" xr:uid="{00000000-0005-0000-0000-000036280000}"/>
    <cellStyle name="Data no deci 2 4 6 3" xfId="8732" xr:uid="{00000000-0005-0000-0000-000037280000}"/>
    <cellStyle name="Data no deci 2 4 6 3 2" xfId="8733" xr:uid="{00000000-0005-0000-0000-000038280000}"/>
    <cellStyle name="Data no deci 2 4 6 4" xfId="8734" xr:uid="{00000000-0005-0000-0000-000039280000}"/>
    <cellStyle name="Data no deci 2 4 6 4 2" xfId="8735" xr:uid="{00000000-0005-0000-0000-00003A280000}"/>
    <cellStyle name="Data no deci 2 4 6 5" xfId="8736" xr:uid="{00000000-0005-0000-0000-00003B280000}"/>
    <cellStyle name="Data no deci 2 4 6 5 2" xfId="8737" xr:uid="{00000000-0005-0000-0000-00003C280000}"/>
    <cellStyle name="Data no deci 2 4 6 6" xfId="8738" xr:uid="{00000000-0005-0000-0000-00003D280000}"/>
    <cellStyle name="Data no deci 2 4 6 6 2" xfId="8739" xr:uid="{00000000-0005-0000-0000-00003E280000}"/>
    <cellStyle name="Data no deci 2 4 6 7" xfId="8740" xr:uid="{00000000-0005-0000-0000-00003F280000}"/>
    <cellStyle name="Data no deci 2 4 6 7 2" xfId="8741" xr:uid="{00000000-0005-0000-0000-000040280000}"/>
    <cellStyle name="Data no deci 2 4 6 8" xfId="8742" xr:uid="{00000000-0005-0000-0000-000041280000}"/>
    <cellStyle name="Data no deci 2 4 6 8 2" xfId="8743" xr:uid="{00000000-0005-0000-0000-000042280000}"/>
    <cellStyle name="Data no deci 2 4 6 9" xfId="8744" xr:uid="{00000000-0005-0000-0000-000043280000}"/>
    <cellStyle name="Data no deci 2 4 6 9 2" xfId="8745" xr:uid="{00000000-0005-0000-0000-000044280000}"/>
    <cellStyle name="Data no deci 2 4 7" xfId="8746" xr:uid="{00000000-0005-0000-0000-000045280000}"/>
    <cellStyle name="Data no deci 2 4 7 10" xfId="8747" xr:uid="{00000000-0005-0000-0000-000046280000}"/>
    <cellStyle name="Data no deci 2 4 7 2" xfId="8748" xr:uid="{00000000-0005-0000-0000-000047280000}"/>
    <cellStyle name="Data no deci 2 4 7 2 2" xfId="8749" xr:uid="{00000000-0005-0000-0000-000048280000}"/>
    <cellStyle name="Data no deci 2 4 7 3" xfId="8750" xr:uid="{00000000-0005-0000-0000-000049280000}"/>
    <cellStyle name="Data no deci 2 4 7 3 2" xfId="8751" xr:uid="{00000000-0005-0000-0000-00004A280000}"/>
    <cellStyle name="Data no deci 2 4 7 4" xfId="8752" xr:uid="{00000000-0005-0000-0000-00004B280000}"/>
    <cellStyle name="Data no deci 2 4 7 4 2" xfId="8753" xr:uid="{00000000-0005-0000-0000-00004C280000}"/>
    <cellStyle name="Data no deci 2 4 7 5" xfId="8754" xr:uid="{00000000-0005-0000-0000-00004D280000}"/>
    <cellStyle name="Data no deci 2 4 7 5 2" xfId="8755" xr:uid="{00000000-0005-0000-0000-00004E280000}"/>
    <cellStyle name="Data no deci 2 4 7 6" xfId="8756" xr:uid="{00000000-0005-0000-0000-00004F280000}"/>
    <cellStyle name="Data no deci 2 4 7 6 2" xfId="8757" xr:uid="{00000000-0005-0000-0000-000050280000}"/>
    <cellStyle name="Data no deci 2 4 7 7" xfId="8758" xr:uid="{00000000-0005-0000-0000-000051280000}"/>
    <cellStyle name="Data no deci 2 4 7 7 2" xfId="8759" xr:uid="{00000000-0005-0000-0000-000052280000}"/>
    <cellStyle name="Data no deci 2 4 7 8" xfId="8760" xr:uid="{00000000-0005-0000-0000-000053280000}"/>
    <cellStyle name="Data no deci 2 4 7 8 2" xfId="8761" xr:uid="{00000000-0005-0000-0000-000054280000}"/>
    <cellStyle name="Data no deci 2 4 7 9" xfId="8762" xr:uid="{00000000-0005-0000-0000-000055280000}"/>
    <cellStyle name="Data no deci 2 4 7 9 2" xfId="8763" xr:uid="{00000000-0005-0000-0000-000056280000}"/>
    <cellStyle name="Data no deci 2 4 8" xfId="8764" xr:uid="{00000000-0005-0000-0000-000057280000}"/>
    <cellStyle name="Data no deci 2 4 8 10" xfId="8765" xr:uid="{00000000-0005-0000-0000-000058280000}"/>
    <cellStyle name="Data no deci 2 4 8 2" xfId="8766" xr:uid="{00000000-0005-0000-0000-000059280000}"/>
    <cellStyle name="Data no deci 2 4 8 2 2" xfId="8767" xr:uid="{00000000-0005-0000-0000-00005A280000}"/>
    <cellStyle name="Data no deci 2 4 8 3" xfId="8768" xr:uid="{00000000-0005-0000-0000-00005B280000}"/>
    <cellStyle name="Data no deci 2 4 8 3 2" xfId="8769" xr:uid="{00000000-0005-0000-0000-00005C280000}"/>
    <cellStyle name="Data no deci 2 4 8 4" xfId="8770" xr:uid="{00000000-0005-0000-0000-00005D280000}"/>
    <cellStyle name="Data no deci 2 4 8 4 2" xfId="8771" xr:uid="{00000000-0005-0000-0000-00005E280000}"/>
    <cellStyle name="Data no deci 2 4 8 5" xfId="8772" xr:uid="{00000000-0005-0000-0000-00005F280000}"/>
    <cellStyle name="Data no deci 2 4 8 5 2" xfId="8773" xr:uid="{00000000-0005-0000-0000-000060280000}"/>
    <cellStyle name="Data no deci 2 4 8 6" xfId="8774" xr:uid="{00000000-0005-0000-0000-000061280000}"/>
    <cellStyle name="Data no deci 2 4 8 6 2" xfId="8775" xr:uid="{00000000-0005-0000-0000-000062280000}"/>
    <cellStyle name="Data no deci 2 4 8 7" xfId="8776" xr:uid="{00000000-0005-0000-0000-000063280000}"/>
    <cellStyle name="Data no deci 2 4 8 7 2" xfId="8777" xr:uid="{00000000-0005-0000-0000-000064280000}"/>
    <cellStyle name="Data no deci 2 4 8 8" xfId="8778" xr:uid="{00000000-0005-0000-0000-000065280000}"/>
    <cellStyle name="Data no deci 2 4 8 8 2" xfId="8779" xr:uid="{00000000-0005-0000-0000-000066280000}"/>
    <cellStyle name="Data no deci 2 4 8 9" xfId="8780" xr:uid="{00000000-0005-0000-0000-000067280000}"/>
    <cellStyle name="Data no deci 2 4 8 9 2" xfId="8781" xr:uid="{00000000-0005-0000-0000-000068280000}"/>
    <cellStyle name="Data no deci 2 4 9" xfId="8782" xr:uid="{00000000-0005-0000-0000-000069280000}"/>
    <cellStyle name="Data no deci 2 4 9 10" xfId="8783" xr:uid="{00000000-0005-0000-0000-00006A280000}"/>
    <cellStyle name="Data no deci 2 4 9 2" xfId="8784" xr:uid="{00000000-0005-0000-0000-00006B280000}"/>
    <cellStyle name="Data no deci 2 4 9 2 2" xfId="8785" xr:uid="{00000000-0005-0000-0000-00006C280000}"/>
    <cellStyle name="Data no deci 2 4 9 3" xfId="8786" xr:uid="{00000000-0005-0000-0000-00006D280000}"/>
    <cellStyle name="Data no deci 2 4 9 3 2" xfId="8787" xr:uid="{00000000-0005-0000-0000-00006E280000}"/>
    <cellStyle name="Data no deci 2 4 9 4" xfId="8788" xr:uid="{00000000-0005-0000-0000-00006F280000}"/>
    <cellStyle name="Data no deci 2 4 9 4 2" xfId="8789" xr:uid="{00000000-0005-0000-0000-000070280000}"/>
    <cellStyle name="Data no deci 2 4 9 5" xfId="8790" xr:uid="{00000000-0005-0000-0000-000071280000}"/>
    <cellStyle name="Data no deci 2 4 9 5 2" xfId="8791" xr:uid="{00000000-0005-0000-0000-000072280000}"/>
    <cellStyle name="Data no deci 2 4 9 6" xfId="8792" xr:uid="{00000000-0005-0000-0000-000073280000}"/>
    <cellStyle name="Data no deci 2 4 9 6 2" xfId="8793" xr:uid="{00000000-0005-0000-0000-000074280000}"/>
    <cellStyle name="Data no deci 2 4 9 7" xfId="8794" xr:uid="{00000000-0005-0000-0000-000075280000}"/>
    <cellStyle name="Data no deci 2 4 9 7 2" xfId="8795" xr:uid="{00000000-0005-0000-0000-000076280000}"/>
    <cellStyle name="Data no deci 2 4 9 8" xfId="8796" xr:uid="{00000000-0005-0000-0000-000077280000}"/>
    <cellStyle name="Data no deci 2 4 9 8 2" xfId="8797" xr:uid="{00000000-0005-0000-0000-000078280000}"/>
    <cellStyle name="Data no deci 2 4 9 9" xfId="8798" xr:uid="{00000000-0005-0000-0000-000079280000}"/>
    <cellStyle name="Data no deci 2 4 9 9 2" xfId="8799" xr:uid="{00000000-0005-0000-0000-00007A280000}"/>
    <cellStyle name="Data no deci 2 5" xfId="8800" xr:uid="{00000000-0005-0000-0000-00007B280000}"/>
    <cellStyle name="Data no deci 2 5 10" xfId="8801" xr:uid="{00000000-0005-0000-0000-00007C280000}"/>
    <cellStyle name="Data no deci 2 5 10 2" xfId="8802" xr:uid="{00000000-0005-0000-0000-00007D280000}"/>
    <cellStyle name="Data no deci 2 5 10 2 2" xfId="8803" xr:uid="{00000000-0005-0000-0000-00007E280000}"/>
    <cellStyle name="Data no deci 2 5 10 3" xfId="8804" xr:uid="{00000000-0005-0000-0000-00007F280000}"/>
    <cellStyle name="Data no deci 2 5 10 3 2" xfId="8805" xr:uid="{00000000-0005-0000-0000-000080280000}"/>
    <cellStyle name="Data no deci 2 5 10 4" xfId="8806" xr:uid="{00000000-0005-0000-0000-000081280000}"/>
    <cellStyle name="Data no deci 2 5 10 4 2" xfId="8807" xr:uid="{00000000-0005-0000-0000-000082280000}"/>
    <cellStyle name="Data no deci 2 5 10 5" xfId="8808" xr:uid="{00000000-0005-0000-0000-000083280000}"/>
    <cellStyle name="Data no deci 2 5 10 5 2" xfId="8809" xr:uid="{00000000-0005-0000-0000-000084280000}"/>
    <cellStyle name="Data no deci 2 5 10 6" xfId="8810" xr:uid="{00000000-0005-0000-0000-000085280000}"/>
    <cellStyle name="Data no deci 2 5 10 6 2" xfId="8811" xr:uid="{00000000-0005-0000-0000-000086280000}"/>
    <cellStyle name="Data no deci 2 5 10 7" xfId="8812" xr:uid="{00000000-0005-0000-0000-000087280000}"/>
    <cellStyle name="Data no deci 2 5 10 7 2" xfId="8813" xr:uid="{00000000-0005-0000-0000-000088280000}"/>
    <cellStyle name="Data no deci 2 5 10 8" xfId="8814" xr:uid="{00000000-0005-0000-0000-000089280000}"/>
    <cellStyle name="Data no deci 2 5 10 8 2" xfId="8815" xr:uid="{00000000-0005-0000-0000-00008A280000}"/>
    <cellStyle name="Data no deci 2 5 10 9" xfId="8816" xr:uid="{00000000-0005-0000-0000-00008B280000}"/>
    <cellStyle name="Data no deci 2 5 11" xfId="8817" xr:uid="{00000000-0005-0000-0000-00008C280000}"/>
    <cellStyle name="Data no deci 2 5 11 2" xfId="8818" xr:uid="{00000000-0005-0000-0000-00008D280000}"/>
    <cellStyle name="Data no deci 2 5 12" xfId="8819" xr:uid="{00000000-0005-0000-0000-00008E280000}"/>
    <cellStyle name="Data no deci 2 5 12 2" xfId="8820" xr:uid="{00000000-0005-0000-0000-00008F280000}"/>
    <cellStyle name="Data no deci 2 5 13" xfId="8821" xr:uid="{00000000-0005-0000-0000-000090280000}"/>
    <cellStyle name="Data no deci 2 5 13 2" xfId="8822" xr:uid="{00000000-0005-0000-0000-000091280000}"/>
    <cellStyle name="Data no deci 2 5 14" xfId="8823" xr:uid="{00000000-0005-0000-0000-000092280000}"/>
    <cellStyle name="Data no deci 2 5 14 2" xfId="8824" xr:uid="{00000000-0005-0000-0000-000093280000}"/>
    <cellStyle name="Data no deci 2 5 15" xfId="8825" xr:uid="{00000000-0005-0000-0000-000094280000}"/>
    <cellStyle name="Data no deci 2 5 15 2" xfId="8826" xr:uid="{00000000-0005-0000-0000-000095280000}"/>
    <cellStyle name="Data no deci 2 5 16" xfId="8827" xr:uid="{00000000-0005-0000-0000-000096280000}"/>
    <cellStyle name="Data no deci 2 5 16 2" xfId="8828" xr:uid="{00000000-0005-0000-0000-000097280000}"/>
    <cellStyle name="Data no deci 2 5 17" xfId="8829" xr:uid="{00000000-0005-0000-0000-000098280000}"/>
    <cellStyle name="Data no deci 2 5 17 2" xfId="8830" xr:uid="{00000000-0005-0000-0000-000099280000}"/>
    <cellStyle name="Data no deci 2 5 18" xfId="8831" xr:uid="{00000000-0005-0000-0000-00009A280000}"/>
    <cellStyle name="Data no deci 2 5 2" xfId="8832" xr:uid="{00000000-0005-0000-0000-00009B280000}"/>
    <cellStyle name="Data no deci 2 5 2 10" xfId="8833" xr:uid="{00000000-0005-0000-0000-00009C280000}"/>
    <cellStyle name="Data no deci 2 5 2 2" xfId="8834" xr:uid="{00000000-0005-0000-0000-00009D280000}"/>
    <cellStyle name="Data no deci 2 5 2 2 2" xfId="8835" xr:uid="{00000000-0005-0000-0000-00009E280000}"/>
    <cellStyle name="Data no deci 2 5 2 3" xfId="8836" xr:uid="{00000000-0005-0000-0000-00009F280000}"/>
    <cellStyle name="Data no deci 2 5 2 3 2" xfId="8837" xr:uid="{00000000-0005-0000-0000-0000A0280000}"/>
    <cellStyle name="Data no deci 2 5 2 4" xfId="8838" xr:uid="{00000000-0005-0000-0000-0000A1280000}"/>
    <cellStyle name="Data no deci 2 5 2 4 2" xfId="8839" xr:uid="{00000000-0005-0000-0000-0000A2280000}"/>
    <cellStyle name="Data no deci 2 5 2 5" xfId="8840" xr:uid="{00000000-0005-0000-0000-0000A3280000}"/>
    <cellStyle name="Data no deci 2 5 2 5 2" xfId="8841" xr:uid="{00000000-0005-0000-0000-0000A4280000}"/>
    <cellStyle name="Data no deci 2 5 2 6" xfId="8842" xr:uid="{00000000-0005-0000-0000-0000A5280000}"/>
    <cellStyle name="Data no deci 2 5 2 6 2" xfId="8843" xr:uid="{00000000-0005-0000-0000-0000A6280000}"/>
    <cellStyle name="Data no deci 2 5 2 7" xfId="8844" xr:uid="{00000000-0005-0000-0000-0000A7280000}"/>
    <cellStyle name="Data no deci 2 5 2 7 2" xfId="8845" xr:uid="{00000000-0005-0000-0000-0000A8280000}"/>
    <cellStyle name="Data no deci 2 5 2 8" xfId="8846" xr:uid="{00000000-0005-0000-0000-0000A9280000}"/>
    <cellStyle name="Data no deci 2 5 2 8 2" xfId="8847" xr:uid="{00000000-0005-0000-0000-0000AA280000}"/>
    <cellStyle name="Data no deci 2 5 2 9" xfId="8848" xr:uid="{00000000-0005-0000-0000-0000AB280000}"/>
    <cellStyle name="Data no deci 2 5 2 9 2" xfId="8849" xr:uid="{00000000-0005-0000-0000-0000AC280000}"/>
    <cellStyle name="Data no deci 2 5 3" xfId="8850" xr:uid="{00000000-0005-0000-0000-0000AD280000}"/>
    <cellStyle name="Data no deci 2 5 3 10" xfId="8851" xr:uid="{00000000-0005-0000-0000-0000AE280000}"/>
    <cellStyle name="Data no deci 2 5 3 2" xfId="8852" xr:uid="{00000000-0005-0000-0000-0000AF280000}"/>
    <cellStyle name="Data no deci 2 5 3 2 2" xfId="8853" xr:uid="{00000000-0005-0000-0000-0000B0280000}"/>
    <cellStyle name="Data no deci 2 5 3 3" xfId="8854" xr:uid="{00000000-0005-0000-0000-0000B1280000}"/>
    <cellStyle name="Data no deci 2 5 3 3 2" xfId="8855" xr:uid="{00000000-0005-0000-0000-0000B2280000}"/>
    <cellStyle name="Data no deci 2 5 3 4" xfId="8856" xr:uid="{00000000-0005-0000-0000-0000B3280000}"/>
    <cellStyle name="Data no deci 2 5 3 4 2" xfId="8857" xr:uid="{00000000-0005-0000-0000-0000B4280000}"/>
    <cellStyle name="Data no deci 2 5 3 5" xfId="8858" xr:uid="{00000000-0005-0000-0000-0000B5280000}"/>
    <cellStyle name="Data no deci 2 5 3 5 2" xfId="8859" xr:uid="{00000000-0005-0000-0000-0000B6280000}"/>
    <cellStyle name="Data no deci 2 5 3 6" xfId="8860" xr:uid="{00000000-0005-0000-0000-0000B7280000}"/>
    <cellStyle name="Data no deci 2 5 3 6 2" xfId="8861" xr:uid="{00000000-0005-0000-0000-0000B8280000}"/>
    <cellStyle name="Data no deci 2 5 3 7" xfId="8862" xr:uid="{00000000-0005-0000-0000-0000B9280000}"/>
    <cellStyle name="Data no deci 2 5 3 7 2" xfId="8863" xr:uid="{00000000-0005-0000-0000-0000BA280000}"/>
    <cellStyle name="Data no deci 2 5 3 8" xfId="8864" xr:uid="{00000000-0005-0000-0000-0000BB280000}"/>
    <cellStyle name="Data no deci 2 5 3 8 2" xfId="8865" xr:uid="{00000000-0005-0000-0000-0000BC280000}"/>
    <cellStyle name="Data no deci 2 5 3 9" xfId="8866" xr:uid="{00000000-0005-0000-0000-0000BD280000}"/>
    <cellStyle name="Data no deci 2 5 3 9 2" xfId="8867" xr:uid="{00000000-0005-0000-0000-0000BE280000}"/>
    <cellStyle name="Data no deci 2 5 4" xfId="8868" xr:uid="{00000000-0005-0000-0000-0000BF280000}"/>
    <cellStyle name="Data no deci 2 5 4 10" xfId="8869" xr:uid="{00000000-0005-0000-0000-0000C0280000}"/>
    <cellStyle name="Data no deci 2 5 4 2" xfId="8870" xr:uid="{00000000-0005-0000-0000-0000C1280000}"/>
    <cellStyle name="Data no deci 2 5 4 2 2" xfId="8871" xr:uid="{00000000-0005-0000-0000-0000C2280000}"/>
    <cellStyle name="Data no deci 2 5 4 3" xfId="8872" xr:uid="{00000000-0005-0000-0000-0000C3280000}"/>
    <cellStyle name="Data no deci 2 5 4 3 2" xfId="8873" xr:uid="{00000000-0005-0000-0000-0000C4280000}"/>
    <cellStyle name="Data no deci 2 5 4 4" xfId="8874" xr:uid="{00000000-0005-0000-0000-0000C5280000}"/>
    <cellStyle name="Data no deci 2 5 4 4 2" xfId="8875" xr:uid="{00000000-0005-0000-0000-0000C6280000}"/>
    <cellStyle name="Data no deci 2 5 4 5" xfId="8876" xr:uid="{00000000-0005-0000-0000-0000C7280000}"/>
    <cellStyle name="Data no deci 2 5 4 5 2" xfId="8877" xr:uid="{00000000-0005-0000-0000-0000C8280000}"/>
    <cellStyle name="Data no deci 2 5 4 6" xfId="8878" xr:uid="{00000000-0005-0000-0000-0000C9280000}"/>
    <cellStyle name="Data no deci 2 5 4 6 2" xfId="8879" xr:uid="{00000000-0005-0000-0000-0000CA280000}"/>
    <cellStyle name="Data no deci 2 5 4 7" xfId="8880" xr:uid="{00000000-0005-0000-0000-0000CB280000}"/>
    <cellStyle name="Data no deci 2 5 4 7 2" xfId="8881" xr:uid="{00000000-0005-0000-0000-0000CC280000}"/>
    <cellStyle name="Data no deci 2 5 4 8" xfId="8882" xr:uid="{00000000-0005-0000-0000-0000CD280000}"/>
    <cellStyle name="Data no deci 2 5 4 8 2" xfId="8883" xr:uid="{00000000-0005-0000-0000-0000CE280000}"/>
    <cellStyle name="Data no deci 2 5 4 9" xfId="8884" xr:uid="{00000000-0005-0000-0000-0000CF280000}"/>
    <cellStyle name="Data no deci 2 5 4 9 2" xfId="8885" xr:uid="{00000000-0005-0000-0000-0000D0280000}"/>
    <cellStyle name="Data no deci 2 5 5" xfId="8886" xr:uid="{00000000-0005-0000-0000-0000D1280000}"/>
    <cellStyle name="Data no deci 2 5 5 10" xfId="8887" xr:uid="{00000000-0005-0000-0000-0000D2280000}"/>
    <cellStyle name="Data no deci 2 5 5 2" xfId="8888" xr:uid="{00000000-0005-0000-0000-0000D3280000}"/>
    <cellStyle name="Data no deci 2 5 5 2 2" xfId="8889" xr:uid="{00000000-0005-0000-0000-0000D4280000}"/>
    <cellStyle name="Data no deci 2 5 5 3" xfId="8890" xr:uid="{00000000-0005-0000-0000-0000D5280000}"/>
    <cellStyle name="Data no deci 2 5 5 3 2" xfId="8891" xr:uid="{00000000-0005-0000-0000-0000D6280000}"/>
    <cellStyle name="Data no deci 2 5 5 4" xfId="8892" xr:uid="{00000000-0005-0000-0000-0000D7280000}"/>
    <cellStyle name="Data no deci 2 5 5 4 2" xfId="8893" xr:uid="{00000000-0005-0000-0000-0000D8280000}"/>
    <cellStyle name="Data no deci 2 5 5 5" xfId="8894" xr:uid="{00000000-0005-0000-0000-0000D9280000}"/>
    <cellStyle name="Data no deci 2 5 5 5 2" xfId="8895" xr:uid="{00000000-0005-0000-0000-0000DA280000}"/>
    <cellStyle name="Data no deci 2 5 5 6" xfId="8896" xr:uid="{00000000-0005-0000-0000-0000DB280000}"/>
    <cellStyle name="Data no deci 2 5 5 6 2" xfId="8897" xr:uid="{00000000-0005-0000-0000-0000DC280000}"/>
    <cellStyle name="Data no deci 2 5 5 7" xfId="8898" xr:uid="{00000000-0005-0000-0000-0000DD280000}"/>
    <cellStyle name="Data no deci 2 5 5 7 2" xfId="8899" xr:uid="{00000000-0005-0000-0000-0000DE280000}"/>
    <cellStyle name="Data no deci 2 5 5 8" xfId="8900" xr:uid="{00000000-0005-0000-0000-0000DF280000}"/>
    <cellStyle name="Data no deci 2 5 5 8 2" xfId="8901" xr:uid="{00000000-0005-0000-0000-0000E0280000}"/>
    <cellStyle name="Data no deci 2 5 5 9" xfId="8902" xr:uid="{00000000-0005-0000-0000-0000E1280000}"/>
    <cellStyle name="Data no deci 2 5 5 9 2" xfId="8903" xr:uid="{00000000-0005-0000-0000-0000E2280000}"/>
    <cellStyle name="Data no deci 2 5 6" xfId="8904" xr:uid="{00000000-0005-0000-0000-0000E3280000}"/>
    <cellStyle name="Data no deci 2 5 6 10" xfId="8905" xr:uid="{00000000-0005-0000-0000-0000E4280000}"/>
    <cellStyle name="Data no deci 2 5 6 2" xfId="8906" xr:uid="{00000000-0005-0000-0000-0000E5280000}"/>
    <cellStyle name="Data no deci 2 5 6 2 2" xfId="8907" xr:uid="{00000000-0005-0000-0000-0000E6280000}"/>
    <cellStyle name="Data no deci 2 5 6 3" xfId="8908" xr:uid="{00000000-0005-0000-0000-0000E7280000}"/>
    <cellStyle name="Data no deci 2 5 6 3 2" xfId="8909" xr:uid="{00000000-0005-0000-0000-0000E8280000}"/>
    <cellStyle name="Data no deci 2 5 6 4" xfId="8910" xr:uid="{00000000-0005-0000-0000-0000E9280000}"/>
    <cellStyle name="Data no deci 2 5 6 4 2" xfId="8911" xr:uid="{00000000-0005-0000-0000-0000EA280000}"/>
    <cellStyle name="Data no deci 2 5 6 5" xfId="8912" xr:uid="{00000000-0005-0000-0000-0000EB280000}"/>
    <cellStyle name="Data no deci 2 5 6 5 2" xfId="8913" xr:uid="{00000000-0005-0000-0000-0000EC280000}"/>
    <cellStyle name="Data no deci 2 5 6 6" xfId="8914" xr:uid="{00000000-0005-0000-0000-0000ED280000}"/>
    <cellStyle name="Data no deci 2 5 6 6 2" xfId="8915" xr:uid="{00000000-0005-0000-0000-0000EE280000}"/>
    <cellStyle name="Data no deci 2 5 6 7" xfId="8916" xr:uid="{00000000-0005-0000-0000-0000EF280000}"/>
    <cellStyle name="Data no deci 2 5 6 7 2" xfId="8917" xr:uid="{00000000-0005-0000-0000-0000F0280000}"/>
    <cellStyle name="Data no deci 2 5 6 8" xfId="8918" xr:uid="{00000000-0005-0000-0000-0000F1280000}"/>
    <cellStyle name="Data no deci 2 5 6 8 2" xfId="8919" xr:uid="{00000000-0005-0000-0000-0000F2280000}"/>
    <cellStyle name="Data no deci 2 5 6 9" xfId="8920" xr:uid="{00000000-0005-0000-0000-0000F3280000}"/>
    <cellStyle name="Data no deci 2 5 6 9 2" xfId="8921" xr:uid="{00000000-0005-0000-0000-0000F4280000}"/>
    <cellStyle name="Data no deci 2 5 7" xfId="8922" xr:uid="{00000000-0005-0000-0000-0000F5280000}"/>
    <cellStyle name="Data no deci 2 5 7 10" xfId="8923" xr:uid="{00000000-0005-0000-0000-0000F6280000}"/>
    <cellStyle name="Data no deci 2 5 7 2" xfId="8924" xr:uid="{00000000-0005-0000-0000-0000F7280000}"/>
    <cellStyle name="Data no deci 2 5 7 2 2" xfId="8925" xr:uid="{00000000-0005-0000-0000-0000F8280000}"/>
    <cellStyle name="Data no deci 2 5 7 3" xfId="8926" xr:uid="{00000000-0005-0000-0000-0000F9280000}"/>
    <cellStyle name="Data no deci 2 5 7 3 2" xfId="8927" xr:uid="{00000000-0005-0000-0000-0000FA280000}"/>
    <cellStyle name="Data no deci 2 5 7 4" xfId="8928" xr:uid="{00000000-0005-0000-0000-0000FB280000}"/>
    <cellStyle name="Data no deci 2 5 7 4 2" xfId="8929" xr:uid="{00000000-0005-0000-0000-0000FC280000}"/>
    <cellStyle name="Data no deci 2 5 7 5" xfId="8930" xr:uid="{00000000-0005-0000-0000-0000FD280000}"/>
    <cellStyle name="Data no deci 2 5 7 5 2" xfId="8931" xr:uid="{00000000-0005-0000-0000-0000FE280000}"/>
    <cellStyle name="Data no deci 2 5 7 6" xfId="8932" xr:uid="{00000000-0005-0000-0000-0000FF280000}"/>
    <cellStyle name="Data no deci 2 5 7 6 2" xfId="8933" xr:uid="{00000000-0005-0000-0000-000000290000}"/>
    <cellStyle name="Data no deci 2 5 7 7" xfId="8934" xr:uid="{00000000-0005-0000-0000-000001290000}"/>
    <cellStyle name="Data no deci 2 5 7 7 2" xfId="8935" xr:uid="{00000000-0005-0000-0000-000002290000}"/>
    <cellStyle name="Data no deci 2 5 7 8" xfId="8936" xr:uid="{00000000-0005-0000-0000-000003290000}"/>
    <cellStyle name="Data no deci 2 5 7 8 2" xfId="8937" xr:uid="{00000000-0005-0000-0000-000004290000}"/>
    <cellStyle name="Data no deci 2 5 7 9" xfId="8938" xr:uid="{00000000-0005-0000-0000-000005290000}"/>
    <cellStyle name="Data no deci 2 5 7 9 2" xfId="8939" xr:uid="{00000000-0005-0000-0000-000006290000}"/>
    <cellStyle name="Data no deci 2 5 8" xfId="8940" xr:uid="{00000000-0005-0000-0000-000007290000}"/>
    <cellStyle name="Data no deci 2 5 8 10" xfId="8941" xr:uid="{00000000-0005-0000-0000-000008290000}"/>
    <cellStyle name="Data no deci 2 5 8 2" xfId="8942" xr:uid="{00000000-0005-0000-0000-000009290000}"/>
    <cellStyle name="Data no deci 2 5 8 2 2" xfId="8943" xr:uid="{00000000-0005-0000-0000-00000A290000}"/>
    <cellStyle name="Data no deci 2 5 8 3" xfId="8944" xr:uid="{00000000-0005-0000-0000-00000B290000}"/>
    <cellStyle name="Data no deci 2 5 8 3 2" xfId="8945" xr:uid="{00000000-0005-0000-0000-00000C290000}"/>
    <cellStyle name="Data no deci 2 5 8 4" xfId="8946" xr:uid="{00000000-0005-0000-0000-00000D290000}"/>
    <cellStyle name="Data no deci 2 5 8 4 2" xfId="8947" xr:uid="{00000000-0005-0000-0000-00000E290000}"/>
    <cellStyle name="Data no deci 2 5 8 5" xfId="8948" xr:uid="{00000000-0005-0000-0000-00000F290000}"/>
    <cellStyle name="Data no deci 2 5 8 5 2" xfId="8949" xr:uid="{00000000-0005-0000-0000-000010290000}"/>
    <cellStyle name="Data no deci 2 5 8 6" xfId="8950" xr:uid="{00000000-0005-0000-0000-000011290000}"/>
    <cellStyle name="Data no deci 2 5 8 6 2" xfId="8951" xr:uid="{00000000-0005-0000-0000-000012290000}"/>
    <cellStyle name="Data no deci 2 5 8 7" xfId="8952" xr:uid="{00000000-0005-0000-0000-000013290000}"/>
    <cellStyle name="Data no deci 2 5 8 7 2" xfId="8953" xr:uid="{00000000-0005-0000-0000-000014290000}"/>
    <cellStyle name="Data no deci 2 5 8 8" xfId="8954" xr:uid="{00000000-0005-0000-0000-000015290000}"/>
    <cellStyle name="Data no deci 2 5 8 8 2" xfId="8955" xr:uid="{00000000-0005-0000-0000-000016290000}"/>
    <cellStyle name="Data no deci 2 5 8 9" xfId="8956" xr:uid="{00000000-0005-0000-0000-000017290000}"/>
    <cellStyle name="Data no deci 2 5 8 9 2" xfId="8957" xr:uid="{00000000-0005-0000-0000-000018290000}"/>
    <cellStyle name="Data no deci 2 5 9" xfId="8958" xr:uid="{00000000-0005-0000-0000-000019290000}"/>
    <cellStyle name="Data no deci 2 5 9 10" xfId="8959" xr:uid="{00000000-0005-0000-0000-00001A290000}"/>
    <cellStyle name="Data no deci 2 5 9 2" xfId="8960" xr:uid="{00000000-0005-0000-0000-00001B290000}"/>
    <cellStyle name="Data no deci 2 5 9 2 2" xfId="8961" xr:uid="{00000000-0005-0000-0000-00001C290000}"/>
    <cellStyle name="Data no deci 2 5 9 3" xfId="8962" xr:uid="{00000000-0005-0000-0000-00001D290000}"/>
    <cellStyle name="Data no deci 2 5 9 3 2" xfId="8963" xr:uid="{00000000-0005-0000-0000-00001E290000}"/>
    <cellStyle name="Data no deci 2 5 9 4" xfId="8964" xr:uid="{00000000-0005-0000-0000-00001F290000}"/>
    <cellStyle name="Data no deci 2 5 9 4 2" xfId="8965" xr:uid="{00000000-0005-0000-0000-000020290000}"/>
    <cellStyle name="Data no deci 2 5 9 5" xfId="8966" xr:uid="{00000000-0005-0000-0000-000021290000}"/>
    <cellStyle name="Data no deci 2 5 9 5 2" xfId="8967" xr:uid="{00000000-0005-0000-0000-000022290000}"/>
    <cellStyle name="Data no deci 2 5 9 6" xfId="8968" xr:uid="{00000000-0005-0000-0000-000023290000}"/>
    <cellStyle name="Data no deci 2 5 9 6 2" xfId="8969" xr:uid="{00000000-0005-0000-0000-000024290000}"/>
    <cellStyle name="Data no deci 2 5 9 7" xfId="8970" xr:uid="{00000000-0005-0000-0000-000025290000}"/>
    <cellStyle name="Data no deci 2 5 9 7 2" xfId="8971" xr:uid="{00000000-0005-0000-0000-000026290000}"/>
    <cellStyle name="Data no deci 2 5 9 8" xfId="8972" xr:uid="{00000000-0005-0000-0000-000027290000}"/>
    <cellStyle name="Data no deci 2 5 9 8 2" xfId="8973" xr:uid="{00000000-0005-0000-0000-000028290000}"/>
    <cellStyle name="Data no deci 2 5 9 9" xfId="8974" xr:uid="{00000000-0005-0000-0000-000029290000}"/>
    <cellStyle name="Data no deci 2 5 9 9 2" xfId="8975" xr:uid="{00000000-0005-0000-0000-00002A290000}"/>
    <cellStyle name="Data no deci 2 6" xfId="8976" xr:uid="{00000000-0005-0000-0000-00002B290000}"/>
    <cellStyle name="Data no deci 2 6 10" xfId="8977" xr:uid="{00000000-0005-0000-0000-00002C290000}"/>
    <cellStyle name="Data no deci 2 6 10 2" xfId="8978" xr:uid="{00000000-0005-0000-0000-00002D290000}"/>
    <cellStyle name="Data no deci 2 6 10 2 2" xfId="8979" xr:uid="{00000000-0005-0000-0000-00002E290000}"/>
    <cellStyle name="Data no deci 2 6 10 3" xfId="8980" xr:uid="{00000000-0005-0000-0000-00002F290000}"/>
    <cellStyle name="Data no deci 2 6 10 3 2" xfId="8981" xr:uid="{00000000-0005-0000-0000-000030290000}"/>
    <cellStyle name="Data no deci 2 6 10 4" xfId="8982" xr:uid="{00000000-0005-0000-0000-000031290000}"/>
    <cellStyle name="Data no deci 2 6 10 4 2" xfId="8983" xr:uid="{00000000-0005-0000-0000-000032290000}"/>
    <cellStyle name="Data no deci 2 6 10 5" xfId="8984" xr:uid="{00000000-0005-0000-0000-000033290000}"/>
    <cellStyle name="Data no deci 2 6 10 5 2" xfId="8985" xr:uid="{00000000-0005-0000-0000-000034290000}"/>
    <cellStyle name="Data no deci 2 6 10 6" xfId="8986" xr:uid="{00000000-0005-0000-0000-000035290000}"/>
    <cellStyle name="Data no deci 2 6 10 6 2" xfId="8987" xr:uid="{00000000-0005-0000-0000-000036290000}"/>
    <cellStyle name="Data no deci 2 6 10 7" xfId="8988" xr:uid="{00000000-0005-0000-0000-000037290000}"/>
    <cellStyle name="Data no deci 2 6 10 7 2" xfId="8989" xr:uid="{00000000-0005-0000-0000-000038290000}"/>
    <cellStyle name="Data no deci 2 6 10 8" xfId="8990" xr:uid="{00000000-0005-0000-0000-000039290000}"/>
    <cellStyle name="Data no deci 2 6 10 8 2" xfId="8991" xr:uid="{00000000-0005-0000-0000-00003A290000}"/>
    <cellStyle name="Data no deci 2 6 10 9" xfId="8992" xr:uid="{00000000-0005-0000-0000-00003B290000}"/>
    <cellStyle name="Data no deci 2 6 11" xfId="8993" xr:uid="{00000000-0005-0000-0000-00003C290000}"/>
    <cellStyle name="Data no deci 2 6 11 2" xfId="8994" xr:uid="{00000000-0005-0000-0000-00003D290000}"/>
    <cellStyle name="Data no deci 2 6 12" xfId="8995" xr:uid="{00000000-0005-0000-0000-00003E290000}"/>
    <cellStyle name="Data no deci 2 6 12 2" xfId="8996" xr:uid="{00000000-0005-0000-0000-00003F290000}"/>
    <cellStyle name="Data no deci 2 6 13" xfId="8997" xr:uid="{00000000-0005-0000-0000-000040290000}"/>
    <cellStyle name="Data no deci 2 6 13 2" xfId="8998" xr:uid="{00000000-0005-0000-0000-000041290000}"/>
    <cellStyle name="Data no deci 2 6 14" xfId="8999" xr:uid="{00000000-0005-0000-0000-000042290000}"/>
    <cellStyle name="Data no deci 2 6 14 2" xfId="9000" xr:uid="{00000000-0005-0000-0000-000043290000}"/>
    <cellStyle name="Data no deci 2 6 15" xfId="9001" xr:uid="{00000000-0005-0000-0000-000044290000}"/>
    <cellStyle name="Data no deci 2 6 15 2" xfId="9002" xr:uid="{00000000-0005-0000-0000-000045290000}"/>
    <cellStyle name="Data no deci 2 6 16" xfId="9003" xr:uid="{00000000-0005-0000-0000-000046290000}"/>
    <cellStyle name="Data no deci 2 6 16 2" xfId="9004" xr:uid="{00000000-0005-0000-0000-000047290000}"/>
    <cellStyle name="Data no deci 2 6 17" xfId="9005" xr:uid="{00000000-0005-0000-0000-000048290000}"/>
    <cellStyle name="Data no deci 2 6 17 2" xfId="9006" xr:uid="{00000000-0005-0000-0000-000049290000}"/>
    <cellStyle name="Data no deci 2 6 18" xfId="9007" xr:uid="{00000000-0005-0000-0000-00004A290000}"/>
    <cellStyle name="Data no deci 2 6 2" xfId="9008" xr:uid="{00000000-0005-0000-0000-00004B290000}"/>
    <cellStyle name="Data no deci 2 6 2 10" xfId="9009" xr:uid="{00000000-0005-0000-0000-00004C290000}"/>
    <cellStyle name="Data no deci 2 6 2 2" xfId="9010" xr:uid="{00000000-0005-0000-0000-00004D290000}"/>
    <cellStyle name="Data no deci 2 6 2 2 2" xfId="9011" xr:uid="{00000000-0005-0000-0000-00004E290000}"/>
    <cellStyle name="Data no deci 2 6 2 3" xfId="9012" xr:uid="{00000000-0005-0000-0000-00004F290000}"/>
    <cellStyle name="Data no deci 2 6 2 3 2" xfId="9013" xr:uid="{00000000-0005-0000-0000-000050290000}"/>
    <cellStyle name="Data no deci 2 6 2 4" xfId="9014" xr:uid="{00000000-0005-0000-0000-000051290000}"/>
    <cellStyle name="Data no deci 2 6 2 4 2" xfId="9015" xr:uid="{00000000-0005-0000-0000-000052290000}"/>
    <cellStyle name="Data no deci 2 6 2 5" xfId="9016" xr:uid="{00000000-0005-0000-0000-000053290000}"/>
    <cellStyle name="Data no deci 2 6 2 5 2" xfId="9017" xr:uid="{00000000-0005-0000-0000-000054290000}"/>
    <cellStyle name="Data no deci 2 6 2 6" xfId="9018" xr:uid="{00000000-0005-0000-0000-000055290000}"/>
    <cellStyle name="Data no deci 2 6 2 6 2" xfId="9019" xr:uid="{00000000-0005-0000-0000-000056290000}"/>
    <cellStyle name="Data no deci 2 6 2 7" xfId="9020" xr:uid="{00000000-0005-0000-0000-000057290000}"/>
    <cellStyle name="Data no deci 2 6 2 7 2" xfId="9021" xr:uid="{00000000-0005-0000-0000-000058290000}"/>
    <cellStyle name="Data no deci 2 6 2 8" xfId="9022" xr:uid="{00000000-0005-0000-0000-000059290000}"/>
    <cellStyle name="Data no deci 2 6 2 8 2" xfId="9023" xr:uid="{00000000-0005-0000-0000-00005A290000}"/>
    <cellStyle name="Data no deci 2 6 2 9" xfId="9024" xr:uid="{00000000-0005-0000-0000-00005B290000}"/>
    <cellStyle name="Data no deci 2 6 2 9 2" xfId="9025" xr:uid="{00000000-0005-0000-0000-00005C290000}"/>
    <cellStyle name="Data no deci 2 6 3" xfId="9026" xr:uid="{00000000-0005-0000-0000-00005D290000}"/>
    <cellStyle name="Data no deci 2 6 3 10" xfId="9027" xr:uid="{00000000-0005-0000-0000-00005E290000}"/>
    <cellStyle name="Data no deci 2 6 3 2" xfId="9028" xr:uid="{00000000-0005-0000-0000-00005F290000}"/>
    <cellStyle name="Data no deci 2 6 3 2 2" xfId="9029" xr:uid="{00000000-0005-0000-0000-000060290000}"/>
    <cellStyle name="Data no deci 2 6 3 3" xfId="9030" xr:uid="{00000000-0005-0000-0000-000061290000}"/>
    <cellStyle name="Data no deci 2 6 3 3 2" xfId="9031" xr:uid="{00000000-0005-0000-0000-000062290000}"/>
    <cellStyle name="Data no deci 2 6 3 4" xfId="9032" xr:uid="{00000000-0005-0000-0000-000063290000}"/>
    <cellStyle name="Data no deci 2 6 3 4 2" xfId="9033" xr:uid="{00000000-0005-0000-0000-000064290000}"/>
    <cellStyle name="Data no deci 2 6 3 5" xfId="9034" xr:uid="{00000000-0005-0000-0000-000065290000}"/>
    <cellStyle name="Data no deci 2 6 3 5 2" xfId="9035" xr:uid="{00000000-0005-0000-0000-000066290000}"/>
    <cellStyle name="Data no deci 2 6 3 6" xfId="9036" xr:uid="{00000000-0005-0000-0000-000067290000}"/>
    <cellStyle name="Data no deci 2 6 3 6 2" xfId="9037" xr:uid="{00000000-0005-0000-0000-000068290000}"/>
    <cellStyle name="Data no deci 2 6 3 7" xfId="9038" xr:uid="{00000000-0005-0000-0000-000069290000}"/>
    <cellStyle name="Data no deci 2 6 3 7 2" xfId="9039" xr:uid="{00000000-0005-0000-0000-00006A290000}"/>
    <cellStyle name="Data no deci 2 6 3 8" xfId="9040" xr:uid="{00000000-0005-0000-0000-00006B290000}"/>
    <cellStyle name="Data no deci 2 6 3 8 2" xfId="9041" xr:uid="{00000000-0005-0000-0000-00006C290000}"/>
    <cellStyle name="Data no deci 2 6 3 9" xfId="9042" xr:uid="{00000000-0005-0000-0000-00006D290000}"/>
    <cellStyle name="Data no deci 2 6 3 9 2" xfId="9043" xr:uid="{00000000-0005-0000-0000-00006E290000}"/>
    <cellStyle name="Data no deci 2 6 4" xfId="9044" xr:uid="{00000000-0005-0000-0000-00006F290000}"/>
    <cellStyle name="Data no deci 2 6 4 10" xfId="9045" xr:uid="{00000000-0005-0000-0000-000070290000}"/>
    <cellStyle name="Data no deci 2 6 4 2" xfId="9046" xr:uid="{00000000-0005-0000-0000-000071290000}"/>
    <cellStyle name="Data no deci 2 6 4 2 2" xfId="9047" xr:uid="{00000000-0005-0000-0000-000072290000}"/>
    <cellStyle name="Data no deci 2 6 4 3" xfId="9048" xr:uid="{00000000-0005-0000-0000-000073290000}"/>
    <cellStyle name="Data no deci 2 6 4 3 2" xfId="9049" xr:uid="{00000000-0005-0000-0000-000074290000}"/>
    <cellStyle name="Data no deci 2 6 4 4" xfId="9050" xr:uid="{00000000-0005-0000-0000-000075290000}"/>
    <cellStyle name="Data no deci 2 6 4 4 2" xfId="9051" xr:uid="{00000000-0005-0000-0000-000076290000}"/>
    <cellStyle name="Data no deci 2 6 4 5" xfId="9052" xr:uid="{00000000-0005-0000-0000-000077290000}"/>
    <cellStyle name="Data no deci 2 6 4 5 2" xfId="9053" xr:uid="{00000000-0005-0000-0000-000078290000}"/>
    <cellStyle name="Data no deci 2 6 4 6" xfId="9054" xr:uid="{00000000-0005-0000-0000-000079290000}"/>
    <cellStyle name="Data no deci 2 6 4 6 2" xfId="9055" xr:uid="{00000000-0005-0000-0000-00007A290000}"/>
    <cellStyle name="Data no deci 2 6 4 7" xfId="9056" xr:uid="{00000000-0005-0000-0000-00007B290000}"/>
    <cellStyle name="Data no deci 2 6 4 7 2" xfId="9057" xr:uid="{00000000-0005-0000-0000-00007C290000}"/>
    <cellStyle name="Data no deci 2 6 4 8" xfId="9058" xr:uid="{00000000-0005-0000-0000-00007D290000}"/>
    <cellStyle name="Data no deci 2 6 4 8 2" xfId="9059" xr:uid="{00000000-0005-0000-0000-00007E290000}"/>
    <cellStyle name="Data no deci 2 6 4 9" xfId="9060" xr:uid="{00000000-0005-0000-0000-00007F290000}"/>
    <cellStyle name="Data no deci 2 6 4 9 2" xfId="9061" xr:uid="{00000000-0005-0000-0000-000080290000}"/>
    <cellStyle name="Data no deci 2 6 5" xfId="9062" xr:uid="{00000000-0005-0000-0000-000081290000}"/>
    <cellStyle name="Data no deci 2 6 5 10" xfId="9063" xr:uid="{00000000-0005-0000-0000-000082290000}"/>
    <cellStyle name="Data no deci 2 6 5 2" xfId="9064" xr:uid="{00000000-0005-0000-0000-000083290000}"/>
    <cellStyle name="Data no deci 2 6 5 2 2" xfId="9065" xr:uid="{00000000-0005-0000-0000-000084290000}"/>
    <cellStyle name="Data no deci 2 6 5 3" xfId="9066" xr:uid="{00000000-0005-0000-0000-000085290000}"/>
    <cellStyle name="Data no deci 2 6 5 3 2" xfId="9067" xr:uid="{00000000-0005-0000-0000-000086290000}"/>
    <cellStyle name="Data no deci 2 6 5 4" xfId="9068" xr:uid="{00000000-0005-0000-0000-000087290000}"/>
    <cellStyle name="Data no deci 2 6 5 4 2" xfId="9069" xr:uid="{00000000-0005-0000-0000-000088290000}"/>
    <cellStyle name="Data no deci 2 6 5 5" xfId="9070" xr:uid="{00000000-0005-0000-0000-000089290000}"/>
    <cellStyle name="Data no deci 2 6 5 5 2" xfId="9071" xr:uid="{00000000-0005-0000-0000-00008A290000}"/>
    <cellStyle name="Data no deci 2 6 5 6" xfId="9072" xr:uid="{00000000-0005-0000-0000-00008B290000}"/>
    <cellStyle name="Data no deci 2 6 5 6 2" xfId="9073" xr:uid="{00000000-0005-0000-0000-00008C290000}"/>
    <cellStyle name="Data no deci 2 6 5 7" xfId="9074" xr:uid="{00000000-0005-0000-0000-00008D290000}"/>
    <cellStyle name="Data no deci 2 6 5 7 2" xfId="9075" xr:uid="{00000000-0005-0000-0000-00008E290000}"/>
    <cellStyle name="Data no deci 2 6 5 8" xfId="9076" xr:uid="{00000000-0005-0000-0000-00008F290000}"/>
    <cellStyle name="Data no deci 2 6 5 8 2" xfId="9077" xr:uid="{00000000-0005-0000-0000-000090290000}"/>
    <cellStyle name="Data no deci 2 6 5 9" xfId="9078" xr:uid="{00000000-0005-0000-0000-000091290000}"/>
    <cellStyle name="Data no deci 2 6 5 9 2" xfId="9079" xr:uid="{00000000-0005-0000-0000-000092290000}"/>
    <cellStyle name="Data no deci 2 6 6" xfId="9080" xr:uid="{00000000-0005-0000-0000-000093290000}"/>
    <cellStyle name="Data no deci 2 6 6 10" xfId="9081" xr:uid="{00000000-0005-0000-0000-000094290000}"/>
    <cellStyle name="Data no deci 2 6 6 2" xfId="9082" xr:uid="{00000000-0005-0000-0000-000095290000}"/>
    <cellStyle name="Data no deci 2 6 6 2 2" xfId="9083" xr:uid="{00000000-0005-0000-0000-000096290000}"/>
    <cellStyle name="Data no deci 2 6 6 3" xfId="9084" xr:uid="{00000000-0005-0000-0000-000097290000}"/>
    <cellStyle name="Data no deci 2 6 6 3 2" xfId="9085" xr:uid="{00000000-0005-0000-0000-000098290000}"/>
    <cellStyle name="Data no deci 2 6 6 4" xfId="9086" xr:uid="{00000000-0005-0000-0000-000099290000}"/>
    <cellStyle name="Data no deci 2 6 6 4 2" xfId="9087" xr:uid="{00000000-0005-0000-0000-00009A290000}"/>
    <cellStyle name="Data no deci 2 6 6 5" xfId="9088" xr:uid="{00000000-0005-0000-0000-00009B290000}"/>
    <cellStyle name="Data no deci 2 6 6 5 2" xfId="9089" xr:uid="{00000000-0005-0000-0000-00009C290000}"/>
    <cellStyle name="Data no deci 2 6 6 6" xfId="9090" xr:uid="{00000000-0005-0000-0000-00009D290000}"/>
    <cellStyle name="Data no deci 2 6 6 6 2" xfId="9091" xr:uid="{00000000-0005-0000-0000-00009E290000}"/>
    <cellStyle name="Data no deci 2 6 6 7" xfId="9092" xr:uid="{00000000-0005-0000-0000-00009F290000}"/>
    <cellStyle name="Data no deci 2 6 6 7 2" xfId="9093" xr:uid="{00000000-0005-0000-0000-0000A0290000}"/>
    <cellStyle name="Data no deci 2 6 6 8" xfId="9094" xr:uid="{00000000-0005-0000-0000-0000A1290000}"/>
    <cellStyle name="Data no deci 2 6 6 8 2" xfId="9095" xr:uid="{00000000-0005-0000-0000-0000A2290000}"/>
    <cellStyle name="Data no deci 2 6 6 9" xfId="9096" xr:uid="{00000000-0005-0000-0000-0000A3290000}"/>
    <cellStyle name="Data no deci 2 6 6 9 2" xfId="9097" xr:uid="{00000000-0005-0000-0000-0000A4290000}"/>
    <cellStyle name="Data no deci 2 6 7" xfId="9098" xr:uid="{00000000-0005-0000-0000-0000A5290000}"/>
    <cellStyle name="Data no deci 2 6 7 10" xfId="9099" xr:uid="{00000000-0005-0000-0000-0000A6290000}"/>
    <cellStyle name="Data no deci 2 6 7 2" xfId="9100" xr:uid="{00000000-0005-0000-0000-0000A7290000}"/>
    <cellStyle name="Data no deci 2 6 7 2 2" xfId="9101" xr:uid="{00000000-0005-0000-0000-0000A8290000}"/>
    <cellStyle name="Data no deci 2 6 7 3" xfId="9102" xr:uid="{00000000-0005-0000-0000-0000A9290000}"/>
    <cellStyle name="Data no deci 2 6 7 3 2" xfId="9103" xr:uid="{00000000-0005-0000-0000-0000AA290000}"/>
    <cellStyle name="Data no deci 2 6 7 4" xfId="9104" xr:uid="{00000000-0005-0000-0000-0000AB290000}"/>
    <cellStyle name="Data no deci 2 6 7 4 2" xfId="9105" xr:uid="{00000000-0005-0000-0000-0000AC290000}"/>
    <cellStyle name="Data no deci 2 6 7 5" xfId="9106" xr:uid="{00000000-0005-0000-0000-0000AD290000}"/>
    <cellStyle name="Data no deci 2 6 7 5 2" xfId="9107" xr:uid="{00000000-0005-0000-0000-0000AE290000}"/>
    <cellStyle name="Data no deci 2 6 7 6" xfId="9108" xr:uid="{00000000-0005-0000-0000-0000AF290000}"/>
    <cellStyle name="Data no deci 2 6 7 6 2" xfId="9109" xr:uid="{00000000-0005-0000-0000-0000B0290000}"/>
    <cellStyle name="Data no deci 2 6 7 7" xfId="9110" xr:uid="{00000000-0005-0000-0000-0000B1290000}"/>
    <cellStyle name="Data no deci 2 6 7 7 2" xfId="9111" xr:uid="{00000000-0005-0000-0000-0000B2290000}"/>
    <cellStyle name="Data no deci 2 6 7 8" xfId="9112" xr:uid="{00000000-0005-0000-0000-0000B3290000}"/>
    <cellStyle name="Data no deci 2 6 7 8 2" xfId="9113" xr:uid="{00000000-0005-0000-0000-0000B4290000}"/>
    <cellStyle name="Data no deci 2 6 7 9" xfId="9114" xr:uid="{00000000-0005-0000-0000-0000B5290000}"/>
    <cellStyle name="Data no deci 2 6 7 9 2" xfId="9115" xr:uid="{00000000-0005-0000-0000-0000B6290000}"/>
    <cellStyle name="Data no deci 2 6 8" xfId="9116" xr:uid="{00000000-0005-0000-0000-0000B7290000}"/>
    <cellStyle name="Data no deci 2 6 8 10" xfId="9117" xr:uid="{00000000-0005-0000-0000-0000B8290000}"/>
    <cellStyle name="Data no deci 2 6 8 2" xfId="9118" xr:uid="{00000000-0005-0000-0000-0000B9290000}"/>
    <cellStyle name="Data no deci 2 6 8 2 2" xfId="9119" xr:uid="{00000000-0005-0000-0000-0000BA290000}"/>
    <cellStyle name="Data no deci 2 6 8 3" xfId="9120" xr:uid="{00000000-0005-0000-0000-0000BB290000}"/>
    <cellStyle name="Data no deci 2 6 8 3 2" xfId="9121" xr:uid="{00000000-0005-0000-0000-0000BC290000}"/>
    <cellStyle name="Data no deci 2 6 8 4" xfId="9122" xr:uid="{00000000-0005-0000-0000-0000BD290000}"/>
    <cellStyle name="Data no deci 2 6 8 4 2" xfId="9123" xr:uid="{00000000-0005-0000-0000-0000BE290000}"/>
    <cellStyle name="Data no deci 2 6 8 5" xfId="9124" xr:uid="{00000000-0005-0000-0000-0000BF290000}"/>
    <cellStyle name="Data no deci 2 6 8 5 2" xfId="9125" xr:uid="{00000000-0005-0000-0000-0000C0290000}"/>
    <cellStyle name="Data no deci 2 6 8 6" xfId="9126" xr:uid="{00000000-0005-0000-0000-0000C1290000}"/>
    <cellStyle name="Data no deci 2 6 8 6 2" xfId="9127" xr:uid="{00000000-0005-0000-0000-0000C2290000}"/>
    <cellStyle name="Data no deci 2 6 8 7" xfId="9128" xr:uid="{00000000-0005-0000-0000-0000C3290000}"/>
    <cellStyle name="Data no deci 2 6 8 7 2" xfId="9129" xr:uid="{00000000-0005-0000-0000-0000C4290000}"/>
    <cellStyle name="Data no deci 2 6 8 8" xfId="9130" xr:uid="{00000000-0005-0000-0000-0000C5290000}"/>
    <cellStyle name="Data no deci 2 6 8 8 2" xfId="9131" xr:uid="{00000000-0005-0000-0000-0000C6290000}"/>
    <cellStyle name="Data no deci 2 6 8 9" xfId="9132" xr:uid="{00000000-0005-0000-0000-0000C7290000}"/>
    <cellStyle name="Data no deci 2 6 8 9 2" xfId="9133" xr:uid="{00000000-0005-0000-0000-0000C8290000}"/>
    <cellStyle name="Data no deci 2 6 9" xfId="9134" xr:uid="{00000000-0005-0000-0000-0000C9290000}"/>
    <cellStyle name="Data no deci 2 6 9 10" xfId="9135" xr:uid="{00000000-0005-0000-0000-0000CA290000}"/>
    <cellStyle name="Data no deci 2 6 9 2" xfId="9136" xr:uid="{00000000-0005-0000-0000-0000CB290000}"/>
    <cellStyle name="Data no deci 2 6 9 2 2" xfId="9137" xr:uid="{00000000-0005-0000-0000-0000CC290000}"/>
    <cellStyle name="Data no deci 2 6 9 3" xfId="9138" xr:uid="{00000000-0005-0000-0000-0000CD290000}"/>
    <cellStyle name="Data no deci 2 6 9 3 2" xfId="9139" xr:uid="{00000000-0005-0000-0000-0000CE290000}"/>
    <cellStyle name="Data no deci 2 6 9 4" xfId="9140" xr:uid="{00000000-0005-0000-0000-0000CF290000}"/>
    <cellStyle name="Data no deci 2 6 9 4 2" xfId="9141" xr:uid="{00000000-0005-0000-0000-0000D0290000}"/>
    <cellStyle name="Data no deci 2 6 9 5" xfId="9142" xr:uid="{00000000-0005-0000-0000-0000D1290000}"/>
    <cellStyle name="Data no deci 2 6 9 5 2" xfId="9143" xr:uid="{00000000-0005-0000-0000-0000D2290000}"/>
    <cellStyle name="Data no deci 2 6 9 6" xfId="9144" xr:uid="{00000000-0005-0000-0000-0000D3290000}"/>
    <cellStyle name="Data no deci 2 6 9 6 2" xfId="9145" xr:uid="{00000000-0005-0000-0000-0000D4290000}"/>
    <cellStyle name="Data no deci 2 6 9 7" xfId="9146" xr:uid="{00000000-0005-0000-0000-0000D5290000}"/>
    <cellStyle name="Data no deci 2 6 9 7 2" xfId="9147" xr:uid="{00000000-0005-0000-0000-0000D6290000}"/>
    <cellStyle name="Data no deci 2 6 9 8" xfId="9148" xr:uid="{00000000-0005-0000-0000-0000D7290000}"/>
    <cellStyle name="Data no deci 2 6 9 8 2" xfId="9149" xr:uid="{00000000-0005-0000-0000-0000D8290000}"/>
    <cellStyle name="Data no deci 2 6 9 9" xfId="9150" xr:uid="{00000000-0005-0000-0000-0000D9290000}"/>
    <cellStyle name="Data no deci 2 6 9 9 2" xfId="9151" xr:uid="{00000000-0005-0000-0000-0000DA290000}"/>
    <cellStyle name="Data no deci 2 7" xfId="9152" xr:uid="{00000000-0005-0000-0000-0000DB290000}"/>
    <cellStyle name="Data no deci 2 7 10" xfId="9153" xr:uid="{00000000-0005-0000-0000-0000DC290000}"/>
    <cellStyle name="Data no deci 2 7 10 2" xfId="9154" xr:uid="{00000000-0005-0000-0000-0000DD290000}"/>
    <cellStyle name="Data no deci 2 7 10 2 2" xfId="9155" xr:uid="{00000000-0005-0000-0000-0000DE290000}"/>
    <cellStyle name="Data no deci 2 7 10 3" xfId="9156" xr:uid="{00000000-0005-0000-0000-0000DF290000}"/>
    <cellStyle name="Data no deci 2 7 10 3 2" xfId="9157" xr:uid="{00000000-0005-0000-0000-0000E0290000}"/>
    <cellStyle name="Data no deci 2 7 10 4" xfId="9158" xr:uid="{00000000-0005-0000-0000-0000E1290000}"/>
    <cellStyle name="Data no deci 2 7 10 4 2" xfId="9159" xr:uid="{00000000-0005-0000-0000-0000E2290000}"/>
    <cellStyle name="Data no deci 2 7 10 5" xfId="9160" xr:uid="{00000000-0005-0000-0000-0000E3290000}"/>
    <cellStyle name="Data no deci 2 7 10 5 2" xfId="9161" xr:uid="{00000000-0005-0000-0000-0000E4290000}"/>
    <cellStyle name="Data no deci 2 7 10 6" xfId="9162" xr:uid="{00000000-0005-0000-0000-0000E5290000}"/>
    <cellStyle name="Data no deci 2 7 10 6 2" xfId="9163" xr:uid="{00000000-0005-0000-0000-0000E6290000}"/>
    <cellStyle name="Data no deci 2 7 10 7" xfId="9164" xr:uid="{00000000-0005-0000-0000-0000E7290000}"/>
    <cellStyle name="Data no deci 2 7 10 7 2" xfId="9165" xr:uid="{00000000-0005-0000-0000-0000E8290000}"/>
    <cellStyle name="Data no deci 2 7 10 8" xfId="9166" xr:uid="{00000000-0005-0000-0000-0000E9290000}"/>
    <cellStyle name="Data no deci 2 7 10 8 2" xfId="9167" xr:uid="{00000000-0005-0000-0000-0000EA290000}"/>
    <cellStyle name="Data no deci 2 7 10 9" xfId="9168" xr:uid="{00000000-0005-0000-0000-0000EB290000}"/>
    <cellStyle name="Data no deci 2 7 11" xfId="9169" xr:uid="{00000000-0005-0000-0000-0000EC290000}"/>
    <cellStyle name="Data no deci 2 7 11 2" xfId="9170" xr:uid="{00000000-0005-0000-0000-0000ED290000}"/>
    <cellStyle name="Data no deci 2 7 12" xfId="9171" xr:uid="{00000000-0005-0000-0000-0000EE290000}"/>
    <cellStyle name="Data no deci 2 7 12 2" xfId="9172" xr:uid="{00000000-0005-0000-0000-0000EF290000}"/>
    <cellStyle name="Data no deci 2 7 13" xfId="9173" xr:uid="{00000000-0005-0000-0000-0000F0290000}"/>
    <cellStyle name="Data no deci 2 7 13 2" xfId="9174" xr:uid="{00000000-0005-0000-0000-0000F1290000}"/>
    <cellStyle name="Data no deci 2 7 14" xfId="9175" xr:uid="{00000000-0005-0000-0000-0000F2290000}"/>
    <cellStyle name="Data no deci 2 7 14 2" xfId="9176" xr:uid="{00000000-0005-0000-0000-0000F3290000}"/>
    <cellStyle name="Data no deci 2 7 15" xfId="9177" xr:uid="{00000000-0005-0000-0000-0000F4290000}"/>
    <cellStyle name="Data no deci 2 7 15 2" xfId="9178" xr:uid="{00000000-0005-0000-0000-0000F5290000}"/>
    <cellStyle name="Data no deci 2 7 16" xfId="9179" xr:uid="{00000000-0005-0000-0000-0000F6290000}"/>
    <cellStyle name="Data no deci 2 7 16 2" xfId="9180" xr:uid="{00000000-0005-0000-0000-0000F7290000}"/>
    <cellStyle name="Data no deci 2 7 17" xfId="9181" xr:uid="{00000000-0005-0000-0000-0000F8290000}"/>
    <cellStyle name="Data no deci 2 7 17 2" xfId="9182" xr:uid="{00000000-0005-0000-0000-0000F9290000}"/>
    <cellStyle name="Data no deci 2 7 18" xfId="9183" xr:uid="{00000000-0005-0000-0000-0000FA290000}"/>
    <cellStyle name="Data no deci 2 7 2" xfId="9184" xr:uid="{00000000-0005-0000-0000-0000FB290000}"/>
    <cellStyle name="Data no deci 2 7 2 10" xfId="9185" xr:uid="{00000000-0005-0000-0000-0000FC290000}"/>
    <cellStyle name="Data no deci 2 7 2 2" xfId="9186" xr:uid="{00000000-0005-0000-0000-0000FD290000}"/>
    <cellStyle name="Data no deci 2 7 2 2 2" xfId="9187" xr:uid="{00000000-0005-0000-0000-0000FE290000}"/>
    <cellStyle name="Data no deci 2 7 2 3" xfId="9188" xr:uid="{00000000-0005-0000-0000-0000FF290000}"/>
    <cellStyle name="Data no deci 2 7 2 3 2" xfId="9189" xr:uid="{00000000-0005-0000-0000-0000002A0000}"/>
    <cellStyle name="Data no deci 2 7 2 4" xfId="9190" xr:uid="{00000000-0005-0000-0000-0000012A0000}"/>
    <cellStyle name="Data no deci 2 7 2 4 2" xfId="9191" xr:uid="{00000000-0005-0000-0000-0000022A0000}"/>
    <cellStyle name="Data no deci 2 7 2 5" xfId="9192" xr:uid="{00000000-0005-0000-0000-0000032A0000}"/>
    <cellStyle name="Data no deci 2 7 2 5 2" xfId="9193" xr:uid="{00000000-0005-0000-0000-0000042A0000}"/>
    <cellStyle name="Data no deci 2 7 2 6" xfId="9194" xr:uid="{00000000-0005-0000-0000-0000052A0000}"/>
    <cellStyle name="Data no deci 2 7 2 6 2" xfId="9195" xr:uid="{00000000-0005-0000-0000-0000062A0000}"/>
    <cellStyle name="Data no deci 2 7 2 7" xfId="9196" xr:uid="{00000000-0005-0000-0000-0000072A0000}"/>
    <cellStyle name="Data no deci 2 7 2 7 2" xfId="9197" xr:uid="{00000000-0005-0000-0000-0000082A0000}"/>
    <cellStyle name="Data no deci 2 7 2 8" xfId="9198" xr:uid="{00000000-0005-0000-0000-0000092A0000}"/>
    <cellStyle name="Data no deci 2 7 2 8 2" xfId="9199" xr:uid="{00000000-0005-0000-0000-00000A2A0000}"/>
    <cellStyle name="Data no deci 2 7 2 9" xfId="9200" xr:uid="{00000000-0005-0000-0000-00000B2A0000}"/>
    <cellStyle name="Data no deci 2 7 2 9 2" xfId="9201" xr:uid="{00000000-0005-0000-0000-00000C2A0000}"/>
    <cellStyle name="Data no deci 2 7 3" xfId="9202" xr:uid="{00000000-0005-0000-0000-00000D2A0000}"/>
    <cellStyle name="Data no deci 2 7 3 10" xfId="9203" xr:uid="{00000000-0005-0000-0000-00000E2A0000}"/>
    <cellStyle name="Data no deci 2 7 3 2" xfId="9204" xr:uid="{00000000-0005-0000-0000-00000F2A0000}"/>
    <cellStyle name="Data no deci 2 7 3 2 2" xfId="9205" xr:uid="{00000000-0005-0000-0000-0000102A0000}"/>
    <cellStyle name="Data no deci 2 7 3 3" xfId="9206" xr:uid="{00000000-0005-0000-0000-0000112A0000}"/>
    <cellStyle name="Data no deci 2 7 3 3 2" xfId="9207" xr:uid="{00000000-0005-0000-0000-0000122A0000}"/>
    <cellStyle name="Data no deci 2 7 3 4" xfId="9208" xr:uid="{00000000-0005-0000-0000-0000132A0000}"/>
    <cellStyle name="Data no deci 2 7 3 4 2" xfId="9209" xr:uid="{00000000-0005-0000-0000-0000142A0000}"/>
    <cellStyle name="Data no deci 2 7 3 5" xfId="9210" xr:uid="{00000000-0005-0000-0000-0000152A0000}"/>
    <cellStyle name="Data no deci 2 7 3 5 2" xfId="9211" xr:uid="{00000000-0005-0000-0000-0000162A0000}"/>
    <cellStyle name="Data no deci 2 7 3 6" xfId="9212" xr:uid="{00000000-0005-0000-0000-0000172A0000}"/>
    <cellStyle name="Data no deci 2 7 3 6 2" xfId="9213" xr:uid="{00000000-0005-0000-0000-0000182A0000}"/>
    <cellStyle name="Data no deci 2 7 3 7" xfId="9214" xr:uid="{00000000-0005-0000-0000-0000192A0000}"/>
    <cellStyle name="Data no deci 2 7 3 7 2" xfId="9215" xr:uid="{00000000-0005-0000-0000-00001A2A0000}"/>
    <cellStyle name="Data no deci 2 7 3 8" xfId="9216" xr:uid="{00000000-0005-0000-0000-00001B2A0000}"/>
    <cellStyle name="Data no deci 2 7 3 8 2" xfId="9217" xr:uid="{00000000-0005-0000-0000-00001C2A0000}"/>
    <cellStyle name="Data no deci 2 7 3 9" xfId="9218" xr:uid="{00000000-0005-0000-0000-00001D2A0000}"/>
    <cellStyle name="Data no deci 2 7 3 9 2" xfId="9219" xr:uid="{00000000-0005-0000-0000-00001E2A0000}"/>
    <cellStyle name="Data no deci 2 7 4" xfId="9220" xr:uid="{00000000-0005-0000-0000-00001F2A0000}"/>
    <cellStyle name="Data no deci 2 7 4 10" xfId="9221" xr:uid="{00000000-0005-0000-0000-0000202A0000}"/>
    <cellStyle name="Data no deci 2 7 4 2" xfId="9222" xr:uid="{00000000-0005-0000-0000-0000212A0000}"/>
    <cellStyle name="Data no deci 2 7 4 2 2" xfId="9223" xr:uid="{00000000-0005-0000-0000-0000222A0000}"/>
    <cellStyle name="Data no deci 2 7 4 3" xfId="9224" xr:uid="{00000000-0005-0000-0000-0000232A0000}"/>
    <cellStyle name="Data no deci 2 7 4 3 2" xfId="9225" xr:uid="{00000000-0005-0000-0000-0000242A0000}"/>
    <cellStyle name="Data no deci 2 7 4 4" xfId="9226" xr:uid="{00000000-0005-0000-0000-0000252A0000}"/>
    <cellStyle name="Data no deci 2 7 4 4 2" xfId="9227" xr:uid="{00000000-0005-0000-0000-0000262A0000}"/>
    <cellStyle name="Data no deci 2 7 4 5" xfId="9228" xr:uid="{00000000-0005-0000-0000-0000272A0000}"/>
    <cellStyle name="Data no deci 2 7 4 5 2" xfId="9229" xr:uid="{00000000-0005-0000-0000-0000282A0000}"/>
    <cellStyle name="Data no deci 2 7 4 6" xfId="9230" xr:uid="{00000000-0005-0000-0000-0000292A0000}"/>
    <cellStyle name="Data no deci 2 7 4 6 2" xfId="9231" xr:uid="{00000000-0005-0000-0000-00002A2A0000}"/>
    <cellStyle name="Data no deci 2 7 4 7" xfId="9232" xr:uid="{00000000-0005-0000-0000-00002B2A0000}"/>
    <cellStyle name="Data no deci 2 7 4 7 2" xfId="9233" xr:uid="{00000000-0005-0000-0000-00002C2A0000}"/>
    <cellStyle name="Data no deci 2 7 4 8" xfId="9234" xr:uid="{00000000-0005-0000-0000-00002D2A0000}"/>
    <cellStyle name="Data no deci 2 7 4 8 2" xfId="9235" xr:uid="{00000000-0005-0000-0000-00002E2A0000}"/>
    <cellStyle name="Data no deci 2 7 4 9" xfId="9236" xr:uid="{00000000-0005-0000-0000-00002F2A0000}"/>
    <cellStyle name="Data no deci 2 7 4 9 2" xfId="9237" xr:uid="{00000000-0005-0000-0000-0000302A0000}"/>
    <cellStyle name="Data no deci 2 7 5" xfId="9238" xr:uid="{00000000-0005-0000-0000-0000312A0000}"/>
    <cellStyle name="Data no deci 2 7 5 10" xfId="9239" xr:uid="{00000000-0005-0000-0000-0000322A0000}"/>
    <cellStyle name="Data no deci 2 7 5 2" xfId="9240" xr:uid="{00000000-0005-0000-0000-0000332A0000}"/>
    <cellStyle name="Data no deci 2 7 5 2 2" xfId="9241" xr:uid="{00000000-0005-0000-0000-0000342A0000}"/>
    <cellStyle name="Data no deci 2 7 5 3" xfId="9242" xr:uid="{00000000-0005-0000-0000-0000352A0000}"/>
    <cellStyle name="Data no deci 2 7 5 3 2" xfId="9243" xr:uid="{00000000-0005-0000-0000-0000362A0000}"/>
    <cellStyle name="Data no deci 2 7 5 4" xfId="9244" xr:uid="{00000000-0005-0000-0000-0000372A0000}"/>
    <cellStyle name="Data no deci 2 7 5 4 2" xfId="9245" xr:uid="{00000000-0005-0000-0000-0000382A0000}"/>
    <cellStyle name="Data no deci 2 7 5 5" xfId="9246" xr:uid="{00000000-0005-0000-0000-0000392A0000}"/>
    <cellStyle name="Data no deci 2 7 5 5 2" xfId="9247" xr:uid="{00000000-0005-0000-0000-00003A2A0000}"/>
    <cellStyle name="Data no deci 2 7 5 6" xfId="9248" xr:uid="{00000000-0005-0000-0000-00003B2A0000}"/>
    <cellStyle name="Data no deci 2 7 5 6 2" xfId="9249" xr:uid="{00000000-0005-0000-0000-00003C2A0000}"/>
    <cellStyle name="Data no deci 2 7 5 7" xfId="9250" xr:uid="{00000000-0005-0000-0000-00003D2A0000}"/>
    <cellStyle name="Data no deci 2 7 5 7 2" xfId="9251" xr:uid="{00000000-0005-0000-0000-00003E2A0000}"/>
    <cellStyle name="Data no deci 2 7 5 8" xfId="9252" xr:uid="{00000000-0005-0000-0000-00003F2A0000}"/>
    <cellStyle name="Data no deci 2 7 5 8 2" xfId="9253" xr:uid="{00000000-0005-0000-0000-0000402A0000}"/>
    <cellStyle name="Data no deci 2 7 5 9" xfId="9254" xr:uid="{00000000-0005-0000-0000-0000412A0000}"/>
    <cellStyle name="Data no deci 2 7 5 9 2" xfId="9255" xr:uid="{00000000-0005-0000-0000-0000422A0000}"/>
    <cellStyle name="Data no deci 2 7 6" xfId="9256" xr:uid="{00000000-0005-0000-0000-0000432A0000}"/>
    <cellStyle name="Data no deci 2 7 6 10" xfId="9257" xr:uid="{00000000-0005-0000-0000-0000442A0000}"/>
    <cellStyle name="Data no deci 2 7 6 2" xfId="9258" xr:uid="{00000000-0005-0000-0000-0000452A0000}"/>
    <cellStyle name="Data no deci 2 7 6 2 2" xfId="9259" xr:uid="{00000000-0005-0000-0000-0000462A0000}"/>
    <cellStyle name="Data no deci 2 7 6 3" xfId="9260" xr:uid="{00000000-0005-0000-0000-0000472A0000}"/>
    <cellStyle name="Data no deci 2 7 6 3 2" xfId="9261" xr:uid="{00000000-0005-0000-0000-0000482A0000}"/>
    <cellStyle name="Data no deci 2 7 6 4" xfId="9262" xr:uid="{00000000-0005-0000-0000-0000492A0000}"/>
    <cellStyle name="Data no deci 2 7 6 4 2" xfId="9263" xr:uid="{00000000-0005-0000-0000-00004A2A0000}"/>
    <cellStyle name="Data no deci 2 7 6 5" xfId="9264" xr:uid="{00000000-0005-0000-0000-00004B2A0000}"/>
    <cellStyle name="Data no deci 2 7 6 5 2" xfId="9265" xr:uid="{00000000-0005-0000-0000-00004C2A0000}"/>
    <cellStyle name="Data no deci 2 7 6 6" xfId="9266" xr:uid="{00000000-0005-0000-0000-00004D2A0000}"/>
    <cellStyle name="Data no deci 2 7 6 6 2" xfId="9267" xr:uid="{00000000-0005-0000-0000-00004E2A0000}"/>
    <cellStyle name="Data no deci 2 7 6 7" xfId="9268" xr:uid="{00000000-0005-0000-0000-00004F2A0000}"/>
    <cellStyle name="Data no deci 2 7 6 7 2" xfId="9269" xr:uid="{00000000-0005-0000-0000-0000502A0000}"/>
    <cellStyle name="Data no deci 2 7 6 8" xfId="9270" xr:uid="{00000000-0005-0000-0000-0000512A0000}"/>
    <cellStyle name="Data no deci 2 7 6 8 2" xfId="9271" xr:uid="{00000000-0005-0000-0000-0000522A0000}"/>
    <cellStyle name="Data no deci 2 7 6 9" xfId="9272" xr:uid="{00000000-0005-0000-0000-0000532A0000}"/>
    <cellStyle name="Data no deci 2 7 6 9 2" xfId="9273" xr:uid="{00000000-0005-0000-0000-0000542A0000}"/>
    <cellStyle name="Data no deci 2 7 7" xfId="9274" xr:uid="{00000000-0005-0000-0000-0000552A0000}"/>
    <cellStyle name="Data no deci 2 7 7 10" xfId="9275" xr:uid="{00000000-0005-0000-0000-0000562A0000}"/>
    <cellStyle name="Data no deci 2 7 7 2" xfId="9276" xr:uid="{00000000-0005-0000-0000-0000572A0000}"/>
    <cellStyle name="Data no deci 2 7 7 2 2" xfId="9277" xr:uid="{00000000-0005-0000-0000-0000582A0000}"/>
    <cellStyle name="Data no deci 2 7 7 3" xfId="9278" xr:uid="{00000000-0005-0000-0000-0000592A0000}"/>
    <cellStyle name="Data no deci 2 7 7 3 2" xfId="9279" xr:uid="{00000000-0005-0000-0000-00005A2A0000}"/>
    <cellStyle name="Data no deci 2 7 7 4" xfId="9280" xr:uid="{00000000-0005-0000-0000-00005B2A0000}"/>
    <cellStyle name="Data no deci 2 7 7 4 2" xfId="9281" xr:uid="{00000000-0005-0000-0000-00005C2A0000}"/>
    <cellStyle name="Data no deci 2 7 7 5" xfId="9282" xr:uid="{00000000-0005-0000-0000-00005D2A0000}"/>
    <cellStyle name="Data no deci 2 7 7 5 2" xfId="9283" xr:uid="{00000000-0005-0000-0000-00005E2A0000}"/>
    <cellStyle name="Data no deci 2 7 7 6" xfId="9284" xr:uid="{00000000-0005-0000-0000-00005F2A0000}"/>
    <cellStyle name="Data no deci 2 7 7 6 2" xfId="9285" xr:uid="{00000000-0005-0000-0000-0000602A0000}"/>
    <cellStyle name="Data no deci 2 7 7 7" xfId="9286" xr:uid="{00000000-0005-0000-0000-0000612A0000}"/>
    <cellStyle name="Data no deci 2 7 7 7 2" xfId="9287" xr:uid="{00000000-0005-0000-0000-0000622A0000}"/>
    <cellStyle name="Data no deci 2 7 7 8" xfId="9288" xr:uid="{00000000-0005-0000-0000-0000632A0000}"/>
    <cellStyle name="Data no deci 2 7 7 8 2" xfId="9289" xr:uid="{00000000-0005-0000-0000-0000642A0000}"/>
    <cellStyle name="Data no deci 2 7 7 9" xfId="9290" xr:uid="{00000000-0005-0000-0000-0000652A0000}"/>
    <cellStyle name="Data no deci 2 7 7 9 2" xfId="9291" xr:uid="{00000000-0005-0000-0000-0000662A0000}"/>
    <cellStyle name="Data no deci 2 7 8" xfId="9292" xr:uid="{00000000-0005-0000-0000-0000672A0000}"/>
    <cellStyle name="Data no deci 2 7 8 10" xfId="9293" xr:uid="{00000000-0005-0000-0000-0000682A0000}"/>
    <cellStyle name="Data no deci 2 7 8 2" xfId="9294" xr:uid="{00000000-0005-0000-0000-0000692A0000}"/>
    <cellStyle name="Data no deci 2 7 8 2 2" xfId="9295" xr:uid="{00000000-0005-0000-0000-00006A2A0000}"/>
    <cellStyle name="Data no deci 2 7 8 3" xfId="9296" xr:uid="{00000000-0005-0000-0000-00006B2A0000}"/>
    <cellStyle name="Data no deci 2 7 8 3 2" xfId="9297" xr:uid="{00000000-0005-0000-0000-00006C2A0000}"/>
    <cellStyle name="Data no deci 2 7 8 4" xfId="9298" xr:uid="{00000000-0005-0000-0000-00006D2A0000}"/>
    <cellStyle name="Data no deci 2 7 8 4 2" xfId="9299" xr:uid="{00000000-0005-0000-0000-00006E2A0000}"/>
    <cellStyle name="Data no deci 2 7 8 5" xfId="9300" xr:uid="{00000000-0005-0000-0000-00006F2A0000}"/>
    <cellStyle name="Data no deci 2 7 8 5 2" xfId="9301" xr:uid="{00000000-0005-0000-0000-0000702A0000}"/>
    <cellStyle name="Data no deci 2 7 8 6" xfId="9302" xr:uid="{00000000-0005-0000-0000-0000712A0000}"/>
    <cellStyle name="Data no deci 2 7 8 6 2" xfId="9303" xr:uid="{00000000-0005-0000-0000-0000722A0000}"/>
    <cellStyle name="Data no deci 2 7 8 7" xfId="9304" xr:uid="{00000000-0005-0000-0000-0000732A0000}"/>
    <cellStyle name="Data no deci 2 7 8 7 2" xfId="9305" xr:uid="{00000000-0005-0000-0000-0000742A0000}"/>
    <cellStyle name="Data no deci 2 7 8 8" xfId="9306" xr:uid="{00000000-0005-0000-0000-0000752A0000}"/>
    <cellStyle name="Data no deci 2 7 8 8 2" xfId="9307" xr:uid="{00000000-0005-0000-0000-0000762A0000}"/>
    <cellStyle name="Data no deci 2 7 8 9" xfId="9308" xr:uid="{00000000-0005-0000-0000-0000772A0000}"/>
    <cellStyle name="Data no deci 2 7 8 9 2" xfId="9309" xr:uid="{00000000-0005-0000-0000-0000782A0000}"/>
    <cellStyle name="Data no deci 2 7 9" xfId="9310" xr:uid="{00000000-0005-0000-0000-0000792A0000}"/>
    <cellStyle name="Data no deci 2 7 9 10" xfId="9311" xr:uid="{00000000-0005-0000-0000-00007A2A0000}"/>
    <cellStyle name="Data no deci 2 7 9 2" xfId="9312" xr:uid="{00000000-0005-0000-0000-00007B2A0000}"/>
    <cellStyle name="Data no deci 2 7 9 2 2" xfId="9313" xr:uid="{00000000-0005-0000-0000-00007C2A0000}"/>
    <cellStyle name="Data no deci 2 7 9 3" xfId="9314" xr:uid="{00000000-0005-0000-0000-00007D2A0000}"/>
    <cellStyle name="Data no deci 2 7 9 3 2" xfId="9315" xr:uid="{00000000-0005-0000-0000-00007E2A0000}"/>
    <cellStyle name="Data no deci 2 7 9 4" xfId="9316" xr:uid="{00000000-0005-0000-0000-00007F2A0000}"/>
    <cellStyle name="Data no deci 2 7 9 4 2" xfId="9317" xr:uid="{00000000-0005-0000-0000-0000802A0000}"/>
    <cellStyle name="Data no deci 2 7 9 5" xfId="9318" xr:uid="{00000000-0005-0000-0000-0000812A0000}"/>
    <cellStyle name="Data no deci 2 7 9 5 2" xfId="9319" xr:uid="{00000000-0005-0000-0000-0000822A0000}"/>
    <cellStyle name="Data no deci 2 7 9 6" xfId="9320" xr:uid="{00000000-0005-0000-0000-0000832A0000}"/>
    <cellStyle name="Data no deci 2 7 9 6 2" xfId="9321" xr:uid="{00000000-0005-0000-0000-0000842A0000}"/>
    <cellStyle name="Data no deci 2 7 9 7" xfId="9322" xr:uid="{00000000-0005-0000-0000-0000852A0000}"/>
    <cellStyle name="Data no deci 2 7 9 7 2" xfId="9323" xr:uid="{00000000-0005-0000-0000-0000862A0000}"/>
    <cellStyle name="Data no deci 2 7 9 8" xfId="9324" xr:uid="{00000000-0005-0000-0000-0000872A0000}"/>
    <cellStyle name="Data no deci 2 7 9 8 2" xfId="9325" xr:uid="{00000000-0005-0000-0000-0000882A0000}"/>
    <cellStyle name="Data no deci 2 7 9 9" xfId="9326" xr:uid="{00000000-0005-0000-0000-0000892A0000}"/>
    <cellStyle name="Data no deci 2 7 9 9 2" xfId="9327" xr:uid="{00000000-0005-0000-0000-00008A2A0000}"/>
    <cellStyle name="Data no deci 2 8" xfId="9328" xr:uid="{00000000-0005-0000-0000-00008B2A0000}"/>
    <cellStyle name="Data no deci 2 8 10" xfId="9329" xr:uid="{00000000-0005-0000-0000-00008C2A0000}"/>
    <cellStyle name="Data no deci 2 8 10 2" xfId="9330" xr:uid="{00000000-0005-0000-0000-00008D2A0000}"/>
    <cellStyle name="Data no deci 2 8 10 2 2" xfId="9331" xr:uid="{00000000-0005-0000-0000-00008E2A0000}"/>
    <cellStyle name="Data no deci 2 8 10 3" xfId="9332" xr:uid="{00000000-0005-0000-0000-00008F2A0000}"/>
    <cellStyle name="Data no deci 2 8 10 3 2" xfId="9333" xr:uid="{00000000-0005-0000-0000-0000902A0000}"/>
    <cellStyle name="Data no deci 2 8 10 4" xfId="9334" xr:uid="{00000000-0005-0000-0000-0000912A0000}"/>
    <cellStyle name="Data no deci 2 8 10 4 2" xfId="9335" xr:uid="{00000000-0005-0000-0000-0000922A0000}"/>
    <cellStyle name="Data no deci 2 8 10 5" xfId="9336" xr:uid="{00000000-0005-0000-0000-0000932A0000}"/>
    <cellStyle name="Data no deci 2 8 10 5 2" xfId="9337" xr:uid="{00000000-0005-0000-0000-0000942A0000}"/>
    <cellStyle name="Data no deci 2 8 10 6" xfId="9338" xr:uid="{00000000-0005-0000-0000-0000952A0000}"/>
    <cellStyle name="Data no deci 2 8 10 6 2" xfId="9339" xr:uid="{00000000-0005-0000-0000-0000962A0000}"/>
    <cellStyle name="Data no deci 2 8 10 7" xfId="9340" xr:uid="{00000000-0005-0000-0000-0000972A0000}"/>
    <cellStyle name="Data no deci 2 8 10 7 2" xfId="9341" xr:uid="{00000000-0005-0000-0000-0000982A0000}"/>
    <cellStyle name="Data no deci 2 8 10 8" xfId="9342" xr:uid="{00000000-0005-0000-0000-0000992A0000}"/>
    <cellStyle name="Data no deci 2 8 10 8 2" xfId="9343" xr:uid="{00000000-0005-0000-0000-00009A2A0000}"/>
    <cellStyle name="Data no deci 2 8 10 9" xfId="9344" xr:uid="{00000000-0005-0000-0000-00009B2A0000}"/>
    <cellStyle name="Data no deci 2 8 11" xfId="9345" xr:uid="{00000000-0005-0000-0000-00009C2A0000}"/>
    <cellStyle name="Data no deci 2 8 11 2" xfId="9346" xr:uid="{00000000-0005-0000-0000-00009D2A0000}"/>
    <cellStyle name="Data no deci 2 8 12" xfId="9347" xr:uid="{00000000-0005-0000-0000-00009E2A0000}"/>
    <cellStyle name="Data no deci 2 8 12 2" xfId="9348" xr:uid="{00000000-0005-0000-0000-00009F2A0000}"/>
    <cellStyle name="Data no deci 2 8 13" xfId="9349" xr:uid="{00000000-0005-0000-0000-0000A02A0000}"/>
    <cellStyle name="Data no deci 2 8 13 2" xfId="9350" xr:uid="{00000000-0005-0000-0000-0000A12A0000}"/>
    <cellStyle name="Data no deci 2 8 14" xfId="9351" xr:uid="{00000000-0005-0000-0000-0000A22A0000}"/>
    <cellStyle name="Data no deci 2 8 14 2" xfId="9352" xr:uid="{00000000-0005-0000-0000-0000A32A0000}"/>
    <cellStyle name="Data no deci 2 8 15" xfId="9353" xr:uid="{00000000-0005-0000-0000-0000A42A0000}"/>
    <cellStyle name="Data no deci 2 8 15 2" xfId="9354" xr:uid="{00000000-0005-0000-0000-0000A52A0000}"/>
    <cellStyle name="Data no deci 2 8 16" xfId="9355" xr:uid="{00000000-0005-0000-0000-0000A62A0000}"/>
    <cellStyle name="Data no deci 2 8 16 2" xfId="9356" xr:uid="{00000000-0005-0000-0000-0000A72A0000}"/>
    <cellStyle name="Data no deci 2 8 17" xfId="9357" xr:uid="{00000000-0005-0000-0000-0000A82A0000}"/>
    <cellStyle name="Data no deci 2 8 17 2" xfId="9358" xr:uid="{00000000-0005-0000-0000-0000A92A0000}"/>
    <cellStyle name="Data no deci 2 8 18" xfId="9359" xr:uid="{00000000-0005-0000-0000-0000AA2A0000}"/>
    <cellStyle name="Data no deci 2 8 2" xfId="9360" xr:uid="{00000000-0005-0000-0000-0000AB2A0000}"/>
    <cellStyle name="Data no deci 2 8 2 10" xfId="9361" xr:uid="{00000000-0005-0000-0000-0000AC2A0000}"/>
    <cellStyle name="Data no deci 2 8 2 2" xfId="9362" xr:uid="{00000000-0005-0000-0000-0000AD2A0000}"/>
    <cellStyle name="Data no deci 2 8 2 2 2" xfId="9363" xr:uid="{00000000-0005-0000-0000-0000AE2A0000}"/>
    <cellStyle name="Data no deci 2 8 2 3" xfId="9364" xr:uid="{00000000-0005-0000-0000-0000AF2A0000}"/>
    <cellStyle name="Data no deci 2 8 2 3 2" xfId="9365" xr:uid="{00000000-0005-0000-0000-0000B02A0000}"/>
    <cellStyle name="Data no deci 2 8 2 4" xfId="9366" xr:uid="{00000000-0005-0000-0000-0000B12A0000}"/>
    <cellStyle name="Data no deci 2 8 2 4 2" xfId="9367" xr:uid="{00000000-0005-0000-0000-0000B22A0000}"/>
    <cellStyle name="Data no deci 2 8 2 5" xfId="9368" xr:uid="{00000000-0005-0000-0000-0000B32A0000}"/>
    <cellStyle name="Data no deci 2 8 2 5 2" xfId="9369" xr:uid="{00000000-0005-0000-0000-0000B42A0000}"/>
    <cellStyle name="Data no deci 2 8 2 6" xfId="9370" xr:uid="{00000000-0005-0000-0000-0000B52A0000}"/>
    <cellStyle name="Data no deci 2 8 2 6 2" xfId="9371" xr:uid="{00000000-0005-0000-0000-0000B62A0000}"/>
    <cellStyle name="Data no deci 2 8 2 7" xfId="9372" xr:uid="{00000000-0005-0000-0000-0000B72A0000}"/>
    <cellStyle name="Data no deci 2 8 2 7 2" xfId="9373" xr:uid="{00000000-0005-0000-0000-0000B82A0000}"/>
    <cellStyle name="Data no deci 2 8 2 8" xfId="9374" xr:uid="{00000000-0005-0000-0000-0000B92A0000}"/>
    <cellStyle name="Data no deci 2 8 2 8 2" xfId="9375" xr:uid="{00000000-0005-0000-0000-0000BA2A0000}"/>
    <cellStyle name="Data no deci 2 8 2 9" xfId="9376" xr:uid="{00000000-0005-0000-0000-0000BB2A0000}"/>
    <cellStyle name="Data no deci 2 8 2 9 2" xfId="9377" xr:uid="{00000000-0005-0000-0000-0000BC2A0000}"/>
    <cellStyle name="Data no deci 2 8 3" xfId="9378" xr:uid="{00000000-0005-0000-0000-0000BD2A0000}"/>
    <cellStyle name="Data no deci 2 8 3 10" xfId="9379" xr:uid="{00000000-0005-0000-0000-0000BE2A0000}"/>
    <cellStyle name="Data no deci 2 8 3 2" xfId="9380" xr:uid="{00000000-0005-0000-0000-0000BF2A0000}"/>
    <cellStyle name="Data no deci 2 8 3 2 2" xfId="9381" xr:uid="{00000000-0005-0000-0000-0000C02A0000}"/>
    <cellStyle name="Data no deci 2 8 3 3" xfId="9382" xr:uid="{00000000-0005-0000-0000-0000C12A0000}"/>
    <cellStyle name="Data no deci 2 8 3 3 2" xfId="9383" xr:uid="{00000000-0005-0000-0000-0000C22A0000}"/>
    <cellStyle name="Data no deci 2 8 3 4" xfId="9384" xr:uid="{00000000-0005-0000-0000-0000C32A0000}"/>
    <cellStyle name="Data no deci 2 8 3 4 2" xfId="9385" xr:uid="{00000000-0005-0000-0000-0000C42A0000}"/>
    <cellStyle name="Data no deci 2 8 3 5" xfId="9386" xr:uid="{00000000-0005-0000-0000-0000C52A0000}"/>
    <cellStyle name="Data no deci 2 8 3 5 2" xfId="9387" xr:uid="{00000000-0005-0000-0000-0000C62A0000}"/>
    <cellStyle name="Data no deci 2 8 3 6" xfId="9388" xr:uid="{00000000-0005-0000-0000-0000C72A0000}"/>
    <cellStyle name="Data no deci 2 8 3 6 2" xfId="9389" xr:uid="{00000000-0005-0000-0000-0000C82A0000}"/>
    <cellStyle name="Data no deci 2 8 3 7" xfId="9390" xr:uid="{00000000-0005-0000-0000-0000C92A0000}"/>
    <cellStyle name="Data no deci 2 8 3 7 2" xfId="9391" xr:uid="{00000000-0005-0000-0000-0000CA2A0000}"/>
    <cellStyle name="Data no deci 2 8 3 8" xfId="9392" xr:uid="{00000000-0005-0000-0000-0000CB2A0000}"/>
    <cellStyle name="Data no deci 2 8 3 8 2" xfId="9393" xr:uid="{00000000-0005-0000-0000-0000CC2A0000}"/>
    <cellStyle name="Data no deci 2 8 3 9" xfId="9394" xr:uid="{00000000-0005-0000-0000-0000CD2A0000}"/>
    <cellStyle name="Data no deci 2 8 3 9 2" xfId="9395" xr:uid="{00000000-0005-0000-0000-0000CE2A0000}"/>
    <cellStyle name="Data no deci 2 8 4" xfId="9396" xr:uid="{00000000-0005-0000-0000-0000CF2A0000}"/>
    <cellStyle name="Data no deci 2 8 4 10" xfId="9397" xr:uid="{00000000-0005-0000-0000-0000D02A0000}"/>
    <cellStyle name="Data no deci 2 8 4 2" xfId="9398" xr:uid="{00000000-0005-0000-0000-0000D12A0000}"/>
    <cellStyle name="Data no deci 2 8 4 2 2" xfId="9399" xr:uid="{00000000-0005-0000-0000-0000D22A0000}"/>
    <cellStyle name="Data no deci 2 8 4 3" xfId="9400" xr:uid="{00000000-0005-0000-0000-0000D32A0000}"/>
    <cellStyle name="Data no deci 2 8 4 3 2" xfId="9401" xr:uid="{00000000-0005-0000-0000-0000D42A0000}"/>
    <cellStyle name="Data no deci 2 8 4 4" xfId="9402" xr:uid="{00000000-0005-0000-0000-0000D52A0000}"/>
    <cellStyle name="Data no deci 2 8 4 4 2" xfId="9403" xr:uid="{00000000-0005-0000-0000-0000D62A0000}"/>
    <cellStyle name="Data no deci 2 8 4 5" xfId="9404" xr:uid="{00000000-0005-0000-0000-0000D72A0000}"/>
    <cellStyle name="Data no deci 2 8 4 5 2" xfId="9405" xr:uid="{00000000-0005-0000-0000-0000D82A0000}"/>
    <cellStyle name="Data no deci 2 8 4 6" xfId="9406" xr:uid="{00000000-0005-0000-0000-0000D92A0000}"/>
    <cellStyle name="Data no deci 2 8 4 6 2" xfId="9407" xr:uid="{00000000-0005-0000-0000-0000DA2A0000}"/>
    <cellStyle name="Data no deci 2 8 4 7" xfId="9408" xr:uid="{00000000-0005-0000-0000-0000DB2A0000}"/>
    <cellStyle name="Data no deci 2 8 4 7 2" xfId="9409" xr:uid="{00000000-0005-0000-0000-0000DC2A0000}"/>
    <cellStyle name="Data no deci 2 8 4 8" xfId="9410" xr:uid="{00000000-0005-0000-0000-0000DD2A0000}"/>
    <cellStyle name="Data no deci 2 8 4 8 2" xfId="9411" xr:uid="{00000000-0005-0000-0000-0000DE2A0000}"/>
    <cellStyle name="Data no deci 2 8 4 9" xfId="9412" xr:uid="{00000000-0005-0000-0000-0000DF2A0000}"/>
    <cellStyle name="Data no deci 2 8 4 9 2" xfId="9413" xr:uid="{00000000-0005-0000-0000-0000E02A0000}"/>
    <cellStyle name="Data no deci 2 8 5" xfId="9414" xr:uid="{00000000-0005-0000-0000-0000E12A0000}"/>
    <cellStyle name="Data no deci 2 8 5 10" xfId="9415" xr:uid="{00000000-0005-0000-0000-0000E22A0000}"/>
    <cellStyle name="Data no deci 2 8 5 2" xfId="9416" xr:uid="{00000000-0005-0000-0000-0000E32A0000}"/>
    <cellStyle name="Data no deci 2 8 5 2 2" xfId="9417" xr:uid="{00000000-0005-0000-0000-0000E42A0000}"/>
    <cellStyle name="Data no deci 2 8 5 3" xfId="9418" xr:uid="{00000000-0005-0000-0000-0000E52A0000}"/>
    <cellStyle name="Data no deci 2 8 5 3 2" xfId="9419" xr:uid="{00000000-0005-0000-0000-0000E62A0000}"/>
    <cellStyle name="Data no deci 2 8 5 4" xfId="9420" xr:uid="{00000000-0005-0000-0000-0000E72A0000}"/>
    <cellStyle name="Data no deci 2 8 5 4 2" xfId="9421" xr:uid="{00000000-0005-0000-0000-0000E82A0000}"/>
    <cellStyle name="Data no deci 2 8 5 5" xfId="9422" xr:uid="{00000000-0005-0000-0000-0000E92A0000}"/>
    <cellStyle name="Data no deci 2 8 5 5 2" xfId="9423" xr:uid="{00000000-0005-0000-0000-0000EA2A0000}"/>
    <cellStyle name="Data no deci 2 8 5 6" xfId="9424" xr:uid="{00000000-0005-0000-0000-0000EB2A0000}"/>
    <cellStyle name="Data no deci 2 8 5 6 2" xfId="9425" xr:uid="{00000000-0005-0000-0000-0000EC2A0000}"/>
    <cellStyle name="Data no deci 2 8 5 7" xfId="9426" xr:uid="{00000000-0005-0000-0000-0000ED2A0000}"/>
    <cellStyle name="Data no deci 2 8 5 7 2" xfId="9427" xr:uid="{00000000-0005-0000-0000-0000EE2A0000}"/>
    <cellStyle name="Data no deci 2 8 5 8" xfId="9428" xr:uid="{00000000-0005-0000-0000-0000EF2A0000}"/>
    <cellStyle name="Data no deci 2 8 5 8 2" xfId="9429" xr:uid="{00000000-0005-0000-0000-0000F02A0000}"/>
    <cellStyle name="Data no deci 2 8 5 9" xfId="9430" xr:uid="{00000000-0005-0000-0000-0000F12A0000}"/>
    <cellStyle name="Data no deci 2 8 5 9 2" xfId="9431" xr:uid="{00000000-0005-0000-0000-0000F22A0000}"/>
    <cellStyle name="Data no deci 2 8 6" xfId="9432" xr:uid="{00000000-0005-0000-0000-0000F32A0000}"/>
    <cellStyle name="Data no deci 2 8 6 10" xfId="9433" xr:uid="{00000000-0005-0000-0000-0000F42A0000}"/>
    <cellStyle name="Data no deci 2 8 6 2" xfId="9434" xr:uid="{00000000-0005-0000-0000-0000F52A0000}"/>
    <cellStyle name="Data no deci 2 8 6 2 2" xfId="9435" xr:uid="{00000000-0005-0000-0000-0000F62A0000}"/>
    <cellStyle name="Data no deci 2 8 6 3" xfId="9436" xr:uid="{00000000-0005-0000-0000-0000F72A0000}"/>
    <cellStyle name="Data no deci 2 8 6 3 2" xfId="9437" xr:uid="{00000000-0005-0000-0000-0000F82A0000}"/>
    <cellStyle name="Data no deci 2 8 6 4" xfId="9438" xr:uid="{00000000-0005-0000-0000-0000F92A0000}"/>
    <cellStyle name="Data no deci 2 8 6 4 2" xfId="9439" xr:uid="{00000000-0005-0000-0000-0000FA2A0000}"/>
    <cellStyle name="Data no deci 2 8 6 5" xfId="9440" xr:uid="{00000000-0005-0000-0000-0000FB2A0000}"/>
    <cellStyle name="Data no deci 2 8 6 5 2" xfId="9441" xr:uid="{00000000-0005-0000-0000-0000FC2A0000}"/>
    <cellStyle name="Data no deci 2 8 6 6" xfId="9442" xr:uid="{00000000-0005-0000-0000-0000FD2A0000}"/>
    <cellStyle name="Data no deci 2 8 6 6 2" xfId="9443" xr:uid="{00000000-0005-0000-0000-0000FE2A0000}"/>
    <cellStyle name="Data no deci 2 8 6 7" xfId="9444" xr:uid="{00000000-0005-0000-0000-0000FF2A0000}"/>
    <cellStyle name="Data no deci 2 8 6 7 2" xfId="9445" xr:uid="{00000000-0005-0000-0000-0000002B0000}"/>
    <cellStyle name="Data no deci 2 8 6 8" xfId="9446" xr:uid="{00000000-0005-0000-0000-0000012B0000}"/>
    <cellStyle name="Data no deci 2 8 6 8 2" xfId="9447" xr:uid="{00000000-0005-0000-0000-0000022B0000}"/>
    <cellStyle name="Data no deci 2 8 6 9" xfId="9448" xr:uid="{00000000-0005-0000-0000-0000032B0000}"/>
    <cellStyle name="Data no deci 2 8 6 9 2" xfId="9449" xr:uid="{00000000-0005-0000-0000-0000042B0000}"/>
    <cellStyle name="Data no deci 2 8 7" xfId="9450" xr:uid="{00000000-0005-0000-0000-0000052B0000}"/>
    <cellStyle name="Data no deci 2 8 7 10" xfId="9451" xr:uid="{00000000-0005-0000-0000-0000062B0000}"/>
    <cellStyle name="Data no deci 2 8 7 2" xfId="9452" xr:uid="{00000000-0005-0000-0000-0000072B0000}"/>
    <cellStyle name="Data no deci 2 8 7 2 2" xfId="9453" xr:uid="{00000000-0005-0000-0000-0000082B0000}"/>
    <cellStyle name="Data no deci 2 8 7 3" xfId="9454" xr:uid="{00000000-0005-0000-0000-0000092B0000}"/>
    <cellStyle name="Data no deci 2 8 7 3 2" xfId="9455" xr:uid="{00000000-0005-0000-0000-00000A2B0000}"/>
    <cellStyle name="Data no deci 2 8 7 4" xfId="9456" xr:uid="{00000000-0005-0000-0000-00000B2B0000}"/>
    <cellStyle name="Data no deci 2 8 7 4 2" xfId="9457" xr:uid="{00000000-0005-0000-0000-00000C2B0000}"/>
    <cellStyle name="Data no deci 2 8 7 5" xfId="9458" xr:uid="{00000000-0005-0000-0000-00000D2B0000}"/>
    <cellStyle name="Data no deci 2 8 7 5 2" xfId="9459" xr:uid="{00000000-0005-0000-0000-00000E2B0000}"/>
    <cellStyle name="Data no deci 2 8 7 6" xfId="9460" xr:uid="{00000000-0005-0000-0000-00000F2B0000}"/>
    <cellStyle name="Data no deci 2 8 7 6 2" xfId="9461" xr:uid="{00000000-0005-0000-0000-0000102B0000}"/>
    <cellStyle name="Data no deci 2 8 7 7" xfId="9462" xr:uid="{00000000-0005-0000-0000-0000112B0000}"/>
    <cellStyle name="Data no deci 2 8 7 7 2" xfId="9463" xr:uid="{00000000-0005-0000-0000-0000122B0000}"/>
    <cellStyle name="Data no deci 2 8 7 8" xfId="9464" xr:uid="{00000000-0005-0000-0000-0000132B0000}"/>
    <cellStyle name="Data no deci 2 8 7 8 2" xfId="9465" xr:uid="{00000000-0005-0000-0000-0000142B0000}"/>
    <cellStyle name="Data no deci 2 8 7 9" xfId="9466" xr:uid="{00000000-0005-0000-0000-0000152B0000}"/>
    <cellStyle name="Data no deci 2 8 7 9 2" xfId="9467" xr:uid="{00000000-0005-0000-0000-0000162B0000}"/>
    <cellStyle name="Data no deci 2 8 8" xfId="9468" xr:uid="{00000000-0005-0000-0000-0000172B0000}"/>
    <cellStyle name="Data no deci 2 8 8 10" xfId="9469" xr:uid="{00000000-0005-0000-0000-0000182B0000}"/>
    <cellStyle name="Data no deci 2 8 8 2" xfId="9470" xr:uid="{00000000-0005-0000-0000-0000192B0000}"/>
    <cellStyle name="Data no deci 2 8 8 2 2" xfId="9471" xr:uid="{00000000-0005-0000-0000-00001A2B0000}"/>
    <cellStyle name="Data no deci 2 8 8 3" xfId="9472" xr:uid="{00000000-0005-0000-0000-00001B2B0000}"/>
    <cellStyle name="Data no deci 2 8 8 3 2" xfId="9473" xr:uid="{00000000-0005-0000-0000-00001C2B0000}"/>
    <cellStyle name="Data no deci 2 8 8 4" xfId="9474" xr:uid="{00000000-0005-0000-0000-00001D2B0000}"/>
    <cellStyle name="Data no deci 2 8 8 4 2" xfId="9475" xr:uid="{00000000-0005-0000-0000-00001E2B0000}"/>
    <cellStyle name="Data no deci 2 8 8 5" xfId="9476" xr:uid="{00000000-0005-0000-0000-00001F2B0000}"/>
    <cellStyle name="Data no deci 2 8 8 5 2" xfId="9477" xr:uid="{00000000-0005-0000-0000-0000202B0000}"/>
    <cellStyle name="Data no deci 2 8 8 6" xfId="9478" xr:uid="{00000000-0005-0000-0000-0000212B0000}"/>
    <cellStyle name="Data no deci 2 8 8 6 2" xfId="9479" xr:uid="{00000000-0005-0000-0000-0000222B0000}"/>
    <cellStyle name="Data no deci 2 8 8 7" xfId="9480" xr:uid="{00000000-0005-0000-0000-0000232B0000}"/>
    <cellStyle name="Data no deci 2 8 8 7 2" xfId="9481" xr:uid="{00000000-0005-0000-0000-0000242B0000}"/>
    <cellStyle name="Data no deci 2 8 8 8" xfId="9482" xr:uid="{00000000-0005-0000-0000-0000252B0000}"/>
    <cellStyle name="Data no deci 2 8 8 8 2" xfId="9483" xr:uid="{00000000-0005-0000-0000-0000262B0000}"/>
    <cellStyle name="Data no deci 2 8 8 9" xfId="9484" xr:uid="{00000000-0005-0000-0000-0000272B0000}"/>
    <cellStyle name="Data no deci 2 8 8 9 2" xfId="9485" xr:uid="{00000000-0005-0000-0000-0000282B0000}"/>
    <cellStyle name="Data no deci 2 8 9" xfId="9486" xr:uid="{00000000-0005-0000-0000-0000292B0000}"/>
    <cellStyle name="Data no deci 2 8 9 10" xfId="9487" xr:uid="{00000000-0005-0000-0000-00002A2B0000}"/>
    <cellStyle name="Data no deci 2 8 9 2" xfId="9488" xr:uid="{00000000-0005-0000-0000-00002B2B0000}"/>
    <cellStyle name="Data no deci 2 8 9 2 2" xfId="9489" xr:uid="{00000000-0005-0000-0000-00002C2B0000}"/>
    <cellStyle name="Data no deci 2 8 9 3" xfId="9490" xr:uid="{00000000-0005-0000-0000-00002D2B0000}"/>
    <cellStyle name="Data no deci 2 8 9 3 2" xfId="9491" xr:uid="{00000000-0005-0000-0000-00002E2B0000}"/>
    <cellStyle name="Data no deci 2 8 9 4" xfId="9492" xr:uid="{00000000-0005-0000-0000-00002F2B0000}"/>
    <cellStyle name="Data no deci 2 8 9 4 2" xfId="9493" xr:uid="{00000000-0005-0000-0000-0000302B0000}"/>
    <cellStyle name="Data no deci 2 8 9 5" xfId="9494" xr:uid="{00000000-0005-0000-0000-0000312B0000}"/>
    <cellStyle name="Data no deci 2 8 9 5 2" xfId="9495" xr:uid="{00000000-0005-0000-0000-0000322B0000}"/>
    <cellStyle name="Data no deci 2 8 9 6" xfId="9496" xr:uid="{00000000-0005-0000-0000-0000332B0000}"/>
    <cellStyle name="Data no deci 2 8 9 6 2" xfId="9497" xr:uid="{00000000-0005-0000-0000-0000342B0000}"/>
    <cellStyle name="Data no deci 2 8 9 7" xfId="9498" xr:uid="{00000000-0005-0000-0000-0000352B0000}"/>
    <cellStyle name="Data no deci 2 8 9 7 2" xfId="9499" xr:uid="{00000000-0005-0000-0000-0000362B0000}"/>
    <cellStyle name="Data no deci 2 8 9 8" xfId="9500" xr:uid="{00000000-0005-0000-0000-0000372B0000}"/>
    <cellStyle name="Data no deci 2 8 9 8 2" xfId="9501" xr:uid="{00000000-0005-0000-0000-0000382B0000}"/>
    <cellStyle name="Data no deci 2 8 9 9" xfId="9502" xr:uid="{00000000-0005-0000-0000-0000392B0000}"/>
    <cellStyle name="Data no deci 2 8 9 9 2" xfId="9503" xr:uid="{00000000-0005-0000-0000-00003A2B0000}"/>
    <cellStyle name="Data no deci 3" xfId="158" xr:uid="{00000000-0005-0000-0000-00003B2B0000}"/>
    <cellStyle name="Data no deci 3 2" xfId="9504" xr:uid="{00000000-0005-0000-0000-00003C2B0000}"/>
    <cellStyle name="Data no deci 3 2 10" xfId="9505" xr:uid="{00000000-0005-0000-0000-00003D2B0000}"/>
    <cellStyle name="Data no deci 3 2 10 10" xfId="9506" xr:uid="{00000000-0005-0000-0000-00003E2B0000}"/>
    <cellStyle name="Data no deci 3 2 10 2" xfId="9507" xr:uid="{00000000-0005-0000-0000-00003F2B0000}"/>
    <cellStyle name="Data no deci 3 2 10 2 2" xfId="9508" xr:uid="{00000000-0005-0000-0000-0000402B0000}"/>
    <cellStyle name="Data no deci 3 2 10 3" xfId="9509" xr:uid="{00000000-0005-0000-0000-0000412B0000}"/>
    <cellStyle name="Data no deci 3 2 10 3 2" xfId="9510" xr:uid="{00000000-0005-0000-0000-0000422B0000}"/>
    <cellStyle name="Data no deci 3 2 10 4" xfId="9511" xr:uid="{00000000-0005-0000-0000-0000432B0000}"/>
    <cellStyle name="Data no deci 3 2 10 4 2" xfId="9512" xr:uid="{00000000-0005-0000-0000-0000442B0000}"/>
    <cellStyle name="Data no deci 3 2 10 5" xfId="9513" xr:uid="{00000000-0005-0000-0000-0000452B0000}"/>
    <cellStyle name="Data no deci 3 2 10 5 2" xfId="9514" xr:uid="{00000000-0005-0000-0000-0000462B0000}"/>
    <cellStyle name="Data no deci 3 2 10 6" xfId="9515" xr:uid="{00000000-0005-0000-0000-0000472B0000}"/>
    <cellStyle name="Data no deci 3 2 10 6 2" xfId="9516" xr:uid="{00000000-0005-0000-0000-0000482B0000}"/>
    <cellStyle name="Data no deci 3 2 10 7" xfId="9517" xr:uid="{00000000-0005-0000-0000-0000492B0000}"/>
    <cellStyle name="Data no deci 3 2 10 7 2" xfId="9518" xr:uid="{00000000-0005-0000-0000-00004A2B0000}"/>
    <cellStyle name="Data no deci 3 2 10 8" xfId="9519" xr:uid="{00000000-0005-0000-0000-00004B2B0000}"/>
    <cellStyle name="Data no deci 3 2 10 8 2" xfId="9520" xr:uid="{00000000-0005-0000-0000-00004C2B0000}"/>
    <cellStyle name="Data no deci 3 2 10 9" xfId="9521" xr:uid="{00000000-0005-0000-0000-00004D2B0000}"/>
    <cellStyle name="Data no deci 3 2 10 9 2" xfId="9522" xr:uid="{00000000-0005-0000-0000-00004E2B0000}"/>
    <cellStyle name="Data no deci 3 2 11" xfId="9523" xr:uid="{00000000-0005-0000-0000-00004F2B0000}"/>
    <cellStyle name="Data no deci 3 2 11 2" xfId="9524" xr:uid="{00000000-0005-0000-0000-0000502B0000}"/>
    <cellStyle name="Data no deci 3 2 11 2 2" xfId="9525" xr:uid="{00000000-0005-0000-0000-0000512B0000}"/>
    <cellStyle name="Data no deci 3 2 11 3" xfId="9526" xr:uid="{00000000-0005-0000-0000-0000522B0000}"/>
    <cellStyle name="Data no deci 3 2 11 3 2" xfId="9527" xr:uid="{00000000-0005-0000-0000-0000532B0000}"/>
    <cellStyle name="Data no deci 3 2 11 4" xfId="9528" xr:uid="{00000000-0005-0000-0000-0000542B0000}"/>
    <cellStyle name="Data no deci 3 2 11 4 2" xfId="9529" xr:uid="{00000000-0005-0000-0000-0000552B0000}"/>
    <cellStyle name="Data no deci 3 2 11 5" xfId="9530" xr:uid="{00000000-0005-0000-0000-0000562B0000}"/>
    <cellStyle name="Data no deci 3 2 11 5 2" xfId="9531" xr:uid="{00000000-0005-0000-0000-0000572B0000}"/>
    <cellStyle name="Data no deci 3 2 11 6" xfId="9532" xr:uid="{00000000-0005-0000-0000-0000582B0000}"/>
    <cellStyle name="Data no deci 3 2 11 6 2" xfId="9533" xr:uid="{00000000-0005-0000-0000-0000592B0000}"/>
    <cellStyle name="Data no deci 3 2 11 7" xfId="9534" xr:uid="{00000000-0005-0000-0000-00005A2B0000}"/>
    <cellStyle name="Data no deci 3 2 11 7 2" xfId="9535" xr:uid="{00000000-0005-0000-0000-00005B2B0000}"/>
    <cellStyle name="Data no deci 3 2 11 8" xfId="9536" xr:uid="{00000000-0005-0000-0000-00005C2B0000}"/>
    <cellStyle name="Data no deci 3 2 11 8 2" xfId="9537" xr:uid="{00000000-0005-0000-0000-00005D2B0000}"/>
    <cellStyle name="Data no deci 3 2 11 9" xfId="9538" xr:uid="{00000000-0005-0000-0000-00005E2B0000}"/>
    <cellStyle name="Data no deci 3 2 2" xfId="9539" xr:uid="{00000000-0005-0000-0000-00005F2B0000}"/>
    <cellStyle name="Data no deci 3 2 2 10" xfId="9540" xr:uid="{00000000-0005-0000-0000-0000602B0000}"/>
    <cellStyle name="Data no deci 3 2 2 2" xfId="9541" xr:uid="{00000000-0005-0000-0000-0000612B0000}"/>
    <cellStyle name="Data no deci 3 2 2 2 2" xfId="9542" xr:uid="{00000000-0005-0000-0000-0000622B0000}"/>
    <cellStyle name="Data no deci 3 2 2 3" xfId="9543" xr:uid="{00000000-0005-0000-0000-0000632B0000}"/>
    <cellStyle name="Data no deci 3 2 2 3 2" xfId="9544" xr:uid="{00000000-0005-0000-0000-0000642B0000}"/>
    <cellStyle name="Data no deci 3 2 2 4" xfId="9545" xr:uid="{00000000-0005-0000-0000-0000652B0000}"/>
    <cellStyle name="Data no deci 3 2 2 4 2" xfId="9546" xr:uid="{00000000-0005-0000-0000-0000662B0000}"/>
    <cellStyle name="Data no deci 3 2 2 5" xfId="9547" xr:uid="{00000000-0005-0000-0000-0000672B0000}"/>
    <cellStyle name="Data no deci 3 2 2 5 2" xfId="9548" xr:uid="{00000000-0005-0000-0000-0000682B0000}"/>
    <cellStyle name="Data no deci 3 2 2 6" xfId="9549" xr:uid="{00000000-0005-0000-0000-0000692B0000}"/>
    <cellStyle name="Data no deci 3 2 2 6 2" xfId="9550" xr:uid="{00000000-0005-0000-0000-00006A2B0000}"/>
    <cellStyle name="Data no deci 3 2 2 7" xfId="9551" xr:uid="{00000000-0005-0000-0000-00006B2B0000}"/>
    <cellStyle name="Data no deci 3 2 2 7 2" xfId="9552" xr:uid="{00000000-0005-0000-0000-00006C2B0000}"/>
    <cellStyle name="Data no deci 3 2 2 8" xfId="9553" xr:uid="{00000000-0005-0000-0000-00006D2B0000}"/>
    <cellStyle name="Data no deci 3 2 2 8 2" xfId="9554" xr:uid="{00000000-0005-0000-0000-00006E2B0000}"/>
    <cellStyle name="Data no deci 3 2 2 9" xfId="9555" xr:uid="{00000000-0005-0000-0000-00006F2B0000}"/>
    <cellStyle name="Data no deci 3 2 2 9 2" xfId="9556" xr:uid="{00000000-0005-0000-0000-0000702B0000}"/>
    <cellStyle name="Data no deci 3 2 3" xfId="9557" xr:uid="{00000000-0005-0000-0000-0000712B0000}"/>
    <cellStyle name="Data no deci 3 2 3 10" xfId="9558" xr:uid="{00000000-0005-0000-0000-0000722B0000}"/>
    <cellStyle name="Data no deci 3 2 3 2" xfId="9559" xr:uid="{00000000-0005-0000-0000-0000732B0000}"/>
    <cellStyle name="Data no deci 3 2 3 2 2" xfId="9560" xr:uid="{00000000-0005-0000-0000-0000742B0000}"/>
    <cellStyle name="Data no deci 3 2 3 3" xfId="9561" xr:uid="{00000000-0005-0000-0000-0000752B0000}"/>
    <cellStyle name="Data no deci 3 2 3 3 2" xfId="9562" xr:uid="{00000000-0005-0000-0000-0000762B0000}"/>
    <cellStyle name="Data no deci 3 2 3 4" xfId="9563" xr:uid="{00000000-0005-0000-0000-0000772B0000}"/>
    <cellStyle name="Data no deci 3 2 3 4 2" xfId="9564" xr:uid="{00000000-0005-0000-0000-0000782B0000}"/>
    <cellStyle name="Data no deci 3 2 3 5" xfId="9565" xr:uid="{00000000-0005-0000-0000-0000792B0000}"/>
    <cellStyle name="Data no deci 3 2 3 5 2" xfId="9566" xr:uid="{00000000-0005-0000-0000-00007A2B0000}"/>
    <cellStyle name="Data no deci 3 2 3 6" xfId="9567" xr:uid="{00000000-0005-0000-0000-00007B2B0000}"/>
    <cellStyle name="Data no deci 3 2 3 6 2" xfId="9568" xr:uid="{00000000-0005-0000-0000-00007C2B0000}"/>
    <cellStyle name="Data no deci 3 2 3 7" xfId="9569" xr:uid="{00000000-0005-0000-0000-00007D2B0000}"/>
    <cellStyle name="Data no deci 3 2 3 7 2" xfId="9570" xr:uid="{00000000-0005-0000-0000-00007E2B0000}"/>
    <cellStyle name="Data no deci 3 2 3 8" xfId="9571" xr:uid="{00000000-0005-0000-0000-00007F2B0000}"/>
    <cellStyle name="Data no deci 3 2 3 8 2" xfId="9572" xr:uid="{00000000-0005-0000-0000-0000802B0000}"/>
    <cellStyle name="Data no deci 3 2 3 9" xfId="9573" xr:uid="{00000000-0005-0000-0000-0000812B0000}"/>
    <cellStyle name="Data no deci 3 2 3 9 2" xfId="9574" xr:uid="{00000000-0005-0000-0000-0000822B0000}"/>
    <cellStyle name="Data no deci 3 2 4" xfId="9575" xr:uid="{00000000-0005-0000-0000-0000832B0000}"/>
    <cellStyle name="Data no deci 3 2 4 10" xfId="9576" xr:uid="{00000000-0005-0000-0000-0000842B0000}"/>
    <cellStyle name="Data no deci 3 2 4 2" xfId="9577" xr:uid="{00000000-0005-0000-0000-0000852B0000}"/>
    <cellStyle name="Data no deci 3 2 4 2 2" xfId="9578" xr:uid="{00000000-0005-0000-0000-0000862B0000}"/>
    <cellStyle name="Data no deci 3 2 4 3" xfId="9579" xr:uid="{00000000-0005-0000-0000-0000872B0000}"/>
    <cellStyle name="Data no deci 3 2 4 3 2" xfId="9580" xr:uid="{00000000-0005-0000-0000-0000882B0000}"/>
    <cellStyle name="Data no deci 3 2 4 4" xfId="9581" xr:uid="{00000000-0005-0000-0000-0000892B0000}"/>
    <cellStyle name="Data no deci 3 2 4 4 2" xfId="9582" xr:uid="{00000000-0005-0000-0000-00008A2B0000}"/>
    <cellStyle name="Data no deci 3 2 4 5" xfId="9583" xr:uid="{00000000-0005-0000-0000-00008B2B0000}"/>
    <cellStyle name="Data no deci 3 2 4 5 2" xfId="9584" xr:uid="{00000000-0005-0000-0000-00008C2B0000}"/>
    <cellStyle name="Data no deci 3 2 4 6" xfId="9585" xr:uid="{00000000-0005-0000-0000-00008D2B0000}"/>
    <cellStyle name="Data no deci 3 2 4 6 2" xfId="9586" xr:uid="{00000000-0005-0000-0000-00008E2B0000}"/>
    <cellStyle name="Data no deci 3 2 4 7" xfId="9587" xr:uid="{00000000-0005-0000-0000-00008F2B0000}"/>
    <cellStyle name="Data no deci 3 2 4 7 2" xfId="9588" xr:uid="{00000000-0005-0000-0000-0000902B0000}"/>
    <cellStyle name="Data no deci 3 2 4 8" xfId="9589" xr:uid="{00000000-0005-0000-0000-0000912B0000}"/>
    <cellStyle name="Data no deci 3 2 4 8 2" xfId="9590" xr:uid="{00000000-0005-0000-0000-0000922B0000}"/>
    <cellStyle name="Data no deci 3 2 4 9" xfId="9591" xr:uid="{00000000-0005-0000-0000-0000932B0000}"/>
    <cellStyle name="Data no deci 3 2 4 9 2" xfId="9592" xr:uid="{00000000-0005-0000-0000-0000942B0000}"/>
    <cellStyle name="Data no deci 3 2 5" xfId="9593" xr:uid="{00000000-0005-0000-0000-0000952B0000}"/>
    <cellStyle name="Data no deci 3 2 5 10" xfId="9594" xr:uid="{00000000-0005-0000-0000-0000962B0000}"/>
    <cellStyle name="Data no deci 3 2 5 2" xfId="9595" xr:uid="{00000000-0005-0000-0000-0000972B0000}"/>
    <cellStyle name="Data no deci 3 2 5 2 2" xfId="9596" xr:uid="{00000000-0005-0000-0000-0000982B0000}"/>
    <cellStyle name="Data no deci 3 2 5 3" xfId="9597" xr:uid="{00000000-0005-0000-0000-0000992B0000}"/>
    <cellStyle name="Data no deci 3 2 5 3 2" xfId="9598" xr:uid="{00000000-0005-0000-0000-00009A2B0000}"/>
    <cellStyle name="Data no deci 3 2 5 4" xfId="9599" xr:uid="{00000000-0005-0000-0000-00009B2B0000}"/>
    <cellStyle name="Data no deci 3 2 5 4 2" xfId="9600" xr:uid="{00000000-0005-0000-0000-00009C2B0000}"/>
    <cellStyle name="Data no deci 3 2 5 5" xfId="9601" xr:uid="{00000000-0005-0000-0000-00009D2B0000}"/>
    <cellStyle name="Data no deci 3 2 5 5 2" xfId="9602" xr:uid="{00000000-0005-0000-0000-00009E2B0000}"/>
    <cellStyle name="Data no deci 3 2 5 6" xfId="9603" xr:uid="{00000000-0005-0000-0000-00009F2B0000}"/>
    <cellStyle name="Data no deci 3 2 5 6 2" xfId="9604" xr:uid="{00000000-0005-0000-0000-0000A02B0000}"/>
    <cellStyle name="Data no deci 3 2 5 7" xfId="9605" xr:uid="{00000000-0005-0000-0000-0000A12B0000}"/>
    <cellStyle name="Data no deci 3 2 5 7 2" xfId="9606" xr:uid="{00000000-0005-0000-0000-0000A22B0000}"/>
    <cellStyle name="Data no deci 3 2 5 8" xfId="9607" xr:uid="{00000000-0005-0000-0000-0000A32B0000}"/>
    <cellStyle name="Data no deci 3 2 5 8 2" xfId="9608" xr:uid="{00000000-0005-0000-0000-0000A42B0000}"/>
    <cellStyle name="Data no deci 3 2 5 9" xfId="9609" xr:uid="{00000000-0005-0000-0000-0000A52B0000}"/>
    <cellStyle name="Data no deci 3 2 5 9 2" xfId="9610" xr:uid="{00000000-0005-0000-0000-0000A62B0000}"/>
    <cellStyle name="Data no deci 3 2 6" xfId="9611" xr:uid="{00000000-0005-0000-0000-0000A72B0000}"/>
    <cellStyle name="Data no deci 3 2 6 10" xfId="9612" xr:uid="{00000000-0005-0000-0000-0000A82B0000}"/>
    <cellStyle name="Data no deci 3 2 6 2" xfId="9613" xr:uid="{00000000-0005-0000-0000-0000A92B0000}"/>
    <cellStyle name="Data no deci 3 2 6 2 2" xfId="9614" xr:uid="{00000000-0005-0000-0000-0000AA2B0000}"/>
    <cellStyle name="Data no deci 3 2 6 3" xfId="9615" xr:uid="{00000000-0005-0000-0000-0000AB2B0000}"/>
    <cellStyle name="Data no deci 3 2 6 3 2" xfId="9616" xr:uid="{00000000-0005-0000-0000-0000AC2B0000}"/>
    <cellStyle name="Data no deci 3 2 6 4" xfId="9617" xr:uid="{00000000-0005-0000-0000-0000AD2B0000}"/>
    <cellStyle name="Data no deci 3 2 6 4 2" xfId="9618" xr:uid="{00000000-0005-0000-0000-0000AE2B0000}"/>
    <cellStyle name="Data no deci 3 2 6 5" xfId="9619" xr:uid="{00000000-0005-0000-0000-0000AF2B0000}"/>
    <cellStyle name="Data no deci 3 2 6 5 2" xfId="9620" xr:uid="{00000000-0005-0000-0000-0000B02B0000}"/>
    <cellStyle name="Data no deci 3 2 6 6" xfId="9621" xr:uid="{00000000-0005-0000-0000-0000B12B0000}"/>
    <cellStyle name="Data no deci 3 2 6 6 2" xfId="9622" xr:uid="{00000000-0005-0000-0000-0000B22B0000}"/>
    <cellStyle name="Data no deci 3 2 6 7" xfId="9623" xr:uid="{00000000-0005-0000-0000-0000B32B0000}"/>
    <cellStyle name="Data no deci 3 2 6 7 2" xfId="9624" xr:uid="{00000000-0005-0000-0000-0000B42B0000}"/>
    <cellStyle name="Data no deci 3 2 6 8" xfId="9625" xr:uid="{00000000-0005-0000-0000-0000B52B0000}"/>
    <cellStyle name="Data no deci 3 2 6 8 2" xfId="9626" xr:uid="{00000000-0005-0000-0000-0000B62B0000}"/>
    <cellStyle name="Data no deci 3 2 6 9" xfId="9627" xr:uid="{00000000-0005-0000-0000-0000B72B0000}"/>
    <cellStyle name="Data no deci 3 2 6 9 2" xfId="9628" xr:uid="{00000000-0005-0000-0000-0000B82B0000}"/>
    <cellStyle name="Data no deci 3 2 7" xfId="9629" xr:uid="{00000000-0005-0000-0000-0000B92B0000}"/>
    <cellStyle name="Data no deci 3 2 7 10" xfId="9630" xr:uid="{00000000-0005-0000-0000-0000BA2B0000}"/>
    <cellStyle name="Data no deci 3 2 7 2" xfId="9631" xr:uid="{00000000-0005-0000-0000-0000BB2B0000}"/>
    <cellStyle name="Data no deci 3 2 7 2 2" xfId="9632" xr:uid="{00000000-0005-0000-0000-0000BC2B0000}"/>
    <cellStyle name="Data no deci 3 2 7 3" xfId="9633" xr:uid="{00000000-0005-0000-0000-0000BD2B0000}"/>
    <cellStyle name="Data no deci 3 2 7 3 2" xfId="9634" xr:uid="{00000000-0005-0000-0000-0000BE2B0000}"/>
    <cellStyle name="Data no deci 3 2 7 4" xfId="9635" xr:uid="{00000000-0005-0000-0000-0000BF2B0000}"/>
    <cellStyle name="Data no deci 3 2 7 4 2" xfId="9636" xr:uid="{00000000-0005-0000-0000-0000C02B0000}"/>
    <cellStyle name="Data no deci 3 2 7 5" xfId="9637" xr:uid="{00000000-0005-0000-0000-0000C12B0000}"/>
    <cellStyle name="Data no deci 3 2 7 5 2" xfId="9638" xr:uid="{00000000-0005-0000-0000-0000C22B0000}"/>
    <cellStyle name="Data no deci 3 2 7 6" xfId="9639" xr:uid="{00000000-0005-0000-0000-0000C32B0000}"/>
    <cellStyle name="Data no deci 3 2 7 6 2" xfId="9640" xr:uid="{00000000-0005-0000-0000-0000C42B0000}"/>
    <cellStyle name="Data no deci 3 2 7 7" xfId="9641" xr:uid="{00000000-0005-0000-0000-0000C52B0000}"/>
    <cellStyle name="Data no deci 3 2 7 7 2" xfId="9642" xr:uid="{00000000-0005-0000-0000-0000C62B0000}"/>
    <cellStyle name="Data no deci 3 2 7 8" xfId="9643" xr:uid="{00000000-0005-0000-0000-0000C72B0000}"/>
    <cellStyle name="Data no deci 3 2 7 8 2" xfId="9644" xr:uid="{00000000-0005-0000-0000-0000C82B0000}"/>
    <cellStyle name="Data no deci 3 2 7 9" xfId="9645" xr:uid="{00000000-0005-0000-0000-0000C92B0000}"/>
    <cellStyle name="Data no deci 3 2 7 9 2" xfId="9646" xr:uid="{00000000-0005-0000-0000-0000CA2B0000}"/>
    <cellStyle name="Data no deci 3 2 8" xfId="9647" xr:uid="{00000000-0005-0000-0000-0000CB2B0000}"/>
    <cellStyle name="Data no deci 3 2 8 10" xfId="9648" xr:uid="{00000000-0005-0000-0000-0000CC2B0000}"/>
    <cellStyle name="Data no deci 3 2 8 2" xfId="9649" xr:uid="{00000000-0005-0000-0000-0000CD2B0000}"/>
    <cellStyle name="Data no deci 3 2 8 2 2" xfId="9650" xr:uid="{00000000-0005-0000-0000-0000CE2B0000}"/>
    <cellStyle name="Data no deci 3 2 8 3" xfId="9651" xr:uid="{00000000-0005-0000-0000-0000CF2B0000}"/>
    <cellStyle name="Data no deci 3 2 8 3 2" xfId="9652" xr:uid="{00000000-0005-0000-0000-0000D02B0000}"/>
    <cellStyle name="Data no deci 3 2 8 4" xfId="9653" xr:uid="{00000000-0005-0000-0000-0000D12B0000}"/>
    <cellStyle name="Data no deci 3 2 8 4 2" xfId="9654" xr:uid="{00000000-0005-0000-0000-0000D22B0000}"/>
    <cellStyle name="Data no deci 3 2 8 5" xfId="9655" xr:uid="{00000000-0005-0000-0000-0000D32B0000}"/>
    <cellStyle name="Data no deci 3 2 8 5 2" xfId="9656" xr:uid="{00000000-0005-0000-0000-0000D42B0000}"/>
    <cellStyle name="Data no deci 3 2 8 6" xfId="9657" xr:uid="{00000000-0005-0000-0000-0000D52B0000}"/>
    <cellStyle name="Data no deci 3 2 8 6 2" xfId="9658" xr:uid="{00000000-0005-0000-0000-0000D62B0000}"/>
    <cellStyle name="Data no deci 3 2 8 7" xfId="9659" xr:uid="{00000000-0005-0000-0000-0000D72B0000}"/>
    <cellStyle name="Data no deci 3 2 8 7 2" xfId="9660" xr:uid="{00000000-0005-0000-0000-0000D82B0000}"/>
    <cellStyle name="Data no deci 3 2 8 8" xfId="9661" xr:uid="{00000000-0005-0000-0000-0000D92B0000}"/>
    <cellStyle name="Data no deci 3 2 8 8 2" xfId="9662" xr:uid="{00000000-0005-0000-0000-0000DA2B0000}"/>
    <cellStyle name="Data no deci 3 2 8 9" xfId="9663" xr:uid="{00000000-0005-0000-0000-0000DB2B0000}"/>
    <cellStyle name="Data no deci 3 2 8 9 2" xfId="9664" xr:uid="{00000000-0005-0000-0000-0000DC2B0000}"/>
    <cellStyle name="Data no deci 3 2 9" xfId="9665" xr:uid="{00000000-0005-0000-0000-0000DD2B0000}"/>
    <cellStyle name="Data no deci 3 2 9 10" xfId="9666" xr:uid="{00000000-0005-0000-0000-0000DE2B0000}"/>
    <cellStyle name="Data no deci 3 2 9 2" xfId="9667" xr:uid="{00000000-0005-0000-0000-0000DF2B0000}"/>
    <cellStyle name="Data no deci 3 2 9 2 2" xfId="9668" xr:uid="{00000000-0005-0000-0000-0000E02B0000}"/>
    <cellStyle name="Data no deci 3 2 9 3" xfId="9669" xr:uid="{00000000-0005-0000-0000-0000E12B0000}"/>
    <cellStyle name="Data no deci 3 2 9 3 2" xfId="9670" xr:uid="{00000000-0005-0000-0000-0000E22B0000}"/>
    <cellStyle name="Data no deci 3 2 9 4" xfId="9671" xr:uid="{00000000-0005-0000-0000-0000E32B0000}"/>
    <cellStyle name="Data no deci 3 2 9 4 2" xfId="9672" xr:uid="{00000000-0005-0000-0000-0000E42B0000}"/>
    <cellStyle name="Data no deci 3 2 9 5" xfId="9673" xr:uid="{00000000-0005-0000-0000-0000E52B0000}"/>
    <cellStyle name="Data no deci 3 2 9 5 2" xfId="9674" xr:uid="{00000000-0005-0000-0000-0000E62B0000}"/>
    <cellStyle name="Data no deci 3 2 9 6" xfId="9675" xr:uid="{00000000-0005-0000-0000-0000E72B0000}"/>
    <cellStyle name="Data no deci 3 2 9 6 2" xfId="9676" xr:uid="{00000000-0005-0000-0000-0000E82B0000}"/>
    <cellStyle name="Data no deci 3 2 9 7" xfId="9677" xr:uid="{00000000-0005-0000-0000-0000E92B0000}"/>
    <cellStyle name="Data no deci 3 2 9 7 2" xfId="9678" xr:uid="{00000000-0005-0000-0000-0000EA2B0000}"/>
    <cellStyle name="Data no deci 3 2 9 8" xfId="9679" xr:uid="{00000000-0005-0000-0000-0000EB2B0000}"/>
    <cellStyle name="Data no deci 3 2 9 8 2" xfId="9680" xr:uid="{00000000-0005-0000-0000-0000EC2B0000}"/>
    <cellStyle name="Data no deci 3 2 9 9" xfId="9681" xr:uid="{00000000-0005-0000-0000-0000ED2B0000}"/>
    <cellStyle name="Data no deci 3 2 9 9 2" xfId="9682" xr:uid="{00000000-0005-0000-0000-0000EE2B0000}"/>
    <cellStyle name="Data no deci 3 3" xfId="9683" xr:uid="{00000000-0005-0000-0000-0000EF2B0000}"/>
    <cellStyle name="Data no deci 3 3 10" xfId="9684" xr:uid="{00000000-0005-0000-0000-0000F02B0000}"/>
    <cellStyle name="Data no deci 3 3 10 10" xfId="9685" xr:uid="{00000000-0005-0000-0000-0000F12B0000}"/>
    <cellStyle name="Data no deci 3 3 10 2" xfId="9686" xr:uid="{00000000-0005-0000-0000-0000F22B0000}"/>
    <cellStyle name="Data no deci 3 3 10 2 2" xfId="9687" xr:uid="{00000000-0005-0000-0000-0000F32B0000}"/>
    <cellStyle name="Data no deci 3 3 10 3" xfId="9688" xr:uid="{00000000-0005-0000-0000-0000F42B0000}"/>
    <cellStyle name="Data no deci 3 3 10 3 2" xfId="9689" xr:uid="{00000000-0005-0000-0000-0000F52B0000}"/>
    <cellStyle name="Data no deci 3 3 10 4" xfId="9690" xr:uid="{00000000-0005-0000-0000-0000F62B0000}"/>
    <cellStyle name="Data no deci 3 3 10 4 2" xfId="9691" xr:uid="{00000000-0005-0000-0000-0000F72B0000}"/>
    <cellStyle name="Data no deci 3 3 10 5" xfId="9692" xr:uid="{00000000-0005-0000-0000-0000F82B0000}"/>
    <cellStyle name="Data no deci 3 3 10 5 2" xfId="9693" xr:uid="{00000000-0005-0000-0000-0000F92B0000}"/>
    <cellStyle name="Data no deci 3 3 10 6" xfId="9694" xr:uid="{00000000-0005-0000-0000-0000FA2B0000}"/>
    <cellStyle name="Data no deci 3 3 10 6 2" xfId="9695" xr:uid="{00000000-0005-0000-0000-0000FB2B0000}"/>
    <cellStyle name="Data no deci 3 3 10 7" xfId="9696" xr:uid="{00000000-0005-0000-0000-0000FC2B0000}"/>
    <cellStyle name="Data no deci 3 3 10 7 2" xfId="9697" xr:uid="{00000000-0005-0000-0000-0000FD2B0000}"/>
    <cellStyle name="Data no deci 3 3 10 8" xfId="9698" xr:uid="{00000000-0005-0000-0000-0000FE2B0000}"/>
    <cellStyle name="Data no deci 3 3 10 8 2" xfId="9699" xr:uid="{00000000-0005-0000-0000-0000FF2B0000}"/>
    <cellStyle name="Data no deci 3 3 10 9" xfId="9700" xr:uid="{00000000-0005-0000-0000-0000002C0000}"/>
    <cellStyle name="Data no deci 3 3 10 9 2" xfId="9701" xr:uid="{00000000-0005-0000-0000-0000012C0000}"/>
    <cellStyle name="Data no deci 3 3 11" xfId="9702" xr:uid="{00000000-0005-0000-0000-0000022C0000}"/>
    <cellStyle name="Data no deci 3 3 11 2" xfId="9703" xr:uid="{00000000-0005-0000-0000-0000032C0000}"/>
    <cellStyle name="Data no deci 3 3 11 2 2" xfId="9704" xr:uid="{00000000-0005-0000-0000-0000042C0000}"/>
    <cellStyle name="Data no deci 3 3 11 3" xfId="9705" xr:uid="{00000000-0005-0000-0000-0000052C0000}"/>
    <cellStyle name="Data no deci 3 3 11 3 2" xfId="9706" xr:uid="{00000000-0005-0000-0000-0000062C0000}"/>
    <cellStyle name="Data no deci 3 3 11 4" xfId="9707" xr:uid="{00000000-0005-0000-0000-0000072C0000}"/>
    <cellStyle name="Data no deci 3 3 11 4 2" xfId="9708" xr:uid="{00000000-0005-0000-0000-0000082C0000}"/>
    <cellStyle name="Data no deci 3 3 11 5" xfId="9709" xr:uid="{00000000-0005-0000-0000-0000092C0000}"/>
    <cellStyle name="Data no deci 3 3 11 5 2" xfId="9710" xr:uid="{00000000-0005-0000-0000-00000A2C0000}"/>
    <cellStyle name="Data no deci 3 3 11 6" xfId="9711" xr:uid="{00000000-0005-0000-0000-00000B2C0000}"/>
    <cellStyle name="Data no deci 3 3 11 6 2" xfId="9712" xr:uid="{00000000-0005-0000-0000-00000C2C0000}"/>
    <cellStyle name="Data no deci 3 3 11 7" xfId="9713" xr:uid="{00000000-0005-0000-0000-00000D2C0000}"/>
    <cellStyle name="Data no deci 3 3 11 7 2" xfId="9714" xr:uid="{00000000-0005-0000-0000-00000E2C0000}"/>
    <cellStyle name="Data no deci 3 3 11 8" xfId="9715" xr:uid="{00000000-0005-0000-0000-00000F2C0000}"/>
    <cellStyle name="Data no deci 3 3 11 8 2" xfId="9716" xr:uid="{00000000-0005-0000-0000-0000102C0000}"/>
    <cellStyle name="Data no deci 3 3 11 9" xfId="9717" xr:uid="{00000000-0005-0000-0000-0000112C0000}"/>
    <cellStyle name="Data no deci 3 3 2" xfId="9718" xr:uid="{00000000-0005-0000-0000-0000122C0000}"/>
    <cellStyle name="Data no deci 3 3 2 10" xfId="9719" xr:uid="{00000000-0005-0000-0000-0000132C0000}"/>
    <cellStyle name="Data no deci 3 3 2 2" xfId="9720" xr:uid="{00000000-0005-0000-0000-0000142C0000}"/>
    <cellStyle name="Data no deci 3 3 2 2 2" xfId="9721" xr:uid="{00000000-0005-0000-0000-0000152C0000}"/>
    <cellStyle name="Data no deci 3 3 2 3" xfId="9722" xr:uid="{00000000-0005-0000-0000-0000162C0000}"/>
    <cellStyle name="Data no deci 3 3 2 3 2" xfId="9723" xr:uid="{00000000-0005-0000-0000-0000172C0000}"/>
    <cellStyle name="Data no deci 3 3 2 4" xfId="9724" xr:uid="{00000000-0005-0000-0000-0000182C0000}"/>
    <cellStyle name="Data no deci 3 3 2 4 2" xfId="9725" xr:uid="{00000000-0005-0000-0000-0000192C0000}"/>
    <cellStyle name="Data no deci 3 3 2 5" xfId="9726" xr:uid="{00000000-0005-0000-0000-00001A2C0000}"/>
    <cellStyle name="Data no deci 3 3 2 5 2" xfId="9727" xr:uid="{00000000-0005-0000-0000-00001B2C0000}"/>
    <cellStyle name="Data no deci 3 3 2 6" xfId="9728" xr:uid="{00000000-0005-0000-0000-00001C2C0000}"/>
    <cellStyle name="Data no deci 3 3 2 6 2" xfId="9729" xr:uid="{00000000-0005-0000-0000-00001D2C0000}"/>
    <cellStyle name="Data no deci 3 3 2 7" xfId="9730" xr:uid="{00000000-0005-0000-0000-00001E2C0000}"/>
    <cellStyle name="Data no deci 3 3 2 7 2" xfId="9731" xr:uid="{00000000-0005-0000-0000-00001F2C0000}"/>
    <cellStyle name="Data no deci 3 3 2 8" xfId="9732" xr:uid="{00000000-0005-0000-0000-0000202C0000}"/>
    <cellStyle name="Data no deci 3 3 2 8 2" xfId="9733" xr:uid="{00000000-0005-0000-0000-0000212C0000}"/>
    <cellStyle name="Data no deci 3 3 2 9" xfId="9734" xr:uid="{00000000-0005-0000-0000-0000222C0000}"/>
    <cellStyle name="Data no deci 3 3 2 9 2" xfId="9735" xr:uid="{00000000-0005-0000-0000-0000232C0000}"/>
    <cellStyle name="Data no deci 3 3 3" xfId="9736" xr:uid="{00000000-0005-0000-0000-0000242C0000}"/>
    <cellStyle name="Data no deci 3 3 3 10" xfId="9737" xr:uid="{00000000-0005-0000-0000-0000252C0000}"/>
    <cellStyle name="Data no deci 3 3 3 2" xfId="9738" xr:uid="{00000000-0005-0000-0000-0000262C0000}"/>
    <cellStyle name="Data no deci 3 3 3 2 2" xfId="9739" xr:uid="{00000000-0005-0000-0000-0000272C0000}"/>
    <cellStyle name="Data no deci 3 3 3 3" xfId="9740" xr:uid="{00000000-0005-0000-0000-0000282C0000}"/>
    <cellStyle name="Data no deci 3 3 3 3 2" xfId="9741" xr:uid="{00000000-0005-0000-0000-0000292C0000}"/>
    <cellStyle name="Data no deci 3 3 3 4" xfId="9742" xr:uid="{00000000-0005-0000-0000-00002A2C0000}"/>
    <cellStyle name="Data no deci 3 3 3 4 2" xfId="9743" xr:uid="{00000000-0005-0000-0000-00002B2C0000}"/>
    <cellStyle name="Data no deci 3 3 3 5" xfId="9744" xr:uid="{00000000-0005-0000-0000-00002C2C0000}"/>
    <cellStyle name="Data no deci 3 3 3 5 2" xfId="9745" xr:uid="{00000000-0005-0000-0000-00002D2C0000}"/>
    <cellStyle name="Data no deci 3 3 3 6" xfId="9746" xr:uid="{00000000-0005-0000-0000-00002E2C0000}"/>
    <cellStyle name="Data no deci 3 3 3 6 2" xfId="9747" xr:uid="{00000000-0005-0000-0000-00002F2C0000}"/>
    <cellStyle name="Data no deci 3 3 3 7" xfId="9748" xr:uid="{00000000-0005-0000-0000-0000302C0000}"/>
    <cellStyle name="Data no deci 3 3 3 7 2" xfId="9749" xr:uid="{00000000-0005-0000-0000-0000312C0000}"/>
    <cellStyle name="Data no deci 3 3 3 8" xfId="9750" xr:uid="{00000000-0005-0000-0000-0000322C0000}"/>
    <cellStyle name="Data no deci 3 3 3 8 2" xfId="9751" xr:uid="{00000000-0005-0000-0000-0000332C0000}"/>
    <cellStyle name="Data no deci 3 3 3 9" xfId="9752" xr:uid="{00000000-0005-0000-0000-0000342C0000}"/>
    <cellStyle name="Data no deci 3 3 3 9 2" xfId="9753" xr:uid="{00000000-0005-0000-0000-0000352C0000}"/>
    <cellStyle name="Data no deci 3 3 4" xfId="9754" xr:uid="{00000000-0005-0000-0000-0000362C0000}"/>
    <cellStyle name="Data no deci 3 3 4 10" xfId="9755" xr:uid="{00000000-0005-0000-0000-0000372C0000}"/>
    <cellStyle name="Data no deci 3 3 4 2" xfId="9756" xr:uid="{00000000-0005-0000-0000-0000382C0000}"/>
    <cellStyle name="Data no deci 3 3 4 2 2" xfId="9757" xr:uid="{00000000-0005-0000-0000-0000392C0000}"/>
    <cellStyle name="Data no deci 3 3 4 3" xfId="9758" xr:uid="{00000000-0005-0000-0000-00003A2C0000}"/>
    <cellStyle name="Data no deci 3 3 4 3 2" xfId="9759" xr:uid="{00000000-0005-0000-0000-00003B2C0000}"/>
    <cellStyle name="Data no deci 3 3 4 4" xfId="9760" xr:uid="{00000000-0005-0000-0000-00003C2C0000}"/>
    <cellStyle name="Data no deci 3 3 4 4 2" xfId="9761" xr:uid="{00000000-0005-0000-0000-00003D2C0000}"/>
    <cellStyle name="Data no deci 3 3 4 5" xfId="9762" xr:uid="{00000000-0005-0000-0000-00003E2C0000}"/>
    <cellStyle name="Data no deci 3 3 4 5 2" xfId="9763" xr:uid="{00000000-0005-0000-0000-00003F2C0000}"/>
    <cellStyle name="Data no deci 3 3 4 6" xfId="9764" xr:uid="{00000000-0005-0000-0000-0000402C0000}"/>
    <cellStyle name="Data no deci 3 3 4 6 2" xfId="9765" xr:uid="{00000000-0005-0000-0000-0000412C0000}"/>
    <cellStyle name="Data no deci 3 3 4 7" xfId="9766" xr:uid="{00000000-0005-0000-0000-0000422C0000}"/>
    <cellStyle name="Data no deci 3 3 4 7 2" xfId="9767" xr:uid="{00000000-0005-0000-0000-0000432C0000}"/>
    <cellStyle name="Data no deci 3 3 4 8" xfId="9768" xr:uid="{00000000-0005-0000-0000-0000442C0000}"/>
    <cellStyle name="Data no deci 3 3 4 8 2" xfId="9769" xr:uid="{00000000-0005-0000-0000-0000452C0000}"/>
    <cellStyle name="Data no deci 3 3 4 9" xfId="9770" xr:uid="{00000000-0005-0000-0000-0000462C0000}"/>
    <cellStyle name="Data no deci 3 3 4 9 2" xfId="9771" xr:uid="{00000000-0005-0000-0000-0000472C0000}"/>
    <cellStyle name="Data no deci 3 3 5" xfId="9772" xr:uid="{00000000-0005-0000-0000-0000482C0000}"/>
    <cellStyle name="Data no deci 3 3 5 10" xfId="9773" xr:uid="{00000000-0005-0000-0000-0000492C0000}"/>
    <cellStyle name="Data no deci 3 3 5 2" xfId="9774" xr:uid="{00000000-0005-0000-0000-00004A2C0000}"/>
    <cellStyle name="Data no deci 3 3 5 2 2" xfId="9775" xr:uid="{00000000-0005-0000-0000-00004B2C0000}"/>
    <cellStyle name="Data no deci 3 3 5 3" xfId="9776" xr:uid="{00000000-0005-0000-0000-00004C2C0000}"/>
    <cellStyle name="Data no deci 3 3 5 3 2" xfId="9777" xr:uid="{00000000-0005-0000-0000-00004D2C0000}"/>
    <cellStyle name="Data no deci 3 3 5 4" xfId="9778" xr:uid="{00000000-0005-0000-0000-00004E2C0000}"/>
    <cellStyle name="Data no deci 3 3 5 4 2" xfId="9779" xr:uid="{00000000-0005-0000-0000-00004F2C0000}"/>
    <cellStyle name="Data no deci 3 3 5 5" xfId="9780" xr:uid="{00000000-0005-0000-0000-0000502C0000}"/>
    <cellStyle name="Data no deci 3 3 5 5 2" xfId="9781" xr:uid="{00000000-0005-0000-0000-0000512C0000}"/>
    <cellStyle name="Data no deci 3 3 5 6" xfId="9782" xr:uid="{00000000-0005-0000-0000-0000522C0000}"/>
    <cellStyle name="Data no deci 3 3 5 6 2" xfId="9783" xr:uid="{00000000-0005-0000-0000-0000532C0000}"/>
    <cellStyle name="Data no deci 3 3 5 7" xfId="9784" xr:uid="{00000000-0005-0000-0000-0000542C0000}"/>
    <cellStyle name="Data no deci 3 3 5 7 2" xfId="9785" xr:uid="{00000000-0005-0000-0000-0000552C0000}"/>
    <cellStyle name="Data no deci 3 3 5 8" xfId="9786" xr:uid="{00000000-0005-0000-0000-0000562C0000}"/>
    <cellStyle name="Data no deci 3 3 5 8 2" xfId="9787" xr:uid="{00000000-0005-0000-0000-0000572C0000}"/>
    <cellStyle name="Data no deci 3 3 5 9" xfId="9788" xr:uid="{00000000-0005-0000-0000-0000582C0000}"/>
    <cellStyle name="Data no deci 3 3 5 9 2" xfId="9789" xr:uid="{00000000-0005-0000-0000-0000592C0000}"/>
    <cellStyle name="Data no deci 3 3 6" xfId="9790" xr:uid="{00000000-0005-0000-0000-00005A2C0000}"/>
    <cellStyle name="Data no deci 3 3 6 10" xfId="9791" xr:uid="{00000000-0005-0000-0000-00005B2C0000}"/>
    <cellStyle name="Data no deci 3 3 6 2" xfId="9792" xr:uid="{00000000-0005-0000-0000-00005C2C0000}"/>
    <cellStyle name="Data no deci 3 3 6 2 2" xfId="9793" xr:uid="{00000000-0005-0000-0000-00005D2C0000}"/>
    <cellStyle name="Data no deci 3 3 6 3" xfId="9794" xr:uid="{00000000-0005-0000-0000-00005E2C0000}"/>
    <cellStyle name="Data no deci 3 3 6 3 2" xfId="9795" xr:uid="{00000000-0005-0000-0000-00005F2C0000}"/>
    <cellStyle name="Data no deci 3 3 6 4" xfId="9796" xr:uid="{00000000-0005-0000-0000-0000602C0000}"/>
    <cellStyle name="Data no deci 3 3 6 4 2" xfId="9797" xr:uid="{00000000-0005-0000-0000-0000612C0000}"/>
    <cellStyle name="Data no deci 3 3 6 5" xfId="9798" xr:uid="{00000000-0005-0000-0000-0000622C0000}"/>
    <cellStyle name="Data no deci 3 3 6 5 2" xfId="9799" xr:uid="{00000000-0005-0000-0000-0000632C0000}"/>
    <cellStyle name="Data no deci 3 3 6 6" xfId="9800" xr:uid="{00000000-0005-0000-0000-0000642C0000}"/>
    <cellStyle name="Data no deci 3 3 6 6 2" xfId="9801" xr:uid="{00000000-0005-0000-0000-0000652C0000}"/>
    <cellStyle name="Data no deci 3 3 6 7" xfId="9802" xr:uid="{00000000-0005-0000-0000-0000662C0000}"/>
    <cellStyle name="Data no deci 3 3 6 7 2" xfId="9803" xr:uid="{00000000-0005-0000-0000-0000672C0000}"/>
    <cellStyle name="Data no deci 3 3 6 8" xfId="9804" xr:uid="{00000000-0005-0000-0000-0000682C0000}"/>
    <cellStyle name="Data no deci 3 3 6 8 2" xfId="9805" xr:uid="{00000000-0005-0000-0000-0000692C0000}"/>
    <cellStyle name="Data no deci 3 3 6 9" xfId="9806" xr:uid="{00000000-0005-0000-0000-00006A2C0000}"/>
    <cellStyle name="Data no deci 3 3 6 9 2" xfId="9807" xr:uid="{00000000-0005-0000-0000-00006B2C0000}"/>
    <cellStyle name="Data no deci 3 3 7" xfId="9808" xr:uid="{00000000-0005-0000-0000-00006C2C0000}"/>
    <cellStyle name="Data no deci 3 3 7 10" xfId="9809" xr:uid="{00000000-0005-0000-0000-00006D2C0000}"/>
    <cellStyle name="Data no deci 3 3 7 2" xfId="9810" xr:uid="{00000000-0005-0000-0000-00006E2C0000}"/>
    <cellStyle name="Data no deci 3 3 7 2 2" xfId="9811" xr:uid="{00000000-0005-0000-0000-00006F2C0000}"/>
    <cellStyle name="Data no deci 3 3 7 3" xfId="9812" xr:uid="{00000000-0005-0000-0000-0000702C0000}"/>
    <cellStyle name="Data no deci 3 3 7 3 2" xfId="9813" xr:uid="{00000000-0005-0000-0000-0000712C0000}"/>
    <cellStyle name="Data no deci 3 3 7 4" xfId="9814" xr:uid="{00000000-0005-0000-0000-0000722C0000}"/>
    <cellStyle name="Data no deci 3 3 7 4 2" xfId="9815" xr:uid="{00000000-0005-0000-0000-0000732C0000}"/>
    <cellStyle name="Data no deci 3 3 7 5" xfId="9816" xr:uid="{00000000-0005-0000-0000-0000742C0000}"/>
    <cellStyle name="Data no deci 3 3 7 5 2" xfId="9817" xr:uid="{00000000-0005-0000-0000-0000752C0000}"/>
    <cellStyle name="Data no deci 3 3 7 6" xfId="9818" xr:uid="{00000000-0005-0000-0000-0000762C0000}"/>
    <cellStyle name="Data no deci 3 3 7 6 2" xfId="9819" xr:uid="{00000000-0005-0000-0000-0000772C0000}"/>
    <cellStyle name="Data no deci 3 3 7 7" xfId="9820" xr:uid="{00000000-0005-0000-0000-0000782C0000}"/>
    <cellStyle name="Data no deci 3 3 7 7 2" xfId="9821" xr:uid="{00000000-0005-0000-0000-0000792C0000}"/>
    <cellStyle name="Data no deci 3 3 7 8" xfId="9822" xr:uid="{00000000-0005-0000-0000-00007A2C0000}"/>
    <cellStyle name="Data no deci 3 3 7 8 2" xfId="9823" xr:uid="{00000000-0005-0000-0000-00007B2C0000}"/>
    <cellStyle name="Data no deci 3 3 7 9" xfId="9824" xr:uid="{00000000-0005-0000-0000-00007C2C0000}"/>
    <cellStyle name="Data no deci 3 3 7 9 2" xfId="9825" xr:uid="{00000000-0005-0000-0000-00007D2C0000}"/>
    <cellStyle name="Data no deci 3 3 8" xfId="9826" xr:uid="{00000000-0005-0000-0000-00007E2C0000}"/>
    <cellStyle name="Data no deci 3 3 8 10" xfId="9827" xr:uid="{00000000-0005-0000-0000-00007F2C0000}"/>
    <cellStyle name="Data no deci 3 3 8 2" xfId="9828" xr:uid="{00000000-0005-0000-0000-0000802C0000}"/>
    <cellStyle name="Data no deci 3 3 8 2 2" xfId="9829" xr:uid="{00000000-0005-0000-0000-0000812C0000}"/>
    <cellStyle name="Data no deci 3 3 8 3" xfId="9830" xr:uid="{00000000-0005-0000-0000-0000822C0000}"/>
    <cellStyle name="Data no deci 3 3 8 3 2" xfId="9831" xr:uid="{00000000-0005-0000-0000-0000832C0000}"/>
    <cellStyle name="Data no deci 3 3 8 4" xfId="9832" xr:uid="{00000000-0005-0000-0000-0000842C0000}"/>
    <cellStyle name="Data no deci 3 3 8 4 2" xfId="9833" xr:uid="{00000000-0005-0000-0000-0000852C0000}"/>
    <cellStyle name="Data no deci 3 3 8 5" xfId="9834" xr:uid="{00000000-0005-0000-0000-0000862C0000}"/>
    <cellStyle name="Data no deci 3 3 8 5 2" xfId="9835" xr:uid="{00000000-0005-0000-0000-0000872C0000}"/>
    <cellStyle name="Data no deci 3 3 8 6" xfId="9836" xr:uid="{00000000-0005-0000-0000-0000882C0000}"/>
    <cellStyle name="Data no deci 3 3 8 6 2" xfId="9837" xr:uid="{00000000-0005-0000-0000-0000892C0000}"/>
    <cellStyle name="Data no deci 3 3 8 7" xfId="9838" xr:uid="{00000000-0005-0000-0000-00008A2C0000}"/>
    <cellStyle name="Data no deci 3 3 8 7 2" xfId="9839" xr:uid="{00000000-0005-0000-0000-00008B2C0000}"/>
    <cellStyle name="Data no deci 3 3 8 8" xfId="9840" xr:uid="{00000000-0005-0000-0000-00008C2C0000}"/>
    <cellStyle name="Data no deci 3 3 8 8 2" xfId="9841" xr:uid="{00000000-0005-0000-0000-00008D2C0000}"/>
    <cellStyle name="Data no deci 3 3 8 9" xfId="9842" xr:uid="{00000000-0005-0000-0000-00008E2C0000}"/>
    <cellStyle name="Data no deci 3 3 8 9 2" xfId="9843" xr:uid="{00000000-0005-0000-0000-00008F2C0000}"/>
    <cellStyle name="Data no deci 3 3 9" xfId="9844" xr:uid="{00000000-0005-0000-0000-0000902C0000}"/>
    <cellStyle name="Data no deci 3 3 9 10" xfId="9845" xr:uid="{00000000-0005-0000-0000-0000912C0000}"/>
    <cellStyle name="Data no deci 3 3 9 2" xfId="9846" xr:uid="{00000000-0005-0000-0000-0000922C0000}"/>
    <cellStyle name="Data no deci 3 3 9 2 2" xfId="9847" xr:uid="{00000000-0005-0000-0000-0000932C0000}"/>
    <cellStyle name="Data no deci 3 3 9 3" xfId="9848" xr:uid="{00000000-0005-0000-0000-0000942C0000}"/>
    <cellStyle name="Data no deci 3 3 9 3 2" xfId="9849" xr:uid="{00000000-0005-0000-0000-0000952C0000}"/>
    <cellStyle name="Data no deci 3 3 9 4" xfId="9850" xr:uid="{00000000-0005-0000-0000-0000962C0000}"/>
    <cellStyle name="Data no deci 3 3 9 4 2" xfId="9851" xr:uid="{00000000-0005-0000-0000-0000972C0000}"/>
    <cellStyle name="Data no deci 3 3 9 5" xfId="9852" xr:uid="{00000000-0005-0000-0000-0000982C0000}"/>
    <cellStyle name="Data no deci 3 3 9 5 2" xfId="9853" xr:uid="{00000000-0005-0000-0000-0000992C0000}"/>
    <cellStyle name="Data no deci 3 3 9 6" xfId="9854" xr:uid="{00000000-0005-0000-0000-00009A2C0000}"/>
    <cellStyle name="Data no deci 3 3 9 6 2" xfId="9855" xr:uid="{00000000-0005-0000-0000-00009B2C0000}"/>
    <cellStyle name="Data no deci 3 3 9 7" xfId="9856" xr:uid="{00000000-0005-0000-0000-00009C2C0000}"/>
    <cellStyle name="Data no deci 3 3 9 7 2" xfId="9857" xr:uid="{00000000-0005-0000-0000-00009D2C0000}"/>
    <cellStyle name="Data no deci 3 3 9 8" xfId="9858" xr:uid="{00000000-0005-0000-0000-00009E2C0000}"/>
    <cellStyle name="Data no deci 3 3 9 8 2" xfId="9859" xr:uid="{00000000-0005-0000-0000-00009F2C0000}"/>
    <cellStyle name="Data no deci 3 3 9 9" xfId="9860" xr:uid="{00000000-0005-0000-0000-0000A02C0000}"/>
    <cellStyle name="Data no deci 3 3 9 9 2" xfId="9861" xr:uid="{00000000-0005-0000-0000-0000A12C0000}"/>
    <cellStyle name="Data no deci 3 4" xfId="9862" xr:uid="{00000000-0005-0000-0000-0000A22C0000}"/>
    <cellStyle name="Data no deci 3 4 10" xfId="9863" xr:uid="{00000000-0005-0000-0000-0000A32C0000}"/>
    <cellStyle name="Data no deci 3 4 10 2" xfId="9864" xr:uid="{00000000-0005-0000-0000-0000A42C0000}"/>
    <cellStyle name="Data no deci 3 4 10 2 2" xfId="9865" xr:uid="{00000000-0005-0000-0000-0000A52C0000}"/>
    <cellStyle name="Data no deci 3 4 10 3" xfId="9866" xr:uid="{00000000-0005-0000-0000-0000A62C0000}"/>
    <cellStyle name="Data no deci 3 4 10 3 2" xfId="9867" xr:uid="{00000000-0005-0000-0000-0000A72C0000}"/>
    <cellStyle name="Data no deci 3 4 10 4" xfId="9868" xr:uid="{00000000-0005-0000-0000-0000A82C0000}"/>
    <cellStyle name="Data no deci 3 4 10 4 2" xfId="9869" xr:uid="{00000000-0005-0000-0000-0000A92C0000}"/>
    <cellStyle name="Data no deci 3 4 10 5" xfId="9870" xr:uid="{00000000-0005-0000-0000-0000AA2C0000}"/>
    <cellStyle name="Data no deci 3 4 10 5 2" xfId="9871" xr:uid="{00000000-0005-0000-0000-0000AB2C0000}"/>
    <cellStyle name="Data no deci 3 4 10 6" xfId="9872" xr:uid="{00000000-0005-0000-0000-0000AC2C0000}"/>
    <cellStyle name="Data no deci 3 4 10 6 2" xfId="9873" xr:uid="{00000000-0005-0000-0000-0000AD2C0000}"/>
    <cellStyle name="Data no deci 3 4 10 7" xfId="9874" xr:uid="{00000000-0005-0000-0000-0000AE2C0000}"/>
    <cellStyle name="Data no deci 3 4 10 7 2" xfId="9875" xr:uid="{00000000-0005-0000-0000-0000AF2C0000}"/>
    <cellStyle name="Data no deci 3 4 10 8" xfId="9876" xr:uid="{00000000-0005-0000-0000-0000B02C0000}"/>
    <cellStyle name="Data no deci 3 4 10 8 2" xfId="9877" xr:uid="{00000000-0005-0000-0000-0000B12C0000}"/>
    <cellStyle name="Data no deci 3 4 10 9" xfId="9878" xr:uid="{00000000-0005-0000-0000-0000B22C0000}"/>
    <cellStyle name="Data no deci 3 4 11" xfId="9879" xr:uid="{00000000-0005-0000-0000-0000B32C0000}"/>
    <cellStyle name="Data no deci 3 4 11 2" xfId="9880" xr:uid="{00000000-0005-0000-0000-0000B42C0000}"/>
    <cellStyle name="Data no deci 3 4 12" xfId="9881" xr:uid="{00000000-0005-0000-0000-0000B52C0000}"/>
    <cellStyle name="Data no deci 3 4 12 2" xfId="9882" xr:uid="{00000000-0005-0000-0000-0000B62C0000}"/>
    <cellStyle name="Data no deci 3 4 13" xfId="9883" xr:uid="{00000000-0005-0000-0000-0000B72C0000}"/>
    <cellStyle name="Data no deci 3 4 13 2" xfId="9884" xr:uid="{00000000-0005-0000-0000-0000B82C0000}"/>
    <cellStyle name="Data no deci 3 4 14" xfId="9885" xr:uid="{00000000-0005-0000-0000-0000B92C0000}"/>
    <cellStyle name="Data no deci 3 4 14 2" xfId="9886" xr:uid="{00000000-0005-0000-0000-0000BA2C0000}"/>
    <cellStyle name="Data no deci 3 4 15" xfId="9887" xr:uid="{00000000-0005-0000-0000-0000BB2C0000}"/>
    <cellStyle name="Data no deci 3 4 15 2" xfId="9888" xr:uid="{00000000-0005-0000-0000-0000BC2C0000}"/>
    <cellStyle name="Data no deci 3 4 16" xfId="9889" xr:uid="{00000000-0005-0000-0000-0000BD2C0000}"/>
    <cellStyle name="Data no deci 3 4 16 2" xfId="9890" xr:uid="{00000000-0005-0000-0000-0000BE2C0000}"/>
    <cellStyle name="Data no deci 3 4 17" xfId="9891" xr:uid="{00000000-0005-0000-0000-0000BF2C0000}"/>
    <cellStyle name="Data no deci 3 4 17 2" xfId="9892" xr:uid="{00000000-0005-0000-0000-0000C02C0000}"/>
    <cellStyle name="Data no deci 3 4 18" xfId="9893" xr:uid="{00000000-0005-0000-0000-0000C12C0000}"/>
    <cellStyle name="Data no deci 3 4 2" xfId="9894" xr:uid="{00000000-0005-0000-0000-0000C22C0000}"/>
    <cellStyle name="Data no deci 3 4 2 10" xfId="9895" xr:uid="{00000000-0005-0000-0000-0000C32C0000}"/>
    <cellStyle name="Data no deci 3 4 2 2" xfId="9896" xr:uid="{00000000-0005-0000-0000-0000C42C0000}"/>
    <cellStyle name="Data no deci 3 4 2 2 2" xfId="9897" xr:uid="{00000000-0005-0000-0000-0000C52C0000}"/>
    <cellStyle name="Data no deci 3 4 2 3" xfId="9898" xr:uid="{00000000-0005-0000-0000-0000C62C0000}"/>
    <cellStyle name="Data no deci 3 4 2 3 2" xfId="9899" xr:uid="{00000000-0005-0000-0000-0000C72C0000}"/>
    <cellStyle name="Data no deci 3 4 2 4" xfId="9900" xr:uid="{00000000-0005-0000-0000-0000C82C0000}"/>
    <cellStyle name="Data no deci 3 4 2 4 2" xfId="9901" xr:uid="{00000000-0005-0000-0000-0000C92C0000}"/>
    <cellStyle name="Data no deci 3 4 2 5" xfId="9902" xr:uid="{00000000-0005-0000-0000-0000CA2C0000}"/>
    <cellStyle name="Data no deci 3 4 2 5 2" xfId="9903" xr:uid="{00000000-0005-0000-0000-0000CB2C0000}"/>
    <cellStyle name="Data no deci 3 4 2 6" xfId="9904" xr:uid="{00000000-0005-0000-0000-0000CC2C0000}"/>
    <cellStyle name="Data no deci 3 4 2 6 2" xfId="9905" xr:uid="{00000000-0005-0000-0000-0000CD2C0000}"/>
    <cellStyle name="Data no deci 3 4 2 7" xfId="9906" xr:uid="{00000000-0005-0000-0000-0000CE2C0000}"/>
    <cellStyle name="Data no deci 3 4 2 7 2" xfId="9907" xr:uid="{00000000-0005-0000-0000-0000CF2C0000}"/>
    <cellStyle name="Data no deci 3 4 2 8" xfId="9908" xr:uid="{00000000-0005-0000-0000-0000D02C0000}"/>
    <cellStyle name="Data no deci 3 4 2 8 2" xfId="9909" xr:uid="{00000000-0005-0000-0000-0000D12C0000}"/>
    <cellStyle name="Data no deci 3 4 2 9" xfId="9910" xr:uid="{00000000-0005-0000-0000-0000D22C0000}"/>
    <cellStyle name="Data no deci 3 4 2 9 2" xfId="9911" xr:uid="{00000000-0005-0000-0000-0000D32C0000}"/>
    <cellStyle name="Data no deci 3 4 3" xfId="9912" xr:uid="{00000000-0005-0000-0000-0000D42C0000}"/>
    <cellStyle name="Data no deci 3 4 3 10" xfId="9913" xr:uid="{00000000-0005-0000-0000-0000D52C0000}"/>
    <cellStyle name="Data no deci 3 4 3 2" xfId="9914" xr:uid="{00000000-0005-0000-0000-0000D62C0000}"/>
    <cellStyle name="Data no deci 3 4 3 2 2" xfId="9915" xr:uid="{00000000-0005-0000-0000-0000D72C0000}"/>
    <cellStyle name="Data no deci 3 4 3 3" xfId="9916" xr:uid="{00000000-0005-0000-0000-0000D82C0000}"/>
    <cellStyle name="Data no deci 3 4 3 3 2" xfId="9917" xr:uid="{00000000-0005-0000-0000-0000D92C0000}"/>
    <cellStyle name="Data no deci 3 4 3 4" xfId="9918" xr:uid="{00000000-0005-0000-0000-0000DA2C0000}"/>
    <cellStyle name="Data no deci 3 4 3 4 2" xfId="9919" xr:uid="{00000000-0005-0000-0000-0000DB2C0000}"/>
    <cellStyle name="Data no deci 3 4 3 5" xfId="9920" xr:uid="{00000000-0005-0000-0000-0000DC2C0000}"/>
    <cellStyle name="Data no deci 3 4 3 5 2" xfId="9921" xr:uid="{00000000-0005-0000-0000-0000DD2C0000}"/>
    <cellStyle name="Data no deci 3 4 3 6" xfId="9922" xr:uid="{00000000-0005-0000-0000-0000DE2C0000}"/>
    <cellStyle name="Data no deci 3 4 3 6 2" xfId="9923" xr:uid="{00000000-0005-0000-0000-0000DF2C0000}"/>
    <cellStyle name="Data no deci 3 4 3 7" xfId="9924" xr:uid="{00000000-0005-0000-0000-0000E02C0000}"/>
    <cellStyle name="Data no deci 3 4 3 7 2" xfId="9925" xr:uid="{00000000-0005-0000-0000-0000E12C0000}"/>
    <cellStyle name="Data no deci 3 4 3 8" xfId="9926" xr:uid="{00000000-0005-0000-0000-0000E22C0000}"/>
    <cellStyle name="Data no deci 3 4 3 8 2" xfId="9927" xr:uid="{00000000-0005-0000-0000-0000E32C0000}"/>
    <cellStyle name="Data no deci 3 4 3 9" xfId="9928" xr:uid="{00000000-0005-0000-0000-0000E42C0000}"/>
    <cellStyle name="Data no deci 3 4 3 9 2" xfId="9929" xr:uid="{00000000-0005-0000-0000-0000E52C0000}"/>
    <cellStyle name="Data no deci 3 4 4" xfId="9930" xr:uid="{00000000-0005-0000-0000-0000E62C0000}"/>
    <cellStyle name="Data no deci 3 4 4 10" xfId="9931" xr:uid="{00000000-0005-0000-0000-0000E72C0000}"/>
    <cellStyle name="Data no deci 3 4 4 2" xfId="9932" xr:uid="{00000000-0005-0000-0000-0000E82C0000}"/>
    <cellStyle name="Data no deci 3 4 4 2 2" xfId="9933" xr:uid="{00000000-0005-0000-0000-0000E92C0000}"/>
    <cellStyle name="Data no deci 3 4 4 3" xfId="9934" xr:uid="{00000000-0005-0000-0000-0000EA2C0000}"/>
    <cellStyle name="Data no deci 3 4 4 3 2" xfId="9935" xr:uid="{00000000-0005-0000-0000-0000EB2C0000}"/>
    <cellStyle name="Data no deci 3 4 4 4" xfId="9936" xr:uid="{00000000-0005-0000-0000-0000EC2C0000}"/>
    <cellStyle name="Data no deci 3 4 4 4 2" xfId="9937" xr:uid="{00000000-0005-0000-0000-0000ED2C0000}"/>
    <cellStyle name="Data no deci 3 4 4 5" xfId="9938" xr:uid="{00000000-0005-0000-0000-0000EE2C0000}"/>
    <cellStyle name="Data no deci 3 4 4 5 2" xfId="9939" xr:uid="{00000000-0005-0000-0000-0000EF2C0000}"/>
    <cellStyle name="Data no deci 3 4 4 6" xfId="9940" xr:uid="{00000000-0005-0000-0000-0000F02C0000}"/>
    <cellStyle name="Data no deci 3 4 4 6 2" xfId="9941" xr:uid="{00000000-0005-0000-0000-0000F12C0000}"/>
    <cellStyle name="Data no deci 3 4 4 7" xfId="9942" xr:uid="{00000000-0005-0000-0000-0000F22C0000}"/>
    <cellStyle name="Data no deci 3 4 4 7 2" xfId="9943" xr:uid="{00000000-0005-0000-0000-0000F32C0000}"/>
    <cellStyle name="Data no deci 3 4 4 8" xfId="9944" xr:uid="{00000000-0005-0000-0000-0000F42C0000}"/>
    <cellStyle name="Data no deci 3 4 4 8 2" xfId="9945" xr:uid="{00000000-0005-0000-0000-0000F52C0000}"/>
    <cellStyle name="Data no deci 3 4 4 9" xfId="9946" xr:uid="{00000000-0005-0000-0000-0000F62C0000}"/>
    <cellStyle name="Data no deci 3 4 4 9 2" xfId="9947" xr:uid="{00000000-0005-0000-0000-0000F72C0000}"/>
    <cellStyle name="Data no deci 3 4 5" xfId="9948" xr:uid="{00000000-0005-0000-0000-0000F82C0000}"/>
    <cellStyle name="Data no deci 3 4 5 10" xfId="9949" xr:uid="{00000000-0005-0000-0000-0000F92C0000}"/>
    <cellStyle name="Data no deci 3 4 5 2" xfId="9950" xr:uid="{00000000-0005-0000-0000-0000FA2C0000}"/>
    <cellStyle name="Data no deci 3 4 5 2 2" xfId="9951" xr:uid="{00000000-0005-0000-0000-0000FB2C0000}"/>
    <cellStyle name="Data no deci 3 4 5 3" xfId="9952" xr:uid="{00000000-0005-0000-0000-0000FC2C0000}"/>
    <cellStyle name="Data no deci 3 4 5 3 2" xfId="9953" xr:uid="{00000000-0005-0000-0000-0000FD2C0000}"/>
    <cellStyle name="Data no deci 3 4 5 4" xfId="9954" xr:uid="{00000000-0005-0000-0000-0000FE2C0000}"/>
    <cellStyle name="Data no deci 3 4 5 4 2" xfId="9955" xr:uid="{00000000-0005-0000-0000-0000FF2C0000}"/>
    <cellStyle name="Data no deci 3 4 5 5" xfId="9956" xr:uid="{00000000-0005-0000-0000-0000002D0000}"/>
    <cellStyle name="Data no deci 3 4 5 5 2" xfId="9957" xr:uid="{00000000-0005-0000-0000-0000012D0000}"/>
    <cellStyle name="Data no deci 3 4 5 6" xfId="9958" xr:uid="{00000000-0005-0000-0000-0000022D0000}"/>
    <cellStyle name="Data no deci 3 4 5 6 2" xfId="9959" xr:uid="{00000000-0005-0000-0000-0000032D0000}"/>
    <cellStyle name="Data no deci 3 4 5 7" xfId="9960" xr:uid="{00000000-0005-0000-0000-0000042D0000}"/>
    <cellStyle name="Data no deci 3 4 5 7 2" xfId="9961" xr:uid="{00000000-0005-0000-0000-0000052D0000}"/>
    <cellStyle name="Data no deci 3 4 5 8" xfId="9962" xr:uid="{00000000-0005-0000-0000-0000062D0000}"/>
    <cellStyle name="Data no deci 3 4 5 8 2" xfId="9963" xr:uid="{00000000-0005-0000-0000-0000072D0000}"/>
    <cellStyle name="Data no deci 3 4 5 9" xfId="9964" xr:uid="{00000000-0005-0000-0000-0000082D0000}"/>
    <cellStyle name="Data no deci 3 4 5 9 2" xfId="9965" xr:uid="{00000000-0005-0000-0000-0000092D0000}"/>
    <cellStyle name="Data no deci 3 4 6" xfId="9966" xr:uid="{00000000-0005-0000-0000-00000A2D0000}"/>
    <cellStyle name="Data no deci 3 4 6 10" xfId="9967" xr:uid="{00000000-0005-0000-0000-00000B2D0000}"/>
    <cellStyle name="Data no deci 3 4 6 2" xfId="9968" xr:uid="{00000000-0005-0000-0000-00000C2D0000}"/>
    <cellStyle name="Data no deci 3 4 6 2 2" xfId="9969" xr:uid="{00000000-0005-0000-0000-00000D2D0000}"/>
    <cellStyle name="Data no deci 3 4 6 3" xfId="9970" xr:uid="{00000000-0005-0000-0000-00000E2D0000}"/>
    <cellStyle name="Data no deci 3 4 6 3 2" xfId="9971" xr:uid="{00000000-0005-0000-0000-00000F2D0000}"/>
    <cellStyle name="Data no deci 3 4 6 4" xfId="9972" xr:uid="{00000000-0005-0000-0000-0000102D0000}"/>
    <cellStyle name="Data no deci 3 4 6 4 2" xfId="9973" xr:uid="{00000000-0005-0000-0000-0000112D0000}"/>
    <cellStyle name="Data no deci 3 4 6 5" xfId="9974" xr:uid="{00000000-0005-0000-0000-0000122D0000}"/>
    <cellStyle name="Data no deci 3 4 6 5 2" xfId="9975" xr:uid="{00000000-0005-0000-0000-0000132D0000}"/>
    <cellStyle name="Data no deci 3 4 6 6" xfId="9976" xr:uid="{00000000-0005-0000-0000-0000142D0000}"/>
    <cellStyle name="Data no deci 3 4 6 6 2" xfId="9977" xr:uid="{00000000-0005-0000-0000-0000152D0000}"/>
    <cellStyle name="Data no deci 3 4 6 7" xfId="9978" xr:uid="{00000000-0005-0000-0000-0000162D0000}"/>
    <cellStyle name="Data no deci 3 4 6 7 2" xfId="9979" xr:uid="{00000000-0005-0000-0000-0000172D0000}"/>
    <cellStyle name="Data no deci 3 4 6 8" xfId="9980" xr:uid="{00000000-0005-0000-0000-0000182D0000}"/>
    <cellStyle name="Data no deci 3 4 6 8 2" xfId="9981" xr:uid="{00000000-0005-0000-0000-0000192D0000}"/>
    <cellStyle name="Data no deci 3 4 6 9" xfId="9982" xr:uid="{00000000-0005-0000-0000-00001A2D0000}"/>
    <cellStyle name="Data no deci 3 4 6 9 2" xfId="9983" xr:uid="{00000000-0005-0000-0000-00001B2D0000}"/>
    <cellStyle name="Data no deci 3 4 7" xfId="9984" xr:uid="{00000000-0005-0000-0000-00001C2D0000}"/>
    <cellStyle name="Data no deci 3 4 7 10" xfId="9985" xr:uid="{00000000-0005-0000-0000-00001D2D0000}"/>
    <cellStyle name="Data no deci 3 4 7 2" xfId="9986" xr:uid="{00000000-0005-0000-0000-00001E2D0000}"/>
    <cellStyle name="Data no deci 3 4 7 2 2" xfId="9987" xr:uid="{00000000-0005-0000-0000-00001F2D0000}"/>
    <cellStyle name="Data no deci 3 4 7 3" xfId="9988" xr:uid="{00000000-0005-0000-0000-0000202D0000}"/>
    <cellStyle name="Data no deci 3 4 7 3 2" xfId="9989" xr:uid="{00000000-0005-0000-0000-0000212D0000}"/>
    <cellStyle name="Data no deci 3 4 7 4" xfId="9990" xr:uid="{00000000-0005-0000-0000-0000222D0000}"/>
    <cellStyle name="Data no deci 3 4 7 4 2" xfId="9991" xr:uid="{00000000-0005-0000-0000-0000232D0000}"/>
    <cellStyle name="Data no deci 3 4 7 5" xfId="9992" xr:uid="{00000000-0005-0000-0000-0000242D0000}"/>
    <cellStyle name="Data no deci 3 4 7 5 2" xfId="9993" xr:uid="{00000000-0005-0000-0000-0000252D0000}"/>
    <cellStyle name="Data no deci 3 4 7 6" xfId="9994" xr:uid="{00000000-0005-0000-0000-0000262D0000}"/>
    <cellStyle name="Data no deci 3 4 7 6 2" xfId="9995" xr:uid="{00000000-0005-0000-0000-0000272D0000}"/>
    <cellStyle name="Data no deci 3 4 7 7" xfId="9996" xr:uid="{00000000-0005-0000-0000-0000282D0000}"/>
    <cellStyle name="Data no deci 3 4 7 7 2" xfId="9997" xr:uid="{00000000-0005-0000-0000-0000292D0000}"/>
    <cellStyle name="Data no deci 3 4 7 8" xfId="9998" xr:uid="{00000000-0005-0000-0000-00002A2D0000}"/>
    <cellStyle name="Data no deci 3 4 7 8 2" xfId="9999" xr:uid="{00000000-0005-0000-0000-00002B2D0000}"/>
    <cellStyle name="Data no deci 3 4 7 9" xfId="10000" xr:uid="{00000000-0005-0000-0000-00002C2D0000}"/>
    <cellStyle name="Data no deci 3 4 7 9 2" xfId="10001" xr:uid="{00000000-0005-0000-0000-00002D2D0000}"/>
    <cellStyle name="Data no deci 3 4 8" xfId="10002" xr:uid="{00000000-0005-0000-0000-00002E2D0000}"/>
    <cellStyle name="Data no deci 3 4 8 10" xfId="10003" xr:uid="{00000000-0005-0000-0000-00002F2D0000}"/>
    <cellStyle name="Data no deci 3 4 8 2" xfId="10004" xr:uid="{00000000-0005-0000-0000-0000302D0000}"/>
    <cellStyle name="Data no deci 3 4 8 2 2" xfId="10005" xr:uid="{00000000-0005-0000-0000-0000312D0000}"/>
    <cellStyle name="Data no deci 3 4 8 3" xfId="10006" xr:uid="{00000000-0005-0000-0000-0000322D0000}"/>
    <cellStyle name="Data no deci 3 4 8 3 2" xfId="10007" xr:uid="{00000000-0005-0000-0000-0000332D0000}"/>
    <cellStyle name="Data no deci 3 4 8 4" xfId="10008" xr:uid="{00000000-0005-0000-0000-0000342D0000}"/>
    <cellStyle name="Data no deci 3 4 8 4 2" xfId="10009" xr:uid="{00000000-0005-0000-0000-0000352D0000}"/>
    <cellStyle name="Data no deci 3 4 8 5" xfId="10010" xr:uid="{00000000-0005-0000-0000-0000362D0000}"/>
    <cellStyle name="Data no deci 3 4 8 5 2" xfId="10011" xr:uid="{00000000-0005-0000-0000-0000372D0000}"/>
    <cellStyle name="Data no deci 3 4 8 6" xfId="10012" xr:uid="{00000000-0005-0000-0000-0000382D0000}"/>
    <cellStyle name="Data no deci 3 4 8 6 2" xfId="10013" xr:uid="{00000000-0005-0000-0000-0000392D0000}"/>
    <cellStyle name="Data no deci 3 4 8 7" xfId="10014" xr:uid="{00000000-0005-0000-0000-00003A2D0000}"/>
    <cellStyle name="Data no deci 3 4 8 7 2" xfId="10015" xr:uid="{00000000-0005-0000-0000-00003B2D0000}"/>
    <cellStyle name="Data no deci 3 4 8 8" xfId="10016" xr:uid="{00000000-0005-0000-0000-00003C2D0000}"/>
    <cellStyle name="Data no deci 3 4 8 8 2" xfId="10017" xr:uid="{00000000-0005-0000-0000-00003D2D0000}"/>
    <cellStyle name="Data no deci 3 4 8 9" xfId="10018" xr:uid="{00000000-0005-0000-0000-00003E2D0000}"/>
    <cellStyle name="Data no deci 3 4 8 9 2" xfId="10019" xr:uid="{00000000-0005-0000-0000-00003F2D0000}"/>
    <cellStyle name="Data no deci 3 4 9" xfId="10020" xr:uid="{00000000-0005-0000-0000-0000402D0000}"/>
    <cellStyle name="Data no deci 3 4 9 10" xfId="10021" xr:uid="{00000000-0005-0000-0000-0000412D0000}"/>
    <cellStyle name="Data no deci 3 4 9 2" xfId="10022" xr:uid="{00000000-0005-0000-0000-0000422D0000}"/>
    <cellStyle name="Data no deci 3 4 9 2 2" xfId="10023" xr:uid="{00000000-0005-0000-0000-0000432D0000}"/>
    <cellStyle name="Data no deci 3 4 9 3" xfId="10024" xr:uid="{00000000-0005-0000-0000-0000442D0000}"/>
    <cellStyle name="Data no deci 3 4 9 3 2" xfId="10025" xr:uid="{00000000-0005-0000-0000-0000452D0000}"/>
    <cellStyle name="Data no deci 3 4 9 4" xfId="10026" xr:uid="{00000000-0005-0000-0000-0000462D0000}"/>
    <cellStyle name="Data no deci 3 4 9 4 2" xfId="10027" xr:uid="{00000000-0005-0000-0000-0000472D0000}"/>
    <cellStyle name="Data no deci 3 4 9 5" xfId="10028" xr:uid="{00000000-0005-0000-0000-0000482D0000}"/>
    <cellStyle name="Data no deci 3 4 9 5 2" xfId="10029" xr:uid="{00000000-0005-0000-0000-0000492D0000}"/>
    <cellStyle name="Data no deci 3 4 9 6" xfId="10030" xr:uid="{00000000-0005-0000-0000-00004A2D0000}"/>
    <cellStyle name="Data no deci 3 4 9 6 2" xfId="10031" xr:uid="{00000000-0005-0000-0000-00004B2D0000}"/>
    <cellStyle name="Data no deci 3 4 9 7" xfId="10032" xr:uid="{00000000-0005-0000-0000-00004C2D0000}"/>
    <cellStyle name="Data no deci 3 4 9 7 2" xfId="10033" xr:uid="{00000000-0005-0000-0000-00004D2D0000}"/>
    <cellStyle name="Data no deci 3 4 9 8" xfId="10034" xr:uid="{00000000-0005-0000-0000-00004E2D0000}"/>
    <cellStyle name="Data no deci 3 4 9 8 2" xfId="10035" xr:uid="{00000000-0005-0000-0000-00004F2D0000}"/>
    <cellStyle name="Data no deci 3 4 9 9" xfId="10036" xr:uid="{00000000-0005-0000-0000-0000502D0000}"/>
    <cellStyle name="Data no deci 3 4 9 9 2" xfId="10037" xr:uid="{00000000-0005-0000-0000-0000512D0000}"/>
    <cellStyle name="Data no deci 3 5" xfId="10038" xr:uid="{00000000-0005-0000-0000-0000522D0000}"/>
    <cellStyle name="Data no deci 3 5 10" xfId="10039" xr:uid="{00000000-0005-0000-0000-0000532D0000}"/>
    <cellStyle name="Data no deci 3 5 10 2" xfId="10040" xr:uid="{00000000-0005-0000-0000-0000542D0000}"/>
    <cellStyle name="Data no deci 3 5 10 2 2" xfId="10041" xr:uid="{00000000-0005-0000-0000-0000552D0000}"/>
    <cellStyle name="Data no deci 3 5 10 3" xfId="10042" xr:uid="{00000000-0005-0000-0000-0000562D0000}"/>
    <cellStyle name="Data no deci 3 5 10 3 2" xfId="10043" xr:uid="{00000000-0005-0000-0000-0000572D0000}"/>
    <cellStyle name="Data no deci 3 5 10 4" xfId="10044" xr:uid="{00000000-0005-0000-0000-0000582D0000}"/>
    <cellStyle name="Data no deci 3 5 10 4 2" xfId="10045" xr:uid="{00000000-0005-0000-0000-0000592D0000}"/>
    <cellStyle name="Data no deci 3 5 10 5" xfId="10046" xr:uid="{00000000-0005-0000-0000-00005A2D0000}"/>
    <cellStyle name="Data no deci 3 5 10 5 2" xfId="10047" xr:uid="{00000000-0005-0000-0000-00005B2D0000}"/>
    <cellStyle name="Data no deci 3 5 10 6" xfId="10048" xr:uid="{00000000-0005-0000-0000-00005C2D0000}"/>
    <cellStyle name="Data no deci 3 5 10 6 2" xfId="10049" xr:uid="{00000000-0005-0000-0000-00005D2D0000}"/>
    <cellStyle name="Data no deci 3 5 10 7" xfId="10050" xr:uid="{00000000-0005-0000-0000-00005E2D0000}"/>
    <cellStyle name="Data no deci 3 5 10 7 2" xfId="10051" xr:uid="{00000000-0005-0000-0000-00005F2D0000}"/>
    <cellStyle name="Data no deci 3 5 10 8" xfId="10052" xr:uid="{00000000-0005-0000-0000-0000602D0000}"/>
    <cellStyle name="Data no deci 3 5 10 8 2" xfId="10053" xr:uid="{00000000-0005-0000-0000-0000612D0000}"/>
    <cellStyle name="Data no deci 3 5 10 9" xfId="10054" xr:uid="{00000000-0005-0000-0000-0000622D0000}"/>
    <cellStyle name="Data no deci 3 5 11" xfId="10055" xr:uid="{00000000-0005-0000-0000-0000632D0000}"/>
    <cellStyle name="Data no deci 3 5 11 2" xfId="10056" xr:uid="{00000000-0005-0000-0000-0000642D0000}"/>
    <cellStyle name="Data no deci 3 5 12" xfId="10057" xr:uid="{00000000-0005-0000-0000-0000652D0000}"/>
    <cellStyle name="Data no deci 3 5 12 2" xfId="10058" xr:uid="{00000000-0005-0000-0000-0000662D0000}"/>
    <cellStyle name="Data no deci 3 5 13" xfId="10059" xr:uid="{00000000-0005-0000-0000-0000672D0000}"/>
    <cellStyle name="Data no deci 3 5 13 2" xfId="10060" xr:uid="{00000000-0005-0000-0000-0000682D0000}"/>
    <cellStyle name="Data no deci 3 5 14" xfId="10061" xr:uid="{00000000-0005-0000-0000-0000692D0000}"/>
    <cellStyle name="Data no deci 3 5 14 2" xfId="10062" xr:uid="{00000000-0005-0000-0000-00006A2D0000}"/>
    <cellStyle name="Data no deci 3 5 15" xfId="10063" xr:uid="{00000000-0005-0000-0000-00006B2D0000}"/>
    <cellStyle name="Data no deci 3 5 15 2" xfId="10064" xr:uid="{00000000-0005-0000-0000-00006C2D0000}"/>
    <cellStyle name="Data no deci 3 5 16" xfId="10065" xr:uid="{00000000-0005-0000-0000-00006D2D0000}"/>
    <cellStyle name="Data no deci 3 5 16 2" xfId="10066" xr:uid="{00000000-0005-0000-0000-00006E2D0000}"/>
    <cellStyle name="Data no deci 3 5 17" xfId="10067" xr:uid="{00000000-0005-0000-0000-00006F2D0000}"/>
    <cellStyle name="Data no deci 3 5 17 2" xfId="10068" xr:uid="{00000000-0005-0000-0000-0000702D0000}"/>
    <cellStyle name="Data no deci 3 5 18" xfId="10069" xr:uid="{00000000-0005-0000-0000-0000712D0000}"/>
    <cellStyle name="Data no deci 3 5 2" xfId="10070" xr:uid="{00000000-0005-0000-0000-0000722D0000}"/>
    <cellStyle name="Data no deci 3 5 2 10" xfId="10071" xr:uid="{00000000-0005-0000-0000-0000732D0000}"/>
    <cellStyle name="Data no deci 3 5 2 2" xfId="10072" xr:uid="{00000000-0005-0000-0000-0000742D0000}"/>
    <cellStyle name="Data no deci 3 5 2 2 2" xfId="10073" xr:uid="{00000000-0005-0000-0000-0000752D0000}"/>
    <cellStyle name="Data no deci 3 5 2 3" xfId="10074" xr:uid="{00000000-0005-0000-0000-0000762D0000}"/>
    <cellStyle name="Data no deci 3 5 2 3 2" xfId="10075" xr:uid="{00000000-0005-0000-0000-0000772D0000}"/>
    <cellStyle name="Data no deci 3 5 2 4" xfId="10076" xr:uid="{00000000-0005-0000-0000-0000782D0000}"/>
    <cellStyle name="Data no deci 3 5 2 4 2" xfId="10077" xr:uid="{00000000-0005-0000-0000-0000792D0000}"/>
    <cellStyle name="Data no deci 3 5 2 5" xfId="10078" xr:uid="{00000000-0005-0000-0000-00007A2D0000}"/>
    <cellStyle name="Data no deci 3 5 2 5 2" xfId="10079" xr:uid="{00000000-0005-0000-0000-00007B2D0000}"/>
    <cellStyle name="Data no deci 3 5 2 6" xfId="10080" xr:uid="{00000000-0005-0000-0000-00007C2D0000}"/>
    <cellStyle name="Data no deci 3 5 2 6 2" xfId="10081" xr:uid="{00000000-0005-0000-0000-00007D2D0000}"/>
    <cellStyle name="Data no deci 3 5 2 7" xfId="10082" xr:uid="{00000000-0005-0000-0000-00007E2D0000}"/>
    <cellStyle name="Data no deci 3 5 2 7 2" xfId="10083" xr:uid="{00000000-0005-0000-0000-00007F2D0000}"/>
    <cellStyle name="Data no deci 3 5 2 8" xfId="10084" xr:uid="{00000000-0005-0000-0000-0000802D0000}"/>
    <cellStyle name="Data no deci 3 5 2 8 2" xfId="10085" xr:uid="{00000000-0005-0000-0000-0000812D0000}"/>
    <cellStyle name="Data no deci 3 5 2 9" xfId="10086" xr:uid="{00000000-0005-0000-0000-0000822D0000}"/>
    <cellStyle name="Data no deci 3 5 2 9 2" xfId="10087" xr:uid="{00000000-0005-0000-0000-0000832D0000}"/>
    <cellStyle name="Data no deci 3 5 3" xfId="10088" xr:uid="{00000000-0005-0000-0000-0000842D0000}"/>
    <cellStyle name="Data no deci 3 5 3 10" xfId="10089" xr:uid="{00000000-0005-0000-0000-0000852D0000}"/>
    <cellStyle name="Data no deci 3 5 3 2" xfId="10090" xr:uid="{00000000-0005-0000-0000-0000862D0000}"/>
    <cellStyle name="Data no deci 3 5 3 2 2" xfId="10091" xr:uid="{00000000-0005-0000-0000-0000872D0000}"/>
    <cellStyle name="Data no deci 3 5 3 3" xfId="10092" xr:uid="{00000000-0005-0000-0000-0000882D0000}"/>
    <cellStyle name="Data no deci 3 5 3 3 2" xfId="10093" xr:uid="{00000000-0005-0000-0000-0000892D0000}"/>
    <cellStyle name="Data no deci 3 5 3 4" xfId="10094" xr:uid="{00000000-0005-0000-0000-00008A2D0000}"/>
    <cellStyle name="Data no deci 3 5 3 4 2" xfId="10095" xr:uid="{00000000-0005-0000-0000-00008B2D0000}"/>
    <cellStyle name="Data no deci 3 5 3 5" xfId="10096" xr:uid="{00000000-0005-0000-0000-00008C2D0000}"/>
    <cellStyle name="Data no deci 3 5 3 5 2" xfId="10097" xr:uid="{00000000-0005-0000-0000-00008D2D0000}"/>
    <cellStyle name="Data no deci 3 5 3 6" xfId="10098" xr:uid="{00000000-0005-0000-0000-00008E2D0000}"/>
    <cellStyle name="Data no deci 3 5 3 6 2" xfId="10099" xr:uid="{00000000-0005-0000-0000-00008F2D0000}"/>
    <cellStyle name="Data no deci 3 5 3 7" xfId="10100" xr:uid="{00000000-0005-0000-0000-0000902D0000}"/>
    <cellStyle name="Data no deci 3 5 3 7 2" xfId="10101" xr:uid="{00000000-0005-0000-0000-0000912D0000}"/>
    <cellStyle name="Data no deci 3 5 3 8" xfId="10102" xr:uid="{00000000-0005-0000-0000-0000922D0000}"/>
    <cellStyle name="Data no deci 3 5 3 8 2" xfId="10103" xr:uid="{00000000-0005-0000-0000-0000932D0000}"/>
    <cellStyle name="Data no deci 3 5 3 9" xfId="10104" xr:uid="{00000000-0005-0000-0000-0000942D0000}"/>
    <cellStyle name="Data no deci 3 5 3 9 2" xfId="10105" xr:uid="{00000000-0005-0000-0000-0000952D0000}"/>
    <cellStyle name="Data no deci 3 5 4" xfId="10106" xr:uid="{00000000-0005-0000-0000-0000962D0000}"/>
    <cellStyle name="Data no deci 3 5 4 10" xfId="10107" xr:uid="{00000000-0005-0000-0000-0000972D0000}"/>
    <cellStyle name="Data no deci 3 5 4 2" xfId="10108" xr:uid="{00000000-0005-0000-0000-0000982D0000}"/>
    <cellStyle name="Data no deci 3 5 4 2 2" xfId="10109" xr:uid="{00000000-0005-0000-0000-0000992D0000}"/>
    <cellStyle name="Data no deci 3 5 4 3" xfId="10110" xr:uid="{00000000-0005-0000-0000-00009A2D0000}"/>
    <cellStyle name="Data no deci 3 5 4 3 2" xfId="10111" xr:uid="{00000000-0005-0000-0000-00009B2D0000}"/>
    <cellStyle name="Data no deci 3 5 4 4" xfId="10112" xr:uid="{00000000-0005-0000-0000-00009C2D0000}"/>
    <cellStyle name="Data no deci 3 5 4 4 2" xfId="10113" xr:uid="{00000000-0005-0000-0000-00009D2D0000}"/>
    <cellStyle name="Data no deci 3 5 4 5" xfId="10114" xr:uid="{00000000-0005-0000-0000-00009E2D0000}"/>
    <cellStyle name="Data no deci 3 5 4 5 2" xfId="10115" xr:uid="{00000000-0005-0000-0000-00009F2D0000}"/>
    <cellStyle name="Data no deci 3 5 4 6" xfId="10116" xr:uid="{00000000-0005-0000-0000-0000A02D0000}"/>
    <cellStyle name="Data no deci 3 5 4 6 2" xfId="10117" xr:uid="{00000000-0005-0000-0000-0000A12D0000}"/>
    <cellStyle name="Data no deci 3 5 4 7" xfId="10118" xr:uid="{00000000-0005-0000-0000-0000A22D0000}"/>
    <cellStyle name="Data no deci 3 5 4 7 2" xfId="10119" xr:uid="{00000000-0005-0000-0000-0000A32D0000}"/>
    <cellStyle name="Data no deci 3 5 4 8" xfId="10120" xr:uid="{00000000-0005-0000-0000-0000A42D0000}"/>
    <cellStyle name="Data no deci 3 5 4 8 2" xfId="10121" xr:uid="{00000000-0005-0000-0000-0000A52D0000}"/>
    <cellStyle name="Data no deci 3 5 4 9" xfId="10122" xr:uid="{00000000-0005-0000-0000-0000A62D0000}"/>
    <cellStyle name="Data no deci 3 5 4 9 2" xfId="10123" xr:uid="{00000000-0005-0000-0000-0000A72D0000}"/>
    <cellStyle name="Data no deci 3 5 5" xfId="10124" xr:uid="{00000000-0005-0000-0000-0000A82D0000}"/>
    <cellStyle name="Data no deci 3 5 5 10" xfId="10125" xr:uid="{00000000-0005-0000-0000-0000A92D0000}"/>
    <cellStyle name="Data no deci 3 5 5 2" xfId="10126" xr:uid="{00000000-0005-0000-0000-0000AA2D0000}"/>
    <cellStyle name="Data no deci 3 5 5 2 2" xfId="10127" xr:uid="{00000000-0005-0000-0000-0000AB2D0000}"/>
    <cellStyle name="Data no deci 3 5 5 3" xfId="10128" xr:uid="{00000000-0005-0000-0000-0000AC2D0000}"/>
    <cellStyle name="Data no deci 3 5 5 3 2" xfId="10129" xr:uid="{00000000-0005-0000-0000-0000AD2D0000}"/>
    <cellStyle name="Data no deci 3 5 5 4" xfId="10130" xr:uid="{00000000-0005-0000-0000-0000AE2D0000}"/>
    <cellStyle name="Data no deci 3 5 5 4 2" xfId="10131" xr:uid="{00000000-0005-0000-0000-0000AF2D0000}"/>
    <cellStyle name="Data no deci 3 5 5 5" xfId="10132" xr:uid="{00000000-0005-0000-0000-0000B02D0000}"/>
    <cellStyle name="Data no deci 3 5 5 5 2" xfId="10133" xr:uid="{00000000-0005-0000-0000-0000B12D0000}"/>
    <cellStyle name="Data no deci 3 5 5 6" xfId="10134" xr:uid="{00000000-0005-0000-0000-0000B22D0000}"/>
    <cellStyle name="Data no deci 3 5 5 6 2" xfId="10135" xr:uid="{00000000-0005-0000-0000-0000B32D0000}"/>
    <cellStyle name="Data no deci 3 5 5 7" xfId="10136" xr:uid="{00000000-0005-0000-0000-0000B42D0000}"/>
    <cellStyle name="Data no deci 3 5 5 7 2" xfId="10137" xr:uid="{00000000-0005-0000-0000-0000B52D0000}"/>
    <cellStyle name="Data no deci 3 5 5 8" xfId="10138" xr:uid="{00000000-0005-0000-0000-0000B62D0000}"/>
    <cellStyle name="Data no deci 3 5 5 8 2" xfId="10139" xr:uid="{00000000-0005-0000-0000-0000B72D0000}"/>
    <cellStyle name="Data no deci 3 5 5 9" xfId="10140" xr:uid="{00000000-0005-0000-0000-0000B82D0000}"/>
    <cellStyle name="Data no deci 3 5 5 9 2" xfId="10141" xr:uid="{00000000-0005-0000-0000-0000B92D0000}"/>
    <cellStyle name="Data no deci 3 5 6" xfId="10142" xr:uid="{00000000-0005-0000-0000-0000BA2D0000}"/>
    <cellStyle name="Data no deci 3 5 6 10" xfId="10143" xr:uid="{00000000-0005-0000-0000-0000BB2D0000}"/>
    <cellStyle name="Data no deci 3 5 6 2" xfId="10144" xr:uid="{00000000-0005-0000-0000-0000BC2D0000}"/>
    <cellStyle name="Data no deci 3 5 6 2 2" xfId="10145" xr:uid="{00000000-0005-0000-0000-0000BD2D0000}"/>
    <cellStyle name="Data no deci 3 5 6 3" xfId="10146" xr:uid="{00000000-0005-0000-0000-0000BE2D0000}"/>
    <cellStyle name="Data no deci 3 5 6 3 2" xfId="10147" xr:uid="{00000000-0005-0000-0000-0000BF2D0000}"/>
    <cellStyle name="Data no deci 3 5 6 4" xfId="10148" xr:uid="{00000000-0005-0000-0000-0000C02D0000}"/>
    <cellStyle name="Data no deci 3 5 6 4 2" xfId="10149" xr:uid="{00000000-0005-0000-0000-0000C12D0000}"/>
    <cellStyle name="Data no deci 3 5 6 5" xfId="10150" xr:uid="{00000000-0005-0000-0000-0000C22D0000}"/>
    <cellStyle name="Data no deci 3 5 6 5 2" xfId="10151" xr:uid="{00000000-0005-0000-0000-0000C32D0000}"/>
    <cellStyle name="Data no deci 3 5 6 6" xfId="10152" xr:uid="{00000000-0005-0000-0000-0000C42D0000}"/>
    <cellStyle name="Data no deci 3 5 6 6 2" xfId="10153" xr:uid="{00000000-0005-0000-0000-0000C52D0000}"/>
    <cellStyle name="Data no deci 3 5 6 7" xfId="10154" xr:uid="{00000000-0005-0000-0000-0000C62D0000}"/>
    <cellStyle name="Data no deci 3 5 6 7 2" xfId="10155" xr:uid="{00000000-0005-0000-0000-0000C72D0000}"/>
    <cellStyle name="Data no deci 3 5 6 8" xfId="10156" xr:uid="{00000000-0005-0000-0000-0000C82D0000}"/>
    <cellStyle name="Data no deci 3 5 6 8 2" xfId="10157" xr:uid="{00000000-0005-0000-0000-0000C92D0000}"/>
    <cellStyle name="Data no deci 3 5 6 9" xfId="10158" xr:uid="{00000000-0005-0000-0000-0000CA2D0000}"/>
    <cellStyle name="Data no deci 3 5 6 9 2" xfId="10159" xr:uid="{00000000-0005-0000-0000-0000CB2D0000}"/>
    <cellStyle name="Data no deci 3 5 7" xfId="10160" xr:uid="{00000000-0005-0000-0000-0000CC2D0000}"/>
    <cellStyle name="Data no deci 3 5 7 10" xfId="10161" xr:uid="{00000000-0005-0000-0000-0000CD2D0000}"/>
    <cellStyle name="Data no deci 3 5 7 2" xfId="10162" xr:uid="{00000000-0005-0000-0000-0000CE2D0000}"/>
    <cellStyle name="Data no deci 3 5 7 2 2" xfId="10163" xr:uid="{00000000-0005-0000-0000-0000CF2D0000}"/>
    <cellStyle name="Data no deci 3 5 7 3" xfId="10164" xr:uid="{00000000-0005-0000-0000-0000D02D0000}"/>
    <cellStyle name="Data no deci 3 5 7 3 2" xfId="10165" xr:uid="{00000000-0005-0000-0000-0000D12D0000}"/>
    <cellStyle name="Data no deci 3 5 7 4" xfId="10166" xr:uid="{00000000-0005-0000-0000-0000D22D0000}"/>
    <cellStyle name="Data no deci 3 5 7 4 2" xfId="10167" xr:uid="{00000000-0005-0000-0000-0000D32D0000}"/>
    <cellStyle name="Data no deci 3 5 7 5" xfId="10168" xr:uid="{00000000-0005-0000-0000-0000D42D0000}"/>
    <cellStyle name="Data no deci 3 5 7 5 2" xfId="10169" xr:uid="{00000000-0005-0000-0000-0000D52D0000}"/>
    <cellStyle name="Data no deci 3 5 7 6" xfId="10170" xr:uid="{00000000-0005-0000-0000-0000D62D0000}"/>
    <cellStyle name="Data no deci 3 5 7 6 2" xfId="10171" xr:uid="{00000000-0005-0000-0000-0000D72D0000}"/>
    <cellStyle name="Data no deci 3 5 7 7" xfId="10172" xr:uid="{00000000-0005-0000-0000-0000D82D0000}"/>
    <cellStyle name="Data no deci 3 5 7 7 2" xfId="10173" xr:uid="{00000000-0005-0000-0000-0000D92D0000}"/>
    <cellStyle name="Data no deci 3 5 7 8" xfId="10174" xr:uid="{00000000-0005-0000-0000-0000DA2D0000}"/>
    <cellStyle name="Data no deci 3 5 7 8 2" xfId="10175" xr:uid="{00000000-0005-0000-0000-0000DB2D0000}"/>
    <cellStyle name="Data no deci 3 5 7 9" xfId="10176" xr:uid="{00000000-0005-0000-0000-0000DC2D0000}"/>
    <cellStyle name="Data no deci 3 5 7 9 2" xfId="10177" xr:uid="{00000000-0005-0000-0000-0000DD2D0000}"/>
    <cellStyle name="Data no deci 3 5 8" xfId="10178" xr:uid="{00000000-0005-0000-0000-0000DE2D0000}"/>
    <cellStyle name="Data no deci 3 5 8 10" xfId="10179" xr:uid="{00000000-0005-0000-0000-0000DF2D0000}"/>
    <cellStyle name="Data no deci 3 5 8 2" xfId="10180" xr:uid="{00000000-0005-0000-0000-0000E02D0000}"/>
    <cellStyle name="Data no deci 3 5 8 2 2" xfId="10181" xr:uid="{00000000-0005-0000-0000-0000E12D0000}"/>
    <cellStyle name="Data no deci 3 5 8 3" xfId="10182" xr:uid="{00000000-0005-0000-0000-0000E22D0000}"/>
    <cellStyle name="Data no deci 3 5 8 3 2" xfId="10183" xr:uid="{00000000-0005-0000-0000-0000E32D0000}"/>
    <cellStyle name="Data no deci 3 5 8 4" xfId="10184" xr:uid="{00000000-0005-0000-0000-0000E42D0000}"/>
    <cellStyle name="Data no deci 3 5 8 4 2" xfId="10185" xr:uid="{00000000-0005-0000-0000-0000E52D0000}"/>
    <cellStyle name="Data no deci 3 5 8 5" xfId="10186" xr:uid="{00000000-0005-0000-0000-0000E62D0000}"/>
    <cellStyle name="Data no deci 3 5 8 5 2" xfId="10187" xr:uid="{00000000-0005-0000-0000-0000E72D0000}"/>
    <cellStyle name="Data no deci 3 5 8 6" xfId="10188" xr:uid="{00000000-0005-0000-0000-0000E82D0000}"/>
    <cellStyle name="Data no deci 3 5 8 6 2" xfId="10189" xr:uid="{00000000-0005-0000-0000-0000E92D0000}"/>
    <cellStyle name="Data no deci 3 5 8 7" xfId="10190" xr:uid="{00000000-0005-0000-0000-0000EA2D0000}"/>
    <cellStyle name="Data no deci 3 5 8 7 2" xfId="10191" xr:uid="{00000000-0005-0000-0000-0000EB2D0000}"/>
    <cellStyle name="Data no deci 3 5 8 8" xfId="10192" xr:uid="{00000000-0005-0000-0000-0000EC2D0000}"/>
    <cellStyle name="Data no deci 3 5 8 8 2" xfId="10193" xr:uid="{00000000-0005-0000-0000-0000ED2D0000}"/>
    <cellStyle name="Data no deci 3 5 8 9" xfId="10194" xr:uid="{00000000-0005-0000-0000-0000EE2D0000}"/>
    <cellStyle name="Data no deci 3 5 8 9 2" xfId="10195" xr:uid="{00000000-0005-0000-0000-0000EF2D0000}"/>
    <cellStyle name="Data no deci 3 5 9" xfId="10196" xr:uid="{00000000-0005-0000-0000-0000F02D0000}"/>
    <cellStyle name="Data no deci 3 5 9 10" xfId="10197" xr:uid="{00000000-0005-0000-0000-0000F12D0000}"/>
    <cellStyle name="Data no deci 3 5 9 2" xfId="10198" xr:uid="{00000000-0005-0000-0000-0000F22D0000}"/>
    <cellStyle name="Data no deci 3 5 9 2 2" xfId="10199" xr:uid="{00000000-0005-0000-0000-0000F32D0000}"/>
    <cellStyle name="Data no deci 3 5 9 3" xfId="10200" xr:uid="{00000000-0005-0000-0000-0000F42D0000}"/>
    <cellStyle name="Data no deci 3 5 9 3 2" xfId="10201" xr:uid="{00000000-0005-0000-0000-0000F52D0000}"/>
    <cellStyle name="Data no deci 3 5 9 4" xfId="10202" xr:uid="{00000000-0005-0000-0000-0000F62D0000}"/>
    <cellStyle name="Data no deci 3 5 9 4 2" xfId="10203" xr:uid="{00000000-0005-0000-0000-0000F72D0000}"/>
    <cellStyle name="Data no deci 3 5 9 5" xfId="10204" xr:uid="{00000000-0005-0000-0000-0000F82D0000}"/>
    <cellStyle name="Data no deci 3 5 9 5 2" xfId="10205" xr:uid="{00000000-0005-0000-0000-0000F92D0000}"/>
    <cellStyle name="Data no deci 3 5 9 6" xfId="10206" xr:uid="{00000000-0005-0000-0000-0000FA2D0000}"/>
    <cellStyle name="Data no deci 3 5 9 6 2" xfId="10207" xr:uid="{00000000-0005-0000-0000-0000FB2D0000}"/>
    <cellStyle name="Data no deci 3 5 9 7" xfId="10208" xr:uid="{00000000-0005-0000-0000-0000FC2D0000}"/>
    <cellStyle name="Data no deci 3 5 9 7 2" xfId="10209" xr:uid="{00000000-0005-0000-0000-0000FD2D0000}"/>
    <cellStyle name="Data no deci 3 5 9 8" xfId="10210" xr:uid="{00000000-0005-0000-0000-0000FE2D0000}"/>
    <cellStyle name="Data no deci 3 5 9 8 2" xfId="10211" xr:uid="{00000000-0005-0000-0000-0000FF2D0000}"/>
    <cellStyle name="Data no deci 3 5 9 9" xfId="10212" xr:uid="{00000000-0005-0000-0000-0000002E0000}"/>
    <cellStyle name="Data no deci 3 5 9 9 2" xfId="10213" xr:uid="{00000000-0005-0000-0000-0000012E0000}"/>
    <cellStyle name="Data no deci 3 6" xfId="10214" xr:uid="{00000000-0005-0000-0000-0000022E0000}"/>
    <cellStyle name="Data no deci 3 6 10" xfId="10215" xr:uid="{00000000-0005-0000-0000-0000032E0000}"/>
    <cellStyle name="Data no deci 3 6 10 2" xfId="10216" xr:uid="{00000000-0005-0000-0000-0000042E0000}"/>
    <cellStyle name="Data no deci 3 6 10 2 2" xfId="10217" xr:uid="{00000000-0005-0000-0000-0000052E0000}"/>
    <cellStyle name="Data no deci 3 6 10 3" xfId="10218" xr:uid="{00000000-0005-0000-0000-0000062E0000}"/>
    <cellStyle name="Data no deci 3 6 10 3 2" xfId="10219" xr:uid="{00000000-0005-0000-0000-0000072E0000}"/>
    <cellStyle name="Data no deci 3 6 10 4" xfId="10220" xr:uid="{00000000-0005-0000-0000-0000082E0000}"/>
    <cellStyle name="Data no deci 3 6 10 4 2" xfId="10221" xr:uid="{00000000-0005-0000-0000-0000092E0000}"/>
    <cellStyle name="Data no deci 3 6 10 5" xfId="10222" xr:uid="{00000000-0005-0000-0000-00000A2E0000}"/>
    <cellStyle name="Data no deci 3 6 10 5 2" xfId="10223" xr:uid="{00000000-0005-0000-0000-00000B2E0000}"/>
    <cellStyle name="Data no deci 3 6 10 6" xfId="10224" xr:uid="{00000000-0005-0000-0000-00000C2E0000}"/>
    <cellStyle name="Data no deci 3 6 10 6 2" xfId="10225" xr:uid="{00000000-0005-0000-0000-00000D2E0000}"/>
    <cellStyle name="Data no deci 3 6 10 7" xfId="10226" xr:uid="{00000000-0005-0000-0000-00000E2E0000}"/>
    <cellStyle name="Data no deci 3 6 10 7 2" xfId="10227" xr:uid="{00000000-0005-0000-0000-00000F2E0000}"/>
    <cellStyle name="Data no deci 3 6 10 8" xfId="10228" xr:uid="{00000000-0005-0000-0000-0000102E0000}"/>
    <cellStyle name="Data no deci 3 6 10 8 2" xfId="10229" xr:uid="{00000000-0005-0000-0000-0000112E0000}"/>
    <cellStyle name="Data no deci 3 6 10 9" xfId="10230" xr:uid="{00000000-0005-0000-0000-0000122E0000}"/>
    <cellStyle name="Data no deci 3 6 11" xfId="10231" xr:uid="{00000000-0005-0000-0000-0000132E0000}"/>
    <cellStyle name="Data no deci 3 6 11 2" xfId="10232" xr:uid="{00000000-0005-0000-0000-0000142E0000}"/>
    <cellStyle name="Data no deci 3 6 12" xfId="10233" xr:uid="{00000000-0005-0000-0000-0000152E0000}"/>
    <cellStyle name="Data no deci 3 6 12 2" xfId="10234" xr:uid="{00000000-0005-0000-0000-0000162E0000}"/>
    <cellStyle name="Data no deci 3 6 13" xfId="10235" xr:uid="{00000000-0005-0000-0000-0000172E0000}"/>
    <cellStyle name="Data no deci 3 6 13 2" xfId="10236" xr:uid="{00000000-0005-0000-0000-0000182E0000}"/>
    <cellStyle name="Data no deci 3 6 14" xfId="10237" xr:uid="{00000000-0005-0000-0000-0000192E0000}"/>
    <cellStyle name="Data no deci 3 6 14 2" xfId="10238" xr:uid="{00000000-0005-0000-0000-00001A2E0000}"/>
    <cellStyle name="Data no deci 3 6 15" xfId="10239" xr:uid="{00000000-0005-0000-0000-00001B2E0000}"/>
    <cellStyle name="Data no deci 3 6 15 2" xfId="10240" xr:uid="{00000000-0005-0000-0000-00001C2E0000}"/>
    <cellStyle name="Data no deci 3 6 16" xfId="10241" xr:uid="{00000000-0005-0000-0000-00001D2E0000}"/>
    <cellStyle name="Data no deci 3 6 16 2" xfId="10242" xr:uid="{00000000-0005-0000-0000-00001E2E0000}"/>
    <cellStyle name="Data no deci 3 6 17" xfId="10243" xr:uid="{00000000-0005-0000-0000-00001F2E0000}"/>
    <cellStyle name="Data no deci 3 6 17 2" xfId="10244" xr:uid="{00000000-0005-0000-0000-0000202E0000}"/>
    <cellStyle name="Data no deci 3 6 18" xfId="10245" xr:uid="{00000000-0005-0000-0000-0000212E0000}"/>
    <cellStyle name="Data no deci 3 6 2" xfId="10246" xr:uid="{00000000-0005-0000-0000-0000222E0000}"/>
    <cellStyle name="Data no deci 3 6 2 10" xfId="10247" xr:uid="{00000000-0005-0000-0000-0000232E0000}"/>
    <cellStyle name="Data no deci 3 6 2 2" xfId="10248" xr:uid="{00000000-0005-0000-0000-0000242E0000}"/>
    <cellStyle name="Data no deci 3 6 2 2 2" xfId="10249" xr:uid="{00000000-0005-0000-0000-0000252E0000}"/>
    <cellStyle name="Data no deci 3 6 2 3" xfId="10250" xr:uid="{00000000-0005-0000-0000-0000262E0000}"/>
    <cellStyle name="Data no deci 3 6 2 3 2" xfId="10251" xr:uid="{00000000-0005-0000-0000-0000272E0000}"/>
    <cellStyle name="Data no deci 3 6 2 4" xfId="10252" xr:uid="{00000000-0005-0000-0000-0000282E0000}"/>
    <cellStyle name="Data no deci 3 6 2 4 2" xfId="10253" xr:uid="{00000000-0005-0000-0000-0000292E0000}"/>
    <cellStyle name="Data no deci 3 6 2 5" xfId="10254" xr:uid="{00000000-0005-0000-0000-00002A2E0000}"/>
    <cellStyle name="Data no deci 3 6 2 5 2" xfId="10255" xr:uid="{00000000-0005-0000-0000-00002B2E0000}"/>
    <cellStyle name="Data no deci 3 6 2 6" xfId="10256" xr:uid="{00000000-0005-0000-0000-00002C2E0000}"/>
    <cellStyle name="Data no deci 3 6 2 6 2" xfId="10257" xr:uid="{00000000-0005-0000-0000-00002D2E0000}"/>
    <cellStyle name="Data no deci 3 6 2 7" xfId="10258" xr:uid="{00000000-0005-0000-0000-00002E2E0000}"/>
    <cellStyle name="Data no deci 3 6 2 7 2" xfId="10259" xr:uid="{00000000-0005-0000-0000-00002F2E0000}"/>
    <cellStyle name="Data no deci 3 6 2 8" xfId="10260" xr:uid="{00000000-0005-0000-0000-0000302E0000}"/>
    <cellStyle name="Data no deci 3 6 2 8 2" xfId="10261" xr:uid="{00000000-0005-0000-0000-0000312E0000}"/>
    <cellStyle name="Data no deci 3 6 2 9" xfId="10262" xr:uid="{00000000-0005-0000-0000-0000322E0000}"/>
    <cellStyle name="Data no deci 3 6 2 9 2" xfId="10263" xr:uid="{00000000-0005-0000-0000-0000332E0000}"/>
    <cellStyle name="Data no deci 3 6 3" xfId="10264" xr:uid="{00000000-0005-0000-0000-0000342E0000}"/>
    <cellStyle name="Data no deci 3 6 3 10" xfId="10265" xr:uid="{00000000-0005-0000-0000-0000352E0000}"/>
    <cellStyle name="Data no deci 3 6 3 2" xfId="10266" xr:uid="{00000000-0005-0000-0000-0000362E0000}"/>
    <cellStyle name="Data no deci 3 6 3 2 2" xfId="10267" xr:uid="{00000000-0005-0000-0000-0000372E0000}"/>
    <cellStyle name="Data no deci 3 6 3 3" xfId="10268" xr:uid="{00000000-0005-0000-0000-0000382E0000}"/>
    <cellStyle name="Data no deci 3 6 3 3 2" xfId="10269" xr:uid="{00000000-0005-0000-0000-0000392E0000}"/>
    <cellStyle name="Data no deci 3 6 3 4" xfId="10270" xr:uid="{00000000-0005-0000-0000-00003A2E0000}"/>
    <cellStyle name="Data no deci 3 6 3 4 2" xfId="10271" xr:uid="{00000000-0005-0000-0000-00003B2E0000}"/>
    <cellStyle name="Data no deci 3 6 3 5" xfId="10272" xr:uid="{00000000-0005-0000-0000-00003C2E0000}"/>
    <cellStyle name="Data no deci 3 6 3 5 2" xfId="10273" xr:uid="{00000000-0005-0000-0000-00003D2E0000}"/>
    <cellStyle name="Data no deci 3 6 3 6" xfId="10274" xr:uid="{00000000-0005-0000-0000-00003E2E0000}"/>
    <cellStyle name="Data no deci 3 6 3 6 2" xfId="10275" xr:uid="{00000000-0005-0000-0000-00003F2E0000}"/>
    <cellStyle name="Data no deci 3 6 3 7" xfId="10276" xr:uid="{00000000-0005-0000-0000-0000402E0000}"/>
    <cellStyle name="Data no deci 3 6 3 7 2" xfId="10277" xr:uid="{00000000-0005-0000-0000-0000412E0000}"/>
    <cellStyle name="Data no deci 3 6 3 8" xfId="10278" xr:uid="{00000000-0005-0000-0000-0000422E0000}"/>
    <cellStyle name="Data no deci 3 6 3 8 2" xfId="10279" xr:uid="{00000000-0005-0000-0000-0000432E0000}"/>
    <cellStyle name="Data no deci 3 6 3 9" xfId="10280" xr:uid="{00000000-0005-0000-0000-0000442E0000}"/>
    <cellStyle name="Data no deci 3 6 3 9 2" xfId="10281" xr:uid="{00000000-0005-0000-0000-0000452E0000}"/>
    <cellStyle name="Data no deci 3 6 4" xfId="10282" xr:uid="{00000000-0005-0000-0000-0000462E0000}"/>
    <cellStyle name="Data no deci 3 6 4 10" xfId="10283" xr:uid="{00000000-0005-0000-0000-0000472E0000}"/>
    <cellStyle name="Data no deci 3 6 4 2" xfId="10284" xr:uid="{00000000-0005-0000-0000-0000482E0000}"/>
    <cellStyle name="Data no deci 3 6 4 2 2" xfId="10285" xr:uid="{00000000-0005-0000-0000-0000492E0000}"/>
    <cellStyle name="Data no deci 3 6 4 3" xfId="10286" xr:uid="{00000000-0005-0000-0000-00004A2E0000}"/>
    <cellStyle name="Data no deci 3 6 4 3 2" xfId="10287" xr:uid="{00000000-0005-0000-0000-00004B2E0000}"/>
    <cellStyle name="Data no deci 3 6 4 4" xfId="10288" xr:uid="{00000000-0005-0000-0000-00004C2E0000}"/>
    <cellStyle name="Data no deci 3 6 4 4 2" xfId="10289" xr:uid="{00000000-0005-0000-0000-00004D2E0000}"/>
    <cellStyle name="Data no deci 3 6 4 5" xfId="10290" xr:uid="{00000000-0005-0000-0000-00004E2E0000}"/>
    <cellStyle name="Data no deci 3 6 4 5 2" xfId="10291" xr:uid="{00000000-0005-0000-0000-00004F2E0000}"/>
    <cellStyle name="Data no deci 3 6 4 6" xfId="10292" xr:uid="{00000000-0005-0000-0000-0000502E0000}"/>
    <cellStyle name="Data no deci 3 6 4 6 2" xfId="10293" xr:uid="{00000000-0005-0000-0000-0000512E0000}"/>
    <cellStyle name="Data no deci 3 6 4 7" xfId="10294" xr:uid="{00000000-0005-0000-0000-0000522E0000}"/>
    <cellStyle name="Data no deci 3 6 4 7 2" xfId="10295" xr:uid="{00000000-0005-0000-0000-0000532E0000}"/>
    <cellStyle name="Data no deci 3 6 4 8" xfId="10296" xr:uid="{00000000-0005-0000-0000-0000542E0000}"/>
    <cellStyle name="Data no deci 3 6 4 8 2" xfId="10297" xr:uid="{00000000-0005-0000-0000-0000552E0000}"/>
    <cellStyle name="Data no deci 3 6 4 9" xfId="10298" xr:uid="{00000000-0005-0000-0000-0000562E0000}"/>
    <cellStyle name="Data no deci 3 6 4 9 2" xfId="10299" xr:uid="{00000000-0005-0000-0000-0000572E0000}"/>
    <cellStyle name="Data no deci 3 6 5" xfId="10300" xr:uid="{00000000-0005-0000-0000-0000582E0000}"/>
    <cellStyle name="Data no deci 3 6 5 10" xfId="10301" xr:uid="{00000000-0005-0000-0000-0000592E0000}"/>
    <cellStyle name="Data no deci 3 6 5 2" xfId="10302" xr:uid="{00000000-0005-0000-0000-00005A2E0000}"/>
    <cellStyle name="Data no deci 3 6 5 2 2" xfId="10303" xr:uid="{00000000-0005-0000-0000-00005B2E0000}"/>
    <cellStyle name="Data no deci 3 6 5 3" xfId="10304" xr:uid="{00000000-0005-0000-0000-00005C2E0000}"/>
    <cellStyle name="Data no deci 3 6 5 3 2" xfId="10305" xr:uid="{00000000-0005-0000-0000-00005D2E0000}"/>
    <cellStyle name="Data no deci 3 6 5 4" xfId="10306" xr:uid="{00000000-0005-0000-0000-00005E2E0000}"/>
    <cellStyle name="Data no deci 3 6 5 4 2" xfId="10307" xr:uid="{00000000-0005-0000-0000-00005F2E0000}"/>
    <cellStyle name="Data no deci 3 6 5 5" xfId="10308" xr:uid="{00000000-0005-0000-0000-0000602E0000}"/>
    <cellStyle name="Data no deci 3 6 5 5 2" xfId="10309" xr:uid="{00000000-0005-0000-0000-0000612E0000}"/>
    <cellStyle name="Data no deci 3 6 5 6" xfId="10310" xr:uid="{00000000-0005-0000-0000-0000622E0000}"/>
    <cellStyle name="Data no deci 3 6 5 6 2" xfId="10311" xr:uid="{00000000-0005-0000-0000-0000632E0000}"/>
    <cellStyle name="Data no deci 3 6 5 7" xfId="10312" xr:uid="{00000000-0005-0000-0000-0000642E0000}"/>
    <cellStyle name="Data no deci 3 6 5 7 2" xfId="10313" xr:uid="{00000000-0005-0000-0000-0000652E0000}"/>
    <cellStyle name="Data no deci 3 6 5 8" xfId="10314" xr:uid="{00000000-0005-0000-0000-0000662E0000}"/>
    <cellStyle name="Data no deci 3 6 5 8 2" xfId="10315" xr:uid="{00000000-0005-0000-0000-0000672E0000}"/>
    <cellStyle name="Data no deci 3 6 5 9" xfId="10316" xr:uid="{00000000-0005-0000-0000-0000682E0000}"/>
    <cellStyle name="Data no deci 3 6 5 9 2" xfId="10317" xr:uid="{00000000-0005-0000-0000-0000692E0000}"/>
    <cellStyle name="Data no deci 3 6 6" xfId="10318" xr:uid="{00000000-0005-0000-0000-00006A2E0000}"/>
    <cellStyle name="Data no deci 3 6 6 10" xfId="10319" xr:uid="{00000000-0005-0000-0000-00006B2E0000}"/>
    <cellStyle name="Data no deci 3 6 6 2" xfId="10320" xr:uid="{00000000-0005-0000-0000-00006C2E0000}"/>
    <cellStyle name="Data no deci 3 6 6 2 2" xfId="10321" xr:uid="{00000000-0005-0000-0000-00006D2E0000}"/>
    <cellStyle name="Data no deci 3 6 6 3" xfId="10322" xr:uid="{00000000-0005-0000-0000-00006E2E0000}"/>
    <cellStyle name="Data no deci 3 6 6 3 2" xfId="10323" xr:uid="{00000000-0005-0000-0000-00006F2E0000}"/>
    <cellStyle name="Data no deci 3 6 6 4" xfId="10324" xr:uid="{00000000-0005-0000-0000-0000702E0000}"/>
    <cellStyle name="Data no deci 3 6 6 4 2" xfId="10325" xr:uid="{00000000-0005-0000-0000-0000712E0000}"/>
    <cellStyle name="Data no deci 3 6 6 5" xfId="10326" xr:uid="{00000000-0005-0000-0000-0000722E0000}"/>
    <cellStyle name="Data no deci 3 6 6 5 2" xfId="10327" xr:uid="{00000000-0005-0000-0000-0000732E0000}"/>
    <cellStyle name="Data no deci 3 6 6 6" xfId="10328" xr:uid="{00000000-0005-0000-0000-0000742E0000}"/>
    <cellStyle name="Data no deci 3 6 6 6 2" xfId="10329" xr:uid="{00000000-0005-0000-0000-0000752E0000}"/>
    <cellStyle name="Data no deci 3 6 6 7" xfId="10330" xr:uid="{00000000-0005-0000-0000-0000762E0000}"/>
    <cellStyle name="Data no deci 3 6 6 7 2" xfId="10331" xr:uid="{00000000-0005-0000-0000-0000772E0000}"/>
    <cellStyle name="Data no deci 3 6 6 8" xfId="10332" xr:uid="{00000000-0005-0000-0000-0000782E0000}"/>
    <cellStyle name="Data no deci 3 6 6 8 2" xfId="10333" xr:uid="{00000000-0005-0000-0000-0000792E0000}"/>
    <cellStyle name="Data no deci 3 6 6 9" xfId="10334" xr:uid="{00000000-0005-0000-0000-00007A2E0000}"/>
    <cellStyle name="Data no deci 3 6 6 9 2" xfId="10335" xr:uid="{00000000-0005-0000-0000-00007B2E0000}"/>
    <cellStyle name="Data no deci 3 6 7" xfId="10336" xr:uid="{00000000-0005-0000-0000-00007C2E0000}"/>
    <cellStyle name="Data no deci 3 6 7 10" xfId="10337" xr:uid="{00000000-0005-0000-0000-00007D2E0000}"/>
    <cellStyle name="Data no deci 3 6 7 2" xfId="10338" xr:uid="{00000000-0005-0000-0000-00007E2E0000}"/>
    <cellStyle name="Data no deci 3 6 7 2 2" xfId="10339" xr:uid="{00000000-0005-0000-0000-00007F2E0000}"/>
    <cellStyle name="Data no deci 3 6 7 3" xfId="10340" xr:uid="{00000000-0005-0000-0000-0000802E0000}"/>
    <cellStyle name="Data no deci 3 6 7 3 2" xfId="10341" xr:uid="{00000000-0005-0000-0000-0000812E0000}"/>
    <cellStyle name="Data no deci 3 6 7 4" xfId="10342" xr:uid="{00000000-0005-0000-0000-0000822E0000}"/>
    <cellStyle name="Data no deci 3 6 7 4 2" xfId="10343" xr:uid="{00000000-0005-0000-0000-0000832E0000}"/>
    <cellStyle name="Data no deci 3 6 7 5" xfId="10344" xr:uid="{00000000-0005-0000-0000-0000842E0000}"/>
    <cellStyle name="Data no deci 3 6 7 5 2" xfId="10345" xr:uid="{00000000-0005-0000-0000-0000852E0000}"/>
    <cellStyle name="Data no deci 3 6 7 6" xfId="10346" xr:uid="{00000000-0005-0000-0000-0000862E0000}"/>
    <cellStyle name="Data no deci 3 6 7 6 2" xfId="10347" xr:uid="{00000000-0005-0000-0000-0000872E0000}"/>
    <cellStyle name="Data no deci 3 6 7 7" xfId="10348" xr:uid="{00000000-0005-0000-0000-0000882E0000}"/>
    <cellStyle name="Data no deci 3 6 7 7 2" xfId="10349" xr:uid="{00000000-0005-0000-0000-0000892E0000}"/>
    <cellStyle name="Data no deci 3 6 7 8" xfId="10350" xr:uid="{00000000-0005-0000-0000-00008A2E0000}"/>
    <cellStyle name="Data no deci 3 6 7 8 2" xfId="10351" xr:uid="{00000000-0005-0000-0000-00008B2E0000}"/>
    <cellStyle name="Data no deci 3 6 7 9" xfId="10352" xr:uid="{00000000-0005-0000-0000-00008C2E0000}"/>
    <cellStyle name="Data no deci 3 6 7 9 2" xfId="10353" xr:uid="{00000000-0005-0000-0000-00008D2E0000}"/>
    <cellStyle name="Data no deci 3 6 8" xfId="10354" xr:uid="{00000000-0005-0000-0000-00008E2E0000}"/>
    <cellStyle name="Data no deci 3 6 8 10" xfId="10355" xr:uid="{00000000-0005-0000-0000-00008F2E0000}"/>
    <cellStyle name="Data no deci 3 6 8 2" xfId="10356" xr:uid="{00000000-0005-0000-0000-0000902E0000}"/>
    <cellStyle name="Data no deci 3 6 8 2 2" xfId="10357" xr:uid="{00000000-0005-0000-0000-0000912E0000}"/>
    <cellStyle name="Data no deci 3 6 8 3" xfId="10358" xr:uid="{00000000-0005-0000-0000-0000922E0000}"/>
    <cellStyle name="Data no deci 3 6 8 3 2" xfId="10359" xr:uid="{00000000-0005-0000-0000-0000932E0000}"/>
    <cellStyle name="Data no deci 3 6 8 4" xfId="10360" xr:uid="{00000000-0005-0000-0000-0000942E0000}"/>
    <cellStyle name="Data no deci 3 6 8 4 2" xfId="10361" xr:uid="{00000000-0005-0000-0000-0000952E0000}"/>
    <cellStyle name="Data no deci 3 6 8 5" xfId="10362" xr:uid="{00000000-0005-0000-0000-0000962E0000}"/>
    <cellStyle name="Data no deci 3 6 8 5 2" xfId="10363" xr:uid="{00000000-0005-0000-0000-0000972E0000}"/>
    <cellStyle name="Data no deci 3 6 8 6" xfId="10364" xr:uid="{00000000-0005-0000-0000-0000982E0000}"/>
    <cellStyle name="Data no deci 3 6 8 6 2" xfId="10365" xr:uid="{00000000-0005-0000-0000-0000992E0000}"/>
    <cellStyle name="Data no deci 3 6 8 7" xfId="10366" xr:uid="{00000000-0005-0000-0000-00009A2E0000}"/>
    <cellStyle name="Data no deci 3 6 8 7 2" xfId="10367" xr:uid="{00000000-0005-0000-0000-00009B2E0000}"/>
    <cellStyle name="Data no deci 3 6 8 8" xfId="10368" xr:uid="{00000000-0005-0000-0000-00009C2E0000}"/>
    <cellStyle name="Data no deci 3 6 8 8 2" xfId="10369" xr:uid="{00000000-0005-0000-0000-00009D2E0000}"/>
    <cellStyle name="Data no deci 3 6 8 9" xfId="10370" xr:uid="{00000000-0005-0000-0000-00009E2E0000}"/>
    <cellStyle name="Data no deci 3 6 8 9 2" xfId="10371" xr:uid="{00000000-0005-0000-0000-00009F2E0000}"/>
    <cellStyle name="Data no deci 3 6 9" xfId="10372" xr:uid="{00000000-0005-0000-0000-0000A02E0000}"/>
    <cellStyle name="Data no deci 3 6 9 10" xfId="10373" xr:uid="{00000000-0005-0000-0000-0000A12E0000}"/>
    <cellStyle name="Data no deci 3 6 9 2" xfId="10374" xr:uid="{00000000-0005-0000-0000-0000A22E0000}"/>
    <cellStyle name="Data no deci 3 6 9 2 2" xfId="10375" xr:uid="{00000000-0005-0000-0000-0000A32E0000}"/>
    <cellStyle name="Data no deci 3 6 9 3" xfId="10376" xr:uid="{00000000-0005-0000-0000-0000A42E0000}"/>
    <cellStyle name="Data no deci 3 6 9 3 2" xfId="10377" xr:uid="{00000000-0005-0000-0000-0000A52E0000}"/>
    <cellStyle name="Data no deci 3 6 9 4" xfId="10378" xr:uid="{00000000-0005-0000-0000-0000A62E0000}"/>
    <cellStyle name="Data no deci 3 6 9 4 2" xfId="10379" xr:uid="{00000000-0005-0000-0000-0000A72E0000}"/>
    <cellStyle name="Data no deci 3 6 9 5" xfId="10380" xr:uid="{00000000-0005-0000-0000-0000A82E0000}"/>
    <cellStyle name="Data no deci 3 6 9 5 2" xfId="10381" xr:uid="{00000000-0005-0000-0000-0000A92E0000}"/>
    <cellStyle name="Data no deci 3 6 9 6" xfId="10382" xr:uid="{00000000-0005-0000-0000-0000AA2E0000}"/>
    <cellStyle name="Data no deci 3 6 9 6 2" xfId="10383" xr:uid="{00000000-0005-0000-0000-0000AB2E0000}"/>
    <cellStyle name="Data no deci 3 6 9 7" xfId="10384" xr:uid="{00000000-0005-0000-0000-0000AC2E0000}"/>
    <cellStyle name="Data no deci 3 6 9 7 2" xfId="10385" xr:uid="{00000000-0005-0000-0000-0000AD2E0000}"/>
    <cellStyle name="Data no deci 3 6 9 8" xfId="10386" xr:uid="{00000000-0005-0000-0000-0000AE2E0000}"/>
    <cellStyle name="Data no deci 3 6 9 8 2" xfId="10387" xr:uid="{00000000-0005-0000-0000-0000AF2E0000}"/>
    <cellStyle name="Data no deci 3 6 9 9" xfId="10388" xr:uid="{00000000-0005-0000-0000-0000B02E0000}"/>
    <cellStyle name="Data no deci 3 6 9 9 2" xfId="10389" xr:uid="{00000000-0005-0000-0000-0000B12E0000}"/>
    <cellStyle name="Data no deci 3 7" xfId="10390" xr:uid="{00000000-0005-0000-0000-0000B22E0000}"/>
    <cellStyle name="Data no deci 3 7 10" xfId="10391" xr:uid="{00000000-0005-0000-0000-0000B32E0000}"/>
    <cellStyle name="Data no deci 3 7 10 2" xfId="10392" xr:uid="{00000000-0005-0000-0000-0000B42E0000}"/>
    <cellStyle name="Data no deci 3 7 10 2 2" xfId="10393" xr:uid="{00000000-0005-0000-0000-0000B52E0000}"/>
    <cellStyle name="Data no deci 3 7 10 3" xfId="10394" xr:uid="{00000000-0005-0000-0000-0000B62E0000}"/>
    <cellStyle name="Data no deci 3 7 10 3 2" xfId="10395" xr:uid="{00000000-0005-0000-0000-0000B72E0000}"/>
    <cellStyle name="Data no deci 3 7 10 4" xfId="10396" xr:uid="{00000000-0005-0000-0000-0000B82E0000}"/>
    <cellStyle name="Data no deci 3 7 10 4 2" xfId="10397" xr:uid="{00000000-0005-0000-0000-0000B92E0000}"/>
    <cellStyle name="Data no deci 3 7 10 5" xfId="10398" xr:uid="{00000000-0005-0000-0000-0000BA2E0000}"/>
    <cellStyle name="Data no deci 3 7 10 5 2" xfId="10399" xr:uid="{00000000-0005-0000-0000-0000BB2E0000}"/>
    <cellStyle name="Data no deci 3 7 10 6" xfId="10400" xr:uid="{00000000-0005-0000-0000-0000BC2E0000}"/>
    <cellStyle name="Data no deci 3 7 10 6 2" xfId="10401" xr:uid="{00000000-0005-0000-0000-0000BD2E0000}"/>
    <cellStyle name="Data no deci 3 7 10 7" xfId="10402" xr:uid="{00000000-0005-0000-0000-0000BE2E0000}"/>
    <cellStyle name="Data no deci 3 7 10 7 2" xfId="10403" xr:uid="{00000000-0005-0000-0000-0000BF2E0000}"/>
    <cellStyle name="Data no deci 3 7 10 8" xfId="10404" xr:uid="{00000000-0005-0000-0000-0000C02E0000}"/>
    <cellStyle name="Data no deci 3 7 10 8 2" xfId="10405" xr:uid="{00000000-0005-0000-0000-0000C12E0000}"/>
    <cellStyle name="Data no deci 3 7 10 9" xfId="10406" xr:uid="{00000000-0005-0000-0000-0000C22E0000}"/>
    <cellStyle name="Data no deci 3 7 11" xfId="10407" xr:uid="{00000000-0005-0000-0000-0000C32E0000}"/>
    <cellStyle name="Data no deci 3 7 11 2" xfId="10408" xr:uid="{00000000-0005-0000-0000-0000C42E0000}"/>
    <cellStyle name="Data no deci 3 7 12" xfId="10409" xr:uid="{00000000-0005-0000-0000-0000C52E0000}"/>
    <cellStyle name="Data no deci 3 7 12 2" xfId="10410" xr:uid="{00000000-0005-0000-0000-0000C62E0000}"/>
    <cellStyle name="Data no deci 3 7 13" xfId="10411" xr:uid="{00000000-0005-0000-0000-0000C72E0000}"/>
    <cellStyle name="Data no deci 3 7 13 2" xfId="10412" xr:uid="{00000000-0005-0000-0000-0000C82E0000}"/>
    <cellStyle name="Data no deci 3 7 14" xfId="10413" xr:uid="{00000000-0005-0000-0000-0000C92E0000}"/>
    <cellStyle name="Data no deci 3 7 14 2" xfId="10414" xr:uid="{00000000-0005-0000-0000-0000CA2E0000}"/>
    <cellStyle name="Data no deci 3 7 15" xfId="10415" xr:uid="{00000000-0005-0000-0000-0000CB2E0000}"/>
    <cellStyle name="Data no deci 3 7 15 2" xfId="10416" xr:uid="{00000000-0005-0000-0000-0000CC2E0000}"/>
    <cellStyle name="Data no deci 3 7 16" xfId="10417" xr:uid="{00000000-0005-0000-0000-0000CD2E0000}"/>
    <cellStyle name="Data no deci 3 7 16 2" xfId="10418" xr:uid="{00000000-0005-0000-0000-0000CE2E0000}"/>
    <cellStyle name="Data no deci 3 7 17" xfId="10419" xr:uid="{00000000-0005-0000-0000-0000CF2E0000}"/>
    <cellStyle name="Data no deci 3 7 17 2" xfId="10420" xr:uid="{00000000-0005-0000-0000-0000D02E0000}"/>
    <cellStyle name="Data no deci 3 7 18" xfId="10421" xr:uid="{00000000-0005-0000-0000-0000D12E0000}"/>
    <cellStyle name="Data no deci 3 7 2" xfId="10422" xr:uid="{00000000-0005-0000-0000-0000D22E0000}"/>
    <cellStyle name="Data no deci 3 7 2 10" xfId="10423" xr:uid="{00000000-0005-0000-0000-0000D32E0000}"/>
    <cellStyle name="Data no deci 3 7 2 2" xfId="10424" xr:uid="{00000000-0005-0000-0000-0000D42E0000}"/>
    <cellStyle name="Data no deci 3 7 2 2 2" xfId="10425" xr:uid="{00000000-0005-0000-0000-0000D52E0000}"/>
    <cellStyle name="Data no deci 3 7 2 3" xfId="10426" xr:uid="{00000000-0005-0000-0000-0000D62E0000}"/>
    <cellStyle name="Data no deci 3 7 2 3 2" xfId="10427" xr:uid="{00000000-0005-0000-0000-0000D72E0000}"/>
    <cellStyle name="Data no deci 3 7 2 4" xfId="10428" xr:uid="{00000000-0005-0000-0000-0000D82E0000}"/>
    <cellStyle name="Data no deci 3 7 2 4 2" xfId="10429" xr:uid="{00000000-0005-0000-0000-0000D92E0000}"/>
    <cellStyle name="Data no deci 3 7 2 5" xfId="10430" xr:uid="{00000000-0005-0000-0000-0000DA2E0000}"/>
    <cellStyle name="Data no deci 3 7 2 5 2" xfId="10431" xr:uid="{00000000-0005-0000-0000-0000DB2E0000}"/>
    <cellStyle name="Data no deci 3 7 2 6" xfId="10432" xr:uid="{00000000-0005-0000-0000-0000DC2E0000}"/>
    <cellStyle name="Data no deci 3 7 2 6 2" xfId="10433" xr:uid="{00000000-0005-0000-0000-0000DD2E0000}"/>
    <cellStyle name="Data no deci 3 7 2 7" xfId="10434" xr:uid="{00000000-0005-0000-0000-0000DE2E0000}"/>
    <cellStyle name="Data no deci 3 7 2 7 2" xfId="10435" xr:uid="{00000000-0005-0000-0000-0000DF2E0000}"/>
    <cellStyle name="Data no deci 3 7 2 8" xfId="10436" xr:uid="{00000000-0005-0000-0000-0000E02E0000}"/>
    <cellStyle name="Data no deci 3 7 2 8 2" xfId="10437" xr:uid="{00000000-0005-0000-0000-0000E12E0000}"/>
    <cellStyle name="Data no deci 3 7 2 9" xfId="10438" xr:uid="{00000000-0005-0000-0000-0000E22E0000}"/>
    <cellStyle name="Data no deci 3 7 2 9 2" xfId="10439" xr:uid="{00000000-0005-0000-0000-0000E32E0000}"/>
    <cellStyle name="Data no deci 3 7 3" xfId="10440" xr:uid="{00000000-0005-0000-0000-0000E42E0000}"/>
    <cellStyle name="Data no deci 3 7 3 10" xfId="10441" xr:uid="{00000000-0005-0000-0000-0000E52E0000}"/>
    <cellStyle name="Data no deci 3 7 3 2" xfId="10442" xr:uid="{00000000-0005-0000-0000-0000E62E0000}"/>
    <cellStyle name="Data no deci 3 7 3 2 2" xfId="10443" xr:uid="{00000000-0005-0000-0000-0000E72E0000}"/>
    <cellStyle name="Data no deci 3 7 3 3" xfId="10444" xr:uid="{00000000-0005-0000-0000-0000E82E0000}"/>
    <cellStyle name="Data no deci 3 7 3 3 2" xfId="10445" xr:uid="{00000000-0005-0000-0000-0000E92E0000}"/>
    <cellStyle name="Data no deci 3 7 3 4" xfId="10446" xr:uid="{00000000-0005-0000-0000-0000EA2E0000}"/>
    <cellStyle name="Data no deci 3 7 3 4 2" xfId="10447" xr:uid="{00000000-0005-0000-0000-0000EB2E0000}"/>
    <cellStyle name="Data no deci 3 7 3 5" xfId="10448" xr:uid="{00000000-0005-0000-0000-0000EC2E0000}"/>
    <cellStyle name="Data no deci 3 7 3 5 2" xfId="10449" xr:uid="{00000000-0005-0000-0000-0000ED2E0000}"/>
    <cellStyle name="Data no deci 3 7 3 6" xfId="10450" xr:uid="{00000000-0005-0000-0000-0000EE2E0000}"/>
    <cellStyle name="Data no deci 3 7 3 6 2" xfId="10451" xr:uid="{00000000-0005-0000-0000-0000EF2E0000}"/>
    <cellStyle name="Data no deci 3 7 3 7" xfId="10452" xr:uid="{00000000-0005-0000-0000-0000F02E0000}"/>
    <cellStyle name="Data no deci 3 7 3 7 2" xfId="10453" xr:uid="{00000000-0005-0000-0000-0000F12E0000}"/>
    <cellStyle name="Data no deci 3 7 3 8" xfId="10454" xr:uid="{00000000-0005-0000-0000-0000F22E0000}"/>
    <cellStyle name="Data no deci 3 7 3 8 2" xfId="10455" xr:uid="{00000000-0005-0000-0000-0000F32E0000}"/>
    <cellStyle name="Data no deci 3 7 3 9" xfId="10456" xr:uid="{00000000-0005-0000-0000-0000F42E0000}"/>
    <cellStyle name="Data no deci 3 7 3 9 2" xfId="10457" xr:uid="{00000000-0005-0000-0000-0000F52E0000}"/>
    <cellStyle name="Data no deci 3 7 4" xfId="10458" xr:uid="{00000000-0005-0000-0000-0000F62E0000}"/>
    <cellStyle name="Data no deci 3 7 4 10" xfId="10459" xr:uid="{00000000-0005-0000-0000-0000F72E0000}"/>
    <cellStyle name="Data no deci 3 7 4 2" xfId="10460" xr:uid="{00000000-0005-0000-0000-0000F82E0000}"/>
    <cellStyle name="Data no deci 3 7 4 2 2" xfId="10461" xr:uid="{00000000-0005-0000-0000-0000F92E0000}"/>
    <cellStyle name="Data no deci 3 7 4 3" xfId="10462" xr:uid="{00000000-0005-0000-0000-0000FA2E0000}"/>
    <cellStyle name="Data no deci 3 7 4 3 2" xfId="10463" xr:uid="{00000000-0005-0000-0000-0000FB2E0000}"/>
    <cellStyle name="Data no deci 3 7 4 4" xfId="10464" xr:uid="{00000000-0005-0000-0000-0000FC2E0000}"/>
    <cellStyle name="Data no deci 3 7 4 4 2" xfId="10465" xr:uid="{00000000-0005-0000-0000-0000FD2E0000}"/>
    <cellStyle name="Data no deci 3 7 4 5" xfId="10466" xr:uid="{00000000-0005-0000-0000-0000FE2E0000}"/>
    <cellStyle name="Data no deci 3 7 4 5 2" xfId="10467" xr:uid="{00000000-0005-0000-0000-0000FF2E0000}"/>
    <cellStyle name="Data no deci 3 7 4 6" xfId="10468" xr:uid="{00000000-0005-0000-0000-0000002F0000}"/>
    <cellStyle name="Data no deci 3 7 4 6 2" xfId="10469" xr:uid="{00000000-0005-0000-0000-0000012F0000}"/>
    <cellStyle name="Data no deci 3 7 4 7" xfId="10470" xr:uid="{00000000-0005-0000-0000-0000022F0000}"/>
    <cellStyle name="Data no deci 3 7 4 7 2" xfId="10471" xr:uid="{00000000-0005-0000-0000-0000032F0000}"/>
    <cellStyle name="Data no deci 3 7 4 8" xfId="10472" xr:uid="{00000000-0005-0000-0000-0000042F0000}"/>
    <cellStyle name="Data no deci 3 7 4 8 2" xfId="10473" xr:uid="{00000000-0005-0000-0000-0000052F0000}"/>
    <cellStyle name="Data no deci 3 7 4 9" xfId="10474" xr:uid="{00000000-0005-0000-0000-0000062F0000}"/>
    <cellStyle name="Data no deci 3 7 4 9 2" xfId="10475" xr:uid="{00000000-0005-0000-0000-0000072F0000}"/>
    <cellStyle name="Data no deci 3 7 5" xfId="10476" xr:uid="{00000000-0005-0000-0000-0000082F0000}"/>
    <cellStyle name="Data no deci 3 7 5 10" xfId="10477" xr:uid="{00000000-0005-0000-0000-0000092F0000}"/>
    <cellStyle name="Data no deci 3 7 5 2" xfId="10478" xr:uid="{00000000-0005-0000-0000-00000A2F0000}"/>
    <cellStyle name="Data no deci 3 7 5 2 2" xfId="10479" xr:uid="{00000000-0005-0000-0000-00000B2F0000}"/>
    <cellStyle name="Data no deci 3 7 5 3" xfId="10480" xr:uid="{00000000-0005-0000-0000-00000C2F0000}"/>
    <cellStyle name="Data no deci 3 7 5 3 2" xfId="10481" xr:uid="{00000000-0005-0000-0000-00000D2F0000}"/>
    <cellStyle name="Data no deci 3 7 5 4" xfId="10482" xr:uid="{00000000-0005-0000-0000-00000E2F0000}"/>
    <cellStyle name="Data no deci 3 7 5 4 2" xfId="10483" xr:uid="{00000000-0005-0000-0000-00000F2F0000}"/>
    <cellStyle name="Data no deci 3 7 5 5" xfId="10484" xr:uid="{00000000-0005-0000-0000-0000102F0000}"/>
    <cellStyle name="Data no deci 3 7 5 5 2" xfId="10485" xr:uid="{00000000-0005-0000-0000-0000112F0000}"/>
    <cellStyle name="Data no deci 3 7 5 6" xfId="10486" xr:uid="{00000000-0005-0000-0000-0000122F0000}"/>
    <cellStyle name="Data no deci 3 7 5 6 2" xfId="10487" xr:uid="{00000000-0005-0000-0000-0000132F0000}"/>
    <cellStyle name="Data no deci 3 7 5 7" xfId="10488" xr:uid="{00000000-0005-0000-0000-0000142F0000}"/>
    <cellStyle name="Data no deci 3 7 5 7 2" xfId="10489" xr:uid="{00000000-0005-0000-0000-0000152F0000}"/>
    <cellStyle name="Data no deci 3 7 5 8" xfId="10490" xr:uid="{00000000-0005-0000-0000-0000162F0000}"/>
    <cellStyle name="Data no deci 3 7 5 8 2" xfId="10491" xr:uid="{00000000-0005-0000-0000-0000172F0000}"/>
    <cellStyle name="Data no deci 3 7 5 9" xfId="10492" xr:uid="{00000000-0005-0000-0000-0000182F0000}"/>
    <cellStyle name="Data no deci 3 7 5 9 2" xfId="10493" xr:uid="{00000000-0005-0000-0000-0000192F0000}"/>
    <cellStyle name="Data no deci 3 7 6" xfId="10494" xr:uid="{00000000-0005-0000-0000-00001A2F0000}"/>
    <cellStyle name="Data no deci 3 7 6 10" xfId="10495" xr:uid="{00000000-0005-0000-0000-00001B2F0000}"/>
    <cellStyle name="Data no deci 3 7 6 2" xfId="10496" xr:uid="{00000000-0005-0000-0000-00001C2F0000}"/>
    <cellStyle name="Data no deci 3 7 6 2 2" xfId="10497" xr:uid="{00000000-0005-0000-0000-00001D2F0000}"/>
    <cellStyle name="Data no deci 3 7 6 3" xfId="10498" xr:uid="{00000000-0005-0000-0000-00001E2F0000}"/>
    <cellStyle name="Data no deci 3 7 6 3 2" xfId="10499" xr:uid="{00000000-0005-0000-0000-00001F2F0000}"/>
    <cellStyle name="Data no deci 3 7 6 4" xfId="10500" xr:uid="{00000000-0005-0000-0000-0000202F0000}"/>
    <cellStyle name="Data no deci 3 7 6 4 2" xfId="10501" xr:uid="{00000000-0005-0000-0000-0000212F0000}"/>
    <cellStyle name="Data no deci 3 7 6 5" xfId="10502" xr:uid="{00000000-0005-0000-0000-0000222F0000}"/>
    <cellStyle name="Data no deci 3 7 6 5 2" xfId="10503" xr:uid="{00000000-0005-0000-0000-0000232F0000}"/>
    <cellStyle name="Data no deci 3 7 6 6" xfId="10504" xr:uid="{00000000-0005-0000-0000-0000242F0000}"/>
    <cellStyle name="Data no deci 3 7 6 6 2" xfId="10505" xr:uid="{00000000-0005-0000-0000-0000252F0000}"/>
    <cellStyle name="Data no deci 3 7 6 7" xfId="10506" xr:uid="{00000000-0005-0000-0000-0000262F0000}"/>
    <cellStyle name="Data no deci 3 7 6 7 2" xfId="10507" xr:uid="{00000000-0005-0000-0000-0000272F0000}"/>
    <cellStyle name="Data no deci 3 7 6 8" xfId="10508" xr:uid="{00000000-0005-0000-0000-0000282F0000}"/>
    <cellStyle name="Data no deci 3 7 6 8 2" xfId="10509" xr:uid="{00000000-0005-0000-0000-0000292F0000}"/>
    <cellStyle name="Data no deci 3 7 6 9" xfId="10510" xr:uid="{00000000-0005-0000-0000-00002A2F0000}"/>
    <cellStyle name="Data no deci 3 7 6 9 2" xfId="10511" xr:uid="{00000000-0005-0000-0000-00002B2F0000}"/>
    <cellStyle name="Data no deci 3 7 7" xfId="10512" xr:uid="{00000000-0005-0000-0000-00002C2F0000}"/>
    <cellStyle name="Data no deci 3 7 7 10" xfId="10513" xr:uid="{00000000-0005-0000-0000-00002D2F0000}"/>
    <cellStyle name="Data no deci 3 7 7 2" xfId="10514" xr:uid="{00000000-0005-0000-0000-00002E2F0000}"/>
    <cellStyle name="Data no deci 3 7 7 2 2" xfId="10515" xr:uid="{00000000-0005-0000-0000-00002F2F0000}"/>
    <cellStyle name="Data no deci 3 7 7 3" xfId="10516" xr:uid="{00000000-0005-0000-0000-0000302F0000}"/>
    <cellStyle name="Data no deci 3 7 7 3 2" xfId="10517" xr:uid="{00000000-0005-0000-0000-0000312F0000}"/>
    <cellStyle name="Data no deci 3 7 7 4" xfId="10518" xr:uid="{00000000-0005-0000-0000-0000322F0000}"/>
    <cellStyle name="Data no deci 3 7 7 4 2" xfId="10519" xr:uid="{00000000-0005-0000-0000-0000332F0000}"/>
    <cellStyle name="Data no deci 3 7 7 5" xfId="10520" xr:uid="{00000000-0005-0000-0000-0000342F0000}"/>
    <cellStyle name="Data no deci 3 7 7 5 2" xfId="10521" xr:uid="{00000000-0005-0000-0000-0000352F0000}"/>
    <cellStyle name="Data no deci 3 7 7 6" xfId="10522" xr:uid="{00000000-0005-0000-0000-0000362F0000}"/>
    <cellStyle name="Data no deci 3 7 7 6 2" xfId="10523" xr:uid="{00000000-0005-0000-0000-0000372F0000}"/>
    <cellStyle name="Data no deci 3 7 7 7" xfId="10524" xr:uid="{00000000-0005-0000-0000-0000382F0000}"/>
    <cellStyle name="Data no deci 3 7 7 7 2" xfId="10525" xr:uid="{00000000-0005-0000-0000-0000392F0000}"/>
    <cellStyle name="Data no deci 3 7 7 8" xfId="10526" xr:uid="{00000000-0005-0000-0000-00003A2F0000}"/>
    <cellStyle name="Data no deci 3 7 7 8 2" xfId="10527" xr:uid="{00000000-0005-0000-0000-00003B2F0000}"/>
    <cellStyle name="Data no deci 3 7 7 9" xfId="10528" xr:uid="{00000000-0005-0000-0000-00003C2F0000}"/>
    <cellStyle name="Data no deci 3 7 7 9 2" xfId="10529" xr:uid="{00000000-0005-0000-0000-00003D2F0000}"/>
    <cellStyle name="Data no deci 3 7 8" xfId="10530" xr:uid="{00000000-0005-0000-0000-00003E2F0000}"/>
    <cellStyle name="Data no deci 3 7 8 10" xfId="10531" xr:uid="{00000000-0005-0000-0000-00003F2F0000}"/>
    <cellStyle name="Data no deci 3 7 8 2" xfId="10532" xr:uid="{00000000-0005-0000-0000-0000402F0000}"/>
    <cellStyle name="Data no deci 3 7 8 2 2" xfId="10533" xr:uid="{00000000-0005-0000-0000-0000412F0000}"/>
    <cellStyle name="Data no deci 3 7 8 3" xfId="10534" xr:uid="{00000000-0005-0000-0000-0000422F0000}"/>
    <cellStyle name="Data no deci 3 7 8 3 2" xfId="10535" xr:uid="{00000000-0005-0000-0000-0000432F0000}"/>
    <cellStyle name="Data no deci 3 7 8 4" xfId="10536" xr:uid="{00000000-0005-0000-0000-0000442F0000}"/>
    <cellStyle name="Data no deci 3 7 8 4 2" xfId="10537" xr:uid="{00000000-0005-0000-0000-0000452F0000}"/>
    <cellStyle name="Data no deci 3 7 8 5" xfId="10538" xr:uid="{00000000-0005-0000-0000-0000462F0000}"/>
    <cellStyle name="Data no deci 3 7 8 5 2" xfId="10539" xr:uid="{00000000-0005-0000-0000-0000472F0000}"/>
    <cellStyle name="Data no deci 3 7 8 6" xfId="10540" xr:uid="{00000000-0005-0000-0000-0000482F0000}"/>
    <cellStyle name="Data no deci 3 7 8 6 2" xfId="10541" xr:uid="{00000000-0005-0000-0000-0000492F0000}"/>
    <cellStyle name="Data no deci 3 7 8 7" xfId="10542" xr:uid="{00000000-0005-0000-0000-00004A2F0000}"/>
    <cellStyle name="Data no deci 3 7 8 7 2" xfId="10543" xr:uid="{00000000-0005-0000-0000-00004B2F0000}"/>
    <cellStyle name="Data no deci 3 7 8 8" xfId="10544" xr:uid="{00000000-0005-0000-0000-00004C2F0000}"/>
    <cellStyle name="Data no deci 3 7 8 8 2" xfId="10545" xr:uid="{00000000-0005-0000-0000-00004D2F0000}"/>
    <cellStyle name="Data no deci 3 7 8 9" xfId="10546" xr:uid="{00000000-0005-0000-0000-00004E2F0000}"/>
    <cellStyle name="Data no deci 3 7 8 9 2" xfId="10547" xr:uid="{00000000-0005-0000-0000-00004F2F0000}"/>
    <cellStyle name="Data no deci 3 7 9" xfId="10548" xr:uid="{00000000-0005-0000-0000-0000502F0000}"/>
    <cellStyle name="Data no deci 3 7 9 10" xfId="10549" xr:uid="{00000000-0005-0000-0000-0000512F0000}"/>
    <cellStyle name="Data no deci 3 7 9 2" xfId="10550" xr:uid="{00000000-0005-0000-0000-0000522F0000}"/>
    <cellStyle name="Data no deci 3 7 9 2 2" xfId="10551" xr:uid="{00000000-0005-0000-0000-0000532F0000}"/>
    <cellStyle name="Data no deci 3 7 9 3" xfId="10552" xr:uid="{00000000-0005-0000-0000-0000542F0000}"/>
    <cellStyle name="Data no deci 3 7 9 3 2" xfId="10553" xr:uid="{00000000-0005-0000-0000-0000552F0000}"/>
    <cellStyle name="Data no deci 3 7 9 4" xfId="10554" xr:uid="{00000000-0005-0000-0000-0000562F0000}"/>
    <cellStyle name="Data no deci 3 7 9 4 2" xfId="10555" xr:uid="{00000000-0005-0000-0000-0000572F0000}"/>
    <cellStyle name="Data no deci 3 7 9 5" xfId="10556" xr:uid="{00000000-0005-0000-0000-0000582F0000}"/>
    <cellStyle name="Data no deci 3 7 9 5 2" xfId="10557" xr:uid="{00000000-0005-0000-0000-0000592F0000}"/>
    <cellStyle name="Data no deci 3 7 9 6" xfId="10558" xr:uid="{00000000-0005-0000-0000-00005A2F0000}"/>
    <cellStyle name="Data no deci 3 7 9 6 2" xfId="10559" xr:uid="{00000000-0005-0000-0000-00005B2F0000}"/>
    <cellStyle name="Data no deci 3 7 9 7" xfId="10560" xr:uid="{00000000-0005-0000-0000-00005C2F0000}"/>
    <cellStyle name="Data no deci 3 7 9 7 2" xfId="10561" xr:uid="{00000000-0005-0000-0000-00005D2F0000}"/>
    <cellStyle name="Data no deci 3 7 9 8" xfId="10562" xr:uid="{00000000-0005-0000-0000-00005E2F0000}"/>
    <cellStyle name="Data no deci 3 7 9 8 2" xfId="10563" xr:uid="{00000000-0005-0000-0000-00005F2F0000}"/>
    <cellStyle name="Data no deci 3 7 9 9" xfId="10564" xr:uid="{00000000-0005-0000-0000-0000602F0000}"/>
    <cellStyle name="Data no deci 3 7 9 9 2" xfId="10565" xr:uid="{00000000-0005-0000-0000-0000612F0000}"/>
    <cellStyle name="Data no deci 3 8" xfId="10566" xr:uid="{00000000-0005-0000-0000-0000622F0000}"/>
    <cellStyle name="Data no deci 3 8 10" xfId="10567" xr:uid="{00000000-0005-0000-0000-0000632F0000}"/>
    <cellStyle name="Data no deci 3 8 10 2" xfId="10568" xr:uid="{00000000-0005-0000-0000-0000642F0000}"/>
    <cellStyle name="Data no deci 3 8 10 2 2" xfId="10569" xr:uid="{00000000-0005-0000-0000-0000652F0000}"/>
    <cellStyle name="Data no deci 3 8 10 3" xfId="10570" xr:uid="{00000000-0005-0000-0000-0000662F0000}"/>
    <cellStyle name="Data no deci 3 8 10 3 2" xfId="10571" xr:uid="{00000000-0005-0000-0000-0000672F0000}"/>
    <cellStyle name="Data no deci 3 8 10 4" xfId="10572" xr:uid="{00000000-0005-0000-0000-0000682F0000}"/>
    <cellStyle name="Data no deci 3 8 10 4 2" xfId="10573" xr:uid="{00000000-0005-0000-0000-0000692F0000}"/>
    <cellStyle name="Data no deci 3 8 10 5" xfId="10574" xr:uid="{00000000-0005-0000-0000-00006A2F0000}"/>
    <cellStyle name="Data no deci 3 8 10 5 2" xfId="10575" xr:uid="{00000000-0005-0000-0000-00006B2F0000}"/>
    <cellStyle name="Data no deci 3 8 10 6" xfId="10576" xr:uid="{00000000-0005-0000-0000-00006C2F0000}"/>
    <cellStyle name="Data no deci 3 8 10 6 2" xfId="10577" xr:uid="{00000000-0005-0000-0000-00006D2F0000}"/>
    <cellStyle name="Data no deci 3 8 10 7" xfId="10578" xr:uid="{00000000-0005-0000-0000-00006E2F0000}"/>
    <cellStyle name="Data no deci 3 8 10 7 2" xfId="10579" xr:uid="{00000000-0005-0000-0000-00006F2F0000}"/>
    <cellStyle name="Data no deci 3 8 10 8" xfId="10580" xr:uid="{00000000-0005-0000-0000-0000702F0000}"/>
    <cellStyle name="Data no deci 3 8 10 8 2" xfId="10581" xr:uid="{00000000-0005-0000-0000-0000712F0000}"/>
    <cellStyle name="Data no deci 3 8 10 9" xfId="10582" xr:uid="{00000000-0005-0000-0000-0000722F0000}"/>
    <cellStyle name="Data no deci 3 8 11" xfId="10583" xr:uid="{00000000-0005-0000-0000-0000732F0000}"/>
    <cellStyle name="Data no deci 3 8 11 2" xfId="10584" xr:uid="{00000000-0005-0000-0000-0000742F0000}"/>
    <cellStyle name="Data no deci 3 8 12" xfId="10585" xr:uid="{00000000-0005-0000-0000-0000752F0000}"/>
    <cellStyle name="Data no deci 3 8 12 2" xfId="10586" xr:uid="{00000000-0005-0000-0000-0000762F0000}"/>
    <cellStyle name="Data no deci 3 8 13" xfId="10587" xr:uid="{00000000-0005-0000-0000-0000772F0000}"/>
    <cellStyle name="Data no deci 3 8 13 2" xfId="10588" xr:uid="{00000000-0005-0000-0000-0000782F0000}"/>
    <cellStyle name="Data no deci 3 8 14" xfId="10589" xr:uid="{00000000-0005-0000-0000-0000792F0000}"/>
    <cellStyle name="Data no deci 3 8 14 2" xfId="10590" xr:uid="{00000000-0005-0000-0000-00007A2F0000}"/>
    <cellStyle name="Data no deci 3 8 15" xfId="10591" xr:uid="{00000000-0005-0000-0000-00007B2F0000}"/>
    <cellStyle name="Data no deci 3 8 15 2" xfId="10592" xr:uid="{00000000-0005-0000-0000-00007C2F0000}"/>
    <cellStyle name="Data no deci 3 8 16" xfId="10593" xr:uid="{00000000-0005-0000-0000-00007D2F0000}"/>
    <cellStyle name="Data no deci 3 8 16 2" xfId="10594" xr:uid="{00000000-0005-0000-0000-00007E2F0000}"/>
    <cellStyle name="Data no deci 3 8 17" xfId="10595" xr:uid="{00000000-0005-0000-0000-00007F2F0000}"/>
    <cellStyle name="Data no deci 3 8 17 2" xfId="10596" xr:uid="{00000000-0005-0000-0000-0000802F0000}"/>
    <cellStyle name="Data no deci 3 8 18" xfId="10597" xr:uid="{00000000-0005-0000-0000-0000812F0000}"/>
    <cellStyle name="Data no deci 3 8 2" xfId="10598" xr:uid="{00000000-0005-0000-0000-0000822F0000}"/>
    <cellStyle name="Data no deci 3 8 2 10" xfId="10599" xr:uid="{00000000-0005-0000-0000-0000832F0000}"/>
    <cellStyle name="Data no deci 3 8 2 2" xfId="10600" xr:uid="{00000000-0005-0000-0000-0000842F0000}"/>
    <cellStyle name="Data no deci 3 8 2 2 2" xfId="10601" xr:uid="{00000000-0005-0000-0000-0000852F0000}"/>
    <cellStyle name="Data no deci 3 8 2 3" xfId="10602" xr:uid="{00000000-0005-0000-0000-0000862F0000}"/>
    <cellStyle name="Data no deci 3 8 2 3 2" xfId="10603" xr:uid="{00000000-0005-0000-0000-0000872F0000}"/>
    <cellStyle name="Data no deci 3 8 2 4" xfId="10604" xr:uid="{00000000-0005-0000-0000-0000882F0000}"/>
    <cellStyle name="Data no deci 3 8 2 4 2" xfId="10605" xr:uid="{00000000-0005-0000-0000-0000892F0000}"/>
    <cellStyle name="Data no deci 3 8 2 5" xfId="10606" xr:uid="{00000000-0005-0000-0000-00008A2F0000}"/>
    <cellStyle name="Data no deci 3 8 2 5 2" xfId="10607" xr:uid="{00000000-0005-0000-0000-00008B2F0000}"/>
    <cellStyle name="Data no deci 3 8 2 6" xfId="10608" xr:uid="{00000000-0005-0000-0000-00008C2F0000}"/>
    <cellStyle name="Data no deci 3 8 2 6 2" xfId="10609" xr:uid="{00000000-0005-0000-0000-00008D2F0000}"/>
    <cellStyle name="Data no deci 3 8 2 7" xfId="10610" xr:uid="{00000000-0005-0000-0000-00008E2F0000}"/>
    <cellStyle name="Data no deci 3 8 2 7 2" xfId="10611" xr:uid="{00000000-0005-0000-0000-00008F2F0000}"/>
    <cellStyle name="Data no deci 3 8 2 8" xfId="10612" xr:uid="{00000000-0005-0000-0000-0000902F0000}"/>
    <cellStyle name="Data no deci 3 8 2 8 2" xfId="10613" xr:uid="{00000000-0005-0000-0000-0000912F0000}"/>
    <cellStyle name="Data no deci 3 8 2 9" xfId="10614" xr:uid="{00000000-0005-0000-0000-0000922F0000}"/>
    <cellStyle name="Data no deci 3 8 2 9 2" xfId="10615" xr:uid="{00000000-0005-0000-0000-0000932F0000}"/>
    <cellStyle name="Data no deci 3 8 3" xfId="10616" xr:uid="{00000000-0005-0000-0000-0000942F0000}"/>
    <cellStyle name="Data no deci 3 8 3 10" xfId="10617" xr:uid="{00000000-0005-0000-0000-0000952F0000}"/>
    <cellStyle name="Data no deci 3 8 3 2" xfId="10618" xr:uid="{00000000-0005-0000-0000-0000962F0000}"/>
    <cellStyle name="Data no deci 3 8 3 2 2" xfId="10619" xr:uid="{00000000-0005-0000-0000-0000972F0000}"/>
    <cellStyle name="Data no deci 3 8 3 3" xfId="10620" xr:uid="{00000000-0005-0000-0000-0000982F0000}"/>
    <cellStyle name="Data no deci 3 8 3 3 2" xfId="10621" xr:uid="{00000000-0005-0000-0000-0000992F0000}"/>
    <cellStyle name="Data no deci 3 8 3 4" xfId="10622" xr:uid="{00000000-0005-0000-0000-00009A2F0000}"/>
    <cellStyle name="Data no deci 3 8 3 4 2" xfId="10623" xr:uid="{00000000-0005-0000-0000-00009B2F0000}"/>
    <cellStyle name="Data no deci 3 8 3 5" xfId="10624" xr:uid="{00000000-0005-0000-0000-00009C2F0000}"/>
    <cellStyle name="Data no deci 3 8 3 5 2" xfId="10625" xr:uid="{00000000-0005-0000-0000-00009D2F0000}"/>
    <cellStyle name="Data no deci 3 8 3 6" xfId="10626" xr:uid="{00000000-0005-0000-0000-00009E2F0000}"/>
    <cellStyle name="Data no deci 3 8 3 6 2" xfId="10627" xr:uid="{00000000-0005-0000-0000-00009F2F0000}"/>
    <cellStyle name="Data no deci 3 8 3 7" xfId="10628" xr:uid="{00000000-0005-0000-0000-0000A02F0000}"/>
    <cellStyle name="Data no deci 3 8 3 7 2" xfId="10629" xr:uid="{00000000-0005-0000-0000-0000A12F0000}"/>
    <cellStyle name="Data no deci 3 8 3 8" xfId="10630" xr:uid="{00000000-0005-0000-0000-0000A22F0000}"/>
    <cellStyle name="Data no deci 3 8 3 8 2" xfId="10631" xr:uid="{00000000-0005-0000-0000-0000A32F0000}"/>
    <cellStyle name="Data no deci 3 8 3 9" xfId="10632" xr:uid="{00000000-0005-0000-0000-0000A42F0000}"/>
    <cellStyle name="Data no deci 3 8 3 9 2" xfId="10633" xr:uid="{00000000-0005-0000-0000-0000A52F0000}"/>
    <cellStyle name="Data no deci 3 8 4" xfId="10634" xr:uid="{00000000-0005-0000-0000-0000A62F0000}"/>
    <cellStyle name="Data no deci 3 8 4 10" xfId="10635" xr:uid="{00000000-0005-0000-0000-0000A72F0000}"/>
    <cellStyle name="Data no deci 3 8 4 2" xfId="10636" xr:uid="{00000000-0005-0000-0000-0000A82F0000}"/>
    <cellStyle name="Data no deci 3 8 4 2 2" xfId="10637" xr:uid="{00000000-0005-0000-0000-0000A92F0000}"/>
    <cellStyle name="Data no deci 3 8 4 3" xfId="10638" xr:uid="{00000000-0005-0000-0000-0000AA2F0000}"/>
    <cellStyle name="Data no deci 3 8 4 3 2" xfId="10639" xr:uid="{00000000-0005-0000-0000-0000AB2F0000}"/>
    <cellStyle name="Data no deci 3 8 4 4" xfId="10640" xr:uid="{00000000-0005-0000-0000-0000AC2F0000}"/>
    <cellStyle name="Data no deci 3 8 4 4 2" xfId="10641" xr:uid="{00000000-0005-0000-0000-0000AD2F0000}"/>
    <cellStyle name="Data no deci 3 8 4 5" xfId="10642" xr:uid="{00000000-0005-0000-0000-0000AE2F0000}"/>
    <cellStyle name="Data no deci 3 8 4 5 2" xfId="10643" xr:uid="{00000000-0005-0000-0000-0000AF2F0000}"/>
    <cellStyle name="Data no deci 3 8 4 6" xfId="10644" xr:uid="{00000000-0005-0000-0000-0000B02F0000}"/>
    <cellStyle name="Data no deci 3 8 4 6 2" xfId="10645" xr:uid="{00000000-0005-0000-0000-0000B12F0000}"/>
    <cellStyle name="Data no deci 3 8 4 7" xfId="10646" xr:uid="{00000000-0005-0000-0000-0000B22F0000}"/>
    <cellStyle name="Data no deci 3 8 4 7 2" xfId="10647" xr:uid="{00000000-0005-0000-0000-0000B32F0000}"/>
    <cellStyle name="Data no deci 3 8 4 8" xfId="10648" xr:uid="{00000000-0005-0000-0000-0000B42F0000}"/>
    <cellStyle name="Data no deci 3 8 4 8 2" xfId="10649" xr:uid="{00000000-0005-0000-0000-0000B52F0000}"/>
    <cellStyle name="Data no deci 3 8 4 9" xfId="10650" xr:uid="{00000000-0005-0000-0000-0000B62F0000}"/>
    <cellStyle name="Data no deci 3 8 4 9 2" xfId="10651" xr:uid="{00000000-0005-0000-0000-0000B72F0000}"/>
    <cellStyle name="Data no deci 3 8 5" xfId="10652" xr:uid="{00000000-0005-0000-0000-0000B82F0000}"/>
    <cellStyle name="Data no deci 3 8 5 10" xfId="10653" xr:uid="{00000000-0005-0000-0000-0000B92F0000}"/>
    <cellStyle name="Data no deci 3 8 5 2" xfId="10654" xr:uid="{00000000-0005-0000-0000-0000BA2F0000}"/>
    <cellStyle name="Data no deci 3 8 5 2 2" xfId="10655" xr:uid="{00000000-0005-0000-0000-0000BB2F0000}"/>
    <cellStyle name="Data no deci 3 8 5 3" xfId="10656" xr:uid="{00000000-0005-0000-0000-0000BC2F0000}"/>
    <cellStyle name="Data no deci 3 8 5 3 2" xfId="10657" xr:uid="{00000000-0005-0000-0000-0000BD2F0000}"/>
    <cellStyle name="Data no deci 3 8 5 4" xfId="10658" xr:uid="{00000000-0005-0000-0000-0000BE2F0000}"/>
    <cellStyle name="Data no deci 3 8 5 4 2" xfId="10659" xr:uid="{00000000-0005-0000-0000-0000BF2F0000}"/>
    <cellStyle name="Data no deci 3 8 5 5" xfId="10660" xr:uid="{00000000-0005-0000-0000-0000C02F0000}"/>
    <cellStyle name="Data no deci 3 8 5 5 2" xfId="10661" xr:uid="{00000000-0005-0000-0000-0000C12F0000}"/>
    <cellStyle name="Data no deci 3 8 5 6" xfId="10662" xr:uid="{00000000-0005-0000-0000-0000C22F0000}"/>
    <cellStyle name="Data no deci 3 8 5 6 2" xfId="10663" xr:uid="{00000000-0005-0000-0000-0000C32F0000}"/>
    <cellStyle name="Data no deci 3 8 5 7" xfId="10664" xr:uid="{00000000-0005-0000-0000-0000C42F0000}"/>
    <cellStyle name="Data no deci 3 8 5 7 2" xfId="10665" xr:uid="{00000000-0005-0000-0000-0000C52F0000}"/>
    <cellStyle name="Data no deci 3 8 5 8" xfId="10666" xr:uid="{00000000-0005-0000-0000-0000C62F0000}"/>
    <cellStyle name="Data no deci 3 8 5 8 2" xfId="10667" xr:uid="{00000000-0005-0000-0000-0000C72F0000}"/>
    <cellStyle name="Data no deci 3 8 5 9" xfId="10668" xr:uid="{00000000-0005-0000-0000-0000C82F0000}"/>
    <cellStyle name="Data no deci 3 8 5 9 2" xfId="10669" xr:uid="{00000000-0005-0000-0000-0000C92F0000}"/>
    <cellStyle name="Data no deci 3 8 6" xfId="10670" xr:uid="{00000000-0005-0000-0000-0000CA2F0000}"/>
    <cellStyle name="Data no deci 3 8 6 10" xfId="10671" xr:uid="{00000000-0005-0000-0000-0000CB2F0000}"/>
    <cellStyle name="Data no deci 3 8 6 2" xfId="10672" xr:uid="{00000000-0005-0000-0000-0000CC2F0000}"/>
    <cellStyle name="Data no deci 3 8 6 2 2" xfId="10673" xr:uid="{00000000-0005-0000-0000-0000CD2F0000}"/>
    <cellStyle name="Data no deci 3 8 6 3" xfId="10674" xr:uid="{00000000-0005-0000-0000-0000CE2F0000}"/>
    <cellStyle name="Data no deci 3 8 6 3 2" xfId="10675" xr:uid="{00000000-0005-0000-0000-0000CF2F0000}"/>
    <cellStyle name="Data no deci 3 8 6 4" xfId="10676" xr:uid="{00000000-0005-0000-0000-0000D02F0000}"/>
    <cellStyle name="Data no deci 3 8 6 4 2" xfId="10677" xr:uid="{00000000-0005-0000-0000-0000D12F0000}"/>
    <cellStyle name="Data no deci 3 8 6 5" xfId="10678" xr:uid="{00000000-0005-0000-0000-0000D22F0000}"/>
    <cellStyle name="Data no deci 3 8 6 5 2" xfId="10679" xr:uid="{00000000-0005-0000-0000-0000D32F0000}"/>
    <cellStyle name="Data no deci 3 8 6 6" xfId="10680" xr:uid="{00000000-0005-0000-0000-0000D42F0000}"/>
    <cellStyle name="Data no deci 3 8 6 6 2" xfId="10681" xr:uid="{00000000-0005-0000-0000-0000D52F0000}"/>
    <cellStyle name="Data no deci 3 8 6 7" xfId="10682" xr:uid="{00000000-0005-0000-0000-0000D62F0000}"/>
    <cellStyle name="Data no deci 3 8 6 7 2" xfId="10683" xr:uid="{00000000-0005-0000-0000-0000D72F0000}"/>
    <cellStyle name="Data no deci 3 8 6 8" xfId="10684" xr:uid="{00000000-0005-0000-0000-0000D82F0000}"/>
    <cellStyle name="Data no deci 3 8 6 8 2" xfId="10685" xr:uid="{00000000-0005-0000-0000-0000D92F0000}"/>
    <cellStyle name="Data no deci 3 8 6 9" xfId="10686" xr:uid="{00000000-0005-0000-0000-0000DA2F0000}"/>
    <cellStyle name="Data no deci 3 8 6 9 2" xfId="10687" xr:uid="{00000000-0005-0000-0000-0000DB2F0000}"/>
    <cellStyle name="Data no deci 3 8 7" xfId="10688" xr:uid="{00000000-0005-0000-0000-0000DC2F0000}"/>
    <cellStyle name="Data no deci 3 8 7 10" xfId="10689" xr:uid="{00000000-0005-0000-0000-0000DD2F0000}"/>
    <cellStyle name="Data no deci 3 8 7 2" xfId="10690" xr:uid="{00000000-0005-0000-0000-0000DE2F0000}"/>
    <cellStyle name="Data no deci 3 8 7 2 2" xfId="10691" xr:uid="{00000000-0005-0000-0000-0000DF2F0000}"/>
    <cellStyle name="Data no deci 3 8 7 3" xfId="10692" xr:uid="{00000000-0005-0000-0000-0000E02F0000}"/>
    <cellStyle name="Data no deci 3 8 7 3 2" xfId="10693" xr:uid="{00000000-0005-0000-0000-0000E12F0000}"/>
    <cellStyle name="Data no deci 3 8 7 4" xfId="10694" xr:uid="{00000000-0005-0000-0000-0000E22F0000}"/>
    <cellStyle name="Data no deci 3 8 7 4 2" xfId="10695" xr:uid="{00000000-0005-0000-0000-0000E32F0000}"/>
    <cellStyle name="Data no deci 3 8 7 5" xfId="10696" xr:uid="{00000000-0005-0000-0000-0000E42F0000}"/>
    <cellStyle name="Data no deci 3 8 7 5 2" xfId="10697" xr:uid="{00000000-0005-0000-0000-0000E52F0000}"/>
    <cellStyle name="Data no deci 3 8 7 6" xfId="10698" xr:uid="{00000000-0005-0000-0000-0000E62F0000}"/>
    <cellStyle name="Data no deci 3 8 7 6 2" xfId="10699" xr:uid="{00000000-0005-0000-0000-0000E72F0000}"/>
    <cellStyle name="Data no deci 3 8 7 7" xfId="10700" xr:uid="{00000000-0005-0000-0000-0000E82F0000}"/>
    <cellStyle name="Data no deci 3 8 7 7 2" xfId="10701" xr:uid="{00000000-0005-0000-0000-0000E92F0000}"/>
    <cellStyle name="Data no deci 3 8 7 8" xfId="10702" xr:uid="{00000000-0005-0000-0000-0000EA2F0000}"/>
    <cellStyle name="Data no deci 3 8 7 8 2" xfId="10703" xr:uid="{00000000-0005-0000-0000-0000EB2F0000}"/>
    <cellStyle name="Data no deci 3 8 7 9" xfId="10704" xr:uid="{00000000-0005-0000-0000-0000EC2F0000}"/>
    <cellStyle name="Data no deci 3 8 7 9 2" xfId="10705" xr:uid="{00000000-0005-0000-0000-0000ED2F0000}"/>
    <cellStyle name="Data no deci 3 8 8" xfId="10706" xr:uid="{00000000-0005-0000-0000-0000EE2F0000}"/>
    <cellStyle name="Data no deci 3 8 8 10" xfId="10707" xr:uid="{00000000-0005-0000-0000-0000EF2F0000}"/>
    <cellStyle name="Data no deci 3 8 8 2" xfId="10708" xr:uid="{00000000-0005-0000-0000-0000F02F0000}"/>
    <cellStyle name="Data no deci 3 8 8 2 2" xfId="10709" xr:uid="{00000000-0005-0000-0000-0000F12F0000}"/>
    <cellStyle name="Data no deci 3 8 8 3" xfId="10710" xr:uid="{00000000-0005-0000-0000-0000F22F0000}"/>
    <cellStyle name="Data no deci 3 8 8 3 2" xfId="10711" xr:uid="{00000000-0005-0000-0000-0000F32F0000}"/>
    <cellStyle name="Data no deci 3 8 8 4" xfId="10712" xr:uid="{00000000-0005-0000-0000-0000F42F0000}"/>
    <cellStyle name="Data no deci 3 8 8 4 2" xfId="10713" xr:uid="{00000000-0005-0000-0000-0000F52F0000}"/>
    <cellStyle name="Data no deci 3 8 8 5" xfId="10714" xr:uid="{00000000-0005-0000-0000-0000F62F0000}"/>
    <cellStyle name="Data no deci 3 8 8 5 2" xfId="10715" xr:uid="{00000000-0005-0000-0000-0000F72F0000}"/>
    <cellStyle name="Data no deci 3 8 8 6" xfId="10716" xr:uid="{00000000-0005-0000-0000-0000F82F0000}"/>
    <cellStyle name="Data no deci 3 8 8 6 2" xfId="10717" xr:uid="{00000000-0005-0000-0000-0000F92F0000}"/>
    <cellStyle name="Data no deci 3 8 8 7" xfId="10718" xr:uid="{00000000-0005-0000-0000-0000FA2F0000}"/>
    <cellStyle name="Data no deci 3 8 8 7 2" xfId="10719" xr:uid="{00000000-0005-0000-0000-0000FB2F0000}"/>
    <cellStyle name="Data no deci 3 8 8 8" xfId="10720" xr:uid="{00000000-0005-0000-0000-0000FC2F0000}"/>
    <cellStyle name="Data no deci 3 8 8 8 2" xfId="10721" xr:uid="{00000000-0005-0000-0000-0000FD2F0000}"/>
    <cellStyle name="Data no deci 3 8 8 9" xfId="10722" xr:uid="{00000000-0005-0000-0000-0000FE2F0000}"/>
    <cellStyle name="Data no deci 3 8 8 9 2" xfId="10723" xr:uid="{00000000-0005-0000-0000-0000FF2F0000}"/>
    <cellStyle name="Data no deci 3 8 9" xfId="10724" xr:uid="{00000000-0005-0000-0000-000000300000}"/>
    <cellStyle name="Data no deci 3 8 9 10" xfId="10725" xr:uid="{00000000-0005-0000-0000-000001300000}"/>
    <cellStyle name="Data no deci 3 8 9 2" xfId="10726" xr:uid="{00000000-0005-0000-0000-000002300000}"/>
    <cellStyle name="Data no deci 3 8 9 2 2" xfId="10727" xr:uid="{00000000-0005-0000-0000-000003300000}"/>
    <cellStyle name="Data no deci 3 8 9 3" xfId="10728" xr:uid="{00000000-0005-0000-0000-000004300000}"/>
    <cellStyle name="Data no deci 3 8 9 3 2" xfId="10729" xr:uid="{00000000-0005-0000-0000-000005300000}"/>
    <cellStyle name="Data no deci 3 8 9 4" xfId="10730" xr:uid="{00000000-0005-0000-0000-000006300000}"/>
    <cellStyle name="Data no deci 3 8 9 4 2" xfId="10731" xr:uid="{00000000-0005-0000-0000-000007300000}"/>
    <cellStyle name="Data no deci 3 8 9 5" xfId="10732" xr:uid="{00000000-0005-0000-0000-000008300000}"/>
    <cellStyle name="Data no deci 3 8 9 5 2" xfId="10733" xr:uid="{00000000-0005-0000-0000-000009300000}"/>
    <cellStyle name="Data no deci 3 8 9 6" xfId="10734" xr:uid="{00000000-0005-0000-0000-00000A300000}"/>
    <cellStyle name="Data no deci 3 8 9 6 2" xfId="10735" xr:uid="{00000000-0005-0000-0000-00000B300000}"/>
    <cellStyle name="Data no deci 3 8 9 7" xfId="10736" xr:uid="{00000000-0005-0000-0000-00000C300000}"/>
    <cellStyle name="Data no deci 3 8 9 7 2" xfId="10737" xr:uid="{00000000-0005-0000-0000-00000D300000}"/>
    <cellStyle name="Data no deci 3 8 9 8" xfId="10738" xr:uid="{00000000-0005-0000-0000-00000E300000}"/>
    <cellStyle name="Data no deci 3 8 9 8 2" xfId="10739" xr:uid="{00000000-0005-0000-0000-00000F300000}"/>
    <cellStyle name="Data no deci 3 8 9 9" xfId="10740" xr:uid="{00000000-0005-0000-0000-000010300000}"/>
    <cellStyle name="Data no deci 3 8 9 9 2" xfId="10741" xr:uid="{00000000-0005-0000-0000-000011300000}"/>
    <cellStyle name="Data Superscript" xfId="61" xr:uid="{00000000-0005-0000-0000-000012300000}"/>
    <cellStyle name="Data Superscript 2" xfId="159" xr:uid="{00000000-0005-0000-0000-000013300000}"/>
    <cellStyle name="Data Superscript 2 2" xfId="10742" xr:uid="{00000000-0005-0000-0000-000014300000}"/>
    <cellStyle name="Data Superscript 2 2 10" xfId="10743" xr:uid="{00000000-0005-0000-0000-000015300000}"/>
    <cellStyle name="Data Superscript 2 2 10 10" xfId="10744" xr:uid="{00000000-0005-0000-0000-000016300000}"/>
    <cellStyle name="Data Superscript 2 2 10 2" xfId="10745" xr:uid="{00000000-0005-0000-0000-000017300000}"/>
    <cellStyle name="Data Superscript 2 2 10 2 2" xfId="10746" xr:uid="{00000000-0005-0000-0000-000018300000}"/>
    <cellStyle name="Data Superscript 2 2 10 3" xfId="10747" xr:uid="{00000000-0005-0000-0000-000019300000}"/>
    <cellStyle name="Data Superscript 2 2 10 3 2" xfId="10748" xr:uid="{00000000-0005-0000-0000-00001A300000}"/>
    <cellStyle name="Data Superscript 2 2 10 4" xfId="10749" xr:uid="{00000000-0005-0000-0000-00001B300000}"/>
    <cellStyle name="Data Superscript 2 2 10 4 2" xfId="10750" xr:uid="{00000000-0005-0000-0000-00001C300000}"/>
    <cellStyle name="Data Superscript 2 2 10 5" xfId="10751" xr:uid="{00000000-0005-0000-0000-00001D300000}"/>
    <cellStyle name="Data Superscript 2 2 10 5 2" xfId="10752" xr:uid="{00000000-0005-0000-0000-00001E300000}"/>
    <cellStyle name="Data Superscript 2 2 10 6" xfId="10753" xr:uid="{00000000-0005-0000-0000-00001F300000}"/>
    <cellStyle name="Data Superscript 2 2 10 6 2" xfId="10754" xr:uid="{00000000-0005-0000-0000-000020300000}"/>
    <cellStyle name="Data Superscript 2 2 10 7" xfId="10755" xr:uid="{00000000-0005-0000-0000-000021300000}"/>
    <cellStyle name="Data Superscript 2 2 10 7 2" xfId="10756" xr:uid="{00000000-0005-0000-0000-000022300000}"/>
    <cellStyle name="Data Superscript 2 2 10 8" xfId="10757" xr:uid="{00000000-0005-0000-0000-000023300000}"/>
    <cellStyle name="Data Superscript 2 2 10 8 2" xfId="10758" xr:uid="{00000000-0005-0000-0000-000024300000}"/>
    <cellStyle name="Data Superscript 2 2 10 9" xfId="10759" xr:uid="{00000000-0005-0000-0000-000025300000}"/>
    <cellStyle name="Data Superscript 2 2 10 9 2" xfId="10760" xr:uid="{00000000-0005-0000-0000-000026300000}"/>
    <cellStyle name="Data Superscript 2 2 11" xfId="10761" xr:uid="{00000000-0005-0000-0000-000027300000}"/>
    <cellStyle name="Data Superscript 2 2 11 2" xfId="10762" xr:uid="{00000000-0005-0000-0000-000028300000}"/>
    <cellStyle name="Data Superscript 2 2 11 2 2" xfId="10763" xr:uid="{00000000-0005-0000-0000-000029300000}"/>
    <cellStyle name="Data Superscript 2 2 11 3" xfId="10764" xr:uid="{00000000-0005-0000-0000-00002A300000}"/>
    <cellStyle name="Data Superscript 2 2 11 3 2" xfId="10765" xr:uid="{00000000-0005-0000-0000-00002B300000}"/>
    <cellStyle name="Data Superscript 2 2 11 4" xfId="10766" xr:uid="{00000000-0005-0000-0000-00002C300000}"/>
    <cellStyle name="Data Superscript 2 2 11 4 2" xfId="10767" xr:uid="{00000000-0005-0000-0000-00002D300000}"/>
    <cellStyle name="Data Superscript 2 2 11 5" xfId="10768" xr:uid="{00000000-0005-0000-0000-00002E300000}"/>
    <cellStyle name="Data Superscript 2 2 11 5 2" xfId="10769" xr:uid="{00000000-0005-0000-0000-00002F300000}"/>
    <cellStyle name="Data Superscript 2 2 11 6" xfId="10770" xr:uid="{00000000-0005-0000-0000-000030300000}"/>
    <cellStyle name="Data Superscript 2 2 11 6 2" xfId="10771" xr:uid="{00000000-0005-0000-0000-000031300000}"/>
    <cellStyle name="Data Superscript 2 2 11 7" xfId="10772" xr:uid="{00000000-0005-0000-0000-000032300000}"/>
    <cellStyle name="Data Superscript 2 2 11 7 2" xfId="10773" xr:uid="{00000000-0005-0000-0000-000033300000}"/>
    <cellStyle name="Data Superscript 2 2 11 8" xfId="10774" xr:uid="{00000000-0005-0000-0000-000034300000}"/>
    <cellStyle name="Data Superscript 2 2 11 8 2" xfId="10775" xr:uid="{00000000-0005-0000-0000-000035300000}"/>
    <cellStyle name="Data Superscript 2 2 11 9" xfId="10776" xr:uid="{00000000-0005-0000-0000-000036300000}"/>
    <cellStyle name="Data Superscript 2 2 2" xfId="10777" xr:uid="{00000000-0005-0000-0000-000037300000}"/>
    <cellStyle name="Data Superscript 2 2 2 10" xfId="10778" xr:uid="{00000000-0005-0000-0000-000038300000}"/>
    <cellStyle name="Data Superscript 2 2 2 2" xfId="10779" xr:uid="{00000000-0005-0000-0000-000039300000}"/>
    <cellStyle name="Data Superscript 2 2 2 2 2" xfId="10780" xr:uid="{00000000-0005-0000-0000-00003A300000}"/>
    <cellStyle name="Data Superscript 2 2 2 3" xfId="10781" xr:uid="{00000000-0005-0000-0000-00003B300000}"/>
    <cellStyle name="Data Superscript 2 2 2 3 2" xfId="10782" xr:uid="{00000000-0005-0000-0000-00003C300000}"/>
    <cellStyle name="Data Superscript 2 2 2 4" xfId="10783" xr:uid="{00000000-0005-0000-0000-00003D300000}"/>
    <cellStyle name="Data Superscript 2 2 2 4 2" xfId="10784" xr:uid="{00000000-0005-0000-0000-00003E300000}"/>
    <cellStyle name="Data Superscript 2 2 2 5" xfId="10785" xr:uid="{00000000-0005-0000-0000-00003F300000}"/>
    <cellStyle name="Data Superscript 2 2 2 5 2" xfId="10786" xr:uid="{00000000-0005-0000-0000-000040300000}"/>
    <cellStyle name="Data Superscript 2 2 2 6" xfId="10787" xr:uid="{00000000-0005-0000-0000-000041300000}"/>
    <cellStyle name="Data Superscript 2 2 2 6 2" xfId="10788" xr:uid="{00000000-0005-0000-0000-000042300000}"/>
    <cellStyle name="Data Superscript 2 2 2 7" xfId="10789" xr:uid="{00000000-0005-0000-0000-000043300000}"/>
    <cellStyle name="Data Superscript 2 2 2 7 2" xfId="10790" xr:uid="{00000000-0005-0000-0000-000044300000}"/>
    <cellStyle name="Data Superscript 2 2 2 8" xfId="10791" xr:uid="{00000000-0005-0000-0000-000045300000}"/>
    <cellStyle name="Data Superscript 2 2 2 8 2" xfId="10792" xr:uid="{00000000-0005-0000-0000-000046300000}"/>
    <cellStyle name="Data Superscript 2 2 2 9" xfId="10793" xr:uid="{00000000-0005-0000-0000-000047300000}"/>
    <cellStyle name="Data Superscript 2 2 2 9 2" xfId="10794" xr:uid="{00000000-0005-0000-0000-000048300000}"/>
    <cellStyle name="Data Superscript 2 2 3" xfId="10795" xr:uid="{00000000-0005-0000-0000-000049300000}"/>
    <cellStyle name="Data Superscript 2 2 3 10" xfId="10796" xr:uid="{00000000-0005-0000-0000-00004A300000}"/>
    <cellStyle name="Data Superscript 2 2 3 2" xfId="10797" xr:uid="{00000000-0005-0000-0000-00004B300000}"/>
    <cellStyle name="Data Superscript 2 2 3 2 2" xfId="10798" xr:uid="{00000000-0005-0000-0000-00004C300000}"/>
    <cellStyle name="Data Superscript 2 2 3 3" xfId="10799" xr:uid="{00000000-0005-0000-0000-00004D300000}"/>
    <cellStyle name="Data Superscript 2 2 3 3 2" xfId="10800" xr:uid="{00000000-0005-0000-0000-00004E300000}"/>
    <cellStyle name="Data Superscript 2 2 3 4" xfId="10801" xr:uid="{00000000-0005-0000-0000-00004F300000}"/>
    <cellStyle name="Data Superscript 2 2 3 4 2" xfId="10802" xr:uid="{00000000-0005-0000-0000-000050300000}"/>
    <cellStyle name="Data Superscript 2 2 3 5" xfId="10803" xr:uid="{00000000-0005-0000-0000-000051300000}"/>
    <cellStyle name="Data Superscript 2 2 3 5 2" xfId="10804" xr:uid="{00000000-0005-0000-0000-000052300000}"/>
    <cellStyle name="Data Superscript 2 2 3 6" xfId="10805" xr:uid="{00000000-0005-0000-0000-000053300000}"/>
    <cellStyle name="Data Superscript 2 2 3 6 2" xfId="10806" xr:uid="{00000000-0005-0000-0000-000054300000}"/>
    <cellStyle name="Data Superscript 2 2 3 7" xfId="10807" xr:uid="{00000000-0005-0000-0000-000055300000}"/>
    <cellStyle name="Data Superscript 2 2 3 7 2" xfId="10808" xr:uid="{00000000-0005-0000-0000-000056300000}"/>
    <cellStyle name="Data Superscript 2 2 3 8" xfId="10809" xr:uid="{00000000-0005-0000-0000-000057300000}"/>
    <cellStyle name="Data Superscript 2 2 3 8 2" xfId="10810" xr:uid="{00000000-0005-0000-0000-000058300000}"/>
    <cellStyle name="Data Superscript 2 2 3 9" xfId="10811" xr:uid="{00000000-0005-0000-0000-000059300000}"/>
    <cellStyle name="Data Superscript 2 2 3 9 2" xfId="10812" xr:uid="{00000000-0005-0000-0000-00005A300000}"/>
    <cellStyle name="Data Superscript 2 2 4" xfId="10813" xr:uid="{00000000-0005-0000-0000-00005B300000}"/>
    <cellStyle name="Data Superscript 2 2 4 10" xfId="10814" xr:uid="{00000000-0005-0000-0000-00005C300000}"/>
    <cellStyle name="Data Superscript 2 2 4 2" xfId="10815" xr:uid="{00000000-0005-0000-0000-00005D300000}"/>
    <cellStyle name="Data Superscript 2 2 4 2 2" xfId="10816" xr:uid="{00000000-0005-0000-0000-00005E300000}"/>
    <cellStyle name="Data Superscript 2 2 4 3" xfId="10817" xr:uid="{00000000-0005-0000-0000-00005F300000}"/>
    <cellStyle name="Data Superscript 2 2 4 3 2" xfId="10818" xr:uid="{00000000-0005-0000-0000-000060300000}"/>
    <cellStyle name="Data Superscript 2 2 4 4" xfId="10819" xr:uid="{00000000-0005-0000-0000-000061300000}"/>
    <cellStyle name="Data Superscript 2 2 4 4 2" xfId="10820" xr:uid="{00000000-0005-0000-0000-000062300000}"/>
    <cellStyle name="Data Superscript 2 2 4 5" xfId="10821" xr:uid="{00000000-0005-0000-0000-000063300000}"/>
    <cellStyle name="Data Superscript 2 2 4 5 2" xfId="10822" xr:uid="{00000000-0005-0000-0000-000064300000}"/>
    <cellStyle name="Data Superscript 2 2 4 6" xfId="10823" xr:uid="{00000000-0005-0000-0000-000065300000}"/>
    <cellStyle name="Data Superscript 2 2 4 6 2" xfId="10824" xr:uid="{00000000-0005-0000-0000-000066300000}"/>
    <cellStyle name="Data Superscript 2 2 4 7" xfId="10825" xr:uid="{00000000-0005-0000-0000-000067300000}"/>
    <cellStyle name="Data Superscript 2 2 4 7 2" xfId="10826" xr:uid="{00000000-0005-0000-0000-000068300000}"/>
    <cellStyle name="Data Superscript 2 2 4 8" xfId="10827" xr:uid="{00000000-0005-0000-0000-000069300000}"/>
    <cellStyle name="Data Superscript 2 2 4 8 2" xfId="10828" xr:uid="{00000000-0005-0000-0000-00006A300000}"/>
    <cellStyle name="Data Superscript 2 2 4 9" xfId="10829" xr:uid="{00000000-0005-0000-0000-00006B300000}"/>
    <cellStyle name="Data Superscript 2 2 4 9 2" xfId="10830" xr:uid="{00000000-0005-0000-0000-00006C300000}"/>
    <cellStyle name="Data Superscript 2 2 5" xfId="10831" xr:uid="{00000000-0005-0000-0000-00006D300000}"/>
    <cellStyle name="Data Superscript 2 2 5 10" xfId="10832" xr:uid="{00000000-0005-0000-0000-00006E300000}"/>
    <cellStyle name="Data Superscript 2 2 5 2" xfId="10833" xr:uid="{00000000-0005-0000-0000-00006F300000}"/>
    <cellStyle name="Data Superscript 2 2 5 2 2" xfId="10834" xr:uid="{00000000-0005-0000-0000-000070300000}"/>
    <cellStyle name="Data Superscript 2 2 5 3" xfId="10835" xr:uid="{00000000-0005-0000-0000-000071300000}"/>
    <cellStyle name="Data Superscript 2 2 5 3 2" xfId="10836" xr:uid="{00000000-0005-0000-0000-000072300000}"/>
    <cellStyle name="Data Superscript 2 2 5 4" xfId="10837" xr:uid="{00000000-0005-0000-0000-000073300000}"/>
    <cellStyle name="Data Superscript 2 2 5 4 2" xfId="10838" xr:uid="{00000000-0005-0000-0000-000074300000}"/>
    <cellStyle name="Data Superscript 2 2 5 5" xfId="10839" xr:uid="{00000000-0005-0000-0000-000075300000}"/>
    <cellStyle name="Data Superscript 2 2 5 5 2" xfId="10840" xr:uid="{00000000-0005-0000-0000-000076300000}"/>
    <cellStyle name="Data Superscript 2 2 5 6" xfId="10841" xr:uid="{00000000-0005-0000-0000-000077300000}"/>
    <cellStyle name="Data Superscript 2 2 5 6 2" xfId="10842" xr:uid="{00000000-0005-0000-0000-000078300000}"/>
    <cellStyle name="Data Superscript 2 2 5 7" xfId="10843" xr:uid="{00000000-0005-0000-0000-000079300000}"/>
    <cellStyle name="Data Superscript 2 2 5 7 2" xfId="10844" xr:uid="{00000000-0005-0000-0000-00007A300000}"/>
    <cellStyle name="Data Superscript 2 2 5 8" xfId="10845" xr:uid="{00000000-0005-0000-0000-00007B300000}"/>
    <cellStyle name="Data Superscript 2 2 5 8 2" xfId="10846" xr:uid="{00000000-0005-0000-0000-00007C300000}"/>
    <cellStyle name="Data Superscript 2 2 5 9" xfId="10847" xr:uid="{00000000-0005-0000-0000-00007D300000}"/>
    <cellStyle name="Data Superscript 2 2 5 9 2" xfId="10848" xr:uid="{00000000-0005-0000-0000-00007E300000}"/>
    <cellStyle name="Data Superscript 2 2 6" xfId="10849" xr:uid="{00000000-0005-0000-0000-00007F300000}"/>
    <cellStyle name="Data Superscript 2 2 6 10" xfId="10850" xr:uid="{00000000-0005-0000-0000-000080300000}"/>
    <cellStyle name="Data Superscript 2 2 6 2" xfId="10851" xr:uid="{00000000-0005-0000-0000-000081300000}"/>
    <cellStyle name="Data Superscript 2 2 6 2 2" xfId="10852" xr:uid="{00000000-0005-0000-0000-000082300000}"/>
    <cellStyle name="Data Superscript 2 2 6 3" xfId="10853" xr:uid="{00000000-0005-0000-0000-000083300000}"/>
    <cellStyle name="Data Superscript 2 2 6 3 2" xfId="10854" xr:uid="{00000000-0005-0000-0000-000084300000}"/>
    <cellStyle name="Data Superscript 2 2 6 4" xfId="10855" xr:uid="{00000000-0005-0000-0000-000085300000}"/>
    <cellStyle name="Data Superscript 2 2 6 4 2" xfId="10856" xr:uid="{00000000-0005-0000-0000-000086300000}"/>
    <cellStyle name="Data Superscript 2 2 6 5" xfId="10857" xr:uid="{00000000-0005-0000-0000-000087300000}"/>
    <cellStyle name="Data Superscript 2 2 6 5 2" xfId="10858" xr:uid="{00000000-0005-0000-0000-000088300000}"/>
    <cellStyle name="Data Superscript 2 2 6 6" xfId="10859" xr:uid="{00000000-0005-0000-0000-000089300000}"/>
    <cellStyle name="Data Superscript 2 2 6 6 2" xfId="10860" xr:uid="{00000000-0005-0000-0000-00008A300000}"/>
    <cellStyle name="Data Superscript 2 2 6 7" xfId="10861" xr:uid="{00000000-0005-0000-0000-00008B300000}"/>
    <cellStyle name="Data Superscript 2 2 6 7 2" xfId="10862" xr:uid="{00000000-0005-0000-0000-00008C300000}"/>
    <cellStyle name="Data Superscript 2 2 6 8" xfId="10863" xr:uid="{00000000-0005-0000-0000-00008D300000}"/>
    <cellStyle name="Data Superscript 2 2 6 8 2" xfId="10864" xr:uid="{00000000-0005-0000-0000-00008E300000}"/>
    <cellStyle name="Data Superscript 2 2 6 9" xfId="10865" xr:uid="{00000000-0005-0000-0000-00008F300000}"/>
    <cellStyle name="Data Superscript 2 2 6 9 2" xfId="10866" xr:uid="{00000000-0005-0000-0000-000090300000}"/>
    <cellStyle name="Data Superscript 2 2 7" xfId="10867" xr:uid="{00000000-0005-0000-0000-000091300000}"/>
    <cellStyle name="Data Superscript 2 2 7 10" xfId="10868" xr:uid="{00000000-0005-0000-0000-000092300000}"/>
    <cellStyle name="Data Superscript 2 2 7 2" xfId="10869" xr:uid="{00000000-0005-0000-0000-000093300000}"/>
    <cellStyle name="Data Superscript 2 2 7 2 2" xfId="10870" xr:uid="{00000000-0005-0000-0000-000094300000}"/>
    <cellStyle name="Data Superscript 2 2 7 3" xfId="10871" xr:uid="{00000000-0005-0000-0000-000095300000}"/>
    <cellStyle name="Data Superscript 2 2 7 3 2" xfId="10872" xr:uid="{00000000-0005-0000-0000-000096300000}"/>
    <cellStyle name="Data Superscript 2 2 7 4" xfId="10873" xr:uid="{00000000-0005-0000-0000-000097300000}"/>
    <cellStyle name="Data Superscript 2 2 7 4 2" xfId="10874" xr:uid="{00000000-0005-0000-0000-000098300000}"/>
    <cellStyle name="Data Superscript 2 2 7 5" xfId="10875" xr:uid="{00000000-0005-0000-0000-000099300000}"/>
    <cellStyle name="Data Superscript 2 2 7 5 2" xfId="10876" xr:uid="{00000000-0005-0000-0000-00009A300000}"/>
    <cellStyle name="Data Superscript 2 2 7 6" xfId="10877" xr:uid="{00000000-0005-0000-0000-00009B300000}"/>
    <cellStyle name="Data Superscript 2 2 7 6 2" xfId="10878" xr:uid="{00000000-0005-0000-0000-00009C300000}"/>
    <cellStyle name="Data Superscript 2 2 7 7" xfId="10879" xr:uid="{00000000-0005-0000-0000-00009D300000}"/>
    <cellStyle name="Data Superscript 2 2 7 7 2" xfId="10880" xr:uid="{00000000-0005-0000-0000-00009E300000}"/>
    <cellStyle name="Data Superscript 2 2 7 8" xfId="10881" xr:uid="{00000000-0005-0000-0000-00009F300000}"/>
    <cellStyle name="Data Superscript 2 2 7 8 2" xfId="10882" xr:uid="{00000000-0005-0000-0000-0000A0300000}"/>
    <cellStyle name="Data Superscript 2 2 7 9" xfId="10883" xr:uid="{00000000-0005-0000-0000-0000A1300000}"/>
    <cellStyle name="Data Superscript 2 2 7 9 2" xfId="10884" xr:uid="{00000000-0005-0000-0000-0000A2300000}"/>
    <cellStyle name="Data Superscript 2 2 8" xfId="10885" xr:uid="{00000000-0005-0000-0000-0000A3300000}"/>
    <cellStyle name="Data Superscript 2 2 8 10" xfId="10886" xr:uid="{00000000-0005-0000-0000-0000A4300000}"/>
    <cellStyle name="Data Superscript 2 2 8 2" xfId="10887" xr:uid="{00000000-0005-0000-0000-0000A5300000}"/>
    <cellStyle name="Data Superscript 2 2 8 2 2" xfId="10888" xr:uid="{00000000-0005-0000-0000-0000A6300000}"/>
    <cellStyle name="Data Superscript 2 2 8 3" xfId="10889" xr:uid="{00000000-0005-0000-0000-0000A7300000}"/>
    <cellStyle name="Data Superscript 2 2 8 3 2" xfId="10890" xr:uid="{00000000-0005-0000-0000-0000A8300000}"/>
    <cellStyle name="Data Superscript 2 2 8 4" xfId="10891" xr:uid="{00000000-0005-0000-0000-0000A9300000}"/>
    <cellStyle name="Data Superscript 2 2 8 4 2" xfId="10892" xr:uid="{00000000-0005-0000-0000-0000AA300000}"/>
    <cellStyle name="Data Superscript 2 2 8 5" xfId="10893" xr:uid="{00000000-0005-0000-0000-0000AB300000}"/>
    <cellStyle name="Data Superscript 2 2 8 5 2" xfId="10894" xr:uid="{00000000-0005-0000-0000-0000AC300000}"/>
    <cellStyle name="Data Superscript 2 2 8 6" xfId="10895" xr:uid="{00000000-0005-0000-0000-0000AD300000}"/>
    <cellStyle name="Data Superscript 2 2 8 6 2" xfId="10896" xr:uid="{00000000-0005-0000-0000-0000AE300000}"/>
    <cellStyle name="Data Superscript 2 2 8 7" xfId="10897" xr:uid="{00000000-0005-0000-0000-0000AF300000}"/>
    <cellStyle name="Data Superscript 2 2 8 7 2" xfId="10898" xr:uid="{00000000-0005-0000-0000-0000B0300000}"/>
    <cellStyle name="Data Superscript 2 2 8 8" xfId="10899" xr:uid="{00000000-0005-0000-0000-0000B1300000}"/>
    <cellStyle name="Data Superscript 2 2 8 8 2" xfId="10900" xr:uid="{00000000-0005-0000-0000-0000B2300000}"/>
    <cellStyle name="Data Superscript 2 2 8 9" xfId="10901" xr:uid="{00000000-0005-0000-0000-0000B3300000}"/>
    <cellStyle name="Data Superscript 2 2 8 9 2" xfId="10902" xr:uid="{00000000-0005-0000-0000-0000B4300000}"/>
    <cellStyle name="Data Superscript 2 2 9" xfId="10903" xr:uid="{00000000-0005-0000-0000-0000B5300000}"/>
    <cellStyle name="Data Superscript 2 2 9 10" xfId="10904" xr:uid="{00000000-0005-0000-0000-0000B6300000}"/>
    <cellStyle name="Data Superscript 2 2 9 2" xfId="10905" xr:uid="{00000000-0005-0000-0000-0000B7300000}"/>
    <cellStyle name="Data Superscript 2 2 9 2 2" xfId="10906" xr:uid="{00000000-0005-0000-0000-0000B8300000}"/>
    <cellStyle name="Data Superscript 2 2 9 3" xfId="10907" xr:uid="{00000000-0005-0000-0000-0000B9300000}"/>
    <cellStyle name="Data Superscript 2 2 9 3 2" xfId="10908" xr:uid="{00000000-0005-0000-0000-0000BA300000}"/>
    <cellStyle name="Data Superscript 2 2 9 4" xfId="10909" xr:uid="{00000000-0005-0000-0000-0000BB300000}"/>
    <cellStyle name="Data Superscript 2 2 9 4 2" xfId="10910" xr:uid="{00000000-0005-0000-0000-0000BC300000}"/>
    <cellStyle name="Data Superscript 2 2 9 5" xfId="10911" xr:uid="{00000000-0005-0000-0000-0000BD300000}"/>
    <cellStyle name="Data Superscript 2 2 9 5 2" xfId="10912" xr:uid="{00000000-0005-0000-0000-0000BE300000}"/>
    <cellStyle name="Data Superscript 2 2 9 6" xfId="10913" xr:uid="{00000000-0005-0000-0000-0000BF300000}"/>
    <cellStyle name="Data Superscript 2 2 9 6 2" xfId="10914" xr:uid="{00000000-0005-0000-0000-0000C0300000}"/>
    <cellStyle name="Data Superscript 2 2 9 7" xfId="10915" xr:uid="{00000000-0005-0000-0000-0000C1300000}"/>
    <cellStyle name="Data Superscript 2 2 9 7 2" xfId="10916" xr:uid="{00000000-0005-0000-0000-0000C2300000}"/>
    <cellStyle name="Data Superscript 2 2 9 8" xfId="10917" xr:uid="{00000000-0005-0000-0000-0000C3300000}"/>
    <cellStyle name="Data Superscript 2 2 9 8 2" xfId="10918" xr:uid="{00000000-0005-0000-0000-0000C4300000}"/>
    <cellStyle name="Data Superscript 2 2 9 9" xfId="10919" xr:uid="{00000000-0005-0000-0000-0000C5300000}"/>
    <cellStyle name="Data Superscript 2 2 9 9 2" xfId="10920" xr:uid="{00000000-0005-0000-0000-0000C6300000}"/>
    <cellStyle name="Data Superscript 2 3" xfId="10921" xr:uid="{00000000-0005-0000-0000-0000C7300000}"/>
    <cellStyle name="Data Superscript 2 3 10" xfId="10922" xr:uid="{00000000-0005-0000-0000-0000C8300000}"/>
    <cellStyle name="Data Superscript 2 3 10 10" xfId="10923" xr:uid="{00000000-0005-0000-0000-0000C9300000}"/>
    <cellStyle name="Data Superscript 2 3 10 2" xfId="10924" xr:uid="{00000000-0005-0000-0000-0000CA300000}"/>
    <cellStyle name="Data Superscript 2 3 10 2 2" xfId="10925" xr:uid="{00000000-0005-0000-0000-0000CB300000}"/>
    <cellStyle name="Data Superscript 2 3 10 3" xfId="10926" xr:uid="{00000000-0005-0000-0000-0000CC300000}"/>
    <cellStyle name="Data Superscript 2 3 10 3 2" xfId="10927" xr:uid="{00000000-0005-0000-0000-0000CD300000}"/>
    <cellStyle name="Data Superscript 2 3 10 4" xfId="10928" xr:uid="{00000000-0005-0000-0000-0000CE300000}"/>
    <cellStyle name="Data Superscript 2 3 10 4 2" xfId="10929" xr:uid="{00000000-0005-0000-0000-0000CF300000}"/>
    <cellStyle name="Data Superscript 2 3 10 5" xfId="10930" xr:uid="{00000000-0005-0000-0000-0000D0300000}"/>
    <cellStyle name="Data Superscript 2 3 10 5 2" xfId="10931" xr:uid="{00000000-0005-0000-0000-0000D1300000}"/>
    <cellStyle name="Data Superscript 2 3 10 6" xfId="10932" xr:uid="{00000000-0005-0000-0000-0000D2300000}"/>
    <cellStyle name="Data Superscript 2 3 10 6 2" xfId="10933" xr:uid="{00000000-0005-0000-0000-0000D3300000}"/>
    <cellStyle name="Data Superscript 2 3 10 7" xfId="10934" xr:uid="{00000000-0005-0000-0000-0000D4300000}"/>
    <cellStyle name="Data Superscript 2 3 10 7 2" xfId="10935" xr:uid="{00000000-0005-0000-0000-0000D5300000}"/>
    <cellStyle name="Data Superscript 2 3 10 8" xfId="10936" xr:uid="{00000000-0005-0000-0000-0000D6300000}"/>
    <cellStyle name="Data Superscript 2 3 10 8 2" xfId="10937" xr:uid="{00000000-0005-0000-0000-0000D7300000}"/>
    <cellStyle name="Data Superscript 2 3 10 9" xfId="10938" xr:uid="{00000000-0005-0000-0000-0000D8300000}"/>
    <cellStyle name="Data Superscript 2 3 10 9 2" xfId="10939" xr:uid="{00000000-0005-0000-0000-0000D9300000}"/>
    <cellStyle name="Data Superscript 2 3 11" xfId="10940" xr:uid="{00000000-0005-0000-0000-0000DA300000}"/>
    <cellStyle name="Data Superscript 2 3 11 2" xfId="10941" xr:uid="{00000000-0005-0000-0000-0000DB300000}"/>
    <cellStyle name="Data Superscript 2 3 11 2 2" xfId="10942" xr:uid="{00000000-0005-0000-0000-0000DC300000}"/>
    <cellStyle name="Data Superscript 2 3 11 3" xfId="10943" xr:uid="{00000000-0005-0000-0000-0000DD300000}"/>
    <cellStyle name="Data Superscript 2 3 11 3 2" xfId="10944" xr:uid="{00000000-0005-0000-0000-0000DE300000}"/>
    <cellStyle name="Data Superscript 2 3 11 4" xfId="10945" xr:uid="{00000000-0005-0000-0000-0000DF300000}"/>
    <cellStyle name="Data Superscript 2 3 11 4 2" xfId="10946" xr:uid="{00000000-0005-0000-0000-0000E0300000}"/>
    <cellStyle name="Data Superscript 2 3 11 5" xfId="10947" xr:uid="{00000000-0005-0000-0000-0000E1300000}"/>
    <cellStyle name="Data Superscript 2 3 11 5 2" xfId="10948" xr:uid="{00000000-0005-0000-0000-0000E2300000}"/>
    <cellStyle name="Data Superscript 2 3 11 6" xfId="10949" xr:uid="{00000000-0005-0000-0000-0000E3300000}"/>
    <cellStyle name="Data Superscript 2 3 11 6 2" xfId="10950" xr:uid="{00000000-0005-0000-0000-0000E4300000}"/>
    <cellStyle name="Data Superscript 2 3 11 7" xfId="10951" xr:uid="{00000000-0005-0000-0000-0000E5300000}"/>
    <cellStyle name="Data Superscript 2 3 11 7 2" xfId="10952" xr:uid="{00000000-0005-0000-0000-0000E6300000}"/>
    <cellStyle name="Data Superscript 2 3 11 8" xfId="10953" xr:uid="{00000000-0005-0000-0000-0000E7300000}"/>
    <cellStyle name="Data Superscript 2 3 11 8 2" xfId="10954" xr:uid="{00000000-0005-0000-0000-0000E8300000}"/>
    <cellStyle name="Data Superscript 2 3 11 9" xfId="10955" xr:uid="{00000000-0005-0000-0000-0000E9300000}"/>
    <cellStyle name="Data Superscript 2 3 2" xfId="10956" xr:uid="{00000000-0005-0000-0000-0000EA300000}"/>
    <cellStyle name="Data Superscript 2 3 2 10" xfId="10957" xr:uid="{00000000-0005-0000-0000-0000EB300000}"/>
    <cellStyle name="Data Superscript 2 3 2 2" xfId="10958" xr:uid="{00000000-0005-0000-0000-0000EC300000}"/>
    <cellStyle name="Data Superscript 2 3 2 2 2" xfId="10959" xr:uid="{00000000-0005-0000-0000-0000ED300000}"/>
    <cellStyle name="Data Superscript 2 3 2 3" xfId="10960" xr:uid="{00000000-0005-0000-0000-0000EE300000}"/>
    <cellStyle name="Data Superscript 2 3 2 3 2" xfId="10961" xr:uid="{00000000-0005-0000-0000-0000EF300000}"/>
    <cellStyle name="Data Superscript 2 3 2 4" xfId="10962" xr:uid="{00000000-0005-0000-0000-0000F0300000}"/>
    <cellStyle name="Data Superscript 2 3 2 4 2" xfId="10963" xr:uid="{00000000-0005-0000-0000-0000F1300000}"/>
    <cellStyle name="Data Superscript 2 3 2 5" xfId="10964" xr:uid="{00000000-0005-0000-0000-0000F2300000}"/>
    <cellStyle name="Data Superscript 2 3 2 5 2" xfId="10965" xr:uid="{00000000-0005-0000-0000-0000F3300000}"/>
    <cellStyle name="Data Superscript 2 3 2 6" xfId="10966" xr:uid="{00000000-0005-0000-0000-0000F4300000}"/>
    <cellStyle name="Data Superscript 2 3 2 6 2" xfId="10967" xr:uid="{00000000-0005-0000-0000-0000F5300000}"/>
    <cellStyle name="Data Superscript 2 3 2 7" xfId="10968" xr:uid="{00000000-0005-0000-0000-0000F6300000}"/>
    <cellStyle name="Data Superscript 2 3 2 7 2" xfId="10969" xr:uid="{00000000-0005-0000-0000-0000F7300000}"/>
    <cellStyle name="Data Superscript 2 3 2 8" xfId="10970" xr:uid="{00000000-0005-0000-0000-0000F8300000}"/>
    <cellStyle name="Data Superscript 2 3 2 8 2" xfId="10971" xr:uid="{00000000-0005-0000-0000-0000F9300000}"/>
    <cellStyle name="Data Superscript 2 3 2 9" xfId="10972" xr:uid="{00000000-0005-0000-0000-0000FA300000}"/>
    <cellStyle name="Data Superscript 2 3 2 9 2" xfId="10973" xr:uid="{00000000-0005-0000-0000-0000FB300000}"/>
    <cellStyle name="Data Superscript 2 3 3" xfId="10974" xr:uid="{00000000-0005-0000-0000-0000FC300000}"/>
    <cellStyle name="Data Superscript 2 3 3 10" xfId="10975" xr:uid="{00000000-0005-0000-0000-0000FD300000}"/>
    <cellStyle name="Data Superscript 2 3 3 2" xfId="10976" xr:uid="{00000000-0005-0000-0000-0000FE300000}"/>
    <cellStyle name="Data Superscript 2 3 3 2 2" xfId="10977" xr:uid="{00000000-0005-0000-0000-0000FF300000}"/>
    <cellStyle name="Data Superscript 2 3 3 3" xfId="10978" xr:uid="{00000000-0005-0000-0000-000000310000}"/>
    <cellStyle name="Data Superscript 2 3 3 3 2" xfId="10979" xr:uid="{00000000-0005-0000-0000-000001310000}"/>
    <cellStyle name="Data Superscript 2 3 3 4" xfId="10980" xr:uid="{00000000-0005-0000-0000-000002310000}"/>
    <cellStyle name="Data Superscript 2 3 3 4 2" xfId="10981" xr:uid="{00000000-0005-0000-0000-000003310000}"/>
    <cellStyle name="Data Superscript 2 3 3 5" xfId="10982" xr:uid="{00000000-0005-0000-0000-000004310000}"/>
    <cellStyle name="Data Superscript 2 3 3 5 2" xfId="10983" xr:uid="{00000000-0005-0000-0000-000005310000}"/>
    <cellStyle name="Data Superscript 2 3 3 6" xfId="10984" xr:uid="{00000000-0005-0000-0000-000006310000}"/>
    <cellStyle name="Data Superscript 2 3 3 6 2" xfId="10985" xr:uid="{00000000-0005-0000-0000-000007310000}"/>
    <cellStyle name="Data Superscript 2 3 3 7" xfId="10986" xr:uid="{00000000-0005-0000-0000-000008310000}"/>
    <cellStyle name="Data Superscript 2 3 3 7 2" xfId="10987" xr:uid="{00000000-0005-0000-0000-000009310000}"/>
    <cellStyle name="Data Superscript 2 3 3 8" xfId="10988" xr:uid="{00000000-0005-0000-0000-00000A310000}"/>
    <cellStyle name="Data Superscript 2 3 3 8 2" xfId="10989" xr:uid="{00000000-0005-0000-0000-00000B310000}"/>
    <cellStyle name="Data Superscript 2 3 3 9" xfId="10990" xr:uid="{00000000-0005-0000-0000-00000C310000}"/>
    <cellStyle name="Data Superscript 2 3 3 9 2" xfId="10991" xr:uid="{00000000-0005-0000-0000-00000D310000}"/>
    <cellStyle name="Data Superscript 2 3 4" xfId="10992" xr:uid="{00000000-0005-0000-0000-00000E310000}"/>
    <cellStyle name="Data Superscript 2 3 4 10" xfId="10993" xr:uid="{00000000-0005-0000-0000-00000F310000}"/>
    <cellStyle name="Data Superscript 2 3 4 2" xfId="10994" xr:uid="{00000000-0005-0000-0000-000010310000}"/>
    <cellStyle name="Data Superscript 2 3 4 2 2" xfId="10995" xr:uid="{00000000-0005-0000-0000-000011310000}"/>
    <cellStyle name="Data Superscript 2 3 4 3" xfId="10996" xr:uid="{00000000-0005-0000-0000-000012310000}"/>
    <cellStyle name="Data Superscript 2 3 4 3 2" xfId="10997" xr:uid="{00000000-0005-0000-0000-000013310000}"/>
    <cellStyle name="Data Superscript 2 3 4 4" xfId="10998" xr:uid="{00000000-0005-0000-0000-000014310000}"/>
    <cellStyle name="Data Superscript 2 3 4 4 2" xfId="10999" xr:uid="{00000000-0005-0000-0000-000015310000}"/>
    <cellStyle name="Data Superscript 2 3 4 5" xfId="11000" xr:uid="{00000000-0005-0000-0000-000016310000}"/>
    <cellStyle name="Data Superscript 2 3 4 5 2" xfId="11001" xr:uid="{00000000-0005-0000-0000-000017310000}"/>
    <cellStyle name="Data Superscript 2 3 4 6" xfId="11002" xr:uid="{00000000-0005-0000-0000-000018310000}"/>
    <cellStyle name="Data Superscript 2 3 4 6 2" xfId="11003" xr:uid="{00000000-0005-0000-0000-000019310000}"/>
    <cellStyle name="Data Superscript 2 3 4 7" xfId="11004" xr:uid="{00000000-0005-0000-0000-00001A310000}"/>
    <cellStyle name="Data Superscript 2 3 4 7 2" xfId="11005" xr:uid="{00000000-0005-0000-0000-00001B310000}"/>
    <cellStyle name="Data Superscript 2 3 4 8" xfId="11006" xr:uid="{00000000-0005-0000-0000-00001C310000}"/>
    <cellStyle name="Data Superscript 2 3 4 8 2" xfId="11007" xr:uid="{00000000-0005-0000-0000-00001D310000}"/>
    <cellStyle name="Data Superscript 2 3 4 9" xfId="11008" xr:uid="{00000000-0005-0000-0000-00001E310000}"/>
    <cellStyle name="Data Superscript 2 3 4 9 2" xfId="11009" xr:uid="{00000000-0005-0000-0000-00001F310000}"/>
    <cellStyle name="Data Superscript 2 3 5" xfId="11010" xr:uid="{00000000-0005-0000-0000-000020310000}"/>
    <cellStyle name="Data Superscript 2 3 5 10" xfId="11011" xr:uid="{00000000-0005-0000-0000-000021310000}"/>
    <cellStyle name="Data Superscript 2 3 5 2" xfId="11012" xr:uid="{00000000-0005-0000-0000-000022310000}"/>
    <cellStyle name="Data Superscript 2 3 5 2 2" xfId="11013" xr:uid="{00000000-0005-0000-0000-000023310000}"/>
    <cellStyle name="Data Superscript 2 3 5 3" xfId="11014" xr:uid="{00000000-0005-0000-0000-000024310000}"/>
    <cellStyle name="Data Superscript 2 3 5 3 2" xfId="11015" xr:uid="{00000000-0005-0000-0000-000025310000}"/>
    <cellStyle name="Data Superscript 2 3 5 4" xfId="11016" xr:uid="{00000000-0005-0000-0000-000026310000}"/>
    <cellStyle name="Data Superscript 2 3 5 4 2" xfId="11017" xr:uid="{00000000-0005-0000-0000-000027310000}"/>
    <cellStyle name="Data Superscript 2 3 5 5" xfId="11018" xr:uid="{00000000-0005-0000-0000-000028310000}"/>
    <cellStyle name="Data Superscript 2 3 5 5 2" xfId="11019" xr:uid="{00000000-0005-0000-0000-000029310000}"/>
    <cellStyle name="Data Superscript 2 3 5 6" xfId="11020" xr:uid="{00000000-0005-0000-0000-00002A310000}"/>
    <cellStyle name="Data Superscript 2 3 5 6 2" xfId="11021" xr:uid="{00000000-0005-0000-0000-00002B310000}"/>
    <cellStyle name="Data Superscript 2 3 5 7" xfId="11022" xr:uid="{00000000-0005-0000-0000-00002C310000}"/>
    <cellStyle name="Data Superscript 2 3 5 7 2" xfId="11023" xr:uid="{00000000-0005-0000-0000-00002D310000}"/>
    <cellStyle name="Data Superscript 2 3 5 8" xfId="11024" xr:uid="{00000000-0005-0000-0000-00002E310000}"/>
    <cellStyle name="Data Superscript 2 3 5 8 2" xfId="11025" xr:uid="{00000000-0005-0000-0000-00002F310000}"/>
    <cellStyle name="Data Superscript 2 3 5 9" xfId="11026" xr:uid="{00000000-0005-0000-0000-000030310000}"/>
    <cellStyle name="Data Superscript 2 3 5 9 2" xfId="11027" xr:uid="{00000000-0005-0000-0000-000031310000}"/>
    <cellStyle name="Data Superscript 2 3 6" xfId="11028" xr:uid="{00000000-0005-0000-0000-000032310000}"/>
    <cellStyle name="Data Superscript 2 3 6 10" xfId="11029" xr:uid="{00000000-0005-0000-0000-000033310000}"/>
    <cellStyle name="Data Superscript 2 3 6 2" xfId="11030" xr:uid="{00000000-0005-0000-0000-000034310000}"/>
    <cellStyle name="Data Superscript 2 3 6 2 2" xfId="11031" xr:uid="{00000000-0005-0000-0000-000035310000}"/>
    <cellStyle name="Data Superscript 2 3 6 3" xfId="11032" xr:uid="{00000000-0005-0000-0000-000036310000}"/>
    <cellStyle name="Data Superscript 2 3 6 3 2" xfId="11033" xr:uid="{00000000-0005-0000-0000-000037310000}"/>
    <cellStyle name="Data Superscript 2 3 6 4" xfId="11034" xr:uid="{00000000-0005-0000-0000-000038310000}"/>
    <cellStyle name="Data Superscript 2 3 6 4 2" xfId="11035" xr:uid="{00000000-0005-0000-0000-000039310000}"/>
    <cellStyle name="Data Superscript 2 3 6 5" xfId="11036" xr:uid="{00000000-0005-0000-0000-00003A310000}"/>
    <cellStyle name="Data Superscript 2 3 6 5 2" xfId="11037" xr:uid="{00000000-0005-0000-0000-00003B310000}"/>
    <cellStyle name="Data Superscript 2 3 6 6" xfId="11038" xr:uid="{00000000-0005-0000-0000-00003C310000}"/>
    <cellStyle name="Data Superscript 2 3 6 6 2" xfId="11039" xr:uid="{00000000-0005-0000-0000-00003D310000}"/>
    <cellStyle name="Data Superscript 2 3 6 7" xfId="11040" xr:uid="{00000000-0005-0000-0000-00003E310000}"/>
    <cellStyle name="Data Superscript 2 3 6 7 2" xfId="11041" xr:uid="{00000000-0005-0000-0000-00003F310000}"/>
    <cellStyle name="Data Superscript 2 3 6 8" xfId="11042" xr:uid="{00000000-0005-0000-0000-000040310000}"/>
    <cellStyle name="Data Superscript 2 3 6 8 2" xfId="11043" xr:uid="{00000000-0005-0000-0000-000041310000}"/>
    <cellStyle name="Data Superscript 2 3 6 9" xfId="11044" xr:uid="{00000000-0005-0000-0000-000042310000}"/>
    <cellStyle name="Data Superscript 2 3 6 9 2" xfId="11045" xr:uid="{00000000-0005-0000-0000-000043310000}"/>
    <cellStyle name="Data Superscript 2 3 7" xfId="11046" xr:uid="{00000000-0005-0000-0000-000044310000}"/>
    <cellStyle name="Data Superscript 2 3 7 10" xfId="11047" xr:uid="{00000000-0005-0000-0000-000045310000}"/>
    <cellStyle name="Data Superscript 2 3 7 2" xfId="11048" xr:uid="{00000000-0005-0000-0000-000046310000}"/>
    <cellStyle name="Data Superscript 2 3 7 2 2" xfId="11049" xr:uid="{00000000-0005-0000-0000-000047310000}"/>
    <cellStyle name="Data Superscript 2 3 7 3" xfId="11050" xr:uid="{00000000-0005-0000-0000-000048310000}"/>
    <cellStyle name="Data Superscript 2 3 7 3 2" xfId="11051" xr:uid="{00000000-0005-0000-0000-000049310000}"/>
    <cellStyle name="Data Superscript 2 3 7 4" xfId="11052" xr:uid="{00000000-0005-0000-0000-00004A310000}"/>
    <cellStyle name="Data Superscript 2 3 7 4 2" xfId="11053" xr:uid="{00000000-0005-0000-0000-00004B310000}"/>
    <cellStyle name="Data Superscript 2 3 7 5" xfId="11054" xr:uid="{00000000-0005-0000-0000-00004C310000}"/>
    <cellStyle name="Data Superscript 2 3 7 5 2" xfId="11055" xr:uid="{00000000-0005-0000-0000-00004D310000}"/>
    <cellStyle name="Data Superscript 2 3 7 6" xfId="11056" xr:uid="{00000000-0005-0000-0000-00004E310000}"/>
    <cellStyle name="Data Superscript 2 3 7 6 2" xfId="11057" xr:uid="{00000000-0005-0000-0000-00004F310000}"/>
    <cellStyle name="Data Superscript 2 3 7 7" xfId="11058" xr:uid="{00000000-0005-0000-0000-000050310000}"/>
    <cellStyle name="Data Superscript 2 3 7 7 2" xfId="11059" xr:uid="{00000000-0005-0000-0000-000051310000}"/>
    <cellStyle name="Data Superscript 2 3 7 8" xfId="11060" xr:uid="{00000000-0005-0000-0000-000052310000}"/>
    <cellStyle name="Data Superscript 2 3 7 8 2" xfId="11061" xr:uid="{00000000-0005-0000-0000-000053310000}"/>
    <cellStyle name="Data Superscript 2 3 7 9" xfId="11062" xr:uid="{00000000-0005-0000-0000-000054310000}"/>
    <cellStyle name="Data Superscript 2 3 7 9 2" xfId="11063" xr:uid="{00000000-0005-0000-0000-000055310000}"/>
    <cellStyle name="Data Superscript 2 3 8" xfId="11064" xr:uid="{00000000-0005-0000-0000-000056310000}"/>
    <cellStyle name="Data Superscript 2 3 8 10" xfId="11065" xr:uid="{00000000-0005-0000-0000-000057310000}"/>
    <cellStyle name="Data Superscript 2 3 8 2" xfId="11066" xr:uid="{00000000-0005-0000-0000-000058310000}"/>
    <cellStyle name="Data Superscript 2 3 8 2 2" xfId="11067" xr:uid="{00000000-0005-0000-0000-000059310000}"/>
    <cellStyle name="Data Superscript 2 3 8 3" xfId="11068" xr:uid="{00000000-0005-0000-0000-00005A310000}"/>
    <cellStyle name="Data Superscript 2 3 8 3 2" xfId="11069" xr:uid="{00000000-0005-0000-0000-00005B310000}"/>
    <cellStyle name="Data Superscript 2 3 8 4" xfId="11070" xr:uid="{00000000-0005-0000-0000-00005C310000}"/>
    <cellStyle name="Data Superscript 2 3 8 4 2" xfId="11071" xr:uid="{00000000-0005-0000-0000-00005D310000}"/>
    <cellStyle name="Data Superscript 2 3 8 5" xfId="11072" xr:uid="{00000000-0005-0000-0000-00005E310000}"/>
    <cellStyle name="Data Superscript 2 3 8 5 2" xfId="11073" xr:uid="{00000000-0005-0000-0000-00005F310000}"/>
    <cellStyle name="Data Superscript 2 3 8 6" xfId="11074" xr:uid="{00000000-0005-0000-0000-000060310000}"/>
    <cellStyle name="Data Superscript 2 3 8 6 2" xfId="11075" xr:uid="{00000000-0005-0000-0000-000061310000}"/>
    <cellStyle name="Data Superscript 2 3 8 7" xfId="11076" xr:uid="{00000000-0005-0000-0000-000062310000}"/>
    <cellStyle name="Data Superscript 2 3 8 7 2" xfId="11077" xr:uid="{00000000-0005-0000-0000-000063310000}"/>
    <cellStyle name="Data Superscript 2 3 8 8" xfId="11078" xr:uid="{00000000-0005-0000-0000-000064310000}"/>
    <cellStyle name="Data Superscript 2 3 8 8 2" xfId="11079" xr:uid="{00000000-0005-0000-0000-000065310000}"/>
    <cellStyle name="Data Superscript 2 3 8 9" xfId="11080" xr:uid="{00000000-0005-0000-0000-000066310000}"/>
    <cellStyle name="Data Superscript 2 3 8 9 2" xfId="11081" xr:uid="{00000000-0005-0000-0000-000067310000}"/>
    <cellStyle name="Data Superscript 2 3 9" xfId="11082" xr:uid="{00000000-0005-0000-0000-000068310000}"/>
    <cellStyle name="Data Superscript 2 3 9 10" xfId="11083" xr:uid="{00000000-0005-0000-0000-000069310000}"/>
    <cellStyle name="Data Superscript 2 3 9 2" xfId="11084" xr:uid="{00000000-0005-0000-0000-00006A310000}"/>
    <cellStyle name="Data Superscript 2 3 9 2 2" xfId="11085" xr:uid="{00000000-0005-0000-0000-00006B310000}"/>
    <cellStyle name="Data Superscript 2 3 9 3" xfId="11086" xr:uid="{00000000-0005-0000-0000-00006C310000}"/>
    <cellStyle name="Data Superscript 2 3 9 3 2" xfId="11087" xr:uid="{00000000-0005-0000-0000-00006D310000}"/>
    <cellStyle name="Data Superscript 2 3 9 4" xfId="11088" xr:uid="{00000000-0005-0000-0000-00006E310000}"/>
    <cellStyle name="Data Superscript 2 3 9 4 2" xfId="11089" xr:uid="{00000000-0005-0000-0000-00006F310000}"/>
    <cellStyle name="Data Superscript 2 3 9 5" xfId="11090" xr:uid="{00000000-0005-0000-0000-000070310000}"/>
    <cellStyle name="Data Superscript 2 3 9 5 2" xfId="11091" xr:uid="{00000000-0005-0000-0000-000071310000}"/>
    <cellStyle name="Data Superscript 2 3 9 6" xfId="11092" xr:uid="{00000000-0005-0000-0000-000072310000}"/>
    <cellStyle name="Data Superscript 2 3 9 6 2" xfId="11093" xr:uid="{00000000-0005-0000-0000-000073310000}"/>
    <cellStyle name="Data Superscript 2 3 9 7" xfId="11094" xr:uid="{00000000-0005-0000-0000-000074310000}"/>
    <cellStyle name="Data Superscript 2 3 9 7 2" xfId="11095" xr:uid="{00000000-0005-0000-0000-000075310000}"/>
    <cellStyle name="Data Superscript 2 3 9 8" xfId="11096" xr:uid="{00000000-0005-0000-0000-000076310000}"/>
    <cellStyle name="Data Superscript 2 3 9 8 2" xfId="11097" xr:uid="{00000000-0005-0000-0000-000077310000}"/>
    <cellStyle name="Data Superscript 2 3 9 9" xfId="11098" xr:uid="{00000000-0005-0000-0000-000078310000}"/>
    <cellStyle name="Data Superscript 2 3 9 9 2" xfId="11099" xr:uid="{00000000-0005-0000-0000-000079310000}"/>
    <cellStyle name="Data Superscript 2 4" xfId="11100" xr:uid="{00000000-0005-0000-0000-00007A310000}"/>
    <cellStyle name="Data Superscript 2 4 10" xfId="11101" xr:uid="{00000000-0005-0000-0000-00007B310000}"/>
    <cellStyle name="Data Superscript 2 4 10 2" xfId="11102" xr:uid="{00000000-0005-0000-0000-00007C310000}"/>
    <cellStyle name="Data Superscript 2 4 10 2 2" xfId="11103" xr:uid="{00000000-0005-0000-0000-00007D310000}"/>
    <cellStyle name="Data Superscript 2 4 10 3" xfId="11104" xr:uid="{00000000-0005-0000-0000-00007E310000}"/>
    <cellStyle name="Data Superscript 2 4 10 3 2" xfId="11105" xr:uid="{00000000-0005-0000-0000-00007F310000}"/>
    <cellStyle name="Data Superscript 2 4 10 4" xfId="11106" xr:uid="{00000000-0005-0000-0000-000080310000}"/>
    <cellStyle name="Data Superscript 2 4 10 4 2" xfId="11107" xr:uid="{00000000-0005-0000-0000-000081310000}"/>
    <cellStyle name="Data Superscript 2 4 10 5" xfId="11108" xr:uid="{00000000-0005-0000-0000-000082310000}"/>
    <cellStyle name="Data Superscript 2 4 10 5 2" xfId="11109" xr:uid="{00000000-0005-0000-0000-000083310000}"/>
    <cellStyle name="Data Superscript 2 4 10 6" xfId="11110" xr:uid="{00000000-0005-0000-0000-000084310000}"/>
    <cellStyle name="Data Superscript 2 4 10 6 2" xfId="11111" xr:uid="{00000000-0005-0000-0000-000085310000}"/>
    <cellStyle name="Data Superscript 2 4 10 7" xfId="11112" xr:uid="{00000000-0005-0000-0000-000086310000}"/>
    <cellStyle name="Data Superscript 2 4 10 7 2" xfId="11113" xr:uid="{00000000-0005-0000-0000-000087310000}"/>
    <cellStyle name="Data Superscript 2 4 10 8" xfId="11114" xr:uid="{00000000-0005-0000-0000-000088310000}"/>
    <cellStyle name="Data Superscript 2 4 10 8 2" xfId="11115" xr:uid="{00000000-0005-0000-0000-000089310000}"/>
    <cellStyle name="Data Superscript 2 4 10 9" xfId="11116" xr:uid="{00000000-0005-0000-0000-00008A310000}"/>
    <cellStyle name="Data Superscript 2 4 11" xfId="11117" xr:uid="{00000000-0005-0000-0000-00008B310000}"/>
    <cellStyle name="Data Superscript 2 4 11 2" xfId="11118" xr:uid="{00000000-0005-0000-0000-00008C310000}"/>
    <cellStyle name="Data Superscript 2 4 12" xfId="11119" xr:uid="{00000000-0005-0000-0000-00008D310000}"/>
    <cellStyle name="Data Superscript 2 4 12 2" xfId="11120" xr:uid="{00000000-0005-0000-0000-00008E310000}"/>
    <cellStyle name="Data Superscript 2 4 13" xfId="11121" xr:uid="{00000000-0005-0000-0000-00008F310000}"/>
    <cellStyle name="Data Superscript 2 4 13 2" xfId="11122" xr:uid="{00000000-0005-0000-0000-000090310000}"/>
    <cellStyle name="Data Superscript 2 4 14" xfId="11123" xr:uid="{00000000-0005-0000-0000-000091310000}"/>
    <cellStyle name="Data Superscript 2 4 14 2" xfId="11124" xr:uid="{00000000-0005-0000-0000-000092310000}"/>
    <cellStyle name="Data Superscript 2 4 15" xfId="11125" xr:uid="{00000000-0005-0000-0000-000093310000}"/>
    <cellStyle name="Data Superscript 2 4 15 2" xfId="11126" xr:uid="{00000000-0005-0000-0000-000094310000}"/>
    <cellStyle name="Data Superscript 2 4 16" xfId="11127" xr:uid="{00000000-0005-0000-0000-000095310000}"/>
    <cellStyle name="Data Superscript 2 4 16 2" xfId="11128" xr:uid="{00000000-0005-0000-0000-000096310000}"/>
    <cellStyle name="Data Superscript 2 4 17" xfId="11129" xr:uid="{00000000-0005-0000-0000-000097310000}"/>
    <cellStyle name="Data Superscript 2 4 17 2" xfId="11130" xr:uid="{00000000-0005-0000-0000-000098310000}"/>
    <cellStyle name="Data Superscript 2 4 18" xfId="11131" xr:uid="{00000000-0005-0000-0000-000099310000}"/>
    <cellStyle name="Data Superscript 2 4 2" xfId="11132" xr:uid="{00000000-0005-0000-0000-00009A310000}"/>
    <cellStyle name="Data Superscript 2 4 2 10" xfId="11133" xr:uid="{00000000-0005-0000-0000-00009B310000}"/>
    <cellStyle name="Data Superscript 2 4 2 2" xfId="11134" xr:uid="{00000000-0005-0000-0000-00009C310000}"/>
    <cellStyle name="Data Superscript 2 4 2 2 2" xfId="11135" xr:uid="{00000000-0005-0000-0000-00009D310000}"/>
    <cellStyle name="Data Superscript 2 4 2 3" xfId="11136" xr:uid="{00000000-0005-0000-0000-00009E310000}"/>
    <cellStyle name="Data Superscript 2 4 2 3 2" xfId="11137" xr:uid="{00000000-0005-0000-0000-00009F310000}"/>
    <cellStyle name="Data Superscript 2 4 2 4" xfId="11138" xr:uid="{00000000-0005-0000-0000-0000A0310000}"/>
    <cellStyle name="Data Superscript 2 4 2 4 2" xfId="11139" xr:uid="{00000000-0005-0000-0000-0000A1310000}"/>
    <cellStyle name="Data Superscript 2 4 2 5" xfId="11140" xr:uid="{00000000-0005-0000-0000-0000A2310000}"/>
    <cellStyle name="Data Superscript 2 4 2 5 2" xfId="11141" xr:uid="{00000000-0005-0000-0000-0000A3310000}"/>
    <cellStyle name="Data Superscript 2 4 2 6" xfId="11142" xr:uid="{00000000-0005-0000-0000-0000A4310000}"/>
    <cellStyle name="Data Superscript 2 4 2 6 2" xfId="11143" xr:uid="{00000000-0005-0000-0000-0000A5310000}"/>
    <cellStyle name="Data Superscript 2 4 2 7" xfId="11144" xr:uid="{00000000-0005-0000-0000-0000A6310000}"/>
    <cellStyle name="Data Superscript 2 4 2 7 2" xfId="11145" xr:uid="{00000000-0005-0000-0000-0000A7310000}"/>
    <cellStyle name="Data Superscript 2 4 2 8" xfId="11146" xr:uid="{00000000-0005-0000-0000-0000A8310000}"/>
    <cellStyle name="Data Superscript 2 4 2 8 2" xfId="11147" xr:uid="{00000000-0005-0000-0000-0000A9310000}"/>
    <cellStyle name="Data Superscript 2 4 2 9" xfId="11148" xr:uid="{00000000-0005-0000-0000-0000AA310000}"/>
    <cellStyle name="Data Superscript 2 4 2 9 2" xfId="11149" xr:uid="{00000000-0005-0000-0000-0000AB310000}"/>
    <cellStyle name="Data Superscript 2 4 3" xfId="11150" xr:uid="{00000000-0005-0000-0000-0000AC310000}"/>
    <cellStyle name="Data Superscript 2 4 3 10" xfId="11151" xr:uid="{00000000-0005-0000-0000-0000AD310000}"/>
    <cellStyle name="Data Superscript 2 4 3 2" xfId="11152" xr:uid="{00000000-0005-0000-0000-0000AE310000}"/>
    <cellStyle name="Data Superscript 2 4 3 2 2" xfId="11153" xr:uid="{00000000-0005-0000-0000-0000AF310000}"/>
    <cellStyle name="Data Superscript 2 4 3 3" xfId="11154" xr:uid="{00000000-0005-0000-0000-0000B0310000}"/>
    <cellStyle name="Data Superscript 2 4 3 3 2" xfId="11155" xr:uid="{00000000-0005-0000-0000-0000B1310000}"/>
    <cellStyle name="Data Superscript 2 4 3 4" xfId="11156" xr:uid="{00000000-0005-0000-0000-0000B2310000}"/>
    <cellStyle name="Data Superscript 2 4 3 4 2" xfId="11157" xr:uid="{00000000-0005-0000-0000-0000B3310000}"/>
    <cellStyle name="Data Superscript 2 4 3 5" xfId="11158" xr:uid="{00000000-0005-0000-0000-0000B4310000}"/>
    <cellStyle name="Data Superscript 2 4 3 5 2" xfId="11159" xr:uid="{00000000-0005-0000-0000-0000B5310000}"/>
    <cellStyle name="Data Superscript 2 4 3 6" xfId="11160" xr:uid="{00000000-0005-0000-0000-0000B6310000}"/>
    <cellStyle name="Data Superscript 2 4 3 6 2" xfId="11161" xr:uid="{00000000-0005-0000-0000-0000B7310000}"/>
    <cellStyle name="Data Superscript 2 4 3 7" xfId="11162" xr:uid="{00000000-0005-0000-0000-0000B8310000}"/>
    <cellStyle name="Data Superscript 2 4 3 7 2" xfId="11163" xr:uid="{00000000-0005-0000-0000-0000B9310000}"/>
    <cellStyle name="Data Superscript 2 4 3 8" xfId="11164" xr:uid="{00000000-0005-0000-0000-0000BA310000}"/>
    <cellStyle name="Data Superscript 2 4 3 8 2" xfId="11165" xr:uid="{00000000-0005-0000-0000-0000BB310000}"/>
    <cellStyle name="Data Superscript 2 4 3 9" xfId="11166" xr:uid="{00000000-0005-0000-0000-0000BC310000}"/>
    <cellStyle name="Data Superscript 2 4 3 9 2" xfId="11167" xr:uid="{00000000-0005-0000-0000-0000BD310000}"/>
    <cellStyle name="Data Superscript 2 4 4" xfId="11168" xr:uid="{00000000-0005-0000-0000-0000BE310000}"/>
    <cellStyle name="Data Superscript 2 4 4 10" xfId="11169" xr:uid="{00000000-0005-0000-0000-0000BF310000}"/>
    <cellStyle name="Data Superscript 2 4 4 2" xfId="11170" xr:uid="{00000000-0005-0000-0000-0000C0310000}"/>
    <cellStyle name="Data Superscript 2 4 4 2 2" xfId="11171" xr:uid="{00000000-0005-0000-0000-0000C1310000}"/>
    <cellStyle name="Data Superscript 2 4 4 3" xfId="11172" xr:uid="{00000000-0005-0000-0000-0000C2310000}"/>
    <cellStyle name="Data Superscript 2 4 4 3 2" xfId="11173" xr:uid="{00000000-0005-0000-0000-0000C3310000}"/>
    <cellStyle name="Data Superscript 2 4 4 4" xfId="11174" xr:uid="{00000000-0005-0000-0000-0000C4310000}"/>
    <cellStyle name="Data Superscript 2 4 4 4 2" xfId="11175" xr:uid="{00000000-0005-0000-0000-0000C5310000}"/>
    <cellStyle name="Data Superscript 2 4 4 5" xfId="11176" xr:uid="{00000000-0005-0000-0000-0000C6310000}"/>
    <cellStyle name="Data Superscript 2 4 4 5 2" xfId="11177" xr:uid="{00000000-0005-0000-0000-0000C7310000}"/>
    <cellStyle name="Data Superscript 2 4 4 6" xfId="11178" xr:uid="{00000000-0005-0000-0000-0000C8310000}"/>
    <cellStyle name="Data Superscript 2 4 4 6 2" xfId="11179" xr:uid="{00000000-0005-0000-0000-0000C9310000}"/>
    <cellStyle name="Data Superscript 2 4 4 7" xfId="11180" xr:uid="{00000000-0005-0000-0000-0000CA310000}"/>
    <cellStyle name="Data Superscript 2 4 4 7 2" xfId="11181" xr:uid="{00000000-0005-0000-0000-0000CB310000}"/>
    <cellStyle name="Data Superscript 2 4 4 8" xfId="11182" xr:uid="{00000000-0005-0000-0000-0000CC310000}"/>
    <cellStyle name="Data Superscript 2 4 4 8 2" xfId="11183" xr:uid="{00000000-0005-0000-0000-0000CD310000}"/>
    <cellStyle name="Data Superscript 2 4 4 9" xfId="11184" xr:uid="{00000000-0005-0000-0000-0000CE310000}"/>
    <cellStyle name="Data Superscript 2 4 4 9 2" xfId="11185" xr:uid="{00000000-0005-0000-0000-0000CF310000}"/>
    <cellStyle name="Data Superscript 2 4 5" xfId="11186" xr:uid="{00000000-0005-0000-0000-0000D0310000}"/>
    <cellStyle name="Data Superscript 2 4 5 10" xfId="11187" xr:uid="{00000000-0005-0000-0000-0000D1310000}"/>
    <cellStyle name="Data Superscript 2 4 5 2" xfId="11188" xr:uid="{00000000-0005-0000-0000-0000D2310000}"/>
    <cellStyle name="Data Superscript 2 4 5 2 2" xfId="11189" xr:uid="{00000000-0005-0000-0000-0000D3310000}"/>
    <cellStyle name="Data Superscript 2 4 5 3" xfId="11190" xr:uid="{00000000-0005-0000-0000-0000D4310000}"/>
    <cellStyle name="Data Superscript 2 4 5 3 2" xfId="11191" xr:uid="{00000000-0005-0000-0000-0000D5310000}"/>
    <cellStyle name="Data Superscript 2 4 5 4" xfId="11192" xr:uid="{00000000-0005-0000-0000-0000D6310000}"/>
    <cellStyle name="Data Superscript 2 4 5 4 2" xfId="11193" xr:uid="{00000000-0005-0000-0000-0000D7310000}"/>
    <cellStyle name="Data Superscript 2 4 5 5" xfId="11194" xr:uid="{00000000-0005-0000-0000-0000D8310000}"/>
    <cellStyle name="Data Superscript 2 4 5 5 2" xfId="11195" xr:uid="{00000000-0005-0000-0000-0000D9310000}"/>
    <cellStyle name="Data Superscript 2 4 5 6" xfId="11196" xr:uid="{00000000-0005-0000-0000-0000DA310000}"/>
    <cellStyle name="Data Superscript 2 4 5 6 2" xfId="11197" xr:uid="{00000000-0005-0000-0000-0000DB310000}"/>
    <cellStyle name="Data Superscript 2 4 5 7" xfId="11198" xr:uid="{00000000-0005-0000-0000-0000DC310000}"/>
    <cellStyle name="Data Superscript 2 4 5 7 2" xfId="11199" xr:uid="{00000000-0005-0000-0000-0000DD310000}"/>
    <cellStyle name="Data Superscript 2 4 5 8" xfId="11200" xr:uid="{00000000-0005-0000-0000-0000DE310000}"/>
    <cellStyle name="Data Superscript 2 4 5 8 2" xfId="11201" xr:uid="{00000000-0005-0000-0000-0000DF310000}"/>
    <cellStyle name="Data Superscript 2 4 5 9" xfId="11202" xr:uid="{00000000-0005-0000-0000-0000E0310000}"/>
    <cellStyle name="Data Superscript 2 4 5 9 2" xfId="11203" xr:uid="{00000000-0005-0000-0000-0000E1310000}"/>
    <cellStyle name="Data Superscript 2 4 6" xfId="11204" xr:uid="{00000000-0005-0000-0000-0000E2310000}"/>
    <cellStyle name="Data Superscript 2 4 6 10" xfId="11205" xr:uid="{00000000-0005-0000-0000-0000E3310000}"/>
    <cellStyle name="Data Superscript 2 4 6 2" xfId="11206" xr:uid="{00000000-0005-0000-0000-0000E4310000}"/>
    <cellStyle name="Data Superscript 2 4 6 2 2" xfId="11207" xr:uid="{00000000-0005-0000-0000-0000E5310000}"/>
    <cellStyle name="Data Superscript 2 4 6 3" xfId="11208" xr:uid="{00000000-0005-0000-0000-0000E6310000}"/>
    <cellStyle name="Data Superscript 2 4 6 3 2" xfId="11209" xr:uid="{00000000-0005-0000-0000-0000E7310000}"/>
    <cellStyle name="Data Superscript 2 4 6 4" xfId="11210" xr:uid="{00000000-0005-0000-0000-0000E8310000}"/>
    <cellStyle name="Data Superscript 2 4 6 4 2" xfId="11211" xr:uid="{00000000-0005-0000-0000-0000E9310000}"/>
    <cellStyle name="Data Superscript 2 4 6 5" xfId="11212" xr:uid="{00000000-0005-0000-0000-0000EA310000}"/>
    <cellStyle name="Data Superscript 2 4 6 5 2" xfId="11213" xr:uid="{00000000-0005-0000-0000-0000EB310000}"/>
    <cellStyle name="Data Superscript 2 4 6 6" xfId="11214" xr:uid="{00000000-0005-0000-0000-0000EC310000}"/>
    <cellStyle name="Data Superscript 2 4 6 6 2" xfId="11215" xr:uid="{00000000-0005-0000-0000-0000ED310000}"/>
    <cellStyle name="Data Superscript 2 4 6 7" xfId="11216" xr:uid="{00000000-0005-0000-0000-0000EE310000}"/>
    <cellStyle name="Data Superscript 2 4 6 7 2" xfId="11217" xr:uid="{00000000-0005-0000-0000-0000EF310000}"/>
    <cellStyle name="Data Superscript 2 4 6 8" xfId="11218" xr:uid="{00000000-0005-0000-0000-0000F0310000}"/>
    <cellStyle name="Data Superscript 2 4 6 8 2" xfId="11219" xr:uid="{00000000-0005-0000-0000-0000F1310000}"/>
    <cellStyle name="Data Superscript 2 4 6 9" xfId="11220" xr:uid="{00000000-0005-0000-0000-0000F2310000}"/>
    <cellStyle name="Data Superscript 2 4 6 9 2" xfId="11221" xr:uid="{00000000-0005-0000-0000-0000F3310000}"/>
    <cellStyle name="Data Superscript 2 4 7" xfId="11222" xr:uid="{00000000-0005-0000-0000-0000F4310000}"/>
    <cellStyle name="Data Superscript 2 4 7 10" xfId="11223" xr:uid="{00000000-0005-0000-0000-0000F5310000}"/>
    <cellStyle name="Data Superscript 2 4 7 2" xfId="11224" xr:uid="{00000000-0005-0000-0000-0000F6310000}"/>
    <cellStyle name="Data Superscript 2 4 7 2 2" xfId="11225" xr:uid="{00000000-0005-0000-0000-0000F7310000}"/>
    <cellStyle name="Data Superscript 2 4 7 3" xfId="11226" xr:uid="{00000000-0005-0000-0000-0000F8310000}"/>
    <cellStyle name="Data Superscript 2 4 7 3 2" xfId="11227" xr:uid="{00000000-0005-0000-0000-0000F9310000}"/>
    <cellStyle name="Data Superscript 2 4 7 4" xfId="11228" xr:uid="{00000000-0005-0000-0000-0000FA310000}"/>
    <cellStyle name="Data Superscript 2 4 7 4 2" xfId="11229" xr:uid="{00000000-0005-0000-0000-0000FB310000}"/>
    <cellStyle name="Data Superscript 2 4 7 5" xfId="11230" xr:uid="{00000000-0005-0000-0000-0000FC310000}"/>
    <cellStyle name="Data Superscript 2 4 7 5 2" xfId="11231" xr:uid="{00000000-0005-0000-0000-0000FD310000}"/>
    <cellStyle name="Data Superscript 2 4 7 6" xfId="11232" xr:uid="{00000000-0005-0000-0000-0000FE310000}"/>
    <cellStyle name="Data Superscript 2 4 7 6 2" xfId="11233" xr:uid="{00000000-0005-0000-0000-0000FF310000}"/>
    <cellStyle name="Data Superscript 2 4 7 7" xfId="11234" xr:uid="{00000000-0005-0000-0000-000000320000}"/>
    <cellStyle name="Data Superscript 2 4 7 7 2" xfId="11235" xr:uid="{00000000-0005-0000-0000-000001320000}"/>
    <cellStyle name="Data Superscript 2 4 7 8" xfId="11236" xr:uid="{00000000-0005-0000-0000-000002320000}"/>
    <cellStyle name="Data Superscript 2 4 7 8 2" xfId="11237" xr:uid="{00000000-0005-0000-0000-000003320000}"/>
    <cellStyle name="Data Superscript 2 4 7 9" xfId="11238" xr:uid="{00000000-0005-0000-0000-000004320000}"/>
    <cellStyle name="Data Superscript 2 4 7 9 2" xfId="11239" xr:uid="{00000000-0005-0000-0000-000005320000}"/>
    <cellStyle name="Data Superscript 2 4 8" xfId="11240" xr:uid="{00000000-0005-0000-0000-000006320000}"/>
    <cellStyle name="Data Superscript 2 4 8 10" xfId="11241" xr:uid="{00000000-0005-0000-0000-000007320000}"/>
    <cellStyle name="Data Superscript 2 4 8 2" xfId="11242" xr:uid="{00000000-0005-0000-0000-000008320000}"/>
    <cellStyle name="Data Superscript 2 4 8 2 2" xfId="11243" xr:uid="{00000000-0005-0000-0000-000009320000}"/>
    <cellStyle name="Data Superscript 2 4 8 3" xfId="11244" xr:uid="{00000000-0005-0000-0000-00000A320000}"/>
    <cellStyle name="Data Superscript 2 4 8 3 2" xfId="11245" xr:uid="{00000000-0005-0000-0000-00000B320000}"/>
    <cellStyle name="Data Superscript 2 4 8 4" xfId="11246" xr:uid="{00000000-0005-0000-0000-00000C320000}"/>
    <cellStyle name="Data Superscript 2 4 8 4 2" xfId="11247" xr:uid="{00000000-0005-0000-0000-00000D320000}"/>
    <cellStyle name="Data Superscript 2 4 8 5" xfId="11248" xr:uid="{00000000-0005-0000-0000-00000E320000}"/>
    <cellStyle name="Data Superscript 2 4 8 5 2" xfId="11249" xr:uid="{00000000-0005-0000-0000-00000F320000}"/>
    <cellStyle name="Data Superscript 2 4 8 6" xfId="11250" xr:uid="{00000000-0005-0000-0000-000010320000}"/>
    <cellStyle name="Data Superscript 2 4 8 6 2" xfId="11251" xr:uid="{00000000-0005-0000-0000-000011320000}"/>
    <cellStyle name="Data Superscript 2 4 8 7" xfId="11252" xr:uid="{00000000-0005-0000-0000-000012320000}"/>
    <cellStyle name="Data Superscript 2 4 8 7 2" xfId="11253" xr:uid="{00000000-0005-0000-0000-000013320000}"/>
    <cellStyle name="Data Superscript 2 4 8 8" xfId="11254" xr:uid="{00000000-0005-0000-0000-000014320000}"/>
    <cellStyle name="Data Superscript 2 4 8 8 2" xfId="11255" xr:uid="{00000000-0005-0000-0000-000015320000}"/>
    <cellStyle name="Data Superscript 2 4 8 9" xfId="11256" xr:uid="{00000000-0005-0000-0000-000016320000}"/>
    <cellStyle name="Data Superscript 2 4 8 9 2" xfId="11257" xr:uid="{00000000-0005-0000-0000-000017320000}"/>
    <cellStyle name="Data Superscript 2 4 9" xfId="11258" xr:uid="{00000000-0005-0000-0000-000018320000}"/>
    <cellStyle name="Data Superscript 2 4 9 10" xfId="11259" xr:uid="{00000000-0005-0000-0000-000019320000}"/>
    <cellStyle name="Data Superscript 2 4 9 2" xfId="11260" xr:uid="{00000000-0005-0000-0000-00001A320000}"/>
    <cellStyle name="Data Superscript 2 4 9 2 2" xfId="11261" xr:uid="{00000000-0005-0000-0000-00001B320000}"/>
    <cellStyle name="Data Superscript 2 4 9 3" xfId="11262" xr:uid="{00000000-0005-0000-0000-00001C320000}"/>
    <cellStyle name="Data Superscript 2 4 9 3 2" xfId="11263" xr:uid="{00000000-0005-0000-0000-00001D320000}"/>
    <cellStyle name="Data Superscript 2 4 9 4" xfId="11264" xr:uid="{00000000-0005-0000-0000-00001E320000}"/>
    <cellStyle name="Data Superscript 2 4 9 4 2" xfId="11265" xr:uid="{00000000-0005-0000-0000-00001F320000}"/>
    <cellStyle name="Data Superscript 2 4 9 5" xfId="11266" xr:uid="{00000000-0005-0000-0000-000020320000}"/>
    <cellStyle name="Data Superscript 2 4 9 5 2" xfId="11267" xr:uid="{00000000-0005-0000-0000-000021320000}"/>
    <cellStyle name="Data Superscript 2 4 9 6" xfId="11268" xr:uid="{00000000-0005-0000-0000-000022320000}"/>
    <cellStyle name="Data Superscript 2 4 9 6 2" xfId="11269" xr:uid="{00000000-0005-0000-0000-000023320000}"/>
    <cellStyle name="Data Superscript 2 4 9 7" xfId="11270" xr:uid="{00000000-0005-0000-0000-000024320000}"/>
    <cellStyle name="Data Superscript 2 4 9 7 2" xfId="11271" xr:uid="{00000000-0005-0000-0000-000025320000}"/>
    <cellStyle name="Data Superscript 2 4 9 8" xfId="11272" xr:uid="{00000000-0005-0000-0000-000026320000}"/>
    <cellStyle name="Data Superscript 2 4 9 8 2" xfId="11273" xr:uid="{00000000-0005-0000-0000-000027320000}"/>
    <cellStyle name="Data Superscript 2 4 9 9" xfId="11274" xr:uid="{00000000-0005-0000-0000-000028320000}"/>
    <cellStyle name="Data Superscript 2 4 9 9 2" xfId="11275" xr:uid="{00000000-0005-0000-0000-000029320000}"/>
    <cellStyle name="Data Superscript 2 5" xfId="11276" xr:uid="{00000000-0005-0000-0000-00002A320000}"/>
    <cellStyle name="Data Superscript 2 5 10" xfId="11277" xr:uid="{00000000-0005-0000-0000-00002B320000}"/>
    <cellStyle name="Data Superscript 2 5 10 2" xfId="11278" xr:uid="{00000000-0005-0000-0000-00002C320000}"/>
    <cellStyle name="Data Superscript 2 5 10 2 2" xfId="11279" xr:uid="{00000000-0005-0000-0000-00002D320000}"/>
    <cellStyle name="Data Superscript 2 5 10 3" xfId="11280" xr:uid="{00000000-0005-0000-0000-00002E320000}"/>
    <cellStyle name="Data Superscript 2 5 10 3 2" xfId="11281" xr:uid="{00000000-0005-0000-0000-00002F320000}"/>
    <cellStyle name="Data Superscript 2 5 10 4" xfId="11282" xr:uid="{00000000-0005-0000-0000-000030320000}"/>
    <cellStyle name="Data Superscript 2 5 10 4 2" xfId="11283" xr:uid="{00000000-0005-0000-0000-000031320000}"/>
    <cellStyle name="Data Superscript 2 5 10 5" xfId="11284" xr:uid="{00000000-0005-0000-0000-000032320000}"/>
    <cellStyle name="Data Superscript 2 5 10 5 2" xfId="11285" xr:uid="{00000000-0005-0000-0000-000033320000}"/>
    <cellStyle name="Data Superscript 2 5 10 6" xfId="11286" xr:uid="{00000000-0005-0000-0000-000034320000}"/>
    <cellStyle name="Data Superscript 2 5 10 6 2" xfId="11287" xr:uid="{00000000-0005-0000-0000-000035320000}"/>
    <cellStyle name="Data Superscript 2 5 10 7" xfId="11288" xr:uid="{00000000-0005-0000-0000-000036320000}"/>
    <cellStyle name="Data Superscript 2 5 10 7 2" xfId="11289" xr:uid="{00000000-0005-0000-0000-000037320000}"/>
    <cellStyle name="Data Superscript 2 5 10 8" xfId="11290" xr:uid="{00000000-0005-0000-0000-000038320000}"/>
    <cellStyle name="Data Superscript 2 5 10 8 2" xfId="11291" xr:uid="{00000000-0005-0000-0000-000039320000}"/>
    <cellStyle name="Data Superscript 2 5 10 9" xfId="11292" xr:uid="{00000000-0005-0000-0000-00003A320000}"/>
    <cellStyle name="Data Superscript 2 5 11" xfId="11293" xr:uid="{00000000-0005-0000-0000-00003B320000}"/>
    <cellStyle name="Data Superscript 2 5 11 2" xfId="11294" xr:uid="{00000000-0005-0000-0000-00003C320000}"/>
    <cellStyle name="Data Superscript 2 5 12" xfId="11295" xr:uid="{00000000-0005-0000-0000-00003D320000}"/>
    <cellStyle name="Data Superscript 2 5 12 2" xfId="11296" xr:uid="{00000000-0005-0000-0000-00003E320000}"/>
    <cellStyle name="Data Superscript 2 5 13" xfId="11297" xr:uid="{00000000-0005-0000-0000-00003F320000}"/>
    <cellStyle name="Data Superscript 2 5 13 2" xfId="11298" xr:uid="{00000000-0005-0000-0000-000040320000}"/>
    <cellStyle name="Data Superscript 2 5 14" xfId="11299" xr:uid="{00000000-0005-0000-0000-000041320000}"/>
    <cellStyle name="Data Superscript 2 5 14 2" xfId="11300" xr:uid="{00000000-0005-0000-0000-000042320000}"/>
    <cellStyle name="Data Superscript 2 5 15" xfId="11301" xr:uid="{00000000-0005-0000-0000-000043320000}"/>
    <cellStyle name="Data Superscript 2 5 15 2" xfId="11302" xr:uid="{00000000-0005-0000-0000-000044320000}"/>
    <cellStyle name="Data Superscript 2 5 16" xfId="11303" xr:uid="{00000000-0005-0000-0000-000045320000}"/>
    <cellStyle name="Data Superscript 2 5 16 2" xfId="11304" xr:uid="{00000000-0005-0000-0000-000046320000}"/>
    <cellStyle name="Data Superscript 2 5 17" xfId="11305" xr:uid="{00000000-0005-0000-0000-000047320000}"/>
    <cellStyle name="Data Superscript 2 5 17 2" xfId="11306" xr:uid="{00000000-0005-0000-0000-000048320000}"/>
    <cellStyle name="Data Superscript 2 5 18" xfId="11307" xr:uid="{00000000-0005-0000-0000-000049320000}"/>
    <cellStyle name="Data Superscript 2 5 2" xfId="11308" xr:uid="{00000000-0005-0000-0000-00004A320000}"/>
    <cellStyle name="Data Superscript 2 5 2 10" xfId="11309" xr:uid="{00000000-0005-0000-0000-00004B320000}"/>
    <cellStyle name="Data Superscript 2 5 2 2" xfId="11310" xr:uid="{00000000-0005-0000-0000-00004C320000}"/>
    <cellStyle name="Data Superscript 2 5 2 2 2" xfId="11311" xr:uid="{00000000-0005-0000-0000-00004D320000}"/>
    <cellStyle name="Data Superscript 2 5 2 3" xfId="11312" xr:uid="{00000000-0005-0000-0000-00004E320000}"/>
    <cellStyle name="Data Superscript 2 5 2 3 2" xfId="11313" xr:uid="{00000000-0005-0000-0000-00004F320000}"/>
    <cellStyle name="Data Superscript 2 5 2 4" xfId="11314" xr:uid="{00000000-0005-0000-0000-000050320000}"/>
    <cellStyle name="Data Superscript 2 5 2 4 2" xfId="11315" xr:uid="{00000000-0005-0000-0000-000051320000}"/>
    <cellStyle name="Data Superscript 2 5 2 5" xfId="11316" xr:uid="{00000000-0005-0000-0000-000052320000}"/>
    <cellStyle name="Data Superscript 2 5 2 5 2" xfId="11317" xr:uid="{00000000-0005-0000-0000-000053320000}"/>
    <cellStyle name="Data Superscript 2 5 2 6" xfId="11318" xr:uid="{00000000-0005-0000-0000-000054320000}"/>
    <cellStyle name="Data Superscript 2 5 2 6 2" xfId="11319" xr:uid="{00000000-0005-0000-0000-000055320000}"/>
    <cellStyle name="Data Superscript 2 5 2 7" xfId="11320" xr:uid="{00000000-0005-0000-0000-000056320000}"/>
    <cellStyle name="Data Superscript 2 5 2 7 2" xfId="11321" xr:uid="{00000000-0005-0000-0000-000057320000}"/>
    <cellStyle name="Data Superscript 2 5 2 8" xfId="11322" xr:uid="{00000000-0005-0000-0000-000058320000}"/>
    <cellStyle name="Data Superscript 2 5 2 8 2" xfId="11323" xr:uid="{00000000-0005-0000-0000-000059320000}"/>
    <cellStyle name="Data Superscript 2 5 2 9" xfId="11324" xr:uid="{00000000-0005-0000-0000-00005A320000}"/>
    <cellStyle name="Data Superscript 2 5 2 9 2" xfId="11325" xr:uid="{00000000-0005-0000-0000-00005B320000}"/>
    <cellStyle name="Data Superscript 2 5 3" xfId="11326" xr:uid="{00000000-0005-0000-0000-00005C320000}"/>
    <cellStyle name="Data Superscript 2 5 3 10" xfId="11327" xr:uid="{00000000-0005-0000-0000-00005D320000}"/>
    <cellStyle name="Data Superscript 2 5 3 2" xfId="11328" xr:uid="{00000000-0005-0000-0000-00005E320000}"/>
    <cellStyle name="Data Superscript 2 5 3 2 2" xfId="11329" xr:uid="{00000000-0005-0000-0000-00005F320000}"/>
    <cellStyle name="Data Superscript 2 5 3 3" xfId="11330" xr:uid="{00000000-0005-0000-0000-000060320000}"/>
    <cellStyle name="Data Superscript 2 5 3 3 2" xfId="11331" xr:uid="{00000000-0005-0000-0000-000061320000}"/>
    <cellStyle name="Data Superscript 2 5 3 4" xfId="11332" xr:uid="{00000000-0005-0000-0000-000062320000}"/>
    <cellStyle name="Data Superscript 2 5 3 4 2" xfId="11333" xr:uid="{00000000-0005-0000-0000-000063320000}"/>
    <cellStyle name="Data Superscript 2 5 3 5" xfId="11334" xr:uid="{00000000-0005-0000-0000-000064320000}"/>
    <cellStyle name="Data Superscript 2 5 3 5 2" xfId="11335" xr:uid="{00000000-0005-0000-0000-000065320000}"/>
    <cellStyle name="Data Superscript 2 5 3 6" xfId="11336" xr:uid="{00000000-0005-0000-0000-000066320000}"/>
    <cellStyle name="Data Superscript 2 5 3 6 2" xfId="11337" xr:uid="{00000000-0005-0000-0000-000067320000}"/>
    <cellStyle name="Data Superscript 2 5 3 7" xfId="11338" xr:uid="{00000000-0005-0000-0000-000068320000}"/>
    <cellStyle name="Data Superscript 2 5 3 7 2" xfId="11339" xr:uid="{00000000-0005-0000-0000-000069320000}"/>
    <cellStyle name="Data Superscript 2 5 3 8" xfId="11340" xr:uid="{00000000-0005-0000-0000-00006A320000}"/>
    <cellStyle name="Data Superscript 2 5 3 8 2" xfId="11341" xr:uid="{00000000-0005-0000-0000-00006B320000}"/>
    <cellStyle name="Data Superscript 2 5 3 9" xfId="11342" xr:uid="{00000000-0005-0000-0000-00006C320000}"/>
    <cellStyle name="Data Superscript 2 5 3 9 2" xfId="11343" xr:uid="{00000000-0005-0000-0000-00006D320000}"/>
    <cellStyle name="Data Superscript 2 5 4" xfId="11344" xr:uid="{00000000-0005-0000-0000-00006E320000}"/>
    <cellStyle name="Data Superscript 2 5 4 10" xfId="11345" xr:uid="{00000000-0005-0000-0000-00006F320000}"/>
    <cellStyle name="Data Superscript 2 5 4 2" xfId="11346" xr:uid="{00000000-0005-0000-0000-000070320000}"/>
    <cellStyle name="Data Superscript 2 5 4 2 2" xfId="11347" xr:uid="{00000000-0005-0000-0000-000071320000}"/>
    <cellStyle name="Data Superscript 2 5 4 3" xfId="11348" xr:uid="{00000000-0005-0000-0000-000072320000}"/>
    <cellStyle name="Data Superscript 2 5 4 3 2" xfId="11349" xr:uid="{00000000-0005-0000-0000-000073320000}"/>
    <cellStyle name="Data Superscript 2 5 4 4" xfId="11350" xr:uid="{00000000-0005-0000-0000-000074320000}"/>
    <cellStyle name="Data Superscript 2 5 4 4 2" xfId="11351" xr:uid="{00000000-0005-0000-0000-000075320000}"/>
    <cellStyle name="Data Superscript 2 5 4 5" xfId="11352" xr:uid="{00000000-0005-0000-0000-000076320000}"/>
    <cellStyle name="Data Superscript 2 5 4 5 2" xfId="11353" xr:uid="{00000000-0005-0000-0000-000077320000}"/>
    <cellStyle name="Data Superscript 2 5 4 6" xfId="11354" xr:uid="{00000000-0005-0000-0000-000078320000}"/>
    <cellStyle name="Data Superscript 2 5 4 6 2" xfId="11355" xr:uid="{00000000-0005-0000-0000-000079320000}"/>
    <cellStyle name="Data Superscript 2 5 4 7" xfId="11356" xr:uid="{00000000-0005-0000-0000-00007A320000}"/>
    <cellStyle name="Data Superscript 2 5 4 7 2" xfId="11357" xr:uid="{00000000-0005-0000-0000-00007B320000}"/>
    <cellStyle name="Data Superscript 2 5 4 8" xfId="11358" xr:uid="{00000000-0005-0000-0000-00007C320000}"/>
    <cellStyle name="Data Superscript 2 5 4 8 2" xfId="11359" xr:uid="{00000000-0005-0000-0000-00007D320000}"/>
    <cellStyle name="Data Superscript 2 5 4 9" xfId="11360" xr:uid="{00000000-0005-0000-0000-00007E320000}"/>
    <cellStyle name="Data Superscript 2 5 4 9 2" xfId="11361" xr:uid="{00000000-0005-0000-0000-00007F320000}"/>
    <cellStyle name="Data Superscript 2 5 5" xfId="11362" xr:uid="{00000000-0005-0000-0000-000080320000}"/>
    <cellStyle name="Data Superscript 2 5 5 10" xfId="11363" xr:uid="{00000000-0005-0000-0000-000081320000}"/>
    <cellStyle name="Data Superscript 2 5 5 2" xfId="11364" xr:uid="{00000000-0005-0000-0000-000082320000}"/>
    <cellStyle name="Data Superscript 2 5 5 2 2" xfId="11365" xr:uid="{00000000-0005-0000-0000-000083320000}"/>
    <cellStyle name="Data Superscript 2 5 5 3" xfId="11366" xr:uid="{00000000-0005-0000-0000-000084320000}"/>
    <cellStyle name="Data Superscript 2 5 5 3 2" xfId="11367" xr:uid="{00000000-0005-0000-0000-000085320000}"/>
    <cellStyle name="Data Superscript 2 5 5 4" xfId="11368" xr:uid="{00000000-0005-0000-0000-000086320000}"/>
    <cellStyle name="Data Superscript 2 5 5 4 2" xfId="11369" xr:uid="{00000000-0005-0000-0000-000087320000}"/>
    <cellStyle name="Data Superscript 2 5 5 5" xfId="11370" xr:uid="{00000000-0005-0000-0000-000088320000}"/>
    <cellStyle name="Data Superscript 2 5 5 5 2" xfId="11371" xr:uid="{00000000-0005-0000-0000-000089320000}"/>
    <cellStyle name="Data Superscript 2 5 5 6" xfId="11372" xr:uid="{00000000-0005-0000-0000-00008A320000}"/>
    <cellStyle name="Data Superscript 2 5 5 6 2" xfId="11373" xr:uid="{00000000-0005-0000-0000-00008B320000}"/>
    <cellStyle name="Data Superscript 2 5 5 7" xfId="11374" xr:uid="{00000000-0005-0000-0000-00008C320000}"/>
    <cellStyle name="Data Superscript 2 5 5 7 2" xfId="11375" xr:uid="{00000000-0005-0000-0000-00008D320000}"/>
    <cellStyle name="Data Superscript 2 5 5 8" xfId="11376" xr:uid="{00000000-0005-0000-0000-00008E320000}"/>
    <cellStyle name="Data Superscript 2 5 5 8 2" xfId="11377" xr:uid="{00000000-0005-0000-0000-00008F320000}"/>
    <cellStyle name="Data Superscript 2 5 5 9" xfId="11378" xr:uid="{00000000-0005-0000-0000-000090320000}"/>
    <cellStyle name="Data Superscript 2 5 5 9 2" xfId="11379" xr:uid="{00000000-0005-0000-0000-000091320000}"/>
    <cellStyle name="Data Superscript 2 5 6" xfId="11380" xr:uid="{00000000-0005-0000-0000-000092320000}"/>
    <cellStyle name="Data Superscript 2 5 6 10" xfId="11381" xr:uid="{00000000-0005-0000-0000-000093320000}"/>
    <cellStyle name="Data Superscript 2 5 6 2" xfId="11382" xr:uid="{00000000-0005-0000-0000-000094320000}"/>
    <cellStyle name="Data Superscript 2 5 6 2 2" xfId="11383" xr:uid="{00000000-0005-0000-0000-000095320000}"/>
    <cellStyle name="Data Superscript 2 5 6 3" xfId="11384" xr:uid="{00000000-0005-0000-0000-000096320000}"/>
    <cellStyle name="Data Superscript 2 5 6 3 2" xfId="11385" xr:uid="{00000000-0005-0000-0000-000097320000}"/>
    <cellStyle name="Data Superscript 2 5 6 4" xfId="11386" xr:uid="{00000000-0005-0000-0000-000098320000}"/>
    <cellStyle name="Data Superscript 2 5 6 4 2" xfId="11387" xr:uid="{00000000-0005-0000-0000-000099320000}"/>
    <cellStyle name="Data Superscript 2 5 6 5" xfId="11388" xr:uid="{00000000-0005-0000-0000-00009A320000}"/>
    <cellStyle name="Data Superscript 2 5 6 5 2" xfId="11389" xr:uid="{00000000-0005-0000-0000-00009B320000}"/>
    <cellStyle name="Data Superscript 2 5 6 6" xfId="11390" xr:uid="{00000000-0005-0000-0000-00009C320000}"/>
    <cellStyle name="Data Superscript 2 5 6 6 2" xfId="11391" xr:uid="{00000000-0005-0000-0000-00009D320000}"/>
    <cellStyle name="Data Superscript 2 5 6 7" xfId="11392" xr:uid="{00000000-0005-0000-0000-00009E320000}"/>
    <cellStyle name="Data Superscript 2 5 6 7 2" xfId="11393" xr:uid="{00000000-0005-0000-0000-00009F320000}"/>
    <cellStyle name="Data Superscript 2 5 6 8" xfId="11394" xr:uid="{00000000-0005-0000-0000-0000A0320000}"/>
    <cellStyle name="Data Superscript 2 5 6 8 2" xfId="11395" xr:uid="{00000000-0005-0000-0000-0000A1320000}"/>
    <cellStyle name="Data Superscript 2 5 6 9" xfId="11396" xr:uid="{00000000-0005-0000-0000-0000A2320000}"/>
    <cellStyle name="Data Superscript 2 5 6 9 2" xfId="11397" xr:uid="{00000000-0005-0000-0000-0000A3320000}"/>
    <cellStyle name="Data Superscript 2 5 7" xfId="11398" xr:uid="{00000000-0005-0000-0000-0000A4320000}"/>
    <cellStyle name="Data Superscript 2 5 7 10" xfId="11399" xr:uid="{00000000-0005-0000-0000-0000A5320000}"/>
    <cellStyle name="Data Superscript 2 5 7 2" xfId="11400" xr:uid="{00000000-0005-0000-0000-0000A6320000}"/>
    <cellStyle name="Data Superscript 2 5 7 2 2" xfId="11401" xr:uid="{00000000-0005-0000-0000-0000A7320000}"/>
    <cellStyle name="Data Superscript 2 5 7 3" xfId="11402" xr:uid="{00000000-0005-0000-0000-0000A8320000}"/>
    <cellStyle name="Data Superscript 2 5 7 3 2" xfId="11403" xr:uid="{00000000-0005-0000-0000-0000A9320000}"/>
    <cellStyle name="Data Superscript 2 5 7 4" xfId="11404" xr:uid="{00000000-0005-0000-0000-0000AA320000}"/>
    <cellStyle name="Data Superscript 2 5 7 4 2" xfId="11405" xr:uid="{00000000-0005-0000-0000-0000AB320000}"/>
    <cellStyle name="Data Superscript 2 5 7 5" xfId="11406" xr:uid="{00000000-0005-0000-0000-0000AC320000}"/>
    <cellStyle name="Data Superscript 2 5 7 5 2" xfId="11407" xr:uid="{00000000-0005-0000-0000-0000AD320000}"/>
    <cellStyle name="Data Superscript 2 5 7 6" xfId="11408" xr:uid="{00000000-0005-0000-0000-0000AE320000}"/>
    <cellStyle name="Data Superscript 2 5 7 6 2" xfId="11409" xr:uid="{00000000-0005-0000-0000-0000AF320000}"/>
    <cellStyle name="Data Superscript 2 5 7 7" xfId="11410" xr:uid="{00000000-0005-0000-0000-0000B0320000}"/>
    <cellStyle name="Data Superscript 2 5 7 7 2" xfId="11411" xr:uid="{00000000-0005-0000-0000-0000B1320000}"/>
    <cellStyle name="Data Superscript 2 5 7 8" xfId="11412" xr:uid="{00000000-0005-0000-0000-0000B2320000}"/>
    <cellStyle name="Data Superscript 2 5 7 8 2" xfId="11413" xr:uid="{00000000-0005-0000-0000-0000B3320000}"/>
    <cellStyle name="Data Superscript 2 5 7 9" xfId="11414" xr:uid="{00000000-0005-0000-0000-0000B4320000}"/>
    <cellStyle name="Data Superscript 2 5 7 9 2" xfId="11415" xr:uid="{00000000-0005-0000-0000-0000B5320000}"/>
    <cellStyle name="Data Superscript 2 5 8" xfId="11416" xr:uid="{00000000-0005-0000-0000-0000B6320000}"/>
    <cellStyle name="Data Superscript 2 5 8 10" xfId="11417" xr:uid="{00000000-0005-0000-0000-0000B7320000}"/>
    <cellStyle name="Data Superscript 2 5 8 2" xfId="11418" xr:uid="{00000000-0005-0000-0000-0000B8320000}"/>
    <cellStyle name="Data Superscript 2 5 8 2 2" xfId="11419" xr:uid="{00000000-0005-0000-0000-0000B9320000}"/>
    <cellStyle name="Data Superscript 2 5 8 3" xfId="11420" xr:uid="{00000000-0005-0000-0000-0000BA320000}"/>
    <cellStyle name="Data Superscript 2 5 8 3 2" xfId="11421" xr:uid="{00000000-0005-0000-0000-0000BB320000}"/>
    <cellStyle name="Data Superscript 2 5 8 4" xfId="11422" xr:uid="{00000000-0005-0000-0000-0000BC320000}"/>
    <cellStyle name="Data Superscript 2 5 8 4 2" xfId="11423" xr:uid="{00000000-0005-0000-0000-0000BD320000}"/>
    <cellStyle name="Data Superscript 2 5 8 5" xfId="11424" xr:uid="{00000000-0005-0000-0000-0000BE320000}"/>
    <cellStyle name="Data Superscript 2 5 8 5 2" xfId="11425" xr:uid="{00000000-0005-0000-0000-0000BF320000}"/>
    <cellStyle name="Data Superscript 2 5 8 6" xfId="11426" xr:uid="{00000000-0005-0000-0000-0000C0320000}"/>
    <cellStyle name="Data Superscript 2 5 8 6 2" xfId="11427" xr:uid="{00000000-0005-0000-0000-0000C1320000}"/>
    <cellStyle name="Data Superscript 2 5 8 7" xfId="11428" xr:uid="{00000000-0005-0000-0000-0000C2320000}"/>
    <cellStyle name="Data Superscript 2 5 8 7 2" xfId="11429" xr:uid="{00000000-0005-0000-0000-0000C3320000}"/>
    <cellStyle name="Data Superscript 2 5 8 8" xfId="11430" xr:uid="{00000000-0005-0000-0000-0000C4320000}"/>
    <cellStyle name="Data Superscript 2 5 8 8 2" xfId="11431" xr:uid="{00000000-0005-0000-0000-0000C5320000}"/>
    <cellStyle name="Data Superscript 2 5 8 9" xfId="11432" xr:uid="{00000000-0005-0000-0000-0000C6320000}"/>
    <cellStyle name="Data Superscript 2 5 8 9 2" xfId="11433" xr:uid="{00000000-0005-0000-0000-0000C7320000}"/>
    <cellStyle name="Data Superscript 2 5 9" xfId="11434" xr:uid="{00000000-0005-0000-0000-0000C8320000}"/>
    <cellStyle name="Data Superscript 2 5 9 10" xfId="11435" xr:uid="{00000000-0005-0000-0000-0000C9320000}"/>
    <cellStyle name="Data Superscript 2 5 9 2" xfId="11436" xr:uid="{00000000-0005-0000-0000-0000CA320000}"/>
    <cellStyle name="Data Superscript 2 5 9 2 2" xfId="11437" xr:uid="{00000000-0005-0000-0000-0000CB320000}"/>
    <cellStyle name="Data Superscript 2 5 9 3" xfId="11438" xr:uid="{00000000-0005-0000-0000-0000CC320000}"/>
    <cellStyle name="Data Superscript 2 5 9 3 2" xfId="11439" xr:uid="{00000000-0005-0000-0000-0000CD320000}"/>
    <cellStyle name="Data Superscript 2 5 9 4" xfId="11440" xr:uid="{00000000-0005-0000-0000-0000CE320000}"/>
    <cellStyle name="Data Superscript 2 5 9 4 2" xfId="11441" xr:uid="{00000000-0005-0000-0000-0000CF320000}"/>
    <cellStyle name="Data Superscript 2 5 9 5" xfId="11442" xr:uid="{00000000-0005-0000-0000-0000D0320000}"/>
    <cellStyle name="Data Superscript 2 5 9 5 2" xfId="11443" xr:uid="{00000000-0005-0000-0000-0000D1320000}"/>
    <cellStyle name="Data Superscript 2 5 9 6" xfId="11444" xr:uid="{00000000-0005-0000-0000-0000D2320000}"/>
    <cellStyle name="Data Superscript 2 5 9 6 2" xfId="11445" xr:uid="{00000000-0005-0000-0000-0000D3320000}"/>
    <cellStyle name="Data Superscript 2 5 9 7" xfId="11446" xr:uid="{00000000-0005-0000-0000-0000D4320000}"/>
    <cellStyle name="Data Superscript 2 5 9 7 2" xfId="11447" xr:uid="{00000000-0005-0000-0000-0000D5320000}"/>
    <cellStyle name="Data Superscript 2 5 9 8" xfId="11448" xr:uid="{00000000-0005-0000-0000-0000D6320000}"/>
    <cellStyle name="Data Superscript 2 5 9 8 2" xfId="11449" xr:uid="{00000000-0005-0000-0000-0000D7320000}"/>
    <cellStyle name="Data Superscript 2 5 9 9" xfId="11450" xr:uid="{00000000-0005-0000-0000-0000D8320000}"/>
    <cellStyle name="Data Superscript 2 5 9 9 2" xfId="11451" xr:uid="{00000000-0005-0000-0000-0000D9320000}"/>
    <cellStyle name="Data Superscript 2 6" xfId="11452" xr:uid="{00000000-0005-0000-0000-0000DA320000}"/>
    <cellStyle name="Data Superscript 2 6 10" xfId="11453" xr:uid="{00000000-0005-0000-0000-0000DB320000}"/>
    <cellStyle name="Data Superscript 2 6 10 2" xfId="11454" xr:uid="{00000000-0005-0000-0000-0000DC320000}"/>
    <cellStyle name="Data Superscript 2 6 10 2 2" xfId="11455" xr:uid="{00000000-0005-0000-0000-0000DD320000}"/>
    <cellStyle name="Data Superscript 2 6 10 3" xfId="11456" xr:uid="{00000000-0005-0000-0000-0000DE320000}"/>
    <cellStyle name="Data Superscript 2 6 10 3 2" xfId="11457" xr:uid="{00000000-0005-0000-0000-0000DF320000}"/>
    <cellStyle name="Data Superscript 2 6 10 4" xfId="11458" xr:uid="{00000000-0005-0000-0000-0000E0320000}"/>
    <cellStyle name="Data Superscript 2 6 10 4 2" xfId="11459" xr:uid="{00000000-0005-0000-0000-0000E1320000}"/>
    <cellStyle name="Data Superscript 2 6 10 5" xfId="11460" xr:uid="{00000000-0005-0000-0000-0000E2320000}"/>
    <cellStyle name="Data Superscript 2 6 10 5 2" xfId="11461" xr:uid="{00000000-0005-0000-0000-0000E3320000}"/>
    <cellStyle name="Data Superscript 2 6 10 6" xfId="11462" xr:uid="{00000000-0005-0000-0000-0000E4320000}"/>
    <cellStyle name="Data Superscript 2 6 10 6 2" xfId="11463" xr:uid="{00000000-0005-0000-0000-0000E5320000}"/>
    <cellStyle name="Data Superscript 2 6 10 7" xfId="11464" xr:uid="{00000000-0005-0000-0000-0000E6320000}"/>
    <cellStyle name="Data Superscript 2 6 10 7 2" xfId="11465" xr:uid="{00000000-0005-0000-0000-0000E7320000}"/>
    <cellStyle name="Data Superscript 2 6 10 8" xfId="11466" xr:uid="{00000000-0005-0000-0000-0000E8320000}"/>
    <cellStyle name="Data Superscript 2 6 10 8 2" xfId="11467" xr:uid="{00000000-0005-0000-0000-0000E9320000}"/>
    <cellStyle name="Data Superscript 2 6 10 9" xfId="11468" xr:uid="{00000000-0005-0000-0000-0000EA320000}"/>
    <cellStyle name="Data Superscript 2 6 11" xfId="11469" xr:uid="{00000000-0005-0000-0000-0000EB320000}"/>
    <cellStyle name="Data Superscript 2 6 11 2" xfId="11470" xr:uid="{00000000-0005-0000-0000-0000EC320000}"/>
    <cellStyle name="Data Superscript 2 6 12" xfId="11471" xr:uid="{00000000-0005-0000-0000-0000ED320000}"/>
    <cellStyle name="Data Superscript 2 6 12 2" xfId="11472" xr:uid="{00000000-0005-0000-0000-0000EE320000}"/>
    <cellStyle name="Data Superscript 2 6 13" xfId="11473" xr:uid="{00000000-0005-0000-0000-0000EF320000}"/>
    <cellStyle name="Data Superscript 2 6 13 2" xfId="11474" xr:uid="{00000000-0005-0000-0000-0000F0320000}"/>
    <cellStyle name="Data Superscript 2 6 14" xfId="11475" xr:uid="{00000000-0005-0000-0000-0000F1320000}"/>
    <cellStyle name="Data Superscript 2 6 14 2" xfId="11476" xr:uid="{00000000-0005-0000-0000-0000F2320000}"/>
    <cellStyle name="Data Superscript 2 6 15" xfId="11477" xr:uid="{00000000-0005-0000-0000-0000F3320000}"/>
    <cellStyle name="Data Superscript 2 6 15 2" xfId="11478" xr:uid="{00000000-0005-0000-0000-0000F4320000}"/>
    <cellStyle name="Data Superscript 2 6 16" xfId="11479" xr:uid="{00000000-0005-0000-0000-0000F5320000}"/>
    <cellStyle name="Data Superscript 2 6 16 2" xfId="11480" xr:uid="{00000000-0005-0000-0000-0000F6320000}"/>
    <cellStyle name="Data Superscript 2 6 17" xfId="11481" xr:uid="{00000000-0005-0000-0000-0000F7320000}"/>
    <cellStyle name="Data Superscript 2 6 17 2" xfId="11482" xr:uid="{00000000-0005-0000-0000-0000F8320000}"/>
    <cellStyle name="Data Superscript 2 6 18" xfId="11483" xr:uid="{00000000-0005-0000-0000-0000F9320000}"/>
    <cellStyle name="Data Superscript 2 6 2" xfId="11484" xr:uid="{00000000-0005-0000-0000-0000FA320000}"/>
    <cellStyle name="Data Superscript 2 6 2 10" xfId="11485" xr:uid="{00000000-0005-0000-0000-0000FB320000}"/>
    <cellStyle name="Data Superscript 2 6 2 2" xfId="11486" xr:uid="{00000000-0005-0000-0000-0000FC320000}"/>
    <cellStyle name="Data Superscript 2 6 2 2 2" xfId="11487" xr:uid="{00000000-0005-0000-0000-0000FD320000}"/>
    <cellStyle name="Data Superscript 2 6 2 3" xfId="11488" xr:uid="{00000000-0005-0000-0000-0000FE320000}"/>
    <cellStyle name="Data Superscript 2 6 2 3 2" xfId="11489" xr:uid="{00000000-0005-0000-0000-0000FF320000}"/>
    <cellStyle name="Data Superscript 2 6 2 4" xfId="11490" xr:uid="{00000000-0005-0000-0000-000000330000}"/>
    <cellStyle name="Data Superscript 2 6 2 4 2" xfId="11491" xr:uid="{00000000-0005-0000-0000-000001330000}"/>
    <cellStyle name="Data Superscript 2 6 2 5" xfId="11492" xr:uid="{00000000-0005-0000-0000-000002330000}"/>
    <cellStyle name="Data Superscript 2 6 2 5 2" xfId="11493" xr:uid="{00000000-0005-0000-0000-000003330000}"/>
    <cellStyle name="Data Superscript 2 6 2 6" xfId="11494" xr:uid="{00000000-0005-0000-0000-000004330000}"/>
    <cellStyle name="Data Superscript 2 6 2 6 2" xfId="11495" xr:uid="{00000000-0005-0000-0000-000005330000}"/>
    <cellStyle name="Data Superscript 2 6 2 7" xfId="11496" xr:uid="{00000000-0005-0000-0000-000006330000}"/>
    <cellStyle name="Data Superscript 2 6 2 7 2" xfId="11497" xr:uid="{00000000-0005-0000-0000-000007330000}"/>
    <cellStyle name="Data Superscript 2 6 2 8" xfId="11498" xr:uid="{00000000-0005-0000-0000-000008330000}"/>
    <cellStyle name="Data Superscript 2 6 2 8 2" xfId="11499" xr:uid="{00000000-0005-0000-0000-000009330000}"/>
    <cellStyle name="Data Superscript 2 6 2 9" xfId="11500" xr:uid="{00000000-0005-0000-0000-00000A330000}"/>
    <cellStyle name="Data Superscript 2 6 2 9 2" xfId="11501" xr:uid="{00000000-0005-0000-0000-00000B330000}"/>
    <cellStyle name="Data Superscript 2 6 3" xfId="11502" xr:uid="{00000000-0005-0000-0000-00000C330000}"/>
    <cellStyle name="Data Superscript 2 6 3 10" xfId="11503" xr:uid="{00000000-0005-0000-0000-00000D330000}"/>
    <cellStyle name="Data Superscript 2 6 3 2" xfId="11504" xr:uid="{00000000-0005-0000-0000-00000E330000}"/>
    <cellStyle name="Data Superscript 2 6 3 2 2" xfId="11505" xr:uid="{00000000-0005-0000-0000-00000F330000}"/>
    <cellStyle name="Data Superscript 2 6 3 3" xfId="11506" xr:uid="{00000000-0005-0000-0000-000010330000}"/>
    <cellStyle name="Data Superscript 2 6 3 3 2" xfId="11507" xr:uid="{00000000-0005-0000-0000-000011330000}"/>
    <cellStyle name="Data Superscript 2 6 3 4" xfId="11508" xr:uid="{00000000-0005-0000-0000-000012330000}"/>
    <cellStyle name="Data Superscript 2 6 3 4 2" xfId="11509" xr:uid="{00000000-0005-0000-0000-000013330000}"/>
    <cellStyle name="Data Superscript 2 6 3 5" xfId="11510" xr:uid="{00000000-0005-0000-0000-000014330000}"/>
    <cellStyle name="Data Superscript 2 6 3 5 2" xfId="11511" xr:uid="{00000000-0005-0000-0000-000015330000}"/>
    <cellStyle name="Data Superscript 2 6 3 6" xfId="11512" xr:uid="{00000000-0005-0000-0000-000016330000}"/>
    <cellStyle name="Data Superscript 2 6 3 6 2" xfId="11513" xr:uid="{00000000-0005-0000-0000-000017330000}"/>
    <cellStyle name="Data Superscript 2 6 3 7" xfId="11514" xr:uid="{00000000-0005-0000-0000-000018330000}"/>
    <cellStyle name="Data Superscript 2 6 3 7 2" xfId="11515" xr:uid="{00000000-0005-0000-0000-000019330000}"/>
    <cellStyle name="Data Superscript 2 6 3 8" xfId="11516" xr:uid="{00000000-0005-0000-0000-00001A330000}"/>
    <cellStyle name="Data Superscript 2 6 3 8 2" xfId="11517" xr:uid="{00000000-0005-0000-0000-00001B330000}"/>
    <cellStyle name="Data Superscript 2 6 3 9" xfId="11518" xr:uid="{00000000-0005-0000-0000-00001C330000}"/>
    <cellStyle name="Data Superscript 2 6 3 9 2" xfId="11519" xr:uid="{00000000-0005-0000-0000-00001D330000}"/>
    <cellStyle name="Data Superscript 2 6 4" xfId="11520" xr:uid="{00000000-0005-0000-0000-00001E330000}"/>
    <cellStyle name="Data Superscript 2 6 4 10" xfId="11521" xr:uid="{00000000-0005-0000-0000-00001F330000}"/>
    <cellStyle name="Data Superscript 2 6 4 2" xfId="11522" xr:uid="{00000000-0005-0000-0000-000020330000}"/>
    <cellStyle name="Data Superscript 2 6 4 2 2" xfId="11523" xr:uid="{00000000-0005-0000-0000-000021330000}"/>
    <cellStyle name="Data Superscript 2 6 4 3" xfId="11524" xr:uid="{00000000-0005-0000-0000-000022330000}"/>
    <cellStyle name="Data Superscript 2 6 4 3 2" xfId="11525" xr:uid="{00000000-0005-0000-0000-000023330000}"/>
    <cellStyle name="Data Superscript 2 6 4 4" xfId="11526" xr:uid="{00000000-0005-0000-0000-000024330000}"/>
    <cellStyle name="Data Superscript 2 6 4 4 2" xfId="11527" xr:uid="{00000000-0005-0000-0000-000025330000}"/>
    <cellStyle name="Data Superscript 2 6 4 5" xfId="11528" xr:uid="{00000000-0005-0000-0000-000026330000}"/>
    <cellStyle name="Data Superscript 2 6 4 5 2" xfId="11529" xr:uid="{00000000-0005-0000-0000-000027330000}"/>
    <cellStyle name="Data Superscript 2 6 4 6" xfId="11530" xr:uid="{00000000-0005-0000-0000-000028330000}"/>
    <cellStyle name="Data Superscript 2 6 4 6 2" xfId="11531" xr:uid="{00000000-0005-0000-0000-000029330000}"/>
    <cellStyle name="Data Superscript 2 6 4 7" xfId="11532" xr:uid="{00000000-0005-0000-0000-00002A330000}"/>
    <cellStyle name="Data Superscript 2 6 4 7 2" xfId="11533" xr:uid="{00000000-0005-0000-0000-00002B330000}"/>
    <cellStyle name="Data Superscript 2 6 4 8" xfId="11534" xr:uid="{00000000-0005-0000-0000-00002C330000}"/>
    <cellStyle name="Data Superscript 2 6 4 8 2" xfId="11535" xr:uid="{00000000-0005-0000-0000-00002D330000}"/>
    <cellStyle name="Data Superscript 2 6 4 9" xfId="11536" xr:uid="{00000000-0005-0000-0000-00002E330000}"/>
    <cellStyle name="Data Superscript 2 6 4 9 2" xfId="11537" xr:uid="{00000000-0005-0000-0000-00002F330000}"/>
    <cellStyle name="Data Superscript 2 6 5" xfId="11538" xr:uid="{00000000-0005-0000-0000-000030330000}"/>
    <cellStyle name="Data Superscript 2 6 5 10" xfId="11539" xr:uid="{00000000-0005-0000-0000-000031330000}"/>
    <cellStyle name="Data Superscript 2 6 5 2" xfId="11540" xr:uid="{00000000-0005-0000-0000-000032330000}"/>
    <cellStyle name="Data Superscript 2 6 5 2 2" xfId="11541" xr:uid="{00000000-0005-0000-0000-000033330000}"/>
    <cellStyle name="Data Superscript 2 6 5 3" xfId="11542" xr:uid="{00000000-0005-0000-0000-000034330000}"/>
    <cellStyle name="Data Superscript 2 6 5 3 2" xfId="11543" xr:uid="{00000000-0005-0000-0000-000035330000}"/>
    <cellStyle name="Data Superscript 2 6 5 4" xfId="11544" xr:uid="{00000000-0005-0000-0000-000036330000}"/>
    <cellStyle name="Data Superscript 2 6 5 4 2" xfId="11545" xr:uid="{00000000-0005-0000-0000-000037330000}"/>
    <cellStyle name="Data Superscript 2 6 5 5" xfId="11546" xr:uid="{00000000-0005-0000-0000-000038330000}"/>
    <cellStyle name="Data Superscript 2 6 5 5 2" xfId="11547" xr:uid="{00000000-0005-0000-0000-000039330000}"/>
    <cellStyle name="Data Superscript 2 6 5 6" xfId="11548" xr:uid="{00000000-0005-0000-0000-00003A330000}"/>
    <cellStyle name="Data Superscript 2 6 5 6 2" xfId="11549" xr:uid="{00000000-0005-0000-0000-00003B330000}"/>
    <cellStyle name="Data Superscript 2 6 5 7" xfId="11550" xr:uid="{00000000-0005-0000-0000-00003C330000}"/>
    <cellStyle name="Data Superscript 2 6 5 7 2" xfId="11551" xr:uid="{00000000-0005-0000-0000-00003D330000}"/>
    <cellStyle name="Data Superscript 2 6 5 8" xfId="11552" xr:uid="{00000000-0005-0000-0000-00003E330000}"/>
    <cellStyle name="Data Superscript 2 6 5 8 2" xfId="11553" xr:uid="{00000000-0005-0000-0000-00003F330000}"/>
    <cellStyle name="Data Superscript 2 6 5 9" xfId="11554" xr:uid="{00000000-0005-0000-0000-000040330000}"/>
    <cellStyle name="Data Superscript 2 6 5 9 2" xfId="11555" xr:uid="{00000000-0005-0000-0000-000041330000}"/>
    <cellStyle name="Data Superscript 2 6 6" xfId="11556" xr:uid="{00000000-0005-0000-0000-000042330000}"/>
    <cellStyle name="Data Superscript 2 6 6 10" xfId="11557" xr:uid="{00000000-0005-0000-0000-000043330000}"/>
    <cellStyle name="Data Superscript 2 6 6 2" xfId="11558" xr:uid="{00000000-0005-0000-0000-000044330000}"/>
    <cellStyle name="Data Superscript 2 6 6 2 2" xfId="11559" xr:uid="{00000000-0005-0000-0000-000045330000}"/>
    <cellStyle name="Data Superscript 2 6 6 3" xfId="11560" xr:uid="{00000000-0005-0000-0000-000046330000}"/>
    <cellStyle name="Data Superscript 2 6 6 3 2" xfId="11561" xr:uid="{00000000-0005-0000-0000-000047330000}"/>
    <cellStyle name="Data Superscript 2 6 6 4" xfId="11562" xr:uid="{00000000-0005-0000-0000-000048330000}"/>
    <cellStyle name="Data Superscript 2 6 6 4 2" xfId="11563" xr:uid="{00000000-0005-0000-0000-000049330000}"/>
    <cellStyle name="Data Superscript 2 6 6 5" xfId="11564" xr:uid="{00000000-0005-0000-0000-00004A330000}"/>
    <cellStyle name="Data Superscript 2 6 6 5 2" xfId="11565" xr:uid="{00000000-0005-0000-0000-00004B330000}"/>
    <cellStyle name="Data Superscript 2 6 6 6" xfId="11566" xr:uid="{00000000-0005-0000-0000-00004C330000}"/>
    <cellStyle name="Data Superscript 2 6 6 6 2" xfId="11567" xr:uid="{00000000-0005-0000-0000-00004D330000}"/>
    <cellStyle name="Data Superscript 2 6 6 7" xfId="11568" xr:uid="{00000000-0005-0000-0000-00004E330000}"/>
    <cellStyle name="Data Superscript 2 6 6 7 2" xfId="11569" xr:uid="{00000000-0005-0000-0000-00004F330000}"/>
    <cellStyle name="Data Superscript 2 6 6 8" xfId="11570" xr:uid="{00000000-0005-0000-0000-000050330000}"/>
    <cellStyle name="Data Superscript 2 6 6 8 2" xfId="11571" xr:uid="{00000000-0005-0000-0000-000051330000}"/>
    <cellStyle name="Data Superscript 2 6 6 9" xfId="11572" xr:uid="{00000000-0005-0000-0000-000052330000}"/>
    <cellStyle name="Data Superscript 2 6 6 9 2" xfId="11573" xr:uid="{00000000-0005-0000-0000-000053330000}"/>
    <cellStyle name="Data Superscript 2 6 7" xfId="11574" xr:uid="{00000000-0005-0000-0000-000054330000}"/>
    <cellStyle name="Data Superscript 2 6 7 10" xfId="11575" xr:uid="{00000000-0005-0000-0000-000055330000}"/>
    <cellStyle name="Data Superscript 2 6 7 2" xfId="11576" xr:uid="{00000000-0005-0000-0000-000056330000}"/>
    <cellStyle name="Data Superscript 2 6 7 2 2" xfId="11577" xr:uid="{00000000-0005-0000-0000-000057330000}"/>
    <cellStyle name="Data Superscript 2 6 7 3" xfId="11578" xr:uid="{00000000-0005-0000-0000-000058330000}"/>
    <cellStyle name="Data Superscript 2 6 7 3 2" xfId="11579" xr:uid="{00000000-0005-0000-0000-000059330000}"/>
    <cellStyle name="Data Superscript 2 6 7 4" xfId="11580" xr:uid="{00000000-0005-0000-0000-00005A330000}"/>
    <cellStyle name="Data Superscript 2 6 7 4 2" xfId="11581" xr:uid="{00000000-0005-0000-0000-00005B330000}"/>
    <cellStyle name="Data Superscript 2 6 7 5" xfId="11582" xr:uid="{00000000-0005-0000-0000-00005C330000}"/>
    <cellStyle name="Data Superscript 2 6 7 5 2" xfId="11583" xr:uid="{00000000-0005-0000-0000-00005D330000}"/>
    <cellStyle name="Data Superscript 2 6 7 6" xfId="11584" xr:uid="{00000000-0005-0000-0000-00005E330000}"/>
    <cellStyle name="Data Superscript 2 6 7 6 2" xfId="11585" xr:uid="{00000000-0005-0000-0000-00005F330000}"/>
    <cellStyle name="Data Superscript 2 6 7 7" xfId="11586" xr:uid="{00000000-0005-0000-0000-000060330000}"/>
    <cellStyle name="Data Superscript 2 6 7 7 2" xfId="11587" xr:uid="{00000000-0005-0000-0000-000061330000}"/>
    <cellStyle name="Data Superscript 2 6 7 8" xfId="11588" xr:uid="{00000000-0005-0000-0000-000062330000}"/>
    <cellStyle name="Data Superscript 2 6 7 8 2" xfId="11589" xr:uid="{00000000-0005-0000-0000-000063330000}"/>
    <cellStyle name="Data Superscript 2 6 7 9" xfId="11590" xr:uid="{00000000-0005-0000-0000-000064330000}"/>
    <cellStyle name="Data Superscript 2 6 7 9 2" xfId="11591" xr:uid="{00000000-0005-0000-0000-000065330000}"/>
    <cellStyle name="Data Superscript 2 6 8" xfId="11592" xr:uid="{00000000-0005-0000-0000-000066330000}"/>
    <cellStyle name="Data Superscript 2 6 8 10" xfId="11593" xr:uid="{00000000-0005-0000-0000-000067330000}"/>
    <cellStyle name="Data Superscript 2 6 8 2" xfId="11594" xr:uid="{00000000-0005-0000-0000-000068330000}"/>
    <cellStyle name="Data Superscript 2 6 8 2 2" xfId="11595" xr:uid="{00000000-0005-0000-0000-000069330000}"/>
    <cellStyle name="Data Superscript 2 6 8 3" xfId="11596" xr:uid="{00000000-0005-0000-0000-00006A330000}"/>
    <cellStyle name="Data Superscript 2 6 8 3 2" xfId="11597" xr:uid="{00000000-0005-0000-0000-00006B330000}"/>
    <cellStyle name="Data Superscript 2 6 8 4" xfId="11598" xr:uid="{00000000-0005-0000-0000-00006C330000}"/>
    <cellStyle name="Data Superscript 2 6 8 4 2" xfId="11599" xr:uid="{00000000-0005-0000-0000-00006D330000}"/>
    <cellStyle name="Data Superscript 2 6 8 5" xfId="11600" xr:uid="{00000000-0005-0000-0000-00006E330000}"/>
    <cellStyle name="Data Superscript 2 6 8 5 2" xfId="11601" xr:uid="{00000000-0005-0000-0000-00006F330000}"/>
    <cellStyle name="Data Superscript 2 6 8 6" xfId="11602" xr:uid="{00000000-0005-0000-0000-000070330000}"/>
    <cellStyle name="Data Superscript 2 6 8 6 2" xfId="11603" xr:uid="{00000000-0005-0000-0000-000071330000}"/>
    <cellStyle name="Data Superscript 2 6 8 7" xfId="11604" xr:uid="{00000000-0005-0000-0000-000072330000}"/>
    <cellStyle name="Data Superscript 2 6 8 7 2" xfId="11605" xr:uid="{00000000-0005-0000-0000-000073330000}"/>
    <cellStyle name="Data Superscript 2 6 8 8" xfId="11606" xr:uid="{00000000-0005-0000-0000-000074330000}"/>
    <cellStyle name="Data Superscript 2 6 8 8 2" xfId="11607" xr:uid="{00000000-0005-0000-0000-000075330000}"/>
    <cellStyle name="Data Superscript 2 6 8 9" xfId="11608" xr:uid="{00000000-0005-0000-0000-000076330000}"/>
    <cellStyle name="Data Superscript 2 6 8 9 2" xfId="11609" xr:uid="{00000000-0005-0000-0000-000077330000}"/>
    <cellStyle name="Data Superscript 2 6 9" xfId="11610" xr:uid="{00000000-0005-0000-0000-000078330000}"/>
    <cellStyle name="Data Superscript 2 6 9 10" xfId="11611" xr:uid="{00000000-0005-0000-0000-000079330000}"/>
    <cellStyle name="Data Superscript 2 6 9 2" xfId="11612" xr:uid="{00000000-0005-0000-0000-00007A330000}"/>
    <cellStyle name="Data Superscript 2 6 9 2 2" xfId="11613" xr:uid="{00000000-0005-0000-0000-00007B330000}"/>
    <cellStyle name="Data Superscript 2 6 9 3" xfId="11614" xr:uid="{00000000-0005-0000-0000-00007C330000}"/>
    <cellStyle name="Data Superscript 2 6 9 3 2" xfId="11615" xr:uid="{00000000-0005-0000-0000-00007D330000}"/>
    <cellStyle name="Data Superscript 2 6 9 4" xfId="11616" xr:uid="{00000000-0005-0000-0000-00007E330000}"/>
    <cellStyle name="Data Superscript 2 6 9 4 2" xfId="11617" xr:uid="{00000000-0005-0000-0000-00007F330000}"/>
    <cellStyle name="Data Superscript 2 6 9 5" xfId="11618" xr:uid="{00000000-0005-0000-0000-000080330000}"/>
    <cellStyle name="Data Superscript 2 6 9 5 2" xfId="11619" xr:uid="{00000000-0005-0000-0000-000081330000}"/>
    <cellStyle name="Data Superscript 2 6 9 6" xfId="11620" xr:uid="{00000000-0005-0000-0000-000082330000}"/>
    <cellStyle name="Data Superscript 2 6 9 6 2" xfId="11621" xr:uid="{00000000-0005-0000-0000-000083330000}"/>
    <cellStyle name="Data Superscript 2 6 9 7" xfId="11622" xr:uid="{00000000-0005-0000-0000-000084330000}"/>
    <cellStyle name="Data Superscript 2 6 9 7 2" xfId="11623" xr:uid="{00000000-0005-0000-0000-000085330000}"/>
    <cellStyle name="Data Superscript 2 6 9 8" xfId="11624" xr:uid="{00000000-0005-0000-0000-000086330000}"/>
    <cellStyle name="Data Superscript 2 6 9 8 2" xfId="11625" xr:uid="{00000000-0005-0000-0000-000087330000}"/>
    <cellStyle name="Data Superscript 2 6 9 9" xfId="11626" xr:uid="{00000000-0005-0000-0000-000088330000}"/>
    <cellStyle name="Data Superscript 2 6 9 9 2" xfId="11627" xr:uid="{00000000-0005-0000-0000-000089330000}"/>
    <cellStyle name="Data Superscript 2 7" xfId="11628" xr:uid="{00000000-0005-0000-0000-00008A330000}"/>
    <cellStyle name="Data Superscript 2 7 10" xfId="11629" xr:uid="{00000000-0005-0000-0000-00008B330000}"/>
    <cellStyle name="Data Superscript 2 7 10 2" xfId="11630" xr:uid="{00000000-0005-0000-0000-00008C330000}"/>
    <cellStyle name="Data Superscript 2 7 10 2 2" xfId="11631" xr:uid="{00000000-0005-0000-0000-00008D330000}"/>
    <cellStyle name="Data Superscript 2 7 10 3" xfId="11632" xr:uid="{00000000-0005-0000-0000-00008E330000}"/>
    <cellStyle name="Data Superscript 2 7 10 3 2" xfId="11633" xr:uid="{00000000-0005-0000-0000-00008F330000}"/>
    <cellStyle name="Data Superscript 2 7 10 4" xfId="11634" xr:uid="{00000000-0005-0000-0000-000090330000}"/>
    <cellStyle name="Data Superscript 2 7 10 4 2" xfId="11635" xr:uid="{00000000-0005-0000-0000-000091330000}"/>
    <cellStyle name="Data Superscript 2 7 10 5" xfId="11636" xr:uid="{00000000-0005-0000-0000-000092330000}"/>
    <cellStyle name="Data Superscript 2 7 10 5 2" xfId="11637" xr:uid="{00000000-0005-0000-0000-000093330000}"/>
    <cellStyle name="Data Superscript 2 7 10 6" xfId="11638" xr:uid="{00000000-0005-0000-0000-000094330000}"/>
    <cellStyle name="Data Superscript 2 7 10 6 2" xfId="11639" xr:uid="{00000000-0005-0000-0000-000095330000}"/>
    <cellStyle name="Data Superscript 2 7 10 7" xfId="11640" xr:uid="{00000000-0005-0000-0000-000096330000}"/>
    <cellStyle name="Data Superscript 2 7 10 7 2" xfId="11641" xr:uid="{00000000-0005-0000-0000-000097330000}"/>
    <cellStyle name="Data Superscript 2 7 10 8" xfId="11642" xr:uid="{00000000-0005-0000-0000-000098330000}"/>
    <cellStyle name="Data Superscript 2 7 10 8 2" xfId="11643" xr:uid="{00000000-0005-0000-0000-000099330000}"/>
    <cellStyle name="Data Superscript 2 7 10 9" xfId="11644" xr:uid="{00000000-0005-0000-0000-00009A330000}"/>
    <cellStyle name="Data Superscript 2 7 11" xfId="11645" xr:uid="{00000000-0005-0000-0000-00009B330000}"/>
    <cellStyle name="Data Superscript 2 7 11 2" xfId="11646" xr:uid="{00000000-0005-0000-0000-00009C330000}"/>
    <cellStyle name="Data Superscript 2 7 12" xfId="11647" xr:uid="{00000000-0005-0000-0000-00009D330000}"/>
    <cellStyle name="Data Superscript 2 7 12 2" xfId="11648" xr:uid="{00000000-0005-0000-0000-00009E330000}"/>
    <cellStyle name="Data Superscript 2 7 13" xfId="11649" xr:uid="{00000000-0005-0000-0000-00009F330000}"/>
    <cellStyle name="Data Superscript 2 7 13 2" xfId="11650" xr:uid="{00000000-0005-0000-0000-0000A0330000}"/>
    <cellStyle name="Data Superscript 2 7 14" xfId="11651" xr:uid="{00000000-0005-0000-0000-0000A1330000}"/>
    <cellStyle name="Data Superscript 2 7 14 2" xfId="11652" xr:uid="{00000000-0005-0000-0000-0000A2330000}"/>
    <cellStyle name="Data Superscript 2 7 15" xfId="11653" xr:uid="{00000000-0005-0000-0000-0000A3330000}"/>
    <cellStyle name="Data Superscript 2 7 15 2" xfId="11654" xr:uid="{00000000-0005-0000-0000-0000A4330000}"/>
    <cellStyle name="Data Superscript 2 7 16" xfId="11655" xr:uid="{00000000-0005-0000-0000-0000A5330000}"/>
    <cellStyle name="Data Superscript 2 7 16 2" xfId="11656" xr:uid="{00000000-0005-0000-0000-0000A6330000}"/>
    <cellStyle name="Data Superscript 2 7 17" xfId="11657" xr:uid="{00000000-0005-0000-0000-0000A7330000}"/>
    <cellStyle name="Data Superscript 2 7 17 2" xfId="11658" xr:uid="{00000000-0005-0000-0000-0000A8330000}"/>
    <cellStyle name="Data Superscript 2 7 18" xfId="11659" xr:uid="{00000000-0005-0000-0000-0000A9330000}"/>
    <cellStyle name="Data Superscript 2 7 2" xfId="11660" xr:uid="{00000000-0005-0000-0000-0000AA330000}"/>
    <cellStyle name="Data Superscript 2 7 2 10" xfId="11661" xr:uid="{00000000-0005-0000-0000-0000AB330000}"/>
    <cellStyle name="Data Superscript 2 7 2 2" xfId="11662" xr:uid="{00000000-0005-0000-0000-0000AC330000}"/>
    <cellStyle name="Data Superscript 2 7 2 2 2" xfId="11663" xr:uid="{00000000-0005-0000-0000-0000AD330000}"/>
    <cellStyle name="Data Superscript 2 7 2 3" xfId="11664" xr:uid="{00000000-0005-0000-0000-0000AE330000}"/>
    <cellStyle name="Data Superscript 2 7 2 3 2" xfId="11665" xr:uid="{00000000-0005-0000-0000-0000AF330000}"/>
    <cellStyle name="Data Superscript 2 7 2 4" xfId="11666" xr:uid="{00000000-0005-0000-0000-0000B0330000}"/>
    <cellStyle name="Data Superscript 2 7 2 4 2" xfId="11667" xr:uid="{00000000-0005-0000-0000-0000B1330000}"/>
    <cellStyle name="Data Superscript 2 7 2 5" xfId="11668" xr:uid="{00000000-0005-0000-0000-0000B2330000}"/>
    <cellStyle name="Data Superscript 2 7 2 5 2" xfId="11669" xr:uid="{00000000-0005-0000-0000-0000B3330000}"/>
    <cellStyle name="Data Superscript 2 7 2 6" xfId="11670" xr:uid="{00000000-0005-0000-0000-0000B4330000}"/>
    <cellStyle name="Data Superscript 2 7 2 6 2" xfId="11671" xr:uid="{00000000-0005-0000-0000-0000B5330000}"/>
    <cellStyle name="Data Superscript 2 7 2 7" xfId="11672" xr:uid="{00000000-0005-0000-0000-0000B6330000}"/>
    <cellStyle name="Data Superscript 2 7 2 7 2" xfId="11673" xr:uid="{00000000-0005-0000-0000-0000B7330000}"/>
    <cellStyle name="Data Superscript 2 7 2 8" xfId="11674" xr:uid="{00000000-0005-0000-0000-0000B8330000}"/>
    <cellStyle name="Data Superscript 2 7 2 8 2" xfId="11675" xr:uid="{00000000-0005-0000-0000-0000B9330000}"/>
    <cellStyle name="Data Superscript 2 7 2 9" xfId="11676" xr:uid="{00000000-0005-0000-0000-0000BA330000}"/>
    <cellStyle name="Data Superscript 2 7 2 9 2" xfId="11677" xr:uid="{00000000-0005-0000-0000-0000BB330000}"/>
    <cellStyle name="Data Superscript 2 7 3" xfId="11678" xr:uid="{00000000-0005-0000-0000-0000BC330000}"/>
    <cellStyle name="Data Superscript 2 7 3 10" xfId="11679" xr:uid="{00000000-0005-0000-0000-0000BD330000}"/>
    <cellStyle name="Data Superscript 2 7 3 2" xfId="11680" xr:uid="{00000000-0005-0000-0000-0000BE330000}"/>
    <cellStyle name="Data Superscript 2 7 3 2 2" xfId="11681" xr:uid="{00000000-0005-0000-0000-0000BF330000}"/>
    <cellStyle name="Data Superscript 2 7 3 3" xfId="11682" xr:uid="{00000000-0005-0000-0000-0000C0330000}"/>
    <cellStyle name="Data Superscript 2 7 3 3 2" xfId="11683" xr:uid="{00000000-0005-0000-0000-0000C1330000}"/>
    <cellStyle name="Data Superscript 2 7 3 4" xfId="11684" xr:uid="{00000000-0005-0000-0000-0000C2330000}"/>
    <cellStyle name="Data Superscript 2 7 3 4 2" xfId="11685" xr:uid="{00000000-0005-0000-0000-0000C3330000}"/>
    <cellStyle name="Data Superscript 2 7 3 5" xfId="11686" xr:uid="{00000000-0005-0000-0000-0000C4330000}"/>
    <cellStyle name="Data Superscript 2 7 3 5 2" xfId="11687" xr:uid="{00000000-0005-0000-0000-0000C5330000}"/>
    <cellStyle name="Data Superscript 2 7 3 6" xfId="11688" xr:uid="{00000000-0005-0000-0000-0000C6330000}"/>
    <cellStyle name="Data Superscript 2 7 3 6 2" xfId="11689" xr:uid="{00000000-0005-0000-0000-0000C7330000}"/>
    <cellStyle name="Data Superscript 2 7 3 7" xfId="11690" xr:uid="{00000000-0005-0000-0000-0000C8330000}"/>
    <cellStyle name="Data Superscript 2 7 3 7 2" xfId="11691" xr:uid="{00000000-0005-0000-0000-0000C9330000}"/>
    <cellStyle name="Data Superscript 2 7 3 8" xfId="11692" xr:uid="{00000000-0005-0000-0000-0000CA330000}"/>
    <cellStyle name="Data Superscript 2 7 3 8 2" xfId="11693" xr:uid="{00000000-0005-0000-0000-0000CB330000}"/>
    <cellStyle name="Data Superscript 2 7 3 9" xfId="11694" xr:uid="{00000000-0005-0000-0000-0000CC330000}"/>
    <cellStyle name="Data Superscript 2 7 3 9 2" xfId="11695" xr:uid="{00000000-0005-0000-0000-0000CD330000}"/>
    <cellStyle name="Data Superscript 2 7 4" xfId="11696" xr:uid="{00000000-0005-0000-0000-0000CE330000}"/>
    <cellStyle name="Data Superscript 2 7 4 10" xfId="11697" xr:uid="{00000000-0005-0000-0000-0000CF330000}"/>
    <cellStyle name="Data Superscript 2 7 4 2" xfId="11698" xr:uid="{00000000-0005-0000-0000-0000D0330000}"/>
    <cellStyle name="Data Superscript 2 7 4 2 2" xfId="11699" xr:uid="{00000000-0005-0000-0000-0000D1330000}"/>
    <cellStyle name="Data Superscript 2 7 4 3" xfId="11700" xr:uid="{00000000-0005-0000-0000-0000D2330000}"/>
    <cellStyle name="Data Superscript 2 7 4 3 2" xfId="11701" xr:uid="{00000000-0005-0000-0000-0000D3330000}"/>
    <cellStyle name="Data Superscript 2 7 4 4" xfId="11702" xr:uid="{00000000-0005-0000-0000-0000D4330000}"/>
    <cellStyle name="Data Superscript 2 7 4 4 2" xfId="11703" xr:uid="{00000000-0005-0000-0000-0000D5330000}"/>
    <cellStyle name="Data Superscript 2 7 4 5" xfId="11704" xr:uid="{00000000-0005-0000-0000-0000D6330000}"/>
    <cellStyle name="Data Superscript 2 7 4 5 2" xfId="11705" xr:uid="{00000000-0005-0000-0000-0000D7330000}"/>
    <cellStyle name="Data Superscript 2 7 4 6" xfId="11706" xr:uid="{00000000-0005-0000-0000-0000D8330000}"/>
    <cellStyle name="Data Superscript 2 7 4 6 2" xfId="11707" xr:uid="{00000000-0005-0000-0000-0000D9330000}"/>
    <cellStyle name="Data Superscript 2 7 4 7" xfId="11708" xr:uid="{00000000-0005-0000-0000-0000DA330000}"/>
    <cellStyle name="Data Superscript 2 7 4 7 2" xfId="11709" xr:uid="{00000000-0005-0000-0000-0000DB330000}"/>
    <cellStyle name="Data Superscript 2 7 4 8" xfId="11710" xr:uid="{00000000-0005-0000-0000-0000DC330000}"/>
    <cellStyle name="Data Superscript 2 7 4 8 2" xfId="11711" xr:uid="{00000000-0005-0000-0000-0000DD330000}"/>
    <cellStyle name="Data Superscript 2 7 4 9" xfId="11712" xr:uid="{00000000-0005-0000-0000-0000DE330000}"/>
    <cellStyle name="Data Superscript 2 7 4 9 2" xfId="11713" xr:uid="{00000000-0005-0000-0000-0000DF330000}"/>
    <cellStyle name="Data Superscript 2 7 5" xfId="11714" xr:uid="{00000000-0005-0000-0000-0000E0330000}"/>
    <cellStyle name="Data Superscript 2 7 5 10" xfId="11715" xr:uid="{00000000-0005-0000-0000-0000E1330000}"/>
    <cellStyle name="Data Superscript 2 7 5 2" xfId="11716" xr:uid="{00000000-0005-0000-0000-0000E2330000}"/>
    <cellStyle name="Data Superscript 2 7 5 2 2" xfId="11717" xr:uid="{00000000-0005-0000-0000-0000E3330000}"/>
    <cellStyle name="Data Superscript 2 7 5 3" xfId="11718" xr:uid="{00000000-0005-0000-0000-0000E4330000}"/>
    <cellStyle name="Data Superscript 2 7 5 3 2" xfId="11719" xr:uid="{00000000-0005-0000-0000-0000E5330000}"/>
    <cellStyle name="Data Superscript 2 7 5 4" xfId="11720" xr:uid="{00000000-0005-0000-0000-0000E6330000}"/>
    <cellStyle name="Data Superscript 2 7 5 4 2" xfId="11721" xr:uid="{00000000-0005-0000-0000-0000E7330000}"/>
    <cellStyle name="Data Superscript 2 7 5 5" xfId="11722" xr:uid="{00000000-0005-0000-0000-0000E8330000}"/>
    <cellStyle name="Data Superscript 2 7 5 5 2" xfId="11723" xr:uid="{00000000-0005-0000-0000-0000E9330000}"/>
    <cellStyle name="Data Superscript 2 7 5 6" xfId="11724" xr:uid="{00000000-0005-0000-0000-0000EA330000}"/>
    <cellStyle name="Data Superscript 2 7 5 6 2" xfId="11725" xr:uid="{00000000-0005-0000-0000-0000EB330000}"/>
    <cellStyle name="Data Superscript 2 7 5 7" xfId="11726" xr:uid="{00000000-0005-0000-0000-0000EC330000}"/>
    <cellStyle name="Data Superscript 2 7 5 7 2" xfId="11727" xr:uid="{00000000-0005-0000-0000-0000ED330000}"/>
    <cellStyle name="Data Superscript 2 7 5 8" xfId="11728" xr:uid="{00000000-0005-0000-0000-0000EE330000}"/>
    <cellStyle name="Data Superscript 2 7 5 8 2" xfId="11729" xr:uid="{00000000-0005-0000-0000-0000EF330000}"/>
    <cellStyle name="Data Superscript 2 7 5 9" xfId="11730" xr:uid="{00000000-0005-0000-0000-0000F0330000}"/>
    <cellStyle name="Data Superscript 2 7 5 9 2" xfId="11731" xr:uid="{00000000-0005-0000-0000-0000F1330000}"/>
    <cellStyle name="Data Superscript 2 7 6" xfId="11732" xr:uid="{00000000-0005-0000-0000-0000F2330000}"/>
    <cellStyle name="Data Superscript 2 7 6 10" xfId="11733" xr:uid="{00000000-0005-0000-0000-0000F3330000}"/>
    <cellStyle name="Data Superscript 2 7 6 2" xfId="11734" xr:uid="{00000000-0005-0000-0000-0000F4330000}"/>
    <cellStyle name="Data Superscript 2 7 6 2 2" xfId="11735" xr:uid="{00000000-0005-0000-0000-0000F5330000}"/>
    <cellStyle name="Data Superscript 2 7 6 3" xfId="11736" xr:uid="{00000000-0005-0000-0000-0000F6330000}"/>
    <cellStyle name="Data Superscript 2 7 6 3 2" xfId="11737" xr:uid="{00000000-0005-0000-0000-0000F7330000}"/>
    <cellStyle name="Data Superscript 2 7 6 4" xfId="11738" xr:uid="{00000000-0005-0000-0000-0000F8330000}"/>
    <cellStyle name="Data Superscript 2 7 6 4 2" xfId="11739" xr:uid="{00000000-0005-0000-0000-0000F9330000}"/>
    <cellStyle name="Data Superscript 2 7 6 5" xfId="11740" xr:uid="{00000000-0005-0000-0000-0000FA330000}"/>
    <cellStyle name="Data Superscript 2 7 6 5 2" xfId="11741" xr:uid="{00000000-0005-0000-0000-0000FB330000}"/>
    <cellStyle name="Data Superscript 2 7 6 6" xfId="11742" xr:uid="{00000000-0005-0000-0000-0000FC330000}"/>
    <cellStyle name="Data Superscript 2 7 6 6 2" xfId="11743" xr:uid="{00000000-0005-0000-0000-0000FD330000}"/>
    <cellStyle name="Data Superscript 2 7 6 7" xfId="11744" xr:uid="{00000000-0005-0000-0000-0000FE330000}"/>
    <cellStyle name="Data Superscript 2 7 6 7 2" xfId="11745" xr:uid="{00000000-0005-0000-0000-0000FF330000}"/>
    <cellStyle name="Data Superscript 2 7 6 8" xfId="11746" xr:uid="{00000000-0005-0000-0000-000000340000}"/>
    <cellStyle name="Data Superscript 2 7 6 8 2" xfId="11747" xr:uid="{00000000-0005-0000-0000-000001340000}"/>
    <cellStyle name="Data Superscript 2 7 6 9" xfId="11748" xr:uid="{00000000-0005-0000-0000-000002340000}"/>
    <cellStyle name="Data Superscript 2 7 6 9 2" xfId="11749" xr:uid="{00000000-0005-0000-0000-000003340000}"/>
    <cellStyle name="Data Superscript 2 7 7" xfId="11750" xr:uid="{00000000-0005-0000-0000-000004340000}"/>
    <cellStyle name="Data Superscript 2 7 7 10" xfId="11751" xr:uid="{00000000-0005-0000-0000-000005340000}"/>
    <cellStyle name="Data Superscript 2 7 7 2" xfId="11752" xr:uid="{00000000-0005-0000-0000-000006340000}"/>
    <cellStyle name="Data Superscript 2 7 7 2 2" xfId="11753" xr:uid="{00000000-0005-0000-0000-000007340000}"/>
    <cellStyle name="Data Superscript 2 7 7 3" xfId="11754" xr:uid="{00000000-0005-0000-0000-000008340000}"/>
    <cellStyle name="Data Superscript 2 7 7 3 2" xfId="11755" xr:uid="{00000000-0005-0000-0000-000009340000}"/>
    <cellStyle name="Data Superscript 2 7 7 4" xfId="11756" xr:uid="{00000000-0005-0000-0000-00000A340000}"/>
    <cellStyle name="Data Superscript 2 7 7 4 2" xfId="11757" xr:uid="{00000000-0005-0000-0000-00000B340000}"/>
    <cellStyle name="Data Superscript 2 7 7 5" xfId="11758" xr:uid="{00000000-0005-0000-0000-00000C340000}"/>
    <cellStyle name="Data Superscript 2 7 7 5 2" xfId="11759" xr:uid="{00000000-0005-0000-0000-00000D340000}"/>
    <cellStyle name="Data Superscript 2 7 7 6" xfId="11760" xr:uid="{00000000-0005-0000-0000-00000E340000}"/>
    <cellStyle name="Data Superscript 2 7 7 6 2" xfId="11761" xr:uid="{00000000-0005-0000-0000-00000F340000}"/>
    <cellStyle name="Data Superscript 2 7 7 7" xfId="11762" xr:uid="{00000000-0005-0000-0000-000010340000}"/>
    <cellStyle name="Data Superscript 2 7 7 7 2" xfId="11763" xr:uid="{00000000-0005-0000-0000-000011340000}"/>
    <cellStyle name="Data Superscript 2 7 7 8" xfId="11764" xr:uid="{00000000-0005-0000-0000-000012340000}"/>
    <cellStyle name="Data Superscript 2 7 7 8 2" xfId="11765" xr:uid="{00000000-0005-0000-0000-000013340000}"/>
    <cellStyle name="Data Superscript 2 7 7 9" xfId="11766" xr:uid="{00000000-0005-0000-0000-000014340000}"/>
    <cellStyle name="Data Superscript 2 7 7 9 2" xfId="11767" xr:uid="{00000000-0005-0000-0000-000015340000}"/>
    <cellStyle name="Data Superscript 2 7 8" xfId="11768" xr:uid="{00000000-0005-0000-0000-000016340000}"/>
    <cellStyle name="Data Superscript 2 7 8 10" xfId="11769" xr:uid="{00000000-0005-0000-0000-000017340000}"/>
    <cellStyle name="Data Superscript 2 7 8 2" xfId="11770" xr:uid="{00000000-0005-0000-0000-000018340000}"/>
    <cellStyle name="Data Superscript 2 7 8 2 2" xfId="11771" xr:uid="{00000000-0005-0000-0000-000019340000}"/>
    <cellStyle name="Data Superscript 2 7 8 3" xfId="11772" xr:uid="{00000000-0005-0000-0000-00001A340000}"/>
    <cellStyle name="Data Superscript 2 7 8 3 2" xfId="11773" xr:uid="{00000000-0005-0000-0000-00001B340000}"/>
    <cellStyle name="Data Superscript 2 7 8 4" xfId="11774" xr:uid="{00000000-0005-0000-0000-00001C340000}"/>
    <cellStyle name="Data Superscript 2 7 8 4 2" xfId="11775" xr:uid="{00000000-0005-0000-0000-00001D340000}"/>
    <cellStyle name="Data Superscript 2 7 8 5" xfId="11776" xr:uid="{00000000-0005-0000-0000-00001E340000}"/>
    <cellStyle name="Data Superscript 2 7 8 5 2" xfId="11777" xr:uid="{00000000-0005-0000-0000-00001F340000}"/>
    <cellStyle name="Data Superscript 2 7 8 6" xfId="11778" xr:uid="{00000000-0005-0000-0000-000020340000}"/>
    <cellStyle name="Data Superscript 2 7 8 6 2" xfId="11779" xr:uid="{00000000-0005-0000-0000-000021340000}"/>
    <cellStyle name="Data Superscript 2 7 8 7" xfId="11780" xr:uid="{00000000-0005-0000-0000-000022340000}"/>
    <cellStyle name="Data Superscript 2 7 8 7 2" xfId="11781" xr:uid="{00000000-0005-0000-0000-000023340000}"/>
    <cellStyle name="Data Superscript 2 7 8 8" xfId="11782" xr:uid="{00000000-0005-0000-0000-000024340000}"/>
    <cellStyle name="Data Superscript 2 7 8 8 2" xfId="11783" xr:uid="{00000000-0005-0000-0000-000025340000}"/>
    <cellStyle name="Data Superscript 2 7 8 9" xfId="11784" xr:uid="{00000000-0005-0000-0000-000026340000}"/>
    <cellStyle name="Data Superscript 2 7 8 9 2" xfId="11785" xr:uid="{00000000-0005-0000-0000-000027340000}"/>
    <cellStyle name="Data Superscript 2 7 9" xfId="11786" xr:uid="{00000000-0005-0000-0000-000028340000}"/>
    <cellStyle name="Data Superscript 2 7 9 10" xfId="11787" xr:uid="{00000000-0005-0000-0000-000029340000}"/>
    <cellStyle name="Data Superscript 2 7 9 2" xfId="11788" xr:uid="{00000000-0005-0000-0000-00002A340000}"/>
    <cellStyle name="Data Superscript 2 7 9 2 2" xfId="11789" xr:uid="{00000000-0005-0000-0000-00002B340000}"/>
    <cellStyle name="Data Superscript 2 7 9 3" xfId="11790" xr:uid="{00000000-0005-0000-0000-00002C340000}"/>
    <cellStyle name="Data Superscript 2 7 9 3 2" xfId="11791" xr:uid="{00000000-0005-0000-0000-00002D340000}"/>
    <cellStyle name="Data Superscript 2 7 9 4" xfId="11792" xr:uid="{00000000-0005-0000-0000-00002E340000}"/>
    <cellStyle name="Data Superscript 2 7 9 4 2" xfId="11793" xr:uid="{00000000-0005-0000-0000-00002F340000}"/>
    <cellStyle name="Data Superscript 2 7 9 5" xfId="11794" xr:uid="{00000000-0005-0000-0000-000030340000}"/>
    <cellStyle name="Data Superscript 2 7 9 5 2" xfId="11795" xr:uid="{00000000-0005-0000-0000-000031340000}"/>
    <cellStyle name="Data Superscript 2 7 9 6" xfId="11796" xr:uid="{00000000-0005-0000-0000-000032340000}"/>
    <cellStyle name="Data Superscript 2 7 9 6 2" xfId="11797" xr:uid="{00000000-0005-0000-0000-000033340000}"/>
    <cellStyle name="Data Superscript 2 7 9 7" xfId="11798" xr:uid="{00000000-0005-0000-0000-000034340000}"/>
    <cellStyle name="Data Superscript 2 7 9 7 2" xfId="11799" xr:uid="{00000000-0005-0000-0000-000035340000}"/>
    <cellStyle name="Data Superscript 2 7 9 8" xfId="11800" xr:uid="{00000000-0005-0000-0000-000036340000}"/>
    <cellStyle name="Data Superscript 2 7 9 8 2" xfId="11801" xr:uid="{00000000-0005-0000-0000-000037340000}"/>
    <cellStyle name="Data Superscript 2 7 9 9" xfId="11802" xr:uid="{00000000-0005-0000-0000-000038340000}"/>
    <cellStyle name="Data Superscript 2 7 9 9 2" xfId="11803" xr:uid="{00000000-0005-0000-0000-000039340000}"/>
    <cellStyle name="Data Superscript 2 8" xfId="11804" xr:uid="{00000000-0005-0000-0000-00003A340000}"/>
    <cellStyle name="Data Superscript 2 8 10" xfId="11805" xr:uid="{00000000-0005-0000-0000-00003B340000}"/>
    <cellStyle name="Data Superscript 2 8 10 2" xfId="11806" xr:uid="{00000000-0005-0000-0000-00003C340000}"/>
    <cellStyle name="Data Superscript 2 8 10 2 2" xfId="11807" xr:uid="{00000000-0005-0000-0000-00003D340000}"/>
    <cellStyle name="Data Superscript 2 8 10 3" xfId="11808" xr:uid="{00000000-0005-0000-0000-00003E340000}"/>
    <cellStyle name="Data Superscript 2 8 10 3 2" xfId="11809" xr:uid="{00000000-0005-0000-0000-00003F340000}"/>
    <cellStyle name="Data Superscript 2 8 10 4" xfId="11810" xr:uid="{00000000-0005-0000-0000-000040340000}"/>
    <cellStyle name="Data Superscript 2 8 10 4 2" xfId="11811" xr:uid="{00000000-0005-0000-0000-000041340000}"/>
    <cellStyle name="Data Superscript 2 8 10 5" xfId="11812" xr:uid="{00000000-0005-0000-0000-000042340000}"/>
    <cellStyle name="Data Superscript 2 8 10 5 2" xfId="11813" xr:uid="{00000000-0005-0000-0000-000043340000}"/>
    <cellStyle name="Data Superscript 2 8 10 6" xfId="11814" xr:uid="{00000000-0005-0000-0000-000044340000}"/>
    <cellStyle name="Data Superscript 2 8 10 6 2" xfId="11815" xr:uid="{00000000-0005-0000-0000-000045340000}"/>
    <cellStyle name="Data Superscript 2 8 10 7" xfId="11816" xr:uid="{00000000-0005-0000-0000-000046340000}"/>
    <cellStyle name="Data Superscript 2 8 10 7 2" xfId="11817" xr:uid="{00000000-0005-0000-0000-000047340000}"/>
    <cellStyle name="Data Superscript 2 8 10 8" xfId="11818" xr:uid="{00000000-0005-0000-0000-000048340000}"/>
    <cellStyle name="Data Superscript 2 8 10 8 2" xfId="11819" xr:uid="{00000000-0005-0000-0000-000049340000}"/>
    <cellStyle name="Data Superscript 2 8 10 9" xfId="11820" xr:uid="{00000000-0005-0000-0000-00004A340000}"/>
    <cellStyle name="Data Superscript 2 8 11" xfId="11821" xr:uid="{00000000-0005-0000-0000-00004B340000}"/>
    <cellStyle name="Data Superscript 2 8 11 2" xfId="11822" xr:uid="{00000000-0005-0000-0000-00004C340000}"/>
    <cellStyle name="Data Superscript 2 8 12" xfId="11823" xr:uid="{00000000-0005-0000-0000-00004D340000}"/>
    <cellStyle name="Data Superscript 2 8 12 2" xfId="11824" xr:uid="{00000000-0005-0000-0000-00004E340000}"/>
    <cellStyle name="Data Superscript 2 8 13" xfId="11825" xr:uid="{00000000-0005-0000-0000-00004F340000}"/>
    <cellStyle name="Data Superscript 2 8 13 2" xfId="11826" xr:uid="{00000000-0005-0000-0000-000050340000}"/>
    <cellStyle name="Data Superscript 2 8 14" xfId="11827" xr:uid="{00000000-0005-0000-0000-000051340000}"/>
    <cellStyle name="Data Superscript 2 8 14 2" xfId="11828" xr:uid="{00000000-0005-0000-0000-000052340000}"/>
    <cellStyle name="Data Superscript 2 8 15" xfId="11829" xr:uid="{00000000-0005-0000-0000-000053340000}"/>
    <cellStyle name="Data Superscript 2 8 15 2" xfId="11830" xr:uid="{00000000-0005-0000-0000-000054340000}"/>
    <cellStyle name="Data Superscript 2 8 16" xfId="11831" xr:uid="{00000000-0005-0000-0000-000055340000}"/>
    <cellStyle name="Data Superscript 2 8 16 2" xfId="11832" xr:uid="{00000000-0005-0000-0000-000056340000}"/>
    <cellStyle name="Data Superscript 2 8 17" xfId="11833" xr:uid="{00000000-0005-0000-0000-000057340000}"/>
    <cellStyle name="Data Superscript 2 8 17 2" xfId="11834" xr:uid="{00000000-0005-0000-0000-000058340000}"/>
    <cellStyle name="Data Superscript 2 8 18" xfId="11835" xr:uid="{00000000-0005-0000-0000-000059340000}"/>
    <cellStyle name="Data Superscript 2 8 2" xfId="11836" xr:uid="{00000000-0005-0000-0000-00005A340000}"/>
    <cellStyle name="Data Superscript 2 8 2 10" xfId="11837" xr:uid="{00000000-0005-0000-0000-00005B340000}"/>
    <cellStyle name="Data Superscript 2 8 2 2" xfId="11838" xr:uid="{00000000-0005-0000-0000-00005C340000}"/>
    <cellStyle name="Data Superscript 2 8 2 2 2" xfId="11839" xr:uid="{00000000-0005-0000-0000-00005D340000}"/>
    <cellStyle name="Data Superscript 2 8 2 3" xfId="11840" xr:uid="{00000000-0005-0000-0000-00005E340000}"/>
    <cellStyle name="Data Superscript 2 8 2 3 2" xfId="11841" xr:uid="{00000000-0005-0000-0000-00005F340000}"/>
    <cellStyle name="Data Superscript 2 8 2 4" xfId="11842" xr:uid="{00000000-0005-0000-0000-000060340000}"/>
    <cellStyle name="Data Superscript 2 8 2 4 2" xfId="11843" xr:uid="{00000000-0005-0000-0000-000061340000}"/>
    <cellStyle name="Data Superscript 2 8 2 5" xfId="11844" xr:uid="{00000000-0005-0000-0000-000062340000}"/>
    <cellStyle name="Data Superscript 2 8 2 5 2" xfId="11845" xr:uid="{00000000-0005-0000-0000-000063340000}"/>
    <cellStyle name="Data Superscript 2 8 2 6" xfId="11846" xr:uid="{00000000-0005-0000-0000-000064340000}"/>
    <cellStyle name="Data Superscript 2 8 2 6 2" xfId="11847" xr:uid="{00000000-0005-0000-0000-000065340000}"/>
    <cellStyle name="Data Superscript 2 8 2 7" xfId="11848" xr:uid="{00000000-0005-0000-0000-000066340000}"/>
    <cellStyle name="Data Superscript 2 8 2 7 2" xfId="11849" xr:uid="{00000000-0005-0000-0000-000067340000}"/>
    <cellStyle name="Data Superscript 2 8 2 8" xfId="11850" xr:uid="{00000000-0005-0000-0000-000068340000}"/>
    <cellStyle name="Data Superscript 2 8 2 8 2" xfId="11851" xr:uid="{00000000-0005-0000-0000-000069340000}"/>
    <cellStyle name="Data Superscript 2 8 2 9" xfId="11852" xr:uid="{00000000-0005-0000-0000-00006A340000}"/>
    <cellStyle name="Data Superscript 2 8 2 9 2" xfId="11853" xr:uid="{00000000-0005-0000-0000-00006B340000}"/>
    <cellStyle name="Data Superscript 2 8 3" xfId="11854" xr:uid="{00000000-0005-0000-0000-00006C340000}"/>
    <cellStyle name="Data Superscript 2 8 3 10" xfId="11855" xr:uid="{00000000-0005-0000-0000-00006D340000}"/>
    <cellStyle name="Data Superscript 2 8 3 2" xfId="11856" xr:uid="{00000000-0005-0000-0000-00006E340000}"/>
    <cellStyle name="Data Superscript 2 8 3 2 2" xfId="11857" xr:uid="{00000000-0005-0000-0000-00006F340000}"/>
    <cellStyle name="Data Superscript 2 8 3 3" xfId="11858" xr:uid="{00000000-0005-0000-0000-000070340000}"/>
    <cellStyle name="Data Superscript 2 8 3 3 2" xfId="11859" xr:uid="{00000000-0005-0000-0000-000071340000}"/>
    <cellStyle name="Data Superscript 2 8 3 4" xfId="11860" xr:uid="{00000000-0005-0000-0000-000072340000}"/>
    <cellStyle name="Data Superscript 2 8 3 4 2" xfId="11861" xr:uid="{00000000-0005-0000-0000-000073340000}"/>
    <cellStyle name="Data Superscript 2 8 3 5" xfId="11862" xr:uid="{00000000-0005-0000-0000-000074340000}"/>
    <cellStyle name="Data Superscript 2 8 3 5 2" xfId="11863" xr:uid="{00000000-0005-0000-0000-000075340000}"/>
    <cellStyle name="Data Superscript 2 8 3 6" xfId="11864" xr:uid="{00000000-0005-0000-0000-000076340000}"/>
    <cellStyle name="Data Superscript 2 8 3 6 2" xfId="11865" xr:uid="{00000000-0005-0000-0000-000077340000}"/>
    <cellStyle name="Data Superscript 2 8 3 7" xfId="11866" xr:uid="{00000000-0005-0000-0000-000078340000}"/>
    <cellStyle name="Data Superscript 2 8 3 7 2" xfId="11867" xr:uid="{00000000-0005-0000-0000-000079340000}"/>
    <cellStyle name="Data Superscript 2 8 3 8" xfId="11868" xr:uid="{00000000-0005-0000-0000-00007A340000}"/>
    <cellStyle name="Data Superscript 2 8 3 8 2" xfId="11869" xr:uid="{00000000-0005-0000-0000-00007B340000}"/>
    <cellStyle name="Data Superscript 2 8 3 9" xfId="11870" xr:uid="{00000000-0005-0000-0000-00007C340000}"/>
    <cellStyle name="Data Superscript 2 8 3 9 2" xfId="11871" xr:uid="{00000000-0005-0000-0000-00007D340000}"/>
    <cellStyle name="Data Superscript 2 8 4" xfId="11872" xr:uid="{00000000-0005-0000-0000-00007E340000}"/>
    <cellStyle name="Data Superscript 2 8 4 10" xfId="11873" xr:uid="{00000000-0005-0000-0000-00007F340000}"/>
    <cellStyle name="Data Superscript 2 8 4 2" xfId="11874" xr:uid="{00000000-0005-0000-0000-000080340000}"/>
    <cellStyle name="Data Superscript 2 8 4 2 2" xfId="11875" xr:uid="{00000000-0005-0000-0000-000081340000}"/>
    <cellStyle name="Data Superscript 2 8 4 3" xfId="11876" xr:uid="{00000000-0005-0000-0000-000082340000}"/>
    <cellStyle name="Data Superscript 2 8 4 3 2" xfId="11877" xr:uid="{00000000-0005-0000-0000-000083340000}"/>
    <cellStyle name="Data Superscript 2 8 4 4" xfId="11878" xr:uid="{00000000-0005-0000-0000-000084340000}"/>
    <cellStyle name="Data Superscript 2 8 4 4 2" xfId="11879" xr:uid="{00000000-0005-0000-0000-000085340000}"/>
    <cellStyle name="Data Superscript 2 8 4 5" xfId="11880" xr:uid="{00000000-0005-0000-0000-000086340000}"/>
    <cellStyle name="Data Superscript 2 8 4 5 2" xfId="11881" xr:uid="{00000000-0005-0000-0000-000087340000}"/>
    <cellStyle name="Data Superscript 2 8 4 6" xfId="11882" xr:uid="{00000000-0005-0000-0000-000088340000}"/>
    <cellStyle name="Data Superscript 2 8 4 6 2" xfId="11883" xr:uid="{00000000-0005-0000-0000-000089340000}"/>
    <cellStyle name="Data Superscript 2 8 4 7" xfId="11884" xr:uid="{00000000-0005-0000-0000-00008A340000}"/>
    <cellStyle name="Data Superscript 2 8 4 7 2" xfId="11885" xr:uid="{00000000-0005-0000-0000-00008B340000}"/>
    <cellStyle name="Data Superscript 2 8 4 8" xfId="11886" xr:uid="{00000000-0005-0000-0000-00008C340000}"/>
    <cellStyle name="Data Superscript 2 8 4 8 2" xfId="11887" xr:uid="{00000000-0005-0000-0000-00008D340000}"/>
    <cellStyle name="Data Superscript 2 8 4 9" xfId="11888" xr:uid="{00000000-0005-0000-0000-00008E340000}"/>
    <cellStyle name="Data Superscript 2 8 4 9 2" xfId="11889" xr:uid="{00000000-0005-0000-0000-00008F340000}"/>
    <cellStyle name="Data Superscript 2 8 5" xfId="11890" xr:uid="{00000000-0005-0000-0000-000090340000}"/>
    <cellStyle name="Data Superscript 2 8 5 10" xfId="11891" xr:uid="{00000000-0005-0000-0000-000091340000}"/>
    <cellStyle name="Data Superscript 2 8 5 2" xfId="11892" xr:uid="{00000000-0005-0000-0000-000092340000}"/>
    <cellStyle name="Data Superscript 2 8 5 2 2" xfId="11893" xr:uid="{00000000-0005-0000-0000-000093340000}"/>
    <cellStyle name="Data Superscript 2 8 5 3" xfId="11894" xr:uid="{00000000-0005-0000-0000-000094340000}"/>
    <cellStyle name="Data Superscript 2 8 5 3 2" xfId="11895" xr:uid="{00000000-0005-0000-0000-000095340000}"/>
    <cellStyle name="Data Superscript 2 8 5 4" xfId="11896" xr:uid="{00000000-0005-0000-0000-000096340000}"/>
    <cellStyle name="Data Superscript 2 8 5 4 2" xfId="11897" xr:uid="{00000000-0005-0000-0000-000097340000}"/>
    <cellStyle name="Data Superscript 2 8 5 5" xfId="11898" xr:uid="{00000000-0005-0000-0000-000098340000}"/>
    <cellStyle name="Data Superscript 2 8 5 5 2" xfId="11899" xr:uid="{00000000-0005-0000-0000-000099340000}"/>
    <cellStyle name="Data Superscript 2 8 5 6" xfId="11900" xr:uid="{00000000-0005-0000-0000-00009A340000}"/>
    <cellStyle name="Data Superscript 2 8 5 6 2" xfId="11901" xr:uid="{00000000-0005-0000-0000-00009B340000}"/>
    <cellStyle name="Data Superscript 2 8 5 7" xfId="11902" xr:uid="{00000000-0005-0000-0000-00009C340000}"/>
    <cellStyle name="Data Superscript 2 8 5 7 2" xfId="11903" xr:uid="{00000000-0005-0000-0000-00009D340000}"/>
    <cellStyle name="Data Superscript 2 8 5 8" xfId="11904" xr:uid="{00000000-0005-0000-0000-00009E340000}"/>
    <cellStyle name="Data Superscript 2 8 5 8 2" xfId="11905" xr:uid="{00000000-0005-0000-0000-00009F340000}"/>
    <cellStyle name="Data Superscript 2 8 5 9" xfId="11906" xr:uid="{00000000-0005-0000-0000-0000A0340000}"/>
    <cellStyle name="Data Superscript 2 8 5 9 2" xfId="11907" xr:uid="{00000000-0005-0000-0000-0000A1340000}"/>
    <cellStyle name="Data Superscript 2 8 6" xfId="11908" xr:uid="{00000000-0005-0000-0000-0000A2340000}"/>
    <cellStyle name="Data Superscript 2 8 6 10" xfId="11909" xr:uid="{00000000-0005-0000-0000-0000A3340000}"/>
    <cellStyle name="Data Superscript 2 8 6 2" xfId="11910" xr:uid="{00000000-0005-0000-0000-0000A4340000}"/>
    <cellStyle name="Data Superscript 2 8 6 2 2" xfId="11911" xr:uid="{00000000-0005-0000-0000-0000A5340000}"/>
    <cellStyle name="Data Superscript 2 8 6 3" xfId="11912" xr:uid="{00000000-0005-0000-0000-0000A6340000}"/>
    <cellStyle name="Data Superscript 2 8 6 3 2" xfId="11913" xr:uid="{00000000-0005-0000-0000-0000A7340000}"/>
    <cellStyle name="Data Superscript 2 8 6 4" xfId="11914" xr:uid="{00000000-0005-0000-0000-0000A8340000}"/>
    <cellStyle name="Data Superscript 2 8 6 4 2" xfId="11915" xr:uid="{00000000-0005-0000-0000-0000A9340000}"/>
    <cellStyle name="Data Superscript 2 8 6 5" xfId="11916" xr:uid="{00000000-0005-0000-0000-0000AA340000}"/>
    <cellStyle name="Data Superscript 2 8 6 5 2" xfId="11917" xr:uid="{00000000-0005-0000-0000-0000AB340000}"/>
    <cellStyle name="Data Superscript 2 8 6 6" xfId="11918" xr:uid="{00000000-0005-0000-0000-0000AC340000}"/>
    <cellStyle name="Data Superscript 2 8 6 6 2" xfId="11919" xr:uid="{00000000-0005-0000-0000-0000AD340000}"/>
    <cellStyle name="Data Superscript 2 8 6 7" xfId="11920" xr:uid="{00000000-0005-0000-0000-0000AE340000}"/>
    <cellStyle name="Data Superscript 2 8 6 7 2" xfId="11921" xr:uid="{00000000-0005-0000-0000-0000AF340000}"/>
    <cellStyle name="Data Superscript 2 8 6 8" xfId="11922" xr:uid="{00000000-0005-0000-0000-0000B0340000}"/>
    <cellStyle name="Data Superscript 2 8 6 8 2" xfId="11923" xr:uid="{00000000-0005-0000-0000-0000B1340000}"/>
    <cellStyle name="Data Superscript 2 8 6 9" xfId="11924" xr:uid="{00000000-0005-0000-0000-0000B2340000}"/>
    <cellStyle name="Data Superscript 2 8 6 9 2" xfId="11925" xr:uid="{00000000-0005-0000-0000-0000B3340000}"/>
    <cellStyle name="Data Superscript 2 8 7" xfId="11926" xr:uid="{00000000-0005-0000-0000-0000B4340000}"/>
    <cellStyle name="Data Superscript 2 8 7 10" xfId="11927" xr:uid="{00000000-0005-0000-0000-0000B5340000}"/>
    <cellStyle name="Data Superscript 2 8 7 2" xfId="11928" xr:uid="{00000000-0005-0000-0000-0000B6340000}"/>
    <cellStyle name="Data Superscript 2 8 7 2 2" xfId="11929" xr:uid="{00000000-0005-0000-0000-0000B7340000}"/>
    <cellStyle name="Data Superscript 2 8 7 3" xfId="11930" xr:uid="{00000000-0005-0000-0000-0000B8340000}"/>
    <cellStyle name="Data Superscript 2 8 7 3 2" xfId="11931" xr:uid="{00000000-0005-0000-0000-0000B9340000}"/>
    <cellStyle name="Data Superscript 2 8 7 4" xfId="11932" xr:uid="{00000000-0005-0000-0000-0000BA340000}"/>
    <cellStyle name="Data Superscript 2 8 7 4 2" xfId="11933" xr:uid="{00000000-0005-0000-0000-0000BB340000}"/>
    <cellStyle name="Data Superscript 2 8 7 5" xfId="11934" xr:uid="{00000000-0005-0000-0000-0000BC340000}"/>
    <cellStyle name="Data Superscript 2 8 7 5 2" xfId="11935" xr:uid="{00000000-0005-0000-0000-0000BD340000}"/>
    <cellStyle name="Data Superscript 2 8 7 6" xfId="11936" xr:uid="{00000000-0005-0000-0000-0000BE340000}"/>
    <cellStyle name="Data Superscript 2 8 7 6 2" xfId="11937" xr:uid="{00000000-0005-0000-0000-0000BF340000}"/>
    <cellStyle name="Data Superscript 2 8 7 7" xfId="11938" xr:uid="{00000000-0005-0000-0000-0000C0340000}"/>
    <cellStyle name="Data Superscript 2 8 7 7 2" xfId="11939" xr:uid="{00000000-0005-0000-0000-0000C1340000}"/>
    <cellStyle name="Data Superscript 2 8 7 8" xfId="11940" xr:uid="{00000000-0005-0000-0000-0000C2340000}"/>
    <cellStyle name="Data Superscript 2 8 7 8 2" xfId="11941" xr:uid="{00000000-0005-0000-0000-0000C3340000}"/>
    <cellStyle name="Data Superscript 2 8 7 9" xfId="11942" xr:uid="{00000000-0005-0000-0000-0000C4340000}"/>
    <cellStyle name="Data Superscript 2 8 7 9 2" xfId="11943" xr:uid="{00000000-0005-0000-0000-0000C5340000}"/>
    <cellStyle name="Data Superscript 2 8 8" xfId="11944" xr:uid="{00000000-0005-0000-0000-0000C6340000}"/>
    <cellStyle name="Data Superscript 2 8 8 10" xfId="11945" xr:uid="{00000000-0005-0000-0000-0000C7340000}"/>
    <cellStyle name="Data Superscript 2 8 8 2" xfId="11946" xr:uid="{00000000-0005-0000-0000-0000C8340000}"/>
    <cellStyle name="Data Superscript 2 8 8 2 2" xfId="11947" xr:uid="{00000000-0005-0000-0000-0000C9340000}"/>
    <cellStyle name="Data Superscript 2 8 8 3" xfId="11948" xr:uid="{00000000-0005-0000-0000-0000CA340000}"/>
    <cellStyle name="Data Superscript 2 8 8 3 2" xfId="11949" xr:uid="{00000000-0005-0000-0000-0000CB340000}"/>
    <cellStyle name="Data Superscript 2 8 8 4" xfId="11950" xr:uid="{00000000-0005-0000-0000-0000CC340000}"/>
    <cellStyle name="Data Superscript 2 8 8 4 2" xfId="11951" xr:uid="{00000000-0005-0000-0000-0000CD340000}"/>
    <cellStyle name="Data Superscript 2 8 8 5" xfId="11952" xr:uid="{00000000-0005-0000-0000-0000CE340000}"/>
    <cellStyle name="Data Superscript 2 8 8 5 2" xfId="11953" xr:uid="{00000000-0005-0000-0000-0000CF340000}"/>
    <cellStyle name="Data Superscript 2 8 8 6" xfId="11954" xr:uid="{00000000-0005-0000-0000-0000D0340000}"/>
    <cellStyle name="Data Superscript 2 8 8 6 2" xfId="11955" xr:uid="{00000000-0005-0000-0000-0000D1340000}"/>
    <cellStyle name="Data Superscript 2 8 8 7" xfId="11956" xr:uid="{00000000-0005-0000-0000-0000D2340000}"/>
    <cellStyle name="Data Superscript 2 8 8 7 2" xfId="11957" xr:uid="{00000000-0005-0000-0000-0000D3340000}"/>
    <cellStyle name="Data Superscript 2 8 8 8" xfId="11958" xr:uid="{00000000-0005-0000-0000-0000D4340000}"/>
    <cellStyle name="Data Superscript 2 8 8 8 2" xfId="11959" xr:uid="{00000000-0005-0000-0000-0000D5340000}"/>
    <cellStyle name="Data Superscript 2 8 8 9" xfId="11960" xr:uid="{00000000-0005-0000-0000-0000D6340000}"/>
    <cellStyle name="Data Superscript 2 8 8 9 2" xfId="11961" xr:uid="{00000000-0005-0000-0000-0000D7340000}"/>
    <cellStyle name="Data Superscript 2 8 9" xfId="11962" xr:uid="{00000000-0005-0000-0000-0000D8340000}"/>
    <cellStyle name="Data Superscript 2 8 9 10" xfId="11963" xr:uid="{00000000-0005-0000-0000-0000D9340000}"/>
    <cellStyle name="Data Superscript 2 8 9 2" xfId="11964" xr:uid="{00000000-0005-0000-0000-0000DA340000}"/>
    <cellStyle name="Data Superscript 2 8 9 2 2" xfId="11965" xr:uid="{00000000-0005-0000-0000-0000DB340000}"/>
    <cellStyle name="Data Superscript 2 8 9 3" xfId="11966" xr:uid="{00000000-0005-0000-0000-0000DC340000}"/>
    <cellStyle name="Data Superscript 2 8 9 3 2" xfId="11967" xr:uid="{00000000-0005-0000-0000-0000DD340000}"/>
    <cellStyle name="Data Superscript 2 8 9 4" xfId="11968" xr:uid="{00000000-0005-0000-0000-0000DE340000}"/>
    <cellStyle name="Data Superscript 2 8 9 4 2" xfId="11969" xr:uid="{00000000-0005-0000-0000-0000DF340000}"/>
    <cellStyle name="Data Superscript 2 8 9 5" xfId="11970" xr:uid="{00000000-0005-0000-0000-0000E0340000}"/>
    <cellStyle name="Data Superscript 2 8 9 5 2" xfId="11971" xr:uid="{00000000-0005-0000-0000-0000E1340000}"/>
    <cellStyle name="Data Superscript 2 8 9 6" xfId="11972" xr:uid="{00000000-0005-0000-0000-0000E2340000}"/>
    <cellStyle name="Data Superscript 2 8 9 6 2" xfId="11973" xr:uid="{00000000-0005-0000-0000-0000E3340000}"/>
    <cellStyle name="Data Superscript 2 8 9 7" xfId="11974" xr:uid="{00000000-0005-0000-0000-0000E4340000}"/>
    <cellStyle name="Data Superscript 2 8 9 7 2" xfId="11975" xr:uid="{00000000-0005-0000-0000-0000E5340000}"/>
    <cellStyle name="Data Superscript 2 8 9 8" xfId="11976" xr:uid="{00000000-0005-0000-0000-0000E6340000}"/>
    <cellStyle name="Data Superscript 2 8 9 8 2" xfId="11977" xr:uid="{00000000-0005-0000-0000-0000E7340000}"/>
    <cellStyle name="Data Superscript 2 8 9 9" xfId="11978" xr:uid="{00000000-0005-0000-0000-0000E8340000}"/>
    <cellStyle name="Data Superscript 2 8 9 9 2" xfId="11979" xr:uid="{00000000-0005-0000-0000-0000E9340000}"/>
    <cellStyle name="Data Superscript 3" xfId="160" xr:uid="{00000000-0005-0000-0000-0000EA340000}"/>
    <cellStyle name="Data Superscript 3 2" xfId="11980" xr:uid="{00000000-0005-0000-0000-0000EB340000}"/>
    <cellStyle name="Data Superscript 3 2 10" xfId="11981" xr:uid="{00000000-0005-0000-0000-0000EC340000}"/>
    <cellStyle name="Data Superscript 3 2 10 10" xfId="11982" xr:uid="{00000000-0005-0000-0000-0000ED340000}"/>
    <cellStyle name="Data Superscript 3 2 10 2" xfId="11983" xr:uid="{00000000-0005-0000-0000-0000EE340000}"/>
    <cellStyle name="Data Superscript 3 2 10 2 2" xfId="11984" xr:uid="{00000000-0005-0000-0000-0000EF340000}"/>
    <cellStyle name="Data Superscript 3 2 10 3" xfId="11985" xr:uid="{00000000-0005-0000-0000-0000F0340000}"/>
    <cellStyle name="Data Superscript 3 2 10 3 2" xfId="11986" xr:uid="{00000000-0005-0000-0000-0000F1340000}"/>
    <cellStyle name="Data Superscript 3 2 10 4" xfId="11987" xr:uid="{00000000-0005-0000-0000-0000F2340000}"/>
    <cellStyle name="Data Superscript 3 2 10 4 2" xfId="11988" xr:uid="{00000000-0005-0000-0000-0000F3340000}"/>
    <cellStyle name="Data Superscript 3 2 10 5" xfId="11989" xr:uid="{00000000-0005-0000-0000-0000F4340000}"/>
    <cellStyle name="Data Superscript 3 2 10 5 2" xfId="11990" xr:uid="{00000000-0005-0000-0000-0000F5340000}"/>
    <cellStyle name="Data Superscript 3 2 10 6" xfId="11991" xr:uid="{00000000-0005-0000-0000-0000F6340000}"/>
    <cellStyle name="Data Superscript 3 2 10 6 2" xfId="11992" xr:uid="{00000000-0005-0000-0000-0000F7340000}"/>
    <cellStyle name="Data Superscript 3 2 10 7" xfId="11993" xr:uid="{00000000-0005-0000-0000-0000F8340000}"/>
    <cellStyle name="Data Superscript 3 2 10 7 2" xfId="11994" xr:uid="{00000000-0005-0000-0000-0000F9340000}"/>
    <cellStyle name="Data Superscript 3 2 10 8" xfId="11995" xr:uid="{00000000-0005-0000-0000-0000FA340000}"/>
    <cellStyle name="Data Superscript 3 2 10 8 2" xfId="11996" xr:uid="{00000000-0005-0000-0000-0000FB340000}"/>
    <cellStyle name="Data Superscript 3 2 10 9" xfId="11997" xr:uid="{00000000-0005-0000-0000-0000FC340000}"/>
    <cellStyle name="Data Superscript 3 2 10 9 2" xfId="11998" xr:uid="{00000000-0005-0000-0000-0000FD340000}"/>
    <cellStyle name="Data Superscript 3 2 11" xfId="11999" xr:uid="{00000000-0005-0000-0000-0000FE340000}"/>
    <cellStyle name="Data Superscript 3 2 11 2" xfId="12000" xr:uid="{00000000-0005-0000-0000-0000FF340000}"/>
    <cellStyle name="Data Superscript 3 2 11 2 2" xfId="12001" xr:uid="{00000000-0005-0000-0000-000000350000}"/>
    <cellStyle name="Data Superscript 3 2 11 3" xfId="12002" xr:uid="{00000000-0005-0000-0000-000001350000}"/>
    <cellStyle name="Data Superscript 3 2 11 3 2" xfId="12003" xr:uid="{00000000-0005-0000-0000-000002350000}"/>
    <cellStyle name="Data Superscript 3 2 11 4" xfId="12004" xr:uid="{00000000-0005-0000-0000-000003350000}"/>
    <cellStyle name="Data Superscript 3 2 11 4 2" xfId="12005" xr:uid="{00000000-0005-0000-0000-000004350000}"/>
    <cellStyle name="Data Superscript 3 2 11 5" xfId="12006" xr:uid="{00000000-0005-0000-0000-000005350000}"/>
    <cellStyle name="Data Superscript 3 2 11 5 2" xfId="12007" xr:uid="{00000000-0005-0000-0000-000006350000}"/>
    <cellStyle name="Data Superscript 3 2 11 6" xfId="12008" xr:uid="{00000000-0005-0000-0000-000007350000}"/>
    <cellStyle name="Data Superscript 3 2 11 6 2" xfId="12009" xr:uid="{00000000-0005-0000-0000-000008350000}"/>
    <cellStyle name="Data Superscript 3 2 11 7" xfId="12010" xr:uid="{00000000-0005-0000-0000-000009350000}"/>
    <cellStyle name="Data Superscript 3 2 11 7 2" xfId="12011" xr:uid="{00000000-0005-0000-0000-00000A350000}"/>
    <cellStyle name="Data Superscript 3 2 11 8" xfId="12012" xr:uid="{00000000-0005-0000-0000-00000B350000}"/>
    <cellStyle name="Data Superscript 3 2 11 8 2" xfId="12013" xr:uid="{00000000-0005-0000-0000-00000C350000}"/>
    <cellStyle name="Data Superscript 3 2 11 9" xfId="12014" xr:uid="{00000000-0005-0000-0000-00000D350000}"/>
    <cellStyle name="Data Superscript 3 2 2" xfId="12015" xr:uid="{00000000-0005-0000-0000-00000E350000}"/>
    <cellStyle name="Data Superscript 3 2 2 10" xfId="12016" xr:uid="{00000000-0005-0000-0000-00000F350000}"/>
    <cellStyle name="Data Superscript 3 2 2 2" xfId="12017" xr:uid="{00000000-0005-0000-0000-000010350000}"/>
    <cellStyle name="Data Superscript 3 2 2 2 2" xfId="12018" xr:uid="{00000000-0005-0000-0000-000011350000}"/>
    <cellStyle name="Data Superscript 3 2 2 3" xfId="12019" xr:uid="{00000000-0005-0000-0000-000012350000}"/>
    <cellStyle name="Data Superscript 3 2 2 3 2" xfId="12020" xr:uid="{00000000-0005-0000-0000-000013350000}"/>
    <cellStyle name="Data Superscript 3 2 2 4" xfId="12021" xr:uid="{00000000-0005-0000-0000-000014350000}"/>
    <cellStyle name="Data Superscript 3 2 2 4 2" xfId="12022" xr:uid="{00000000-0005-0000-0000-000015350000}"/>
    <cellStyle name="Data Superscript 3 2 2 5" xfId="12023" xr:uid="{00000000-0005-0000-0000-000016350000}"/>
    <cellStyle name="Data Superscript 3 2 2 5 2" xfId="12024" xr:uid="{00000000-0005-0000-0000-000017350000}"/>
    <cellStyle name="Data Superscript 3 2 2 6" xfId="12025" xr:uid="{00000000-0005-0000-0000-000018350000}"/>
    <cellStyle name="Data Superscript 3 2 2 6 2" xfId="12026" xr:uid="{00000000-0005-0000-0000-000019350000}"/>
    <cellStyle name="Data Superscript 3 2 2 7" xfId="12027" xr:uid="{00000000-0005-0000-0000-00001A350000}"/>
    <cellStyle name="Data Superscript 3 2 2 7 2" xfId="12028" xr:uid="{00000000-0005-0000-0000-00001B350000}"/>
    <cellStyle name="Data Superscript 3 2 2 8" xfId="12029" xr:uid="{00000000-0005-0000-0000-00001C350000}"/>
    <cellStyle name="Data Superscript 3 2 2 8 2" xfId="12030" xr:uid="{00000000-0005-0000-0000-00001D350000}"/>
    <cellStyle name="Data Superscript 3 2 2 9" xfId="12031" xr:uid="{00000000-0005-0000-0000-00001E350000}"/>
    <cellStyle name="Data Superscript 3 2 2 9 2" xfId="12032" xr:uid="{00000000-0005-0000-0000-00001F350000}"/>
    <cellStyle name="Data Superscript 3 2 3" xfId="12033" xr:uid="{00000000-0005-0000-0000-000020350000}"/>
    <cellStyle name="Data Superscript 3 2 3 10" xfId="12034" xr:uid="{00000000-0005-0000-0000-000021350000}"/>
    <cellStyle name="Data Superscript 3 2 3 2" xfId="12035" xr:uid="{00000000-0005-0000-0000-000022350000}"/>
    <cellStyle name="Data Superscript 3 2 3 2 2" xfId="12036" xr:uid="{00000000-0005-0000-0000-000023350000}"/>
    <cellStyle name="Data Superscript 3 2 3 3" xfId="12037" xr:uid="{00000000-0005-0000-0000-000024350000}"/>
    <cellStyle name="Data Superscript 3 2 3 3 2" xfId="12038" xr:uid="{00000000-0005-0000-0000-000025350000}"/>
    <cellStyle name="Data Superscript 3 2 3 4" xfId="12039" xr:uid="{00000000-0005-0000-0000-000026350000}"/>
    <cellStyle name="Data Superscript 3 2 3 4 2" xfId="12040" xr:uid="{00000000-0005-0000-0000-000027350000}"/>
    <cellStyle name="Data Superscript 3 2 3 5" xfId="12041" xr:uid="{00000000-0005-0000-0000-000028350000}"/>
    <cellStyle name="Data Superscript 3 2 3 5 2" xfId="12042" xr:uid="{00000000-0005-0000-0000-000029350000}"/>
    <cellStyle name="Data Superscript 3 2 3 6" xfId="12043" xr:uid="{00000000-0005-0000-0000-00002A350000}"/>
    <cellStyle name="Data Superscript 3 2 3 6 2" xfId="12044" xr:uid="{00000000-0005-0000-0000-00002B350000}"/>
    <cellStyle name="Data Superscript 3 2 3 7" xfId="12045" xr:uid="{00000000-0005-0000-0000-00002C350000}"/>
    <cellStyle name="Data Superscript 3 2 3 7 2" xfId="12046" xr:uid="{00000000-0005-0000-0000-00002D350000}"/>
    <cellStyle name="Data Superscript 3 2 3 8" xfId="12047" xr:uid="{00000000-0005-0000-0000-00002E350000}"/>
    <cellStyle name="Data Superscript 3 2 3 8 2" xfId="12048" xr:uid="{00000000-0005-0000-0000-00002F350000}"/>
    <cellStyle name="Data Superscript 3 2 3 9" xfId="12049" xr:uid="{00000000-0005-0000-0000-000030350000}"/>
    <cellStyle name="Data Superscript 3 2 3 9 2" xfId="12050" xr:uid="{00000000-0005-0000-0000-000031350000}"/>
    <cellStyle name="Data Superscript 3 2 4" xfId="12051" xr:uid="{00000000-0005-0000-0000-000032350000}"/>
    <cellStyle name="Data Superscript 3 2 4 10" xfId="12052" xr:uid="{00000000-0005-0000-0000-000033350000}"/>
    <cellStyle name="Data Superscript 3 2 4 2" xfId="12053" xr:uid="{00000000-0005-0000-0000-000034350000}"/>
    <cellStyle name="Data Superscript 3 2 4 2 2" xfId="12054" xr:uid="{00000000-0005-0000-0000-000035350000}"/>
    <cellStyle name="Data Superscript 3 2 4 3" xfId="12055" xr:uid="{00000000-0005-0000-0000-000036350000}"/>
    <cellStyle name="Data Superscript 3 2 4 3 2" xfId="12056" xr:uid="{00000000-0005-0000-0000-000037350000}"/>
    <cellStyle name="Data Superscript 3 2 4 4" xfId="12057" xr:uid="{00000000-0005-0000-0000-000038350000}"/>
    <cellStyle name="Data Superscript 3 2 4 4 2" xfId="12058" xr:uid="{00000000-0005-0000-0000-000039350000}"/>
    <cellStyle name="Data Superscript 3 2 4 5" xfId="12059" xr:uid="{00000000-0005-0000-0000-00003A350000}"/>
    <cellStyle name="Data Superscript 3 2 4 5 2" xfId="12060" xr:uid="{00000000-0005-0000-0000-00003B350000}"/>
    <cellStyle name="Data Superscript 3 2 4 6" xfId="12061" xr:uid="{00000000-0005-0000-0000-00003C350000}"/>
    <cellStyle name="Data Superscript 3 2 4 6 2" xfId="12062" xr:uid="{00000000-0005-0000-0000-00003D350000}"/>
    <cellStyle name="Data Superscript 3 2 4 7" xfId="12063" xr:uid="{00000000-0005-0000-0000-00003E350000}"/>
    <cellStyle name="Data Superscript 3 2 4 7 2" xfId="12064" xr:uid="{00000000-0005-0000-0000-00003F350000}"/>
    <cellStyle name="Data Superscript 3 2 4 8" xfId="12065" xr:uid="{00000000-0005-0000-0000-000040350000}"/>
    <cellStyle name="Data Superscript 3 2 4 8 2" xfId="12066" xr:uid="{00000000-0005-0000-0000-000041350000}"/>
    <cellStyle name="Data Superscript 3 2 4 9" xfId="12067" xr:uid="{00000000-0005-0000-0000-000042350000}"/>
    <cellStyle name="Data Superscript 3 2 4 9 2" xfId="12068" xr:uid="{00000000-0005-0000-0000-000043350000}"/>
    <cellStyle name="Data Superscript 3 2 5" xfId="12069" xr:uid="{00000000-0005-0000-0000-000044350000}"/>
    <cellStyle name="Data Superscript 3 2 5 10" xfId="12070" xr:uid="{00000000-0005-0000-0000-000045350000}"/>
    <cellStyle name="Data Superscript 3 2 5 2" xfId="12071" xr:uid="{00000000-0005-0000-0000-000046350000}"/>
    <cellStyle name="Data Superscript 3 2 5 2 2" xfId="12072" xr:uid="{00000000-0005-0000-0000-000047350000}"/>
    <cellStyle name="Data Superscript 3 2 5 3" xfId="12073" xr:uid="{00000000-0005-0000-0000-000048350000}"/>
    <cellStyle name="Data Superscript 3 2 5 3 2" xfId="12074" xr:uid="{00000000-0005-0000-0000-000049350000}"/>
    <cellStyle name="Data Superscript 3 2 5 4" xfId="12075" xr:uid="{00000000-0005-0000-0000-00004A350000}"/>
    <cellStyle name="Data Superscript 3 2 5 4 2" xfId="12076" xr:uid="{00000000-0005-0000-0000-00004B350000}"/>
    <cellStyle name="Data Superscript 3 2 5 5" xfId="12077" xr:uid="{00000000-0005-0000-0000-00004C350000}"/>
    <cellStyle name="Data Superscript 3 2 5 5 2" xfId="12078" xr:uid="{00000000-0005-0000-0000-00004D350000}"/>
    <cellStyle name="Data Superscript 3 2 5 6" xfId="12079" xr:uid="{00000000-0005-0000-0000-00004E350000}"/>
    <cellStyle name="Data Superscript 3 2 5 6 2" xfId="12080" xr:uid="{00000000-0005-0000-0000-00004F350000}"/>
    <cellStyle name="Data Superscript 3 2 5 7" xfId="12081" xr:uid="{00000000-0005-0000-0000-000050350000}"/>
    <cellStyle name="Data Superscript 3 2 5 7 2" xfId="12082" xr:uid="{00000000-0005-0000-0000-000051350000}"/>
    <cellStyle name="Data Superscript 3 2 5 8" xfId="12083" xr:uid="{00000000-0005-0000-0000-000052350000}"/>
    <cellStyle name="Data Superscript 3 2 5 8 2" xfId="12084" xr:uid="{00000000-0005-0000-0000-000053350000}"/>
    <cellStyle name="Data Superscript 3 2 5 9" xfId="12085" xr:uid="{00000000-0005-0000-0000-000054350000}"/>
    <cellStyle name="Data Superscript 3 2 5 9 2" xfId="12086" xr:uid="{00000000-0005-0000-0000-000055350000}"/>
    <cellStyle name="Data Superscript 3 2 6" xfId="12087" xr:uid="{00000000-0005-0000-0000-000056350000}"/>
    <cellStyle name="Data Superscript 3 2 6 10" xfId="12088" xr:uid="{00000000-0005-0000-0000-000057350000}"/>
    <cellStyle name="Data Superscript 3 2 6 2" xfId="12089" xr:uid="{00000000-0005-0000-0000-000058350000}"/>
    <cellStyle name="Data Superscript 3 2 6 2 2" xfId="12090" xr:uid="{00000000-0005-0000-0000-000059350000}"/>
    <cellStyle name="Data Superscript 3 2 6 3" xfId="12091" xr:uid="{00000000-0005-0000-0000-00005A350000}"/>
    <cellStyle name="Data Superscript 3 2 6 3 2" xfId="12092" xr:uid="{00000000-0005-0000-0000-00005B350000}"/>
    <cellStyle name="Data Superscript 3 2 6 4" xfId="12093" xr:uid="{00000000-0005-0000-0000-00005C350000}"/>
    <cellStyle name="Data Superscript 3 2 6 4 2" xfId="12094" xr:uid="{00000000-0005-0000-0000-00005D350000}"/>
    <cellStyle name="Data Superscript 3 2 6 5" xfId="12095" xr:uid="{00000000-0005-0000-0000-00005E350000}"/>
    <cellStyle name="Data Superscript 3 2 6 5 2" xfId="12096" xr:uid="{00000000-0005-0000-0000-00005F350000}"/>
    <cellStyle name="Data Superscript 3 2 6 6" xfId="12097" xr:uid="{00000000-0005-0000-0000-000060350000}"/>
    <cellStyle name="Data Superscript 3 2 6 6 2" xfId="12098" xr:uid="{00000000-0005-0000-0000-000061350000}"/>
    <cellStyle name="Data Superscript 3 2 6 7" xfId="12099" xr:uid="{00000000-0005-0000-0000-000062350000}"/>
    <cellStyle name="Data Superscript 3 2 6 7 2" xfId="12100" xr:uid="{00000000-0005-0000-0000-000063350000}"/>
    <cellStyle name="Data Superscript 3 2 6 8" xfId="12101" xr:uid="{00000000-0005-0000-0000-000064350000}"/>
    <cellStyle name="Data Superscript 3 2 6 8 2" xfId="12102" xr:uid="{00000000-0005-0000-0000-000065350000}"/>
    <cellStyle name="Data Superscript 3 2 6 9" xfId="12103" xr:uid="{00000000-0005-0000-0000-000066350000}"/>
    <cellStyle name="Data Superscript 3 2 6 9 2" xfId="12104" xr:uid="{00000000-0005-0000-0000-000067350000}"/>
    <cellStyle name="Data Superscript 3 2 7" xfId="12105" xr:uid="{00000000-0005-0000-0000-000068350000}"/>
    <cellStyle name="Data Superscript 3 2 7 10" xfId="12106" xr:uid="{00000000-0005-0000-0000-000069350000}"/>
    <cellStyle name="Data Superscript 3 2 7 2" xfId="12107" xr:uid="{00000000-0005-0000-0000-00006A350000}"/>
    <cellStyle name="Data Superscript 3 2 7 2 2" xfId="12108" xr:uid="{00000000-0005-0000-0000-00006B350000}"/>
    <cellStyle name="Data Superscript 3 2 7 3" xfId="12109" xr:uid="{00000000-0005-0000-0000-00006C350000}"/>
    <cellStyle name="Data Superscript 3 2 7 3 2" xfId="12110" xr:uid="{00000000-0005-0000-0000-00006D350000}"/>
    <cellStyle name="Data Superscript 3 2 7 4" xfId="12111" xr:uid="{00000000-0005-0000-0000-00006E350000}"/>
    <cellStyle name="Data Superscript 3 2 7 4 2" xfId="12112" xr:uid="{00000000-0005-0000-0000-00006F350000}"/>
    <cellStyle name="Data Superscript 3 2 7 5" xfId="12113" xr:uid="{00000000-0005-0000-0000-000070350000}"/>
    <cellStyle name="Data Superscript 3 2 7 5 2" xfId="12114" xr:uid="{00000000-0005-0000-0000-000071350000}"/>
    <cellStyle name="Data Superscript 3 2 7 6" xfId="12115" xr:uid="{00000000-0005-0000-0000-000072350000}"/>
    <cellStyle name="Data Superscript 3 2 7 6 2" xfId="12116" xr:uid="{00000000-0005-0000-0000-000073350000}"/>
    <cellStyle name="Data Superscript 3 2 7 7" xfId="12117" xr:uid="{00000000-0005-0000-0000-000074350000}"/>
    <cellStyle name="Data Superscript 3 2 7 7 2" xfId="12118" xr:uid="{00000000-0005-0000-0000-000075350000}"/>
    <cellStyle name="Data Superscript 3 2 7 8" xfId="12119" xr:uid="{00000000-0005-0000-0000-000076350000}"/>
    <cellStyle name="Data Superscript 3 2 7 8 2" xfId="12120" xr:uid="{00000000-0005-0000-0000-000077350000}"/>
    <cellStyle name="Data Superscript 3 2 7 9" xfId="12121" xr:uid="{00000000-0005-0000-0000-000078350000}"/>
    <cellStyle name="Data Superscript 3 2 7 9 2" xfId="12122" xr:uid="{00000000-0005-0000-0000-000079350000}"/>
    <cellStyle name="Data Superscript 3 2 8" xfId="12123" xr:uid="{00000000-0005-0000-0000-00007A350000}"/>
    <cellStyle name="Data Superscript 3 2 8 10" xfId="12124" xr:uid="{00000000-0005-0000-0000-00007B350000}"/>
    <cellStyle name="Data Superscript 3 2 8 2" xfId="12125" xr:uid="{00000000-0005-0000-0000-00007C350000}"/>
    <cellStyle name="Data Superscript 3 2 8 2 2" xfId="12126" xr:uid="{00000000-0005-0000-0000-00007D350000}"/>
    <cellStyle name="Data Superscript 3 2 8 3" xfId="12127" xr:uid="{00000000-0005-0000-0000-00007E350000}"/>
    <cellStyle name="Data Superscript 3 2 8 3 2" xfId="12128" xr:uid="{00000000-0005-0000-0000-00007F350000}"/>
    <cellStyle name="Data Superscript 3 2 8 4" xfId="12129" xr:uid="{00000000-0005-0000-0000-000080350000}"/>
    <cellStyle name="Data Superscript 3 2 8 4 2" xfId="12130" xr:uid="{00000000-0005-0000-0000-000081350000}"/>
    <cellStyle name="Data Superscript 3 2 8 5" xfId="12131" xr:uid="{00000000-0005-0000-0000-000082350000}"/>
    <cellStyle name="Data Superscript 3 2 8 5 2" xfId="12132" xr:uid="{00000000-0005-0000-0000-000083350000}"/>
    <cellStyle name="Data Superscript 3 2 8 6" xfId="12133" xr:uid="{00000000-0005-0000-0000-000084350000}"/>
    <cellStyle name="Data Superscript 3 2 8 6 2" xfId="12134" xr:uid="{00000000-0005-0000-0000-000085350000}"/>
    <cellStyle name="Data Superscript 3 2 8 7" xfId="12135" xr:uid="{00000000-0005-0000-0000-000086350000}"/>
    <cellStyle name="Data Superscript 3 2 8 7 2" xfId="12136" xr:uid="{00000000-0005-0000-0000-000087350000}"/>
    <cellStyle name="Data Superscript 3 2 8 8" xfId="12137" xr:uid="{00000000-0005-0000-0000-000088350000}"/>
    <cellStyle name="Data Superscript 3 2 8 8 2" xfId="12138" xr:uid="{00000000-0005-0000-0000-000089350000}"/>
    <cellStyle name="Data Superscript 3 2 8 9" xfId="12139" xr:uid="{00000000-0005-0000-0000-00008A350000}"/>
    <cellStyle name="Data Superscript 3 2 8 9 2" xfId="12140" xr:uid="{00000000-0005-0000-0000-00008B350000}"/>
    <cellStyle name="Data Superscript 3 2 9" xfId="12141" xr:uid="{00000000-0005-0000-0000-00008C350000}"/>
    <cellStyle name="Data Superscript 3 2 9 10" xfId="12142" xr:uid="{00000000-0005-0000-0000-00008D350000}"/>
    <cellStyle name="Data Superscript 3 2 9 2" xfId="12143" xr:uid="{00000000-0005-0000-0000-00008E350000}"/>
    <cellStyle name="Data Superscript 3 2 9 2 2" xfId="12144" xr:uid="{00000000-0005-0000-0000-00008F350000}"/>
    <cellStyle name="Data Superscript 3 2 9 3" xfId="12145" xr:uid="{00000000-0005-0000-0000-000090350000}"/>
    <cellStyle name="Data Superscript 3 2 9 3 2" xfId="12146" xr:uid="{00000000-0005-0000-0000-000091350000}"/>
    <cellStyle name="Data Superscript 3 2 9 4" xfId="12147" xr:uid="{00000000-0005-0000-0000-000092350000}"/>
    <cellStyle name="Data Superscript 3 2 9 4 2" xfId="12148" xr:uid="{00000000-0005-0000-0000-000093350000}"/>
    <cellStyle name="Data Superscript 3 2 9 5" xfId="12149" xr:uid="{00000000-0005-0000-0000-000094350000}"/>
    <cellStyle name="Data Superscript 3 2 9 5 2" xfId="12150" xr:uid="{00000000-0005-0000-0000-000095350000}"/>
    <cellStyle name="Data Superscript 3 2 9 6" xfId="12151" xr:uid="{00000000-0005-0000-0000-000096350000}"/>
    <cellStyle name="Data Superscript 3 2 9 6 2" xfId="12152" xr:uid="{00000000-0005-0000-0000-000097350000}"/>
    <cellStyle name="Data Superscript 3 2 9 7" xfId="12153" xr:uid="{00000000-0005-0000-0000-000098350000}"/>
    <cellStyle name="Data Superscript 3 2 9 7 2" xfId="12154" xr:uid="{00000000-0005-0000-0000-000099350000}"/>
    <cellStyle name="Data Superscript 3 2 9 8" xfId="12155" xr:uid="{00000000-0005-0000-0000-00009A350000}"/>
    <cellStyle name="Data Superscript 3 2 9 8 2" xfId="12156" xr:uid="{00000000-0005-0000-0000-00009B350000}"/>
    <cellStyle name="Data Superscript 3 2 9 9" xfId="12157" xr:uid="{00000000-0005-0000-0000-00009C350000}"/>
    <cellStyle name="Data Superscript 3 2 9 9 2" xfId="12158" xr:uid="{00000000-0005-0000-0000-00009D350000}"/>
    <cellStyle name="Data Superscript 3 3" xfId="12159" xr:uid="{00000000-0005-0000-0000-00009E350000}"/>
    <cellStyle name="Data Superscript 3 3 10" xfId="12160" xr:uid="{00000000-0005-0000-0000-00009F350000}"/>
    <cellStyle name="Data Superscript 3 3 10 10" xfId="12161" xr:uid="{00000000-0005-0000-0000-0000A0350000}"/>
    <cellStyle name="Data Superscript 3 3 10 2" xfId="12162" xr:uid="{00000000-0005-0000-0000-0000A1350000}"/>
    <cellStyle name="Data Superscript 3 3 10 2 2" xfId="12163" xr:uid="{00000000-0005-0000-0000-0000A2350000}"/>
    <cellStyle name="Data Superscript 3 3 10 3" xfId="12164" xr:uid="{00000000-0005-0000-0000-0000A3350000}"/>
    <cellStyle name="Data Superscript 3 3 10 3 2" xfId="12165" xr:uid="{00000000-0005-0000-0000-0000A4350000}"/>
    <cellStyle name="Data Superscript 3 3 10 4" xfId="12166" xr:uid="{00000000-0005-0000-0000-0000A5350000}"/>
    <cellStyle name="Data Superscript 3 3 10 4 2" xfId="12167" xr:uid="{00000000-0005-0000-0000-0000A6350000}"/>
    <cellStyle name="Data Superscript 3 3 10 5" xfId="12168" xr:uid="{00000000-0005-0000-0000-0000A7350000}"/>
    <cellStyle name="Data Superscript 3 3 10 5 2" xfId="12169" xr:uid="{00000000-0005-0000-0000-0000A8350000}"/>
    <cellStyle name="Data Superscript 3 3 10 6" xfId="12170" xr:uid="{00000000-0005-0000-0000-0000A9350000}"/>
    <cellStyle name="Data Superscript 3 3 10 6 2" xfId="12171" xr:uid="{00000000-0005-0000-0000-0000AA350000}"/>
    <cellStyle name="Data Superscript 3 3 10 7" xfId="12172" xr:uid="{00000000-0005-0000-0000-0000AB350000}"/>
    <cellStyle name="Data Superscript 3 3 10 7 2" xfId="12173" xr:uid="{00000000-0005-0000-0000-0000AC350000}"/>
    <cellStyle name="Data Superscript 3 3 10 8" xfId="12174" xr:uid="{00000000-0005-0000-0000-0000AD350000}"/>
    <cellStyle name="Data Superscript 3 3 10 8 2" xfId="12175" xr:uid="{00000000-0005-0000-0000-0000AE350000}"/>
    <cellStyle name="Data Superscript 3 3 10 9" xfId="12176" xr:uid="{00000000-0005-0000-0000-0000AF350000}"/>
    <cellStyle name="Data Superscript 3 3 10 9 2" xfId="12177" xr:uid="{00000000-0005-0000-0000-0000B0350000}"/>
    <cellStyle name="Data Superscript 3 3 11" xfId="12178" xr:uid="{00000000-0005-0000-0000-0000B1350000}"/>
    <cellStyle name="Data Superscript 3 3 11 2" xfId="12179" xr:uid="{00000000-0005-0000-0000-0000B2350000}"/>
    <cellStyle name="Data Superscript 3 3 11 2 2" xfId="12180" xr:uid="{00000000-0005-0000-0000-0000B3350000}"/>
    <cellStyle name="Data Superscript 3 3 11 3" xfId="12181" xr:uid="{00000000-0005-0000-0000-0000B4350000}"/>
    <cellStyle name="Data Superscript 3 3 11 3 2" xfId="12182" xr:uid="{00000000-0005-0000-0000-0000B5350000}"/>
    <cellStyle name="Data Superscript 3 3 11 4" xfId="12183" xr:uid="{00000000-0005-0000-0000-0000B6350000}"/>
    <cellStyle name="Data Superscript 3 3 11 4 2" xfId="12184" xr:uid="{00000000-0005-0000-0000-0000B7350000}"/>
    <cellStyle name="Data Superscript 3 3 11 5" xfId="12185" xr:uid="{00000000-0005-0000-0000-0000B8350000}"/>
    <cellStyle name="Data Superscript 3 3 11 5 2" xfId="12186" xr:uid="{00000000-0005-0000-0000-0000B9350000}"/>
    <cellStyle name="Data Superscript 3 3 11 6" xfId="12187" xr:uid="{00000000-0005-0000-0000-0000BA350000}"/>
    <cellStyle name="Data Superscript 3 3 11 6 2" xfId="12188" xr:uid="{00000000-0005-0000-0000-0000BB350000}"/>
    <cellStyle name="Data Superscript 3 3 11 7" xfId="12189" xr:uid="{00000000-0005-0000-0000-0000BC350000}"/>
    <cellStyle name="Data Superscript 3 3 11 7 2" xfId="12190" xr:uid="{00000000-0005-0000-0000-0000BD350000}"/>
    <cellStyle name="Data Superscript 3 3 11 8" xfId="12191" xr:uid="{00000000-0005-0000-0000-0000BE350000}"/>
    <cellStyle name="Data Superscript 3 3 11 8 2" xfId="12192" xr:uid="{00000000-0005-0000-0000-0000BF350000}"/>
    <cellStyle name="Data Superscript 3 3 11 9" xfId="12193" xr:uid="{00000000-0005-0000-0000-0000C0350000}"/>
    <cellStyle name="Data Superscript 3 3 2" xfId="12194" xr:uid="{00000000-0005-0000-0000-0000C1350000}"/>
    <cellStyle name="Data Superscript 3 3 2 10" xfId="12195" xr:uid="{00000000-0005-0000-0000-0000C2350000}"/>
    <cellStyle name="Data Superscript 3 3 2 2" xfId="12196" xr:uid="{00000000-0005-0000-0000-0000C3350000}"/>
    <cellStyle name="Data Superscript 3 3 2 2 2" xfId="12197" xr:uid="{00000000-0005-0000-0000-0000C4350000}"/>
    <cellStyle name="Data Superscript 3 3 2 3" xfId="12198" xr:uid="{00000000-0005-0000-0000-0000C5350000}"/>
    <cellStyle name="Data Superscript 3 3 2 3 2" xfId="12199" xr:uid="{00000000-0005-0000-0000-0000C6350000}"/>
    <cellStyle name="Data Superscript 3 3 2 4" xfId="12200" xr:uid="{00000000-0005-0000-0000-0000C7350000}"/>
    <cellStyle name="Data Superscript 3 3 2 4 2" xfId="12201" xr:uid="{00000000-0005-0000-0000-0000C8350000}"/>
    <cellStyle name="Data Superscript 3 3 2 5" xfId="12202" xr:uid="{00000000-0005-0000-0000-0000C9350000}"/>
    <cellStyle name="Data Superscript 3 3 2 5 2" xfId="12203" xr:uid="{00000000-0005-0000-0000-0000CA350000}"/>
    <cellStyle name="Data Superscript 3 3 2 6" xfId="12204" xr:uid="{00000000-0005-0000-0000-0000CB350000}"/>
    <cellStyle name="Data Superscript 3 3 2 6 2" xfId="12205" xr:uid="{00000000-0005-0000-0000-0000CC350000}"/>
    <cellStyle name="Data Superscript 3 3 2 7" xfId="12206" xr:uid="{00000000-0005-0000-0000-0000CD350000}"/>
    <cellStyle name="Data Superscript 3 3 2 7 2" xfId="12207" xr:uid="{00000000-0005-0000-0000-0000CE350000}"/>
    <cellStyle name="Data Superscript 3 3 2 8" xfId="12208" xr:uid="{00000000-0005-0000-0000-0000CF350000}"/>
    <cellStyle name="Data Superscript 3 3 2 8 2" xfId="12209" xr:uid="{00000000-0005-0000-0000-0000D0350000}"/>
    <cellStyle name="Data Superscript 3 3 2 9" xfId="12210" xr:uid="{00000000-0005-0000-0000-0000D1350000}"/>
    <cellStyle name="Data Superscript 3 3 2 9 2" xfId="12211" xr:uid="{00000000-0005-0000-0000-0000D2350000}"/>
    <cellStyle name="Data Superscript 3 3 3" xfId="12212" xr:uid="{00000000-0005-0000-0000-0000D3350000}"/>
    <cellStyle name="Data Superscript 3 3 3 10" xfId="12213" xr:uid="{00000000-0005-0000-0000-0000D4350000}"/>
    <cellStyle name="Data Superscript 3 3 3 2" xfId="12214" xr:uid="{00000000-0005-0000-0000-0000D5350000}"/>
    <cellStyle name="Data Superscript 3 3 3 2 2" xfId="12215" xr:uid="{00000000-0005-0000-0000-0000D6350000}"/>
    <cellStyle name="Data Superscript 3 3 3 3" xfId="12216" xr:uid="{00000000-0005-0000-0000-0000D7350000}"/>
    <cellStyle name="Data Superscript 3 3 3 3 2" xfId="12217" xr:uid="{00000000-0005-0000-0000-0000D8350000}"/>
    <cellStyle name="Data Superscript 3 3 3 4" xfId="12218" xr:uid="{00000000-0005-0000-0000-0000D9350000}"/>
    <cellStyle name="Data Superscript 3 3 3 4 2" xfId="12219" xr:uid="{00000000-0005-0000-0000-0000DA350000}"/>
    <cellStyle name="Data Superscript 3 3 3 5" xfId="12220" xr:uid="{00000000-0005-0000-0000-0000DB350000}"/>
    <cellStyle name="Data Superscript 3 3 3 5 2" xfId="12221" xr:uid="{00000000-0005-0000-0000-0000DC350000}"/>
    <cellStyle name="Data Superscript 3 3 3 6" xfId="12222" xr:uid="{00000000-0005-0000-0000-0000DD350000}"/>
    <cellStyle name="Data Superscript 3 3 3 6 2" xfId="12223" xr:uid="{00000000-0005-0000-0000-0000DE350000}"/>
    <cellStyle name="Data Superscript 3 3 3 7" xfId="12224" xr:uid="{00000000-0005-0000-0000-0000DF350000}"/>
    <cellStyle name="Data Superscript 3 3 3 7 2" xfId="12225" xr:uid="{00000000-0005-0000-0000-0000E0350000}"/>
    <cellStyle name="Data Superscript 3 3 3 8" xfId="12226" xr:uid="{00000000-0005-0000-0000-0000E1350000}"/>
    <cellStyle name="Data Superscript 3 3 3 8 2" xfId="12227" xr:uid="{00000000-0005-0000-0000-0000E2350000}"/>
    <cellStyle name="Data Superscript 3 3 3 9" xfId="12228" xr:uid="{00000000-0005-0000-0000-0000E3350000}"/>
    <cellStyle name="Data Superscript 3 3 3 9 2" xfId="12229" xr:uid="{00000000-0005-0000-0000-0000E4350000}"/>
    <cellStyle name="Data Superscript 3 3 4" xfId="12230" xr:uid="{00000000-0005-0000-0000-0000E5350000}"/>
    <cellStyle name="Data Superscript 3 3 4 10" xfId="12231" xr:uid="{00000000-0005-0000-0000-0000E6350000}"/>
    <cellStyle name="Data Superscript 3 3 4 2" xfId="12232" xr:uid="{00000000-0005-0000-0000-0000E7350000}"/>
    <cellStyle name="Data Superscript 3 3 4 2 2" xfId="12233" xr:uid="{00000000-0005-0000-0000-0000E8350000}"/>
    <cellStyle name="Data Superscript 3 3 4 3" xfId="12234" xr:uid="{00000000-0005-0000-0000-0000E9350000}"/>
    <cellStyle name="Data Superscript 3 3 4 3 2" xfId="12235" xr:uid="{00000000-0005-0000-0000-0000EA350000}"/>
    <cellStyle name="Data Superscript 3 3 4 4" xfId="12236" xr:uid="{00000000-0005-0000-0000-0000EB350000}"/>
    <cellStyle name="Data Superscript 3 3 4 4 2" xfId="12237" xr:uid="{00000000-0005-0000-0000-0000EC350000}"/>
    <cellStyle name="Data Superscript 3 3 4 5" xfId="12238" xr:uid="{00000000-0005-0000-0000-0000ED350000}"/>
    <cellStyle name="Data Superscript 3 3 4 5 2" xfId="12239" xr:uid="{00000000-0005-0000-0000-0000EE350000}"/>
    <cellStyle name="Data Superscript 3 3 4 6" xfId="12240" xr:uid="{00000000-0005-0000-0000-0000EF350000}"/>
    <cellStyle name="Data Superscript 3 3 4 6 2" xfId="12241" xr:uid="{00000000-0005-0000-0000-0000F0350000}"/>
    <cellStyle name="Data Superscript 3 3 4 7" xfId="12242" xr:uid="{00000000-0005-0000-0000-0000F1350000}"/>
    <cellStyle name="Data Superscript 3 3 4 7 2" xfId="12243" xr:uid="{00000000-0005-0000-0000-0000F2350000}"/>
    <cellStyle name="Data Superscript 3 3 4 8" xfId="12244" xr:uid="{00000000-0005-0000-0000-0000F3350000}"/>
    <cellStyle name="Data Superscript 3 3 4 8 2" xfId="12245" xr:uid="{00000000-0005-0000-0000-0000F4350000}"/>
    <cellStyle name="Data Superscript 3 3 4 9" xfId="12246" xr:uid="{00000000-0005-0000-0000-0000F5350000}"/>
    <cellStyle name="Data Superscript 3 3 4 9 2" xfId="12247" xr:uid="{00000000-0005-0000-0000-0000F6350000}"/>
    <cellStyle name="Data Superscript 3 3 5" xfId="12248" xr:uid="{00000000-0005-0000-0000-0000F7350000}"/>
    <cellStyle name="Data Superscript 3 3 5 10" xfId="12249" xr:uid="{00000000-0005-0000-0000-0000F8350000}"/>
    <cellStyle name="Data Superscript 3 3 5 2" xfId="12250" xr:uid="{00000000-0005-0000-0000-0000F9350000}"/>
    <cellStyle name="Data Superscript 3 3 5 2 2" xfId="12251" xr:uid="{00000000-0005-0000-0000-0000FA350000}"/>
    <cellStyle name="Data Superscript 3 3 5 3" xfId="12252" xr:uid="{00000000-0005-0000-0000-0000FB350000}"/>
    <cellStyle name="Data Superscript 3 3 5 3 2" xfId="12253" xr:uid="{00000000-0005-0000-0000-0000FC350000}"/>
    <cellStyle name="Data Superscript 3 3 5 4" xfId="12254" xr:uid="{00000000-0005-0000-0000-0000FD350000}"/>
    <cellStyle name="Data Superscript 3 3 5 4 2" xfId="12255" xr:uid="{00000000-0005-0000-0000-0000FE350000}"/>
    <cellStyle name="Data Superscript 3 3 5 5" xfId="12256" xr:uid="{00000000-0005-0000-0000-0000FF350000}"/>
    <cellStyle name="Data Superscript 3 3 5 5 2" xfId="12257" xr:uid="{00000000-0005-0000-0000-000000360000}"/>
    <cellStyle name="Data Superscript 3 3 5 6" xfId="12258" xr:uid="{00000000-0005-0000-0000-000001360000}"/>
    <cellStyle name="Data Superscript 3 3 5 6 2" xfId="12259" xr:uid="{00000000-0005-0000-0000-000002360000}"/>
    <cellStyle name="Data Superscript 3 3 5 7" xfId="12260" xr:uid="{00000000-0005-0000-0000-000003360000}"/>
    <cellStyle name="Data Superscript 3 3 5 7 2" xfId="12261" xr:uid="{00000000-0005-0000-0000-000004360000}"/>
    <cellStyle name="Data Superscript 3 3 5 8" xfId="12262" xr:uid="{00000000-0005-0000-0000-000005360000}"/>
    <cellStyle name="Data Superscript 3 3 5 8 2" xfId="12263" xr:uid="{00000000-0005-0000-0000-000006360000}"/>
    <cellStyle name="Data Superscript 3 3 5 9" xfId="12264" xr:uid="{00000000-0005-0000-0000-000007360000}"/>
    <cellStyle name="Data Superscript 3 3 5 9 2" xfId="12265" xr:uid="{00000000-0005-0000-0000-000008360000}"/>
    <cellStyle name="Data Superscript 3 3 6" xfId="12266" xr:uid="{00000000-0005-0000-0000-000009360000}"/>
    <cellStyle name="Data Superscript 3 3 6 10" xfId="12267" xr:uid="{00000000-0005-0000-0000-00000A360000}"/>
    <cellStyle name="Data Superscript 3 3 6 2" xfId="12268" xr:uid="{00000000-0005-0000-0000-00000B360000}"/>
    <cellStyle name="Data Superscript 3 3 6 2 2" xfId="12269" xr:uid="{00000000-0005-0000-0000-00000C360000}"/>
    <cellStyle name="Data Superscript 3 3 6 3" xfId="12270" xr:uid="{00000000-0005-0000-0000-00000D360000}"/>
    <cellStyle name="Data Superscript 3 3 6 3 2" xfId="12271" xr:uid="{00000000-0005-0000-0000-00000E360000}"/>
    <cellStyle name="Data Superscript 3 3 6 4" xfId="12272" xr:uid="{00000000-0005-0000-0000-00000F360000}"/>
    <cellStyle name="Data Superscript 3 3 6 4 2" xfId="12273" xr:uid="{00000000-0005-0000-0000-000010360000}"/>
    <cellStyle name="Data Superscript 3 3 6 5" xfId="12274" xr:uid="{00000000-0005-0000-0000-000011360000}"/>
    <cellStyle name="Data Superscript 3 3 6 5 2" xfId="12275" xr:uid="{00000000-0005-0000-0000-000012360000}"/>
    <cellStyle name="Data Superscript 3 3 6 6" xfId="12276" xr:uid="{00000000-0005-0000-0000-000013360000}"/>
    <cellStyle name="Data Superscript 3 3 6 6 2" xfId="12277" xr:uid="{00000000-0005-0000-0000-000014360000}"/>
    <cellStyle name="Data Superscript 3 3 6 7" xfId="12278" xr:uid="{00000000-0005-0000-0000-000015360000}"/>
    <cellStyle name="Data Superscript 3 3 6 7 2" xfId="12279" xr:uid="{00000000-0005-0000-0000-000016360000}"/>
    <cellStyle name="Data Superscript 3 3 6 8" xfId="12280" xr:uid="{00000000-0005-0000-0000-000017360000}"/>
    <cellStyle name="Data Superscript 3 3 6 8 2" xfId="12281" xr:uid="{00000000-0005-0000-0000-000018360000}"/>
    <cellStyle name="Data Superscript 3 3 6 9" xfId="12282" xr:uid="{00000000-0005-0000-0000-000019360000}"/>
    <cellStyle name="Data Superscript 3 3 6 9 2" xfId="12283" xr:uid="{00000000-0005-0000-0000-00001A360000}"/>
    <cellStyle name="Data Superscript 3 3 7" xfId="12284" xr:uid="{00000000-0005-0000-0000-00001B360000}"/>
    <cellStyle name="Data Superscript 3 3 7 10" xfId="12285" xr:uid="{00000000-0005-0000-0000-00001C360000}"/>
    <cellStyle name="Data Superscript 3 3 7 2" xfId="12286" xr:uid="{00000000-0005-0000-0000-00001D360000}"/>
    <cellStyle name="Data Superscript 3 3 7 2 2" xfId="12287" xr:uid="{00000000-0005-0000-0000-00001E360000}"/>
    <cellStyle name="Data Superscript 3 3 7 3" xfId="12288" xr:uid="{00000000-0005-0000-0000-00001F360000}"/>
    <cellStyle name="Data Superscript 3 3 7 3 2" xfId="12289" xr:uid="{00000000-0005-0000-0000-000020360000}"/>
    <cellStyle name="Data Superscript 3 3 7 4" xfId="12290" xr:uid="{00000000-0005-0000-0000-000021360000}"/>
    <cellStyle name="Data Superscript 3 3 7 4 2" xfId="12291" xr:uid="{00000000-0005-0000-0000-000022360000}"/>
    <cellStyle name="Data Superscript 3 3 7 5" xfId="12292" xr:uid="{00000000-0005-0000-0000-000023360000}"/>
    <cellStyle name="Data Superscript 3 3 7 5 2" xfId="12293" xr:uid="{00000000-0005-0000-0000-000024360000}"/>
    <cellStyle name="Data Superscript 3 3 7 6" xfId="12294" xr:uid="{00000000-0005-0000-0000-000025360000}"/>
    <cellStyle name="Data Superscript 3 3 7 6 2" xfId="12295" xr:uid="{00000000-0005-0000-0000-000026360000}"/>
    <cellStyle name="Data Superscript 3 3 7 7" xfId="12296" xr:uid="{00000000-0005-0000-0000-000027360000}"/>
    <cellStyle name="Data Superscript 3 3 7 7 2" xfId="12297" xr:uid="{00000000-0005-0000-0000-000028360000}"/>
    <cellStyle name="Data Superscript 3 3 7 8" xfId="12298" xr:uid="{00000000-0005-0000-0000-000029360000}"/>
    <cellStyle name="Data Superscript 3 3 7 8 2" xfId="12299" xr:uid="{00000000-0005-0000-0000-00002A360000}"/>
    <cellStyle name="Data Superscript 3 3 7 9" xfId="12300" xr:uid="{00000000-0005-0000-0000-00002B360000}"/>
    <cellStyle name="Data Superscript 3 3 7 9 2" xfId="12301" xr:uid="{00000000-0005-0000-0000-00002C360000}"/>
    <cellStyle name="Data Superscript 3 3 8" xfId="12302" xr:uid="{00000000-0005-0000-0000-00002D360000}"/>
    <cellStyle name="Data Superscript 3 3 8 10" xfId="12303" xr:uid="{00000000-0005-0000-0000-00002E360000}"/>
    <cellStyle name="Data Superscript 3 3 8 2" xfId="12304" xr:uid="{00000000-0005-0000-0000-00002F360000}"/>
    <cellStyle name="Data Superscript 3 3 8 2 2" xfId="12305" xr:uid="{00000000-0005-0000-0000-000030360000}"/>
    <cellStyle name="Data Superscript 3 3 8 3" xfId="12306" xr:uid="{00000000-0005-0000-0000-000031360000}"/>
    <cellStyle name="Data Superscript 3 3 8 3 2" xfId="12307" xr:uid="{00000000-0005-0000-0000-000032360000}"/>
    <cellStyle name="Data Superscript 3 3 8 4" xfId="12308" xr:uid="{00000000-0005-0000-0000-000033360000}"/>
    <cellStyle name="Data Superscript 3 3 8 4 2" xfId="12309" xr:uid="{00000000-0005-0000-0000-000034360000}"/>
    <cellStyle name="Data Superscript 3 3 8 5" xfId="12310" xr:uid="{00000000-0005-0000-0000-000035360000}"/>
    <cellStyle name="Data Superscript 3 3 8 5 2" xfId="12311" xr:uid="{00000000-0005-0000-0000-000036360000}"/>
    <cellStyle name="Data Superscript 3 3 8 6" xfId="12312" xr:uid="{00000000-0005-0000-0000-000037360000}"/>
    <cellStyle name="Data Superscript 3 3 8 6 2" xfId="12313" xr:uid="{00000000-0005-0000-0000-000038360000}"/>
    <cellStyle name="Data Superscript 3 3 8 7" xfId="12314" xr:uid="{00000000-0005-0000-0000-000039360000}"/>
    <cellStyle name="Data Superscript 3 3 8 7 2" xfId="12315" xr:uid="{00000000-0005-0000-0000-00003A360000}"/>
    <cellStyle name="Data Superscript 3 3 8 8" xfId="12316" xr:uid="{00000000-0005-0000-0000-00003B360000}"/>
    <cellStyle name="Data Superscript 3 3 8 8 2" xfId="12317" xr:uid="{00000000-0005-0000-0000-00003C360000}"/>
    <cellStyle name="Data Superscript 3 3 8 9" xfId="12318" xr:uid="{00000000-0005-0000-0000-00003D360000}"/>
    <cellStyle name="Data Superscript 3 3 8 9 2" xfId="12319" xr:uid="{00000000-0005-0000-0000-00003E360000}"/>
    <cellStyle name="Data Superscript 3 3 9" xfId="12320" xr:uid="{00000000-0005-0000-0000-00003F360000}"/>
    <cellStyle name="Data Superscript 3 3 9 10" xfId="12321" xr:uid="{00000000-0005-0000-0000-000040360000}"/>
    <cellStyle name="Data Superscript 3 3 9 2" xfId="12322" xr:uid="{00000000-0005-0000-0000-000041360000}"/>
    <cellStyle name="Data Superscript 3 3 9 2 2" xfId="12323" xr:uid="{00000000-0005-0000-0000-000042360000}"/>
    <cellStyle name="Data Superscript 3 3 9 3" xfId="12324" xr:uid="{00000000-0005-0000-0000-000043360000}"/>
    <cellStyle name="Data Superscript 3 3 9 3 2" xfId="12325" xr:uid="{00000000-0005-0000-0000-000044360000}"/>
    <cellStyle name="Data Superscript 3 3 9 4" xfId="12326" xr:uid="{00000000-0005-0000-0000-000045360000}"/>
    <cellStyle name="Data Superscript 3 3 9 4 2" xfId="12327" xr:uid="{00000000-0005-0000-0000-000046360000}"/>
    <cellStyle name="Data Superscript 3 3 9 5" xfId="12328" xr:uid="{00000000-0005-0000-0000-000047360000}"/>
    <cellStyle name="Data Superscript 3 3 9 5 2" xfId="12329" xr:uid="{00000000-0005-0000-0000-000048360000}"/>
    <cellStyle name="Data Superscript 3 3 9 6" xfId="12330" xr:uid="{00000000-0005-0000-0000-000049360000}"/>
    <cellStyle name="Data Superscript 3 3 9 6 2" xfId="12331" xr:uid="{00000000-0005-0000-0000-00004A360000}"/>
    <cellStyle name="Data Superscript 3 3 9 7" xfId="12332" xr:uid="{00000000-0005-0000-0000-00004B360000}"/>
    <cellStyle name="Data Superscript 3 3 9 7 2" xfId="12333" xr:uid="{00000000-0005-0000-0000-00004C360000}"/>
    <cellStyle name="Data Superscript 3 3 9 8" xfId="12334" xr:uid="{00000000-0005-0000-0000-00004D360000}"/>
    <cellStyle name="Data Superscript 3 3 9 8 2" xfId="12335" xr:uid="{00000000-0005-0000-0000-00004E360000}"/>
    <cellStyle name="Data Superscript 3 3 9 9" xfId="12336" xr:uid="{00000000-0005-0000-0000-00004F360000}"/>
    <cellStyle name="Data Superscript 3 3 9 9 2" xfId="12337" xr:uid="{00000000-0005-0000-0000-000050360000}"/>
    <cellStyle name="Data Superscript 3 4" xfId="12338" xr:uid="{00000000-0005-0000-0000-000051360000}"/>
    <cellStyle name="Data Superscript 3 4 10" xfId="12339" xr:uid="{00000000-0005-0000-0000-000052360000}"/>
    <cellStyle name="Data Superscript 3 4 10 2" xfId="12340" xr:uid="{00000000-0005-0000-0000-000053360000}"/>
    <cellStyle name="Data Superscript 3 4 10 2 2" xfId="12341" xr:uid="{00000000-0005-0000-0000-000054360000}"/>
    <cellStyle name="Data Superscript 3 4 10 3" xfId="12342" xr:uid="{00000000-0005-0000-0000-000055360000}"/>
    <cellStyle name="Data Superscript 3 4 10 3 2" xfId="12343" xr:uid="{00000000-0005-0000-0000-000056360000}"/>
    <cellStyle name="Data Superscript 3 4 10 4" xfId="12344" xr:uid="{00000000-0005-0000-0000-000057360000}"/>
    <cellStyle name="Data Superscript 3 4 10 4 2" xfId="12345" xr:uid="{00000000-0005-0000-0000-000058360000}"/>
    <cellStyle name="Data Superscript 3 4 10 5" xfId="12346" xr:uid="{00000000-0005-0000-0000-000059360000}"/>
    <cellStyle name="Data Superscript 3 4 10 5 2" xfId="12347" xr:uid="{00000000-0005-0000-0000-00005A360000}"/>
    <cellStyle name="Data Superscript 3 4 10 6" xfId="12348" xr:uid="{00000000-0005-0000-0000-00005B360000}"/>
    <cellStyle name="Data Superscript 3 4 10 6 2" xfId="12349" xr:uid="{00000000-0005-0000-0000-00005C360000}"/>
    <cellStyle name="Data Superscript 3 4 10 7" xfId="12350" xr:uid="{00000000-0005-0000-0000-00005D360000}"/>
    <cellStyle name="Data Superscript 3 4 10 7 2" xfId="12351" xr:uid="{00000000-0005-0000-0000-00005E360000}"/>
    <cellStyle name="Data Superscript 3 4 10 8" xfId="12352" xr:uid="{00000000-0005-0000-0000-00005F360000}"/>
    <cellStyle name="Data Superscript 3 4 10 8 2" xfId="12353" xr:uid="{00000000-0005-0000-0000-000060360000}"/>
    <cellStyle name="Data Superscript 3 4 10 9" xfId="12354" xr:uid="{00000000-0005-0000-0000-000061360000}"/>
    <cellStyle name="Data Superscript 3 4 11" xfId="12355" xr:uid="{00000000-0005-0000-0000-000062360000}"/>
    <cellStyle name="Data Superscript 3 4 11 2" xfId="12356" xr:uid="{00000000-0005-0000-0000-000063360000}"/>
    <cellStyle name="Data Superscript 3 4 12" xfId="12357" xr:uid="{00000000-0005-0000-0000-000064360000}"/>
    <cellStyle name="Data Superscript 3 4 12 2" xfId="12358" xr:uid="{00000000-0005-0000-0000-000065360000}"/>
    <cellStyle name="Data Superscript 3 4 13" xfId="12359" xr:uid="{00000000-0005-0000-0000-000066360000}"/>
    <cellStyle name="Data Superscript 3 4 13 2" xfId="12360" xr:uid="{00000000-0005-0000-0000-000067360000}"/>
    <cellStyle name="Data Superscript 3 4 14" xfId="12361" xr:uid="{00000000-0005-0000-0000-000068360000}"/>
    <cellStyle name="Data Superscript 3 4 14 2" xfId="12362" xr:uid="{00000000-0005-0000-0000-000069360000}"/>
    <cellStyle name="Data Superscript 3 4 15" xfId="12363" xr:uid="{00000000-0005-0000-0000-00006A360000}"/>
    <cellStyle name="Data Superscript 3 4 15 2" xfId="12364" xr:uid="{00000000-0005-0000-0000-00006B360000}"/>
    <cellStyle name="Data Superscript 3 4 16" xfId="12365" xr:uid="{00000000-0005-0000-0000-00006C360000}"/>
    <cellStyle name="Data Superscript 3 4 16 2" xfId="12366" xr:uid="{00000000-0005-0000-0000-00006D360000}"/>
    <cellStyle name="Data Superscript 3 4 17" xfId="12367" xr:uid="{00000000-0005-0000-0000-00006E360000}"/>
    <cellStyle name="Data Superscript 3 4 17 2" xfId="12368" xr:uid="{00000000-0005-0000-0000-00006F360000}"/>
    <cellStyle name="Data Superscript 3 4 18" xfId="12369" xr:uid="{00000000-0005-0000-0000-000070360000}"/>
    <cellStyle name="Data Superscript 3 4 2" xfId="12370" xr:uid="{00000000-0005-0000-0000-000071360000}"/>
    <cellStyle name="Data Superscript 3 4 2 10" xfId="12371" xr:uid="{00000000-0005-0000-0000-000072360000}"/>
    <cellStyle name="Data Superscript 3 4 2 2" xfId="12372" xr:uid="{00000000-0005-0000-0000-000073360000}"/>
    <cellStyle name="Data Superscript 3 4 2 2 2" xfId="12373" xr:uid="{00000000-0005-0000-0000-000074360000}"/>
    <cellStyle name="Data Superscript 3 4 2 3" xfId="12374" xr:uid="{00000000-0005-0000-0000-000075360000}"/>
    <cellStyle name="Data Superscript 3 4 2 3 2" xfId="12375" xr:uid="{00000000-0005-0000-0000-000076360000}"/>
    <cellStyle name="Data Superscript 3 4 2 4" xfId="12376" xr:uid="{00000000-0005-0000-0000-000077360000}"/>
    <cellStyle name="Data Superscript 3 4 2 4 2" xfId="12377" xr:uid="{00000000-0005-0000-0000-000078360000}"/>
    <cellStyle name="Data Superscript 3 4 2 5" xfId="12378" xr:uid="{00000000-0005-0000-0000-000079360000}"/>
    <cellStyle name="Data Superscript 3 4 2 5 2" xfId="12379" xr:uid="{00000000-0005-0000-0000-00007A360000}"/>
    <cellStyle name="Data Superscript 3 4 2 6" xfId="12380" xr:uid="{00000000-0005-0000-0000-00007B360000}"/>
    <cellStyle name="Data Superscript 3 4 2 6 2" xfId="12381" xr:uid="{00000000-0005-0000-0000-00007C360000}"/>
    <cellStyle name="Data Superscript 3 4 2 7" xfId="12382" xr:uid="{00000000-0005-0000-0000-00007D360000}"/>
    <cellStyle name="Data Superscript 3 4 2 7 2" xfId="12383" xr:uid="{00000000-0005-0000-0000-00007E360000}"/>
    <cellStyle name="Data Superscript 3 4 2 8" xfId="12384" xr:uid="{00000000-0005-0000-0000-00007F360000}"/>
    <cellStyle name="Data Superscript 3 4 2 8 2" xfId="12385" xr:uid="{00000000-0005-0000-0000-000080360000}"/>
    <cellStyle name="Data Superscript 3 4 2 9" xfId="12386" xr:uid="{00000000-0005-0000-0000-000081360000}"/>
    <cellStyle name="Data Superscript 3 4 2 9 2" xfId="12387" xr:uid="{00000000-0005-0000-0000-000082360000}"/>
    <cellStyle name="Data Superscript 3 4 3" xfId="12388" xr:uid="{00000000-0005-0000-0000-000083360000}"/>
    <cellStyle name="Data Superscript 3 4 3 10" xfId="12389" xr:uid="{00000000-0005-0000-0000-000084360000}"/>
    <cellStyle name="Data Superscript 3 4 3 2" xfId="12390" xr:uid="{00000000-0005-0000-0000-000085360000}"/>
    <cellStyle name="Data Superscript 3 4 3 2 2" xfId="12391" xr:uid="{00000000-0005-0000-0000-000086360000}"/>
    <cellStyle name="Data Superscript 3 4 3 3" xfId="12392" xr:uid="{00000000-0005-0000-0000-000087360000}"/>
    <cellStyle name="Data Superscript 3 4 3 3 2" xfId="12393" xr:uid="{00000000-0005-0000-0000-000088360000}"/>
    <cellStyle name="Data Superscript 3 4 3 4" xfId="12394" xr:uid="{00000000-0005-0000-0000-000089360000}"/>
    <cellStyle name="Data Superscript 3 4 3 4 2" xfId="12395" xr:uid="{00000000-0005-0000-0000-00008A360000}"/>
    <cellStyle name="Data Superscript 3 4 3 5" xfId="12396" xr:uid="{00000000-0005-0000-0000-00008B360000}"/>
    <cellStyle name="Data Superscript 3 4 3 5 2" xfId="12397" xr:uid="{00000000-0005-0000-0000-00008C360000}"/>
    <cellStyle name="Data Superscript 3 4 3 6" xfId="12398" xr:uid="{00000000-0005-0000-0000-00008D360000}"/>
    <cellStyle name="Data Superscript 3 4 3 6 2" xfId="12399" xr:uid="{00000000-0005-0000-0000-00008E360000}"/>
    <cellStyle name="Data Superscript 3 4 3 7" xfId="12400" xr:uid="{00000000-0005-0000-0000-00008F360000}"/>
    <cellStyle name="Data Superscript 3 4 3 7 2" xfId="12401" xr:uid="{00000000-0005-0000-0000-000090360000}"/>
    <cellStyle name="Data Superscript 3 4 3 8" xfId="12402" xr:uid="{00000000-0005-0000-0000-000091360000}"/>
    <cellStyle name="Data Superscript 3 4 3 8 2" xfId="12403" xr:uid="{00000000-0005-0000-0000-000092360000}"/>
    <cellStyle name="Data Superscript 3 4 3 9" xfId="12404" xr:uid="{00000000-0005-0000-0000-000093360000}"/>
    <cellStyle name="Data Superscript 3 4 3 9 2" xfId="12405" xr:uid="{00000000-0005-0000-0000-000094360000}"/>
    <cellStyle name="Data Superscript 3 4 4" xfId="12406" xr:uid="{00000000-0005-0000-0000-000095360000}"/>
    <cellStyle name="Data Superscript 3 4 4 10" xfId="12407" xr:uid="{00000000-0005-0000-0000-000096360000}"/>
    <cellStyle name="Data Superscript 3 4 4 2" xfId="12408" xr:uid="{00000000-0005-0000-0000-000097360000}"/>
    <cellStyle name="Data Superscript 3 4 4 2 2" xfId="12409" xr:uid="{00000000-0005-0000-0000-000098360000}"/>
    <cellStyle name="Data Superscript 3 4 4 3" xfId="12410" xr:uid="{00000000-0005-0000-0000-000099360000}"/>
    <cellStyle name="Data Superscript 3 4 4 3 2" xfId="12411" xr:uid="{00000000-0005-0000-0000-00009A360000}"/>
    <cellStyle name="Data Superscript 3 4 4 4" xfId="12412" xr:uid="{00000000-0005-0000-0000-00009B360000}"/>
    <cellStyle name="Data Superscript 3 4 4 4 2" xfId="12413" xr:uid="{00000000-0005-0000-0000-00009C360000}"/>
    <cellStyle name="Data Superscript 3 4 4 5" xfId="12414" xr:uid="{00000000-0005-0000-0000-00009D360000}"/>
    <cellStyle name="Data Superscript 3 4 4 5 2" xfId="12415" xr:uid="{00000000-0005-0000-0000-00009E360000}"/>
    <cellStyle name="Data Superscript 3 4 4 6" xfId="12416" xr:uid="{00000000-0005-0000-0000-00009F360000}"/>
    <cellStyle name="Data Superscript 3 4 4 6 2" xfId="12417" xr:uid="{00000000-0005-0000-0000-0000A0360000}"/>
    <cellStyle name="Data Superscript 3 4 4 7" xfId="12418" xr:uid="{00000000-0005-0000-0000-0000A1360000}"/>
    <cellStyle name="Data Superscript 3 4 4 7 2" xfId="12419" xr:uid="{00000000-0005-0000-0000-0000A2360000}"/>
    <cellStyle name="Data Superscript 3 4 4 8" xfId="12420" xr:uid="{00000000-0005-0000-0000-0000A3360000}"/>
    <cellStyle name="Data Superscript 3 4 4 8 2" xfId="12421" xr:uid="{00000000-0005-0000-0000-0000A4360000}"/>
    <cellStyle name="Data Superscript 3 4 4 9" xfId="12422" xr:uid="{00000000-0005-0000-0000-0000A5360000}"/>
    <cellStyle name="Data Superscript 3 4 4 9 2" xfId="12423" xr:uid="{00000000-0005-0000-0000-0000A6360000}"/>
    <cellStyle name="Data Superscript 3 4 5" xfId="12424" xr:uid="{00000000-0005-0000-0000-0000A7360000}"/>
    <cellStyle name="Data Superscript 3 4 5 10" xfId="12425" xr:uid="{00000000-0005-0000-0000-0000A8360000}"/>
    <cellStyle name="Data Superscript 3 4 5 2" xfId="12426" xr:uid="{00000000-0005-0000-0000-0000A9360000}"/>
    <cellStyle name="Data Superscript 3 4 5 2 2" xfId="12427" xr:uid="{00000000-0005-0000-0000-0000AA360000}"/>
    <cellStyle name="Data Superscript 3 4 5 3" xfId="12428" xr:uid="{00000000-0005-0000-0000-0000AB360000}"/>
    <cellStyle name="Data Superscript 3 4 5 3 2" xfId="12429" xr:uid="{00000000-0005-0000-0000-0000AC360000}"/>
    <cellStyle name="Data Superscript 3 4 5 4" xfId="12430" xr:uid="{00000000-0005-0000-0000-0000AD360000}"/>
    <cellStyle name="Data Superscript 3 4 5 4 2" xfId="12431" xr:uid="{00000000-0005-0000-0000-0000AE360000}"/>
    <cellStyle name="Data Superscript 3 4 5 5" xfId="12432" xr:uid="{00000000-0005-0000-0000-0000AF360000}"/>
    <cellStyle name="Data Superscript 3 4 5 5 2" xfId="12433" xr:uid="{00000000-0005-0000-0000-0000B0360000}"/>
    <cellStyle name="Data Superscript 3 4 5 6" xfId="12434" xr:uid="{00000000-0005-0000-0000-0000B1360000}"/>
    <cellStyle name="Data Superscript 3 4 5 6 2" xfId="12435" xr:uid="{00000000-0005-0000-0000-0000B2360000}"/>
    <cellStyle name="Data Superscript 3 4 5 7" xfId="12436" xr:uid="{00000000-0005-0000-0000-0000B3360000}"/>
    <cellStyle name="Data Superscript 3 4 5 7 2" xfId="12437" xr:uid="{00000000-0005-0000-0000-0000B4360000}"/>
    <cellStyle name="Data Superscript 3 4 5 8" xfId="12438" xr:uid="{00000000-0005-0000-0000-0000B5360000}"/>
    <cellStyle name="Data Superscript 3 4 5 8 2" xfId="12439" xr:uid="{00000000-0005-0000-0000-0000B6360000}"/>
    <cellStyle name="Data Superscript 3 4 5 9" xfId="12440" xr:uid="{00000000-0005-0000-0000-0000B7360000}"/>
    <cellStyle name="Data Superscript 3 4 5 9 2" xfId="12441" xr:uid="{00000000-0005-0000-0000-0000B8360000}"/>
    <cellStyle name="Data Superscript 3 4 6" xfId="12442" xr:uid="{00000000-0005-0000-0000-0000B9360000}"/>
    <cellStyle name="Data Superscript 3 4 6 10" xfId="12443" xr:uid="{00000000-0005-0000-0000-0000BA360000}"/>
    <cellStyle name="Data Superscript 3 4 6 2" xfId="12444" xr:uid="{00000000-0005-0000-0000-0000BB360000}"/>
    <cellStyle name="Data Superscript 3 4 6 2 2" xfId="12445" xr:uid="{00000000-0005-0000-0000-0000BC360000}"/>
    <cellStyle name="Data Superscript 3 4 6 3" xfId="12446" xr:uid="{00000000-0005-0000-0000-0000BD360000}"/>
    <cellStyle name="Data Superscript 3 4 6 3 2" xfId="12447" xr:uid="{00000000-0005-0000-0000-0000BE360000}"/>
    <cellStyle name="Data Superscript 3 4 6 4" xfId="12448" xr:uid="{00000000-0005-0000-0000-0000BF360000}"/>
    <cellStyle name="Data Superscript 3 4 6 4 2" xfId="12449" xr:uid="{00000000-0005-0000-0000-0000C0360000}"/>
    <cellStyle name="Data Superscript 3 4 6 5" xfId="12450" xr:uid="{00000000-0005-0000-0000-0000C1360000}"/>
    <cellStyle name="Data Superscript 3 4 6 5 2" xfId="12451" xr:uid="{00000000-0005-0000-0000-0000C2360000}"/>
    <cellStyle name="Data Superscript 3 4 6 6" xfId="12452" xr:uid="{00000000-0005-0000-0000-0000C3360000}"/>
    <cellStyle name="Data Superscript 3 4 6 6 2" xfId="12453" xr:uid="{00000000-0005-0000-0000-0000C4360000}"/>
    <cellStyle name="Data Superscript 3 4 6 7" xfId="12454" xr:uid="{00000000-0005-0000-0000-0000C5360000}"/>
    <cellStyle name="Data Superscript 3 4 6 7 2" xfId="12455" xr:uid="{00000000-0005-0000-0000-0000C6360000}"/>
    <cellStyle name="Data Superscript 3 4 6 8" xfId="12456" xr:uid="{00000000-0005-0000-0000-0000C7360000}"/>
    <cellStyle name="Data Superscript 3 4 6 8 2" xfId="12457" xr:uid="{00000000-0005-0000-0000-0000C8360000}"/>
    <cellStyle name="Data Superscript 3 4 6 9" xfId="12458" xr:uid="{00000000-0005-0000-0000-0000C9360000}"/>
    <cellStyle name="Data Superscript 3 4 6 9 2" xfId="12459" xr:uid="{00000000-0005-0000-0000-0000CA360000}"/>
    <cellStyle name="Data Superscript 3 4 7" xfId="12460" xr:uid="{00000000-0005-0000-0000-0000CB360000}"/>
    <cellStyle name="Data Superscript 3 4 7 10" xfId="12461" xr:uid="{00000000-0005-0000-0000-0000CC360000}"/>
    <cellStyle name="Data Superscript 3 4 7 2" xfId="12462" xr:uid="{00000000-0005-0000-0000-0000CD360000}"/>
    <cellStyle name="Data Superscript 3 4 7 2 2" xfId="12463" xr:uid="{00000000-0005-0000-0000-0000CE360000}"/>
    <cellStyle name="Data Superscript 3 4 7 3" xfId="12464" xr:uid="{00000000-0005-0000-0000-0000CF360000}"/>
    <cellStyle name="Data Superscript 3 4 7 3 2" xfId="12465" xr:uid="{00000000-0005-0000-0000-0000D0360000}"/>
    <cellStyle name="Data Superscript 3 4 7 4" xfId="12466" xr:uid="{00000000-0005-0000-0000-0000D1360000}"/>
    <cellStyle name="Data Superscript 3 4 7 4 2" xfId="12467" xr:uid="{00000000-0005-0000-0000-0000D2360000}"/>
    <cellStyle name="Data Superscript 3 4 7 5" xfId="12468" xr:uid="{00000000-0005-0000-0000-0000D3360000}"/>
    <cellStyle name="Data Superscript 3 4 7 5 2" xfId="12469" xr:uid="{00000000-0005-0000-0000-0000D4360000}"/>
    <cellStyle name="Data Superscript 3 4 7 6" xfId="12470" xr:uid="{00000000-0005-0000-0000-0000D5360000}"/>
    <cellStyle name="Data Superscript 3 4 7 6 2" xfId="12471" xr:uid="{00000000-0005-0000-0000-0000D6360000}"/>
    <cellStyle name="Data Superscript 3 4 7 7" xfId="12472" xr:uid="{00000000-0005-0000-0000-0000D7360000}"/>
    <cellStyle name="Data Superscript 3 4 7 7 2" xfId="12473" xr:uid="{00000000-0005-0000-0000-0000D8360000}"/>
    <cellStyle name="Data Superscript 3 4 7 8" xfId="12474" xr:uid="{00000000-0005-0000-0000-0000D9360000}"/>
    <cellStyle name="Data Superscript 3 4 7 8 2" xfId="12475" xr:uid="{00000000-0005-0000-0000-0000DA360000}"/>
    <cellStyle name="Data Superscript 3 4 7 9" xfId="12476" xr:uid="{00000000-0005-0000-0000-0000DB360000}"/>
    <cellStyle name="Data Superscript 3 4 7 9 2" xfId="12477" xr:uid="{00000000-0005-0000-0000-0000DC360000}"/>
    <cellStyle name="Data Superscript 3 4 8" xfId="12478" xr:uid="{00000000-0005-0000-0000-0000DD360000}"/>
    <cellStyle name="Data Superscript 3 4 8 10" xfId="12479" xr:uid="{00000000-0005-0000-0000-0000DE360000}"/>
    <cellStyle name="Data Superscript 3 4 8 2" xfId="12480" xr:uid="{00000000-0005-0000-0000-0000DF360000}"/>
    <cellStyle name="Data Superscript 3 4 8 2 2" xfId="12481" xr:uid="{00000000-0005-0000-0000-0000E0360000}"/>
    <cellStyle name="Data Superscript 3 4 8 3" xfId="12482" xr:uid="{00000000-0005-0000-0000-0000E1360000}"/>
    <cellStyle name="Data Superscript 3 4 8 3 2" xfId="12483" xr:uid="{00000000-0005-0000-0000-0000E2360000}"/>
    <cellStyle name="Data Superscript 3 4 8 4" xfId="12484" xr:uid="{00000000-0005-0000-0000-0000E3360000}"/>
    <cellStyle name="Data Superscript 3 4 8 4 2" xfId="12485" xr:uid="{00000000-0005-0000-0000-0000E4360000}"/>
    <cellStyle name="Data Superscript 3 4 8 5" xfId="12486" xr:uid="{00000000-0005-0000-0000-0000E5360000}"/>
    <cellStyle name="Data Superscript 3 4 8 5 2" xfId="12487" xr:uid="{00000000-0005-0000-0000-0000E6360000}"/>
    <cellStyle name="Data Superscript 3 4 8 6" xfId="12488" xr:uid="{00000000-0005-0000-0000-0000E7360000}"/>
    <cellStyle name="Data Superscript 3 4 8 6 2" xfId="12489" xr:uid="{00000000-0005-0000-0000-0000E8360000}"/>
    <cellStyle name="Data Superscript 3 4 8 7" xfId="12490" xr:uid="{00000000-0005-0000-0000-0000E9360000}"/>
    <cellStyle name="Data Superscript 3 4 8 7 2" xfId="12491" xr:uid="{00000000-0005-0000-0000-0000EA360000}"/>
    <cellStyle name="Data Superscript 3 4 8 8" xfId="12492" xr:uid="{00000000-0005-0000-0000-0000EB360000}"/>
    <cellStyle name="Data Superscript 3 4 8 8 2" xfId="12493" xr:uid="{00000000-0005-0000-0000-0000EC360000}"/>
    <cellStyle name="Data Superscript 3 4 8 9" xfId="12494" xr:uid="{00000000-0005-0000-0000-0000ED360000}"/>
    <cellStyle name="Data Superscript 3 4 8 9 2" xfId="12495" xr:uid="{00000000-0005-0000-0000-0000EE360000}"/>
    <cellStyle name="Data Superscript 3 4 9" xfId="12496" xr:uid="{00000000-0005-0000-0000-0000EF360000}"/>
    <cellStyle name="Data Superscript 3 4 9 10" xfId="12497" xr:uid="{00000000-0005-0000-0000-0000F0360000}"/>
    <cellStyle name="Data Superscript 3 4 9 2" xfId="12498" xr:uid="{00000000-0005-0000-0000-0000F1360000}"/>
    <cellStyle name="Data Superscript 3 4 9 2 2" xfId="12499" xr:uid="{00000000-0005-0000-0000-0000F2360000}"/>
    <cellStyle name="Data Superscript 3 4 9 3" xfId="12500" xr:uid="{00000000-0005-0000-0000-0000F3360000}"/>
    <cellStyle name="Data Superscript 3 4 9 3 2" xfId="12501" xr:uid="{00000000-0005-0000-0000-0000F4360000}"/>
    <cellStyle name="Data Superscript 3 4 9 4" xfId="12502" xr:uid="{00000000-0005-0000-0000-0000F5360000}"/>
    <cellStyle name="Data Superscript 3 4 9 4 2" xfId="12503" xr:uid="{00000000-0005-0000-0000-0000F6360000}"/>
    <cellStyle name="Data Superscript 3 4 9 5" xfId="12504" xr:uid="{00000000-0005-0000-0000-0000F7360000}"/>
    <cellStyle name="Data Superscript 3 4 9 5 2" xfId="12505" xr:uid="{00000000-0005-0000-0000-0000F8360000}"/>
    <cellStyle name="Data Superscript 3 4 9 6" xfId="12506" xr:uid="{00000000-0005-0000-0000-0000F9360000}"/>
    <cellStyle name="Data Superscript 3 4 9 6 2" xfId="12507" xr:uid="{00000000-0005-0000-0000-0000FA360000}"/>
    <cellStyle name="Data Superscript 3 4 9 7" xfId="12508" xr:uid="{00000000-0005-0000-0000-0000FB360000}"/>
    <cellStyle name="Data Superscript 3 4 9 7 2" xfId="12509" xr:uid="{00000000-0005-0000-0000-0000FC360000}"/>
    <cellStyle name="Data Superscript 3 4 9 8" xfId="12510" xr:uid="{00000000-0005-0000-0000-0000FD360000}"/>
    <cellStyle name="Data Superscript 3 4 9 8 2" xfId="12511" xr:uid="{00000000-0005-0000-0000-0000FE360000}"/>
    <cellStyle name="Data Superscript 3 4 9 9" xfId="12512" xr:uid="{00000000-0005-0000-0000-0000FF360000}"/>
    <cellStyle name="Data Superscript 3 4 9 9 2" xfId="12513" xr:uid="{00000000-0005-0000-0000-000000370000}"/>
    <cellStyle name="Data Superscript 3 5" xfId="12514" xr:uid="{00000000-0005-0000-0000-000001370000}"/>
    <cellStyle name="Data Superscript 3 5 10" xfId="12515" xr:uid="{00000000-0005-0000-0000-000002370000}"/>
    <cellStyle name="Data Superscript 3 5 10 2" xfId="12516" xr:uid="{00000000-0005-0000-0000-000003370000}"/>
    <cellStyle name="Data Superscript 3 5 10 2 2" xfId="12517" xr:uid="{00000000-0005-0000-0000-000004370000}"/>
    <cellStyle name="Data Superscript 3 5 10 3" xfId="12518" xr:uid="{00000000-0005-0000-0000-000005370000}"/>
    <cellStyle name="Data Superscript 3 5 10 3 2" xfId="12519" xr:uid="{00000000-0005-0000-0000-000006370000}"/>
    <cellStyle name="Data Superscript 3 5 10 4" xfId="12520" xr:uid="{00000000-0005-0000-0000-000007370000}"/>
    <cellStyle name="Data Superscript 3 5 10 4 2" xfId="12521" xr:uid="{00000000-0005-0000-0000-000008370000}"/>
    <cellStyle name="Data Superscript 3 5 10 5" xfId="12522" xr:uid="{00000000-0005-0000-0000-000009370000}"/>
    <cellStyle name="Data Superscript 3 5 10 5 2" xfId="12523" xr:uid="{00000000-0005-0000-0000-00000A370000}"/>
    <cellStyle name="Data Superscript 3 5 10 6" xfId="12524" xr:uid="{00000000-0005-0000-0000-00000B370000}"/>
    <cellStyle name="Data Superscript 3 5 10 6 2" xfId="12525" xr:uid="{00000000-0005-0000-0000-00000C370000}"/>
    <cellStyle name="Data Superscript 3 5 10 7" xfId="12526" xr:uid="{00000000-0005-0000-0000-00000D370000}"/>
    <cellStyle name="Data Superscript 3 5 10 7 2" xfId="12527" xr:uid="{00000000-0005-0000-0000-00000E370000}"/>
    <cellStyle name="Data Superscript 3 5 10 8" xfId="12528" xr:uid="{00000000-0005-0000-0000-00000F370000}"/>
    <cellStyle name="Data Superscript 3 5 10 8 2" xfId="12529" xr:uid="{00000000-0005-0000-0000-000010370000}"/>
    <cellStyle name="Data Superscript 3 5 10 9" xfId="12530" xr:uid="{00000000-0005-0000-0000-000011370000}"/>
    <cellStyle name="Data Superscript 3 5 11" xfId="12531" xr:uid="{00000000-0005-0000-0000-000012370000}"/>
    <cellStyle name="Data Superscript 3 5 11 2" xfId="12532" xr:uid="{00000000-0005-0000-0000-000013370000}"/>
    <cellStyle name="Data Superscript 3 5 12" xfId="12533" xr:uid="{00000000-0005-0000-0000-000014370000}"/>
    <cellStyle name="Data Superscript 3 5 12 2" xfId="12534" xr:uid="{00000000-0005-0000-0000-000015370000}"/>
    <cellStyle name="Data Superscript 3 5 13" xfId="12535" xr:uid="{00000000-0005-0000-0000-000016370000}"/>
    <cellStyle name="Data Superscript 3 5 13 2" xfId="12536" xr:uid="{00000000-0005-0000-0000-000017370000}"/>
    <cellStyle name="Data Superscript 3 5 14" xfId="12537" xr:uid="{00000000-0005-0000-0000-000018370000}"/>
    <cellStyle name="Data Superscript 3 5 14 2" xfId="12538" xr:uid="{00000000-0005-0000-0000-000019370000}"/>
    <cellStyle name="Data Superscript 3 5 15" xfId="12539" xr:uid="{00000000-0005-0000-0000-00001A370000}"/>
    <cellStyle name="Data Superscript 3 5 15 2" xfId="12540" xr:uid="{00000000-0005-0000-0000-00001B370000}"/>
    <cellStyle name="Data Superscript 3 5 16" xfId="12541" xr:uid="{00000000-0005-0000-0000-00001C370000}"/>
    <cellStyle name="Data Superscript 3 5 16 2" xfId="12542" xr:uid="{00000000-0005-0000-0000-00001D370000}"/>
    <cellStyle name="Data Superscript 3 5 17" xfId="12543" xr:uid="{00000000-0005-0000-0000-00001E370000}"/>
    <cellStyle name="Data Superscript 3 5 17 2" xfId="12544" xr:uid="{00000000-0005-0000-0000-00001F370000}"/>
    <cellStyle name="Data Superscript 3 5 18" xfId="12545" xr:uid="{00000000-0005-0000-0000-000020370000}"/>
    <cellStyle name="Data Superscript 3 5 2" xfId="12546" xr:uid="{00000000-0005-0000-0000-000021370000}"/>
    <cellStyle name="Data Superscript 3 5 2 10" xfId="12547" xr:uid="{00000000-0005-0000-0000-000022370000}"/>
    <cellStyle name="Data Superscript 3 5 2 2" xfId="12548" xr:uid="{00000000-0005-0000-0000-000023370000}"/>
    <cellStyle name="Data Superscript 3 5 2 2 2" xfId="12549" xr:uid="{00000000-0005-0000-0000-000024370000}"/>
    <cellStyle name="Data Superscript 3 5 2 3" xfId="12550" xr:uid="{00000000-0005-0000-0000-000025370000}"/>
    <cellStyle name="Data Superscript 3 5 2 3 2" xfId="12551" xr:uid="{00000000-0005-0000-0000-000026370000}"/>
    <cellStyle name="Data Superscript 3 5 2 4" xfId="12552" xr:uid="{00000000-0005-0000-0000-000027370000}"/>
    <cellStyle name="Data Superscript 3 5 2 4 2" xfId="12553" xr:uid="{00000000-0005-0000-0000-000028370000}"/>
    <cellStyle name="Data Superscript 3 5 2 5" xfId="12554" xr:uid="{00000000-0005-0000-0000-000029370000}"/>
    <cellStyle name="Data Superscript 3 5 2 5 2" xfId="12555" xr:uid="{00000000-0005-0000-0000-00002A370000}"/>
    <cellStyle name="Data Superscript 3 5 2 6" xfId="12556" xr:uid="{00000000-0005-0000-0000-00002B370000}"/>
    <cellStyle name="Data Superscript 3 5 2 6 2" xfId="12557" xr:uid="{00000000-0005-0000-0000-00002C370000}"/>
    <cellStyle name="Data Superscript 3 5 2 7" xfId="12558" xr:uid="{00000000-0005-0000-0000-00002D370000}"/>
    <cellStyle name="Data Superscript 3 5 2 7 2" xfId="12559" xr:uid="{00000000-0005-0000-0000-00002E370000}"/>
    <cellStyle name="Data Superscript 3 5 2 8" xfId="12560" xr:uid="{00000000-0005-0000-0000-00002F370000}"/>
    <cellStyle name="Data Superscript 3 5 2 8 2" xfId="12561" xr:uid="{00000000-0005-0000-0000-000030370000}"/>
    <cellStyle name="Data Superscript 3 5 2 9" xfId="12562" xr:uid="{00000000-0005-0000-0000-000031370000}"/>
    <cellStyle name="Data Superscript 3 5 2 9 2" xfId="12563" xr:uid="{00000000-0005-0000-0000-000032370000}"/>
    <cellStyle name="Data Superscript 3 5 3" xfId="12564" xr:uid="{00000000-0005-0000-0000-000033370000}"/>
    <cellStyle name="Data Superscript 3 5 3 10" xfId="12565" xr:uid="{00000000-0005-0000-0000-000034370000}"/>
    <cellStyle name="Data Superscript 3 5 3 2" xfId="12566" xr:uid="{00000000-0005-0000-0000-000035370000}"/>
    <cellStyle name="Data Superscript 3 5 3 2 2" xfId="12567" xr:uid="{00000000-0005-0000-0000-000036370000}"/>
    <cellStyle name="Data Superscript 3 5 3 3" xfId="12568" xr:uid="{00000000-0005-0000-0000-000037370000}"/>
    <cellStyle name="Data Superscript 3 5 3 3 2" xfId="12569" xr:uid="{00000000-0005-0000-0000-000038370000}"/>
    <cellStyle name="Data Superscript 3 5 3 4" xfId="12570" xr:uid="{00000000-0005-0000-0000-000039370000}"/>
    <cellStyle name="Data Superscript 3 5 3 4 2" xfId="12571" xr:uid="{00000000-0005-0000-0000-00003A370000}"/>
    <cellStyle name="Data Superscript 3 5 3 5" xfId="12572" xr:uid="{00000000-0005-0000-0000-00003B370000}"/>
    <cellStyle name="Data Superscript 3 5 3 5 2" xfId="12573" xr:uid="{00000000-0005-0000-0000-00003C370000}"/>
    <cellStyle name="Data Superscript 3 5 3 6" xfId="12574" xr:uid="{00000000-0005-0000-0000-00003D370000}"/>
    <cellStyle name="Data Superscript 3 5 3 6 2" xfId="12575" xr:uid="{00000000-0005-0000-0000-00003E370000}"/>
    <cellStyle name="Data Superscript 3 5 3 7" xfId="12576" xr:uid="{00000000-0005-0000-0000-00003F370000}"/>
    <cellStyle name="Data Superscript 3 5 3 7 2" xfId="12577" xr:uid="{00000000-0005-0000-0000-000040370000}"/>
    <cellStyle name="Data Superscript 3 5 3 8" xfId="12578" xr:uid="{00000000-0005-0000-0000-000041370000}"/>
    <cellStyle name="Data Superscript 3 5 3 8 2" xfId="12579" xr:uid="{00000000-0005-0000-0000-000042370000}"/>
    <cellStyle name="Data Superscript 3 5 3 9" xfId="12580" xr:uid="{00000000-0005-0000-0000-000043370000}"/>
    <cellStyle name="Data Superscript 3 5 3 9 2" xfId="12581" xr:uid="{00000000-0005-0000-0000-000044370000}"/>
    <cellStyle name="Data Superscript 3 5 4" xfId="12582" xr:uid="{00000000-0005-0000-0000-000045370000}"/>
    <cellStyle name="Data Superscript 3 5 4 10" xfId="12583" xr:uid="{00000000-0005-0000-0000-000046370000}"/>
    <cellStyle name="Data Superscript 3 5 4 2" xfId="12584" xr:uid="{00000000-0005-0000-0000-000047370000}"/>
    <cellStyle name="Data Superscript 3 5 4 2 2" xfId="12585" xr:uid="{00000000-0005-0000-0000-000048370000}"/>
    <cellStyle name="Data Superscript 3 5 4 3" xfId="12586" xr:uid="{00000000-0005-0000-0000-000049370000}"/>
    <cellStyle name="Data Superscript 3 5 4 3 2" xfId="12587" xr:uid="{00000000-0005-0000-0000-00004A370000}"/>
    <cellStyle name="Data Superscript 3 5 4 4" xfId="12588" xr:uid="{00000000-0005-0000-0000-00004B370000}"/>
    <cellStyle name="Data Superscript 3 5 4 4 2" xfId="12589" xr:uid="{00000000-0005-0000-0000-00004C370000}"/>
    <cellStyle name="Data Superscript 3 5 4 5" xfId="12590" xr:uid="{00000000-0005-0000-0000-00004D370000}"/>
    <cellStyle name="Data Superscript 3 5 4 5 2" xfId="12591" xr:uid="{00000000-0005-0000-0000-00004E370000}"/>
    <cellStyle name="Data Superscript 3 5 4 6" xfId="12592" xr:uid="{00000000-0005-0000-0000-00004F370000}"/>
    <cellStyle name="Data Superscript 3 5 4 6 2" xfId="12593" xr:uid="{00000000-0005-0000-0000-000050370000}"/>
    <cellStyle name="Data Superscript 3 5 4 7" xfId="12594" xr:uid="{00000000-0005-0000-0000-000051370000}"/>
    <cellStyle name="Data Superscript 3 5 4 7 2" xfId="12595" xr:uid="{00000000-0005-0000-0000-000052370000}"/>
    <cellStyle name="Data Superscript 3 5 4 8" xfId="12596" xr:uid="{00000000-0005-0000-0000-000053370000}"/>
    <cellStyle name="Data Superscript 3 5 4 8 2" xfId="12597" xr:uid="{00000000-0005-0000-0000-000054370000}"/>
    <cellStyle name="Data Superscript 3 5 4 9" xfId="12598" xr:uid="{00000000-0005-0000-0000-000055370000}"/>
    <cellStyle name="Data Superscript 3 5 4 9 2" xfId="12599" xr:uid="{00000000-0005-0000-0000-000056370000}"/>
    <cellStyle name="Data Superscript 3 5 5" xfId="12600" xr:uid="{00000000-0005-0000-0000-000057370000}"/>
    <cellStyle name="Data Superscript 3 5 5 10" xfId="12601" xr:uid="{00000000-0005-0000-0000-000058370000}"/>
    <cellStyle name="Data Superscript 3 5 5 2" xfId="12602" xr:uid="{00000000-0005-0000-0000-000059370000}"/>
    <cellStyle name="Data Superscript 3 5 5 2 2" xfId="12603" xr:uid="{00000000-0005-0000-0000-00005A370000}"/>
    <cellStyle name="Data Superscript 3 5 5 3" xfId="12604" xr:uid="{00000000-0005-0000-0000-00005B370000}"/>
    <cellStyle name="Data Superscript 3 5 5 3 2" xfId="12605" xr:uid="{00000000-0005-0000-0000-00005C370000}"/>
    <cellStyle name="Data Superscript 3 5 5 4" xfId="12606" xr:uid="{00000000-0005-0000-0000-00005D370000}"/>
    <cellStyle name="Data Superscript 3 5 5 4 2" xfId="12607" xr:uid="{00000000-0005-0000-0000-00005E370000}"/>
    <cellStyle name="Data Superscript 3 5 5 5" xfId="12608" xr:uid="{00000000-0005-0000-0000-00005F370000}"/>
    <cellStyle name="Data Superscript 3 5 5 5 2" xfId="12609" xr:uid="{00000000-0005-0000-0000-000060370000}"/>
    <cellStyle name="Data Superscript 3 5 5 6" xfId="12610" xr:uid="{00000000-0005-0000-0000-000061370000}"/>
    <cellStyle name="Data Superscript 3 5 5 6 2" xfId="12611" xr:uid="{00000000-0005-0000-0000-000062370000}"/>
    <cellStyle name="Data Superscript 3 5 5 7" xfId="12612" xr:uid="{00000000-0005-0000-0000-000063370000}"/>
    <cellStyle name="Data Superscript 3 5 5 7 2" xfId="12613" xr:uid="{00000000-0005-0000-0000-000064370000}"/>
    <cellStyle name="Data Superscript 3 5 5 8" xfId="12614" xr:uid="{00000000-0005-0000-0000-000065370000}"/>
    <cellStyle name="Data Superscript 3 5 5 8 2" xfId="12615" xr:uid="{00000000-0005-0000-0000-000066370000}"/>
    <cellStyle name="Data Superscript 3 5 5 9" xfId="12616" xr:uid="{00000000-0005-0000-0000-000067370000}"/>
    <cellStyle name="Data Superscript 3 5 5 9 2" xfId="12617" xr:uid="{00000000-0005-0000-0000-000068370000}"/>
    <cellStyle name="Data Superscript 3 5 6" xfId="12618" xr:uid="{00000000-0005-0000-0000-000069370000}"/>
    <cellStyle name="Data Superscript 3 5 6 10" xfId="12619" xr:uid="{00000000-0005-0000-0000-00006A370000}"/>
    <cellStyle name="Data Superscript 3 5 6 2" xfId="12620" xr:uid="{00000000-0005-0000-0000-00006B370000}"/>
    <cellStyle name="Data Superscript 3 5 6 2 2" xfId="12621" xr:uid="{00000000-0005-0000-0000-00006C370000}"/>
    <cellStyle name="Data Superscript 3 5 6 3" xfId="12622" xr:uid="{00000000-0005-0000-0000-00006D370000}"/>
    <cellStyle name="Data Superscript 3 5 6 3 2" xfId="12623" xr:uid="{00000000-0005-0000-0000-00006E370000}"/>
    <cellStyle name="Data Superscript 3 5 6 4" xfId="12624" xr:uid="{00000000-0005-0000-0000-00006F370000}"/>
    <cellStyle name="Data Superscript 3 5 6 4 2" xfId="12625" xr:uid="{00000000-0005-0000-0000-000070370000}"/>
    <cellStyle name="Data Superscript 3 5 6 5" xfId="12626" xr:uid="{00000000-0005-0000-0000-000071370000}"/>
    <cellStyle name="Data Superscript 3 5 6 5 2" xfId="12627" xr:uid="{00000000-0005-0000-0000-000072370000}"/>
    <cellStyle name="Data Superscript 3 5 6 6" xfId="12628" xr:uid="{00000000-0005-0000-0000-000073370000}"/>
    <cellStyle name="Data Superscript 3 5 6 6 2" xfId="12629" xr:uid="{00000000-0005-0000-0000-000074370000}"/>
    <cellStyle name="Data Superscript 3 5 6 7" xfId="12630" xr:uid="{00000000-0005-0000-0000-000075370000}"/>
    <cellStyle name="Data Superscript 3 5 6 7 2" xfId="12631" xr:uid="{00000000-0005-0000-0000-000076370000}"/>
    <cellStyle name="Data Superscript 3 5 6 8" xfId="12632" xr:uid="{00000000-0005-0000-0000-000077370000}"/>
    <cellStyle name="Data Superscript 3 5 6 8 2" xfId="12633" xr:uid="{00000000-0005-0000-0000-000078370000}"/>
    <cellStyle name="Data Superscript 3 5 6 9" xfId="12634" xr:uid="{00000000-0005-0000-0000-000079370000}"/>
    <cellStyle name="Data Superscript 3 5 6 9 2" xfId="12635" xr:uid="{00000000-0005-0000-0000-00007A370000}"/>
    <cellStyle name="Data Superscript 3 5 7" xfId="12636" xr:uid="{00000000-0005-0000-0000-00007B370000}"/>
    <cellStyle name="Data Superscript 3 5 7 10" xfId="12637" xr:uid="{00000000-0005-0000-0000-00007C370000}"/>
    <cellStyle name="Data Superscript 3 5 7 2" xfId="12638" xr:uid="{00000000-0005-0000-0000-00007D370000}"/>
    <cellStyle name="Data Superscript 3 5 7 2 2" xfId="12639" xr:uid="{00000000-0005-0000-0000-00007E370000}"/>
    <cellStyle name="Data Superscript 3 5 7 3" xfId="12640" xr:uid="{00000000-0005-0000-0000-00007F370000}"/>
    <cellStyle name="Data Superscript 3 5 7 3 2" xfId="12641" xr:uid="{00000000-0005-0000-0000-000080370000}"/>
    <cellStyle name="Data Superscript 3 5 7 4" xfId="12642" xr:uid="{00000000-0005-0000-0000-000081370000}"/>
    <cellStyle name="Data Superscript 3 5 7 4 2" xfId="12643" xr:uid="{00000000-0005-0000-0000-000082370000}"/>
    <cellStyle name="Data Superscript 3 5 7 5" xfId="12644" xr:uid="{00000000-0005-0000-0000-000083370000}"/>
    <cellStyle name="Data Superscript 3 5 7 5 2" xfId="12645" xr:uid="{00000000-0005-0000-0000-000084370000}"/>
    <cellStyle name="Data Superscript 3 5 7 6" xfId="12646" xr:uid="{00000000-0005-0000-0000-000085370000}"/>
    <cellStyle name="Data Superscript 3 5 7 6 2" xfId="12647" xr:uid="{00000000-0005-0000-0000-000086370000}"/>
    <cellStyle name="Data Superscript 3 5 7 7" xfId="12648" xr:uid="{00000000-0005-0000-0000-000087370000}"/>
    <cellStyle name="Data Superscript 3 5 7 7 2" xfId="12649" xr:uid="{00000000-0005-0000-0000-000088370000}"/>
    <cellStyle name="Data Superscript 3 5 7 8" xfId="12650" xr:uid="{00000000-0005-0000-0000-000089370000}"/>
    <cellStyle name="Data Superscript 3 5 7 8 2" xfId="12651" xr:uid="{00000000-0005-0000-0000-00008A370000}"/>
    <cellStyle name="Data Superscript 3 5 7 9" xfId="12652" xr:uid="{00000000-0005-0000-0000-00008B370000}"/>
    <cellStyle name="Data Superscript 3 5 7 9 2" xfId="12653" xr:uid="{00000000-0005-0000-0000-00008C370000}"/>
    <cellStyle name="Data Superscript 3 5 8" xfId="12654" xr:uid="{00000000-0005-0000-0000-00008D370000}"/>
    <cellStyle name="Data Superscript 3 5 8 10" xfId="12655" xr:uid="{00000000-0005-0000-0000-00008E370000}"/>
    <cellStyle name="Data Superscript 3 5 8 2" xfId="12656" xr:uid="{00000000-0005-0000-0000-00008F370000}"/>
    <cellStyle name="Data Superscript 3 5 8 2 2" xfId="12657" xr:uid="{00000000-0005-0000-0000-000090370000}"/>
    <cellStyle name="Data Superscript 3 5 8 3" xfId="12658" xr:uid="{00000000-0005-0000-0000-000091370000}"/>
    <cellStyle name="Data Superscript 3 5 8 3 2" xfId="12659" xr:uid="{00000000-0005-0000-0000-000092370000}"/>
    <cellStyle name="Data Superscript 3 5 8 4" xfId="12660" xr:uid="{00000000-0005-0000-0000-000093370000}"/>
    <cellStyle name="Data Superscript 3 5 8 4 2" xfId="12661" xr:uid="{00000000-0005-0000-0000-000094370000}"/>
    <cellStyle name="Data Superscript 3 5 8 5" xfId="12662" xr:uid="{00000000-0005-0000-0000-000095370000}"/>
    <cellStyle name="Data Superscript 3 5 8 5 2" xfId="12663" xr:uid="{00000000-0005-0000-0000-000096370000}"/>
    <cellStyle name="Data Superscript 3 5 8 6" xfId="12664" xr:uid="{00000000-0005-0000-0000-000097370000}"/>
    <cellStyle name="Data Superscript 3 5 8 6 2" xfId="12665" xr:uid="{00000000-0005-0000-0000-000098370000}"/>
    <cellStyle name="Data Superscript 3 5 8 7" xfId="12666" xr:uid="{00000000-0005-0000-0000-000099370000}"/>
    <cellStyle name="Data Superscript 3 5 8 7 2" xfId="12667" xr:uid="{00000000-0005-0000-0000-00009A370000}"/>
    <cellStyle name="Data Superscript 3 5 8 8" xfId="12668" xr:uid="{00000000-0005-0000-0000-00009B370000}"/>
    <cellStyle name="Data Superscript 3 5 8 8 2" xfId="12669" xr:uid="{00000000-0005-0000-0000-00009C370000}"/>
    <cellStyle name="Data Superscript 3 5 8 9" xfId="12670" xr:uid="{00000000-0005-0000-0000-00009D370000}"/>
    <cellStyle name="Data Superscript 3 5 8 9 2" xfId="12671" xr:uid="{00000000-0005-0000-0000-00009E370000}"/>
    <cellStyle name="Data Superscript 3 5 9" xfId="12672" xr:uid="{00000000-0005-0000-0000-00009F370000}"/>
    <cellStyle name="Data Superscript 3 5 9 10" xfId="12673" xr:uid="{00000000-0005-0000-0000-0000A0370000}"/>
    <cellStyle name="Data Superscript 3 5 9 2" xfId="12674" xr:uid="{00000000-0005-0000-0000-0000A1370000}"/>
    <cellStyle name="Data Superscript 3 5 9 2 2" xfId="12675" xr:uid="{00000000-0005-0000-0000-0000A2370000}"/>
    <cellStyle name="Data Superscript 3 5 9 3" xfId="12676" xr:uid="{00000000-0005-0000-0000-0000A3370000}"/>
    <cellStyle name="Data Superscript 3 5 9 3 2" xfId="12677" xr:uid="{00000000-0005-0000-0000-0000A4370000}"/>
    <cellStyle name="Data Superscript 3 5 9 4" xfId="12678" xr:uid="{00000000-0005-0000-0000-0000A5370000}"/>
    <cellStyle name="Data Superscript 3 5 9 4 2" xfId="12679" xr:uid="{00000000-0005-0000-0000-0000A6370000}"/>
    <cellStyle name="Data Superscript 3 5 9 5" xfId="12680" xr:uid="{00000000-0005-0000-0000-0000A7370000}"/>
    <cellStyle name="Data Superscript 3 5 9 5 2" xfId="12681" xr:uid="{00000000-0005-0000-0000-0000A8370000}"/>
    <cellStyle name="Data Superscript 3 5 9 6" xfId="12682" xr:uid="{00000000-0005-0000-0000-0000A9370000}"/>
    <cellStyle name="Data Superscript 3 5 9 6 2" xfId="12683" xr:uid="{00000000-0005-0000-0000-0000AA370000}"/>
    <cellStyle name="Data Superscript 3 5 9 7" xfId="12684" xr:uid="{00000000-0005-0000-0000-0000AB370000}"/>
    <cellStyle name="Data Superscript 3 5 9 7 2" xfId="12685" xr:uid="{00000000-0005-0000-0000-0000AC370000}"/>
    <cellStyle name="Data Superscript 3 5 9 8" xfId="12686" xr:uid="{00000000-0005-0000-0000-0000AD370000}"/>
    <cellStyle name="Data Superscript 3 5 9 8 2" xfId="12687" xr:uid="{00000000-0005-0000-0000-0000AE370000}"/>
    <cellStyle name="Data Superscript 3 5 9 9" xfId="12688" xr:uid="{00000000-0005-0000-0000-0000AF370000}"/>
    <cellStyle name="Data Superscript 3 5 9 9 2" xfId="12689" xr:uid="{00000000-0005-0000-0000-0000B0370000}"/>
    <cellStyle name="Data Superscript 3 6" xfId="12690" xr:uid="{00000000-0005-0000-0000-0000B1370000}"/>
    <cellStyle name="Data Superscript 3 6 10" xfId="12691" xr:uid="{00000000-0005-0000-0000-0000B2370000}"/>
    <cellStyle name="Data Superscript 3 6 10 2" xfId="12692" xr:uid="{00000000-0005-0000-0000-0000B3370000}"/>
    <cellStyle name="Data Superscript 3 6 10 2 2" xfId="12693" xr:uid="{00000000-0005-0000-0000-0000B4370000}"/>
    <cellStyle name="Data Superscript 3 6 10 3" xfId="12694" xr:uid="{00000000-0005-0000-0000-0000B5370000}"/>
    <cellStyle name="Data Superscript 3 6 10 3 2" xfId="12695" xr:uid="{00000000-0005-0000-0000-0000B6370000}"/>
    <cellStyle name="Data Superscript 3 6 10 4" xfId="12696" xr:uid="{00000000-0005-0000-0000-0000B7370000}"/>
    <cellStyle name="Data Superscript 3 6 10 4 2" xfId="12697" xr:uid="{00000000-0005-0000-0000-0000B8370000}"/>
    <cellStyle name="Data Superscript 3 6 10 5" xfId="12698" xr:uid="{00000000-0005-0000-0000-0000B9370000}"/>
    <cellStyle name="Data Superscript 3 6 10 5 2" xfId="12699" xr:uid="{00000000-0005-0000-0000-0000BA370000}"/>
    <cellStyle name="Data Superscript 3 6 10 6" xfId="12700" xr:uid="{00000000-0005-0000-0000-0000BB370000}"/>
    <cellStyle name="Data Superscript 3 6 10 6 2" xfId="12701" xr:uid="{00000000-0005-0000-0000-0000BC370000}"/>
    <cellStyle name="Data Superscript 3 6 10 7" xfId="12702" xr:uid="{00000000-0005-0000-0000-0000BD370000}"/>
    <cellStyle name="Data Superscript 3 6 10 7 2" xfId="12703" xr:uid="{00000000-0005-0000-0000-0000BE370000}"/>
    <cellStyle name="Data Superscript 3 6 10 8" xfId="12704" xr:uid="{00000000-0005-0000-0000-0000BF370000}"/>
    <cellStyle name="Data Superscript 3 6 10 8 2" xfId="12705" xr:uid="{00000000-0005-0000-0000-0000C0370000}"/>
    <cellStyle name="Data Superscript 3 6 10 9" xfId="12706" xr:uid="{00000000-0005-0000-0000-0000C1370000}"/>
    <cellStyle name="Data Superscript 3 6 11" xfId="12707" xr:uid="{00000000-0005-0000-0000-0000C2370000}"/>
    <cellStyle name="Data Superscript 3 6 11 2" xfId="12708" xr:uid="{00000000-0005-0000-0000-0000C3370000}"/>
    <cellStyle name="Data Superscript 3 6 12" xfId="12709" xr:uid="{00000000-0005-0000-0000-0000C4370000}"/>
    <cellStyle name="Data Superscript 3 6 12 2" xfId="12710" xr:uid="{00000000-0005-0000-0000-0000C5370000}"/>
    <cellStyle name="Data Superscript 3 6 13" xfId="12711" xr:uid="{00000000-0005-0000-0000-0000C6370000}"/>
    <cellStyle name="Data Superscript 3 6 13 2" xfId="12712" xr:uid="{00000000-0005-0000-0000-0000C7370000}"/>
    <cellStyle name="Data Superscript 3 6 14" xfId="12713" xr:uid="{00000000-0005-0000-0000-0000C8370000}"/>
    <cellStyle name="Data Superscript 3 6 14 2" xfId="12714" xr:uid="{00000000-0005-0000-0000-0000C9370000}"/>
    <cellStyle name="Data Superscript 3 6 15" xfId="12715" xr:uid="{00000000-0005-0000-0000-0000CA370000}"/>
    <cellStyle name="Data Superscript 3 6 15 2" xfId="12716" xr:uid="{00000000-0005-0000-0000-0000CB370000}"/>
    <cellStyle name="Data Superscript 3 6 16" xfId="12717" xr:uid="{00000000-0005-0000-0000-0000CC370000}"/>
    <cellStyle name="Data Superscript 3 6 16 2" xfId="12718" xr:uid="{00000000-0005-0000-0000-0000CD370000}"/>
    <cellStyle name="Data Superscript 3 6 17" xfId="12719" xr:uid="{00000000-0005-0000-0000-0000CE370000}"/>
    <cellStyle name="Data Superscript 3 6 17 2" xfId="12720" xr:uid="{00000000-0005-0000-0000-0000CF370000}"/>
    <cellStyle name="Data Superscript 3 6 18" xfId="12721" xr:uid="{00000000-0005-0000-0000-0000D0370000}"/>
    <cellStyle name="Data Superscript 3 6 2" xfId="12722" xr:uid="{00000000-0005-0000-0000-0000D1370000}"/>
    <cellStyle name="Data Superscript 3 6 2 10" xfId="12723" xr:uid="{00000000-0005-0000-0000-0000D2370000}"/>
    <cellStyle name="Data Superscript 3 6 2 2" xfId="12724" xr:uid="{00000000-0005-0000-0000-0000D3370000}"/>
    <cellStyle name="Data Superscript 3 6 2 2 2" xfId="12725" xr:uid="{00000000-0005-0000-0000-0000D4370000}"/>
    <cellStyle name="Data Superscript 3 6 2 3" xfId="12726" xr:uid="{00000000-0005-0000-0000-0000D5370000}"/>
    <cellStyle name="Data Superscript 3 6 2 3 2" xfId="12727" xr:uid="{00000000-0005-0000-0000-0000D6370000}"/>
    <cellStyle name="Data Superscript 3 6 2 4" xfId="12728" xr:uid="{00000000-0005-0000-0000-0000D7370000}"/>
    <cellStyle name="Data Superscript 3 6 2 4 2" xfId="12729" xr:uid="{00000000-0005-0000-0000-0000D8370000}"/>
    <cellStyle name="Data Superscript 3 6 2 5" xfId="12730" xr:uid="{00000000-0005-0000-0000-0000D9370000}"/>
    <cellStyle name="Data Superscript 3 6 2 5 2" xfId="12731" xr:uid="{00000000-0005-0000-0000-0000DA370000}"/>
    <cellStyle name="Data Superscript 3 6 2 6" xfId="12732" xr:uid="{00000000-0005-0000-0000-0000DB370000}"/>
    <cellStyle name="Data Superscript 3 6 2 6 2" xfId="12733" xr:uid="{00000000-0005-0000-0000-0000DC370000}"/>
    <cellStyle name="Data Superscript 3 6 2 7" xfId="12734" xr:uid="{00000000-0005-0000-0000-0000DD370000}"/>
    <cellStyle name="Data Superscript 3 6 2 7 2" xfId="12735" xr:uid="{00000000-0005-0000-0000-0000DE370000}"/>
    <cellStyle name="Data Superscript 3 6 2 8" xfId="12736" xr:uid="{00000000-0005-0000-0000-0000DF370000}"/>
    <cellStyle name="Data Superscript 3 6 2 8 2" xfId="12737" xr:uid="{00000000-0005-0000-0000-0000E0370000}"/>
    <cellStyle name="Data Superscript 3 6 2 9" xfId="12738" xr:uid="{00000000-0005-0000-0000-0000E1370000}"/>
    <cellStyle name="Data Superscript 3 6 2 9 2" xfId="12739" xr:uid="{00000000-0005-0000-0000-0000E2370000}"/>
    <cellStyle name="Data Superscript 3 6 3" xfId="12740" xr:uid="{00000000-0005-0000-0000-0000E3370000}"/>
    <cellStyle name="Data Superscript 3 6 3 10" xfId="12741" xr:uid="{00000000-0005-0000-0000-0000E4370000}"/>
    <cellStyle name="Data Superscript 3 6 3 2" xfId="12742" xr:uid="{00000000-0005-0000-0000-0000E5370000}"/>
    <cellStyle name="Data Superscript 3 6 3 2 2" xfId="12743" xr:uid="{00000000-0005-0000-0000-0000E6370000}"/>
    <cellStyle name="Data Superscript 3 6 3 3" xfId="12744" xr:uid="{00000000-0005-0000-0000-0000E7370000}"/>
    <cellStyle name="Data Superscript 3 6 3 3 2" xfId="12745" xr:uid="{00000000-0005-0000-0000-0000E8370000}"/>
    <cellStyle name="Data Superscript 3 6 3 4" xfId="12746" xr:uid="{00000000-0005-0000-0000-0000E9370000}"/>
    <cellStyle name="Data Superscript 3 6 3 4 2" xfId="12747" xr:uid="{00000000-0005-0000-0000-0000EA370000}"/>
    <cellStyle name="Data Superscript 3 6 3 5" xfId="12748" xr:uid="{00000000-0005-0000-0000-0000EB370000}"/>
    <cellStyle name="Data Superscript 3 6 3 5 2" xfId="12749" xr:uid="{00000000-0005-0000-0000-0000EC370000}"/>
    <cellStyle name="Data Superscript 3 6 3 6" xfId="12750" xr:uid="{00000000-0005-0000-0000-0000ED370000}"/>
    <cellStyle name="Data Superscript 3 6 3 6 2" xfId="12751" xr:uid="{00000000-0005-0000-0000-0000EE370000}"/>
    <cellStyle name="Data Superscript 3 6 3 7" xfId="12752" xr:uid="{00000000-0005-0000-0000-0000EF370000}"/>
    <cellStyle name="Data Superscript 3 6 3 7 2" xfId="12753" xr:uid="{00000000-0005-0000-0000-0000F0370000}"/>
    <cellStyle name="Data Superscript 3 6 3 8" xfId="12754" xr:uid="{00000000-0005-0000-0000-0000F1370000}"/>
    <cellStyle name="Data Superscript 3 6 3 8 2" xfId="12755" xr:uid="{00000000-0005-0000-0000-0000F2370000}"/>
    <cellStyle name="Data Superscript 3 6 3 9" xfId="12756" xr:uid="{00000000-0005-0000-0000-0000F3370000}"/>
    <cellStyle name="Data Superscript 3 6 3 9 2" xfId="12757" xr:uid="{00000000-0005-0000-0000-0000F4370000}"/>
    <cellStyle name="Data Superscript 3 6 4" xfId="12758" xr:uid="{00000000-0005-0000-0000-0000F5370000}"/>
    <cellStyle name="Data Superscript 3 6 4 10" xfId="12759" xr:uid="{00000000-0005-0000-0000-0000F6370000}"/>
    <cellStyle name="Data Superscript 3 6 4 2" xfId="12760" xr:uid="{00000000-0005-0000-0000-0000F7370000}"/>
    <cellStyle name="Data Superscript 3 6 4 2 2" xfId="12761" xr:uid="{00000000-0005-0000-0000-0000F8370000}"/>
    <cellStyle name="Data Superscript 3 6 4 3" xfId="12762" xr:uid="{00000000-0005-0000-0000-0000F9370000}"/>
    <cellStyle name="Data Superscript 3 6 4 3 2" xfId="12763" xr:uid="{00000000-0005-0000-0000-0000FA370000}"/>
    <cellStyle name="Data Superscript 3 6 4 4" xfId="12764" xr:uid="{00000000-0005-0000-0000-0000FB370000}"/>
    <cellStyle name="Data Superscript 3 6 4 4 2" xfId="12765" xr:uid="{00000000-0005-0000-0000-0000FC370000}"/>
    <cellStyle name="Data Superscript 3 6 4 5" xfId="12766" xr:uid="{00000000-0005-0000-0000-0000FD370000}"/>
    <cellStyle name="Data Superscript 3 6 4 5 2" xfId="12767" xr:uid="{00000000-0005-0000-0000-0000FE370000}"/>
    <cellStyle name="Data Superscript 3 6 4 6" xfId="12768" xr:uid="{00000000-0005-0000-0000-0000FF370000}"/>
    <cellStyle name="Data Superscript 3 6 4 6 2" xfId="12769" xr:uid="{00000000-0005-0000-0000-000000380000}"/>
    <cellStyle name="Data Superscript 3 6 4 7" xfId="12770" xr:uid="{00000000-0005-0000-0000-000001380000}"/>
    <cellStyle name="Data Superscript 3 6 4 7 2" xfId="12771" xr:uid="{00000000-0005-0000-0000-000002380000}"/>
    <cellStyle name="Data Superscript 3 6 4 8" xfId="12772" xr:uid="{00000000-0005-0000-0000-000003380000}"/>
    <cellStyle name="Data Superscript 3 6 4 8 2" xfId="12773" xr:uid="{00000000-0005-0000-0000-000004380000}"/>
    <cellStyle name="Data Superscript 3 6 4 9" xfId="12774" xr:uid="{00000000-0005-0000-0000-000005380000}"/>
    <cellStyle name="Data Superscript 3 6 4 9 2" xfId="12775" xr:uid="{00000000-0005-0000-0000-000006380000}"/>
    <cellStyle name="Data Superscript 3 6 5" xfId="12776" xr:uid="{00000000-0005-0000-0000-000007380000}"/>
    <cellStyle name="Data Superscript 3 6 5 10" xfId="12777" xr:uid="{00000000-0005-0000-0000-000008380000}"/>
    <cellStyle name="Data Superscript 3 6 5 2" xfId="12778" xr:uid="{00000000-0005-0000-0000-000009380000}"/>
    <cellStyle name="Data Superscript 3 6 5 2 2" xfId="12779" xr:uid="{00000000-0005-0000-0000-00000A380000}"/>
    <cellStyle name="Data Superscript 3 6 5 3" xfId="12780" xr:uid="{00000000-0005-0000-0000-00000B380000}"/>
    <cellStyle name="Data Superscript 3 6 5 3 2" xfId="12781" xr:uid="{00000000-0005-0000-0000-00000C380000}"/>
    <cellStyle name="Data Superscript 3 6 5 4" xfId="12782" xr:uid="{00000000-0005-0000-0000-00000D380000}"/>
    <cellStyle name="Data Superscript 3 6 5 4 2" xfId="12783" xr:uid="{00000000-0005-0000-0000-00000E380000}"/>
    <cellStyle name="Data Superscript 3 6 5 5" xfId="12784" xr:uid="{00000000-0005-0000-0000-00000F380000}"/>
    <cellStyle name="Data Superscript 3 6 5 5 2" xfId="12785" xr:uid="{00000000-0005-0000-0000-000010380000}"/>
    <cellStyle name="Data Superscript 3 6 5 6" xfId="12786" xr:uid="{00000000-0005-0000-0000-000011380000}"/>
    <cellStyle name="Data Superscript 3 6 5 6 2" xfId="12787" xr:uid="{00000000-0005-0000-0000-000012380000}"/>
    <cellStyle name="Data Superscript 3 6 5 7" xfId="12788" xr:uid="{00000000-0005-0000-0000-000013380000}"/>
    <cellStyle name="Data Superscript 3 6 5 7 2" xfId="12789" xr:uid="{00000000-0005-0000-0000-000014380000}"/>
    <cellStyle name="Data Superscript 3 6 5 8" xfId="12790" xr:uid="{00000000-0005-0000-0000-000015380000}"/>
    <cellStyle name="Data Superscript 3 6 5 8 2" xfId="12791" xr:uid="{00000000-0005-0000-0000-000016380000}"/>
    <cellStyle name="Data Superscript 3 6 5 9" xfId="12792" xr:uid="{00000000-0005-0000-0000-000017380000}"/>
    <cellStyle name="Data Superscript 3 6 5 9 2" xfId="12793" xr:uid="{00000000-0005-0000-0000-000018380000}"/>
    <cellStyle name="Data Superscript 3 6 6" xfId="12794" xr:uid="{00000000-0005-0000-0000-000019380000}"/>
    <cellStyle name="Data Superscript 3 6 6 10" xfId="12795" xr:uid="{00000000-0005-0000-0000-00001A380000}"/>
    <cellStyle name="Data Superscript 3 6 6 2" xfId="12796" xr:uid="{00000000-0005-0000-0000-00001B380000}"/>
    <cellStyle name="Data Superscript 3 6 6 2 2" xfId="12797" xr:uid="{00000000-0005-0000-0000-00001C380000}"/>
    <cellStyle name="Data Superscript 3 6 6 3" xfId="12798" xr:uid="{00000000-0005-0000-0000-00001D380000}"/>
    <cellStyle name="Data Superscript 3 6 6 3 2" xfId="12799" xr:uid="{00000000-0005-0000-0000-00001E380000}"/>
    <cellStyle name="Data Superscript 3 6 6 4" xfId="12800" xr:uid="{00000000-0005-0000-0000-00001F380000}"/>
    <cellStyle name="Data Superscript 3 6 6 4 2" xfId="12801" xr:uid="{00000000-0005-0000-0000-000020380000}"/>
    <cellStyle name="Data Superscript 3 6 6 5" xfId="12802" xr:uid="{00000000-0005-0000-0000-000021380000}"/>
    <cellStyle name="Data Superscript 3 6 6 5 2" xfId="12803" xr:uid="{00000000-0005-0000-0000-000022380000}"/>
    <cellStyle name="Data Superscript 3 6 6 6" xfId="12804" xr:uid="{00000000-0005-0000-0000-000023380000}"/>
    <cellStyle name="Data Superscript 3 6 6 6 2" xfId="12805" xr:uid="{00000000-0005-0000-0000-000024380000}"/>
    <cellStyle name="Data Superscript 3 6 6 7" xfId="12806" xr:uid="{00000000-0005-0000-0000-000025380000}"/>
    <cellStyle name="Data Superscript 3 6 6 7 2" xfId="12807" xr:uid="{00000000-0005-0000-0000-000026380000}"/>
    <cellStyle name="Data Superscript 3 6 6 8" xfId="12808" xr:uid="{00000000-0005-0000-0000-000027380000}"/>
    <cellStyle name="Data Superscript 3 6 6 8 2" xfId="12809" xr:uid="{00000000-0005-0000-0000-000028380000}"/>
    <cellStyle name="Data Superscript 3 6 6 9" xfId="12810" xr:uid="{00000000-0005-0000-0000-000029380000}"/>
    <cellStyle name="Data Superscript 3 6 6 9 2" xfId="12811" xr:uid="{00000000-0005-0000-0000-00002A380000}"/>
    <cellStyle name="Data Superscript 3 6 7" xfId="12812" xr:uid="{00000000-0005-0000-0000-00002B380000}"/>
    <cellStyle name="Data Superscript 3 6 7 10" xfId="12813" xr:uid="{00000000-0005-0000-0000-00002C380000}"/>
    <cellStyle name="Data Superscript 3 6 7 2" xfId="12814" xr:uid="{00000000-0005-0000-0000-00002D380000}"/>
    <cellStyle name="Data Superscript 3 6 7 2 2" xfId="12815" xr:uid="{00000000-0005-0000-0000-00002E380000}"/>
    <cellStyle name="Data Superscript 3 6 7 3" xfId="12816" xr:uid="{00000000-0005-0000-0000-00002F380000}"/>
    <cellStyle name="Data Superscript 3 6 7 3 2" xfId="12817" xr:uid="{00000000-0005-0000-0000-000030380000}"/>
    <cellStyle name="Data Superscript 3 6 7 4" xfId="12818" xr:uid="{00000000-0005-0000-0000-000031380000}"/>
    <cellStyle name="Data Superscript 3 6 7 4 2" xfId="12819" xr:uid="{00000000-0005-0000-0000-000032380000}"/>
    <cellStyle name="Data Superscript 3 6 7 5" xfId="12820" xr:uid="{00000000-0005-0000-0000-000033380000}"/>
    <cellStyle name="Data Superscript 3 6 7 5 2" xfId="12821" xr:uid="{00000000-0005-0000-0000-000034380000}"/>
    <cellStyle name="Data Superscript 3 6 7 6" xfId="12822" xr:uid="{00000000-0005-0000-0000-000035380000}"/>
    <cellStyle name="Data Superscript 3 6 7 6 2" xfId="12823" xr:uid="{00000000-0005-0000-0000-000036380000}"/>
    <cellStyle name="Data Superscript 3 6 7 7" xfId="12824" xr:uid="{00000000-0005-0000-0000-000037380000}"/>
    <cellStyle name="Data Superscript 3 6 7 7 2" xfId="12825" xr:uid="{00000000-0005-0000-0000-000038380000}"/>
    <cellStyle name="Data Superscript 3 6 7 8" xfId="12826" xr:uid="{00000000-0005-0000-0000-000039380000}"/>
    <cellStyle name="Data Superscript 3 6 7 8 2" xfId="12827" xr:uid="{00000000-0005-0000-0000-00003A380000}"/>
    <cellStyle name="Data Superscript 3 6 7 9" xfId="12828" xr:uid="{00000000-0005-0000-0000-00003B380000}"/>
    <cellStyle name="Data Superscript 3 6 7 9 2" xfId="12829" xr:uid="{00000000-0005-0000-0000-00003C380000}"/>
    <cellStyle name="Data Superscript 3 6 8" xfId="12830" xr:uid="{00000000-0005-0000-0000-00003D380000}"/>
    <cellStyle name="Data Superscript 3 6 8 10" xfId="12831" xr:uid="{00000000-0005-0000-0000-00003E380000}"/>
    <cellStyle name="Data Superscript 3 6 8 2" xfId="12832" xr:uid="{00000000-0005-0000-0000-00003F380000}"/>
    <cellStyle name="Data Superscript 3 6 8 2 2" xfId="12833" xr:uid="{00000000-0005-0000-0000-000040380000}"/>
    <cellStyle name="Data Superscript 3 6 8 3" xfId="12834" xr:uid="{00000000-0005-0000-0000-000041380000}"/>
    <cellStyle name="Data Superscript 3 6 8 3 2" xfId="12835" xr:uid="{00000000-0005-0000-0000-000042380000}"/>
    <cellStyle name="Data Superscript 3 6 8 4" xfId="12836" xr:uid="{00000000-0005-0000-0000-000043380000}"/>
    <cellStyle name="Data Superscript 3 6 8 4 2" xfId="12837" xr:uid="{00000000-0005-0000-0000-000044380000}"/>
    <cellStyle name="Data Superscript 3 6 8 5" xfId="12838" xr:uid="{00000000-0005-0000-0000-000045380000}"/>
    <cellStyle name="Data Superscript 3 6 8 5 2" xfId="12839" xr:uid="{00000000-0005-0000-0000-000046380000}"/>
    <cellStyle name="Data Superscript 3 6 8 6" xfId="12840" xr:uid="{00000000-0005-0000-0000-000047380000}"/>
    <cellStyle name="Data Superscript 3 6 8 6 2" xfId="12841" xr:uid="{00000000-0005-0000-0000-000048380000}"/>
    <cellStyle name="Data Superscript 3 6 8 7" xfId="12842" xr:uid="{00000000-0005-0000-0000-000049380000}"/>
    <cellStyle name="Data Superscript 3 6 8 7 2" xfId="12843" xr:uid="{00000000-0005-0000-0000-00004A380000}"/>
    <cellStyle name="Data Superscript 3 6 8 8" xfId="12844" xr:uid="{00000000-0005-0000-0000-00004B380000}"/>
    <cellStyle name="Data Superscript 3 6 8 8 2" xfId="12845" xr:uid="{00000000-0005-0000-0000-00004C380000}"/>
    <cellStyle name="Data Superscript 3 6 8 9" xfId="12846" xr:uid="{00000000-0005-0000-0000-00004D380000}"/>
    <cellStyle name="Data Superscript 3 6 8 9 2" xfId="12847" xr:uid="{00000000-0005-0000-0000-00004E380000}"/>
    <cellStyle name="Data Superscript 3 6 9" xfId="12848" xr:uid="{00000000-0005-0000-0000-00004F380000}"/>
    <cellStyle name="Data Superscript 3 6 9 10" xfId="12849" xr:uid="{00000000-0005-0000-0000-000050380000}"/>
    <cellStyle name="Data Superscript 3 6 9 2" xfId="12850" xr:uid="{00000000-0005-0000-0000-000051380000}"/>
    <cellStyle name="Data Superscript 3 6 9 2 2" xfId="12851" xr:uid="{00000000-0005-0000-0000-000052380000}"/>
    <cellStyle name="Data Superscript 3 6 9 3" xfId="12852" xr:uid="{00000000-0005-0000-0000-000053380000}"/>
    <cellStyle name="Data Superscript 3 6 9 3 2" xfId="12853" xr:uid="{00000000-0005-0000-0000-000054380000}"/>
    <cellStyle name="Data Superscript 3 6 9 4" xfId="12854" xr:uid="{00000000-0005-0000-0000-000055380000}"/>
    <cellStyle name="Data Superscript 3 6 9 4 2" xfId="12855" xr:uid="{00000000-0005-0000-0000-000056380000}"/>
    <cellStyle name="Data Superscript 3 6 9 5" xfId="12856" xr:uid="{00000000-0005-0000-0000-000057380000}"/>
    <cellStyle name="Data Superscript 3 6 9 5 2" xfId="12857" xr:uid="{00000000-0005-0000-0000-000058380000}"/>
    <cellStyle name="Data Superscript 3 6 9 6" xfId="12858" xr:uid="{00000000-0005-0000-0000-000059380000}"/>
    <cellStyle name="Data Superscript 3 6 9 6 2" xfId="12859" xr:uid="{00000000-0005-0000-0000-00005A380000}"/>
    <cellStyle name="Data Superscript 3 6 9 7" xfId="12860" xr:uid="{00000000-0005-0000-0000-00005B380000}"/>
    <cellStyle name="Data Superscript 3 6 9 7 2" xfId="12861" xr:uid="{00000000-0005-0000-0000-00005C380000}"/>
    <cellStyle name="Data Superscript 3 6 9 8" xfId="12862" xr:uid="{00000000-0005-0000-0000-00005D380000}"/>
    <cellStyle name="Data Superscript 3 6 9 8 2" xfId="12863" xr:uid="{00000000-0005-0000-0000-00005E380000}"/>
    <cellStyle name="Data Superscript 3 6 9 9" xfId="12864" xr:uid="{00000000-0005-0000-0000-00005F380000}"/>
    <cellStyle name="Data Superscript 3 6 9 9 2" xfId="12865" xr:uid="{00000000-0005-0000-0000-000060380000}"/>
    <cellStyle name="Data Superscript 3 7" xfId="12866" xr:uid="{00000000-0005-0000-0000-000061380000}"/>
    <cellStyle name="Data Superscript 3 7 10" xfId="12867" xr:uid="{00000000-0005-0000-0000-000062380000}"/>
    <cellStyle name="Data Superscript 3 7 10 2" xfId="12868" xr:uid="{00000000-0005-0000-0000-000063380000}"/>
    <cellStyle name="Data Superscript 3 7 10 2 2" xfId="12869" xr:uid="{00000000-0005-0000-0000-000064380000}"/>
    <cellStyle name="Data Superscript 3 7 10 3" xfId="12870" xr:uid="{00000000-0005-0000-0000-000065380000}"/>
    <cellStyle name="Data Superscript 3 7 10 3 2" xfId="12871" xr:uid="{00000000-0005-0000-0000-000066380000}"/>
    <cellStyle name="Data Superscript 3 7 10 4" xfId="12872" xr:uid="{00000000-0005-0000-0000-000067380000}"/>
    <cellStyle name="Data Superscript 3 7 10 4 2" xfId="12873" xr:uid="{00000000-0005-0000-0000-000068380000}"/>
    <cellStyle name="Data Superscript 3 7 10 5" xfId="12874" xr:uid="{00000000-0005-0000-0000-000069380000}"/>
    <cellStyle name="Data Superscript 3 7 10 5 2" xfId="12875" xr:uid="{00000000-0005-0000-0000-00006A380000}"/>
    <cellStyle name="Data Superscript 3 7 10 6" xfId="12876" xr:uid="{00000000-0005-0000-0000-00006B380000}"/>
    <cellStyle name="Data Superscript 3 7 10 6 2" xfId="12877" xr:uid="{00000000-0005-0000-0000-00006C380000}"/>
    <cellStyle name="Data Superscript 3 7 10 7" xfId="12878" xr:uid="{00000000-0005-0000-0000-00006D380000}"/>
    <cellStyle name="Data Superscript 3 7 10 7 2" xfId="12879" xr:uid="{00000000-0005-0000-0000-00006E380000}"/>
    <cellStyle name="Data Superscript 3 7 10 8" xfId="12880" xr:uid="{00000000-0005-0000-0000-00006F380000}"/>
    <cellStyle name="Data Superscript 3 7 10 8 2" xfId="12881" xr:uid="{00000000-0005-0000-0000-000070380000}"/>
    <cellStyle name="Data Superscript 3 7 10 9" xfId="12882" xr:uid="{00000000-0005-0000-0000-000071380000}"/>
    <cellStyle name="Data Superscript 3 7 11" xfId="12883" xr:uid="{00000000-0005-0000-0000-000072380000}"/>
    <cellStyle name="Data Superscript 3 7 11 2" xfId="12884" xr:uid="{00000000-0005-0000-0000-000073380000}"/>
    <cellStyle name="Data Superscript 3 7 12" xfId="12885" xr:uid="{00000000-0005-0000-0000-000074380000}"/>
    <cellStyle name="Data Superscript 3 7 12 2" xfId="12886" xr:uid="{00000000-0005-0000-0000-000075380000}"/>
    <cellStyle name="Data Superscript 3 7 13" xfId="12887" xr:uid="{00000000-0005-0000-0000-000076380000}"/>
    <cellStyle name="Data Superscript 3 7 13 2" xfId="12888" xr:uid="{00000000-0005-0000-0000-000077380000}"/>
    <cellStyle name="Data Superscript 3 7 14" xfId="12889" xr:uid="{00000000-0005-0000-0000-000078380000}"/>
    <cellStyle name="Data Superscript 3 7 14 2" xfId="12890" xr:uid="{00000000-0005-0000-0000-000079380000}"/>
    <cellStyle name="Data Superscript 3 7 15" xfId="12891" xr:uid="{00000000-0005-0000-0000-00007A380000}"/>
    <cellStyle name="Data Superscript 3 7 15 2" xfId="12892" xr:uid="{00000000-0005-0000-0000-00007B380000}"/>
    <cellStyle name="Data Superscript 3 7 16" xfId="12893" xr:uid="{00000000-0005-0000-0000-00007C380000}"/>
    <cellStyle name="Data Superscript 3 7 16 2" xfId="12894" xr:uid="{00000000-0005-0000-0000-00007D380000}"/>
    <cellStyle name="Data Superscript 3 7 17" xfId="12895" xr:uid="{00000000-0005-0000-0000-00007E380000}"/>
    <cellStyle name="Data Superscript 3 7 17 2" xfId="12896" xr:uid="{00000000-0005-0000-0000-00007F380000}"/>
    <cellStyle name="Data Superscript 3 7 18" xfId="12897" xr:uid="{00000000-0005-0000-0000-000080380000}"/>
    <cellStyle name="Data Superscript 3 7 2" xfId="12898" xr:uid="{00000000-0005-0000-0000-000081380000}"/>
    <cellStyle name="Data Superscript 3 7 2 10" xfId="12899" xr:uid="{00000000-0005-0000-0000-000082380000}"/>
    <cellStyle name="Data Superscript 3 7 2 2" xfId="12900" xr:uid="{00000000-0005-0000-0000-000083380000}"/>
    <cellStyle name="Data Superscript 3 7 2 2 2" xfId="12901" xr:uid="{00000000-0005-0000-0000-000084380000}"/>
    <cellStyle name="Data Superscript 3 7 2 3" xfId="12902" xr:uid="{00000000-0005-0000-0000-000085380000}"/>
    <cellStyle name="Data Superscript 3 7 2 3 2" xfId="12903" xr:uid="{00000000-0005-0000-0000-000086380000}"/>
    <cellStyle name="Data Superscript 3 7 2 4" xfId="12904" xr:uid="{00000000-0005-0000-0000-000087380000}"/>
    <cellStyle name="Data Superscript 3 7 2 4 2" xfId="12905" xr:uid="{00000000-0005-0000-0000-000088380000}"/>
    <cellStyle name="Data Superscript 3 7 2 5" xfId="12906" xr:uid="{00000000-0005-0000-0000-000089380000}"/>
    <cellStyle name="Data Superscript 3 7 2 5 2" xfId="12907" xr:uid="{00000000-0005-0000-0000-00008A380000}"/>
    <cellStyle name="Data Superscript 3 7 2 6" xfId="12908" xr:uid="{00000000-0005-0000-0000-00008B380000}"/>
    <cellStyle name="Data Superscript 3 7 2 6 2" xfId="12909" xr:uid="{00000000-0005-0000-0000-00008C380000}"/>
    <cellStyle name="Data Superscript 3 7 2 7" xfId="12910" xr:uid="{00000000-0005-0000-0000-00008D380000}"/>
    <cellStyle name="Data Superscript 3 7 2 7 2" xfId="12911" xr:uid="{00000000-0005-0000-0000-00008E380000}"/>
    <cellStyle name="Data Superscript 3 7 2 8" xfId="12912" xr:uid="{00000000-0005-0000-0000-00008F380000}"/>
    <cellStyle name="Data Superscript 3 7 2 8 2" xfId="12913" xr:uid="{00000000-0005-0000-0000-000090380000}"/>
    <cellStyle name="Data Superscript 3 7 2 9" xfId="12914" xr:uid="{00000000-0005-0000-0000-000091380000}"/>
    <cellStyle name="Data Superscript 3 7 2 9 2" xfId="12915" xr:uid="{00000000-0005-0000-0000-000092380000}"/>
    <cellStyle name="Data Superscript 3 7 3" xfId="12916" xr:uid="{00000000-0005-0000-0000-000093380000}"/>
    <cellStyle name="Data Superscript 3 7 3 10" xfId="12917" xr:uid="{00000000-0005-0000-0000-000094380000}"/>
    <cellStyle name="Data Superscript 3 7 3 2" xfId="12918" xr:uid="{00000000-0005-0000-0000-000095380000}"/>
    <cellStyle name="Data Superscript 3 7 3 2 2" xfId="12919" xr:uid="{00000000-0005-0000-0000-000096380000}"/>
    <cellStyle name="Data Superscript 3 7 3 3" xfId="12920" xr:uid="{00000000-0005-0000-0000-000097380000}"/>
    <cellStyle name="Data Superscript 3 7 3 3 2" xfId="12921" xr:uid="{00000000-0005-0000-0000-000098380000}"/>
    <cellStyle name="Data Superscript 3 7 3 4" xfId="12922" xr:uid="{00000000-0005-0000-0000-000099380000}"/>
    <cellStyle name="Data Superscript 3 7 3 4 2" xfId="12923" xr:uid="{00000000-0005-0000-0000-00009A380000}"/>
    <cellStyle name="Data Superscript 3 7 3 5" xfId="12924" xr:uid="{00000000-0005-0000-0000-00009B380000}"/>
    <cellStyle name="Data Superscript 3 7 3 5 2" xfId="12925" xr:uid="{00000000-0005-0000-0000-00009C380000}"/>
    <cellStyle name="Data Superscript 3 7 3 6" xfId="12926" xr:uid="{00000000-0005-0000-0000-00009D380000}"/>
    <cellStyle name="Data Superscript 3 7 3 6 2" xfId="12927" xr:uid="{00000000-0005-0000-0000-00009E380000}"/>
    <cellStyle name="Data Superscript 3 7 3 7" xfId="12928" xr:uid="{00000000-0005-0000-0000-00009F380000}"/>
    <cellStyle name="Data Superscript 3 7 3 7 2" xfId="12929" xr:uid="{00000000-0005-0000-0000-0000A0380000}"/>
    <cellStyle name="Data Superscript 3 7 3 8" xfId="12930" xr:uid="{00000000-0005-0000-0000-0000A1380000}"/>
    <cellStyle name="Data Superscript 3 7 3 8 2" xfId="12931" xr:uid="{00000000-0005-0000-0000-0000A2380000}"/>
    <cellStyle name="Data Superscript 3 7 3 9" xfId="12932" xr:uid="{00000000-0005-0000-0000-0000A3380000}"/>
    <cellStyle name="Data Superscript 3 7 3 9 2" xfId="12933" xr:uid="{00000000-0005-0000-0000-0000A4380000}"/>
    <cellStyle name="Data Superscript 3 7 4" xfId="12934" xr:uid="{00000000-0005-0000-0000-0000A5380000}"/>
    <cellStyle name="Data Superscript 3 7 4 10" xfId="12935" xr:uid="{00000000-0005-0000-0000-0000A6380000}"/>
    <cellStyle name="Data Superscript 3 7 4 2" xfId="12936" xr:uid="{00000000-0005-0000-0000-0000A7380000}"/>
    <cellStyle name="Data Superscript 3 7 4 2 2" xfId="12937" xr:uid="{00000000-0005-0000-0000-0000A8380000}"/>
    <cellStyle name="Data Superscript 3 7 4 3" xfId="12938" xr:uid="{00000000-0005-0000-0000-0000A9380000}"/>
    <cellStyle name="Data Superscript 3 7 4 3 2" xfId="12939" xr:uid="{00000000-0005-0000-0000-0000AA380000}"/>
    <cellStyle name="Data Superscript 3 7 4 4" xfId="12940" xr:uid="{00000000-0005-0000-0000-0000AB380000}"/>
    <cellStyle name="Data Superscript 3 7 4 4 2" xfId="12941" xr:uid="{00000000-0005-0000-0000-0000AC380000}"/>
    <cellStyle name="Data Superscript 3 7 4 5" xfId="12942" xr:uid="{00000000-0005-0000-0000-0000AD380000}"/>
    <cellStyle name="Data Superscript 3 7 4 5 2" xfId="12943" xr:uid="{00000000-0005-0000-0000-0000AE380000}"/>
    <cellStyle name="Data Superscript 3 7 4 6" xfId="12944" xr:uid="{00000000-0005-0000-0000-0000AF380000}"/>
    <cellStyle name="Data Superscript 3 7 4 6 2" xfId="12945" xr:uid="{00000000-0005-0000-0000-0000B0380000}"/>
    <cellStyle name="Data Superscript 3 7 4 7" xfId="12946" xr:uid="{00000000-0005-0000-0000-0000B1380000}"/>
    <cellStyle name="Data Superscript 3 7 4 7 2" xfId="12947" xr:uid="{00000000-0005-0000-0000-0000B2380000}"/>
    <cellStyle name="Data Superscript 3 7 4 8" xfId="12948" xr:uid="{00000000-0005-0000-0000-0000B3380000}"/>
    <cellStyle name="Data Superscript 3 7 4 8 2" xfId="12949" xr:uid="{00000000-0005-0000-0000-0000B4380000}"/>
    <cellStyle name="Data Superscript 3 7 4 9" xfId="12950" xr:uid="{00000000-0005-0000-0000-0000B5380000}"/>
    <cellStyle name="Data Superscript 3 7 4 9 2" xfId="12951" xr:uid="{00000000-0005-0000-0000-0000B6380000}"/>
    <cellStyle name="Data Superscript 3 7 5" xfId="12952" xr:uid="{00000000-0005-0000-0000-0000B7380000}"/>
    <cellStyle name="Data Superscript 3 7 5 10" xfId="12953" xr:uid="{00000000-0005-0000-0000-0000B8380000}"/>
    <cellStyle name="Data Superscript 3 7 5 2" xfId="12954" xr:uid="{00000000-0005-0000-0000-0000B9380000}"/>
    <cellStyle name="Data Superscript 3 7 5 2 2" xfId="12955" xr:uid="{00000000-0005-0000-0000-0000BA380000}"/>
    <cellStyle name="Data Superscript 3 7 5 3" xfId="12956" xr:uid="{00000000-0005-0000-0000-0000BB380000}"/>
    <cellStyle name="Data Superscript 3 7 5 3 2" xfId="12957" xr:uid="{00000000-0005-0000-0000-0000BC380000}"/>
    <cellStyle name="Data Superscript 3 7 5 4" xfId="12958" xr:uid="{00000000-0005-0000-0000-0000BD380000}"/>
    <cellStyle name="Data Superscript 3 7 5 4 2" xfId="12959" xr:uid="{00000000-0005-0000-0000-0000BE380000}"/>
    <cellStyle name="Data Superscript 3 7 5 5" xfId="12960" xr:uid="{00000000-0005-0000-0000-0000BF380000}"/>
    <cellStyle name="Data Superscript 3 7 5 5 2" xfId="12961" xr:uid="{00000000-0005-0000-0000-0000C0380000}"/>
    <cellStyle name="Data Superscript 3 7 5 6" xfId="12962" xr:uid="{00000000-0005-0000-0000-0000C1380000}"/>
    <cellStyle name="Data Superscript 3 7 5 6 2" xfId="12963" xr:uid="{00000000-0005-0000-0000-0000C2380000}"/>
    <cellStyle name="Data Superscript 3 7 5 7" xfId="12964" xr:uid="{00000000-0005-0000-0000-0000C3380000}"/>
    <cellStyle name="Data Superscript 3 7 5 7 2" xfId="12965" xr:uid="{00000000-0005-0000-0000-0000C4380000}"/>
    <cellStyle name="Data Superscript 3 7 5 8" xfId="12966" xr:uid="{00000000-0005-0000-0000-0000C5380000}"/>
    <cellStyle name="Data Superscript 3 7 5 8 2" xfId="12967" xr:uid="{00000000-0005-0000-0000-0000C6380000}"/>
    <cellStyle name="Data Superscript 3 7 5 9" xfId="12968" xr:uid="{00000000-0005-0000-0000-0000C7380000}"/>
    <cellStyle name="Data Superscript 3 7 5 9 2" xfId="12969" xr:uid="{00000000-0005-0000-0000-0000C8380000}"/>
    <cellStyle name="Data Superscript 3 7 6" xfId="12970" xr:uid="{00000000-0005-0000-0000-0000C9380000}"/>
    <cellStyle name="Data Superscript 3 7 6 10" xfId="12971" xr:uid="{00000000-0005-0000-0000-0000CA380000}"/>
    <cellStyle name="Data Superscript 3 7 6 2" xfId="12972" xr:uid="{00000000-0005-0000-0000-0000CB380000}"/>
    <cellStyle name="Data Superscript 3 7 6 2 2" xfId="12973" xr:uid="{00000000-0005-0000-0000-0000CC380000}"/>
    <cellStyle name="Data Superscript 3 7 6 3" xfId="12974" xr:uid="{00000000-0005-0000-0000-0000CD380000}"/>
    <cellStyle name="Data Superscript 3 7 6 3 2" xfId="12975" xr:uid="{00000000-0005-0000-0000-0000CE380000}"/>
    <cellStyle name="Data Superscript 3 7 6 4" xfId="12976" xr:uid="{00000000-0005-0000-0000-0000CF380000}"/>
    <cellStyle name="Data Superscript 3 7 6 4 2" xfId="12977" xr:uid="{00000000-0005-0000-0000-0000D0380000}"/>
    <cellStyle name="Data Superscript 3 7 6 5" xfId="12978" xr:uid="{00000000-0005-0000-0000-0000D1380000}"/>
    <cellStyle name="Data Superscript 3 7 6 5 2" xfId="12979" xr:uid="{00000000-0005-0000-0000-0000D2380000}"/>
    <cellStyle name="Data Superscript 3 7 6 6" xfId="12980" xr:uid="{00000000-0005-0000-0000-0000D3380000}"/>
    <cellStyle name="Data Superscript 3 7 6 6 2" xfId="12981" xr:uid="{00000000-0005-0000-0000-0000D4380000}"/>
    <cellStyle name="Data Superscript 3 7 6 7" xfId="12982" xr:uid="{00000000-0005-0000-0000-0000D5380000}"/>
    <cellStyle name="Data Superscript 3 7 6 7 2" xfId="12983" xr:uid="{00000000-0005-0000-0000-0000D6380000}"/>
    <cellStyle name="Data Superscript 3 7 6 8" xfId="12984" xr:uid="{00000000-0005-0000-0000-0000D7380000}"/>
    <cellStyle name="Data Superscript 3 7 6 8 2" xfId="12985" xr:uid="{00000000-0005-0000-0000-0000D8380000}"/>
    <cellStyle name="Data Superscript 3 7 6 9" xfId="12986" xr:uid="{00000000-0005-0000-0000-0000D9380000}"/>
    <cellStyle name="Data Superscript 3 7 6 9 2" xfId="12987" xr:uid="{00000000-0005-0000-0000-0000DA380000}"/>
    <cellStyle name="Data Superscript 3 7 7" xfId="12988" xr:uid="{00000000-0005-0000-0000-0000DB380000}"/>
    <cellStyle name="Data Superscript 3 7 7 10" xfId="12989" xr:uid="{00000000-0005-0000-0000-0000DC380000}"/>
    <cellStyle name="Data Superscript 3 7 7 2" xfId="12990" xr:uid="{00000000-0005-0000-0000-0000DD380000}"/>
    <cellStyle name="Data Superscript 3 7 7 2 2" xfId="12991" xr:uid="{00000000-0005-0000-0000-0000DE380000}"/>
    <cellStyle name="Data Superscript 3 7 7 3" xfId="12992" xr:uid="{00000000-0005-0000-0000-0000DF380000}"/>
    <cellStyle name="Data Superscript 3 7 7 3 2" xfId="12993" xr:uid="{00000000-0005-0000-0000-0000E0380000}"/>
    <cellStyle name="Data Superscript 3 7 7 4" xfId="12994" xr:uid="{00000000-0005-0000-0000-0000E1380000}"/>
    <cellStyle name="Data Superscript 3 7 7 4 2" xfId="12995" xr:uid="{00000000-0005-0000-0000-0000E2380000}"/>
    <cellStyle name="Data Superscript 3 7 7 5" xfId="12996" xr:uid="{00000000-0005-0000-0000-0000E3380000}"/>
    <cellStyle name="Data Superscript 3 7 7 5 2" xfId="12997" xr:uid="{00000000-0005-0000-0000-0000E4380000}"/>
    <cellStyle name="Data Superscript 3 7 7 6" xfId="12998" xr:uid="{00000000-0005-0000-0000-0000E5380000}"/>
    <cellStyle name="Data Superscript 3 7 7 6 2" xfId="12999" xr:uid="{00000000-0005-0000-0000-0000E6380000}"/>
    <cellStyle name="Data Superscript 3 7 7 7" xfId="13000" xr:uid="{00000000-0005-0000-0000-0000E7380000}"/>
    <cellStyle name="Data Superscript 3 7 7 7 2" xfId="13001" xr:uid="{00000000-0005-0000-0000-0000E8380000}"/>
    <cellStyle name="Data Superscript 3 7 7 8" xfId="13002" xr:uid="{00000000-0005-0000-0000-0000E9380000}"/>
    <cellStyle name="Data Superscript 3 7 7 8 2" xfId="13003" xr:uid="{00000000-0005-0000-0000-0000EA380000}"/>
    <cellStyle name="Data Superscript 3 7 7 9" xfId="13004" xr:uid="{00000000-0005-0000-0000-0000EB380000}"/>
    <cellStyle name="Data Superscript 3 7 7 9 2" xfId="13005" xr:uid="{00000000-0005-0000-0000-0000EC380000}"/>
    <cellStyle name="Data Superscript 3 7 8" xfId="13006" xr:uid="{00000000-0005-0000-0000-0000ED380000}"/>
    <cellStyle name="Data Superscript 3 7 8 10" xfId="13007" xr:uid="{00000000-0005-0000-0000-0000EE380000}"/>
    <cellStyle name="Data Superscript 3 7 8 2" xfId="13008" xr:uid="{00000000-0005-0000-0000-0000EF380000}"/>
    <cellStyle name="Data Superscript 3 7 8 2 2" xfId="13009" xr:uid="{00000000-0005-0000-0000-0000F0380000}"/>
    <cellStyle name="Data Superscript 3 7 8 3" xfId="13010" xr:uid="{00000000-0005-0000-0000-0000F1380000}"/>
    <cellStyle name="Data Superscript 3 7 8 3 2" xfId="13011" xr:uid="{00000000-0005-0000-0000-0000F2380000}"/>
    <cellStyle name="Data Superscript 3 7 8 4" xfId="13012" xr:uid="{00000000-0005-0000-0000-0000F3380000}"/>
    <cellStyle name="Data Superscript 3 7 8 4 2" xfId="13013" xr:uid="{00000000-0005-0000-0000-0000F4380000}"/>
    <cellStyle name="Data Superscript 3 7 8 5" xfId="13014" xr:uid="{00000000-0005-0000-0000-0000F5380000}"/>
    <cellStyle name="Data Superscript 3 7 8 5 2" xfId="13015" xr:uid="{00000000-0005-0000-0000-0000F6380000}"/>
    <cellStyle name="Data Superscript 3 7 8 6" xfId="13016" xr:uid="{00000000-0005-0000-0000-0000F7380000}"/>
    <cellStyle name="Data Superscript 3 7 8 6 2" xfId="13017" xr:uid="{00000000-0005-0000-0000-0000F8380000}"/>
    <cellStyle name="Data Superscript 3 7 8 7" xfId="13018" xr:uid="{00000000-0005-0000-0000-0000F9380000}"/>
    <cellStyle name="Data Superscript 3 7 8 7 2" xfId="13019" xr:uid="{00000000-0005-0000-0000-0000FA380000}"/>
    <cellStyle name="Data Superscript 3 7 8 8" xfId="13020" xr:uid="{00000000-0005-0000-0000-0000FB380000}"/>
    <cellStyle name="Data Superscript 3 7 8 8 2" xfId="13021" xr:uid="{00000000-0005-0000-0000-0000FC380000}"/>
    <cellStyle name="Data Superscript 3 7 8 9" xfId="13022" xr:uid="{00000000-0005-0000-0000-0000FD380000}"/>
    <cellStyle name="Data Superscript 3 7 8 9 2" xfId="13023" xr:uid="{00000000-0005-0000-0000-0000FE380000}"/>
    <cellStyle name="Data Superscript 3 7 9" xfId="13024" xr:uid="{00000000-0005-0000-0000-0000FF380000}"/>
    <cellStyle name="Data Superscript 3 7 9 10" xfId="13025" xr:uid="{00000000-0005-0000-0000-000000390000}"/>
    <cellStyle name="Data Superscript 3 7 9 2" xfId="13026" xr:uid="{00000000-0005-0000-0000-000001390000}"/>
    <cellStyle name="Data Superscript 3 7 9 2 2" xfId="13027" xr:uid="{00000000-0005-0000-0000-000002390000}"/>
    <cellStyle name="Data Superscript 3 7 9 3" xfId="13028" xr:uid="{00000000-0005-0000-0000-000003390000}"/>
    <cellStyle name="Data Superscript 3 7 9 3 2" xfId="13029" xr:uid="{00000000-0005-0000-0000-000004390000}"/>
    <cellStyle name="Data Superscript 3 7 9 4" xfId="13030" xr:uid="{00000000-0005-0000-0000-000005390000}"/>
    <cellStyle name="Data Superscript 3 7 9 4 2" xfId="13031" xr:uid="{00000000-0005-0000-0000-000006390000}"/>
    <cellStyle name="Data Superscript 3 7 9 5" xfId="13032" xr:uid="{00000000-0005-0000-0000-000007390000}"/>
    <cellStyle name="Data Superscript 3 7 9 5 2" xfId="13033" xr:uid="{00000000-0005-0000-0000-000008390000}"/>
    <cellStyle name="Data Superscript 3 7 9 6" xfId="13034" xr:uid="{00000000-0005-0000-0000-000009390000}"/>
    <cellStyle name="Data Superscript 3 7 9 6 2" xfId="13035" xr:uid="{00000000-0005-0000-0000-00000A390000}"/>
    <cellStyle name="Data Superscript 3 7 9 7" xfId="13036" xr:uid="{00000000-0005-0000-0000-00000B390000}"/>
    <cellStyle name="Data Superscript 3 7 9 7 2" xfId="13037" xr:uid="{00000000-0005-0000-0000-00000C390000}"/>
    <cellStyle name="Data Superscript 3 7 9 8" xfId="13038" xr:uid="{00000000-0005-0000-0000-00000D390000}"/>
    <cellStyle name="Data Superscript 3 7 9 8 2" xfId="13039" xr:uid="{00000000-0005-0000-0000-00000E390000}"/>
    <cellStyle name="Data Superscript 3 7 9 9" xfId="13040" xr:uid="{00000000-0005-0000-0000-00000F390000}"/>
    <cellStyle name="Data Superscript 3 7 9 9 2" xfId="13041" xr:uid="{00000000-0005-0000-0000-000010390000}"/>
    <cellStyle name="Data Superscript 3 8" xfId="13042" xr:uid="{00000000-0005-0000-0000-000011390000}"/>
    <cellStyle name="Data Superscript 3 8 10" xfId="13043" xr:uid="{00000000-0005-0000-0000-000012390000}"/>
    <cellStyle name="Data Superscript 3 8 10 2" xfId="13044" xr:uid="{00000000-0005-0000-0000-000013390000}"/>
    <cellStyle name="Data Superscript 3 8 10 2 2" xfId="13045" xr:uid="{00000000-0005-0000-0000-000014390000}"/>
    <cellStyle name="Data Superscript 3 8 10 3" xfId="13046" xr:uid="{00000000-0005-0000-0000-000015390000}"/>
    <cellStyle name="Data Superscript 3 8 10 3 2" xfId="13047" xr:uid="{00000000-0005-0000-0000-000016390000}"/>
    <cellStyle name="Data Superscript 3 8 10 4" xfId="13048" xr:uid="{00000000-0005-0000-0000-000017390000}"/>
    <cellStyle name="Data Superscript 3 8 10 4 2" xfId="13049" xr:uid="{00000000-0005-0000-0000-000018390000}"/>
    <cellStyle name="Data Superscript 3 8 10 5" xfId="13050" xr:uid="{00000000-0005-0000-0000-000019390000}"/>
    <cellStyle name="Data Superscript 3 8 10 5 2" xfId="13051" xr:uid="{00000000-0005-0000-0000-00001A390000}"/>
    <cellStyle name="Data Superscript 3 8 10 6" xfId="13052" xr:uid="{00000000-0005-0000-0000-00001B390000}"/>
    <cellStyle name="Data Superscript 3 8 10 6 2" xfId="13053" xr:uid="{00000000-0005-0000-0000-00001C390000}"/>
    <cellStyle name="Data Superscript 3 8 10 7" xfId="13054" xr:uid="{00000000-0005-0000-0000-00001D390000}"/>
    <cellStyle name="Data Superscript 3 8 10 7 2" xfId="13055" xr:uid="{00000000-0005-0000-0000-00001E390000}"/>
    <cellStyle name="Data Superscript 3 8 10 8" xfId="13056" xr:uid="{00000000-0005-0000-0000-00001F390000}"/>
    <cellStyle name="Data Superscript 3 8 10 8 2" xfId="13057" xr:uid="{00000000-0005-0000-0000-000020390000}"/>
    <cellStyle name="Data Superscript 3 8 10 9" xfId="13058" xr:uid="{00000000-0005-0000-0000-000021390000}"/>
    <cellStyle name="Data Superscript 3 8 11" xfId="13059" xr:uid="{00000000-0005-0000-0000-000022390000}"/>
    <cellStyle name="Data Superscript 3 8 11 2" xfId="13060" xr:uid="{00000000-0005-0000-0000-000023390000}"/>
    <cellStyle name="Data Superscript 3 8 12" xfId="13061" xr:uid="{00000000-0005-0000-0000-000024390000}"/>
    <cellStyle name="Data Superscript 3 8 12 2" xfId="13062" xr:uid="{00000000-0005-0000-0000-000025390000}"/>
    <cellStyle name="Data Superscript 3 8 13" xfId="13063" xr:uid="{00000000-0005-0000-0000-000026390000}"/>
    <cellStyle name="Data Superscript 3 8 13 2" xfId="13064" xr:uid="{00000000-0005-0000-0000-000027390000}"/>
    <cellStyle name="Data Superscript 3 8 14" xfId="13065" xr:uid="{00000000-0005-0000-0000-000028390000}"/>
    <cellStyle name="Data Superscript 3 8 14 2" xfId="13066" xr:uid="{00000000-0005-0000-0000-000029390000}"/>
    <cellStyle name="Data Superscript 3 8 15" xfId="13067" xr:uid="{00000000-0005-0000-0000-00002A390000}"/>
    <cellStyle name="Data Superscript 3 8 15 2" xfId="13068" xr:uid="{00000000-0005-0000-0000-00002B390000}"/>
    <cellStyle name="Data Superscript 3 8 16" xfId="13069" xr:uid="{00000000-0005-0000-0000-00002C390000}"/>
    <cellStyle name="Data Superscript 3 8 16 2" xfId="13070" xr:uid="{00000000-0005-0000-0000-00002D390000}"/>
    <cellStyle name="Data Superscript 3 8 17" xfId="13071" xr:uid="{00000000-0005-0000-0000-00002E390000}"/>
    <cellStyle name="Data Superscript 3 8 17 2" xfId="13072" xr:uid="{00000000-0005-0000-0000-00002F390000}"/>
    <cellStyle name="Data Superscript 3 8 18" xfId="13073" xr:uid="{00000000-0005-0000-0000-000030390000}"/>
    <cellStyle name="Data Superscript 3 8 2" xfId="13074" xr:uid="{00000000-0005-0000-0000-000031390000}"/>
    <cellStyle name="Data Superscript 3 8 2 10" xfId="13075" xr:uid="{00000000-0005-0000-0000-000032390000}"/>
    <cellStyle name="Data Superscript 3 8 2 2" xfId="13076" xr:uid="{00000000-0005-0000-0000-000033390000}"/>
    <cellStyle name="Data Superscript 3 8 2 2 2" xfId="13077" xr:uid="{00000000-0005-0000-0000-000034390000}"/>
    <cellStyle name="Data Superscript 3 8 2 3" xfId="13078" xr:uid="{00000000-0005-0000-0000-000035390000}"/>
    <cellStyle name="Data Superscript 3 8 2 3 2" xfId="13079" xr:uid="{00000000-0005-0000-0000-000036390000}"/>
    <cellStyle name="Data Superscript 3 8 2 4" xfId="13080" xr:uid="{00000000-0005-0000-0000-000037390000}"/>
    <cellStyle name="Data Superscript 3 8 2 4 2" xfId="13081" xr:uid="{00000000-0005-0000-0000-000038390000}"/>
    <cellStyle name="Data Superscript 3 8 2 5" xfId="13082" xr:uid="{00000000-0005-0000-0000-000039390000}"/>
    <cellStyle name="Data Superscript 3 8 2 5 2" xfId="13083" xr:uid="{00000000-0005-0000-0000-00003A390000}"/>
    <cellStyle name="Data Superscript 3 8 2 6" xfId="13084" xr:uid="{00000000-0005-0000-0000-00003B390000}"/>
    <cellStyle name="Data Superscript 3 8 2 6 2" xfId="13085" xr:uid="{00000000-0005-0000-0000-00003C390000}"/>
    <cellStyle name="Data Superscript 3 8 2 7" xfId="13086" xr:uid="{00000000-0005-0000-0000-00003D390000}"/>
    <cellStyle name="Data Superscript 3 8 2 7 2" xfId="13087" xr:uid="{00000000-0005-0000-0000-00003E390000}"/>
    <cellStyle name="Data Superscript 3 8 2 8" xfId="13088" xr:uid="{00000000-0005-0000-0000-00003F390000}"/>
    <cellStyle name="Data Superscript 3 8 2 8 2" xfId="13089" xr:uid="{00000000-0005-0000-0000-000040390000}"/>
    <cellStyle name="Data Superscript 3 8 2 9" xfId="13090" xr:uid="{00000000-0005-0000-0000-000041390000}"/>
    <cellStyle name="Data Superscript 3 8 2 9 2" xfId="13091" xr:uid="{00000000-0005-0000-0000-000042390000}"/>
    <cellStyle name="Data Superscript 3 8 3" xfId="13092" xr:uid="{00000000-0005-0000-0000-000043390000}"/>
    <cellStyle name="Data Superscript 3 8 3 10" xfId="13093" xr:uid="{00000000-0005-0000-0000-000044390000}"/>
    <cellStyle name="Data Superscript 3 8 3 2" xfId="13094" xr:uid="{00000000-0005-0000-0000-000045390000}"/>
    <cellStyle name="Data Superscript 3 8 3 2 2" xfId="13095" xr:uid="{00000000-0005-0000-0000-000046390000}"/>
    <cellStyle name="Data Superscript 3 8 3 3" xfId="13096" xr:uid="{00000000-0005-0000-0000-000047390000}"/>
    <cellStyle name="Data Superscript 3 8 3 3 2" xfId="13097" xr:uid="{00000000-0005-0000-0000-000048390000}"/>
    <cellStyle name="Data Superscript 3 8 3 4" xfId="13098" xr:uid="{00000000-0005-0000-0000-000049390000}"/>
    <cellStyle name="Data Superscript 3 8 3 4 2" xfId="13099" xr:uid="{00000000-0005-0000-0000-00004A390000}"/>
    <cellStyle name="Data Superscript 3 8 3 5" xfId="13100" xr:uid="{00000000-0005-0000-0000-00004B390000}"/>
    <cellStyle name="Data Superscript 3 8 3 5 2" xfId="13101" xr:uid="{00000000-0005-0000-0000-00004C390000}"/>
    <cellStyle name="Data Superscript 3 8 3 6" xfId="13102" xr:uid="{00000000-0005-0000-0000-00004D390000}"/>
    <cellStyle name="Data Superscript 3 8 3 6 2" xfId="13103" xr:uid="{00000000-0005-0000-0000-00004E390000}"/>
    <cellStyle name="Data Superscript 3 8 3 7" xfId="13104" xr:uid="{00000000-0005-0000-0000-00004F390000}"/>
    <cellStyle name="Data Superscript 3 8 3 7 2" xfId="13105" xr:uid="{00000000-0005-0000-0000-000050390000}"/>
    <cellStyle name="Data Superscript 3 8 3 8" xfId="13106" xr:uid="{00000000-0005-0000-0000-000051390000}"/>
    <cellStyle name="Data Superscript 3 8 3 8 2" xfId="13107" xr:uid="{00000000-0005-0000-0000-000052390000}"/>
    <cellStyle name="Data Superscript 3 8 3 9" xfId="13108" xr:uid="{00000000-0005-0000-0000-000053390000}"/>
    <cellStyle name="Data Superscript 3 8 3 9 2" xfId="13109" xr:uid="{00000000-0005-0000-0000-000054390000}"/>
    <cellStyle name="Data Superscript 3 8 4" xfId="13110" xr:uid="{00000000-0005-0000-0000-000055390000}"/>
    <cellStyle name="Data Superscript 3 8 4 10" xfId="13111" xr:uid="{00000000-0005-0000-0000-000056390000}"/>
    <cellStyle name="Data Superscript 3 8 4 2" xfId="13112" xr:uid="{00000000-0005-0000-0000-000057390000}"/>
    <cellStyle name="Data Superscript 3 8 4 2 2" xfId="13113" xr:uid="{00000000-0005-0000-0000-000058390000}"/>
    <cellStyle name="Data Superscript 3 8 4 3" xfId="13114" xr:uid="{00000000-0005-0000-0000-000059390000}"/>
    <cellStyle name="Data Superscript 3 8 4 3 2" xfId="13115" xr:uid="{00000000-0005-0000-0000-00005A390000}"/>
    <cellStyle name="Data Superscript 3 8 4 4" xfId="13116" xr:uid="{00000000-0005-0000-0000-00005B390000}"/>
    <cellStyle name="Data Superscript 3 8 4 4 2" xfId="13117" xr:uid="{00000000-0005-0000-0000-00005C390000}"/>
    <cellStyle name="Data Superscript 3 8 4 5" xfId="13118" xr:uid="{00000000-0005-0000-0000-00005D390000}"/>
    <cellStyle name="Data Superscript 3 8 4 5 2" xfId="13119" xr:uid="{00000000-0005-0000-0000-00005E390000}"/>
    <cellStyle name="Data Superscript 3 8 4 6" xfId="13120" xr:uid="{00000000-0005-0000-0000-00005F390000}"/>
    <cellStyle name="Data Superscript 3 8 4 6 2" xfId="13121" xr:uid="{00000000-0005-0000-0000-000060390000}"/>
    <cellStyle name="Data Superscript 3 8 4 7" xfId="13122" xr:uid="{00000000-0005-0000-0000-000061390000}"/>
    <cellStyle name="Data Superscript 3 8 4 7 2" xfId="13123" xr:uid="{00000000-0005-0000-0000-000062390000}"/>
    <cellStyle name="Data Superscript 3 8 4 8" xfId="13124" xr:uid="{00000000-0005-0000-0000-000063390000}"/>
    <cellStyle name="Data Superscript 3 8 4 8 2" xfId="13125" xr:uid="{00000000-0005-0000-0000-000064390000}"/>
    <cellStyle name="Data Superscript 3 8 4 9" xfId="13126" xr:uid="{00000000-0005-0000-0000-000065390000}"/>
    <cellStyle name="Data Superscript 3 8 4 9 2" xfId="13127" xr:uid="{00000000-0005-0000-0000-000066390000}"/>
    <cellStyle name="Data Superscript 3 8 5" xfId="13128" xr:uid="{00000000-0005-0000-0000-000067390000}"/>
    <cellStyle name="Data Superscript 3 8 5 10" xfId="13129" xr:uid="{00000000-0005-0000-0000-000068390000}"/>
    <cellStyle name="Data Superscript 3 8 5 2" xfId="13130" xr:uid="{00000000-0005-0000-0000-000069390000}"/>
    <cellStyle name="Data Superscript 3 8 5 2 2" xfId="13131" xr:uid="{00000000-0005-0000-0000-00006A390000}"/>
    <cellStyle name="Data Superscript 3 8 5 3" xfId="13132" xr:uid="{00000000-0005-0000-0000-00006B390000}"/>
    <cellStyle name="Data Superscript 3 8 5 3 2" xfId="13133" xr:uid="{00000000-0005-0000-0000-00006C390000}"/>
    <cellStyle name="Data Superscript 3 8 5 4" xfId="13134" xr:uid="{00000000-0005-0000-0000-00006D390000}"/>
    <cellStyle name="Data Superscript 3 8 5 4 2" xfId="13135" xr:uid="{00000000-0005-0000-0000-00006E390000}"/>
    <cellStyle name="Data Superscript 3 8 5 5" xfId="13136" xr:uid="{00000000-0005-0000-0000-00006F390000}"/>
    <cellStyle name="Data Superscript 3 8 5 5 2" xfId="13137" xr:uid="{00000000-0005-0000-0000-000070390000}"/>
    <cellStyle name="Data Superscript 3 8 5 6" xfId="13138" xr:uid="{00000000-0005-0000-0000-000071390000}"/>
    <cellStyle name="Data Superscript 3 8 5 6 2" xfId="13139" xr:uid="{00000000-0005-0000-0000-000072390000}"/>
    <cellStyle name="Data Superscript 3 8 5 7" xfId="13140" xr:uid="{00000000-0005-0000-0000-000073390000}"/>
    <cellStyle name="Data Superscript 3 8 5 7 2" xfId="13141" xr:uid="{00000000-0005-0000-0000-000074390000}"/>
    <cellStyle name="Data Superscript 3 8 5 8" xfId="13142" xr:uid="{00000000-0005-0000-0000-000075390000}"/>
    <cellStyle name="Data Superscript 3 8 5 8 2" xfId="13143" xr:uid="{00000000-0005-0000-0000-000076390000}"/>
    <cellStyle name="Data Superscript 3 8 5 9" xfId="13144" xr:uid="{00000000-0005-0000-0000-000077390000}"/>
    <cellStyle name="Data Superscript 3 8 5 9 2" xfId="13145" xr:uid="{00000000-0005-0000-0000-000078390000}"/>
    <cellStyle name="Data Superscript 3 8 6" xfId="13146" xr:uid="{00000000-0005-0000-0000-000079390000}"/>
    <cellStyle name="Data Superscript 3 8 6 10" xfId="13147" xr:uid="{00000000-0005-0000-0000-00007A390000}"/>
    <cellStyle name="Data Superscript 3 8 6 2" xfId="13148" xr:uid="{00000000-0005-0000-0000-00007B390000}"/>
    <cellStyle name="Data Superscript 3 8 6 2 2" xfId="13149" xr:uid="{00000000-0005-0000-0000-00007C390000}"/>
    <cellStyle name="Data Superscript 3 8 6 3" xfId="13150" xr:uid="{00000000-0005-0000-0000-00007D390000}"/>
    <cellStyle name="Data Superscript 3 8 6 3 2" xfId="13151" xr:uid="{00000000-0005-0000-0000-00007E390000}"/>
    <cellStyle name="Data Superscript 3 8 6 4" xfId="13152" xr:uid="{00000000-0005-0000-0000-00007F390000}"/>
    <cellStyle name="Data Superscript 3 8 6 4 2" xfId="13153" xr:uid="{00000000-0005-0000-0000-000080390000}"/>
    <cellStyle name="Data Superscript 3 8 6 5" xfId="13154" xr:uid="{00000000-0005-0000-0000-000081390000}"/>
    <cellStyle name="Data Superscript 3 8 6 5 2" xfId="13155" xr:uid="{00000000-0005-0000-0000-000082390000}"/>
    <cellStyle name="Data Superscript 3 8 6 6" xfId="13156" xr:uid="{00000000-0005-0000-0000-000083390000}"/>
    <cellStyle name="Data Superscript 3 8 6 6 2" xfId="13157" xr:uid="{00000000-0005-0000-0000-000084390000}"/>
    <cellStyle name="Data Superscript 3 8 6 7" xfId="13158" xr:uid="{00000000-0005-0000-0000-000085390000}"/>
    <cellStyle name="Data Superscript 3 8 6 7 2" xfId="13159" xr:uid="{00000000-0005-0000-0000-000086390000}"/>
    <cellStyle name="Data Superscript 3 8 6 8" xfId="13160" xr:uid="{00000000-0005-0000-0000-000087390000}"/>
    <cellStyle name="Data Superscript 3 8 6 8 2" xfId="13161" xr:uid="{00000000-0005-0000-0000-000088390000}"/>
    <cellStyle name="Data Superscript 3 8 6 9" xfId="13162" xr:uid="{00000000-0005-0000-0000-000089390000}"/>
    <cellStyle name="Data Superscript 3 8 6 9 2" xfId="13163" xr:uid="{00000000-0005-0000-0000-00008A390000}"/>
    <cellStyle name="Data Superscript 3 8 7" xfId="13164" xr:uid="{00000000-0005-0000-0000-00008B390000}"/>
    <cellStyle name="Data Superscript 3 8 7 10" xfId="13165" xr:uid="{00000000-0005-0000-0000-00008C390000}"/>
    <cellStyle name="Data Superscript 3 8 7 2" xfId="13166" xr:uid="{00000000-0005-0000-0000-00008D390000}"/>
    <cellStyle name="Data Superscript 3 8 7 2 2" xfId="13167" xr:uid="{00000000-0005-0000-0000-00008E390000}"/>
    <cellStyle name="Data Superscript 3 8 7 3" xfId="13168" xr:uid="{00000000-0005-0000-0000-00008F390000}"/>
    <cellStyle name="Data Superscript 3 8 7 3 2" xfId="13169" xr:uid="{00000000-0005-0000-0000-000090390000}"/>
    <cellStyle name="Data Superscript 3 8 7 4" xfId="13170" xr:uid="{00000000-0005-0000-0000-000091390000}"/>
    <cellStyle name="Data Superscript 3 8 7 4 2" xfId="13171" xr:uid="{00000000-0005-0000-0000-000092390000}"/>
    <cellStyle name="Data Superscript 3 8 7 5" xfId="13172" xr:uid="{00000000-0005-0000-0000-000093390000}"/>
    <cellStyle name="Data Superscript 3 8 7 5 2" xfId="13173" xr:uid="{00000000-0005-0000-0000-000094390000}"/>
    <cellStyle name="Data Superscript 3 8 7 6" xfId="13174" xr:uid="{00000000-0005-0000-0000-000095390000}"/>
    <cellStyle name="Data Superscript 3 8 7 6 2" xfId="13175" xr:uid="{00000000-0005-0000-0000-000096390000}"/>
    <cellStyle name="Data Superscript 3 8 7 7" xfId="13176" xr:uid="{00000000-0005-0000-0000-000097390000}"/>
    <cellStyle name="Data Superscript 3 8 7 7 2" xfId="13177" xr:uid="{00000000-0005-0000-0000-000098390000}"/>
    <cellStyle name="Data Superscript 3 8 7 8" xfId="13178" xr:uid="{00000000-0005-0000-0000-000099390000}"/>
    <cellStyle name="Data Superscript 3 8 7 8 2" xfId="13179" xr:uid="{00000000-0005-0000-0000-00009A390000}"/>
    <cellStyle name="Data Superscript 3 8 7 9" xfId="13180" xr:uid="{00000000-0005-0000-0000-00009B390000}"/>
    <cellStyle name="Data Superscript 3 8 7 9 2" xfId="13181" xr:uid="{00000000-0005-0000-0000-00009C390000}"/>
    <cellStyle name="Data Superscript 3 8 8" xfId="13182" xr:uid="{00000000-0005-0000-0000-00009D390000}"/>
    <cellStyle name="Data Superscript 3 8 8 10" xfId="13183" xr:uid="{00000000-0005-0000-0000-00009E390000}"/>
    <cellStyle name="Data Superscript 3 8 8 2" xfId="13184" xr:uid="{00000000-0005-0000-0000-00009F390000}"/>
    <cellStyle name="Data Superscript 3 8 8 2 2" xfId="13185" xr:uid="{00000000-0005-0000-0000-0000A0390000}"/>
    <cellStyle name="Data Superscript 3 8 8 3" xfId="13186" xr:uid="{00000000-0005-0000-0000-0000A1390000}"/>
    <cellStyle name="Data Superscript 3 8 8 3 2" xfId="13187" xr:uid="{00000000-0005-0000-0000-0000A2390000}"/>
    <cellStyle name="Data Superscript 3 8 8 4" xfId="13188" xr:uid="{00000000-0005-0000-0000-0000A3390000}"/>
    <cellStyle name="Data Superscript 3 8 8 4 2" xfId="13189" xr:uid="{00000000-0005-0000-0000-0000A4390000}"/>
    <cellStyle name="Data Superscript 3 8 8 5" xfId="13190" xr:uid="{00000000-0005-0000-0000-0000A5390000}"/>
    <cellStyle name="Data Superscript 3 8 8 5 2" xfId="13191" xr:uid="{00000000-0005-0000-0000-0000A6390000}"/>
    <cellStyle name="Data Superscript 3 8 8 6" xfId="13192" xr:uid="{00000000-0005-0000-0000-0000A7390000}"/>
    <cellStyle name="Data Superscript 3 8 8 6 2" xfId="13193" xr:uid="{00000000-0005-0000-0000-0000A8390000}"/>
    <cellStyle name="Data Superscript 3 8 8 7" xfId="13194" xr:uid="{00000000-0005-0000-0000-0000A9390000}"/>
    <cellStyle name="Data Superscript 3 8 8 7 2" xfId="13195" xr:uid="{00000000-0005-0000-0000-0000AA390000}"/>
    <cellStyle name="Data Superscript 3 8 8 8" xfId="13196" xr:uid="{00000000-0005-0000-0000-0000AB390000}"/>
    <cellStyle name="Data Superscript 3 8 8 8 2" xfId="13197" xr:uid="{00000000-0005-0000-0000-0000AC390000}"/>
    <cellStyle name="Data Superscript 3 8 8 9" xfId="13198" xr:uid="{00000000-0005-0000-0000-0000AD390000}"/>
    <cellStyle name="Data Superscript 3 8 8 9 2" xfId="13199" xr:uid="{00000000-0005-0000-0000-0000AE390000}"/>
    <cellStyle name="Data Superscript 3 8 9" xfId="13200" xr:uid="{00000000-0005-0000-0000-0000AF390000}"/>
    <cellStyle name="Data Superscript 3 8 9 10" xfId="13201" xr:uid="{00000000-0005-0000-0000-0000B0390000}"/>
    <cellStyle name="Data Superscript 3 8 9 2" xfId="13202" xr:uid="{00000000-0005-0000-0000-0000B1390000}"/>
    <cellStyle name="Data Superscript 3 8 9 2 2" xfId="13203" xr:uid="{00000000-0005-0000-0000-0000B2390000}"/>
    <cellStyle name="Data Superscript 3 8 9 3" xfId="13204" xr:uid="{00000000-0005-0000-0000-0000B3390000}"/>
    <cellStyle name="Data Superscript 3 8 9 3 2" xfId="13205" xr:uid="{00000000-0005-0000-0000-0000B4390000}"/>
    <cellStyle name="Data Superscript 3 8 9 4" xfId="13206" xr:uid="{00000000-0005-0000-0000-0000B5390000}"/>
    <cellStyle name="Data Superscript 3 8 9 4 2" xfId="13207" xr:uid="{00000000-0005-0000-0000-0000B6390000}"/>
    <cellStyle name="Data Superscript 3 8 9 5" xfId="13208" xr:uid="{00000000-0005-0000-0000-0000B7390000}"/>
    <cellStyle name="Data Superscript 3 8 9 5 2" xfId="13209" xr:uid="{00000000-0005-0000-0000-0000B8390000}"/>
    <cellStyle name="Data Superscript 3 8 9 6" xfId="13210" xr:uid="{00000000-0005-0000-0000-0000B9390000}"/>
    <cellStyle name="Data Superscript 3 8 9 6 2" xfId="13211" xr:uid="{00000000-0005-0000-0000-0000BA390000}"/>
    <cellStyle name="Data Superscript 3 8 9 7" xfId="13212" xr:uid="{00000000-0005-0000-0000-0000BB390000}"/>
    <cellStyle name="Data Superscript 3 8 9 7 2" xfId="13213" xr:uid="{00000000-0005-0000-0000-0000BC390000}"/>
    <cellStyle name="Data Superscript 3 8 9 8" xfId="13214" xr:uid="{00000000-0005-0000-0000-0000BD390000}"/>
    <cellStyle name="Data Superscript 3 8 9 8 2" xfId="13215" xr:uid="{00000000-0005-0000-0000-0000BE390000}"/>
    <cellStyle name="Data Superscript 3 8 9 9" xfId="13216" xr:uid="{00000000-0005-0000-0000-0000BF390000}"/>
    <cellStyle name="Data Superscript 3 8 9 9 2" xfId="13217" xr:uid="{00000000-0005-0000-0000-0000C0390000}"/>
    <cellStyle name="Data_1-1A-Regular" xfId="62" xr:uid="{00000000-0005-0000-0000-0000C1390000}"/>
    <cellStyle name="Data-one deci" xfId="63" xr:uid="{00000000-0005-0000-0000-0000C2390000}"/>
    <cellStyle name="Data-one deci 2" xfId="13218" xr:uid="{00000000-0005-0000-0000-0000C3390000}"/>
    <cellStyle name="Data-one deci 2 10" xfId="13219" xr:uid="{00000000-0005-0000-0000-0000C4390000}"/>
    <cellStyle name="Data-one deci 2 10 10" xfId="13220" xr:uid="{00000000-0005-0000-0000-0000C5390000}"/>
    <cellStyle name="Data-one deci 2 10 2" xfId="13221" xr:uid="{00000000-0005-0000-0000-0000C6390000}"/>
    <cellStyle name="Data-one deci 2 10 2 2" xfId="13222" xr:uid="{00000000-0005-0000-0000-0000C7390000}"/>
    <cellStyle name="Data-one deci 2 10 3" xfId="13223" xr:uid="{00000000-0005-0000-0000-0000C8390000}"/>
    <cellStyle name="Data-one deci 2 10 3 2" xfId="13224" xr:uid="{00000000-0005-0000-0000-0000C9390000}"/>
    <cellStyle name="Data-one deci 2 10 4" xfId="13225" xr:uid="{00000000-0005-0000-0000-0000CA390000}"/>
    <cellStyle name="Data-one deci 2 10 4 2" xfId="13226" xr:uid="{00000000-0005-0000-0000-0000CB390000}"/>
    <cellStyle name="Data-one deci 2 10 5" xfId="13227" xr:uid="{00000000-0005-0000-0000-0000CC390000}"/>
    <cellStyle name="Data-one deci 2 10 5 2" xfId="13228" xr:uid="{00000000-0005-0000-0000-0000CD390000}"/>
    <cellStyle name="Data-one deci 2 10 6" xfId="13229" xr:uid="{00000000-0005-0000-0000-0000CE390000}"/>
    <cellStyle name="Data-one deci 2 10 6 2" xfId="13230" xr:uid="{00000000-0005-0000-0000-0000CF390000}"/>
    <cellStyle name="Data-one deci 2 10 7" xfId="13231" xr:uid="{00000000-0005-0000-0000-0000D0390000}"/>
    <cellStyle name="Data-one deci 2 10 7 2" xfId="13232" xr:uid="{00000000-0005-0000-0000-0000D1390000}"/>
    <cellStyle name="Data-one deci 2 10 8" xfId="13233" xr:uid="{00000000-0005-0000-0000-0000D2390000}"/>
    <cellStyle name="Data-one deci 2 10 8 2" xfId="13234" xr:uid="{00000000-0005-0000-0000-0000D3390000}"/>
    <cellStyle name="Data-one deci 2 10 9" xfId="13235" xr:uid="{00000000-0005-0000-0000-0000D4390000}"/>
    <cellStyle name="Data-one deci 2 10 9 2" xfId="13236" xr:uid="{00000000-0005-0000-0000-0000D5390000}"/>
    <cellStyle name="Data-one deci 2 11" xfId="13237" xr:uid="{00000000-0005-0000-0000-0000D6390000}"/>
    <cellStyle name="Data-one deci 2 11 2" xfId="13238" xr:uid="{00000000-0005-0000-0000-0000D7390000}"/>
    <cellStyle name="Data-one deci 2 11 2 2" xfId="13239" xr:uid="{00000000-0005-0000-0000-0000D8390000}"/>
    <cellStyle name="Data-one deci 2 11 3" xfId="13240" xr:uid="{00000000-0005-0000-0000-0000D9390000}"/>
    <cellStyle name="Data-one deci 2 11 3 2" xfId="13241" xr:uid="{00000000-0005-0000-0000-0000DA390000}"/>
    <cellStyle name="Data-one deci 2 11 4" xfId="13242" xr:uid="{00000000-0005-0000-0000-0000DB390000}"/>
    <cellStyle name="Data-one deci 2 11 4 2" xfId="13243" xr:uid="{00000000-0005-0000-0000-0000DC390000}"/>
    <cellStyle name="Data-one deci 2 11 5" xfId="13244" xr:uid="{00000000-0005-0000-0000-0000DD390000}"/>
    <cellStyle name="Data-one deci 2 11 5 2" xfId="13245" xr:uid="{00000000-0005-0000-0000-0000DE390000}"/>
    <cellStyle name="Data-one deci 2 11 6" xfId="13246" xr:uid="{00000000-0005-0000-0000-0000DF390000}"/>
    <cellStyle name="Data-one deci 2 11 6 2" xfId="13247" xr:uid="{00000000-0005-0000-0000-0000E0390000}"/>
    <cellStyle name="Data-one deci 2 11 7" xfId="13248" xr:uid="{00000000-0005-0000-0000-0000E1390000}"/>
    <cellStyle name="Data-one deci 2 11 7 2" xfId="13249" xr:uid="{00000000-0005-0000-0000-0000E2390000}"/>
    <cellStyle name="Data-one deci 2 11 8" xfId="13250" xr:uid="{00000000-0005-0000-0000-0000E3390000}"/>
    <cellStyle name="Data-one deci 2 11 8 2" xfId="13251" xr:uid="{00000000-0005-0000-0000-0000E4390000}"/>
    <cellStyle name="Data-one deci 2 11 9" xfId="13252" xr:uid="{00000000-0005-0000-0000-0000E5390000}"/>
    <cellStyle name="Data-one deci 2 2" xfId="13253" xr:uid="{00000000-0005-0000-0000-0000E6390000}"/>
    <cellStyle name="Data-one deci 2 2 10" xfId="13254" xr:uid="{00000000-0005-0000-0000-0000E7390000}"/>
    <cellStyle name="Data-one deci 2 2 2" xfId="13255" xr:uid="{00000000-0005-0000-0000-0000E8390000}"/>
    <cellStyle name="Data-one deci 2 2 2 2" xfId="13256" xr:uid="{00000000-0005-0000-0000-0000E9390000}"/>
    <cellStyle name="Data-one deci 2 2 3" xfId="13257" xr:uid="{00000000-0005-0000-0000-0000EA390000}"/>
    <cellStyle name="Data-one deci 2 2 3 2" xfId="13258" xr:uid="{00000000-0005-0000-0000-0000EB390000}"/>
    <cellStyle name="Data-one deci 2 2 4" xfId="13259" xr:uid="{00000000-0005-0000-0000-0000EC390000}"/>
    <cellStyle name="Data-one deci 2 2 4 2" xfId="13260" xr:uid="{00000000-0005-0000-0000-0000ED390000}"/>
    <cellStyle name="Data-one deci 2 2 5" xfId="13261" xr:uid="{00000000-0005-0000-0000-0000EE390000}"/>
    <cellStyle name="Data-one deci 2 2 5 2" xfId="13262" xr:uid="{00000000-0005-0000-0000-0000EF390000}"/>
    <cellStyle name="Data-one deci 2 2 6" xfId="13263" xr:uid="{00000000-0005-0000-0000-0000F0390000}"/>
    <cellStyle name="Data-one deci 2 2 6 2" xfId="13264" xr:uid="{00000000-0005-0000-0000-0000F1390000}"/>
    <cellStyle name="Data-one deci 2 2 7" xfId="13265" xr:uid="{00000000-0005-0000-0000-0000F2390000}"/>
    <cellStyle name="Data-one deci 2 2 7 2" xfId="13266" xr:uid="{00000000-0005-0000-0000-0000F3390000}"/>
    <cellStyle name="Data-one deci 2 2 8" xfId="13267" xr:uid="{00000000-0005-0000-0000-0000F4390000}"/>
    <cellStyle name="Data-one deci 2 2 8 2" xfId="13268" xr:uid="{00000000-0005-0000-0000-0000F5390000}"/>
    <cellStyle name="Data-one deci 2 2 9" xfId="13269" xr:uid="{00000000-0005-0000-0000-0000F6390000}"/>
    <cellStyle name="Data-one deci 2 2 9 2" xfId="13270" xr:uid="{00000000-0005-0000-0000-0000F7390000}"/>
    <cellStyle name="Data-one deci 2 3" xfId="13271" xr:uid="{00000000-0005-0000-0000-0000F8390000}"/>
    <cellStyle name="Data-one deci 2 3 10" xfId="13272" xr:uid="{00000000-0005-0000-0000-0000F9390000}"/>
    <cellStyle name="Data-one deci 2 3 2" xfId="13273" xr:uid="{00000000-0005-0000-0000-0000FA390000}"/>
    <cellStyle name="Data-one deci 2 3 2 2" xfId="13274" xr:uid="{00000000-0005-0000-0000-0000FB390000}"/>
    <cellStyle name="Data-one deci 2 3 3" xfId="13275" xr:uid="{00000000-0005-0000-0000-0000FC390000}"/>
    <cellStyle name="Data-one deci 2 3 3 2" xfId="13276" xr:uid="{00000000-0005-0000-0000-0000FD390000}"/>
    <cellStyle name="Data-one deci 2 3 4" xfId="13277" xr:uid="{00000000-0005-0000-0000-0000FE390000}"/>
    <cellStyle name="Data-one deci 2 3 4 2" xfId="13278" xr:uid="{00000000-0005-0000-0000-0000FF390000}"/>
    <cellStyle name="Data-one deci 2 3 5" xfId="13279" xr:uid="{00000000-0005-0000-0000-0000003A0000}"/>
    <cellStyle name="Data-one deci 2 3 5 2" xfId="13280" xr:uid="{00000000-0005-0000-0000-0000013A0000}"/>
    <cellStyle name="Data-one deci 2 3 6" xfId="13281" xr:uid="{00000000-0005-0000-0000-0000023A0000}"/>
    <cellStyle name="Data-one deci 2 3 6 2" xfId="13282" xr:uid="{00000000-0005-0000-0000-0000033A0000}"/>
    <cellStyle name="Data-one deci 2 3 7" xfId="13283" xr:uid="{00000000-0005-0000-0000-0000043A0000}"/>
    <cellStyle name="Data-one deci 2 3 7 2" xfId="13284" xr:uid="{00000000-0005-0000-0000-0000053A0000}"/>
    <cellStyle name="Data-one deci 2 3 8" xfId="13285" xr:uid="{00000000-0005-0000-0000-0000063A0000}"/>
    <cellStyle name="Data-one deci 2 3 8 2" xfId="13286" xr:uid="{00000000-0005-0000-0000-0000073A0000}"/>
    <cellStyle name="Data-one deci 2 3 9" xfId="13287" xr:uid="{00000000-0005-0000-0000-0000083A0000}"/>
    <cellStyle name="Data-one deci 2 3 9 2" xfId="13288" xr:uid="{00000000-0005-0000-0000-0000093A0000}"/>
    <cellStyle name="Data-one deci 2 4" xfId="13289" xr:uid="{00000000-0005-0000-0000-00000A3A0000}"/>
    <cellStyle name="Data-one deci 2 4 10" xfId="13290" xr:uid="{00000000-0005-0000-0000-00000B3A0000}"/>
    <cellStyle name="Data-one deci 2 4 2" xfId="13291" xr:uid="{00000000-0005-0000-0000-00000C3A0000}"/>
    <cellStyle name="Data-one deci 2 4 2 2" xfId="13292" xr:uid="{00000000-0005-0000-0000-00000D3A0000}"/>
    <cellStyle name="Data-one deci 2 4 3" xfId="13293" xr:uid="{00000000-0005-0000-0000-00000E3A0000}"/>
    <cellStyle name="Data-one deci 2 4 3 2" xfId="13294" xr:uid="{00000000-0005-0000-0000-00000F3A0000}"/>
    <cellStyle name="Data-one deci 2 4 4" xfId="13295" xr:uid="{00000000-0005-0000-0000-0000103A0000}"/>
    <cellStyle name="Data-one deci 2 4 4 2" xfId="13296" xr:uid="{00000000-0005-0000-0000-0000113A0000}"/>
    <cellStyle name="Data-one deci 2 4 5" xfId="13297" xr:uid="{00000000-0005-0000-0000-0000123A0000}"/>
    <cellStyle name="Data-one deci 2 4 5 2" xfId="13298" xr:uid="{00000000-0005-0000-0000-0000133A0000}"/>
    <cellStyle name="Data-one deci 2 4 6" xfId="13299" xr:uid="{00000000-0005-0000-0000-0000143A0000}"/>
    <cellStyle name="Data-one deci 2 4 6 2" xfId="13300" xr:uid="{00000000-0005-0000-0000-0000153A0000}"/>
    <cellStyle name="Data-one deci 2 4 7" xfId="13301" xr:uid="{00000000-0005-0000-0000-0000163A0000}"/>
    <cellStyle name="Data-one deci 2 4 7 2" xfId="13302" xr:uid="{00000000-0005-0000-0000-0000173A0000}"/>
    <cellStyle name="Data-one deci 2 4 8" xfId="13303" xr:uid="{00000000-0005-0000-0000-0000183A0000}"/>
    <cellStyle name="Data-one deci 2 4 8 2" xfId="13304" xr:uid="{00000000-0005-0000-0000-0000193A0000}"/>
    <cellStyle name="Data-one deci 2 4 9" xfId="13305" xr:uid="{00000000-0005-0000-0000-00001A3A0000}"/>
    <cellStyle name="Data-one deci 2 4 9 2" xfId="13306" xr:uid="{00000000-0005-0000-0000-00001B3A0000}"/>
    <cellStyle name="Data-one deci 2 5" xfId="13307" xr:uid="{00000000-0005-0000-0000-00001C3A0000}"/>
    <cellStyle name="Data-one deci 2 5 10" xfId="13308" xr:uid="{00000000-0005-0000-0000-00001D3A0000}"/>
    <cellStyle name="Data-one deci 2 5 2" xfId="13309" xr:uid="{00000000-0005-0000-0000-00001E3A0000}"/>
    <cellStyle name="Data-one deci 2 5 2 2" xfId="13310" xr:uid="{00000000-0005-0000-0000-00001F3A0000}"/>
    <cellStyle name="Data-one deci 2 5 3" xfId="13311" xr:uid="{00000000-0005-0000-0000-0000203A0000}"/>
    <cellStyle name="Data-one deci 2 5 3 2" xfId="13312" xr:uid="{00000000-0005-0000-0000-0000213A0000}"/>
    <cellStyle name="Data-one deci 2 5 4" xfId="13313" xr:uid="{00000000-0005-0000-0000-0000223A0000}"/>
    <cellStyle name="Data-one deci 2 5 4 2" xfId="13314" xr:uid="{00000000-0005-0000-0000-0000233A0000}"/>
    <cellStyle name="Data-one deci 2 5 5" xfId="13315" xr:uid="{00000000-0005-0000-0000-0000243A0000}"/>
    <cellStyle name="Data-one deci 2 5 5 2" xfId="13316" xr:uid="{00000000-0005-0000-0000-0000253A0000}"/>
    <cellStyle name="Data-one deci 2 5 6" xfId="13317" xr:uid="{00000000-0005-0000-0000-0000263A0000}"/>
    <cellStyle name="Data-one deci 2 5 6 2" xfId="13318" xr:uid="{00000000-0005-0000-0000-0000273A0000}"/>
    <cellStyle name="Data-one deci 2 5 7" xfId="13319" xr:uid="{00000000-0005-0000-0000-0000283A0000}"/>
    <cellStyle name="Data-one deci 2 5 7 2" xfId="13320" xr:uid="{00000000-0005-0000-0000-0000293A0000}"/>
    <cellStyle name="Data-one deci 2 5 8" xfId="13321" xr:uid="{00000000-0005-0000-0000-00002A3A0000}"/>
    <cellStyle name="Data-one deci 2 5 8 2" xfId="13322" xr:uid="{00000000-0005-0000-0000-00002B3A0000}"/>
    <cellStyle name="Data-one deci 2 5 9" xfId="13323" xr:uid="{00000000-0005-0000-0000-00002C3A0000}"/>
    <cellStyle name="Data-one deci 2 5 9 2" xfId="13324" xr:uid="{00000000-0005-0000-0000-00002D3A0000}"/>
    <cellStyle name="Data-one deci 2 6" xfId="13325" xr:uid="{00000000-0005-0000-0000-00002E3A0000}"/>
    <cellStyle name="Data-one deci 2 6 10" xfId="13326" xr:uid="{00000000-0005-0000-0000-00002F3A0000}"/>
    <cellStyle name="Data-one deci 2 6 2" xfId="13327" xr:uid="{00000000-0005-0000-0000-0000303A0000}"/>
    <cellStyle name="Data-one deci 2 6 2 2" xfId="13328" xr:uid="{00000000-0005-0000-0000-0000313A0000}"/>
    <cellStyle name="Data-one deci 2 6 3" xfId="13329" xr:uid="{00000000-0005-0000-0000-0000323A0000}"/>
    <cellStyle name="Data-one deci 2 6 3 2" xfId="13330" xr:uid="{00000000-0005-0000-0000-0000333A0000}"/>
    <cellStyle name="Data-one deci 2 6 4" xfId="13331" xr:uid="{00000000-0005-0000-0000-0000343A0000}"/>
    <cellStyle name="Data-one deci 2 6 4 2" xfId="13332" xr:uid="{00000000-0005-0000-0000-0000353A0000}"/>
    <cellStyle name="Data-one deci 2 6 5" xfId="13333" xr:uid="{00000000-0005-0000-0000-0000363A0000}"/>
    <cellStyle name="Data-one deci 2 6 5 2" xfId="13334" xr:uid="{00000000-0005-0000-0000-0000373A0000}"/>
    <cellStyle name="Data-one deci 2 6 6" xfId="13335" xr:uid="{00000000-0005-0000-0000-0000383A0000}"/>
    <cellStyle name="Data-one deci 2 6 6 2" xfId="13336" xr:uid="{00000000-0005-0000-0000-0000393A0000}"/>
    <cellStyle name="Data-one deci 2 6 7" xfId="13337" xr:uid="{00000000-0005-0000-0000-00003A3A0000}"/>
    <cellStyle name="Data-one deci 2 6 7 2" xfId="13338" xr:uid="{00000000-0005-0000-0000-00003B3A0000}"/>
    <cellStyle name="Data-one deci 2 6 8" xfId="13339" xr:uid="{00000000-0005-0000-0000-00003C3A0000}"/>
    <cellStyle name="Data-one deci 2 6 8 2" xfId="13340" xr:uid="{00000000-0005-0000-0000-00003D3A0000}"/>
    <cellStyle name="Data-one deci 2 6 9" xfId="13341" xr:uid="{00000000-0005-0000-0000-00003E3A0000}"/>
    <cellStyle name="Data-one deci 2 6 9 2" xfId="13342" xr:uid="{00000000-0005-0000-0000-00003F3A0000}"/>
    <cellStyle name="Data-one deci 2 7" xfId="13343" xr:uid="{00000000-0005-0000-0000-0000403A0000}"/>
    <cellStyle name="Data-one deci 2 7 10" xfId="13344" xr:uid="{00000000-0005-0000-0000-0000413A0000}"/>
    <cellStyle name="Data-one deci 2 7 2" xfId="13345" xr:uid="{00000000-0005-0000-0000-0000423A0000}"/>
    <cellStyle name="Data-one deci 2 7 2 2" xfId="13346" xr:uid="{00000000-0005-0000-0000-0000433A0000}"/>
    <cellStyle name="Data-one deci 2 7 3" xfId="13347" xr:uid="{00000000-0005-0000-0000-0000443A0000}"/>
    <cellStyle name="Data-one deci 2 7 3 2" xfId="13348" xr:uid="{00000000-0005-0000-0000-0000453A0000}"/>
    <cellStyle name="Data-one deci 2 7 4" xfId="13349" xr:uid="{00000000-0005-0000-0000-0000463A0000}"/>
    <cellStyle name="Data-one deci 2 7 4 2" xfId="13350" xr:uid="{00000000-0005-0000-0000-0000473A0000}"/>
    <cellStyle name="Data-one deci 2 7 5" xfId="13351" xr:uid="{00000000-0005-0000-0000-0000483A0000}"/>
    <cellStyle name="Data-one deci 2 7 5 2" xfId="13352" xr:uid="{00000000-0005-0000-0000-0000493A0000}"/>
    <cellStyle name="Data-one deci 2 7 6" xfId="13353" xr:uid="{00000000-0005-0000-0000-00004A3A0000}"/>
    <cellStyle name="Data-one deci 2 7 6 2" xfId="13354" xr:uid="{00000000-0005-0000-0000-00004B3A0000}"/>
    <cellStyle name="Data-one deci 2 7 7" xfId="13355" xr:uid="{00000000-0005-0000-0000-00004C3A0000}"/>
    <cellStyle name="Data-one deci 2 7 7 2" xfId="13356" xr:uid="{00000000-0005-0000-0000-00004D3A0000}"/>
    <cellStyle name="Data-one deci 2 7 8" xfId="13357" xr:uid="{00000000-0005-0000-0000-00004E3A0000}"/>
    <cellStyle name="Data-one deci 2 7 8 2" xfId="13358" xr:uid="{00000000-0005-0000-0000-00004F3A0000}"/>
    <cellStyle name="Data-one deci 2 7 9" xfId="13359" xr:uid="{00000000-0005-0000-0000-0000503A0000}"/>
    <cellStyle name="Data-one deci 2 7 9 2" xfId="13360" xr:uid="{00000000-0005-0000-0000-0000513A0000}"/>
    <cellStyle name="Data-one deci 2 8" xfId="13361" xr:uid="{00000000-0005-0000-0000-0000523A0000}"/>
    <cellStyle name="Data-one deci 2 8 10" xfId="13362" xr:uid="{00000000-0005-0000-0000-0000533A0000}"/>
    <cellStyle name="Data-one deci 2 8 2" xfId="13363" xr:uid="{00000000-0005-0000-0000-0000543A0000}"/>
    <cellStyle name="Data-one deci 2 8 2 2" xfId="13364" xr:uid="{00000000-0005-0000-0000-0000553A0000}"/>
    <cellStyle name="Data-one deci 2 8 3" xfId="13365" xr:uid="{00000000-0005-0000-0000-0000563A0000}"/>
    <cellStyle name="Data-one deci 2 8 3 2" xfId="13366" xr:uid="{00000000-0005-0000-0000-0000573A0000}"/>
    <cellStyle name="Data-one deci 2 8 4" xfId="13367" xr:uid="{00000000-0005-0000-0000-0000583A0000}"/>
    <cellStyle name="Data-one deci 2 8 4 2" xfId="13368" xr:uid="{00000000-0005-0000-0000-0000593A0000}"/>
    <cellStyle name="Data-one deci 2 8 5" xfId="13369" xr:uid="{00000000-0005-0000-0000-00005A3A0000}"/>
    <cellStyle name="Data-one deci 2 8 5 2" xfId="13370" xr:uid="{00000000-0005-0000-0000-00005B3A0000}"/>
    <cellStyle name="Data-one deci 2 8 6" xfId="13371" xr:uid="{00000000-0005-0000-0000-00005C3A0000}"/>
    <cellStyle name="Data-one deci 2 8 6 2" xfId="13372" xr:uid="{00000000-0005-0000-0000-00005D3A0000}"/>
    <cellStyle name="Data-one deci 2 8 7" xfId="13373" xr:uid="{00000000-0005-0000-0000-00005E3A0000}"/>
    <cellStyle name="Data-one deci 2 8 7 2" xfId="13374" xr:uid="{00000000-0005-0000-0000-00005F3A0000}"/>
    <cellStyle name="Data-one deci 2 8 8" xfId="13375" xr:uid="{00000000-0005-0000-0000-0000603A0000}"/>
    <cellStyle name="Data-one deci 2 8 8 2" xfId="13376" xr:uid="{00000000-0005-0000-0000-0000613A0000}"/>
    <cellStyle name="Data-one deci 2 8 9" xfId="13377" xr:uid="{00000000-0005-0000-0000-0000623A0000}"/>
    <cellStyle name="Data-one deci 2 8 9 2" xfId="13378" xr:uid="{00000000-0005-0000-0000-0000633A0000}"/>
    <cellStyle name="Data-one deci 2 9" xfId="13379" xr:uid="{00000000-0005-0000-0000-0000643A0000}"/>
    <cellStyle name="Data-one deci 2 9 10" xfId="13380" xr:uid="{00000000-0005-0000-0000-0000653A0000}"/>
    <cellStyle name="Data-one deci 2 9 2" xfId="13381" xr:uid="{00000000-0005-0000-0000-0000663A0000}"/>
    <cellStyle name="Data-one deci 2 9 2 2" xfId="13382" xr:uid="{00000000-0005-0000-0000-0000673A0000}"/>
    <cellStyle name="Data-one deci 2 9 3" xfId="13383" xr:uid="{00000000-0005-0000-0000-0000683A0000}"/>
    <cellStyle name="Data-one deci 2 9 3 2" xfId="13384" xr:uid="{00000000-0005-0000-0000-0000693A0000}"/>
    <cellStyle name="Data-one deci 2 9 4" xfId="13385" xr:uid="{00000000-0005-0000-0000-00006A3A0000}"/>
    <cellStyle name="Data-one deci 2 9 4 2" xfId="13386" xr:uid="{00000000-0005-0000-0000-00006B3A0000}"/>
    <cellStyle name="Data-one deci 2 9 5" xfId="13387" xr:uid="{00000000-0005-0000-0000-00006C3A0000}"/>
    <cellStyle name="Data-one deci 2 9 5 2" xfId="13388" xr:uid="{00000000-0005-0000-0000-00006D3A0000}"/>
    <cellStyle name="Data-one deci 2 9 6" xfId="13389" xr:uid="{00000000-0005-0000-0000-00006E3A0000}"/>
    <cellStyle name="Data-one deci 2 9 6 2" xfId="13390" xr:uid="{00000000-0005-0000-0000-00006F3A0000}"/>
    <cellStyle name="Data-one deci 2 9 7" xfId="13391" xr:uid="{00000000-0005-0000-0000-0000703A0000}"/>
    <cellStyle name="Data-one deci 2 9 7 2" xfId="13392" xr:uid="{00000000-0005-0000-0000-0000713A0000}"/>
    <cellStyle name="Data-one deci 2 9 8" xfId="13393" xr:uid="{00000000-0005-0000-0000-0000723A0000}"/>
    <cellStyle name="Data-one deci 2 9 8 2" xfId="13394" xr:uid="{00000000-0005-0000-0000-0000733A0000}"/>
    <cellStyle name="Data-one deci 2 9 9" xfId="13395" xr:uid="{00000000-0005-0000-0000-0000743A0000}"/>
    <cellStyle name="Data-one deci 2 9 9 2" xfId="13396" xr:uid="{00000000-0005-0000-0000-0000753A0000}"/>
    <cellStyle name="Data-one deci 3" xfId="13397" xr:uid="{00000000-0005-0000-0000-0000763A0000}"/>
    <cellStyle name="Data-one deci 3 10" xfId="13398" xr:uid="{00000000-0005-0000-0000-0000773A0000}"/>
    <cellStyle name="Data-one deci 3 10 2" xfId="13399" xr:uid="{00000000-0005-0000-0000-0000783A0000}"/>
    <cellStyle name="Data-one deci 3 10 2 2" xfId="13400" xr:uid="{00000000-0005-0000-0000-0000793A0000}"/>
    <cellStyle name="Data-one deci 3 10 3" xfId="13401" xr:uid="{00000000-0005-0000-0000-00007A3A0000}"/>
    <cellStyle name="Data-one deci 3 10 3 2" xfId="13402" xr:uid="{00000000-0005-0000-0000-00007B3A0000}"/>
    <cellStyle name="Data-one deci 3 10 4" xfId="13403" xr:uid="{00000000-0005-0000-0000-00007C3A0000}"/>
    <cellStyle name="Data-one deci 3 10 4 2" xfId="13404" xr:uid="{00000000-0005-0000-0000-00007D3A0000}"/>
    <cellStyle name="Data-one deci 3 10 5" xfId="13405" xr:uid="{00000000-0005-0000-0000-00007E3A0000}"/>
    <cellStyle name="Data-one deci 3 10 5 2" xfId="13406" xr:uid="{00000000-0005-0000-0000-00007F3A0000}"/>
    <cellStyle name="Data-one deci 3 10 6" xfId="13407" xr:uid="{00000000-0005-0000-0000-0000803A0000}"/>
    <cellStyle name="Data-one deci 3 10 6 2" xfId="13408" xr:uid="{00000000-0005-0000-0000-0000813A0000}"/>
    <cellStyle name="Data-one deci 3 10 7" xfId="13409" xr:uid="{00000000-0005-0000-0000-0000823A0000}"/>
    <cellStyle name="Data-one deci 3 10 7 2" xfId="13410" xr:uid="{00000000-0005-0000-0000-0000833A0000}"/>
    <cellStyle name="Data-one deci 3 10 8" xfId="13411" xr:uid="{00000000-0005-0000-0000-0000843A0000}"/>
    <cellStyle name="Data-one deci 3 10 8 2" xfId="13412" xr:uid="{00000000-0005-0000-0000-0000853A0000}"/>
    <cellStyle name="Data-one deci 3 10 9" xfId="13413" xr:uid="{00000000-0005-0000-0000-0000863A0000}"/>
    <cellStyle name="Data-one deci 3 11" xfId="13414" xr:uid="{00000000-0005-0000-0000-0000873A0000}"/>
    <cellStyle name="Data-one deci 3 11 2" xfId="13415" xr:uid="{00000000-0005-0000-0000-0000883A0000}"/>
    <cellStyle name="Data-one deci 3 12" xfId="13416" xr:uid="{00000000-0005-0000-0000-0000893A0000}"/>
    <cellStyle name="Data-one deci 3 12 2" xfId="13417" xr:uid="{00000000-0005-0000-0000-00008A3A0000}"/>
    <cellStyle name="Data-one deci 3 13" xfId="13418" xr:uid="{00000000-0005-0000-0000-00008B3A0000}"/>
    <cellStyle name="Data-one deci 3 13 2" xfId="13419" xr:uid="{00000000-0005-0000-0000-00008C3A0000}"/>
    <cellStyle name="Data-one deci 3 14" xfId="13420" xr:uid="{00000000-0005-0000-0000-00008D3A0000}"/>
    <cellStyle name="Data-one deci 3 14 2" xfId="13421" xr:uid="{00000000-0005-0000-0000-00008E3A0000}"/>
    <cellStyle name="Data-one deci 3 15" xfId="13422" xr:uid="{00000000-0005-0000-0000-00008F3A0000}"/>
    <cellStyle name="Data-one deci 3 15 2" xfId="13423" xr:uid="{00000000-0005-0000-0000-0000903A0000}"/>
    <cellStyle name="Data-one deci 3 16" xfId="13424" xr:uid="{00000000-0005-0000-0000-0000913A0000}"/>
    <cellStyle name="Data-one deci 3 16 2" xfId="13425" xr:uid="{00000000-0005-0000-0000-0000923A0000}"/>
    <cellStyle name="Data-one deci 3 17" xfId="13426" xr:uid="{00000000-0005-0000-0000-0000933A0000}"/>
    <cellStyle name="Data-one deci 3 17 2" xfId="13427" xr:uid="{00000000-0005-0000-0000-0000943A0000}"/>
    <cellStyle name="Data-one deci 3 18" xfId="13428" xr:uid="{00000000-0005-0000-0000-0000953A0000}"/>
    <cellStyle name="Data-one deci 3 2" xfId="13429" xr:uid="{00000000-0005-0000-0000-0000963A0000}"/>
    <cellStyle name="Data-one deci 3 2 10" xfId="13430" xr:uid="{00000000-0005-0000-0000-0000973A0000}"/>
    <cellStyle name="Data-one deci 3 2 2" xfId="13431" xr:uid="{00000000-0005-0000-0000-0000983A0000}"/>
    <cellStyle name="Data-one deci 3 2 2 2" xfId="13432" xr:uid="{00000000-0005-0000-0000-0000993A0000}"/>
    <cellStyle name="Data-one deci 3 2 3" xfId="13433" xr:uid="{00000000-0005-0000-0000-00009A3A0000}"/>
    <cellStyle name="Data-one deci 3 2 3 2" xfId="13434" xr:uid="{00000000-0005-0000-0000-00009B3A0000}"/>
    <cellStyle name="Data-one deci 3 2 4" xfId="13435" xr:uid="{00000000-0005-0000-0000-00009C3A0000}"/>
    <cellStyle name="Data-one deci 3 2 4 2" xfId="13436" xr:uid="{00000000-0005-0000-0000-00009D3A0000}"/>
    <cellStyle name="Data-one deci 3 2 5" xfId="13437" xr:uid="{00000000-0005-0000-0000-00009E3A0000}"/>
    <cellStyle name="Data-one deci 3 2 5 2" xfId="13438" xr:uid="{00000000-0005-0000-0000-00009F3A0000}"/>
    <cellStyle name="Data-one deci 3 2 6" xfId="13439" xr:uid="{00000000-0005-0000-0000-0000A03A0000}"/>
    <cellStyle name="Data-one deci 3 2 6 2" xfId="13440" xr:uid="{00000000-0005-0000-0000-0000A13A0000}"/>
    <cellStyle name="Data-one deci 3 2 7" xfId="13441" xr:uid="{00000000-0005-0000-0000-0000A23A0000}"/>
    <cellStyle name="Data-one deci 3 2 7 2" xfId="13442" xr:uid="{00000000-0005-0000-0000-0000A33A0000}"/>
    <cellStyle name="Data-one deci 3 2 8" xfId="13443" xr:uid="{00000000-0005-0000-0000-0000A43A0000}"/>
    <cellStyle name="Data-one deci 3 2 8 2" xfId="13444" xr:uid="{00000000-0005-0000-0000-0000A53A0000}"/>
    <cellStyle name="Data-one deci 3 2 9" xfId="13445" xr:uid="{00000000-0005-0000-0000-0000A63A0000}"/>
    <cellStyle name="Data-one deci 3 2 9 2" xfId="13446" xr:uid="{00000000-0005-0000-0000-0000A73A0000}"/>
    <cellStyle name="Data-one deci 3 3" xfId="13447" xr:uid="{00000000-0005-0000-0000-0000A83A0000}"/>
    <cellStyle name="Data-one deci 3 3 10" xfId="13448" xr:uid="{00000000-0005-0000-0000-0000A93A0000}"/>
    <cellStyle name="Data-one deci 3 3 2" xfId="13449" xr:uid="{00000000-0005-0000-0000-0000AA3A0000}"/>
    <cellStyle name="Data-one deci 3 3 2 2" xfId="13450" xr:uid="{00000000-0005-0000-0000-0000AB3A0000}"/>
    <cellStyle name="Data-one deci 3 3 3" xfId="13451" xr:uid="{00000000-0005-0000-0000-0000AC3A0000}"/>
    <cellStyle name="Data-one deci 3 3 3 2" xfId="13452" xr:uid="{00000000-0005-0000-0000-0000AD3A0000}"/>
    <cellStyle name="Data-one deci 3 3 4" xfId="13453" xr:uid="{00000000-0005-0000-0000-0000AE3A0000}"/>
    <cellStyle name="Data-one deci 3 3 4 2" xfId="13454" xr:uid="{00000000-0005-0000-0000-0000AF3A0000}"/>
    <cellStyle name="Data-one deci 3 3 5" xfId="13455" xr:uid="{00000000-0005-0000-0000-0000B03A0000}"/>
    <cellStyle name="Data-one deci 3 3 5 2" xfId="13456" xr:uid="{00000000-0005-0000-0000-0000B13A0000}"/>
    <cellStyle name="Data-one deci 3 3 6" xfId="13457" xr:uid="{00000000-0005-0000-0000-0000B23A0000}"/>
    <cellStyle name="Data-one deci 3 3 6 2" xfId="13458" xr:uid="{00000000-0005-0000-0000-0000B33A0000}"/>
    <cellStyle name="Data-one deci 3 3 7" xfId="13459" xr:uid="{00000000-0005-0000-0000-0000B43A0000}"/>
    <cellStyle name="Data-one deci 3 3 7 2" xfId="13460" xr:uid="{00000000-0005-0000-0000-0000B53A0000}"/>
    <cellStyle name="Data-one deci 3 3 8" xfId="13461" xr:uid="{00000000-0005-0000-0000-0000B63A0000}"/>
    <cellStyle name="Data-one deci 3 3 8 2" xfId="13462" xr:uid="{00000000-0005-0000-0000-0000B73A0000}"/>
    <cellStyle name="Data-one deci 3 3 9" xfId="13463" xr:uid="{00000000-0005-0000-0000-0000B83A0000}"/>
    <cellStyle name="Data-one deci 3 3 9 2" xfId="13464" xr:uid="{00000000-0005-0000-0000-0000B93A0000}"/>
    <cellStyle name="Data-one deci 3 4" xfId="13465" xr:uid="{00000000-0005-0000-0000-0000BA3A0000}"/>
    <cellStyle name="Data-one deci 3 4 10" xfId="13466" xr:uid="{00000000-0005-0000-0000-0000BB3A0000}"/>
    <cellStyle name="Data-one deci 3 4 2" xfId="13467" xr:uid="{00000000-0005-0000-0000-0000BC3A0000}"/>
    <cellStyle name="Data-one deci 3 4 2 2" xfId="13468" xr:uid="{00000000-0005-0000-0000-0000BD3A0000}"/>
    <cellStyle name="Data-one deci 3 4 3" xfId="13469" xr:uid="{00000000-0005-0000-0000-0000BE3A0000}"/>
    <cellStyle name="Data-one deci 3 4 3 2" xfId="13470" xr:uid="{00000000-0005-0000-0000-0000BF3A0000}"/>
    <cellStyle name="Data-one deci 3 4 4" xfId="13471" xr:uid="{00000000-0005-0000-0000-0000C03A0000}"/>
    <cellStyle name="Data-one deci 3 4 4 2" xfId="13472" xr:uid="{00000000-0005-0000-0000-0000C13A0000}"/>
    <cellStyle name="Data-one deci 3 4 5" xfId="13473" xr:uid="{00000000-0005-0000-0000-0000C23A0000}"/>
    <cellStyle name="Data-one deci 3 4 5 2" xfId="13474" xr:uid="{00000000-0005-0000-0000-0000C33A0000}"/>
    <cellStyle name="Data-one deci 3 4 6" xfId="13475" xr:uid="{00000000-0005-0000-0000-0000C43A0000}"/>
    <cellStyle name="Data-one deci 3 4 6 2" xfId="13476" xr:uid="{00000000-0005-0000-0000-0000C53A0000}"/>
    <cellStyle name="Data-one deci 3 4 7" xfId="13477" xr:uid="{00000000-0005-0000-0000-0000C63A0000}"/>
    <cellStyle name="Data-one deci 3 4 7 2" xfId="13478" xr:uid="{00000000-0005-0000-0000-0000C73A0000}"/>
    <cellStyle name="Data-one deci 3 4 8" xfId="13479" xr:uid="{00000000-0005-0000-0000-0000C83A0000}"/>
    <cellStyle name="Data-one deci 3 4 8 2" xfId="13480" xr:uid="{00000000-0005-0000-0000-0000C93A0000}"/>
    <cellStyle name="Data-one deci 3 4 9" xfId="13481" xr:uid="{00000000-0005-0000-0000-0000CA3A0000}"/>
    <cellStyle name="Data-one deci 3 4 9 2" xfId="13482" xr:uid="{00000000-0005-0000-0000-0000CB3A0000}"/>
    <cellStyle name="Data-one deci 3 5" xfId="13483" xr:uid="{00000000-0005-0000-0000-0000CC3A0000}"/>
    <cellStyle name="Data-one deci 3 5 10" xfId="13484" xr:uid="{00000000-0005-0000-0000-0000CD3A0000}"/>
    <cellStyle name="Data-one deci 3 5 2" xfId="13485" xr:uid="{00000000-0005-0000-0000-0000CE3A0000}"/>
    <cellStyle name="Data-one deci 3 5 2 2" xfId="13486" xr:uid="{00000000-0005-0000-0000-0000CF3A0000}"/>
    <cellStyle name="Data-one deci 3 5 3" xfId="13487" xr:uid="{00000000-0005-0000-0000-0000D03A0000}"/>
    <cellStyle name="Data-one deci 3 5 3 2" xfId="13488" xr:uid="{00000000-0005-0000-0000-0000D13A0000}"/>
    <cellStyle name="Data-one deci 3 5 4" xfId="13489" xr:uid="{00000000-0005-0000-0000-0000D23A0000}"/>
    <cellStyle name="Data-one deci 3 5 4 2" xfId="13490" xr:uid="{00000000-0005-0000-0000-0000D33A0000}"/>
    <cellStyle name="Data-one deci 3 5 5" xfId="13491" xr:uid="{00000000-0005-0000-0000-0000D43A0000}"/>
    <cellStyle name="Data-one deci 3 5 5 2" xfId="13492" xr:uid="{00000000-0005-0000-0000-0000D53A0000}"/>
    <cellStyle name="Data-one deci 3 5 6" xfId="13493" xr:uid="{00000000-0005-0000-0000-0000D63A0000}"/>
    <cellStyle name="Data-one deci 3 5 6 2" xfId="13494" xr:uid="{00000000-0005-0000-0000-0000D73A0000}"/>
    <cellStyle name="Data-one deci 3 5 7" xfId="13495" xr:uid="{00000000-0005-0000-0000-0000D83A0000}"/>
    <cellStyle name="Data-one deci 3 5 7 2" xfId="13496" xr:uid="{00000000-0005-0000-0000-0000D93A0000}"/>
    <cellStyle name="Data-one deci 3 5 8" xfId="13497" xr:uid="{00000000-0005-0000-0000-0000DA3A0000}"/>
    <cellStyle name="Data-one deci 3 5 8 2" xfId="13498" xr:uid="{00000000-0005-0000-0000-0000DB3A0000}"/>
    <cellStyle name="Data-one deci 3 5 9" xfId="13499" xr:uid="{00000000-0005-0000-0000-0000DC3A0000}"/>
    <cellStyle name="Data-one deci 3 5 9 2" xfId="13500" xr:uid="{00000000-0005-0000-0000-0000DD3A0000}"/>
    <cellStyle name="Data-one deci 3 6" xfId="13501" xr:uid="{00000000-0005-0000-0000-0000DE3A0000}"/>
    <cellStyle name="Data-one deci 3 6 10" xfId="13502" xr:uid="{00000000-0005-0000-0000-0000DF3A0000}"/>
    <cellStyle name="Data-one deci 3 6 2" xfId="13503" xr:uid="{00000000-0005-0000-0000-0000E03A0000}"/>
    <cellStyle name="Data-one deci 3 6 2 2" xfId="13504" xr:uid="{00000000-0005-0000-0000-0000E13A0000}"/>
    <cellStyle name="Data-one deci 3 6 3" xfId="13505" xr:uid="{00000000-0005-0000-0000-0000E23A0000}"/>
    <cellStyle name="Data-one deci 3 6 3 2" xfId="13506" xr:uid="{00000000-0005-0000-0000-0000E33A0000}"/>
    <cellStyle name="Data-one deci 3 6 4" xfId="13507" xr:uid="{00000000-0005-0000-0000-0000E43A0000}"/>
    <cellStyle name="Data-one deci 3 6 4 2" xfId="13508" xr:uid="{00000000-0005-0000-0000-0000E53A0000}"/>
    <cellStyle name="Data-one deci 3 6 5" xfId="13509" xr:uid="{00000000-0005-0000-0000-0000E63A0000}"/>
    <cellStyle name="Data-one deci 3 6 5 2" xfId="13510" xr:uid="{00000000-0005-0000-0000-0000E73A0000}"/>
    <cellStyle name="Data-one deci 3 6 6" xfId="13511" xr:uid="{00000000-0005-0000-0000-0000E83A0000}"/>
    <cellStyle name="Data-one deci 3 6 6 2" xfId="13512" xr:uid="{00000000-0005-0000-0000-0000E93A0000}"/>
    <cellStyle name="Data-one deci 3 6 7" xfId="13513" xr:uid="{00000000-0005-0000-0000-0000EA3A0000}"/>
    <cellStyle name="Data-one deci 3 6 7 2" xfId="13514" xr:uid="{00000000-0005-0000-0000-0000EB3A0000}"/>
    <cellStyle name="Data-one deci 3 6 8" xfId="13515" xr:uid="{00000000-0005-0000-0000-0000EC3A0000}"/>
    <cellStyle name="Data-one deci 3 6 8 2" xfId="13516" xr:uid="{00000000-0005-0000-0000-0000ED3A0000}"/>
    <cellStyle name="Data-one deci 3 6 9" xfId="13517" xr:uid="{00000000-0005-0000-0000-0000EE3A0000}"/>
    <cellStyle name="Data-one deci 3 6 9 2" xfId="13518" xr:uid="{00000000-0005-0000-0000-0000EF3A0000}"/>
    <cellStyle name="Data-one deci 3 7" xfId="13519" xr:uid="{00000000-0005-0000-0000-0000F03A0000}"/>
    <cellStyle name="Data-one deci 3 7 10" xfId="13520" xr:uid="{00000000-0005-0000-0000-0000F13A0000}"/>
    <cellStyle name="Data-one deci 3 7 2" xfId="13521" xr:uid="{00000000-0005-0000-0000-0000F23A0000}"/>
    <cellStyle name="Data-one deci 3 7 2 2" xfId="13522" xr:uid="{00000000-0005-0000-0000-0000F33A0000}"/>
    <cellStyle name="Data-one deci 3 7 3" xfId="13523" xr:uid="{00000000-0005-0000-0000-0000F43A0000}"/>
    <cellStyle name="Data-one deci 3 7 3 2" xfId="13524" xr:uid="{00000000-0005-0000-0000-0000F53A0000}"/>
    <cellStyle name="Data-one deci 3 7 4" xfId="13525" xr:uid="{00000000-0005-0000-0000-0000F63A0000}"/>
    <cellStyle name="Data-one deci 3 7 4 2" xfId="13526" xr:uid="{00000000-0005-0000-0000-0000F73A0000}"/>
    <cellStyle name="Data-one deci 3 7 5" xfId="13527" xr:uid="{00000000-0005-0000-0000-0000F83A0000}"/>
    <cellStyle name="Data-one deci 3 7 5 2" xfId="13528" xr:uid="{00000000-0005-0000-0000-0000F93A0000}"/>
    <cellStyle name="Data-one deci 3 7 6" xfId="13529" xr:uid="{00000000-0005-0000-0000-0000FA3A0000}"/>
    <cellStyle name="Data-one deci 3 7 6 2" xfId="13530" xr:uid="{00000000-0005-0000-0000-0000FB3A0000}"/>
    <cellStyle name="Data-one deci 3 7 7" xfId="13531" xr:uid="{00000000-0005-0000-0000-0000FC3A0000}"/>
    <cellStyle name="Data-one deci 3 7 7 2" xfId="13532" xr:uid="{00000000-0005-0000-0000-0000FD3A0000}"/>
    <cellStyle name="Data-one deci 3 7 8" xfId="13533" xr:uid="{00000000-0005-0000-0000-0000FE3A0000}"/>
    <cellStyle name="Data-one deci 3 7 8 2" xfId="13534" xr:uid="{00000000-0005-0000-0000-0000FF3A0000}"/>
    <cellStyle name="Data-one deci 3 7 9" xfId="13535" xr:uid="{00000000-0005-0000-0000-0000003B0000}"/>
    <cellStyle name="Data-one deci 3 7 9 2" xfId="13536" xr:uid="{00000000-0005-0000-0000-0000013B0000}"/>
    <cellStyle name="Data-one deci 3 8" xfId="13537" xr:uid="{00000000-0005-0000-0000-0000023B0000}"/>
    <cellStyle name="Data-one deci 3 8 10" xfId="13538" xr:uid="{00000000-0005-0000-0000-0000033B0000}"/>
    <cellStyle name="Data-one deci 3 8 2" xfId="13539" xr:uid="{00000000-0005-0000-0000-0000043B0000}"/>
    <cellStyle name="Data-one deci 3 8 2 2" xfId="13540" xr:uid="{00000000-0005-0000-0000-0000053B0000}"/>
    <cellStyle name="Data-one deci 3 8 3" xfId="13541" xr:uid="{00000000-0005-0000-0000-0000063B0000}"/>
    <cellStyle name="Data-one deci 3 8 3 2" xfId="13542" xr:uid="{00000000-0005-0000-0000-0000073B0000}"/>
    <cellStyle name="Data-one deci 3 8 4" xfId="13543" xr:uid="{00000000-0005-0000-0000-0000083B0000}"/>
    <cellStyle name="Data-one deci 3 8 4 2" xfId="13544" xr:uid="{00000000-0005-0000-0000-0000093B0000}"/>
    <cellStyle name="Data-one deci 3 8 5" xfId="13545" xr:uid="{00000000-0005-0000-0000-00000A3B0000}"/>
    <cellStyle name="Data-one deci 3 8 5 2" xfId="13546" xr:uid="{00000000-0005-0000-0000-00000B3B0000}"/>
    <cellStyle name="Data-one deci 3 8 6" xfId="13547" xr:uid="{00000000-0005-0000-0000-00000C3B0000}"/>
    <cellStyle name="Data-one deci 3 8 6 2" xfId="13548" xr:uid="{00000000-0005-0000-0000-00000D3B0000}"/>
    <cellStyle name="Data-one deci 3 8 7" xfId="13549" xr:uid="{00000000-0005-0000-0000-00000E3B0000}"/>
    <cellStyle name="Data-one deci 3 8 7 2" xfId="13550" xr:uid="{00000000-0005-0000-0000-00000F3B0000}"/>
    <cellStyle name="Data-one deci 3 8 8" xfId="13551" xr:uid="{00000000-0005-0000-0000-0000103B0000}"/>
    <cellStyle name="Data-one deci 3 8 8 2" xfId="13552" xr:uid="{00000000-0005-0000-0000-0000113B0000}"/>
    <cellStyle name="Data-one deci 3 8 9" xfId="13553" xr:uid="{00000000-0005-0000-0000-0000123B0000}"/>
    <cellStyle name="Data-one deci 3 8 9 2" xfId="13554" xr:uid="{00000000-0005-0000-0000-0000133B0000}"/>
    <cellStyle name="Data-one deci 3 9" xfId="13555" xr:uid="{00000000-0005-0000-0000-0000143B0000}"/>
    <cellStyle name="Data-one deci 3 9 10" xfId="13556" xr:uid="{00000000-0005-0000-0000-0000153B0000}"/>
    <cellStyle name="Data-one deci 3 9 2" xfId="13557" xr:uid="{00000000-0005-0000-0000-0000163B0000}"/>
    <cellStyle name="Data-one deci 3 9 2 2" xfId="13558" xr:uid="{00000000-0005-0000-0000-0000173B0000}"/>
    <cellStyle name="Data-one deci 3 9 3" xfId="13559" xr:uid="{00000000-0005-0000-0000-0000183B0000}"/>
    <cellStyle name="Data-one deci 3 9 3 2" xfId="13560" xr:uid="{00000000-0005-0000-0000-0000193B0000}"/>
    <cellStyle name="Data-one deci 3 9 4" xfId="13561" xr:uid="{00000000-0005-0000-0000-00001A3B0000}"/>
    <cellStyle name="Data-one deci 3 9 4 2" xfId="13562" xr:uid="{00000000-0005-0000-0000-00001B3B0000}"/>
    <cellStyle name="Data-one deci 3 9 5" xfId="13563" xr:uid="{00000000-0005-0000-0000-00001C3B0000}"/>
    <cellStyle name="Data-one deci 3 9 5 2" xfId="13564" xr:uid="{00000000-0005-0000-0000-00001D3B0000}"/>
    <cellStyle name="Data-one deci 3 9 6" xfId="13565" xr:uid="{00000000-0005-0000-0000-00001E3B0000}"/>
    <cellStyle name="Data-one deci 3 9 6 2" xfId="13566" xr:uid="{00000000-0005-0000-0000-00001F3B0000}"/>
    <cellStyle name="Data-one deci 3 9 7" xfId="13567" xr:uid="{00000000-0005-0000-0000-0000203B0000}"/>
    <cellStyle name="Data-one deci 3 9 7 2" xfId="13568" xr:uid="{00000000-0005-0000-0000-0000213B0000}"/>
    <cellStyle name="Data-one deci 3 9 8" xfId="13569" xr:uid="{00000000-0005-0000-0000-0000223B0000}"/>
    <cellStyle name="Data-one deci 3 9 8 2" xfId="13570" xr:uid="{00000000-0005-0000-0000-0000233B0000}"/>
    <cellStyle name="Data-one deci 3 9 9" xfId="13571" xr:uid="{00000000-0005-0000-0000-0000243B0000}"/>
    <cellStyle name="Data-one deci 3 9 9 2" xfId="13572" xr:uid="{00000000-0005-0000-0000-0000253B0000}"/>
    <cellStyle name="Data-one deci 4" xfId="13573" xr:uid="{00000000-0005-0000-0000-0000263B0000}"/>
    <cellStyle name="Data-one deci 4 10" xfId="13574" xr:uid="{00000000-0005-0000-0000-0000273B0000}"/>
    <cellStyle name="Data-one deci 4 10 2" xfId="13575" xr:uid="{00000000-0005-0000-0000-0000283B0000}"/>
    <cellStyle name="Data-one deci 4 10 2 2" xfId="13576" xr:uid="{00000000-0005-0000-0000-0000293B0000}"/>
    <cellStyle name="Data-one deci 4 10 3" xfId="13577" xr:uid="{00000000-0005-0000-0000-00002A3B0000}"/>
    <cellStyle name="Data-one deci 4 10 3 2" xfId="13578" xr:uid="{00000000-0005-0000-0000-00002B3B0000}"/>
    <cellStyle name="Data-one deci 4 10 4" xfId="13579" xr:uid="{00000000-0005-0000-0000-00002C3B0000}"/>
    <cellStyle name="Data-one deci 4 10 4 2" xfId="13580" xr:uid="{00000000-0005-0000-0000-00002D3B0000}"/>
    <cellStyle name="Data-one deci 4 10 5" xfId="13581" xr:uid="{00000000-0005-0000-0000-00002E3B0000}"/>
    <cellStyle name="Data-one deci 4 10 5 2" xfId="13582" xr:uid="{00000000-0005-0000-0000-00002F3B0000}"/>
    <cellStyle name="Data-one deci 4 10 6" xfId="13583" xr:uid="{00000000-0005-0000-0000-0000303B0000}"/>
    <cellStyle name="Data-one deci 4 10 6 2" xfId="13584" xr:uid="{00000000-0005-0000-0000-0000313B0000}"/>
    <cellStyle name="Data-one deci 4 10 7" xfId="13585" xr:uid="{00000000-0005-0000-0000-0000323B0000}"/>
    <cellStyle name="Data-one deci 4 10 7 2" xfId="13586" xr:uid="{00000000-0005-0000-0000-0000333B0000}"/>
    <cellStyle name="Data-one deci 4 10 8" xfId="13587" xr:uid="{00000000-0005-0000-0000-0000343B0000}"/>
    <cellStyle name="Data-one deci 4 10 8 2" xfId="13588" xr:uid="{00000000-0005-0000-0000-0000353B0000}"/>
    <cellStyle name="Data-one deci 4 10 9" xfId="13589" xr:uid="{00000000-0005-0000-0000-0000363B0000}"/>
    <cellStyle name="Data-one deci 4 11" xfId="13590" xr:uid="{00000000-0005-0000-0000-0000373B0000}"/>
    <cellStyle name="Data-one deci 4 11 2" xfId="13591" xr:uid="{00000000-0005-0000-0000-0000383B0000}"/>
    <cellStyle name="Data-one deci 4 12" xfId="13592" xr:uid="{00000000-0005-0000-0000-0000393B0000}"/>
    <cellStyle name="Data-one deci 4 12 2" xfId="13593" xr:uid="{00000000-0005-0000-0000-00003A3B0000}"/>
    <cellStyle name="Data-one deci 4 13" xfId="13594" xr:uid="{00000000-0005-0000-0000-00003B3B0000}"/>
    <cellStyle name="Data-one deci 4 13 2" xfId="13595" xr:uid="{00000000-0005-0000-0000-00003C3B0000}"/>
    <cellStyle name="Data-one deci 4 14" xfId="13596" xr:uid="{00000000-0005-0000-0000-00003D3B0000}"/>
    <cellStyle name="Data-one deci 4 14 2" xfId="13597" xr:uid="{00000000-0005-0000-0000-00003E3B0000}"/>
    <cellStyle name="Data-one deci 4 15" xfId="13598" xr:uid="{00000000-0005-0000-0000-00003F3B0000}"/>
    <cellStyle name="Data-one deci 4 15 2" xfId="13599" xr:uid="{00000000-0005-0000-0000-0000403B0000}"/>
    <cellStyle name="Data-one deci 4 16" xfId="13600" xr:uid="{00000000-0005-0000-0000-0000413B0000}"/>
    <cellStyle name="Data-one deci 4 16 2" xfId="13601" xr:uid="{00000000-0005-0000-0000-0000423B0000}"/>
    <cellStyle name="Data-one deci 4 17" xfId="13602" xr:uid="{00000000-0005-0000-0000-0000433B0000}"/>
    <cellStyle name="Data-one deci 4 17 2" xfId="13603" xr:uid="{00000000-0005-0000-0000-0000443B0000}"/>
    <cellStyle name="Data-one deci 4 18" xfId="13604" xr:uid="{00000000-0005-0000-0000-0000453B0000}"/>
    <cellStyle name="Data-one deci 4 2" xfId="13605" xr:uid="{00000000-0005-0000-0000-0000463B0000}"/>
    <cellStyle name="Data-one deci 4 2 10" xfId="13606" xr:uid="{00000000-0005-0000-0000-0000473B0000}"/>
    <cellStyle name="Data-one deci 4 2 2" xfId="13607" xr:uid="{00000000-0005-0000-0000-0000483B0000}"/>
    <cellStyle name="Data-one deci 4 2 2 2" xfId="13608" xr:uid="{00000000-0005-0000-0000-0000493B0000}"/>
    <cellStyle name="Data-one deci 4 2 3" xfId="13609" xr:uid="{00000000-0005-0000-0000-00004A3B0000}"/>
    <cellStyle name="Data-one deci 4 2 3 2" xfId="13610" xr:uid="{00000000-0005-0000-0000-00004B3B0000}"/>
    <cellStyle name="Data-one deci 4 2 4" xfId="13611" xr:uid="{00000000-0005-0000-0000-00004C3B0000}"/>
    <cellStyle name="Data-one deci 4 2 4 2" xfId="13612" xr:uid="{00000000-0005-0000-0000-00004D3B0000}"/>
    <cellStyle name="Data-one deci 4 2 5" xfId="13613" xr:uid="{00000000-0005-0000-0000-00004E3B0000}"/>
    <cellStyle name="Data-one deci 4 2 5 2" xfId="13614" xr:uid="{00000000-0005-0000-0000-00004F3B0000}"/>
    <cellStyle name="Data-one deci 4 2 6" xfId="13615" xr:uid="{00000000-0005-0000-0000-0000503B0000}"/>
    <cellStyle name="Data-one deci 4 2 6 2" xfId="13616" xr:uid="{00000000-0005-0000-0000-0000513B0000}"/>
    <cellStyle name="Data-one deci 4 2 7" xfId="13617" xr:uid="{00000000-0005-0000-0000-0000523B0000}"/>
    <cellStyle name="Data-one deci 4 2 7 2" xfId="13618" xr:uid="{00000000-0005-0000-0000-0000533B0000}"/>
    <cellStyle name="Data-one deci 4 2 8" xfId="13619" xr:uid="{00000000-0005-0000-0000-0000543B0000}"/>
    <cellStyle name="Data-one deci 4 2 8 2" xfId="13620" xr:uid="{00000000-0005-0000-0000-0000553B0000}"/>
    <cellStyle name="Data-one deci 4 2 9" xfId="13621" xr:uid="{00000000-0005-0000-0000-0000563B0000}"/>
    <cellStyle name="Data-one deci 4 2 9 2" xfId="13622" xr:uid="{00000000-0005-0000-0000-0000573B0000}"/>
    <cellStyle name="Data-one deci 4 3" xfId="13623" xr:uid="{00000000-0005-0000-0000-0000583B0000}"/>
    <cellStyle name="Data-one deci 4 3 10" xfId="13624" xr:uid="{00000000-0005-0000-0000-0000593B0000}"/>
    <cellStyle name="Data-one deci 4 3 2" xfId="13625" xr:uid="{00000000-0005-0000-0000-00005A3B0000}"/>
    <cellStyle name="Data-one deci 4 3 2 2" xfId="13626" xr:uid="{00000000-0005-0000-0000-00005B3B0000}"/>
    <cellStyle name="Data-one deci 4 3 3" xfId="13627" xr:uid="{00000000-0005-0000-0000-00005C3B0000}"/>
    <cellStyle name="Data-one deci 4 3 3 2" xfId="13628" xr:uid="{00000000-0005-0000-0000-00005D3B0000}"/>
    <cellStyle name="Data-one deci 4 3 4" xfId="13629" xr:uid="{00000000-0005-0000-0000-00005E3B0000}"/>
    <cellStyle name="Data-one deci 4 3 4 2" xfId="13630" xr:uid="{00000000-0005-0000-0000-00005F3B0000}"/>
    <cellStyle name="Data-one deci 4 3 5" xfId="13631" xr:uid="{00000000-0005-0000-0000-0000603B0000}"/>
    <cellStyle name="Data-one deci 4 3 5 2" xfId="13632" xr:uid="{00000000-0005-0000-0000-0000613B0000}"/>
    <cellStyle name="Data-one deci 4 3 6" xfId="13633" xr:uid="{00000000-0005-0000-0000-0000623B0000}"/>
    <cellStyle name="Data-one deci 4 3 6 2" xfId="13634" xr:uid="{00000000-0005-0000-0000-0000633B0000}"/>
    <cellStyle name="Data-one deci 4 3 7" xfId="13635" xr:uid="{00000000-0005-0000-0000-0000643B0000}"/>
    <cellStyle name="Data-one deci 4 3 7 2" xfId="13636" xr:uid="{00000000-0005-0000-0000-0000653B0000}"/>
    <cellStyle name="Data-one deci 4 3 8" xfId="13637" xr:uid="{00000000-0005-0000-0000-0000663B0000}"/>
    <cellStyle name="Data-one deci 4 3 8 2" xfId="13638" xr:uid="{00000000-0005-0000-0000-0000673B0000}"/>
    <cellStyle name="Data-one deci 4 3 9" xfId="13639" xr:uid="{00000000-0005-0000-0000-0000683B0000}"/>
    <cellStyle name="Data-one deci 4 3 9 2" xfId="13640" xr:uid="{00000000-0005-0000-0000-0000693B0000}"/>
    <cellStyle name="Data-one deci 4 4" xfId="13641" xr:uid="{00000000-0005-0000-0000-00006A3B0000}"/>
    <cellStyle name="Data-one deci 4 4 10" xfId="13642" xr:uid="{00000000-0005-0000-0000-00006B3B0000}"/>
    <cellStyle name="Data-one deci 4 4 2" xfId="13643" xr:uid="{00000000-0005-0000-0000-00006C3B0000}"/>
    <cellStyle name="Data-one deci 4 4 2 2" xfId="13644" xr:uid="{00000000-0005-0000-0000-00006D3B0000}"/>
    <cellStyle name="Data-one deci 4 4 3" xfId="13645" xr:uid="{00000000-0005-0000-0000-00006E3B0000}"/>
    <cellStyle name="Data-one deci 4 4 3 2" xfId="13646" xr:uid="{00000000-0005-0000-0000-00006F3B0000}"/>
    <cellStyle name="Data-one deci 4 4 4" xfId="13647" xr:uid="{00000000-0005-0000-0000-0000703B0000}"/>
    <cellStyle name="Data-one deci 4 4 4 2" xfId="13648" xr:uid="{00000000-0005-0000-0000-0000713B0000}"/>
    <cellStyle name="Data-one deci 4 4 5" xfId="13649" xr:uid="{00000000-0005-0000-0000-0000723B0000}"/>
    <cellStyle name="Data-one deci 4 4 5 2" xfId="13650" xr:uid="{00000000-0005-0000-0000-0000733B0000}"/>
    <cellStyle name="Data-one deci 4 4 6" xfId="13651" xr:uid="{00000000-0005-0000-0000-0000743B0000}"/>
    <cellStyle name="Data-one deci 4 4 6 2" xfId="13652" xr:uid="{00000000-0005-0000-0000-0000753B0000}"/>
    <cellStyle name="Data-one deci 4 4 7" xfId="13653" xr:uid="{00000000-0005-0000-0000-0000763B0000}"/>
    <cellStyle name="Data-one deci 4 4 7 2" xfId="13654" xr:uid="{00000000-0005-0000-0000-0000773B0000}"/>
    <cellStyle name="Data-one deci 4 4 8" xfId="13655" xr:uid="{00000000-0005-0000-0000-0000783B0000}"/>
    <cellStyle name="Data-one deci 4 4 8 2" xfId="13656" xr:uid="{00000000-0005-0000-0000-0000793B0000}"/>
    <cellStyle name="Data-one deci 4 4 9" xfId="13657" xr:uid="{00000000-0005-0000-0000-00007A3B0000}"/>
    <cellStyle name="Data-one deci 4 4 9 2" xfId="13658" xr:uid="{00000000-0005-0000-0000-00007B3B0000}"/>
    <cellStyle name="Data-one deci 4 5" xfId="13659" xr:uid="{00000000-0005-0000-0000-00007C3B0000}"/>
    <cellStyle name="Data-one deci 4 5 10" xfId="13660" xr:uid="{00000000-0005-0000-0000-00007D3B0000}"/>
    <cellStyle name="Data-one deci 4 5 2" xfId="13661" xr:uid="{00000000-0005-0000-0000-00007E3B0000}"/>
    <cellStyle name="Data-one deci 4 5 2 2" xfId="13662" xr:uid="{00000000-0005-0000-0000-00007F3B0000}"/>
    <cellStyle name="Data-one deci 4 5 3" xfId="13663" xr:uid="{00000000-0005-0000-0000-0000803B0000}"/>
    <cellStyle name="Data-one deci 4 5 3 2" xfId="13664" xr:uid="{00000000-0005-0000-0000-0000813B0000}"/>
    <cellStyle name="Data-one deci 4 5 4" xfId="13665" xr:uid="{00000000-0005-0000-0000-0000823B0000}"/>
    <cellStyle name="Data-one deci 4 5 4 2" xfId="13666" xr:uid="{00000000-0005-0000-0000-0000833B0000}"/>
    <cellStyle name="Data-one deci 4 5 5" xfId="13667" xr:uid="{00000000-0005-0000-0000-0000843B0000}"/>
    <cellStyle name="Data-one deci 4 5 5 2" xfId="13668" xr:uid="{00000000-0005-0000-0000-0000853B0000}"/>
    <cellStyle name="Data-one deci 4 5 6" xfId="13669" xr:uid="{00000000-0005-0000-0000-0000863B0000}"/>
    <cellStyle name="Data-one deci 4 5 6 2" xfId="13670" xr:uid="{00000000-0005-0000-0000-0000873B0000}"/>
    <cellStyle name="Data-one deci 4 5 7" xfId="13671" xr:uid="{00000000-0005-0000-0000-0000883B0000}"/>
    <cellStyle name="Data-one deci 4 5 7 2" xfId="13672" xr:uid="{00000000-0005-0000-0000-0000893B0000}"/>
    <cellStyle name="Data-one deci 4 5 8" xfId="13673" xr:uid="{00000000-0005-0000-0000-00008A3B0000}"/>
    <cellStyle name="Data-one deci 4 5 8 2" xfId="13674" xr:uid="{00000000-0005-0000-0000-00008B3B0000}"/>
    <cellStyle name="Data-one deci 4 5 9" xfId="13675" xr:uid="{00000000-0005-0000-0000-00008C3B0000}"/>
    <cellStyle name="Data-one deci 4 5 9 2" xfId="13676" xr:uid="{00000000-0005-0000-0000-00008D3B0000}"/>
    <cellStyle name="Data-one deci 4 6" xfId="13677" xr:uid="{00000000-0005-0000-0000-00008E3B0000}"/>
    <cellStyle name="Data-one deci 4 6 10" xfId="13678" xr:uid="{00000000-0005-0000-0000-00008F3B0000}"/>
    <cellStyle name="Data-one deci 4 6 2" xfId="13679" xr:uid="{00000000-0005-0000-0000-0000903B0000}"/>
    <cellStyle name="Data-one deci 4 6 2 2" xfId="13680" xr:uid="{00000000-0005-0000-0000-0000913B0000}"/>
    <cellStyle name="Data-one deci 4 6 3" xfId="13681" xr:uid="{00000000-0005-0000-0000-0000923B0000}"/>
    <cellStyle name="Data-one deci 4 6 3 2" xfId="13682" xr:uid="{00000000-0005-0000-0000-0000933B0000}"/>
    <cellStyle name="Data-one deci 4 6 4" xfId="13683" xr:uid="{00000000-0005-0000-0000-0000943B0000}"/>
    <cellStyle name="Data-one deci 4 6 4 2" xfId="13684" xr:uid="{00000000-0005-0000-0000-0000953B0000}"/>
    <cellStyle name="Data-one deci 4 6 5" xfId="13685" xr:uid="{00000000-0005-0000-0000-0000963B0000}"/>
    <cellStyle name="Data-one deci 4 6 5 2" xfId="13686" xr:uid="{00000000-0005-0000-0000-0000973B0000}"/>
    <cellStyle name="Data-one deci 4 6 6" xfId="13687" xr:uid="{00000000-0005-0000-0000-0000983B0000}"/>
    <cellStyle name="Data-one deci 4 6 6 2" xfId="13688" xr:uid="{00000000-0005-0000-0000-0000993B0000}"/>
    <cellStyle name="Data-one deci 4 6 7" xfId="13689" xr:uid="{00000000-0005-0000-0000-00009A3B0000}"/>
    <cellStyle name="Data-one deci 4 6 7 2" xfId="13690" xr:uid="{00000000-0005-0000-0000-00009B3B0000}"/>
    <cellStyle name="Data-one deci 4 6 8" xfId="13691" xr:uid="{00000000-0005-0000-0000-00009C3B0000}"/>
    <cellStyle name="Data-one deci 4 6 8 2" xfId="13692" xr:uid="{00000000-0005-0000-0000-00009D3B0000}"/>
    <cellStyle name="Data-one deci 4 6 9" xfId="13693" xr:uid="{00000000-0005-0000-0000-00009E3B0000}"/>
    <cellStyle name="Data-one deci 4 6 9 2" xfId="13694" xr:uid="{00000000-0005-0000-0000-00009F3B0000}"/>
    <cellStyle name="Data-one deci 4 7" xfId="13695" xr:uid="{00000000-0005-0000-0000-0000A03B0000}"/>
    <cellStyle name="Data-one deci 4 7 10" xfId="13696" xr:uid="{00000000-0005-0000-0000-0000A13B0000}"/>
    <cellStyle name="Data-one deci 4 7 2" xfId="13697" xr:uid="{00000000-0005-0000-0000-0000A23B0000}"/>
    <cellStyle name="Data-one deci 4 7 2 2" xfId="13698" xr:uid="{00000000-0005-0000-0000-0000A33B0000}"/>
    <cellStyle name="Data-one deci 4 7 3" xfId="13699" xr:uid="{00000000-0005-0000-0000-0000A43B0000}"/>
    <cellStyle name="Data-one deci 4 7 3 2" xfId="13700" xr:uid="{00000000-0005-0000-0000-0000A53B0000}"/>
    <cellStyle name="Data-one deci 4 7 4" xfId="13701" xr:uid="{00000000-0005-0000-0000-0000A63B0000}"/>
    <cellStyle name="Data-one deci 4 7 4 2" xfId="13702" xr:uid="{00000000-0005-0000-0000-0000A73B0000}"/>
    <cellStyle name="Data-one deci 4 7 5" xfId="13703" xr:uid="{00000000-0005-0000-0000-0000A83B0000}"/>
    <cellStyle name="Data-one deci 4 7 5 2" xfId="13704" xr:uid="{00000000-0005-0000-0000-0000A93B0000}"/>
    <cellStyle name="Data-one deci 4 7 6" xfId="13705" xr:uid="{00000000-0005-0000-0000-0000AA3B0000}"/>
    <cellStyle name="Data-one deci 4 7 6 2" xfId="13706" xr:uid="{00000000-0005-0000-0000-0000AB3B0000}"/>
    <cellStyle name="Data-one deci 4 7 7" xfId="13707" xr:uid="{00000000-0005-0000-0000-0000AC3B0000}"/>
    <cellStyle name="Data-one deci 4 7 7 2" xfId="13708" xr:uid="{00000000-0005-0000-0000-0000AD3B0000}"/>
    <cellStyle name="Data-one deci 4 7 8" xfId="13709" xr:uid="{00000000-0005-0000-0000-0000AE3B0000}"/>
    <cellStyle name="Data-one deci 4 7 8 2" xfId="13710" xr:uid="{00000000-0005-0000-0000-0000AF3B0000}"/>
    <cellStyle name="Data-one deci 4 7 9" xfId="13711" xr:uid="{00000000-0005-0000-0000-0000B03B0000}"/>
    <cellStyle name="Data-one deci 4 7 9 2" xfId="13712" xr:uid="{00000000-0005-0000-0000-0000B13B0000}"/>
    <cellStyle name="Data-one deci 4 8" xfId="13713" xr:uid="{00000000-0005-0000-0000-0000B23B0000}"/>
    <cellStyle name="Data-one deci 4 8 10" xfId="13714" xr:uid="{00000000-0005-0000-0000-0000B33B0000}"/>
    <cellStyle name="Data-one deci 4 8 2" xfId="13715" xr:uid="{00000000-0005-0000-0000-0000B43B0000}"/>
    <cellStyle name="Data-one deci 4 8 2 2" xfId="13716" xr:uid="{00000000-0005-0000-0000-0000B53B0000}"/>
    <cellStyle name="Data-one deci 4 8 3" xfId="13717" xr:uid="{00000000-0005-0000-0000-0000B63B0000}"/>
    <cellStyle name="Data-one deci 4 8 3 2" xfId="13718" xr:uid="{00000000-0005-0000-0000-0000B73B0000}"/>
    <cellStyle name="Data-one deci 4 8 4" xfId="13719" xr:uid="{00000000-0005-0000-0000-0000B83B0000}"/>
    <cellStyle name="Data-one deci 4 8 4 2" xfId="13720" xr:uid="{00000000-0005-0000-0000-0000B93B0000}"/>
    <cellStyle name="Data-one deci 4 8 5" xfId="13721" xr:uid="{00000000-0005-0000-0000-0000BA3B0000}"/>
    <cellStyle name="Data-one deci 4 8 5 2" xfId="13722" xr:uid="{00000000-0005-0000-0000-0000BB3B0000}"/>
    <cellStyle name="Data-one deci 4 8 6" xfId="13723" xr:uid="{00000000-0005-0000-0000-0000BC3B0000}"/>
    <cellStyle name="Data-one deci 4 8 6 2" xfId="13724" xr:uid="{00000000-0005-0000-0000-0000BD3B0000}"/>
    <cellStyle name="Data-one deci 4 8 7" xfId="13725" xr:uid="{00000000-0005-0000-0000-0000BE3B0000}"/>
    <cellStyle name="Data-one deci 4 8 7 2" xfId="13726" xr:uid="{00000000-0005-0000-0000-0000BF3B0000}"/>
    <cellStyle name="Data-one deci 4 8 8" xfId="13727" xr:uid="{00000000-0005-0000-0000-0000C03B0000}"/>
    <cellStyle name="Data-one deci 4 8 8 2" xfId="13728" xr:uid="{00000000-0005-0000-0000-0000C13B0000}"/>
    <cellStyle name="Data-one deci 4 8 9" xfId="13729" xr:uid="{00000000-0005-0000-0000-0000C23B0000}"/>
    <cellStyle name="Data-one deci 4 8 9 2" xfId="13730" xr:uid="{00000000-0005-0000-0000-0000C33B0000}"/>
    <cellStyle name="Data-one deci 4 9" xfId="13731" xr:uid="{00000000-0005-0000-0000-0000C43B0000}"/>
    <cellStyle name="Data-one deci 4 9 10" xfId="13732" xr:uid="{00000000-0005-0000-0000-0000C53B0000}"/>
    <cellStyle name="Data-one deci 4 9 2" xfId="13733" xr:uid="{00000000-0005-0000-0000-0000C63B0000}"/>
    <cellStyle name="Data-one deci 4 9 2 2" xfId="13734" xr:uid="{00000000-0005-0000-0000-0000C73B0000}"/>
    <cellStyle name="Data-one deci 4 9 3" xfId="13735" xr:uid="{00000000-0005-0000-0000-0000C83B0000}"/>
    <cellStyle name="Data-one deci 4 9 3 2" xfId="13736" xr:uid="{00000000-0005-0000-0000-0000C93B0000}"/>
    <cellStyle name="Data-one deci 4 9 4" xfId="13737" xr:uid="{00000000-0005-0000-0000-0000CA3B0000}"/>
    <cellStyle name="Data-one deci 4 9 4 2" xfId="13738" xr:uid="{00000000-0005-0000-0000-0000CB3B0000}"/>
    <cellStyle name="Data-one deci 4 9 5" xfId="13739" xr:uid="{00000000-0005-0000-0000-0000CC3B0000}"/>
    <cellStyle name="Data-one deci 4 9 5 2" xfId="13740" xr:uid="{00000000-0005-0000-0000-0000CD3B0000}"/>
    <cellStyle name="Data-one deci 4 9 6" xfId="13741" xr:uid="{00000000-0005-0000-0000-0000CE3B0000}"/>
    <cellStyle name="Data-one deci 4 9 6 2" xfId="13742" xr:uid="{00000000-0005-0000-0000-0000CF3B0000}"/>
    <cellStyle name="Data-one deci 4 9 7" xfId="13743" xr:uid="{00000000-0005-0000-0000-0000D03B0000}"/>
    <cellStyle name="Data-one deci 4 9 7 2" xfId="13744" xr:uid="{00000000-0005-0000-0000-0000D13B0000}"/>
    <cellStyle name="Data-one deci 4 9 8" xfId="13745" xr:uid="{00000000-0005-0000-0000-0000D23B0000}"/>
    <cellStyle name="Data-one deci 4 9 8 2" xfId="13746" xr:uid="{00000000-0005-0000-0000-0000D33B0000}"/>
    <cellStyle name="Data-one deci 4 9 9" xfId="13747" xr:uid="{00000000-0005-0000-0000-0000D43B0000}"/>
    <cellStyle name="Data-one deci 4 9 9 2" xfId="13748" xr:uid="{00000000-0005-0000-0000-0000D53B0000}"/>
    <cellStyle name="Date" xfId="64" xr:uid="{00000000-0005-0000-0000-0000D63B0000}"/>
    <cellStyle name="Emphasis 1" xfId="161" xr:uid="{00000000-0005-0000-0000-0000D73B0000}"/>
    <cellStyle name="Emphasis 1 10" xfId="42596" xr:uid="{00000000-0005-0000-0000-0000D83B0000}"/>
    <cellStyle name="Emphasis 1 11" xfId="42597" xr:uid="{00000000-0005-0000-0000-0000D93B0000}"/>
    <cellStyle name="Emphasis 1 12" xfId="42598" xr:uid="{00000000-0005-0000-0000-0000DA3B0000}"/>
    <cellStyle name="Emphasis 1 13" xfId="42599" xr:uid="{00000000-0005-0000-0000-0000DB3B0000}"/>
    <cellStyle name="Emphasis 1 14" xfId="42600" xr:uid="{00000000-0005-0000-0000-0000DC3B0000}"/>
    <cellStyle name="Emphasis 1 2" xfId="42601" xr:uid="{00000000-0005-0000-0000-0000DD3B0000}"/>
    <cellStyle name="Emphasis 1 3" xfId="42602" xr:uid="{00000000-0005-0000-0000-0000DE3B0000}"/>
    <cellStyle name="Emphasis 1 4" xfId="42603" xr:uid="{00000000-0005-0000-0000-0000DF3B0000}"/>
    <cellStyle name="Emphasis 1 5" xfId="42604" xr:uid="{00000000-0005-0000-0000-0000E03B0000}"/>
    <cellStyle name="Emphasis 1 6" xfId="42605" xr:uid="{00000000-0005-0000-0000-0000E13B0000}"/>
    <cellStyle name="Emphasis 1 7" xfId="42606" xr:uid="{00000000-0005-0000-0000-0000E23B0000}"/>
    <cellStyle name="Emphasis 1 8" xfId="42607" xr:uid="{00000000-0005-0000-0000-0000E33B0000}"/>
    <cellStyle name="Emphasis 1 9" xfId="42608" xr:uid="{00000000-0005-0000-0000-0000E43B0000}"/>
    <cellStyle name="Emphasis 2" xfId="162" xr:uid="{00000000-0005-0000-0000-0000E53B0000}"/>
    <cellStyle name="Emphasis 2 10" xfId="42609" xr:uid="{00000000-0005-0000-0000-0000E63B0000}"/>
    <cellStyle name="Emphasis 2 11" xfId="42610" xr:uid="{00000000-0005-0000-0000-0000E73B0000}"/>
    <cellStyle name="Emphasis 2 12" xfId="42611" xr:uid="{00000000-0005-0000-0000-0000E83B0000}"/>
    <cellStyle name="Emphasis 2 13" xfId="42612" xr:uid="{00000000-0005-0000-0000-0000E93B0000}"/>
    <cellStyle name="Emphasis 2 14" xfId="42613" xr:uid="{00000000-0005-0000-0000-0000EA3B0000}"/>
    <cellStyle name="Emphasis 2 2" xfId="42614" xr:uid="{00000000-0005-0000-0000-0000EB3B0000}"/>
    <cellStyle name="Emphasis 2 3" xfId="42615" xr:uid="{00000000-0005-0000-0000-0000EC3B0000}"/>
    <cellStyle name="Emphasis 2 4" xfId="42616" xr:uid="{00000000-0005-0000-0000-0000ED3B0000}"/>
    <cellStyle name="Emphasis 2 5" xfId="42617" xr:uid="{00000000-0005-0000-0000-0000EE3B0000}"/>
    <cellStyle name="Emphasis 2 6" xfId="42618" xr:uid="{00000000-0005-0000-0000-0000EF3B0000}"/>
    <cellStyle name="Emphasis 2 7" xfId="42619" xr:uid="{00000000-0005-0000-0000-0000F03B0000}"/>
    <cellStyle name="Emphasis 2 8" xfId="42620" xr:uid="{00000000-0005-0000-0000-0000F13B0000}"/>
    <cellStyle name="Emphasis 2 9" xfId="42621" xr:uid="{00000000-0005-0000-0000-0000F23B0000}"/>
    <cellStyle name="Emphasis 3" xfId="163" xr:uid="{00000000-0005-0000-0000-0000F33B0000}"/>
    <cellStyle name="Emphasis 3 10" xfId="42622" xr:uid="{00000000-0005-0000-0000-0000F43B0000}"/>
    <cellStyle name="Emphasis 3 11" xfId="42623" xr:uid="{00000000-0005-0000-0000-0000F53B0000}"/>
    <cellStyle name="Emphasis 3 12" xfId="42624" xr:uid="{00000000-0005-0000-0000-0000F63B0000}"/>
    <cellStyle name="Emphasis 3 13" xfId="42625" xr:uid="{00000000-0005-0000-0000-0000F73B0000}"/>
    <cellStyle name="Emphasis 3 14" xfId="42626" xr:uid="{00000000-0005-0000-0000-0000F83B0000}"/>
    <cellStyle name="Emphasis 3 2" xfId="42627" xr:uid="{00000000-0005-0000-0000-0000F93B0000}"/>
    <cellStyle name="Emphasis 3 3" xfId="42628" xr:uid="{00000000-0005-0000-0000-0000FA3B0000}"/>
    <cellStyle name="Emphasis 3 4" xfId="42629" xr:uid="{00000000-0005-0000-0000-0000FB3B0000}"/>
    <cellStyle name="Emphasis 3 5" xfId="42630" xr:uid="{00000000-0005-0000-0000-0000FC3B0000}"/>
    <cellStyle name="Emphasis 3 6" xfId="42631" xr:uid="{00000000-0005-0000-0000-0000FD3B0000}"/>
    <cellStyle name="Emphasis 3 7" xfId="42632" xr:uid="{00000000-0005-0000-0000-0000FE3B0000}"/>
    <cellStyle name="Emphasis 3 8" xfId="42633" xr:uid="{00000000-0005-0000-0000-0000FF3B0000}"/>
    <cellStyle name="Emphasis 3 9" xfId="42634" xr:uid="{00000000-0005-0000-0000-0000003C0000}"/>
    <cellStyle name="Euro" xfId="164" xr:uid="{00000000-0005-0000-0000-0000013C0000}"/>
    <cellStyle name="Euro 10" xfId="42635" xr:uid="{00000000-0005-0000-0000-0000023C0000}"/>
    <cellStyle name="Euro 11" xfId="42636" xr:uid="{00000000-0005-0000-0000-0000033C0000}"/>
    <cellStyle name="Euro 12" xfId="42637" xr:uid="{00000000-0005-0000-0000-0000043C0000}"/>
    <cellStyle name="Euro 13" xfId="42638" xr:uid="{00000000-0005-0000-0000-0000053C0000}"/>
    <cellStyle name="Euro 14" xfId="42639" xr:uid="{00000000-0005-0000-0000-0000063C0000}"/>
    <cellStyle name="Euro 15" xfId="42640" xr:uid="{00000000-0005-0000-0000-0000073C0000}"/>
    <cellStyle name="Euro 16" xfId="42641" xr:uid="{00000000-0005-0000-0000-0000083C0000}"/>
    <cellStyle name="Euro 17" xfId="42642" xr:uid="{00000000-0005-0000-0000-0000093C0000}"/>
    <cellStyle name="Euro 18" xfId="42643" xr:uid="{00000000-0005-0000-0000-00000A3C0000}"/>
    <cellStyle name="Euro 19" xfId="42644" xr:uid="{00000000-0005-0000-0000-00000B3C0000}"/>
    <cellStyle name="Euro 2" xfId="42645" xr:uid="{00000000-0005-0000-0000-00000C3C0000}"/>
    <cellStyle name="Euro 20" xfId="42646" xr:uid="{00000000-0005-0000-0000-00000D3C0000}"/>
    <cellStyle name="Euro 21" xfId="42647" xr:uid="{00000000-0005-0000-0000-00000E3C0000}"/>
    <cellStyle name="Euro 22" xfId="42648" xr:uid="{00000000-0005-0000-0000-00000F3C0000}"/>
    <cellStyle name="Euro 3" xfId="42649" xr:uid="{00000000-0005-0000-0000-0000103C0000}"/>
    <cellStyle name="Euro 4" xfId="42650" xr:uid="{00000000-0005-0000-0000-0000113C0000}"/>
    <cellStyle name="Euro 5" xfId="42651" xr:uid="{00000000-0005-0000-0000-0000123C0000}"/>
    <cellStyle name="Euro 6" xfId="42652" xr:uid="{00000000-0005-0000-0000-0000133C0000}"/>
    <cellStyle name="Euro 7" xfId="42653" xr:uid="{00000000-0005-0000-0000-0000143C0000}"/>
    <cellStyle name="Euro 8" xfId="42654" xr:uid="{00000000-0005-0000-0000-0000153C0000}"/>
    <cellStyle name="Euro 9" xfId="42655" xr:uid="{00000000-0005-0000-0000-0000163C0000}"/>
    <cellStyle name="Excel Built-in Comma 1" xfId="42656" xr:uid="{00000000-0005-0000-0000-0000173C0000}"/>
    <cellStyle name="Excel Built-in Normal 1 1" xfId="42657" xr:uid="{00000000-0005-0000-0000-0000183C0000}"/>
    <cellStyle name="Explanatory Text 10" xfId="42658" xr:uid="{00000000-0005-0000-0000-0000193C0000}"/>
    <cellStyle name="Explanatory Text 11" xfId="42659" xr:uid="{00000000-0005-0000-0000-00001A3C0000}"/>
    <cellStyle name="Explanatory Text 12" xfId="42660" xr:uid="{00000000-0005-0000-0000-00001B3C0000}"/>
    <cellStyle name="Explanatory Text 13" xfId="42661" xr:uid="{00000000-0005-0000-0000-00001C3C0000}"/>
    <cellStyle name="Explanatory Text 14" xfId="42662" xr:uid="{00000000-0005-0000-0000-00001D3C0000}"/>
    <cellStyle name="Explanatory Text 15" xfId="42663" xr:uid="{00000000-0005-0000-0000-00001E3C0000}"/>
    <cellStyle name="Explanatory Text 16" xfId="42664" xr:uid="{00000000-0005-0000-0000-00001F3C0000}"/>
    <cellStyle name="Explanatory Text 17" xfId="42665" xr:uid="{00000000-0005-0000-0000-0000203C0000}"/>
    <cellStyle name="Explanatory Text 18" xfId="42666" xr:uid="{00000000-0005-0000-0000-0000213C0000}"/>
    <cellStyle name="Explanatory Text 19" xfId="42667" xr:uid="{00000000-0005-0000-0000-0000223C0000}"/>
    <cellStyle name="Explanatory Text 2" xfId="65" xr:uid="{00000000-0005-0000-0000-0000233C0000}"/>
    <cellStyle name="Explanatory Text 2 2" xfId="42668" xr:uid="{00000000-0005-0000-0000-0000243C0000}"/>
    <cellStyle name="Explanatory Text 20" xfId="42669" xr:uid="{00000000-0005-0000-0000-0000253C0000}"/>
    <cellStyle name="Explanatory Text 21" xfId="42670" xr:uid="{00000000-0005-0000-0000-0000263C0000}"/>
    <cellStyle name="Explanatory Text 22" xfId="42671" xr:uid="{00000000-0005-0000-0000-0000273C0000}"/>
    <cellStyle name="Explanatory Text 23" xfId="42672" xr:uid="{00000000-0005-0000-0000-0000283C0000}"/>
    <cellStyle name="Explanatory Text 3" xfId="42673" xr:uid="{00000000-0005-0000-0000-0000293C0000}"/>
    <cellStyle name="Explanatory Text 4" xfId="42674" xr:uid="{00000000-0005-0000-0000-00002A3C0000}"/>
    <cellStyle name="Explanatory Text 5" xfId="42675" xr:uid="{00000000-0005-0000-0000-00002B3C0000}"/>
    <cellStyle name="Explanatory Text 6" xfId="42676" xr:uid="{00000000-0005-0000-0000-00002C3C0000}"/>
    <cellStyle name="Explanatory Text 7" xfId="42677" xr:uid="{00000000-0005-0000-0000-00002D3C0000}"/>
    <cellStyle name="Explanatory Text 8" xfId="42678" xr:uid="{00000000-0005-0000-0000-00002E3C0000}"/>
    <cellStyle name="Explanatory Text 9" xfId="42679" xr:uid="{00000000-0005-0000-0000-00002F3C0000}"/>
    <cellStyle name="F2" xfId="42680" xr:uid="{00000000-0005-0000-0000-0000303C0000}"/>
    <cellStyle name="F3" xfId="42681" xr:uid="{00000000-0005-0000-0000-0000313C0000}"/>
    <cellStyle name="F4" xfId="42682" xr:uid="{00000000-0005-0000-0000-0000323C0000}"/>
    <cellStyle name="F4 2" xfId="42683" xr:uid="{00000000-0005-0000-0000-0000333C0000}"/>
    <cellStyle name="F5" xfId="42684" xr:uid="{00000000-0005-0000-0000-0000343C0000}"/>
    <cellStyle name="F5 2" xfId="42685" xr:uid="{00000000-0005-0000-0000-0000353C0000}"/>
    <cellStyle name="F6" xfId="42686" xr:uid="{00000000-0005-0000-0000-0000363C0000}"/>
    <cellStyle name="F7" xfId="42687" xr:uid="{00000000-0005-0000-0000-0000373C0000}"/>
    <cellStyle name="F8" xfId="42688" xr:uid="{00000000-0005-0000-0000-0000383C0000}"/>
    <cellStyle name="F8 2" xfId="42689" xr:uid="{00000000-0005-0000-0000-0000393C0000}"/>
    <cellStyle name="Fixed" xfId="66" xr:uid="{00000000-0005-0000-0000-00003A3C0000}"/>
    <cellStyle name="Font: Calibri, 9pt regular" xfId="14" xr:uid="{00000000-0005-0000-0000-00003B3C0000}"/>
    <cellStyle name="Footnotes: top row" xfId="67" xr:uid="{00000000-0005-0000-0000-00003C3C0000}"/>
    <cellStyle name="Good 10" xfId="42690" xr:uid="{00000000-0005-0000-0000-00003D3C0000}"/>
    <cellStyle name="Good 11" xfId="42691" xr:uid="{00000000-0005-0000-0000-00003E3C0000}"/>
    <cellStyle name="Good 12" xfId="42692" xr:uid="{00000000-0005-0000-0000-00003F3C0000}"/>
    <cellStyle name="Good 13" xfId="42693" xr:uid="{00000000-0005-0000-0000-0000403C0000}"/>
    <cellStyle name="Good 14" xfId="42694" xr:uid="{00000000-0005-0000-0000-0000413C0000}"/>
    <cellStyle name="Good 15" xfId="42695" xr:uid="{00000000-0005-0000-0000-0000423C0000}"/>
    <cellStyle name="Good 16" xfId="42696" xr:uid="{00000000-0005-0000-0000-0000433C0000}"/>
    <cellStyle name="Good 17" xfId="42697" xr:uid="{00000000-0005-0000-0000-0000443C0000}"/>
    <cellStyle name="Good 18" xfId="42698" xr:uid="{00000000-0005-0000-0000-0000453C0000}"/>
    <cellStyle name="Good 19" xfId="42699" xr:uid="{00000000-0005-0000-0000-0000463C0000}"/>
    <cellStyle name="Good 2" xfId="68" xr:uid="{00000000-0005-0000-0000-0000473C0000}"/>
    <cellStyle name="Good 2 2" xfId="42700" xr:uid="{00000000-0005-0000-0000-0000483C0000}"/>
    <cellStyle name="Good 20" xfId="42701" xr:uid="{00000000-0005-0000-0000-0000493C0000}"/>
    <cellStyle name="Good 21" xfId="42702" xr:uid="{00000000-0005-0000-0000-00004A3C0000}"/>
    <cellStyle name="Good 22" xfId="42703" xr:uid="{00000000-0005-0000-0000-00004B3C0000}"/>
    <cellStyle name="Good 23" xfId="42704" xr:uid="{00000000-0005-0000-0000-00004C3C0000}"/>
    <cellStyle name="Good 3" xfId="42705" xr:uid="{00000000-0005-0000-0000-00004D3C0000}"/>
    <cellStyle name="Good 4" xfId="42706" xr:uid="{00000000-0005-0000-0000-00004E3C0000}"/>
    <cellStyle name="Good 5" xfId="42707" xr:uid="{00000000-0005-0000-0000-00004F3C0000}"/>
    <cellStyle name="Good 6" xfId="42708" xr:uid="{00000000-0005-0000-0000-0000503C0000}"/>
    <cellStyle name="Good 7" xfId="42709" xr:uid="{00000000-0005-0000-0000-0000513C0000}"/>
    <cellStyle name="Good 8" xfId="42710" xr:uid="{00000000-0005-0000-0000-0000523C0000}"/>
    <cellStyle name="Good 9" xfId="42711" xr:uid="{00000000-0005-0000-0000-0000533C0000}"/>
    <cellStyle name="Grey" xfId="165" xr:uid="{00000000-0005-0000-0000-0000543C0000}"/>
    <cellStyle name="Grey 10" xfId="42712" xr:uid="{00000000-0005-0000-0000-0000553C0000}"/>
    <cellStyle name="Grey 11" xfId="42713" xr:uid="{00000000-0005-0000-0000-0000563C0000}"/>
    <cellStyle name="Grey 12" xfId="42714" xr:uid="{00000000-0005-0000-0000-0000573C0000}"/>
    <cellStyle name="Grey 13" xfId="42715" xr:uid="{00000000-0005-0000-0000-0000583C0000}"/>
    <cellStyle name="Grey 14" xfId="42716" xr:uid="{00000000-0005-0000-0000-0000593C0000}"/>
    <cellStyle name="Grey 15" xfId="42717" xr:uid="{00000000-0005-0000-0000-00005A3C0000}"/>
    <cellStyle name="Grey 16" xfId="42718" xr:uid="{00000000-0005-0000-0000-00005B3C0000}"/>
    <cellStyle name="Grey 17" xfId="42719" xr:uid="{00000000-0005-0000-0000-00005C3C0000}"/>
    <cellStyle name="Grey 18" xfId="42720" xr:uid="{00000000-0005-0000-0000-00005D3C0000}"/>
    <cellStyle name="Grey 19" xfId="42721" xr:uid="{00000000-0005-0000-0000-00005E3C0000}"/>
    <cellStyle name="Grey 2" xfId="42722" xr:uid="{00000000-0005-0000-0000-00005F3C0000}"/>
    <cellStyle name="Grey 20" xfId="42723" xr:uid="{00000000-0005-0000-0000-0000603C0000}"/>
    <cellStyle name="Grey 21" xfId="42724" xr:uid="{00000000-0005-0000-0000-0000613C0000}"/>
    <cellStyle name="Grey 22" xfId="42725" xr:uid="{00000000-0005-0000-0000-0000623C0000}"/>
    <cellStyle name="Grey 3" xfId="42726" xr:uid="{00000000-0005-0000-0000-0000633C0000}"/>
    <cellStyle name="Grey 4" xfId="42727" xr:uid="{00000000-0005-0000-0000-0000643C0000}"/>
    <cellStyle name="Grey 5" xfId="42728" xr:uid="{00000000-0005-0000-0000-0000653C0000}"/>
    <cellStyle name="Grey 6" xfId="42729" xr:uid="{00000000-0005-0000-0000-0000663C0000}"/>
    <cellStyle name="Grey 7" xfId="42730" xr:uid="{00000000-0005-0000-0000-0000673C0000}"/>
    <cellStyle name="Grey 8" xfId="42731" xr:uid="{00000000-0005-0000-0000-0000683C0000}"/>
    <cellStyle name="Grey 9" xfId="42732" xr:uid="{00000000-0005-0000-0000-0000693C0000}"/>
    <cellStyle name="Header: bottom row" xfId="15" xr:uid="{00000000-0005-0000-0000-00006A3C0000}"/>
    <cellStyle name="Heading 1 10" xfId="42733" xr:uid="{00000000-0005-0000-0000-00006B3C0000}"/>
    <cellStyle name="Heading 1 11" xfId="42734" xr:uid="{00000000-0005-0000-0000-00006C3C0000}"/>
    <cellStyle name="Heading 1 12" xfId="42735" xr:uid="{00000000-0005-0000-0000-00006D3C0000}"/>
    <cellStyle name="Heading 1 13" xfId="42736" xr:uid="{00000000-0005-0000-0000-00006E3C0000}"/>
    <cellStyle name="Heading 1 14" xfId="42737" xr:uid="{00000000-0005-0000-0000-00006F3C0000}"/>
    <cellStyle name="Heading 1 15" xfId="42738" xr:uid="{00000000-0005-0000-0000-0000703C0000}"/>
    <cellStyle name="Heading 1 16" xfId="42739" xr:uid="{00000000-0005-0000-0000-0000713C0000}"/>
    <cellStyle name="Heading 1 17" xfId="42740" xr:uid="{00000000-0005-0000-0000-0000723C0000}"/>
    <cellStyle name="Heading 1 18" xfId="42741" xr:uid="{00000000-0005-0000-0000-0000733C0000}"/>
    <cellStyle name="Heading 1 19" xfId="42742" xr:uid="{00000000-0005-0000-0000-0000743C0000}"/>
    <cellStyle name="Heading 1 2" xfId="69" xr:uid="{00000000-0005-0000-0000-0000753C0000}"/>
    <cellStyle name="Heading 1 2 2" xfId="223" xr:uid="{00000000-0005-0000-0000-0000763C0000}"/>
    <cellStyle name="Heading 1 2 3" xfId="224" xr:uid="{00000000-0005-0000-0000-0000773C0000}"/>
    <cellStyle name="Heading 1 20" xfId="42743" xr:uid="{00000000-0005-0000-0000-0000783C0000}"/>
    <cellStyle name="Heading 1 21" xfId="42744" xr:uid="{00000000-0005-0000-0000-0000793C0000}"/>
    <cellStyle name="Heading 1 22" xfId="42745" xr:uid="{00000000-0005-0000-0000-00007A3C0000}"/>
    <cellStyle name="Heading 1 23" xfId="42746" xr:uid="{00000000-0005-0000-0000-00007B3C0000}"/>
    <cellStyle name="Heading 1 3" xfId="225" xr:uid="{00000000-0005-0000-0000-00007C3C0000}"/>
    <cellStyle name="Heading 1 4" xfId="42747" xr:uid="{00000000-0005-0000-0000-00007D3C0000}"/>
    <cellStyle name="Heading 1 5" xfId="42748" xr:uid="{00000000-0005-0000-0000-00007E3C0000}"/>
    <cellStyle name="Heading 1 6" xfId="42749" xr:uid="{00000000-0005-0000-0000-00007F3C0000}"/>
    <cellStyle name="Heading 1 7" xfId="42750" xr:uid="{00000000-0005-0000-0000-0000803C0000}"/>
    <cellStyle name="Heading 1 8" xfId="42751" xr:uid="{00000000-0005-0000-0000-0000813C0000}"/>
    <cellStyle name="Heading 1 9" xfId="42752" xr:uid="{00000000-0005-0000-0000-0000823C0000}"/>
    <cellStyle name="Heading 2 10" xfId="42753" xr:uid="{00000000-0005-0000-0000-0000833C0000}"/>
    <cellStyle name="Heading 2 11" xfId="42754" xr:uid="{00000000-0005-0000-0000-0000843C0000}"/>
    <cellStyle name="Heading 2 12" xfId="42755" xr:uid="{00000000-0005-0000-0000-0000853C0000}"/>
    <cellStyle name="Heading 2 13" xfId="42756" xr:uid="{00000000-0005-0000-0000-0000863C0000}"/>
    <cellStyle name="Heading 2 14" xfId="42757" xr:uid="{00000000-0005-0000-0000-0000873C0000}"/>
    <cellStyle name="Heading 2 15" xfId="42758" xr:uid="{00000000-0005-0000-0000-0000883C0000}"/>
    <cellStyle name="Heading 2 16" xfId="42759" xr:uid="{00000000-0005-0000-0000-0000893C0000}"/>
    <cellStyle name="Heading 2 17" xfId="42760" xr:uid="{00000000-0005-0000-0000-00008A3C0000}"/>
    <cellStyle name="Heading 2 18" xfId="42761" xr:uid="{00000000-0005-0000-0000-00008B3C0000}"/>
    <cellStyle name="Heading 2 19" xfId="42762" xr:uid="{00000000-0005-0000-0000-00008C3C0000}"/>
    <cellStyle name="Heading 2 2" xfId="70" xr:uid="{00000000-0005-0000-0000-00008D3C0000}"/>
    <cellStyle name="Heading 2 2 2" xfId="42763" xr:uid="{00000000-0005-0000-0000-00008E3C0000}"/>
    <cellStyle name="Heading 2 20" xfId="42764" xr:uid="{00000000-0005-0000-0000-00008F3C0000}"/>
    <cellStyle name="Heading 2 21" xfId="42765" xr:uid="{00000000-0005-0000-0000-0000903C0000}"/>
    <cellStyle name="Heading 2 22" xfId="42766" xr:uid="{00000000-0005-0000-0000-0000913C0000}"/>
    <cellStyle name="Heading 2 23" xfId="42767" xr:uid="{00000000-0005-0000-0000-0000923C0000}"/>
    <cellStyle name="Heading 2 3" xfId="42768" xr:uid="{00000000-0005-0000-0000-0000933C0000}"/>
    <cellStyle name="Heading 2 4" xfId="42769" xr:uid="{00000000-0005-0000-0000-0000943C0000}"/>
    <cellStyle name="Heading 2 5" xfId="42770" xr:uid="{00000000-0005-0000-0000-0000953C0000}"/>
    <cellStyle name="Heading 2 6" xfId="42771" xr:uid="{00000000-0005-0000-0000-0000963C0000}"/>
    <cellStyle name="Heading 2 7" xfId="42772" xr:uid="{00000000-0005-0000-0000-0000973C0000}"/>
    <cellStyle name="Heading 2 8" xfId="42773" xr:uid="{00000000-0005-0000-0000-0000983C0000}"/>
    <cellStyle name="Heading 2 9" xfId="42774" xr:uid="{00000000-0005-0000-0000-0000993C0000}"/>
    <cellStyle name="Heading 3 10" xfId="42775" xr:uid="{00000000-0005-0000-0000-00009A3C0000}"/>
    <cellStyle name="Heading 3 10 2" xfId="42776" xr:uid="{00000000-0005-0000-0000-00009B3C0000}"/>
    <cellStyle name="Heading 3 11" xfId="42777" xr:uid="{00000000-0005-0000-0000-00009C3C0000}"/>
    <cellStyle name="Heading 3 11 2" xfId="42778" xr:uid="{00000000-0005-0000-0000-00009D3C0000}"/>
    <cellStyle name="Heading 3 12" xfId="42779" xr:uid="{00000000-0005-0000-0000-00009E3C0000}"/>
    <cellStyle name="Heading 3 12 2" xfId="42780" xr:uid="{00000000-0005-0000-0000-00009F3C0000}"/>
    <cellStyle name="Heading 3 13" xfId="42781" xr:uid="{00000000-0005-0000-0000-0000A03C0000}"/>
    <cellStyle name="Heading 3 13 2" xfId="42782" xr:uid="{00000000-0005-0000-0000-0000A13C0000}"/>
    <cellStyle name="Heading 3 14" xfId="42783" xr:uid="{00000000-0005-0000-0000-0000A23C0000}"/>
    <cellStyle name="Heading 3 14 2" xfId="42784" xr:uid="{00000000-0005-0000-0000-0000A33C0000}"/>
    <cellStyle name="Heading 3 15" xfId="42785" xr:uid="{00000000-0005-0000-0000-0000A43C0000}"/>
    <cellStyle name="Heading 3 15 2" xfId="42786" xr:uid="{00000000-0005-0000-0000-0000A53C0000}"/>
    <cellStyle name="Heading 3 16" xfId="42787" xr:uid="{00000000-0005-0000-0000-0000A63C0000}"/>
    <cellStyle name="Heading 3 16 2" xfId="42788" xr:uid="{00000000-0005-0000-0000-0000A73C0000}"/>
    <cellStyle name="Heading 3 17" xfId="42789" xr:uid="{00000000-0005-0000-0000-0000A83C0000}"/>
    <cellStyle name="Heading 3 18" xfId="42790" xr:uid="{00000000-0005-0000-0000-0000A93C0000}"/>
    <cellStyle name="Heading 3 19" xfId="42791" xr:uid="{00000000-0005-0000-0000-0000AA3C0000}"/>
    <cellStyle name="Heading 3 2" xfId="71" xr:uid="{00000000-0005-0000-0000-0000AB3C0000}"/>
    <cellStyle name="Heading 3 2 2" xfId="42792" xr:uid="{00000000-0005-0000-0000-0000AC3C0000}"/>
    <cellStyle name="Heading 3 2 2 2" xfId="42793" xr:uid="{00000000-0005-0000-0000-0000AD3C0000}"/>
    <cellStyle name="Heading 3 2 3" xfId="42794" xr:uid="{00000000-0005-0000-0000-0000AE3C0000}"/>
    <cellStyle name="Heading 3 20" xfId="42795" xr:uid="{00000000-0005-0000-0000-0000AF3C0000}"/>
    <cellStyle name="Heading 3 21" xfId="42796" xr:uid="{00000000-0005-0000-0000-0000B03C0000}"/>
    <cellStyle name="Heading 3 22" xfId="42797" xr:uid="{00000000-0005-0000-0000-0000B13C0000}"/>
    <cellStyle name="Heading 3 22 2" xfId="42798" xr:uid="{00000000-0005-0000-0000-0000B23C0000}"/>
    <cellStyle name="Heading 3 23" xfId="42799" xr:uid="{00000000-0005-0000-0000-0000B33C0000}"/>
    <cellStyle name="Heading 3 23 2" xfId="42800" xr:uid="{00000000-0005-0000-0000-0000B43C0000}"/>
    <cellStyle name="Heading 3 24" xfId="42801" xr:uid="{00000000-0005-0000-0000-0000B53C0000}"/>
    <cellStyle name="Heading 3 3" xfId="42802" xr:uid="{00000000-0005-0000-0000-0000B63C0000}"/>
    <cellStyle name="Heading 3 3 2" xfId="42803" xr:uid="{00000000-0005-0000-0000-0000B73C0000}"/>
    <cellStyle name="Heading 3 4" xfId="42804" xr:uid="{00000000-0005-0000-0000-0000B83C0000}"/>
    <cellStyle name="Heading 3 4 2" xfId="42805" xr:uid="{00000000-0005-0000-0000-0000B93C0000}"/>
    <cellStyle name="Heading 3 5" xfId="42806" xr:uid="{00000000-0005-0000-0000-0000BA3C0000}"/>
    <cellStyle name="Heading 3 5 2" xfId="42807" xr:uid="{00000000-0005-0000-0000-0000BB3C0000}"/>
    <cellStyle name="Heading 3 6" xfId="42808" xr:uid="{00000000-0005-0000-0000-0000BC3C0000}"/>
    <cellStyle name="Heading 3 6 2" xfId="42809" xr:uid="{00000000-0005-0000-0000-0000BD3C0000}"/>
    <cellStyle name="Heading 3 7" xfId="42810" xr:uid="{00000000-0005-0000-0000-0000BE3C0000}"/>
    <cellStyle name="Heading 3 7 2" xfId="42811" xr:uid="{00000000-0005-0000-0000-0000BF3C0000}"/>
    <cellStyle name="Heading 3 8" xfId="42812" xr:uid="{00000000-0005-0000-0000-0000C03C0000}"/>
    <cellStyle name="Heading 3 8 2" xfId="42813" xr:uid="{00000000-0005-0000-0000-0000C13C0000}"/>
    <cellStyle name="Heading 3 9" xfId="42814" xr:uid="{00000000-0005-0000-0000-0000C23C0000}"/>
    <cellStyle name="Heading 3 9 2" xfId="42815" xr:uid="{00000000-0005-0000-0000-0000C33C0000}"/>
    <cellStyle name="Heading 4 10" xfId="42816" xr:uid="{00000000-0005-0000-0000-0000C43C0000}"/>
    <cellStyle name="Heading 4 11" xfId="42817" xr:uid="{00000000-0005-0000-0000-0000C53C0000}"/>
    <cellStyle name="Heading 4 12" xfId="42818" xr:uid="{00000000-0005-0000-0000-0000C63C0000}"/>
    <cellStyle name="Heading 4 13" xfId="42819" xr:uid="{00000000-0005-0000-0000-0000C73C0000}"/>
    <cellStyle name="Heading 4 14" xfId="42820" xr:uid="{00000000-0005-0000-0000-0000C83C0000}"/>
    <cellStyle name="Heading 4 15" xfId="42821" xr:uid="{00000000-0005-0000-0000-0000C93C0000}"/>
    <cellStyle name="Heading 4 16" xfId="42822" xr:uid="{00000000-0005-0000-0000-0000CA3C0000}"/>
    <cellStyle name="Heading 4 17" xfId="42823" xr:uid="{00000000-0005-0000-0000-0000CB3C0000}"/>
    <cellStyle name="Heading 4 18" xfId="42824" xr:uid="{00000000-0005-0000-0000-0000CC3C0000}"/>
    <cellStyle name="Heading 4 19" xfId="42825" xr:uid="{00000000-0005-0000-0000-0000CD3C0000}"/>
    <cellStyle name="Heading 4 2" xfId="72" xr:uid="{00000000-0005-0000-0000-0000CE3C0000}"/>
    <cellStyle name="Heading 4 2 2" xfId="42826" xr:uid="{00000000-0005-0000-0000-0000CF3C0000}"/>
    <cellStyle name="Heading 4 20" xfId="42827" xr:uid="{00000000-0005-0000-0000-0000D03C0000}"/>
    <cellStyle name="Heading 4 21" xfId="42828" xr:uid="{00000000-0005-0000-0000-0000D13C0000}"/>
    <cellStyle name="Heading 4 22" xfId="42829" xr:uid="{00000000-0005-0000-0000-0000D23C0000}"/>
    <cellStyle name="Heading 4 23" xfId="42830" xr:uid="{00000000-0005-0000-0000-0000D33C0000}"/>
    <cellStyle name="Heading 4 3" xfId="42831" xr:uid="{00000000-0005-0000-0000-0000D43C0000}"/>
    <cellStyle name="Heading 4 4" xfId="42832" xr:uid="{00000000-0005-0000-0000-0000D53C0000}"/>
    <cellStyle name="Heading 4 5" xfId="42833" xr:uid="{00000000-0005-0000-0000-0000D63C0000}"/>
    <cellStyle name="Heading 4 6" xfId="42834" xr:uid="{00000000-0005-0000-0000-0000D73C0000}"/>
    <cellStyle name="Heading 4 7" xfId="42835" xr:uid="{00000000-0005-0000-0000-0000D83C0000}"/>
    <cellStyle name="Heading 4 8" xfId="42836" xr:uid="{00000000-0005-0000-0000-0000D93C0000}"/>
    <cellStyle name="Heading 4 9" xfId="42837" xr:uid="{00000000-0005-0000-0000-0000DA3C0000}"/>
    <cellStyle name="Hed Side" xfId="73" xr:uid="{00000000-0005-0000-0000-0000DB3C0000}"/>
    <cellStyle name="Hed Side 2" xfId="166" xr:uid="{00000000-0005-0000-0000-0000DC3C0000}"/>
    <cellStyle name="Hed Side 2 2" xfId="13749" xr:uid="{00000000-0005-0000-0000-0000DD3C0000}"/>
    <cellStyle name="Hed Side 2 2 10" xfId="13750" xr:uid="{00000000-0005-0000-0000-0000DE3C0000}"/>
    <cellStyle name="Hed Side 2 2 10 10" xfId="13751" xr:uid="{00000000-0005-0000-0000-0000DF3C0000}"/>
    <cellStyle name="Hed Side 2 2 10 2" xfId="13752" xr:uid="{00000000-0005-0000-0000-0000E03C0000}"/>
    <cellStyle name="Hed Side 2 2 10 2 2" xfId="13753" xr:uid="{00000000-0005-0000-0000-0000E13C0000}"/>
    <cellStyle name="Hed Side 2 2 10 3" xfId="13754" xr:uid="{00000000-0005-0000-0000-0000E23C0000}"/>
    <cellStyle name="Hed Side 2 2 10 3 2" xfId="13755" xr:uid="{00000000-0005-0000-0000-0000E33C0000}"/>
    <cellStyle name="Hed Side 2 2 10 4" xfId="13756" xr:uid="{00000000-0005-0000-0000-0000E43C0000}"/>
    <cellStyle name="Hed Side 2 2 10 4 2" xfId="13757" xr:uid="{00000000-0005-0000-0000-0000E53C0000}"/>
    <cellStyle name="Hed Side 2 2 10 5" xfId="13758" xr:uid="{00000000-0005-0000-0000-0000E63C0000}"/>
    <cellStyle name="Hed Side 2 2 10 5 2" xfId="13759" xr:uid="{00000000-0005-0000-0000-0000E73C0000}"/>
    <cellStyle name="Hed Side 2 2 10 6" xfId="13760" xr:uid="{00000000-0005-0000-0000-0000E83C0000}"/>
    <cellStyle name="Hed Side 2 2 10 6 2" xfId="13761" xr:uid="{00000000-0005-0000-0000-0000E93C0000}"/>
    <cellStyle name="Hed Side 2 2 10 7" xfId="13762" xr:uid="{00000000-0005-0000-0000-0000EA3C0000}"/>
    <cellStyle name="Hed Side 2 2 10 7 2" xfId="13763" xr:uid="{00000000-0005-0000-0000-0000EB3C0000}"/>
    <cellStyle name="Hed Side 2 2 10 8" xfId="13764" xr:uid="{00000000-0005-0000-0000-0000EC3C0000}"/>
    <cellStyle name="Hed Side 2 2 10 8 2" xfId="13765" xr:uid="{00000000-0005-0000-0000-0000ED3C0000}"/>
    <cellStyle name="Hed Side 2 2 10 9" xfId="13766" xr:uid="{00000000-0005-0000-0000-0000EE3C0000}"/>
    <cellStyle name="Hed Side 2 2 10 9 2" xfId="13767" xr:uid="{00000000-0005-0000-0000-0000EF3C0000}"/>
    <cellStyle name="Hed Side 2 2 11" xfId="13768" xr:uid="{00000000-0005-0000-0000-0000F03C0000}"/>
    <cellStyle name="Hed Side 2 2 11 2" xfId="13769" xr:uid="{00000000-0005-0000-0000-0000F13C0000}"/>
    <cellStyle name="Hed Side 2 2 11 2 2" xfId="13770" xr:uid="{00000000-0005-0000-0000-0000F23C0000}"/>
    <cellStyle name="Hed Side 2 2 11 3" xfId="13771" xr:uid="{00000000-0005-0000-0000-0000F33C0000}"/>
    <cellStyle name="Hed Side 2 2 11 3 2" xfId="13772" xr:uid="{00000000-0005-0000-0000-0000F43C0000}"/>
    <cellStyle name="Hed Side 2 2 11 4" xfId="13773" xr:uid="{00000000-0005-0000-0000-0000F53C0000}"/>
    <cellStyle name="Hed Side 2 2 11 4 2" xfId="13774" xr:uid="{00000000-0005-0000-0000-0000F63C0000}"/>
    <cellStyle name="Hed Side 2 2 11 5" xfId="13775" xr:uid="{00000000-0005-0000-0000-0000F73C0000}"/>
    <cellStyle name="Hed Side 2 2 11 5 2" xfId="13776" xr:uid="{00000000-0005-0000-0000-0000F83C0000}"/>
    <cellStyle name="Hed Side 2 2 11 6" xfId="13777" xr:uid="{00000000-0005-0000-0000-0000F93C0000}"/>
    <cellStyle name="Hed Side 2 2 11 6 2" xfId="13778" xr:uid="{00000000-0005-0000-0000-0000FA3C0000}"/>
    <cellStyle name="Hed Side 2 2 11 7" xfId="13779" xr:uid="{00000000-0005-0000-0000-0000FB3C0000}"/>
    <cellStyle name="Hed Side 2 2 11 7 2" xfId="13780" xr:uid="{00000000-0005-0000-0000-0000FC3C0000}"/>
    <cellStyle name="Hed Side 2 2 11 8" xfId="13781" xr:uid="{00000000-0005-0000-0000-0000FD3C0000}"/>
    <cellStyle name="Hed Side 2 2 11 8 2" xfId="13782" xr:uid="{00000000-0005-0000-0000-0000FE3C0000}"/>
    <cellStyle name="Hed Side 2 2 11 9" xfId="13783" xr:uid="{00000000-0005-0000-0000-0000FF3C0000}"/>
    <cellStyle name="Hed Side 2 2 2" xfId="13784" xr:uid="{00000000-0005-0000-0000-0000003D0000}"/>
    <cellStyle name="Hed Side 2 2 2 10" xfId="13785" xr:uid="{00000000-0005-0000-0000-0000013D0000}"/>
    <cellStyle name="Hed Side 2 2 2 2" xfId="13786" xr:uid="{00000000-0005-0000-0000-0000023D0000}"/>
    <cellStyle name="Hed Side 2 2 2 2 2" xfId="13787" xr:uid="{00000000-0005-0000-0000-0000033D0000}"/>
    <cellStyle name="Hed Side 2 2 2 3" xfId="13788" xr:uid="{00000000-0005-0000-0000-0000043D0000}"/>
    <cellStyle name="Hed Side 2 2 2 3 2" xfId="13789" xr:uid="{00000000-0005-0000-0000-0000053D0000}"/>
    <cellStyle name="Hed Side 2 2 2 4" xfId="13790" xr:uid="{00000000-0005-0000-0000-0000063D0000}"/>
    <cellStyle name="Hed Side 2 2 2 4 2" xfId="13791" xr:uid="{00000000-0005-0000-0000-0000073D0000}"/>
    <cellStyle name="Hed Side 2 2 2 5" xfId="13792" xr:uid="{00000000-0005-0000-0000-0000083D0000}"/>
    <cellStyle name="Hed Side 2 2 2 5 2" xfId="13793" xr:uid="{00000000-0005-0000-0000-0000093D0000}"/>
    <cellStyle name="Hed Side 2 2 2 6" xfId="13794" xr:uid="{00000000-0005-0000-0000-00000A3D0000}"/>
    <cellStyle name="Hed Side 2 2 2 6 2" xfId="13795" xr:uid="{00000000-0005-0000-0000-00000B3D0000}"/>
    <cellStyle name="Hed Side 2 2 2 7" xfId="13796" xr:uid="{00000000-0005-0000-0000-00000C3D0000}"/>
    <cellStyle name="Hed Side 2 2 2 7 2" xfId="13797" xr:uid="{00000000-0005-0000-0000-00000D3D0000}"/>
    <cellStyle name="Hed Side 2 2 2 8" xfId="13798" xr:uid="{00000000-0005-0000-0000-00000E3D0000}"/>
    <cellStyle name="Hed Side 2 2 2 8 2" xfId="13799" xr:uid="{00000000-0005-0000-0000-00000F3D0000}"/>
    <cellStyle name="Hed Side 2 2 2 9" xfId="13800" xr:uid="{00000000-0005-0000-0000-0000103D0000}"/>
    <cellStyle name="Hed Side 2 2 2 9 2" xfId="13801" xr:uid="{00000000-0005-0000-0000-0000113D0000}"/>
    <cellStyle name="Hed Side 2 2 3" xfId="13802" xr:uid="{00000000-0005-0000-0000-0000123D0000}"/>
    <cellStyle name="Hed Side 2 2 3 10" xfId="13803" xr:uid="{00000000-0005-0000-0000-0000133D0000}"/>
    <cellStyle name="Hed Side 2 2 3 2" xfId="13804" xr:uid="{00000000-0005-0000-0000-0000143D0000}"/>
    <cellStyle name="Hed Side 2 2 3 2 2" xfId="13805" xr:uid="{00000000-0005-0000-0000-0000153D0000}"/>
    <cellStyle name="Hed Side 2 2 3 3" xfId="13806" xr:uid="{00000000-0005-0000-0000-0000163D0000}"/>
    <cellStyle name="Hed Side 2 2 3 3 2" xfId="13807" xr:uid="{00000000-0005-0000-0000-0000173D0000}"/>
    <cellStyle name="Hed Side 2 2 3 4" xfId="13808" xr:uid="{00000000-0005-0000-0000-0000183D0000}"/>
    <cellStyle name="Hed Side 2 2 3 4 2" xfId="13809" xr:uid="{00000000-0005-0000-0000-0000193D0000}"/>
    <cellStyle name="Hed Side 2 2 3 5" xfId="13810" xr:uid="{00000000-0005-0000-0000-00001A3D0000}"/>
    <cellStyle name="Hed Side 2 2 3 5 2" xfId="13811" xr:uid="{00000000-0005-0000-0000-00001B3D0000}"/>
    <cellStyle name="Hed Side 2 2 3 6" xfId="13812" xr:uid="{00000000-0005-0000-0000-00001C3D0000}"/>
    <cellStyle name="Hed Side 2 2 3 6 2" xfId="13813" xr:uid="{00000000-0005-0000-0000-00001D3D0000}"/>
    <cellStyle name="Hed Side 2 2 3 7" xfId="13814" xr:uid="{00000000-0005-0000-0000-00001E3D0000}"/>
    <cellStyle name="Hed Side 2 2 3 7 2" xfId="13815" xr:uid="{00000000-0005-0000-0000-00001F3D0000}"/>
    <cellStyle name="Hed Side 2 2 3 8" xfId="13816" xr:uid="{00000000-0005-0000-0000-0000203D0000}"/>
    <cellStyle name="Hed Side 2 2 3 8 2" xfId="13817" xr:uid="{00000000-0005-0000-0000-0000213D0000}"/>
    <cellStyle name="Hed Side 2 2 3 9" xfId="13818" xr:uid="{00000000-0005-0000-0000-0000223D0000}"/>
    <cellStyle name="Hed Side 2 2 3 9 2" xfId="13819" xr:uid="{00000000-0005-0000-0000-0000233D0000}"/>
    <cellStyle name="Hed Side 2 2 4" xfId="13820" xr:uid="{00000000-0005-0000-0000-0000243D0000}"/>
    <cellStyle name="Hed Side 2 2 4 10" xfId="13821" xr:uid="{00000000-0005-0000-0000-0000253D0000}"/>
    <cellStyle name="Hed Side 2 2 4 2" xfId="13822" xr:uid="{00000000-0005-0000-0000-0000263D0000}"/>
    <cellStyle name="Hed Side 2 2 4 2 2" xfId="13823" xr:uid="{00000000-0005-0000-0000-0000273D0000}"/>
    <cellStyle name="Hed Side 2 2 4 3" xfId="13824" xr:uid="{00000000-0005-0000-0000-0000283D0000}"/>
    <cellStyle name="Hed Side 2 2 4 3 2" xfId="13825" xr:uid="{00000000-0005-0000-0000-0000293D0000}"/>
    <cellStyle name="Hed Side 2 2 4 4" xfId="13826" xr:uid="{00000000-0005-0000-0000-00002A3D0000}"/>
    <cellStyle name="Hed Side 2 2 4 4 2" xfId="13827" xr:uid="{00000000-0005-0000-0000-00002B3D0000}"/>
    <cellStyle name="Hed Side 2 2 4 5" xfId="13828" xr:uid="{00000000-0005-0000-0000-00002C3D0000}"/>
    <cellStyle name="Hed Side 2 2 4 5 2" xfId="13829" xr:uid="{00000000-0005-0000-0000-00002D3D0000}"/>
    <cellStyle name="Hed Side 2 2 4 6" xfId="13830" xr:uid="{00000000-0005-0000-0000-00002E3D0000}"/>
    <cellStyle name="Hed Side 2 2 4 6 2" xfId="13831" xr:uid="{00000000-0005-0000-0000-00002F3D0000}"/>
    <cellStyle name="Hed Side 2 2 4 7" xfId="13832" xr:uid="{00000000-0005-0000-0000-0000303D0000}"/>
    <cellStyle name="Hed Side 2 2 4 7 2" xfId="13833" xr:uid="{00000000-0005-0000-0000-0000313D0000}"/>
    <cellStyle name="Hed Side 2 2 4 8" xfId="13834" xr:uid="{00000000-0005-0000-0000-0000323D0000}"/>
    <cellStyle name="Hed Side 2 2 4 8 2" xfId="13835" xr:uid="{00000000-0005-0000-0000-0000333D0000}"/>
    <cellStyle name="Hed Side 2 2 4 9" xfId="13836" xr:uid="{00000000-0005-0000-0000-0000343D0000}"/>
    <cellStyle name="Hed Side 2 2 4 9 2" xfId="13837" xr:uid="{00000000-0005-0000-0000-0000353D0000}"/>
    <cellStyle name="Hed Side 2 2 5" xfId="13838" xr:uid="{00000000-0005-0000-0000-0000363D0000}"/>
    <cellStyle name="Hed Side 2 2 5 10" xfId="13839" xr:uid="{00000000-0005-0000-0000-0000373D0000}"/>
    <cellStyle name="Hed Side 2 2 5 2" xfId="13840" xr:uid="{00000000-0005-0000-0000-0000383D0000}"/>
    <cellStyle name="Hed Side 2 2 5 2 2" xfId="13841" xr:uid="{00000000-0005-0000-0000-0000393D0000}"/>
    <cellStyle name="Hed Side 2 2 5 3" xfId="13842" xr:uid="{00000000-0005-0000-0000-00003A3D0000}"/>
    <cellStyle name="Hed Side 2 2 5 3 2" xfId="13843" xr:uid="{00000000-0005-0000-0000-00003B3D0000}"/>
    <cellStyle name="Hed Side 2 2 5 4" xfId="13844" xr:uid="{00000000-0005-0000-0000-00003C3D0000}"/>
    <cellStyle name="Hed Side 2 2 5 4 2" xfId="13845" xr:uid="{00000000-0005-0000-0000-00003D3D0000}"/>
    <cellStyle name="Hed Side 2 2 5 5" xfId="13846" xr:uid="{00000000-0005-0000-0000-00003E3D0000}"/>
    <cellStyle name="Hed Side 2 2 5 5 2" xfId="13847" xr:uid="{00000000-0005-0000-0000-00003F3D0000}"/>
    <cellStyle name="Hed Side 2 2 5 6" xfId="13848" xr:uid="{00000000-0005-0000-0000-0000403D0000}"/>
    <cellStyle name="Hed Side 2 2 5 6 2" xfId="13849" xr:uid="{00000000-0005-0000-0000-0000413D0000}"/>
    <cellStyle name="Hed Side 2 2 5 7" xfId="13850" xr:uid="{00000000-0005-0000-0000-0000423D0000}"/>
    <cellStyle name="Hed Side 2 2 5 7 2" xfId="13851" xr:uid="{00000000-0005-0000-0000-0000433D0000}"/>
    <cellStyle name="Hed Side 2 2 5 8" xfId="13852" xr:uid="{00000000-0005-0000-0000-0000443D0000}"/>
    <cellStyle name="Hed Side 2 2 5 8 2" xfId="13853" xr:uid="{00000000-0005-0000-0000-0000453D0000}"/>
    <cellStyle name="Hed Side 2 2 5 9" xfId="13854" xr:uid="{00000000-0005-0000-0000-0000463D0000}"/>
    <cellStyle name="Hed Side 2 2 5 9 2" xfId="13855" xr:uid="{00000000-0005-0000-0000-0000473D0000}"/>
    <cellStyle name="Hed Side 2 2 6" xfId="13856" xr:uid="{00000000-0005-0000-0000-0000483D0000}"/>
    <cellStyle name="Hed Side 2 2 6 10" xfId="13857" xr:uid="{00000000-0005-0000-0000-0000493D0000}"/>
    <cellStyle name="Hed Side 2 2 6 2" xfId="13858" xr:uid="{00000000-0005-0000-0000-00004A3D0000}"/>
    <cellStyle name="Hed Side 2 2 6 2 2" xfId="13859" xr:uid="{00000000-0005-0000-0000-00004B3D0000}"/>
    <cellStyle name="Hed Side 2 2 6 3" xfId="13860" xr:uid="{00000000-0005-0000-0000-00004C3D0000}"/>
    <cellStyle name="Hed Side 2 2 6 3 2" xfId="13861" xr:uid="{00000000-0005-0000-0000-00004D3D0000}"/>
    <cellStyle name="Hed Side 2 2 6 4" xfId="13862" xr:uid="{00000000-0005-0000-0000-00004E3D0000}"/>
    <cellStyle name="Hed Side 2 2 6 4 2" xfId="13863" xr:uid="{00000000-0005-0000-0000-00004F3D0000}"/>
    <cellStyle name="Hed Side 2 2 6 5" xfId="13864" xr:uid="{00000000-0005-0000-0000-0000503D0000}"/>
    <cellStyle name="Hed Side 2 2 6 5 2" xfId="13865" xr:uid="{00000000-0005-0000-0000-0000513D0000}"/>
    <cellStyle name="Hed Side 2 2 6 6" xfId="13866" xr:uid="{00000000-0005-0000-0000-0000523D0000}"/>
    <cellStyle name="Hed Side 2 2 6 6 2" xfId="13867" xr:uid="{00000000-0005-0000-0000-0000533D0000}"/>
    <cellStyle name="Hed Side 2 2 6 7" xfId="13868" xr:uid="{00000000-0005-0000-0000-0000543D0000}"/>
    <cellStyle name="Hed Side 2 2 6 7 2" xfId="13869" xr:uid="{00000000-0005-0000-0000-0000553D0000}"/>
    <cellStyle name="Hed Side 2 2 6 8" xfId="13870" xr:uid="{00000000-0005-0000-0000-0000563D0000}"/>
    <cellStyle name="Hed Side 2 2 6 8 2" xfId="13871" xr:uid="{00000000-0005-0000-0000-0000573D0000}"/>
    <cellStyle name="Hed Side 2 2 6 9" xfId="13872" xr:uid="{00000000-0005-0000-0000-0000583D0000}"/>
    <cellStyle name="Hed Side 2 2 6 9 2" xfId="13873" xr:uid="{00000000-0005-0000-0000-0000593D0000}"/>
    <cellStyle name="Hed Side 2 2 7" xfId="13874" xr:uid="{00000000-0005-0000-0000-00005A3D0000}"/>
    <cellStyle name="Hed Side 2 2 7 10" xfId="13875" xr:uid="{00000000-0005-0000-0000-00005B3D0000}"/>
    <cellStyle name="Hed Side 2 2 7 2" xfId="13876" xr:uid="{00000000-0005-0000-0000-00005C3D0000}"/>
    <cellStyle name="Hed Side 2 2 7 2 2" xfId="13877" xr:uid="{00000000-0005-0000-0000-00005D3D0000}"/>
    <cellStyle name="Hed Side 2 2 7 3" xfId="13878" xr:uid="{00000000-0005-0000-0000-00005E3D0000}"/>
    <cellStyle name="Hed Side 2 2 7 3 2" xfId="13879" xr:uid="{00000000-0005-0000-0000-00005F3D0000}"/>
    <cellStyle name="Hed Side 2 2 7 4" xfId="13880" xr:uid="{00000000-0005-0000-0000-0000603D0000}"/>
    <cellStyle name="Hed Side 2 2 7 4 2" xfId="13881" xr:uid="{00000000-0005-0000-0000-0000613D0000}"/>
    <cellStyle name="Hed Side 2 2 7 5" xfId="13882" xr:uid="{00000000-0005-0000-0000-0000623D0000}"/>
    <cellStyle name="Hed Side 2 2 7 5 2" xfId="13883" xr:uid="{00000000-0005-0000-0000-0000633D0000}"/>
    <cellStyle name="Hed Side 2 2 7 6" xfId="13884" xr:uid="{00000000-0005-0000-0000-0000643D0000}"/>
    <cellStyle name="Hed Side 2 2 7 6 2" xfId="13885" xr:uid="{00000000-0005-0000-0000-0000653D0000}"/>
    <cellStyle name="Hed Side 2 2 7 7" xfId="13886" xr:uid="{00000000-0005-0000-0000-0000663D0000}"/>
    <cellStyle name="Hed Side 2 2 7 7 2" xfId="13887" xr:uid="{00000000-0005-0000-0000-0000673D0000}"/>
    <cellStyle name="Hed Side 2 2 7 8" xfId="13888" xr:uid="{00000000-0005-0000-0000-0000683D0000}"/>
    <cellStyle name="Hed Side 2 2 7 8 2" xfId="13889" xr:uid="{00000000-0005-0000-0000-0000693D0000}"/>
    <cellStyle name="Hed Side 2 2 7 9" xfId="13890" xr:uid="{00000000-0005-0000-0000-00006A3D0000}"/>
    <cellStyle name="Hed Side 2 2 7 9 2" xfId="13891" xr:uid="{00000000-0005-0000-0000-00006B3D0000}"/>
    <cellStyle name="Hed Side 2 2 8" xfId="13892" xr:uid="{00000000-0005-0000-0000-00006C3D0000}"/>
    <cellStyle name="Hed Side 2 2 8 10" xfId="13893" xr:uid="{00000000-0005-0000-0000-00006D3D0000}"/>
    <cellStyle name="Hed Side 2 2 8 2" xfId="13894" xr:uid="{00000000-0005-0000-0000-00006E3D0000}"/>
    <cellStyle name="Hed Side 2 2 8 2 2" xfId="13895" xr:uid="{00000000-0005-0000-0000-00006F3D0000}"/>
    <cellStyle name="Hed Side 2 2 8 3" xfId="13896" xr:uid="{00000000-0005-0000-0000-0000703D0000}"/>
    <cellStyle name="Hed Side 2 2 8 3 2" xfId="13897" xr:uid="{00000000-0005-0000-0000-0000713D0000}"/>
    <cellStyle name="Hed Side 2 2 8 4" xfId="13898" xr:uid="{00000000-0005-0000-0000-0000723D0000}"/>
    <cellStyle name="Hed Side 2 2 8 4 2" xfId="13899" xr:uid="{00000000-0005-0000-0000-0000733D0000}"/>
    <cellStyle name="Hed Side 2 2 8 5" xfId="13900" xr:uid="{00000000-0005-0000-0000-0000743D0000}"/>
    <cellStyle name="Hed Side 2 2 8 5 2" xfId="13901" xr:uid="{00000000-0005-0000-0000-0000753D0000}"/>
    <cellStyle name="Hed Side 2 2 8 6" xfId="13902" xr:uid="{00000000-0005-0000-0000-0000763D0000}"/>
    <cellStyle name="Hed Side 2 2 8 6 2" xfId="13903" xr:uid="{00000000-0005-0000-0000-0000773D0000}"/>
    <cellStyle name="Hed Side 2 2 8 7" xfId="13904" xr:uid="{00000000-0005-0000-0000-0000783D0000}"/>
    <cellStyle name="Hed Side 2 2 8 7 2" xfId="13905" xr:uid="{00000000-0005-0000-0000-0000793D0000}"/>
    <cellStyle name="Hed Side 2 2 8 8" xfId="13906" xr:uid="{00000000-0005-0000-0000-00007A3D0000}"/>
    <cellStyle name="Hed Side 2 2 8 8 2" xfId="13907" xr:uid="{00000000-0005-0000-0000-00007B3D0000}"/>
    <cellStyle name="Hed Side 2 2 8 9" xfId="13908" xr:uid="{00000000-0005-0000-0000-00007C3D0000}"/>
    <cellStyle name="Hed Side 2 2 8 9 2" xfId="13909" xr:uid="{00000000-0005-0000-0000-00007D3D0000}"/>
    <cellStyle name="Hed Side 2 2 9" xfId="13910" xr:uid="{00000000-0005-0000-0000-00007E3D0000}"/>
    <cellStyle name="Hed Side 2 2 9 10" xfId="13911" xr:uid="{00000000-0005-0000-0000-00007F3D0000}"/>
    <cellStyle name="Hed Side 2 2 9 2" xfId="13912" xr:uid="{00000000-0005-0000-0000-0000803D0000}"/>
    <cellStyle name="Hed Side 2 2 9 2 2" xfId="13913" xr:uid="{00000000-0005-0000-0000-0000813D0000}"/>
    <cellStyle name="Hed Side 2 2 9 3" xfId="13914" xr:uid="{00000000-0005-0000-0000-0000823D0000}"/>
    <cellStyle name="Hed Side 2 2 9 3 2" xfId="13915" xr:uid="{00000000-0005-0000-0000-0000833D0000}"/>
    <cellStyle name="Hed Side 2 2 9 4" xfId="13916" xr:uid="{00000000-0005-0000-0000-0000843D0000}"/>
    <cellStyle name="Hed Side 2 2 9 4 2" xfId="13917" xr:uid="{00000000-0005-0000-0000-0000853D0000}"/>
    <cellStyle name="Hed Side 2 2 9 5" xfId="13918" xr:uid="{00000000-0005-0000-0000-0000863D0000}"/>
    <cellStyle name="Hed Side 2 2 9 5 2" xfId="13919" xr:uid="{00000000-0005-0000-0000-0000873D0000}"/>
    <cellStyle name="Hed Side 2 2 9 6" xfId="13920" xr:uid="{00000000-0005-0000-0000-0000883D0000}"/>
    <cellStyle name="Hed Side 2 2 9 6 2" xfId="13921" xr:uid="{00000000-0005-0000-0000-0000893D0000}"/>
    <cellStyle name="Hed Side 2 2 9 7" xfId="13922" xr:uid="{00000000-0005-0000-0000-00008A3D0000}"/>
    <cellStyle name="Hed Side 2 2 9 7 2" xfId="13923" xr:uid="{00000000-0005-0000-0000-00008B3D0000}"/>
    <cellStyle name="Hed Side 2 2 9 8" xfId="13924" xr:uid="{00000000-0005-0000-0000-00008C3D0000}"/>
    <cellStyle name="Hed Side 2 2 9 8 2" xfId="13925" xr:uid="{00000000-0005-0000-0000-00008D3D0000}"/>
    <cellStyle name="Hed Side 2 2 9 9" xfId="13926" xr:uid="{00000000-0005-0000-0000-00008E3D0000}"/>
    <cellStyle name="Hed Side 2 2 9 9 2" xfId="13927" xr:uid="{00000000-0005-0000-0000-00008F3D0000}"/>
    <cellStyle name="Hed Side 2 3" xfId="13928" xr:uid="{00000000-0005-0000-0000-0000903D0000}"/>
    <cellStyle name="Hed Side 2 3 10" xfId="13929" xr:uid="{00000000-0005-0000-0000-0000913D0000}"/>
    <cellStyle name="Hed Side 2 3 10 10" xfId="13930" xr:uid="{00000000-0005-0000-0000-0000923D0000}"/>
    <cellStyle name="Hed Side 2 3 10 2" xfId="13931" xr:uid="{00000000-0005-0000-0000-0000933D0000}"/>
    <cellStyle name="Hed Side 2 3 10 2 2" xfId="13932" xr:uid="{00000000-0005-0000-0000-0000943D0000}"/>
    <cellStyle name="Hed Side 2 3 10 3" xfId="13933" xr:uid="{00000000-0005-0000-0000-0000953D0000}"/>
    <cellStyle name="Hed Side 2 3 10 3 2" xfId="13934" xr:uid="{00000000-0005-0000-0000-0000963D0000}"/>
    <cellStyle name="Hed Side 2 3 10 4" xfId="13935" xr:uid="{00000000-0005-0000-0000-0000973D0000}"/>
    <cellStyle name="Hed Side 2 3 10 4 2" xfId="13936" xr:uid="{00000000-0005-0000-0000-0000983D0000}"/>
    <cellStyle name="Hed Side 2 3 10 5" xfId="13937" xr:uid="{00000000-0005-0000-0000-0000993D0000}"/>
    <cellStyle name="Hed Side 2 3 10 5 2" xfId="13938" xr:uid="{00000000-0005-0000-0000-00009A3D0000}"/>
    <cellStyle name="Hed Side 2 3 10 6" xfId="13939" xr:uid="{00000000-0005-0000-0000-00009B3D0000}"/>
    <cellStyle name="Hed Side 2 3 10 6 2" xfId="13940" xr:uid="{00000000-0005-0000-0000-00009C3D0000}"/>
    <cellStyle name="Hed Side 2 3 10 7" xfId="13941" xr:uid="{00000000-0005-0000-0000-00009D3D0000}"/>
    <cellStyle name="Hed Side 2 3 10 7 2" xfId="13942" xr:uid="{00000000-0005-0000-0000-00009E3D0000}"/>
    <cellStyle name="Hed Side 2 3 10 8" xfId="13943" xr:uid="{00000000-0005-0000-0000-00009F3D0000}"/>
    <cellStyle name="Hed Side 2 3 10 8 2" xfId="13944" xr:uid="{00000000-0005-0000-0000-0000A03D0000}"/>
    <cellStyle name="Hed Side 2 3 10 9" xfId="13945" xr:uid="{00000000-0005-0000-0000-0000A13D0000}"/>
    <cellStyle name="Hed Side 2 3 10 9 2" xfId="13946" xr:uid="{00000000-0005-0000-0000-0000A23D0000}"/>
    <cellStyle name="Hed Side 2 3 11" xfId="13947" xr:uid="{00000000-0005-0000-0000-0000A33D0000}"/>
    <cellStyle name="Hed Side 2 3 11 2" xfId="13948" xr:uid="{00000000-0005-0000-0000-0000A43D0000}"/>
    <cellStyle name="Hed Side 2 3 11 2 2" xfId="13949" xr:uid="{00000000-0005-0000-0000-0000A53D0000}"/>
    <cellStyle name="Hed Side 2 3 11 3" xfId="13950" xr:uid="{00000000-0005-0000-0000-0000A63D0000}"/>
    <cellStyle name="Hed Side 2 3 11 3 2" xfId="13951" xr:uid="{00000000-0005-0000-0000-0000A73D0000}"/>
    <cellStyle name="Hed Side 2 3 11 4" xfId="13952" xr:uid="{00000000-0005-0000-0000-0000A83D0000}"/>
    <cellStyle name="Hed Side 2 3 11 4 2" xfId="13953" xr:uid="{00000000-0005-0000-0000-0000A93D0000}"/>
    <cellStyle name="Hed Side 2 3 11 5" xfId="13954" xr:uid="{00000000-0005-0000-0000-0000AA3D0000}"/>
    <cellStyle name="Hed Side 2 3 11 5 2" xfId="13955" xr:uid="{00000000-0005-0000-0000-0000AB3D0000}"/>
    <cellStyle name="Hed Side 2 3 11 6" xfId="13956" xr:uid="{00000000-0005-0000-0000-0000AC3D0000}"/>
    <cellStyle name="Hed Side 2 3 11 6 2" xfId="13957" xr:uid="{00000000-0005-0000-0000-0000AD3D0000}"/>
    <cellStyle name="Hed Side 2 3 11 7" xfId="13958" xr:uid="{00000000-0005-0000-0000-0000AE3D0000}"/>
    <cellStyle name="Hed Side 2 3 11 7 2" xfId="13959" xr:uid="{00000000-0005-0000-0000-0000AF3D0000}"/>
    <cellStyle name="Hed Side 2 3 11 8" xfId="13960" xr:uid="{00000000-0005-0000-0000-0000B03D0000}"/>
    <cellStyle name="Hed Side 2 3 11 8 2" xfId="13961" xr:uid="{00000000-0005-0000-0000-0000B13D0000}"/>
    <cellStyle name="Hed Side 2 3 11 9" xfId="13962" xr:uid="{00000000-0005-0000-0000-0000B23D0000}"/>
    <cellStyle name="Hed Side 2 3 2" xfId="13963" xr:uid="{00000000-0005-0000-0000-0000B33D0000}"/>
    <cellStyle name="Hed Side 2 3 2 10" xfId="13964" xr:uid="{00000000-0005-0000-0000-0000B43D0000}"/>
    <cellStyle name="Hed Side 2 3 2 2" xfId="13965" xr:uid="{00000000-0005-0000-0000-0000B53D0000}"/>
    <cellStyle name="Hed Side 2 3 2 2 2" xfId="13966" xr:uid="{00000000-0005-0000-0000-0000B63D0000}"/>
    <cellStyle name="Hed Side 2 3 2 3" xfId="13967" xr:uid="{00000000-0005-0000-0000-0000B73D0000}"/>
    <cellStyle name="Hed Side 2 3 2 3 2" xfId="13968" xr:uid="{00000000-0005-0000-0000-0000B83D0000}"/>
    <cellStyle name="Hed Side 2 3 2 4" xfId="13969" xr:uid="{00000000-0005-0000-0000-0000B93D0000}"/>
    <cellStyle name="Hed Side 2 3 2 4 2" xfId="13970" xr:uid="{00000000-0005-0000-0000-0000BA3D0000}"/>
    <cellStyle name="Hed Side 2 3 2 5" xfId="13971" xr:uid="{00000000-0005-0000-0000-0000BB3D0000}"/>
    <cellStyle name="Hed Side 2 3 2 5 2" xfId="13972" xr:uid="{00000000-0005-0000-0000-0000BC3D0000}"/>
    <cellStyle name="Hed Side 2 3 2 6" xfId="13973" xr:uid="{00000000-0005-0000-0000-0000BD3D0000}"/>
    <cellStyle name="Hed Side 2 3 2 6 2" xfId="13974" xr:uid="{00000000-0005-0000-0000-0000BE3D0000}"/>
    <cellStyle name="Hed Side 2 3 2 7" xfId="13975" xr:uid="{00000000-0005-0000-0000-0000BF3D0000}"/>
    <cellStyle name="Hed Side 2 3 2 7 2" xfId="13976" xr:uid="{00000000-0005-0000-0000-0000C03D0000}"/>
    <cellStyle name="Hed Side 2 3 2 8" xfId="13977" xr:uid="{00000000-0005-0000-0000-0000C13D0000}"/>
    <cellStyle name="Hed Side 2 3 2 8 2" xfId="13978" xr:uid="{00000000-0005-0000-0000-0000C23D0000}"/>
    <cellStyle name="Hed Side 2 3 2 9" xfId="13979" xr:uid="{00000000-0005-0000-0000-0000C33D0000}"/>
    <cellStyle name="Hed Side 2 3 2 9 2" xfId="13980" xr:uid="{00000000-0005-0000-0000-0000C43D0000}"/>
    <cellStyle name="Hed Side 2 3 3" xfId="13981" xr:uid="{00000000-0005-0000-0000-0000C53D0000}"/>
    <cellStyle name="Hed Side 2 3 3 10" xfId="13982" xr:uid="{00000000-0005-0000-0000-0000C63D0000}"/>
    <cellStyle name="Hed Side 2 3 3 2" xfId="13983" xr:uid="{00000000-0005-0000-0000-0000C73D0000}"/>
    <cellStyle name="Hed Side 2 3 3 2 2" xfId="13984" xr:uid="{00000000-0005-0000-0000-0000C83D0000}"/>
    <cellStyle name="Hed Side 2 3 3 3" xfId="13985" xr:uid="{00000000-0005-0000-0000-0000C93D0000}"/>
    <cellStyle name="Hed Side 2 3 3 3 2" xfId="13986" xr:uid="{00000000-0005-0000-0000-0000CA3D0000}"/>
    <cellStyle name="Hed Side 2 3 3 4" xfId="13987" xr:uid="{00000000-0005-0000-0000-0000CB3D0000}"/>
    <cellStyle name="Hed Side 2 3 3 4 2" xfId="13988" xr:uid="{00000000-0005-0000-0000-0000CC3D0000}"/>
    <cellStyle name="Hed Side 2 3 3 5" xfId="13989" xr:uid="{00000000-0005-0000-0000-0000CD3D0000}"/>
    <cellStyle name="Hed Side 2 3 3 5 2" xfId="13990" xr:uid="{00000000-0005-0000-0000-0000CE3D0000}"/>
    <cellStyle name="Hed Side 2 3 3 6" xfId="13991" xr:uid="{00000000-0005-0000-0000-0000CF3D0000}"/>
    <cellStyle name="Hed Side 2 3 3 6 2" xfId="13992" xr:uid="{00000000-0005-0000-0000-0000D03D0000}"/>
    <cellStyle name="Hed Side 2 3 3 7" xfId="13993" xr:uid="{00000000-0005-0000-0000-0000D13D0000}"/>
    <cellStyle name="Hed Side 2 3 3 7 2" xfId="13994" xr:uid="{00000000-0005-0000-0000-0000D23D0000}"/>
    <cellStyle name="Hed Side 2 3 3 8" xfId="13995" xr:uid="{00000000-0005-0000-0000-0000D33D0000}"/>
    <cellStyle name="Hed Side 2 3 3 8 2" xfId="13996" xr:uid="{00000000-0005-0000-0000-0000D43D0000}"/>
    <cellStyle name="Hed Side 2 3 3 9" xfId="13997" xr:uid="{00000000-0005-0000-0000-0000D53D0000}"/>
    <cellStyle name="Hed Side 2 3 3 9 2" xfId="13998" xr:uid="{00000000-0005-0000-0000-0000D63D0000}"/>
    <cellStyle name="Hed Side 2 3 4" xfId="13999" xr:uid="{00000000-0005-0000-0000-0000D73D0000}"/>
    <cellStyle name="Hed Side 2 3 4 10" xfId="14000" xr:uid="{00000000-0005-0000-0000-0000D83D0000}"/>
    <cellStyle name="Hed Side 2 3 4 2" xfId="14001" xr:uid="{00000000-0005-0000-0000-0000D93D0000}"/>
    <cellStyle name="Hed Side 2 3 4 2 2" xfId="14002" xr:uid="{00000000-0005-0000-0000-0000DA3D0000}"/>
    <cellStyle name="Hed Side 2 3 4 3" xfId="14003" xr:uid="{00000000-0005-0000-0000-0000DB3D0000}"/>
    <cellStyle name="Hed Side 2 3 4 3 2" xfId="14004" xr:uid="{00000000-0005-0000-0000-0000DC3D0000}"/>
    <cellStyle name="Hed Side 2 3 4 4" xfId="14005" xr:uid="{00000000-0005-0000-0000-0000DD3D0000}"/>
    <cellStyle name="Hed Side 2 3 4 4 2" xfId="14006" xr:uid="{00000000-0005-0000-0000-0000DE3D0000}"/>
    <cellStyle name="Hed Side 2 3 4 5" xfId="14007" xr:uid="{00000000-0005-0000-0000-0000DF3D0000}"/>
    <cellStyle name="Hed Side 2 3 4 5 2" xfId="14008" xr:uid="{00000000-0005-0000-0000-0000E03D0000}"/>
    <cellStyle name="Hed Side 2 3 4 6" xfId="14009" xr:uid="{00000000-0005-0000-0000-0000E13D0000}"/>
    <cellStyle name="Hed Side 2 3 4 6 2" xfId="14010" xr:uid="{00000000-0005-0000-0000-0000E23D0000}"/>
    <cellStyle name="Hed Side 2 3 4 7" xfId="14011" xr:uid="{00000000-0005-0000-0000-0000E33D0000}"/>
    <cellStyle name="Hed Side 2 3 4 7 2" xfId="14012" xr:uid="{00000000-0005-0000-0000-0000E43D0000}"/>
    <cellStyle name="Hed Side 2 3 4 8" xfId="14013" xr:uid="{00000000-0005-0000-0000-0000E53D0000}"/>
    <cellStyle name="Hed Side 2 3 4 8 2" xfId="14014" xr:uid="{00000000-0005-0000-0000-0000E63D0000}"/>
    <cellStyle name="Hed Side 2 3 4 9" xfId="14015" xr:uid="{00000000-0005-0000-0000-0000E73D0000}"/>
    <cellStyle name="Hed Side 2 3 4 9 2" xfId="14016" xr:uid="{00000000-0005-0000-0000-0000E83D0000}"/>
    <cellStyle name="Hed Side 2 3 5" xfId="14017" xr:uid="{00000000-0005-0000-0000-0000E93D0000}"/>
    <cellStyle name="Hed Side 2 3 5 10" xfId="14018" xr:uid="{00000000-0005-0000-0000-0000EA3D0000}"/>
    <cellStyle name="Hed Side 2 3 5 2" xfId="14019" xr:uid="{00000000-0005-0000-0000-0000EB3D0000}"/>
    <cellStyle name="Hed Side 2 3 5 2 2" xfId="14020" xr:uid="{00000000-0005-0000-0000-0000EC3D0000}"/>
    <cellStyle name="Hed Side 2 3 5 3" xfId="14021" xr:uid="{00000000-0005-0000-0000-0000ED3D0000}"/>
    <cellStyle name="Hed Side 2 3 5 3 2" xfId="14022" xr:uid="{00000000-0005-0000-0000-0000EE3D0000}"/>
    <cellStyle name="Hed Side 2 3 5 4" xfId="14023" xr:uid="{00000000-0005-0000-0000-0000EF3D0000}"/>
    <cellStyle name="Hed Side 2 3 5 4 2" xfId="14024" xr:uid="{00000000-0005-0000-0000-0000F03D0000}"/>
    <cellStyle name="Hed Side 2 3 5 5" xfId="14025" xr:uid="{00000000-0005-0000-0000-0000F13D0000}"/>
    <cellStyle name="Hed Side 2 3 5 5 2" xfId="14026" xr:uid="{00000000-0005-0000-0000-0000F23D0000}"/>
    <cellStyle name="Hed Side 2 3 5 6" xfId="14027" xr:uid="{00000000-0005-0000-0000-0000F33D0000}"/>
    <cellStyle name="Hed Side 2 3 5 6 2" xfId="14028" xr:uid="{00000000-0005-0000-0000-0000F43D0000}"/>
    <cellStyle name="Hed Side 2 3 5 7" xfId="14029" xr:uid="{00000000-0005-0000-0000-0000F53D0000}"/>
    <cellStyle name="Hed Side 2 3 5 7 2" xfId="14030" xr:uid="{00000000-0005-0000-0000-0000F63D0000}"/>
    <cellStyle name="Hed Side 2 3 5 8" xfId="14031" xr:uid="{00000000-0005-0000-0000-0000F73D0000}"/>
    <cellStyle name="Hed Side 2 3 5 8 2" xfId="14032" xr:uid="{00000000-0005-0000-0000-0000F83D0000}"/>
    <cellStyle name="Hed Side 2 3 5 9" xfId="14033" xr:uid="{00000000-0005-0000-0000-0000F93D0000}"/>
    <cellStyle name="Hed Side 2 3 5 9 2" xfId="14034" xr:uid="{00000000-0005-0000-0000-0000FA3D0000}"/>
    <cellStyle name="Hed Side 2 3 6" xfId="14035" xr:uid="{00000000-0005-0000-0000-0000FB3D0000}"/>
    <cellStyle name="Hed Side 2 3 6 10" xfId="14036" xr:uid="{00000000-0005-0000-0000-0000FC3D0000}"/>
    <cellStyle name="Hed Side 2 3 6 2" xfId="14037" xr:uid="{00000000-0005-0000-0000-0000FD3D0000}"/>
    <cellStyle name="Hed Side 2 3 6 2 2" xfId="14038" xr:uid="{00000000-0005-0000-0000-0000FE3D0000}"/>
    <cellStyle name="Hed Side 2 3 6 3" xfId="14039" xr:uid="{00000000-0005-0000-0000-0000FF3D0000}"/>
    <cellStyle name="Hed Side 2 3 6 3 2" xfId="14040" xr:uid="{00000000-0005-0000-0000-0000003E0000}"/>
    <cellStyle name="Hed Side 2 3 6 4" xfId="14041" xr:uid="{00000000-0005-0000-0000-0000013E0000}"/>
    <cellStyle name="Hed Side 2 3 6 4 2" xfId="14042" xr:uid="{00000000-0005-0000-0000-0000023E0000}"/>
    <cellStyle name="Hed Side 2 3 6 5" xfId="14043" xr:uid="{00000000-0005-0000-0000-0000033E0000}"/>
    <cellStyle name="Hed Side 2 3 6 5 2" xfId="14044" xr:uid="{00000000-0005-0000-0000-0000043E0000}"/>
    <cellStyle name="Hed Side 2 3 6 6" xfId="14045" xr:uid="{00000000-0005-0000-0000-0000053E0000}"/>
    <cellStyle name="Hed Side 2 3 6 6 2" xfId="14046" xr:uid="{00000000-0005-0000-0000-0000063E0000}"/>
    <cellStyle name="Hed Side 2 3 6 7" xfId="14047" xr:uid="{00000000-0005-0000-0000-0000073E0000}"/>
    <cellStyle name="Hed Side 2 3 6 7 2" xfId="14048" xr:uid="{00000000-0005-0000-0000-0000083E0000}"/>
    <cellStyle name="Hed Side 2 3 6 8" xfId="14049" xr:uid="{00000000-0005-0000-0000-0000093E0000}"/>
    <cellStyle name="Hed Side 2 3 6 8 2" xfId="14050" xr:uid="{00000000-0005-0000-0000-00000A3E0000}"/>
    <cellStyle name="Hed Side 2 3 6 9" xfId="14051" xr:uid="{00000000-0005-0000-0000-00000B3E0000}"/>
    <cellStyle name="Hed Side 2 3 6 9 2" xfId="14052" xr:uid="{00000000-0005-0000-0000-00000C3E0000}"/>
    <cellStyle name="Hed Side 2 3 7" xfId="14053" xr:uid="{00000000-0005-0000-0000-00000D3E0000}"/>
    <cellStyle name="Hed Side 2 3 7 10" xfId="14054" xr:uid="{00000000-0005-0000-0000-00000E3E0000}"/>
    <cellStyle name="Hed Side 2 3 7 2" xfId="14055" xr:uid="{00000000-0005-0000-0000-00000F3E0000}"/>
    <cellStyle name="Hed Side 2 3 7 2 2" xfId="14056" xr:uid="{00000000-0005-0000-0000-0000103E0000}"/>
    <cellStyle name="Hed Side 2 3 7 3" xfId="14057" xr:uid="{00000000-0005-0000-0000-0000113E0000}"/>
    <cellStyle name="Hed Side 2 3 7 3 2" xfId="14058" xr:uid="{00000000-0005-0000-0000-0000123E0000}"/>
    <cellStyle name="Hed Side 2 3 7 4" xfId="14059" xr:uid="{00000000-0005-0000-0000-0000133E0000}"/>
    <cellStyle name="Hed Side 2 3 7 4 2" xfId="14060" xr:uid="{00000000-0005-0000-0000-0000143E0000}"/>
    <cellStyle name="Hed Side 2 3 7 5" xfId="14061" xr:uid="{00000000-0005-0000-0000-0000153E0000}"/>
    <cellStyle name="Hed Side 2 3 7 5 2" xfId="14062" xr:uid="{00000000-0005-0000-0000-0000163E0000}"/>
    <cellStyle name="Hed Side 2 3 7 6" xfId="14063" xr:uid="{00000000-0005-0000-0000-0000173E0000}"/>
    <cellStyle name="Hed Side 2 3 7 6 2" xfId="14064" xr:uid="{00000000-0005-0000-0000-0000183E0000}"/>
    <cellStyle name="Hed Side 2 3 7 7" xfId="14065" xr:uid="{00000000-0005-0000-0000-0000193E0000}"/>
    <cellStyle name="Hed Side 2 3 7 7 2" xfId="14066" xr:uid="{00000000-0005-0000-0000-00001A3E0000}"/>
    <cellStyle name="Hed Side 2 3 7 8" xfId="14067" xr:uid="{00000000-0005-0000-0000-00001B3E0000}"/>
    <cellStyle name="Hed Side 2 3 7 8 2" xfId="14068" xr:uid="{00000000-0005-0000-0000-00001C3E0000}"/>
    <cellStyle name="Hed Side 2 3 7 9" xfId="14069" xr:uid="{00000000-0005-0000-0000-00001D3E0000}"/>
    <cellStyle name="Hed Side 2 3 7 9 2" xfId="14070" xr:uid="{00000000-0005-0000-0000-00001E3E0000}"/>
    <cellStyle name="Hed Side 2 3 8" xfId="14071" xr:uid="{00000000-0005-0000-0000-00001F3E0000}"/>
    <cellStyle name="Hed Side 2 3 8 10" xfId="14072" xr:uid="{00000000-0005-0000-0000-0000203E0000}"/>
    <cellStyle name="Hed Side 2 3 8 2" xfId="14073" xr:uid="{00000000-0005-0000-0000-0000213E0000}"/>
    <cellStyle name="Hed Side 2 3 8 2 2" xfId="14074" xr:uid="{00000000-0005-0000-0000-0000223E0000}"/>
    <cellStyle name="Hed Side 2 3 8 3" xfId="14075" xr:uid="{00000000-0005-0000-0000-0000233E0000}"/>
    <cellStyle name="Hed Side 2 3 8 3 2" xfId="14076" xr:uid="{00000000-0005-0000-0000-0000243E0000}"/>
    <cellStyle name="Hed Side 2 3 8 4" xfId="14077" xr:uid="{00000000-0005-0000-0000-0000253E0000}"/>
    <cellStyle name="Hed Side 2 3 8 4 2" xfId="14078" xr:uid="{00000000-0005-0000-0000-0000263E0000}"/>
    <cellStyle name="Hed Side 2 3 8 5" xfId="14079" xr:uid="{00000000-0005-0000-0000-0000273E0000}"/>
    <cellStyle name="Hed Side 2 3 8 5 2" xfId="14080" xr:uid="{00000000-0005-0000-0000-0000283E0000}"/>
    <cellStyle name="Hed Side 2 3 8 6" xfId="14081" xr:uid="{00000000-0005-0000-0000-0000293E0000}"/>
    <cellStyle name="Hed Side 2 3 8 6 2" xfId="14082" xr:uid="{00000000-0005-0000-0000-00002A3E0000}"/>
    <cellStyle name="Hed Side 2 3 8 7" xfId="14083" xr:uid="{00000000-0005-0000-0000-00002B3E0000}"/>
    <cellStyle name="Hed Side 2 3 8 7 2" xfId="14084" xr:uid="{00000000-0005-0000-0000-00002C3E0000}"/>
    <cellStyle name="Hed Side 2 3 8 8" xfId="14085" xr:uid="{00000000-0005-0000-0000-00002D3E0000}"/>
    <cellStyle name="Hed Side 2 3 8 8 2" xfId="14086" xr:uid="{00000000-0005-0000-0000-00002E3E0000}"/>
    <cellStyle name="Hed Side 2 3 8 9" xfId="14087" xr:uid="{00000000-0005-0000-0000-00002F3E0000}"/>
    <cellStyle name="Hed Side 2 3 8 9 2" xfId="14088" xr:uid="{00000000-0005-0000-0000-0000303E0000}"/>
    <cellStyle name="Hed Side 2 3 9" xfId="14089" xr:uid="{00000000-0005-0000-0000-0000313E0000}"/>
    <cellStyle name="Hed Side 2 3 9 10" xfId="14090" xr:uid="{00000000-0005-0000-0000-0000323E0000}"/>
    <cellStyle name="Hed Side 2 3 9 2" xfId="14091" xr:uid="{00000000-0005-0000-0000-0000333E0000}"/>
    <cellStyle name="Hed Side 2 3 9 2 2" xfId="14092" xr:uid="{00000000-0005-0000-0000-0000343E0000}"/>
    <cellStyle name="Hed Side 2 3 9 3" xfId="14093" xr:uid="{00000000-0005-0000-0000-0000353E0000}"/>
    <cellStyle name="Hed Side 2 3 9 3 2" xfId="14094" xr:uid="{00000000-0005-0000-0000-0000363E0000}"/>
    <cellStyle name="Hed Side 2 3 9 4" xfId="14095" xr:uid="{00000000-0005-0000-0000-0000373E0000}"/>
    <cellStyle name="Hed Side 2 3 9 4 2" xfId="14096" xr:uid="{00000000-0005-0000-0000-0000383E0000}"/>
    <cellStyle name="Hed Side 2 3 9 5" xfId="14097" xr:uid="{00000000-0005-0000-0000-0000393E0000}"/>
    <cellStyle name="Hed Side 2 3 9 5 2" xfId="14098" xr:uid="{00000000-0005-0000-0000-00003A3E0000}"/>
    <cellStyle name="Hed Side 2 3 9 6" xfId="14099" xr:uid="{00000000-0005-0000-0000-00003B3E0000}"/>
    <cellStyle name="Hed Side 2 3 9 6 2" xfId="14100" xr:uid="{00000000-0005-0000-0000-00003C3E0000}"/>
    <cellStyle name="Hed Side 2 3 9 7" xfId="14101" xr:uid="{00000000-0005-0000-0000-00003D3E0000}"/>
    <cellStyle name="Hed Side 2 3 9 7 2" xfId="14102" xr:uid="{00000000-0005-0000-0000-00003E3E0000}"/>
    <cellStyle name="Hed Side 2 3 9 8" xfId="14103" xr:uid="{00000000-0005-0000-0000-00003F3E0000}"/>
    <cellStyle name="Hed Side 2 3 9 8 2" xfId="14104" xr:uid="{00000000-0005-0000-0000-0000403E0000}"/>
    <cellStyle name="Hed Side 2 3 9 9" xfId="14105" xr:uid="{00000000-0005-0000-0000-0000413E0000}"/>
    <cellStyle name="Hed Side 2 3 9 9 2" xfId="14106" xr:uid="{00000000-0005-0000-0000-0000423E0000}"/>
    <cellStyle name="Hed Side 2 4" xfId="14107" xr:uid="{00000000-0005-0000-0000-0000433E0000}"/>
    <cellStyle name="Hed Side 2 4 10" xfId="14108" xr:uid="{00000000-0005-0000-0000-0000443E0000}"/>
    <cellStyle name="Hed Side 2 4 10 2" xfId="14109" xr:uid="{00000000-0005-0000-0000-0000453E0000}"/>
    <cellStyle name="Hed Side 2 4 10 2 2" xfId="14110" xr:uid="{00000000-0005-0000-0000-0000463E0000}"/>
    <cellStyle name="Hed Side 2 4 10 3" xfId="14111" xr:uid="{00000000-0005-0000-0000-0000473E0000}"/>
    <cellStyle name="Hed Side 2 4 10 3 2" xfId="14112" xr:uid="{00000000-0005-0000-0000-0000483E0000}"/>
    <cellStyle name="Hed Side 2 4 10 4" xfId="14113" xr:uid="{00000000-0005-0000-0000-0000493E0000}"/>
    <cellStyle name="Hed Side 2 4 10 4 2" xfId="14114" xr:uid="{00000000-0005-0000-0000-00004A3E0000}"/>
    <cellStyle name="Hed Side 2 4 10 5" xfId="14115" xr:uid="{00000000-0005-0000-0000-00004B3E0000}"/>
    <cellStyle name="Hed Side 2 4 10 5 2" xfId="14116" xr:uid="{00000000-0005-0000-0000-00004C3E0000}"/>
    <cellStyle name="Hed Side 2 4 10 6" xfId="14117" xr:uid="{00000000-0005-0000-0000-00004D3E0000}"/>
    <cellStyle name="Hed Side 2 4 10 6 2" xfId="14118" xr:uid="{00000000-0005-0000-0000-00004E3E0000}"/>
    <cellStyle name="Hed Side 2 4 10 7" xfId="14119" xr:uid="{00000000-0005-0000-0000-00004F3E0000}"/>
    <cellStyle name="Hed Side 2 4 10 7 2" xfId="14120" xr:uid="{00000000-0005-0000-0000-0000503E0000}"/>
    <cellStyle name="Hed Side 2 4 10 8" xfId="14121" xr:uid="{00000000-0005-0000-0000-0000513E0000}"/>
    <cellStyle name="Hed Side 2 4 10 8 2" xfId="14122" xr:uid="{00000000-0005-0000-0000-0000523E0000}"/>
    <cellStyle name="Hed Side 2 4 10 9" xfId="14123" xr:uid="{00000000-0005-0000-0000-0000533E0000}"/>
    <cellStyle name="Hed Side 2 4 11" xfId="14124" xr:uid="{00000000-0005-0000-0000-0000543E0000}"/>
    <cellStyle name="Hed Side 2 4 11 2" xfId="14125" xr:uid="{00000000-0005-0000-0000-0000553E0000}"/>
    <cellStyle name="Hed Side 2 4 12" xfId="14126" xr:uid="{00000000-0005-0000-0000-0000563E0000}"/>
    <cellStyle name="Hed Side 2 4 12 2" xfId="14127" xr:uid="{00000000-0005-0000-0000-0000573E0000}"/>
    <cellStyle name="Hed Side 2 4 13" xfId="14128" xr:uid="{00000000-0005-0000-0000-0000583E0000}"/>
    <cellStyle name="Hed Side 2 4 13 2" xfId="14129" xr:uid="{00000000-0005-0000-0000-0000593E0000}"/>
    <cellStyle name="Hed Side 2 4 14" xfId="14130" xr:uid="{00000000-0005-0000-0000-00005A3E0000}"/>
    <cellStyle name="Hed Side 2 4 14 2" xfId="14131" xr:uid="{00000000-0005-0000-0000-00005B3E0000}"/>
    <cellStyle name="Hed Side 2 4 15" xfId="14132" xr:uid="{00000000-0005-0000-0000-00005C3E0000}"/>
    <cellStyle name="Hed Side 2 4 15 2" xfId="14133" xr:uid="{00000000-0005-0000-0000-00005D3E0000}"/>
    <cellStyle name="Hed Side 2 4 16" xfId="14134" xr:uid="{00000000-0005-0000-0000-00005E3E0000}"/>
    <cellStyle name="Hed Side 2 4 16 2" xfId="14135" xr:uid="{00000000-0005-0000-0000-00005F3E0000}"/>
    <cellStyle name="Hed Side 2 4 17" xfId="14136" xr:uid="{00000000-0005-0000-0000-0000603E0000}"/>
    <cellStyle name="Hed Side 2 4 17 2" xfId="14137" xr:uid="{00000000-0005-0000-0000-0000613E0000}"/>
    <cellStyle name="Hed Side 2 4 18" xfId="14138" xr:uid="{00000000-0005-0000-0000-0000623E0000}"/>
    <cellStyle name="Hed Side 2 4 2" xfId="14139" xr:uid="{00000000-0005-0000-0000-0000633E0000}"/>
    <cellStyle name="Hed Side 2 4 2 10" xfId="14140" xr:uid="{00000000-0005-0000-0000-0000643E0000}"/>
    <cellStyle name="Hed Side 2 4 2 2" xfId="14141" xr:uid="{00000000-0005-0000-0000-0000653E0000}"/>
    <cellStyle name="Hed Side 2 4 2 2 2" xfId="14142" xr:uid="{00000000-0005-0000-0000-0000663E0000}"/>
    <cellStyle name="Hed Side 2 4 2 3" xfId="14143" xr:uid="{00000000-0005-0000-0000-0000673E0000}"/>
    <cellStyle name="Hed Side 2 4 2 3 2" xfId="14144" xr:uid="{00000000-0005-0000-0000-0000683E0000}"/>
    <cellStyle name="Hed Side 2 4 2 4" xfId="14145" xr:uid="{00000000-0005-0000-0000-0000693E0000}"/>
    <cellStyle name="Hed Side 2 4 2 4 2" xfId="14146" xr:uid="{00000000-0005-0000-0000-00006A3E0000}"/>
    <cellStyle name="Hed Side 2 4 2 5" xfId="14147" xr:uid="{00000000-0005-0000-0000-00006B3E0000}"/>
    <cellStyle name="Hed Side 2 4 2 5 2" xfId="14148" xr:uid="{00000000-0005-0000-0000-00006C3E0000}"/>
    <cellStyle name="Hed Side 2 4 2 6" xfId="14149" xr:uid="{00000000-0005-0000-0000-00006D3E0000}"/>
    <cellStyle name="Hed Side 2 4 2 6 2" xfId="14150" xr:uid="{00000000-0005-0000-0000-00006E3E0000}"/>
    <cellStyle name="Hed Side 2 4 2 7" xfId="14151" xr:uid="{00000000-0005-0000-0000-00006F3E0000}"/>
    <cellStyle name="Hed Side 2 4 2 7 2" xfId="14152" xr:uid="{00000000-0005-0000-0000-0000703E0000}"/>
    <cellStyle name="Hed Side 2 4 2 8" xfId="14153" xr:uid="{00000000-0005-0000-0000-0000713E0000}"/>
    <cellStyle name="Hed Side 2 4 2 8 2" xfId="14154" xr:uid="{00000000-0005-0000-0000-0000723E0000}"/>
    <cellStyle name="Hed Side 2 4 2 9" xfId="14155" xr:uid="{00000000-0005-0000-0000-0000733E0000}"/>
    <cellStyle name="Hed Side 2 4 2 9 2" xfId="14156" xr:uid="{00000000-0005-0000-0000-0000743E0000}"/>
    <cellStyle name="Hed Side 2 4 3" xfId="14157" xr:uid="{00000000-0005-0000-0000-0000753E0000}"/>
    <cellStyle name="Hed Side 2 4 3 10" xfId="14158" xr:uid="{00000000-0005-0000-0000-0000763E0000}"/>
    <cellStyle name="Hed Side 2 4 3 2" xfId="14159" xr:uid="{00000000-0005-0000-0000-0000773E0000}"/>
    <cellStyle name="Hed Side 2 4 3 2 2" xfId="14160" xr:uid="{00000000-0005-0000-0000-0000783E0000}"/>
    <cellStyle name="Hed Side 2 4 3 3" xfId="14161" xr:uid="{00000000-0005-0000-0000-0000793E0000}"/>
    <cellStyle name="Hed Side 2 4 3 3 2" xfId="14162" xr:uid="{00000000-0005-0000-0000-00007A3E0000}"/>
    <cellStyle name="Hed Side 2 4 3 4" xfId="14163" xr:uid="{00000000-0005-0000-0000-00007B3E0000}"/>
    <cellStyle name="Hed Side 2 4 3 4 2" xfId="14164" xr:uid="{00000000-0005-0000-0000-00007C3E0000}"/>
    <cellStyle name="Hed Side 2 4 3 5" xfId="14165" xr:uid="{00000000-0005-0000-0000-00007D3E0000}"/>
    <cellStyle name="Hed Side 2 4 3 5 2" xfId="14166" xr:uid="{00000000-0005-0000-0000-00007E3E0000}"/>
    <cellStyle name="Hed Side 2 4 3 6" xfId="14167" xr:uid="{00000000-0005-0000-0000-00007F3E0000}"/>
    <cellStyle name="Hed Side 2 4 3 6 2" xfId="14168" xr:uid="{00000000-0005-0000-0000-0000803E0000}"/>
    <cellStyle name="Hed Side 2 4 3 7" xfId="14169" xr:uid="{00000000-0005-0000-0000-0000813E0000}"/>
    <cellStyle name="Hed Side 2 4 3 7 2" xfId="14170" xr:uid="{00000000-0005-0000-0000-0000823E0000}"/>
    <cellStyle name="Hed Side 2 4 3 8" xfId="14171" xr:uid="{00000000-0005-0000-0000-0000833E0000}"/>
    <cellStyle name="Hed Side 2 4 3 8 2" xfId="14172" xr:uid="{00000000-0005-0000-0000-0000843E0000}"/>
    <cellStyle name="Hed Side 2 4 3 9" xfId="14173" xr:uid="{00000000-0005-0000-0000-0000853E0000}"/>
    <cellStyle name="Hed Side 2 4 3 9 2" xfId="14174" xr:uid="{00000000-0005-0000-0000-0000863E0000}"/>
    <cellStyle name="Hed Side 2 4 4" xfId="14175" xr:uid="{00000000-0005-0000-0000-0000873E0000}"/>
    <cellStyle name="Hed Side 2 4 4 10" xfId="14176" xr:uid="{00000000-0005-0000-0000-0000883E0000}"/>
    <cellStyle name="Hed Side 2 4 4 2" xfId="14177" xr:uid="{00000000-0005-0000-0000-0000893E0000}"/>
    <cellStyle name="Hed Side 2 4 4 2 2" xfId="14178" xr:uid="{00000000-0005-0000-0000-00008A3E0000}"/>
    <cellStyle name="Hed Side 2 4 4 3" xfId="14179" xr:uid="{00000000-0005-0000-0000-00008B3E0000}"/>
    <cellStyle name="Hed Side 2 4 4 3 2" xfId="14180" xr:uid="{00000000-0005-0000-0000-00008C3E0000}"/>
    <cellStyle name="Hed Side 2 4 4 4" xfId="14181" xr:uid="{00000000-0005-0000-0000-00008D3E0000}"/>
    <cellStyle name="Hed Side 2 4 4 4 2" xfId="14182" xr:uid="{00000000-0005-0000-0000-00008E3E0000}"/>
    <cellStyle name="Hed Side 2 4 4 5" xfId="14183" xr:uid="{00000000-0005-0000-0000-00008F3E0000}"/>
    <cellStyle name="Hed Side 2 4 4 5 2" xfId="14184" xr:uid="{00000000-0005-0000-0000-0000903E0000}"/>
    <cellStyle name="Hed Side 2 4 4 6" xfId="14185" xr:uid="{00000000-0005-0000-0000-0000913E0000}"/>
    <cellStyle name="Hed Side 2 4 4 6 2" xfId="14186" xr:uid="{00000000-0005-0000-0000-0000923E0000}"/>
    <cellStyle name="Hed Side 2 4 4 7" xfId="14187" xr:uid="{00000000-0005-0000-0000-0000933E0000}"/>
    <cellStyle name="Hed Side 2 4 4 7 2" xfId="14188" xr:uid="{00000000-0005-0000-0000-0000943E0000}"/>
    <cellStyle name="Hed Side 2 4 4 8" xfId="14189" xr:uid="{00000000-0005-0000-0000-0000953E0000}"/>
    <cellStyle name="Hed Side 2 4 4 8 2" xfId="14190" xr:uid="{00000000-0005-0000-0000-0000963E0000}"/>
    <cellStyle name="Hed Side 2 4 4 9" xfId="14191" xr:uid="{00000000-0005-0000-0000-0000973E0000}"/>
    <cellStyle name="Hed Side 2 4 4 9 2" xfId="14192" xr:uid="{00000000-0005-0000-0000-0000983E0000}"/>
    <cellStyle name="Hed Side 2 4 5" xfId="14193" xr:uid="{00000000-0005-0000-0000-0000993E0000}"/>
    <cellStyle name="Hed Side 2 4 5 10" xfId="14194" xr:uid="{00000000-0005-0000-0000-00009A3E0000}"/>
    <cellStyle name="Hed Side 2 4 5 2" xfId="14195" xr:uid="{00000000-0005-0000-0000-00009B3E0000}"/>
    <cellStyle name="Hed Side 2 4 5 2 2" xfId="14196" xr:uid="{00000000-0005-0000-0000-00009C3E0000}"/>
    <cellStyle name="Hed Side 2 4 5 3" xfId="14197" xr:uid="{00000000-0005-0000-0000-00009D3E0000}"/>
    <cellStyle name="Hed Side 2 4 5 3 2" xfId="14198" xr:uid="{00000000-0005-0000-0000-00009E3E0000}"/>
    <cellStyle name="Hed Side 2 4 5 4" xfId="14199" xr:uid="{00000000-0005-0000-0000-00009F3E0000}"/>
    <cellStyle name="Hed Side 2 4 5 4 2" xfId="14200" xr:uid="{00000000-0005-0000-0000-0000A03E0000}"/>
    <cellStyle name="Hed Side 2 4 5 5" xfId="14201" xr:uid="{00000000-0005-0000-0000-0000A13E0000}"/>
    <cellStyle name="Hed Side 2 4 5 5 2" xfId="14202" xr:uid="{00000000-0005-0000-0000-0000A23E0000}"/>
    <cellStyle name="Hed Side 2 4 5 6" xfId="14203" xr:uid="{00000000-0005-0000-0000-0000A33E0000}"/>
    <cellStyle name="Hed Side 2 4 5 6 2" xfId="14204" xr:uid="{00000000-0005-0000-0000-0000A43E0000}"/>
    <cellStyle name="Hed Side 2 4 5 7" xfId="14205" xr:uid="{00000000-0005-0000-0000-0000A53E0000}"/>
    <cellStyle name="Hed Side 2 4 5 7 2" xfId="14206" xr:uid="{00000000-0005-0000-0000-0000A63E0000}"/>
    <cellStyle name="Hed Side 2 4 5 8" xfId="14207" xr:uid="{00000000-0005-0000-0000-0000A73E0000}"/>
    <cellStyle name="Hed Side 2 4 5 8 2" xfId="14208" xr:uid="{00000000-0005-0000-0000-0000A83E0000}"/>
    <cellStyle name="Hed Side 2 4 5 9" xfId="14209" xr:uid="{00000000-0005-0000-0000-0000A93E0000}"/>
    <cellStyle name="Hed Side 2 4 5 9 2" xfId="14210" xr:uid="{00000000-0005-0000-0000-0000AA3E0000}"/>
    <cellStyle name="Hed Side 2 4 6" xfId="14211" xr:uid="{00000000-0005-0000-0000-0000AB3E0000}"/>
    <cellStyle name="Hed Side 2 4 6 10" xfId="14212" xr:uid="{00000000-0005-0000-0000-0000AC3E0000}"/>
    <cellStyle name="Hed Side 2 4 6 2" xfId="14213" xr:uid="{00000000-0005-0000-0000-0000AD3E0000}"/>
    <cellStyle name="Hed Side 2 4 6 2 2" xfId="14214" xr:uid="{00000000-0005-0000-0000-0000AE3E0000}"/>
    <cellStyle name="Hed Side 2 4 6 3" xfId="14215" xr:uid="{00000000-0005-0000-0000-0000AF3E0000}"/>
    <cellStyle name="Hed Side 2 4 6 3 2" xfId="14216" xr:uid="{00000000-0005-0000-0000-0000B03E0000}"/>
    <cellStyle name="Hed Side 2 4 6 4" xfId="14217" xr:uid="{00000000-0005-0000-0000-0000B13E0000}"/>
    <cellStyle name="Hed Side 2 4 6 4 2" xfId="14218" xr:uid="{00000000-0005-0000-0000-0000B23E0000}"/>
    <cellStyle name="Hed Side 2 4 6 5" xfId="14219" xr:uid="{00000000-0005-0000-0000-0000B33E0000}"/>
    <cellStyle name="Hed Side 2 4 6 5 2" xfId="14220" xr:uid="{00000000-0005-0000-0000-0000B43E0000}"/>
    <cellStyle name="Hed Side 2 4 6 6" xfId="14221" xr:uid="{00000000-0005-0000-0000-0000B53E0000}"/>
    <cellStyle name="Hed Side 2 4 6 6 2" xfId="14222" xr:uid="{00000000-0005-0000-0000-0000B63E0000}"/>
    <cellStyle name="Hed Side 2 4 6 7" xfId="14223" xr:uid="{00000000-0005-0000-0000-0000B73E0000}"/>
    <cellStyle name="Hed Side 2 4 6 7 2" xfId="14224" xr:uid="{00000000-0005-0000-0000-0000B83E0000}"/>
    <cellStyle name="Hed Side 2 4 6 8" xfId="14225" xr:uid="{00000000-0005-0000-0000-0000B93E0000}"/>
    <cellStyle name="Hed Side 2 4 6 8 2" xfId="14226" xr:uid="{00000000-0005-0000-0000-0000BA3E0000}"/>
    <cellStyle name="Hed Side 2 4 6 9" xfId="14227" xr:uid="{00000000-0005-0000-0000-0000BB3E0000}"/>
    <cellStyle name="Hed Side 2 4 6 9 2" xfId="14228" xr:uid="{00000000-0005-0000-0000-0000BC3E0000}"/>
    <cellStyle name="Hed Side 2 4 7" xfId="14229" xr:uid="{00000000-0005-0000-0000-0000BD3E0000}"/>
    <cellStyle name="Hed Side 2 4 7 10" xfId="14230" xr:uid="{00000000-0005-0000-0000-0000BE3E0000}"/>
    <cellStyle name="Hed Side 2 4 7 2" xfId="14231" xr:uid="{00000000-0005-0000-0000-0000BF3E0000}"/>
    <cellStyle name="Hed Side 2 4 7 2 2" xfId="14232" xr:uid="{00000000-0005-0000-0000-0000C03E0000}"/>
    <cellStyle name="Hed Side 2 4 7 3" xfId="14233" xr:uid="{00000000-0005-0000-0000-0000C13E0000}"/>
    <cellStyle name="Hed Side 2 4 7 3 2" xfId="14234" xr:uid="{00000000-0005-0000-0000-0000C23E0000}"/>
    <cellStyle name="Hed Side 2 4 7 4" xfId="14235" xr:uid="{00000000-0005-0000-0000-0000C33E0000}"/>
    <cellStyle name="Hed Side 2 4 7 4 2" xfId="14236" xr:uid="{00000000-0005-0000-0000-0000C43E0000}"/>
    <cellStyle name="Hed Side 2 4 7 5" xfId="14237" xr:uid="{00000000-0005-0000-0000-0000C53E0000}"/>
    <cellStyle name="Hed Side 2 4 7 5 2" xfId="14238" xr:uid="{00000000-0005-0000-0000-0000C63E0000}"/>
    <cellStyle name="Hed Side 2 4 7 6" xfId="14239" xr:uid="{00000000-0005-0000-0000-0000C73E0000}"/>
    <cellStyle name="Hed Side 2 4 7 6 2" xfId="14240" xr:uid="{00000000-0005-0000-0000-0000C83E0000}"/>
    <cellStyle name="Hed Side 2 4 7 7" xfId="14241" xr:uid="{00000000-0005-0000-0000-0000C93E0000}"/>
    <cellStyle name="Hed Side 2 4 7 7 2" xfId="14242" xr:uid="{00000000-0005-0000-0000-0000CA3E0000}"/>
    <cellStyle name="Hed Side 2 4 7 8" xfId="14243" xr:uid="{00000000-0005-0000-0000-0000CB3E0000}"/>
    <cellStyle name="Hed Side 2 4 7 8 2" xfId="14244" xr:uid="{00000000-0005-0000-0000-0000CC3E0000}"/>
    <cellStyle name="Hed Side 2 4 7 9" xfId="14245" xr:uid="{00000000-0005-0000-0000-0000CD3E0000}"/>
    <cellStyle name="Hed Side 2 4 7 9 2" xfId="14246" xr:uid="{00000000-0005-0000-0000-0000CE3E0000}"/>
    <cellStyle name="Hed Side 2 4 8" xfId="14247" xr:uid="{00000000-0005-0000-0000-0000CF3E0000}"/>
    <cellStyle name="Hed Side 2 4 8 10" xfId="14248" xr:uid="{00000000-0005-0000-0000-0000D03E0000}"/>
    <cellStyle name="Hed Side 2 4 8 2" xfId="14249" xr:uid="{00000000-0005-0000-0000-0000D13E0000}"/>
    <cellStyle name="Hed Side 2 4 8 2 2" xfId="14250" xr:uid="{00000000-0005-0000-0000-0000D23E0000}"/>
    <cellStyle name="Hed Side 2 4 8 3" xfId="14251" xr:uid="{00000000-0005-0000-0000-0000D33E0000}"/>
    <cellStyle name="Hed Side 2 4 8 3 2" xfId="14252" xr:uid="{00000000-0005-0000-0000-0000D43E0000}"/>
    <cellStyle name="Hed Side 2 4 8 4" xfId="14253" xr:uid="{00000000-0005-0000-0000-0000D53E0000}"/>
    <cellStyle name="Hed Side 2 4 8 4 2" xfId="14254" xr:uid="{00000000-0005-0000-0000-0000D63E0000}"/>
    <cellStyle name="Hed Side 2 4 8 5" xfId="14255" xr:uid="{00000000-0005-0000-0000-0000D73E0000}"/>
    <cellStyle name="Hed Side 2 4 8 5 2" xfId="14256" xr:uid="{00000000-0005-0000-0000-0000D83E0000}"/>
    <cellStyle name="Hed Side 2 4 8 6" xfId="14257" xr:uid="{00000000-0005-0000-0000-0000D93E0000}"/>
    <cellStyle name="Hed Side 2 4 8 6 2" xfId="14258" xr:uid="{00000000-0005-0000-0000-0000DA3E0000}"/>
    <cellStyle name="Hed Side 2 4 8 7" xfId="14259" xr:uid="{00000000-0005-0000-0000-0000DB3E0000}"/>
    <cellStyle name="Hed Side 2 4 8 7 2" xfId="14260" xr:uid="{00000000-0005-0000-0000-0000DC3E0000}"/>
    <cellStyle name="Hed Side 2 4 8 8" xfId="14261" xr:uid="{00000000-0005-0000-0000-0000DD3E0000}"/>
    <cellStyle name="Hed Side 2 4 8 8 2" xfId="14262" xr:uid="{00000000-0005-0000-0000-0000DE3E0000}"/>
    <cellStyle name="Hed Side 2 4 8 9" xfId="14263" xr:uid="{00000000-0005-0000-0000-0000DF3E0000}"/>
    <cellStyle name="Hed Side 2 4 8 9 2" xfId="14264" xr:uid="{00000000-0005-0000-0000-0000E03E0000}"/>
    <cellStyle name="Hed Side 2 4 9" xfId="14265" xr:uid="{00000000-0005-0000-0000-0000E13E0000}"/>
    <cellStyle name="Hed Side 2 4 9 10" xfId="14266" xr:uid="{00000000-0005-0000-0000-0000E23E0000}"/>
    <cellStyle name="Hed Side 2 4 9 2" xfId="14267" xr:uid="{00000000-0005-0000-0000-0000E33E0000}"/>
    <cellStyle name="Hed Side 2 4 9 2 2" xfId="14268" xr:uid="{00000000-0005-0000-0000-0000E43E0000}"/>
    <cellStyle name="Hed Side 2 4 9 3" xfId="14269" xr:uid="{00000000-0005-0000-0000-0000E53E0000}"/>
    <cellStyle name="Hed Side 2 4 9 3 2" xfId="14270" xr:uid="{00000000-0005-0000-0000-0000E63E0000}"/>
    <cellStyle name="Hed Side 2 4 9 4" xfId="14271" xr:uid="{00000000-0005-0000-0000-0000E73E0000}"/>
    <cellStyle name="Hed Side 2 4 9 4 2" xfId="14272" xr:uid="{00000000-0005-0000-0000-0000E83E0000}"/>
    <cellStyle name="Hed Side 2 4 9 5" xfId="14273" xr:uid="{00000000-0005-0000-0000-0000E93E0000}"/>
    <cellStyle name="Hed Side 2 4 9 5 2" xfId="14274" xr:uid="{00000000-0005-0000-0000-0000EA3E0000}"/>
    <cellStyle name="Hed Side 2 4 9 6" xfId="14275" xr:uid="{00000000-0005-0000-0000-0000EB3E0000}"/>
    <cellStyle name="Hed Side 2 4 9 6 2" xfId="14276" xr:uid="{00000000-0005-0000-0000-0000EC3E0000}"/>
    <cellStyle name="Hed Side 2 4 9 7" xfId="14277" xr:uid="{00000000-0005-0000-0000-0000ED3E0000}"/>
    <cellStyle name="Hed Side 2 4 9 7 2" xfId="14278" xr:uid="{00000000-0005-0000-0000-0000EE3E0000}"/>
    <cellStyle name="Hed Side 2 4 9 8" xfId="14279" xr:uid="{00000000-0005-0000-0000-0000EF3E0000}"/>
    <cellStyle name="Hed Side 2 4 9 8 2" xfId="14280" xr:uid="{00000000-0005-0000-0000-0000F03E0000}"/>
    <cellStyle name="Hed Side 2 4 9 9" xfId="14281" xr:uid="{00000000-0005-0000-0000-0000F13E0000}"/>
    <cellStyle name="Hed Side 2 4 9 9 2" xfId="14282" xr:uid="{00000000-0005-0000-0000-0000F23E0000}"/>
    <cellStyle name="Hed Side 2 5" xfId="14283" xr:uid="{00000000-0005-0000-0000-0000F33E0000}"/>
    <cellStyle name="Hed Side 2 5 10" xfId="14284" xr:uid="{00000000-0005-0000-0000-0000F43E0000}"/>
    <cellStyle name="Hed Side 2 5 10 2" xfId="14285" xr:uid="{00000000-0005-0000-0000-0000F53E0000}"/>
    <cellStyle name="Hed Side 2 5 10 2 2" xfId="14286" xr:uid="{00000000-0005-0000-0000-0000F63E0000}"/>
    <cellStyle name="Hed Side 2 5 10 3" xfId="14287" xr:uid="{00000000-0005-0000-0000-0000F73E0000}"/>
    <cellStyle name="Hed Side 2 5 10 3 2" xfId="14288" xr:uid="{00000000-0005-0000-0000-0000F83E0000}"/>
    <cellStyle name="Hed Side 2 5 10 4" xfId="14289" xr:uid="{00000000-0005-0000-0000-0000F93E0000}"/>
    <cellStyle name="Hed Side 2 5 10 4 2" xfId="14290" xr:uid="{00000000-0005-0000-0000-0000FA3E0000}"/>
    <cellStyle name="Hed Side 2 5 10 5" xfId="14291" xr:uid="{00000000-0005-0000-0000-0000FB3E0000}"/>
    <cellStyle name="Hed Side 2 5 10 5 2" xfId="14292" xr:uid="{00000000-0005-0000-0000-0000FC3E0000}"/>
    <cellStyle name="Hed Side 2 5 10 6" xfId="14293" xr:uid="{00000000-0005-0000-0000-0000FD3E0000}"/>
    <cellStyle name="Hed Side 2 5 10 6 2" xfId="14294" xr:uid="{00000000-0005-0000-0000-0000FE3E0000}"/>
    <cellStyle name="Hed Side 2 5 10 7" xfId="14295" xr:uid="{00000000-0005-0000-0000-0000FF3E0000}"/>
    <cellStyle name="Hed Side 2 5 10 7 2" xfId="14296" xr:uid="{00000000-0005-0000-0000-0000003F0000}"/>
    <cellStyle name="Hed Side 2 5 10 8" xfId="14297" xr:uid="{00000000-0005-0000-0000-0000013F0000}"/>
    <cellStyle name="Hed Side 2 5 10 8 2" xfId="14298" xr:uid="{00000000-0005-0000-0000-0000023F0000}"/>
    <cellStyle name="Hed Side 2 5 10 9" xfId="14299" xr:uid="{00000000-0005-0000-0000-0000033F0000}"/>
    <cellStyle name="Hed Side 2 5 11" xfId="14300" xr:uid="{00000000-0005-0000-0000-0000043F0000}"/>
    <cellStyle name="Hed Side 2 5 11 2" xfId="14301" xr:uid="{00000000-0005-0000-0000-0000053F0000}"/>
    <cellStyle name="Hed Side 2 5 12" xfId="14302" xr:uid="{00000000-0005-0000-0000-0000063F0000}"/>
    <cellStyle name="Hed Side 2 5 12 2" xfId="14303" xr:uid="{00000000-0005-0000-0000-0000073F0000}"/>
    <cellStyle name="Hed Side 2 5 13" xfId="14304" xr:uid="{00000000-0005-0000-0000-0000083F0000}"/>
    <cellStyle name="Hed Side 2 5 13 2" xfId="14305" xr:uid="{00000000-0005-0000-0000-0000093F0000}"/>
    <cellStyle name="Hed Side 2 5 14" xfId="14306" xr:uid="{00000000-0005-0000-0000-00000A3F0000}"/>
    <cellStyle name="Hed Side 2 5 14 2" xfId="14307" xr:uid="{00000000-0005-0000-0000-00000B3F0000}"/>
    <cellStyle name="Hed Side 2 5 15" xfId="14308" xr:uid="{00000000-0005-0000-0000-00000C3F0000}"/>
    <cellStyle name="Hed Side 2 5 15 2" xfId="14309" xr:uid="{00000000-0005-0000-0000-00000D3F0000}"/>
    <cellStyle name="Hed Side 2 5 16" xfId="14310" xr:uid="{00000000-0005-0000-0000-00000E3F0000}"/>
    <cellStyle name="Hed Side 2 5 16 2" xfId="14311" xr:uid="{00000000-0005-0000-0000-00000F3F0000}"/>
    <cellStyle name="Hed Side 2 5 17" xfId="14312" xr:uid="{00000000-0005-0000-0000-0000103F0000}"/>
    <cellStyle name="Hed Side 2 5 17 2" xfId="14313" xr:uid="{00000000-0005-0000-0000-0000113F0000}"/>
    <cellStyle name="Hed Side 2 5 18" xfId="14314" xr:uid="{00000000-0005-0000-0000-0000123F0000}"/>
    <cellStyle name="Hed Side 2 5 2" xfId="14315" xr:uid="{00000000-0005-0000-0000-0000133F0000}"/>
    <cellStyle name="Hed Side 2 5 2 10" xfId="14316" xr:uid="{00000000-0005-0000-0000-0000143F0000}"/>
    <cellStyle name="Hed Side 2 5 2 2" xfId="14317" xr:uid="{00000000-0005-0000-0000-0000153F0000}"/>
    <cellStyle name="Hed Side 2 5 2 2 2" xfId="14318" xr:uid="{00000000-0005-0000-0000-0000163F0000}"/>
    <cellStyle name="Hed Side 2 5 2 3" xfId="14319" xr:uid="{00000000-0005-0000-0000-0000173F0000}"/>
    <cellStyle name="Hed Side 2 5 2 3 2" xfId="14320" xr:uid="{00000000-0005-0000-0000-0000183F0000}"/>
    <cellStyle name="Hed Side 2 5 2 4" xfId="14321" xr:uid="{00000000-0005-0000-0000-0000193F0000}"/>
    <cellStyle name="Hed Side 2 5 2 4 2" xfId="14322" xr:uid="{00000000-0005-0000-0000-00001A3F0000}"/>
    <cellStyle name="Hed Side 2 5 2 5" xfId="14323" xr:uid="{00000000-0005-0000-0000-00001B3F0000}"/>
    <cellStyle name="Hed Side 2 5 2 5 2" xfId="14324" xr:uid="{00000000-0005-0000-0000-00001C3F0000}"/>
    <cellStyle name="Hed Side 2 5 2 6" xfId="14325" xr:uid="{00000000-0005-0000-0000-00001D3F0000}"/>
    <cellStyle name="Hed Side 2 5 2 6 2" xfId="14326" xr:uid="{00000000-0005-0000-0000-00001E3F0000}"/>
    <cellStyle name="Hed Side 2 5 2 7" xfId="14327" xr:uid="{00000000-0005-0000-0000-00001F3F0000}"/>
    <cellStyle name="Hed Side 2 5 2 7 2" xfId="14328" xr:uid="{00000000-0005-0000-0000-0000203F0000}"/>
    <cellStyle name="Hed Side 2 5 2 8" xfId="14329" xr:uid="{00000000-0005-0000-0000-0000213F0000}"/>
    <cellStyle name="Hed Side 2 5 2 8 2" xfId="14330" xr:uid="{00000000-0005-0000-0000-0000223F0000}"/>
    <cellStyle name="Hed Side 2 5 2 9" xfId="14331" xr:uid="{00000000-0005-0000-0000-0000233F0000}"/>
    <cellStyle name="Hed Side 2 5 2 9 2" xfId="14332" xr:uid="{00000000-0005-0000-0000-0000243F0000}"/>
    <cellStyle name="Hed Side 2 5 3" xfId="14333" xr:uid="{00000000-0005-0000-0000-0000253F0000}"/>
    <cellStyle name="Hed Side 2 5 3 10" xfId="14334" xr:uid="{00000000-0005-0000-0000-0000263F0000}"/>
    <cellStyle name="Hed Side 2 5 3 2" xfId="14335" xr:uid="{00000000-0005-0000-0000-0000273F0000}"/>
    <cellStyle name="Hed Side 2 5 3 2 2" xfId="14336" xr:uid="{00000000-0005-0000-0000-0000283F0000}"/>
    <cellStyle name="Hed Side 2 5 3 3" xfId="14337" xr:uid="{00000000-0005-0000-0000-0000293F0000}"/>
    <cellStyle name="Hed Side 2 5 3 3 2" xfId="14338" xr:uid="{00000000-0005-0000-0000-00002A3F0000}"/>
    <cellStyle name="Hed Side 2 5 3 4" xfId="14339" xr:uid="{00000000-0005-0000-0000-00002B3F0000}"/>
    <cellStyle name="Hed Side 2 5 3 4 2" xfId="14340" xr:uid="{00000000-0005-0000-0000-00002C3F0000}"/>
    <cellStyle name="Hed Side 2 5 3 5" xfId="14341" xr:uid="{00000000-0005-0000-0000-00002D3F0000}"/>
    <cellStyle name="Hed Side 2 5 3 5 2" xfId="14342" xr:uid="{00000000-0005-0000-0000-00002E3F0000}"/>
    <cellStyle name="Hed Side 2 5 3 6" xfId="14343" xr:uid="{00000000-0005-0000-0000-00002F3F0000}"/>
    <cellStyle name="Hed Side 2 5 3 6 2" xfId="14344" xr:uid="{00000000-0005-0000-0000-0000303F0000}"/>
    <cellStyle name="Hed Side 2 5 3 7" xfId="14345" xr:uid="{00000000-0005-0000-0000-0000313F0000}"/>
    <cellStyle name="Hed Side 2 5 3 7 2" xfId="14346" xr:uid="{00000000-0005-0000-0000-0000323F0000}"/>
    <cellStyle name="Hed Side 2 5 3 8" xfId="14347" xr:uid="{00000000-0005-0000-0000-0000333F0000}"/>
    <cellStyle name="Hed Side 2 5 3 8 2" xfId="14348" xr:uid="{00000000-0005-0000-0000-0000343F0000}"/>
    <cellStyle name="Hed Side 2 5 3 9" xfId="14349" xr:uid="{00000000-0005-0000-0000-0000353F0000}"/>
    <cellStyle name="Hed Side 2 5 3 9 2" xfId="14350" xr:uid="{00000000-0005-0000-0000-0000363F0000}"/>
    <cellStyle name="Hed Side 2 5 4" xfId="14351" xr:uid="{00000000-0005-0000-0000-0000373F0000}"/>
    <cellStyle name="Hed Side 2 5 4 10" xfId="14352" xr:uid="{00000000-0005-0000-0000-0000383F0000}"/>
    <cellStyle name="Hed Side 2 5 4 2" xfId="14353" xr:uid="{00000000-0005-0000-0000-0000393F0000}"/>
    <cellStyle name="Hed Side 2 5 4 2 2" xfId="14354" xr:uid="{00000000-0005-0000-0000-00003A3F0000}"/>
    <cellStyle name="Hed Side 2 5 4 3" xfId="14355" xr:uid="{00000000-0005-0000-0000-00003B3F0000}"/>
    <cellStyle name="Hed Side 2 5 4 3 2" xfId="14356" xr:uid="{00000000-0005-0000-0000-00003C3F0000}"/>
    <cellStyle name="Hed Side 2 5 4 4" xfId="14357" xr:uid="{00000000-0005-0000-0000-00003D3F0000}"/>
    <cellStyle name="Hed Side 2 5 4 4 2" xfId="14358" xr:uid="{00000000-0005-0000-0000-00003E3F0000}"/>
    <cellStyle name="Hed Side 2 5 4 5" xfId="14359" xr:uid="{00000000-0005-0000-0000-00003F3F0000}"/>
    <cellStyle name="Hed Side 2 5 4 5 2" xfId="14360" xr:uid="{00000000-0005-0000-0000-0000403F0000}"/>
    <cellStyle name="Hed Side 2 5 4 6" xfId="14361" xr:uid="{00000000-0005-0000-0000-0000413F0000}"/>
    <cellStyle name="Hed Side 2 5 4 6 2" xfId="14362" xr:uid="{00000000-0005-0000-0000-0000423F0000}"/>
    <cellStyle name="Hed Side 2 5 4 7" xfId="14363" xr:uid="{00000000-0005-0000-0000-0000433F0000}"/>
    <cellStyle name="Hed Side 2 5 4 7 2" xfId="14364" xr:uid="{00000000-0005-0000-0000-0000443F0000}"/>
    <cellStyle name="Hed Side 2 5 4 8" xfId="14365" xr:uid="{00000000-0005-0000-0000-0000453F0000}"/>
    <cellStyle name="Hed Side 2 5 4 8 2" xfId="14366" xr:uid="{00000000-0005-0000-0000-0000463F0000}"/>
    <cellStyle name="Hed Side 2 5 4 9" xfId="14367" xr:uid="{00000000-0005-0000-0000-0000473F0000}"/>
    <cellStyle name="Hed Side 2 5 4 9 2" xfId="14368" xr:uid="{00000000-0005-0000-0000-0000483F0000}"/>
    <cellStyle name="Hed Side 2 5 5" xfId="14369" xr:uid="{00000000-0005-0000-0000-0000493F0000}"/>
    <cellStyle name="Hed Side 2 5 5 10" xfId="14370" xr:uid="{00000000-0005-0000-0000-00004A3F0000}"/>
    <cellStyle name="Hed Side 2 5 5 2" xfId="14371" xr:uid="{00000000-0005-0000-0000-00004B3F0000}"/>
    <cellStyle name="Hed Side 2 5 5 2 2" xfId="14372" xr:uid="{00000000-0005-0000-0000-00004C3F0000}"/>
    <cellStyle name="Hed Side 2 5 5 3" xfId="14373" xr:uid="{00000000-0005-0000-0000-00004D3F0000}"/>
    <cellStyle name="Hed Side 2 5 5 3 2" xfId="14374" xr:uid="{00000000-0005-0000-0000-00004E3F0000}"/>
    <cellStyle name="Hed Side 2 5 5 4" xfId="14375" xr:uid="{00000000-0005-0000-0000-00004F3F0000}"/>
    <cellStyle name="Hed Side 2 5 5 4 2" xfId="14376" xr:uid="{00000000-0005-0000-0000-0000503F0000}"/>
    <cellStyle name="Hed Side 2 5 5 5" xfId="14377" xr:uid="{00000000-0005-0000-0000-0000513F0000}"/>
    <cellStyle name="Hed Side 2 5 5 5 2" xfId="14378" xr:uid="{00000000-0005-0000-0000-0000523F0000}"/>
    <cellStyle name="Hed Side 2 5 5 6" xfId="14379" xr:uid="{00000000-0005-0000-0000-0000533F0000}"/>
    <cellStyle name="Hed Side 2 5 5 6 2" xfId="14380" xr:uid="{00000000-0005-0000-0000-0000543F0000}"/>
    <cellStyle name="Hed Side 2 5 5 7" xfId="14381" xr:uid="{00000000-0005-0000-0000-0000553F0000}"/>
    <cellStyle name="Hed Side 2 5 5 7 2" xfId="14382" xr:uid="{00000000-0005-0000-0000-0000563F0000}"/>
    <cellStyle name="Hed Side 2 5 5 8" xfId="14383" xr:uid="{00000000-0005-0000-0000-0000573F0000}"/>
    <cellStyle name="Hed Side 2 5 5 8 2" xfId="14384" xr:uid="{00000000-0005-0000-0000-0000583F0000}"/>
    <cellStyle name="Hed Side 2 5 5 9" xfId="14385" xr:uid="{00000000-0005-0000-0000-0000593F0000}"/>
    <cellStyle name="Hed Side 2 5 5 9 2" xfId="14386" xr:uid="{00000000-0005-0000-0000-00005A3F0000}"/>
    <cellStyle name="Hed Side 2 5 6" xfId="14387" xr:uid="{00000000-0005-0000-0000-00005B3F0000}"/>
    <cellStyle name="Hed Side 2 5 6 10" xfId="14388" xr:uid="{00000000-0005-0000-0000-00005C3F0000}"/>
    <cellStyle name="Hed Side 2 5 6 2" xfId="14389" xr:uid="{00000000-0005-0000-0000-00005D3F0000}"/>
    <cellStyle name="Hed Side 2 5 6 2 2" xfId="14390" xr:uid="{00000000-0005-0000-0000-00005E3F0000}"/>
    <cellStyle name="Hed Side 2 5 6 3" xfId="14391" xr:uid="{00000000-0005-0000-0000-00005F3F0000}"/>
    <cellStyle name="Hed Side 2 5 6 3 2" xfId="14392" xr:uid="{00000000-0005-0000-0000-0000603F0000}"/>
    <cellStyle name="Hed Side 2 5 6 4" xfId="14393" xr:uid="{00000000-0005-0000-0000-0000613F0000}"/>
    <cellStyle name="Hed Side 2 5 6 4 2" xfId="14394" xr:uid="{00000000-0005-0000-0000-0000623F0000}"/>
    <cellStyle name="Hed Side 2 5 6 5" xfId="14395" xr:uid="{00000000-0005-0000-0000-0000633F0000}"/>
    <cellStyle name="Hed Side 2 5 6 5 2" xfId="14396" xr:uid="{00000000-0005-0000-0000-0000643F0000}"/>
    <cellStyle name="Hed Side 2 5 6 6" xfId="14397" xr:uid="{00000000-0005-0000-0000-0000653F0000}"/>
    <cellStyle name="Hed Side 2 5 6 6 2" xfId="14398" xr:uid="{00000000-0005-0000-0000-0000663F0000}"/>
    <cellStyle name="Hed Side 2 5 6 7" xfId="14399" xr:uid="{00000000-0005-0000-0000-0000673F0000}"/>
    <cellStyle name="Hed Side 2 5 6 7 2" xfId="14400" xr:uid="{00000000-0005-0000-0000-0000683F0000}"/>
    <cellStyle name="Hed Side 2 5 6 8" xfId="14401" xr:uid="{00000000-0005-0000-0000-0000693F0000}"/>
    <cellStyle name="Hed Side 2 5 6 8 2" xfId="14402" xr:uid="{00000000-0005-0000-0000-00006A3F0000}"/>
    <cellStyle name="Hed Side 2 5 6 9" xfId="14403" xr:uid="{00000000-0005-0000-0000-00006B3F0000}"/>
    <cellStyle name="Hed Side 2 5 6 9 2" xfId="14404" xr:uid="{00000000-0005-0000-0000-00006C3F0000}"/>
    <cellStyle name="Hed Side 2 5 7" xfId="14405" xr:uid="{00000000-0005-0000-0000-00006D3F0000}"/>
    <cellStyle name="Hed Side 2 5 7 10" xfId="14406" xr:uid="{00000000-0005-0000-0000-00006E3F0000}"/>
    <cellStyle name="Hed Side 2 5 7 2" xfId="14407" xr:uid="{00000000-0005-0000-0000-00006F3F0000}"/>
    <cellStyle name="Hed Side 2 5 7 2 2" xfId="14408" xr:uid="{00000000-0005-0000-0000-0000703F0000}"/>
    <cellStyle name="Hed Side 2 5 7 3" xfId="14409" xr:uid="{00000000-0005-0000-0000-0000713F0000}"/>
    <cellStyle name="Hed Side 2 5 7 3 2" xfId="14410" xr:uid="{00000000-0005-0000-0000-0000723F0000}"/>
    <cellStyle name="Hed Side 2 5 7 4" xfId="14411" xr:uid="{00000000-0005-0000-0000-0000733F0000}"/>
    <cellStyle name="Hed Side 2 5 7 4 2" xfId="14412" xr:uid="{00000000-0005-0000-0000-0000743F0000}"/>
    <cellStyle name="Hed Side 2 5 7 5" xfId="14413" xr:uid="{00000000-0005-0000-0000-0000753F0000}"/>
    <cellStyle name="Hed Side 2 5 7 5 2" xfId="14414" xr:uid="{00000000-0005-0000-0000-0000763F0000}"/>
    <cellStyle name="Hed Side 2 5 7 6" xfId="14415" xr:uid="{00000000-0005-0000-0000-0000773F0000}"/>
    <cellStyle name="Hed Side 2 5 7 6 2" xfId="14416" xr:uid="{00000000-0005-0000-0000-0000783F0000}"/>
    <cellStyle name="Hed Side 2 5 7 7" xfId="14417" xr:uid="{00000000-0005-0000-0000-0000793F0000}"/>
    <cellStyle name="Hed Side 2 5 7 7 2" xfId="14418" xr:uid="{00000000-0005-0000-0000-00007A3F0000}"/>
    <cellStyle name="Hed Side 2 5 7 8" xfId="14419" xr:uid="{00000000-0005-0000-0000-00007B3F0000}"/>
    <cellStyle name="Hed Side 2 5 7 8 2" xfId="14420" xr:uid="{00000000-0005-0000-0000-00007C3F0000}"/>
    <cellStyle name="Hed Side 2 5 7 9" xfId="14421" xr:uid="{00000000-0005-0000-0000-00007D3F0000}"/>
    <cellStyle name="Hed Side 2 5 7 9 2" xfId="14422" xr:uid="{00000000-0005-0000-0000-00007E3F0000}"/>
    <cellStyle name="Hed Side 2 5 8" xfId="14423" xr:uid="{00000000-0005-0000-0000-00007F3F0000}"/>
    <cellStyle name="Hed Side 2 5 8 10" xfId="14424" xr:uid="{00000000-0005-0000-0000-0000803F0000}"/>
    <cellStyle name="Hed Side 2 5 8 2" xfId="14425" xr:uid="{00000000-0005-0000-0000-0000813F0000}"/>
    <cellStyle name="Hed Side 2 5 8 2 2" xfId="14426" xr:uid="{00000000-0005-0000-0000-0000823F0000}"/>
    <cellStyle name="Hed Side 2 5 8 3" xfId="14427" xr:uid="{00000000-0005-0000-0000-0000833F0000}"/>
    <cellStyle name="Hed Side 2 5 8 3 2" xfId="14428" xr:uid="{00000000-0005-0000-0000-0000843F0000}"/>
    <cellStyle name="Hed Side 2 5 8 4" xfId="14429" xr:uid="{00000000-0005-0000-0000-0000853F0000}"/>
    <cellStyle name="Hed Side 2 5 8 4 2" xfId="14430" xr:uid="{00000000-0005-0000-0000-0000863F0000}"/>
    <cellStyle name="Hed Side 2 5 8 5" xfId="14431" xr:uid="{00000000-0005-0000-0000-0000873F0000}"/>
    <cellStyle name="Hed Side 2 5 8 5 2" xfId="14432" xr:uid="{00000000-0005-0000-0000-0000883F0000}"/>
    <cellStyle name="Hed Side 2 5 8 6" xfId="14433" xr:uid="{00000000-0005-0000-0000-0000893F0000}"/>
    <cellStyle name="Hed Side 2 5 8 6 2" xfId="14434" xr:uid="{00000000-0005-0000-0000-00008A3F0000}"/>
    <cellStyle name="Hed Side 2 5 8 7" xfId="14435" xr:uid="{00000000-0005-0000-0000-00008B3F0000}"/>
    <cellStyle name="Hed Side 2 5 8 7 2" xfId="14436" xr:uid="{00000000-0005-0000-0000-00008C3F0000}"/>
    <cellStyle name="Hed Side 2 5 8 8" xfId="14437" xr:uid="{00000000-0005-0000-0000-00008D3F0000}"/>
    <cellStyle name="Hed Side 2 5 8 8 2" xfId="14438" xr:uid="{00000000-0005-0000-0000-00008E3F0000}"/>
    <cellStyle name="Hed Side 2 5 8 9" xfId="14439" xr:uid="{00000000-0005-0000-0000-00008F3F0000}"/>
    <cellStyle name="Hed Side 2 5 8 9 2" xfId="14440" xr:uid="{00000000-0005-0000-0000-0000903F0000}"/>
    <cellStyle name="Hed Side 2 5 9" xfId="14441" xr:uid="{00000000-0005-0000-0000-0000913F0000}"/>
    <cellStyle name="Hed Side 2 5 9 10" xfId="14442" xr:uid="{00000000-0005-0000-0000-0000923F0000}"/>
    <cellStyle name="Hed Side 2 5 9 2" xfId="14443" xr:uid="{00000000-0005-0000-0000-0000933F0000}"/>
    <cellStyle name="Hed Side 2 5 9 2 2" xfId="14444" xr:uid="{00000000-0005-0000-0000-0000943F0000}"/>
    <cellStyle name="Hed Side 2 5 9 3" xfId="14445" xr:uid="{00000000-0005-0000-0000-0000953F0000}"/>
    <cellStyle name="Hed Side 2 5 9 3 2" xfId="14446" xr:uid="{00000000-0005-0000-0000-0000963F0000}"/>
    <cellStyle name="Hed Side 2 5 9 4" xfId="14447" xr:uid="{00000000-0005-0000-0000-0000973F0000}"/>
    <cellStyle name="Hed Side 2 5 9 4 2" xfId="14448" xr:uid="{00000000-0005-0000-0000-0000983F0000}"/>
    <cellStyle name="Hed Side 2 5 9 5" xfId="14449" xr:uid="{00000000-0005-0000-0000-0000993F0000}"/>
    <cellStyle name="Hed Side 2 5 9 5 2" xfId="14450" xr:uid="{00000000-0005-0000-0000-00009A3F0000}"/>
    <cellStyle name="Hed Side 2 5 9 6" xfId="14451" xr:uid="{00000000-0005-0000-0000-00009B3F0000}"/>
    <cellStyle name="Hed Side 2 5 9 6 2" xfId="14452" xr:uid="{00000000-0005-0000-0000-00009C3F0000}"/>
    <cellStyle name="Hed Side 2 5 9 7" xfId="14453" xr:uid="{00000000-0005-0000-0000-00009D3F0000}"/>
    <cellStyle name="Hed Side 2 5 9 7 2" xfId="14454" xr:uid="{00000000-0005-0000-0000-00009E3F0000}"/>
    <cellStyle name="Hed Side 2 5 9 8" xfId="14455" xr:uid="{00000000-0005-0000-0000-00009F3F0000}"/>
    <cellStyle name="Hed Side 2 5 9 8 2" xfId="14456" xr:uid="{00000000-0005-0000-0000-0000A03F0000}"/>
    <cellStyle name="Hed Side 2 5 9 9" xfId="14457" xr:uid="{00000000-0005-0000-0000-0000A13F0000}"/>
    <cellStyle name="Hed Side 2 5 9 9 2" xfId="14458" xr:uid="{00000000-0005-0000-0000-0000A23F0000}"/>
    <cellStyle name="Hed Side 2 6" xfId="14459" xr:uid="{00000000-0005-0000-0000-0000A33F0000}"/>
    <cellStyle name="Hed Side 2 6 10" xfId="14460" xr:uid="{00000000-0005-0000-0000-0000A43F0000}"/>
    <cellStyle name="Hed Side 2 6 10 2" xfId="14461" xr:uid="{00000000-0005-0000-0000-0000A53F0000}"/>
    <cellStyle name="Hed Side 2 6 10 2 2" xfId="14462" xr:uid="{00000000-0005-0000-0000-0000A63F0000}"/>
    <cellStyle name="Hed Side 2 6 10 3" xfId="14463" xr:uid="{00000000-0005-0000-0000-0000A73F0000}"/>
    <cellStyle name="Hed Side 2 6 10 3 2" xfId="14464" xr:uid="{00000000-0005-0000-0000-0000A83F0000}"/>
    <cellStyle name="Hed Side 2 6 10 4" xfId="14465" xr:uid="{00000000-0005-0000-0000-0000A93F0000}"/>
    <cellStyle name="Hed Side 2 6 10 4 2" xfId="14466" xr:uid="{00000000-0005-0000-0000-0000AA3F0000}"/>
    <cellStyle name="Hed Side 2 6 10 5" xfId="14467" xr:uid="{00000000-0005-0000-0000-0000AB3F0000}"/>
    <cellStyle name="Hed Side 2 6 10 5 2" xfId="14468" xr:uid="{00000000-0005-0000-0000-0000AC3F0000}"/>
    <cellStyle name="Hed Side 2 6 10 6" xfId="14469" xr:uid="{00000000-0005-0000-0000-0000AD3F0000}"/>
    <cellStyle name="Hed Side 2 6 10 6 2" xfId="14470" xr:uid="{00000000-0005-0000-0000-0000AE3F0000}"/>
    <cellStyle name="Hed Side 2 6 10 7" xfId="14471" xr:uid="{00000000-0005-0000-0000-0000AF3F0000}"/>
    <cellStyle name="Hed Side 2 6 10 7 2" xfId="14472" xr:uid="{00000000-0005-0000-0000-0000B03F0000}"/>
    <cellStyle name="Hed Side 2 6 10 8" xfId="14473" xr:uid="{00000000-0005-0000-0000-0000B13F0000}"/>
    <cellStyle name="Hed Side 2 6 10 8 2" xfId="14474" xr:uid="{00000000-0005-0000-0000-0000B23F0000}"/>
    <cellStyle name="Hed Side 2 6 10 9" xfId="14475" xr:uid="{00000000-0005-0000-0000-0000B33F0000}"/>
    <cellStyle name="Hed Side 2 6 11" xfId="14476" xr:uid="{00000000-0005-0000-0000-0000B43F0000}"/>
    <cellStyle name="Hed Side 2 6 11 2" xfId="14477" xr:uid="{00000000-0005-0000-0000-0000B53F0000}"/>
    <cellStyle name="Hed Side 2 6 12" xfId="14478" xr:uid="{00000000-0005-0000-0000-0000B63F0000}"/>
    <cellStyle name="Hed Side 2 6 12 2" xfId="14479" xr:uid="{00000000-0005-0000-0000-0000B73F0000}"/>
    <cellStyle name="Hed Side 2 6 13" xfId="14480" xr:uid="{00000000-0005-0000-0000-0000B83F0000}"/>
    <cellStyle name="Hed Side 2 6 13 2" xfId="14481" xr:uid="{00000000-0005-0000-0000-0000B93F0000}"/>
    <cellStyle name="Hed Side 2 6 14" xfId="14482" xr:uid="{00000000-0005-0000-0000-0000BA3F0000}"/>
    <cellStyle name="Hed Side 2 6 14 2" xfId="14483" xr:uid="{00000000-0005-0000-0000-0000BB3F0000}"/>
    <cellStyle name="Hed Side 2 6 15" xfId="14484" xr:uid="{00000000-0005-0000-0000-0000BC3F0000}"/>
    <cellStyle name="Hed Side 2 6 15 2" xfId="14485" xr:uid="{00000000-0005-0000-0000-0000BD3F0000}"/>
    <cellStyle name="Hed Side 2 6 16" xfId="14486" xr:uid="{00000000-0005-0000-0000-0000BE3F0000}"/>
    <cellStyle name="Hed Side 2 6 16 2" xfId="14487" xr:uid="{00000000-0005-0000-0000-0000BF3F0000}"/>
    <cellStyle name="Hed Side 2 6 17" xfId="14488" xr:uid="{00000000-0005-0000-0000-0000C03F0000}"/>
    <cellStyle name="Hed Side 2 6 17 2" xfId="14489" xr:uid="{00000000-0005-0000-0000-0000C13F0000}"/>
    <cellStyle name="Hed Side 2 6 18" xfId="14490" xr:uid="{00000000-0005-0000-0000-0000C23F0000}"/>
    <cellStyle name="Hed Side 2 6 2" xfId="14491" xr:uid="{00000000-0005-0000-0000-0000C33F0000}"/>
    <cellStyle name="Hed Side 2 6 2 10" xfId="14492" xr:uid="{00000000-0005-0000-0000-0000C43F0000}"/>
    <cellStyle name="Hed Side 2 6 2 2" xfId="14493" xr:uid="{00000000-0005-0000-0000-0000C53F0000}"/>
    <cellStyle name="Hed Side 2 6 2 2 2" xfId="14494" xr:uid="{00000000-0005-0000-0000-0000C63F0000}"/>
    <cellStyle name="Hed Side 2 6 2 3" xfId="14495" xr:uid="{00000000-0005-0000-0000-0000C73F0000}"/>
    <cellStyle name="Hed Side 2 6 2 3 2" xfId="14496" xr:uid="{00000000-0005-0000-0000-0000C83F0000}"/>
    <cellStyle name="Hed Side 2 6 2 4" xfId="14497" xr:uid="{00000000-0005-0000-0000-0000C93F0000}"/>
    <cellStyle name="Hed Side 2 6 2 4 2" xfId="14498" xr:uid="{00000000-0005-0000-0000-0000CA3F0000}"/>
    <cellStyle name="Hed Side 2 6 2 5" xfId="14499" xr:uid="{00000000-0005-0000-0000-0000CB3F0000}"/>
    <cellStyle name="Hed Side 2 6 2 5 2" xfId="14500" xr:uid="{00000000-0005-0000-0000-0000CC3F0000}"/>
    <cellStyle name="Hed Side 2 6 2 6" xfId="14501" xr:uid="{00000000-0005-0000-0000-0000CD3F0000}"/>
    <cellStyle name="Hed Side 2 6 2 6 2" xfId="14502" xr:uid="{00000000-0005-0000-0000-0000CE3F0000}"/>
    <cellStyle name="Hed Side 2 6 2 7" xfId="14503" xr:uid="{00000000-0005-0000-0000-0000CF3F0000}"/>
    <cellStyle name="Hed Side 2 6 2 7 2" xfId="14504" xr:uid="{00000000-0005-0000-0000-0000D03F0000}"/>
    <cellStyle name="Hed Side 2 6 2 8" xfId="14505" xr:uid="{00000000-0005-0000-0000-0000D13F0000}"/>
    <cellStyle name="Hed Side 2 6 2 8 2" xfId="14506" xr:uid="{00000000-0005-0000-0000-0000D23F0000}"/>
    <cellStyle name="Hed Side 2 6 2 9" xfId="14507" xr:uid="{00000000-0005-0000-0000-0000D33F0000}"/>
    <cellStyle name="Hed Side 2 6 2 9 2" xfId="14508" xr:uid="{00000000-0005-0000-0000-0000D43F0000}"/>
    <cellStyle name="Hed Side 2 6 3" xfId="14509" xr:uid="{00000000-0005-0000-0000-0000D53F0000}"/>
    <cellStyle name="Hed Side 2 6 3 10" xfId="14510" xr:uid="{00000000-0005-0000-0000-0000D63F0000}"/>
    <cellStyle name="Hed Side 2 6 3 2" xfId="14511" xr:uid="{00000000-0005-0000-0000-0000D73F0000}"/>
    <cellStyle name="Hed Side 2 6 3 2 2" xfId="14512" xr:uid="{00000000-0005-0000-0000-0000D83F0000}"/>
    <cellStyle name="Hed Side 2 6 3 3" xfId="14513" xr:uid="{00000000-0005-0000-0000-0000D93F0000}"/>
    <cellStyle name="Hed Side 2 6 3 3 2" xfId="14514" xr:uid="{00000000-0005-0000-0000-0000DA3F0000}"/>
    <cellStyle name="Hed Side 2 6 3 4" xfId="14515" xr:uid="{00000000-0005-0000-0000-0000DB3F0000}"/>
    <cellStyle name="Hed Side 2 6 3 4 2" xfId="14516" xr:uid="{00000000-0005-0000-0000-0000DC3F0000}"/>
    <cellStyle name="Hed Side 2 6 3 5" xfId="14517" xr:uid="{00000000-0005-0000-0000-0000DD3F0000}"/>
    <cellStyle name="Hed Side 2 6 3 5 2" xfId="14518" xr:uid="{00000000-0005-0000-0000-0000DE3F0000}"/>
    <cellStyle name="Hed Side 2 6 3 6" xfId="14519" xr:uid="{00000000-0005-0000-0000-0000DF3F0000}"/>
    <cellStyle name="Hed Side 2 6 3 6 2" xfId="14520" xr:uid="{00000000-0005-0000-0000-0000E03F0000}"/>
    <cellStyle name="Hed Side 2 6 3 7" xfId="14521" xr:uid="{00000000-0005-0000-0000-0000E13F0000}"/>
    <cellStyle name="Hed Side 2 6 3 7 2" xfId="14522" xr:uid="{00000000-0005-0000-0000-0000E23F0000}"/>
    <cellStyle name="Hed Side 2 6 3 8" xfId="14523" xr:uid="{00000000-0005-0000-0000-0000E33F0000}"/>
    <cellStyle name="Hed Side 2 6 3 8 2" xfId="14524" xr:uid="{00000000-0005-0000-0000-0000E43F0000}"/>
    <cellStyle name="Hed Side 2 6 3 9" xfId="14525" xr:uid="{00000000-0005-0000-0000-0000E53F0000}"/>
    <cellStyle name="Hed Side 2 6 3 9 2" xfId="14526" xr:uid="{00000000-0005-0000-0000-0000E63F0000}"/>
    <cellStyle name="Hed Side 2 6 4" xfId="14527" xr:uid="{00000000-0005-0000-0000-0000E73F0000}"/>
    <cellStyle name="Hed Side 2 6 4 10" xfId="14528" xr:uid="{00000000-0005-0000-0000-0000E83F0000}"/>
    <cellStyle name="Hed Side 2 6 4 2" xfId="14529" xr:uid="{00000000-0005-0000-0000-0000E93F0000}"/>
    <cellStyle name="Hed Side 2 6 4 2 2" xfId="14530" xr:uid="{00000000-0005-0000-0000-0000EA3F0000}"/>
    <cellStyle name="Hed Side 2 6 4 3" xfId="14531" xr:uid="{00000000-0005-0000-0000-0000EB3F0000}"/>
    <cellStyle name="Hed Side 2 6 4 3 2" xfId="14532" xr:uid="{00000000-0005-0000-0000-0000EC3F0000}"/>
    <cellStyle name="Hed Side 2 6 4 4" xfId="14533" xr:uid="{00000000-0005-0000-0000-0000ED3F0000}"/>
    <cellStyle name="Hed Side 2 6 4 4 2" xfId="14534" xr:uid="{00000000-0005-0000-0000-0000EE3F0000}"/>
    <cellStyle name="Hed Side 2 6 4 5" xfId="14535" xr:uid="{00000000-0005-0000-0000-0000EF3F0000}"/>
    <cellStyle name="Hed Side 2 6 4 5 2" xfId="14536" xr:uid="{00000000-0005-0000-0000-0000F03F0000}"/>
    <cellStyle name="Hed Side 2 6 4 6" xfId="14537" xr:uid="{00000000-0005-0000-0000-0000F13F0000}"/>
    <cellStyle name="Hed Side 2 6 4 6 2" xfId="14538" xr:uid="{00000000-0005-0000-0000-0000F23F0000}"/>
    <cellStyle name="Hed Side 2 6 4 7" xfId="14539" xr:uid="{00000000-0005-0000-0000-0000F33F0000}"/>
    <cellStyle name="Hed Side 2 6 4 7 2" xfId="14540" xr:uid="{00000000-0005-0000-0000-0000F43F0000}"/>
    <cellStyle name="Hed Side 2 6 4 8" xfId="14541" xr:uid="{00000000-0005-0000-0000-0000F53F0000}"/>
    <cellStyle name="Hed Side 2 6 4 8 2" xfId="14542" xr:uid="{00000000-0005-0000-0000-0000F63F0000}"/>
    <cellStyle name="Hed Side 2 6 4 9" xfId="14543" xr:uid="{00000000-0005-0000-0000-0000F73F0000}"/>
    <cellStyle name="Hed Side 2 6 4 9 2" xfId="14544" xr:uid="{00000000-0005-0000-0000-0000F83F0000}"/>
    <cellStyle name="Hed Side 2 6 5" xfId="14545" xr:uid="{00000000-0005-0000-0000-0000F93F0000}"/>
    <cellStyle name="Hed Side 2 6 5 10" xfId="14546" xr:uid="{00000000-0005-0000-0000-0000FA3F0000}"/>
    <cellStyle name="Hed Side 2 6 5 2" xfId="14547" xr:uid="{00000000-0005-0000-0000-0000FB3F0000}"/>
    <cellStyle name="Hed Side 2 6 5 2 2" xfId="14548" xr:uid="{00000000-0005-0000-0000-0000FC3F0000}"/>
    <cellStyle name="Hed Side 2 6 5 3" xfId="14549" xr:uid="{00000000-0005-0000-0000-0000FD3F0000}"/>
    <cellStyle name="Hed Side 2 6 5 3 2" xfId="14550" xr:uid="{00000000-0005-0000-0000-0000FE3F0000}"/>
    <cellStyle name="Hed Side 2 6 5 4" xfId="14551" xr:uid="{00000000-0005-0000-0000-0000FF3F0000}"/>
    <cellStyle name="Hed Side 2 6 5 4 2" xfId="14552" xr:uid="{00000000-0005-0000-0000-000000400000}"/>
    <cellStyle name="Hed Side 2 6 5 5" xfId="14553" xr:uid="{00000000-0005-0000-0000-000001400000}"/>
    <cellStyle name="Hed Side 2 6 5 5 2" xfId="14554" xr:uid="{00000000-0005-0000-0000-000002400000}"/>
    <cellStyle name="Hed Side 2 6 5 6" xfId="14555" xr:uid="{00000000-0005-0000-0000-000003400000}"/>
    <cellStyle name="Hed Side 2 6 5 6 2" xfId="14556" xr:uid="{00000000-0005-0000-0000-000004400000}"/>
    <cellStyle name="Hed Side 2 6 5 7" xfId="14557" xr:uid="{00000000-0005-0000-0000-000005400000}"/>
    <cellStyle name="Hed Side 2 6 5 7 2" xfId="14558" xr:uid="{00000000-0005-0000-0000-000006400000}"/>
    <cellStyle name="Hed Side 2 6 5 8" xfId="14559" xr:uid="{00000000-0005-0000-0000-000007400000}"/>
    <cellStyle name="Hed Side 2 6 5 8 2" xfId="14560" xr:uid="{00000000-0005-0000-0000-000008400000}"/>
    <cellStyle name="Hed Side 2 6 5 9" xfId="14561" xr:uid="{00000000-0005-0000-0000-000009400000}"/>
    <cellStyle name="Hed Side 2 6 5 9 2" xfId="14562" xr:uid="{00000000-0005-0000-0000-00000A400000}"/>
    <cellStyle name="Hed Side 2 6 6" xfId="14563" xr:uid="{00000000-0005-0000-0000-00000B400000}"/>
    <cellStyle name="Hed Side 2 6 6 10" xfId="14564" xr:uid="{00000000-0005-0000-0000-00000C400000}"/>
    <cellStyle name="Hed Side 2 6 6 2" xfId="14565" xr:uid="{00000000-0005-0000-0000-00000D400000}"/>
    <cellStyle name="Hed Side 2 6 6 2 2" xfId="14566" xr:uid="{00000000-0005-0000-0000-00000E400000}"/>
    <cellStyle name="Hed Side 2 6 6 3" xfId="14567" xr:uid="{00000000-0005-0000-0000-00000F400000}"/>
    <cellStyle name="Hed Side 2 6 6 3 2" xfId="14568" xr:uid="{00000000-0005-0000-0000-000010400000}"/>
    <cellStyle name="Hed Side 2 6 6 4" xfId="14569" xr:uid="{00000000-0005-0000-0000-000011400000}"/>
    <cellStyle name="Hed Side 2 6 6 4 2" xfId="14570" xr:uid="{00000000-0005-0000-0000-000012400000}"/>
    <cellStyle name="Hed Side 2 6 6 5" xfId="14571" xr:uid="{00000000-0005-0000-0000-000013400000}"/>
    <cellStyle name="Hed Side 2 6 6 5 2" xfId="14572" xr:uid="{00000000-0005-0000-0000-000014400000}"/>
    <cellStyle name="Hed Side 2 6 6 6" xfId="14573" xr:uid="{00000000-0005-0000-0000-000015400000}"/>
    <cellStyle name="Hed Side 2 6 6 6 2" xfId="14574" xr:uid="{00000000-0005-0000-0000-000016400000}"/>
    <cellStyle name="Hed Side 2 6 6 7" xfId="14575" xr:uid="{00000000-0005-0000-0000-000017400000}"/>
    <cellStyle name="Hed Side 2 6 6 7 2" xfId="14576" xr:uid="{00000000-0005-0000-0000-000018400000}"/>
    <cellStyle name="Hed Side 2 6 6 8" xfId="14577" xr:uid="{00000000-0005-0000-0000-000019400000}"/>
    <cellStyle name="Hed Side 2 6 6 8 2" xfId="14578" xr:uid="{00000000-0005-0000-0000-00001A400000}"/>
    <cellStyle name="Hed Side 2 6 6 9" xfId="14579" xr:uid="{00000000-0005-0000-0000-00001B400000}"/>
    <cellStyle name="Hed Side 2 6 6 9 2" xfId="14580" xr:uid="{00000000-0005-0000-0000-00001C400000}"/>
    <cellStyle name="Hed Side 2 6 7" xfId="14581" xr:uid="{00000000-0005-0000-0000-00001D400000}"/>
    <cellStyle name="Hed Side 2 6 7 10" xfId="14582" xr:uid="{00000000-0005-0000-0000-00001E400000}"/>
    <cellStyle name="Hed Side 2 6 7 2" xfId="14583" xr:uid="{00000000-0005-0000-0000-00001F400000}"/>
    <cellStyle name="Hed Side 2 6 7 2 2" xfId="14584" xr:uid="{00000000-0005-0000-0000-000020400000}"/>
    <cellStyle name="Hed Side 2 6 7 3" xfId="14585" xr:uid="{00000000-0005-0000-0000-000021400000}"/>
    <cellStyle name="Hed Side 2 6 7 3 2" xfId="14586" xr:uid="{00000000-0005-0000-0000-000022400000}"/>
    <cellStyle name="Hed Side 2 6 7 4" xfId="14587" xr:uid="{00000000-0005-0000-0000-000023400000}"/>
    <cellStyle name="Hed Side 2 6 7 4 2" xfId="14588" xr:uid="{00000000-0005-0000-0000-000024400000}"/>
    <cellStyle name="Hed Side 2 6 7 5" xfId="14589" xr:uid="{00000000-0005-0000-0000-000025400000}"/>
    <cellStyle name="Hed Side 2 6 7 5 2" xfId="14590" xr:uid="{00000000-0005-0000-0000-000026400000}"/>
    <cellStyle name="Hed Side 2 6 7 6" xfId="14591" xr:uid="{00000000-0005-0000-0000-000027400000}"/>
    <cellStyle name="Hed Side 2 6 7 6 2" xfId="14592" xr:uid="{00000000-0005-0000-0000-000028400000}"/>
    <cellStyle name="Hed Side 2 6 7 7" xfId="14593" xr:uid="{00000000-0005-0000-0000-000029400000}"/>
    <cellStyle name="Hed Side 2 6 7 7 2" xfId="14594" xr:uid="{00000000-0005-0000-0000-00002A400000}"/>
    <cellStyle name="Hed Side 2 6 7 8" xfId="14595" xr:uid="{00000000-0005-0000-0000-00002B400000}"/>
    <cellStyle name="Hed Side 2 6 7 8 2" xfId="14596" xr:uid="{00000000-0005-0000-0000-00002C400000}"/>
    <cellStyle name="Hed Side 2 6 7 9" xfId="14597" xr:uid="{00000000-0005-0000-0000-00002D400000}"/>
    <cellStyle name="Hed Side 2 6 7 9 2" xfId="14598" xr:uid="{00000000-0005-0000-0000-00002E400000}"/>
    <cellStyle name="Hed Side 2 6 8" xfId="14599" xr:uid="{00000000-0005-0000-0000-00002F400000}"/>
    <cellStyle name="Hed Side 2 6 8 10" xfId="14600" xr:uid="{00000000-0005-0000-0000-000030400000}"/>
    <cellStyle name="Hed Side 2 6 8 2" xfId="14601" xr:uid="{00000000-0005-0000-0000-000031400000}"/>
    <cellStyle name="Hed Side 2 6 8 2 2" xfId="14602" xr:uid="{00000000-0005-0000-0000-000032400000}"/>
    <cellStyle name="Hed Side 2 6 8 3" xfId="14603" xr:uid="{00000000-0005-0000-0000-000033400000}"/>
    <cellStyle name="Hed Side 2 6 8 3 2" xfId="14604" xr:uid="{00000000-0005-0000-0000-000034400000}"/>
    <cellStyle name="Hed Side 2 6 8 4" xfId="14605" xr:uid="{00000000-0005-0000-0000-000035400000}"/>
    <cellStyle name="Hed Side 2 6 8 4 2" xfId="14606" xr:uid="{00000000-0005-0000-0000-000036400000}"/>
    <cellStyle name="Hed Side 2 6 8 5" xfId="14607" xr:uid="{00000000-0005-0000-0000-000037400000}"/>
    <cellStyle name="Hed Side 2 6 8 5 2" xfId="14608" xr:uid="{00000000-0005-0000-0000-000038400000}"/>
    <cellStyle name="Hed Side 2 6 8 6" xfId="14609" xr:uid="{00000000-0005-0000-0000-000039400000}"/>
    <cellStyle name="Hed Side 2 6 8 6 2" xfId="14610" xr:uid="{00000000-0005-0000-0000-00003A400000}"/>
    <cellStyle name="Hed Side 2 6 8 7" xfId="14611" xr:uid="{00000000-0005-0000-0000-00003B400000}"/>
    <cellStyle name="Hed Side 2 6 8 7 2" xfId="14612" xr:uid="{00000000-0005-0000-0000-00003C400000}"/>
    <cellStyle name="Hed Side 2 6 8 8" xfId="14613" xr:uid="{00000000-0005-0000-0000-00003D400000}"/>
    <cellStyle name="Hed Side 2 6 8 8 2" xfId="14614" xr:uid="{00000000-0005-0000-0000-00003E400000}"/>
    <cellStyle name="Hed Side 2 6 8 9" xfId="14615" xr:uid="{00000000-0005-0000-0000-00003F400000}"/>
    <cellStyle name="Hed Side 2 6 8 9 2" xfId="14616" xr:uid="{00000000-0005-0000-0000-000040400000}"/>
    <cellStyle name="Hed Side 2 6 9" xfId="14617" xr:uid="{00000000-0005-0000-0000-000041400000}"/>
    <cellStyle name="Hed Side 2 6 9 10" xfId="14618" xr:uid="{00000000-0005-0000-0000-000042400000}"/>
    <cellStyle name="Hed Side 2 6 9 2" xfId="14619" xr:uid="{00000000-0005-0000-0000-000043400000}"/>
    <cellStyle name="Hed Side 2 6 9 2 2" xfId="14620" xr:uid="{00000000-0005-0000-0000-000044400000}"/>
    <cellStyle name="Hed Side 2 6 9 3" xfId="14621" xr:uid="{00000000-0005-0000-0000-000045400000}"/>
    <cellStyle name="Hed Side 2 6 9 3 2" xfId="14622" xr:uid="{00000000-0005-0000-0000-000046400000}"/>
    <cellStyle name="Hed Side 2 6 9 4" xfId="14623" xr:uid="{00000000-0005-0000-0000-000047400000}"/>
    <cellStyle name="Hed Side 2 6 9 4 2" xfId="14624" xr:uid="{00000000-0005-0000-0000-000048400000}"/>
    <cellStyle name="Hed Side 2 6 9 5" xfId="14625" xr:uid="{00000000-0005-0000-0000-000049400000}"/>
    <cellStyle name="Hed Side 2 6 9 5 2" xfId="14626" xr:uid="{00000000-0005-0000-0000-00004A400000}"/>
    <cellStyle name="Hed Side 2 6 9 6" xfId="14627" xr:uid="{00000000-0005-0000-0000-00004B400000}"/>
    <cellStyle name="Hed Side 2 6 9 6 2" xfId="14628" xr:uid="{00000000-0005-0000-0000-00004C400000}"/>
    <cellStyle name="Hed Side 2 6 9 7" xfId="14629" xr:uid="{00000000-0005-0000-0000-00004D400000}"/>
    <cellStyle name="Hed Side 2 6 9 7 2" xfId="14630" xr:uid="{00000000-0005-0000-0000-00004E400000}"/>
    <cellStyle name="Hed Side 2 6 9 8" xfId="14631" xr:uid="{00000000-0005-0000-0000-00004F400000}"/>
    <cellStyle name="Hed Side 2 6 9 8 2" xfId="14632" xr:uid="{00000000-0005-0000-0000-000050400000}"/>
    <cellStyle name="Hed Side 2 6 9 9" xfId="14633" xr:uid="{00000000-0005-0000-0000-000051400000}"/>
    <cellStyle name="Hed Side 2 6 9 9 2" xfId="14634" xr:uid="{00000000-0005-0000-0000-000052400000}"/>
    <cellStyle name="Hed Side 2 7" xfId="14635" xr:uid="{00000000-0005-0000-0000-000053400000}"/>
    <cellStyle name="Hed Side 2 7 10" xfId="14636" xr:uid="{00000000-0005-0000-0000-000054400000}"/>
    <cellStyle name="Hed Side 2 7 10 2" xfId="14637" xr:uid="{00000000-0005-0000-0000-000055400000}"/>
    <cellStyle name="Hed Side 2 7 10 2 2" xfId="14638" xr:uid="{00000000-0005-0000-0000-000056400000}"/>
    <cellStyle name="Hed Side 2 7 10 3" xfId="14639" xr:uid="{00000000-0005-0000-0000-000057400000}"/>
    <cellStyle name="Hed Side 2 7 10 3 2" xfId="14640" xr:uid="{00000000-0005-0000-0000-000058400000}"/>
    <cellStyle name="Hed Side 2 7 10 4" xfId="14641" xr:uid="{00000000-0005-0000-0000-000059400000}"/>
    <cellStyle name="Hed Side 2 7 10 4 2" xfId="14642" xr:uid="{00000000-0005-0000-0000-00005A400000}"/>
    <cellStyle name="Hed Side 2 7 10 5" xfId="14643" xr:uid="{00000000-0005-0000-0000-00005B400000}"/>
    <cellStyle name="Hed Side 2 7 10 5 2" xfId="14644" xr:uid="{00000000-0005-0000-0000-00005C400000}"/>
    <cellStyle name="Hed Side 2 7 10 6" xfId="14645" xr:uid="{00000000-0005-0000-0000-00005D400000}"/>
    <cellStyle name="Hed Side 2 7 10 6 2" xfId="14646" xr:uid="{00000000-0005-0000-0000-00005E400000}"/>
    <cellStyle name="Hed Side 2 7 10 7" xfId="14647" xr:uid="{00000000-0005-0000-0000-00005F400000}"/>
    <cellStyle name="Hed Side 2 7 10 7 2" xfId="14648" xr:uid="{00000000-0005-0000-0000-000060400000}"/>
    <cellStyle name="Hed Side 2 7 10 8" xfId="14649" xr:uid="{00000000-0005-0000-0000-000061400000}"/>
    <cellStyle name="Hed Side 2 7 10 8 2" xfId="14650" xr:uid="{00000000-0005-0000-0000-000062400000}"/>
    <cellStyle name="Hed Side 2 7 10 9" xfId="14651" xr:uid="{00000000-0005-0000-0000-000063400000}"/>
    <cellStyle name="Hed Side 2 7 11" xfId="14652" xr:uid="{00000000-0005-0000-0000-000064400000}"/>
    <cellStyle name="Hed Side 2 7 11 2" xfId="14653" xr:uid="{00000000-0005-0000-0000-000065400000}"/>
    <cellStyle name="Hed Side 2 7 12" xfId="14654" xr:uid="{00000000-0005-0000-0000-000066400000}"/>
    <cellStyle name="Hed Side 2 7 12 2" xfId="14655" xr:uid="{00000000-0005-0000-0000-000067400000}"/>
    <cellStyle name="Hed Side 2 7 13" xfId="14656" xr:uid="{00000000-0005-0000-0000-000068400000}"/>
    <cellStyle name="Hed Side 2 7 13 2" xfId="14657" xr:uid="{00000000-0005-0000-0000-000069400000}"/>
    <cellStyle name="Hed Side 2 7 14" xfId="14658" xr:uid="{00000000-0005-0000-0000-00006A400000}"/>
    <cellStyle name="Hed Side 2 7 14 2" xfId="14659" xr:uid="{00000000-0005-0000-0000-00006B400000}"/>
    <cellStyle name="Hed Side 2 7 15" xfId="14660" xr:uid="{00000000-0005-0000-0000-00006C400000}"/>
    <cellStyle name="Hed Side 2 7 15 2" xfId="14661" xr:uid="{00000000-0005-0000-0000-00006D400000}"/>
    <cellStyle name="Hed Side 2 7 16" xfId="14662" xr:uid="{00000000-0005-0000-0000-00006E400000}"/>
    <cellStyle name="Hed Side 2 7 16 2" xfId="14663" xr:uid="{00000000-0005-0000-0000-00006F400000}"/>
    <cellStyle name="Hed Side 2 7 17" xfId="14664" xr:uid="{00000000-0005-0000-0000-000070400000}"/>
    <cellStyle name="Hed Side 2 7 17 2" xfId="14665" xr:uid="{00000000-0005-0000-0000-000071400000}"/>
    <cellStyle name="Hed Side 2 7 18" xfId="14666" xr:uid="{00000000-0005-0000-0000-000072400000}"/>
    <cellStyle name="Hed Side 2 7 2" xfId="14667" xr:uid="{00000000-0005-0000-0000-000073400000}"/>
    <cellStyle name="Hed Side 2 7 2 10" xfId="14668" xr:uid="{00000000-0005-0000-0000-000074400000}"/>
    <cellStyle name="Hed Side 2 7 2 2" xfId="14669" xr:uid="{00000000-0005-0000-0000-000075400000}"/>
    <cellStyle name="Hed Side 2 7 2 2 2" xfId="14670" xr:uid="{00000000-0005-0000-0000-000076400000}"/>
    <cellStyle name="Hed Side 2 7 2 3" xfId="14671" xr:uid="{00000000-0005-0000-0000-000077400000}"/>
    <cellStyle name="Hed Side 2 7 2 3 2" xfId="14672" xr:uid="{00000000-0005-0000-0000-000078400000}"/>
    <cellStyle name="Hed Side 2 7 2 4" xfId="14673" xr:uid="{00000000-0005-0000-0000-000079400000}"/>
    <cellStyle name="Hed Side 2 7 2 4 2" xfId="14674" xr:uid="{00000000-0005-0000-0000-00007A400000}"/>
    <cellStyle name="Hed Side 2 7 2 5" xfId="14675" xr:uid="{00000000-0005-0000-0000-00007B400000}"/>
    <cellStyle name="Hed Side 2 7 2 5 2" xfId="14676" xr:uid="{00000000-0005-0000-0000-00007C400000}"/>
    <cellStyle name="Hed Side 2 7 2 6" xfId="14677" xr:uid="{00000000-0005-0000-0000-00007D400000}"/>
    <cellStyle name="Hed Side 2 7 2 6 2" xfId="14678" xr:uid="{00000000-0005-0000-0000-00007E400000}"/>
    <cellStyle name="Hed Side 2 7 2 7" xfId="14679" xr:uid="{00000000-0005-0000-0000-00007F400000}"/>
    <cellStyle name="Hed Side 2 7 2 7 2" xfId="14680" xr:uid="{00000000-0005-0000-0000-000080400000}"/>
    <cellStyle name="Hed Side 2 7 2 8" xfId="14681" xr:uid="{00000000-0005-0000-0000-000081400000}"/>
    <cellStyle name="Hed Side 2 7 2 8 2" xfId="14682" xr:uid="{00000000-0005-0000-0000-000082400000}"/>
    <cellStyle name="Hed Side 2 7 2 9" xfId="14683" xr:uid="{00000000-0005-0000-0000-000083400000}"/>
    <cellStyle name="Hed Side 2 7 2 9 2" xfId="14684" xr:uid="{00000000-0005-0000-0000-000084400000}"/>
    <cellStyle name="Hed Side 2 7 3" xfId="14685" xr:uid="{00000000-0005-0000-0000-000085400000}"/>
    <cellStyle name="Hed Side 2 7 3 10" xfId="14686" xr:uid="{00000000-0005-0000-0000-000086400000}"/>
    <cellStyle name="Hed Side 2 7 3 2" xfId="14687" xr:uid="{00000000-0005-0000-0000-000087400000}"/>
    <cellStyle name="Hed Side 2 7 3 2 2" xfId="14688" xr:uid="{00000000-0005-0000-0000-000088400000}"/>
    <cellStyle name="Hed Side 2 7 3 3" xfId="14689" xr:uid="{00000000-0005-0000-0000-000089400000}"/>
    <cellStyle name="Hed Side 2 7 3 3 2" xfId="14690" xr:uid="{00000000-0005-0000-0000-00008A400000}"/>
    <cellStyle name="Hed Side 2 7 3 4" xfId="14691" xr:uid="{00000000-0005-0000-0000-00008B400000}"/>
    <cellStyle name="Hed Side 2 7 3 4 2" xfId="14692" xr:uid="{00000000-0005-0000-0000-00008C400000}"/>
    <cellStyle name="Hed Side 2 7 3 5" xfId="14693" xr:uid="{00000000-0005-0000-0000-00008D400000}"/>
    <cellStyle name="Hed Side 2 7 3 5 2" xfId="14694" xr:uid="{00000000-0005-0000-0000-00008E400000}"/>
    <cellStyle name="Hed Side 2 7 3 6" xfId="14695" xr:uid="{00000000-0005-0000-0000-00008F400000}"/>
    <cellStyle name="Hed Side 2 7 3 6 2" xfId="14696" xr:uid="{00000000-0005-0000-0000-000090400000}"/>
    <cellStyle name="Hed Side 2 7 3 7" xfId="14697" xr:uid="{00000000-0005-0000-0000-000091400000}"/>
    <cellStyle name="Hed Side 2 7 3 7 2" xfId="14698" xr:uid="{00000000-0005-0000-0000-000092400000}"/>
    <cellStyle name="Hed Side 2 7 3 8" xfId="14699" xr:uid="{00000000-0005-0000-0000-000093400000}"/>
    <cellStyle name="Hed Side 2 7 3 8 2" xfId="14700" xr:uid="{00000000-0005-0000-0000-000094400000}"/>
    <cellStyle name="Hed Side 2 7 3 9" xfId="14701" xr:uid="{00000000-0005-0000-0000-000095400000}"/>
    <cellStyle name="Hed Side 2 7 3 9 2" xfId="14702" xr:uid="{00000000-0005-0000-0000-000096400000}"/>
    <cellStyle name="Hed Side 2 7 4" xfId="14703" xr:uid="{00000000-0005-0000-0000-000097400000}"/>
    <cellStyle name="Hed Side 2 7 4 10" xfId="14704" xr:uid="{00000000-0005-0000-0000-000098400000}"/>
    <cellStyle name="Hed Side 2 7 4 2" xfId="14705" xr:uid="{00000000-0005-0000-0000-000099400000}"/>
    <cellStyle name="Hed Side 2 7 4 2 2" xfId="14706" xr:uid="{00000000-0005-0000-0000-00009A400000}"/>
    <cellStyle name="Hed Side 2 7 4 3" xfId="14707" xr:uid="{00000000-0005-0000-0000-00009B400000}"/>
    <cellStyle name="Hed Side 2 7 4 3 2" xfId="14708" xr:uid="{00000000-0005-0000-0000-00009C400000}"/>
    <cellStyle name="Hed Side 2 7 4 4" xfId="14709" xr:uid="{00000000-0005-0000-0000-00009D400000}"/>
    <cellStyle name="Hed Side 2 7 4 4 2" xfId="14710" xr:uid="{00000000-0005-0000-0000-00009E400000}"/>
    <cellStyle name="Hed Side 2 7 4 5" xfId="14711" xr:uid="{00000000-0005-0000-0000-00009F400000}"/>
    <cellStyle name="Hed Side 2 7 4 5 2" xfId="14712" xr:uid="{00000000-0005-0000-0000-0000A0400000}"/>
    <cellStyle name="Hed Side 2 7 4 6" xfId="14713" xr:uid="{00000000-0005-0000-0000-0000A1400000}"/>
    <cellStyle name="Hed Side 2 7 4 6 2" xfId="14714" xr:uid="{00000000-0005-0000-0000-0000A2400000}"/>
    <cellStyle name="Hed Side 2 7 4 7" xfId="14715" xr:uid="{00000000-0005-0000-0000-0000A3400000}"/>
    <cellStyle name="Hed Side 2 7 4 7 2" xfId="14716" xr:uid="{00000000-0005-0000-0000-0000A4400000}"/>
    <cellStyle name="Hed Side 2 7 4 8" xfId="14717" xr:uid="{00000000-0005-0000-0000-0000A5400000}"/>
    <cellStyle name="Hed Side 2 7 4 8 2" xfId="14718" xr:uid="{00000000-0005-0000-0000-0000A6400000}"/>
    <cellStyle name="Hed Side 2 7 4 9" xfId="14719" xr:uid="{00000000-0005-0000-0000-0000A7400000}"/>
    <cellStyle name="Hed Side 2 7 4 9 2" xfId="14720" xr:uid="{00000000-0005-0000-0000-0000A8400000}"/>
    <cellStyle name="Hed Side 2 7 5" xfId="14721" xr:uid="{00000000-0005-0000-0000-0000A9400000}"/>
    <cellStyle name="Hed Side 2 7 5 10" xfId="14722" xr:uid="{00000000-0005-0000-0000-0000AA400000}"/>
    <cellStyle name="Hed Side 2 7 5 2" xfId="14723" xr:uid="{00000000-0005-0000-0000-0000AB400000}"/>
    <cellStyle name="Hed Side 2 7 5 2 2" xfId="14724" xr:uid="{00000000-0005-0000-0000-0000AC400000}"/>
    <cellStyle name="Hed Side 2 7 5 3" xfId="14725" xr:uid="{00000000-0005-0000-0000-0000AD400000}"/>
    <cellStyle name="Hed Side 2 7 5 3 2" xfId="14726" xr:uid="{00000000-0005-0000-0000-0000AE400000}"/>
    <cellStyle name="Hed Side 2 7 5 4" xfId="14727" xr:uid="{00000000-0005-0000-0000-0000AF400000}"/>
    <cellStyle name="Hed Side 2 7 5 4 2" xfId="14728" xr:uid="{00000000-0005-0000-0000-0000B0400000}"/>
    <cellStyle name="Hed Side 2 7 5 5" xfId="14729" xr:uid="{00000000-0005-0000-0000-0000B1400000}"/>
    <cellStyle name="Hed Side 2 7 5 5 2" xfId="14730" xr:uid="{00000000-0005-0000-0000-0000B2400000}"/>
    <cellStyle name="Hed Side 2 7 5 6" xfId="14731" xr:uid="{00000000-0005-0000-0000-0000B3400000}"/>
    <cellStyle name="Hed Side 2 7 5 6 2" xfId="14732" xr:uid="{00000000-0005-0000-0000-0000B4400000}"/>
    <cellStyle name="Hed Side 2 7 5 7" xfId="14733" xr:uid="{00000000-0005-0000-0000-0000B5400000}"/>
    <cellStyle name="Hed Side 2 7 5 7 2" xfId="14734" xr:uid="{00000000-0005-0000-0000-0000B6400000}"/>
    <cellStyle name="Hed Side 2 7 5 8" xfId="14735" xr:uid="{00000000-0005-0000-0000-0000B7400000}"/>
    <cellStyle name="Hed Side 2 7 5 8 2" xfId="14736" xr:uid="{00000000-0005-0000-0000-0000B8400000}"/>
    <cellStyle name="Hed Side 2 7 5 9" xfId="14737" xr:uid="{00000000-0005-0000-0000-0000B9400000}"/>
    <cellStyle name="Hed Side 2 7 5 9 2" xfId="14738" xr:uid="{00000000-0005-0000-0000-0000BA400000}"/>
    <cellStyle name="Hed Side 2 7 6" xfId="14739" xr:uid="{00000000-0005-0000-0000-0000BB400000}"/>
    <cellStyle name="Hed Side 2 7 6 10" xfId="14740" xr:uid="{00000000-0005-0000-0000-0000BC400000}"/>
    <cellStyle name="Hed Side 2 7 6 2" xfId="14741" xr:uid="{00000000-0005-0000-0000-0000BD400000}"/>
    <cellStyle name="Hed Side 2 7 6 2 2" xfId="14742" xr:uid="{00000000-0005-0000-0000-0000BE400000}"/>
    <cellStyle name="Hed Side 2 7 6 3" xfId="14743" xr:uid="{00000000-0005-0000-0000-0000BF400000}"/>
    <cellStyle name="Hed Side 2 7 6 3 2" xfId="14744" xr:uid="{00000000-0005-0000-0000-0000C0400000}"/>
    <cellStyle name="Hed Side 2 7 6 4" xfId="14745" xr:uid="{00000000-0005-0000-0000-0000C1400000}"/>
    <cellStyle name="Hed Side 2 7 6 4 2" xfId="14746" xr:uid="{00000000-0005-0000-0000-0000C2400000}"/>
    <cellStyle name="Hed Side 2 7 6 5" xfId="14747" xr:uid="{00000000-0005-0000-0000-0000C3400000}"/>
    <cellStyle name="Hed Side 2 7 6 5 2" xfId="14748" xr:uid="{00000000-0005-0000-0000-0000C4400000}"/>
    <cellStyle name="Hed Side 2 7 6 6" xfId="14749" xr:uid="{00000000-0005-0000-0000-0000C5400000}"/>
    <cellStyle name="Hed Side 2 7 6 6 2" xfId="14750" xr:uid="{00000000-0005-0000-0000-0000C6400000}"/>
    <cellStyle name="Hed Side 2 7 6 7" xfId="14751" xr:uid="{00000000-0005-0000-0000-0000C7400000}"/>
    <cellStyle name="Hed Side 2 7 6 7 2" xfId="14752" xr:uid="{00000000-0005-0000-0000-0000C8400000}"/>
    <cellStyle name="Hed Side 2 7 6 8" xfId="14753" xr:uid="{00000000-0005-0000-0000-0000C9400000}"/>
    <cellStyle name="Hed Side 2 7 6 8 2" xfId="14754" xr:uid="{00000000-0005-0000-0000-0000CA400000}"/>
    <cellStyle name="Hed Side 2 7 6 9" xfId="14755" xr:uid="{00000000-0005-0000-0000-0000CB400000}"/>
    <cellStyle name="Hed Side 2 7 6 9 2" xfId="14756" xr:uid="{00000000-0005-0000-0000-0000CC400000}"/>
    <cellStyle name="Hed Side 2 7 7" xfId="14757" xr:uid="{00000000-0005-0000-0000-0000CD400000}"/>
    <cellStyle name="Hed Side 2 7 7 10" xfId="14758" xr:uid="{00000000-0005-0000-0000-0000CE400000}"/>
    <cellStyle name="Hed Side 2 7 7 2" xfId="14759" xr:uid="{00000000-0005-0000-0000-0000CF400000}"/>
    <cellStyle name="Hed Side 2 7 7 2 2" xfId="14760" xr:uid="{00000000-0005-0000-0000-0000D0400000}"/>
    <cellStyle name="Hed Side 2 7 7 3" xfId="14761" xr:uid="{00000000-0005-0000-0000-0000D1400000}"/>
    <cellStyle name="Hed Side 2 7 7 3 2" xfId="14762" xr:uid="{00000000-0005-0000-0000-0000D2400000}"/>
    <cellStyle name="Hed Side 2 7 7 4" xfId="14763" xr:uid="{00000000-0005-0000-0000-0000D3400000}"/>
    <cellStyle name="Hed Side 2 7 7 4 2" xfId="14764" xr:uid="{00000000-0005-0000-0000-0000D4400000}"/>
    <cellStyle name="Hed Side 2 7 7 5" xfId="14765" xr:uid="{00000000-0005-0000-0000-0000D5400000}"/>
    <cellStyle name="Hed Side 2 7 7 5 2" xfId="14766" xr:uid="{00000000-0005-0000-0000-0000D6400000}"/>
    <cellStyle name="Hed Side 2 7 7 6" xfId="14767" xr:uid="{00000000-0005-0000-0000-0000D7400000}"/>
    <cellStyle name="Hed Side 2 7 7 6 2" xfId="14768" xr:uid="{00000000-0005-0000-0000-0000D8400000}"/>
    <cellStyle name="Hed Side 2 7 7 7" xfId="14769" xr:uid="{00000000-0005-0000-0000-0000D9400000}"/>
    <cellStyle name="Hed Side 2 7 7 7 2" xfId="14770" xr:uid="{00000000-0005-0000-0000-0000DA400000}"/>
    <cellStyle name="Hed Side 2 7 7 8" xfId="14771" xr:uid="{00000000-0005-0000-0000-0000DB400000}"/>
    <cellStyle name="Hed Side 2 7 7 8 2" xfId="14772" xr:uid="{00000000-0005-0000-0000-0000DC400000}"/>
    <cellStyle name="Hed Side 2 7 7 9" xfId="14773" xr:uid="{00000000-0005-0000-0000-0000DD400000}"/>
    <cellStyle name="Hed Side 2 7 7 9 2" xfId="14774" xr:uid="{00000000-0005-0000-0000-0000DE400000}"/>
    <cellStyle name="Hed Side 2 7 8" xfId="14775" xr:uid="{00000000-0005-0000-0000-0000DF400000}"/>
    <cellStyle name="Hed Side 2 7 8 10" xfId="14776" xr:uid="{00000000-0005-0000-0000-0000E0400000}"/>
    <cellStyle name="Hed Side 2 7 8 2" xfId="14777" xr:uid="{00000000-0005-0000-0000-0000E1400000}"/>
    <cellStyle name="Hed Side 2 7 8 2 2" xfId="14778" xr:uid="{00000000-0005-0000-0000-0000E2400000}"/>
    <cellStyle name="Hed Side 2 7 8 3" xfId="14779" xr:uid="{00000000-0005-0000-0000-0000E3400000}"/>
    <cellStyle name="Hed Side 2 7 8 3 2" xfId="14780" xr:uid="{00000000-0005-0000-0000-0000E4400000}"/>
    <cellStyle name="Hed Side 2 7 8 4" xfId="14781" xr:uid="{00000000-0005-0000-0000-0000E5400000}"/>
    <cellStyle name="Hed Side 2 7 8 4 2" xfId="14782" xr:uid="{00000000-0005-0000-0000-0000E6400000}"/>
    <cellStyle name="Hed Side 2 7 8 5" xfId="14783" xr:uid="{00000000-0005-0000-0000-0000E7400000}"/>
    <cellStyle name="Hed Side 2 7 8 5 2" xfId="14784" xr:uid="{00000000-0005-0000-0000-0000E8400000}"/>
    <cellStyle name="Hed Side 2 7 8 6" xfId="14785" xr:uid="{00000000-0005-0000-0000-0000E9400000}"/>
    <cellStyle name="Hed Side 2 7 8 6 2" xfId="14786" xr:uid="{00000000-0005-0000-0000-0000EA400000}"/>
    <cellStyle name="Hed Side 2 7 8 7" xfId="14787" xr:uid="{00000000-0005-0000-0000-0000EB400000}"/>
    <cellStyle name="Hed Side 2 7 8 7 2" xfId="14788" xr:uid="{00000000-0005-0000-0000-0000EC400000}"/>
    <cellStyle name="Hed Side 2 7 8 8" xfId="14789" xr:uid="{00000000-0005-0000-0000-0000ED400000}"/>
    <cellStyle name="Hed Side 2 7 8 8 2" xfId="14790" xr:uid="{00000000-0005-0000-0000-0000EE400000}"/>
    <cellStyle name="Hed Side 2 7 8 9" xfId="14791" xr:uid="{00000000-0005-0000-0000-0000EF400000}"/>
    <cellStyle name="Hed Side 2 7 8 9 2" xfId="14792" xr:uid="{00000000-0005-0000-0000-0000F0400000}"/>
    <cellStyle name="Hed Side 2 7 9" xfId="14793" xr:uid="{00000000-0005-0000-0000-0000F1400000}"/>
    <cellStyle name="Hed Side 2 7 9 10" xfId="14794" xr:uid="{00000000-0005-0000-0000-0000F2400000}"/>
    <cellStyle name="Hed Side 2 7 9 2" xfId="14795" xr:uid="{00000000-0005-0000-0000-0000F3400000}"/>
    <cellStyle name="Hed Side 2 7 9 2 2" xfId="14796" xr:uid="{00000000-0005-0000-0000-0000F4400000}"/>
    <cellStyle name="Hed Side 2 7 9 3" xfId="14797" xr:uid="{00000000-0005-0000-0000-0000F5400000}"/>
    <cellStyle name="Hed Side 2 7 9 3 2" xfId="14798" xr:uid="{00000000-0005-0000-0000-0000F6400000}"/>
    <cellStyle name="Hed Side 2 7 9 4" xfId="14799" xr:uid="{00000000-0005-0000-0000-0000F7400000}"/>
    <cellStyle name="Hed Side 2 7 9 4 2" xfId="14800" xr:uid="{00000000-0005-0000-0000-0000F8400000}"/>
    <cellStyle name="Hed Side 2 7 9 5" xfId="14801" xr:uid="{00000000-0005-0000-0000-0000F9400000}"/>
    <cellStyle name="Hed Side 2 7 9 5 2" xfId="14802" xr:uid="{00000000-0005-0000-0000-0000FA400000}"/>
    <cellStyle name="Hed Side 2 7 9 6" xfId="14803" xr:uid="{00000000-0005-0000-0000-0000FB400000}"/>
    <cellStyle name="Hed Side 2 7 9 6 2" xfId="14804" xr:uid="{00000000-0005-0000-0000-0000FC400000}"/>
    <cellStyle name="Hed Side 2 7 9 7" xfId="14805" xr:uid="{00000000-0005-0000-0000-0000FD400000}"/>
    <cellStyle name="Hed Side 2 7 9 7 2" xfId="14806" xr:uid="{00000000-0005-0000-0000-0000FE400000}"/>
    <cellStyle name="Hed Side 2 7 9 8" xfId="14807" xr:uid="{00000000-0005-0000-0000-0000FF400000}"/>
    <cellStyle name="Hed Side 2 7 9 8 2" xfId="14808" xr:uid="{00000000-0005-0000-0000-000000410000}"/>
    <cellStyle name="Hed Side 2 7 9 9" xfId="14809" xr:uid="{00000000-0005-0000-0000-000001410000}"/>
    <cellStyle name="Hed Side 2 7 9 9 2" xfId="14810" xr:uid="{00000000-0005-0000-0000-000002410000}"/>
    <cellStyle name="Hed Side 2 8" xfId="14811" xr:uid="{00000000-0005-0000-0000-000003410000}"/>
    <cellStyle name="Hed Side 2 8 10" xfId="14812" xr:uid="{00000000-0005-0000-0000-000004410000}"/>
    <cellStyle name="Hed Side 2 8 10 2" xfId="14813" xr:uid="{00000000-0005-0000-0000-000005410000}"/>
    <cellStyle name="Hed Side 2 8 10 2 2" xfId="14814" xr:uid="{00000000-0005-0000-0000-000006410000}"/>
    <cellStyle name="Hed Side 2 8 10 3" xfId="14815" xr:uid="{00000000-0005-0000-0000-000007410000}"/>
    <cellStyle name="Hed Side 2 8 10 3 2" xfId="14816" xr:uid="{00000000-0005-0000-0000-000008410000}"/>
    <cellStyle name="Hed Side 2 8 10 4" xfId="14817" xr:uid="{00000000-0005-0000-0000-000009410000}"/>
    <cellStyle name="Hed Side 2 8 10 4 2" xfId="14818" xr:uid="{00000000-0005-0000-0000-00000A410000}"/>
    <cellStyle name="Hed Side 2 8 10 5" xfId="14819" xr:uid="{00000000-0005-0000-0000-00000B410000}"/>
    <cellStyle name="Hed Side 2 8 10 5 2" xfId="14820" xr:uid="{00000000-0005-0000-0000-00000C410000}"/>
    <cellStyle name="Hed Side 2 8 10 6" xfId="14821" xr:uid="{00000000-0005-0000-0000-00000D410000}"/>
    <cellStyle name="Hed Side 2 8 10 6 2" xfId="14822" xr:uid="{00000000-0005-0000-0000-00000E410000}"/>
    <cellStyle name="Hed Side 2 8 10 7" xfId="14823" xr:uid="{00000000-0005-0000-0000-00000F410000}"/>
    <cellStyle name="Hed Side 2 8 10 7 2" xfId="14824" xr:uid="{00000000-0005-0000-0000-000010410000}"/>
    <cellStyle name="Hed Side 2 8 10 8" xfId="14825" xr:uid="{00000000-0005-0000-0000-000011410000}"/>
    <cellStyle name="Hed Side 2 8 10 8 2" xfId="14826" xr:uid="{00000000-0005-0000-0000-000012410000}"/>
    <cellStyle name="Hed Side 2 8 10 9" xfId="14827" xr:uid="{00000000-0005-0000-0000-000013410000}"/>
    <cellStyle name="Hed Side 2 8 11" xfId="14828" xr:uid="{00000000-0005-0000-0000-000014410000}"/>
    <cellStyle name="Hed Side 2 8 11 2" xfId="14829" xr:uid="{00000000-0005-0000-0000-000015410000}"/>
    <cellStyle name="Hed Side 2 8 12" xfId="14830" xr:uid="{00000000-0005-0000-0000-000016410000}"/>
    <cellStyle name="Hed Side 2 8 12 2" xfId="14831" xr:uid="{00000000-0005-0000-0000-000017410000}"/>
    <cellStyle name="Hed Side 2 8 13" xfId="14832" xr:uid="{00000000-0005-0000-0000-000018410000}"/>
    <cellStyle name="Hed Side 2 8 13 2" xfId="14833" xr:uid="{00000000-0005-0000-0000-000019410000}"/>
    <cellStyle name="Hed Side 2 8 14" xfId="14834" xr:uid="{00000000-0005-0000-0000-00001A410000}"/>
    <cellStyle name="Hed Side 2 8 14 2" xfId="14835" xr:uid="{00000000-0005-0000-0000-00001B410000}"/>
    <cellStyle name="Hed Side 2 8 15" xfId="14836" xr:uid="{00000000-0005-0000-0000-00001C410000}"/>
    <cellStyle name="Hed Side 2 8 15 2" xfId="14837" xr:uid="{00000000-0005-0000-0000-00001D410000}"/>
    <cellStyle name="Hed Side 2 8 16" xfId="14838" xr:uid="{00000000-0005-0000-0000-00001E410000}"/>
    <cellStyle name="Hed Side 2 8 16 2" xfId="14839" xr:uid="{00000000-0005-0000-0000-00001F410000}"/>
    <cellStyle name="Hed Side 2 8 17" xfId="14840" xr:uid="{00000000-0005-0000-0000-000020410000}"/>
    <cellStyle name="Hed Side 2 8 17 2" xfId="14841" xr:uid="{00000000-0005-0000-0000-000021410000}"/>
    <cellStyle name="Hed Side 2 8 18" xfId="14842" xr:uid="{00000000-0005-0000-0000-000022410000}"/>
    <cellStyle name="Hed Side 2 8 2" xfId="14843" xr:uid="{00000000-0005-0000-0000-000023410000}"/>
    <cellStyle name="Hed Side 2 8 2 10" xfId="14844" xr:uid="{00000000-0005-0000-0000-000024410000}"/>
    <cellStyle name="Hed Side 2 8 2 2" xfId="14845" xr:uid="{00000000-0005-0000-0000-000025410000}"/>
    <cellStyle name="Hed Side 2 8 2 2 2" xfId="14846" xr:uid="{00000000-0005-0000-0000-000026410000}"/>
    <cellStyle name="Hed Side 2 8 2 3" xfId="14847" xr:uid="{00000000-0005-0000-0000-000027410000}"/>
    <cellStyle name="Hed Side 2 8 2 3 2" xfId="14848" xr:uid="{00000000-0005-0000-0000-000028410000}"/>
    <cellStyle name="Hed Side 2 8 2 4" xfId="14849" xr:uid="{00000000-0005-0000-0000-000029410000}"/>
    <cellStyle name="Hed Side 2 8 2 4 2" xfId="14850" xr:uid="{00000000-0005-0000-0000-00002A410000}"/>
    <cellStyle name="Hed Side 2 8 2 5" xfId="14851" xr:uid="{00000000-0005-0000-0000-00002B410000}"/>
    <cellStyle name="Hed Side 2 8 2 5 2" xfId="14852" xr:uid="{00000000-0005-0000-0000-00002C410000}"/>
    <cellStyle name="Hed Side 2 8 2 6" xfId="14853" xr:uid="{00000000-0005-0000-0000-00002D410000}"/>
    <cellStyle name="Hed Side 2 8 2 6 2" xfId="14854" xr:uid="{00000000-0005-0000-0000-00002E410000}"/>
    <cellStyle name="Hed Side 2 8 2 7" xfId="14855" xr:uid="{00000000-0005-0000-0000-00002F410000}"/>
    <cellStyle name="Hed Side 2 8 2 7 2" xfId="14856" xr:uid="{00000000-0005-0000-0000-000030410000}"/>
    <cellStyle name="Hed Side 2 8 2 8" xfId="14857" xr:uid="{00000000-0005-0000-0000-000031410000}"/>
    <cellStyle name="Hed Side 2 8 2 8 2" xfId="14858" xr:uid="{00000000-0005-0000-0000-000032410000}"/>
    <cellStyle name="Hed Side 2 8 2 9" xfId="14859" xr:uid="{00000000-0005-0000-0000-000033410000}"/>
    <cellStyle name="Hed Side 2 8 2 9 2" xfId="14860" xr:uid="{00000000-0005-0000-0000-000034410000}"/>
    <cellStyle name="Hed Side 2 8 3" xfId="14861" xr:uid="{00000000-0005-0000-0000-000035410000}"/>
    <cellStyle name="Hed Side 2 8 3 10" xfId="14862" xr:uid="{00000000-0005-0000-0000-000036410000}"/>
    <cellStyle name="Hed Side 2 8 3 2" xfId="14863" xr:uid="{00000000-0005-0000-0000-000037410000}"/>
    <cellStyle name="Hed Side 2 8 3 2 2" xfId="14864" xr:uid="{00000000-0005-0000-0000-000038410000}"/>
    <cellStyle name="Hed Side 2 8 3 3" xfId="14865" xr:uid="{00000000-0005-0000-0000-000039410000}"/>
    <cellStyle name="Hed Side 2 8 3 3 2" xfId="14866" xr:uid="{00000000-0005-0000-0000-00003A410000}"/>
    <cellStyle name="Hed Side 2 8 3 4" xfId="14867" xr:uid="{00000000-0005-0000-0000-00003B410000}"/>
    <cellStyle name="Hed Side 2 8 3 4 2" xfId="14868" xr:uid="{00000000-0005-0000-0000-00003C410000}"/>
    <cellStyle name="Hed Side 2 8 3 5" xfId="14869" xr:uid="{00000000-0005-0000-0000-00003D410000}"/>
    <cellStyle name="Hed Side 2 8 3 5 2" xfId="14870" xr:uid="{00000000-0005-0000-0000-00003E410000}"/>
    <cellStyle name="Hed Side 2 8 3 6" xfId="14871" xr:uid="{00000000-0005-0000-0000-00003F410000}"/>
    <cellStyle name="Hed Side 2 8 3 6 2" xfId="14872" xr:uid="{00000000-0005-0000-0000-000040410000}"/>
    <cellStyle name="Hed Side 2 8 3 7" xfId="14873" xr:uid="{00000000-0005-0000-0000-000041410000}"/>
    <cellStyle name="Hed Side 2 8 3 7 2" xfId="14874" xr:uid="{00000000-0005-0000-0000-000042410000}"/>
    <cellStyle name="Hed Side 2 8 3 8" xfId="14875" xr:uid="{00000000-0005-0000-0000-000043410000}"/>
    <cellStyle name="Hed Side 2 8 3 8 2" xfId="14876" xr:uid="{00000000-0005-0000-0000-000044410000}"/>
    <cellStyle name="Hed Side 2 8 3 9" xfId="14877" xr:uid="{00000000-0005-0000-0000-000045410000}"/>
    <cellStyle name="Hed Side 2 8 3 9 2" xfId="14878" xr:uid="{00000000-0005-0000-0000-000046410000}"/>
    <cellStyle name="Hed Side 2 8 4" xfId="14879" xr:uid="{00000000-0005-0000-0000-000047410000}"/>
    <cellStyle name="Hed Side 2 8 4 10" xfId="14880" xr:uid="{00000000-0005-0000-0000-000048410000}"/>
    <cellStyle name="Hed Side 2 8 4 2" xfId="14881" xr:uid="{00000000-0005-0000-0000-000049410000}"/>
    <cellStyle name="Hed Side 2 8 4 2 2" xfId="14882" xr:uid="{00000000-0005-0000-0000-00004A410000}"/>
    <cellStyle name="Hed Side 2 8 4 3" xfId="14883" xr:uid="{00000000-0005-0000-0000-00004B410000}"/>
    <cellStyle name="Hed Side 2 8 4 3 2" xfId="14884" xr:uid="{00000000-0005-0000-0000-00004C410000}"/>
    <cellStyle name="Hed Side 2 8 4 4" xfId="14885" xr:uid="{00000000-0005-0000-0000-00004D410000}"/>
    <cellStyle name="Hed Side 2 8 4 4 2" xfId="14886" xr:uid="{00000000-0005-0000-0000-00004E410000}"/>
    <cellStyle name="Hed Side 2 8 4 5" xfId="14887" xr:uid="{00000000-0005-0000-0000-00004F410000}"/>
    <cellStyle name="Hed Side 2 8 4 5 2" xfId="14888" xr:uid="{00000000-0005-0000-0000-000050410000}"/>
    <cellStyle name="Hed Side 2 8 4 6" xfId="14889" xr:uid="{00000000-0005-0000-0000-000051410000}"/>
    <cellStyle name="Hed Side 2 8 4 6 2" xfId="14890" xr:uid="{00000000-0005-0000-0000-000052410000}"/>
    <cellStyle name="Hed Side 2 8 4 7" xfId="14891" xr:uid="{00000000-0005-0000-0000-000053410000}"/>
    <cellStyle name="Hed Side 2 8 4 7 2" xfId="14892" xr:uid="{00000000-0005-0000-0000-000054410000}"/>
    <cellStyle name="Hed Side 2 8 4 8" xfId="14893" xr:uid="{00000000-0005-0000-0000-000055410000}"/>
    <cellStyle name="Hed Side 2 8 4 8 2" xfId="14894" xr:uid="{00000000-0005-0000-0000-000056410000}"/>
    <cellStyle name="Hed Side 2 8 4 9" xfId="14895" xr:uid="{00000000-0005-0000-0000-000057410000}"/>
    <cellStyle name="Hed Side 2 8 4 9 2" xfId="14896" xr:uid="{00000000-0005-0000-0000-000058410000}"/>
    <cellStyle name="Hed Side 2 8 5" xfId="14897" xr:uid="{00000000-0005-0000-0000-000059410000}"/>
    <cellStyle name="Hed Side 2 8 5 10" xfId="14898" xr:uid="{00000000-0005-0000-0000-00005A410000}"/>
    <cellStyle name="Hed Side 2 8 5 2" xfId="14899" xr:uid="{00000000-0005-0000-0000-00005B410000}"/>
    <cellStyle name="Hed Side 2 8 5 2 2" xfId="14900" xr:uid="{00000000-0005-0000-0000-00005C410000}"/>
    <cellStyle name="Hed Side 2 8 5 3" xfId="14901" xr:uid="{00000000-0005-0000-0000-00005D410000}"/>
    <cellStyle name="Hed Side 2 8 5 3 2" xfId="14902" xr:uid="{00000000-0005-0000-0000-00005E410000}"/>
    <cellStyle name="Hed Side 2 8 5 4" xfId="14903" xr:uid="{00000000-0005-0000-0000-00005F410000}"/>
    <cellStyle name="Hed Side 2 8 5 4 2" xfId="14904" xr:uid="{00000000-0005-0000-0000-000060410000}"/>
    <cellStyle name="Hed Side 2 8 5 5" xfId="14905" xr:uid="{00000000-0005-0000-0000-000061410000}"/>
    <cellStyle name="Hed Side 2 8 5 5 2" xfId="14906" xr:uid="{00000000-0005-0000-0000-000062410000}"/>
    <cellStyle name="Hed Side 2 8 5 6" xfId="14907" xr:uid="{00000000-0005-0000-0000-000063410000}"/>
    <cellStyle name="Hed Side 2 8 5 6 2" xfId="14908" xr:uid="{00000000-0005-0000-0000-000064410000}"/>
    <cellStyle name="Hed Side 2 8 5 7" xfId="14909" xr:uid="{00000000-0005-0000-0000-000065410000}"/>
    <cellStyle name="Hed Side 2 8 5 7 2" xfId="14910" xr:uid="{00000000-0005-0000-0000-000066410000}"/>
    <cellStyle name="Hed Side 2 8 5 8" xfId="14911" xr:uid="{00000000-0005-0000-0000-000067410000}"/>
    <cellStyle name="Hed Side 2 8 5 8 2" xfId="14912" xr:uid="{00000000-0005-0000-0000-000068410000}"/>
    <cellStyle name="Hed Side 2 8 5 9" xfId="14913" xr:uid="{00000000-0005-0000-0000-000069410000}"/>
    <cellStyle name="Hed Side 2 8 5 9 2" xfId="14914" xr:uid="{00000000-0005-0000-0000-00006A410000}"/>
    <cellStyle name="Hed Side 2 8 6" xfId="14915" xr:uid="{00000000-0005-0000-0000-00006B410000}"/>
    <cellStyle name="Hed Side 2 8 6 10" xfId="14916" xr:uid="{00000000-0005-0000-0000-00006C410000}"/>
    <cellStyle name="Hed Side 2 8 6 2" xfId="14917" xr:uid="{00000000-0005-0000-0000-00006D410000}"/>
    <cellStyle name="Hed Side 2 8 6 2 2" xfId="14918" xr:uid="{00000000-0005-0000-0000-00006E410000}"/>
    <cellStyle name="Hed Side 2 8 6 3" xfId="14919" xr:uid="{00000000-0005-0000-0000-00006F410000}"/>
    <cellStyle name="Hed Side 2 8 6 3 2" xfId="14920" xr:uid="{00000000-0005-0000-0000-000070410000}"/>
    <cellStyle name="Hed Side 2 8 6 4" xfId="14921" xr:uid="{00000000-0005-0000-0000-000071410000}"/>
    <cellStyle name="Hed Side 2 8 6 4 2" xfId="14922" xr:uid="{00000000-0005-0000-0000-000072410000}"/>
    <cellStyle name="Hed Side 2 8 6 5" xfId="14923" xr:uid="{00000000-0005-0000-0000-000073410000}"/>
    <cellStyle name="Hed Side 2 8 6 5 2" xfId="14924" xr:uid="{00000000-0005-0000-0000-000074410000}"/>
    <cellStyle name="Hed Side 2 8 6 6" xfId="14925" xr:uid="{00000000-0005-0000-0000-000075410000}"/>
    <cellStyle name="Hed Side 2 8 6 6 2" xfId="14926" xr:uid="{00000000-0005-0000-0000-000076410000}"/>
    <cellStyle name="Hed Side 2 8 6 7" xfId="14927" xr:uid="{00000000-0005-0000-0000-000077410000}"/>
    <cellStyle name="Hed Side 2 8 6 7 2" xfId="14928" xr:uid="{00000000-0005-0000-0000-000078410000}"/>
    <cellStyle name="Hed Side 2 8 6 8" xfId="14929" xr:uid="{00000000-0005-0000-0000-000079410000}"/>
    <cellStyle name="Hed Side 2 8 6 8 2" xfId="14930" xr:uid="{00000000-0005-0000-0000-00007A410000}"/>
    <cellStyle name="Hed Side 2 8 6 9" xfId="14931" xr:uid="{00000000-0005-0000-0000-00007B410000}"/>
    <cellStyle name="Hed Side 2 8 6 9 2" xfId="14932" xr:uid="{00000000-0005-0000-0000-00007C410000}"/>
    <cellStyle name="Hed Side 2 8 7" xfId="14933" xr:uid="{00000000-0005-0000-0000-00007D410000}"/>
    <cellStyle name="Hed Side 2 8 7 10" xfId="14934" xr:uid="{00000000-0005-0000-0000-00007E410000}"/>
    <cellStyle name="Hed Side 2 8 7 2" xfId="14935" xr:uid="{00000000-0005-0000-0000-00007F410000}"/>
    <cellStyle name="Hed Side 2 8 7 2 2" xfId="14936" xr:uid="{00000000-0005-0000-0000-000080410000}"/>
    <cellStyle name="Hed Side 2 8 7 3" xfId="14937" xr:uid="{00000000-0005-0000-0000-000081410000}"/>
    <cellStyle name="Hed Side 2 8 7 3 2" xfId="14938" xr:uid="{00000000-0005-0000-0000-000082410000}"/>
    <cellStyle name="Hed Side 2 8 7 4" xfId="14939" xr:uid="{00000000-0005-0000-0000-000083410000}"/>
    <cellStyle name="Hed Side 2 8 7 4 2" xfId="14940" xr:uid="{00000000-0005-0000-0000-000084410000}"/>
    <cellStyle name="Hed Side 2 8 7 5" xfId="14941" xr:uid="{00000000-0005-0000-0000-000085410000}"/>
    <cellStyle name="Hed Side 2 8 7 5 2" xfId="14942" xr:uid="{00000000-0005-0000-0000-000086410000}"/>
    <cellStyle name="Hed Side 2 8 7 6" xfId="14943" xr:uid="{00000000-0005-0000-0000-000087410000}"/>
    <cellStyle name="Hed Side 2 8 7 6 2" xfId="14944" xr:uid="{00000000-0005-0000-0000-000088410000}"/>
    <cellStyle name="Hed Side 2 8 7 7" xfId="14945" xr:uid="{00000000-0005-0000-0000-000089410000}"/>
    <cellStyle name="Hed Side 2 8 7 7 2" xfId="14946" xr:uid="{00000000-0005-0000-0000-00008A410000}"/>
    <cellStyle name="Hed Side 2 8 7 8" xfId="14947" xr:uid="{00000000-0005-0000-0000-00008B410000}"/>
    <cellStyle name="Hed Side 2 8 7 8 2" xfId="14948" xr:uid="{00000000-0005-0000-0000-00008C410000}"/>
    <cellStyle name="Hed Side 2 8 7 9" xfId="14949" xr:uid="{00000000-0005-0000-0000-00008D410000}"/>
    <cellStyle name="Hed Side 2 8 7 9 2" xfId="14950" xr:uid="{00000000-0005-0000-0000-00008E410000}"/>
    <cellStyle name="Hed Side 2 8 8" xfId="14951" xr:uid="{00000000-0005-0000-0000-00008F410000}"/>
    <cellStyle name="Hed Side 2 8 8 10" xfId="14952" xr:uid="{00000000-0005-0000-0000-000090410000}"/>
    <cellStyle name="Hed Side 2 8 8 2" xfId="14953" xr:uid="{00000000-0005-0000-0000-000091410000}"/>
    <cellStyle name="Hed Side 2 8 8 2 2" xfId="14954" xr:uid="{00000000-0005-0000-0000-000092410000}"/>
    <cellStyle name="Hed Side 2 8 8 3" xfId="14955" xr:uid="{00000000-0005-0000-0000-000093410000}"/>
    <cellStyle name="Hed Side 2 8 8 3 2" xfId="14956" xr:uid="{00000000-0005-0000-0000-000094410000}"/>
    <cellStyle name="Hed Side 2 8 8 4" xfId="14957" xr:uid="{00000000-0005-0000-0000-000095410000}"/>
    <cellStyle name="Hed Side 2 8 8 4 2" xfId="14958" xr:uid="{00000000-0005-0000-0000-000096410000}"/>
    <cellStyle name="Hed Side 2 8 8 5" xfId="14959" xr:uid="{00000000-0005-0000-0000-000097410000}"/>
    <cellStyle name="Hed Side 2 8 8 5 2" xfId="14960" xr:uid="{00000000-0005-0000-0000-000098410000}"/>
    <cellStyle name="Hed Side 2 8 8 6" xfId="14961" xr:uid="{00000000-0005-0000-0000-000099410000}"/>
    <cellStyle name="Hed Side 2 8 8 6 2" xfId="14962" xr:uid="{00000000-0005-0000-0000-00009A410000}"/>
    <cellStyle name="Hed Side 2 8 8 7" xfId="14963" xr:uid="{00000000-0005-0000-0000-00009B410000}"/>
    <cellStyle name="Hed Side 2 8 8 7 2" xfId="14964" xr:uid="{00000000-0005-0000-0000-00009C410000}"/>
    <cellStyle name="Hed Side 2 8 8 8" xfId="14965" xr:uid="{00000000-0005-0000-0000-00009D410000}"/>
    <cellStyle name="Hed Side 2 8 8 8 2" xfId="14966" xr:uid="{00000000-0005-0000-0000-00009E410000}"/>
    <cellStyle name="Hed Side 2 8 8 9" xfId="14967" xr:uid="{00000000-0005-0000-0000-00009F410000}"/>
    <cellStyle name="Hed Side 2 8 8 9 2" xfId="14968" xr:uid="{00000000-0005-0000-0000-0000A0410000}"/>
    <cellStyle name="Hed Side 2 8 9" xfId="14969" xr:uid="{00000000-0005-0000-0000-0000A1410000}"/>
    <cellStyle name="Hed Side 2 8 9 10" xfId="14970" xr:uid="{00000000-0005-0000-0000-0000A2410000}"/>
    <cellStyle name="Hed Side 2 8 9 2" xfId="14971" xr:uid="{00000000-0005-0000-0000-0000A3410000}"/>
    <cellStyle name="Hed Side 2 8 9 2 2" xfId="14972" xr:uid="{00000000-0005-0000-0000-0000A4410000}"/>
    <cellStyle name="Hed Side 2 8 9 3" xfId="14973" xr:uid="{00000000-0005-0000-0000-0000A5410000}"/>
    <cellStyle name="Hed Side 2 8 9 3 2" xfId="14974" xr:uid="{00000000-0005-0000-0000-0000A6410000}"/>
    <cellStyle name="Hed Side 2 8 9 4" xfId="14975" xr:uid="{00000000-0005-0000-0000-0000A7410000}"/>
    <cellStyle name="Hed Side 2 8 9 4 2" xfId="14976" xr:uid="{00000000-0005-0000-0000-0000A8410000}"/>
    <cellStyle name="Hed Side 2 8 9 5" xfId="14977" xr:uid="{00000000-0005-0000-0000-0000A9410000}"/>
    <cellStyle name="Hed Side 2 8 9 5 2" xfId="14978" xr:uid="{00000000-0005-0000-0000-0000AA410000}"/>
    <cellStyle name="Hed Side 2 8 9 6" xfId="14979" xr:uid="{00000000-0005-0000-0000-0000AB410000}"/>
    <cellStyle name="Hed Side 2 8 9 6 2" xfId="14980" xr:uid="{00000000-0005-0000-0000-0000AC410000}"/>
    <cellStyle name="Hed Side 2 8 9 7" xfId="14981" xr:uid="{00000000-0005-0000-0000-0000AD410000}"/>
    <cellStyle name="Hed Side 2 8 9 7 2" xfId="14982" xr:uid="{00000000-0005-0000-0000-0000AE410000}"/>
    <cellStyle name="Hed Side 2 8 9 8" xfId="14983" xr:uid="{00000000-0005-0000-0000-0000AF410000}"/>
    <cellStyle name="Hed Side 2 8 9 8 2" xfId="14984" xr:uid="{00000000-0005-0000-0000-0000B0410000}"/>
    <cellStyle name="Hed Side 2 8 9 9" xfId="14985" xr:uid="{00000000-0005-0000-0000-0000B1410000}"/>
    <cellStyle name="Hed Side 2 8 9 9 2" xfId="14986" xr:uid="{00000000-0005-0000-0000-0000B2410000}"/>
    <cellStyle name="Hed Side 3" xfId="167" xr:uid="{00000000-0005-0000-0000-0000B3410000}"/>
    <cellStyle name="Hed Side 3 2" xfId="14987" xr:uid="{00000000-0005-0000-0000-0000B4410000}"/>
    <cellStyle name="Hed Side 3 2 10" xfId="14988" xr:uid="{00000000-0005-0000-0000-0000B5410000}"/>
    <cellStyle name="Hed Side 3 2 10 10" xfId="14989" xr:uid="{00000000-0005-0000-0000-0000B6410000}"/>
    <cellStyle name="Hed Side 3 2 10 2" xfId="14990" xr:uid="{00000000-0005-0000-0000-0000B7410000}"/>
    <cellStyle name="Hed Side 3 2 10 2 2" xfId="14991" xr:uid="{00000000-0005-0000-0000-0000B8410000}"/>
    <cellStyle name="Hed Side 3 2 10 3" xfId="14992" xr:uid="{00000000-0005-0000-0000-0000B9410000}"/>
    <cellStyle name="Hed Side 3 2 10 3 2" xfId="14993" xr:uid="{00000000-0005-0000-0000-0000BA410000}"/>
    <cellStyle name="Hed Side 3 2 10 4" xfId="14994" xr:uid="{00000000-0005-0000-0000-0000BB410000}"/>
    <cellStyle name="Hed Side 3 2 10 4 2" xfId="14995" xr:uid="{00000000-0005-0000-0000-0000BC410000}"/>
    <cellStyle name="Hed Side 3 2 10 5" xfId="14996" xr:uid="{00000000-0005-0000-0000-0000BD410000}"/>
    <cellStyle name="Hed Side 3 2 10 5 2" xfId="14997" xr:uid="{00000000-0005-0000-0000-0000BE410000}"/>
    <cellStyle name="Hed Side 3 2 10 6" xfId="14998" xr:uid="{00000000-0005-0000-0000-0000BF410000}"/>
    <cellStyle name="Hed Side 3 2 10 6 2" xfId="14999" xr:uid="{00000000-0005-0000-0000-0000C0410000}"/>
    <cellStyle name="Hed Side 3 2 10 7" xfId="15000" xr:uid="{00000000-0005-0000-0000-0000C1410000}"/>
    <cellStyle name="Hed Side 3 2 10 7 2" xfId="15001" xr:uid="{00000000-0005-0000-0000-0000C2410000}"/>
    <cellStyle name="Hed Side 3 2 10 8" xfId="15002" xr:uid="{00000000-0005-0000-0000-0000C3410000}"/>
    <cellStyle name="Hed Side 3 2 10 8 2" xfId="15003" xr:uid="{00000000-0005-0000-0000-0000C4410000}"/>
    <cellStyle name="Hed Side 3 2 10 9" xfId="15004" xr:uid="{00000000-0005-0000-0000-0000C5410000}"/>
    <cellStyle name="Hed Side 3 2 10 9 2" xfId="15005" xr:uid="{00000000-0005-0000-0000-0000C6410000}"/>
    <cellStyle name="Hed Side 3 2 11" xfId="15006" xr:uid="{00000000-0005-0000-0000-0000C7410000}"/>
    <cellStyle name="Hed Side 3 2 11 2" xfId="15007" xr:uid="{00000000-0005-0000-0000-0000C8410000}"/>
    <cellStyle name="Hed Side 3 2 11 2 2" xfId="15008" xr:uid="{00000000-0005-0000-0000-0000C9410000}"/>
    <cellStyle name="Hed Side 3 2 11 3" xfId="15009" xr:uid="{00000000-0005-0000-0000-0000CA410000}"/>
    <cellStyle name="Hed Side 3 2 11 3 2" xfId="15010" xr:uid="{00000000-0005-0000-0000-0000CB410000}"/>
    <cellStyle name="Hed Side 3 2 11 4" xfId="15011" xr:uid="{00000000-0005-0000-0000-0000CC410000}"/>
    <cellStyle name="Hed Side 3 2 11 4 2" xfId="15012" xr:uid="{00000000-0005-0000-0000-0000CD410000}"/>
    <cellStyle name="Hed Side 3 2 11 5" xfId="15013" xr:uid="{00000000-0005-0000-0000-0000CE410000}"/>
    <cellStyle name="Hed Side 3 2 11 5 2" xfId="15014" xr:uid="{00000000-0005-0000-0000-0000CF410000}"/>
    <cellStyle name="Hed Side 3 2 11 6" xfId="15015" xr:uid="{00000000-0005-0000-0000-0000D0410000}"/>
    <cellStyle name="Hed Side 3 2 11 6 2" xfId="15016" xr:uid="{00000000-0005-0000-0000-0000D1410000}"/>
    <cellStyle name="Hed Side 3 2 11 7" xfId="15017" xr:uid="{00000000-0005-0000-0000-0000D2410000}"/>
    <cellStyle name="Hed Side 3 2 11 7 2" xfId="15018" xr:uid="{00000000-0005-0000-0000-0000D3410000}"/>
    <cellStyle name="Hed Side 3 2 11 8" xfId="15019" xr:uid="{00000000-0005-0000-0000-0000D4410000}"/>
    <cellStyle name="Hed Side 3 2 11 8 2" xfId="15020" xr:uid="{00000000-0005-0000-0000-0000D5410000}"/>
    <cellStyle name="Hed Side 3 2 11 9" xfId="15021" xr:uid="{00000000-0005-0000-0000-0000D6410000}"/>
    <cellStyle name="Hed Side 3 2 2" xfId="15022" xr:uid="{00000000-0005-0000-0000-0000D7410000}"/>
    <cellStyle name="Hed Side 3 2 2 10" xfId="15023" xr:uid="{00000000-0005-0000-0000-0000D8410000}"/>
    <cellStyle name="Hed Side 3 2 2 2" xfId="15024" xr:uid="{00000000-0005-0000-0000-0000D9410000}"/>
    <cellStyle name="Hed Side 3 2 2 2 2" xfId="15025" xr:uid="{00000000-0005-0000-0000-0000DA410000}"/>
    <cellStyle name="Hed Side 3 2 2 3" xfId="15026" xr:uid="{00000000-0005-0000-0000-0000DB410000}"/>
    <cellStyle name="Hed Side 3 2 2 3 2" xfId="15027" xr:uid="{00000000-0005-0000-0000-0000DC410000}"/>
    <cellStyle name="Hed Side 3 2 2 4" xfId="15028" xr:uid="{00000000-0005-0000-0000-0000DD410000}"/>
    <cellStyle name="Hed Side 3 2 2 4 2" xfId="15029" xr:uid="{00000000-0005-0000-0000-0000DE410000}"/>
    <cellStyle name="Hed Side 3 2 2 5" xfId="15030" xr:uid="{00000000-0005-0000-0000-0000DF410000}"/>
    <cellStyle name="Hed Side 3 2 2 5 2" xfId="15031" xr:uid="{00000000-0005-0000-0000-0000E0410000}"/>
    <cellStyle name="Hed Side 3 2 2 6" xfId="15032" xr:uid="{00000000-0005-0000-0000-0000E1410000}"/>
    <cellStyle name="Hed Side 3 2 2 6 2" xfId="15033" xr:uid="{00000000-0005-0000-0000-0000E2410000}"/>
    <cellStyle name="Hed Side 3 2 2 7" xfId="15034" xr:uid="{00000000-0005-0000-0000-0000E3410000}"/>
    <cellStyle name="Hed Side 3 2 2 7 2" xfId="15035" xr:uid="{00000000-0005-0000-0000-0000E4410000}"/>
    <cellStyle name="Hed Side 3 2 2 8" xfId="15036" xr:uid="{00000000-0005-0000-0000-0000E5410000}"/>
    <cellStyle name="Hed Side 3 2 2 8 2" xfId="15037" xr:uid="{00000000-0005-0000-0000-0000E6410000}"/>
    <cellStyle name="Hed Side 3 2 2 9" xfId="15038" xr:uid="{00000000-0005-0000-0000-0000E7410000}"/>
    <cellStyle name="Hed Side 3 2 2 9 2" xfId="15039" xr:uid="{00000000-0005-0000-0000-0000E8410000}"/>
    <cellStyle name="Hed Side 3 2 3" xfId="15040" xr:uid="{00000000-0005-0000-0000-0000E9410000}"/>
    <cellStyle name="Hed Side 3 2 3 10" xfId="15041" xr:uid="{00000000-0005-0000-0000-0000EA410000}"/>
    <cellStyle name="Hed Side 3 2 3 2" xfId="15042" xr:uid="{00000000-0005-0000-0000-0000EB410000}"/>
    <cellStyle name="Hed Side 3 2 3 2 2" xfId="15043" xr:uid="{00000000-0005-0000-0000-0000EC410000}"/>
    <cellStyle name="Hed Side 3 2 3 3" xfId="15044" xr:uid="{00000000-0005-0000-0000-0000ED410000}"/>
    <cellStyle name="Hed Side 3 2 3 3 2" xfId="15045" xr:uid="{00000000-0005-0000-0000-0000EE410000}"/>
    <cellStyle name="Hed Side 3 2 3 4" xfId="15046" xr:uid="{00000000-0005-0000-0000-0000EF410000}"/>
    <cellStyle name="Hed Side 3 2 3 4 2" xfId="15047" xr:uid="{00000000-0005-0000-0000-0000F0410000}"/>
    <cellStyle name="Hed Side 3 2 3 5" xfId="15048" xr:uid="{00000000-0005-0000-0000-0000F1410000}"/>
    <cellStyle name="Hed Side 3 2 3 5 2" xfId="15049" xr:uid="{00000000-0005-0000-0000-0000F2410000}"/>
    <cellStyle name="Hed Side 3 2 3 6" xfId="15050" xr:uid="{00000000-0005-0000-0000-0000F3410000}"/>
    <cellStyle name="Hed Side 3 2 3 6 2" xfId="15051" xr:uid="{00000000-0005-0000-0000-0000F4410000}"/>
    <cellStyle name="Hed Side 3 2 3 7" xfId="15052" xr:uid="{00000000-0005-0000-0000-0000F5410000}"/>
    <cellStyle name="Hed Side 3 2 3 7 2" xfId="15053" xr:uid="{00000000-0005-0000-0000-0000F6410000}"/>
    <cellStyle name="Hed Side 3 2 3 8" xfId="15054" xr:uid="{00000000-0005-0000-0000-0000F7410000}"/>
    <cellStyle name="Hed Side 3 2 3 8 2" xfId="15055" xr:uid="{00000000-0005-0000-0000-0000F8410000}"/>
    <cellStyle name="Hed Side 3 2 3 9" xfId="15056" xr:uid="{00000000-0005-0000-0000-0000F9410000}"/>
    <cellStyle name="Hed Side 3 2 3 9 2" xfId="15057" xr:uid="{00000000-0005-0000-0000-0000FA410000}"/>
    <cellStyle name="Hed Side 3 2 4" xfId="15058" xr:uid="{00000000-0005-0000-0000-0000FB410000}"/>
    <cellStyle name="Hed Side 3 2 4 10" xfId="15059" xr:uid="{00000000-0005-0000-0000-0000FC410000}"/>
    <cellStyle name="Hed Side 3 2 4 2" xfId="15060" xr:uid="{00000000-0005-0000-0000-0000FD410000}"/>
    <cellStyle name="Hed Side 3 2 4 2 2" xfId="15061" xr:uid="{00000000-0005-0000-0000-0000FE410000}"/>
    <cellStyle name="Hed Side 3 2 4 3" xfId="15062" xr:uid="{00000000-0005-0000-0000-0000FF410000}"/>
    <cellStyle name="Hed Side 3 2 4 3 2" xfId="15063" xr:uid="{00000000-0005-0000-0000-000000420000}"/>
    <cellStyle name="Hed Side 3 2 4 4" xfId="15064" xr:uid="{00000000-0005-0000-0000-000001420000}"/>
    <cellStyle name="Hed Side 3 2 4 4 2" xfId="15065" xr:uid="{00000000-0005-0000-0000-000002420000}"/>
    <cellStyle name="Hed Side 3 2 4 5" xfId="15066" xr:uid="{00000000-0005-0000-0000-000003420000}"/>
    <cellStyle name="Hed Side 3 2 4 5 2" xfId="15067" xr:uid="{00000000-0005-0000-0000-000004420000}"/>
    <cellStyle name="Hed Side 3 2 4 6" xfId="15068" xr:uid="{00000000-0005-0000-0000-000005420000}"/>
    <cellStyle name="Hed Side 3 2 4 6 2" xfId="15069" xr:uid="{00000000-0005-0000-0000-000006420000}"/>
    <cellStyle name="Hed Side 3 2 4 7" xfId="15070" xr:uid="{00000000-0005-0000-0000-000007420000}"/>
    <cellStyle name="Hed Side 3 2 4 7 2" xfId="15071" xr:uid="{00000000-0005-0000-0000-000008420000}"/>
    <cellStyle name="Hed Side 3 2 4 8" xfId="15072" xr:uid="{00000000-0005-0000-0000-000009420000}"/>
    <cellStyle name="Hed Side 3 2 4 8 2" xfId="15073" xr:uid="{00000000-0005-0000-0000-00000A420000}"/>
    <cellStyle name="Hed Side 3 2 4 9" xfId="15074" xr:uid="{00000000-0005-0000-0000-00000B420000}"/>
    <cellStyle name="Hed Side 3 2 4 9 2" xfId="15075" xr:uid="{00000000-0005-0000-0000-00000C420000}"/>
    <cellStyle name="Hed Side 3 2 5" xfId="15076" xr:uid="{00000000-0005-0000-0000-00000D420000}"/>
    <cellStyle name="Hed Side 3 2 5 10" xfId="15077" xr:uid="{00000000-0005-0000-0000-00000E420000}"/>
    <cellStyle name="Hed Side 3 2 5 2" xfId="15078" xr:uid="{00000000-0005-0000-0000-00000F420000}"/>
    <cellStyle name="Hed Side 3 2 5 2 2" xfId="15079" xr:uid="{00000000-0005-0000-0000-000010420000}"/>
    <cellStyle name="Hed Side 3 2 5 3" xfId="15080" xr:uid="{00000000-0005-0000-0000-000011420000}"/>
    <cellStyle name="Hed Side 3 2 5 3 2" xfId="15081" xr:uid="{00000000-0005-0000-0000-000012420000}"/>
    <cellStyle name="Hed Side 3 2 5 4" xfId="15082" xr:uid="{00000000-0005-0000-0000-000013420000}"/>
    <cellStyle name="Hed Side 3 2 5 4 2" xfId="15083" xr:uid="{00000000-0005-0000-0000-000014420000}"/>
    <cellStyle name="Hed Side 3 2 5 5" xfId="15084" xr:uid="{00000000-0005-0000-0000-000015420000}"/>
    <cellStyle name="Hed Side 3 2 5 5 2" xfId="15085" xr:uid="{00000000-0005-0000-0000-000016420000}"/>
    <cellStyle name="Hed Side 3 2 5 6" xfId="15086" xr:uid="{00000000-0005-0000-0000-000017420000}"/>
    <cellStyle name="Hed Side 3 2 5 6 2" xfId="15087" xr:uid="{00000000-0005-0000-0000-000018420000}"/>
    <cellStyle name="Hed Side 3 2 5 7" xfId="15088" xr:uid="{00000000-0005-0000-0000-000019420000}"/>
    <cellStyle name="Hed Side 3 2 5 7 2" xfId="15089" xr:uid="{00000000-0005-0000-0000-00001A420000}"/>
    <cellStyle name="Hed Side 3 2 5 8" xfId="15090" xr:uid="{00000000-0005-0000-0000-00001B420000}"/>
    <cellStyle name="Hed Side 3 2 5 8 2" xfId="15091" xr:uid="{00000000-0005-0000-0000-00001C420000}"/>
    <cellStyle name="Hed Side 3 2 5 9" xfId="15092" xr:uid="{00000000-0005-0000-0000-00001D420000}"/>
    <cellStyle name="Hed Side 3 2 5 9 2" xfId="15093" xr:uid="{00000000-0005-0000-0000-00001E420000}"/>
    <cellStyle name="Hed Side 3 2 6" xfId="15094" xr:uid="{00000000-0005-0000-0000-00001F420000}"/>
    <cellStyle name="Hed Side 3 2 6 10" xfId="15095" xr:uid="{00000000-0005-0000-0000-000020420000}"/>
    <cellStyle name="Hed Side 3 2 6 2" xfId="15096" xr:uid="{00000000-0005-0000-0000-000021420000}"/>
    <cellStyle name="Hed Side 3 2 6 2 2" xfId="15097" xr:uid="{00000000-0005-0000-0000-000022420000}"/>
    <cellStyle name="Hed Side 3 2 6 3" xfId="15098" xr:uid="{00000000-0005-0000-0000-000023420000}"/>
    <cellStyle name="Hed Side 3 2 6 3 2" xfId="15099" xr:uid="{00000000-0005-0000-0000-000024420000}"/>
    <cellStyle name="Hed Side 3 2 6 4" xfId="15100" xr:uid="{00000000-0005-0000-0000-000025420000}"/>
    <cellStyle name="Hed Side 3 2 6 4 2" xfId="15101" xr:uid="{00000000-0005-0000-0000-000026420000}"/>
    <cellStyle name="Hed Side 3 2 6 5" xfId="15102" xr:uid="{00000000-0005-0000-0000-000027420000}"/>
    <cellStyle name="Hed Side 3 2 6 5 2" xfId="15103" xr:uid="{00000000-0005-0000-0000-000028420000}"/>
    <cellStyle name="Hed Side 3 2 6 6" xfId="15104" xr:uid="{00000000-0005-0000-0000-000029420000}"/>
    <cellStyle name="Hed Side 3 2 6 6 2" xfId="15105" xr:uid="{00000000-0005-0000-0000-00002A420000}"/>
    <cellStyle name="Hed Side 3 2 6 7" xfId="15106" xr:uid="{00000000-0005-0000-0000-00002B420000}"/>
    <cellStyle name="Hed Side 3 2 6 7 2" xfId="15107" xr:uid="{00000000-0005-0000-0000-00002C420000}"/>
    <cellStyle name="Hed Side 3 2 6 8" xfId="15108" xr:uid="{00000000-0005-0000-0000-00002D420000}"/>
    <cellStyle name="Hed Side 3 2 6 8 2" xfId="15109" xr:uid="{00000000-0005-0000-0000-00002E420000}"/>
    <cellStyle name="Hed Side 3 2 6 9" xfId="15110" xr:uid="{00000000-0005-0000-0000-00002F420000}"/>
    <cellStyle name="Hed Side 3 2 6 9 2" xfId="15111" xr:uid="{00000000-0005-0000-0000-000030420000}"/>
    <cellStyle name="Hed Side 3 2 7" xfId="15112" xr:uid="{00000000-0005-0000-0000-000031420000}"/>
    <cellStyle name="Hed Side 3 2 7 10" xfId="15113" xr:uid="{00000000-0005-0000-0000-000032420000}"/>
    <cellStyle name="Hed Side 3 2 7 2" xfId="15114" xr:uid="{00000000-0005-0000-0000-000033420000}"/>
    <cellStyle name="Hed Side 3 2 7 2 2" xfId="15115" xr:uid="{00000000-0005-0000-0000-000034420000}"/>
    <cellStyle name="Hed Side 3 2 7 3" xfId="15116" xr:uid="{00000000-0005-0000-0000-000035420000}"/>
    <cellStyle name="Hed Side 3 2 7 3 2" xfId="15117" xr:uid="{00000000-0005-0000-0000-000036420000}"/>
    <cellStyle name="Hed Side 3 2 7 4" xfId="15118" xr:uid="{00000000-0005-0000-0000-000037420000}"/>
    <cellStyle name="Hed Side 3 2 7 4 2" xfId="15119" xr:uid="{00000000-0005-0000-0000-000038420000}"/>
    <cellStyle name="Hed Side 3 2 7 5" xfId="15120" xr:uid="{00000000-0005-0000-0000-000039420000}"/>
    <cellStyle name="Hed Side 3 2 7 5 2" xfId="15121" xr:uid="{00000000-0005-0000-0000-00003A420000}"/>
    <cellStyle name="Hed Side 3 2 7 6" xfId="15122" xr:uid="{00000000-0005-0000-0000-00003B420000}"/>
    <cellStyle name="Hed Side 3 2 7 6 2" xfId="15123" xr:uid="{00000000-0005-0000-0000-00003C420000}"/>
    <cellStyle name="Hed Side 3 2 7 7" xfId="15124" xr:uid="{00000000-0005-0000-0000-00003D420000}"/>
    <cellStyle name="Hed Side 3 2 7 7 2" xfId="15125" xr:uid="{00000000-0005-0000-0000-00003E420000}"/>
    <cellStyle name="Hed Side 3 2 7 8" xfId="15126" xr:uid="{00000000-0005-0000-0000-00003F420000}"/>
    <cellStyle name="Hed Side 3 2 7 8 2" xfId="15127" xr:uid="{00000000-0005-0000-0000-000040420000}"/>
    <cellStyle name="Hed Side 3 2 7 9" xfId="15128" xr:uid="{00000000-0005-0000-0000-000041420000}"/>
    <cellStyle name="Hed Side 3 2 7 9 2" xfId="15129" xr:uid="{00000000-0005-0000-0000-000042420000}"/>
    <cellStyle name="Hed Side 3 2 8" xfId="15130" xr:uid="{00000000-0005-0000-0000-000043420000}"/>
    <cellStyle name="Hed Side 3 2 8 10" xfId="15131" xr:uid="{00000000-0005-0000-0000-000044420000}"/>
    <cellStyle name="Hed Side 3 2 8 2" xfId="15132" xr:uid="{00000000-0005-0000-0000-000045420000}"/>
    <cellStyle name="Hed Side 3 2 8 2 2" xfId="15133" xr:uid="{00000000-0005-0000-0000-000046420000}"/>
    <cellStyle name="Hed Side 3 2 8 3" xfId="15134" xr:uid="{00000000-0005-0000-0000-000047420000}"/>
    <cellStyle name="Hed Side 3 2 8 3 2" xfId="15135" xr:uid="{00000000-0005-0000-0000-000048420000}"/>
    <cellStyle name="Hed Side 3 2 8 4" xfId="15136" xr:uid="{00000000-0005-0000-0000-000049420000}"/>
    <cellStyle name="Hed Side 3 2 8 4 2" xfId="15137" xr:uid="{00000000-0005-0000-0000-00004A420000}"/>
    <cellStyle name="Hed Side 3 2 8 5" xfId="15138" xr:uid="{00000000-0005-0000-0000-00004B420000}"/>
    <cellStyle name="Hed Side 3 2 8 5 2" xfId="15139" xr:uid="{00000000-0005-0000-0000-00004C420000}"/>
    <cellStyle name="Hed Side 3 2 8 6" xfId="15140" xr:uid="{00000000-0005-0000-0000-00004D420000}"/>
    <cellStyle name="Hed Side 3 2 8 6 2" xfId="15141" xr:uid="{00000000-0005-0000-0000-00004E420000}"/>
    <cellStyle name="Hed Side 3 2 8 7" xfId="15142" xr:uid="{00000000-0005-0000-0000-00004F420000}"/>
    <cellStyle name="Hed Side 3 2 8 7 2" xfId="15143" xr:uid="{00000000-0005-0000-0000-000050420000}"/>
    <cellStyle name="Hed Side 3 2 8 8" xfId="15144" xr:uid="{00000000-0005-0000-0000-000051420000}"/>
    <cellStyle name="Hed Side 3 2 8 8 2" xfId="15145" xr:uid="{00000000-0005-0000-0000-000052420000}"/>
    <cellStyle name="Hed Side 3 2 8 9" xfId="15146" xr:uid="{00000000-0005-0000-0000-000053420000}"/>
    <cellStyle name="Hed Side 3 2 8 9 2" xfId="15147" xr:uid="{00000000-0005-0000-0000-000054420000}"/>
    <cellStyle name="Hed Side 3 2 9" xfId="15148" xr:uid="{00000000-0005-0000-0000-000055420000}"/>
    <cellStyle name="Hed Side 3 2 9 10" xfId="15149" xr:uid="{00000000-0005-0000-0000-000056420000}"/>
    <cellStyle name="Hed Side 3 2 9 2" xfId="15150" xr:uid="{00000000-0005-0000-0000-000057420000}"/>
    <cellStyle name="Hed Side 3 2 9 2 2" xfId="15151" xr:uid="{00000000-0005-0000-0000-000058420000}"/>
    <cellStyle name="Hed Side 3 2 9 3" xfId="15152" xr:uid="{00000000-0005-0000-0000-000059420000}"/>
    <cellStyle name="Hed Side 3 2 9 3 2" xfId="15153" xr:uid="{00000000-0005-0000-0000-00005A420000}"/>
    <cellStyle name="Hed Side 3 2 9 4" xfId="15154" xr:uid="{00000000-0005-0000-0000-00005B420000}"/>
    <cellStyle name="Hed Side 3 2 9 4 2" xfId="15155" xr:uid="{00000000-0005-0000-0000-00005C420000}"/>
    <cellStyle name="Hed Side 3 2 9 5" xfId="15156" xr:uid="{00000000-0005-0000-0000-00005D420000}"/>
    <cellStyle name="Hed Side 3 2 9 5 2" xfId="15157" xr:uid="{00000000-0005-0000-0000-00005E420000}"/>
    <cellStyle name="Hed Side 3 2 9 6" xfId="15158" xr:uid="{00000000-0005-0000-0000-00005F420000}"/>
    <cellStyle name="Hed Side 3 2 9 6 2" xfId="15159" xr:uid="{00000000-0005-0000-0000-000060420000}"/>
    <cellStyle name="Hed Side 3 2 9 7" xfId="15160" xr:uid="{00000000-0005-0000-0000-000061420000}"/>
    <cellStyle name="Hed Side 3 2 9 7 2" xfId="15161" xr:uid="{00000000-0005-0000-0000-000062420000}"/>
    <cellStyle name="Hed Side 3 2 9 8" xfId="15162" xr:uid="{00000000-0005-0000-0000-000063420000}"/>
    <cellStyle name="Hed Side 3 2 9 8 2" xfId="15163" xr:uid="{00000000-0005-0000-0000-000064420000}"/>
    <cellStyle name="Hed Side 3 2 9 9" xfId="15164" xr:uid="{00000000-0005-0000-0000-000065420000}"/>
    <cellStyle name="Hed Side 3 2 9 9 2" xfId="15165" xr:uid="{00000000-0005-0000-0000-000066420000}"/>
    <cellStyle name="Hed Side 3 3" xfId="15166" xr:uid="{00000000-0005-0000-0000-000067420000}"/>
    <cellStyle name="Hed Side 3 3 10" xfId="15167" xr:uid="{00000000-0005-0000-0000-000068420000}"/>
    <cellStyle name="Hed Side 3 3 10 10" xfId="15168" xr:uid="{00000000-0005-0000-0000-000069420000}"/>
    <cellStyle name="Hed Side 3 3 10 2" xfId="15169" xr:uid="{00000000-0005-0000-0000-00006A420000}"/>
    <cellStyle name="Hed Side 3 3 10 2 2" xfId="15170" xr:uid="{00000000-0005-0000-0000-00006B420000}"/>
    <cellStyle name="Hed Side 3 3 10 3" xfId="15171" xr:uid="{00000000-0005-0000-0000-00006C420000}"/>
    <cellStyle name="Hed Side 3 3 10 3 2" xfId="15172" xr:uid="{00000000-0005-0000-0000-00006D420000}"/>
    <cellStyle name="Hed Side 3 3 10 4" xfId="15173" xr:uid="{00000000-0005-0000-0000-00006E420000}"/>
    <cellStyle name="Hed Side 3 3 10 4 2" xfId="15174" xr:uid="{00000000-0005-0000-0000-00006F420000}"/>
    <cellStyle name="Hed Side 3 3 10 5" xfId="15175" xr:uid="{00000000-0005-0000-0000-000070420000}"/>
    <cellStyle name="Hed Side 3 3 10 5 2" xfId="15176" xr:uid="{00000000-0005-0000-0000-000071420000}"/>
    <cellStyle name="Hed Side 3 3 10 6" xfId="15177" xr:uid="{00000000-0005-0000-0000-000072420000}"/>
    <cellStyle name="Hed Side 3 3 10 6 2" xfId="15178" xr:uid="{00000000-0005-0000-0000-000073420000}"/>
    <cellStyle name="Hed Side 3 3 10 7" xfId="15179" xr:uid="{00000000-0005-0000-0000-000074420000}"/>
    <cellStyle name="Hed Side 3 3 10 7 2" xfId="15180" xr:uid="{00000000-0005-0000-0000-000075420000}"/>
    <cellStyle name="Hed Side 3 3 10 8" xfId="15181" xr:uid="{00000000-0005-0000-0000-000076420000}"/>
    <cellStyle name="Hed Side 3 3 10 8 2" xfId="15182" xr:uid="{00000000-0005-0000-0000-000077420000}"/>
    <cellStyle name="Hed Side 3 3 10 9" xfId="15183" xr:uid="{00000000-0005-0000-0000-000078420000}"/>
    <cellStyle name="Hed Side 3 3 10 9 2" xfId="15184" xr:uid="{00000000-0005-0000-0000-000079420000}"/>
    <cellStyle name="Hed Side 3 3 11" xfId="15185" xr:uid="{00000000-0005-0000-0000-00007A420000}"/>
    <cellStyle name="Hed Side 3 3 11 2" xfId="15186" xr:uid="{00000000-0005-0000-0000-00007B420000}"/>
    <cellStyle name="Hed Side 3 3 11 2 2" xfId="15187" xr:uid="{00000000-0005-0000-0000-00007C420000}"/>
    <cellStyle name="Hed Side 3 3 11 3" xfId="15188" xr:uid="{00000000-0005-0000-0000-00007D420000}"/>
    <cellStyle name="Hed Side 3 3 11 3 2" xfId="15189" xr:uid="{00000000-0005-0000-0000-00007E420000}"/>
    <cellStyle name="Hed Side 3 3 11 4" xfId="15190" xr:uid="{00000000-0005-0000-0000-00007F420000}"/>
    <cellStyle name="Hed Side 3 3 11 4 2" xfId="15191" xr:uid="{00000000-0005-0000-0000-000080420000}"/>
    <cellStyle name="Hed Side 3 3 11 5" xfId="15192" xr:uid="{00000000-0005-0000-0000-000081420000}"/>
    <cellStyle name="Hed Side 3 3 11 5 2" xfId="15193" xr:uid="{00000000-0005-0000-0000-000082420000}"/>
    <cellStyle name="Hed Side 3 3 11 6" xfId="15194" xr:uid="{00000000-0005-0000-0000-000083420000}"/>
    <cellStyle name="Hed Side 3 3 11 6 2" xfId="15195" xr:uid="{00000000-0005-0000-0000-000084420000}"/>
    <cellStyle name="Hed Side 3 3 11 7" xfId="15196" xr:uid="{00000000-0005-0000-0000-000085420000}"/>
    <cellStyle name="Hed Side 3 3 11 7 2" xfId="15197" xr:uid="{00000000-0005-0000-0000-000086420000}"/>
    <cellStyle name="Hed Side 3 3 11 8" xfId="15198" xr:uid="{00000000-0005-0000-0000-000087420000}"/>
    <cellStyle name="Hed Side 3 3 11 8 2" xfId="15199" xr:uid="{00000000-0005-0000-0000-000088420000}"/>
    <cellStyle name="Hed Side 3 3 11 9" xfId="15200" xr:uid="{00000000-0005-0000-0000-000089420000}"/>
    <cellStyle name="Hed Side 3 3 2" xfId="15201" xr:uid="{00000000-0005-0000-0000-00008A420000}"/>
    <cellStyle name="Hed Side 3 3 2 10" xfId="15202" xr:uid="{00000000-0005-0000-0000-00008B420000}"/>
    <cellStyle name="Hed Side 3 3 2 2" xfId="15203" xr:uid="{00000000-0005-0000-0000-00008C420000}"/>
    <cellStyle name="Hed Side 3 3 2 2 2" xfId="15204" xr:uid="{00000000-0005-0000-0000-00008D420000}"/>
    <cellStyle name="Hed Side 3 3 2 3" xfId="15205" xr:uid="{00000000-0005-0000-0000-00008E420000}"/>
    <cellStyle name="Hed Side 3 3 2 3 2" xfId="15206" xr:uid="{00000000-0005-0000-0000-00008F420000}"/>
    <cellStyle name="Hed Side 3 3 2 4" xfId="15207" xr:uid="{00000000-0005-0000-0000-000090420000}"/>
    <cellStyle name="Hed Side 3 3 2 4 2" xfId="15208" xr:uid="{00000000-0005-0000-0000-000091420000}"/>
    <cellStyle name="Hed Side 3 3 2 5" xfId="15209" xr:uid="{00000000-0005-0000-0000-000092420000}"/>
    <cellStyle name="Hed Side 3 3 2 5 2" xfId="15210" xr:uid="{00000000-0005-0000-0000-000093420000}"/>
    <cellStyle name="Hed Side 3 3 2 6" xfId="15211" xr:uid="{00000000-0005-0000-0000-000094420000}"/>
    <cellStyle name="Hed Side 3 3 2 6 2" xfId="15212" xr:uid="{00000000-0005-0000-0000-000095420000}"/>
    <cellStyle name="Hed Side 3 3 2 7" xfId="15213" xr:uid="{00000000-0005-0000-0000-000096420000}"/>
    <cellStyle name="Hed Side 3 3 2 7 2" xfId="15214" xr:uid="{00000000-0005-0000-0000-000097420000}"/>
    <cellStyle name="Hed Side 3 3 2 8" xfId="15215" xr:uid="{00000000-0005-0000-0000-000098420000}"/>
    <cellStyle name="Hed Side 3 3 2 8 2" xfId="15216" xr:uid="{00000000-0005-0000-0000-000099420000}"/>
    <cellStyle name="Hed Side 3 3 2 9" xfId="15217" xr:uid="{00000000-0005-0000-0000-00009A420000}"/>
    <cellStyle name="Hed Side 3 3 2 9 2" xfId="15218" xr:uid="{00000000-0005-0000-0000-00009B420000}"/>
    <cellStyle name="Hed Side 3 3 3" xfId="15219" xr:uid="{00000000-0005-0000-0000-00009C420000}"/>
    <cellStyle name="Hed Side 3 3 3 10" xfId="15220" xr:uid="{00000000-0005-0000-0000-00009D420000}"/>
    <cellStyle name="Hed Side 3 3 3 2" xfId="15221" xr:uid="{00000000-0005-0000-0000-00009E420000}"/>
    <cellStyle name="Hed Side 3 3 3 2 2" xfId="15222" xr:uid="{00000000-0005-0000-0000-00009F420000}"/>
    <cellStyle name="Hed Side 3 3 3 3" xfId="15223" xr:uid="{00000000-0005-0000-0000-0000A0420000}"/>
    <cellStyle name="Hed Side 3 3 3 3 2" xfId="15224" xr:uid="{00000000-0005-0000-0000-0000A1420000}"/>
    <cellStyle name="Hed Side 3 3 3 4" xfId="15225" xr:uid="{00000000-0005-0000-0000-0000A2420000}"/>
    <cellStyle name="Hed Side 3 3 3 4 2" xfId="15226" xr:uid="{00000000-0005-0000-0000-0000A3420000}"/>
    <cellStyle name="Hed Side 3 3 3 5" xfId="15227" xr:uid="{00000000-0005-0000-0000-0000A4420000}"/>
    <cellStyle name="Hed Side 3 3 3 5 2" xfId="15228" xr:uid="{00000000-0005-0000-0000-0000A5420000}"/>
    <cellStyle name="Hed Side 3 3 3 6" xfId="15229" xr:uid="{00000000-0005-0000-0000-0000A6420000}"/>
    <cellStyle name="Hed Side 3 3 3 6 2" xfId="15230" xr:uid="{00000000-0005-0000-0000-0000A7420000}"/>
    <cellStyle name="Hed Side 3 3 3 7" xfId="15231" xr:uid="{00000000-0005-0000-0000-0000A8420000}"/>
    <cellStyle name="Hed Side 3 3 3 7 2" xfId="15232" xr:uid="{00000000-0005-0000-0000-0000A9420000}"/>
    <cellStyle name="Hed Side 3 3 3 8" xfId="15233" xr:uid="{00000000-0005-0000-0000-0000AA420000}"/>
    <cellStyle name="Hed Side 3 3 3 8 2" xfId="15234" xr:uid="{00000000-0005-0000-0000-0000AB420000}"/>
    <cellStyle name="Hed Side 3 3 3 9" xfId="15235" xr:uid="{00000000-0005-0000-0000-0000AC420000}"/>
    <cellStyle name="Hed Side 3 3 3 9 2" xfId="15236" xr:uid="{00000000-0005-0000-0000-0000AD420000}"/>
    <cellStyle name="Hed Side 3 3 4" xfId="15237" xr:uid="{00000000-0005-0000-0000-0000AE420000}"/>
    <cellStyle name="Hed Side 3 3 4 10" xfId="15238" xr:uid="{00000000-0005-0000-0000-0000AF420000}"/>
    <cellStyle name="Hed Side 3 3 4 2" xfId="15239" xr:uid="{00000000-0005-0000-0000-0000B0420000}"/>
    <cellStyle name="Hed Side 3 3 4 2 2" xfId="15240" xr:uid="{00000000-0005-0000-0000-0000B1420000}"/>
    <cellStyle name="Hed Side 3 3 4 3" xfId="15241" xr:uid="{00000000-0005-0000-0000-0000B2420000}"/>
    <cellStyle name="Hed Side 3 3 4 3 2" xfId="15242" xr:uid="{00000000-0005-0000-0000-0000B3420000}"/>
    <cellStyle name="Hed Side 3 3 4 4" xfId="15243" xr:uid="{00000000-0005-0000-0000-0000B4420000}"/>
    <cellStyle name="Hed Side 3 3 4 4 2" xfId="15244" xr:uid="{00000000-0005-0000-0000-0000B5420000}"/>
    <cellStyle name="Hed Side 3 3 4 5" xfId="15245" xr:uid="{00000000-0005-0000-0000-0000B6420000}"/>
    <cellStyle name="Hed Side 3 3 4 5 2" xfId="15246" xr:uid="{00000000-0005-0000-0000-0000B7420000}"/>
    <cellStyle name="Hed Side 3 3 4 6" xfId="15247" xr:uid="{00000000-0005-0000-0000-0000B8420000}"/>
    <cellStyle name="Hed Side 3 3 4 6 2" xfId="15248" xr:uid="{00000000-0005-0000-0000-0000B9420000}"/>
    <cellStyle name="Hed Side 3 3 4 7" xfId="15249" xr:uid="{00000000-0005-0000-0000-0000BA420000}"/>
    <cellStyle name="Hed Side 3 3 4 7 2" xfId="15250" xr:uid="{00000000-0005-0000-0000-0000BB420000}"/>
    <cellStyle name="Hed Side 3 3 4 8" xfId="15251" xr:uid="{00000000-0005-0000-0000-0000BC420000}"/>
    <cellStyle name="Hed Side 3 3 4 8 2" xfId="15252" xr:uid="{00000000-0005-0000-0000-0000BD420000}"/>
    <cellStyle name="Hed Side 3 3 4 9" xfId="15253" xr:uid="{00000000-0005-0000-0000-0000BE420000}"/>
    <cellStyle name="Hed Side 3 3 4 9 2" xfId="15254" xr:uid="{00000000-0005-0000-0000-0000BF420000}"/>
    <cellStyle name="Hed Side 3 3 5" xfId="15255" xr:uid="{00000000-0005-0000-0000-0000C0420000}"/>
    <cellStyle name="Hed Side 3 3 5 10" xfId="15256" xr:uid="{00000000-0005-0000-0000-0000C1420000}"/>
    <cellStyle name="Hed Side 3 3 5 2" xfId="15257" xr:uid="{00000000-0005-0000-0000-0000C2420000}"/>
    <cellStyle name="Hed Side 3 3 5 2 2" xfId="15258" xr:uid="{00000000-0005-0000-0000-0000C3420000}"/>
    <cellStyle name="Hed Side 3 3 5 3" xfId="15259" xr:uid="{00000000-0005-0000-0000-0000C4420000}"/>
    <cellStyle name="Hed Side 3 3 5 3 2" xfId="15260" xr:uid="{00000000-0005-0000-0000-0000C5420000}"/>
    <cellStyle name="Hed Side 3 3 5 4" xfId="15261" xr:uid="{00000000-0005-0000-0000-0000C6420000}"/>
    <cellStyle name="Hed Side 3 3 5 4 2" xfId="15262" xr:uid="{00000000-0005-0000-0000-0000C7420000}"/>
    <cellStyle name="Hed Side 3 3 5 5" xfId="15263" xr:uid="{00000000-0005-0000-0000-0000C8420000}"/>
    <cellStyle name="Hed Side 3 3 5 5 2" xfId="15264" xr:uid="{00000000-0005-0000-0000-0000C9420000}"/>
    <cellStyle name="Hed Side 3 3 5 6" xfId="15265" xr:uid="{00000000-0005-0000-0000-0000CA420000}"/>
    <cellStyle name="Hed Side 3 3 5 6 2" xfId="15266" xr:uid="{00000000-0005-0000-0000-0000CB420000}"/>
    <cellStyle name="Hed Side 3 3 5 7" xfId="15267" xr:uid="{00000000-0005-0000-0000-0000CC420000}"/>
    <cellStyle name="Hed Side 3 3 5 7 2" xfId="15268" xr:uid="{00000000-0005-0000-0000-0000CD420000}"/>
    <cellStyle name="Hed Side 3 3 5 8" xfId="15269" xr:uid="{00000000-0005-0000-0000-0000CE420000}"/>
    <cellStyle name="Hed Side 3 3 5 8 2" xfId="15270" xr:uid="{00000000-0005-0000-0000-0000CF420000}"/>
    <cellStyle name="Hed Side 3 3 5 9" xfId="15271" xr:uid="{00000000-0005-0000-0000-0000D0420000}"/>
    <cellStyle name="Hed Side 3 3 5 9 2" xfId="15272" xr:uid="{00000000-0005-0000-0000-0000D1420000}"/>
    <cellStyle name="Hed Side 3 3 6" xfId="15273" xr:uid="{00000000-0005-0000-0000-0000D2420000}"/>
    <cellStyle name="Hed Side 3 3 6 10" xfId="15274" xr:uid="{00000000-0005-0000-0000-0000D3420000}"/>
    <cellStyle name="Hed Side 3 3 6 2" xfId="15275" xr:uid="{00000000-0005-0000-0000-0000D4420000}"/>
    <cellStyle name="Hed Side 3 3 6 2 2" xfId="15276" xr:uid="{00000000-0005-0000-0000-0000D5420000}"/>
    <cellStyle name="Hed Side 3 3 6 3" xfId="15277" xr:uid="{00000000-0005-0000-0000-0000D6420000}"/>
    <cellStyle name="Hed Side 3 3 6 3 2" xfId="15278" xr:uid="{00000000-0005-0000-0000-0000D7420000}"/>
    <cellStyle name="Hed Side 3 3 6 4" xfId="15279" xr:uid="{00000000-0005-0000-0000-0000D8420000}"/>
    <cellStyle name="Hed Side 3 3 6 4 2" xfId="15280" xr:uid="{00000000-0005-0000-0000-0000D9420000}"/>
    <cellStyle name="Hed Side 3 3 6 5" xfId="15281" xr:uid="{00000000-0005-0000-0000-0000DA420000}"/>
    <cellStyle name="Hed Side 3 3 6 5 2" xfId="15282" xr:uid="{00000000-0005-0000-0000-0000DB420000}"/>
    <cellStyle name="Hed Side 3 3 6 6" xfId="15283" xr:uid="{00000000-0005-0000-0000-0000DC420000}"/>
    <cellStyle name="Hed Side 3 3 6 6 2" xfId="15284" xr:uid="{00000000-0005-0000-0000-0000DD420000}"/>
    <cellStyle name="Hed Side 3 3 6 7" xfId="15285" xr:uid="{00000000-0005-0000-0000-0000DE420000}"/>
    <cellStyle name="Hed Side 3 3 6 7 2" xfId="15286" xr:uid="{00000000-0005-0000-0000-0000DF420000}"/>
    <cellStyle name="Hed Side 3 3 6 8" xfId="15287" xr:uid="{00000000-0005-0000-0000-0000E0420000}"/>
    <cellStyle name="Hed Side 3 3 6 8 2" xfId="15288" xr:uid="{00000000-0005-0000-0000-0000E1420000}"/>
    <cellStyle name="Hed Side 3 3 6 9" xfId="15289" xr:uid="{00000000-0005-0000-0000-0000E2420000}"/>
    <cellStyle name="Hed Side 3 3 6 9 2" xfId="15290" xr:uid="{00000000-0005-0000-0000-0000E3420000}"/>
    <cellStyle name="Hed Side 3 3 7" xfId="15291" xr:uid="{00000000-0005-0000-0000-0000E4420000}"/>
    <cellStyle name="Hed Side 3 3 7 10" xfId="15292" xr:uid="{00000000-0005-0000-0000-0000E5420000}"/>
    <cellStyle name="Hed Side 3 3 7 2" xfId="15293" xr:uid="{00000000-0005-0000-0000-0000E6420000}"/>
    <cellStyle name="Hed Side 3 3 7 2 2" xfId="15294" xr:uid="{00000000-0005-0000-0000-0000E7420000}"/>
    <cellStyle name="Hed Side 3 3 7 3" xfId="15295" xr:uid="{00000000-0005-0000-0000-0000E8420000}"/>
    <cellStyle name="Hed Side 3 3 7 3 2" xfId="15296" xr:uid="{00000000-0005-0000-0000-0000E9420000}"/>
    <cellStyle name="Hed Side 3 3 7 4" xfId="15297" xr:uid="{00000000-0005-0000-0000-0000EA420000}"/>
    <cellStyle name="Hed Side 3 3 7 4 2" xfId="15298" xr:uid="{00000000-0005-0000-0000-0000EB420000}"/>
    <cellStyle name="Hed Side 3 3 7 5" xfId="15299" xr:uid="{00000000-0005-0000-0000-0000EC420000}"/>
    <cellStyle name="Hed Side 3 3 7 5 2" xfId="15300" xr:uid="{00000000-0005-0000-0000-0000ED420000}"/>
    <cellStyle name="Hed Side 3 3 7 6" xfId="15301" xr:uid="{00000000-0005-0000-0000-0000EE420000}"/>
    <cellStyle name="Hed Side 3 3 7 6 2" xfId="15302" xr:uid="{00000000-0005-0000-0000-0000EF420000}"/>
    <cellStyle name="Hed Side 3 3 7 7" xfId="15303" xr:uid="{00000000-0005-0000-0000-0000F0420000}"/>
    <cellStyle name="Hed Side 3 3 7 7 2" xfId="15304" xr:uid="{00000000-0005-0000-0000-0000F1420000}"/>
    <cellStyle name="Hed Side 3 3 7 8" xfId="15305" xr:uid="{00000000-0005-0000-0000-0000F2420000}"/>
    <cellStyle name="Hed Side 3 3 7 8 2" xfId="15306" xr:uid="{00000000-0005-0000-0000-0000F3420000}"/>
    <cellStyle name="Hed Side 3 3 7 9" xfId="15307" xr:uid="{00000000-0005-0000-0000-0000F4420000}"/>
    <cellStyle name="Hed Side 3 3 7 9 2" xfId="15308" xr:uid="{00000000-0005-0000-0000-0000F5420000}"/>
    <cellStyle name="Hed Side 3 3 8" xfId="15309" xr:uid="{00000000-0005-0000-0000-0000F6420000}"/>
    <cellStyle name="Hed Side 3 3 8 10" xfId="15310" xr:uid="{00000000-0005-0000-0000-0000F7420000}"/>
    <cellStyle name="Hed Side 3 3 8 2" xfId="15311" xr:uid="{00000000-0005-0000-0000-0000F8420000}"/>
    <cellStyle name="Hed Side 3 3 8 2 2" xfId="15312" xr:uid="{00000000-0005-0000-0000-0000F9420000}"/>
    <cellStyle name="Hed Side 3 3 8 3" xfId="15313" xr:uid="{00000000-0005-0000-0000-0000FA420000}"/>
    <cellStyle name="Hed Side 3 3 8 3 2" xfId="15314" xr:uid="{00000000-0005-0000-0000-0000FB420000}"/>
    <cellStyle name="Hed Side 3 3 8 4" xfId="15315" xr:uid="{00000000-0005-0000-0000-0000FC420000}"/>
    <cellStyle name="Hed Side 3 3 8 4 2" xfId="15316" xr:uid="{00000000-0005-0000-0000-0000FD420000}"/>
    <cellStyle name="Hed Side 3 3 8 5" xfId="15317" xr:uid="{00000000-0005-0000-0000-0000FE420000}"/>
    <cellStyle name="Hed Side 3 3 8 5 2" xfId="15318" xr:uid="{00000000-0005-0000-0000-0000FF420000}"/>
    <cellStyle name="Hed Side 3 3 8 6" xfId="15319" xr:uid="{00000000-0005-0000-0000-000000430000}"/>
    <cellStyle name="Hed Side 3 3 8 6 2" xfId="15320" xr:uid="{00000000-0005-0000-0000-000001430000}"/>
    <cellStyle name="Hed Side 3 3 8 7" xfId="15321" xr:uid="{00000000-0005-0000-0000-000002430000}"/>
    <cellStyle name="Hed Side 3 3 8 7 2" xfId="15322" xr:uid="{00000000-0005-0000-0000-000003430000}"/>
    <cellStyle name="Hed Side 3 3 8 8" xfId="15323" xr:uid="{00000000-0005-0000-0000-000004430000}"/>
    <cellStyle name="Hed Side 3 3 8 8 2" xfId="15324" xr:uid="{00000000-0005-0000-0000-000005430000}"/>
    <cellStyle name="Hed Side 3 3 8 9" xfId="15325" xr:uid="{00000000-0005-0000-0000-000006430000}"/>
    <cellStyle name="Hed Side 3 3 8 9 2" xfId="15326" xr:uid="{00000000-0005-0000-0000-000007430000}"/>
    <cellStyle name="Hed Side 3 3 9" xfId="15327" xr:uid="{00000000-0005-0000-0000-000008430000}"/>
    <cellStyle name="Hed Side 3 3 9 10" xfId="15328" xr:uid="{00000000-0005-0000-0000-000009430000}"/>
    <cellStyle name="Hed Side 3 3 9 2" xfId="15329" xr:uid="{00000000-0005-0000-0000-00000A430000}"/>
    <cellStyle name="Hed Side 3 3 9 2 2" xfId="15330" xr:uid="{00000000-0005-0000-0000-00000B430000}"/>
    <cellStyle name="Hed Side 3 3 9 3" xfId="15331" xr:uid="{00000000-0005-0000-0000-00000C430000}"/>
    <cellStyle name="Hed Side 3 3 9 3 2" xfId="15332" xr:uid="{00000000-0005-0000-0000-00000D430000}"/>
    <cellStyle name="Hed Side 3 3 9 4" xfId="15333" xr:uid="{00000000-0005-0000-0000-00000E430000}"/>
    <cellStyle name="Hed Side 3 3 9 4 2" xfId="15334" xr:uid="{00000000-0005-0000-0000-00000F430000}"/>
    <cellStyle name="Hed Side 3 3 9 5" xfId="15335" xr:uid="{00000000-0005-0000-0000-000010430000}"/>
    <cellStyle name="Hed Side 3 3 9 5 2" xfId="15336" xr:uid="{00000000-0005-0000-0000-000011430000}"/>
    <cellStyle name="Hed Side 3 3 9 6" xfId="15337" xr:uid="{00000000-0005-0000-0000-000012430000}"/>
    <cellStyle name="Hed Side 3 3 9 6 2" xfId="15338" xr:uid="{00000000-0005-0000-0000-000013430000}"/>
    <cellStyle name="Hed Side 3 3 9 7" xfId="15339" xr:uid="{00000000-0005-0000-0000-000014430000}"/>
    <cellStyle name="Hed Side 3 3 9 7 2" xfId="15340" xr:uid="{00000000-0005-0000-0000-000015430000}"/>
    <cellStyle name="Hed Side 3 3 9 8" xfId="15341" xr:uid="{00000000-0005-0000-0000-000016430000}"/>
    <cellStyle name="Hed Side 3 3 9 8 2" xfId="15342" xr:uid="{00000000-0005-0000-0000-000017430000}"/>
    <cellStyle name="Hed Side 3 3 9 9" xfId="15343" xr:uid="{00000000-0005-0000-0000-000018430000}"/>
    <cellStyle name="Hed Side 3 3 9 9 2" xfId="15344" xr:uid="{00000000-0005-0000-0000-000019430000}"/>
    <cellStyle name="Hed Side 3 4" xfId="15345" xr:uid="{00000000-0005-0000-0000-00001A430000}"/>
    <cellStyle name="Hed Side 3 4 10" xfId="15346" xr:uid="{00000000-0005-0000-0000-00001B430000}"/>
    <cellStyle name="Hed Side 3 4 10 2" xfId="15347" xr:uid="{00000000-0005-0000-0000-00001C430000}"/>
    <cellStyle name="Hed Side 3 4 10 2 2" xfId="15348" xr:uid="{00000000-0005-0000-0000-00001D430000}"/>
    <cellStyle name="Hed Side 3 4 10 3" xfId="15349" xr:uid="{00000000-0005-0000-0000-00001E430000}"/>
    <cellStyle name="Hed Side 3 4 10 3 2" xfId="15350" xr:uid="{00000000-0005-0000-0000-00001F430000}"/>
    <cellStyle name="Hed Side 3 4 10 4" xfId="15351" xr:uid="{00000000-0005-0000-0000-000020430000}"/>
    <cellStyle name="Hed Side 3 4 10 4 2" xfId="15352" xr:uid="{00000000-0005-0000-0000-000021430000}"/>
    <cellStyle name="Hed Side 3 4 10 5" xfId="15353" xr:uid="{00000000-0005-0000-0000-000022430000}"/>
    <cellStyle name="Hed Side 3 4 10 5 2" xfId="15354" xr:uid="{00000000-0005-0000-0000-000023430000}"/>
    <cellStyle name="Hed Side 3 4 10 6" xfId="15355" xr:uid="{00000000-0005-0000-0000-000024430000}"/>
    <cellStyle name="Hed Side 3 4 10 6 2" xfId="15356" xr:uid="{00000000-0005-0000-0000-000025430000}"/>
    <cellStyle name="Hed Side 3 4 10 7" xfId="15357" xr:uid="{00000000-0005-0000-0000-000026430000}"/>
    <cellStyle name="Hed Side 3 4 10 7 2" xfId="15358" xr:uid="{00000000-0005-0000-0000-000027430000}"/>
    <cellStyle name="Hed Side 3 4 10 8" xfId="15359" xr:uid="{00000000-0005-0000-0000-000028430000}"/>
    <cellStyle name="Hed Side 3 4 10 8 2" xfId="15360" xr:uid="{00000000-0005-0000-0000-000029430000}"/>
    <cellStyle name="Hed Side 3 4 10 9" xfId="15361" xr:uid="{00000000-0005-0000-0000-00002A430000}"/>
    <cellStyle name="Hed Side 3 4 11" xfId="15362" xr:uid="{00000000-0005-0000-0000-00002B430000}"/>
    <cellStyle name="Hed Side 3 4 11 2" xfId="15363" xr:uid="{00000000-0005-0000-0000-00002C430000}"/>
    <cellStyle name="Hed Side 3 4 12" xfId="15364" xr:uid="{00000000-0005-0000-0000-00002D430000}"/>
    <cellStyle name="Hed Side 3 4 12 2" xfId="15365" xr:uid="{00000000-0005-0000-0000-00002E430000}"/>
    <cellStyle name="Hed Side 3 4 13" xfId="15366" xr:uid="{00000000-0005-0000-0000-00002F430000}"/>
    <cellStyle name="Hed Side 3 4 13 2" xfId="15367" xr:uid="{00000000-0005-0000-0000-000030430000}"/>
    <cellStyle name="Hed Side 3 4 14" xfId="15368" xr:uid="{00000000-0005-0000-0000-000031430000}"/>
    <cellStyle name="Hed Side 3 4 14 2" xfId="15369" xr:uid="{00000000-0005-0000-0000-000032430000}"/>
    <cellStyle name="Hed Side 3 4 15" xfId="15370" xr:uid="{00000000-0005-0000-0000-000033430000}"/>
    <cellStyle name="Hed Side 3 4 15 2" xfId="15371" xr:uid="{00000000-0005-0000-0000-000034430000}"/>
    <cellStyle name="Hed Side 3 4 16" xfId="15372" xr:uid="{00000000-0005-0000-0000-000035430000}"/>
    <cellStyle name="Hed Side 3 4 16 2" xfId="15373" xr:uid="{00000000-0005-0000-0000-000036430000}"/>
    <cellStyle name="Hed Side 3 4 17" xfId="15374" xr:uid="{00000000-0005-0000-0000-000037430000}"/>
    <cellStyle name="Hed Side 3 4 17 2" xfId="15375" xr:uid="{00000000-0005-0000-0000-000038430000}"/>
    <cellStyle name="Hed Side 3 4 18" xfId="15376" xr:uid="{00000000-0005-0000-0000-000039430000}"/>
    <cellStyle name="Hed Side 3 4 2" xfId="15377" xr:uid="{00000000-0005-0000-0000-00003A430000}"/>
    <cellStyle name="Hed Side 3 4 2 10" xfId="15378" xr:uid="{00000000-0005-0000-0000-00003B430000}"/>
    <cellStyle name="Hed Side 3 4 2 2" xfId="15379" xr:uid="{00000000-0005-0000-0000-00003C430000}"/>
    <cellStyle name="Hed Side 3 4 2 2 2" xfId="15380" xr:uid="{00000000-0005-0000-0000-00003D430000}"/>
    <cellStyle name="Hed Side 3 4 2 3" xfId="15381" xr:uid="{00000000-0005-0000-0000-00003E430000}"/>
    <cellStyle name="Hed Side 3 4 2 3 2" xfId="15382" xr:uid="{00000000-0005-0000-0000-00003F430000}"/>
    <cellStyle name="Hed Side 3 4 2 4" xfId="15383" xr:uid="{00000000-0005-0000-0000-000040430000}"/>
    <cellStyle name="Hed Side 3 4 2 4 2" xfId="15384" xr:uid="{00000000-0005-0000-0000-000041430000}"/>
    <cellStyle name="Hed Side 3 4 2 5" xfId="15385" xr:uid="{00000000-0005-0000-0000-000042430000}"/>
    <cellStyle name="Hed Side 3 4 2 5 2" xfId="15386" xr:uid="{00000000-0005-0000-0000-000043430000}"/>
    <cellStyle name="Hed Side 3 4 2 6" xfId="15387" xr:uid="{00000000-0005-0000-0000-000044430000}"/>
    <cellStyle name="Hed Side 3 4 2 6 2" xfId="15388" xr:uid="{00000000-0005-0000-0000-000045430000}"/>
    <cellStyle name="Hed Side 3 4 2 7" xfId="15389" xr:uid="{00000000-0005-0000-0000-000046430000}"/>
    <cellStyle name="Hed Side 3 4 2 7 2" xfId="15390" xr:uid="{00000000-0005-0000-0000-000047430000}"/>
    <cellStyle name="Hed Side 3 4 2 8" xfId="15391" xr:uid="{00000000-0005-0000-0000-000048430000}"/>
    <cellStyle name="Hed Side 3 4 2 8 2" xfId="15392" xr:uid="{00000000-0005-0000-0000-000049430000}"/>
    <cellStyle name="Hed Side 3 4 2 9" xfId="15393" xr:uid="{00000000-0005-0000-0000-00004A430000}"/>
    <cellStyle name="Hed Side 3 4 2 9 2" xfId="15394" xr:uid="{00000000-0005-0000-0000-00004B430000}"/>
    <cellStyle name="Hed Side 3 4 3" xfId="15395" xr:uid="{00000000-0005-0000-0000-00004C430000}"/>
    <cellStyle name="Hed Side 3 4 3 10" xfId="15396" xr:uid="{00000000-0005-0000-0000-00004D430000}"/>
    <cellStyle name="Hed Side 3 4 3 2" xfId="15397" xr:uid="{00000000-0005-0000-0000-00004E430000}"/>
    <cellStyle name="Hed Side 3 4 3 2 2" xfId="15398" xr:uid="{00000000-0005-0000-0000-00004F430000}"/>
    <cellStyle name="Hed Side 3 4 3 3" xfId="15399" xr:uid="{00000000-0005-0000-0000-000050430000}"/>
    <cellStyle name="Hed Side 3 4 3 3 2" xfId="15400" xr:uid="{00000000-0005-0000-0000-000051430000}"/>
    <cellStyle name="Hed Side 3 4 3 4" xfId="15401" xr:uid="{00000000-0005-0000-0000-000052430000}"/>
    <cellStyle name="Hed Side 3 4 3 4 2" xfId="15402" xr:uid="{00000000-0005-0000-0000-000053430000}"/>
    <cellStyle name="Hed Side 3 4 3 5" xfId="15403" xr:uid="{00000000-0005-0000-0000-000054430000}"/>
    <cellStyle name="Hed Side 3 4 3 5 2" xfId="15404" xr:uid="{00000000-0005-0000-0000-000055430000}"/>
    <cellStyle name="Hed Side 3 4 3 6" xfId="15405" xr:uid="{00000000-0005-0000-0000-000056430000}"/>
    <cellStyle name="Hed Side 3 4 3 6 2" xfId="15406" xr:uid="{00000000-0005-0000-0000-000057430000}"/>
    <cellStyle name="Hed Side 3 4 3 7" xfId="15407" xr:uid="{00000000-0005-0000-0000-000058430000}"/>
    <cellStyle name="Hed Side 3 4 3 7 2" xfId="15408" xr:uid="{00000000-0005-0000-0000-000059430000}"/>
    <cellStyle name="Hed Side 3 4 3 8" xfId="15409" xr:uid="{00000000-0005-0000-0000-00005A430000}"/>
    <cellStyle name="Hed Side 3 4 3 8 2" xfId="15410" xr:uid="{00000000-0005-0000-0000-00005B430000}"/>
    <cellStyle name="Hed Side 3 4 3 9" xfId="15411" xr:uid="{00000000-0005-0000-0000-00005C430000}"/>
    <cellStyle name="Hed Side 3 4 3 9 2" xfId="15412" xr:uid="{00000000-0005-0000-0000-00005D430000}"/>
    <cellStyle name="Hed Side 3 4 4" xfId="15413" xr:uid="{00000000-0005-0000-0000-00005E430000}"/>
    <cellStyle name="Hed Side 3 4 4 10" xfId="15414" xr:uid="{00000000-0005-0000-0000-00005F430000}"/>
    <cellStyle name="Hed Side 3 4 4 2" xfId="15415" xr:uid="{00000000-0005-0000-0000-000060430000}"/>
    <cellStyle name="Hed Side 3 4 4 2 2" xfId="15416" xr:uid="{00000000-0005-0000-0000-000061430000}"/>
    <cellStyle name="Hed Side 3 4 4 3" xfId="15417" xr:uid="{00000000-0005-0000-0000-000062430000}"/>
    <cellStyle name="Hed Side 3 4 4 3 2" xfId="15418" xr:uid="{00000000-0005-0000-0000-000063430000}"/>
    <cellStyle name="Hed Side 3 4 4 4" xfId="15419" xr:uid="{00000000-0005-0000-0000-000064430000}"/>
    <cellStyle name="Hed Side 3 4 4 4 2" xfId="15420" xr:uid="{00000000-0005-0000-0000-000065430000}"/>
    <cellStyle name="Hed Side 3 4 4 5" xfId="15421" xr:uid="{00000000-0005-0000-0000-000066430000}"/>
    <cellStyle name="Hed Side 3 4 4 5 2" xfId="15422" xr:uid="{00000000-0005-0000-0000-000067430000}"/>
    <cellStyle name="Hed Side 3 4 4 6" xfId="15423" xr:uid="{00000000-0005-0000-0000-000068430000}"/>
    <cellStyle name="Hed Side 3 4 4 6 2" xfId="15424" xr:uid="{00000000-0005-0000-0000-000069430000}"/>
    <cellStyle name="Hed Side 3 4 4 7" xfId="15425" xr:uid="{00000000-0005-0000-0000-00006A430000}"/>
    <cellStyle name="Hed Side 3 4 4 7 2" xfId="15426" xr:uid="{00000000-0005-0000-0000-00006B430000}"/>
    <cellStyle name="Hed Side 3 4 4 8" xfId="15427" xr:uid="{00000000-0005-0000-0000-00006C430000}"/>
    <cellStyle name="Hed Side 3 4 4 8 2" xfId="15428" xr:uid="{00000000-0005-0000-0000-00006D430000}"/>
    <cellStyle name="Hed Side 3 4 4 9" xfId="15429" xr:uid="{00000000-0005-0000-0000-00006E430000}"/>
    <cellStyle name="Hed Side 3 4 4 9 2" xfId="15430" xr:uid="{00000000-0005-0000-0000-00006F430000}"/>
    <cellStyle name="Hed Side 3 4 5" xfId="15431" xr:uid="{00000000-0005-0000-0000-000070430000}"/>
    <cellStyle name="Hed Side 3 4 5 10" xfId="15432" xr:uid="{00000000-0005-0000-0000-000071430000}"/>
    <cellStyle name="Hed Side 3 4 5 2" xfId="15433" xr:uid="{00000000-0005-0000-0000-000072430000}"/>
    <cellStyle name="Hed Side 3 4 5 2 2" xfId="15434" xr:uid="{00000000-0005-0000-0000-000073430000}"/>
    <cellStyle name="Hed Side 3 4 5 3" xfId="15435" xr:uid="{00000000-0005-0000-0000-000074430000}"/>
    <cellStyle name="Hed Side 3 4 5 3 2" xfId="15436" xr:uid="{00000000-0005-0000-0000-000075430000}"/>
    <cellStyle name="Hed Side 3 4 5 4" xfId="15437" xr:uid="{00000000-0005-0000-0000-000076430000}"/>
    <cellStyle name="Hed Side 3 4 5 4 2" xfId="15438" xr:uid="{00000000-0005-0000-0000-000077430000}"/>
    <cellStyle name="Hed Side 3 4 5 5" xfId="15439" xr:uid="{00000000-0005-0000-0000-000078430000}"/>
    <cellStyle name="Hed Side 3 4 5 5 2" xfId="15440" xr:uid="{00000000-0005-0000-0000-000079430000}"/>
    <cellStyle name="Hed Side 3 4 5 6" xfId="15441" xr:uid="{00000000-0005-0000-0000-00007A430000}"/>
    <cellStyle name="Hed Side 3 4 5 6 2" xfId="15442" xr:uid="{00000000-0005-0000-0000-00007B430000}"/>
    <cellStyle name="Hed Side 3 4 5 7" xfId="15443" xr:uid="{00000000-0005-0000-0000-00007C430000}"/>
    <cellStyle name="Hed Side 3 4 5 7 2" xfId="15444" xr:uid="{00000000-0005-0000-0000-00007D430000}"/>
    <cellStyle name="Hed Side 3 4 5 8" xfId="15445" xr:uid="{00000000-0005-0000-0000-00007E430000}"/>
    <cellStyle name="Hed Side 3 4 5 8 2" xfId="15446" xr:uid="{00000000-0005-0000-0000-00007F430000}"/>
    <cellStyle name="Hed Side 3 4 5 9" xfId="15447" xr:uid="{00000000-0005-0000-0000-000080430000}"/>
    <cellStyle name="Hed Side 3 4 5 9 2" xfId="15448" xr:uid="{00000000-0005-0000-0000-000081430000}"/>
    <cellStyle name="Hed Side 3 4 6" xfId="15449" xr:uid="{00000000-0005-0000-0000-000082430000}"/>
    <cellStyle name="Hed Side 3 4 6 10" xfId="15450" xr:uid="{00000000-0005-0000-0000-000083430000}"/>
    <cellStyle name="Hed Side 3 4 6 2" xfId="15451" xr:uid="{00000000-0005-0000-0000-000084430000}"/>
    <cellStyle name="Hed Side 3 4 6 2 2" xfId="15452" xr:uid="{00000000-0005-0000-0000-000085430000}"/>
    <cellStyle name="Hed Side 3 4 6 3" xfId="15453" xr:uid="{00000000-0005-0000-0000-000086430000}"/>
    <cellStyle name="Hed Side 3 4 6 3 2" xfId="15454" xr:uid="{00000000-0005-0000-0000-000087430000}"/>
    <cellStyle name="Hed Side 3 4 6 4" xfId="15455" xr:uid="{00000000-0005-0000-0000-000088430000}"/>
    <cellStyle name="Hed Side 3 4 6 4 2" xfId="15456" xr:uid="{00000000-0005-0000-0000-000089430000}"/>
    <cellStyle name="Hed Side 3 4 6 5" xfId="15457" xr:uid="{00000000-0005-0000-0000-00008A430000}"/>
    <cellStyle name="Hed Side 3 4 6 5 2" xfId="15458" xr:uid="{00000000-0005-0000-0000-00008B430000}"/>
    <cellStyle name="Hed Side 3 4 6 6" xfId="15459" xr:uid="{00000000-0005-0000-0000-00008C430000}"/>
    <cellStyle name="Hed Side 3 4 6 6 2" xfId="15460" xr:uid="{00000000-0005-0000-0000-00008D430000}"/>
    <cellStyle name="Hed Side 3 4 6 7" xfId="15461" xr:uid="{00000000-0005-0000-0000-00008E430000}"/>
    <cellStyle name="Hed Side 3 4 6 7 2" xfId="15462" xr:uid="{00000000-0005-0000-0000-00008F430000}"/>
    <cellStyle name="Hed Side 3 4 6 8" xfId="15463" xr:uid="{00000000-0005-0000-0000-000090430000}"/>
    <cellStyle name="Hed Side 3 4 6 8 2" xfId="15464" xr:uid="{00000000-0005-0000-0000-000091430000}"/>
    <cellStyle name="Hed Side 3 4 6 9" xfId="15465" xr:uid="{00000000-0005-0000-0000-000092430000}"/>
    <cellStyle name="Hed Side 3 4 6 9 2" xfId="15466" xr:uid="{00000000-0005-0000-0000-000093430000}"/>
    <cellStyle name="Hed Side 3 4 7" xfId="15467" xr:uid="{00000000-0005-0000-0000-000094430000}"/>
    <cellStyle name="Hed Side 3 4 7 10" xfId="15468" xr:uid="{00000000-0005-0000-0000-000095430000}"/>
    <cellStyle name="Hed Side 3 4 7 2" xfId="15469" xr:uid="{00000000-0005-0000-0000-000096430000}"/>
    <cellStyle name="Hed Side 3 4 7 2 2" xfId="15470" xr:uid="{00000000-0005-0000-0000-000097430000}"/>
    <cellStyle name="Hed Side 3 4 7 3" xfId="15471" xr:uid="{00000000-0005-0000-0000-000098430000}"/>
    <cellStyle name="Hed Side 3 4 7 3 2" xfId="15472" xr:uid="{00000000-0005-0000-0000-000099430000}"/>
    <cellStyle name="Hed Side 3 4 7 4" xfId="15473" xr:uid="{00000000-0005-0000-0000-00009A430000}"/>
    <cellStyle name="Hed Side 3 4 7 4 2" xfId="15474" xr:uid="{00000000-0005-0000-0000-00009B430000}"/>
    <cellStyle name="Hed Side 3 4 7 5" xfId="15475" xr:uid="{00000000-0005-0000-0000-00009C430000}"/>
    <cellStyle name="Hed Side 3 4 7 5 2" xfId="15476" xr:uid="{00000000-0005-0000-0000-00009D430000}"/>
    <cellStyle name="Hed Side 3 4 7 6" xfId="15477" xr:uid="{00000000-0005-0000-0000-00009E430000}"/>
    <cellStyle name="Hed Side 3 4 7 6 2" xfId="15478" xr:uid="{00000000-0005-0000-0000-00009F430000}"/>
    <cellStyle name="Hed Side 3 4 7 7" xfId="15479" xr:uid="{00000000-0005-0000-0000-0000A0430000}"/>
    <cellStyle name="Hed Side 3 4 7 7 2" xfId="15480" xr:uid="{00000000-0005-0000-0000-0000A1430000}"/>
    <cellStyle name="Hed Side 3 4 7 8" xfId="15481" xr:uid="{00000000-0005-0000-0000-0000A2430000}"/>
    <cellStyle name="Hed Side 3 4 7 8 2" xfId="15482" xr:uid="{00000000-0005-0000-0000-0000A3430000}"/>
    <cellStyle name="Hed Side 3 4 7 9" xfId="15483" xr:uid="{00000000-0005-0000-0000-0000A4430000}"/>
    <cellStyle name="Hed Side 3 4 7 9 2" xfId="15484" xr:uid="{00000000-0005-0000-0000-0000A5430000}"/>
    <cellStyle name="Hed Side 3 4 8" xfId="15485" xr:uid="{00000000-0005-0000-0000-0000A6430000}"/>
    <cellStyle name="Hed Side 3 4 8 10" xfId="15486" xr:uid="{00000000-0005-0000-0000-0000A7430000}"/>
    <cellStyle name="Hed Side 3 4 8 2" xfId="15487" xr:uid="{00000000-0005-0000-0000-0000A8430000}"/>
    <cellStyle name="Hed Side 3 4 8 2 2" xfId="15488" xr:uid="{00000000-0005-0000-0000-0000A9430000}"/>
    <cellStyle name="Hed Side 3 4 8 3" xfId="15489" xr:uid="{00000000-0005-0000-0000-0000AA430000}"/>
    <cellStyle name="Hed Side 3 4 8 3 2" xfId="15490" xr:uid="{00000000-0005-0000-0000-0000AB430000}"/>
    <cellStyle name="Hed Side 3 4 8 4" xfId="15491" xr:uid="{00000000-0005-0000-0000-0000AC430000}"/>
    <cellStyle name="Hed Side 3 4 8 4 2" xfId="15492" xr:uid="{00000000-0005-0000-0000-0000AD430000}"/>
    <cellStyle name="Hed Side 3 4 8 5" xfId="15493" xr:uid="{00000000-0005-0000-0000-0000AE430000}"/>
    <cellStyle name="Hed Side 3 4 8 5 2" xfId="15494" xr:uid="{00000000-0005-0000-0000-0000AF430000}"/>
    <cellStyle name="Hed Side 3 4 8 6" xfId="15495" xr:uid="{00000000-0005-0000-0000-0000B0430000}"/>
    <cellStyle name="Hed Side 3 4 8 6 2" xfId="15496" xr:uid="{00000000-0005-0000-0000-0000B1430000}"/>
    <cellStyle name="Hed Side 3 4 8 7" xfId="15497" xr:uid="{00000000-0005-0000-0000-0000B2430000}"/>
    <cellStyle name="Hed Side 3 4 8 7 2" xfId="15498" xr:uid="{00000000-0005-0000-0000-0000B3430000}"/>
    <cellStyle name="Hed Side 3 4 8 8" xfId="15499" xr:uid="{00000000-0005-0000-0000-0000B4430000}"/>
    <cellStyle name="Hed Side 3 4 8 8 2" xfId="15500" xr:uid="{00000000-0005-0000-0000-0000B5430000}"/>
    <cellStyle name="Hed Side 3 4 8 9" xfId="15501" xr:uid="{00000000-0005-0000-0000-0000B6430000}"/>
    <cellStyle name="Hed Side 3 4 8 9 2" xfId="15502" xr:uid="{00000000-0005-0000-0000-0000B7430000}"/>
    <cellStyle name="Hed Side 3 4 9" xfId="15503" xr:uid="{00000000-0005-0000-0000-0000B8430000}"/>
    <cellStyle name="Hed Side 3 4 9 10" xfId="15504" xr:uid="{00000000-0005-0000-0000-0000B9430000}"/>
    <cellStyle name="Hed Side 3 4 9 2" xfId="15505" xr:uid="{00000000-0005-0000-0000-0000BA430000}"/>
    <cellStyle name="Hed Side 3 4 9 2 2" xfId="15506" xr:uid="{00000000-0005-0000-0000-0000BB430000}"/>
    <cellStyle name="Hed Side 3 4 9 3" xfId="15507" xr:uid="{00000000-0005-0000-0000-0000BC430000}"/>
    <cellStyle name="Hed Side 3 4 9 3 2" xfId="15508" xr:uid="{00000000-0005-0000-0000-0000BD430000}"/>
    <cellStyle name="Hed Side 3 4 9 4" xfId="15509" xr:uid="{00000000-0005-0000-0000-0000BE430000}"/>
    <cellStyle name="Hed Side 3 4 9 4 2" xfId="15510" xr:uid="{00000000-0005-0000-0000-0000BF430000}"/>
    <cellStyle name="Hed Side 3 4 9 5" xfId="15511" xr:uid="{00000000-0005-0000-0000-0000C0430000}"/>
    <cellStyle name="Hed Side 3 4 9 5 2" xfId="15512" xr:uid="{00000000-0005-0000-0000-0000C1430000}"/>
    <cellStyle name="Hed Side 3 4 9 6" xfId="15513" xr:uid="{00000000-0005-0000-0000-0000C2430000}"/>
    <cellStyle name="Hed Side 3 4 9 6 2" xfId="15514" xr:uid="{00000000-0005-0000-0000-0000C3430000}"/>
    <cellStyle name="Hed Side 3 4 9 7" xfId="15515" xr:uid="{00000000-0005-0000-0000-0000C4430000}"/>
    <cellStyle name="Hed Side 3 4 9 7 2" xfId="15516" xr:uid="{00000000-0005-0000-0000-0000C5430000}"/>
    <cellStyle name="Hed Side 3 4 9 8" xfId="15517" xr:uid="{00000000-0005-0000-0000-0000C6430000}"/>
    <cellStyle name="Hed Side 3 4 9 8 2" xfId="15518" xr:uid="{00000000-0005-0000-0000-0000C7430000}"/>
    <cellStyle name="Hed Side 3 4 9 9" xfId="15519" xr:uid="{00000000-0005-0000-0000-0000C8430000}"/>
    <cellStyle name="Hed Side 3 4 9 9 2" xfId="15520" xr:uid="{00000000-0005-0000-0000-0000C9430000}"/>
    <cellStyle name="Hed Side 3 5" xfId="15521" xr:uid="{00000000-0005-0000-0000-0000CA430000}"/>
    <cellStyle name="Hed Side 3 5 10" xfId="15522" xr:uid="{00000000-0005-0000-0000-0000CB430000}"/>
    <cellStyle name="Hed Side 3 5 10 2" xfId="15523" xr:uid="{00000000-0005-0000-0000-0000CC430000}"/>
    <cellStyle name="Hed Side 3 5 10 2 2" xfId="15524" xr:uid="{00000000-0005-0000-0000-0000CD430000}"/>
    <cellStyle name="Hed Side 3 5 10 3" xfId="15525" xr:uid="{00000000-0005-0000-0000-0000CE430000}"/>
    <cellStyle name="Hed Side 3 5 10 3 2" xfId="15526" xr:uid="{00000000-0005-0000-0000-0000CF430000}"/>
    <cellStyle name="Hed Side 3 5 10 4" xfId="15527" xr:uid="{00000000-0005-0000-0000-0000D0430000}"/>
    <cellStyle name="Hed Side 3 5 10 4 2" xfId="15528" xr:uid="{00000000-0005-0000-0000-0000D1430000}"/>
    <cellStyle name="Hed Side 3 5 10 5" xfId="15529" xr:uid="{00000000-0005-0000-0000-0000D2430000}"/>
    <cellStyle name="Hed Side 3 5 10 5 2" xfId="15530" xr:uid="{00000000-0005-0000-0000-0000D3430000}"/>
    <cellStyle name="Hed Side 3 5 10 6" xfId="15531" xr:uid="{00000000-0005-0000-0000-0000D4430000}"/>
    <cellStyle name="Hed Side 3 5 10 6 2" xfId="15532" xr:uid="{00000000-0005-0000-0000-0000D5430000}"/>
    <cellStyle name="Hed Side 3 5 10 7" xfId="15533" xr:uid="{00000000-0005-0000-0000-0000D6430000}"/>
    <cellStyle name="Hed Side 3 5 10 7 2" xfId="15534" xr:uid="{00000000-0005-0000-0000-0000D7430000}"/>
    <cellStyle name="Hed Side 3 5 10 8" xfId="15535" xr:uid="{00000000-0005-0000-0000-0000D8430000}"/>
    <cellStyle name="Hed Side 3 5 10 8 2" xfId="15536" xr:uid="{00000000-0005-0000-0000-0000D9430000}"/>
    <cellStyle name="Hed Side 3 5 10 9" xfId="15537" xr:uid="{00000000-0005-0000-0000-0000DA430000}"/>
    <cellStyle name="Hed Side 3 5 11" xfId="15538" xr:uid="{00000000-0005-0000-0000-0000DB430000}"/>
    <cellStyle name="Hed Side 3 5 11 2" xfId="15539" xr:uid="{00000000-0005-0000-0000-0000DC430000}"/>
    <cellStyle name="Hed Side 3 5 12" xfId="15540" xr:uid="{00000000-0005-0000-0000-0000DD430000}"/>
    <cellStyle name="Hed Side 3 5 12 2" xfId="15541" xr:uid="{00000000-0005-0000-0000-0000DE430000}"/>
    <cellStyle name="Hed Side 3 5 13" xfId="15542" xr:uid="{00000000-0005-0000-0000-0000DF430000}"/>
    <cellStyle name="Hed Side 3 5 13 2" xfId="15543" xr:uid="{00000000-0005-0000-0000-0000E0430000}"/>
    <cellStyle name="Hed Side 3 5 14" xfId="15544" xr:uid="{00000000-0005-0000-0000-0000E1430000}"/>
    <cellStyle name="Hed Side 3 5 14 2" xfId="15545" xr:uid="{00000000-0005-0000-0000-0000E2430000}"/>
    <cellStyle name="Hed Side 3 5 15" xfId="15546" xr:uid="{00000000-0005-0000-0000-0000E3430000}"/>
    <cellStyle name="Hed Side 3 5 15 2" xfId="15547" xr:uid="{00000000-0005-0000-0000-0000E4430000}"/>
    <cellStyle name="Hed Side 3 5 16" xfId="15548" xr:uid="{00000000-0005-0000-0000-0000E5430000}"/>
    <cellStyle name="Hed Side 3 5 16 2" xfId="15549" xr:uid="{00000000-0005-0000-0000-0000E6430000}"/>
    <cellStyle name="Hed Side 3 5 17" xfId="15550" xr:uid="{00000000-0005-0000-0000-0000E7430000}"/>
    <cellStyle name="Hed Side 3 5 17 2" xfId="15551" xr:uid="{00000000-0005-0000-0000-0000E8430000}"/>
    <cellStyle name="Hed Side 3 5 18" xfId="15552" xr:uid="{00000000-0005-0000-0000-0000E9430000}"/>
    <cellStyle name="Hed Side 3 5 2" xfId="15553" xr:uid="{00000000-0005-0000-0000-0000EA430000}"/>
    <cellStyle name="Hed Side 3 5 2 10" xfId="15554" xr:uid="{00000000-0005-0000-0000-0000EB430000}"/>
    <cellStyle name="Hed Side 3 5 2 2" xfId="15555" xr:uid="{00000000-0005-0000-0000-0000EC430000}"/>
    <cellStyle name="Hed Side 3 5 2 2 2" xfId="15556" xr:uid="{00000000-0005-0000-0000-0000ED430000}"/>
    <cellStyle name="Hed Side 3 5 2 3" xfId="15557" xr:uid="{00000000-0005-0000-0000-0000EE430000}"/>
    <cellStyle name="Hed Side 3 5 2 3 2" xfId="15558" xr:uid="{00000000-0005-0000-0000-0000EF430000}"/>
    <cellStyle name="Hed Side 3 5 2 4" xfId="15559" xr:uid="{00000000-0005-0000-0000-0000F0430000}"/>
    <cellStyle name="Hed Side 3 5 2 4 2" xfId="15560" xr:uid="{00000000-0005-0000-0000-0000F1430000}"/>
    <cellStyle name="Hed Side 3 5 2 5" xfId="15561" xr:uid="{00000000-0005-0000-0000-0000F2430000}"/>
    <cellStyle name="Hed Side 3 5 2 5 2" xfId="15562" xr:uid="{00000000-0005-0000-0000-0000F3430000}"/>
    <cellStyle name="Hed Side 3 5 2 6" xfId="15563" xr:uid="{00000000-0005-0000-0000-0000F4430000}"/>
    <cellStyle name="Hed Side 3 5 2 6 2" xfId="15564" xr:uid="{00000000-0005-0000-0000-0000F5430000}"/>
    <cellStyle name="Hed Side 3 5 2 7" xfId="15565" xr:uid="{00000000-0005-0000-0000-0000F6430000}"/>
    <cellStyle name="Hed Side 3 5 2 7 2" xfId="15566" xr:uid="{00000000-0005-0000-0000-0000F7430000}"/>
    <cellStyle name="Hed Side 3 5 2 8" xfId="15567" xr:uid="{00000000-0005-0000-0000-0000F8430000}"/>
    <cellStyle name="Hed Side 3 5 2 8 2" xfId="15568" xr:uid="{00000000-0005-0000-0000-0000F9430000}"/>
    <cellStyle name="Hed Side 3 5 2 9" xfId="15569" xr:uid="{00000000-0005-0000-0000-0000FA430000}"/>
    <cellStyle name="Hed Side 3 5 2 9 2" xfId="15570" xr:uid="{00000000-0005-0000-0000-0000FB430000}"/>
    <cellStyle name="Hed Side 3 5 3" xfId="15571" xr:uid="{00000000-0005-0000-0000-0000FC430000}"/>
    <cellStyle name="Hed Side 3 5 3 10" xfId="15572" xr:uid="{00000000-0005-0000-0000-0000FD430000}"/>
    <cellStyle name="Hed Side 3 5 3 2" xfId="15573" xr:uid="{00000000-0005-0000-0000-0000FE430000}"/>
    <cellStyle name="Hed Side 3 5 3 2 2" xfId="15574" xr:uid="{00000000-0005-0000-0000-0000FF430000}"/>
    <cellStyle name="Hed Side 3 5 3 3" xfId="15575" xr:uid="{00000000-0005-0000-0000-000000440000}"/>
    <cellStyle name="Hed Side 3 5 3 3 2" xfId="15576" xr:uid="{00000000-0005-0000-0000-000001440000}"/>
    <cellStyle name="Hed Side 3 5 3 4" xfId="15577" xr:uid="{00000000-0005-0000-0000-000002440000}"/>
    <cellStyle name="Hed Side 3 5 3 4 2" xfId="15578" xr:uid="{00000000-0005-0000-0000-000003440000}"/>
    <cellStyle name="Hed Side 3 5 3 5" xfId="15579" xr:uid="{00000000-0005-0000-0000-000004440000}"/>
    <cellStyle name="Hed Side 3 5 3 5 2" xfId="15580" xr:uid="{00000000-0005-0000-0000-000005440000}"/>
    <cellStyle name="Hed Side 3 5 3 6" xfId="15581" xr:uid="{00000000-0005-0000-0000-000006440000}"/>
    <cellStyle name="Hed Side 3 5 3 6 2" xfId="15582" xr:uid="{00000000-0005-0000-0000-000007440000}"/>
    <cellStyle name="Hed Side 3 5 3 7" xfId="15583" xr:uid="{00000000-0005-0000-0000-000008440000}"/>
    <cellStyle name="Hed Side 3 5 3 7 2" xfId="15584" xr:uid="{00000000-0005-0000-0000-000009440000}"/>
    <cellStyle name="Hed Side 3 5 3 8" xfId="15585" xr:uid="{00000000-0005-0000-0000-00000A440000}"/>
    <cellStyle name="Hed Side 3 5 3 8 2" xfId="15586" xr:uid="{00000000-0005-0000-0000-00000B440000}"/>
    <cellStyle name="Hed Side 3 5 3 9" xfId="15587" xr:uid="{00000000-0005-0000-0000-00000C440000}"/>
    <cellStyle name="Hed Side 3 5 3 9 2" xfId="15588" xr:uid="{00000000-0005-0000-0000-00000D440000}"/>
    <cellStyle name="Hed Side 3 5 4" xfId="15589" xr:uid="{00000000-0005-0000-0000-00000E440000}"/>
    <cellStyle name="Hed Side 3 5 4 10" xfId="15590" xr:uid="{00000000-0005-0000-0000-00000F440000}"/>
    <cellStyle name="Hed Side 3 5 4 2" xfId="15591" xr:uid="{00000000-0005-0000-0000-000010440000}"/>
    <cellStyle name="Hed Side 3 5 4 2 2" xfId="15592" xr:uid="{00000000-0005-0000-0000-000011440000}"/>
    <cellStyle name="Hed Side 3 5 4 3" xfId="15593" xr:uid="{00000000-0005-0000-0000-000012440000}"/>
    <cellStyle name="Hed Side 3 5 4 3 2" xfId="15594" xr:uid="{00000000-0005-0000-0000-000013440000}"/>
    <cellStyle name="Hed Side 3 5 4 4" xfId="15595" xr:uid="{00000000-0005-0000-0000-000014440000}"/>
    <cellStyle name="Hed Side 3 5 4 4 2" xfId="15596" xr:uid="{00000000-0005-0000-0000-000015440000}"/>
    <cellStyle name="Hed Side 3 5 4 5" xfId="15597" xr:uid="{00000000-0005-0000-0000-000016440000}"/>
    <cellStyle name="Hed Side 3 5 4 5 2" xfId="15598" xr:uid="{00000000-0005-0000-0000-000017440000}"/>
    <cellStyle name="Hed Side 3 5 4 6" xfId="15599" xr:uid="{00000000-0005-0000-0000-000018440000}"/>
    <cellStyle name="Hed Side 3 5 4 6 2" xfId="15600" xr:uid="{00000000-0005-0000-0000-000019440000}"/>
    <cellStyle name="Hed Side 3 5 4 7" xfId="15601" xr:uid="{00000000-0005-0000-0000-00001A440000}"/>
    <cellStyle name="Hed Side 3 5 4 7 2" xfId="15602" xr:uid="{00000000-0005-0000-0000-00001B440000}"/>
    <cellStyle name="Hed Side 3 5 4 8" xfId="15603" xr:uid="{00000000-0005-0000-0000-00001C440000}"/>
    <cellStyle name="Hed Side 3 5 4 8 2" xfId="15604" xr:uid="{00000000-0005-0000-0000-00001D440000}"/>
    <cellStyle name="Hed Side 3 5 4 9" xfId="15605" xr:uid="{00000000-0005-0000-0000-00001E440000}"/>
    <cellStyle name="Hed Side 3 5 4 9 2" xfId="15606" xr:uid="{00000000-0005-0000-0000-00001F440000}"/>
    <cellStyle name="Hed Side 3 5 5" xfId="15607" xr:uid="{00000000-0005-0000-0000-000020440000}"/>
    <cellStyle name="Hed Side 3 5 5 10" xfId="15608" xr:uid="{00000000-0005-0000-0000-000021440000}"/>
    <cellStyle name="Hed Side 3 5 5 2" xfId="15609" xr:uid="{00000000-0005-0000-0000-000022440000}"/>
    <cellStyle name="Hed Side 3 5 5 2 2" xfId="15610" xr:uid="{00000000-0005-0000-0000-000023440000}"/>
    <cellStyle name="Hed Side 3 5 5 3" xfId="15611" xr:uid="{00000000-0005-0000-0000-000024440000}"/>
    <cellStyle name="Hed Side 3 5 5 3 2" xfId="15612" xr:uid="{00000000-0005-0000-0000-000025440000}"/>
    <cellStyle name="Hed Side 3 5 5 4" xfId="15613" xr:uid="{00000000-0005-0000-0000-000026440000}"/>
    <cellStyle name="Hed Side 3 5 5 4 2" xfId="15614" xr:uid="{00000000-0005-0000-0000-000027440000}"/>
    <cellStyle name="Hed Side 3 5 5 5" xfId="15615" xr:uid="{00000000-0005-0000-0000-000028440000}"/>
    <cellStyle name="Hed Side 3 5 5 5 2" xfId="15616" xr:uid="{00000000-0005-0000-0000-000029440000}"/>
    <cellStyle name="Hed Side 3 5 5 6" xfId="15617" xr:uid="{00000000-0005-0000-0000-00002A440000}"/>
    <cellStyle name="Hed Side 3 5 5 6 2" xfId="15618" xr:uid="{00000000-0005-0000-0000-00002B440000}"/>
    <cellStyle name="Hed Side 3 5 5 7" xfId="15619" xr:uid="{00000000-0005-0000-0000-00002C440000}"/>
    <cellStyle name="Hed Side 3 5 5 7 2" xfId="15620" xr:uid="{00000000-0005-0000-0000-00002D440000}"/>
    <cellStyle name="Hed Side 3 5 5 8" xfId="15621" xr:uid="{00000000-0005-0000-0000-00002E440000}"/>
    <cellStyle name="Hed Side 3 5 5 8 2" xfId="15622" xr:uid="{00000000-0005-0000-0000-00002F440000}"/>
    <cellStyle name="Hed Side 3 5 5 9" xfId="15623" xr:uid="{00000000-0005-0000-0000-000030440000}"/>
    <cellStyle name="Hed Side 3 5 5 9 2" xfId="15624" xr:uid="{00000000-0005-0000-0000-000031440000}"/>
    <cellStyle name="Hed Side 3 5 6" xfId="15625" xr:uid="{00000000-0005-0000-0000-000032440000}"/>
    <cellStyle name="Hed Side 3 5 6 10" xfId="15626" xr:uid="{00000000-0005-0000-0000-000033440000}"/>
    <cellStyle name="Hed Side 3 5 6 2" xfId="15627" xr:uid="{00000000-0005-0000-0000-000034440000}"/>
    <cellStyle name="Hed Side 3 5 6 2 2" xfId="15628" xr:uid="{00000000-0005-0000-0000-000035440000}"/>
    <cellStyle name="Hed Side 3 5 6 3" xfId="15629" xr:uid="{00000000-0005-0000-0000-000036440000}"/>
    <cellStyle name="Hed Side 3 5 6 3 2" xfId="15630" xr:uid="{00000000-0005-0000-0000-000037440000}"/>
    <cellStyle name="Hed Side 3 5 6 4" xfId="15631" xr:uid="{00000000-0005-0000-0000-000038440000}"/>
    <cellStyle name="Hed Side 3 5 6 4 2" xfId="15632" xr:uid="{00000000-0005-0000-0000-000039440000}"/>
    <cellStyle name="Hed Side 3 5 6 5" xfId="15633" xr:uid="{00000000-0005-0000-0000-00003A440000}"/>
    <cellStyle name="Hed Side 3 5 6 5 2" xfId="15634" xr:uid="{00000000-0005-0000-0000-00003B440000}"/>
    <cellStyle name="Hed Side 3 5 6 6" xfId="15635" xr:uid="{00000000-0005-0000-0000-00003C440000}"/>
    <cellStyle name="Hed Side 3 5 6 6 2" xfId="15636" xr:uid="{00000000-0005-0000-0000-00003D440000}"/>
    <cellStyle name="Hed Side 3 5 6 7" xfId="15637" xr:uid="{00000000-0005-0000-0000-00003E440000}"/>
    <cellStyle name="Hed Side 3 5 6 7 2" xfId="15638" xr:uid="{00000000-0005-0000-0000-00003F440000}"/>
    <cellStyle name="Hed Side 3 5 6 8" xfId="15639" xr:uid="{00000000-0005-0000-0000-000040440000}"/>
    <cellStyle name="Hed Side 3 5 6 8 2" xfId="15640" xr:uid="{00000000-0005-0000-0000-000041440000}"/>
    <cellStyle name="Hed Side 3 5 6 9" xfId="15641" xr:uid="{00000000-0005-0000-0000-000042440000}"/>
    <cellStyle name="Hed Side 3 5 6 9 2" xfId="15642" xr:uid="{00000000-0005-0000-0000-000043440000}"/>
    <cellStyle name="Hed Side 3 5 7" xfId="15643" xr:uid="{00000000-0005-0000-0000-000044440000}"/>
    <cellStyle name="Hed Side 3 5 7 10" xfId="15644" xr:uid="{00000000-0005-0000-0000-000045440000}"/>
    <cellStyle name="Hed Side 3 5 7 2" xfId="15645" xr:uid="{00000000-0005-0000-0000-000046440000}"/>
    <cellStyle name="Hed Side 3 5 7 2 2" xfId="15646" xr:uid="{00000000-0005-0000-0000-000047440000}"/>
    <cellStyle name="Hed Side 3 5 7 3" xfId="15647" xr:uid="{00000000-0005-0000-0000-000048440000}"/>
    <cellStyle name="Hed Side 3 5 7 3 2" xfId="15648" xr:uid="{00000000-0005-0000-0000-000049440000}"/>
    <cellStyle name="Hed Side 3 5 7 4" xfId="15649" xr:uid="{00000000-0005-0000-0000-00004A440000}"/>
    <cellStyle name="Hed Side 3 5 7 4 2" xfId="15650" xr:uid="{00000000-0005-0000-0000-00004B440000}"/>
    <cellStyle name="Hed Side 3 5 7 5" xfId="15651" xr:uid="{00000000-0005-0000-0000-00004C440000}"/>
    <cellStyle name="Hed Side 3 5 7 5 2" xfId="15652" xr:uid="{00000000-0005-0000-0000-00004D440000}"/>
    <cellStyle name="Hed Side 3 5 7 6" xfId="15653" xr:uid="{00000000-0005-0000-0000-00004E440000}"/>
    <cellStyle name="Hed Side 3 5 7 6 2" xfId="15654" xr:uid="{00000000-0005-0000-0000-00004F440000}"/>
    <cellStyle name="Hed Side 3 5 7 7" xfId="15655" xr:uid="{00000000-0005-0000-0000-000050440000}"/>
    <cellStyle name="Hed Side 3 5 7 7 2" xfId="15656" xr:uid="{00000000-0005-0000-0000-000051440000}"/>
    <cellStyle name="Hed Side 3 5 7 8" xfId="15657" xr:uid="{00000000-0005-0000-0000-000052440000}"/>
    <cellStyle name="Hed Side 3 5 7 8 2" xfId="15658" xr:uid="{00000000-0005-0000-0000-000053440000}"/>
    <cellStyle name="Hed Side 3 5 7 9" xfId="15659" xr:uid="{00000000-0005-0000-0000-000054440000}"/>
    <cellStyle name="Hed Side 3 5 7 9 2" xfId="15660" xr:uid="{00000000-0005-0000-0000-000055440000}"/>
    <cellStyle name="Hed Side 3 5 8" xfId="15661" xr:uid="{00000000-0005-0000-0000-000056440000}"/>
    <cellStyle name="Hed Side 3 5 8 10" xfId="15662" xr:uid="{00000000-0005-0000-0000-000057440000}"/>
    <cellStyle name="Hed Side 3 5 8 2" xfId="15663" xr:uid="{00000000-0005-0000-0000-000058440000}"/>
    <cellStyle name="Hed Side 3 5 8 2 2" xfId="15664" xr:uid="{00000000-0005-0000-0000-000059440000}"/>
    <cellStyle name="Hed Side 3 5 8 3" xfId="15665" xr:uid="{00000000-0005-0000-0000-00005A440000}"/>
    <cellStyle name="Hed Side 3 5 8 3 2" xfId="15666" xr:uid="{00000000-0005-0000-0000-00005B440000}"/>
    <cellStyle name="Hed Side 3 5 8 4" xfId="15667" xr:uid="{00000000-0005-0000-0000-00005C440000}"/>
    <cellStyle name="Hed Side 3 5 8 4 2" xfId="15668" xr:uid="{00000000-0005-0000-0000-00005D440000}"/>
    <cellStyle name="Hed Side 3 5 8 5" xfId="15669" xr:uid="{00000000-0005-0000-0000-00005E440000}"/>
    <cellStyle name="Hed Side 3 5 8 5 2" xfId="15670" xr:uid="{00000000-0005-0000-0000-00005F440000}"/>
    <cellStyle name="Hed Side 3 5 8 6" xfId="15671" xr:uid="{00000000-0005-0000-0000-000060440000}"/>
    <cellStyle name="Hed Side 3 5 8 6 2" xfId="15672" xr:uid="{00000000-0005-0000-0000-000061440000}"/>
    <cellStyle name="Hed Side 3 5 8 7" xfId="15673" xr:uid="{00000000-0005-0000-0000-000062440000}"/>
    <cellStyle name="Hed Side 3 5 8 7 2" xfId="15674" xr:uid="{00000000-0005-0000-0000-000063440000}"/>
    <cellStyle name="Hed Side 3 5 8 8" xfId="15675" xr:uid="{00000000-0005-0000-0000-000064440000}"/>
    <cellStyle name="Hed Side 3 5 8 8 2" xfId="15676" xr:uid="{00000000-0005-0000-0000-000065440000}"/>
    <cellStyle name="Hed Side 3 5 8 9" xfId="15677" xr:uid="{00000000-0005-0000-0000-000066440000}"/>
    <cellStyle name="Hed Side 3 5 8 9 2" xfId="15678" xr:uid="{00000000-0005-0000-0000-000067440000}"/>
    <cellStyle name="Hed Side 3 5 9" xfId="15679" xr:uid="{00000000-0005-0000-0000-000068440000}"/>
    <cellStyle name="Hed Side 3 5 9 10" xfId="15680" xr:uid="{00000000-0005-0000-0000-000069440000}"/>
    <cellStyle name="Hed Side 3 5 9 2" xfId="15681" xr:uid="{00000000-0005-0000-0000-00006A440000}"/>
    <cellStyle name="Hed Side 3 5 9 2 2" xfId="15682" xr:uid="{00000000-0005-0000-0000-00006B440000}"/>
    <cellStyle name="Hed Side 3 5 9 3" xfId="15683" xr:uid="{00000000-0005-0000-0000-00006C440000}"/>
    <cellStyle name="Hed Side 3 5 9 3 2" xfId="15684" xr:uid="{00000000-0005-0000-0000-00006D440000}"/>
    <cellStyle name="Hed Side 3 5 9 4" xfId="15685" xr:uid="{00000000-0005-0000-0000-00006E440000}"/>
    <cellStyle name="Hed Side 3 5 9 4 2" xfId="15686" xr:uid="{00000000-0005-0000-0000-00006F440000}"/>
    <cellStyle name="Hed Side 3 5 9 5" xfId="15687" xr:uid="{00000000-0005-0000-0000-000070440000}"/>
    <cellStyle name="Hed Side 3 5 9 5 2" xfId="15688" xr:uid="{00000000-0005-0000-0000-000071440000}"/>
    <cellStyle name="Hed Side 3 5 9 6" xfId="15689" xr:uid="{00000000-0005-0000-0000-000072440000}"/>
    <cellStyle name="Hed Side 3 5 9 6 2" xfId="15690" xr:uid="{00000000-0005-0000-0000-000073440000}"/>
    <cellStyle name="Hed Side 3 5 9 7" xfId="15691" xr:uid="{00000000-0005-0000-0000-000074440000}"/>
    <cellStyle name="Hed Side 3 5 9 7 2" xfId="15692" xr:uid="{00000000-0005-0000-0000-000075440000}"/>
    <cellStyle name="Hed Side 3 5 9 8" xfId="15693" xr:uid="{00000000-0005-0000-0000-000076440000}"/>
    <cellStyle name="Hed Side 3 5 9 8 2" xfId="15694" xr:uid="{00000000-0005-0000-0000-000077440000}"/>
    <cellStyle name="Hed Side 3 5 9 9" xfId="15695" xr:uid="{00000000-0005-0000-0000-000078440000}"/>
    <cellStyle name="Hed Side 3 5 9 9 2" xfId="15696" xr:uid="{00000000-0005-0000-0000-000079440000}"/>
    <cellStyle name="Hed Side 3 6" xfId="15697" xr:uid="{00000000-0005-0000-0000-00007A440000}"/>
    <cellStyle name="Hed Side 3 6 10" xfId="15698" xr:uid="{00000000-0005-0000-0000-00007B440000}"/>
    <cellStyle name="Hed Side 3 6 10 2" xfId="15699" xr:uid="{00000000-0005-0000-0000-00007C440000}"/>
    <cellStyle name="Hed Side 3 6 10 2 2" xfId="15700" xr:uid="{00000000-0005-0000-0000-00007D440000}"/>
    <cellStyle name="Hed Side 3 6 10 3" xfId="15701" xr:uid="{00000000-0005-0000-0000-00007E440000}"/>
    <cellStyle name="Hed Side 3 6 10 3 2" xfId="15702" xr:uid="{00000000-0005-0000-0000-00007F440000}"/>
    <cellStyle name="Hed Side 3 6 10 4" xfId="15703" xr:uid="{00000000-0005-0000-0000-000080440000}"/>
    <cellStyle name="Hed Side 3 6 10 4 2" xfId="15704" xr:uid="{00000000-0005-0000-0000-000081440000}"/>
    <cellStyle name="Hed Side 3 6 10 5" xfId="15705" xr:uid="{00000000-0005-0000-0000-000082440000}"/>
    <cellStyle name="Hed Side 3 6 10 5 2" xfId="15706" xr:uid="{00000000-0005-0000-0000-000083440000}"/>
    <cellStyle name="Hed Side 3 6 10 6" xfId="15707" xr:uid="{00000000-0005-0000-0000-000084440000}"/>
    <cellStyle name="Hed Side 3 6 10 6 2" xfId="15708" xr:uid="{00000000-0005-0000-0000-000085440000}"/>
    <cellStyle name="Hed Side 3 6 10 7" xfId="15709" xr:uid="{00000000-0005-0000-0000-000086440000}"/>
    <cellStyle name="Hed Side 3 6 10 7 2" xfId="15710" xr:uid="{00000000-0005-0000-0000-000087440000}"/>
    <cellStyle name="Hed Side 3 6 10 8" xfId="15711" xr:uid="{00000000-0005-0000-0000-000088440000}"/>
    <cellStyle name="Hed Side 3 6 10 8 2" xfId="15712" xr:uid="{00000000-0005-0000-0000-000089440000}"/>
    <cellStyle name="Hed Side 3 6 10 9" xfId="15713" xr:uid="{00000000-0005-0000-0000-00008A440000}"/>
    <cellStyle name="Hed Side 3 6 11" xfId="15714" xr:uid="{00000000-0005-0000-0000-00008B440000}"/>
    <cellStyle name="Hed Side 3 6 11 2" xfId="15715" xr:uid="{00000000-0005-0000-0000-00008C440000}"/>
    <cellStyle name="Hed Side 3 6 12" xfId="15716" xr:uid="{00000000-0005-0000-0000-00008D440000}"/>
    <cellStyle name="Hed Side 3 6 12 2" xfId="15717" xr:uid="{00000000-0005-0000-0000-00008E440000}"/>
    <cellStyle name="Hed Side 3 6 13" xfId="15718" xr:uid="{00000000-0005-0000-0000-00008F440000}"/>
    <cellStyle name="Hed Side 3 6 13 2" xfId="15719" xr:uid="{00000000-0005-0000-0000-000090440000}"/>
    <cellStyle name="Hed Side 3 6 14" xfId="15720" xr:uid="{00000000-0005-0000-0000-000091440000}"/>
    <cellStyle name="Hed Side 3 6 14 2" xfId="15721" xr:uid="{00000000-0005-0000-0000-000092440000}"/>
    <cellStyle name="Hed Side 3 6 15" xfId="15722" xr:uid="{00000000-0005-0000-0000-000093440000}"/>
    <cellStyle name="Hed Side 3 6 15 2" xfId="15723" xr:uid="{00000000-0005-0000-0000-000094440000}"/>
    <cellStyle name="Hed Side 3 6 16" xfId="15724" xr:uid="{00000000-0005-0000-0000-000095440000}"/>
    <cellStyle name="Hed Side 3 6 16 2" xfId="15725" xr:uid="{00000000-0005-0000-0000-000096440000}"/>
    <cellStyle name="Hed Side 3 6 17" xfId="15726" xr:uid="{00000000-0005-0000-0000-000097440000}"/>
    <cellStyle name="Hed Side 3 6 17 2" xfId="15727" xr:uid="{00000000-0005-0000-0000-000098440000}"/>
    <cellStyle name="Hed Side 3 6 18" xfId="15728" xr:uid="{00000000-0005-0000-0000-000099440000}"/>
    <cellStyle name="Hed Side 3 6 2" xfId="15729" xr:uid="{00000000-0005-0000-0000-00009A440000}"/>
    <cellStyle name="Hed Side 3 6 2 10" xfId="15730" xr:uid="{00000000-0005-0000-0000-00009B440000}"/>
    <cellStyle name="Hed Side 3 6 2 2" xfId="15731" xr:uid="{00000000-0005-0000-0000-00009C440000}"/>
    <cellStyle name="Hed Side 3 6 2 2 2" xfId="15732" xr:uid="{00000000-0005-0000-0000-00009D440000}"/>
    <cellStyle name="Hed Side 3 6 2 3" xfId="15733" xr:uid="{00000000-0005-0000-0000-00009E440000}"/>
    <cellStyle name="Hed Side 3 6 2 3 2" xfId="15734" xr:uid="{00000000-0005-0000-0000-00009F440000}"/>
    <cellStyle name="Hed Side 3 6 2 4" xfId="15735" xr:uid="{00000000-0005-0000-0000-0000A0440000}"/>
    <cellStyle name="Hed Side 3 6 2 4 2" xfId="15736" xr:uid="{00000000-0005-0000-0000-0000A1440000}"/>
    <cellStyle name="Hed Side 3 6 2 5" xfId="15737" xr:uid="{00000000-0005-0000-0000-0000A2440000}"/>
    <cellStyle name="Hed Side 3 6 2 5 2" xfId="15738" xr:uid="{00000000-0005-0000-0000-0000A3440000}"/>
    <cellStyle name="Hed Side 3 6 2 6" xfId="15739" xr:uid="{00000000-0005-0000-0000-0000A4440000}"/>
    <cellStyle name="Hed Side 3 6 2 6 2" xfId="15740" xr:uid="{00000000-0005-0000-0000-0000A5440000}"/>
    <cellStyle name="Hed Side 3 6 2 7" xfId="15741" xr:uid="{00000000-0005-0000-0000-0000A6440000}"/>
    <cellStyle name="Hed Side 3 6 2 7 2" xfId="15742" xr:uid="{00000000-0005-0000-0000-0000A7440000}"/>
    <cellStyle name="Hed Side 3 6 2 8" xfId="15743" xr:uid="{00000000-0005-0000-0000-0000A8440000}"/>
    <cellStyle name="Hed Side 3 6 2 8 2" xfId="15744" xr:uid="{00000000-0005-0000-0000-0000A9440000}"/>
    <cellStyle name="Hed Side 3 6 2 9" xfId="15745" xr:uid="{00000000-0005-0000-0000-0000AA440000}"/>
    <cellStyle name="Hed Side 3 6 2 9 2" xfId="15746" xr:uid="{00000000-0005-0000-0000-0000AB440000}"/>
    <cellStyle name="Hed Side 3 6 3" xfId="15747" xr:uid="{00000000-0005-0000-0000-0000AC440000}"/>
    <cellStyle name="Hed Side 3 6 3 10" xfId="15748" xr:uid="{00000000-0005-0000-0000-0000AD440000}"/>
    <cellStyle name="Hed Side 3 6 3 2" xfId="15749" xr:uid="{00000000-0005-0000-0000-0000AE440000}"/>
    <cellStyle name="Hed Side 3 6 3 2 2" xfId="15750" xr:uid="{00000000-0005-0000-0000-0000AF440000}"/>
    <cellStyle name="Hed Side 3 6 3 3" xfId="15751" xr:uid="{00000000-0005-0000-0000-0000B0440000}"/>
    <cellStyle name="Hed Side 3 6 3 3 2" xfId="15752" xr:uid="{00000000-0005-0000-0000-0000B1440000}"/>
    <cellStyle name="Hed Side 3 6 3 4" xfId="15753" xr:uid="{00000000-0005-0000-0000-0000B2440000}"/>
    <cellStyle name="Hed Side 3 6 3 4 2" xfId="15754" xr:uid="{00000000-0005-0000-0000-0000B3440000}"/>
    <cellStyle name="Hed Side 3 6 3 5" xfId="15755" xr:uid="{00000000-0005-0000-0000-0000B4440000}"/>
    <cellStyle name="Hed Side 3 6 3 5 2" xfId="15756" xr:uid="{00000000-0005-0000-0000-0000B5440000}"/>
    <cellStyle name="Hed Side 3 6 3 6" xfId="15757" xr:uid="{00000000-0005-0000-0000-0000B6440000}"/>
    <cellStyle name="Hed Side 3 6 3 6 2" xfId="15758" xr:uid="{00000000-0005-0000-0000-0000B7440000}"/>
    <cellStyle name="Hed Side 3 6 3 7" xfId="15759" xr:uid="{00000000-0005-0000-0000-0000B8440000}"/>
    <cellStyle name="Hed Side 3 6 3 7 2" xfId="15760" xr:uid="{00000000-0005-0000-0000-0000B9440000}"/>
    <cellStyle name="Hed Side 3 6 3 8" xfId="15761" xr:uid="{00000000-0005-0000-0000-0000BA440000}"/>
    <cellStyle name="Hed Side 3 6 3 8 2" xfId="15762" xr:uid="{00000000-0005-0000-0000-0000BB440000}"/>
    <cellStyle name="Hed Side 3 6 3 9" xfId="15763" xr:uid="{00000000-0005-0000-0000-0000BC440000}"/>
    <cellStyle name="Hed Side 3 6 3 9 2" xfId="15764" xr:uid="{00000000-0005-0000-0000-0000BD440000}"/>
    <cellStyle name="Hed Side 3 6 4" xfId="15765" xr:uid="{00000000-0005-0000-0000-0000BE440000}"/>
    <cellStyle name="Hed Side 3 6 4 10" xfId="15766" xr:uid="{00000000-0005-0000-0000-0000BF440000}"/>
    <cellStyle name="Hed Side 3 6 4 2" xfId="15767" xr:uid="{00000000-0005-0000-0000-0000C0440000}"/>
    <cellStyle name="Hed Side 3 6 4 2 2" xfId="15768" xr:uid="{00000000-0005-0000-0000-0000C1440000}"/>
    <cellStyle name="Hed Side 3 6 4 3" xfId="15769" xr:uid="{00000000-0005-0000-0000-0000C2440000}"/>
    <cellStyle name="Hed Side 3 6 4 3 2" xfId="15770" xr:uid="{00000000-0005-0000-0000-0000C3440000}"/>
    <cellStyle name="Hed Side 3 6 4 4" xfId="15771" xr:uid="{00000000-0005-0000-0000-0000C4440000}"/>
    <cellStyle name="Hed Side 3 6 4 4 2" xfId="15772" xr:uid="{00000000-0005-0000-0000-0000C5440000}"/>
    <cellStyle name="Hed Side 3 6 4 5" xfId="15773" xr:uid="{00000000-0005-0000-0000-0000C6440000}"/>
    <cellStyle name="Hed Side 3 6 4 5 2" xfId="15774" xr:uid="{00000000-0005-0000-0000-0000C7440000}"/>
    <cellStyle name="Hed Side 3 6 4 6" xfId="15775" xr:uid="{00000000-0005-0000-0000-0000C8440000}"/>
    <cellStyle name="Hed Side 3 6 4 6 2" xfId="15776" xr:uid="{00000000-0005-0000-0000-0000C9440000}"/>
    <cellStyle name="Hed Side 3 6 4 7" xfId="15777" xr:uid="{00000000-0005-0000-0000-0000CA440000}"/>
    <cellStyle name="Hed Side 3 6 4 7 2" xfId="15778" xr:uid="{00000000-0005-0000-0000-0000CB440000}"/>
    <cellStyle name="Hed Side 3 6 4 8" xfId="15779" xr:uid="{00000000-0005-0000-0000-0000CC440000}"/>
    <cellStyle name="Hed Side 3 6 4 8 2" xfId="15780" xr:uid="{00000000-0005-0000-0000-0000CD440000}"/>
    <cellStyle name="Hed Side 3 6 4 9" xfId="15781" xr:uid="{00000000-0005-0000-0000-0000CE440000}"/>
    <cellStyle name="Hed Side 3 6 4 9 2" xfId="15782" xr:uid="{00000000-0005-0000-0000-0000CF440000}"/>
    <cellStyle name="Hed Side 3 6 5" xfId="15783" xr:uid="{00000000-0005-0000-0000-0000D0440000}"/>
    <cellStyle name="Hed Side 3 6 5 10" xfId="15784" xr:uid="{00000000-0005-0000-0000-0000D1440000}"/>
    <cellStyle name="Hed Side 3 6 5 2" xfId="15785" xr:uid="{00000000-0005-0000-0000-0000D2440000}"/>
    <cellStyle name="Hed Side 3 6 5 2 2" xfId="15786" xr:uid="{00000000-0005-0000-0000-0000D3440000}"/>
    <cellStyle name="Hed Side 3 6 5 3" xfId="15787" xr:uid="{00000000-0005-0000-0000-0000D4440000}"/>
    <cellStyle name="Hed Side 3 6 5 3 2" xfId="15788" xr:uid="{00000000-0005-0000-0000-0000D5440000}"/>
    <cellStyle name="Hed Side 3 6 5 4" xfId="15789" xr:uid="{00000000-0005-0000-0000-0000D6440000}"/>
    <cellStyle name="Hed Side 3 6 5 4 2" xfId="15790" xr:uid="{00000000-0005-0000-0000-0000D7440000}"/>
    <cellStyle name="Hed Side 3 6 5 5" xfId="15791" xr:uid="{00000000-0005-0000-0000-0000D8440000}"/>
    <cellStyle name="Hed Side 3 6 5 5 2" xfId="15792" xr:uid="{00000000-0005-0000-0000-0000D9440000}"/>
    <cellStyle name="Hed Side 3 6 5 6" xfId="15793" xr:uid="{00000000-0005-0000-0000-0000DA440000}"/>
    <cellStyle name="Hed Side 3 6 5 6 2" xfId="15794" xr:uid="{00000000-0005-0000-0000-0000DB440000}"/>
    <cellStyle name="Hed Side 3 6 5 7" xfId="15795" xr:uid="{00000000-0005-0000-0000-0000DC440000}"/>
    <cellStyle name="Hed Side 3 6 5 7 2" xfId="15796" xr:uid="{00000000-0005-0000-0000-0000DD440000}"/>
    <cellStyle name="Hed Side 3 6 5 8" xfId="15797" xr:uid="{00000000-0005-0000-0000-0000DE440000}"/>
    <cellStyle name="Hed Side 3 6 5 8 2" xfId="15798" xr:uid="{00000000-0005-0000-0000-0000DF440000}"/>
    <cellStyle name="Hed Side 3 6 5 9" xfId="15799" xr:uid="{00000000-0005-0000-0000-0000E0440000}"/>
    <cellStyle name="Hed Side 3 6 5 9 2" xfId="15800" xr:uid="{00000000-0005-0000-0000-0000E1440000}"/>
    <cellStyle name="Hed Side 3 6 6" xfId="15801" xr:uid="{00000000-0005-0000-0000-0000E2440000}"/>
    <cellStyle name="Hed Side 3 6 6 10" xfId="15802" xr:uid="{00000000-0005-0000-0000-0000E3440000}"/>
    <cellStyle name="Hed Side 3 6 6 2" xfId="15803" xr:uid="{00000000-0005-0000-0000-0000E4440000}"/>
    <cellStyle name="Hed Side 3 6 6 2 2" xfId="15804" xr:uid="{00000000-0005-0000-0000-0000E5440000}"/>
    <cellStyle name="Hed Side 3 6 6 3" xfId="15805" xr:uid="{00000000-0005-0000-0000-0000E6440000}"/>
    <cellStyle name="Hed Side 3 6 6 3 2" xfId="15806" xr:uid="{00000000-0005-0000-0000-0000E7440000}"/>
    <cellStyle name="Hed Side 3 6 6 4" xfId="15807" xr:uid="{00000000-0005-0000-0000-0000E8440000}"/>
    <cellStyle name="Hed Side 3 6 6 4 2" xfId="15808" xr:uid="{00000000-0005-0000-0000-0000E9440000}"/>
    <cellStyle name="Hed Side 3 6 6 5" xfId="15809" xr:uid="{00000000-0005-0000-0000-0000EA440000}"/>
    <cellStyle name="Hed Side 3 6 6 5 2" xfId="15810" xr:uid="{00000000-0005-0000-0000-0000EB440000}"/>
    <cellStyle name="Hed Side 3 6 6 6" xfId="15811" xr:uid="{00000000-0005-0000-0000-0000EC440000}"/>
    <cellStyle name="Hed Side 3 6 6 6 2" xfId="15812" xr:uid="{00000000-0005-0000-0000-0000ED440000}"/>
    <cellStyle name="Hed Side 3 6 6 7" xfId="15813" xr:uid="{00000000-0005-0000-0000-0000EE440000}"/>
    <cellStyle name="Hed Side 3 6 6 7 2" xfId="15814" xr:uid="{00000000-0005-0000-0000-0000EF440000}"/>
    <cellStyle name="Hed Side 3 6 6 8" xfId="15815" xr:uid="{00000000-0005-0000-0000-0000F0440000}"/>
    <cellStyle name="Hed Side 3 6 6 8 2" xfId="15816" xr:uid="{00000000-0005-0000-0000-0000F1440000}"/>
    <cellStyle name="Hed Side 3 6 6 9" xfId="15817" xr:uid="{00000000-0005-0000-0000-0000F2440000}"/>
    <cellStyle name="Hed Side 3 6 6 9 2" xfId="15818" xr:uid="{00000000-0005-0000-0000-0000F3440000}"/>
    <cellStyle name="Hed Side 3 6 7" xfId="15819" xr:uid="{00000000-0005-0000-0000-0000F4440000}"/>
    <cellStyle name="Hed Side 3 6 7 10" xfId="15820" xr:uid="{00000000-0005-0000-0000-0000F5440000}"/>
    <cellStyle name="Hed Side 3 6 7 2" xfId="15821" xr:uid="{00000000-0005-0000-0000-0000F6440000}"/>
    <cellStyle name="Hed Side 3 6 7 2 2" xfId="15822" xr:uid="{00000000-0005-0000-0000-0000F7440000}"/>
    <cellStyle name="Hed Side 3 6 7 3" xfId="15823" xr:uid="{00000000-0005-0000-0000-0000F8440000}"/>
    <cellStyle name="Hed Side 3 6 7 3 2" xfId="15824" xr:uid="{00000000-0005-0000-0000-0000F9440000}"/>
    <cellStyle name="Hed Side 3 6 7 4" xfId="15825" xr:uid="{00000000-0005-0000-0000-0000FA440000}"/>
    <cellStyle name="Hed Side 3 6 7 4 2" xfId="15826" xr:uid="{00000000-0005-0000-0000-0000FB440000}"/>
    <cellStyle name="Hed Side 3 6 7 5" xfId="15827" xr:uid="{00000000-0005-0000-0000-0000FC440000}"/>
    <cellStyle name="Hed Side 3 6 7 5 2" xfId="15828" xr:uid="{00000000-0005-0000-0000-0000FD440000}"/>
    <cellStyle name="Hed Side 3 6 7 6" xfId="15829" xr:uid="{00000000-0005-0000-0000-0000FE440000}"/>
    <cellStyle name="Hed Side 3 6 7 6 2" xfId="15830" xr:uid="{00000000-0005-0000-0000-0000FF440000}"/>
    <cellStyle name="Hed Side 3 6 7 7" xfId="15831" xr:uid="{00000000-0005-0000-0000-000000450000}"/>
    <cellStyle name="Hed Side 3 6 7 7 2" xfId="15832" xr:uid="{00000000-0005-0000-0000-000001450000}"/>
    <cellStyle name="Hed Side 3 6 7 8" xfId="15833" xr:uid="{00000000-0005-0000-0000-000002450000}"/>
    <cellStyle name="Hed Side 3 6 7 8 2" xfId="15834" xr:uid="{00000000-0005-0000-0000-000003450000}"/>
    <cellStyle name="Hed Side 3 6 7 9" xfId="15835" xr:uid="{00000000-0005-0000-0000-000004450000}"/>
    <cellStyle name="Hed Side 3 6 7 9 2" xfId="15836" xr:uid="{00000000-0005-0000-0000-000005450000}"/>
    <cellStyle name="Hed Side 3 6 8" xfId="15837" xr:uid="{00000000-0005-0000-0000-000006450000}"/>
    <cellStyle name="Hed Side 3 6 8 10" xfId="15838" xr:uid="{00000000-0005-0000-0000-000007450000}"/>
    <cellStyle name="Hed Side 3 6 8 2" xfId="15839" xr:uid="{00000000-0005-0000-0000-000008450000}"/>
    <cellStyle name="Hed Side 3 6 8 2 2" xfId="15840" xr:uid="{00000000-0005-0000-0000-000009450000}"/>
    <cellStyle name="Hed Side 3 6 8 3" xfId="15841" xr:uid="{00000000-0005-0000-0000-00000A450000}"/>
    <cellStyle name="Hed Side 3 6 8 3 2" xfId="15842" xr:uid="{00000000-0005-0000-0000-00000B450000}"/>
    <cellStyle name="Hed Side 3 6 8 4" xfId="15843" xr:uid="{00000000-0005-0000-0000-00000C450000}"/>
    <cellStyle name="Hed Side 3 6 8 4 2" xfId="15844" xr:uid="{00000000-0005-0000-0000-00000D450000}"/>
    <cellStyle name="Hed Side 3 6 8 5" xfId="15845" xr:uid="{00000000-0005-0000-0000-00000E450000}"/>
    <cellStyle name="Hed Side 3 6 8 5 2" xfId="15846" xr:uid="{00000000-0005-0000-0000-00000F450000}"/>
    <cellStyle name="Hed Side 3 6 8 6" xfId="15847" xr:uid="{00000000-0005-0000-0000-000010450000}"/>
    <cellStyle name="Hed Side 3 6 8 6 2" xfId="15848" xr:uid="{00000000-0005-0000-0000-000011450000}"/>
    <cellStyle name="Hed Side 3 6 8 7" xfId="15849" xr:uid="{00000000-0005-0000-0000-000012450000}"/>
    <cellStyle name="Hed Side 3 6 8 7 2" xfId="15850" xr:uid="{00000000-0005-0000-0000-000013450000}"/>
    <cellStyle name="Hed Side 3 6 8 8" xfId="15851" xr:uid="{00000000-0005-0000-0000-000014450000}"/>
    <cellStyle name="Hed Side 3 6 8 8 2" xfId="15852" xr:uid="{00000000-0005-0000-0000-000015450000}"/>
    <cellStyle name="Hed Side 3 6 8 9" xfId="15853" xr:uid="{00000000-0005-0000-0000-000016450000}"/>
    <cellStyle name="Hed Side 3 6 8 9 2" xfId="15854" xr:uid="{00000000-0005-0000-0000-000017450000}"/>
    <cellStyle name="Hed Side 3 6 9" xfId="15855" xr:uid="{00000000-0005-0000-0000-000018450000}"/>
    <cellStyle name="Hed Side 3 6 9 10" xfId="15856" xr:uid="{00000000-0005-0000-0000-000019450000}"/>
    <cellStyle name="Hed Side 3 6 9 2" xfId="15857" xr:uid="{00000000-0005-0000-0000-00001A450000}"/>
    <cellStyle name="Hed Side 3 6 9 2 2" xfId="15858" xr:uid="{00000000-0005-0000-0000-00001B450000}"/>
    <cellStyle name="Hed Side 3 6 9 3" xfId="15859" xr:uid="{00000000-0005-0000-0000-00001C450000}"/>
    <cellStyle name="Hed Side 3 6 9 3 2" xfId="15860" xr:uid="{00000000-0005-0000-0000-00001D450000}"/>
    <cellStyle name="Hed Side 3 6 9 4" xfId="15861" xr:uid="{00000000-0005-0000-0000-00001E450000}"/>
    <cellStyle name="Hed Side 3 6 9 4 2" xfId="15862" xr:uid="{00000000-0005-0000-0000-00001F450000}"/>
    <cellStyle name="Hed Side 3 6 9 5" xfId="15863" xr:uid="{00000000-0005-0000-0000-000020450000}"/>
    <cellStyle name="Hed Side 3 6 9 5 2" xfId="15864" xr:uid="{00000000-0005-0000-0000-000021450000}"/>
    <cellStyle name="Hed Side 3 6 9 6" xfId="15865" xr:uid="{00000000-0005-0000-0000-000022450000}"/>
    <cellStyle name="Hed Side 3 6 9 6 2" xfId="15866" xr:uid="{00000000-0005-0000-0000-000023450000}"/>
    <cellStyle name="Hed Side 3 6 9 7" xfId="15867" xr:uid="{00000000-0005-0000-0000-000024450000}"/>
    <cellStyle name="Hed Side 3 6 9 7 2" xfId="15868" xr:uid="{00000000-0005-0000-0000-000025450000}"/>
    <cellStyle name="Hed Side 3 6 9 8" xfId="15869" xr:uid="{00000000-0005-0000-0000-000026450000}"/>
    <cellStyle name="Hed Side 3 6 9 8 2" xfId="15870" xr:uid="{00000000-0005-0000-0000-000027450000}"/>
    <cellStyle name="Hed Side 3 6 9 9" xfId="15871" xr:uid="{00000000-0005-0000-0000-000028450000}"/>
    <cellStyle name="Hed Side 3 6 9 9 2" xfId="15872" xr:uid="{00000000-0005-0000-0000-000029450000}"/>
    <cellStyle name="Hed Side 3 7" xfId="15873" xr:uid="{00000000-0005-0000-0000-00002A450000}"/>
    <cellStyle name="Hed Side 3 7 10" xfId="15874" xr:uid="{00000000-0005-0000-0000-00002B450000}"/>
    <cellStyle name="Hed Side 3 7 10 2" xfId="15875" xr:uid="{00000000-0005-0000-0000-00002C450000}"/>
    <cellStyle name="Hed Side 3 7 10 2 2" xfId="15876" xr:uid="{00000000-0005-0000-0000-00002D450000}"/>
    <cellStyle name="Hed Side 3 7 10 3" xfId="15877" xr:uid="{00000000-0005-0000-0000-00002E450000}"/>
    <cellStyle name="Hed Side 3 7 10 3 2" xfId="15878" xr:uid="{00000000-0005-0000-0000-00002F450000}"/>
    <cellStyle name="Hed Side 3 7 10 4" xfId="15879" xr:uid="{00000000-0005-0000-0000-000030450000}"/>
    <cellStyle name="Hed Side 3 7 10 4 2" xfId="15880" xr:uid="{00000000-0005-0000-0000-000031450000}"/>
    <cellStyle name="Hed Side 3 7 10 5" xfId="15881" xr:uid="{00000000-0005-0000-0000-000032450000}"/>
    <cellStyle name="Hed Side 3 7 10 5 2" xfId="15882" xr:uid="{00000000-0005-0000-0000-000033450000}"/>
    <cellStyle name="Hed Side 3 7 10 6" xfId="15883" xr:uid="{00000000-0005-0000-0000-000034450000}"/>
    <cellStyle name="Hed Side 3 7 10 6 2" xfId="15884" xr:uid="{00000000-0005-0000-0000-000035450000}"/>
    <cellStyle name="Hed Side 3 7 10 7" xfId="15885" xr:uid="{00000000-0005-0000-0000-000036450000}"/>
    <cellStyle name="Hed Side 3 7 10 7 2" xfId="15886" xr:uid="{00000000-0005-0000-0000-000037450000}"/>
    <cellStyle name="Hed Side 3 7 10 8" xfId="15887" xr:uid="{00000000-0005-0000-0000-000038450000}"/>
    <cellStyle name="Hed Side 3 7 10 8 2" xfId="15888" xr:uid="{00000000-0005-0000-0000-000039450000}"/>
    <cellStyle name="Hed Side 3 7 10 9" xfId="15889" xr:uid="{00000000-0005-0000-0000-00003A450000}"/>
    <cellStyle name="Hed Side 3 7 11" xfId="15890" xr:uid="{00000000-0005-0000-0000-00003B450000}"/>
    <cellStyle name="Hed Side 3 7 11 2" xfId="15891" xr:uid="{00000000-0005-0000-0000-00003C450000}"/>
    <cellStyle name="Hed Side 3 7 12" xfId="15892" xr:uid="{00000000-0005-0000-0000-00003D450000}"/>
    <cellStyle name="Hed Side 3 7 12 2" xfId="15893" xr:uid="{00000000-0005-0000-0000-00003E450000}"/>
    <cellStyle name="Hed Side 3 7 13" xfId="15894" xr:uid="{00000000-0005-0000-0000-00003F450000}"/>
    <cellStyle name="Hed Side 3 7 13 2" xfId="15895" xr:uid="{00000000-0005-0000-0000-000040450000}"/>
    <cellStyle name="Hed Side 3 7 14" xfId="15896" xr:uid="{00000000-0005-0000-0000-000041450000}"/>
    <cellStyle name="Hed Side 3 7 14 2" xfId="15897" xr:uid="{00000000-0005-0000-0000-000042450000}"/>
    <cellStyle name="Hed Side 3 7 15" xfId="15898" xr:uid="{00000000-0005-0000-0000-000043450000}"/>
    <cellStyle name="Hed Side 3 7 15 2" xfId="15899" xr:uid="{00000000-0005-0000-0000-000044450000}"/>
    <cellStyle name="Hed Side 3 7 16" xfId="15900" xr:uid="{00000000-0005-0000-0000-000045450000}"/>
    <cellStyle name="Hed Side 3 7 16 2" xfId="15901" xr:uid="{00000000-0005-0000-0000-000046450000}"/>
    <cellStyle name="Hed Side 3 7 17" xfId="15902" xr:uid="{00000000-0005-0000-0000-000047450000}"/>
    <cellStyle name="Hed Side 3 7 17 2" xfId="15903" xr:uid="{00000000-0005-0000-0000-000048450000}"/>
    <cellStyle name="Hed Side 3 7 18" xfId="15904" xr:uid="{00000000-0005-0000-0000-000049450000}"/>
    <cellStyle name="Hed Side 3 7 2" xfId="15905" xr:uid="{00000000-0005-0000-0000-00004A450000}"/>
    <cellStyle name="Hed Side 3 7 2 10" xfId="15906" xr:uid="{00000000-0005-0000-0000-00004B450000}"/>
    <cellStyle name="Hed Side 3 7 2 2" xfId="15907" xr:uid="{00000000-0005-0000-0000-00004C450000}"/>
    <cellStyle name="Hed Side 3 7 2 2 2" xfId="15908" xr:uid="{00000000-0005-0000-0000-00004D450000}"/>
    <cellStyle name="Hed Side 3 7 2 3" xfId="15909" xr:uid="{00000000-0005-0000-0000-00004E450000}"/>
    <cellStyle name="Hed Side 3 7 2 3 2" xfId="15910" xr:uid="{00000000-0005-0000-0000-00004F450000}"/>
    <cellStyle name="Hed Side 3 7 2 4" xfId="15911" xr:uid="{00000000-0005-0000-0000-000050450000}"/>
    <cellStyle name="Hed Side 3 7 2 4 2" xfId="15912" xr:uid="{00000000-0005-0000-0000-000051450000}"/>
    <cellStyle name="Hed Side 3 7 2 5" xfId="15913" xr:uid="{00000000-0005-0000-0000-000052450000}"/>
    <cellStyle name="Hed Side 3 7 2 5 2" xfId="15914" xr:uid="{00000000-0005-0000-0000-000053450000}"/>
    <cellStyle name="Hed Side 3 7 2 6" xfId="15915" xr:uid="{00000000-0005-0000-0000-000054450000}"/>
    <cellStyle name="Hed Side 3 7 2 6 2" xfId="15916" xr:uid="{00000000-0005-0000-0000-000055450000}"/>
    <cellStyle name="Hed Side 3 7 2 7" xfId="15917" xr:uid="{00000000-0005-0000-0000-000056450000}"/>
    <cellStyle name="Hed Side 3 7 2 7 2" xfId="15918" xr:uid="{00000000-0005-0000-0000-000057450000}"/>
    <cellStyle name="Hed Side 3 7 2 8" xfId="15919" xr:uid="{00000000-0005-0000-0000-000058450000}"/>
    <cellStyle name="Hed Side 3 7 2 8 2" xfId="15920" xr:uid="{00000000-0005-0000-0000-000059450000}"/>
    <cellStyle name="Hed Side 3 7 2 9" xfId="15921" xr:uid="{00000000-0005-0000-0000-00005A450000}"/>
    <cellStyle name="Hed Side 3 7 2 9 2" xfId="15922" xr:uid="{00000000-0005-0000-0000-00005B450000}"/>
    <cellStyle name="Hed Side 3 7 3" xfId="15923" xr:uid="{00000000-0005-0000-0000-00005C450000}"/>
    <cellStyle name="Hed Side 3 7 3 10" xfId="15924" xr:uid="{00000000-0005-0000-0000-00005D450000}"/>
    <cellStyle name="Hed Side 3 7 3 2" xfId="15925" xr:uid="{00000000-0005-0000-0000-00005E450000}"/>
    <cellStyle name="Hed Side 3 7 3 2 2" xfId="15926" xr:uid="{00000000-0005-0000-0000-00005F450000}"/>
    <cellStyle name="Hed Side 3 7 3 3" xfId="15927" xr:uid="{00000000-0005-0000-0000-000060450000}"/>
    <cellStyle name="Hed Side 3 7 3 3 2" xfId="15928" xr:uid="{00000000-0005-0000-0000-000061450000}"/>
    <cellStyle name="Hed Side 3 7 3 4" xfId="15929" xr:uid="{00000000-0005-0000-0000-000062450000}"/>
    <cellStyle name="Hed Side 3 7 3 4 2" xfId="15930" xr:uid="{00000000-0005-0000-0000-000063450000}"/>
    <cellStyle name="Hed Side 3 7 3 5" xfId="15931" xr:uid="{00000000-0005-0000-0000-000064450000}"/>
    <cellStyle name="Hed Side 3 7 3 5 2" xfId="15932" xr:uid="{00000000-0005-0000-0000-000065450000}"/>
    <cellStyle name="Hed Side 3 7 3 6" xfId="15933" xr:uid="{00000000-0005-0000-0000-000066450000}"/>
    <cellStyle name="Hed Side 3 7 3 6 2" xfId="15934" xr:uid="{00000000-0005-0000-0000-000067450000}"/>
    <cellStyle name="Hed Side 3 7 3 7" xfId="15935" xr:uid="{00000000-0005-0000-0000-000068450000}"/>
    <cellStyle name="Hed Side 3 7 3 7 2" xfId="15936" xr:uid="{00000000-0005-0000-0000-000069450000}"/>
    <cellStyle name="Hed Side 3 7 3 8" xfId="15937" xr:uid="{00000000-0005-0000-0000-00006A450000}"/>
    <cellStyle name="Hed Side 3 7 3 8 2" xfId="15938" xr:uid="{00000000-0005-0000-0000-00006B450000}"/>
    <cellStyle name="Hed Side 3 7 3 9" xfId="15939" xr:uid="{00000000-0005-0000-0000-00006C450000}"/>
    <cellStyle name="Hed Side 3 7 3 9 2" xfId="15940" xr:uid="{00000000-0005-0000-0000-00006D450000}"/>
    <cellStyle name="Hed Side 3 7 4" xfId="15941" xr:uid="{00000000-0005-0000-0000-00006E450000}"/>
    <cellStyle name="Hed Side 3 7 4 10" xfId="15942" xr:uid="{00000000-0005-0000-0000-00006F450000}"/>
    <cellStyle name="Hed Side 3 7 4 2" xfId="15943" xr:uid="{00000000-0005-0000-0000-000070450000}"/>
    <cellStyle name="Hed Side 3 7 4 2 2" xfId="15944" xr:uid="{00000000-0005-0000-0000-000071450000}"/>
    <cellStyle name="Hed Side 3 7 4 3" xfId="15945" xr:uid="{00000000-0005-0000-0000-000072450000}"/>
    <cellStyle name="Hed Side 3 7 4 3 2" xfId="15946" xr:uid="{00000000-0005-0000-0000-000073450000}"/>
    <cellStyle name="Hed Side 3 7 4 4" xfId="15947" xr:uid="{00000000-0005-0000-0000-000074450000}"/>
    <cellStyle name="Hed Side 3 7 4 4 2" xfId="15948" xr:uid="{00000000-0005-0000-0000-000075450000}"/>
    <cellStyle name="Hed Side 3 7 4 5" xfId="15949" xr:uid="{00000000-0005-0000-0000-000076450000}"/>
    <cellStyle name="Hed Side 3 7 4 5 2" xfId="15950" xr:uid="{00000000-0005-0000-0000-000077450000}"/>
    <cellStyle name="Hed Side 3 7 4 6" xfId="15951" xr:uid="{00000000-0005-0000-0000-000078450000}"/>
    <cellStyle name="Hed Side 3 7 4 6 2" xfId="15952" xr:uid="{00000000-0005-0000-0000-000079450000}"/>
    <cellStyle name="Hed Side 3 7 4 7" xfId="15953" xr:uid="{00000000-0005-0000-0000-00007A450000}"/>
    <cellStyle name="Hed Side 3 7 4 7 2" xfId="15954" xr:uid="{00000000-0005-0000-0000-00007B450000}"/>
    <cellStyle name="Hed Side 3 7 4 8" xfId="15955" xr:uid="{00000000-0005-0000-0000-00007C450000}"/>
    <cellStyle name="Hed Side 3 7 4 8 2" xfId="15956" xr:uid="{00000000-0005-0000-0000-00007D450000}"/>
    <cellStyle name="Hed Side 3 7 4 9" xfId="15957" xr:uid="{00000000-0005-0000-0000-00007E450000}"/>
    <cellStyle name="Hed Side 3 7 4 9 2" xfId="15958" xr:uid="{00000000-0005-0000-0000-00007F450000}"/>
    <cellStyle name="Hed Side 3 7 5" xfId="15959" xr:uid="{00000000-0005-0000-0000-000080450000}"/>
    <cellStyle name="Hed Side 3 7 5 10" xfId="15960" xr:uid="{00000000-0005-0000-0000-000081450000}"/>
    <cellStyle name="Hed Side 3 7 5 2" xfId="15961" xr:uid="{00000000-0005-0000-0000-000082450000}"/>
    <cellStyle name="Hed Side 3 7 5 2 2" xfId="15962" xr:uid="{00000000-0005-0000-0000-000083450000}"/>
    <cellStyle name="Hed Side 3 7 5 3" xfId="15963" xr:uid="{00000000-0005-0000-0000-000084450000}"/>
    <cellStyle name="Hed Side 3 7 5 3 2" xfId="15964" xr:uid="{00000000-0005-0000-0000-000085450000}"/>
    <cellStyle name="Hed Side 3 7 5 4" xfId="15965" xr:uid="{00000000-0005-0000-0000-000086450000}"/>
    <cellStyle name="Hed Side 3 7 5 4 2" xfId="15966" xr:uid="{00000000-0005-0000-0000-000087450000}"/>
    <cellStyle name="Hed Side 3 7 5 5" xfId="15967" xr:uid="{00000000-0005-0000-0000-000088450000}"/>
    <cellStyle name="Hed Side 3 7 5 5 2" xfId="15968" xr:uid="{00000000-0005-0000-0000-000089450000}"/>
    <cellStyle name="Hed Side 3 7 5 6" xfId="15969" xr:uid="{00000000-0005-0000-0000-00008A450000}"/>
    <cellStyle name="Hed Side 3 7 5 6 2" xfId="15970" xr:uid="{00000000-0005-0000-0000-00008B450000}"/>
    <cellStyle name="Hed Side 3 7 5 7" xfId="15971" xr:uid="{00000000-0005-0000-0000-00008C450000}"/>
    <cellStyle name="Hed Side 3 7 5 7 2" xfId="15972" xr:uid="{00000000-0005-0000-0000-00008D450000}"/>
    <cellStyle name="Hed Side 3 7 5 8" xfId="15973" xr:uid="{00000000-0005-0000-0000-00008E450000}"/>
    <cellStyle name="Hed Side 3 7 5 8 2" xfId="15974" xr:uid="{00000000-0005-0000-0000-00008F450000}"/>
    <cellStyle name="Hed Side 3 7 5 9" xfId="15975" xr:uid="{00000000-0005-0000-0000-000090450000}"/>
    <cellStyle name="Hed Side 3 7 5 9 2" xfId="15976" xr:uid="{00000000-0005-0000-0000-000091450000}"/>
    <cellStyle name="Hed Side 3 7 6" xfId="15977" xr:uid="{00000000-0005-0000-0000-000092450000}"/>
    <cellStyle name="Hed Side 3 7 6 10" xfId="15978" xr:uid="{00000000-0005-0000-0000-000093450000}"/>
    <cellStyle name="Hed Side 3 7 6 2" xfId="15979" xr:uid="{00000000-0005-0000-0000-000094450000}"/>
    <cellStyle name="Hed Side 3 7 6 2 2" xfId="15980" xr:uid="{00000000-0005-0000-0000-000095450000}"/>
    <cellStyle name="Hed Side 3 7 6 3" xfId="15981" xr:uid="{00000000-0005-0000-0000-000096450000}"/>
    <cellStyle name="Hed Side 3 7 6 3 2" xfId="15982" xr:uid="{00000000-0005-0000-0000-000097450000}"/>
    <cellStyle name="Hed Side 3 7 6 4" xfId="15983" xr:uid="{00000000-0005-0000-0000-000098450000}"/>
    <cellStyle name="Hed Side 3 7 6 4 2" xfId="15984" xr:uid="{00000000-0005-0000-0000-000099450000}"/>
    <cellStyle name="Hed Side 3 7 6 5" xfId="15985" xr:uid="{00000000-0005-0000-0000-00009A450000}"/>
    <cellStyle name="Hed Side 3 7 6 5 2" xfId="15986" xr:uid="{00000000-0005-0000-0000-00009B450000}"/>
    <cellStyle name="Hed Side 3 7 6 6" xfId="15987" xr:uid="{00000000-0005-0000-0000-00009C450000}"/>
    <cellStyle name="Hed Side 3 7 6 6 2" xfId="15988" xr:uid="{00000000-0005-0000-0000-00009D450000}"/>
    <cellStyle name="Hed Side 3 7 6 7" xfId="15989" xr:uid="{00000000-0005-0000-0000-00009E450000}"/>
    <cellStyle name="Hed Side 3 7 6 7 2" xfId="15990" xr:uid="{00000000-0005-0000-0000-00009F450000}"/>
    <cellStyle name="Hed Side 3 7 6 8" xfId="15991" xr:uid="{00000000-0005-0000-0000-0000A0450000}"/>
    <cellStyle name="Hed Side 3 7 6 8 2" xfId="15992" xr:uid="{00000000-0005-0000-0000-0000A1450000}"/>
    <cellStyle name="Hed Side 3 7 6 9" xfId="15993" xr:uid="{00000000-0005-0000-0000-0000A2450000}"/>
    <cellStyle name="Hed Side 3 7 6 9 2" xfId="15994" xr:uid="{00000000-0005-0000-0000-0000A3450000}"/>
    <cellStyle name="Hed Side 3 7 7" xfId="15995" xr:uid="{00000000-0005-0000-0000-0000A4450000}"/>
    <cellStyle name="Hed Side 3 7 7 10" xfId="15996" xr:uid="{00000000-0005-0000-0000-0000A5450000}"/>
    <cellStyle name="Hed Side 3 7 7 2" xfId="15997" xr:uid="{00000000-0005-0000-0000-0000A6450000}"/>
    <cellStyle name="Hed Side 3 7 7 2 2" xfId="15998" xr:uid="{00000000-0005-0000-0000-0000A7450000}"/>
    <cellStyle name="Hed Side 3 7 7 3" xfId="15999" xr:uid="{00000000-0005-0000-0000-0000A8450000}"/>
    <cellStyle name="Hed Side 3 7 7 3 2" xfId="16000" xr:uid="{00000000-0005-0000-0000-0000A9450000}"/>
    <cellStyle name="Hed Side 3 7 7 4" xfId="16001" xr:uid="{00000000-0005-0000-0000-0000AA450000}"/>
    <cellStyle name="Hed Side 3 7 7 4 2" xfId="16002" xr:uid="{00000000-0005-0000-0000-0000AB450000}"/>
    <cellStyle name="Hed Side 3 7 7 5" xfId="16003" xr:uid="{00000000-0005-0000-0000-0000AC450000}"/>
    <cellStyle name="Hed Side 3 7 7 5 2" xfId="16004" xr:uid="{00000000-0005-0000-0000-0000AD450000}"/>
    <cellStyle name="Hed Side 3 7 7 6" xfId="16005" xr:uid="{00000000-0005-0000-0000-0000AE450000}"/>
    <cellStyle name="Hed Side 3 7 7 6 2" xfId="16006" xr:uid="{00000000-0005-0000-0000-0000AF450000}"/>
    <cellStyle name="Hed Side 3 7 7 7" xfId="16007" xr:uid="{00000000-0005-0000-0000-0000B0450000}"/>
    <cellStyle name="Hed Side 3 7 7 7 2" xfId="16008" xr:uid="{00000000-0005-0000-0000-0000B1450000}"/>
    <cellStyle name="Hed Side 3 7 7 8" xfId="16009" xr:uid="{00000000-0005-0000-0000-0000B2450000}"/>
    <cellStyle name="Hed Side 3 7 7 8 2" xfId="16010" xr:uid="{00000000-0005-0000-0000-0000B3450000}"/>
    <cellStyle name="Hed Side 3 7 7 9" xfId="16011" xr:uid="{00000000-0005-0000-0000-0000B4450000}"/>
    <cellStyle name="Hed Side 3 7 7 9 2" xfId="16012" xr:uid="{00000000-0005-0000-0000-0000B5450000}"/>
    <cellStyle name="Hed Side 3 7 8" xfId="16013" xr:uid="{00000000-0005-0000-0000-0000B6450000}"/>
    <cellStyle name="Hed Side 3 7 8 10" xfId="16014" xr:uid="{00000000-0005-0000-0000-0000B7450000}"/>
    <cellStyle name="Hed Side 3 7 8 2" xfId="16015" xr:uid="{00000000-0005-0000-0000-0000B8450000}"/>
    <cellStyle name="Hed Side 3 7 8 2 2" xfId="16016" xr:uid="{00000000-0005-0000-0000-0000B9450000}"/>
    <cellStyle name="Hed Side 3 7 8 3" xfId="16017" xr:uid="{00000000-0005-0000-0000-0000BA450000}"/>
    <cellStyle name="Hed Side 3 7 8 3 2" xfId="16018" xr:uid="{00000000-0005-0000-0000-0000BB450000}"/>
    <cellStyle name="Hed Side 3 7 8 4" xfId="16019" xr:uid="{00000000-0005-0000-0000-0000BC450000}"/>
    <cellStyle name="Hed Side 3 7 8 4 2" xfId="16020" xr:uid="{00000000-0005-0000-0000-0000BD450000}"/>
    <cellStyle name="Hed Side 3 7 8 5" xfId="16021" xr:uid="{00000000-0005-0000-0000-0000BE450000}"/>
    <cellStyle name="Hed Side 3 7 8 5 2" xfId="16022" xr:uid="{00000000-0005-0000-0000-0000BF450000}"/>
    <cellStyle name="Hed Side 3 7 8 6" xfId="16023" xr:uid="{00000000-0005-0000-0000-0000C0450000}"/>
    <cellStyle name="Hed Side 3 7 8 6 2" xfId="16024" xr:uid="{00000000-0005-0000-0000-0000C1450000}"/>
    <cellStyle name="Hed Side 3 7 8 7" xfId="16025" xr:uid="{00000000-0005-0000-0000-0000C2450000}"/>
    <cellStyle name="Hed Side 3 7 8 7 2" xfId="16026" xr:uid="{00000000-0005-0000-0000-0000C3450000}"/>
    <cellStyle name="Hed Side 3 7 8 8" xfId="16027" xr:uid="{00000000-0005-0000-0000-0000C4450000}"/>
    <cellStyle name="Hed Side 3 7 8 8 2" xfId="16028" xr:uid="{00000000-0005-0000-0000-0000C5450000}"/>
    <cellStyle name="Hed Side 3 7 8 9" xfId="16029" xr:uid="{00000000-0005-0000-0000-0000C6450000}"/>
    <cellStyle name="Hed Side 3 7 8 9 2" xfId="16030" xr:uid="{00000000-0005-0000-0000-0000C7450000}"/>
    <cellStyle name="Hed Side 3 7 9" xfId="16031" xr:uid="{00000000-0005-0000-0000-0000C8450000}"/>
    <cellStyle name="Hed Side 3 7 9 10" xfId="16032" xr:uid="{00000000-0005-0000-0000-0000C9450000}"/>
    <cellStyle name="Hed Side 3 7 9 2" xfId="16033" xr:uid="{00000000-0005-0000-0000-0000CA450000}"/>
    <cellStyle name="Hed Side 3 7 9 2 2" xfId="16034" xr:uid="{00000000-0005-0000-0000-0000CB450000}"/>
    <cellStyle name="Hed Side 3 7 9 3" xfId="16035" xr:uid="{00000000-0005-0000-0000-0000CC450000}"/>
    <cellStyle name="Hed Side 3 7 9 3 2" xfId="16036" xr:uid="{00000000-0005-0000-0000-0000CD450000}"/>
    <cellStyle name="Hed Side 3 7 9 4" xfId="16037" xr:uid="{00000000-0005-0000-0000-0000CE450000}"/>
    <cellStyle name="Hed Side 3 7 9 4 2" xfId="16038" xr:uid="{00000000-0005-0000-0000-0000CF450000}"/>
    <cellStyle name="Hed Side 3 7 9 5" xfId="16039" xr:uid="{00000000-0005-0000-0000-0000D0450000}"/>
    <cellStyle name="Hed Side 3 7 9 5 2" xfId="16040" xr:uid="{00000000-0005-0000-0000-0000D1450000}"/>
    <cellStyle name="Hed Side 3 7 9 6" xfId="16041" xr:uid="{00000000-0005-0000-0000-0000D2450000}"/>
    <cellStyle name="Hed Side 3 7 9 6 2" xfId="16042" xr:uid="{00000000-0005-0000-0000-0000D3450000}"/>
    <cellStyle name="Hed Side 3 7 9 7" xfId="16043" xr:uid="{00000000-0005-0000-0000-0000D4450000}"/>
    <cellStyle name="Hed Side 3 7 9 7 2" xfId="16044" xr:uid="{00000000-0005-0000-0000-0000D5450000}"/>
    <cellStyle name="Hed Side 3 7 9 8" xfId="16045" xr:uid="{00000000-0005-0000-0000-0000D6450000}"/>
    <cellStyle name="Hed Side 3 7 9 8 2" xfId="16046" xr:uid="{00000000-0005-0000-0000-0000D7450000}"/>
    <cellStyle name="Hed Side 3 7 9 9" xfId="16047" xr:uid="{00000000-0005-0000-0000-0000D8450000}"/>
    <cellStyle name="Hed Side 3 7 9 9 2" xfId="16048" xr:uid="{00000000-0005-0000-0000-0000D9450000}"/>
    <cellStyle name="Hed Side 3 8" xfId="16049" xr:uid="{00000000-0005-0000-0000-0000DA450000}"/>
    <cellStyle name="Hed Side 3 8 10" xfId="16050" xr:uid="{00000000-0005-0000-0000-0000DB450000}"/>
    <cellStyle name="Hed Side 3 8 10 2" xfId="16051" xr:uid="{00000000-0005-0000-0000-0000DC450000}"/>
    <cellStyle name="Hed Side 3 8 10 2 2" xfId="16052" xr:uid="{00000000-0005-0000-0000-0000DD450000}"/>
    <cellStyle name="Hed Side 3 8 10 3" xfId="16053" xr:uid="{00000000-0005-0000-0000-0000DE450000}"/>
    <cellStyle name="Hed Side 3 8 10 3 2" xfId="16054" xr:uid="{00000000-0005-0000-0000-0000DF450000}"/>
    <cellStyle name="Hed Side 3 8 10 4" xfId="16055" xr:uid="{00000000-0005-0000-0000-0000E0450000}"/>
    <cellStyle name="Hed Side 3 8 10 4 2" xfId="16056" xr:uid="{00000000-0005-0000-0000-0000E1450000}"/>
    <cellStyle name="Hed Side 3 8 10 5" xfId="16057" xr:uid="{00000000-0005-0000-0000-0000E2450000}"/>
    <cellStyle name="Hed Side 3 8 10 5 2" xfId="16058" xr:uid="{00000000-0005-0000-0000-0000E3450000}"/>
    <cellStyle name="Hed Side 3 8 10 6" xfId="16059" xr:uid="{00000000-0005-0000-0000-0000E4450000}"/>
    <cellStyle name="Hed Side 3 8 10 6 2" xfId="16060" xr:uid="{00000000-0005-0000-0000-0000E5450000}"/>
    <cellStyle name="Hed Side 3 8 10 7" xfId="16061" xr:uid="{00000000-0005-0000-0000-0000E6450000}"/>
    <cellStyle name="Hed Side 3 8 10 7 2" xfId="16062" xr:uid="{00000000-0005-0000-0000-0000E7450000}"/>
    <cellStyle name="Hed Side 3 8 10 8" xfId="16063" xr:uid="{00000000-0005-0000-0000-0000E8450000}"/>
    <cellStyle name="Hed Side 3 8 10 8 2" xfId="16064" xr:uid="{00000000-0005-0000-0000-0000E9450000}"/>
    <cellStyle name="Hed Side 3 8 10 9" xfId="16065" xr:uid="{00000000-0005-0000-0000-0000EA450000}"/>
    <cellStyle name="Hed Side 3 8 11" xfId="16066" xr:uid="{00000000-0005-0000-0000-0000EB450000}"/>
    <cellStyle name="Hed Side 3 8 11 2" xfId="16067" xr:uid="{00000000-0005-0000-0000-0000EC450000}"/>
    <cellStyle name="Hed Side 3 8 12" xfId="16068" xr:uid="{00000000-0005-0000-0000-0000ED450000}"/>
    <cellStyle name="Hed Side 3 8 12 2" xfId="16069" xr:uid="{00000000-0005-0000-0000-0000EE450000}"/>
    <cellStyle name="Hed Side 3 8 13" xfId="16070" xr:uid="{00000000-0005-0000-0000-0000EF450000}"/>
    <cellStyle name="Hed Side 3 8 13 2" xfId="16071" xr:uid="{00000000-0005-0000-0000-0000F0450000}"/>
    <cellStyle name="Hed Side 3 8 14" xfId="16072" xr:uid="{00000000-0005-0000-0000-0000F1450000}"/>
    <cellStyle name="Hed Side 3 8 14 2" xfId="16073" xr:uid="{00000000-0005-0000-0000-0000F2450000}"/>
    <cellStyle name="Hed Side 3 8 15" xfId="16074" xr:uid="{00000000-0005-0000-0000-0000F3450000}"/>
    <cellStyle name="Hed Side 3 8 15 2" xfId="16075" xr:uid="{00000000-0005-0000-0000-0000F4450000}"/>
    <cellStyle name="Hed Side 3 8 16" xfId="16076" xr:uid="{00000000-0005-0000-0000-0000F5450000}"/>
    <cellStyle name="Hed Side 3 8 16 2" xfId="16077" xr:uid="{00000000-0005-0000-0000-0000F6450000}"/>
    <cellStyle name="Hed Side 3 8 17" xfId="16078" xr:uid="{00000000-0005-0000-0000-0000F7450000}"/>
    <cellStyle name="Hed Side 3 8 17 2" xfId="16079" xr:uid="{00000000-0005-0000-0000-0000F8450000}"/>
    <cellStyle name="Hed Side 3 8 18" xfId="16080" xr:uid="{00000000-0005-0000-0000-0000F9450000}"/>
    <cellStyle name="Hed Side 3 8 2" xfId="16081" xr:uid="{00000000-0005-0000-0000-0000FA450000}"/>
    <cellStyle name="Hed Side 3 8 2 10" xfId="16082" xr:uid="{00000000-0005-0000-0000-0000FB450000}"/>
    <cellStyle name="Hed Side 3 8 2 2" xfId="16083" xr:uid="{00000000-0005-0000-0000-0000FC450000}"/>
    <cellStyle name="Hed Side 3 8 2 2 2" xfId="16084" xr:uid="{00000000-0005-0000-0000-0000FD450000}"/>
    <cellStyle name="Hed Side 3 8 2 3" xfId="16085" xr:uid="{00000000-0005-0000-0000-0000FE450000}"/>
    <cellStyle name="Hed Side 3 8 2 3 2" xfId="16086" xr:uid="{00000000-0005-0000-0000-0000FF450000}"/>
    <cellStyle name="Hed Side 3 8 2 4" xfId="16087" xr:uid="{00000000-0005-0000-0000-000000460000}"/>
    <cellStyle name="Hed Side 3 8 2 4 2" xfId="16088" xr:uid="{00000000-0005-0000-0000-000001460000}"/>
    <cellStyle name="Hed Side 3 8 2 5" xfId="16089" xr:uid="{00000000-0005-0000-0000-000002460000}"/>
    <cellStyle name="Hed Side 3 8 2 5 2" xfId="16090" xr:uid="{00000000-0005-0000-0000-000003460000}"/>
    <cellStyle name="Hed Side 3 8 2 6" xfId="16091" xr:uid="{00000000-0005-0000-0000-000004460000}"/>
    <cellStyle name="Hed Side 3 8 2 6 2" xfId="16092" xr:uid="{00000000-0005-0000-0000-000005460000}"/>
    <cellStyle name="Hed Side 3 8 2 7" xfId="16093" xr:uid="{00000000-0005-0000-0000-000006460000}"/>
    <cellStyle name="Hed Side 3 8 2 7 2" xfId="16094" xr:uid="{00000000-0005-0000-0000-000007460000}"/>
    <cellStyle name="Hed Side 3 8 2 8" xfId="16095" xr:uid="{00000000-0005-0000-0000-000008460000}"/>
    <cellStyle name="Hed Side 3 8 2 8 2" xfId="16096" xr:uid="{00000000-0005-0000-0000-000009460000}"/>
    <cellStyle name="Hed Side 3 8 2 9" xfId="16097" xr:uid="{00000000-0005-0000-0000-00000A460000}"/>
    <cellStyle name="Hed Side 3 8 2 9 2" xfId="16098" xr:uid="{00000000-0005-0000-0000-00000B460000}"/>
    <cellStyle name="Hed Side 3 8 3" xfId="16099" xr:uid="{00000000-0005-0000-0000-00000C460000}"/>
    <cellStyle name="Hed Side 3 8 3 10" xfId="16100" xr:uid="{00000000-0005-0000-0000-00000D460000}"/>
    <cellStyle name="Hed Side 3 8 3 2" xfId="16101" xr:uid="{00000000-0005-0000-0000-00000E460000}"/>
    <cellStyle name="Hed Side 3 8 3 2 2" xfId="16102" xr:uid="{00000000-0005-0000-0000-00000F460000}"/>
    <cellStyle name="Hed Side 3 8 3 3" xfId="16103" xr:uid="{00000000-0005-0000-0000-000010460000}"/>
    <cellStyle name="Hed Side 3 8 3 3 2" xfId="16104" xr:uid="{00000000-0005-0000-0000-000011460000}"/>
    <cellStyle name="Hed Side 3 8 3 4" xfId="16105" xr:uid="{00000000-0005-0000-0000-000012460000}"/>
    <cellStyle name="Hed Side 3 8 3 4 2" xfId="16106" xr:uid="{00000000-0005-0000-0000-000013460000}"/>
    <cellStyle name="Hed Side 3 8 3 5" xfId="16107" xr:uid="{00000000-0005-0000-0000-000014460000}"/>
    <cellStyle name="Hed Side 3 8 3 5 2" xfId="16108" xr:uid="{00000000-0005-0000-0000-000015460000}"/>
    <cellStyle name="Hed Side 3 8 3 6" xfId="16109" xr:uid="{00000000-0005-0000-0000-000016460000}"/>
    <cellStyle name="Hed Side 3 8 3 6 2" xfId="16110" xr:uid="{00000000-0005-0000-0000-000017460000}"/>
    <cellStyle name="Hed Side 3 8 3 7" xfId="16111" xr:uid="{00000000-0005-0000-0000-000018460000}"/>
    <cellStyle name="Hed Side 3 8 3 7 2" xfId="16112" xr:uid="{00000000-0005-0000-0000-000019460000}"/>
    <cellStyle name="Hed Side 3 8 3 8" xfId="16113" xr:uid="{00000000-0005-0000-0000-00001A460000}"/>
    <cellStyle name="Hed Side 3 8 3 8 2" xfId="16114" xr:uid="{00000000-0005-0000-0000-00001B460000}"/>
    <cellStyle name="Hed Side 3 8 3 9" xfId="16115" xr:uid="{00000000-0005-0000-0000-00001C460000}"/>
    <cellStyle name="Hed Side 3 8 3 9 2" xfId="16116" xr:uid="{00000000-0005-0000-0000-00001D460000}"/>
    <cellStyle name="Hed Side 3 8 4" xfId="16117" xr:uid="{00000000-0005-0000-0000-00001E460000}"/>
    <cellStyle name="Hed Side 3 8 4 10" xfId="16118" xr:uid="{00000000-0005-0000-0000-00001F460000}"/>
    <cellStyle name="Hed Side 3 8 4 2" xfId="16119" xr:uid="{00000000-0005-0000-0000-000020460000}"/>
    <cellStyle name="Hed Side 3 8 4 2 2" xfId="16120" xr:uid="{00000000-0005-0000-0000-000021460000}"/>
    <cellStyle name="Hed Side 3 8 4 3" xfId="16121" xr:uid="{00000000-0005-0000-0000-000022460000}"/>
    <cellStyle name="Hed Side 3 8 4 3 2" xfId="16122" xr:uid="{00000000-0005-0000-0000-000023460000}"/>
    <cellStyle name="Hed Side 3 8 4 4" xfId="16123" xr:uid="{00000000-0005-0000-0000-000024460000}"/>
    <cellStyle name="Hed Side 3 8 4 4 2" xfId="16124" xr:uid="{00000000-0005-0000-0000-000025460000}"/>
    <cellStyle name="Hed Side 3 8 4 5" xfId="16125" xr:uid="{00000000-0005-0000-0000-000026460000}"/>
    <cellStyle name="Hed Side 3 8 4 5 2" xfId="16126" xr:uid="{00000000-0005-0000-0000-000027460000}"/>
    <cellStyle name="Hed Side 3 8 4 6" xfId="16127" xr:uid="{00000000-0005-0000-0000-000028460000}"/>
    <cellStyle name="Hed Side 3 8 4 6 2" xfId="16128" xr:uid="{00000000-0005-0000-0000-000029460000}"/>
    <cellStyle name="Hed Side 3 8 4 7" xfId="16129" xr:uid="{00000000-0005-0000-0000-00002A460000}"/>
    <cellStyle name="Hed Side 3 8 4 7 2" xfId="16130" xr:uid="{00000000-0005-0000-0000-00002B460000}"/>
    <cellStyle name="Hed Side 3 8 4 8" xfId="16131" xr:uid="{00000000-0005-0000-0000-00002C460000}"/>
    <cellStyle name="Hed Side 3 8 4 8 2" xfId="16132" xr:uid="{00000000-0005-0000-0000-00002D460000}"/>
    <cellStyle name="Hed Side 3 8 4 9" xfId="16133" xr:uid="{00000000-0005-0000-0000-00002E460000}"/>
    <cellStyle name="Hed Side 3 8 4 9 2" xfId="16134" xr:uid="{00000000-0005-0000-0000-00002F460000}"/>
    <cellStyle name="Hed Side 3 8 5" xfId="16135" xr:uid="{00000000-0005-0000-0000-000030460000}"/>
    <cellStyle name="Hed Side 3 8 5 10" xfId="16136" xr:uid="{00000000-0005-0000-0000-000031460000}"/>
    <cellStyle name="Hed Side 3 8 5 2" xfId="16137" xr:uid="{00000000-0005-0000-0000-000032460000}"/>
    <cellStyle name="Hed Side 3 8 5 2 2" xfId="16138" xr:uid="{00000000-0005-0000-0000-000033460000}"/>
    <cellStyle name="Hed Side 3 8 5 3" xfId="16139" xr:uid="{00000000-0005-0000-0000-000034460000}"/>
    <cellStyle name="Hed Side 3 8 5 3 2" xfId="16140" xr:uid="{00000000-0005-0000-0000-000035460000}"/>
    <cellStyle name="Hed Side 3 8 5 4" xfId="16141" xr:uid="{00000000-0005-0000-0000-000036460000}"/>
    <cellStyle name="Hed Side 3 8 5 4 2" xfId="16142" xr:uid="{00000000-0005-0000-0000-000037460000}"/>
    <cellStyle name="Hed Side 3 8 5 5" xfId="16143" xr:uid="{00000000-0005-0000-0000-000038460000}"/>
    <cellStyle name="Hed Side 3 8 5 5 2" xfId="16144" xr:uid="{00000000-0005-0000-0000-000039460000}"/>
    <cellStyle name="Hed Side 3 8 5 6" xfId="16145" xr:uid="{00000000-0005-0000-0000-00003A460000}"/>
    <cellStyle name="Hed Side 3 8 5 6 2" xfId="16146" xr:uid="{00000000-0005-0000-0000-00003B460000}"/>
    <cellStyle name="Hed Side 3 8 5 7" xfId="16147" xr:uid="{00000000-0005-0000-0000-00003C460000}"/>
    <cellStyle name="Hed Side 3 8 5 7 2" xfId="16148" xr:uid="{00000000-0005-0000-0000-00003D460000}"/>
    <cellStyle name="Hed Side 3 8 5 8" xfId="16149" xr:uid="{00000000-0005-0000-0000-00003E460000}"/>
    <cellStyle name="Hed Side 3 8 5 8 2" xfId="16150" xr:uid="{00000000-0005-0000-0000-00003F460000}"/>
    <cellStyle name="Hed Side 3 8 5 9" xfId="16151" xr:uid="{00000000-0005-0000-0000-000040460000}"/>
    <cellStyle name="Hed Side 3 8 5 9 2" xfId="16152" xr:uid="{00000000-0005-0000-0000-000041460000}"/>
    <cellStyle name="Hed Side 3 8 6" xfId="16153" xr:uid="{00000000-0005-0000-0000-000042460000}"/>
    <cellStyle name="Hed Side 3 8 6 10" xfId="16154" xr:uid="{00000000-0005-0000-0000-000043460000}"/>
    <cellStyle name="Hed Side 3 8 6 2" xfId="16155" xr:uid="{00000000-0005-0000-0000-000044460000}"/>
    <cellStyle name="Hed Side 3 8 6 2 2" xfId="16156" xr:uid="{00000000-0005-0000-0000-000045460000}"/>
    <cellStyle name="Hed Side 3 8 6 3" xfId="16157" xr:uid="{00000000-0005-0000-0000-000046460000}"/>
    <cellStyle name="Hed Side 3 8 6 3 2" xfId="16158" xr:uid="{00000000-0005-0000-0000-000047460000}"/>
    <cellStyle name="Hed Side 3 8 6 4" xfId="16159" xr:uid="{00000000-0005-0000-0000-000048460000}"/>
    <cellStyle name="Hed Side 3 8 6 4 2" xfId="16160" xr:uid="{00000000-0005-0000-0000-000049460000}"/>
    <cellStyle name="Hed Side 3 8 6 5" xfId="16161" xr:uid="{00000000-0005-0000-0000-00004A460000}"/>
    <cellStyle name="Hed Side 3 8 6 5 2" xfId="16162" xr:uid="{00000000-0005-0000-0000-00004B460000}"/>
    <cellStyle name="Hed Side 3 8 6 6" xfId="16163" xr:uid="{00000000-0005-0000-0000-00004C460000}"/>
    <cellStyle name="Hed Side 3 8 6 6 2" xfId="16164" xr:uid="{00000000-0005-0000-0000-00004D460000}"/>
    <cellStyle name="Hed Side 3 8 6 7" xfId="16165" xr:uid="{00000000-0005-0000-0000-00004E460000}"/>
    <cellStyle name="Hed Side 3 8 6 7 2" xfId="16166" xr:uid="{00000000-0005-0000-0000-00004F460000}"/>
    <cellStyle name="Hed Side 3 8 6 8" xfId="16167" xr:uid="{00000000-0005-0000-0000-000050460000}"/>
    <cellStyle name="Hed Side 3 8 6 8 2" xfId="16168" xr:uid="{00000000-0005-0000-0000-000051460000}"/>
    <cellStyle name="Hed Side 3 8 6 9" xfId="16169" xr:uid="{00000000-0005-0000-0000-000052460000}"/>
    <cellStyle name="Hed Side 3 8 6 9 2" xfId="16170" xr:uid="{00000000-0005-0000-0000-000053460000}"/>
    <cellStyle name="Hed Side 3 8 7" xfId="16171" xr:uid="{00000000-0005-0000-0000-000054460000}"/>
    <cellStyle name="Hed Side 3 8 7 10" xfId="16172" xr:uid="{00000000-0005-0000-0000-000055460000}"/>
    <cellStyle name="Hed Side 3 8 7 2" xfId="16173" xr:uid="{00000000-0005-0000-0000-000056460000}"/>
    <cellStyle name="Hed Side 3 8 7 2 2" xfId="16174" xr:uid="{00000000-0005-0000-0000-000057460000}"/>
    <cellStyle name="Hed Side 3 8 7 3" xfId="16175" xr:uid="{00000000-0005-0000-0000-000058460000}"/>
    <cellStyle name="Hed Side 3 8 7 3 2" xfId="16176" xr:uid="{00000000-0005-0000-0000-000059460000}"/>
    <cellStyle name="Hed Side 3 8 7 4" xfId="16177" xr:uid="{00000000-0005-0000-0000-00005A460000}"/>
    <cellStyle name="Hed Side 3 8 7 4 2" xfId="16178" xr:uid="{00000000-0005-0000-0000-00005B460000}"/>
    <cellStyle name="Hed Side 3 8 7 5" xfId="16179" xr:uid="{00000000-0005-0000-0000-00005C460000}"/>
    <cellStyle name="Hed Side 3 8 7 5 2" xfId="16180" xr:uid="{00000000-0005-0000-0000-00005D460000}"/>
    <cellStyle name="Hed Side 3 8 7 6" xfId="16181" xr:uid="{00000000-0005-0000-0000-00005E460000}"/>
    <cellStyle name="Hed Side 3 8 7 6 2" xfId="16182" xr:uid="{00000000-0005-0000-0000-00005F460000}"/>
    <cellStyle name="Hed Side 3 8 7 7" xfId="16183" xr:uid="{00000000-0005-0000-0000-000060460000}"/>
    <cellStyle name="Hed Side 3 8 7 7 2" xfId="16184" xr:uid="{00000000-0005-0000-0000-000061460000}"/>
    <cellStyle name="Hed Side 3 8 7 8" xfId="16185" xr:uid="{00000000-0005-0000-0000-000062460000}"/>
    <cellStyle name="Hed Side 3 8 7 8 2" xfId="16186" xr:uid="{00000000-0005-0000-0000-000063460000}"/>
    <cellStyle name="Hed Side 3 8 7 9" xfId="16187" xr:uid="{00000000-0005-0000-0000-000064460000}"/>
    <cellStyle name="Hed Side 3 8 7 9 2" xfId="16188" xr:uid="{00000000-0005-0000-0000-000065460000}"/>
    <cellStyle name="Hed Side 3 8 8" xfId="16189" xr:uid="{00000000-0005-0000-0000-000066460000}"/>
    <cellStyle name="Hed Side 3 8 8 10" xfId="16190" xr:uid="{00000000-0005-0000-0000-000067460000}"/>
    <cellStyle name="Hed Side 3 8 8 2" xfId="16191" xr:uid="{00000000-0005-0000-0000-000068460000}"/>
    <cellStyle name="Hed Side 3 8 8 2 2" xfId="16192" xr:uid="{00000000-0005-0000-0000-000069460000}"/>
    <cellStyle name="Hed Side 3 8 8 3" xfId="16193" xr:uid="{00000000-0005-0000-0000-00006A460000}"/>
    <cellStyle name="Hed Side 3 8 8 3 2" xfId="16194" xr:uid="{00000000-0005-0000-0000-00006B460000}"/>
    <cellStyle name="Hed Side 3 8 8 4" xfId="16195" xr:uid="{00000000-0005-0000-0000-00006C460000}"/>
    <cellStyle name="Hed Side 3 8 8 4 2" xfId="16196" xr:uid="{00000000-0005-0000-0000-00006D460000}"/>
    <cellStyle name="Hed Side 3 8 8 5" xfId="16197" xr:uid="{00000000-0005-0000-0000-00006E460000}"/>
    <cellStyle name="Hed Side 3 8 8 5 2" xfId="16198" xr:uid="{00000000-0005-0000-0000-00006F460000}"/>
    <cellStyle name="Hed Side 3 8 8 6" xfId="16199" xr:uid="{00000000-0005-0000-0000-000070460000}"/>
    <cellStyle name="Hed Side 3 8 8 6 2" xfId="16200" xr:uid="{00000000-0005-0000-0000-000071460000}"/>
    <cellStyle name="Hed Side 3 8 8 7" xfId="16201" xr:uid="{00000000-0005-0000-0000-000072460000}"/>
    <cellStyle name="Hed Side 3 8 8 7 2" xfId="16202" xr:uid="{00000000-0005-0000-0000-000073460000}"/>
    <cellStyle name="Hed Side 3 8 8 8" xfId="16203" xr:uid="{00000000-0005-0000-0000-000074460000}"/>
    <cellStyle name="Hed Side 3 8 8 8 2" xfId="16204" xr:uid="{00000000-0005-0000-0000-000075460000}"/>
    <cellStyle name="Hed Side 3 8 8 9" xfId="16205" xr:uid="{00000000-0005-0000-0000-000076460000}"/>
    <cellStyle name="Hed Side 3 8 8 9 2" xfId="16206" xr:uid="{00000000-0005-0000-0000-000077460000}"/>
    <cellStyle name="Hed Side 3 8 9" xfId="16207" xr:uid="{00000000-0005-0000-0000-000078460000}"/>
    <cellStyle name="Hed Side 3 8 9 10" xfId="16208" xr:uid="{00000000-0005-0000-0000-000079460000}"/>
    <cellStyle name="Hed Side 3 8 9 2" xfId="16209" xr:uid="{00000000-0005-0000-0000-00007A460000}"/>
    <cellStyle name="Hed Side 3 8 9 2 2" xfId="16210" xr:uid="{00000000-0005-0000-0000-00007B460000}"/>
    <cellStyle name="Hed Side 3 8 9 3" xfId="16211" xr:uid="{00000000-0005-0000-0000-00007C460000}"/>
    <cellStyle name="Hed Side 3 8 9 3 2" xfId="16212" xr:uid="{00000000-0005-0000-0000-00007D460000}"/>
    <cellStyle name="Hed Side 3 8 9 4" xfId="16213" xr:uid="{00000000-0005-0000-0000-00007E460000}"/>
    <cellStyle name="Hed Side 3 8 9 4 2" xfId="16214" xr:uid="{00000000-0005-0000-0000-00007F460000}"/>
    <cellStyle name="Hed Side 3 8 9 5" xfId="16215" xr:uid="{00000000-0005-0000-0000-000080460000}"/>
    <cellStyle name="Hed Side 3 8 9 5 2" xfId="16216" xr:uid="{00000000-0005-0000-0000-000081460000}"/>
    <cellStyle name="Hed Side 3 8 9 6" xfId="16217" xr:uid="{00000000-0005-0000-0000-000082460000}"/>
    <cellStyle name="Hed Side 3 8 9 6 2" xfId="16218" xr:uid="{00000000-0005-0000-0000-000083460000}"/>
    <cellStyle name="Hed Side 3 8 9 7" xfId="16219" xr:uid="{00000000-0005-0000-0000-000084460000}"/>
    <cellStyle name="Hed Side 3 8 9 7 2" xfId="16220" xr:uid="{00000000-0005-0000-0000-000085460000}"/>
    <cellStyle name="Hed Side 3 8 9 8" xfId="16221" xr:uid="{00000000-0005-0000-0000-000086460000}"/>
    <cellStyle name="Hed Side 3 8 9 8 2" xfId="16222" xr:uid="{00000000-0005-0000-0000-000087460000}"/>
    <cellStyle name="Hed Side 3 8 9 9" xfId="16223" xr:uid="{00000000-0005-0000-0000-000088460000}"/>
    <cellStyle name="Hed Side 3 8 9 9 2" xfId="16224" xr:uid="{00000000-0005-0000-0000-000089460000}"/>
    <cellStyle name="Hed Side 4" xfId="16225" xr:uid="{00000000-0005-0000-0000-00008A460000}"/>
    <cellStyle name="Hed Side 4 10" xfId="16226" xr:uid="{00000000-0005-0000-0000-00008B460000}"/>
    <cellStyle name="Hed Side 4 10 10" xfId="16227" xr:uid="{00000000-0005-0000-0000-00008C460000}"/>
    <cellStyle name="Hed Side 4 10 2" xfId="16228" xr:uid="{00000000-0005-0000-0000-00008D460000}"/>
    <cellStyle name="Hed Side 4 10 2 2" xfId="16229" xr:uid="{00000000-0005-0000-0000-00008E460000}"/>
    <cellStyle name="Hed Side 4 10 3" xfId="16230" xr:uid="{00000000-0005-0000-0000-00008F460000}"/>
    <cellStyle name="Hed Side 4 10 3 2" xfId="16231" xr:uid="{00000000-0005-0000-0000-000090460000}"/>
    <cellStyle name="Hed Side 4 10 4" xfId="16232" xr:uid="{00000000-0005-0000-0000-000091460000}"/>
    <cellStyle name="Hed Side 4 10 4 2" xfId="16233" xr:uid="{00000000-0005-0000-0000-000092460000}"/>
    <cellStyle name="Hed Side 4 10 5" xfId="16234" xr:uid="{00000000-0005-0000-0000-000093460000}"/>
    <cellStyle name="Hed Side 4 10 5 2" xfId="16235" xr:uid="{00000000-0005-0000-0000-000094460000}"/>
    <cellStyle name="Hed Side 4 10 6" xfId="16236" xr:uid="{00000000-0005-0000-0000-000095460000}"/>
    <cellStyle name="Hed Side 4 10 6 2" xfId="16237" xr:uid="{00000000-0005-0000-0000-000096460000}"/>
    <cellStyle name="Hed Side 4 10 7" xfId="16238" xr:uid="{00000000-0005-0000-0000-000097460000}"/>
    <cellStyle name="Hed Side 4 10 7 2" xfId="16239" xr:uid="{00000000-0005-0000-0000-000098460000}"/>
    <cellStyle name="Hed Side 4 10 8" xfId="16240" xr:uid="{00000000-0005-0000-0000-000099460000}"/>
    <cellStyle name="Hed Side 4 10 8 2" xfId="16241" xr:uid="{00000000-0005-0000-0000-00009A460000}"/>
    <cellStyle name="Hed Side 4 10 9" xfId="16242" xr:uid="{00000000-0005-0000-0000-00009B460000}"/>
    <cellStyle name="Hed Side 4 10 9 2" xfId="16243" xr:uid="{00000000-0005-0000-0000-00009C460000}"/>
    <cellStyle name="Hed Side 4 11" xfId="16244" xr:uid="{00000000-0005-0000-0000-00009D460000}"/>
    <cellStyle name="Hed Side 4 11 2" xfId="16245" xr:uid="{00000000-0005-0000-0000-00009E460000}"/>
    <cellStyle name="Hed Side 4 11 2 2" xfId="16246" xr:uid="{00000000-0005-0000-0000-00009F460000}"/>
    <cellStyle name="Hed Side 4 11 3" xfId="16247" xr:uid="{00000000-0005-0000-0000-0000A0460000}"/>
    <cellStyle name="Hed Side 4 11 3 2" xfId="16248" xr:uid="{00000000-0005-0000-0000-0000A1460000}"/>
    <cellStyle name="Hed Side 4 11 4" xfId="16249" xr:uid="{00000000-0005-0000-0000-0000A2460000}"/>
    <cellStyle name="Hed Side 4 11 4 2" xfId="16250" xr:uid="{00000000-0005-0000-0000-0000A3460000}"/>
    <cellStyle name="Hed Side 4 11 5" xfId="16251" xr:uid="{00000000-0005-0000-0000-0000A4460000}"/>
    <cellStyle name="Hed Side 4 11 5 2" xfId="16252" xr:uid="{00000000-0005-0000-0000-0000A5460000}"/>
    <cellStyle name="Hed Side 4 11 6" xfId="16253" xr:uid="{00000000-0005-0000-0000-0000A6460000}"/>
    <cellStyle name="Hed Side 4 11 6 2" xfId="16254" xr:uid="{00000000-0005-0000-0000-0000A7460000}"/>
    <cellStyle name="Hed Side 4 11 7" xfId="16255" xr:uid="{00000000-0005-0000-0000-0000A8460000}"/>
    <cellStyle name="Hed Side 4 11 7 2" xfId="16256" xr:uid="{00000000-0005-0000-0000-0000A9460000}"/>
    <cellStyle name="Hed Side 4 11 8" xfId="16257" xr:uid="{00000000-0005-0000-0000-0000AA460000}"/>
    <cellStyle name="Hed Side 4 11 8 2" xfId="16258" xr:uid="{00000000-0005-0000-0000-0000AB460000}"/>
    <cellStyle name="Hed Side 4 11 9" xfId="16259" xr:uid="{00000000-0005-0000-0000-0000AC460000}"/>
    <cellStyle name="Hed Side 4 2" xfId="16260" xr:uid="{00000000-0005-0000-0000-0000AD460000}"/>
    <cellStyle name="Hed Side 4 2 10" xfId="16261" xr:uid="{00000000-0005-0000-0000-0000AE460000}"/>
    <cellStyle name="Hed Side 4 2 2" xfId="16262" xr:uid="{00000000-0005-0000-0000-0000AF460000}"/>
    <cellStyle name="Hed Side 4 2 2 2" xfId="16263" xr:uid="{00000000-0005-0000-0000-0000B0460000}"/>
    <cellStyle name="Hed Side 4 2 3" xfId="16264" xr:uid="{00000000-0005-0000-0000-0000B1460000}"/>
    <cellStyle name="Hed Side 4 2 3 2" xfId="16265" xr:uid="{00000000-0005-0000-0000-0000B2460000}"/>
    <cellStyle name="Hed Side 4 2 4" xfId="16266" xr:uid="{00000000-0005-0000-0000-0000B3460000}"/>
    <cellStyle name="Hed Side 4 2 4 2" xfId="16267" xr:uid="{00000000-0005-0000-0000-0000B4460000}"/>
    <cellStyle name="Hed Side 4 2 5" xfId="16268" xr:uid="{00000000-0005-0000-0000-0000B5460000}"/>
    <cellStyle name="Hed Side 4 2 5 2" xfId="16269" xr:uid="{00000000-0005-0000-0000-0000B6460000}"/>
    <cellStyle name="Hed Side 4 2 6" xfId="16270" xr:uid="{00000000-0005-0000-0000-0000B7460000}"/>
    <cellStyle name="Hed Side 4 2 6 2" xfId="16271" xr:uid="{00000000-0005-0000-0000-0000B8460000}"/>
    <cellStyle name="Hed Side 4 2 7" xfId="16272" xr:uid="{00000000-0005-0000-0000-0000B9460000}"/>
    <cellStyle name="Hed Side 4 2 7 2" xfId="16273" xr:uid="{00000000-0005-0000-0000-0000BA460000}"/>
    <cellStyle name="Hed Side 4 2 8" xfId="16274" xr:uid="{00000000-0005-0000-0000-0000BB460000}"/>
    <cellStyle name="Hed Side 4 2 8 2" xfId="16275" xr:uid="{00000000-0005-0000-0000-0000BC460000}"/>
    <cellStyle name="Hed Side 4 2 9" xfId="16276" xr:uid="{00000000-0005-0000-0000-0000BD460000}"/>
    <cellStyle name="Hed Side 4 2 9 2" xfId="16277" xr:uid="{00000000-0005-0000-0000-0000BE460000}"/>
    <cellStyle name="Hed Side 4 3" xfId="16278" xr:uid="{00000000-0005-0000-0000-0000BF460000}"/>
    <cellStyle name="Hed Side 4 3 10" xfId="16279" xr:uid="{00000000-0005-0000-0000-0000C0460000}"/>
    <cellStyle name="Hed Side 4 3 2" xfId="16280" xr:uid="{00000000-0005-0000-0000-0000C1460000}"/>
    <cellStyle name="Hed Side 4 3 2 2" xfId="16281" xr:uid="{00000000-0005-0000-0000-0000C2460000}"/>
    <cellStyle name="Hed Side 4 3 3" xfId="16282" xr:uid="{00000000-0005-0000-0000-0000C3460000}"/>
    <cellStyle name="Hed Side 4 3 3 2" xfId="16283" xr:uid="{00000000-0005-0000-0000-0000C4460000}"/>
    <cellStyle name="Hed Side 4 3 4" xfId="16284" xr:uid="{00000000-0005-0000-0000-0000C5460000}"/>
    <cellStyle name="Hed Side 4 3 4 2" xfId="16285" xr:uid="{00000000-0005-0000-0000-0000C6460000}"/>
    <cellStyle name="Hed Side 4 3 5" xfId="16286" xr:uid="{00000000-0005-0000-0000-0000C7460000}"/>
    <cellStyle name="Hed Side 4 3 5 2" xfId="16287" xr:uid="{00000000-0005-0000-0000-0000C8460000}"/>
    <cellStyle name="Hed Side 4 3 6" xfId="16288" xr:uid="{00000000-0005-0000-0000-0000C9460000}"/>
    <cellStyle name="Hed Side 4 3 6 2" xfId="16289" xr:uid="{00000000-0005-0000-0000-0000CA460000}"/>
    <cellStyle name="Hed Side 4 3 7" xfId="16290" xr:uid="{00000000-0005-0000-0000-0000CB460000}"/>
    <cellStyle name="Hed Side 4 3 7 2" xfId="16291" xr:uid="{00000000-0005-0000-0000-0000CC460000}"/>
    <cellStyle name="Hed Side 4 3 8" xfId="16292" xr:uid="{00000000-0005-0000-0000-0000CD460000}"/>
    <cellStyle name="Hed Side 4 3 8 2" xfId="16293" xr:uid="{00000000-0005-0000-0000-0000CE460000}"/>
    <cellStyle name="Hed Side 4 3 9" xfId="16294" xr:uid="{00000000-0005-0000-0000-0000CF460000}"/>
    <cellStyle name="Hed Side 4 3 9 2" xfId="16295" xr:uid="{00000000-0005-0000-0000-0000D0460000}"/>
    <cellStyle name="Hed Side 4 4" xfId="16296" xr:uid="{00000000-0005-0000-0000-0000D1460000}"/>
    <cellStyle name="Hed Side 4 4 10" xfId="16297" xr:uid="{00000000-0005-0000-0000-0000D2460000}"/>
    <cellStyle name="Hed Side 4 4 2" xfId="16298" xr:uid="{00000000-0005-0000-0000-0000D3460000}"/>
    <cellStyle name="Hed Side 4 4 2 2" xfId="16299" xr:uid="{00000000-0005-0000-0000-0000D4460000}"/>
    <cellStyle name="Hed Side 4 4 3" xfId="16300" xr:uid="{00000000-0005-0000-0000-0000D5460000}"/>
    <cellStyle name="Hed Side 4 4 3 2" xfId="16301" xr:uid="{00000000-0005-0000-0000-0000D6460000}"/>
    <cellStyle name="Hed Side 4 4 4" xfId="16302" xr:uid="{00000000-0005-0000-0000-0000D7460000}"/>
    <cellStyle name="Hed Side 4 4 4 2" xfId="16303" xr:uid="{00000000-0005-0000-0000-0000D8460000}"/>
    <cellStyle name="Hed Side 4 4 5" xfId="16304" xr:uid="{00000000-0005-0000-0000-0000D9460000}"/>
    <cellStyle name="Hed Side 4 4 5 2" xfId="16305" xr:uid="{00000000-0005-0000-0000-0000DA460000}"/>
    <cellStyle name="Hed Side 4 4 6" xfId="16306" xr:uid="{00000000-0005-0000-0000-0000DB460000}"/>
    <cellStyle name="Hed Side 4 4 6 2" xfId="16307" xr:uid="{00000000-0005-0000-0000-0000DC460000}"/>
    <cellStyle name="Hed Side 4 4 7" xfId="16308" xr:uid="{00000000-0005-0000-0000-0000DD460000}"/>
    <cellStyle name="Hed Side 4 4 7 2" xfId="16309" xr:uid="{00000000-0005-0000-0000-0000DE460000}"/>
    <cellStyle name="Hed Side 4 4 8" xfId="16310" xr:uid="{00000000-0005-0000-0000-0000DF460000}"/>
    <cellStyle name="Hed Side 4 4 8 2" xfId="16311" xr:uid="{00000000-0005-0000-0000-0000E0460000}"/>
    <cellStyle name="Hed Side 4 4 9" xfId="16312" xr:uid="{00000000-0005-0000-0000-0000E1460000}"/>
    <cellStyle name="Hed Side 4 4 9 2" xfId="16313" xr:uid="{00000000-0005-0000-0000-0000E2460000}"/>
    <cellStyle name="Hed Side 4 5" xfId="16314" xr:uid="{00000000-0005-0000-0000-0000E3460000}"/>
    <cellStyle name="Hed Side 4 5 10" xfId="16315" xr:uid="{00000000-0005-0000-0000-0000E4460000}"/>
    <cellStyle name="Hed Side 4 5 2" xfId="16316" xr:uid="{00000000-0005-0000-0000-0000E5460000}"/>
    <cellStyle name="Hed Side 4 5 2 2" xfId="16317" xr:uid="{00000000-0005-0000-0000-0000E6460000}"/>
    <cellStyle name="Hed Side 4 5 3" xfId="16318" xr:uid="{00000000-0005-0000-0000-0000E7460000}"/>
    <cellStyle name="Hed Side 4 5 3 2" xfId="16319" xr:uid="{00000000-0005-0000-0000-0000E8460000}"/>
    <cellStyle name="Hed Side 4 5 4" xfId="16320" xr:uid="{00000000-0005-0000-0000-0000E9460000}"/>
    <cellStyle name="Hed Side 4 5 4 2" xfId="16321" xr:uid="{00000000-0005-0000-0000-0000EA460000}"/>
    <cellStyle name="Hed Side 4 5 5" xfId="16322" xr:uid="{00000000-0005-0000-0000-0000EB460000}"/>
    <cellStyle name="Hed Side 4 5 5 2" xfId="16323" xr:uid="{00000000-0005-0000-0000-0000EC460000}"/>
    <cellStyle name="Hed Side 4 5 6" xfId="16324" xr:uid="{00000000-0005-0000-0000-0000ED460000}"/>
    <cellStyle name="Hed Side 4 5 6 2" xfId="16325" xr:uid="{00000000-0005-0000-0000-0000EE460000}"/>
    <cellStyle name="Hed Side 4 5 7" xfId="16326" xr:uid="{00000000-0005-0000-0000-0000EF460000}"/>
    <cellStyle name="Hed Side 4 5 7 2" xfId="16327" xr:uid="{00000000-0005-0000-0000-0000F0460000}"/>
    <cellStyle name="Hed Side 4 5 8" xfId="16328" xr:uid="{00000000-0005-0000-0000-0000F1460000}"/>
    <cellStyle name="Hed Side 4 5 8 2" xfId="16329" xr:uid="{00000000-0005-0000-0000-0000F2460000}"/>
    <cellStyle name="Hed Side 4 5 9" xfId="16330" xr:uid="{00000000-0005-0000-0000-0000F3460000}"/>
    <cellStyle name="Hed Side 4 5 9 2" xfId="16331" xr:uid="{00000000-0005-0000-0000-0000F4460000}"/>
    <cellStyle name="Hed Side 4 6" xfId="16332" xr:uid="{00000000-0005-0000-0000-0000F5460000}"/>
    <cellStyle name="Hed Side 4 6 10" xfId="16333" xr:uid="{00000000-0005-0000-0000-0000F6460000}"/>
    <cellStyle name="Hed Side 4 6 2" xfId="16334" xr:uid="{00000000-0005-0000-0000-0000F7460000}"/>
    <cellStyle name="Hed Side 4 6 2 2" xfId="16335" xr:uid="{00000000-0005-0000-0000-0000F8460000}"/>
    <cellStyle name="Hed Side 4 6 3" xfId="16336" xr:uid="{00000000-0005-0000-0000-0000F9460000}"/>
    <cellStyle name="Hed Side 4 6 3 2" xfId="16337" xr:uid="{00000000-0005-0000-0000-0000FA460000}"/>
    <cellStyle name="Hed Side 4 6 4" xfId="16338" xr:uid="{00000000-0005-0000-0000-0000FB460000}"/>
    <cellStyle name="Hed Side 4 6 4 2" xfId="16339" xr:uid="{00000000-0005-0000-0000-0000FC460000}"/>
    <cellStyle name="Hed Side 4 6 5" xfId="16340" xr:uid="{00000000-0005-0000-0000-0000FD460000}"/>
    <cellStyle name="Hed Side 4 6 5 2" xfId="16341" xr:uid="{00000000-0005-0000-0000-0000FE460000}"/>
    <cellStyle name="Hed Side 4 6 6" xfId="16342" xr:uid="{00000000-0005-0000-0000-0000FF460000}"/>
    <cellStyle name="Hed Side 4 6 6 2" xfId="16343" xr:uid="{00000000-0005-0000-0000-000000470000}"/>
    <cellStyle name="Hed Side 4 6 7" xfId="16344" xr:uid="{00000000-0005-0000-0000-000001470000}"/>
    <cellStyle name="Hed Side 4 6 7 2" xfId="16345" xr:uid="{00000000-0005-0000-0000-000002470000}"/>
    <cellStyle name="Hed Side 4 6 8" xfId="16346" xr:uid="{00000000-0005-0000-0000-000003470000}"/>
    <cellStyle name="Hed Side 4 6 8 2" xfId="16347" xr:uid="{00000000-0005-0000-0000-000004470000}"/>
    <cellStyle name="Hed Side 4 6 9" xfId="16348" xr:uid="{00000000-0005-0000-0000-000005470000}"/>
    <cellStyle name="Hed Side 4 6 9 2" xfId="16349" xr:uid="{00000000-0005-0000-0000-000006470000}"/>
    <cellStyle name="Hed Side 4 7" xfId="16350" xr:uid="{00000000-0005-0000-0000-000007470000}"/>
    <cellStyle name="Hed Side 4 7 10" xfId="16351" xr:uid="{00000000-0005-0000-0000-000008470000}"/>
    <cellStyle name="Hed Side 4 7 2" xfId="16352" xr:uid="{00000000-0005-0000-0000-000009470000}"/>
    <cellStyle name="Hed Side 4 7 2 2" xfId="16353" xr:uid="{00000000-0005-0000-0000-00000A470000}"/>
    <cellStyle name="Hed Side 4 7 3" xfId="16354" xr:uid="{00000000-0005-0000-0000-00000B470000}"/>
    <cellStyle name="Hed Side 4 7 3 2" xfId="16355" xr:uid="{00000000-0005-0000-0000-00000C470000}"/>
    <cellStyle name="Hed Side 4 7 4" xfId="16356" xr:uid="{00000000-0005-0000-0000-00000D470000}"/>
    <cellStyle name="Hed Side 4 7 4 2" xfId="16357" xr:uid="{00000000-0005-0000-0000-00000E470000}"/>
    <cellStyle name="Hed Side 4 7 5" xfId="16358" xr:uid="{00000000-0005-0000-0000-00000F470000}"/>
    <cellStyle name="Hed Side 4 7 5 2" xfId="16359" xr:uid="{00000000-0005-0000-0000-000010470000}"/>
    <cellStyle name="Hed Side 4 7 6" xfId="16360" xr:uid="{00000000-0005-0000-0000-000011470000}"/>
    <cellStyle name="Hed Side 4 7 6 2" xfId="16361" xr:uid="{00000000-0005-0000-0000-000012470000}"/>
    <cellStyle name="Hed Side 4 7 7" xfId="16362" xr:uid="{00000000-0005-0000-0000-000013470000}"/>
    <cellStyle name="Hed Side 4 7 7 2" xfId="16363" xr:uid="{00000000-0005-0000-0000-000014470000}"/>
    <cellStyle name="Hed Side 4 7 8" xfId="16364" xr:uid="{00000000-0005-0000-0000-000015470000}"/>
    <cellStyle name="Hed Side 4 7 8 2" xfId="16365" xr:uid="{00000000-0005-0000-0000-000016470000}"/>
    <cellStyle name="Hed Side 4 7 9" xfId="16366" xr:uid="{00000000-0005-0000-0000-000017470000}"/>
    <cellStyle name="Hed Side 4 7 9 2" xfId="16367" xr:uid="{00000000-0005-0000-0000-000018470000}"/>
    <cellStyle name="Hed Side 4 8" xfId="16368" xr:uid="{00000000-0005-0000-0000-000019470000}"/>
    <cellStyle name="Hed Side 4 8 10" xfId="16369" xr:uid="{00000000-0005-0000-0000-00001A470000}"/>
    <cellStyle name="Hed Side 4 8 2" xfId="16370" xr:uid="{00000000-0005-0000-0000-00001B470000}"/>
    <cellStyle name="Hed Side 4 8 2 2" xfId="16371" xr:uid="{00000000-0005-0000-0000-00001C470000}"/>
    <cellStyle name="Hed Side 4 8 3" xfId="16372" xr:uid="{00000000-0005-0000-0000-00001D470000}"/>
    <cellStyle name="Hed Side 4 8 3 2" xfId="16373" xr:uid="{00000000-0005-0000-0000-00001E470000}"/>
    <cellStyle name="Hed Side 4 8 4" xfId="16374" xr:uid="{00000000-0005-0000-0000-00001F470000}"/>
    <cellStyle name="Hed Side 4 8 4 2" xfId="16375" xr:uid="{00000000-0005-0000-0000-000020470000}"/>
    <cellStyle name="Hed Side 4 8 5" xfId="16376" xr:uid="{00000000-0005-0000-0000-000021470000}"/>
    <cellStyle name="Hed Side 4 8 5 2" xfId="16377" xr:uid="{00000000-0005-0000-0000-000022470000}"/>
    <cellStyle name="Hed Side 4 8 6" xfId="16378" xr:uid="{00000000-0005-0000-0000-000023470000}"/>
    <cellStyle name="Hed Side 4 8 6 2" xfId="16379" xr:uid="{00000000-0005-0000-0000-000024470000}"/>
    <cellStyle name="Hed Side 4 8 7" xfId="16380" xr:uid="{00000000-0005-0000-0000-000025470000}"/>
    <cellStyle name="Hed Side 4 8 7 2" xfId="16381" xr:uid="{00000000-0005-0000-0000-000026470000}"/>
    <cellStyle name="Hed Side 4 8 8" xfId="16382" xr:uid="{00000000-0005-0000-0000-000027470000}"/>
    <cellStyle name="Hed Side 4 8 8 2" xfId="16383" xr:uid="{00000000-0005-0000-0000-000028470000}"/>
    <cellStyle name="Hed Side 4 8 9" xfId="16384" xr:uid="{00000000-0005-0000-0000-000029470000}"/>
    <cellStyle name="Hed Side 4 8 9 2" xfId="16385" xr:uid="{00000000-0005-0000-0000-00002A470000}"/>
    <cellStyle name="Hed Side 4 9" xfId="16386" xr:uid="{00000000-0005-0000-0000-00002B470000}"/>
    <cellStyle name="Hed Side 4 9 10" xfId="16387" xr:uid="{00000000-0005-0000-0000-00002C470000}"/>
    <cellStyle name="Hed Side 4 9 2" xfId="16388" xr:uid="{00000000-0005-0000-0000-00002D470000}"/>
    <cellStyle name="Hed Side 4 9 2 2" xfId="16389" xr:uid="{00000000-0005-0000-0000-00002E470000}"/>
    <cellStyle name="Hed Side 4 9 3" xfId="16390" xr:uid="{00000000-0005-0000-0000-00002F470000}"/>
    <cellStyle name="Hed Side 4 9 3 2" xfId="16391" xr:uid="{00000000-0005-0000-0000-000030470000}"/>
    <cellStyle name="Hed Side 4 9 4" xfId="16392" xr:uid="{00000000-0005-0000-0000-000031470000}"/>
    <cellStyle name="Hed Side 4 9 4 2" xfId="16393" xr:uid="{00000000-0005-0000-0000-000032470000}"/>
    <cellStyle name="Hed Side 4 9 5" xfId="16394" xr:uid="{00000000-0005-0000-0000-000033470000}"/>
    <cellStyle name="Hed Side 4 9 5 2" xfId="16395" xr:uid="{00000000-0005-0000-0000-000034470000}"/>
    <cellStyle name="Hed Side 4 9 6" xfId="16396" xr:uid="{00000000-0005-0000-0000-000035470000}"/>
    <cellStyle name="Hed Side 4 9 6 2" xfId="16397" xr:uid="{00000000-0005-0000-0000-000036470000}"/>
    <cellStyle name="Hed Side 4 9 7" xfId="16398" xr:uid="{00000000-0005-0000-0000-000037470000}"/>
    <cellStyle name="Hed Side 4 9 7 2" xfId="16399" xr:uid="{00000000-0005-0000-0000-000038470000}"/>
    <cellStyle name="Hed Side 4 9 8" xfId="16400" xr:uid="{00000000-0005-0000-0000-000039470000}"/>
    <cellStyle name="Hed Side 4 9 8 2" xfId="16401" xr:uid="{00000000-0005-0000-0000-00003A470000}"/>
    <cellStyle name="Hed Side 4 9 9" xfId="16402" xr:uid="{00000000-0005-0000-0000-00003B470000}"/>
    <cellStyle name="Hed Side 4 9 9 2" xfId="16403" xr:uid="{00000000-0005-0000-0000-00003C470000}"/>
    <cellStyle name="Hed Side 5" xfId="16404" xr:uid="{00000000-0005-0000-0000-00003D470000}"/>
    <cellStyle name="Hed Side 5 10" xfId="16405" xr:uid="{00000000-0005-0000-0000-00003E470000}"/>
    <cellStyle name="Hed Side 5 10 2" xfId="16406" xr:uid="{00000000-0005-0000-0000-00003F470000}"/>
    <cellStyle name="Hed Side 5 10 2 2" xfId="16407" xr:uid="{00000000-0005-0000-0000-000040470000}"/>
    <cellStyle name="Hed Side 5 10 3" xfId="16408" xr:uid="{00000000-0005-0000-0000-000041470000}"/>
    <cellStyle name="Hed Side 5 10 3 2" xfId="16409" xr:uid="{00000000-0005-0000-0000-000042470000}"/>
    <cellStyle name="Hed Side 5 10 4" xfId="16410" xr:uid="{00000000-0005-0000-0000-000043470000}"/>
    <cellStyle name="Hed Side 5 10 4 2" xfId="16411" xr:uid="{00000000-0005-0000-0000-000044470000}"/>
    <cellStyle name="Hed Side 5 10 5" xfId="16412" xr:uid="{00000000-0005-0000-0000-000045470000}"/>
    <cellStyle name="Hed Side 5 10 5 2" xfId="16413" xr:uid="{00000000-0005-0000-0000-000046470000}"/>
    <cellStyle name="Hed Side 5 10 6" xfId="16414" xr:uid="{00000000-0005-0000-0000-000047470000}"/>
    <cellStyle name="Hed Side 5 10 6 2" xfId="16415" xr:uid="{00000000-0005-0000-0000-000048470000}"/>
    <cellStyle name="Hed Side 5 10 7" xfId="16416" xr:uid="{00000000-0005-0000-0000-000049470000}"/>
    <cellStyle name="Hed Side 5 10 7 2" xfId="16417" xr:uid="{00000000-0005-0000-0000-00004A470000}"/>
    <cellStyle name="Hed Side 5 10 8" xfId="16418" xr:uid="{00000000-0005-0000-0000-00004B470000}"/>
    <cellStyle name="Hed Side 5 10 8 2" xfId="16419" xr:uid="{00000000-0005-0000-0000-00004C470000}"/>
    <cellStyle name="Hed Side 5 10 9" xfId="16420" xr:uid="{00000000-0005-0000-0000-00004D470000}"/>
    <cellStyle name="Hed Side 5 11" xfId="16421" xr:uid="{00000000-0005-0000-0000-00004E470000}"/>
    <cellStyle name="Hed Side 5 11 2" xfId="16422" xr:uid="{00000000-0005-0000-0000-00004F470000}"/>
    <cellStyle name="Hed Side 5 12" xfId="16423" xr:uid="{00000000-0005-0000-0000-000050470000}"/>
    <cellStyle name="Hed Side 5 12 2" xfId="16424" xr:uid="{00000000-0005-0000-0000-000051470000}"/>
    <cellStyle name="Hed Side 5 13" xfId="16425" xr:uid="{00000000-0005-0000-0000-000052470000}"/>
    <cellStyle name="Hed Side 5 13 2" xfId="16426" xr:uid="{00000000-0005-0000-0000-000053470000}"/>
    <cellStyle name="Hed Side 5 14" xfId="16427" xr:uid="{00000000-0005-0000-0000-000054470000}"/>
    <cellStyle name="Hed Side 5 14 2" xfId="16428" xr:uid="{00000000-0005-0000-0000-000055470000}"/>
    <cellStyle name="Hed Side 5 15" xfId="16429" xr:uid="{00000000-0005-0000-0000-000056470000}"/>
    <cellStyle name="Hed Side 5 15 2" xfId="16430" xr:uid="{00000000-0005-0000-0000-000057470000}"/>
    <cellStyle name="Hed Side 5 16" xfId="16431" xr:uid="{00000000-0005-0000-0000-000058470000}"/>
    <cellStyle name="Hed Side 5 16 2" xfId="16432" xr:uid="{00000000-0005-0000-0000-000059470000}"/>
    <cellStyle name="Hed Side 5 17" xfId="16433" xr:uid="{00000000-0005-0000-0000-00005A470000}"/>
    <cellStyle name="Hed Side 5 17 2" xfId="16434" xr:uid="{00000000-0005-0000-0000-00005B470000}"/>
    <cellStyle name="Hed Side 5 18" xfId="16435" xr:uid="{00000000-0005-0000-0000-00005C470000}"/>
    <cellStyle name="Hed Side 5 2" xfId="16436" xr:uid="{00000000-0005-0000-0000-00005D470000}"/>
    <cellStyle name="Hed Side 5 2 10" xfId="16437" xr:uid="{00000000-0005-0000-0000-00005E470000}"/>
    <cellStyle name="Hed Side 5 2 2" xfId="16438" xr:uid="{00000000-0005-0000-0000-00005F470000}"/>
    <cellStyle name="Hed Side 5 2 2 2" xfId="16439" xr:uid="{00000000-0005-0000-0000-000060470000}"/>
    <cellStyle name="Hed Side 5 2 3" xfId="16440" xr:uid="{00000000-0005-0000-0000-000061470000}"/>
    <cellStyle name="Hed Side 5 2 3 2" xfId="16441" xr:uid="{00000000-0005-0000-0000-000062470000}"/>
    <cellStyle name="Hed Side 5 2 4" xfId="16442" xr:uid="{00000000-0005-0000-0000-000063470000}"/>
    <cellStyle name="Hed Side 5 2 4 2" xfId="16443" xr:uid="{00000000-0005-0000-0000-000064470000}"/>
    <cellStyle name="Hed Side 5 2 5" xfId="16444" xr:uid="{00000000-0005-0000-0000-000065470000}"/>
    <cellStyle name="Hed Side 5 2 5 2" xfId="16445" xr:uid="{00000000-0005-0000-0000-000066470000}"/>
    <cellStyle name="Hed Side 5 2 6" xfId="16446" xr:uid="{00000000-0005-0000-0000-000067470000}"/>
    <cellStyle name="Hed Side 5 2 6 2" xfId="16447" xr:uid="{00000000-0005-0000-0000-000068470000}"/>
    <cellStyle name="Hed Side 5 2 7" xfId="16448" xr:uid="{00000000-0005-0000-0000-000069470000}"/>
    <cellStyle name="Hed Side 5 2 7 2" xfId="16449" xr:uid="{00000000-0005-0000-0000-00006A470000}"/>
    <cellStyle name="Hed Side 5 2 8" xfId="16450" xr:uid="{00000000-0005-0000-0000-00006B470000}"/>
    <cellStyle name="Hed Side 5 2 8 2" xfId="16451" xr:uid="{00000000-0005-0000-0000-00006C470000}"/>
    <cellStyle name="Hed Side 5 2 9" xfId="16452" xr:uid="{00000000-0005-0000-0000-00006D470000}"/>
    <cellStyle name="Hed Side 5 2 9 2" xfId="16453" xr:uid="{00000000-0005-0000-0000-00006E470000}"/>
    <cellStyle name="Hed Side 5 3" xfId="16454" xr:uid="{00000000-0005-0000-0000-00006F470000}"/>
    <cellStyle name="Hed Side 5 3 10" xfId="16455" xr:uid="{00000000-0005-0000-0000-000070470000}"/>
    <cellStyle name="Hed Side 5 3 2" xfId="16456" xr:uid="{00000000-0005-0000-0000-000071470000}"/>
    <cellStyle name="Hed Side 5 3 2 2" xfId="16457" xr:uid="{00000000-0005-0000-0000-000072470000}"/>
    <cellStyle name="Hed Side 5 3 3" xfId="16458" xr:uid="{00000000-0005-0000-0000-000073470000}"/>
    <cellStyle name="Hed Side 5 3 3 2" xfId="16459" xr:uid="{00000000-0005-0000-0000-000074470000}"/>
    <cellStyle name="Hed Side 5 3 4" xfId="16460" xr:uid="{00000000-0005-0000-0000-000075470000}"/>
    <cellStyle name="Hed Side 5 3 4 2" xfId="16461" xr:uid="{00000000-0005-0000-0000-000076470000}"/>
    <cellStyle name="Hed Side 5 3 5" xfId="16462" xr:uid="{00000000-0005-0000-0000-000077470000}"/>
    <cellStyle name="Hed Side 5 3 5 2" xfId="16463" xr:uid="{00000000-0005-0000-0000-000078470000}"/>
    <cellStyle name="Hed Side 5 3 6" xfId="16464" xr:uid="{00000000-0005-0000-0000-000079470000}"/>
    <cellStyle name="Hed Side 5 3 6 2" xfId="16465" xr:uid="{00000000-0005-0000-0000-00007A470000}"/>
    <cellStyle name="Hed Side 5 3 7" xfId="16466" xr:uid="{00000000-0005-0000-0000-00007B470000}"/>
    <cellStyle name="Hed Side 5 3 7 2" xfId="16467" xr:uid="{00000000-0005-0000-0000-00007C470000}"/>
    <cellStyle name="Hed Side 5 3 8" xfId="16468" xr:uid="{00000000-0005-0000-0000-00007D470000}"/>
    <cellStyle name="Hed Side 5 3 8 2" xfId="16469" xr:uid="{00000000-0005-0000-0000-00007E470000}"/>
    <cellStyle name="Hed Side 5 3 9" xfId="16470" xr:uid="{00000000-0005-0000-0000-00007F470000}"/>
    <cellStyle name="Hed Side 5 3 9 2" xfId="16471" xr:uid="{00000000-0005-0000-0000-000080470000}"/>
    <cellStyle name="Hed Side 5 4" xfId="16472" xr:uid="{00000000-0005-0000-0000-000081470000}"/>
    <cellStyle name="Hed Side 5 4 10" xfId="16473" xr:uid="{00000000-0005-0000-0000-000082470000}"/>
    <cellStyle name="Hed Side 5 4 2" xfId="16474" xr:uid="{00000000-0005-0000-0000-000083470000}"/>
    <cellStyle name="Hed Side 5 4 2 2" xfId="16475" xr:uid="{00000000-0005-0000-0000-000084470000}"/>
    <cellStyle name="Hed Side 5 4 3" xfId="16476" xr:uid="{00000000-0005-0000-0000-000085470000}"/>
    <cellStyle name="Hed Side 5 4 3 2" xfId="16477" xr:uid="{00000000-0005-0000-0000-000086470000}"/>
    <cellStyle name="Hed Side 5 4 4" xfId="16478" xr:uid="{00000000-0005-0000-0000-000087470000}"/>
    <cellStyle name="Hed Side 5 4 4 2" xfId="16479" xr:uid="{00000000-0005-0000-0000-000088470000}"/>
    <cellStyle name="Hed Side 5 4 5" xfId="16480" xr:uid="{00000000-0005-0000-0000-000089470000}"/>
    <cellStyle name="Hed Side 5 4 5 2" xfId="16481" xr:uid="{00000000-0005-0000-0000-00008A470000}"/>
    <cellStyle name="Hed Side 5 4 6" xfId="16482" xr:uid="{00000000-0005-0000-0000-00008B470000}"/>
    <cellStyle name="Hed Side 5 4 6 2" xfId="16483" xr:uid="{00000000-0005-0000-0000-00008C470000}"/>
    <cellStyle name="Hed Side 5 4 7" xfId="16484" xr:uid="{00000000-0005-0000-0000-00008D470000}"/>
    <cellStyle name="Hed Side 5 4 7 2" xfId="16485" xr:uid="{00000000-0005-0000-0000-00008E470000}"/>
    <cellStyle name="Hed Side 5 4 8" xfId="16486" xr:uid="{00000000-0005-0000-0000-00008F470000}"/>
    <cellStyle name="Hed Side 5 4 8 2" xfId="16487" xr:uid="{00000000-0005-0000-0000-000090470000}"/>
    <cellStyle name="Hed Side 5 4 9" xfId="16488" xr:uid="{00000000-0005-0000-0000-000091470000}"/>
    <cellStyle name="Hed Side 5 4 9 2" xfId="16489" xr:uid="{00000000-0005-0000-0000-000092470000}"/>
    <cellStyle name="Hed Side 5 5" xfId="16490" xr:uid="{00000000-0005-0000-0000-000093470000}"/>
    <cellStyle name="Hed Side 5 5 10" xfId="16491" xr:uid="{00000000-0005-0000-0000-000094470000}"/>
    <cellStyle name="Hed Side 5 5 2" xfId="16492" xr:uid="{00000000-0005-0000-0000-000095470000}"/>
    <cellStyle name="Hed Side 5 5 2 2" xfId="16493" xr:uid="{00000000-0005-0000-0000-000096470000}"/>
    <cellStyle name="Hed Side 5 5 3" xfId="16494" xr:uid="{00000000-0005-0000-0000-000097470000}"/>
    <cellStyle name="Hed Side 5 5 3 2" xfId="16495" xr:uid="{00000000-0005-0000-0000-000098470000}"/>
    <cellStyle name="Hed Side 5 5 4" xfId="16496" xr:uid="{00000000-0005-0000-0000-000099470000}"/>
    <cellStyle name="Hed Side 5 5 4 2" xfId="16497" xr:uid="{00000000-0005-0000-0000-00009A470000}"/>
    <cellStyle name="Hed Side 5 5 5" xfId="16498" xr:uid="{00000000-0005-0000-0000-00009B470000}"/>
    <cellStyle name="Hed Side 5 5 5 2" xfId="16499" xr:uid="{00000000-0005-0000-0000-00009C470000}"/>
    <cellStyle name="Hed Side 5 5 6" xfId="16500" xr:uid="{00000000-0005-0000-0000-00009D470000}"/>
    <cellStyle name="Hed Side 5 5 6 2" xfId="16501" xr:uid="{00000000-0005-0000-0000-00009E470000}"/>
    <cellStyle name="Hed Side 5 5 7" xfId="16502" xr:uid="{00000000-0005-0000-0000-00009F470000}"/>
    <cellStyle name="Hed Side 5 5 7 2" xfId="16503" xr:uid="{00000000-0005-0000-0000-0000A0470000}"/>
    <cellStyle name="Hed Side 5 5 8" xfId="16504" xr:uid="{00000000-0005-0000-0000-0000A1470000}"/>
    <cellStyle name="Hed Side 5 5 8 2" xfId="16505" xr:uid="{00000000-0005-0000-0000-0000A2470000}"/>
    <cellStyle name="Hed Side 5 5 9" xfId="16506" xr:uid="{00000000-0005-0000-0000-0000A3470000}"/>
    <cellStyle name="Hed Side 5 5 9 2" xfId="16507" xr:uid="{00000000-0005-0000-0000-0000A4470000}"/>
    <cellStyle name="Hed Side 5 6" xfId="16508" xr:uid="{00000000-0005-0000-0000-0000A5470000}"/>
    <cellStyle name="Hed Side 5 6 10" xfId="16509" xr:uid="{00000000-0005-0000-0000-0000A6470000}"/>
    <cellStyle name="Hed Side 5 6 2" xfId="16510" xr:uid="{00000000-0005-0000-0000-0000A7470000}"/>
    <cellStyle name="Hed Side 5 6 2 2" xfId="16511" xr:uid="{00000000-0005-0000-0000-0000A8470000}"/>
    <cellStyle name="Hed Side 5 6 3" xfId="16512" xr:uid="{00000000-0005-0000-0000-0000A9470000}"/>
    <cellStyle name="Hed Side 5 6 3 2" xfId="16513" xr:uid="{00000000-0005-0000-0000-0000AA470000}"/>
    <cellStyle name="Hed Side 5 6 4" xfId="16514" xr:uid="{00000000-0005-0000-0000-0000AB470000}"/>
    <cellStyle name="Hed Side 5 6 4 2" xfId="16515" xr:uid="{00000000-0005-0000-0000-0000AC470000}"/>
    <cellStyle name="Hed Side 5 6 5" xfId="16516" xr:uid="{00000000-0005-0000-0000-0000AD470000}"/>
    <cellStyle name="Hed Side 5 6 5 2" xfId="16517" xr:uid="{00000000-0005-0000-0000-0000AE470000}"/>
    <cellStyle name="Hed Side 5 6 6" xfId="16518" xr:uid="{00000000-0005-0000-0000-0000AF470000}"/>
    <cellStyle name="Hed Side 5 6 6 2" xfId="16519" xr:uid="{00000000-0005-0000-0000-0000B0470000}"/>
    <cellStyle name="Hed Side 5 6 7" xfId="16520" xr:uid="{00000000-0005-0000-0000-0000B1470000}"/>
    <cellStyle name="Hed Side 5 6 7 2" xfId="16521" xr:uid="{00000000-0005-0000-0000-0000B2470000}"/>
    <cellStyle name="Hed Side 5 6 8" xfId="16522" xr:uid="{00000000-0005-0000-0000-0000B3470000}"/>
    <cellStyle name="Hed Side 5 6 8 2" xfId="16523" xr:uid="{00000000-0005-0000-0000-0000B4470000}"/>
    <cellStyle name="Hed Side 5 6 9" xfId="16524" xr:uid="{00000000-0005-0000-0000-0000B5470000}"/>
    <cellStyle name="Hed Side 5 6 9 2" xfId="16525" xr:uid="{00000000-0005-0000-0000-0000B6470000}"/>
    <cellStyle name="Hed Side 5 7" xfId="16526" xr:uid="{00000000-0005-0000-0000-0000B7470000}"/>
    <cellStyle name="Hed Side 5 7 10" xfId="16527" xr:uid="{00000000-0005-0000-0000-0000B8470000}"/>
    <cellStyle name="Hed Side 5 7 2" xfId="16528" xr:uid="{00000000-0005-0000-0000-0000B9470000}"/>
    <cellStyle name="Hed Side 5 7 2 2" xfId="16529" xr:uid="{00000000-0005-0000-0000-0000BA470000}"/>
    <cellStyle name="Hed Side 5 7 3" xfId="16530" xr:uid="{00000000-0005-0000-0000-0000BB470000}"/>
    <cellStyle name="Hed Side 5 7 3 2" xfId="16531" xr:uid="{00000000-0005-0000-0000-0000BC470000}"/>
    <cellStyle name="Hed Side 5 7 4" xfId="16532" xr:uid="{00000000-0005-0000-0000-0000BD470000}"/>
    <cellStyle name="Hed Side 5 7 4 2" xfId="16533" xr:uid="{00000000-0005-0000-0000-0000BE470000}"/>
    <cellStyle name="Hed Side 5 7 5" xfId="16534" xr:uid="{00000000-0005-0000-0000-0000BF470000}"/>
    <cellStyle name="Hed Side 5 7 5 2" xfId="16535" xr:uid="{00000000-0005-0000-0000-0000C0470000}"/>
    <cellStyle name="Hed Side 5 7 6" xfId="16536" xr:uid="{00000000-0005-0000-0000-0000C1470000}"/>
    <cellStyle name="Hed Side 5 7 6 2" xfId="16537" xr:uid="{00000000-0005-0000-0000-0000C2470000}"/>
    <cellStyle name="Hed Side 5 7 7" xfId="16538" xr:uid="{00000000-0005-0000-0000-0000C3470000}"/>
    <cellStyle name="Hed Side 5 7 7 2" xfId="16539" xr:uid="{00000000-0005-0000-0000-0000C4470000}"/>
    <cellStyle name="Hed Side 5 7 8" xfId="16540" xr:uid="{00000000-0005-0000-0000-0000C5470000}"/>
    <cellStyle name="Hed Side 5 7 8 2" xfId="16541" xr:uid="{00000000-0005-0000-0000-0000C6470000}"/>
    <cellStyle name="Hed Side 5 7 9" xfId="16542" xr:uid="{00000000-0005-0000-0000-0000C7470000}"/>
    <cellStyle name="Hed Side 5 7 9 2" xfId="16543" xr:uid="{00000000-0005-0000-0000-0000C8470000}"/>
    <cellStyle name="Hed Side 5 8" xfId="16544" xr:uid="{00000000-0005-0000-0000-0000C9470000}"/>
    <cellStyle name="Hed Side 5 8 10" xfId="16545" xr:uid="{00000000-0005-0000-0000-0000CA470000}"/>
    <cellStyle name="Hed Side 5 8 2" xfId="16546" xr:uid="{00000000-0005-0000-0000-0000CB470000}"/>
    <cellStyle name="Hed Side 5 8 2 2" xfId="16547" xr:uid="{00000000-0005-0000-0000-0000CC470000}"/>
    <cellStyle name="Hed Side 5 8 3" xfId="16548" xr:uid="{00000000-0005-0000-0000-0000CD470000}"/>
    <cellStyle name="Hed Side 5 8 3 2" xfId="16549" xr:uid="{00000000-0005-0000-0000-0000CE470000}"/>
    <cellStyle name="Hed Side 5 8 4" xfId="16550" xr:uid="{00000000-0005-0000-0000-0000CF470000}"/>
    <cellStyle name="Hed Side 5 8 4 2" xfId="16551" xr:uid="{00000000-0005-0000-0000-0000D0470000}"/>
    <cellStyle name="Hed Side 5 8 5" xfId="16552" xr:uid="{00000000-0005-0000-0000-0000D1470000}"/>
    <cellStyle name="Hed Side 5 8 5 2" xfId="16553" xr:uid="{00000000-0005-0000-0000-0000D2470000}"/>
    <cellStyle name="Hed Side 5 8 6" xfId="16554" xr:uid="{00000000-0005-0000-0000-0000D3470000}"/>
    <cellStyle name="Hed Side 5 8 6 2" xfId="16555" xr:uid="{00000000-0005-0000-0000-0000D4470000}"/>
    <cellStyle name="Hed Side 5 8 7" xfId="16556" xr:uid="{00000000-0005-0000-0000-0000D5470000}"/>
    <cellStyle name="Hed Side 5 8 7 2" xfId="16557" xr:uid="{00000000-0005-0000-0000-0000D6470000}"/>
    <cellStyle name="Hed Side 5 8 8" xfId="16558" xr:uid="{00000000-0005-0000-0000-0000D7470000}"/>
    <cellStyle name="Hed Side 5 8 8 2" xfId="16559" xr:uid="{00000000-0005-0000-0000-0000D8470000}"/>
    <cellStyle name="Hed Side 5 8 9" xfId="16560" xr:uid="{00000000-0005-0000-0000-0000D9470000}"/>
    <cellStyle name="Hed Side 5 8 9 2" xfId="16561" xr:uid="{00000000-0005-0000-0000-0000DA470000}"/>
    <cellStyle name="Hed Side 5 9" xfId="16562" xr:uid="{00000000-0005-0000-0000-0000DB470000}"/>
    <cellStyle name="Hed Side 5 9 10" xfId="16563" xr:uid="{00000000-0005-0000-0000-0000DC470000}"/>
    <cellStyle name="Hed Side 5 9 2" xfId="16564" xr:uid="{00000000-0005-0000-0000-0000DD470000}"/>
    <cellStyle name="Hed Side 5 9 2 2" xfId="16565" xr:uid="{00000000-0005-0000-0000-0000DE470000}"/>
    <cellStyle name="Hed Side 5 9 3" xfId="16566" xr:uid="{00000000-0005-0000-0000-0000DF470000}"/>
    <cellStyle name="Hed Side 5 9 3 2" xfId="16567" xr:uid="{00000000-0005-0000-0000-0000E0470000}"/>
    <cellStyle name="Hed Side 5 9 4" xfId="16568" xr:uid="{00000000-0005-0000-0000-0000E1470000}"/>
    <cellStyle name="Hed Side 5 9 4 2" xfId="16569" xr:uid="{00000000-0005-0000-0000-0000E2470000}"/>
    <cellStyle name="Hed Side 5 9 5" xfId="16570" xr:uid="{00000000-0005-0000-0000-0000E3470000}"/>
    <cellStyle name="Hed Side 5 9 5 2" xfId="16571" xr:uid="{00000000-0005-0000-0000-0000E4470000}"/>
    <cellStyle name="Hed Side 5 9 6" xfId="16572" xr:uid="{00000000-0005-0000-0000-0000E5470000}"/>
    <cellStyle name="Hed Side 5 9 6 2" xfId="16573" xr:uid="{00000000-0005-0000-0000-0000E6470000}"/>
    <cellStyle name="Hed Side 5 9 7" xfId="16574" xr:uid="{00000000-0005-0000-0000-0000E7470000}"/>
    <cellStyle name="Hed Side 5 9 7 2" xfId="16575" xr:uid="{00000000-0005-0000-0000-0000E8470000}"/>
    <cellStyle name="Hed Side 5 9 8" xfId="16576" xr:uid="{00000000-0005-0000-0000-0000E9470000}"/>
    <cellStyle name="Hed Side 5 9 8 2" xfId="16577" xr:uid="{00000000-0005-0000-0000-0000EA470000}"/>
    <cellStyle name="Hed Side 5 9 9" xfId="16578" xr:uid="{00000000-0005-0000-0000-0000EB470000}"/>
    <cellStyle name="Hed Side 5 9 9 2" xfId="16579" xr:uid="{00000000-0005-0000-0000-0000EC470000}"/>
    <cellStyle name="Hed Side 6" xfId="16580" xr:uid="{00000000-0005-0000-0000-0000ED470000}"/>
    <cellStyle name="Hed Side 6 10" xfId="16581" xr:uid="{00000000-0005-0000-0000-0000EE470000}"/>
    <cellStyle name="Hed Side 6 10 2" xfId="16582" xr:uid="{00000000-0005-0000-0000-0000EF470000}"/>
    <cellStyle name="Hed Side 6 10 2 2" xfId="16583" xr:uid="{00000000-0005-0000-0000-0000F0470000}"/>
    <cellStyle name="Hed Side 6 10 3" xfId="16584" xr:uid="{00000000-0005-0000-0000-0000F1470000}"/>
    <cellStyle name="Hed Side 6 10 3 2" xfId="16585" xr:uid="{00000000-0005-0000-0000-0000F2470000}"/>
    <cellStyle name="Hed Side 6 10 4" xfId="16586" xr:uid="{00000000-0005-0000-0000-0000F3470000}"/>
    <cellStyle name="Hed Side 6 10 4 2" xfId="16587" xr:uid="{00000000-0005-0000-0000-0000F4470000}"/>
    <cellStyle name="Hed Side 6 10 5" xfId="16588" xr:uid="{00000000-0005-0000-0000-0000F5470000}"/>
    <cellStyle name="Hed Side 6 10 5 2" xfId="16589" xr:uid="{00000000-0005-0000-0000-0000F6470000}"/>
    <cellStyle name="Hed Side 6 10 6" xfId="16590" xr:uid="{00000000-0005-0000-0000-0000F7470000}"/>
    <cellStyle name="Hed Side 6 10 6 2" xfId="16591" xr:uid="{00000000-0005-0000-0000-0000F8470000}"/>
    <cellStyle name="Hed Side 6 10 7" xfId="16592" xr:uid="{00000000-0005-0000-0000-0000F9470000}"/>
    <cellStyle name="Hed Side 6 10 7 2" xfId="16593" xr:uid="{00000000-0005-0000-0000-0000FA470000}"/>
    <cellStyle name="Hed Side 6 10 8" xfId="16594" xr:uid="{00000000-0005-0000-0000-0000FB470000}"/>
    <cellStyle name="Hed Side 6 10 8 2" xfId="16595" xr:uid="{00000000-0005-0000-0000-0000FC470000}"/>
    <cellStyle name="Hed Side 6 10 9" xfId="16596" xr:uid="{00000000-0005-0000-0000-0000FD470000}"/>
    <cellStyle name="Hed Side 6 11" xfId="16597" xr:uid="{00000000-0005-0000-0000-0000FE470000}"/>
    <cellStyle name="Hed Side 6 11 2" xfId="16598" xr:uid="{00000000-0005-0000-0000-0000FF470000}"/>
    <cellStyle name="Hed Side 6 12" xfId="16599" xr:uid="{00000000-0005-0000-0000-000000480000}"/>
    <cellStyle name="Hed Side 6 12 2" xfId="16600" xr:uid="{00000000-0005-0000-0000-000001480000}"/>
    <cellStyle name="Hed Side 6 13" xfId="16601" xr:uid="{00000000-0005-0000-0000-000002480000}"/>
    <cellStyle name="Hed Side 6 13 2" xfId="16602" xr:uid="{00000000-0005-0000-0000-000003480000}"/>
    <cellStyle name="Hed Side 6 14" xfId="16603" xr:uid="{00000000-0005-0000-0000-000004480000}"/>
    <cellStyle name="Hed Side 6 14 2" xfId="16604" xr:uid="{00000000-0005-0000-0000-000005480000}"/>
    <cellStyle name="Hed Side 6 15" xfId="16605" xr:uid="{00000000-0005-0000-0000-000006480000}"/>
    <cellStyle name="Hed Side 6 15 2" xfId="16606" xr:uid="{00000000-0005-0000-0000-000007480000}"/>
    <cellStyle name="Hed Side 6 16" xfId="16607" xr:uid="{00000000-0005-0000-0000-000008480000}"/>
    <cellStyle name="Hed Side 6 16 2" xfId="16608" xr:uid="{00000000-0005-0000-0000-000009480000}"/>
    <cellStyle name="Hed Side 6 17" xfId="16609" xr:uid="{00000000-0005-0000-0000-00000A480000}"/>
    <cellStyle name="Hed Side 6 17 2" xfId="16610" xr:uid="{00000000-0005-0000-0000-00000B480000}"/>
    <cellStyle name="Hed Side 6 18" xfId="16611" xr:uid="{00000000-0005-0000-0000-00000C480000}"/>
    <cellStyle name="Hed Side 6 2" xfId="16612" xr:uid="{00000000-0005-0000-0000-00000D480000}"/>
    <cellStyle name="Hed Side 6 2 10" xfId="16613" xr:uid="{00000000-0005-0000-0000-00000E480000}"/>
    <cellStyle name="Hed Side 6 2 2" xfId="16614" xr:uid="{00000000-0005-0000-0000-00000F480000}"/>
    <cellStyle name="Hed Side 6 2 2 2" xfId="16615" xr:uid="{00000000-0005-0000-0000-000010480000}"/>
    <cellStyle name="Hed Side 6 2 3" xfId="16616" xr:uid="{00000000-0005-0000-0000-000011480000}"/>
    <cellStyle name="Hed Side 6 2 3 2" xfId="16617" xr:uid="{00000000-0005-0000-0000-000012480000}"/>
    <cellStyle name="Hed Side 6 2 4" xfId="16618" xr:uid="{00000000-0005-0000-0000-000013480000}"/>
    <cellStyle name="Hed Side 6 2 4 2" xfId="16619" xr:uid="{00000000-0005-0000-0000-000014480000}"/>
    <cellStyle name="Hed Side 6 2 5" xfId="16620" xr:uid="{00000000-0005-0000-0000-000015480000}"/>
    <cellStyle name="Hed Side 6 2 5 2" xfId="16621" xr:uid="{00000000-0005-0000-0000-000016480000}"/>
    <cellStyle name="Hed Side 6 2 6" xfId="16622" xr:uid="{00000000-0005-0000-0000-000017480000}"/>
    <cellStyle name="Hed Side 6 2 6 2" xfId="16623" xr:uid="{00000000-0005-0000-0000-000018480000}"/>
    <cellStyle name="Hed Side 6 2 7" xfId="16624" xr:uid="{00000000-0005-0000-0000-000019480000}"/>
    <cellStyle name="Hed Side 6 2 7 2" xfId="16625" xr:uid="{00000000-0005-0000-0000-00001A480000}"/>
    <cellStyle name="Hed Side 6 2 8" xfId="16626" xr:uid="{00000000-0005-0000-0000-00001B480000}"/>
    <cellStyle name="Hed Side 6 2 8 2" xfId="16627" xr:uid="{00000000-0005-0000-0000-00001C480000}"/>
    <cellStyle name="Hed Side 6 2 9" xfId="16628" xr:uid="{00000000-0005-0000-0000-00001D480000}"/>
    <cellStyle name="Hed Side 6 2 9 2" xfId="16629" xr:uid="{00000000-0005-0000-0000-00001E480000}"/>
    <cellStyle name="Hed Side 6 3" xfId="16630" xr:uid="{00000000-0005-0000-0000-00001F480000}"/>
    <cellStyle name="Hed Side 6 3 10" xfId="16631" xr:uid="{00000000-0005-0000-0000-000020480000}"/>
    <cellStyle name="Hed Side 6 3 2" xfId="16632" xr:uid="{00000000-0005-0000-0000-000021480000}"/>
    <cellStyle name="Hed Side 6 3 2 2" xfId="16633" xr:uid="{00000000-0005-0000-0000-000022480000}"/>
    <cellStyle name="Hed Side 6 3 3" xfId="16634" xr:uid="{00000000-0005-0000-0000-000023480000}"/>
    <cellStyle name="Hed Side 6 3 3 2" xfId="16635" xr:uid="{00000000-0005-0000-0000-000024480000}"/>
    <cellStyle name="Hed Side 6 3 4" xfId="16636" xr:uid="{00000000-0005-0000-0000-000025480000}"/>
    <cellStyle name="Hed Side 6 3 4 2" xfId="16637" xr:uid="{00000000-0005-0000-0000-000026480000}"/>
    <cellStyle name="Hed Side 6 3 5" xfId="16638" xr:uid="{00000000-0005-0000-0000-000027480000}"/>
    <cellStyle name="Hed Side 6 3 5 2" xfId="16639" xr:uid="{00000000-0005-0000-0000-000028480000}"/>
    <cellStyle name="Hed Side 6 3 6" xfId="16640" xr:uid="{00000000-0005-0000-0000-000029480000}"/>
    <cellStyle name="Hed Side 6 3 6 2" xfId="16641" xr:uid="{00000000-0005-0000-0000-00002A480000}"/>
    <cellStyle name="Hed Side 6 3 7" xfId="16642" xr:uid="{00000000-0005-0000-0000-00002B480000}"/>
    <cellStyle name="Hed Side 6 3 7 2" xfId="16643" xr:uid="{00000000-0005-0000-0000-00002C480000}"/>
    <cellStyle name="Hed Side 6 3 8" xfId="16644" xr:uid="{00000000-0005-0000-0000-00002D480000}"/>
    <cellStyle name="Hed Side 6 3 8 2" xfId="16645" xr:uid="{00000000-0005-0000-0000-00002E480000}"/>
    <cellStyle name="Hed Side 6 3 9" xfId="16646" xr:uid="{00000000-0005-0000-0000-00002F480000}"/>
    <cellStyle name="Hed Side 6 3 9 2" xfId="16647" xr:uid="{00000000-0005-0000-0000-000030480000}"/>
    <cellStyle name="Hed Side 6 4" xfId="16648" xr:uid="{00000000-0005-0000-0000-000031480000}"/>
    <cellStyle name="Hed Side 6 4 10" xfId="16649" xr:uid="{00000000-0005-0000-0000-000032480000}"/>
    <cellStyle name="Hed Side 6 4 2" xfId="16650" xr:uid="{00000000-0005-0000-0000-000033480000}"/>
    <cellStyle name="Hed Side 6 4 2 2" xfId="16651" xr:uid="{00000000-0005-0000-0000-000034480000}"/>
    <cellStyle name="Hed Side 6 4 3" xfId="16652" xr:uid="{00000000-0005-0000-0000-000035480000}"/>
    <cellStyle name="Hed Side 6 4 3 2" xfId="16653" xr:uid="{00000000-0005-0000-0000-000036480000}"/>
    <cellStyle name="Hed Side 6 4 4" xfId="16654" xr:uid="{00000000-0005-0000-0000-000037480000}"/>
    <cellStyle name="Hed Side 6 4 4 2" xfId="16655" xr:uid="{00000000-0005-0000-0000-000038480000}"/>
    <cellStyle name="Hed Side 6 4 5" xfId="16656" xr:uid="{00000000-0005-0000-0000-000039480000}"/>
    <cellStyle name="Hed Side 6 4 5 2" xfId="16657" xr:uid="{00000000-0005-0000-0000-00003A480000}"/>
    <cellStyle name="Hed Side 6 4 6" xfId="16658" xr:uid="{00000000-0005-0000-0000-00003B480000}"/>
    <cellStyle name="Hed Side 6 4 6 2" xfId="16659" xr:uid="{00000000-0005-0000-0000-00003C480000}"/>
    <cellStyle name="Hed Side 6 4 7" xfId="16660" xr:uid="{00000000-0005-0000-0000-00003D480000}"/>
    <cellStyle name="Hed Side 6 4 7 2" xfId="16661" xr:uid="{00000000-0005-0000-0000-00003E480000}"/>
    <cellStyle name="Hed Side 6 4 8" xfId="16662" xr:uid="{00000000-0005-0000-0000-00003F480000}"/>
    <cellStyle name="Hed Side 6 4 8 2" xfId="16663" xr:uid="{00000000-0005-0000-0000-000040480000}"/>
    <cellStyle name="Hed Side 6 4 9" xfId="16664" xr:uid="{00000000-0005-0000-0000-000041480000}"/>
    <cellStyle name="Hed Side 6 4 9 2" xfId="16665" xr:uid="{00000000-0005-0000-0000-000042480000}"/>
    <cellStyle name="Hed Side 6 5" xfId="16666" xr:uid="{00000000-0005-0000-0000-000043480000}"/>
    <cellStyle name="Hed Side 6 5 10" xfId="16667" xr:uid="{00000000-0005-0000-0000-000044480000}"/>
    <cellStyle name="Hed Side 6 5 2" xfId="16668" xr:uid="{00000000-0005-0000-0000-000045480000}"/>
    <cellStyle name="Hed Side 6 5 2 2" xfId="16669" xr:uid="{00000000-0005-0000-0000-000046480000}"/>
    <cellStyle name="Hed Side 6 5 3" xfId="16670" xr:uid="{00000000-0005-0000-0000-000047480000}"/>
    <cellStyle name="Hed Side 6 5 3 2" xfId="16671" xr:uid="{00000000-0005-0000-0000-000048480000}"/>
    <cellStyle name="Hed Side 6 5 4" xfId="16672" xr:uid="{00000000-0005-0000-0000-000049480000}"/>
    <cellStyle name="Hed Side 6 5 4 2" xfId="16673" xr:uid="{00000000-0005-0000-0000-00004A480000}"/>
    <cellStyle name="Hed Side 6 5 5" xfId="16674" xr:uid="{00000000-0005-0000-0000-00004B480000}"/>
    <cellStyle name="Hed Side 6 5 5 2" xfId="16675" xr:uid="{00000000-0005-0000-0000-00004C480000}"/>
    <cellStyle name="Hed Side 6 5 6" xfId="16676" xr:uid="{00000000-0005-0000-0000-00004D480000}"/>
    <cellStyle name="Hed Side 6 5 6 2" xfId="16677" xr:uid="{00000000-0005-0000-0000-00004E480000}"/>
    <cellStyle name="Hed Side 6 5 7" xfId="16678" xr:uid="{00000000-0005-0000-0000-00004F480000}"/>
    <cellStyle name="Hed Side 6 5 7 2" xfId="16679" xr:uid="{00000000-0005-0000-0000-000050480000}"/>
    <cellStyle name="Hed Side 6 5 8" xfId="16680" xr:uid="{00000000-0005-0000-0000-000051480000}"/>
    <cellStyle name="Hed Side 6 5 8 2" xfId="16681" xr:uid="{00000000-0005-0000-0000-000052480000}"/>
    <cellStyle name="Hed Side 6 5 9" xfId="16682" xr:uid="{00000000-0005-0000-0000-000053480000}"/>
    <cellStyle name="Hed Side 6 5 9 2" xfId="16683" xr:uid="{00000000-0005-0000-0000-000054480000}"/>
    <cellStyle name="Hed Side 6 6" xfId="16684" xr:uid="{00000000-0005-0000-0000-000055480000}"/>
    <cellStyle name="Hed Side 6 6 10" xfId="16685" xr:uid="{00000000-0005-0000-0000-000056480000}"/>
    <cellStyle name="Hed Side 6 6 2" xfId="16686" xr:uid="{00000000-0005-0000-0000-000057480000}"/>
    <cellStyle name="Hed Side 6 6 2 2" xfId="16687" xr:uid="{00000000-0005-0000-0000-000058480000}"/>
    <cellStyle name="Hed Side 6 6 3" xfId="16688" xr:uid="{00000000-0005-0000-0000-000059480000}"/>
    <cellStyle name="Hed Side 6 6 3 2" xfId="16689" xr:uid="{00000000-0005-0000-0000-00005A480000}"/>
    <cellStyle name="Hed Side 6 6 4" xfId="16690" xr:uid="{00000000-0005-0000-0000-00005B480000}"/>
    <cellStyle name="Hed Side 6 6 4 2" xfId="16691" xr:uid="{00000000-0005-0000-0000-00005C480000}"/>
    <cellStyle name="Hed Side 6 6 5" xfId="16692" xr:uid="{00000000-0005-0000-0000-00005D480000}"/>
    <cellStyle name="Hed Side 6 6 5 2" xfId="16693" xr:uid="{00000000-0005-0000-0000-00005E480000}"/>
    <cellStyle name="Hed Side 6 6 6" xfId="16694" xr:uid="{00000000-0005-0000-0000-00005F480000}"/>
    <cellStyle name="Hed Side 6 6 6 2" xfId="16695" xr:uid="{00000000-0005-0000-0000-000060480000}"/>
    <cellStyle name="Hed Side 6 6 7" xfId="16696" xr:uid="{00000000-0005-0000-0000-000061480000}"/>
    <cellStyle name="Hed Side 6 6 7 2" xfId="16697" xr:uid="{00000000-0005-0000-0000-000062480000}"/>
    <cellStyle name="Hed Side 6 6 8" xfId="16698" xr:uid="{00000000-0005-0000-0000-000063480000}"/>
    <cellStyle name="Hed Side 6 6 8 2" xfId="16699" xr:uid="{00000000-0005-0000-0000-000064480000}"/>
    <cellStyle name="Hed Side 6 6 9" xfId="16700" xr:uid="{00000000-0005-0000-0000-000065480000}"/>
    <cellStyle name="Hed Side 6 6 9 2" xfId="16701" xr:uid="{00000000-0005-0000-0000-000066480000}"/>
    <cellStyle name="Hed Side 6 7" xfId="16702" xr:uid="{00000000-0005-0000-0000-000067480000}"/>
    <cellStyle name="Hed Side 6 7 10" xfId="16703" xr:uid="{00000000-0005-0000-0000-000068480000}"/>
    <cellStyle name="Hed Side 6 7 2" xfId="16704" xr:uid="{00000000-0005-0000-0000-000069480000}"/>
    <cellStyle name="Hed Side 6 7 2 2" xfId="16705" xr:uid="{00000000-0005-0000-0000-00006A480000}"/>
    <cellStyle name="Hed Side 6 7 3" xfId="16706" xr:uid="{00000000-0005-0000-0000-00006B480000}"/>
    <cellStyle name="Hed Side 6 7 3 2" xfId="16707" xr:uid="{00000000-0005-0000-0000-00006C480000}"/>
    <cellStyle name="Hed Side 6 7 4" xfId="16708" xr:uid="{00000000-0005-0000-0000-00006D480000}"/>
    <cellStyle name="Hed Side 6 7 4 2" xfId="16709" xr:uid="{00000000-0005-0000-0000-00006E480000}"/>
    <cellStyle name="Hed Side 6 7 5" xfId="16710" xr:uid="{00000000-0005-0000-0000-00006F480000}"/>
    <cellStyle name="Hed Side 6 7 5 2" xfId="16711" xr:uid="{00000000-0005-0000-0000-000070480000}"/>
    <cellStyle name="Hed Side 6 7 6" xfId="16712" xr:uid="{00000000-0005-0000-0000-000071480000}"/>
    <cellStyle name="Hed Side 6 7 6 2" xfId="16713" xr:uid="{00000000-0005-0000-0000-000072480000}"/>
    <cellStyle name="Hed Side 6 7 7" xfId="16714" xr:uid="{00000000-0005-0000-0000-000073480000}"/>
    <cellStyle name="Hed Side 6 7 7 2" xfId="16715" xr:uid="{00000000-0005-0000-0000-000074480000}"/>
    <cellStyle name="Hed Side 6 7 8" xfId="16716" xr:uid="{00000000-0005-0000-0000-000075480000}"/>
    <cellStyle name="Hed Side 6 7 8 2" xfId="16717" xr:uid="{00000000-0005-0000-0000-000076480000}"/>
    <cellStyle name="Hed Side 6 7 9" xfId="16718" xr:uid="{00000000-0005-0000-0000-000077480000}"/>
    <cellStyle name="Hed Side 6 7 9 2" xfId="16719" xr:uid="{00000000-0005-0000-0000-000078480000}"/>
    <cellStyle name="Hed Side 6 8" xfId="16720" xr:uid="{00000000-0005-0000-0000-000079480000}"/>
    <cellStyle name="Hed Side 6 8 10" xfId="16721" xr:uid="{00000000-0005-0000-0000-00007A480000}"/>
    <cellStyle name="Hed Side 6 8 2" xfId="16722" xr:uid="{00000000-0005-0000-0000-00007B480000}"/>
    <cellStyle name="Hed Side 6 8 2 2" xfId="16723" xr:uid="{00000000-0005-0000-0000-00007C480000}"/>
    <cellStyle name="Hed Side 6 8 3" xfId="16724" xr:uid="{00000000-0005-0000-0000-00007D480000}"/>
    <cellStyle name="Hed Side 6 8 3 2" xfId="16725" xr:uid="{00000000-0005-0000-0000-00007E480000}"/>
    <cellStyle name="Hed Side 6 8 4" xfId="16726" xr:uid="{00000000-0005-0000-0000-00007F480000}"/>
    <cellStyle name="Hed Side 6 8 4 2" xfId="16727" xr:uid="{00000000-0005-0000-0000-000080480000}"/>
    <cellStyle name="Hed Side 6 8 5" xfId="16728" xr:uid="{00000000-0005-0000-0000-000081480000}"/>
    <cellStyle name="Hed Side 6 8 5 2" xfId="16729" xr:uid="{00000000-0005-0000-0000-000082480000}"/>
    <cellStyle name="Hed Side 6 8 6" xfId="16730" xr:uid="{00000000-0005-0000-0000-000083480000}"/>
    <cellStyle name="Hed Side 6 8 6 2" xfId="16731" xr:uid="{00000000-0005-0000-0000-000084480000}"/>
    <cellStyle name="Hed Side 6 8 7" xfId="16732" xr:uid="{00000000-0005-0000-0000-000085480000}"/>
    <cellStyle name="Hed Side 6 8 7 2" xfId="16733" xr:uid="{00000000-0005-0000-0000-000086480000}"/>
    <cellStyle name="Hed Side 6 8 8" xfId="16734" xr:uid="{00000000-0005-0000-0000-000087480000}"/>
    <cellStyle name="Hed Side 6 8 8 2" xfId="16735" xr:uid="{00000000-0005-0000-0000-000088480000}"/>
    <cellStyle name="Hed Side 6 8 9" xfId="16736" xr:uid="{00000000-0005-0000-0000-000089480000}"/>
    <cellStyle name="Hed Side 6 8 9 2" xfId="16737" xr:uid="{00000000-0005-0000-0000-00008A480000}"/>
    <cellStyle name="Hed Side 6 9" xfId="16738" xr:uid="{00000000-0005-0000-0000-00008B480000}"/>
    <cellStyle name="Hed Side 6 9 10" xfId="16739" xr:uid="{00000000-0005-0000-0000-00008C480000}"/>
    <cellStyle name="Hed Side 6 9 2" xfId="16740" xr:uid="{00000000-0005-0000-0000-00008D480000}"/>
    <cellStyle name="Hed Side 6 9 2 2" xfId="16741" xr:uid="{00000000-0005-0000-0000-00008E480000}"/>
    <cellStyle name="Hed Side 6 9 3" xfId="16742" xr:uid="{00000000-0005-0000-0000-00008F480000}"/>
    <cellStyle name="Hed Side 6 9 3 2" xfId="16743" xr:uid="{00000000-0005-0000-0000-000090480000}"/>
    <cellStyle name="Hed Side 6 9 4" xfId="16744" xr:uid="{00000000-0005-0000-0000-000091480000}"/>
    <cellStyle name="Hed Side 6 9 4 2" xfId="16745" xr:uid="{00000000-0005-0000-0000-000092480000}"/>
    <cellStyle name="Hed Side 6 9 5" xfId="16746" xr:uid="{00000000-0005-0000-0000-000093480000}"/>
    <cellStyle name="Hed Side 6 9 5 2" xfId="16747" xr:uid="{00000000-0005-0000-0000-000094480000}"/>
    <cellStyle name="Hed Side 6 9 6" xfId="16748" xr:uid="{00000000-0005-0000-0000-000095480000}"/>
    <cellStyle name="Hed Side 6 9 6 2" xfId="16749" xr:uid="{00000000-0005-0000-0000-000096480000}"/>
    <cellStyle name="Hed Side 6 9 7" xfId="16750" xr:uid="{00000000-0005-0000-0000-000097480000}"/>
    <cellStyle name="Hed Side 6 9 7 2" xfId="16751" xr:uid="{00000000-0005-0000-0000-000098480000}"/>
    <cellStyle name="Hed Side 6 9 8" xfId="16752" xr:uid="{00000000-0005-0000-0000-000099480000}"/>
    <cellStyle name="Hed Side 6 9 8 2" xfId="16753" xr:uid="{00000000-0005-0000-0000-00009A480000}"/>
    <cellStyle name="Hed Side 6 9 9" xfId="16754" xr:uid="{00000000-0005-0000-0000-00009B480000}"/>
    <cellStyle name="Hed Side 6 9 9 2" xfId="16755" xr:uid="{00000000-0005-0000-0000-00009C480000}"/>
    <cellStyle name="Hed Side bold" xfId="74" xr:uid="{00000000-0005-0000-0000-00009D480000}"/>
    <cellStyle name="Hed Side Indent" xfId="75" xr:uid="{00000000-0005-0000-0000-00009E480000}"/>
    <cellStyle name="Hed Side Indent 2" xfId="168" xr:uid="{00000000-0005-0000-0000-00009F480000}"/>
    <cellStyle name="Hed Side Indent 2 2" xfId="16756" xr:uid="{00000000-0005-0000-0000-0000A0480000}"/>
    <cellStyle name="Hed Side Indent 2 2 10" xfId="16757" xr:uid="{00000000-0005-0000-0000-0000A1480000}"/>
    <cellStyle name="Hed Side Indent 2 2 10 10" xfId="16758" xr:uid="{00000000-0005-0000-0000-0000A2480000}"/>
    <cellStyle name="Hed Side Indent 2 2 10 2" xfId="16759" xr:uid="{00000000-0005-0000-0000-0000A3480000}"/>
    <cellStyle name="Hed Side Indent 2 2 10 2 2" xfId="16760" xr:uid="{00000000-0005-0000-0000-0000A4480000}"/>
    <cellStyle name="Hed Side Indent 2 2 10 3" xfId="16761" xr:uid="{00000000-0005-0000-0000-0000A5480000}"/>
    <cellStyle name="Hed Side Indent 2 2 10 3 2" xfId="16762" xr:uid="{00000000-0005-0000-0000-0000A6480000}"/>
    <cellStyle name="Hed Side Indent 2 2 10 4" xfId="16763" xr:uid="{00000000-0005-0000-0000-0000A7480000}"/>
    <cellStyle name="Hed Side Indent 2 2 10 4 2" xfId="16764" xr:uid="{00000000-0005-0000-0000-0000A8480000}"/>
    <cellStyle name="Hed Side Indent 2 2 10 5" xfId="16765" xr:uid="{00000000-0005-0000-0000-0000A9480000}"/>
    <cellStyle name="Hed Side Indent 2 2 10 5 2" xfId="16766" xr:uid="{00000000-0005-0000-0000-0000AA480000}"/>
    <cellStyle name="Hed Side Indent 2 2 10 6" xfId="16767" xr:uid="{00000000-0005-0000-0000-0000AB480000}"/>
    <cellStyle name="Hed Side Indent 2 2 10 6 2" xfId="16768" xr:uid="{00000000-0005-0000-0000-0000AC480000}"/>
    <cellStyle name="Hed Side Indent 2 2 10 7" xfId="16769" xr:uid="{00000000-0005-0000-0000-0000AD480000}"/>
    <cellStyle name="Hed Side Indent 2 2 10 7 2" xfId="16770" xr:uid="{00000000-0005-0000-0000-0000AE480000}"/>
    <cellStyle name="Hed Side Indent 2 2 10 8" xfId="16771" xr:uid="{00000000-0005-0000-0000-0000AF480000}"/>
    <cellStyle name="Hed Side Indent 2 2 10 8 2" xfId="16772" xr:uid="{00000000-0005-0000-0000-0000B0480000}"/>
    <cellStyle name="Hed Side Indent 2 2 10 9" xfId="16773" xr:uid="{00000000-0005-0000-0000-0000B1480000}"/>
    <cellStyle name="Hed Side Indent 2 2 10 9 2" xfId="16774" xr:uid="{00000000-0005-0000-0000-0000B2480000}"/>
    <cellStyle name="Hed Side Indent 2 2 11" xfId="16775" xr:uid="{00000000-0005-0000-0000-0000B3480000}"/>
    <cellStyle name="Hed Side Indent 2 2 11 2" xfId="16776" xr:uid="{00000000-0005-0000-0000-0000B4480000}"/>
    <cellStyle name="Hed Side Indent 2 2 11 2 2" xfId="16777" xr:uid="{00000000-0005-0000-0000-0000B5480000}"/>
    <cellStyle name="Hed Side Indent 2 2 11 3" xfId="16778" xr:uid="{00000000-0005-0000-0000-0000B6480000}"/>
    <cellStyle name="Hed Side Indent 2 2 11 3 2" xfId="16779" xr:uid="{00000000-0005-0000-0000-0000B7480000}"/>
    <cellStyle name="Hed Side Indent 2 2 11 4" xfId="16780" xr:uid="{00000000-0005-0000-0000-0000B8480000}"/>
    <cellStyle name="Hed Side Indent 2 2 11 4 2" xfId="16781" xr:uid="{00000000-0005-0000-0000-0000B9480000}"/>
    <cellStyle name="Hed Side Indent 2 2 11 5" xfId="16782" xr:uid="{00000000-0005-0000-0000-0000BA480000}"/>
    <cellStyle name="Hed Side Indent 2 2 11 5 2" xfId="16783" xr:uid="{00000000-0005-0000-0000-0000BB480000}"/>
    <cellStyle name="Hed Side Indent 2 2 11 6" xfId="16784" xr:uid="{00000000-0005-0000-0000-0000BC480000}"/>
    <cellStyle name="Hed Side Indent 2 2 11 6 2" xfId="16785" xr:uid="{00000000-0005-0000-0000-0000BD480000}"/>
    <cellStyle name="Hed Side Indent 2 2 11 7" xfId="16786" xr:uid="{00000000-0005-0000-0000-0000BE480000}"/>
    <cellStyle name="Hed Side Indent 2 2 11 7 2" xfId="16787" xr:uid="{00000000-0005-0000-0000-0000BF480000}"/>
    <cellStyle name="Hed Side Indent 2 2 11 8" xfId="16788" xr:uid="{00000000-0005-0000-0000-0000C0480000}"/>
    <cellStyle name="Hed Side Indent 2 2 11 8 2" xfId="16789" xr:uid="{00000000-0005-0000-0000-0000C1480000}"/>
    <cellStyle name="Hed Side Indent 2 2 11 9" xfId="16790" xr:uid="{00000000-0005-0000-0000-0000C2480000}"/>
    <cellStyle name="Hed Side Indent 2 2 2" xfId="16791" xr:uid="{00000000-0005-0000-0000-0000C3480000}"/>
    <cellStyle name="Hed Side Indent 2 2 2 10" xfId="16792" xr:uid="{00000000-0005-0000-0000-0000C4480000}"/>
    <cellStyle name="Hed Side Indent 2 2 2 2" xfId="16793" xr:uid="{00000000-0005-0000-0000-0000C5480000}"/>
    <cellStyle name="Hed Side Indent 2 2 2 2 2" xfId="16794" xr:uid="{00000000-0005-0000-0000-0000C6480000}"/>
    <cellStyle name="Hed Side Indent 2 2 2 3" xfId="16795" xr:uid="{00000000-0005-0000-0000-0000C7480000}"/>
    <cellStyle name="Hed Side Indent 2 2 2 3 2" xfId="16796" xr:uid="{00000000-0005-0000-0000-0000C8480000}"/>
    <cellStyle name="Hed Side Indent 2 2 2 4" xfId="16797" xr:uid="{00000000-0005-0000-0000-0000C9480000}"/>
    <cellStyle name="Hed Side Indent 2 2 2 4 2" xfId="16798" xr:uid="{00000000-0005-0000-0000-0000CA480000}"/>
    <cellStyle name="Hed Side Indent 2 2 2 5" xfId="16799" xr:uid="{00000000-0005-0000-0000-0000CB480000}"/>
    <cellStyle name="Hed Side Indent 2 2 2 5 2" xfId="16800" xr:uid="{00000000-0005-0000-0000-0000CC480000}"/>
    <cellStyle name="Hed Side Indent 2 2 2 6" xfId="16801" xr:uid="{00000000-0005-0000-0000-0000CD480000}"/>
    <cellStyle name="Hed Side Indent 2 2 2 6 2" xfId="16802" xr:uid="{00000000-0005-0000-0000-0000CE480000}"/>
    <cellStyle name="Hed Side Indent 2 2 2 7" xfId="16803" xr:uid="{00000000-0005-0000-0000-0000CF480000}"/>
    <cellStyle name="Hed Side Indent 2 2 2 7 2" xfId="16804" xr:uid="{00000000-0005-0000-0000-0000D0480000}"/>
    <cellStyle name="Hed Side Indent 2 2 2 8" xfId="16805" xr:uid="{00000000-0005-0000-0000-0000D1480000}"/>
    <cellStyle name="Hed Side Indent 2 2 2 8 2" xfId="16806" xr:uid="{00000000-0005-0000-0000-0000D2480000}"/>
    <cellStyle name="Hed Side Indent 2 2 2 9" xfId="16807" xr:uid="{00000000-0005-0000-0000-0000D3480000}"/>
    <cellStyle name="Hed Side Indent 2 2 2 9 2" xfId="16808" xr:uid="{00000000-0005-0000-0000-0000D4480000}"/>
    <cellStyle name="Hed Side Indent 2 2 3" xfId="16809" xr:uid="{00000000-0005-0000-0000-0000D5480000}"/>
    <cellStyle name="Hed Side Indent 2 2 3 10" xfId="16810" xr:uid="{00000000-0005-0000-0000-0000D6480000}"/>
    <cellStyle name="Hed Side Indent 2 2 3 2" xfId="16811" xr:uid="{00000000-0005-0000-0000-0000D7480000}"/>
    <cellStyle name="Hed Side Indent 2 2 3 2 2" xfId="16812" xr:uid="{00000000-0005-0000-0000-0000D8480000}"/>
    <cellStyle name="Hed Side Indent 2 2 3 3" xfId="16813" xr:uid="{00000000-0005-0000-0000-0000D9480000}"/>
    <cellStyle name="Hed Side Indent 2 2 3 3 2" xfId="16814" xr:uid="{00000000-0005-0000-0000-0000DA480000}"/>
    <cellStyle name="Hed Side Indent 2 2 3 4" xfId="16815" xr:uid="{00000000-0005-0000-0000-0000DB480000}"/>
    <cellStyle name="Hed Side Indent 2 2 3 4 2" xfId="16816" xr:uid="{00000000-0005-0000-0000-0000DC480000}"/>
    <cellStyle name="Hed Side Indent 2 2 3 5" xfId="16817" xr:uid="{00000000-0005-0000-0000-0000DD480000}"/>
    <cellStyle name="Hed Side Indent 2 2 3 5 2" xfId="16818" xr:uid="{00000000-0005-0000-0000-0000DE480000}"/>
    <cellStyle name="Hed Side Indent 2 2 3 6" xfId="16819" xr:uid="{00000000-0005-0000-0000-0000DF480000}"/>
    <cellStyle name="Hed Side Indent 2 2 3 6 2" xfId="16820" xr:uid="{00000000-0005-0000-0000-0000E0480000}"/>
    <cellStyle name="Hed Side Indent 2 2 3 7" xfId="16821" xr:uid="{00000000-0005-0000-0000-0000E1480000}"/>
    <cellStyle name="Hed Side Indent 2 2 3 7 2" xfId="16822" xr:uid="{00000000-0005-0000-0000-0000E2480000}"/>
    <cellStyle name="Hed Side Indent 2 2 3 8" xfId="16823" xr:uid="{00000000-0005-0000-0000-0000E3480000}"/>
    <cellStyle name="Hed Side Indent 2 2 3 8 2" xfId="16824" xr:uid="{00000000-0005-0000-0000-0000E4480000}"/>
    <cellStyle name="Hed Side Indent 2 2 3 9" xfId="16825" xr:uid="{00000000-0005-0000-0000-0000E5480000}"/>
    <cellStyle name="Hed Side Indent 2 2 3 9 2" xfId="16826" xr:uid="{00000000-0005-0000-0000-0000E6480000}"/>
    <cellStyle name="Hed Side Indent 2 2 4" xfId="16827" xr:uid="{00000000-0005-0000-0000-0000E7480000}"/>
    <cellStyle name="Hed Side Indent 2 2 4 10" xfId="16828" xr:uid="{00000000-0005-0000-0000-0000E8480000}"/>
    <cellStyle name="Hed Side Indent 2 2 4 2" xfId="16829" xr:uid="{00000000-0005-0000-0000-0000E9480000}"/>
    <cellStyle name="Hed Side Indent 2 2 4 2 2" xfId="16830" xr:uid="{00000000-0005-0000-0000-0000EA480000}"/>
    <cellStyle name="Hed Side Indent 2 2 4 3" xfId="16831" xr:uid="{00000000-0005-0000-0000-0000EB480000}"/>
    <cellStyle name="Hed Side Indent 2 2 4 3 2" xfId="16832" xr:uid="{00000000-0005-0000-0000-0000EC480000}"/>
    <cellStyle name="Hed Side Indent 2 2 4 4" xfId="16833" xr:uid="{00000000-0005-0000-0000-0000ED480000}"/>
    <cellStyle name="Hed Side Indent 2 2 4 4 2" xfId="16834" xr:uid="{00000000-0005-0000-0000-0000EE480000}"/>
    <cellStyle name="Hed Side Indent 2 2 4 5" xfId="16835" xr:uid="{00000000-0005-0000-0000-0000EF480000}"/>
    <cellStyle name="Hed Side Indent 2 2 4 5 2" xfId="16836" xr:uid="{00000000-0005-0000-0000-0000F0480000}"/>
    <cellStyle name="Hed Side Indent 2 2 4 6" xfId="16837" xr:uid="{00000000-0005-0000-0000-0000F1480000}"/>
    <cellStyle name="Hed Side Indent 2 2 4 6 2" xfId="16838" xr:uid="{00000000-0005-0000-0000-0000F2480000}"/>
    <cellStyle name="Hed Side Indent 2 2 4 7" xfId="16839" xr:uid="{00000000-0005-0000-0000-0000F3480000}"/>
    <cellStyle name="Hed Side Indent 2 2 4 7 2" xfId="16840" xr:uid="{00000000-0005-0000-0000-0000F4480000}"/>
    <cellStyle name="Hed Side Indent 2 2 4 8" xfId="16841" xr:uid="{00000000-0005-0000-0000-0000F5480000}"/>
    <cellStyle name="Hed Side Indent 2 2 4 8 2" xfId="16842" xr:uid="{00000000-0005-0000-0000-0000F6480000}"/>
    <cellStyle name="Hed Side Indent 2 2 4 9" xfId="16843" xr:uid="{00000000-0005-0000-0000-0000F7480000}"/>
    <cellStyle name="Hed Side Indent 2 2 4 9 2" xfId="16844" xr:uid="{00000000-0005-0000-0000-0000F8480000}"/>
    <cellStyle name="Hed Side Indent 2 2 5" xfId="16845" xr:uid="{00000000-0005-0000-0000-0000F9480000}"/>
    <cellStyle name="Hed Side Indent 2 2 5 10" xfId="16846" xr:uid="{00000000-0005-0000-0000-0000FA480000}"/>
    <cellStyle name="Hed Side Indent 2 2 5 2" xfId="16847" xr:uid="{00000000-0005-0000-0000-0000FB480000}"/>
    <cellStyle name="Hed Side Indent 2 2 5 2 2" xfId="16848" xr:uid="{00000000-0005-0000-0000-0000FC480000}"/>
    <cellStyle name="Hed Side Indent 2 2 5 3" xfId="16849" xr:uid="{00000000-0005-0000-0000-0000FD480000}"/>
    <cellStyle name="Hed Side Indent 2 2 5 3 2" xfId="16850" xr:uid="{00000000-0005-0000-0000-0000FE480000}"/>
    <cellStyle name="Hed Side Indent 2 2 5 4" xfId="16851" xr:uid="{00000000-0005-0000-0000-0000FF480000}"/>
    <cellStyle name="Hed Side Indent 2 2 5 4 2" xfId="16852" xr:uid="{00000000-0005-0000-0000-000000490000}"/>
    <cellStyle name="Hed Side Indent 2 2 5 5" xfId="16853" xr:uid="{00000000-0005-0000-0000-000001490000}"/>
    <cellStyle name="Hed Side Indent 2 2 5 5 2" xfId="16854" xr:uid="{00000000-0005-0000-0000-000002490000}"/>
    <cellStyle name="Hed Side Indent 2 2 5 6" xfId="16855" xr:uid="{00000000-0005-0000-0000-000003490000}"/>
    <cellStyle name="Hed Side Indent 2 2 5 6 2" xfId="16856" xr:uid="{00000000-0005-0000-0000-000004490000}"/>
    <cellStyle name="Hed Side Indent 2 2 5 7" xfId="16857" xr:uid="{00000000-0005-0000-0000-000005490000}"/>
    <cellStyle name="Hed Side Indent 2 2 5 7 2" xfId="16858" xr:uid="{00000000-0005-0000-0000-000006490000}"/>
    <cellStyle name="Hed Side Indent 2 2 5 8" xfId="16859" xr:uid="{00000000-0005-0000-0000-000007490000}"/>
    <cellStyle name="Hed Side Indent 2 2 5 8 2" xfId="16860" xr:uid="{00000000-0005-0000-0000-000008490000}"/>
    <cellStyle name="Hed Side Indent 2 2 5 9" xfId="16861" xr:uid="{00000000-0005-0000-0000-000009490000}"/>
    <cellStyle name="Hed Side Indent 2 2 5 9 2" xfId="16862" xr:uid="{00000000-0005-0000-0000-00000A490000}"/>
    <cellStyle name="Hed Side Indent 2 2 6" xfId="16863" xr:uid="{00000000-0005-0000-0000-00000B490000}"/>
    <cellStyle name="Hed Side Indent 2 2 6 10" xfId="16864" xr:uid="{00000000-0005-0000-0000-00000C490000}"/>
    <cellStyle name="Hed Side Indent 2 2 6 2" xfId="16865" xr:uid="{00000000-0005-0000-0000-00000D490000}"/>
    <cellStyle name="Hed Side Indent 2 2 6 2 2" xfId="16866" xr:uid="{00000000-0005-0000-0000-00000E490000}"/>
    <cellStyle name="Hed Side Indent 2 2 6 3" xfId="16867" xr:uid="{00000000-0005-0000-0000-00000F490000}"/>
    <cellStyle name="Hed Side Indent 2 2 6 3 2" xfId="16868" xr:uid="{00000000-0005-0000-0000-000010490000}"/>
    <cellStyle name="Hed Side Indent 2 2 6 4" xfId="16869" xr:uid="{00000000-0005-0000-0000-000011490000}"/>
    <cellStyle name="Hed Side Indent 2 2 6 4 2" xfId="16870" xr:uid="{00000000-0005-0000-0000-000012490000}"/>
    <cellStyle name="Hed Side Indent 2 2 6 5" xfId="16871" xr:uid="{00000000-0005-0000-0000-000013490000}"/>
    <cellStyle name="Hed Side Indent 2 2 6 5 2" xfId="16872" xr:uid="{00000000-0005-0000-0000-000014490000}"/>
    <cellStyle name="Hed Side Indent 2 2 6 6" xfId="16873" xr:uid="{00000000-0005-0000-0000-000015490000}"/>
    <cellStyle name="Hed Side Indent 2 2 6 6 2" xfId="16874" xr:uid="{00000000-0005-0000-0000-000016490000}"/>
    <cellStyle name="Hed Side Indent 2 2 6 7" xfId="16875" xr:uid="{00000000-0005-0000-0000-000017490000}"/>
    <cellStyle name="Hed Side Indent 2 2 6 7 2" xfId="16876" xr:uid="{00000000-0005-0000-0000-000018490000}"/>
    <cellStyle name="Hed Side Indent 2 2 6 8" xfId="16877" xr:uid="{00000000-0005-0000-0000-000019490000}"/>
    <cellStyle name="Hed Side Indent 2 2 6 8 2" xfId="16878" xr:uid="{00000000-0005-0000-0000-00001A490000}"/>
    <cellStyle name="Hed Side Indent 2 2 6 9" xfId="16879" xr:uid="{00000000-0005-0000-0000-00001B490000}"/>
    <cellStyle name="Hed Side Indent 2 2 6 9 2" xfId="16880" xr:uid="{00000000-0005-0000-0000-00001C490000}"/>
    <cellStyle name="Hed Side Indent 2 2 7" xfId="16881" xr:uid="{00000000-0005-0000-0000-00001D490000}"/>
    <cellStyle name="Hed Side Indent 2 2 7 10" xfId="16882" xr:uid="{00000000-0005-0000-0000-00001E490000}"/>
    <cellStyle name="Hed Side Indent 2 2 7 2" xfId="16883" xr:uid="{00000000-0005-0000-0000-00001F490000}"/>
    <cellStyle name="Hed Side Indent 2 2 7 2 2" xfId="16884" xr:uid="{00000000-0005-0000-0000-000020490000}"/>
    <cellStyle name="Hed Side Indent 2 2 7 3" xfId="16885" xr:uid="{00000000-0005-0000-0000-000021490000}"/>
    <cellStyle name="Hed Side Indent 2 2 7 3 2" xfId="16886" xr:uid="{00000000-0005-0000-0000-000022490000}"/>
    <cellStyle name="Hed Side Indent 2 2 7 4" xfId="16887" xr:uid="{00000000-0005-0000-0000-000023490000}"/>
    <cellStyle name="Hed Side Indent 2 2 7 4 2" xfId="16888" xr:uid="{00000000-0005-0000-0000-000024490000}"/>
    <cellStyle name="Hed Side Indent 2 2 7 5" xfId="16889" xr:uid="{00000000-0005-0000-0000-000025490000}"/>
    <cellStyle name="Hed Side Indent 2 2 7 5 2" xfId="16890" xr:uid="{00000000-0005-0000-0000-000026490000}"/>
    <cellStyle name="Hed Side Indent 2 2 7 6" xfId="16891" xr:uid="{00000000-0005-0000-0000-000027490000}"/>
    <cellStyle name="Hed Side Indent 2 2 7 6 2" xfId="16892" xr:uid="{00000000-0005-0000-0000-000028490000}"/>
    <cellStyle name="Hed Side Indent 2 2 7 7" xfId="16893" xr:uid="{00000000-0005-0000-0000-000029490000}"/>
    <cellStyle name="Hed Side Indent 2 2 7 7 2" xfId="16894" xr:uid="{00000000-0005-0000-0000-00002A490000}"/>
    <cellStyle name="Hed Side Indent 2 2 7 8" xfId="16895" xr:uid="{00000000-0005-0000-0000-00002B490000}"/>
    <cellStyle name="Hed Side Indent 2 2 7 8 2" xfId="16896" xr:uid="{00000000-0005-0000-0000-00002C490000}"/>
    <cellStyle name="Hed Side Indent 2 2 7 9" xfId="16897" xr:uid="{00000000-0005-0000-0000-00002D490000}"/>
    <cellStyle name="Hed Side Indent 2 2 7 9 2" xfId="16898" xr:uid="{00000000-0005-0000-0000-00002E490000}"/>
    <cellStyle name="Hed Side Indent 2 2 8" xfId="16899" xr:uid="{00000000-0005-0000-0000-00002F490000}"/>
    <cellStyle name="Hed Side Indent 2 2 8 10" xfId="16900" xr:uid="{00000000-0005-0000-0000-000030490000}"/>
    <cellStyle name="Hed Side Indent 2 2 8 2" xfId="16901" xr:uid="{00000000-0005-0000-0000-000031490000}"/>
    <cellStyle name="Hed Side Indent 2 2 8 2 2" xfId="16902" xr:uid="{00000000-0005-0000-0000-000032490000}"/>
    <cellStyle name="Hed Side Indent 2 2 8 3" xfId="16903" xr:uid="{00000000-0005-0000-0000-000033490000}"/>
    <cellStyle name="Hed Side Indent 2 2 8 3 2" xfId="16904" xr:uid="{00000000-0005-0000-0000-000034490000}"/>
    <cellStyle name="Hed Side Indent 2 2 8 4" xfId="16905" xr:uid="{00000000-0005-0000-0000-000035490000}"/>
    <cellStyle name="Hed Side Indent 2 2 8 4 2" xfId="16906" xr:uid="{00000000-0005-0000-0000-000036490000}"/>
    <cellStyle name="Hed Side Indent 2 2 8 5" xfId="16907" xr:uid="{00000000-0005-0000-0000-000037490000}"/>
    <cellStyle name="Hed Side Indent 2 2 8 5 2" xfId="16908" xr:uid="{00000000-0005-0000-0000-000038490000}"/>
    <cellStyle name="Hed Side Indent 2 2 8 6" xfId="16909" xr:uid="{00000000-0005-0000-0000-000039490000}"/>
    <cellStyle name="Hed Side Indent 2 2 8 6 2" xfId="16910" xr:uid="{00000000-0005-0000-0000-00003A490000}"/>
    <cellStyle name="Hed Side Indent 2 2 8 7" xfId="16911" xr:uid="{00000000-0005-0000-0000-00003B490000}"/>
    <cellStyle name="Hed Side Indent 2 2 8 7 2" xfId="16912" xr:uid="{00000000-0005-0000-0000-00003C490000}"/>
    <cellStyle name="Hed Side Indent 2 2 8 8" xfId="16913" xr:uid="{00000000-0005-0000-0000-00003D490000}"/>
    <cellStyle name="Hed Side Indent 2 2 8 8 2" xfId="16914" xr:uid="{00000000-0005-0000-0000-00003E490000}"/>
    <cellStyle name="Hed Side Indent 2 2 8 9" xfId="16915" xr:uid="{00000000-0005-0000-0000-00003F490000}"/>
    <cellStyle name="Hed Side Indent 2 2 8 9 2" xfId="16916" xr:uid="{00000000-0005-0000-0000-000040490000}"/>
    <cellStyle name="Hed Side Indent 2 2 9" xfId="16917" xr:uid="{00000000-0005-0000-0000-000041490000}"/>
    <cellStyle name="Hed Side Indent 2 2 9 10" xfId="16918" xr:uid="{00000000-0005-0000-0000-000042490000}"/>
    <cellStyle name="Hed Side Indent 2 2 9 2" xfId="16919" xr:uid="{00000000-0005-0000-0000-000043490000}"/>
    <cellStyle name="Hed Side Indent 2 2 9 2 2" xfId="16920" xr:uid="{00000000-0005-0000-0000-000044490000}"/>
    <cellStyle name="Hed Side Indent 2 2 9 3" xfId="16921" xr:uid="{00000000-0005-0000-0000-000045490000}"/>
    <cellStyle name="Hed Side Indent 2 2 9 3 2" xfId="16922" xr:uid="{00000000-0005-0000-0000-000046490000}"/>
    <cellStyle name="Hed Side Indent 2 2 9 4" xfId="16923" xr:uid="{00000000-0005-0000-0000-000047490000}"/>
    <cellStyle name="Hed Side Indent 2 2 9 4 2" xfId="16924" xr:uid="{00000000-0005-0000-0000-000048490000}"/>
    <cellStyle name="Hed Side Indent 2 2 9 5" xfId="16925" xr:uid="{00000000-0005-0000-0000-000049490000}"/>
    <cellStyle name="Hed Side Indent 2 2 9 5 2" xfId="16926" xr:uid="{00000000-0005-0000-0000-00004A490000}"/>
    <cellStyle name="Hed Side Indent 2 2 9 6" xfId="16927" xr:uid="{00000000-0005-0000-0000-00004B490000}"/>
    <cellStyle name="Hed Side Indent 2 2 9 6 2" xfId="16928" xr:uid="{00000000-0005-0000-0000-00004C490000}"/>
    <cellStyle name="Hed Side Indent 2 2 9 7" xfId="16929" xr:uid="{00000000-0005-0000-0000-00004D490000}"/>
    <cellStyle name="Hed Side Indent 2 2 9 7 2" xfId="16930" xr:uid="{00000000-0005-0000-0000-00004E490000}"/>
    <cellStyle name="Hed Side Indent 2 2 9 8" xfId="16931" xr:uid="{00000000-0005-0000-0000-00004F490000}"/>
    <cellStyle name="Hed Side Indent 2 2 9 8 2" xfId="16932" xr:uid="{00000000-0005-0000-0000-000050490000}"/>
    <cellStyle name="Hed Side Indent 2 2 9 9" xfId="16933" xr:uid="{00000000-0005-0000-0000-000051490000}"/>
    <cellStyle name="Hed Side Indent 2 2 9 9 2" xfId="16934" xr:uid="{00000000-0005-0000-0000-000052490000}"/>
    <cellStyle name="Hed Side Indent 2 3" xfId="16935" xr:uid="{00000000-0005-0000-0000-000053490000}"/>
    <cellStyle name="Hed Side Indent 2 3 10" xfId="16936" xr:uid="{00000000-0005-0000-0000-000054490000}"/>
    <cellStyle name="Hed Side Indent 2 3 10 10" xfId="16937" xr:uid="{00000000-0005-0000-0000-000055490000}"/>
    <cellStyle name="Hed Side Indent 2 3 10 2" xfId="16938" xr:uid="{00000000-0005-0000-0000-000056490000}"/>
    <cellStyle name="Hed Side Indent 2 3 10 2 2" xfId="16939" xr:uid="{00000000-0005-0000-0000-000057490000}"/>
    <cellStyle name="Hed Side Indent 2 3 10 3" xfId="16940" xr:uid="{00000000-0005-0000-0000-000058490000}"/>
    <cellStyle name="Hed Side Indent 2 3 10 3 2" xfId="16941" xr:uid="{00000000-0005-0000-0000-000059490000}"/>
    <cellStyle name="Hed Side Indent 2 3 10 4" xfId="16942" xr:uid="{00000000-0005-0000-0000-00005A490000}"/>
    <cellStyle name="Hed Side Indent 2 3 10 4 2" xfId="16943" xr:uid="{00000000-0005-0000-0000-00005B490000}"/>
    <cellStyle name="Hed Side Indent 2 3 10 5" xfId="16944" xr:uid="{00000000-0005-0000-0000-00005C490000}"/>
    <cellStyle name="Hed Side Indent 2 3 10 5 2" xfId="16945" xr:uid="{00000000-0005-0000-0000-00005D490000}"/>
    <cellStyle name="Hed Side Indent 2 3 10 6" xfId="16946" xr:uid="{00000000-0005-0000-0000-00005E490000}"/>
    <cellStyle name="Hed Side Indent 2 3 10 6 2" xfId="16947" xr:uid="{00000000-0005-0000-0000-00005F490000}"/>
    <cellStyle name="Hed Side Indent 2 3 10 7" xfId="16948" xr:uid="{00000000-0005-0000-0000-000060490000}"/>
    <cellStyle name="Hed Side Indent 2 3 10 7 2" xfId="16949" xr:uid="{00000000-0005-0000-0000-000061490000}"/>
    <cellStyle name="Hed Side Indent 2 3 10 8" xfId="16950" xr:uid="{00000000-0005-0000-0000-000062490000}"/>
    <cellStyle name="Hed Side Indent 2 3 10 8 2" xfId="16951" xr:uid="{00000000-0005-0000-0000-000063490000}"/>
    <cellStyle name="Hed Side Indent 2 3 10 9" xfId="16952" xr:uid="{00000000-0005-0000-0000-000064490000}"/>
    <cellStyle name="Hed Side Indent 2 3 10 9 2" xfId="16953" xr:uid="{00000000-0005-0000-0000-000065490000}"/>
    <cellStyle name="Hed Side Indent 2 3 11" xfId="16954" xr:uid="{00000000-0005-0000-0000-000066490000}"/>
    <cellStyle name="Hed Side Indent 2 3 11 2" xfId="16955" xr:uid="{00000000-0005-0000-0000-000067490000}"/>
    <cellStyle name="Hed Side Indent 2 3 11 2 2" xfId="16956" xr:uid="{00000000-0005-0000-0000-000068490000}"/>
    <cellStyle name="Hed Side Indent 2 3 11 3" xfId="16957" xr:uid="{00000000-0005-0000-0000-000069490000}"/>
    <cellStyle name="Hed Side Indent 2 3 11 3 2" xfId="16958" xr:uid="{00000000-0005-0000-0000-00006A490000}"/>
    <cellStyle name="Hed Side Indent 2 3 11 4" xfId="16959" xr:uid="{00000000-0005-0000-0000-00006B490000}"/>
    <cellStyle name="Hed Side Indent 2 3 11 4 2" xfId="16960" xr:uid="{00000000-0005-0000-0000-00006C490000}"/>
    <cellStyle name="Hed Side Indent 2 3 11 5" xfId="16961" xr:uid="{00000000-0005-0000-0000-00006D490000}"/>
    <cellStyle name="Hed Side Indent 2 3 11 5 2" xfId="16962" xr:uid="{00000000-0005-0000-0000-00006E490000}"/>
    <cellStyle name="Hed Side Indent 2 3 11 6" xfId="16963" xr:uid="{00000000-0005-0000-0000-00006F490000}"/>
    <cellStyle name="Hed Side Indent 2 3 11 6 2" xfId="16964" xr:uid="{00000000-0005-0000-0000-000070490000}"/>
    <cellStyle name="Hed Side Indent 2 3 11 7" xfId="16965" xr:uid="{00000000-0005-0000-0000-000071490000}"/>
    <cellStyle name="Hed Side Indent 2 3 11 7 2" xfId="16966" xr:uid="{00000000-0005-0000-0000-000072490000}"/>
    <cellStyle name="Hed Side Indent 2 3 11 8" xfId="16967" xr:uid="{00000000-0005-0000-0000-000073490000}"/>
    <cellStyle name="Hed Side Indent 2 3 11 8 2" xfId="16968" xr:uid="{00000000-0005-0000-0000-000074490000}"/>
    <cellStyle name="Hed Side Indent 2 3 11 9" xfId="16969" xr:uid="{00000000-0005-0000-0000-000075490000}"/>
    <cellStyle name="Hed Side Indent 2 3 2" xfId="16970" xr:uid="{00000000-0005-0000-0000-000076490000}"/>
    <cellStyle name="Hed Side Indent 2 3 2 10" xfId="16971" xr:uid="{00000000-0005-0000-0000-000077490000}"/>
    <cellStyle name="Hed Side Indent 2 3 2 2" xfId="16972" xr:uid="{00000000-0005-0000-0000-000078490000}"/>
    <cellStyle name="Hed Side Indent 2 3 2 2 2" xfId="16973" xr:uid="{00000000-0005-0000-0000-000079490000}"/>
    <cellStyle name="Hed Side Indent 2 3 2 3" xfId="16974" xr:uid="{00000000-0005-0000-0000-00007A490000}"/>
    <cellStyle name="Hed Side Indent 2 3 2 3 2" xfId="16975" xr:uid="{00000000-0005-0000-0000-00007B490000}"/>
    <cellStyle name="Hed Side Indent 2 3 2 4" xfId="16976" xr:uid="{00000000-0005-0000-0000-00007C490000}"/>
    <cellStyle name="Hed Side Indent 2 3 2 4 2" xfId="16977" xr:uid="{00000000-0005-0000-0000-00007D490000}"/>
    <cellStyle name="Hed Side Indent 2 3 2 5" xfId="16978" xr:uid="{00000000-0005-0000-0000-00007E490000}"/>
    <cellStyle name="Hed Side Indent 2 3 2 5 2" xfId="16979" xr:uid="{00000000-0005-0000-0000-00007F490000}"/>
    <cellStyle name="Hed Side Indent 2 3 2 6" xfId="16980" xr:uid="{00000000-0005-0000-0000-000080490000}"/>
    <cellStyle name="Hed Side Indent 2 3 2 6 2" xfId="16981" xr:uid="{00000000-0005-0000-0000-000081490000}"/>
    <cellStyle name="Hed Side Indent 2 3 2 7" xfId="16982" xr:uid="{00000000-0005-0000-0000-000082490000}"/>
    <cellStyle name="Hed Side Indent 2 3 2 7 2" xfId="16983" xr:uid="{00000000-0005-0000-0000-000083490000}"/>
    <cellStyle name="Hed Side Indent 2 3 2 8" xfId="16984" xr:uid="{00000000-0005-0000-0000-000084490000}"/>
    <cellStyle name="Hed Side Indent 2 3 2 8 2" xfId="16985" xr:uid="{00000000-0005-0000-0000-000085490000}"/>
    <cellStyle name="Hed Side Indent 2 3 2 9" xfId="16986" xr:uid="{00000000-0005-0000-0000-000086490000}"/>
    <cellStyle name="Hed Side Indent 2 3 2 9 2" xfId="16987" xr:uid="{00000000-0005-0000-0000-000087490000}"/>
    <cellStyle name="Hed Side Indent 2 3 3" xfId="16988" xr:uid="{00000000-0005-0000-0000-000088490000}"/>
    <cellStyle name="Hed Side Indent 2 3 3 10" xfId="16989" xr:uid="{00000000-0005-0000-0000-000089490000}"/>
    <cellStyle name="Hed Side Indent 2 3 3 2" xfId="16990" xr:uid="{00000000-0005-0000-0000-00008A490000}"/>
    <cellStyle name="Hed Side Indent 2 3 3 2 2" xfId="16991" xr:uid="{00000000-0005-0000-0000-00008B490000}"/>
    <cellStyle name="Hed Side Indent 2 3 3 3" xfId="16992" xr:uid="{00000000-0005-0000-0000-00008C490000}"/>
    <cellStyle name="Hed Side Indent 2 3 3 3 2" xfId="16993" xr:uid="{00000000-0005-0000-0000-00008D490000}"/>
    <cellStyle name="Hed Side Indent 2 3 3 4" xfId="16994" xr:uid="{00000000-0005-0000-0000-00008E490000}"/>
    <cellStyle name="Hed Side Indent 2 3 3 4 2" xfId="16995" xr:uid="{00000000-0005-0000-0000-00008F490000}"/>
    <cellStyle name="Hed Side Indent 2 3 3 5" xfId="16996" xr:uid="{00000000-0005-0000-0000-000090490000}"/>
    <cellStyle name="Hed Side Indent 2 3 3 5 2" xfId="16997" xr:uid="{00000000-0005-0000-0000-000091490000}"/>
    <cellStyle name="Hed Side Indent 2 3 3 6" xfId="16998" xr:uid="{00000000-0005-0000-0000-000092490000}"/>
    <cellStyle name="Hed Side Indent 2 3 3 6 2" xfId="16999" xr:uid="{00000000-0005-0000-0000-000093490000}"/>
    <cellStyle name="Hed Side Indent 2 3 3 7" xfId="17000" xr:uid="{00000000-0005-0000-0000-000094490000}"/>
    <cellStyle name="Hed Side Indent 2 3 3 7 2" xfId="17001" xr:uid="{00000000-0005-0000-0000-000095490000}"/>
    <cellStyle name="Hed Side Indent 2 3 3 8" xfId="17002" xr:uid="{00000000-0005-0000-0000-000096490000}"/>
    <cellStyle name="Hed Side Indent 2 3 3 8 2" xfId="17003" xr:uid="{00000000-0005-0000-0000-000097490000}"/>
    <cellStyle name="Hed Side Indent 2 3 3 9" xfId="17004" xr:uid="{00000000-0005-0000-0000-000098490000}"/>
    <cellStyle name="Hed Side Indent 2 3 3 9 2" xfId="17005" xr:uid="{00000000-0005-0000-0000-000099490000}"/>
    <cellStyle name="Hed Side Indent 2 3 4" xfId="17006" xr:uid="{00000000-0005-0000-0000-00009A490000}"/>
    <cellStyle name="Hed Side Indent 2 3 4 10" xfId="17007" xr:uid="{00000000-0005-0000-0000-00009B490000}"/>
    <cellStyle name="Hed Side Indent 2 3 4 2" xfId="17008" xr:uid="{00000000-0005-0000-0000-00009C490000}"/>
    <cellStyle name="Hed Side Indent 2 3 4 2 2" xfId="17009" xr:uid="{00000000-0005-0000-0000-00009D490000}"/>
    <cellStyle name="Hed Side Indent 2 3 4 3" xfId="17010" xr:uid="{00000000-0005-0000-0000-00009E490000}"/>
    <cellStyle name="Hed Side Indent 2 3 4 3 2" xfId="17011" xr:uid="{00000000-0005-0000-0000-00009F490000}"/>
    <cellStyle name="Hed Side Indent 2 3 4 4" xfId="17012" xr:uid="{00000000-0005-0000-0000-0000A0490000}"/>
    <cellStyle name="Hed Side Indent 2 3 4 4 2" xfId="17013" xr:uid="{00000000-0005-0000-0000-0000A1490000}"/>
    <cellStyle name="Hed Side Indent 2 3 4 5" xfId="17014" xr:uid="{00000000-0005-0000-0000-0000A2490000}"/>
    <cellStyle name="Hed Side Indent 2 3 4 5 2" xfId="17015" xr:uid="{00000000-0005-0000-0000-0000A3490000}"/>
    <cellStyle name="Hed Side Indent 2 3 4 6" xfId="17016" xr:uid="{00000000-0005-0000-0000-0000A4490000}"/>
    <cellStyle name="Hed Side Indent 2 3 4 6 2" xfId="17017" xr:uid="{00000000-0005-0000-0000-0000A5490000}"/>
    <cellStyle name="Hed Side Indent 2 3 4 7" xfId="17018" xr:uid="{00000000-0005-0000-0000-0000A6490000}"/>
    <cellStyle name="Hed Side Indent 2 3 4 7 2" xfId="17019" xr:uid="{00000000-0005-0000-0000-0000A7490000}"/>
    <cellStyle name="Hed Side Indent 2 3 4 8" xfId="17020" xr:uid="{00000000-0005-0000-0000-0000A8490000}"/>
    <cellStyle name="Hed Side Indent 2 3 4 8 2" xfId="17021" xr:uid="{00000000-0005-0000-0000-0000A9490000}"/>
    <cellStyle name="Hed Side Indent 2 3 4 9" xfId="17022" xr:uid="{00000000-0005-0000-0000-0000AA490000}"/>
    <cellStyle name="Hed Side Indent 2 3 4 9 2" xfId="17023" xr:uid="{00000000-0005-0000-0000-0000AB490000}"/>
    <cellStyle name="Hed Side Indent 2 3 5" xfId="17024" xr:uid="{00000000-0005-0000-0000-0000AC490000}"/>
    <cellStyle name="Hed Side Indent 2 3 5 10" xfId="17025" xr:uid="{00000000-0005-0000-0000-0000AD490000}"/>
    <cellStyle name="Hed Side Indent 2 3 5 2" xfId="17026" xr:uid="{00000000-0005-0000-0000-0000AE490000}"/>
    <cellStyle name="Hed Side Indent 2 3 5 2 2" xfId="17027" xr:uid="{00000000-0005-0000-0000-0000AF490000}"/>
    <cellStyle name="Hed Side Indent 2 3 5 3" xfId="17028" xr:uid="{00000000-0005-0000-0000-0000B0490000}"/>
    <cellStyle name="Hed Side Indent 2 3 5 3 2" xfId="17029" xr:uid="{00000000-0005-0000-0000-0000B1490000}"/>
    <cellStyle name="Hed Side Indent 2 3 5 4" xfId="17030" xr:uid="{00000000-0005-0000-0000-0000B2490000}"/>
    <cellStyle name="Hed Side Indent 2 3 5 4 2" xfId="17031" xr:uid="{00000000-0005-0000-0000-0000B3490000}"/>
    <cellStyle name="Hed Side Indent 2 3 5 5" xfId="17032" xr:uid="{00000000-0005-0000-0000-0000B4490000}"/>
    <cellStyle name="Hed Side Indent 2 3 5 5 2" xfId="17033" xr:uid="{00000000-0005-0000-0000-0000B5490000}"/>
    <cellStyle name="Hed Side Indent 2 3 5 6" xfId="17034" xr:uid="{00000000-0005-0000-0000-0000B6490000}"/>
    <cellStyle name="Hed Side Indent 2 3 5 6 2" xfId="17035" xr:uid="{00000000-0005-0000-0000-0000B7490000}"/>
    <cellStyle name="Hed Side Indent 2 3 5 7" xfId="17036" xr:uid="{00000000-0005-0000-0000-0000B8490000}"/>
    <cellStyle name="Hed Side Indent 2 3 5 7 2" xfId="17037" xr:uid="{00000000-0005-0000-0000-0000B9490000}"/>
    <cellStyle name="Hed Side Indent 2 3 5 8" xfId="17038" xr:uid="{00000000-0005-0000-0000-0000BA490000}"/>
    <cellStyle name="Hed Side Indent 2 3 5 8 2" xfId="17039" xr:uid="{00000000-0005-0000-0000-0000BB490000}"/>
    <cellStyle name="Hed Side Indent 2 3 5 9" xfId="17040" xr:uid="{00000000-0005-0000-0000-0000BC490000}"/>
    <cellStyle name="Hed Side Indent 2 3 5 9 2" xfId="17041" xr:uid="{00000000-0005-0000-0000-0000BD490000}"/>
    <cellStyle name="Hed Side Indent 2 3 6" xfId="17042" xr:uid="{00000000-0005-0000-0000-0000BE490000}"/>
    <cellStyle name="Hed Side Indent 2 3 6 10" xfId="17043" xr:uid="{00000000-0005-0000-0000-0000BF490000}"/>
    <cellStyle name="Hed Side Indent 2 3 6 2" xfId="17044" xr:uid="{00000000-0005-0000-0000-0000C0490000}"/>
    <cellStyle name="Hed Side Indent 2 3 6 2 2" xfId="17045" xr:uid="{00000000-0005-0000-0000-0000C1490000}"/>
    <cellStyle name="Hed Side Indent 2 3 6 3" xfId="17046" xr:uid="{00000000-0005-0000-0000-0000C2490000}"/>
    <cellStyle name="Hed Side Indent 2 3 6 3 2" xfId="17047" xr:uid="{00000000-0005-0000-0000-0000C3490000}"/>
    <cellStyle name="Hed Side Indent 2 3 6 4" xfId="17048" xr:uid="{00000000-0005-0000-0000-0000C4490000}"/>
    <cellStyle name="Hed Side Indent 2 3 6 4 2" xfId="17049" xr:uid="{00000000-0005-0000-0000-0000C5490000}"/>
    <cellStyle name="Hed Side Indent 2 3 6 5" xfId="17050" xr:uid="{00000000-0005-0000-0000-0000C6490000}"/>
    <cellStyle name="Hed Side Indent 2 3 6 5 2" xfId="17051" xr:uid="{00000000-0005-0000-0000-0000C7490000}"/>
    <cellStyle name="Hed Side Indent 2 3 6 6" xfId="17052" xr:uid="{00000000-0005-0000-0000-0000C8490000}"/>
    <cellStyle name="Hed Side Indent 2 3 6 6 2" xfId="17053" xr:uid="{00000000-0005-0000-0000-0000C9490000}"/>
    <cellStyle name="Hed Side Indent 2 3 6 7" xfId="17054" xr:uid="{00000000-0005-0000-0000-0000CA490000}"/>
    <cellStyle name="Hed Side Indent 2 3 6 7 2" xfId="17055" xr:uid="{00000000-0005-0000-0000-0000CB490000}"/>
    <cellStyle name="Hed Side Indent 2 3 6 8" xfId="17056" xr:uid="{00000000-0005-0000-0000-0000CC490000}"/>
    <cellStyle name="Hed Side Indent 2 3 6 8 2" xfId="17057" xr:uid="{00000000-0005-0000-0000-0000CD490000}"/>
    <cellStyle name="Hed Side Indent 2 3 6 9" xfId="17058" xr:uid="{00000000-0005-0000-0000-0000CE490000}"/>
    <cellStyle name="Hed Side Indent 2 3 6 9 2" xfId="17059" xr:uid="{00000000-0005-0000-0000-0000CF490000}"/>
    <cellStyle name="Hed Side Indent 2 3 7" xfId="17060" xr:uid="{00000000-0005-0000-0000-0000D0490000}"/>
    <cellStyle name="Hed Side Indent 2 3 7 10" xfId="17061" xr:uid="{00000000-0005-0000-0000-0000D1490000}"/>
    <cellStyle name="Hed Side Indent 2 3 7 2" xfId="17062" xr:uid="{00000000-0005-0000-0000-0000D2490000}"/>
    <cellStyle name="Hed Side Indent 2 3 7 2 2" xfId="17063" xr:uid="{00000000-0005-0000-0000-0000D3490000}"/>
    <cellStyle name="Hed Side Indent 2 3 7 3" xfId="17064" xr:uid="{00000000-0005-0000-0000-0000D4490000}"/>
    <cellStyle name="Hed Side Indent 2 3 7 3 2" xfId="17065" xr:uid="{00000000-0005-0000-0000-0000D5490000}"/>
    <cellStyle name="Hed Side Indent 2 3 7 4" xfId="17066" xr:uid="{00000000-0005-0000-0000-0000D6490000}"/>
    <cellStyle name="Hed Side Indent 2 3 7 4 2" xfId="17067" xr:uid="{00000000-0005-0000-0000-0000D7490000}"/>
    <cellStyle name="Hed Side Indent 2 3 7 5" xfId="17068" xr:uid="{00000000-0005-0000-0000-0000D8490000}"/>
    <cellStyle name="Hed Side Indent 2 3 7 5 2" xfId="17069" xr:uid="{00000000-0005-0000-0000-0000D9490000}"/>
    <cellStyle name="Hed Side Indent 2 3 7 6" xfId="17070" xr:uid="{00000000-0005-0000-0000-0000DA490000}"/>
    <cellStyle name="Hed Side Indent 2 3 7 6 2" xfId="17071" xr:uid="{00000000-0005-0000-0000-0000DB490000}"/>
    <cellStyle name="Hed Side Indent 2 3 7 7" xfId="17072" xr:uid="{00000000-0005-0000-0000-0000DC490000}"/>
    <cellStyle name="Hed Side Indent 2 3 7 7 2" xfId="17073" xr:uid="{00000000-0005-0000-0000-0000DD490000}"/>
    <cellStyle name="Hed Side Indent 2 3 7 8" xfId="17074" xr:uid="{00000000-0005-0000-0000-0000DE490000}"/>
    <cellStyle name="Hed Side Indent 2 3 7 8 2" xfId="17075" xr:uid="{00000000-0005-0000-0000-0000DF490000}"/>
    <cellStyle name="Hed Side Indent 2 3 7 9" xfId="17076" xr:uid="{00000000-0005-0000-0000-0000E0490000}"/>
    <cellStyle name="Hed Side Indent 2 3 7 9 2" xfId="17077" xr:uid="{00000000-0005-0000-0000-0000E1490000}"/>
    <cellStyle name="Hed Side Indent 2 3 8" xfId="17078" xr:uid="{00000000-0005-0000-0000-0000E2490000}"/>
    <cellStyle name="Hed Side Indent 2 3 8 10" xfId="17079" xr:uid="{00000000-0005-0000-0000-0000E3490000}"/>
    <cellStyle name="Hed Side Indent 2 3 8 2" xfId="17080" xr:uid="{00000000-0005-0000-0000-0000E4490000}"/>
    <cellStyle name="Hed Side Indent 2 3 8 2 2" xfId="17081" xr:uid="{00000000-0005-0000-0000-0000E5490000}"/>
    <cellStyle name="Hed Side Indent 2 3 8 3" xfId="17082" xr:uid="{00000000-0005-0000-0000-0000E6490000}"/>
    <cellStyle name="Hed Side Indent 2 3 8 3 2" xfId="17083" xr:uid="{00000000-0005-0000-0000-0000E7490000}"/>
    <cellStyle name="Hed Side Indent 2 3 8 4" xfId="17084" xr:uid="{00000000-0005-0000-0000-0000E8490000}"/>
    <cellStyle name="Hed Side Indent 2 3 8 4 2" xfId="17085" xr:uid="{00000000-0005-0000-0000-0000E9490000}"/>
    <cellStyle name="Hed Side Indent 2 3 8 5" xfId="17086" xr:uid="{00000000-0005-0000-0000-0000EA490000}"/>
    <cellStyle name="Hed Side Indent 2 3 8 5 2" xfId="17087" xr:uid="{00000000-0005-0000-0000-0000EB490000}"/>
    <cellStyle name="Hed Side Indent 2 3 8 6" xfId="17088" xr:uid="{00000000-0005-0000-0000-0000EC490000}"/>
    <cellStyle name="Hed Side Indent 2 3 8 6 2" xfId="17089" xr:uid="{00000000-0005-0000-0000-0000ED490000}"/>
    <cellStyle name="Hed Side Indent 2 3 8 7" xfId="17090" xr:uid="{00000000-0005-0000-0000-0000EE490000}"/>
    <cellStyle name="Hed Side Indent 2 3 8 7 2" xfId="17091" xr:uid="{00000000-0005-0000-0000-0000EF490000}"/>
    <cellStyle name="Hed Side Indent 2 3 8 8" xfId="17092" xr:uid="{00000000-0005-0000-0000-0000F0490000}"/>
    <cellStyle name="Hed Side Indent 2 3 8 8 2" xfId="17093" xr:uid="{00000000-0005-0000-0000-0000F1490000}"/>
    <cellStyle name="Hed Side Indent 2 3 8 9" xfId="17094" xr:uid="{00000000-0005-0000-0000-0000F2490000}"/>
    <cellStyle name="Hed Side Indent 2 3 8 9 2" xfId="17095" xr:uid="{00000000-0005-0000-0000-0000F3490000}"/>
    <cellStyle name="Hed Side Indent 2 3 9" xfId="17096" xr:uid="{00000000-0005-0000-0000-0000F4490000}"/>
    <cellStyle name="Hed Side Indent 2 3 9 10" xfId="17097" xr:uid="{00000000-0005-0000-0000-0000F5490000}"/>
    <cellStyle name="Hed Side Indent 2 3 9 2" xfId="17098" xr:uid="{00000000-0005-0000-0000-0000F6490000}"/>
    <cellStyle name="Hed Side Indent 2 3 9 2 2" xfId="17099" xr:uid="{00000000-0005-0000-0000-0000F7490000}"/>
    <cellStyle name="Hed Side Indent 2 3 9 3" xfId="17100" xr:uid="{00000000-0005-0000-0000-0000F8490000}"/>
    <cellStyle name="Hed Side Indent 2 3 9 3 2" xfId="17101" xr:uid="{00000000-0005-0000-0000-0000F9490000}"/>
    <cellStyle name="Hed Side Indent 2 3 9 4" xfId="17102" xr:uid="{00000000-0005-0000-0000-0000FA490000}"/>
    <cellStyle name="Hed Side Indent 2 3 9 4 2" xfId="17103" xr:uid="{00000000-0005-0000-0000-0000FB490000}"/>
    <cellStyle name="Hed Side Indent 2 3 9 5" xfId="17104" xr:uid="{00000000-0005-0000-0000-0000FC490000}"/>
    <cellStyle name="Hed Side Indent 2 3 9 5 2" xfId="17105" xr:uid="{00000000-0005-0000-0000-0000FD490000}"/>
    <cellStyle name="Hed Side Indent 2 3 9 6" xfId="17106" xr:uid="{00000000-0005-0000-0000-0000FE490000}"/>
    <cellStyle name="Hed Side Indent 2 3 9 6 2" xfId="17107" xr:uid="{00000000-0005-0000-0000-0000FF490000}"/>
    <cellStyle name="Hed Side Indent 2 3 9 7" xfId="17108" xr:uid="{00000000-0005-0000-0000-0000004A0000}"/>
    <cellStyle name="Hed Side Indent 2 3 9 7 2" xfId="17109" xr:uid="{00000000-0005-0000-0000-0000014A0000}"/>
    <cellStyle name="Hed Side Indent 2 3 9 8" xfId="17110" xr:uid="{00000000-0005-0000-0000-0000024A0000}"/>
    <cellStyle name="Hed Side Indent 2 3 9 8 2" xfId="17111" xr:uid="{00000000-0005-0000-0000-0000034A0000}"/>
    <cellStyle name="Hed Side Indent 2 3 9 9" xfId="17112" xr:uid="{00000000-0005-0000-0000-0000044A0000}"/>
    <cellStyle name="Hed Side Indent 2 3 9 9 2" xfId="17113" xr:uid="{00000000-0005-0000-0000-0000054A0000}"/>
    <cellStyle name="Hed Side Indent 2 4" xfId="17114" xr:uid="{00000000-0005-0000-0000-0000064A0000}"/>
    <cellStyle name="Hed Side Indent 2 4 10" xfId="17115" xr:uid="{00000000-0005-0000-0000-0000074A0000}"/>
    <cellStyle name="Hed Side Indent 2 4 10 2" xfId="17116" xr:uid="{00000000-0005-0000-0000-0000084A0000}"/>
    <cellStyle name="Hed Side Indent 2 4 10 2 2" xfId="17117" xr:uid="{00000000-0005-0000-0000-0000094A0000}"/>
    <cellStyle name="Hed Side Indent 2 4 10 3" xfId="17118" xr:uid="{00000000-0005-0000-0000-00000A4A0000}"/>
    <cellStyle name="Hed Side Indent 2 4 10 3 2" xfId="17119" xr:uid="{00000000-0005-0000-0000-00000B4A0000}"/>
    <cellStyle name="Hed Side Indent 2 4 10 4" xfId="17120" xr:uid="{00000000-0005-0000-0000-00000C4A0000}"/>
    <cellStyle name="Hed Side Indent 2 4 10 4 2" xfId="17121" xr:uid="{00000000-0005-0000-0000-00000D4A0000}"/>
    <cellStyle name="Hed Side Indent 2 4 10 5" xfId="17122" xr:uid="{00000000-0005-0000-0000-00000E4A0000}"/>
    <cellStyle name="Hed Side Indent 2 4 10 5 2" xfId="17123" xr:uid="{00000000-0005-0000-0000-00000F4A0000}"/>
    <cellStyle name="Hed Side Indent 2 4 10 6" xfId="17124" xr:uid="{00000000-0005-0000-0000-0000104A0000}"/>
    <cellStyle name="Hed Side Indent 2 4 10 6 2" xfId="17125" xr:uid="{00000000-0005-0000-0000-0000114A0000}"/>
    <cellStyle name="Hed Side Indent 2 4 10 7" xfId="17126" xr:uid="{00000000-0005-0000-0000-0000124A0000}"/>
    <cellStyle name="Hed Side Indent 2 4 10 7 2" xfId="17127" xr:uid="{00000000-0005-0000-0000-0000134A0000}"/>
    <cellStyle name="Hed Side Indent 2 4 10 8" xfId="17128" xr:uid="{00000000-0005-0000-0000-0000144A0000}"/>
    <cellStyle name="Hed Side Indent 2 4 10 8 2" xfId="17129" xr:uid="{00000000-0005-0000-0000-0000154A0000}"/>
    <cellStyle name="Hed Side Indent 2 4 10 9" xfId="17130" xr:uid="{00000000-0005-0000-0000-0000164A0000}"/>
    <cellStyle name="Hed Side Indent 2 4 11" xfId="17131" xr:uid="{00000000-0005-0000-0000-0000174A0000}"/>
    <cellStyle name="Hed Side Indent 2 4 11 2" xfId="17132" xr:uid="{00000000-0005-0000-0000-0000184A0000}"/>
    <cellStyle name="Hed Side Indent 2 4 12" xfId="17133" xr:uid="{00000000-0005-0000-0000-0000194A0000}"/>
    <cellStyle name="Hed Side Indent 2 4 12 2" xfId="17134" xr:uid="{00000000-0005-0000-0000-00001A4A0000}"/>
    <cellStyle name="Hed Side Indent 2 4 13" xfId="17135" xr:uid="{00000000-0005-0000-0000-00001B4A0000}"/>
    <cellStyle name="Hed Side Indent 2 4 13 2" xfId="17136" xr:uid="{00000000-0005-0000-0000-00001C4A0000}"/>
    <cellStyle name="Hed Side Indent 2 4 14" xfId="17137" xr:uid="{00000000-0005-0000-0000-00001D4A0000}"/>
    <cellStyle name="Hed Side Indent 2 4 14 2" xfId="17138" xr:uid="{00000000-0005-0000-0000-00001E4A0000}"/>
    <cellStyle name="Hed Side Indent 2 4 15" xfId="17139" xr:uid="{00000000-0005-0000-0000-00001F4A0000}"/>
    <cellStyle name="Hed Side Indent 2 4 15 2" xfId="17140" xr:uid="{00000000-0005-0000-0000-0000204A0000}"/>
    <cellStyle name="Hed Side Indent 2 4 16" xfId="17141" xr:uid="{00000000-0005-0000-0000-0000214A0000}"/>
    <cellStyle name="Hed Side Indent 2 4 16 2" xfId="17142" xr:uid="{00000000-0005-0000-0000-0000224A0000}"/>
    <cellStyle name="Hed Side Indent 2 4 17" xfId="17143" xr:uid="{00000000-0005-0000-0000-0000234A0000}"/>
    <cellStyle name="Hed Side Indent 2 4 17 2" xfId="17144" xr:uid="{00000000-0005-0000-0000-0000244A0000}"/>
    <cellStyle name="Hed Side Indent 2 4 18" xfId="17145" xr:uid="{00000000-0005-0000-0000-0000254A0000}"/>
    <cellStyle name="Hed Side Indent 2 4 2" xfId="17146" xr:uid="{00000000-0005-0000-0000-0000264A0000}"/>
    <cellStyle name="Hed Side Indent 2 4 2 10" xfId="17147" xr:uid="{00000000-0005-0000-0000-0000274A0000}"/>
    <cellStyle name="Hed Side Indent 2 4 2 2" xfId="17148" xr:uid="{00000000-0005-0000-0000-0000284A0000}"/>
    <cellStyle name="Hed Side Indent 2 4 2 2 2" xfId="17149" xr:uid="{00000000-0005-0000-0000-0000294A0000}"/>
    <cellStyle name="Hed Side Indent 2 4 2 3" xfId="17150" xr:uid="{00000000-0005-0000-0000-00002A4A0000}"/>
    <cellStyle name="Hed Side Indent 2 4 2 3 2" xfId="17151" xr:uid="{00000000-0005-0000-0000-00002B4A0000}"/>
    <cellStyle name="Hed Side Indent 2 4 2 4" xfId="17152" xr:uid="{00000000-0005-0000-0000-00002C4A0000}"/>
    <cellStyle name="Hed Side Indent 2 4 2 4 2" xfId="17153" xr:uid="{00000000-0005-0000-0000-00002D4A0000}"/>
    <cellStyle name="Hed Side Indent 2 4 2 5" xfId="17154" xr:uid="{00000000-0005-0000-0000-00002E4A0000}"/>
    <cellStyle name="Hed Side Indent 2 4 2 5 2" xfId="17155" xr:uid="{00000000-0005-0000-0000-00002F4A0000}"/>
    <cellStyle name="Hed Side Indent 2 4 2 6" xfId="17156" xr:uid="{00000000-0005-0000-0000-0000304A0000}"/>
    <cellStyle name="Hed Side Indent 2 4 2 6 2" xfId="17157" xr:uid="{00000000-0005-0000-0000-0000314A0000}"/>
    <cellStyle name="Hed Side Indent 2 4 2 7" xfId="17158" xr:uid="{00000000-0005-0000-0000-0000324A0000}"/>
    <cellStyle name="Hed Side Indent 2 4 2 7 2" xfId="17159" xr:uid="{00000000-0005-0000-0000-0000334A0000}"/>
    <cellStyle name="Hed Side Indent 2 4 2 8" xfId="17160" xr:uid="{00000000-0005-0000-0000-0000344A0000}"/>
    <cellStyle name="Hed Side Indent 2 4 2 8 2" xfId="17161" xr:uid="{00000000-0005-0000-0000-0000354A0000}"/>
    <cellStyle name="Hed Side Indent 2 4 2 9" xfId="17162" xr:uid="{00000000-0005-0000-0000-0000364A0000}"/>
    <cellStyle name="Hed Side Indent 2 4 2 9 2" xfId="17163" xr:uid="{00000000-0005-0000-0000-0000374A0000}"/>
    <cellStyle name="Hed Side Indent 2 4 3" xfId="17164" xr:uid="{00000000-0005-0000-0000-0000384A0000}"/>
    <cellStyle name="Hed Side Indent 2 4 3 10" xfId="17165" xr:uid="{00000000-0005-0000-0000-0000394A0000}"/>
    <cellStyle name="Hed Side Indent 2 4 3 2" xfId="17166" xr:uid="{00000000-0005-0000-0000-00003A4A0000}"/>
    <cellStyle name="Hed Side Indent 2 4 3 2 2" xfId="17167" xr:uid="{00000000-0005-0000-0000-00003B4A0000}"/>
    <cellStyle name="Hed Side Indent 2 4 3 3" xfId="17168" xr:uid="{00000000-0005-0000-0000-00003C4A0000}"/>
    <cellStyle name="Hed Side Indent 2 4 3 3 2" xfId="17169" xr:uid="{00000000-0005-0000-0000-00003D4A0000}"/>
    <cellStyle name="Hed Side Indent 2 4 3 4" xfId="17170" xr:uid="{00000000-0005-0000-0000-00003E4A0000}"/>
    <cellStyle name="Hed Side Indent 2 4 3 4 2" xfId="17171" xr:uid="{00000000-0005-0000-0000-00003F4A0000}"/>
    <cellStyle name="Hed Side Indent 2 4 3 5" xfId="17172" xr:uid="{00000000-0005-0000-0000-0000404A0000}"/>
    <cellStyle name="Hed Side Indent 2 4 3 5 2" xfId="17173" xr:uid="{00000000-0005-0000-0000-0000414A0000}"/>
    <cellStyle name="Hed Side Indent 2 4 3 6" xfId="17174" xr:uid="{00000000-0005-0000-0000-0000424A0000}"/>
    <cellStyle name="Hed Side Indent 2 4 3 6 2" xfId="17175" xr:uid="{00000000-0005-0000-0000-0000434A0000}"/>
    <cellStyle name="Hed Side Indent 2 4 3 7" xfId="17176" xr:uid="{00000000-0005-0000-0000-0000444A0000}"/>
    <cellStyle name="Hed Side Indent 2 4 3 7 2" xfId="17177" xr:uid="{00000000-0005-0000-0000-0000454A0000}"/>
    <cellStyle name="Hed Side Indent 2 4 3 8" xfId="17178" xr:uid="{00000000-0005-0000-0000-0000464A0000}"/>
    <cellStyle name="Hed Side Indent 2 4 3 8 2" xfId="17179" xr:uid="{00000000-0005-0000-0000-0000474A0000}"/>
    <cellStyle name="Hed Side Indent 2 4 3 9" xfId="17180" xr:uid="{00000000-0005-0000-0000-0000484A0000}"/>
    <cellStyle name="Hed Side Indent 2 4 3 9 2" xfId="17181" xr:uid="{00000000-0005-0000-0000-0000494A0000}"/>
    <cellStyle name="Hed Side Indent 2 4 4" xfId="17182" xr:uid="{00000000-0005-0000-0000-00004A4A0000}"/>
    <cellStyle name="Hed Side Indent 2 4 4 10" xfId="17183" xr:uid="{00000000-0005-0000-0000-00004B4A0000}"/>
    <cellStyle name="Hed Side Indent 2 4 4 2" xfId="17184" xr:uid="{00000000-0005-0000-0000-00004C4A0000}"/>
    <cellStyle name="Hed Side Indent 2 4 4 2 2" xfId="17185" xr:uid="{00000000-0005-0000-0000-00004D4A0000}"/>
    <cellStyle name="Hed Side Indent 2 4 4 3" xfId="17186" xr:uid="{00000000-0005-0000-0000-00004E4A0000}"/>
    <cellStyle name="Hed Side Indent 2 4 4 3 2" xfId="17187" xr:uid="{00000000-0005-0000-0000-00004F4A0000}"/>
    <cellStyle name="Hed Side Indent 2 4 4 4" xfId="17188" xr:uid="{00000000-0005-0000-0000-0000504A0000}"/>
    <cellStyle name="Hed Side Indent 2 4 4 4 2" xfId="17189" xr:uid="{00000000-0005-0000-0000-0000514A0000}"/>
    <cellStyle name="Hed Side Indent 2 4 4 5" xfId="17190" xr:uid="{00000000-0005-0000-0000-0000524A0000}"/>
    <cellStyle name="Hed Side Indent 2 4 4 5 2" xfId="17191" xr:uid="{00000000-0005-0000-0000-0000534A0000}"/>
    <cellStyle name="Hed Side Indent 2 4 4 6" xfId="17192" xr:uid="{00000000-0005-0000-0000-0000544A0000}"/>
    <cellStyle name="Hed Side Indent 2 4 4 6 2" xfId="17193" xr:uid="{00000000-0005-0000-0000-0000554A0000}"/>
    <cellStyle name="Hed Side Indent 2 4 4 7" xfId="17194" xr:uid="{00000000-0005-0000-0000-0000564A0000}"/>
    <cellStyle name="Hed Side Indent 2 4 4 7 2" xfId="17195" xr:uid="{00000000-0005-0000-0000-0000574A0000}"/>
    <cellStyle name="Hed Side Indent 2 4 4 8" xfId="17196" xr:uid="{00000000-0005-0000-0000-0000584A0000}"/>
    <cellStyle name="Hed Side Indent 2 4 4 8 2" xfId="17197" xr:uid="{00000000-0005-0000-0000-0000594A0000}"/>
    <cellStyle name="Hed Side Indent 2 4 4 9" xfId="17198" xr:uid="{00000000-0005-0000-0000-00005A4A0000}"/>
    <cellStyle name="Hed Side Indent 2 4 4 9 2" xfId="17199" xr:uid="{00000000-0005-0000-0000-00005B4A0000}"/>
    <cellStyle name="Hed Side Indent 2 4 5" xfId="17200" xr:uid="{00000000-0005-0000-0000-00005C4A0000}"/>
    <cellStyle name="Hed Side Indent 2 4 5 10" xfId="17201" xr:uid="{00000000-0005-0000-0000-00005D4A0000}"/>
    <cellStyle name="Hed Side Indent 2 4 5 2" xfId="17202" xr:uid="{00000000-0005-0000-0000-00005E4A0000}"/>
    <cellStyle name="Hed Side Indent 2 4 5 2 2" xfId="17203" xr:uid="{00000000-0005-0000-0000-00005F4A0000}"/>
    <cellStyle name="Hed Side Indent 2 4 5 3" xfId="17204" xr:uid="{00000000-0005-0000-0000-0000604A0000}"/>
    <cellStyle name="Hed Side Indent 2 4 5 3 2" xfId="17205" xr:uid="{00000000-0005-0000-0000-0000614A0000}"/>
    <cellStyle name="Hed Side Indent 2 4 5 4" xfId="17206" xr:uid="{00000000-0005-0000-0000-0000624A0000}"/>
    <cellStyle name="Hed Side Indent 2 4 5 4 2" xfId="17207" xr:uid="{00000000-0005-0000-0000-0000634A0000}"/>
    <cellStyle name="Hed Side Indent 2 4 5 5" xfId="17208" xr:uid="{00000000-0005-0000-0000-0000644A0000}"/>
    <cellStyle name="Hed Side Indent 2 4 5 5 2" xfId="17209" xr:uid="{00000000-0005-0000-0000-0000654A0000}"/>
    <cellStyle name="Hed Side Indent 2 4 5 6" xfId="17210" xr:uid="{00000000-0005-0000-0000-0000664A0000}"/>
    <cellStyle name="Hed Side Indent 2 4 5 6 2" xfId="17211" xr:uid="{00000000-0005-0000-0000-0000674A0000}"/>
    <cellStyle name="Hed Side Indent 2 4 5 7" xfId="17212" xr:uid="{00000000-0005-0000-0000-0000684A0000}"/>
    <cellStyle name="Hed Side Indent 2 4 5 7 2" xfId="17213" xr:uid="{00000000-0005-0000-0000-0000694A0000}"/>
    <cellStyle name="Hed Side Indent 2 4 5 8" xfId="17214" xr:uid="{00000000-0005-0000-0000-00006A4A0000}"/>
    <cellStyle name="Hed Side Indent 2 4 5 8 2" xfId="17215" xr:uid="{00000000-0005-0000-0000-00006B4A0000}"/>
    <cellStyle name="Hed Side Indent 2 4 5 9" xfId="17216" xr:uid="{00000000-0005-0000-0000-00006C4A0000}"/>
    <cellStyle name="Hed Side Indent 2 4 5 9 2" xfId="17217" xr:uid="{00000000-0005-0000-0000-00006D4A0000}"/>
    <cellStyle name="Hed Side Indent 2 4 6" xfId="17218" xr:uid="{00000000-0005-0000-0000-00006E4A0000}"/>
    <cellStyle name="Hed Side Indent 2 4 6 10" xfId="17219" xr:uid="{00000000-0005-0000-0000-00006F4A0000}"/>
    <cellStyle name="Hed Side Indent 2 4 6 2" xfId="17220" xr:uid="{00000000-0005-0000-0000-0000704A0000}"/>
    <cellStyle name="Hed Side Indent 2 4 6 2 2" xfId="17221" xr:uid="{00000000-0005-0000-0000-0000714A0000}"/>
    <cellStyle name="Hed Side Indent 2 4 6 3" xfId="17222" xr:uid="{00000000-0005-0000-0000-0000724A0000}"/>
    <cellStyle name="Hed Side Indent 2 4 6 3 2" xfId="17223" xr:uid="{00000000-0005-0000-0000-0000734A0000}"/>
    <cellStyle name="Hed Side Indent 2 4 6 4" xfId="17224" xr:uid="{00000000-0005-0000-0000-0000744A0000}"/>
    <cellStyle name="Hed Side Indent 2 4 6 4 2" xfId="17225" xr:uid="{00000000-0005-0000-0000-0000754A0000}"/>
    <cellStyle name="Hed Side Indent 2 4 6 5" xfId="17226" xr:uid="{00000000-0005-0000-0000-0000764A0000}"/>
    <cellStyle name="Hed Side Indent 2 4 6 5 2" xfId="17227" xr:uid="{00000000-0005-0000-0000-0000774A0000}"/>
    <cellStyle name="Hed Side Indent 2 4 6 6" xfId="17228" xr:uid="{00000000-0005-0000-0000-0000784A0000}"/>
    <cellStyle name="Hed Side Indent 2 4 6 6 2" xfId="17229" xr:uid="{00000000-0005-0000-0000-0000794A0000}"/>
    <cellStyle name="Hed Side Indent 2 4 6 7" xfId="17230" xr:uid="{00000000-0005-0000-0000-00007A4A0000}"/>
    <cellStyle name="Hed Side Indent 2 4 6 7 2" xfId="17231" xr:uid="{00000000-0005-0000-0000-00007B4A0000}"/>
    <cellStyle name="Hed Side Indent 2 4 6 8" xfId="17232" xr:uid="{00000000-0005-0000-0000-00007C4A0000}"/>
    <cellStyle name="Hed Side Indent 2 4 6 8 2" xfId="17233" xr:uid="{00000000-0005-0000-0000-00007D4A0000}"/>
    <cellStyle name="Hed Side Indent 2 4 6 9" xfId="17234" xr:uid="{00000000-0005-0000-0000-00007E4A0000}"/>
    <cellStyle name="Hed Side Indent 2 4 6 9 2" xfId="17235" xr:uid="{00000000-0005-0000-0000-00007F4A0000}"/>
    <cellStyle name="Hed Side Indent 2 4 7" xfId="17236" xr:uid="{00000000-0005-0000-0000-0000804A0000}"/>
    <cellStyle name="Hed Side Indent 2 4 7 10" xfId="17237" xr:uid="{00000000-0005-0000-0000-0000814A0000}"/>
    <cellStyle name="Hed Side Indent 2 4 7 2" xfId="17238" xr:uid="{00000000-0005-0000-0000-0000824A0000}"/>
    <cellStyle name="Hed Side Indent 2 4 7 2 2" xfId="17239" xr:uid="{00000000-0005-0000-0000-0000834A0000}"/>
    <cellStyle name="Hed Side Indent 2 4 7 3" xfId="17240" xr:uid="{00000000-0005-0000-0000-0000844A0000}"/>
    <cellStyle name="Hed Side Indent 2 4 7 3 2" xfId="17241" xr:uid="{00000000-0005-0000-0000-0000854A0000}"/>
    <cellStyle name="Hed Side Indent 2 4 7 4" xfId="17242" xr:uid="{00000000-0005-0000-0000-0000864A0000}"/>
    <cellStyle name="Hed Side Indent 2 4 7 4 2" xfId="17243" xr:uid="{00000000-0005-0000-0000-0000874A0000}"/>
    <cellStyle name="Hed Side Indent 2 4 7 5" xfId="17244" xr:uid="{00000000-0005-0000-0000-0000884A0000}"/>
    <cellStyle name="Hed Side Indent 2 4 7 5 2" xfId="17245" xr:uid="{00000000-0005-0000-0000-0000894A0000}"/>
    <cellStyle name="Hed Side Indent 2 4 7 6" xfId="17246" xr:uid="{00000000-0005-0000-0000-00008A4A0000}"/>
    <cellStyle name="Hed Side Indent 2 4 7 6 2" xfId="17247" xr:uid="{00000000-0005-0000-0000-00008B4A0000}"/>
    <cellStyle name="Hed Side Indent 2 4 7 7" xfId="17248" xr:uid="{00000000-0005-0000-0000-00008C4A0000}"/>
    <cellStyle name="Hed Side Indent 2 4 7 7 2" xfId="17249" xr:uid="{00000000-0005-0000-0000-00008D4A0000}"/>
    <cellStyle name="Hed Side Indent 2 4 7 8" xfId="17250" xr:uid="{00000000-0005-0000-0000-00008E4A0000}"/>
    <cellStyle name="Hed Side Indent 2 4 7 8 2" xfId="17251" xr:uid="{00000000-0005-0000-0000-00008F4A0000}"/>
    <cellStyle name="Hed Side Indent 2 4 7 9" xfId="17252" xr:uid="{00000000-0005-0000-0000-0000904A0000}"/>
    <cellStyle name="Hed Side Indent 2 4 7 9 2" xfId="17253" xr:uid="{00000000-0005-0000-0000-0000914A0000}"/>
    <cellStyle name="Hed Side Indent 2 4 8" xfId="17254" xr:uid="{00000000-0005-0000-0000-0000924A0000}"/>
    <cellStyle name="Hed Side Indent 2 4 8 10" xfId="17255" xr:uid="{00000000-0005-0000-0000-0000934A0000}"/>
    <cellStyle name="Hed Side Indent 2 4 8 2" xfId="17256" xr:uid="{00000000-0005-0000-0000-0000944A0000}"/>
    <cellStyle name="Hed Side Indent 2 4 8 2 2" xfId="17257" xr:uid="{00000000-0005-0000-0000-0000954A0000}"/>
    <cellStyle name="Hed Side Indent 2 4 8 3" xfId="17258" xr:uid="{00000000-0005-0000-0000-0000964A0000}"/>
    <cellStyle name="Hed Side Indent 2 4 8 3 2" xfId="17259" xr:uid="{00000000-0005-0000-0000-0000974A0000}"/>
    <cellStyle name="Hed Side Indent 2 4 8 4" xfId="17260" xr:uid="{00000000-0005-0000-0000-0000984A0000}"/>
    <cellStyle name="Hed Side Indent 2 4 8 4 2" xfId="17261" xr:uid="{00000000-0005-0000-0000-0000994A0000}"/>
    <cellStyle name="Hed Side Indent 2 4 8 5" xfId="17262" xr:uid="{00000000-0005-0000-0000-00009A4A0000}"/>
    <cellStyle name="Hed Side Indent 2 4 8 5 2" xfId="17263" xr:uid="{00000000-0005-0000-0000-00009B4A0000}"/>
    <cellStyle name="Hed Side Indent 2 4 8 6" xfId="17264" xr:uid="{00000000-0005-0000-0000-00009C4A0000}"/>
    <cellStyle name="Hed Side Indent 2 4 8 6 2" xfId="17265" xr:uid="{00000000-0005-0000-0000-00009D4A0000}"/>
    <cellStyle name="Hed Side Indent 2 4 8 7" xfId="17266" xr:uid="{00000000-0005-0000-0000-00009E4A0000}"/>
    <cellStyle name="Hed Side Indent 2 4 8 7 2" xfId="17267" xr:uid="{00000000-0005-0000-0000-00009F4A0000}"/>
    <cellStyle name="Hed Side Indent 2 4 8 8" xfId="17268" xr:uid="{00000000-0005-0000-0000-0000A04A0000}"/>
    <cellStyle name="Hed Side Indent 2 4 8 8 2" xfId="17269" xr:uid="{00000000-0005-0000-0000-0000A14A0000}"/>
    <cellStyle name="Hed Side Indent 2 4 8 9" xfId="17270" xr:uid="{00000000-0005-0000-0000-0000A24A0000}"/>
    <cellStyle name="Hed Side Indent 2 4 8 9 2" xfId="17271" xr:uid="{00000000-0005-0000-0000-0000A34A0000}"/>
    <cellStyle name="Hed Side Indent 2 4 9" xfId="17272" xr:uid="{00000000-0005-0000-0000-0000A44A0000}"/>
    <cellStyle name="Hed Side Indent 2 4 9 10" xfId="17273" xr:uid="{00000000-0005-0000-0000-0000A54A0000}"/>
    <cellStyle name="Hed Side Indent 2 4 9 2" xfId="17274" xr:uid="{00000000-0005-0000-0000-0000A64A0000}"/>
    <cellStyle name="Hed Side Indent 2 4 9 2 2" xfId="17275" xr:uid="{00000000-0005-0000-0000-0000A74A0000}"/>
    <cellStyle name="Hed Side Indent 2 4 9 3" xfId="17276" xr:uid="{00000000-0005-0000-0000-0000A84A0000}"/>
    <cellStyle name="Hed Side Indent 2 4 9 3 2" xfId="17277" xr:uid="{00000000-0005-0000-0000-0000A94A0000}"/>
    <cellStyle name="Hed Side Indent 2 4 9 4" xfId="17278" xr:uid="{00000000-0005-0000-0000-0000AA4A0000}"/>
    <cellStyle name="Hed Side Indent 2 4 9 4 2" xfId="17279" xr:uid="{00000000-0005-0000-0000-0000AB4A0000}"/>
    <cellStyle name="Hed Side Indent 2 4 9 5" xfId="17280" xr:uid="{00000000-0005-0000-0000-0000AC4A0000}"/>
    <cellStyle name="Hed Side Indent 2 4 9 5 2" xfId="17281" xr:uid="{00000000-0005-0000-0000-0000AD4A0000}"/>
    <cellStyle name="Hed Side Indent 2 4 9 6" xfId="17282" xr:uid="{00000000-0005-0000-0000-0000AE4A0000}"/>
    <cellStyle name="Hed Side Indent 2 4 9 6 2" xfId="17283" xr:uid="{00000000-0005-0000-0000-0000AF4A0000}"/>
    <cellStyle name="Hed Side Indent 2 4 9 7" xfId="17284" xr:uid="{00000000-0005-0000-0000-0000B04A0000}"/>
    <cellStyle name="Hed Side Indent 2 4 9 7 2" xfId="17285" xr:uid="{00000000-0005-0000-0000-0000B14A0000}"/>
    <cellStyle name="Hed Side Indent 2 4 9 8" xfId="17286" xr:uid="{00000000-0005-0000-0000-0000B24A0000}"/>
    <cellStyle name="Hed Side Indent 2 4 9 8 2" xfId="17287" xr:uid="{00000000-0005-0000-0000-0000B34A0000}"/>
    <cellStyle name="Hed Side Indent 2 4 9 9" xfId="17288" xr:uid="{00000000-0005-0000-0000-0000B44A0000}"/>
    <cellStyle name="Hed Side Indent 2 4 9 9 2" xfId="17289" xr:uid="{00000000-0005-0000-0000-0000B54A0000}"/>
    <cellStyle name="Hed Side Indent 2 5" xfId="17290" xr:uid="{00000000-0005-0000-0000-0000B64A0000}"/>
    <cellStyle name="Hed Side Indent 2 5 10" xfId="17291" xr:uid="{00000000-0005-0000-0000-0000B74A0000}"/>
    <cellStyle name="Hed Side Indent 2 5 10 2" xfId="17292" xr:uid="{00000000-0005-0000-0000-0000B84A0000}"/>
    <cellStyle name="Hed Side Indent 2 5 10 2 2" xfId="17293" xr:uid="{00000000-0005-0000-0000-0000B94A0000}"/>
    <cellStyle name="Hed Side Indent 2 5 10 3" xfId="17294" xr:uid="{00000000-0005-0000-0000-0000BA4A0000}"/>
    <cellStyle name="Hed Side Indent 2 5 10 3 2" xfId="17295" xr:uid="{00000000-0005-0000-0000-0000BB4A0000}"/>
    <cellStyle name="Hed Side Indent 2 5 10 4" xfId="17296" xr:uid="{00000000-0005-0000-0000-0000BC4A0000}"/>
    <cellStyle name="Hed Side Indent 2 5 10 4 2" xfId="17297" xr:uid="{00000000-0005-0000-0000-0000BD4A0000}"/>
    <cellStyle name="Hed Side Indent 2 5 10 5" xfId="17298" xr:uid="{00000000-0005-0000-0000-0000BE4A0000}"/>
    <cellStyle name="Hed Side Indent 2 5 10 5 2" xfId="17299" xr:uid="{00000000-0005-0000-0000-0000BF4A0000}"/>
    <cellStyle name="Hed Side Indent 2 5 10 6" xfId="17300" xr:uid="{00000000-0005-0000-0000-0000C04A0000}"/>
    <cellStyle name="Hed Side Indent 2 5 10 6 2" xfId="17301" xr:uid="{00000000-0005-0000-0000-0000C14A0000}"/>
    <cellStyle name="Hed Side Indent 2 5 10 7" xfId="17302" xr:uid="{00000000-0005-0000-0000-0000C24A0000}"/>
    <cellStyle name="Hed Side Indent 2 5 10 7 2" xfId="17303" xr:uid="{00000000-0005-0000-0000-0000C34A0000}"/>
    <cellStyle name="Hed Side Indent 2 5 10 8" xfId="17304" xr:uid="{00000000-0005-0000-0000-0000C44A0000}"/>
    <cellStyle name="Hed Side Indent 2 5 10 8 2" xfId="17305" xr:uid="{00000000-0005-0000-0000-0000C54A0000}"/>
    <cellStyle name="Hed Side Indent 2 5 10 9" xfId="17306" xr:uid="{00000000-0005-0000-0000-0000C64A0000}"/>
    <cellStyle name="Hed Side Indent 2 5 11" xfId="17307" xr:uid="{00000000-0005-0000-0000-0000C74A0000}"/>
    <cellStyle name="Hed Side Indent 2 5 11 2" xfId="17308" xr:uid="{00000000-0005-0000-0000-0000C84A0000}"/>
    <cellStyle name="Hed Side Indent 2 5 12" xfId="17309" xr:uid="{00000000-0005-0000-0000-0000C94A0000}"/>
    <cellStyle name="Hed Side Indent 2 5 12 2" xfId="17310" xr:uid="{00000000-0005-0000-0000-0000CA4A0000}"/>
    <cellStyle name="Hed Side Indent 2 5 13" xfId="17311" xr:uid="{00000000-0005-0000-0000-0000CB4A0000}"/>
    <cellStyle name="Hed Side Indent 2 5 13 2" xfId="17312" xr:uid="{00000000-0005-0000-0000-0000CC4A0000}"/>
    <cellStyle name="Hed Side Indent 2 5 14" xfId="17313" xr:uid="{00000000-0005-0000-0000-0000CD4A0000}"/>
    <cellStyle name="Hed Side Indent 2 5 14 2" xfId="17314" xr:uid="{00000000-0005-0000-0000-0000CE4A0000}"/>
    <cellStyle name="Hed Side Indent 2 5 15" xfId="17315" xr:uid="{00000000-0005-0000-0000-0000CF4A0000}"/>
    <cellStyle name="Hed Side Indent 2 5 15 2" xfId="17316" xr:uid="{00000000-0005-0000-0000-0000D04A0000}"/>
    <cellStyle name="Hed Side Indent 2 5 16" xfId="17317" xr:uid="{00000000-0005-0000-0000-0000D14A0000}"/>
    <cellStyle name="Hed Side Indent 2 5 16 2" xfId="17318" xr:uid="{00000000-0005-0000-0000-0000D24A0000}"/>
    <cellStyle name="Hed Side Indent 2 5 17" xfId="17319" xr:uid="{00000000-0005-0000-0000-0000D34A0000}"/>
    <cellStyle name="Hed Side Indent 2 5 17 2" xfId="17320" xr:uid="{00000000-0005-0000-0000-0000D44A0000}"/>
    <cellStyle name="Hed Side Indent 2 5 18" xfId="17321" xr:uid="{00000000-0005-0000-0000-0000D54A0000}"/>
    <cellStyle name="Hed Side Indent 2 5 2" xfId="17322" xr:uid="{00000000-0005-0000-0000-0000D64A0000}"/>
    <cellStyle name="Hed Side Indent 2 5 2 10" xfId="17323" xr:uid="{00000000-0005-0000-0000-0000D74A0000}"/>
    <cellStyle name="Hed Side Indent 2 5 2 2" xfId="17324" xr:uid="{00000000-0005-0000-0000-0000D84A0000}"/>
    <cellStyle name="Hed Side Indent 2 5 2 2 2" xfId="17325" xr:uid="{00000000-0005-0000-0000-0000D94A0000}"/>
    <cellStyle name="Hed Side Indent 2 5 2 3" xfId="17326" xr:uid="{00000000-0005-0000-0000-0000DA4A0000}"/>
    <cellStyle name="Hed Side Indent 2 5 2 3 2" xfId="17327" xr:uid="{00000000-0005-0000-0000-0000DB4A0000}"/>
    <cellStyle name="Hed Side Indent 2 5 2 4" xfId="17328" xr:uid="{00000000-0005-0000-0000-0000DC4A0000}"/>
    <cellStyle name="Hed Side Indent 2 5 2 4 2" xfId="17329" xr:uid="{00000000-0005-0000-0000-0000DD4A0000}"/>
    <cellStyle name="Hed Side Indent 2 5 2 5" xfId="17330" xr:uid="{00000000-0005-0000-0000-0000DE4A0000}"/>
    <cellStyle name="Hed Side Indent 2 5 2 5 2" xfId="17331" xr:uid="{00000000-0005-0000-0000-0000DF4A0000}"/>
    <cellStyle name="Hed Side Indent 2 5 2 6" xfId="17332" xr:uid="{00000000-0005-0000-0000-0000E04A0000}"/>
    <cellStyle name="Hed Side Indent 2 5 2 6 2" xfId="17333" xr:uid="{00000000-0005-0000-0000-0000E14A0000}"/>
    <cellStyle name="Hed Side Indent 2 5 2 7" xfId="17334" xr:uid="{00000000-0005-0000-0000-0000E24A0000}"/>
    <cellStyle name="Hed Side Indent 2 5 2 7 2" xfId="17335" xr:uid="{00000000-0005-0000-0000-0000E34A0000}"/>
    <cellStyle name="Hed Side Indent 2 5 2 8" xfId="17336" xr:uid="{00000000-0005-0000-0000-0000E44A0000}"/>
    <cellStyle name="Hed Side Indent 2 5 2 8 2" xfId="17337" xr:uid="{00000000-0005-0000-0000-0000E54A0000}"/>
    <cellStyle name="Hed Side Indent 2 5 2 9" xfId="17338" xr:uid="{00000000-0005-0000-0000-0000E64A0000}"/>
    <cellStyle name="Hed Side Indent 2 5 2 9 2" xfId="17339" xr:uid="{00000000-0005-0000-0000-0000E74A0000}"/>
    <cellStyle name="Hed Side Indent 2 5 3" xfId="17340" xr:uid="{00000000-0005-0000-0000-0000E84A0000}"/>
    <cellStyle name="Hed Side Indent 2 5 3 10" xfId="17341" xr:uid="{00000000-0005-0000-0000-0000E94A0000}"/>
    <cellStyle name="Hed Side Indent 2 5 3 2" xfId="17342" xr:uid="{00000000-0005-0000-0000-0000EA4A0000}"/>
    <cellStyle name="Hed Side Indent 2 5 3 2 2" xfId="17343" xr:uid="{00000000-0005-0000-0000-0000EB4A0000}"/>
    <cellStyle name="Hed Side Indent 2 5 3 3" xfId="17344" xr:uid="{00000000-0005-0000-0000-0000EC4A0000}"/>
    <cellStyle name="Hed Side Indent 2 5 3 3 2" xfId="17345" xr:uid="{00000000-0005-0000-0000-0000ED4A0000}"/>
    <cellStyle name="Hed Side Indent 2 5 3 4" xfId="17346" xr:uid="{00000000-0005-0000-0000-0000EE4A0000}"/>
    <cellStyle name="Hed Side Indent 2 5 3 4 2" xfId="17347" xr:uid="{00000000-0005-0000-0000-0000EF4A0000}"/>
    <cellStyle name="Hed Side Indent 2 5 3 5" xfId="17348" xr:uid="{00000000-0005-0000-0000-0000F04A0000}"/>
    <cellStyle name="Hed Side Indent 2 5 3 5 2" xfId="17349" xr:uid="{00000000-0005-0000-0000-0000F14A0000}"/>
    <cellStyle name="Hed Side Indent 2 5 3 6" xfId="17350" xr:uid="{00000000-0005-0000-0000-0000F24A0000}"/>
    <cellStyle name="Hed Side Indent 2 5 3 6 2" xfId="17351" xr:uid="{00000000-0005-0000-0000-0000F34A0000}"/>
    <cellStyle name="Hed Side Indent 2 5 3 7" xfId="17352" xr:uid="{00000000-0005-0000-0000-0000F44A0000}"/>
    <cellStyle name="Hed Side Indent 2 5 3 7 2" xfId="17353" xr:uid="{00000000-0005-0000-0000-0000F54A0000}"/>
    <cellStyle name="Hed Side Indent 2 5 3 8" xfId="17354" xr:uid="{00000000-0005-0000-0000-0000F64A0000}"/>
    <cellStyle name="Hed Side Indent 2 5 3 8 2" xfId="17355" xr:uid="{00000000-0005-0000-0000-0000F74A0000}"/>
    <cellStyle name="Hed Side Indent 2 5 3 9" xfId="17356" xr:uid="{00000000-0005-0000-0000-0000F84A0000}"/>
    <cellStyle name="Hed Side Indent 2 5 3 9 2" xfId="17357" xr:uid="{00000000-0005-0000-0000-0000F94A0000}"/>
    <cellStyle name="Hed Side Indent 2 5 4" xfId="17358" xr:uid="{00000000-0005-0000-0000-0000FA4A0000}"/>
    <cellStyle name="Hed Side Indent 2 5 4 10" xfId="17359" xr:uid="{00000000-0005-0000-0000-0000FB4A0000}"/>
    <cellStyle name="Hed Side Indent 2 5 4 2" xfId="17360" xr:uid="{00000000-0005-0000-0000-0000FC4A0000}"/>
    <cellStyle name="Hed Side Indent 2 5 4 2 2" xfId="17361" xr:uid="{00000000-0005-0000-0000-0000FD4A0000}"/>
    <cellStyle name="Hed Side Indent 2 5 4 3" xfId="17362" xr:uid="{00000000-0005-0000-0000-0000FE4A0000}"/>
    <cellStyle name="Hed Side Indent 2 5 4 3 2" xfId="17363" xr:uid="{00000000-0005-0000-0000-0000FF4A0000}"/>
    <cellStyle name="Hed Side Indent 2 5 4 4" xfId="17364" xr:uid="{00000000-0005-0000-0000-0000004B0000}"/>
    <cellStyle name="Hed Side Indent 2 5 4 4 2" xfId="17365" xr:uid="{00000000-0005-0000-0000-0000014B0000}"/>
    <cellStyle name="Hed Side Indent 2 5 4 5" xfId="17366" xr:uid="{00000000-0005-0000-0000-0000024B0000}"/>
    <cellStyle name="Hed Side Indent 2 5 4 5 2" xfId="17367" xr:uid="{00000000-0005-0000-0000-0000034B0000}"/>
    <cellStyle name="Hed Side Indent 2 5 4 6" xfId="17368" xr:uid="{00000000-0005-0000-0000-0000044B0000}"/>
    <cellStyle name="Hed Side Indent 2 5 4 6 2" xfId="17369" xr:uid="{00000000-0005-0000-0000-0000054B0000}"/>
    <cellStyle name="Hed Side Indent 2 5 4 7" xfId="17370" xr:uid="{00000000-0005-0000-0000-0000064B0000}"/>
    <cellStyle name="Hed Side Indent 2 5 4 7 2" xfId="17371" xr:uid="{00000000-0005-0000-0000-0000074B0000}"/>
    <cellStyle name="Hed Side Indent 2 5 4 8" xfId="17372" xr:uid="{00000000-0005-0000-0000-0000084B0000}"/>
    <cellStyle name="Hed Side Indent 2 5 4 8 2" xfId="17373" xr:uid="{00000000-0005-0000-0000-0000094B0000}"/>
    <cellStyle name="Hed Side Indent 2 5 4 9" xfId="17374" xr:uid="{00000000-0005-0000-0000-00000A4B0000}"/>
    <cellStyle name="Hed Side Indent 2 5 4 9 2" xfId="17375" xr:uid="{00000000-0005-0000-0000-00000B4B0000}"/>
    <cellStyle name="Hed Side Indent 2 5 5" xfId="17376" xr:uid="{00000000-0005-0000-0000-00000C4B0000}"/>
    <cellStyle name="Hed Side Indent 2 5 5 10" xfId="17377" xr:uid="{00000000-0005-0000-0000-00000D4B0000}"/>
    <cellStyle name="Hed Side Indent 2 5 5 2" xfId="17378" xr:uid="{00000000-0005-0000-0000-00000E4B0000}"/>
    <cellStyle name="Hed Side Indent 2 5 5 2 2" xfId="17379" xr:uid="{00000000-0005-0000-0000-00000F4B0000}"/>
    <cellStyle name="Hed Side Indent 2 5 5 3" xfId="17380" xr:uid="{00000000-0005-0000-0000-0000104B0000}"/>
    <cellStyle name="Hed Side Indent 2 5 5 3 2" xfId="17381" xr:uid="{00000000-0005-0000-0000-0000114B0000}"/>
    <cellStyle name="Hed Side Indent 2 5 5 4" xfId="17382" xr:uid="{00000000-0005-0000-0000-0000124B0000}"/>
    <cellStyle name="Hed Side Indent 2 5 5 4 2" xfId="17383" xr:uid="{00000000-0005-0000-0000-0000134B0000}"/>
    <cellStyle name="Hed Side Indent 2 5 5 5" xfId="17384" xr:uid="{00000000-0005-0000-0000-0000144B0000}"/>
    <cellStyle name="Hed Side Indent 2 5 5 5 2" xfId="17385" xr:uid="{00000000-0005-0000-0000-0000154B0000}"/>
    <cellStyle name="Hed Side Indent 2 5 5 6" xfId="17386" xr:uid="{00000000-0005-0000-0000-0000164B0000}"/>
    <cellStyle name="Hed Side Indent 2 5 5 6 2" xfId="17387" xr:uid="{00000000-0005-0000-0000-0000174B0000}"/>
    <cellStyle name="Hed Side Indent 2 5 5 7" xfId="17388" xr:uid="{00000000-0005-0000-0000-0000184B0000}"/>
    <cellStyle name="Hed Side Indent 2 5 5 7 2" xfId="17389" xr:uid="{00000000-0005-0000-0000-0000194B0000}"/>
    <cellStyle name="Hed Side Indent 2 5 5 8" xfId="17390" xr:uid="{00000000-0005-0000-0000-00001A4B0000}"/>
    <cellStyle name="Hed Side Indent 2 5 5 8 2" xfId="17391" xr:uid="{00000000-0005-0000-0000-00001B4B0000}"/>
    <cellStyle name="Hed Side Indent 2 5 5 9" xfId="17392" xr:uid="{00000000-0005-0000-0000-00001C4B0000}"/>
    <cellStyle name="Hed Side Indent 2 5 5 9 2" xfId="17393" xr:uid="{00000000-0005-0000-0000-00001D4B0000}"/>
    <cellStyle name="Hed Side Indent 2 5 6" xfId="17394" xr:uid="{00000000-0005-0000-0000-00001E4B0000}"/>
    <cellStyle name="Hed Side Indent 2 5 6 10" xfId="17395" xr:uid="{00000000-0005-0000-0000-00001F4B0000}"/>
    <cellStyle name="Hed Side Indent 2 5 6 2" xfId="17396" xr:uid="{00000000-0005-0000-0000-0000204B0000}"/>
    <cellStyle name="Hed Side Indent 2 5 6 2 2" xfId="17397" xr:uid="{00000000-0005-0000-0000-0000214B0000}"/>
    <cellStyle name="Hed Side Indent 2 5 6 3" xfId="17398" xr:uid="{00000000-0005-0000-0000-0000224B0000}"/>
    <cellStyle name="Hed Side Indent 2 5 6 3 2" xfId="17399" xr:uid="{00000000-0005-0000-0000-0000234B0000}"/>
    <cellStyle name="Hed Side Indent 2 5 6 4" xfId="17400" xr:uid="{00000000-0005-0000-0000-0000244B0000}"/>
    <cellStyle name="Hed Side Indent 2 5 6 4 2" xfId="17401" xr:uid="{00000000-0005-0000-0000-0000254B0000}"/>
    <cellStyle name="Hed Side Indent 2 5 6 5" xfId="17402" xr:uid="{00000000-0005-0000-0000-0000264B0000}"/>
    <cellStyle name="Hed Side Indent 2 5 6 5 2" xfId="17403" xr:uid="{00000000-0005-0000-0000-0000274B0000}"/>
    <cellStyle name="Hed Side Indent 2 5 6 6" xfId="17404" xr:uid="{00000000-0005-0000-0000-0000284B0000}"/>
    <cellStyle name="Hed Side Indent 2 5 6 6 2" xfId="17405" xr:uid="{00000000-0005-0000-0000-0000294B0000}"/>
    <cellStyle name="Hed Side Indent 2 5 6 7" xfId="17406" xr:uid="{00000000-0005-0000-0000-00002A4B0000}"/>
    <cellStyle name="Hed Side Indent 2 5 6 7 2" xfId="17407" xr:uid="{00000000-0005-0000-0000-00002B4B0000}"/>
    <cellStyle name="Hed Side Indent 2 5 6 8" xfId="17408" xr:uid="{00000000-0005-0000-0000-00002C4B0000}"/>
    <cellStyle name="Hed Side Indent 2 5 6 8 2" xfId="17409" xr:uid="{00000000-0005-0000-0000-00002D4B0000}"/>
    <cellStyle name="Hed Side Indent 2 5 6 9" xfId="17410" xr:uid="{00000000-0005-0000-0000-00002E4B0000}"/>
    <cellStyle name="Hed Side Indent 2 5 6 9 2" xfId="17411" xr:uid="{00000000-0005-0000-0000-00002F4B0000}"/>
    <cellStyle name="Hed Side Indent 2 5 7" xfId="17412" xr:uid="{00000000-0005-0000-0000-0000304B0000}"/>
    <cellStyle name="Hed Side Indent 2 5 7 10" xfId="17413" xr:uid="{00000000-0005-0000-0000-0000314B0000}"/>
    <cellStyle name="Hed Side Indent 2 5 7 2" xfId="17414" xr:uid="{00000000-0005-0000-0000-0000324B0000}"/>
    <cellStyle name="Hed Side Indent 2 5 7 2 2" xfId="17415" xr:uid="{00000000-0005-0000-0000-0000334B0000}"/>
    <cellStyle name="Hed Side Indent 2 5 7 3" xfId="17416" xr:uid="{00000000-0005-0000-0000-0000344B0000}"/>
    <cellStyle name="Hed Side Indent 2 5 7 3 2" xfId="17417" xr:uid="{00000000-0005-0000-0000-0000354B0000}"/>
    <cellStyle name="Hed Side Indent 2 5 7 4" xfId="17418" xr:uid="{00000000-0005-0000-0000-0000364B0000}"/>
    <cellStyle name="Hed Side Indent 2 5 7 4 2" xfId="17419" xr:uid="{00000000-0005-0000-0000-0000374B0000}"/>
    <cellStyle name="Hed Side Indent 2 5 7 5" xfId="17420" xr:uid="{00000000-0005-0000-0000-0000384B0000}"/>
    <cellStyle name="Hed Side Indent 2 5 7 5 2" xfId="17421" xr:uid="{00000000-0005-0000-0000-0000394B0000}"/>
    <cellStyle name="Hed Side Indent 2 5 7 6" xfId="17422" xr:uid="{00000000-0005-0000-0000-00003A4B0000}"/>
    <cellStyle name="Hed Side Indent 2 5 7 6 2" xfId="17423" xr:uid="{00000000-0005-0000-0000-00003B4B0000}"/>
    <cellStyle name="Hed Side Indent 2 5 7 7" xfId="17424" xr:uid="{00000000-0005-0000-0000-00003C4B0000}"/>
    <cellStyle name="Hed Side Indent 2 5 7 7 2" xfId="17425" xr:uid="{00000000-0005-0000-0000-00003D4B0000}"/>
    <cellStyle name="Hed Side Indent 2 5 7 8" xfId="17426" xr:uid="{00000000-0005-0000-0000-00003E4B0000}"/>
    <cellStyle name="Hed Side Indent 2 5 7 8 2" xfId="17427" xr:uid="{00000000-0005-0000-0000-00003F4B0000}"/>
    <cellStyle name="Hed Side Indent 2 5 7 9" xfId="17428" xr:uid="{00000000-0005-0000-0000-0000404B0000}"/>
    <cellStyle name="Hed Side Indent 2 5 7 9 2" xfId="17429" xr:uid="{00000000-0005-0000-0000-0000414B0000}"/>
    <cellStyle name="Hed Side Indent 2 5 8" xfId="17430" xr:uid="{00000000-0005-0000-0000-0000424B0000}"/>
    <cellStyle name="Hed Side Indent 2 5 8 10" xfId="17431" xr:uid="{00000000-0005-0000-0000-0000434B0000}"/>
    <cellStyle name="Hed Side Indent 2 5 8 2" xfId="17432" xr:uid="{00000000-0005-0000-0000-0000444B0000}"/>
    <cellStyle name="Hed Side Indent 2 5 8 2 2" xfId="17433" xr:uid="{00000000-0005-0000-0000-0000454B0000}"/>
    <cellStyle name="Hed Side Indent 2 5 8 3" xfId="17434" xr:uid="{00000000-0005-0000-0000-0000464B0000}"/>
    <cellStyle name="Hed Side Indent 2 5 8 3 2" xfId="17435" xr:uid="{00000000-0005-0000-0000-0000474B0000}"/>
    <cellStyle name="Hed Side Indent 2 5 8 4" xfId="17436" xr:uid="{00000000-0005-0000-0000-0000484B0000}"/>
    <cellStyle name="Hed Side Indent 2 5 8 4 2" xfId="17437" xr:uid="{00000000-0005-0000-0000-0000494B0000}"/>
    <cellStyle name="Hed Side Indent 2 5 8 5" xfId="17438" xr:uid="{00000000-0005-0000-0000-00004A4B0000}"/>
    <cellStyle name="Hed Side Indent 2 5 8 5 2" xfId="17439" xr:uid="{00000000-0005-0000-0000-00004B4B0000}"/>
    <cellStyle name="Hed Side Indent 2 5 8 6" xfId="17440" xr:uid="{00000000-0005-0000-0000-00004C4B0000}"/>
    <cellStyle name="Hed Side Indent 2 5 8 6 2" xfId="17441" xr:uid="{00000000-0005-0000-0000-00004D4B0000}"/>
    <cellStyle name="Hed Side Indent 2 5 8 7" xfId="17442" xr:uid="{00000000-0005-0000-0000-00004E4B0000}"/>
    <cellStyle name="Hed Side Indent 2 5 8 7 2" xfId="17443" xr:uid="{00000000-0005-0000-0000-00004F4B0000}"/>
    <cellStyle name="Hed Side Indent 2 5 8 8" xfId="17444" xr:uid="{00000000-0005-0000-0000-0000504B0000}"/>
    <cellStyle name="Hed Side Indent 2 5 8 8 2" xfId="17445" xr:uid="{00000000-0005-0000-0000-0000514B0000}"/>
    <cellStyle name="Hed Side Indent 2 5 8 9" xfId="17446" xr:uid="{00000000-0005-0000-0000-0000524B0000}"/>
    <cellStyle name="Hed Side Indent 2 5 8 9 2" xfId="17447" xr:uid="{00000000-0005-0000-0000-0000534B0000}"/>
    <cellStyle name="Hed Side Indent 2 5 9" xfId="17448" xr:uid="{00000000-0005-0000-0000-0000544B0000}"/>
    <cellStyle name="Hed Side Indent 2 5 9 10" xfId="17449" xr:uid="{00000000-0005-0000-0000-0000554B0000}"/>
    <cellStyle name="Hed Side Indent 2 5 9 2" xfId="17450" xr:uid="{00000000-0005-0000-0000-0000564B0000}"/>
    <cellStyle name="Hed Side Indent 2 5 9 2 2" xfId="17451" xr:uid="{00000000-0005-0000-0000-0000574B0000}"/>
    <cellStyle name="Hed Side Indent 2 5 9 3" xfId="17452" xr:uid="{00000000-0005-0000-0000-0000584B0000}"/>
    <cellStyle name="Hed Side Indent 2 5 9 3 2" xfId="17453" xr:uid="{00000000-0005-0000-0000-0000594B0000}"/>
    <cellStyle name="Hed Side Indent 2 5 9 4" xfId="17454" xr:uid="{00000000-0005-0000-0000-00005A4B0000}"/>
    <cellStyle name="Hed Side Indent 2 5 9 4 2" xfId="17455" xr:uid="{00000000-0005-0000-0000-00005B4B0000}"/>
    <cellStyle name="Hed Side Indent 2 5 9 5" xfId="17456" xr:uid="{00000000-0005-0000-0000-00005C4B0000}"/>
    <cellStyle name="Hed Side Indent 2 5 9 5 2" xfId="17457" xr:uid="{00000000-0005-0000-0000-00005D4B0000}"/>
    <cellStyle name="Hed Side Indent 2 5 9 6" xfId="17458" xr:uid="{00000000-0005-0000-0000-00005E4B0000}"/>
    <cellStyle name="Hed Side Indent 2 5 9 6 2" xfId="17459" xr:uid="{00000000-0005-0000-0000-00005F4B0000}"/>
    <cellStyle name="Hed Side Indent 2 5 9 7" xfId="17460" xr:uid="{00000000-0005-0000-0000-0000604B0000}"/>
    <cellStyle name="Hed Side Indent 2 5 9 7 2" xfId="17461" xr:uid="{00000000-0005-0000-0000-0000614B0000}"/>
    <cellStyle name="Hed Side Indent 2 5 9 8" xfId="17462" xr:uid="{00000000-0005-0000-0000-0000624B0000}"/>
    <cellStyle name="Hed Side Indent 2 5 9 8 2" xfId="17463" xr:uid="{00000000-0005-0000-0000-0000634B0000}"/>
    <cellStyle name="Hed Side Indent 2 5 9 9" xfId="17464" xr:uid="{00000000-0005-0000-0000-0000644B0000}"/>
    <cellStyle name="Hed Side Indent 2 5 9 9 2" xfId="17465" xr:uid="{00000000-0005-0000-0000-0000654B0000}"/>
    <cellStyle name="Hed Side Indent 2 6" xfId="17466" xr:uid="{00000000-0005-0000-0000-0000664B0000}"/>
    <cellStyle name="Hed Side Indent 2 6 10" xfId="17467" xr:uid="{00000000-0005-0000-0000-0000674B0000}"/>
    <cellStyle name="Hed Side Indent 2 6 10 2" xfId="17468" xr:uid="{00000000-0005-0000-0000-0000684B0000}"/>
    <cellStyle name="Hed Side Indent 2 6 10 2 2" xfId="17469" xr:uid="{00000000-0005-0000-0000-0000694B0000}"/>
    <cellStyle name="Hed Side Indent 2 6 10 3" xfId="17470" xr:uid="{00000000-0005-0000-0000-00006A4B0000}"/>
    <cellStyle name="Hed Side Indent 2 6 10 3 2" xfId="17471" xr:uid="{00000000-0005-0000-0000-00006B4B0000}"/>
    <cellStyle name="Hed Side Indent 2 6 10 4" xfId="17472" xr:uid="{00000000-0005-0000-0000-00006C4B0000}"/>
    <cellStyle name="Hed Side Indent 2 6 10 4 2" xfId="17473" xr:uid="{00000000-0005-0000-0000-00006D4B0000}"/>
    <cellStyle name="Hed Side Indent 2 6 10 5" xfId="17474" xr:uid="{00000000-0005-0000-0000-00006E4B0000}"/>
    <cellStyle name="Hed Side Indent 2 6 10 5 2" xfId="17475" xr:uid="{00000000-0005-0000-0000-00006F4B0000}"/>
    <cellStyle name="Hed Side Indent 2 6 10 6" xfId="17476" xr:uid="{00000000-0005-0000-0000-0000704B0000}"/>
    <cellStyle name="Hed Side Indent 2 6 10 6 2" xfId="17477" xr:uid="{00000000-0005-0000-0000-0000714B0000}"/>
    <cellStyle name="Hed Side Indent 2 6 10 7" xfId="17478" xr:uid="{00000000-0005-0000-0000-0000724B0000}"/>
    <cellStyle name="Hed Side Indent 2 6 10 7 2" xfId="17479" xr:uid="{00000000-0005-0000-0000-0000734B0000}"/>
    <cellStyle name="Hed Side Indent 2 6 10 8" xfId="17480" xr:uid="{00000000-0005-0000-0000-0000744B0000}"/>
    <cellStyle name="Hed Side Indent 2 6 10 8 2" xfId="17481" xr:uid="{00000000-0005-0000-0000-0000754B0000}"/>
    <cellStyle name="Hed Side Indent 2 6 10 9" xfId="17482" xr:uid="{00000000-0005-0000-0000-0000764B0000}"/>
    <cellStyle name="Hed Side Indent 2 6 11" xfId="17483" xr:uid="{00000000-0005-0000-0000-0000774B0000}"/>
    <cellStyle name="Hed Side Indent 2 6 11 2" xfId="17484" xr:uid="{00000000-0005-0000-0000-0000784B0000}"/>
    <cellStyle name="Hed Side Indent 2 6 12" xfId="17485" xr:uid="{00000000-0005-0000-0000-0000794B0000}"/>
    <cellStyle name="Hed Side Indent 2 6 12 2" xfId="17486" xr:uid="{00000000-0005-0000-0000-00007A4B0000}"/>
    <cellStyle name="Hed Side Indent 2 6 13" xfId="17487" xr:uid="{00000000-0005-0000-0000-00007B4B0000}"/>
    <cellStyle name="Hed Side Indent 2 6 13 2" xfId="17488" xr:uid="{00000000-0005-0000-0000-00007C4B0000}"/>
    <cellStyle name="Hed Side Indent 2 6 14" xfId="17489" xr:uid="{00000000-0005-0000-0000-00007D4B0000}"/>
    <cellStyle name="Hed Side Indent 2 6 14 2" xfId="17490" xr:uid="{00000000-0005-0000-0000-00007E4B0000}"/>
    <cellStyle name="Hed Side Indent 2 6 15" xfId="17491" xr:uid="{00000000-0005-0000-0000-00007F4B0000}"/>
    <cellStyle name="Hed Side Indent 2 6 15 2" xfId="17492" xr:uid="{00000000-0005-0000-0000-0000804B0000}"/>
    <cellStyle name="Hed Side Indent 2 6 16" xfId="17493" xr:uid="{00000000-0005-0000-0000-0000814B0000}"/>
    <cellStyle name="Hed Side Indent 2 6 16 2" xfId="17494" xr:uid="{00000000-0005-0000-0000-0000824B0000}"/>
    <cellStyle name="Hed Side Indent 2 6 17" xfId="17495" xr:uid="{00000000-0005-0000-0000-0000834B0000}"/>
    <cellStyle name="Hed Side Indent 2 6 17 2" xfId="17496" xr:uid="{00000000-0005-0000-0000-0000844B0000}"/>
    <cellStyle name="Hed Side Indent 2 6 18" xfId="17497" xr:uid="{00000000-0005-0000-0000-0000854B0000}"/>
    <cellStyle name="Hed Side Indent 2 6 2" xfId="17498" xr:uid="{00000000-0005-0000-0000-0000864B0000}"/>
    <cellStyle name="Hed Side Indent 2 6 2 10" xfId="17499" xr:uid="{00000000-0005-0000-0000-0000874B0000}"/>
    <cellStyle name="Hed Side Indent 2 6 2 2" xfId="17500" xr:uid="{00000000-0005-0000-0000-0000884B0000}"/>
    <cellStyle name="Hed Side Indent 2 6 2 2 2" xfId="17501" xr:uid="{00000000-0005-0000-0000-0000894B0000}"/>
    <cellStyle name="Hed Side Indent 2 6 2 3" xfId="17502" xr:uid="{00000000-0005-0000-0000-00008A4B0000}"/>
    <cellStyle name="Hed Side Indent 2 6 2 3 2" xfId="17503" xr:uid="{00000000-0005-0000-0000-00008B4B0000}"/>
    <cellStyle name="Hed Side Indent 2 6 2 4" xfId="17504" xr:uid="{00000000-0005-0000-0000-00008C4B0000}"/>
    <cellStyle name="Hed Side Indent 2 6 2 4 2" xfId="17505" xr:uid="{00000000-0005-0000-0000-00008D4B0000}"/>
    <cellStyle name="Hed Side Indent 2 6 2 5" xfId="17506" xr:uid="{00000000-0005-0000-0000-00008E4B0000}"/>
    <cellStyle name="Hed Side Indent 2 6 2 5 2" xfId="17507" xr:uid="{00000000-0005-0000-0000-00008F4B0000}"/>
    <cellStyle name="Hed Side Indent 2 6 2 6" xfId="17508" xr:uid="{00000000-0005-0000-0000-0000904B0000}"/>
    <cellStyle name="Hed Side Indent 2 6 2 6 2" xfId="17509" xr:uid="{00000000-0005-0000-0000-0000914B0000}"/>
    <cellStyle name="Hed Side Indent 2 6 2 7" xfId="17510" xr:uid="{00000000-0005-0000-0000-0000924B0000}"/>
    <cellStyle name="Hed Side Indent 2 6 2 7 2" xfId="17511" xr:uid="{00000000-0005-0000-0000-0000934B0000}"/>
    <cellStyle name="Hed Side Indent 2 6 2 8" xfId="17512" xr:uid="{00000000-0005-0000-0000-0000944B0000}"/>
    <cellStyle name="Hed Side Indent 2 6 2 8 2" xfId="17513" xr:uid="{00000000-0005-0000-0000-0000954B0000}"/>
    <cellStyle name="Hed Side Indent 2 6 2 9" xfId="17514" xr:uid="{00000000-0005-0000-0000-0000964B0000}"/>
    <cellStyle name="Hed Side Indent 2 6 2 9 2" xfId="17515" xr:uid="{00000000-0005-0000-0000-0000974B0000}"/>
    <cellStyle name="Hed Side Indent 2 6 3" xfId="17516" xr:uid="{00000000-0005-0000-0000-0000984B0000}"/>
    <cellStyle name="Hed Side Indent 2 6 3 10" xfId="17517" xr:uid="{00000000-0005-0000-0000-0000994B0000}"/>
    <cellStyle name="Hed Side Indent 2 6 3 2" xfId="17518" xr:uid="{00000000-0005-0000-0000-00009A4B0000}"/>
    <cellStyle name="Hed Side Indent 2 6 3 2 2" xfId="17519" xr:uid="{00000000-0005-0000-0000-00009B4B0000}"/>
    <cellStyle name="Hed Side Indent 2 6 3 3" xfId="17520" xr:uid="{00000000-0005-0000-0000-00009C4B0000}"/>
    <cellStyle name="Hed Side Indent 2 6 3 3 2" xfId="17521" xr:uid="{00000000-0005-0000-0000-00009D4B0000}"/>
    <cellStyle name="Hed Side Indent 2 6 3 4" xfId="17522" xr:uid="{00000000-0005-0000-0000-00009E4B0000}"/>
    <cellStyle name="Hed Side Indent 2 6 3 4 2" xfId="17523" xr:uid="{00000000-0005-0000-0000-00009F4B0000}"/>
    <cellStyle name="Hed Side Indent 2 6 3 5" xfId="17524" xr:uid="{00000000-0005-0000-0000-0000A04B0000}"/>
    <cellStyle name="Hed Side Indent 2 6 3 5 2" xfId="17525" xr:uid="{00000000-0005-0000-0000-0000A14B0000}"/>
    <cellStyle name="Hed Side Indent 2 6 3 6" xfId="17526" xr:uid="{00000000-0005-0000-0000-0000A24B0000}"/>
    <cellStyle name="Hed Side Indent 2 6 3 6 2" xfId="17527" xr:uid="{00000000-0005-0000-0000-0000A34B0000}"/>
    <cellStyle name="Hed Side Indent 2 6 3 7" xfId="17528" xr:uid="{00000000-0005-0000-0000-0000A44B0000}"/>
    <cellStyle name="Hed Side Indent 2 6 3 7 2" xfId="17529" xr:uid="{00000000-0005-0000-0000-0000A54B0000}"/>
    <cellStyle name="Hed Side Indent 2 6 3 8" xfId="17530" xr:uid="{00000000-0005-0000-0000-0000A64B0000}"/>
    <cellStyle name="Hed Side Indent 2 6 3 8 2" xfId="17531" xr:uid="{00000000-0005-0000-0000-0000A74B0000}"/>
    <cellStyle name="Hed Side Indent 2 6 3 9" xfId="17532" xr:uid="{00000000-0005-0000-0000-0000A84B0000}"/>
    <cellStyle name="Hed Side Indent 2 6 3 9 2" xfId="17533" xr:uid="{00000000-0005-0000-0000-0000A94B0000}"/>
    <cellStyle name="Hed Side Indent 2 6 4" xfId="17534" xr:uid="{00000000-0005-0000-0000-0000AA4B0000}"/>
    <cellStyle name="Hed Side Indent 2 6 4 10" xfId="17535" xr:uid="{00000000-0005-0000-0000-0000AB4B0000}"/>
    <cellStyle name="Hed Side Indent 2 6 4 2" xfId="17536" xr:uid="{00000000-0005-0000-0000-0000AC4B0000}"/>
    <cellStyle name="Hed Side Indent 2 6 4 2 2" xfId="17537" xr:uid="{00000000-0005-0000-0000-0000AD4B0000}"/>
    <cellStyle name="Hed Side Indent 2 6 4 3" xfId="17538" xr:uid="{00000000-0005-0000-0000-0000AE4B0000}"/>
    <cellStyle name="Hed Side Indent 2 6 4 3 2" xfId="17539" xr:uid="{00000000-0005-0000-0000-0000AF4B0000}"/>
    <cellStyle name="Hed Side Indent 2 6 4 4" xfId="17540" xr:uid="{00000000-0005-0000-0000-0000B04B0000}"/>
    <cellStyle name="Hed Side Indent 2 6 4 4 2" xfId="17541" xr:uid="{00000000-0005-0000-0000-0000B14B0000}"/>
    <cellStyle name="Hed Side Indent 2 6 4 5" xfId="17542" xr:uid="{00000000-0005-0000-0000-0000B24B0000}"/>
    <cellStyle name="Hed Side Indent 2 6 4 5 2" xfId="17543" xr:uid="{00000000-0005-0000-0000-0000B34B0000}"/>
    <cellStyle name="Hed Side Indent 2 6 4 6" xfId="17544" xr:uid="{00000000-0005-0000-0000-0000B44B0000}"/>
    <cellStyle name="Hed Side Indent 2 6 4 6 2" xfId="17545" xr:uid="{00000000-0005-0000-0000-0000B54B0000}"/>
    <cellStyle name="Hed Side Indent 2 6 4 7" xfId="17546" xr:uid="{00000000-0005-0000-0000-0000B64B0000}"/>
    <cellStyle name="Hed Side Indent 2 6 4 7 2" xfId="17547" xr:uid="{00000000-0005-0000-0000-0000B74B0000}"/>
    <cellStyle name="Hed Side Indent 2 6 4 8" xfId="17548" xr:uid="{00000000-0005-0000-0000-0000B84B0000}"/>
    <cellStyle name="Hed Side Indent 2 6 4 8 2" xfId="17549" xr:uid="{00000000-0005-0000-0000-0000B94B0000}"/>
    <cellStyle name="Hed Side Indent 2 6 4 9" xfId="17550" xr:uid="{00000000-0005-0000-0000-0000BA4B0000}"/>
    <cellStyle name="Hed Side Indent 2 6 4 9 2" xfId="17551" xr:uid="{00000000-0005-0000-0000-0000BB4B0000}"/>
    <cellStyle name="Hed Side Indent 2 6 5" xfId="17552" xr:uid="{00000000-0005-0000-0000-0000BC4B0000}"/>
    <cellStyle name="Hed Side Indent 2 6 5 10" xfId="17553" xr:uid="{00000000-0005-0000-0000-0000BD4B0000}"/>
    <cellStyle name="Hed Side Indent 2 6 5 2" xfId="17554" xr:uid="{00000000-0005-0000-0000-0000BE4B0000}"/>
    <cellStyle name="Hed Side Indent 2 6 5 2 2" xfId="17555" xr:uid="{00000000-0005-0000-0000-0000BF4B0000}"/>
    <cellStyle name="Hed Side Indent 2 6 5 3" xfId="17556" xr:uid="{00000000-0005-0000-0000-0000C04B0000}"/>
    <cellStyle name="Hed Side Indent 2 6 5 3 2" xfId="17557" xr:uid="{00000000-0005-0000-0000-0000C14B0000}"/>
    <cellStyle name="Hed Side Indent 2 6 5 4" xfId="17558" xr:uid="{00000000-0005-0000-0000-0000C24B0000}"/>
    <cellStyle name="Hed Side Indent 2 6 5 4 2" xfId="17559" xr:uid="{00000000-0005-0000-0000-0000C34B0000}"/>
    <cellStyle name="Hed Side Indent 2 6 5 5" xfId="17560" xr:uid="{00000000-0005-0000-0000-0000C44B0000}"/>
    <cellStyle name="Hed Side Indent 2 6 5 5 2" xfId="17561" xr:uid="{00000000-0005-0000-0000-0000C54B0000}"/>
    <cellStyle name="Hed Side Indent 2 6 5 6" xfId="17562" xr:uid="{00000000-0005-0000-0000-0000C64B0000}"/>
    <cellStyle name="Hed Side Indent 2 6 5 6 2" xfId="17563" xr:uid="{00000000-0005-0000-0000-0000C74B0000}"/>
    <cellStyle name="Hed Side Indent 2 6 5 7" xfId="17564" xr:uid="{00000000-0005-0000-0000-0000C84B0000}"/>
    <cellStyle name="Hed Side Indent 2 6 5 7 2" xfId="17565" xr:uid="{00000000-0005-0000-0000-0000C94B0000}"/>
    <cellStyle name="Hed Side Indent 2 6 5 8" xfId="17566" xr:uid="{00000000-0005-0000-0000-0000CA4B0000}"/>
    <cellStyle name="Hed Side Indent 2 6 5 8 2" xfId="17567" xr:uid="{00000000-0005-0000-0000-0000CB4B0000}"/>
    <cellStyle name="Hed Side Indent 2 6 5 9" xfId="17568" xr:uid="{00000000-0005-0000-0000-0000CC4B0000}"/>
    <cellStyle name="Hed Side Indent 2 6 5 9 2" xfId="17569" xr:uid="{00000000-0005-0000-0000-0000CD4B0000}"/>
    <cellStyle name="Hed Side Indent 2 6 6" xfId="17570" xr:uid="{00000000-0005-0000-0000-0000CE4B0000}"/>
    <cellStyle name="Hed Side Indent 2 6 6 10" xfId="17571" xr:uid="{00000000-0005-0000-0000-0000CF4B0000}"/>
    <cellStyle name="Hed Side Indent 2 6 6 2" xfId="17572" xr:uid="{00000000-0005-0000-0000-0000D04B0000}"/>
    <cellStyle name="Hed Side Indent 2 6 6 2 2" xfId="17573" xr:uid="{00000000-0005-0000-0000-0000D14B0000}"/>
    <cellStyle name="Hed Side Indent 2 6 6 3" xfId="17574" xr:uid="{00000000-0005-0000-0000-0000D24B0000}"/>
    <cellStyle name="Hed Side Indent 2 6 6 3 2" xfId="17575" xr:uid="{00000000-0005-0000-0000-0000D34B0000}"/>
    <cellStyle name="Hed Side Indent 2 6 6 4" xfId="17576" xr:uid="{00000000-0005-0000-0000-0000D44B0000}"/>
    <cellStyle name="Hed Side Indent 2 6 6 4 2" xfId="17577" xr:uid="{00000000-0005-0000-0000-0000D54B0000}"/>
    <cellStyle name="Hed Side Indent 2 6 6 5" xfId="17578" xr:uid="{00000000-0005-0000-0000-0000D64B0000}"/>
    <cellStyle name="Hed Side Indent 2 6 6 5 2" xfId="17579" xr:uid="{00000000-0005-0000-0000-0000D74B0000}"/>
    <cellStyle name="Hed Side Indent 2 6 6 6" xfId="17580" xr:uid="{00000000-0005-0000-0000-0000D84B0000}"/>
    <cellStyle name="Hed Side Indent 2 6 6 6 2" xfId="17581" xr:uid="{00000000-0005-0000-0000-0000D94B0000}"/>
    <cellStyle name="Hed Side Indent 2 6 6 7" xfId="17582" xr:uid="{00000000-0005-0000-0000-0000DA4B0000}"/>
    <cellStyle name="Hed Side Indent 2 6 6 7 2" xfId="17583" xr:uid="{00000000-0005-0000-0000-0000DB4B0000}"/>
    <cellStyle name="Hed Side Indent 2 6 6 8" xfId="17584" xr:uid="{00000000-0005-0000-0000-0000DC4B0000}"/>
    <cellStyle name="Hed Side Indent 2 6 6 8 2" xfId="17585" xr:uid="{00000000-0005-0000-0000-0000DD4B0000}"/>
    <cellStyle name="Hed Side Indent 2 6 6 9" xfId="17586" xr:uid="{00000000-0005-0000-0000-0000DE4B0000}"/>
    <cellStyle name="Hed Side Indent 2 6 6 9 2" xfId="17587" xr:uid="{00000000-0005-0000-0000-0000DF4B0000}"/>
    <cellStyle name="Hed Side Indent 2 6 7" xfId="17588" xr:uid="{00000000-0005-0000-0000-0000E04B0000}"/>
    <cellStyle name="Hed Side Indent 2 6 7 10" xfId="17589" xr:uid="{00000000-0005-0000-0000-0000E14B0000}"/>
    <cellStyle name="Hed Side Indent 2 6 7 2" xfId="17590" xr:uid="{00000000-0005-0000-0000-0000E24B0000}"/>
    <cellStyle name="Hed Side Indent 2 6 7 2 2" xfId="17591" xr:uid="{00000000-0005-0000-0000-0000E34B0000}"/>
    <cellStyle name="Hed Side Indent 2 6 7 3" xfId="17592" xr:uid="{00000000-0005-0000-0000-0000E44B0000}"/>
    <cellStyle name="Hed Side Indent 2 6 7 3 2" xfId="17593" xr:uid="{00000000-0005-0000-0000-0000E54B0000}"/>
    <cellStyle name="Hed Side Indent 2 6 7 4" xfId="17594" xr:uid="{00000000-0005-0000-0000-0000E64B0000}"/>
    <cellStyle name="Hed Side Indent 2 6 7 4 2" xfId="17595" xr:uid="{00000000-0005-0000-0000-0000E74B0000}"/>
    <cellStyle name="Hed Side Indent 2 6 7 5" xfId="17596" xr:uid="{00000000-0005-0000-0000-0000E84B0000}"/>
    <cellStyle name="Hed Side Indent 2 6 7 5 2" xfId="17597" xr:uid="{00000000-0005-0000-0000-0000E94B0000}"/>
    <cellStyle name="Hed Side Indent 2 6 7 6" xfId="17598" xr:uid="{00000000-0005-0000-0000-0000EA4B0000}"/>
    <cellStyle name="Hed Side Indent 2 6 7 6 2" xfId="17599" xr:uid="{00000000-0005-0000-0000-0000EB4B0000}"/>
    <cellStyle name="Hed Side Indent 2 6 7 7" xfId="17600" xr:uid="{00000000-0005-0000-0000-0000EC4B0000}"/>
    <cellStyle name="Hed Side Indent 2 6 7 7 2" xfId="17601" xr:uid="{00000000-0005-0000-0000-0000ED4B0000}"/>
    <cellStyle name="Hed Side Indent 2 6 7 8" xfId="17602" xr:uid="{00000000-0005-0000-0000-0000EE4B0000}"/>
    <cellStyle name="Hed Side Indent 2 6 7 8 2" xfId="17603" xr:uid="{00000000-0005-0000-0000-0000EF4B0000}"/>
    <cellStyle name="Hed Side Indent 2 6 7 9" xfId="17604" xr:uid="{00000000-0005-0000-0000-0000F04B0000}"/>
    <cellStyle name="Hed Side Indent 2 6 7 9 2" xfId="17605" xr:uid="{00000000-0005-0000-0000-0000F14B0000}"/>
    <cellStyle name="Hed Side Indent 2 6 8" xfId="17606" xr:uid="{00000000-0005-0000-0000-0000F24B0000}"/>
    <cellStyle name="Hed Side Indent 2 6 8 10" xfId="17607" xr:uid="{00000000-0005-0000-0000-0000F34B0000}"/>
    <cellStyle name="Hed Side Indent 2 6 8 2" xfId="17608" xr:uid="{00000000-0005-0000-0000-0000F44B0000}"/>
    <cellStyle name="Hed Side Indent 2 6 8 2 2" xfId="17609" xr:uid="{00000000-0005-0000-0000-0000F54B0000}"/>
    <cellStyle name="Hed Side Indent 2 6 8 3" xfId="17610" xr:uid="{00000000-0005-0000-0000-0000F64B0000}"/>
    <cellStyle name="Hed Side Indent 2 6 8 3 2" xfId="17611" xr:uid="{00000000-0005-0000-0000-0000F74B0000}"/>
    <cellStyle name="Hed Side Indent 2 6 8 4" xfId="17612" xr:uid="{00000000-0005-0000-0000-0000F84B0000}"/>
    <cellStyle name="Hed Side Indent 2 6 8 4 2" xfId="17613" xr:uid="{00000000-0005-0000-0000-0000F94B0000}"/>
    <cellStyle name="Hed Side Indent 2 6 8 5" xfId="17614" xr:uid="{00000000-0005-0000-0000-0000FA4B0000}"/>
    <cellStyle name="Hed Side Indent 2 6 8 5 2" xfId="17615" xr:uid="{00000000-0005-0000-0000-0000FB4B0000}"/>
    <cellStyle name="Hed Side Indent 2 6 8 6" xfId="17616" xr:uid="{00000000-0005-0000-0000-0000FC4B0000}"/>
    <cellStyle name="Hed Side Indent 2 6 8 6 2" xfId="17617" xr:uid="{00000000-0005-0000-0000-0000FD4B0000}"/>
    <cellStyle name="Hed Side Indent 2 6 8 7" xfId="17618" xr:uid="{00000000-0005-0000-0000-0000FE4B0000}"/>
    <cellStyle name="Hed Side Indent 2 6 8 7 2" xfId="17619" xr:uid="{00000000-0005-0000-0000-0000FF4B0000}"/>
    <cellStyle name="Hed Side Indent 2 6 8 8" xfId="17620" xr:uid="{00000000-0005-0000-0000-0000004C0000}"/>
    <cellStyle name="Hed Side Indent 2 6 8 8 2" xfId="17621" xr:uid="{00000000-0005-0000-0000-0000014C0000}"/>
    <cellStyle name="Hed Side Indent 2 6 8 9" xfId="17622" xr:uid="{00000000-0005-0000-0000-0000024C0000}"/>
    <cellStyle name="Hed Side Indent 2 6 8 9 2" xfId="17623" xr:uid="{00000000-0005-0000-0000-0000034C0000}"/>
    <cellStyle name="Hed Side Indent 2 6 9" xfId="17624" xr:uid="{00000000-0005-0000-0000-0000044C0000}"/>
    <cellStyle name="Hed Side Indent 2 6 9 10" xfId="17625" xr:uid="{00000000-0005-0000-0000-0000054C0000}"/>
    <cellStyle name="Hed Side Indent 2 6 9 2" xfId="17626" xr:uid="{00000000-0005-0000-0000-0000064C0000}"/>
    <cellStyle name="Hed Side Indent 2 6 9 2 2" xfId="17627" xr:uid="{00000000-0005-0000-0000-0000074C0000}"/>
    <cellStyle name="Hed Side Indent 2 6 9 3" xfId="17628" xr:uid="{00000000-0005-0000-0000-0000084C0000}"/>
    <cellStyle name="Hed Side Indent 2 6 9 3 2" xfId="17629" xr:uid="{00000000-0005-0000-0000-0000094C0000}"/>
    <cellStyle name="Hed Side Indent 2 6 9 4" xfId="17630" xr:uid="{00000000-0005-0000-0000-00000A4C0000}"/>
    <cellStyle name="Hed Side Indent 2 6 9 4 2" xfId="17631" xr:uid="{00000000-0005-0000-0000-00000B4C0000}"/>
    <cellStyle name="Hed Side Indent 2 6 9 5" xfId="17632" xr:uid="{00000000-0005-0000-0000-00000C4C0000}"/>
    <cellStyle name="Hed Side Indent 2 6 9 5 2" xfId="17633" xr:uid="{00000000-0005-0000-0000-00000D4C0000}"/>
    <cellStyle name="Hed Side Indent 2 6 9 6" xfId="17634" xr:uid="{00000000-0005-0000-0000-00000E4C0000}"/>
    <cellStyle name="Hed Side Indent 2 6 9 6 2" xfId="17635" xr:uid="{00000000-0005-0000-0000-00000F4C0000}"/>
    <cellStyle name="Hed Side Indent 2 6 9 7" xfId="17636" xr:uid="{00000000-0005-0000-0000-0000104C0000}"/>
    <cellStyle name="Hed Side Indent 2 6 9 7 2" xfId="17637" xr:uid="{00000000-0005-0000-0000-0000114C0000}"/>
    <cellStyle name="Hed Side Indent 2 6 9 8" xfId="17638" xr:uid="{00000000-0005-0000-0000-0000124C0000}"/>
    <cellStyle name="Hed Side Indent 2 6 9 8 2" xfId="17639" xr:uid="{00000000-0005-0000-0000-0000134C0000}"/>
    <cellStyle name="Hed Side Indent 2 6 9 9" xfId="17640" xr:uid="{00000000-0005-0000-0000-0000144C0000}"/>
    <cellStyle name="Hed Side Indent 2 6 9 9 2" xfId="17641" xr:uid="{00000000-0005-0000-0000-0000154C0000}"/>
    <cellStyle name="Hed Side Indent 2 7" xfId="17642" xr:uid="{00000000-0005-0000-0000-0000164C0000}"/>
    <cellStyle name="Hed Side Indent 2 7 10" xfId="17643" xr:uid="{00000000-0005-0000-0000-0000174C0000}"/>
    <cellStyle name="Hed Side Indent 2 7 10 2" xfId="17644" xr:uid="{00000000-0005-0000-0000-0000184C0000}"/>
    <cellStyle name="Hed Side Indent 2 7 10 2 2" xfId="17645" xr:uid="{00000000-0005-0000-0000-0000194C0000}"/>
    <cellStyle name="Hed Side Indent 2 7 10 3" xfId="17646" xr:uid="{00000000-0005-0000-0000-00001A4C0000}"/>
    <cellStyle name="Hed Side Indent 2 7 10 3 2" xfId="17647" xr:uid="{00000000-0005-0000-0000-00001B4C0000}"/>
    <cellStyle name="Hed Side Indent 2 7 10 4" xfId="17648" xr:uid="{00000000-0005-0000-0000-00001C4C0000}"/>
    <cellStyle name="Hed Side Indent 2 7 10 4 2" xfId="17649" xr:uid="{00000000-0005-0000-0000-00001D4C0000}"/>
    <cellStyle name="Hed Side Indent 2 7 10 5" xfId="17650" xr:uid="{00000000-0005-0000-0000-00001E4C0000}"/>
    <cellStyle name="Hed Side Indent 2 7 10 5 2" xfId="17651" xr:uid="{00000000-0005-0000-0000-00001F4C0000}"/>
    <cellStyle name="Hed Side Indent 2 7 10 6" xfId="17652" xr:uid="{00000000-0005-0000-0000-0000204C0000}"/>
    <cellStyle name="Hed Side Indent 2 7 10 6 2" xfId="17653" xr:uid="{00000000-0005-0000-0000-0000214C0000}"/>
    <cellStyle name="Hed Side Indent 2 7 10 7" xfId="17654" xr:uid="{00000000-0005-0000-0000-0000224C0000}"/>
    <cellStyle name="Hed Side Indent 2 7 10 7 2" xfId="17655" xr:uid="{00000000-0005-0000-0000-0000234C0000}"/>
    <cellStyle name="Hed Side Indent 2 7 10 8" xfId="17656" xr:uid="{00000000-0005-0000-0000-0000244C0000}"/>
    <cellStyle name="Hed Side Indent 2 7 10 8 2" xfId="17657" xr:uid="{00000000-0005-0000-0000-0000254C0000}"/>
    <cellStyle name="Hed Side Indent 2 7 10 9" xfId="17658" xr:uid="{00000000-0005-0000-0000-0000264C0000}"/>
    <cellStyle name="Hed Side Indent 2 7 11" xfId="17659" xr:uid="{00000000-0005-0000-0000-0000274C0000}"/>
    <cellStyle name="Hed Side Indent 2 7 11 2" xfId="17660" xr:uid="{00000000-0005-0000-0000-0000284C0000}"/>
    <cellStyle name="Hed Side Indent 2 7 12" xfId="17661" xr:uid="{00000000-0005-0000-0000-0000294C0000}"/>
    <cellStyle name="Hed Side Indent 2 7 12 2" xfId="17662" xr:uid="{00000000-0005-0000-0000-00002A4C0000}"/>
    <cellStyle name="Hed Side Indent 2 7 13" xfId="17663" xr:uid="{00000000-0005-0000-0000-00002B4C0000}"/>
    <cellStyle name="Hed Side Indent 2 7 13 2" xfId="17664" xr:uid="{00000000-0005-0000-0000-00002C4C0000}"/>
    <cellStyle name="Hed Side Indent 2 7 14" xfId="17665" xr:uid="{00000000-0005-0000-0000-00002D4C0000}"/>
    <cellStyle name="Hed Side Indent 2 7 14 2" xfId="17666" xr:uid="{00000000-0005-0000-0000-00002E4C0000}"/>
    <cellStyle name="Hed Side Indent 2 7 15" xfId="17667" xr:uid="{00000000-0005-0000-0000-00002F4C0000}"/>
    <cellStyle name="Hed Side Indent 2 7 15 2" xfId="17668" xr:uid="{00000000-0005-0000-0000-0000304C0000}"/>
    <cellStyle name="Hed Side Indent 2 7 16" xfId="17669" xr:uid="{00000000-0005-0000-0000-0000314C0000}"/>
    <cellStyle name="Hed Side Indent 2 7 16 2" xfId="17670" xr:uid="{00000000-0005-0000-0000-0000324C0000}"/>
    <cellStyle name="Hed Side Indent 2 7 17" xfId="17671" xr:uid="{00000000-0005-0000-0000-0000334C0000}"/>
    <cellStyle name="Hed Side Indent 2 7 17 2" xfId="17672" xr:uid="{00000000-0005-0000-0000-0000344C0000}"/>
    <cellStyle name="Hed Side Indent 2 7 18" xfId="17673" xr:uid="{00000000-0005-0000-0000-0000354C0000}"/>
    <cellStyle name="Hed Side Indent 2 7 2" xfId="17674" xr:uid="{00000000-0005-0000-0000-0000364C0000}"/>
    <cellStyle name="Hed Side Indent 2 7 2 10" xfId="17675" xr:uid="{00000000-0005-0000-0000-0000374C0000}"/>
    <cellStyle name="Hed Side Indent 2 7 2 2" xfId="17676" xr:uid="{00000000-0005-0000-0000-0000384C0000}"/>
    <cellStyle name="Hed Side Indent 2 7 2 2 2" xfId="17677" xr:uid="{00000000-0005-0000-0000-0000394C0000}"/>
    <cellStyle name="Hed Side Indent 2 7 2 3" xfId="17678" xr:uid="{00000000-0005-0000-0000-00003A4C0000}"/>
    <cellStyle name="Hed Side Indent 2 7 2 3 2" xfId="17679" xr:uid="{00000000-0005-0000-0000-00003B4C0000}"/>
    <cellStyle name="Hed Side Indent 2 7 2 4" xfId="17680" xr:uid="{00000000-0005-0000-0000-00003C4C0000}"/>
    <cellStyle name="Hed Side Indent 2 7 2 4 2" xfId="17681" xr:uid="{00000000-0005-0000-0000-00003D4C0000}"/>
    <cellStyle name="Hed Side Indent 2 7 2 5" xfId="17682" xr:uid="{00000000-0005-0000-0000-00003E4C0000}"/>
    <cellStyle name="Hed Side Indent 2 7 2 5 2" xfId="17683" xr:uid="{00000000-0005-0000-0000-00003F4C0000}"/>
    <cellStyle name="Hed Side Indent 2 7 2 6" xfId="17684" xr:uid="{00000000-0005-0000-0000-0000404C0000}"/>
    <cellStyle name="Hed Side Indent 2 7 2 6 2" xfId="17685" xr:uid="{00000000-0005-0000-0000-0000414C0000}"/>
    <cellStyle name="Hed Side Indent 2 7 2 7" xfId="17686" xr:uid="{00000000-0005-0000-0000-0000424C0000}"/>
    <cellStyle name="Hed Side Indent 2 7 2 7 2" xfId="17687" xr:uid="{00000000-0005-0000-0000-0000434C0000}"/>
    <cellStyle name="Hed Side Indent 2 7 2 8" xfId="17688" xr:uid="{00000000-0005-0000-0000-0000444C0000}"/>
    <cellStyle name="Hed Side Indent 2 7 2 8 2" xfId="17689" xr:uid="{00000000-0005-0000-0000-0000454C0000}"/>
    <cellStyle name="Hed Side Indent 2 7 2 9" xfId="17690" xr:uid="{00000000-0005-0000-0000-0000464C0000}"/>
    <cellStyle name="Hed Side Indent 2 7 2 9 2" xfId="17691" xr:uid="{00000000-0005-0000-0000-0000474C0000}"/>
    <cellStyle name="Hed Side Indent 2 7 3" xfId="17692" xr:uid="{00000000-0005-0000-0000-0000484C0000}"/>
    <cellStyle name="Hed Side Indent 2 7 3 10" xfId="17693" xr:uid="{00000000-0005-0000-0000-0000494C0000}"/>
    <cellStyle name="Hed Side Indent 2 7 3 2" xfId="17694" xr:uid="{00000000-0005-0000-0000-00004A4C0000}"/>
    <cellStyle name="Hed Side Indent 2 7 3 2 2" xfId="17695" xr:uid="{00000000-0005-0000-0000-00004B4C0000}"/>
    <cellStyle name="Hed Side Indent 2 7 3 3" xfId="17696" xr:uid="{00000000-0005-0000-0000-00004C4C0000}"/>
    <cellStyle name="Hed Side Indent 2 7 3 3 2" xfId="17697" xr:uid="{00000000-0005-0000-0000-00004D4C0000}"/>
    <cellStyle name="Hed Side Indent 2 7 3 4" xfId="17698" xr:uid="{00000000-0005-0000-0000-00004E4C0000}"/>
    <cellStyle name="Hed Side Indent 2 7 3 4 2" xfId="17699" xr:uid="{00000000-0005-0000-0000-00004F4C0000}"/>
    <cellStyle name="Hed Side Indent 2 7 3 5" xfId="17700" xr:uid="{00000000-0005-0000-0000-0000504C0000}"/>
    <cellStyle name="Hed Side Indent 2 7 3 5 2" xfId="17701" xr:uid="{00000000-0005-0000-0000-0000514C0000}"/>
    <cellStyle name="Hed Side Indent 2 7 3 6" xfId="17702" xr:uid="{00000000-0005-0000-0000-0000524C0000}"/>
    <cellStyle name="Hed Side Indent 2 7 3 6 2" xfId="17703" xr:uid="{00000000-0005-0000-0000-0000534C0000}"/>
    <cellStyle name="Hed Side Indent 2 7 3 7" xfId="17704" xr:uid="{00000000-0005-0000-0000-0000544C0000}"/>
    <cellStyle name="Hed Side Indent 2 7 3 7 2" xfId="17705" xr:uid="{00000000-0005-0000-0000-0000554C0000}"/>
    <cellStyle name="Hed Side Indent 2 7 3 8" xfId="17706" xr:uid="{00000000-0005-0000-0000-0000564C0000}"/>
    <cellStyle name="Hed Side Indent 2 7 3 8 2" xfId="17707" xr:uid="{00000000-0005-0000-0000-0000574C0000}"/>
    <cellStyle name="Hed Side Indent 2 7 3 9" xfId="17708" xr:uid="{00000000-0005-0000-0000-0000584C0000}"/>
    <cellStyle name="Hed Side Indent 2 7 3 9 2" xfId="17709" xr:uid="{00000000-0005-0000-0000-0000594C0000}"/>
    <cellStyle name="Hed Side Indent 2 7 4" xfId="17710" xr:uid="{00000000-0005-0000-0000-00005A4C0000}"/>
    <cellStyle name="Hed Side Indent 2 7 4 10" xfId="17711" xr:uid="{00000000-0005-0000-0000-00005B4C0000}"/>
    <cellStyle name="Hed Side Indent 2 7 4 2" xfId="17712" xr:uid="{00000000-0005-0000-0000-00005C4C0000}"/>
    <cellStyle name="Hed Side Indent 2 7 4 2 2" xfId="17713" xr:uid="{00000000-0005-0000-0000-00005D4C0000}"/>
    <cellStyle name="Hed Side Indent 2 7 4 3" xfId="17714" xr:uid="{00000000-0005-0000-0000-00005E4C0000}"/>
    <cellStyle name="Hed Side Indent 2 7 4 3 2" xfId="17715" xr:uid="{00000000-0005-0000-0000-00005F4C0000}"/>
    <cellStyle name="Hed Side Indent 2 7 4 4" xfId="17716" xr:uid="{00000000-0005-0000-0000-0000604C0000}"/>
    <cellStyle name="Hed Side Indent 2 7 4 4 2" xfId="17717" xr:uid="{00000000-0005-0000-0000-0000614C0000}"/>
    <cellStyle name="Hed Side Indent 2 7 4 5" xfId="17718" xr:uid="{00000000-0005-0000-0000-0000624C0000}"/>
    <cellStyle name="Hed Side Indent 2 7 4 5 2" xfId="17719" xr:uid="{00000000-0005-0000-0000-0000634C0000}"/>
    <cellStyle name="Hed Side Indent 2 7 4 6" xfId="17720" xr:uid="{00000000-0005-0000-0000-0000644C0000}"/>
    <cellStyle name="Hed Side Indent 2 7 4 6 2" xfId="17721" xr:uid="{00000000-0005-0000-0000-0000654C0000}"/>
    <cellStyle name="Hed Side Indent 2 7 4 7" xfId="17722" xr:uid="{00000000-0005-0000-0000-0000664C0000}"/>
    <cellStyle name="Hed Side Indent 2 7 4 7 2" xfId="17723" xr:uid="{00000000-0005-0000-0000-0000674C0000}"/>
    <cellStyle name="Hed Side Indent 2 7 4 8" xfId="17724" xr:uid="{00000000-0005-0000-0000-0000684C0000}"/>
    <cellStyle name="Hed Side Indent 2 7 4 8 2" xfId="17725" xr:uid="{00000000-0005-0000-0000-0000694C0000}"/>
    <cellStyle name="Hed Side Indent 2 7 4 9" xfId="17726" xr:uid="{00000000-0005-0000-0000-00006A4C0000}"/>
    <cellStyle name="Hed Side Indent 2 7 4 9 2" xfId="17727" xr:uid="{00000000-0005-0000-0000-00006B4C0000}"/>
    <cellStyle name="Hed Side Indent 2 7 5" xfId="17728" xr:uid="{00000000-0005-0000-0000-00006C4C0000}"/>
    <cellStyle name="Hed Side Indent 2 7 5 10" xfId="17729" xr:uid="{00000000-0005-0000-0000-00006D4C0000}"/>
    <cellStyle name="Hed Side Indent 2 7 5 2" xfId="17730" xr:uid="{00000000-0005-0000-0000-00006E4C0000}"/>
    <cellStyle name="Hed Side Indent 2 7 5 2 2" xfId="17731" xr:uid="{00000000-0005-0000-0000-00006F4C0000}"/>
    <cellStyle name="Hed Side Indent 2 7 5 3" xfId="17732" xr:uid="{00000000-0005-0000-0000-0000704C0000}"/>
    <cellStyle name="Hed Side Indent 2 7 5 3 2" xfId="17733" xr:uid="{00000000-0005-0000-0000-0000714C0000}"/>
    <cellStyle name="Hed Side Indent 2 7 5 4" xfId="17734" xr:uid="{00000000-0005-0000-0000-0000724C0000}"/>
    <cellStyle name="Hed Side Indent 2 7 5 4 2" xfId="17735" xr:uid="{00000000-0005-0000-0000-0000734C0000}"/>
    <cellStyle name="Hed Side Indent 2 7 5 5" xfId="17736" xr:uid="{00000000-0005-0000-0000-0000744C0000}"/>
    <cellStyle name="Hed Side Indent 2 7 5 5 2" xfId="17737" xr:uid="{00000000-0005-0000-0000-0000754C0000}"/>
    <cellStyle name="Hed Side Indent 2 7 5 6" xfId="17738" xr:uid="{00000000-0005-0000-0000-0000764C0000}"/>
    <cellStyle name="Hed Side Indent 2 7 5 6 2" xfId="17739" xr:uid="{00000000-0005-0000-0000-0000774C0000}"/>
    <cellStyle name="Hed Side Indent 2 7 5 7" xfId="17740" xr:uid="{00000000-0005-0000-0000-0000784C0000}"/>
    <cellStyle name="Hed Side Indent 2 7 5 7 2" xfId="17741" xr:uid="{00000000-0005-0000-0000-0000794C0000}"/>
    <cellStyle name="Hed Side Indent 2 7 5 8" xfId="17742" xr:uid="{00000000-0005-0000-0000-00007A4C0000}"/>
    <cellStyle name="Hed Side Indent 2 7 5 8 2" xfId="17743" xr:uid="{00000000-0005-0000-0000-00007B4C0000}"/>
    <cellStyle name="Hed Side Indent 2 7 5 9" xfId="17744" xr:uid="{00000000-0005-0000-0000-00007C4C0000}"/>
    <cellStyle name="Hed Side Indent 2 7 5 9 2" xfId="17745" xr:uid="{00000000-0005-0000-0000-00007D4C0000}"/>
    <cellStyle name="Hed Side Indent 2 7 6" xfId="17746" xr:uid="{00000000-0005-0000-0000-00007E4C0000}"/>
    <cellStyle name="Hed Side Indent 2 7 6 10" xfId="17747" xr:uid="{00000000-0005-0000-0000-00007F4C0000}"/>
    <cellStyle name="Hed Side Indent 2 7 6 2" xfId="17748" xr:uid="{00000000-0005-0000-0000-0000804C0000}"/>
    <cellStyle name="Hed Side Indent 2 7 6 2 2" xfId="17749" xr:uid="{00000000-0005-0000-0000-0000814C0000}"/>
    <cellStyle name="Hed Side Indent 2 7 6 3" xfId="17750" xr:uid="{00000000-0005-0000-0000-0000824C0000}"/>
    <cellStyle name="Hed Side Indent 2 7 6 3 2" xfId="17751" xr:uid="{00000000-0005-0000-0000-0000834C0000}"/>
    <cellStyle name="Hed Side Indent 2 7 6 4" xfId="17752" xr:uid="{00000000-0005-0000-0000-0000844C0000}"/>
    <cellStyle name="Hed Side Indent 2 7 6 4 2" xfId="17753" xr:uid="{00000000-0005-0000-0000-0000854C0000}"/>
    <cellStyle name="Hed Side Indent 2 7 6 5" xfId="17754" xr:uid="{00000000-0005-0000-0000-0000864C0000}"/>
    <cellStyle name="Hed Side Indent 2 7 6 5 2" xfId="17755" xr:uid="{00000000-0005-0000-0000-0000874C0000}"/>
    <cellStyle name="Hed Side Indent 2 7 6 6" xfId="17756" xr:uid="{00000000-0005-0000-0000-0000884C0000}"/>
    <cellStyle name="Hed Side Indent 2 7 6 6 2" xfId="17757" xr:uid="{00000000-0005-0000-0000-0000894C0000}"/>
    <cellStyle name="Hed Side Indent 2 7 6 7" xfId="17758" xr:uid="{00000000-0005-0000-0000-00008A4C0000}"/>
    <cellStyle name="Hed Side Indent 2 7 6 7 2" xfId="17759" xr:uid="{00000000-0005-0000-0000-00008B4C0000}"/>
    <cellStyle name="Hed Side Indent 2 7 6 8" xfId="17760" xr:uid="{00000000-0005-0000-0000-00008C4C0000}"/>
    <cellStyle name="Hed Side Indent 2 7 6 8 2" xfId="17761" xr:uid="{00000000-0005-0000-0000-00008D4C0000}"/>
    <cellStyle name="Hed Side Indent 2 7 6 9" xfId="17762" xr:uid="{00000000-0005-0000-0000-00008E4C0000}"/>
    <cellStyle name="Hed Side Indent 2 7 6 9 2" xfId="17763" xr:uid="{00000000-0005-0000-0000-00008F4C0000}"/>
    <cellStyle name="Hed Side Indent 2 7 7" xfId="17764" xr:uid="{00000000-0005-0000-0000-0000904C0000}"/>
    <cellStyle name="Hed Side Indent 2 7 7 10" xfId="17765" xr:uid="{00000000-0005-0000-0000-0000914C0000}"/>
    <cellStyle name="Hed Side Indent 2 7 7 2" xfId="17766" xr:uid="{00000000-0005-0000-0000-0000924C0000}"/>
    <cellStyle name="Hed Side Indent 2 7 7 2 2" xfId="17767" xr:uid="{00000000-0005-0000-0000-0000934C0000}"/>
    <cellStyle name="Hed Side Indent 2 7 7 3" xfId="17768" xr:uid="{00000000-0005-0000-0000-0000944C0000}"/>
    <cellStyle name="Hed Side Indent 2 7 7 3 2" xfId="17769" xr:uid="{00000000-0005-0000-0000-0000954C0000}"/>
    <cellStyle name="Hed Side Indent 2 7 7 4" xfId="17770" xr:uid="{00000000-0005-0000-0000-0000964C0000}"/>
    <cellStyle name="Hed Side Indent 2 7 7 4 2" xfId="17771" xr:uid="{00000000-0005-0000-0000-0000974C0000}"/>
    <cellStyle name="Hed Side Indent 2 7 7 5" xfId="17772" xr:uid="{00000000-0005-0000-0000-0000984C0000}"/>
    <cellStyle name="Hed Side Indent 2 7 7 5 2" xfId="17773" xr:uid="{00000000-0005-0000-0000-0000994C0000}"/>
    <cellStyle name="Hed Side Indent 2 7 7 6" xfId="17774" xr:uid="{00000000-0005-0000-0000-00009A4C0000}"/>
    <cellStyle name="Hed Side Indent 2 7 7 6 2" xfId="17775" xr:uid="{00000000-0005-0000-0000-00009B4C0000}"/>
    <cellStyle name="Hed Side Indent 2 7 7 7" xfId="17776" xr:uid="{00000000-0005-0000-0000-00009C4C0000}"/>
    <cellStyle name="Hed Side Indent 2 7 7 7 2" xfId="17777" xr:uid="{00000000-0005-0000-0000-00009D4C0000}"/>
    <cellStyle name="Hed Side Indent 2 7 7 8" xfId="17778" xr:uid="{00000000-0005-0000-0000-00009E4C0000}"/>
    <cellStyle name="Hed Side Indent 2 7 7 8 2" xfId="17779" xr:uid="{00000000-0005-0000-0000-00009F4C0000}"/>
    <cellStyle name="Hed Side Indent 2 7 7 9" xfId="17780" xr:uid="{00000000-0005-0000-0000-0000A04C0000}"/>
    <cellStyle name="Hed Side Indent 2 7 7 9 2" xfId="17781" xr:uid="{00000000-0005-0000-0000-0000A14C0000}"/>
    <cellStyle name="Hed Side Indent 2 7 8" xfId="17782" xr:uid="{00000000-0005-0000-0000-0000A24C0000}"/>
    <cellStyle name="Hed Side Indent 2 7 8 10" xfId="17783" xr:uid="{00000000-0005-0000-0000-0000A34C0000}"/>
    <cellStyle name="Hed Side Indent 2 7 8 2" xfId="17784" xr:uid="{00000000-0005-0000-0000-0000A44C0000}"/>
    <cellStyle name="Hed Side Indent 2 7 8 2 2" xfId="17785" xr:uid="{00000000-0005-0000-0000-0000A54C0000}"/>
    <cellStyle name="Hed Side Indent 2 7 8 3" xfId="17786" xr:uid="{00000000-0005-0000-0000-0000A64C0000}"/>
    <cellStyle name="Hed Side Indent 2 7 8 3 2" xfId="17787" xr:uid="{00000000-0005-0000-0000-0000A74C0000}"/>
    <cellStyle name="Hed Side Indent 2 7 8 4" xfId="17788" xr:uid="{00000000-0005-0000-0000-0000A84C0000}"/>
    <cellStyle name="Hed Side Indent 2 7 8 4 2" xfId="17789" xr:uid="{00000000-0005-0000-0000-0000A94C0000}"/>
    <cellStyle name="Hed Side Indent 2 7 8 5" xfId="17790" xr:uid="{00000000-0005-0000-0000-0000AA4C0000}"/>
    <cellStyle name="Hed Side Indent 2 7 8 5 2" xfId="17791" xr:uid="{00000000-0005-0000-0000-0000AB4C0000}"/>
    <cellStyle name="Hed Side Indent 2 7 8 6" xfId="17792" xr:uid="{00000000-0005-0000-0000-0000AC4C0000}"/>
    <cellStyle name="Hed Side Indent 2 7 8 6 2" xfId="17793" xr:uid="{00000000-0005-0000-0000-0000AD4C0000}"/>
    <cellStyle name="Hed Side Indent 2 7 8 7" xfId="17794" xr:uid="{00000000-0005-0000-0000-0000AE4C0000}"/>
    <cellStyle name="Hed Side Indent 2 7 8 7 2" xfId="17795" xr:uid="{00000000-0005-0000-0000-0000AF4C0000}"/>
    <cellStyle name="Hed Side Indent 2 7 8 8" xfId="17796" xr:uid="{00000000-0005-0000-0000-0000B04C0000}"/>
    <cellStyle name="Hed Side Indent 2 7 8 8 2" xfId="17797" xr:uid="{00000000-0005-0000-0000-0000B14C0000}"/>
    <cellStyle name="Hed Side Indent 2 7 8 9" xfId="17798" xr:uid="{00000000-0005-0000-0000-0000B24C0000}"/>
    <cellStyle name="Hed Side Indent 2 7 8 9 2" xfId="17799" xr:uid="{00000000-0005-0000-0000-0000B34C0000}"/>
    <cellStyle name="Hed Side Indent 2 7 9" xfId="17800" xr:uid="{00000000-0005-0000-0000-0000B44C0000}"/>
    <cellStyle name="Hed Side Indent 2 7 9 10" xfId="17801" xr:uid="{00000000-0005-0000-0000-0000B54C0000}"/>
    <cellStyle name="Hed Side Indent 2 7 9 2" xfId="17802" xr:uid="{00000000-0005-0000-0000-0000B64C0000}"/>
    <cellStyle name="Hed Side Indent 2 7 9 2 2" xfId="17803" xr:uid="{00000000-0005-0000-0000-0000B74C0000}"/>
    <cellStyle name="Hed Side Indent 2 7 9 3" xfId="17804" xr:uid="{00000000-0005-0000-0000-0000B84C0000}"/>
    <cellStyle name="Hed Side Indent 2 7 9 3 2" xfId="17805" xr:uid="{00000000-0005-0000-0000-0000B94C0000}"/>
    <cellStyle name="Hed Side Indent 2 7 9 4" xfId="17806" xr:uid="{00000000-0005-0000-0000-0000BA4C0000}"/>
    <cellStyle name="Hed Side Indent 2 7 9 4 2" xfId="17807" xr:uid="{00000000-0005-0000-0000-0000BB4C0000}"/>
    <cellStyle name="Hed Side Indent 2 7 9 5" xfId="17808" xr:uid="{00000000-0005-0000-0000-0000BC4C0000}"/>
    <cellStyle name="Hed Side Indent 2 7 9 5 2" xfId="17809" xr:uid="{00000000-0005-0000-0000-0000BD4C0000}"/>
    <cellStyle name="Hed Side Indent 2 7 9 6" xfId="17810" xr:uid="{00000000-0005-0000-0000-0000BE4C0000}"/>
    <cellStyle name="Hed Side Indent 2 7 9 6 2" xfId="17811" xr:uid="{00000000-0005-0000-0000-0000BF4C0000}"/>
    <cellStyle name="Hed Side Indent 2 7 9 7" xfId="17812" xr:uid="{00000000-0005-0000-0000-0000C04C0000}"/>
    <cellStyle name="Hed Side Indent 2 7 9 7 2" xfId="17813" xr:uid="{00000000-0005-0000-0000-0000C14C0000}"/>
    <cellStyle name="Hed Side Indent 2 7 9 8" xfId="17814" xr:uid="{00000000-0005-0000-0000-0000C24C0000}"/>
    <cellStyle name="Hed Side Indent 2 7 9 8 2" xfId="17815" xr:uid="{00000000-0005-0000-0000-0000C34C0000}"/>
    <cellStyle name="Hed Side Indent 2 7 9 9" xfId="17816" xr:uid="{00000000-0005-0000-0000-0000C44C0000}"/>
    <cellStyle name="Hed Side Indent 2 7 9 9 2" xfId="17817" xr:uid="{00000000-0005-0000-0000-0000C54C0000}"/>
    <cellStyle name="Hed Side Indent 2 8" xfId="17818" xr:uid="{00000000-0005-0000-0000-0000C64C0000}"/>
    <cellStyle name="Hed Side Indent 2 8 10" xfId="17819" xr:uid="{00000000-0005-0000-0000-0000C74C0000}"/>
    <cellStyle name="Hed Side Indent 2 8 10 2" xfId="17820" xr:uid="{00000000-0005-0000-0000-0000C84C0000}"/>
    <cellStyle name="Hed Side Indent 2 8 10 2 2" xfId="17821" xr:uid="{00000000-0005-0000-0000-0000C94C0000}"/>
    <cellStyle name="Hed Side Indent 2 8 10 3" xfId="17822" xr:uid="{00000000-0005-0000-0000-0000CA4C0000}"/>
    <cellStyle name="Hed Side Indent 2 8 10 3 2" xfId="17823" xr:uid="{00000000-0005-0000-0000-0000CB4C0000}"/>
    <cellStyle name="Hed Side Indent 2 8 10 4" xfId="17824" xr:uid="{00000000-0005-0000-0000-0000CC4C0000}"/>
    <cellStyle name="Hed Side Indent 2 8 10 4 2" xfId="17825" xr:uid="{00000000-0005-0000-0000-0000CD4C0000}"/>
    <cellStyle name="Hed Side Indent 2 8 10 5" xfId="17826" xr:uid="{00000000-0005-0000-0000-0000CE4C0000}"/>
    <cellStyle name="Hed Side Indent 2 8 10 5 2" xfId="17827" xr:uid="{00000000-0005-0000-0000-0000CF4C0000}"/>
    <cellStyle name="Hed Side Indent 2 8 10 6" xfId="17828" xr:uid="{00000000-0005-0000-0000-0000D04C0000}"/>
    <cellStyle name="Hed Side Indent 2 8 10 6 2" xfId="17829" xr:uid="{00000000-0005-0000-0000-0000D14C0000}"/>
    <cellStyle name="Hed Side Indent 2 8 10 7" xfId="17830" xr:uid="{00000000-0005-0000-0000-0000D24C0000}"/>
    <cellStyle name="Hed Side Indent 2 8 10 7 2" xfId="17831" xr:uid="{00000000-0005-0000-0000-0000D34C0000}"/>
    <cellStyle name="Hed Side Indent 2 8 10 8" xfId="17832" xr:uid="{00000000-0005-0000-0000-0000D44C0000}"/>
    <cellStyle name="Hed Side Indent 2 8 10 8 2" xfId="17833" xr:uid="{00000000-0005-0000-0000-0000D54C0000}"/>
    <cellStyle name="Hed Side Indent 2 8 10 9" xfId="17834" xr:uid="{00000000-0005-0000-0000-0000D64C0000}"/>
    <cellStyle name="Hed Side Indent 2 8 11" xfId="17835" xr:uid="{00000000-0005-0000-0000-0000D74C0000}"/>
    <cellStyle name="Hed Side Indent 2 8 11 2" xfId="17836" xr:uid="{00000000-0005-0000-0000-0000D84C0000}"/>
    <cellStyle name="Hed Side Indent 2 8 12" xfId="17837" xr:uid="{00000000-0005-0000-0000-0000D94C0000}"/>
    <cellStyle name="Hed Side Indent 2 8 12 2" xfId="17838" xr:uid="{00000000-0005-0000-0000-0000DA4C0000}"/>
    <cellStyle name="Hed Side Indent 2 8 13" xfId="17839" xr:uid="{00000000-0005-0000-0000-0000DB4C0000}"/>
    <cellStyle name="Hed Side Indent 2 8 13 2" xfId="17840" xr:uid="{00000000-0005-0000-0000-0000DC4C0000}"/>
    <cellStyle name="Hed Side Indent 2 8 14" xfId="17841" xr:uid="{00000000-0005-0000-0000-0000DD4C0000}"/>
    <cellStyle name="Hed Side Indent 2 8 14 2" xfId="17842" xr:uid="{00000000-0005-0000-0000-0000DE4C0000}"/>
    <cellStyle name="Hed Side Indent 2 8 15" xfId="17843" xr:uid="{00000000-0005-0000-0000-0000DF4C0000}"/>
    <cellStyle name="Hed Side Indent 2 8 15 2" xfId="17844" xr:uid="{00000000-0005-0000-0000-0000E04C0000}"/>
    <cellStyle name="Hed Side Indent 2 8 16" xfId="17845" xr:uid="{00000000-0005-0000-0000-0000E14C0000}"/>
    <cellStyle name="Hed Side Indent 2 8 16 2" xfId="17846" xr:uid="{00000000-0005-0000-0000-0000E24C0000}"/>
    <cellStyle name="Hed Side Indent 2 8 17" xfId="17847" xr:uid="{00000000-0005-0000-0000-0000E34C0000}"/>
    <cellStyle name="Hed Side Indent 2 8 17 2" xfId="17848" xr:uid="{00000000-0005-0000-0000-0000E44C0000}"/>
    <cellStyle name="Hed Side Indent 2 8 18" xfId="17849" xr:uid="{00000000-0005-0000-0000-0000E54C0000}"/>
    <cellStyle name="Hed Side Indent 2 8 2" xfId="17850" xr:uid="{00000000-0005-0000-0000-0000E64C0000}"/>
    <cellStyle name="Hed Side Indent 2 8 2 10" xfId="17851" xr:uid="{00000000-0005-0000-0000-0000E74C0000}"/>
    <cellStyle name="Hed Side Indent 2 8 2 2" xfId="17852" xr:uid="{00000000-0005-0000-0000-0000E84C0000}"/>
    <cellStyle name="Hed Side Indent 2 8 2 2 2" xfId="17853" xr:uid="{00000000-0005-0000-0000-0000E94C0000}"/>
    <cellStyle name="Hed Side Indent 2 8 2 3" xfId="17854" xr:uid="{00000000-0005-0000-0000-0000EA4C0000}"/>
    <cellStyle name="Hed Side Indent 2 8 2 3 2" xfId="17855" xr:uid="{00000000-0005-0000-0000-0000EB4C0000}"/>
    <cellStyle name="Hed Side Indent 2 8 2 4" xfId="17856" xr:uid="{00000000-0005-0000-0000-0000EC4C0000}"/>
    <cellStyle name="Hed Side Indent 2 8 2 4 2" xfId="17857" xr:uid="{00000000-0005-0000-0000-0000ED4C0000}"/>
    <cellStyle name="Hed Side Indent 2 8 2 5" xfId="17858" xr:uid="{00000000-0005-0000-0000-0000EE4C0000}"/>
    <cellStyle name="Hed Side Indent 2 8 2 5 2" xfId="17859" xr:uid="{00000000-0005-0000-0000-0000EF4C0000}"/>
    <cellStyle name="Hed Side Indent 2 8 2 6" xfId="17860" xr:uid="{00000000-0005-0000-0000-0000F04C0000}"/>
    <cellStyle name="Hed Side Indent 2 8 2 6 2" xfId="17861" xr:uid="{00000000-0005-0000-0000-0000F14C0000}"/>
    <cellStyle name="Hed Side Indent 2 8 2 7" xfId="17862" xr:uid="{00000000-0005-0000-0000-0000F24C0000}"/>
    <cellStyle name="Hed Side Indent 2 8 2 7 2" xfId="17863" xr:uid="{00000000-0005-0000-0000-0000F34C0000}"/>
    <cellStyle name="Hed Side Indent 2 8 2 8" xfId="17864" xr:uid="{00000000-0005-0000-0000-0000F44C0000}"/>
    <cellStyle name="Hed Side Indent 2 8 2 8 2" xfId="17865" xr:uid="{00000000-0005-0000-0000-0000F54C0000}"/>
    <cellStyle name="Hed Side Indent 2 8 2 9" xfId="17866" xr:uid="{00000000-0005-0000-0000-0000F64C0000}"/>
    <cellStyle name="Hed Side Indent 2 8 2 9 2" xfId="17867" xr:uid="{00000000-0005-0000-0000-0000F74C0000}"/>
    <cellStyle name="Hed Side Indent 2 8 3" xfId="17868" xr:uid="{00000000-0005-0000-0000-0000F84C0000}"/>
    <cellStyle name="Hed Side Indent 2 8 3 10" xfId="17869" xr:uid="{00000000-0005-0000-0000-0000F94C0000}"/>
    <cellStyle name="Hed Side Indent 2 8 3 2" xfId="17870" xr:uid="{00000000-0005-0000-0000-0000FA4C0000}"/>
    <cellStyle name="Hed Side Indent 2 8 3 2 2" xfId="17871" xr:uid="{00000000-0005-0000-0000-0000FB4C0000}"/>
    <cellStyle name="Hed Side Indent 2 8 3 3" xfId="17872" xr:uid="{00000000-0005-0000-0000-0000FC4C0000}"/>
    <cellStyle name="Hed Side Indent 2 8 3 3 2" xfId="17873" xr:uid="{00000000-0005-0000-0000-0000FD4C0000}"/>
    <cellStyle name="Hed Side Indent 2 8 3 4" xfId="17874" xr:uid="{00000000-0005-0000-0000-0000FE4C0000}"/>
    <cellStyle name="Hed Side Indent 2 8 3 4 2" xfId="17875" xr:uid="{00000000-0005-0000-0000-0000FF4C0000}"/>
    <cellStyle name="Hed Side Indent 2 8 3 5" xfId="17876" xr:uid="{00000000-0005-0000-0000-0000004D0000}"/>
    <cellStyle name="Hed Side Indent 2 8 3 5 2" xfId="17877" xr:uid="{00000000-0005-0000-0000-0000014D0000}"/>
    <cellStyle name="Hed Side Indent 2 8 3 6" xfId="17878" xr:uid="{00000000-0005-0000-0000-0000024D0000}"/>
    <cellStyle name="Hed Side Indent 2 8 3 6 2" xfId="17879" xr:uid="{00000000-0005-0000-0000-0000034D0000}"/>
    <cellStyle name="Hed Side Indent 2 8 3 7" xfId="17880" xr:uid="{00000000-0005-0000-0000-0000044D0000}"/>
    <cellStyle name="Hed Side Indent 2 8 3 7 2" xfId="17881" xr:uid="{00000000-0005-0000-0000-0000054D0000}"/>
    <cellStyle name="Hed Side Indent 2 8 3 8" xfId="17882" xr:uid="{00000000-0005-0000-0000-0000064D0000}"/>
    <cellStyle name="Hed Side Indent 2 8 3 8 2" xfId="17883" xr:uid="{00000000-0005-0000-0000-0000074D0000}"/>
    <cellStyle name="Hed Side Indent 2 8 3 9" xfId="17884" xr:uid="{00000000-0005-0000-0000-0000084D0000}"/>
    <cellStyle name="Hed Side Indent 2 8 3 9 2" xfId="17885" xr:uid="{00000000-0005-0000-0000-0000094D0000}"/>
    <cellStyle name="Hed Side Indent 2 8 4" xfId="17886" xr:uid="{00000000-0005-0000-0000-00000A4D0000}"/>
    <cellStyle name="Hed Side Indent 2 8 4 10" xfId="17887" xr:uid="{00000000-0005-0000-0000-00000B4D0000}"/>
    <cellStyle name="Hed Side Indent 2 8 4 2" xfId="17888" xr:uid="{00000000-0005-0000-0000-00000C4D0000}"/>
    <cellStyle name="Hed Side Indent 2 8 4 2 2" xfId="17889" xr:uid="{00000000-0005-0000-0000-00000D4D0000}"/>
    <cellStyle name="Hed Side Indent 2 8 4 3" xfId="17890" xr:uid="{00000000-0005-0000-0000-00000E4D0000}"/>
    <cellStyle name="Hed Side Indent 2 8 4 3 2" xfId="17891" xr:uid="{00000000-0005-0000-0000-00000F4D0000}"/>
    <cellStyle name="Hed Side Indent 2 8 4 4" xfId="17892" xr:uid="{00000000-0005-0000-0000-0000104D0000}"/>
    <cellStyle name="Hed Side Indent 2 8 4 4 2" xfId="17893" xr:uid="{00000000-0005-0000-0000-0000114D0000}"/>
    <cellStyle name="Hed Side Indent 2 8 4 5" xfId="17894" xr:uid="{00000000-0005-0000-0000-0000124D0000}"/>
    <cellStyle name="Hed Side Indent 2 8 4 5 2" xfId="17895" xr:uid="{00000000-0005-0000-0000-0000134D0000}"/>
    <cellStyle name="Hed Side Indent 2 8 4 6" xfId="17896" xr:uid="{00000000-0005-0000-0000-0000144D0000}"/>
    <cellStyle name="Hed Side Indent 2 8 4 6 2" xfId="17897" xr:uid="{00000000-0005-0000-0000-0000154D0000}"/>
    <cellStyle name="Hed Side Indent 2 8 4 7" xfId="17898" xr:uid="{00000000-0005-0000-0000-0000164D0000}"/>
    <cellStyle name="Hed Side Indent 2 8 4 7 2" xfId="17899" xr:uid="{00000000-0005-0000-0000-0000174D0000}"/>
    <cellStyle name="Hed Side Indent 2 8 4 8" xfId="17900" xr:uid="{00000000-0005-0000-0000-0000184D0000}"/>
    <cellStyle name="Hed Side Indent 2 8 4 8 2" xfId="17901" xr:uid="{00000000-0005-0000-0000-0000194D0000}"/>
    <cellStyle name="Hed Side Indent 2 8 4 9" xfId="17902" xr:uid="{00000000-0005-0000-0000-00001A4D0000}"/>
    <cellStyle name="Hed Side Indent 2 8 4 9 2" xfId="17903" xr:uid="{00000000-0005-0000-0000-00001B4D0000}"/>
    <cellStyle name="Hed Side Indent 2 8 5" xfId="17904" xr:uid="{00000000-0005-0000-0000-00001C4D0000}"/>
    <cellStyle name="Hed Side Indent 2 8 5 10" xfId="17905" xr:uid="{00000000-0005-0000-0000-00001D4D0000}"/>
    <cellStyle name="Hed Side Indent 2 8 5 2" xfId="17906" xr:uid="{00000000-0005-0000-0000-00001E4D0000}"/>
    <cellStyle name="Hed Side Indent 2 8 5 2 2" xfId="17907" xr:uid="{00000000-0005-0000-0000-00001F4D0000}"/>
    <cellStyle name="Hed Side Indent 2 8 5 3" xfId="17908" xr:uid="{00000000-0005-0000-0000-0000204D0000}"/>
    <cellStyle name="Hed Side Indent 2 8 5 3 2" xfId="17909" xr:uid="{00000000-0005-0000-0000-0000214D0000}"/>
    <cellStyle name="Hed Side Indent 2 8 5 4" xfId="17910" xr:uid="{00000000-0005-0000-0000-0000224D0000}"/>
    <cellStyle name="Hed Side Indent 2 8 5 4 2" xfId="17911" xr:uid="{00000000-0005-0000-0000-0000234D0000}"/>
    <cellStyle name="Hed Side Indent 2 8 5 5" xfId="17912" xr:uid="{00000000-0005-0000-0000-0000244D0000}"/>
    <cellStyle name="Hed Side Indent 2 8 5 5 2" xfId="17913" xr:uid="{00000000-0005-0000-0000-0000254D0000}"/>
    <cellStyle name="Hed Side Indent 2 8 5 6" xfId="17914" xr:uid="{00000000-0005-0000-0000-0000264D0000}"/>
    <cellStyle name="Hed Side Indent 2 8 5 6 2" xfId="17915" xr:uid="{00000000-0005-0000-0000-0000274D0000}"/>
    <cellStyle name="Hed Side Indent 2 8 5 7" xfId="17916" xr:uid="{00000000-0005-0000-0000-0000284D0000}"/>
    <cellStyle name="Hed Side Indent 2 8 5 7 2" xfId="17917" xr:uid="{00000000-0005-0000-0000-0000294D0000}"/>
    <cellStyle name="Hed Side Indent 2 8 5 8" xfId="17918" xr:uid="{00000000-0005-0000-0000-00002A4D0000}"/>
    <cellStyle name="Hed Side Indent 2 8 5 8 2" xfId="17919" xr:uid="{00000000-0005-0000-0000-00002B4D0000}"/>
    <cellStyle name="Hed Side Indent 2 8 5 9" xfId="17920" xr:uid="{00000000-0005-0000-0000-00002C4D0000}"/>
    <cellStyle name="Hed Side Indent 2 8 5 9 2" xfId="17921" xr:uid="{00000000-0005-0000-0000-00002D4D0000}"/>
    <cellStyle name="Hed Side Indent 2 8 6" xfId="17922" xr:uid="{00000000-0005-0000-0000-00002E4D0000}"/>
    <cellStyle name="Hed Side Indent 2 8 6 10" xfId="17923" xr:uid="{00000000-0005-0000-0000-00002F4D0000}"/>
    <cellStyle name="Hed Side Indent 2 8 6 2" xfId="17924" xr:uid="{00000000-0005-0000-0000-0000304D0000}"/>
    <cellStyle name="Hed Side Indent 2 8 6 2 2" xfId="17925" xr:uid="{00000000-0005-0000-0000-0000314D0000}"/>
    <cellStyle name="Hed Side Indent 2 8 6 3" xfId="17926" xr:uid="{00000000-0005-0000-0000-0000324D0000}"/>
    <cellStyle name="Hed Side Indent 2 8 6 3 2" xfId="17927" xr:uid="{00000000-0005-0000-0000-0000334D0000}"/>
    <cellStyle name="Hed Side Indent 2 8 6 4" xfId="17928" xr:uid="{00000000-0005-0000-0000-0000344D0000}"/>
    <cellStyle name="Hed Side Indent 2 8 6 4 2" xfId="17929" xr:uid="{00000000-0005-0000-0000-0000354D0000}"/>
    <cellStyle name="Hed Side Indent 2 8 6 5" xfId="17930" xr:uid="{00000000-0005-0000-0000-0000364D0000}"/>
    <cellStyle name="Hed Side Indent 2 8 6 5 2" xfId="17931" xr:uid="{00000000-0005-0000-0000-0000374D0000}"/>
    <cellStyle name="Hed Side Indent 2 8 6 6" xfId="17932" xr:uid="{00000000-0005-0000-0000-0000384D0000}"/>
    <cellStyle name="Hed Side Indent 2 8 6 6 2" xfId="17933" xr:uid="{00000000-0005-0000-0000-0000394D0000}"/>
    <cellStyle name="Hed Side Indent 2 8 6 7" xfId="17934" xr:uid="{00000000-0005-0000-0000-00003A4D0000}"/>
    <cellStyle name="Hed Side Indent 2 8 6 7 2" xfId="17935" xr:uid="{00000000-0005-0000-0000-00003B4D0000}"/>
    <cellStyle name="Hed Side Indent 2 8 6 8" xfId="17936" xr:uid="{00000000-0005-0000-0000-00003C4D0000}"/>
    <cellStyle name="Hed Side Indent 2 8 6 8 2" xfId="17937" xr:uid="{00000000-0005-0000-0000-00003D4D0000}"/>
    <cellStyle name="Hed Side Indent 2 8 6 9" xfId="17938" xr:uid="{00000000-0005-0000-0000-00003E4D0000}"/>
    <cellStyle name="Hed Side Indent 2 8 6 9 2" xfId="17939" xr:uid="{00000000-0005-0000-0000-00003F4D0000}"/>
    <cellStyle name="Hed Side Indent 2 8 7" xfId="17940" xr:uid="{00000000-0005-0000-0000-0000404D0000}"/>
    <cellStyle name="Hed Side Indent 2 8 7 10" xfId="17941" xr:uid="{00000000-0005-0000-0000-0000414D0000}"/>
    <cellStyle name="Hed Side Indent 2 8 7 2" xfId="17942" xr:uid="{00000000-0005-0000-0000-0000424D0000}"/>
    <cellStyle name="Hed Side Indent 2 8 7 2 2" xfId="17943" xr:uid="{00000000-0005-0000-0000-0000434D0000}"/>
    <cellStyle name="Hed Side Indent 2 8 7 3" xfId="17944" xr:uid="{00000000-0005-0000-0000-0000444D0000}"/>
    <cellStyle name="Hed Side Indent 2 8 7 3 2" xfId="17945" xr:uid="{00000000-0005-0000-0000-0000454D0000}"/>
    <cellStyle name="Hed Side Indent 2 8 7 4" xfId="17946" xr:uid="{00000000-0005-0000-0000-0000464D0000}"/>
    <cellStyle name="Hed Side Indent 2 8 7 4 2" xfId="17947" xr:uid="{00000000-0005-0000-0000-0000474D0000}"/>
    <cellStyle name="Hed Side Indent 2 8 7 5" xfId="17948" xr:uid="{00000000-0005-0000-0000-0000484D0000}"/>
    <cellStyle name="Hed Side Indent 2 8 7 5 2" xfId="17949" xr:uid="{00000000-0005-0000-0000-0000494D0000}"/>
    <cellStyle name="Hed Side Indent 2 8 7 6" xfId="17950" xr:uid="{00000000-0005-0000-0000-00004A4D0000}"/>
    <cellStyle name="Hed Side Indent 2 8 7 6 2" xfId="17951" xr:uid="{00000000-0005-0000-0000-00004B4D0000}"/>
    <cellStyle name="Hed Side Indent 2 8 7 7" xfId="17952" xr:uid="{00000000-0005-0000-0000-00004C4D0000}"/>
    <cellStyle name="Hed Side Indent 2 8 7 7 2" xfId="17953" xr:uid="{00000000-0005-0000-0000-00004D4D0000}"/>
    <cellStyle name="Hed Side Indent 2 8 7 8" xfId="17954" xr:uid="{00000000-0005-0000-0000-00004E4D0000}"/>
    <cellStyle name="Hed Side Indent 2 8 7 8 2" xfId="17955" xr:uid="{00000000-0005-0000-0000-00004F4D0000}"/>
    <cellStyle name="Hed Side Indent 2 8 7 9" xfId="17956" xr:uid="{00000000-0005-0000-0000-0000504D0000}"/>
    <cellStyle name="Hed Side Indent 2 8 7 9 2" xfId="17957" xr:uid="{00000000-0005-0000-0000-0000514D0000}"/>
    <cellStyle name="Hed Side Indent 2 8 8" xfId="17958" xr:uid="{00000000-0005-0000-0000-0000524D0000}"/>
    <cellStyle name="Hed Side Indent 2 8 8 10" xfId="17959" xr:uid="{00000000-0005-0000-0000-0000534D0000}"/>
    <cellStyle name="Hed Side Indent 2 8 8 2" xfId="17960" xr:uid="{00000000-0005-0000-0000-0000544D0000}"/>
    <cellStyle name="Hed Side Indent 2 8 8 2 2" xfId="17961" xr:uid="{00000000-0005-0000-0000-0000554D0000}"/>
    <cellStyle name="Hed Side Indent 2 8 8 3" xfId="17962" xr:uid="{00000000-0005-0000-0000-0000564D0000}"/>
    <cellStyle name="Hed Side Indent 2 8 8 3 2" xfId="17963" xr:uid="{00000000-0005-0000-0000-0000574D0000}"/>
    <cellStyle name="Hed Side Indent 2 8 8 4" xfId="17964" xr:uid="{00000000-0005-0000-0000-0000584D0000}"/>
    <cellStyle name="Hed Side Indent 2 8 8 4 2" xfId="17965" xr:uid="{00000000-0005-0000-0000-0000594D0000}"/>
    <cellStyle name="Hed Side Indent 2 8 8 5" xfId="17966" xr:uid="{00000000-0005-0000-0000-00005A4D0000}"/>
    <cellStyle name="Hed Side Indent 2 8 8 5 2" xfId="17967" xr:uid="{00000000-0005-0000-0000-00005B4D0000}"/>
    <cellStyle name="Hed Side Indent 2 8 8 6" xfId="17968" xr:uid="{00000000-0005-0000-0000-00005C4D0000}"/>
    <cellStyle name="Hed Side Indent 2 8 8 6 2" xfId="17969" xr:uid="{00000000-0005-0000-0000-00005D4D0000}"/>
    <cellStyle name="Hed Side Indent 2 8 8 7" xfId="17970" xr:uid="{00000000-0005-0000-0000-00005E4D0000}"/>
    <cellStyle name="Hed Side Indent 2 8 8 7 2" xfId="17971" xr:uid="{00000000-0005-0000-0000-00005F4D0000}"/>
    <cellStyle name="Hed Side Indent 2 8 8 8" xfId="17972" xr:uid="{00000000-0005-0000-0000-0000604D0000}"/>
    <cellStyle name="Hed Side Indent 2 8 8 8 2" xfId="17973" xr:uid="{00000000-0005-0000-0000-0000614D0000}"/>
    <cellStyle name="Hed Side Indent 2 8 8 9" xfId="17974" xr:uid="{00000000-0005-0000-0000-0000624D0000}"/>
    <cellStyle name="Hed Side Indent 2 8 8 9 2" xfId="17975" xr:uid="{00000000-0005-0000-0000-0000634D0000}"/>
    <cellStyle name="Hed Side Indent 2 8 9" xfId="17976" xr:uid="{00000000-0005-0000-0000-0000644D0000}"/>
    <cellStyle name="Hed Side Indent 2 8 9 10" xfId="17977" xr:uid="{00000000-0005-0000-0000-0000654D0000}"/>
    <cellStyle name="Hed Side Indent 2 8 9 2" xfId="17978" xr:uid="{00000000-0005-0000-0000-0000664D0000}"/>
    <cellStyle name="Hed Side Indent 2 8 9 2 2" xfId="17979" xr:uid="{00000000-0005-0000-0000-0000674D0000}"/>
    <cellStyle name="Hed Side Indent 2 8 9 3" xfId="17980" xr:uid="{00000000-0005-0000-0000-0000684D0000}"/>
    <cellStyle name="Hed Side Indent 2 8 9 3 2" xfId="17981" xr:uid="{00000000-0005-0000-0000-0000694D0000}"/>
    <cellStyle name="Hed Side Indent 2 8 9 4" xfId="17982" xr:uid="{00000000-0005-0000-0000-00006A4D0000}"/>
    <cellStyle name="Hed Side Indent 2 8 9 4 2" xfId="17983" xr:uid="{00000000-0005-0000-0000-00006B4D0000}"/>
    <cellStyle name="Hed Side Indent 2 8 9 5" xfId="17984" xr:uid="{00000000-0005-0000-0000-00006C4D0000}"/>
    <cellStyle name="Hed Side Indent 2 8 9 5 2" xfId="17985" xr:uid="{00000000-0005-0000-0000-00006D4D0000}"/>
    <cellStyle name="Hed Side Indent 2 8 9 6" xfId="17986" xr:uid="{00000000-0005-0000-0000-00006E4D0000}"/>
    <cellStyle name="Hed Side Indent 2 8 9 6 2" xfId="17987" xr:uid="{00000000-0005-0000-0000-00006F4D0000}"/>
    <cellStyle name="Hed Side Indent 2 8 9 7" xfId="17988" xr:uid="{00000000-0005-0000-0000-0000704D0000}"/>
    <cellStyle name="Hed Side Indent 2 8 9 7 2" xfId="17989" xr:uid="{00000000-0005-0000-0000-0000714D0000}"/>
    <cellStyle name="Hed Side Indent 2 8 9 8" xfId="17990" xr:uid="{00000000-0005-0000-0000-0000724D0000}"/>
    <cellStyle name="Hed Side Indent 2 8 9 8 2" xfId="17991" xr:uid="{00000000-0005-0000-0000-0000734D0000}"/>
    <cellStyle name="Hed Side Indent 2 8 9 9" xfId="17992" xr:uid="{00000000-0005-0000-0000-0000744D0000}"/>
    <cellStyle name="Hed Side Indent 2 8 9 9 2" xfId="17993" xr:uid="{00000000-0005-0000-0000-0000754D0000}"/>
    <cellStyle name="Hed Side Indent 3" xfId="169" xr:uid="{00000000-0005-0000-0000-0000764D0000}"/>
    <cellStyle name="Hed Side Indent 3 2" xfId="17994" xr:uid="{00000000-0005-0000-0000-0000774D0000}"/>
    <cellStyle name="Hed Side Indent 3 2 10" xfId="17995" xr:uid="{00000000-0005-0000-0000-0000784D0000}"/>
    <cellStyle name="Hed Side Indent 3 2 10 10" xfId="17996" xr:uid="{00000000-0005-0000-0000-0000794D0000}"/>
    <cellStyle name="Hed Side Indent 3 2 10 2" xfId="17997" xr:uid="{00000000-0005-0000-0000-00007A4D0000}"/>
    <cellStyle name="Hed Side Indent 3 2 10 2 2" xfId="17998" xr:uid="{00000000-0005-0000-0000-00007B4D0000}"/>
    <cellStyle name="Hed Side Indent 3 2 10 3" xfId="17999" xr:uid="{00000000-0005-0000-0000-00007C4D0000}"/>
    <cellStyle name="Hed Side Indent 3 2 10 3 2" xfId="18000" xr:uid="{00000000-0005-0000-0000-00007D4D0000}"/>
    <cellStyle name="Hed Side Indent 3 2 10 4" xfId="18001" xr:uid="{00000000-0005-0000-0000-00007E4D0000}"/>
    <cellStyle name="Hed Side Indent 3 2 10 4 2" xfId="18002" xr:uid="{00000000-0005-0000-0000-00007F4D0000}"/>
    <cellStyle name="Hed Side Indent 3 2 10 5" xfId="18003" xr:uid="{00000000-0005-0000-0000-0000804D0000}"/>
    <cellStyle name="Hed Side Indent 3 2 10 5 2" xfId="18004" xr:uid="{00000000-0005-0000-0000-0000814D0000}"/>
    <cellStyle name="Hed Side Indent 3 2 10 6" xfId="18005" xr:uid="{00000000-0005-0000-0000-0000824D0000}"/>
    <cellStyle name="Hed Side Indent 3 2 10 6 2" xfId="18006" xr:uid="{00000000-0005-0000-0000-0000834D0000}"/>
    <cellStyle name="Hed Side Indent 3 2 10 7" xfId="18007" xr:uid="{00000000-0005-0000-0000-0000844D0000}"/>
    <cellStyle name="Hed Side Indent 3 2 10 7 2" xfId="18008" xr:uid="{00000000-0005-0000-0000-0000854D0000}"/>
    <cellStyle name="Hed Side Indent 3 2 10 8" xfId="18009" xr:uid="{00000000-0005-0000-0000-0000864D0000}"/>
    <cellStyle name="Hed Side Indent 3 2 10 8 2" xfId="18010" xr:uid="{00000000-0005-0000-0000-0000874D0000}"/>
    <cellStyle name="Hed Side Indent 3 2 10 9" xfId="18011" xr:uid="{00000000-0005-0000-0000-0000884D0000}"/>
    <cellStyle name="Hed Side Indent 3 2 10 9 2" xfId="18012" xr:uid="{00000000-0005-0000-0000-0000894D0000}"/>
    <cellStyle name="Hed Side Indent 3 2 11" xfId="18013" xr:uid="{00000000-0005-0000-0000-00008A4D0000}"/>
    <cellStyle name="Hed Side Indent 3 2 11 2" xfId="18014" xr:uid="{00000000-0005-0000-0000-00008B4D0000}"/>
    <cellStyle name="Hed Side Indent 3 2 11 2 2" xfId="18015" xr:uid="{00000000-0005-0000-0000-00008C4D0000}"/>
    <cellStyle name="Hed Side Indent 3 2 11 3" xfId="18016" xr:uid="{00000000-0005-0000-0000-00008D4D0000}"/>
    <cellStyle name="Hed Side Indent 3 2 11 3 2" xfId="18017" xr:uid="{00000000-0005-0000-0000-00008E4D0000}"/>
    <cellStyle name="Hed Side Indent 3 2 11 4" xfId="18018" xr:uid="{00000000-0005-0000-0000-00008F4D0000}"/>
    <cellStyle name="Hed Side Indent 3 2 11 4 2" xfId="18019" xr:uid="{00000000-0005-0000-0000-0000904D0000}"/>
    <cellStyle name="Hed Side Indent 3 2 11 5" xfId="18020" xr:uid="{00000000-0005-0000-0000-0000914D0000}"/>
    <cellStyle name="Hed Side Indent 3 2 11 5 2" xfId="18021" xr:uid="{00000000-0005-0000-0000-0000924D0000}"/>
    <cellStyle name="Hed Side Indent 3 2 11 6" xfId="18022" xr:uid="{00000000-0005-0000-0000-0000934D0000}"/>
    <cellStyle name="Hed Side Indent 3 2 11 6 2" xfId="18023" xr:uid="{00000000-0005-0000-0000-0000944D0000}"/>
    <cellStyle name="Hed Side Indent 3 2 11 7" xfId="18024" xr:uid="{00000000-0005-0000-0000-0000954D0000}"/>
    <cellStyle name="Hed Side Indent 3 2 11 7 2" xfId="18025" xr:uid="{00000000-0005-0000-0000-0000964D0000}"/>
    <cellStyle name="Hed Side Indent 3 2 11 8" xfId="18026" xr:uid="{00000000-0005-0000-0000-0000974D0000}"/>
    <cellStyle name="Hed Side Indent 3 2 11 8 2" xfId="18027" xr:uid="{00000000-0005-0000-0000-0000984D0000}"/>
    <cellStyle name="Hed Side Indent 3 2 11 9" xfId="18028" xr:uid="{00000000-0005-0000-0000-0000994D0000}"/>
    <cellStyle name="Hed Side Indent 3 2 2" xfId="18029" xr:uid="{00000000-0005-0000-0000-00009A4D0000}"/>
    <cellStyle name="Hed Side Indent 3 2 2 10" xfId="18030" xr:uid="{00000000-0005-0000-0000-00009B4D0000}"/>
    <cellStyle name="Hed Side Indent 3 2 2 2" xfId="18031" xr:uid="{00000000-0005-0000-0000-00009C4D0000}"/>
    <cellStyle name="Hed Side Indent 3 2 2 2 2" xfId="18032" xr:uid="{00000000-0005-0000-0000-00009D4D0000}"/>
    <cellStyle name="Hed Side Indent 3 2 2 3" xfId="18033" xr:uid="{00000000-0005-0000-0000-00009E4D0000}"/>
    <cellStyle name="Hed Side Indent 3 2 2 3 2" xfId="18034" xr:uid="{00000000-0005-0000-0000-00009F4D0000}"/>
    <cellStyle name="Hed Side Indent 3 2 2 4" xfId="18035" xr:uid="{00000000-0005-0000-0000-0000A04D0000}"/>
    <cellStyle name="Hed Side Indent 3 2 2 4 2" xfId="18036" xr:uid="{00000000-0005-0000-0000-0000A14D0000}"/>
    <cellStyle name="Hed Side Indent 3 2 2 5" xfId="18037" xr:uid="{00000000-0005-0000-0000-0000A24D0000}"/>
    <cellStyle name="Hed Side Indent 3 2 2 5 2" xfId="18038" xr:uid="{00000000-0005-0000-0000-0000A34D0000}"/>
    <cellStyle name="Hed Side Indent 3 2 2 6" xfId="18039" xr:uid="{00000000-0005-0000-0000-0000A44D0000}"/>
    <cellStyle name="Hed Side Indent 3 2 2 6 2" xfId="18040" xr:uid="{00000000-0005-0000-0000-0000A54D0000}"/>
    <cellStyle name="Hed Side Indent 3 2 2 7" xfId="18041" xr:uid="{00000000-0005-0000-0000-0000A64D0000}"/>
    <cellStyle name="Hed Side Indent 3 2 2 7 2" xfId="18042" xr:uid="{00000000-0005-0000-0000-0000A74D0000}"/>
    <cellStyle name="Hed Side Indent 3 2 2 8" xfId="18043" xr:uid="{00000000-0005-0000-0000-0000A84D0000}"/>
    <cellStyle name="Hed Side Indent 3 2 2 8 2" xfId="18044" xr:uid="{00000000-0005-0000-0000-0000A94D0000}"/>
    <cellStyle name="Hed Side Indent 3 2 2 9" xfId="18045" xr:uid="{00000000-0005-0000-0000-0000AA4D0000}"/>
    <cellStyle name="Hed Side Indent 3 2 2 9 2" xfId="18046" xr:uid="{00000000-0005-0000-0000-0000AB4D0000}"/>
    <cellStyle name="Hed Side Indent 3 2 3" xfId="18047" xr:uid="{00000000-0005-0000-0000-0000AC4D0000}"/>
    <cellStyle name="Hed Side Indent 3 2 3 10" xfId="18048" xr:uid="{00000000-0005-0000-0000-0000AD4D0000}"/>
    <cellStyle name="Hed Side Indent 3 2 3 2" xfId="18049" xr:uid="{00000000-0005-0000-0000-0000AE4D0000}"/>
    <cellStyle name="Hed Side Indent 3 2 3 2 2" xfId="18050" xr:uid="{00000000-0005-0000-0000-0000AF4D0000}"/>
    <cellStyle name="Hed Side Indent 3 2 3 3" xfId="18051" xr:uid="{00000000-0005-0000-0000-0000B04D0000}"/>
    <cellStyle name="Hed Side Indent 3 2 3 3 2" xfId="18052" xr:uid="{00000000-0005-0000-0000-0000B14D0000}"/>
    <cellStyle name="Hed Side Indent 3 2 3 4" xfId="18053" xr:uid="{00000000-0005-0000-0000-0000B24D0000}"/>
    <cellStyle name="Hed Side Indent 3 2 3 4 2" xfId="18054" xr:uid="{00000000-0005-0000-0000-0000B34D0000}"/>
    <cellStyle name="Hed Side Indent 3 2 3 5" xfId="18055" xr:uid="{00000000-0005-0000-0000-0000B44D0000}"/>
    <cellStyle name="Hed Side Indent 3 2 3 5 2" xfId="18056" xr:uid="{00000000-0005-0000-0000-0000B54D0000}"/>
    <cellStyle name="Hed Side Indent 3 2 3 6" xfId="18057" xr:uid="{00000000-0005-0000-0000-0000B64D0000}"/>
    <cellStyle name="Hed Side Indent 3 2 3 6 2" xfId="18058" xr:uid="{00000000-0005-0000-0000-0000B74D0000}"/>
    <cellStyle name="Hed Side Indent 3 2 3 7" xfId="18059" xr:uid="{00000000-0005-0000-0000-0000B84D0000}"/>
    <cellStyle name="Hed Side Indent 3 2 3 7 2" xfId="18060" xr:uid="{00000000-0005-0000-0000-0000B94D0000}"/>
    <cellStyle name="Hed Side Indent 3 2 3 8" xfId="18061" xr:uid="{00000000-0005-0000-0000-0000BA4D0000}"/>
    <cellStyle name="Hed Side Indent 3 2 3 8 2" xfId="18062" xr:uid="{00000000-0005-0000-0000-0000BB4D0000}"/>
    <cellStyle name="Hed Side Indent 3 2 3 9" xfId="18063" xr:uid="{00000000-0005-0000-0000-0000BC4D0000}"/>
    <cellStyle name="Hed Side Indent 3 2 3 9 2" xfId="18064" xr:uid="{00000000-0005-0000-0000-0000BD4D0000}"/>
    <cellStyle name="Hed Side Indent 3 2 4" xfId="18065" xr:uid="{00000000-0005-0000-0000-0000BE4D0000}"/>
    <cellStyle name="Hed Side Indent 3 2 4 10" xfId="18066" xr:uid="{00000000-0005-0000-0000-0000BF4D0000}"/>
    <cellStyle name="Hed Side Indent 3 2 4 2" xfId="18067" xr:uid="{00000000-0005-0000-0000-0000C04D0000}"/>
    <cellStyle name="Hed Side Indent 3 2 4 2 2" xfId="18068" xr:uid="{00000000-0005-0000-0000-0000C14D0000}"/>
    <cellStyle name="Hed Side Indent 3 2 4 3" xfId="18069" xr:uid="{00000000-0005-0000-0000-0000C24D0000}"/>
    <cellStyle name="Hed Side Indent 3 2 4 3 2" xfId="18070" xr:uid="{00000000-0005-0000-0000-0000C34D0000}"/>
    <cellStyle name="Hed Side Indent 3 2 4 4" xfId="18071" xr:uid="{00000000-0005-0000-0000-0000C44D0000}"/>
    <cellStyle name="Hed Side Indent 3 2 4 4 2" xfId="18072" xr:uid="{00000000-0005-0000-0000-0000C54D0000}"/>
    <cellStyle name="Hed Side Indent 3 2 4 5" xfId="18073" xr:uid="{00000000-0005-0000-0000-0000C64D0000}"/>
    <cellStyle name="Hed Side Indent 3 2 4 5 2" xfId="18074" xr:uid="{00000000-0005-0000-0000-0000C74D0000}"/>
    <cellStyle name="Hed Side Indent 3 2 4 6" xfId="18075" xr:uid="{00000000-0005-0000-0000-0000C84D0000}"/>
    <cellStyle name="Hed Side Indent 3 2 4 6 2" xfId="18076" xr:uid="{00000000-0005-0000-0000-0000C94D0000}"/>
    <cellStyle name="Hed Side Indent 3 2 4 7" xfId="18077" xr:uid="{00000000-0005-0000-0000-0000CA4D0000}"/>
    <cellStyle name="Hed Side Indent 3 2 4 7 2" xfId="18078" xr:uid="{00000000-0005-0000-0000-0000CB4D0000}"/>
    <cellStyle name="Hed Side Indent 3 2 4 8" xfId="18079" xr:uid="{00000000-0005-0000-0000-0000CC4D0000}"/>
    <cellStyle name="Hed Side Indent 3 2 4 8 2" xfId="18080" xr:uid="{00000000-0005-0000-0000-0000CD4D0000}"/>
    <cellStyle name="Hed Side Indent 3 2 4 9" xfId="18081" xr:uid="{00000000-0005-0000-0000-0000CE4D0000}"/>
    <cellStyle name="Hed Side Indent 3 2 4 9 2" xfId="18082" xr:uid="{00000000-0005-0000-0000-0000CF4D0000}"/>
    <cellStyle name="Hed Side Indent 3 2 5" xfId="18083" xr:uid="{00000000-0005-0000-0000-0000D04D0000}"/>
    <cellStyle name="Hed Side Indent 3 2 5 10" xfId="18084" xr:uid="{00000000-0005-0000-0000-0000D14D0000}"/>
    <cellStyle name="Hed Side Indent 3 2 5 2" xfId="18085" xr:uid="{00000000-0005-0000-0000-0000D24D0000}"/>
    <cellStyle name="Hed Side Indent 3 2 5 2 2" xfId="18086" xr:uid="{00000000-0005-0000-0000-0000D34D0000}"/>
    <cellStyle name="Hed Side Indent 3 2 5 3" xfId="18087" xr:uid="{00000000-0005-0000-0000-0000D44D0000}"/>
    <cellStyle name="Hed Side Indent 3 2 5 3 2" xfId="18088" xr:uid="{00000000-0005-0000-0000-0000D54D0000}"/>
    <cellStyle name="Hed Side Indent 3 2 5 4" xfId="18089" xr:uid="{00000000-0005-0000-0000-0000D64D0000}"/>
    <cellStyle name="Hed Side Indent 3 2 5 4 2" xfId="18090" xr:uid="{00000000-0005-0000-0000-0000D74D0000}"/>
    <cellStyle name="Hed Side Indent 3 2 5 5" xfId="18091" xr:uid="{00000000-0005-0000-0000-0000D84D0000}"/>
    <cellStyle name="Hed Side Indent 3 2 5 5 2" xfId="18092" xr:uid="{00000000-0005-0000-0000-0000D94D0000}"/>
    <cellStyle name="Hed Side Indent 3 2 5 6" xfId="18093" xr:uid="{00000000-0005-0000-0000-0000DA4D0000}"/>
    <cellStyle name="Hed Side Indent 3 2 5 6 2" xfId="18094" xr:uid="{00000000-0005-0000-0000-0000DB4D0000}"/>
    <cellStyle name="Hed Side Indent 3 2 5 7" xfId="18095" xr:uid="{00000000-0005-0000-0000-0000DC4D0000}"/>
    <cellStyle name="Hed Side Indent 3 2 5 7 2" xfId="18096" xr:uid="{00000000-0005-0000-0000-0000DD4D0000}"/>
    <cellStyle name="Hed Side Indent 3 2 5 8" xfId="18097" xr:uid="{00000000-0005-0000-0000-0000DE4D0000}"/>
    <cellStyle name="Hed Side Indent 3 2 5 8 2" xfId="18098" xr:uid="{00000000-0005-0000-0000-0000DF4D0000}"/>
    <cellStyle name="Hed Side Indent 3 2 5 9" xfId="18099" xr:uid="{00000000-0005-0000-0000-0000E04D0000}"/>
    <cellStyle name="Hed Side Indent 3 2 5 9 2" xfId="18100" xr:uid="{00000000-0005-0000-0000-0000E14D0000}"/>
    <cellStyle name="Hed Side Indent 3 2 6" xfId="18101" xr:uid="{00000000-0005-0000-0000-0000E24D0000}"/>
    <cellStyle name="Hed Side Indent 3 2 6 10" xfId="18102" xr:uid="{00000000-0005-0000-0000-0000E34D0000}"/>
    <cellStyle name="Hed Side Indent 3 2 6 2" xfId="18103" xr:uid="{00000000-0005-0000-0000-0000E44D0000}"/>
    <cellStyle name="Hed Side Indent 3 2 6 2 2" xfId="18104" xr:uid="{00000000-0005-0000-0000-0000E54D0000}"/>
    <cellStyle name="Hed Side Indent 3 2 6 3" xfId="18105" xr:uid="{00000000-0005-0000-0000-0000E64D0000}"/>
    <cellStyle name="Hed Side Indent 3 2 6 3 2" xfId="18106" xr:uid="{00000000-0005-0000-0000-0000E74D0000}"/>
    <cellStyle name="Hed Side Indent 3 2 6 4" xfId="18107" xr:uid="{00000000-0005-0000-0000-0000E84D0000}"/>
    <cellStyle name="Hed Side Indent 3 2 6 4 2" xfId="18108" xr:uid="{00000000-0005-0000-0000-0000E94D0000}"/>
    <cellStyle name="Hed Side Indent 3 2 6 5" xfId="18109" xr:uid="{00000000-0005-0000-0000-0000EA4D0000}"/>
    <cellStyle name="Hed Side Indent 3 2 6 5 2" xfId="18110" xr:uid="{00000000-0005-0000-0000-0000EB4D0000}"/>
    <cellStyle name="Hed Side Indent 3 2 6 6" xfId="18111" xr:uid="{00000000-0005-0000-0000-0000EC4D0000}"/>
    <cellStyle name="Hed Side Indent 3 2 6 6 2" xfId="18112" xr:uid="{00000000-0005-0000-0000-0000ED4D0000}"/>
    <cellStyle name="Hed Side Indent 3 2 6 7" xfId="18113" xr:uid="{00000000-0005-0000-0000-0000EE4D0000}"/>
    <cellStyle name="Hed Side Indent 3 2 6 7 2" xfId="18114" xr:uid="{00000000-0005-0000-0000-0000EF4D0000}"/>
    <cellStyle name="Hed Side Indent 3 2 6 8" xfId="18115" xr:uid="{00000000-0005-0000-0000-0000F04D0000}"/>
    <cellStyle name="Hed Side Indent 3 2 6 8 2" xfId="18116" xr:uid="{00000000-0005-0000-0000-0000F14D0000}"/>
    <cellStyle name="Hed Side Indent 3 2 6 9" xfId="18117" xr:uid="{00000000-0005-0000-0000-0000F24D0000}"/>
    <cellStyle name="Hed Side Indent 3 2 6 9 2" xfId="18118" xr:uid="{00000000-0005-0000-0000-0000F34D0000}"/>
    <cellStyle name="Hed Side Indent 3 2 7" xfId="18119" xr:uid="{00000000-0005-0000-0000-0000F44D0000}"/>
    <cellStyle name="Hed Side Indent 3 2 7 10" xfId="18120" xr:uid="{00000000-0005-0000-0000-0000F54D0000}"/>
    <cellStyle name="Hed Side Indent 3 2 7 2" xfId="18121" xr:uid="{00000000-0005-0000-0000-0000F64D0000}"/>
    <cellStyle name="Hed Side Indent 3 2 7 2 2" xfId="18122" xr:uid="{00000000-0005-0000-0000-0000F74D0000}"/>
    <cellStyle name="Hed Side Indent 3 2 7 3" xfId="18123" xr:uid="{00000000-0005-0000-0000-0000F84D0000}"/>
    <cellStyle name="Hed Side Indent 3 2 7 3 2" xfId="18124" xr:uid="{00000000-0005-0000-0000-0000F94D0000}"/>
    <cellStyle name="Hed Side Indent 3 2 7 4" xfId="18125" xr:uid="{00000000-0005-0000-0000-0000FA4D0000}"/>
    <cellStyle name="Hed Side Indent 3 2 7 4 2" xfId="18126" xr:uid="{00000000-0005-0000-0000-0000FB4D0000}"/>
    <cellStyle name="Hed Side Indent 3 2 7 5" xfId="18127" xr:uid="{00000000-0005-0000-0000-0000FC4D0000}"/>
    <cellStyle name="Hed Side Indent 3 2 7 5 2" xfId="18128" xr:uid="{00000000-0005-0000-0000-0000FD4D0000}"/>
    <cellStyle name="Hed Side Indent 3 2 7 6" xfId="18129" xr:uid="{00000000-0005-0000-0000-0000FE4D0000}"/>
    <cellStyle name="Hed Side Indent 3 2 7 6 2" xfId="18130" xr:uid="{00000000-0005-0000-0000-0000FF4D0000}"/>
    <cellStyle name="Hed Side Indent 3 2 7 7" xfId="18131" xr:uid="{00000000-0005-0000-0000-0000004E0000}"/>
    <cellStyle name="Hed Side Indent 3 2 7 7 2" xfId="18132" xr:uid="{00000000-0005-0000-0000-0000014E0000}"/>
    <cellStyle name="Hed Side Indent 3 2 7 8" xfId="18133" xr:uid="{00000000-0005-0000-0000-0000024E0000}"/>
    <cellStyle name="Hed Side Indent 3 2 7 8 2" xfId="18134" xr:uid="{00000000-0005-0000-0000-0000034E0000}"/>
    <cellStyle name="Hed Side Indent 3 2 7 9" xfId="18135" xr:uid="{00000000-0005-0000-0000-0000044E0000}"/>
    <cellStyle name="Hed Side Indent 3 2 7 9 2" xfId="18136" xr:uid="{00000000-0005-0000-0000-0000054E0000}"/>
    <cellStyle name="Hed Side Indent 3 2 8" xfId="18137" xr:uid="{00000000-0005-0000-0000-0000064E0000}"/>
    <cellStyle name="Hed Side Indent 3 2 8 10" xfId="18138" xr:uid="{00000000-0005-0000-0000-0000074E0000}"/>
    <cellStyle name="Hed Side Indent 3 2 8 2" xfId="18139" xr:uid="{00000000-0005-0000-0000-0000084E0000}"/>
    <cellStyle name="Hed Side Indent 3 2 8 2 2" xfId="18140" xr:uid="{00000000-0005-0000-0000-0000094E0000}"/>
    <cellStyle name="Hed Side Indent 3 2 8 3" xfId="18141" xr:uid="{00000000-0005-0000-0000-00000A4E0000}"/>
    <cellStyle name="Hed Side Indent 3 2 8 3 2" xfId="18142" xr:uid="{00000000-0005-0000-0000-00000B4E0000}"/>
    <cellStyle name="Hed Side Indent 3 2 8 4" xfId="18143" xr:uid="{00000000-0005-0000-0000-00000C4E0000}"/>
    <cellStyle name="Hed Side Indent 3 2 8 4 2" xfId="18144" xr:uid="{00000000-0005-0000-0000-00000D4E0000}"/>
    <cellStyle name="Hed Side Indent 3 2 8 5" xfId="18145" xr:uid="{00000000-0005-0000-0000-00000E4E0000}"/>
    <cellStyle name="Hed Side Indent 3 2 8 5 2" xfId="18146" xr:uid="{00000000-0005-0000-0000-00000F4E0000}"/>
    <cellStyle name="Hed Side Indent 3 2 8 6" xfId="18147" xr:uid="{00000000-0005-0000-0000-0000104E0000}"/>
    <cellStyle name="Hed Side Indent 3 2 8 6 2" xfId="18148" xr:uid="{00000000-0005-0000-0000-0000114E0000}"/>
    <cellStyle name="Hed Side Indent 3 2 8 7" xfId="18149" xr:uid="{00000000-0005-0000-0000-0000124E0000}"/>
    <cellStyle name="Hed Side Indent 3 2 8 7 2" xfId="18150" xr:uid="{00000000-0005-0000-0000-0000134E0000}"/>
    <cellStyle name="Hed Side Indent 3 2 8 8" xfId="18151" xr:uid="{00000000-0005-0000-0000-0000144E0000}"/>
    <cellStyle name="Hed Side Indent 3 2 8 8 2" xfId="18152" xr:uid="{00000000-0005-0000-0000-0000154E0000}"/>
    <cellStyle name="Hed Side Indent 3 2 8 9" xfId="18153" xr:uid="{00000000-0005-0000-0000-0000164E0000}"/>
    <cellStyle name="Hed Side Indent 3 2 8 9 2" xfId="18154" xr:uid="{00000000-0005-0000-0000-0000174E0000}"/>
    <cellStyle name="Hed Side Indent 3 2 9" xfId="18155" xr:uid="{00000000-0005-0000-0000-0000184E0000}"/>
    <cellStyle name="Hed Side Indent 3 2 9 10" xfId="18156" xr:uid="{00000000-0005-0000-0000-0000194E0000}"/>
    <cellStyle name="Hed Side Indent 3 2 9 2" xfId="18157" xr:uid="{00000000-0005-0000-0000-00001A4E0000}"/>
    <cellStyle name="Hed Side Indent 3 2 9 2 2" xfId="18158" xr:uid="{00000000-0005-0000-0000-00001B4E0000}"/>
    <cellStyle name="Hed Side Indent 3 2 9 3" xfId="18159" xr:uid="{00000000-0005-0000-0000-00001C4E0000}"/>
    <cellStyle name="Hed Side Indent 3 2 9 3 2" xfId="18160" xr:uid="{00000000-0005-0000-0000-00001D4E0000}"/>
    <cellStyle name="Hed Side Indent 3 2 9 4" xfId="18161" xr:uid="{00000000-0005-0000-0000-00001E4E0000}"/>
    <cellStyle name="Hed Side Indent 3 2 9 4 2" xfId="18162" xr:uid="{00000000-0005-0000-0000-00001F4E0000}"/>
    <cellStyle name="Hed Side Indent 3 2 9 5" xfId="18163" xr:uid="{00000000-0005-0000-0000-0000204E0000}"/>
    <cellStyle name="Hed Side Indent 3 2 9 5 2" xfId="18164" xr:uid="{00000000-0005-0000-0000-0000214E0000}"/>
    <cellStyle name="Hed Side Indent 3 2 9 6" xfId="18165" xr:uid="{00000000-0005-0000-0000-0000224E0000}"/>
    <cellStyle name="Hed Side Indent 3 2 9 6 2" xfId="18166" xr:uid="{00000000-0005-0000-0000-0000234E0000}"/>
    <cellStyle name="Hed Side Indent 3 2 9 7" xfId="18167" xr:uid="{00000000-0005-0000-0000-0000244E0000}"/>
    <cellStyle name="Hed Side Indent 3 2 9 7 2" xfId="18168" xr:uid="{00000000-0005-0000-0000-0000254E0000}"/>
    <cellStyle name="Hed Side Indent 3 2 9 8" xfId="18169" xr:uid="{00000000-0005-0000-0000-0000264E0000}"/>
    <cellStyle name="Hed Side Indent 3 2 9 8 2" xfId="18170" xr:uid="{00000000-0005-0000-0000-0000274E0000}"/>
    <cellStyle name="Hed Side Indent 3 2 9 9" xfId="18171" xr:uid="{00000000-0005-0000-0000-0000284E0000}"/>
    <cellStyle name="Hed Side Indent 3 2 9 9 2" xfId="18172" xr:uid="{00000000-0005-0000-0000-0000294E0000}"/>
    <cellStyle name="Hed Side Indent 3 3" xfId="18173" xr:uid="{00000000-0005-0000-0000-00002A4E0000}"/>
    <cellStyle name="Hed Side Indent 3 3 10" xfId="18174" xr:uid="{00000000-0005-0000-0000-00002B4E0000}"/>
    <cellStyle name="Hed Side Indent 3 3 10 10" xfId="18175" xr:uid="{00000000-0005-0000-0000-00002C4E0000}"/>
    <cellStyle name="Hed Side Indent 3 3 10 2" xfId="18176" xr:uid="{00000000-0005-0000-0000-00002D4E0000}"/>
    <cellStyle name="Hed Side Indent 3 3 10 2 2" xfId="18177" xr:uid="{00000000-0005-0000-0000-00002E4E0000}"/>
    <cellStyle name="Hed Side Indent 3 3 10 3" xfId="18178" xr:uid="{00000000-0005-0000-0000-00002F4E0000}"/>
    <cellStyle name="Hed Side Indent 3 3 10 3 2" xfId="18179" xr:uid="{00000000-0005-0000-0000-0000304E0000}"/>
    <cellStyle name="Hed Side Indent 3 3 10 4" xfId="18180" xr:uid="{00000000-0005-0000-0000-0000314E0000}"/>
    <cellStyle name="Hed Side Indent 3 3 10 4 2" xfId="18181" xr:uid="{00000000-0005-0000-0000-0000324E0000}"/>
    <cellStyle name="Hed Side Indent 3 3 10 5" xfId="18182" xr:uid="{00000000-0005-0000-0000-0000334E0000}"/>
    <cellStyle name="Hed Side Indent 3 3 10 5 2" xfId="18183" xr:uid="{00000000-0005-0000-0000-0000344E0000}"/>
    <cellStyle name="Hed Side Indent 3 3 10 6" xfId="18184" xr:uid="{00000000-0005-0000-0000-0000354E0000}"/>
    <cellStyle name="Hed Side Indent 3 3 10 6 2" xfId="18185" xr:uid="{00000000-0005-0000-0000-0000364E0000}"/>
    <cellStyle name="Hed Side Indent 3 3 10 7" xfId="18186" xr:uid="{00000000-0005-0000-0000-0000374E0000}"/>
    <cellStyle name="Hed Side Indent 3 3 10 7 2" xfId="18187" xr:uid="{00000000-0005-0000-0000-0000384E0000}"/>
    <cellStyle name="Hed Side Indent 3 3 10 8" xfId="18188" xr:uid="{00000000-0005-0000-0000-0000394E0000}"/>
    <cellStyle name="Hed Side Indent 3 3 10 8 2" xfId="18189" xr:uid="{00000000-0005-0000-0000-00003A4E0000}"/>
    <cellStyle name="Hed Side Indent 3 3 10 9" xfId="18190" xr:uid="{00000000-0005-0000-0000-00003B4E0000}"/>
    <cellStyle name="Hed Side Indent 3 3 10 9 2" xfId="18191" xr:uid="{00000000-0005-0000-0000-00003C4E0000}"/>
    <cellStyle name="Hed Side Indent 3 3 11" xfId="18192" xr:uid="{00000000-0005-0000-0000-00003D4E0000}"/>
    <cellStyle name="Hed Side Indent 3 3 11 2" xfId="18193" xr:uid="{00000000-0005-0000-0000-00003E4E0000}"/>
    <cellStyle name="Hed Side Indent 3 3 11 2 2" xfId="18194" xr:uid="{00000000-0005-0000-0000-00003F4E0000}"/>
    <cellStyle name="Hed Side Indent 3 3 11 3" xfId="18195" xr:uid="{00000000-0005-0000-0000-0000404E0000}"/>
    <cellStyle name="Hed Side Indent 3 3 11 3 2" xfId="18196" xr:uid="{00000000-0005-0000-0000-0000414E0000}"/>
    <cellStyle name="Hed Side Indent 3 3 11 4" xfId="18197" xr:uid="{00000000-0005-0000-0000-0000424E0000}"/>
    <cellStyle name="Hed Side Indent 3 3 11 4 2" xfId="18198" xr:uid="{00000000-0005-0000-0000-0000434E0000}"/>
    <cellStyle name="Hed Side Indent 3 3 11 5" xfId="18199" xr:uid="{00000000-0005-0000-0000-0000444E0000}"/>
    <cellStyle name="Hed Side Indent 3 3 11 5 2" xfId="18200" xr:uid="{00000000-0005-0000-0000-0000454E0000}"/>
    <cellStyle name="Hed Side Indent 3 3 11 6" xfId="18201" xr:uid="{00000000-0005-0000-0000-0000464E0000}"/>
    <cellStyle name="Hed Side Indent 3 3 11 6 2" xfId="18202" xr:uid="{00000000-0005-0000-0000-0000474E0000}"/>
    <cellStyle name="Hed Side Indent 3 3 11 7" xfId="18203" xr:uid="{00000000-0005-0000-0000-0000484E0000}"/>
    <cellStyle name="Hed Side Indent 3 3 11 7 2" xfId="18204" xr:uid="{00000000-0005-0000-0000-0000494E0000}"/>
    <cellStyle name="Hed Side Indent 3 3 11 8" xfId="18205" xr:uid="{00000000-0005-0000-0000-00004A4E0000}"/>
    <cellStyle name="Hed Side Indent 3 3 11 8 2" xfId="18206" xr:uid="{00000000-0005-0000-0000-00004B4E0000}"/>
    <cellStyle name="Hed Side Indent 3 3 11 9" xfId="18207" xr:uid="{00000000-0005-0000-0000-00004C4E0000}"/>
    <cellStyle name="Hed Side Indent 3 3 2" xfId="18208" xr:uid="{00000000-0005-0000-0000-00004D4E0000}"/>
    <cellStyle name="Hed Side Indent 3 3 2 10" xfId="18209" xr:uid="{00000000-0005-0000-0000-00004E4E0000}"/>
    <cellStyle name="Hed Side Indent 3 3 2 2" xfId="18210" xr:uid="{00000000-0005-0000-0000-00004F4E0000}"/>
    <cellStyle name="Hed Side Indent 3 3 2 2 2" xfId="18211" xr:uid="{00000000-0005-0000-0000-0000504E0000}"/>
    <cellStyle name="Hed Side Indent 3 3 2 3" xfId="18212" xr:uid="{00000000-0005-0000-0000-0000514E0000}"/>
    <cellStyle name="Hed Side Indent 3 3 2 3 2" xfId="18213" xr:uid="{00000000-0005-0000-0000-0000524E0000}"/>
    <cellStyle name="Hed Side Indent 3 3 2 4" xfId="18214" xr:uid="{00000000-0005-0000-0000-0000534E0000}"/>
    <cellStyle name="Hed Side Indent 3 3 2 4 2" xfId="18215" xr:uid="{00000000-0005-0000-0000-0000544E0000}"/>
    <cellStyle name="Hed Side Indent 3 3 2 5" xfId="18216" xr:uid="{00000000-0005-0000-0000-0000554E0000}"/>
    <cellStyle name="Hed Side Indent 3 3 2 5 2" xfId="18217" xr:uid="{00000000-0005-0000-0000-0000564E0000}"/>
    <cellStyle name="Hed Side Indent 3 3 2 6" xfId="18218" xr:uid="{00000000-0005-0000-0000-0000574E0000}"/>
    <cellStyle name="Hed Side Indent 3 3 2 6 2" xfId="18219" xr:uid="{00000000-0005-0000-0000-0000584E0000}"/>
    <cellStyle name="Hed Side Indent 3 3 2 7" xfId="18220" xr:uid="{00000000-0005-0000-0000-0000594E0000}"/>
    <cellStyle name="Hed Side Indent 3 3 2 7 2" xfId="18221" xr:uid="{00000000-0005-0000-0000-00005A4E0000}"/>
    <cellStyle name="Hed Side Indent 3 3 2 8" xfId="18222" xr:uid="{00000000-0005-0000-0000-00005B4E0000}"/>
    <cellStyle name="Hed Side Indent 3 3 2 8 2" xfId="18223" xr:uid="{00000000-0005-0000-0000-00005C4E0000}"/>
    <cellStyle name="Hed Side Indent 3 3 2 9" xfId="18224" xr:uid="{00000000-0005-0000-0000-00005D4E0000}"/>
    <cellStyle name="Hed Side Indent 3 3 2 9 2" xfId="18225" xr:uid="{00000000-0005-0000-0000-00005E4E0000}"/>
    <cellStyle name="Hed Side Indent 3 3 3" xfId="18226" xr:uid="{00000000-0005-0000-0000-00005F4E0000}"/>
    <cellStyle name="Hed Side Indent 3 3 3 10" xfId="18227" xr:uid="{00000000-0005-0000-0000-0000604E0000}"/>
    <cellStyle name="Hed Side Indent 3 3 3 2" xfId="18228" xr:uid="{00000000-0005-0000-0000-0000614E0000}"/>
    <cellStyle name="Hed Side Indent 3 3 3 2 2" xfId="18229" xr:uid="{00000000-0005-0000-0000-0000624E0000}"/>
    <cellStyle name="Hed Side Indent 3 3 3 3" xfId="18230" xr:uid="{00000000-0005-0000-0000-0000634E0000}"/>
    <cellStyle name="Hed Side Indent 3 3 3 3 2" xfId="18231" xr:uid="{00000000-0005-0000-0000-0000644E0000}"/>
    <cellStyle name="Hed Side Indent 3 3 3 4" xfId="18232" xr:uid="{00000000-0005-0000-0000-0000654E0000}"/>
    <cellStyle name="Hed Side Indent 3 3 3 4 2" xfId="18233" xr:uid="{00000000-0005-0000-0000-0000664E0000}"/>
    <cellStyle name="Hed Side Indent 3 3 3 5" xfId="18234" xr:uid="{00000000-0005-0000-0000-0000674E0000}"/>
    <cellStyle name="Hed Side Indent 3 3 3 5 2" xfId="18235" xr:uid="{00000000-0005-0000-0000-0000684E0000}"/>
    <cellStyle name="Hed Side Indent 3 3 3 6" xfId="18236" xr:uid="{00000000-0005-0000-0000-0000694E0000}"/>
    <cellStyle name="Hed Side Indent 3 3 3 6 2" xfId="18237" xr:uid="{00000000-0005-0000-0000-00006A4E0000}"/>
    <cellStyle name="Hed Side Indent 3 3 3 7" xfId="18238" xr:uid="{00000000-0005-0000-0000-00006B4E0000}"/>
    <cellStyle name="Hed Side Indent 3 3 3 7 2" xfId="18239" xr:uid="{00000000-0005-0000-0000-00006C4E0000}"/>
    <cellStyle name="Hed Side Indent 3 3 3 8" xfId="18240" xr:uid="{00000000-0005-0000-0000-00006D4E0000}"/>
    <cellStyle name="Hed Side Indent 3 3 3 8 2" xfId="18241" xr:uid="{00000000-0005-0000-0000-00006E4E0000}"/>
    <cellStyle name="Hed Side Indent 3 3 3 9" xfId="18242" xr:uid="{00000000-0005-0000-0000-00006F4E0000}"/>
    <cellStyle name="Hed Side Indent 3 3 3 9 2" xfId="18243" xr:uid="{00000000-0005-0000-0000-0000704E0000}"/>
    <cellStyle name="Hed Side Indent 3 3 4" xfId="18244" xr:uid="{00000000-0005-0000-0000-0000714E0000}"/>
    <cellStyle name="Hed Side Indent 3 3 4 10" xfId="18245" xr:uid="{00000000-0005-0000-0000-0000724E0000}"/>
    <cellStyle name="Hed Side Indent 3 3 4 2" xfId="18246" xr:uid="{00000000-0005-0000-0000-0000734E0000}"/>
    <cellStyle name="Hed Side Indent 3 3 4 2 2" xfId="18247" xr:uid="{00000000-0005-0000-0000-0000744E0000}"/>
    <cellStyle name="Hed Side Indent 3 3 4 3" xfId="18248" xr:uid="{00000000-0005-0000-0000-0000754E0000}"/>
    <cellStyle name="Hed Side Indent 3 3 4 3 2" xfId="18249" xr:uid="{00000000-0005-0000-0000-0000764E0000}"/>
    <cellStyle name="Hed Side Indent 3 3 4 4" xfId="18250" xr:uid="{00000000-0005-0000-0000-0000774E0000}"/>
    <cellStyle name="Hed Side Indent 3 3 4 4 2" xfId="18251" xr:uid="{00000000-0005-0000-0000-0000784E0000}"/>
    <cellStyle name="Hed Side Indent 3 3 4 5" xfId="18252" xr:uid="{00000000-0005-0000-0000-0000794E0000}"/>
    <cellStyle name="Hed Side Indent 3 3 4 5 2" xfId="18253" xr:uid="{00000000-0005-0000-0000-00007A4E0000}"/>
    <cellStyle name="Hed Side Indent 3 3 4 6" xfId="18254" xr:uid="{00000000-0005-0000-0000-00007B4E0000}"/>
    <cellStyle name="Hed Side Indent 3 3 4 6 2" xfId="18255" xr:uid="{00000000-0005-0000-0000-00007C4E0000}"/>
    <cellStyle name="Hed Side Indent 3 3 4 7" xfId="18256" xr:uid="{00000000-0005-0000-0000-00007D4E0000}"/>
    <cellStyle name="Hed Side Indent 3 3 4 7 2" xfId="18257" xr:uid="{00000000-0005-0000-0000-00007E4E0000}"/>
    <cellStyle name="Hed Side Indent 3 3 4 8" xfId="18258" xr:uid="{00000000-0005-0000-0000-00007F4E0000}"/>
    <cellStyle name="Hed Side Indent 3 3 4 8 2" xfId="18259" xr:uid="{00000000-0005-0000-0000-0000804E0000}"/>
    <cellStyle name="Hed Side Indent 3 3 4 9" xfId="18260" xr:uid="{00000000-0005-0000-0000-0000814E0000}"/>
    <cellStyle name="Hed Side Indent 3 3 4 9 2" xfId="18261" xr:uid="{00000000-0005-0000-0000-0000824E0000}"/>
    <cellStyle name="Hed Side Indent 3 3 5" xfId="18262" xr:uid="{00000000-0005-0000-0000-0000834E0000}"/>
    <cellStyle name="Hed Side Indent 3 3 5 10" xfId="18263" xr:uid="{00000000-0005-0000-0000-0000844E0000}"/>
    <cellStyle name="Hed Side Indent 3 3 5 2" xfId="18264" xr:uid="{00000000-0005-0000-0000-0000854E0000}"/>
    <cellStyle name="Hed Side Indent 3 3 5 2 2" xfId="18265" xr:uid="{00000000-0005-0000-0000-0000864E0000}"/>
    <cellStyle name="Hed Side Indent 3 3 5 3" xfId="18266" xr:uid="{00000000-0005-0000-0000-0000874E0000}"/>
    <cellStyle name="Hed Side Indent 3 3 5 3 2" xfId="18267" xr:uid="{00000000-0005-0000-0000-0000884E0000}"/>
    <cellStyle name="Hed Side Indent 3 3 5 4" xfId="18268" xr:uid="{00000000-0005-0000-0000-0000894E0000}"/>
    <cellStyle name="Hed Side Indent 3 3 5 4 2" xfId="18269" xr:uid="{00000000-0005-0000-0000-00008A4E0000}"/>
    <cellStyle name="Hed Side Indent 3 3 5 5" xfId="18270" xr:uid="{00000000-0005-0000-0000-00008B4E0000}"/>
    <cellStyle name="Hed Side Indent 3 3 5 5 2" xfId="18271" xr:uid="{00000000-0005-0000-0000-00008C4E0000}"/>
    <cellStyle name="Hed Side Indent 3 3 5 6" xfId="18272" xr:uid="{00000000-0005-0000-0000-00008D4E0000}"/>
    <cellStyle name="Hed Side Indent 3 3 5 6 2" xfId="18273" xr:uid="{00000000-0005-0000-0000-00008E4E0000}"/>
    <cellStyle name="Hed Side Indent 3 3 5 7" xfId="18274" xr:uid="{00000000-0005-0000-0000-00008F4E0000}"/>
    <cellStyle name="Hed Side Indent 3 3 5 7 2" xfId="18275" xr:uid="{00000000-0005-0000-0000-0000904E0000}"/>
    <cellStyle name="Hed Side Indent 3 3 5 8" xfId="18276" xr:uid="{00000000-0005-0000-0000-0000914E0000}"/>
    <cellStyle name="Hed Side Indent 3 3 5 8 2" xfId="18277" xr:uid="{00000000-0005-0000-0000-0000924E0000}"/>
    <cellStyle name="Hed Side Indent 3 3 5 9" xfId="18278" xr:uid="{00000000-0005-0000-0000-0000934E0000}"/>
    <cellStyle name="Hed Side Indent 3 3 5 9 2" xfId="18279" xr:uid="{00000000-0005-0000-0000-0000944E0000}"/>
    <cellStyle name="Hed Side Indent 3 3 6" xfId="18280" xr:uid="{00000000-0005-0000-0000-0000954E0000}"/>
    <cellStyle name="Hed Side Indent 3 3 6 10" xfId="18281" xr:uid="{00000000-0005-0000-0000-0000964E0000}"/>
    <cellStyle name="Hed Side Indent 3 3 6 2" xfId="18282" xr:uid="{00000000-0005-0000-0000-0000974E0000}"/>
    <cellStyle name="Hed Side Indent 3 3 6 2 2" xfId="18283" xr:uid="{00000000-0005-0000-0000-0000984E0000}"/>
    <cellStyle name="Hed Side Indent 3 3 6 3" xfId="18284" xr:uid="{00000000-0005-0000-0000-0000994E0000}"/>
    <cellStyle name="Hed Side Indent 3 3 6 3 2" xfId="18285" xr:uid="{00000000-0005-0000-0000-00009A4E0000}"/>
    <cellStyle name="Hed Side Indent 3 3 6 4" xfId="18286" xr:uid="{00000000-0005-0000-0000-00009B4E0000}"/>
    <cellStyle name="Hed Side Indent 3 3 6 4 2" xfId="18287" xr:uid="{00000000-0005-0000-0000-00009C4E0000}"/>
    <cellStyle name="Hed Side Indent 3 3 6 5" xfId="18288" xr:uid="{00000000-0005-0000-0000-00009D4E0000}"/>
    <cellStyle name="Hed Side Indent 3 3 6 5 2" xfId="18289" xr:uid="{00000000-0005-0000-0000-00009E4E0000}"/>
    <cellStyle name="Hed Side Indent 3 3 6 6" xfId="18290" xr:uid="{00000000-0005-0000-0000-00009F4E0000}"/>
    <cellStyle name="Hed Side Indent 3 3 6 6 2" xfId="18291" xr:uid="{00000000-0005-0000-0000-0000A04E0000}"/>
    <cellStyle name="Hed Side Indent 3 3 6 7" xfId="18292" xr:uid="{00000000-0005-0000-0000-0000A14E0000}"/>
    <cellStyle name="Hed Side Indent 3 3 6 7 2" xfId="18293" xr:uid="{00000000-0005-0000-0000-0000A24E0000}"/>
    <cellStyle name="Hed Side Indent 3 3 6 8" xfId="18294" xr:uid="{00000000-0005-0000-0000-0000A34E0000}"/>
    <cellStyle name="Hed Side Indent 3 3 6 8 2" xfId="18295" xr:uid="{00000000-0005-0000-0000-0000A44E0000}"/>
    <cellStyle name="Hed Side Indent 3 3 6 9" xfId="18296" xr:uid="{00000000-0005-0000-0000-0000A54E0000}"/>
    <cellStyle name="Hed Side Indent 3 3 6 9 2" xfId="18297" xr:uid="{00000000-0005-0000-0000-0000A64E0000}"/>
    <cellStyle name="Hed Side Indent 3 3 7" xfId="18298" xr:uid="{00000000-0005-0000-0000-0000A74E0000}"/>
    <cellStyle name="Hed Side Indent 3 3 7 10" xfId="18299" xr:uid="{00000000-0005-0000-0000-0000A84E0000}"/>
    <cellStyle name="Hed Side Indent 3 3 7 2" xfId="18300" xr:uid="{00000000-0005-0000-0000-0000A94E0000}"/>
    <cellStyle name="Hed Side Indent 3 3 7 2 2" xfId="18301" xr:uid="{00000000-0005-0000-0000-0000AA4E0000}"/>
    <cellStyle name="Hed Side Indent 3 3 7 3" xfId="18302" xr:uid="{00000000-0005-0000-0000-0000AB4E0000}"/>
    <cellStyle name="Hed Side Indent 3 3 7 3 2" xfId="18303" xr:uid="{00000000-0005-0000-0000-0000AC4E0000}"/>
    <cellStyle name="Hed Side Indent 3 3 7 4" xfId="18304" xr:uid="{00000000-0005-0000-0000-0000AD4E0000}"/>
    <cellStyle name="Hed Side Indent 3 3 7 4 2" xfId="18305" xr:uid="{00000000-0005-0000-0000-0000AE4E0000}"/>
    <cellStyle name="Hed Side Indent 3 3 7 5" xfId="18306" xr:uid="{00000000-0005-0000-0000-0000AF4E0000}"/>
    <cellStyle name="Hed Side Indent 3 3 7 5 2" xfId="18307" xr:uid="{00000000-0005-0000-0000-0000B04E0000}"/>
    <cellStyle name="Hed Side Indent 3 3 7 6" xfId="18308" xr:uid="{00000000-0005-0000-0000-0000B14E0000}"/>
    <cellStyle name="Hed Side Indent 3 3 7 6 2" xfId="18309" xr:uid="{00000000-0005-0000-0000-0000B24E0000}"/>
    <cellStyle name="Hed Side Indent 3 3 7 7" xfId="18310" xr:uid="{00000000-0005-0000-0000-0000B34E0000}"/>
    <cellStyle name="Hed Side Indent 3 3 7 7 2" xfId="18311" xr:uid="{00000000-0005-0000-0000-0000B44E0000}"/>
    <cellStyle name="Hed Side Indent 3 3 7 8" xfId="18312" xr:uid="{00000000-0005-0000-0000-0000B54E0000}"/>
    <cellStyle name="Hed Side Indent 3 3 7 8 2" xfId="18313" xr:uid="{00000000-0005-0000-0000-0000B64E0000}"/>
    <cellStyle name="Hed Side Indent 3 3 7 9" xfId="18314" xr:uid="{00000000-0005-0000-0000-0000B74E0000}"/>
    <cellStyle name="Hed Side Indent 3 3 7 9 2" xfId="18315" xr:uid="{00000000-0005-0000-0000-0000B84E0000}"/>
    <cellStyle name="Hed Side Indent 3 3 8" xfId="18316" xr:uid="{00000000-0005-0000-0000-0000B94E0000}"/>
    <cellStyle name="Hed Side Indent 3 3 8 10" xfId="18317" xr:uid="{00000000-0005-0000-0000-0000BA4E0000}"/>
    <cellStyle name="Hed Side Indent 3 3 8 2" xfId="18318" xr:uid="{00000000-0005-0000-0000-0000BB4E0000}"/>
    <cellStyle name="Hed Side Indent 3 3 8 2 2" xfId="18319" xr:uid="{00000000-0005-0000-0000-0000BC4E0000}"/>
    <cellStyle name="Hed Side Indent 3 3 8 3" xfId="18320" xr:uid="{00000000-0005-0000-0000-0000BD4E0000}"/>
    <cellStyle name="Hed Side Indent 3 3 8 3 2" xfId="18321" xr:uid="{00000000-0005-0000-0000-0000BE4E0000}"/>
    <cellStyle name="Hed Side Indent 3 3 8 4" xfId="18322" xr:uid="{00000000-0005-0000-0000-0000BF4E0000}"/>
    <cellStyle name="Hed Side Indent 3 3 8 4 2" xfId="18323" xr:uid="{00000000-0005-0000-0000-0000C04E0000}"/>
    <cellStyle name="Hed Side Indent 3 3 8 5" xfId="18324" xr:uid="{00000000-0005-0000-0000-0000C14E0000}"/>
    <cellStyle name="Hed Side Indent 3 3 8 5 2" xfId="18325" xr:uid="{00000000-0005-0000-0000-0000C24E0000}"/>
    <cellStyle name="Hed Side Indent 3 3 8 6" xfId="18326" xr:uid="{00000000-0005-0000-0000-0000C34E0000}"/>
    <cellStyle name="Hed Side Indent 3 3 8 6 2" xfId="18327" xr:uid="{00000000-0005-0000-0000-0000C44E0000}"/>
    <cellStyle name="Hed Side Indent 3 3 8 7" xfId="18328" xr:uid="{00000000-0005-0000-0000-0000C54E0000}"/>
    <cellStyle name="Hed Side Indent 3 3 8 7 2" xfId="18329" xr:uid="{00000000-0005-0000-0000-0000C64E0000}"/>
    <cellStyle name="Hed Side Indent 3 3 8 8" xfId="18330" xr:uid="{00000000-0005-0000-0000-0000C74E0000}"/>
    <cellStyle name="Hed Side Indent 3 3 8 8 2" xfId="18331" xr:uid="{00000000-0005-0000-0000-0000C84E0000}"/>
    <cellStyle name="Hed Side Indent 3 3 8 9" xfId="18332" xr:uid="{00000000-0005-0000-0000-0000C94E0000}"/>
    <cellStyle name="Hed Side Indent 3 3 8 9 2" xfId="18333" xr:uid="{00000000-0005-0000-0000-0000CA4E0000}"/>
    <cellStyle name="Hed Side Indent 3 3 9" xfId="18334" xr:uid="{00000000-0005-0000-0000-0000CB4E0000}"/>
    <cellStyle name="Hed Side Indent 3 3 9 10" xfId="18335" xr:uid="{00000000-0005-0000-0000-0000CC4E0000}"/>
    <cellStyle name="Hed Side Indent 3 3 9 2" xfId="18336" xr:uid="{00000000-0005-0000-0000-0000CD4E0000}"/>
    <cellStyle name="Hed Side Indent 3 3 9 2 2" xfId="18337" xr:uid="{00000000-0005-0000-0000-0000CE4E0000}"/>
    <cellStyle name="Hed Side Indent 3 3 9 3" xfId="18338" xr:uid="{00000000-0005-0000-0000-0000CF4E0000}"/>
    <cellStyle name="Hed Side Indent 3 3 9 3 2" xfId="18339" xr:uid="{00000000-0005-0000-0000-0000D04E0000}"/>
    <cellStyle name="Hed Side Indent 3 3 9 4" xfId="18340" xr:uid="{00000000-0005-0000-0000-0000D14E0000}"/>
    <cellStyle name="Hed Side Indent 3 3 9 4 2" xfId="18341" xr:uid="{00000000-0005-0000-0000-0000D24E0000}"/>
    <cellStyle name="Hed Side Indent 3 3 9 5" xfId="18342" xr:uid="{00000000-0005-0000-0000-0000D34E0000}"/>
    <cellStyle name="Hed Side Indent 3 3 9 5 2" xfId="18343" xr:uid="{00000000-0005-0000-0000-0000D44E0000}"/>
    <cellStyle name="Hed Side Indent 3 3 9 6" xfId="18344" xr:uid="{00000000-0005-0000-0000-0000D54E0000}"/>
    <cellStyle name="Hed Side Indent 3 3 9 6 2" xfId="18345" xr:uid="{00000000-0005-0000-0000-0000D64E0000}"/>
    <cellStyle name="Hed Side Indent 3 3 9 7" xfId="18346" xr:uid="{00000000-0005-0000-0000-0000D74E0000}"/>
    <cellStyle name="Hed Side Indent 3 3 9 7 2" xfId="18347" xr:uid="{00000000-0005-0000-0000-0000D84E0000}"/>
    <cellStyle name="Hed Side Indent 3 3 9 8" xfId="18348" xr:uid="{00000000-0005-0000-0000-0000D94E0000}"/>
    <cellStyle name="Hed Side Indent 3 3 9 8 2" xfId="18349" xr:uid="{00000000-0005-0000-0000-0000DA4E0000}"/>
    <cellStyle name="Hed Side Indent 3 3 9 9" xfId="18350" xr:uid="{00000000-0005-0000-0000-0000DB4E0000}"/>
    <cellStyle name="Hed Side Indent 3 3 9 9 2" xfId="18351" xr:uid="{00000000-0005-0000-0000-0000DC4E0000}"/>
    <cellStyle name="Hed Side Indent 3 4" xfId="18352" xr:uid="{00000000-0005-0000-0000-0000DD4E0000}"/>
    <cellStyle name="Hed Side Indent 3 4 10" xfId="18353" xr:uid="{00000000-0005-0000-0000-0000DE4E0000}"/>
    <cellStyle name="Hed Side Indent 3 4 10 2" xfId="18354" xr:uid="{00000000-0005-0000-0000-0000DF4E0000}"/>
    <cellStyle name="Hed Side Indent 3 4 10 2 2" xfId="18355" xr:uid="{00000000-0005-0000-0000-0000E04E0000}"/>
    <cellStyle name="Hed Side Indent 3 4 10 3" xfId="18356" xr:uid="{00000000-0005-0000-0000-0000E14E0000}"/>
    <cellStyle name="Hed Side Indent 3 4 10 3 2" xfId="18357" xr:uid="{00000000-0005-0000-0000-0000E24E0000}"/>
    <cellStyle name="Hed Side Indent 3 4 10 4" xfId="18358" xr:uid="{00000000-0005-0000-0000-0000E34E0000}"/>
    <cellStyle name="Hed Side Indent 3 4 10 4 2" xfId="18359" xr:uid="{00000000-0005-0000-0000-0000E44E0000}"/>
    <cellStyle name="Hed Side Indent 3 4 10 5" xfId="18360" xr:uid="{00000000-0005-0000-0000-0000E54E0000}"/>
    <cellStyle name="Hed Side Indent 3 4 10 5 2" xfId="18361" xr:uid="{00000000-0005-0000-0000-0000E64E0000}"/>
    <cellStyle name="Hed Side Indent 3 4 10 6" xfId="18362" xr:uid="{00000000-0005-0000-0000-0000E74E0000}"/>
    <cellStyle name="Hed Side Indent 3 4 10 6 2" xfId="18363" xr:uid="{00000000-0005-0000-0000-0000E84E0000}"/>
    <cellStyle name="Hed Side Indent 3 4 10 7" xfId="18364" xr:uid="{00000000-0005-0000-0000-0000E94E0000}"/>
    <cellStyle name="Hed Side Indent 3 4 10 7 2" xfId="18365" xr:uid="{00000000-0005-0000-0000-0000EA4E0000}"/>
    <cellStyle name="Hed Side Indent 3 4 10 8" xfId="18366" xr:uid="{00000000-0005-0000-0000-0000EB4E0000}"/>
    <cellStyle name="Hed Side Indent 3 4 10 8 2" xfId="18367" xr:uid="{00000000-0005-0000-0000-0000EC4E0000}"/>
    <cellStyle name="Hed Side Indent 3 4 10 9" xfId="18368" xr:uid="{00000000-0005-0000-0000-0000ED4E0000}"/>
    <cellStyle name="Hed Side Indent 3 4 11" xfId="18369" xr:uid="{00000000-0005-0000-0000-0000EE4E0000}"/>
    <cellStyle name="Hed Side Indent 3 4 11 2" xfId="18370" xr:uid="{00000000-0005-0000-0000-0000EF4E0000}"/>
    <cellStyle name="Hed Side Indent 3 4 12" xfId="18371" xr:uid="{00000000-0005-0000-0000-0000F04E0000}"/>
    <cellStyle name="Hed Side Indent 3 4 12 2" xfId="18372" xr:uid="{00000000-0005-0000-0000-0000F14E0000}"/>
    <cellStyle name="Hed Side Indent 3 4 13" xfId="18373" xr:uid="{00000000-0005-0000-0000-0000F24E0000}"/>
    <cellStyle name="Hed Side Indent 3 4 13 2" xfId="18374" xr:uid="{00000000-0005-0000-0000-0000F34E0000}"/>
    <cellStyle name="Hed Side Indent 3 4 14" xfId="18375" xr:uid="{00000000-0005-0000-0000-0000F44E0000}"/>
    <cellStyle name="Hed Side Indent 3 4 14 2" xfId="18376" xr:uid="{00000000-0005-0000-0000-0000F54E0000}"/>
    <cellStyle name="Hed Side Indent 3 4 15" xfId="18377" xr:uid="{00000000-0005-0000-0000-0000F64E0000}"/>
    <cellStyle name="Hed Side Indent 3 4 15 2" xfId="18378" xr:uid="{00000000-0005-0000-0000-0000F74E0000}"/>
    <cellStyle name="Hed Side Indent 3 4 16" xfId="18379" xr:uid="{00000000-0005-0000-0000-0000F84E0000}"/>
    <cellStyle name="Hed Side Indent 3 4 16 2" xfId="18380" xr:uid="{00000000-0005-0000-0000-0000F94E0000}"/>
    <cellStyle name="Hed Side Indent 3 4 17" xfId="18381" xr:uid="{00000000-0005-0000-0000-0000FA4E0000}"/>
    <cellStyle name="Hed Side Indent 3 4 17 2" xfId="18382" xr:uid="{00000000-0005-0000-0000-0000FB4E0000}"/>
    <cellStyle name="Hed Side Indent 3 4 18" xfId="18383" xr:uid="{00000000-0005-0000-0000-0000FC4E0000}"/>
    <cellStyle name="Hed Side Indent 3 4 2" xfId="18384" xr:uid="{00000000-0005-0000-0000-0000FD4E0000}"/>
    <cellStyle name="Hed Side Indent 3 4 2 10" xfId="18385" xr:uid="{00000000-0005-0000-0000-0000FE4E0000}"/>
    <cellStyle name="Hed Side Indent 3 4 2 2" xfId="18386" xr:uid="{00000000-0005-0000-0000-0000FF4E0000}"/>
    <cellStyle name="Hed Side Indent 3 4 2 2 2" xfId="18387" xr:uid="{00000000-0005-0000-0000-0000004F0000}"/>
    <cellStyle name="Hed Side Indent 3 4 2 3" xfId="18388" xr:uid="{00000000-0005-0000-0000-0000014F0000}"/>
    <cellStyle name="Hed Side Indent 3 4 2 3 2" xfId="18389" xr:uid="{00000000-0005-0000-0000-0000024F0000}"/>
    <cellStyle name="Hed Side Indent 3 4 2 4" xfId="18390" xr:uid="{00000000-0005-0000-0000-0000034F0000}"/>
    <cellStyle name="Hed Side Indent 3 4 2 4 2" xfId="18391" xr:uid="{00000000-0005-0000-0000-0000044F0000}"/>
    <cellStyle name="Hed Side Indent 3 4 2 5" xfId="18392" xr:uid="{00000000-0005-0000-0000-0000054F0000}"/>
    <cellStyle name="Hed Side Indent 3 4 2 5 2" xfId="18393" xr:uid="{00000000-0005-0000-0000-0000064F0000}"/>
    <cellStyle name="Hed Side Indent 3 4 2 6" xfId="18394" xr:uid="{00000000-0005-0000-0000-0000074F0000}"/>
    <cellStyle name="Hed Side Indent 3 4 2 6 2" xfId="18395" xr:uid="{00000000-0005-0000-0000-0000084F0000}"/>
    <cellStyle name="Hed Side Indent 3 4 2 7" xfId="18396" xr:uid="{00000000-0005-0000-0000-0000094F0000}"/>
    <cellStyle name="Hed Side Indent 3 4 2 7 2" xfId="18397" xr:uid="{00000000-0005-0000-0000-00000A4F0000}"/>
    <cellStyle name="Hed Side Indent 3 4 2 8" xfId="18398" xr:uid="{00000000-0005-0000-0000-00000B4F0000}"/>
    <cellStyle name="Hed Side Indent 3 4 2 8 2" xfId="18399" xr:uid="{00000000-0005-0000-0000-00000C4F0000}"/>
    <cellStyle name="Hed Side Indent 3 4 2 9" xfId="18400" xr:uid="{00000000-0005-0000-0000-00000D4F0000}"/>
    <cellStyle name="Hed Side Indent 3 4 2 9 2" xfId="18401" xr:uid="{00000000-0005-0000-0000-00000E4F0000}"/>
    <cellStyle name="Hed Side Indent 3 4 3" xfId="18402" xr:uid="{00000000-0005-0000-0000-00000F4F0000}"/>
    <cellStyle name="Hed Side Indent 3 4 3 10" xfId="18403" xr:uid="{00000000-0005-0000-0000-0000104F0000}"/>
    <cellStyle name="Hed Side Indent 3 4 3 2" xfId="18404" xr:uid="{00000000-0005-0000-0000-0000114F0000}"/>
    <cellStyle name="Hed Side Indent 3 4 3 2 2" xfId="18405" xr:uid="{00000000-0005-0000-0000-0000124F0000}"/>
    <cellStyle name="Hed Side Indent 3 4 3 3" xfId="18406" xr:uid="{00000000-0005-0000-0000-0000134F0000}"/>
    <cellStyle name="Hed Side Indent 3 4 3 3 2" xfId="18407" xr:uid="{00000000-0005-0000-0000-0000144F0000}"/>
    <cellStyle name="Hed Side Indent 3 4 3 4" xfId="18408" xr:uid="{00000000-0005-0000-0000-0000154F0000}"/>
    <cellStyle name="Hed Side Indent 3 4 3 4 2" xfId="18409" xr:uid="{00000000-0005-0000-0000-0000164F0000}"/>
    <cellStyle name="Hed Side Indent 3 4 3 5" xfId="18410" xr:uid="{00000000-0005-0000-0000-0000174F0000}"/>
    <cellStyle name="Hed Side Indent 3 4 3 5 2" xfId="18411" xr:uid="{00000000-0005-0000-0000-0000184F0000}"/>
    <cellStyle name="Hed Side Indent 3 4 3 6" xfId="18412" xr:uid="{00000000-0005-0000-0000-0000194F0000}"/>
    <cellStyle name="Hed Side Indent 3 4 3 6 2" xfId="18413" xr:uid="{00000000-0005-0000-0000-00001A4F0000}"/>
    <cellStyle name="Hed Side Indent 3 4 3 7" xfId="18414" xr:uid="{00000000-0005-0000-0000-00001B4F0000}"/>
    <cellStyle name="Hed Side Indent 3 4 3 7 2" xfId="18415" xr:uid="{00000000-0005-0000-0000-00001C4F0000}"/>
    <cellStyle name="Hed Side Indent 3 4 3 8" xfId="18416" xr:uid="{00000000-0005-0000-0000-00001D4F0000}"/>
    <cellStyle name="Hed Side Indent 3 4 3 8 2" xfId="18417" xr:uid="{00000000-0005-0000-0000-00001E4F0000}"/>
    <cellStyle name="Hed Side Indent 3 4 3 9" xfId="18418" xr:uid="{00000000-0005-0000-0000-00001F4F0000}"/>
    <cellStyle name="Hed Side Indent 3 4 3 9 2" xfId="18419" xr:uid="{00000000-0005-0000-0000-0000204F0000}"/>
    <cellStyle name="Hed Side Indent 3 4 4" xfId="18420" xr:uid="{00000000-0005-0000-0000-0000214F0000}"/>
    <cellStyle name="Hed Side Indent 3 4 4 10" xfId="18421" xr:uid="{00000000-0005-0000-0000-0000224F0000}"/>
    <cellStyle name="Hed Side Indent 3 4 4 2" xfId="18422" xr:uid="{00000000-0005-0000-0000-0000234F0000}"/>
    <cellStyle name="Hed Side Indent 3 4 4 2 2" xfId="18423" xr:uid="{00000000-0005-0000-0000-0000244F0000}"/>
    <cellStyle name="Hed Side Indent 3 4 4 3" xfId="18424" xr:uid="{00000000-0005-0000-0000-0000254F0000}"/>
    <cellStyle name="Hed Side Indent 3 4 4 3 2" xfId="18425" xr:uid="{00000000-0005-0000-0000-0000264F0000}"/>
    <cellStyle name="Hed Side Indent 3 4 4 4" xfId="18426" xr:uid="{00000000-0005-0000-0000-0000274F0000}"/>
    <cellStyle name="Hed Side Indent 3 4 4 4 2" xfId="18427" xr:uid="{00000000-0005-0000-0000-0000284F0000}"/>
    <cellStyle name="Hed Side Indent 3 4 4 5" xfId="18428" xr:uid="{00000000-0005-0000-0000-0000294F0000}"/>
    <cellStyle name="Hed Side Indent 3 4 4 5 2" xfId="18429" xr:uid="{00000000-0005-0000-0000-00002A4F0000}"/>
    <cellStyle name="Hed Side Indent 3 4 4 6" xfId="18430" xr:uid="{00000000-0005-0000-0000-00002B4F0000}"/>
    <cellStyle name="Hed Side Indent 3 4 4 6 2" xfId="18431" xr:uid="{00000000-0005-0000-0000-00002C4F0000}"/>
    <cellStyle name="Hed Side Indent 3 4 4 7" xfId="18432" xr:uid="{00000000-0005-0000-0000-00002D4F0000}"/>
    <cellStyle name="Hed Side Indent 3 4 4 7 2" xfId="18433" xr:uid="{00000000-0005-0000-0000-00002E4F0000}"/>
    <cellStyle name="Hed Side Indent 3 4 4 8" xfId="18434" xr:uid="{00000000-0005-0000-0000-00002F4F0000}"/>
    <cellStyle name="Hed Side Indent 3 4 4 8 2" xfId="18435" xr:uid="{00000000-0005-0000-0000-0000304F0000}"/>
    <cellStyle name="Hed Side Indent 3 4 4 9" xfId="18436" xr:uid="{00000000-0005-0000-0000-0000314F0000}"/>
    <cellStyle name="Hed Side Indent 3 4 4 9 2" xfId="18437" xr:uid="{00000000-0005-0000-0000-0000324F0000}"/>
    <cellStyle name="Hed Side Indent 3 4 5" xfId="18438" xr:uid="{00000000-0005-0000-0000-0000334F0000}"/>
    <cellStyle name="Hed Side Indent 3 4 5 10" xfId="18439" xr:uid="{00000000-0005-0000-0000-0000344F0000}"/>
    <cellStyle name="Hed Side Indent 3 4 5 2" xfId="18440" xr:uid="{00000000-0005-0000-0000-0000354F0000}"/>
    <cellStyle name="Hed Side Indent 3 4 5 2 2" xfId="18441" xr:uid="{00000000-0005-0000-0000-0000364F0000}"/>
    <cellStyle name="Hed Side Indent 3 4 5 3" xfId="18442" xr:uid="{00000000-0005-0000-0000-0000374F0000}"/>
    <cellStyle name="Hed Side Indent 3 4 5 3 2" xfId="18443" xr:uid="{00000000-0005-0000-0000-0000384F0000}"/>
    <cellStyle name="Hed Side Indent 3 4 5 4" xfId="18444" xr:uid="{00000000-0005-0000-0000-0000394F0000}"/>
    <cellStyle name="Hed Side Indent 3 4 5 4 2" xfId="18445" xr:uid="{00000000-0005-0000-0000-00003A4F0000}"/>
    <cellStyle name="Hed Side Indent 3 4 5 5" xfId="18446" xr:uid="{00000000-0005-0000-0000-00003B4F0000}"/>
    <cellStyle name="Hed Side Indent 3 4 5 5 2" xfId="18447" xr:uid="{00000000-0005-0000-0000-00003C4F0000}"/>
    <cellStyle name="Hed Side Indent 3 4 5 6" xfId="18448" xr:uid="{00000000-0005-0000-0000-00003D4F0000}"/>
    <cellStyle name="Hed Side Indent 3 4 5 6 2" xfId="18449" xr:uid="{00000000-0005-0000-0000-00003E4F0000}"/>
    <cellStyle name="Hed Side Indent 3 4 5 7" xfId="18450" xr:uid="{00000000-0005-0000-0000-00003F4F0000}"/>
    <cellStyle name="Hed Side Indent 3 4 5 7 2" xfId="18451" xr:uid="{00000000-0005-0000-0000-0000404F0000}"/>
    <cellStyle name="Hed Side Indent 3 4 5 8" xfId="18452" xr:uid="{00000000-0005-0000-0000-0000414F0000}"/>
    <cellStyle name="Hed Side Indent 3 4 5 8 2" xfId="18453" xr:uid="{00000000-0005-0000-0000-0000424F0000}"/>
    <cellStyle name="Hed Side Indent 3 4 5 9" xfId="18454" xr:uid="{00000000-0005-0000-0000-0000434F0000}"/>
    <cellStyle name="Hed Side Indent 3 4 5 9 2" xfId="18455" xr:uid="{00000000-0005-0000-0000-0000444F0000}"/>
    <cellStyle name="Hed Side Indent 3 4 6" xfId="18456" xr:uid="{00000000-0005-0000-0000-0000454F0000}"/>
    <cellStyle name="Hed Side Indent 3 4 6 10" xfId="18457" xr:uid="{00000000-0005-0000-0000-0000464F0000}"/>
    <cellStyle name="Hed Side Indent 3 4 6 2" xfId="18458" xr:uid="{00000000-0005-0000-0000-0000474F0000}"/>
    <cellStyle name="Hed Side Indent 3 4 6 2 2" xfId="18459" xr:uid="{00000000-0005-0000-0000-0000484F0000}"/>
    <cellStyle name="Hed Side Indent 3 4 6 3" xfId="18460" xr:uid="{00000000-0005-0000-0000-0000494F0000}"/>
    <cellStyle name="Hed Side Indent 3 4 6 3 2" xfId="18461" xr:uid="{00000000-0005-0000-0000-00004A4F0000}"/>
    <cellStyle name="Hed Side Indent 3 4 6 4" xfId="18462" xr:uid="{00000000-0005-0000-0000-00004B4F0000}"/>
    <cellStyle name="Hed Side Indent 3 4 6 4 2" xfId="18463" xr:uid="{00000000-0005-0000-0000-00004C4F0000}"/>
    <cellStyle name="Hed Side Indent 3 4 6 5" xfId="18464" xr:uid="{00000000-0005-0000-0000-00004D4F0000}"/>
    <cellStyle name="Hed Side Indent 3 4 6 5 2" xfId="18465" xr:uid="{00000000-0005-0000-0000-00004E4F0000}"/>
    <cellStyle name="Hed Side Indent 3 4 6 6" xfId="18466" xr:uid="{00000000-0005-0000-0000-00004F4F0000}"/>
    <cellStyle name="Hed Side Indent 3 4 6 6 2" xfId="18467" xr:uid="{00000000-0005-0000-0000-0000504F0000}"/>
    <cellStyle name="Hed Side Indent 3 4 6 7" xfId="18468" xr:uid="{00000000-0005-0000-0000-0000514F0000}"/>
    <cellStyle name="Hed Side Indent 3 4 6 7 2" xfId="18469" xr:uid="{00000000-0005-0000-0000-0000524F0000}"/>
    <cellStyle name="Hed Side Indent 3 4 6 8" xfId="18470" xr:uid="{00000000-0005-0000-0000-0000534F0000}"/>
    <cellStyle name="Hed Side Indent 3 4 6 8 2" xfId="18471" xr:uid="{00000000-0005-0000-0000-0000544F0000}"/>
    <cellStyle name="Hed Side Indent 3 4 6 9" xfId="18472" xr:uid="{00000000-0005-0000-0000-0000554F0000}"/>
    <cellStyle name="Hed Side Indent 3 4 6 9 2" xfId="18473" xr:uid="{00000000-0005-0000-0000-0000564F0000}"/>
    <cellStyle name="Hed Side Indent 3 4 7" xfId="18474" xr:uid="{00000000-0005-0000-0000-0000574F0000}"/>
    <cellStyle name="Hed Side Indent 3 4 7 10" xfId="18475" xr:uid="{00000000-0005-0000-0000-0000584F0000}"/>
    <cellStyle name="Hed Side Indent 3 4 7 2" xfId="18476" xr:uid="{00000000-0005-0000-0000-0000594F0000}"/>
    <cellStyle name="Hed Side Indent 3 4 7 2 2" xfId="18477" xr:uid="{00000000-0005-0000-0000-00005A4F0000}"/>
    <cellStyle name="Hed Side Indent 3 4 7 3" xfId="18478" xr:uid="{00000000-0005-0000-0000-00005B4F0000}"/>
    <cellStyle name="Hed Side Indent 3 4 7 3 2" xfId="18479" xr:uid="{00000000-0005-0000-0000-00005C4F0000}"/>
    <cellStyle name="Hed Side Indent 3 4 7 4" xfId="18480" xr:uid="{00000000-0005-0000-0000-00005D4F0000}"/>
    <cellStyle name="Hed Side Indent 3 4 7 4 2" xfId="18481" xr:uid="{00000000-0005-0000-0000-00005E4F0000}"/>
    <cellStyle name="Hed Side Indent 3 4 7 5" xfId="18482" xr:uid="{00000000-0005-0000-0000-00005F4F0000}"/>
    <cellStyle name="Hed Side Indent 3 4 7 5 2" xfId="18483" xr:uid="{00000000-0005-0000-0000-0000604F0000}"/>
    <cellStyle name="Hed Side Indent 3 4 7 6" xfId="18484" xr:uid="{00000000-0005-0000-0000-0000614F0000}"/>
    <cellStyle name="Hed Side Indent 3 4 7 6 2" xfId="18485" xr:uid="{00000000-0005-0000-0000-0000624F0000}"/>
    <cellStyle name="Hed Side Indent 3 4 7 7" xfId="18486" xr:uid="{00000000-0005-0000-0000-0000634F0000}"/>
    <cellStyle name="Hed Side Indent 3 4 7 7 2" xfId="18487" xr:uid="{00000000-0005-0000-0000-0000644F0000}"/>
    <cellStyle name="Hed Side Indent 3 4 7 8" xfId="18488" xr:uid="{00000000-0005-0000-0000-0000654F0000}"/>
    <cellStyle name="Hed Side Indent 3 4 7 8 2" xfId="18489" xr:uid="{00000000-0005-0000-0000-0000664F0000}"/>
    <cellStyle name="Hed Side Indent 3 4 7 9" xfId="18490" xr:uid="{00000000-0005-0000-0000-0000674F0000}"/>
    <cellStyle name="Hed Side Indent 3 4 7 9 2" xfId="18491" xr:uid="{00000000-0005-0000-0000-0000684F0000}"/>
    <cellStyle name="Hed Side Indent 3 4 8" xfId="18492" xr:uid="{00000000-0005-0000-0000-0000694F0000}"/>
    <cellStyle name="Hed Side Indent 3 4 8 10" xfId="18493" xr:uid="{00000000-0005-0000-0000-00006A4F0000}"/>
    <cellStyle name="Hed Side Indent 3 4 8 2" xfId="18494" xr:uid="{00000000-0005-0000-0000-00006B4F0000}"/>
    <cellStyle name="Hed Side Indent 3 4 8 2 2" xfId="18495" xr:uid="{00000000-0005-0000-0000-00006C4F0000}"/>
    <cellStyle name="Hed Side Indent 3 4 8 3" xfId="18496" xr:uid="{00000000-0005-0000-0000-00006D4F0000}"/>
    <cellStyle name="Hed Side Indent 3 4 8 3 2" xfId="18497" xr:uid="{00000000-0005-0000-0000-00006E4F0000}"/>
    <cellStyle name="Hed Side Indent 3 4 8 4" xfId="18498" xr:uid="{00000000-0005-0000-0000-00006F4F0000}"/>
    <cellStyle name="Hed Side Indent 3 4 8 4 2" xfId="18499" xr:uid="{00000000-0005-0000-0000-0000704F0000}"/>
    <cellStyle name="Hed Side Indent 3 4 8 5" xfId="18500" xr:uid="{00000000-0005-0000-0000-0000714F0000}"/>
    <cellStyle name="Hed Side Indent 3 4 8 5 2" xfId="18501" xr:uid="{00000000-0005-0000-0000-0000724F0000}"/>
    <cellStyle name="Hed Side Indent 3 4 8 6" xfId="18502" xr:uid="{00000000-0005-0000-0000-0000734F0000}"/>
    <cellStyle name="Hed Side Indent 3 4 8 6 2" xfId="18503" xr:uid="{00000000-0005-0000-0000-0000744F0000}"/>
    <cellStyle name="Hed Side Indent 3 4 8 7" xfId="18504" xr:uid="{00000000-0005-0000-0000-0000754F0000}"/>
    <cellStyle name="Hed Side Indent 3 4 8 7 2" xfId="18505" xr:uid="{00000000-0005-0000-0000-0000764F0000}"/>
    <cellStyle name="Hed Side Indent 3 4 8 8" xfId="18506" xr:uid="{00000000-0005-0000-0000-0000774F0000}"/>
    <cellStyle name="Hed Side Indent 3 4 8 8 2" xfId="18507" xr:uid="{00000000-0005-0000-0000-0000784F0000}"/>
    <cellStyle name="Hed Side Indent 3 4 8 9" xfId="18508" xr:uid="{00000000-0005-0000-0000-0000794F0000}"/>
    <cellStyle name="Hed Side Indent 3 4 8 9 2" xfId="18509" xr:uid="{00000000-0005-0000-0000-00007A4F0000}"/>
    <cellStyle name="Hed Side Indent 3 4 9" xfId="18510" xr:uid="{00000000-0005-0000-0000-00007B4F0000}"/>
    <cellStyle name="Hed Side Indent 3 4 9 10" xfId="18511" xr:uid="{00000000-0005-0000-0000-00007C4F0000}"/>
    <cellStyle name="Hed Side Indent 3 4 9 2" xfId="18512" xr:uid="{00000000-0005-0000-0000-00007D4F0000}"/>
    <cellStyle name="Hed Side Indent 3 4 9 2 2" xfId="18513" xr:uid="{00000000-0005-0000-0000-00007E4F0000}"/>
    <cellStyle name="Hed Side Indent 3 4 9 3" xfId="18514" xr:uid="{00000000-0005-0000-0000-00007F4F0000}"/>
    <cellStyle name="Hed Side Indent 3 4 9 3 2" xfId="18515" xr:uid="{00000000-0005-0000-0000-0000804F0000}"/>
    <cellStyle name="Hed Side Indent 3 4 9 4" xfId="18516" xr:uid="{00000000-0005-0000-0000-0000814F0000}"/>
    <cellStyle name="Hed Side Indent 3 4 9 4 2" xfId="18517" xr:uid="{00000000-0005-0000-0000-0000824F0000}"/>
    <cellStyle name="Hed Side Indent 3 4 9 5" xfId="18518" xr:uid="{00000000-0005-0000-0000-0000834F0000}"/>
    <cellStyle name="Hed Side Indent 3 4 9 5 2" xfId="18519" xr:uid="{00000000-0005-0000-0000-0000844F0000}"/>
    <cellStyle name="Hed Side Indent 3 4 9 6" xfId="18520" xr:uid="{00000000-0005-0000-0000-0000854F0000}"/>
    <cellStyle name="Hed Side Indent 3 4 9 6 2" xfId="18521" xr:uid="{00000000-0005-0000-0000-0000864F0000}"/>
    <cellStyle name="Hed Side Indent 3 4 9 7" xfId="18522" xr:uid="{00000000-0005-0000-0000-0000874F0000}"/>
    <cellStyle name="Hed Side Indent 3 4 9 7 2" xfId="18523" xr:uid="{00000000-0005-0000-0000-0000884F0000}"/>
    <cellStyle name="Hed Side Indent 3 4 9 8" xfId="18524" xr:uid="{00000000-0005-0000-0000-0000894F0000}"/>
    <cellStyle name="Hed Side Indent 3 4 9 8 2" xfId="18525" xr:uid="{00000000-0005-0000-0000-00008A4F0000}"/>
    <cellStyle name="Hed Side Indent 3 4 9 9" xfId="18526" xr:uid="{00000000-0005-0000-0000-00008B4F0000}"/>
    <cellStyle name="Hed Side Indent 3 4 9 9 2" xfId="18527" xr:uid="{00000000-0005-0000-0000-00008C4F0000}"/>
    <cellStyle name="Hed Side Indent 3 5" xfId="18528" xr:uid="{00000000-0005-0000-0000-00008D4F0000}"/>
    <cellStyle name="Hed Side Indent 3 5 10" xfId="18529" xr:uid="{00000000-0005-0000-0000-00008E4F0000}"/>
    <cellStyle name="Hed Side Indent 3 5 10 2" xfId="18530" xr:uid="{00000000-0005-0000-0000-00008F4F0000}"/>
    <cellStyle name="Hed Side Indent 3 5 10 2 2" xfId="18531" xr:uid="{00000000-0005-0000-0000-0000904F0000}"/>
    <cellStyle name="Hed Side Indent 3 5 10 3" xfId="18532" xr:uid="{00000000-0005-0000-0000-0000914F0000}"/>
    <cellStyle name="Hed Side Indent 3 5 10 3 2" xfId="18533" xr:uid="{00000000-0005-0000-0000-0000924F0000}"/>
    <cellStyle name="Hed Side Indent 3 5 10 4" xfId="18534" xr:uid="{00000000-0005-0000-0000-0000934F0000}"/>
    <cellStyle name="Hed Side Indent 3 5 10 4 2" xfId="18535" xr:uid="{00000000-0005-0000-0000-0000944F0000}"/>
    <cellStyle name="Hed Side Indent 3 5 10 5" xfId="18536" xr:uid="{00000000-0005-0000-0000-0000954F0000}"/>
    <cellStyle name="Hed Side Indent 3 5 10 5 2" xfId="18537" xr:uid="{00000000-0005-0000-0000-0000964F0000}"/>
    <cellStyle name="Hed Side Indent 3 5 10 6" xfId="18538" xr:uid="{00000000-0005-0000-0000-0000974F0000}"/>
    <cellStyle name="Hed Side Indent 3 5 10 6 2" xfId="18539" xr:uid="{00000000-0005-0000-0000-0000984F0000}"/>
    <cellStyle name="Hed Side Indent 3 5 10 7" xfId="18540" xr:uid="{00000000-0005-0000-0000-0000994F0000}"/>
    <cellStyle name="Hed Side Indent 3 5 10 7 2" xfId="18541" xr:uid="{00000000-0005-0000-0000-00009A4F0000}"/>
    <cellStyle name="Hed Side Indent 3 5 10 8" xfId="18542" xr:uid="{00000000-0005-0000-0000-00009B4F0000}"/>
    <cellStyle name="Hed Side Indent 3 5 10 8 2" xfId="18543" xr:uid="{00000000-0005-0000-0000-00009C4F0000}"/>
    <cellStyle name="Hed Side Indent 3 5 10 9" xfId="18544" xr:uid="{00000000-0005-0000-0000-00009D4F0000}"/>
    <cellStyle name="Hed Side Indent 3 5 11" xfId="18545" xr:uid="{00000000-0005-0000-0000-00009E4F0000}"/>
    <cellStyle name="Hed Side Indent 3 5 11 2" xfId="18546" xr:uid="{00000000-0005-0000-0000-00009F4F0000}"/>
    <cellStyle name="Hed Side Indent 3 5 12" xfId="18547" xr:uid="{00000000-0005-0000-0000-0000A04F0000}"/>
    <cellStyle name="Hed Side Indent 3 5 12 2" xfId="18548" xr:uid="{00000000-0005-0000-0000-0000A14F0000}"/>
    <cellStyle name="Hed Side Indent 3 5 13" xfId="18549" xr:uid="{00000000-0005-0000-0000-0000A24F0000}"/>
    <cellStyle name="Hed Side Indent 3 5 13 2" xfId="18550" xr:uid="{00000000-0005-0000-0000-0000A34F0000}"/>
    <cellStyle name="Hed Side Indent 3 5 14" xfId="18551" xr:uid="{00000000-0005-0000-0000-0000A44F0000}"/>
    <cellStyle name="Hed Side Indent 3 5 14 2" xfId="18552" xr:uid="{00000000-0005-0000-0000-0000A54F0000}"/>
    <cellStyle name="Hed Side Indent 3 5 15" xfId="18553" xr:uid="{00000000-0005-0000-0000-0000A64F0000}"/>
    <cellStyle name="Hed Side Indent 3 5 15 2" xfId="18554" xr:uid="{00000000-0005-0000-0000-0000A74F0000}"/>
    <cellStyle name="Hed Side Indent 3 5 16" xfId="18555" xr:uid="{00000000-0005-0000-0000-0000A84F0000}"/>
    <cellStyle name="Hed Side Indent 3 5 16 2" xfId="18556" xr:uid="{00000000-0005-0000-0000-0000A94F0000}"/>
    <cellStyle name="Hed Side Indent 3 5 17" xfId="18557" xr:uid="{00000000-0005-0000-0000-0000AA4F0000}"/>
    <cellStyle name="Hed Side Indent 3 5 17 2" xfId="18558" xr:uid="{00000000-0005-0000-0000-0000AB4F0000}"/>
    <cellStyle name="Hed Side Indent 3 5 18" xfId="18559" xr:uid="{00000000-0005-0000-0000-0000AC4F0000}"/>
    <cellStyle name="Hed Side Indent 3 5 2" xfId="18560" xr:uid="{00000000-0005-0000-0000-0000AD4F0000}"/>
    <cellStyle name="Hed Side Indent 3 5 2 10" xfId="18561" xr:uid="{00000000-0005-0000-0000-0000AE4F0000}"/>
    <cellStyle name="Hed Side Indent 3 5 2 2" xfId="18562" xr:uid="{00000000-0005-0000-0000-0000AF4F0000}"/>
    <cellStyle name="Hed Side Indent 3 5 2 2 2" xfId="18563" xr:uid="{00000000-0005-0000-0000-0000B04F0000}"/>
    <cellStyle name="Hed Side Indent 3 5 2 3" xfId="18564" xr:uid="{00000000-0005-0000-0000-0000B14F0000}"/>
    <cellStyle name="Hed Side Indent 3 5 2 3 2" xfId="18565" xr:uid="{00000000-0005-0000-0000-0000B24F0000}"/>
    <cellStyle name="Hed Side Indent 3 5 2 4" xfId="18566" xr:uid="{00000000-0005-0000-0000-0000B34F0000}"/>
    <cellStyle name="Hed Side Indent 3 5 2 4 2" xfId="18567" xr:uid="{00000000-0005-0000-0000-0000B44F0000}"/>
    <cellStyle name="Hed Side Indent 3 5 2 5" xfId="18568" xr:uid="{00000000-0005-0000-0000-0000B54F0000}"/>
    <cellStyle name="Hed Side Indent 3 5 2 5 2" xfId="18569" xr:uid="{00000000-0005-0000-0000-0000B64F0000}"/>
    <cellStyle name="Hed Side Indent 3 5 2 6" xfId="18570" xr:uid="{00000000-0005-0000-0000-0000B74F0000}"/>
    <cellStyle name="Hed Side Indent 3 5 2 6 2" xfId="18571" xr:uid="{00000000-0005-0000-0000-0000B84F0000}"/>
    <cellStyle name="Hed Side Indent 3 5 2 7" xfId="18572" xr:uid="{00000000-0005-0000-0000-0000B94F0000}"/>
    <cellStyle name="Hed Side Indent 3 5 2 7 2" xfId="18573" xr:uid="{00000000-0005-0000-0000-0000BA4F0000}"/>
    <cellStyle name="Hed Side Indent 3 5 2 8" xfId="18574" xr:uid="{00000000-0005-0000-0000-0000BB4F0000}"/>
    <cellStyle name="Hed Side Indent 3 5 2 8 2" xfId="18575" xr:uid="{00000000-0005-0000-0000-0000BC4F0000}"/>
    <cellStyle name="Hed Side Indent 3 5 2 9" xfId="18576" xr:uid="{00000000-0005-0000-0000-0000BD4F0000}"/>
    <cellStyle name="Hed Side Indent 3 5 2 9 2" xfId="18577" xr:uid="{00000000-0005-0000-0000-0000BE4F0000}"/>
    <cellStyle name="Hed Side Indent 3 5 3" xfId="18578" xr:uid="{00000000-0005-0000-0000-0000BF4F0000}"/>
    <cellStyle name="Hed Side Indent 3 5 3 10" xfId="18579" xr:uid="{00000000-0005-0000-0000-0000C04F0000}"/>
    <cellStyle name="Hed Side Indent 3 5 3 2" xfId="18580" xr:uid="{00000000-0005-0000-0000-0000C14F0000}"/>
    <cellStyle name="Hed Side Indent 3 5 3 2 2" xfId="18581" xr:uid="{00000000-0005-0000-0000-0000C24F0000}"/>
    <cellStyle name="Hed Side Indent 3 5 3 3" xfId="18582" xr:uid="{00000000-0005-0000-0000-0000C34F0000}"/>
    <cellStyle name="Hed Side Indent 3 5 3 3 2" xfId="18583" xr:uid="{00000000-0005-0000-0000-0000C44F0000}"/>
    <cellStyle name="Hed Side Indent 3 5 3 4" xfId="18584" xr:uid="{00000000-0005-0000-0000-0000C54F0000}"/>
    <cellStyle name="Hed Side Indent 3 5 3 4 2" xfId="18585" xr:uid="{00000000-0005-0000-0000-0000C64F0000}"/>
    <cellStyle name="Hed Side Indent 3 5 3 5" xfId="18586" xr:uid="{00000000-0005-0000-0000-0000C74F0000}"/>
    <cellStyle name="Hed Side Indent 3 5 3 5 2" xfId="18587" xr:uid="{00000000-0005-0000-0000-0000C84F0000}"/>
    <cellStyle name="Hed Side Indent 3 5 3 6" xfId="18588" xr:uid="{00000000-0005-0000-0000-0000C94F0000}"/>
    <cellStyle name="Hed Side Indent 3 5 3 6 2" xfId="18589" xr:uid="{00000000-0005-0000-0000-0000CA4F0000}"/>
    <cellStyle name="Hed Side Indent 3 5 3 7" xfId="18590" xr:uid="{00000000-0005-0000-0000-0000CB4F0000}"/>
    <cellStyle name="Hed Side Indent 3 5 3 7 2" xfId="18591" xr:uid="{00000000-0005-0000-0000-0000CC4F0000}"/>
    <cellStyle name="Hed Side Indent 3 5 3 8" xfId="18592" xr:uid="{00000000-0005-0000-0000-0000CD4F0000}"/>
    <cellStyle name="Hed Side Indent 3 5 3 8 2" xfId="18593" xr:uid="{00000000-0005-0000-0000-0000CE4F0000}"/>
    <cellStyle name="Hed Side Indent 3 5 3 9" xfId="18594" xr:uid="{00000000-0005-0000-0000-0000CF4F0000}"/>
    <cellStyle name="Hed Side Indent 3 5 3 9 2" xfId="18595" xr:uid="{00000000-0005-0000-0000-0000D04F0000}"/>
    <cellStyle name="Hed Side Indent 3 5 4" xfId="18596" xr:uid="{00000000-0005-0000-0000-0000D14F0000}"/>
    <cellStyle name="Hed Side Indent 3 5 4 10" xfId="18597" xr:uid="{00000000-0005-0000-0000-0000D24F0000}"/>
    <cellStyle name="Hed Side Indent 3 5 4 2" xfId="18598" xr:uid="{00000000-0005-0000-0000-0000D34F0000}"/>
    <cellStyle name="Hed Side Indent 3 5 4 2 2" xfId="18599" xr:uid="{00000000-0005-0000-0000-0000D44F0000}"/>
    <cellStyle name="Hed Side Indent 3 5 4 3" xfId="18600" xr:uid="{00000000-0005-0000-0000-0000D54F0000}"/>
    <cellStyle name="Hed Side Indent 3 5 4 3 2" xfId="18601" xr:uid="{00000000-0005-0000-0000-0000D64F0000}"/>
    <cellStyle name="Hed Side Indent 3 5 4 4" xfId="18602" xr:uid="{00000000-0005-0000-0000-0000D74F0000}"/>
    <cellStyle name="Hed Side Indent 3 5 4 4 2" xfId="18603" xr:uid="{00000000-0005-0000-0000-0000D84F0000}"/>
    <cellStyle name="Hed Side Indent 3 5 4 5" xfId="18604" xr:uid="{00000000-0005-0000-0000-0000D94F0000}"/>
    <cellStyle name="Hed Side Indent 3 5 4 5 2" xfId="18605" xr:uid="{00000000-0005-0000-0000-0000DA4F0000}"/>
    <cellStyle name="Hed Side Indent 3 5 4 6" xfId="18606" xr:uid="{00000000-0005-0000-0000-0000DB4F0000}"/>
    <cellStyle name="Hed Side Indent 3 5 4 6 2" xfId="18607" xr:uid="{00000000-0005-0000-0000-0000DC4F0000}"/>
    <cellStyle name="Hed Side Indent 3 5 4 7" xfId="18608" xr:uid="{00000000-0005-0000-0000-0000DD4F0000}"/>
    <cellStyle name="Hed Side Indent 3 5 4 7 2" xfId="18609" xr:uid="{00000000-0005-0000-0000-0000DE4F0000}"/>
    <cellStyle name="Hed Side Indent 3 5 4 8" xfId="18610" xr:uid="{00000000-0005-0000-0000-0000DF4F0000}"/>
    <cellStyle name="Hed Side Indent 3 5 4 8 2" xfId="18611" xr:uid="{00000000-0005-0000-0000-0000E04F0000}"/>
    <cellStyle name="Hed Side Indent 3 5 4 9" xfId="18612" xr:uid="{00000000-0005-0000-0000-0000E14F0000}"/>
    <cellStyle name="Hed Side Indent 3 5 4 9 2" xfId="18613" xr:uid="{00000000-0005-0000-0000-0000E24F0000}"/>
    <cellStyle name="Hed Side Indent 3 5 5" xfId="18614" xr:uid="{00000000-0005-0000-0000-0000E34F0000}"/>
    <cellStyle name="Hed Side Indent 3 5 5 10" xfId="18615" xr:uid="{00000000-0005-0000-0000-0000E44F0000}"/>
    <cellStyle name="Hed Side Indent 3 5 5 2" xfId="18616" xr:uid="{00000000-0005-0000-0000-0000E54F0000}"/>
    <cellStyle name="Hed Side Indent 3 5 5 2 2" xfId="18617" xr:uid="{00000000-0005-0000-0000-0000E64F0000}"/>
    <cellStyle name="Hed Side Indent 3 5 5 3" xfId="18618" xr:uid="{00000000-0005-0000-0000-0000E74F0000}"/>
    <cellStyle name="Hed Side Indent 3 5 5 3 2" xfId="18619" xr:uid="{00000000-0005-0000-0000-0000E84F0000}"/>
    <cellStyle name="Hed Side Indent 3 5 5 4" xfId="18620" xr:uid="{00000000-0005-0000-0000-0000E94F0000}"/>
    <cellStyle name="Hed Side Indent 3 5 5 4 2" xfId="18621" xr:uid="{00000000-0005-0000-0000-0000EA4F0000}"/>
    <cellStyle name="Hed Side Indent 3 5 5 5" xfId="18622" xr:uid="{00000000-0005-0000-0000-0000EB4F0000}"/>
    <cellStyle name="Hed Side Indent 3 5 5 5 2" xfId="18623" xr:uid="{00000000-0005-0000-0000-0000EC4F0000}"/>
    <cellStyle name="Hed Side Indent 3 5 5 6" xfId="18624" xr:uid="{00000000-0005-0000-0000-0000ED4F0000}"/>
    <cellStyle name="Hed Side Indent 3 5 5 6 2" xfId="18625" xr:uid="{00000000-0005-0000-0000-0000EE4F0000}"/>
    <cellStyle name="Hed Side Indent 3 5 5 7" xfId="18626" xr:uid="{00000000-0005-0000-0000-0000EF4F0000}"/>
    <cellStyle name="Hed Side Indent 3 5 5 7 2" xfId="18627" xr:uid="{00000000-0005-0000-0000-0000F04F0000}"/>
    <cellStyle name="Hed Side Indent 3 5 5 8" xfId="18628" xr:uid="{00000000-0005-0000-0000-0000F14F0000}"/>
    <cellStyle name="Hed Side Indent 3 5 5 8 2" xfId="18629" xr:uid="{00000000-0005-0000-0000-0000F24F0000}"/>
    <cellStyle name="Hed Side Indent 3 5 5 9" xfId="18630" xr:uid="{00000000-0005-0000-0000-0000F34F0000}"/>
    <cellStyle name="Hed Side Indent 3 5 5 9 2" xfId="18631" xr:uid="{00000000-0005-0000-0000-0000F44F0000}"/>
    <cellStyle name="Hed Side Indent 3 5 6" xfId="18632" xr:uid="{00000000-0005-0000-0000-0000F54F0000}"/>
    <cellStyle name="Hed Side Indent 3 5 6 10" xfId="18633" xr:uid="{00000000-0005-0000-0000-0000F64F0000}"/>
    <cellStyle name="Hed Side Indent 3 5 6 2" xfId="18634" xr:uid="{00000000-0005-0000-0000-0000F74F0000}"/>
    <cellStyle name="Hed Side Indent 3 5 6 2 2" xfId="18635" xr:uid="{00000000-0005-0000-0000-0000F84F0000}"/>
    <cellStyle name="Hed Side Indent 3 5 6 3" xfId="18636" xr:uid="{00000000-0005-0000-0000-0000F94F0000}"/>
    <cellStyle name="Hed Side Indent 3 5 6 3 2" xfId="18637" xr:uid="{00000000-0005-0000-0000-0000FA4F0000}"/>
    <cellStyle name="Hed Side Indent 3 5 6 4" xfId="18638" xr:uid="{00000000-0005-0000-0000-0000FB4F0000}"/>
    <cellStyle name="Hed Side Indent 3 5 6 4 2" xfId="18639" xr:uid="{00000000-0005-0000-0000-0000FC4F0000}"/>
    <cellStyle name="Hed Side Indent 3 5 6 5" xfId="18640" xr:uid="{00000000-0005-0000-0000-0000FD4F0000}"/>
    <cellStyle name="Hed Side Indent 3 5 6 5 2" xfId="18641" xr:uid="{00000000-0005-0000-0000-0000FE4F0000}"/>
    <cellStyle name="Hed Side Indent 3 5 6 6" xfId="18642" xr:uid="{00000000-0005-0000-0000-0000FF4F0000}"/>
    <cellStyle name="Hed Side Indent 3 5 6 6 2" xfId="18643" xr:uid="{00000000-0005-0000-0000-000000500000}"/>
    <cellStyle name="Hed Side Indent 3 5 6 7" xfId="18644" xr:uid="{00000000-0005-0000-0000-000001500000}"/>
    <cellStyle name="Hed Side Indent 3 5 6 7 2" xfId="18645" xr:uid="{00000000-0005-0000-0000-000002500000}"/>
    <cellStyle name="Hed Side Indent 3 5 6 8" xfId="18646" xr:uid="{00000000-0005-0000-0000-000003500000}"/>
    <cellStyle name="Hed Side Indent 3 5 6 8 2" xfId="18647" xr:uid="{00000000-0005-0000-0000-000004500000}"/>
    <cellStyle name="Hed Side Indent 3 5 6 9" xfId="18648" xr:uid="{00000000-0005-0000-0000-000005500000}"/>
    <cellStyle name="Hed Side Indent 3 5 6 9 2" xfId="18649" xr:uid="{00000000-0005-0000-0000-000006500000}"/>
    <cellStyle name="Hed Side Indent 3 5 7" xfId="18650" xr:uid="{00000000-0005-0000-0000-000007500000}"/>
    <cellStyle name="Hed Side Indent 3 5 7 10" xfId="18651" xr:uid="{00000000-0005-0000-0000-000008500000}"/>
    <cellStyle name="Hed Side Indent 3 5 7 2" xfId="18652" xr:uid="{00000000-0005-0000-0000-000009500000}"/>
    <cellStyle name="Hed Side Indent 3 5 7 2 2" xfId="18653" xr:uid="{00000000-0005-0000-0000-00000A500000}"/>
    <cellStyle name="Hed Side Indent 3 5 7 3" xfId="18654" xr:uid="{00000000-0005-0000-0000-00000B500000}"/>
    <cellStyle name="Hed Side Indent 3 5 7 3 2" xfId="18655" xr:uid="{00000000-0005-0000-0000-00000C500000}"/>
    <cellStyle name="Hed Side Indent 3 5 7 4" xfId="18656" xr:uid="{00000000-0005-0000-0000-00000D500000}"/>
    <cellStyle name="Hed Side Indent 3 5 7 4 2" xfId="18657" xr:uid="{00000000-0005-0000-0000-00000E500000}"/>
    <cellStyle name="Hed Side Indent 3 5 7 5" xfId="18658" xr:uid="{00000000-0005-0000-0000-00000F500000}"/>
    <cellStyle name="Hed Side Indent 3 5 7 5 2" xfId="18659" xr:uid="{00000000-0005-0000-0000-000010500000}"/>
    <cellStyle name="Hed Side Indent 3 5 7 6" xfId="18660" xr:uid="{00000000-0005-0000-0000-000011500000}"/>
    <cellStyle name="Hed Side Indent 3 5 7 6 2" xfId="18661" xr:uid="{00000000-0005-0000-0000-000012500000}"/>
    <cellStyle name="Hed Side Indent 3 5 7 7" xfId="18662" xr:uid="{00000000-0005-0000-0000-000013500000}"/>
    <cellStyle name="Hed Side Indent 3 5 7 7 2" xfId="18663" xr:uid="{00000000-0005-0000-0000-000014500000}"/>
    <cellStyle name="Hed Side Indent 3 5 7 8" xfId="18664" xr:uid="{00000000-0005-0000-0000-000015500000}"/>
    <cellStyle name="Hed Side Indent 3 5 7 8 2" xfId="18665" xr:uid="{00000000-0005-0000-0000-000016500000}"/>
    <cellStyle name="Hed Side Indent 3 5 7 9" xfId="18666" xr:uid="{00000000-0005-0000-0000-000017500000}"/>
    <cellStyle name="Hed Side Indent 3 5 7 9 2" xfId="18667" xr:uid="{00000000-0005-0000-0000-000018500000}"/>
    <cellStyle name="Hed Side Indent 3 5 8" xfId="18668" xr:uid="{00000000-0005-0000-0000-000019500000}"/>
    <cellStyle name="Hed Side Indent 3 5 8 10" xfId="18669" xr:uid="{00000000-0005-0000-0000-00001A500000}"/>
    <cellStyle name="Hed Side Indent 3 5 8 2" xfId="18670" xr:uid="{00000000-0005-0000-0000-00001B500000}"/>
    <cellStyle name="Hed Side Indent 3 5 8 2 2" xfId="18671" xr:uid="{00000000-0005-0000-0000-00001C500000}"/>
    <cellStyle name="Hed Side Indent 3 5 8 3" xfId="18672" xr:uid="{00000000-0005-0000-0000-00001D500000}"/>
    <cellStyle name="Hed Side Indent 3 5 8 3 2" xfId="18673" xr:uid="{00000000-0005-0000-0000-00001E500000}"/>
    <cellStyle name="Hed Side Indent 3 5 8 4" xfId="18674" xr:uid="{00000000-0005-0000-0000-00001F500000}"/>
    <cellStyle name="Hed Side Indent 3 5 8 4 2" xfId="18675" xr:uid="{00000000-0005-0000-0000-000020500000}"/>
    <cellStyle name="Hed Side Indent 3 5 8 5" xfId="18676" xr:uid="{00000000-0005-0000-0000-000021500000}"/>
    <cellStyle name="Hed Side Indent 3 5 8 5 2" xfId="18677" xr:uid="{00000000-0005-0000-0000-000022500000}"/>
    <cellStyle name="Hed Side Indent 3 5 8 6" xfId="18678" xr:uid="{00000000-0005-0000-0000-000023500000}"/>
    <cellStyle name="Hed Side Indent 3 5 8 6 2" xfId="18679" xr:uid="{00000000-0005-0000-0000-000024500000}"/>
    <cellStyle name="Hed Side Indent 3 5 8 7" xfId="18680" xr:uid="{00000000-0005-0000-0000-000025500000}"/>
    <cellStyle name="Hed Side Indent 3 5 8 7 2" xfId="18681" xr:uid="{00000000-0005-0000-0000-000026500000}"/>
    <cellStyle name="Hed Side Indent 3 5 8 8" xfId="18682" xr:uid="{00000000-0005-0000-0000-000027500000}"/>
    <cellStyle name="Hed Side Indent 3 5 8 8 2" xfId="18683" xr:uid="{00000000-0005-0000-0000-000028500000}"/>
    <cellStyle name="Hed Side Indent 3 5 8 9" xfId="18684" xr:uid="{00000000-0005-0000-0000-000029500000}"/>
    <cellStyle name="Hed Side Indent 3 5 8 9 2" xfId="18685" xr:uid="{00000000-0005-0000-0000-00002A500000}"/>
    <cellStyle name="Hed Side Indent 3 5 9" xfId="18686" xr:uid="{00000000-0005-0000-0000-00002B500000}"/>
    <cellStyle name="Hed Side Indent 3 5 9 10" xfId="18687" xr:uid="{00000000-0005-0000-0000-00002C500000}"/>
    <cellStyle name="Hed Side Indent 3 5 9 2" xfId="18688" xr:uid="{00000000-0005-0000-0000-00002D500000}"/>
    <cellStyle name="Hed Side Indent 3 5 9 2 2" xfId="18689" xr:uid="{00000000-0005-0000-0000-00002E500000}"/>
    <cellStyle name="Hed Side Indent 3 5 9 3" xfId="18690" xr:uid="{00000000-0005-0000-0000-00002F500000}"/>
    <cellStyle name="Hed Side Indent 3 5 9 3 2" xfId="18691" xr:uid="{00000000-0005-0000-0000-000030500000}"/>
    <cellStyle name="Hed Side Indent 3 5 9 4" xfId="18692" xr:uid="{00000000-0005-0000-0000-000031500000}"/>
    <cellStyle name="Hed Side Indent 3 5 9 4 2" xfId="18693" xr:uid="{00000000-0005-0000-0000-000032500000}"/>
    <cellStyle name="Hed Side Indent 3 5 9 5" xfId="18694" xr:uid="{00000000-0005-0000-0000-000033500000}"/>
    <cellStyle name="Hed Side Indent 3 5 9 5 2" xfId="18695" xr:uid="{00000000-0005-0000-0000-000034500000}"/>
    <cellStyle name="Hed Side Indent 3 5 9 6" xfId="18696" xr:uid="{00000000-0005-0000-0000-000035500000}"/>
    <cellStyle name="Hed Side Indent 3 5 9 6 2" xfId="18697" xr:uid="{00000000-0005-0000-0000-000036500000}"/>
    <cellStyle name="Hed Side Indent 3 5 9 7" xfId="18698" xr:uid="{00000000-0005-0000-0000-000037500000}"/>
    <cellStyle name="Hed Side Indent 3 5 9 7 2" xfId="18699" xr:uid="{00000000-0005-0000-0000-000038500000}"/>
    <cellStyle name="Hed Side Indent 3 5 9 8" xfId="18700" xr:uid="{00000000-0005-0000-0000-000039500000}"/>
    <cellStyle name="Hed Side Indent 3 5 9 8 2" xfId="18701" xr:uid="{00000000-0005-0000-0000-00003A500000}"/>
    <cellStyle name="Hed Side Indent 3 5 9 9" xfId="18702" xr:uid="{00000000-0005-0000-0000-00003B500000}"/>
    <cellStyle name="Hed Side Indent 3 5 9 9 2" xfId="18703" xr:uid="{00000000-0005-0000-0000-00003C500000}"/>
    <cellStyle name="Hed Side Indent 3 6" xfId="18704" xr:uid="{00000000-0005-0000-0000-00003D500000}"/>
    <cellStyle name="Hed Side Indent 3 6 10" xfId="18705" xr:uid="{00000000-0005-0000-0000-00003E500000}"/>
    <cellStyle name="Hed Side Indent 3 6 10 2" xfId="18706" xr:uid="{00000000-0005-0000-0000-00003F500000}"/>
    <cellStyle name="Hed Side Indent 3 6 10 2 2" xfId="18707" xr:uid="{00000000-0005-0000-0000-000040500000}"/>
    <cellStyle name="Hed Side Indent 3 6 10 3" xfId="18708" xr:uid="{00000000-0005-0000-0000-000041500000}"/>
    <cellStyle name="Hed Side Indent 3 6 10 3 2" xfId="18709" xr:uid="{00000000-0005-0000-0000-000042500000}"/>
    <cellStyle name="Hed Side Indent 3 6 10 4" xfId="18710" xr:uid="{00000000-0005-0000-0000-000043500000}"/>
    <cellStyle name="Hed Side Indent 3 6 10 4 2" xfId="18711" xr:uid="{00000000-0005-0000-0000-000044500000}"/>
    <cellStyle name="Hed Side Indent 3 6 10 5" xfId="18712" xr:uid="{00000000-0005-0000-0000-000045500000}"/>
    <cellStyle name="Hed Side Indent 3 6 10 5 2" xfId="18713" xr:uid="{00000000-0005-0000-0000-000046500000}"/>
    <cellStyle name="Hed Side Indent 3 6 10 6" xfId="18714" xr:uid="{00000000-0005-0000-0000-000047500000}"/>
    <cellStyle name="Hed Side Indent 3 6 10 6 2" xfId="18715" xr:uid="{00000000-0005-0000-0000-000048500000}"/>
    <cellStyle name="Hed Side Indent 3 6 10 7" xfId="18716" xr:uid="{00000000-0005-0000-0000-000049500000}"/>
    <cellStyle name="Hed Side Indent 3 6 10 7 2" xfId="18717" xr:uid="{00000000-0005-0000-0000-00004A500000}"/>
    <cellStyle name="Hed Side Indent 3 6 10 8" xfId="18718" xr:uid="{00000000-0005-0000-0000-00004B500000}"/>
    <cellStyle name="Hed Side Indent 3 6 10 8 2" xfId="18719" xr:uid="{00000000-0005-0000-0000-00004C500000}"/>
    <cellStyle name="Hed Side Indent 3 6 10 9" xfId="18720" xr:uid="{00000000-0005-0000-0000-00004D500000}"/>
    <cellStyle name="Hed Side Indent 3 6 11" xfId="18721" xr:uid="{00000000-0005-0000-0000-00004E500000}"/>
    <cellStyle name="Hed Side Indent 3 6 11 2" xfId="18722" xr:uid="{00000000-0005-0000-0000-00004F500000}"/>
    <cellStyle name="Hed Side Indent 3 6 12" xfId="18723" xr:uid="{00000000-0005-0000-0000-000050500000}"/>
    <cellStyle name="Hed Side Indent 3 6 12 2" xfId="18724" xr:uid="{00000000-0005-0000-0000-000051500000}"/>
    <cellStyle name="Hed Side Indent 3 6 13" xfId="18725" xr:uid="{00000000-0005-0000-0000-000052500000}"/>
    <cellStyle name="Hed Side Indent 3 6 13 2" xfId="18726" xr:uid="{00000000-0005-0000-0000-000053500000}"/>
    <cellStyle name="Hed Side Indent 3 6 14" xfId="18727" xr:uid="{00000000-0005-0000-0000-000054500000}"/>
    <cellStyle name="Hed Side Indent 3 6 14 2" xfId="18728" xr:uid="{00000000-0005-0000-0000-000055500000}"/>
    <cellStyle name="Hed Side Indent 3 6 15" xfId="18729" xr:uid="{00000000-0005-0000-0000-000056500000}"/>
    <cellStyle name="Hed Side Indent 3 6 15 2" xfId="18730" xr:uid="{00000000-0005-0000-0000-000057500000}"/>
    <cellStyle name="Hed Side Indent 3 6 16" xfId="18731" xr:uid="{00000000-0005-0000-0000-000058500000}"/>
    <cellStyle name="Hed Side Indent 3 6 16 2" xfId="18732" xr:uid="{00000000-0005-0000-0000-000059500000}"/>
    <cellStyle name="Hed Side Indent 3 6 17" xfId="18733" xr:uid="{00000000-0005-0000-0000-00005A500000}"/>
    <cellStyle name="Hed Side Indent 3 6 17 2" xfId="18734" xr:uid="{00000000-0005-0000-0000-00005B500000}"/>
    <cellStyle name="Hed Side Indent 3 6 18" xfId="18735" xr:uid="{00000000-0005-0000-0000-00005C500000}"/>
    <cellStyle name="Hed Side Indent 3 6 2" xfId="18736" xr:uid="{00000000-0005-0000-0000-00005D500000}"/>
    <cellStyle name="Hed Side Indent 3 6 2 10" xfId="18737" xr:uid="{00000000-0005-0000-0000-00005E500000}"/>
    <cellStyle name="Hed Side Indent 3 6 2 2" xfId="18738" xr:uid="{00000000-0005-0000-0000-00005F500000}"/>
    <cellStyle name="Hed Side Indent 3 6 2 2 2" xfId="18739" xr:uid="{00000000-0005-0000-0000-000060500000}"/>
    <cellStyle name="Hed Side Indent 3 6 2 3" xfId="18740" xr:uid="{00000000-0005-0000-0000-000061500000}"/>
    <cellStyle name="Hed Side Indent 3 6 2 3 2" xfId="18741" xr:uid="{00000000-0005-0000-0000-000062500000}"/>
    <cellStyle name="Hed Side Indent 3 6 2 4" xfId="18742" xr:uid="{00000000-0005-0000-0000-000063500000}"/>
    <cellStyle name="Hed Side Indent 3 6 2 4 2" xfId="18743" xr:uid="{00000000-0005-0000-0000-000064500000}"/>
    <cellStyle name="Hed Side Indent 3 6 2 5" xfId="18744" xr:uid="{00000000-0005-0000-0000-000065500000}"/>
    <cellStyle name="Hed Side Indent 3 6 2 5 2" xfId="18745" xr:uid="{00000000-0005-0000-0000-000066500000}"/>
    <cellStyle name="Hed Side Indent 3 6 2 6" xfId="18746" xr:uid="{00000000-0005-0000-0000-000067500000}"/>
    <cellStyle name="Hed Side Indent 3 6 2 6 2" xfId="18747" xr:uid="{00000000-0005-0000-0000-000068500000}"/>
    <cellStyle name="Hed Side Indent 3 6 2 7" xfId="18748" xr:uid="{00000000-0005-0000-0000-000069500000}"/>
    <cellStyle name="Hed Side Indent 3 6 2 7 2" xfId="18749" xr:uid="{00000000-0005-0000-0000-00006A500000}"/>
    <cellStyle name="Hed Side Indent 3 6 2 8" xfId="18750" xr:uid="{00000000-0005-0000-0000-00006B500000}"/>
    <cellStyle name="Hed Side Indent 3 6 2 8 2" xfId="18751" xr:uid="{00000000-0005-0000-0000-00006C500000}"/>
    <cellStyle name="Hed Side Indent 3 6 2 9" xfId="18752" xr:uid="{00000000-0005-0000-0000-00006D500000}"/>
    <cellStyle name="Hed Side Indent 3 6 2 9 2" xfId="18753" xr:uid="{00000000-0005-0000-0000-00006E500000}"/>
    <cellStyle name="Hed Side Indent 3 6 3" xfId="18754" xr:uid="{00000000-0005-0000-0000-00006F500000}"/>
    <cellStyle name="Hed Side Indent 3 6 3 10" xfId="18755" xr:uid="{00000000-0005-0000-0000-000070500000}"/>
    <cellStyle name="Hed Side Indent 3 6 3 2" xfId="18756" xr:uid="{00000000-0005-0000-0000-000071500000}"/>
    <cellStyle name="Hed Side Indent 3 6 3 2 2" xfId="18757" xr:uid="{00000000-0005-0000-0000-000072500000}"/>
    <cellStyle name="Hed Side Indent 3 6 3 3" xfId="18758" xr:uid="{00000000-0005-0000-0000-000073500000}"/>
    <cellStyle name="Hed Side Indent 3 6 3 3 2" xfId="18759" xr:uid="{00000000-0005-0000-0000-000074500000}"/>
    <cellStyle name="Hed Side Indent 3 6 3 4" xfId="18760" xr:uid="{00000000-0005-0000-0000-000075500000}"/>
    <cellStyle name="Hed Side Indent 3 6 3 4 2" xfId="18761" xr:uid="{00000000-0005-0000-0000-000076500000}"/>
    <cellStyle name="Hed Side Indent 3 6 3 5" xfId="18762" xr:uid="{00000000-0005-0000-0000-000077500000}"/>
    <cellStyle name="Hed Side Indent 3 6 3 5 2" xfId="18763" xr:uid="{00000000-0005-0000-0000-000078500000}"/>
    <cellStyle name="Hed Side Indent 3 6 3 6" xfId="18764" xr:uid="{00000000-0005-0000-0000-000079500000}"/>
    <cellStyle name="Hed Side Indent 3 6 3 6 2" xfId="18765" xr:uid="{00000000-0005-0000-0000-00007A500000}"/>
    <cellStyle name="Hed Side Indent 3 6 3 7" xfId="18766" xr:uid="{00000000-0005-0000-0000-00007B500000}"/>
    <cellStyle name="Hed Side Indent 3 6 3 7 2" xfId="18767" xr:uid="{00000000-0005-0000-0000-00007C500000}"/>
    <cellStyle name="Hed Side Indent 3 6 3 8" xfId="18768" xr:uid="{00000000-0005-0000-0000-00007D500000}"/>
    <cellStyle name="Hed Side Indent 3 6 3 8 2" xfId="18769" xr:uid="{00000000-0005-0000-0000-00007E500000}"/>
    <cellStyle name="Hed Side Indent 3 6 3 9" xfId="18770" xr:uid="{00000000-0005-0000-0000-00007F500000}"/>
    <cellStyle name="Hed Side Indent 3 6 3 9 2" xfId="18771" xr:uid="{00000000-0005-0000-0000-000080500000}"/>
    <cellStyle name="Hed Side Indent 3 6 4" xfId="18772" xr:uid="{00000000-0005-0000-0000-000081500000}"/>
    <cellStyle name="Hed Side Indent 3 6 4 10" xfId="18773" xr:uid="{00000000-0005-0000-0000-000082500000}"/>
    <cellStyle name="Hed Side Indent 3 6 4 2" xfId="18774" xr:uid="{00000000-0005-0000-0000-000083500000}"/>
    <cellStyle name="Hed Side Indent 3 6 4 2 2" xfId="18775" xr:uid="{00000000-0005-0000-0000-000084500000}"/>
    <cellStyle name="Hed Side Indent 3 6 4 3" xfId="18776" xr:uid="{00000000-0005-0000-0000-000085500000}"/>
    <cellStyle name="Hed Side Indent 3 6 4 3 2" xfId="18777" xr:uid="{00000000-0005-0000-0000-000086500000}"/>
    <cellStyle name="Hed Side Indent 3 6 4 4" xfId="18778" xr:uid="{00000000-0005-0000-0000-000087500000}"/>
    <cellStyle name="Hed Side Indent 3 6 4 4 2" xfId="18779" xr:uid="{00000000-0005-0000-0000-000088500000}"/>
    <cellStyle name="Hed Side Indent 3 6 4 5" xfId="18780" xr:uid="{00000000-0005-0000-0000-000089500000}"/>
    <cellStyle name="Hed Side Indent 3 6 4 5 2" xfId="18781" xr:uid="{00000000-0005-0000-0000-00008A500000}"/>
    <cellStyle name="Hed Side Indent 3 6 4 6" xfId="18782" xr:uid="{00000000-0005-0000-0000-00008B500000}"/>
    <cellStyle name="Hed Side Indent 3 6 4 6 2" xfId="18783" xr:uid="{00000000-0005-0000-0000-00008C500000}"/>
    <cellStyle name="Hed Side Indent 3 6 4 7" xfId="18784" xr:uid="{00000000-0005-0000-0000-00008D500000}"/>
    <cellStyle name="Hed Side Indent 3 6 4 7 2" xfId="18785" xr:uid="{00000000-0005-0000-0000-00008E500000}"/>
    <cellStyle name="Hed Side Indent 3 6 4 8" xfId="18786" xr:uid="{00000000-0005-0000-0000-00008F500000}"/>
    <cellStyle name="Hed Side Indent 3 6 4 8 2" xfId="18787" xr:uid="{00000000-0005-0000-0000-000090500000}"/>
    <cellStyle name="Hed Side Indent 3 6 4 9" xfId="18788" xr:uid="{00000000-0005-0000-0000-000091500000}"/>
    <cellStyle name="Hed Side Indent 3 6 4 9 2" xfId="18789" xr:uid="{00000000-0005-0000-0000-000092500000}"/>
    <cellStyle name="Hed Side Indent 3 6 5" xfId="18790" xr:uid="{00000000-0005-0000-0000-000093500000}"/>
    <cellStyle name="Hed Side Indent 3 6 5 10" xfId="18791" xr:uid="{00000000-0005-0000-0000-000094500000}"/>
    <cellStyle name="Hed Side Indent 3 6 5 2" xfId="18792" xr:uid="{00000000-0005-0000-0000-000095500000}"/>
    <cellStyle name="Hed Side Indent 3 6 5 2 2" xfId="18793" xr:uid="{00000000-0005-0000-0000-000096500000}"/>
    <cellStyle name="Hed Side Indent 3 6 5 3" xfId="18794" xr:uid="{00000000-0005-0000-0000-000097500000}"/>
    <cellStyle name="Hed Side Indent 3 6 5 3 2" xfId="18795" xr:uid="{00000000-0005-0000-0000-000098500000}"/>
    <cellStyle name="Hed Side Indent 3 6 5 4" xfId="18796" xr:uid="{00000000-0005-0000-0000-000099500000}"/>
    <cellStyle name="Hed Side Indent 3 6 5 4 2" xfId="18797" xr:uid="{00000000-0005-0000-0000-00009A500000}"/>
    <cellStyle name="Hed Side Indent 3 6 5 5" xfId="18798" xr:uid="{00000000-0005-0000-0000-00009B500000}"/>
    <cellStyle name="Hed Side Indent 3 6 5 5 2" xfId="18799" xr:uid="{00000000-0005-0000-0000-00009C500000}"/>
    <cellStyle name="Hed Side Indent 3 6 5 6" xfId="18800" xr:uid="{00000000-0005-0000-0000-00009D500000}"/>
    <cellStyle name="Hed Side Indent 3 6 5 6 2" xfId="18801" xr:uid="{00000000-0005-0000-0000-00009E500000}"/>
    <cellStyle name="Hed Side Indent 3 6 5 7" xfId="18802" xr:uid="{00000000-0005-0000-0000-00009F500000}"/>
    <cellStyle name="Hed Side Indent 3 6 5 7 2" xfId="18803" xr:uid="{00000000-0005-0000-0000-0000A0500000}"/>
    <cellStyle name="Hed Side Indent 3 6 5 8" xfId="18804" xr:uid="{00000000-0005-0000-0000-0000A1500000}"/>
    <cellStyle name="Hed Side Indent 3 6 5 8 2" xfId="18805" xr:uid="{00000000-0005-0000-0000-0000A2500000}"/>
    <cellStyle name="Hed Side Indent 3 6 5 9" xfId="18806" xr:uid="{00000000-0005-0000-0000-0000A3500000}"/>
    <cellStyle name="Hed Side Indent 3 6 5 9 2" xfId="18807" xr:uid="{00000000-0005-0000-0000-0000A4500000}"/>
    <cellStyle name="Hed Side Indent 3 6 6" xfId="18808" xr:uid="{00000000-0005-0000-0000-0000A5500000}"/>
    <cellStyle name="Hed Side Indent 3 6 6 10" xfId="18809" xr:uid="{00000000-0005-0000-0000-0000A6500000}"/>
    <cellStyle name="Hed Side Indent 3 6 6 2" xfId="18810" xr:uid="{00000000-0005-0000-0000-0000A7500000}"/>
    <cellStyle name="Hed Side Indent 3 6 6 2 2" xfId="18811" xr:uid="{00000000-0005-0000-0000-0000A8500000}"/>
    <cellStyle name="Hed Side Indent 3 6 6 3" xfId="18812" xr:uid="{00000000-0005-0000-0000-0000A9500000}"/>
    <cellStyle name="Hed Side Indent 3 6 6 3 2" xfId="18813" xr:uid="{00000000-0005-0000-0000-0000AA500000}"/>
    <cellStyle name="Hed Side Indent 3 6 6 4" xfId="18814" xr:uid="{00000000-0005-0000-0000-0000AB500000}"/>
    <cellStyle name="Hed Side Indent 3 6 6 4 2" xfId="18815" xr:uid="{00000000-0005-0000-0000-0000AC500000}"/>
    <cellStyle name="Hed Side Indent 3 6 6 5" xfId="18816" xr:uid="{00000000-0005-0000-0000-0000AD500000}"/>
    <cellStyle name="Hed Side Indent 3 6 6 5 2" xfId="18817" xr:uid="{00000000-0005-0000-0000-0000AE500000}"/>
    <cellStyle name="Hed Side Indent 3 6 6 6" xfId="18818" xr:uid="{00000000-0005-0000-0000-0000AF500000}"/>
    <cellStyle name="Hed Side Indent 3 6 6 6 2" xfId="18819" xr:uid="{00000000-0005-0000-0000-0000B0500000}"/>
    <cellStyle name="Hed Side Indent 3 6 6 7" xfId="18820" xr:uid="{00000000-0005-0000-0000-0000B1500000}"/>
    <cellStyle name="Hed Side Indent 3 6 6 7 2" xfId="18821" xr:uid="{00000000-0005-0000-0000-0000B2500000}"/>
    <cellStyle name="Hed Side Indent 3 6 6 8" xfId="18822" xr:uid="{00000000-0005-0000-0000-0000B3500000}"/>
    <cellStyle name="Hed Side Indent 3 6 6 8 2" xfId="18823" xr:uid="{00000000-0005-0000-0000-0000B4500000}"/>
    <cellStyle name="Hed Side Indent 3 6 6 9" xfId="18824" xr:uid="{00000000-0005-0000-0000-0000B5500000}"/>
    <cellStyle name="Hed Side Indent 3 6 6 9 2" xfId="18825" xr:uid="{00000000-0005-0000-0000-0000B6500000}"/>
    <cellStyle name="Hed Side Indent 3 6 7" xfId="18826" xr:uid="{00000000-0005-0000-0000-0000B7500000}"/>
    <cellStyle name="Hed Side Indent 3 6 7 10" xfId="18827" xr:uid="{00000000-0005-0000-0000-0000B8500000}"/>
    <cellStyle name="Hed Side Indent 3 6 7 2" xfId="18828" xr:uid="{00000000-0005-0000-0000-0000B9500000}"/>
    <cellStyle name="Hed Side Indent 3 6 7 2 2" xfId="18829" xr:uid="{00000000-0005-0000-0000-0000BA500000}"/>
    <cellStyle name="Hed Side Indent 3 6 7 3" xfId="18830" xr:uid="{00000000-0005-0000-0000-0000BB500000}"/>
    <cellStyle name="Hed Side Indent 3 6 7 3 2" xfId="18831" xr:uid="{00000000-0005-0000-0000-0000BC500000}"/>
    <cellStyle name="Hed Side Indent 3 6 7 4" xfId="18832" xr:uid="{00000000-0005-0000-0000-0000BD500000}"/>
    <cellStyle name="Hed Side Indent 3 6 7 4 2" xfId="18833" xr:uid="{00000000-0005-0000-0000-0000BE500000}"/>
    <cellStyle name="Hed Side Indent 3 6 7 5" xfId="18834" xr:uid="{00000000-0005-0000-0000-0000BF500000}"/>
    <cellStyle name="Hed Side Indent 3 6 7 5 2" xfId="18835" xr:uid="{00000000-0005-0000-0000-0000C0500000}"/>
    <cellStyle name="Hed Side Indent 3 6 7 6" xfId="18836" xr:uid="{00000000-0005-0000-0000-0000C1500000}"/>
    <cellStyle name="Hed Side Indent 3 6 7 6 2" xfId="18837" xr:uid="{00000000-0005-0000-0000-0000C2500000}"/>
    <cellStyle name="Hed Side Indent 3 6 7 7" xfId="18838" xr:uid="{00000000-0005-0000-0000-0000C3500000}"/>
    <cellStyle name="Hed Side Indent 3 6 7 7 2" xfId="18839" xr:uid="{00000000-0005-0000-0000-0000C4500000}"/>
    <cellStyle name="Hed Side Indent 3 6 7 8" xfId="18840" xr:uid="{00000000-0005-0000-0000-0000C5500000}"/>
    <cellStyle name="Hed Side Indent 3 6 7 8 2" xfId="18841" xr:uid="{00000000-0005-0000-0000-0000C6500000}"/>
    <cellStyle name="Hed Side Indent 3 6 7 9" xfId="18842" xr:uid="{00000000-0005-0000-0000-0000C7500000}"/>
    <cellStyle name="Hed Side Indent 3 6 7 9 2" xfId="18843" xr:uid="{00000000-0005-0000-0000-0000C8500000}"/>
    <cellStyle name="Hed Side Indent 3 6 8" xfId="18844" xr:uid="{00000000-0005-0000-0000-0000C9500000}"/>
    <cellStyle name="Hed Side Indent 3 6 8 10" xfId="18845" xr:uid="{00000000-0005-0000-0000-0000CA500000}"/>
    <cellStyle name="Hed Side Indent 3 6 8 2" xfId="18846" xr:uid="{00000000-0005-0000-0000-0000CB500000}"/>
    <cellStyle name="Hed Side Indent 3 6 8 2 2" xfId="18847" xr:uid="{00000000-0005-0000-0000-0000CC500000}"/>
    <cellStyle name="Hed Side Indent 3 6 8 3" xfId="18848" xr:uid="{00000000-0005-0000-0000-0000CD500000}"/>
    <cellStyle name="Hed Side Indent 3 6 8 3 2" xfId="18849" xr:uid="{00000000-0005-0000-0000-0000CE500000}"/>
    <cellStyle name="Hed Side Indent 3 6 8 4" xfId="18850" xr:uid="{00000000-0005-0000-0000-0000CF500000}"/>
    <cellStyle name="Hed Side Indent 3 6 8 4 2" xfId="18851" xr:uid="{00000000-0005-0000-0000-0000D0500000}"/>
    <cellStyle name="Hed Side Indent 3 6 8 5" xfId="18852" xr:uid="{00000000-0005-0000-0000-0000D1500000}"/>
    <cellStyle name="Hed Side Indent 3 6 8 5 2" xfId="18853" xr:uid="{00000000-0005-0000-0000-0000D2500000}"/>
    <cellStyle name="Hed Side Indent 3 6 8 6" xfId="18854" xr:uid="{00000000-0005-0000-0000-0000D3500000}"/>
    <cellStyle name="Hed Side Indent 3 6 8 6 2" xfId="18855" xr:uid="{00000000-0005-0000-0000-0000D4500000}"/>
    <cellStyle name="Hed Side Indent 3 6 8 7" xfId="18856" xr:uid="{00000000-0005-0000-0000-0000D5500000}"/>
    <cellStyle name="Hed Side Indent 3 6 8 7 2" xfId="18857" xr:uid="{00000000-0005-0000-0000-0000D6500000}"/>
    <cellStyle name="Hed Side Indent 3 6 8 8" xfId="18858" xr:uid="{00000000-0005-0000-0000-0000D7500000}"/>
    <cellStyle name="Hed Side Indent 3 6 8 8 2" xfId="18859" xr:uid="{00000000-0005-0000-0000-0000D8500000}"/>
    <cellStyle name="Hed Side Indent 3 6 8 9" xfId="18860" xr:uid="{00000000-0005-0000-0000-0000D9500000}"/>
    <cellStyle name="Hed Side Indent 3 6 8 9 2" xfId="18861" xr:uid="{00000000-0005-0000-0000-0000DA500000}"/>
    <cellStyle name="Hed Side Indent 3 6 9" xfId="18862" xr:uid="{00000000-0005-0000-0000-0000DB500000}"/>
    <cellStyle name="Hed Side Indent 3 6 9 10" xfId="18863" xr:uid="{00000000-0005-0000-0000-0000DC500000}"/>
    <cellStyle name="Hed Side Indent 3 6 9 2" xfId="18864" xr:uid="{00000000-0005-0000-0000-0000DD500000}"/>
    <cellStyle name="Hed Side Indent 3 6 9 2 2" xfId="18865" xr:uid="{00000000-0005-0000-0000-0000DE500000}"/>
    <cellStyle name="Hed Side Indent 3 6 9 3" xfId="18866" xr:uid="{00000000-0005-0000-0000-0000DF500000}"/>
    <cellStyle name="Hed Side Indent 3 6 9 3 2" xfId="18867" xr:uid="{00000000-0005-0000-0000-0000E0500000}"/>
    <cellStyle name="Hed Side Indent 3 6 9 4" xfId="18868" xr:uid="{00000000-0005-0000-0000-0000E1500000}"/>
    <cellStyle name="Hed Side Indent 3 6 9 4 2" xfId="18869" xr:uid="{00000000-0005-0000-0000-0000E2500000}"/>
    <cellStyle name="Hed Side Indent 3 6 9 5" xfId="18870" xr:uid="{00000000-0005-0000-0000-0000E3500000}"/>
    <cellStyle name="Hed Side Indent 3 6 9 5 2" xfId="18871" xr:uid="{00000000-0005-0000-0000-0000E4500000}"/>
    <cellStyle name="Hed Side Indent 3 6 9 6" xfId="18872" xr:uid="{00000000-0005-0000-0000-0000E5500000}"/>
    <cellStyle name="Hed Side Indent 3 6 9 6 2" xfId="18873" xr:uid="{00000000-0005-0000-0000-0000E6500000}"/>
    <cellStyle name="Hed Side Indent 3 6 9 7" xfId="18874" xr:uid="{00000000-0005-0000-0000-0000E7500000}"/>
    <cellStyle name="Hed Side Indent 3 6 9 7 2" xfId="18875" xr:uid="{00000000-0005-0000-0000-0000E8500000}"/>
    <cellStyle name="Hed Side Indent 3 6 9 8" xfId="18876" xr:uid="{00000000-0005-0000-0000-0000E9500000}"/>
    <cellStyle name="Hed Side Indent 3 6 9 8 2" xfId="18877" xr:uid="{00000000-0005-0000-0000-0000EA500000}"/>
    <cellStyle name="Hed Side Indent 3 6 9 9" xfId="18878" xr:uid="{00000000-0005-0000-0000-0000EB500000}"/>
    <cellStyle name="Hed Side Indent 3 6 9 9 2" xfId="18879" xr:uid="{00000000-0005-0000-0000-0000EC500000}"/>
    <cellStyle name="Hed Side Indent 3 7" xfId="18880" xr:uid="{00000000-0005-0000-0000-0000ED500000}"/>
    <cellStyle name="Hed Side Indent 3 7 10" xfId="18881" xr:uid="{00000000-0005-0000-0000-0000EE500000}"/>
    <cellStyle name="Hed Side Indent 3 7 10 2" xfId="18882" xr:uid="{00000000-0005-0000-0000-0000EF500000}"/>
    <cellStyle name="Hed Side Indent 3 7 10 2 2" xfId="18883" xr:uid="{00000000-0005-0000-0000-0000F0500000}"/>
    <cellStyle name="Hed Side Indent 3 7 10 3" xfId="18884" xr:uid="{00000000-0005-0000-0000-0000F1500000}"/>
    <cellStyle name="Hed Side Indent 3 7 10 3 2" xfId="18885" xr:uid="{00000000-0005-0000-0000-0000F2500000}"/>
    <cellStyle name="Hed Side Indent 3 7 10 4" xfId="18886" xr:uid="{00000000-0005-0000-0000-0000F3500000}"/>
    <cellStyle name="Hed Side Indent 3 7 10 4 2" xfId="18887" xr:uid="{00000000-0005-0000-0000-0000F4500000}"/>
    <cellStyle name="Hed Side Indent 3 7 10 5" xfId="18888" xr:uid="{00000000-0005-0000-0000-0000F5500000}"/>
    <cellStyle name="Hed Side Indent 3 7 10 5 2" xfId="18889" xr:uid="{00000000-0005-0000-0000-0000F6500000}"/>
    <cellStyle name="Hed Side Indent 3 7 10 6" xfId="18890" xr:uid="{00000000-0005-0000-0000-0000F7500000}"/>
    <cellStyle name="Hed Side Indent 3 7 10 6 2" xfId="18891" xr:uid="{00000000-0005-0000-0000-0000F8500000}"/>
    <cellStyle name="Hed Side Indent 3 7 10 7" xfId="18892" xr:uid="{00000000-0005-0000-0000-0000F9500000}"/>
    <cellStyle name="Hed Side Indent 3 7 10 7 2" xfId="18893" xr:uid="{00000000-0005-0000-0000-0000FA500000}"/>
    <cellStyle name="Hed Side Indent 3 7 10 8" xfId="18894" xr:uid="{00000000-0005-0000-0000-0000FB500000}"/>
    <cellStyle name="Hed Side Indent 3 7 10 8 2" xfId="18895" xr:uid="{00000000-0005-0000-0000-0000FC500000}"/>
    <cellStyle name="Hed Side Indent 3 7 10 9" xfId="18896" xr:uid="{00000000-0005-0000-0000-0000FD500000}"/>
    <cellStyle name="Hed Side Indent 3 7 11" xfId="18897" xr:uid="{00000000-0005-0000-0000-0000FE500000}"/>
    <cellStyle name="Hed Side Indent 3 7 11 2" xfId="18898" xr:uid="{00000000-0005-0000-0000-0000FF500000}"/>
    <cellStyle name="Hed Side Indent 3 7 12" xfId="18899" xr:uid="{00000000-0005-0000-0000-000000510000}"/>
    <cellStyle name="Hed Side Indent 3 7 12 2" xfId="18900" xr:uid="{00000000-0005-0000-0000-000001510000}"/>
    <cellStyle name="Hed Side Indent 3 7 13" xfId="18901" xr:uid="{00000000-0005-0000-0000-000002510000}"/>
    <cellStyle name="Hed Side Indent 3 7 13 2" xfId="18902" xr:uid="{00000000-0005-0000-0000-000003510000}"/>
    <cellStyle name="Hed Side Indent 3 7 14" xfId="18903" xr:uid="{00000000-0005-0000-0000-000004510000}"/>
    <cellStyle name="Hed Side Indent 3 7 14 2" xfId="18904" xr:uid="{00000000-0005-0000-0000-000005510000}"/>
    <cellStyle name="Hed Side Indent 3 7 15" xfId="18905" xr:uid="{00000000-0005-0000-0000-000006510000}"/>
    <cellStyle name="Hed Side Indent 3 7 15 2" xfId="18906" xr:uid="{00000000-0005-0000-0000-000007510000}"/>
    <cellStyle name="Hed Side Indent 3 7 16" xfId="18907" xr:uid="{00000000-0005-0000-0000-000008510000}"/>
    <cellStyle name="Hed Side Indent 3 7 16 2" xfId="18908" xr:uid="{00000000-0005-0000-0000-000009510000}"/>
    <cellStyle name="Hed Side Indent 3 7 17" xfId="18909" xr:uid="{00000000-0005-0000-0000-00000A510000}"/>
    <cellStyle name="Hed Side Indent 3 7 17 2" xfId="18910" xr:uid="{00000000-0005-0000-0000-00000B510000}"/>
    <cellStyle name="Hed Side Indent 3 7 18" xfId="18911" xr:uid="{00000000-0005-0000-0000-00000C510000}"/>
    <cellStyle name="Hed Side Indent 3 7 2" xfId="18912" xr:uid="{00000000-0005-0000-0000-00000D510000}"/>
    <cellStyle name="Hed Side Indent 3 7 2 10" xfId="18913" xr:uid="{00000000-0005-0000-0000-00000E510000}"/>
    <cellStyle name="Hed Side Indent 3 7 2 2" xfId="18914" xr:uid="{00000000-0005-0000-0000-00000F510000}"/>
    <cellStyle name="Hed Side Indent 3 7 2 2 2" xfId="18915" xr:uid="{00000000-0005-0000-0000-000010510000}"/>
    <cellStyle name="Hed Side Indent 3 7 2 3" xfId="18916" xr:uid="{00000000-0005-0000-0000-000011510000}"/>
    <cellStyle name="Hed Side Indent 3 7 2 3 2" xfId="18917" xr:uid="{00000000-0005-0000-0000-000012510000}"/>
    <cellStyle name="Hed Side Indent 3 7 2 4" xfId="18918" xr:uid="{00000000-0005-0000-0000-000013510000}"/>
    <cellStyle name="Hed Side Indent 3 7 2 4 2" xfId="18919" xr:uid="{00000000-0005-0000-0000-000014510000}"/>
    <cellStyle name="Hed Side Indent 3 7 2 5" xfId="18920" xr:uid="{00000000-0005-0000-0000-000015510000}"/>
    <cellStyle name="Hed Side Indent 3 7 2 5 2" xfId="18921" xr:uid="{00000000-0005-0000-0000-000016510000}"/>
    <cellStyle name="Hed Side Indent 3 7 2 6" xfId="18922" xr:uid="{00000000-0005-0000-0000-000017510000}"/>
    <cellStyle name="Hed Side Indent 3 7 2 6 2" xfId="18923" xr:uid="{00000000-0005-0000-0000-000018510000}"/>
    <cellStyle name="Hed Side Indent 3 7 2 7" xfId="18924" xr:uid="{00000000-0005-0000-0000-000019510000}"/>
    <cellStyle name="Hed Side Indent 3 7 2 7 2" xfId="18925" xr:uid="{00000000-0005-0000-0000-00001A510000}"/>
    <cellStyle name="Hed Side Indent 3 7 2 8" xfId="18926" xr:uid="{00000000-0005-0000-0000-00001B510000}"/>
    <cellStyle name="Hed Side Indent 3 7 2 8 2" xfId="18927" xr:uid="{00000000-0005-0000-0000-00001C510000}"/>
    <cellStyle name="Hed Side Indent 3 7 2 9" xfId="18928" xr:uid="{00000000-0005-0000-0000-00001D510000}"/>
    <cellStyle name="Hed Side Indent 3 7 2 9 2" xfId="18929" xr:uid="{00000000-0005-0000-0000-00001E510000}"/>
    <cellStyle name="Hed Side Indent 3 7 3" xfId="18930" xr:uid="{00000000-0005-0000-0000-00001F510000}"/>
    <cellStyle name="Hed Side Indent 3 7 3 10" xfId="18931" xr:uid="{00000000-0005-0000-0000-000020510000}"/>
    <cellStyle name="Hed Side Indent 3 7 3 2" xfId="18932" xr:uid="{00000000-0005-0000-0000-000021510000}"/>
    <cellStyle name="Hed Side Indent 3 7 3 2 2" xfId="18933" xr:uid="{00000000-0005-0000-0000-000022510000}"/>
    <cellStyle name="Hed Side Indent 3 7 3 3" xfId="18934" xr:uid="{00000000-0005-0000-0000-000023510000}"/>
    <cellStyle name="Hed Side Indent 3 7 3 3 2" xfId="18935" xr:uid="{00000000-0005-0000-0000-000024510000}"/>
    <cellStyle name="Hed Side Indent 3 7 3 4" xfId="18936" xr:uid="{00000000-0005-0000-0000-000025510000}"/>
    <cellStyle name="Hed Side Indent 3 7 3 4 2" xfId="18937" xr:uid="{00000000-0005-0000-0000-000026510000}"/>
    <cellStyle name="Hed Side Indent 3 7 3 5" xfId="18938" xr:uid="{00000000-0005-0000-0000-000027510000}"/>
    <cellStyle name="Hed Side Indent 3 7 3 5 2" xfId="18939" xr:uid="{00000000-0005-0000-0000-000028510000}"/>
    <cellStyle name="Hed Side Indent 3 7 3 6" xfId="18940" xr:uid="{00000000-0005-0000-0000-000029510000}"/>
    <cellStyle name="Hed Side Indent 3 7 3 6 2" xfId="18941" xr:uid="{00000000-0005-0000-0000-00002A510000}"/>
    <cellStyle name="Hed Side Indent 3 7 3 7" xfId="18942" xr:uid="{00000000-0005-0000-0000-00002B510000}"/>
    <cellStyle name="Hed Side Indent 3 7 3 7 2" xfId="18943" xr:uid="{00000000-0005-0000-0000-00002C510000}"/>
    <cellStyle name="Hed Side Indent 3 7 3 8" xfId="18944" xr:uid="{00000000-0005-0000-0000-00002D510000}"/>
    <cellStyle name="Hed Side Indent 3 7 3 8 2" xfId="18945" xr:uid="{00000000-0005-0000-0000-00002E510000}"/>
    <cellStyle name="Hed Side Indent 3 7 3 9" xfId="18946" xr:uid="{00000000-0005-0000-0000-00002F510000}"/>
    <cellStyle name="Hed Side Indent 3 7 3 9 2" xfId="18947" xr:uid="{00000000-0005-0000-0000-000030510000}"/>
    <cellStyle name="Hed Side Indent 3 7 4" xfId="18948" xr:uid="{00000000-0005-0000-0000-000031510000}"/>
    <cellStyle name="Hed Side Indent 3 7 4 10" xfId="18949" xr:uid="{00000000-0005-0000-0000-000032510000}"/>
    <cellStyle name="Hed Side Indent 3 7 4 2" xfId="18950" xr:uid="{00000000-0005-0000-0000-000033510000}"/>
    <cellStyle name="Hed Side Indent 3 7 4 2 2" xfId="18951" xr:uid="{00000000-0005-0000-0000-000034510000}"/>
    <cellStyle name="Hed Side Indent 3 7 4 3" xfId="18952" xr:uid="{00000000-0005-0000-0000-000035510000}"/>
    <cellStyle name="Hed Side Indent 3 7 4 3 2" xfId="18953" xr:uid="{00000000-0005-0000-0000-000036510000}"/>
    <cellStyle name="Hed Side Indent 3 7 4 4" xfId="18954" xr:uid="{00000000-0005-0000-0000-000037510000}"/>
    <cellStyle name="Hed Side Indent 3 7 4 4 2" xfId="18955" xr:uid="{00000000-0005-0000-0000-000038510000}"/>
    <cellStyle name="Hed Side Indent 3 7 4 5" xfId="18956" xr:uid="{00000000-0005-0000-0000-000039510000}"/>
    <cellStyle name="Hed Side Indent 3 7 4 5 2" xfId="18957" xr:uid="{00000000-0005-0000-0000-00003A510000}"/>
    <cellStyle name="Hed Side Indent 3 7 4 6" xfId="18958" xr:uid="{00000000-0005-0000-0000-00003B510000}"/>
    <cellStyle name="Hed Side Indent 3 7 4 6 2" xfId="18959" xr:uid="{00000000-0005-0000-0000-00003C510000}"/>
    <cellStyle name="Hed Side Indent 3 7 4 7" xfId="18960" xr:uid="{00000000-0005-0000-0000-00003D510000}"/>
    <cellStyle name="Hed Side Indent 3 7 4 7 2" xfId="18961" xr:uid="{00000000-0005-0000-0000-00003E510000}"/>
    <cellStyle name="Hed Side Indent 3 7 4 8" xfId="18962" xr:uid="{00000000-0005-0000-0000-00003F510000}"/>
    <cellStyle name="Hed Side Indent 3 7 4 8 2" xfId="18963" xr:uid="{00000000-0005-0000-0000-000040510000}"/>
    <cellStyle name="Hed Side Indent 3 7 4 9" xfId="18964" xr:uid="{00000000-0005-0000-0000-000041510000}"/>
    <cellStyle name="Hed Side Indent 3 7 4 9 2" xfId="18965" xr:uid="{00000000-0005-0000-0000-000042510000}"/>
    <cellStyle name="Hed Side Indent 3 7 5" xfId="18966" xr:uid="{00000000-0005-0000-0000-000043510000}"/>
    <cellStyle name="Hed Side Indent 3 7 5 10" xfId="18967" xr:uid="{00000000-0005-0000-0000-000044510000}"/>
    <cellStyle name="Hed Side Indent 3 7 5 2" xfId="18968" xr:uid="{00000000-0005-0000-0000-000045510000}"/>
    <cellStyle name="Hed Side Indent 3 7 5 2 2" xfId="18969" xr:uid="{00000000-0005-0000-0000-000046510000}"/>
    <cellStyle name="Hed Side Indent 3 7 5 3" xfId="18970" xr:uid="{00000000-0005-0000-0000-000047510000}"/>
    <cellStyle name="Hed Side Indent 3 7 5 3 2" xfId="18971" xr:uid="{00000000-0005-0000-0000-000048510000}"/>
    <cellStyle name="Hed Side Indent 3 7 5 4" xfId="18972" xr:uid="{00000000-0005-0000-0000-000049510000}"/>
    <cellStyle name="Hed Side Indent 3 7 5 4 2" xfId="18973" xr:uid="{00000000-0005-0000-0000-00004A510000}"/>
    <cellStyle name="Hed Side Indent 3 7 5 5" xfId="18974" xr:uid="{00000000-0005-0000-0000-00004B510000}"/>
    <cellStyle name="Hed Side Indent 3 7 5 5 2" xfId="18975" xr:uid="{00000000-0005-0000-0000-00004C510000}"/>
    <cellStyle name="Hed Side Indent 3 7 5 6" xfId="18976" xr:uid="{00000000-0005-0000-0000-00004D510000}"/>
    <cellStyle name="Hed Side Indent 3 7 5 6 2" xfId="18977" xr:uid="{00000000-0005-0000-0000-00004E510000}"/>
    <cellStyle name="Hed Side Indent 3 7 5 7" xfId="18978" xr:uid="{00000000-0005-0000-0000-00004F510000}"/>
    <cellStyle name="Hed Side Indent 3 7 5 7 2" xfId="18979" xr:uid="{00000000-0005-0000-0000-000050510000}"/>
    <cellStyle name="Hed Side Indent 3 7 5 8" xfId="18980" xr:uid="{00000000-0005-0000-0000-000051510000}"/>
    <cellStyle name="Hed Side Indent 3 7 5 8 2" xfId="18981" xr:uid="{00000000-0005-0000-0000-000052510000}"/>
    <cellStyle name="Hed Side Indent 3 7 5 9" xfId="18982" xr:uid="{00000000-0005-0000-0000-000053510000}"/>
    <cellStyle name="Hed Side Indent 3 7 5 9 2" xfId="18983" xr:uid="{00000000-0005-0000-0000-000054510000}"/>
    <cellStyle name="Hed Side Indent 3 7 6" xfId="18984" xr:uid="{00000000-0005-0000-0000-000055510000}"/>
    <cellStyle name="Hed Side Indent 3 7 6 10" xfId="18985" xr:uid="{00000000-0005-0000-0000-000056510000}"/>
    <cellStyle name="Hed Side Indent 3 7 6 2" xfId="18986" xr:uid="{00000000-0005-0000-0000-000057510000}"/>
    <cellStyle name="Hed Side Indent 3 7 6 2 2" xfId="18987" xr:uid="{00000000-0005-0000-0000-000058510000}"/>
    <cellStyle name="Hed Side Indent 3 7 6 3" xfId="18988" xr:uid="{00000000-0005-0000-0000-000059510000}"/>
    <cellStyle name="Hed Side Indent 3 7 6 3 2" xfId="18989" xr:uid="{00000000-0005-0000-0000-00005A510000}"/>
    <cellStyle name="Hed Side Indent 3 7 6 4" xfId="18990" xr:uid="{00000000-0005-0000-0000-00005B510000}"/>
    <cellStyle name="Hed Side Indent 3 7 6 4 2" xfId="18991" xr:uid="{00000000-0005-0000-0000-00005C510000}"/>
    <cellStyle name="Hed Side Indent 3 7 6 5" xfId="18992" xr:uid="{00000000-0005-0000-0000-00005D510000}"/>
    <cellStyle name="Hed Side Indent 3 7 6 5 2" xfId="18993" xr:uid="{00000000-0005-0000-0000-00005E510000}"/>
    <cellStyle name="Hed Side Indent 3 7 6 6" xfId="18994" xr:uid="{00000000-0005-0000-0000-00005F510000}"/>
    <cellStyle name="Hed Side Indent 3 7 6 6 2" xfId="18995" xr:uid="{00000000-0005-0000-0000-000060510000}"/>
    <cellStyle name="Hed Side Indent 3 7 6 7" xfId="18996" xr:uid="{00000000-0005-0000-0000-000061510000}"/>
    <cellStyle name="Hed Side Indent 3 7 6 7 2" xfId="18997" xr:uid="{00000000-0005-0000-0000-000062510000}"/>
    <cellStyle name="Hed Side Indent 3 7 6 8" xfId="18998" xr:uid="{00000000-0005-0000-0000-000063510000}"/>
    <cellStyle name="Hed Side Indent 3 7 6 8 2" xfId="18999" xr:uid="{00000000-0005-0000-0000-000064510000}"/>
    <cellStyle name="Hed Side Indent 3 7 6 9" xfId="19000" xr:uid="{00000000-0005-0000-0000-000065510000}"/>
    <cellStyle name="Hed Side Indent 3 7 6 9 2" xfId="19001" xr:uid="{00000000-0005-0000-0000-000066510000}"/>
    <cellStyle name="Hed Side Indent 3 7 7" xfId="19002" xr:uid="{00000000-0005-0000-0000-000067510000}"/>
    <cellStyle name="Hed Side Indent 3 7 7 10" xfId="19003" xr:uid="{00000000-0005-0000-0000-000068510000}"/>
    <cellStyle name="Hed Side Indent 3 7 7 2" xfId="19004" xr:uid="{00000000-0005-0000-0000-000069510000}"/>
    <cellStyle name="Hed Side Indent 3 7 7 2 2" xfId="19005" xr:uid="{00000000-0005-0000-0000-00006A510000}"/>
    <cellStyle name="Hed Side Indent 3 7 7 3" xfId="19006" xr:uid="{00000000-0005-0000-0000-00006B510000}"/>
    <cellStyle name="Hed Side Indent 3 7 7 3 2" xfId="19007" xr:uid="{00000000-0005-0000-0000-00006C510000}"/>
    <cellStyle name="Hed Side Indent 3 7 7 4" xfId="19008" xr:uid="{00000000-0005-0000-0000-00006D510000}"/>
    <cellStyle name="Hed Side Indent 3 7 7 4 2" xfId="19009" xr:uid="{00000000-0005-0000-0000-00006E510000}"/>
    <cellStyle name="Hed Side Indent 3 7 7 5" xfId="19010" xr:uid="{00000000-0005-0000-0000-00006F510000}"/>
    <cellStyle name="Hed Side Indent 3 7 7 5 2" xfId="19011" xr:uid="{00000000-0005-0000-0000-000070510000}"/>
    <cellStyle name="Hed Side Indent 3 7 7 6" xfId="19012" xr:uid="{00000000-0005-0000-0000-000071510000}"/>
    <cellStyle name="Hed Side Indent 3 7 7 6 2" xfId="19013" xr:uid="{00000000-0005-0000-0000-000072510000}"/>
    <cellStyle name="Hed Side Indent 3 7 7 7" xfId="19014" xr:uid="{00000000-0005-0000-0000-000073510000}"/>
    <cellStyle name="Hed Side Indent 3 7 7 7 2" xfId="19015" xr:uid="{00000000-0005-0000-0000-000074510000}"/>
    <cellStyle name="Hed Side Indent 3 7 7 8" xfId="19016" xr:uid="{00000000-0005-0000-0000-000075510000}"/>
    <cellStyle name="Hed Side Indent 3 7 7 8 2" xfId="19017" xr:uid="{00000000-0005-0000-0000-000076510000}"/>
    <cellStyle name="Hed Side Indent 3 7 7 9" xfId="19018" xr:uid="{00000000-0005-0000-0000-000077510000}"/>
    <cellStyle name="Hed Side Indent 3 7 7 9 2" xfId="19019" xr:uid="{00000000-0005-0000-0000-000078510000}"/>
    <cellStyle name="Hed Side Indent 3 7 8" xfId="19020" xr:uid="{00000000-0005-0000-0000-000079510000}"/>
    <cellStyle name="Hed Side Indent 3 7 8 10" xfId="19021" xr:uid="{00000000-0005-0000-0000-00007A510000}"/>
    <cellStyle name="Hed Side Indent 3 7 8 2" xfId="19022" xr:uid="{00000000-0005-0000-0000-00007B510000}"/>
    <cellStyle name="Hed Side Indent 3 7 8 2 2" xfId="19023" xr:uid="{00000000-0005-0000-0000-00007C510000}"/>
    <cellStyle name="Hed Side Indent 3 7 8 3" xfId="19024" xr:uid="{00000000-0005-0000-0000-00007D510000}"/>
    <cellStyle name="Hed Side Indent 3 7 8 3 2" xfId="19025" xr:uid="{00000000-0005-0000-0000-00007E510000}"/>
    <cellStyle name="Hed Side Indent 3 7 8 4" xfId="19026" xr:uid="{00000000-0005-0000-0000-00007F510000}"/>
    <cellStyle name="Hed Side Indent 3 7 8 4 2" xfId="19027" xr:uid="{00000000-0005-0000-0000-000080510000}"/>
    <cellStyle name="Hed Side Indent 3 7 8 5" xfId="19028" xr:uid="{00000000-0005-0000-0000-000081510000}"/>
    <cellStyle name="Hed Side Indent 3 7 8 5 2" xfId="19029" xr:uid="{00000000-0005-0000-0000-000082510000}"/>
    <cellStyle name="Hed Side Indent 3 7 8 6" xfId="19030" xr:uid="{00000000-0005-0000-0000-000083510000}"/>
    <cellStyle name="Hed Side Indent 3 7 8 6 2" xfId="19031" xr:uid="{00000000-0005-0000-0000-000084510000}"/>
    <cellStyle name="Hed Side Indent 3 7 8 7" xfId="19032" xr:uid="{00000000-0005-0000-0000-000085510000}"/>
    <cellStyle name="Hed Side Indent 3 7 8 7 2" xfId="19033" xr:uid="{00000000-0005-0000-0000-000086510000}"/>
    <cellStyle name="Hed Side Indent 3 7 8 8" xfId="19034" xr:uid="{00000000-0005-0000-0000-000087510000}"/>
    <cellStyle name="Hed Side Indent 3 7 8 8 2" xfId="19035" xr:uid="{00000000-0005-0000-0000-000088510000}"/>
    <cellStyle name="Hed Side Indent 3 7 8 9" xfId="19036" xr:uid="{00000000-0005-0000-0000-000089510000}"/>
    <cellStyle name="Hed Side Indent 3 7 8 9 2" xfId="19037" xr:uid="{00000000-0005-0000-0000-00008A510000}"/>
    <cellStyle name="Hed Side Indent 3 7 9" xfId="19038" xr:uid="{00000000-0005-0000-0000-00008B510000}"/>
    <cellStyle name="Hed Side Indent 3 7 9 10" xfId="19039" xr:uid="{00000000-0005-0000-0000-00008C510000}"/>
    <cellStyle name="Hed Side Indent 3 7 9 2" xfId="19040" xr:uid="{00000000-0005-0000-0000-00008D510000}"/>
    <cellStyle name="Hed Side Indent 3 7 9 2 2" xfId="19041" xr:uid="{00000000-0005-0000-0000-00008E510000}"/>
    <cellStyle name="Hed Side Indent 3 7 9 3" xfId="19042" xr:uid="{00000000-0005-0000-0000-00008F510000}"/>
    <cellStyle name="Hed Side Indent 3 7 9 3 2" xfId="19043" xr:uid="{00000000-0005-0000-0000-000090510000}"/>
    <cellStyle name="Hed Side Indent 3 7 9 4" xfId="19044" xr:uid="{00000000-0005-0000-0000-000091510000}"/>
    <cellStyle name="Hed Side Indent 3 7 9 4 2" xfId="19045" xr:uid="{00000000-0005-0000-0000-000092510000}"/>
    <cellStyle name="Hed Side Indent 3 7 9 5" xfId="19046" xr:uid="{00000000-0005-0000-0000-000093510000}"/>
    <cellStyle name="Hed Side Indent 3 7 9 5 2" xfId="19047" xr:uid="{00000000-0005-0000-0000-000094510000}"/>
    <cellStyle name="Hed Side Indent 3 7 9 6" xfId="19048" xr:uid="{00000000-0005-0000-0000-000095510000}"/>
    <cellStyle name="Hed Side Indent 3 7 9 6 2" xfId="19049" xr:uid="{00000000-0005-0000-0000-000096510000}"/>
    <cellStyle name="Hed Side Indent 3 7 9 7" xfId="19050" xr:uid="{00000000-0005-0000-0000-000097510000}"/>
    <cellStyle name="Hed Side Indent 3 7 9 7 2" xfId="19051" xr:uid="{00000000-0005-0000-0000-000098510000}"/>
    <cellStyle name="Hed Side Indent 3 7 9 8" xfId="19052" xr:uid="{00000000-0005-0000-0000-000099510000}"/>
    <cellStyle name="Hed Side Indent 3 7 9 8 2" xfId="19053" xr:uid="{00000000-0005-0000-0000-00009A510000}"/>
    <cellStyle name="Hed Side Indent 3 7 9 9" xfId="19054" xr:uid="{00000000-0005-0000-0000-00009B510000}"/>
    <cellStyle name="Hed Side Indent 3 7 9 9 2" xfId="19055" xr:uid="{00000000-0005-0000-0000-00009C510000}"/>
    <cellStyle name="Hed Side Indent 3 8" xfId="19056" xr:uid="{00000000-0005-0000-0000-00009D510000}"/>
    <cellStyle name="Hed Side Indent 3 8 10" xfId="19057" xr:uid="{00000000-0005-0000-0000-00009E510000}"/>
    <cellStyle name="Hed Side Indent 3 8 10 2" xfId="19058" xr:uid="{00000000-0005-0000-0000-00009F510000}"/>
    <cellStyle name="Hed Side Indent 3 8 10 2 2" xfId="19059" xr:uid="{00000000-0005-0000-0000-0000A0510000}"/>
    <cellStyle name="Hed Side Indent 3 8 10 3" xfId="19060" xr:uid="{00000000-0005-0000-0000-0000A1510000}"/>
    <cellStyle name="Hed Side Indent 3 8 10 3 2" xfId="19061" xr:uid="{00000000-0005-0000-0000-0000A2510000}"/>
    <cellStyle name="Hed Side Indent 3 8 10 4" xfId="19062" xr:uid="{00000000-0005-0000-0000-0000A3510000}"/>
    <cellStyle name="Hed Side Indent 3 8 10 4 2" xfId="19063" xr:uid="{00000000-0005-0000-0000-0000A4510000}"/>
    <cellStyle name="Hed Side Indent 3 8 10 5" xfId="19064" xr:uid="{00000000-0005-0000-0000-0000A5510000}"/>
    <cellStyle name="Hed Side Indent 3 8 10 5 2" xfId="19065" xr:uid="{00000000-0005-0000-0000-0000A6510000}"/>
    <cellStyle name="Hed Side Indent 3 8 10 6" xfId="19066" xr:uid="{00000000-0005-0000-0000-0000A7510000}"/>
    <cellStyle name="Hed Side Indent 3 8 10 6 2" xfId="19067" xr:uid="{00000000-0005-0000-0000-0000A8510000}"/>
    <cellStyle name="Hed Side Indent 3 8 10 7" xfId="19068" xr:uid="{00000000-0005-0000-0000-0000A9510000}"/>
    <cellStyle name="Hed Side Indent 3 8 10 7 2" xfId="19069" xr:uid="{00000000-0005-0000-0000-0000AA510000}"/>
    <cellStyle name="Hed Side Indent 3 8 10 8" xfId="19070" xr:uid="{00000000-0005-0000-0000-0000AB510000}"/>
    <cellStyle name="Hed Side Indent 3 8 10 8 2" xfId="19071" xr:uid="{00000000-0005-0000-0000-0000AC510000}"/>
    <cellStyle name="Hed Side Indent 3 8 10 9" xfId="19072" xr:uid="{00000000-0005-0000-0000-0000AD510000}"/>
    <cellStyle name="Hed Side Indent 3 8 11" xfId="19073" xr:uid="{00000000-0005-0000-0000-0000AE510000}"/>
    <cellStyle name="Hed Side Indent 3 8 11 2" xfId="19074" xr:uid="{00000000-0005-0000-0000-0000AF510000}"/>
    <cellStyle name="Hed Side Indent 3 8 12" xfId="19075" xr:uid="{00000000-0005-0000-0000-0000B0510000}"/>
    <cellStyle name="Hed Side Indent 3 8 12 2" xfId="19076" xr:uid="{00000000-0005-0000-0000-0000B1510000}"/>
    <cellStyle name="Hed Side Indent 3 8 13" xfId="19077" xr:uid="{00000000-0005-0000-0000-0000B2510000}"/>
    <cellStyle name="Hed Side Indent 3 8 13 2" xfId="19078" xr:uid="{00000000-0005-0000-0000-0000B3510000}"/>
    <cellStyle name="Hed Side Indent 3 8 14" xfId="19079" xr:uid="{00000000-0005-0000-0000-0000B4510000}"/>
    <cellStyle name="Hed Side Indent 3 8 14 2" xfId="19080" xr:uid="{00000000-0005-0000-0000-0000B5510000}"/>
    <cellStyle name="Hed Side Indent 3 8 15" xfId="19081" xr:uid="{00000000-0005-0000-0000-0000B6510000}"/>
    <cellStyle name="Hed Side Indent 3 8 15 2" xfId="19082" xr:uid="{00000000-0005-0000-0000-0000B7510000}"/>
    <cellStyle name="Hed Side Indent 3 8 16" xfId="19083" xr:uid="{00000000-0005-0000-0000-0000B8510000}"/>
    <cellStyle name="Hed Side Indent 3 8 16 2" xfId="19084" xr:uid="{00000000-0005-0000-0000-0000B9510000}"/>
    <cellStyle name="Hed Side Indent 3 8 17" xfId="19085" xr:uid="{00000000-0005-0000-0000-0000BA510000}"/>
    <cellStyle name="Hed Side Indent 3 8 17 2" xfId="19086" xr:uid="{00000000-0005-0000-0000-0000BB510000}"/>
    <cellStyle name="Hed Side Indent 3 8 18" xfId="19087" xr:uid="{00000000-0005-0000-0000-0000BC510000}"/>
    <cellStyle name="Hed Side Indent 3 8 2" xfId="19088" xr:uid="{00000000-0005-0000-0000-0000BD510000}"/>
    <cellStyle name="Hed Side Indent 3 8 2 10" xfId="19089" xr:uid="{00000000-0005-0000-0000-0000BE510000}"/>
    <cellStyle name="Hed Side Indent 3 8 2 2" xfId="19090" xr:uid="{00000000-0005-0000-0000-0000BF510000}"/>
    <cellStyle name="Hed Side Indent 3 8 2 2 2" xfId="19091" xr:uid="{00000000-0005-0000-0000-0000C0510000}"/>
    <cellStyle name="Hed Side Indent 3 8 2 3" xfId="19092" xr:uid="{00000000-0005-0000-0000-0000C1510000}"/>
    <cellStyle name="Hed Side Indent 3 8 2 3 2" xfId="19093" xr:uid="{00000000-0005-0000-0000-0000C2510000}"/>
    <cellStyle name="Hed Side Indent 3 8 2 4" xfId="19094" xr:uid="{00000000-0005-0000-0000-0000C3510000}"/>
    <cellStyle name="Hed Side Indent 3 8 2 4 2" xfId="19095" xr:uid="{00000000-0005-0000-0000-0000C4510000}"/>
    <cellStyle name="Hed Side Indent 3 8 2 5" xfId="19096" xr:uid="{00000000-0005-0000-0000-0000C5510000}"/>
    <cellStyle name="Hed Side Indent 3 8 2 5 2" xfId="19097" xr:uid="{00000000-0005-0000-0000-0000C6510000}"/>
    <cellStyle name="Hed Side Indent 3 8 2 6" xfId="19098" xr:uid="{00000000-0005-0000-0000-0000C7510000}"/>
    <cellStyle name="Hed Side Indent 3 8 2 6 2" xfId="19099" xr:uid="{00000000-0005-0000-0000-0000C8510000}"/>
    <cellStyle name="Hed Side Indent 3 8 2 7" xfId="19100" xr:uid="{00000000-0005-0000-0000-0000C9510000}"/>
    <cellStyle name="Hed Side Indent 3 8 2 7 2" xfId="19101" xr:uid="{00000000-0005-0000-0000-0000CA510000}"/>
    <cellStyle name="Hed Side Indent 3 8 2 8" xfId="19102" xr:uid="{00000000-0005-0000-0000-0000CB510000}"/>
    <cellStyle name="Hed Side Indent 3 8 2 8 2" xfId="19103" xr:uid="{00000000-0005-0000-0000-0000CC510000}"/>
    <cellStyle name="Hed Side Indent 3 8 2 9" xfId="19104" xr:uid="{00000000-0005-0000-0000-0000CD510000}"/>
    <cellStyle name="Hed Side Indent 3 8 2 9 2" xfId="19105" xr:uid="{00000000-0005-0000-0000-0000CE510000}"/>
    <cellStyle name="Hed Side Indent 3 8 3" xfId="19106" xr:uid="{00000000-0005-0000-0000-0000CF510000}"/>
    <cellStyle name="Hed Side Indent 3 8 3 10" xfId="19107" xr:uid="{00000000-0005-0000-0000-0000D0510000}"/>
    <cellStyle name="Hed Side Indent 3 8 3 2" xfId="19108" xr:uid="{00000000-0005-0000-0000-0000D1510000}"/>
    <cellStyle name="Hed Side Indent 3 8 3 2 2" xfId="19109" xr:uid="{00000000-0005-0000-0000-0000D2510000}"/>
    <cellStyle name="Hed Side Indent 3 8 3 3" xfId="19110" xr:uid="{00000000-0005-0000-0000-0000D3510000}"/>
    <cellStyle name="Hed Side Indent 3 8 3 3 2" xfId="19111" xr:uid="{00000000-0005-0000-0000-0000D4510000}"/>
    <cellStyle name="Hed Side Indent 3 8 3 4" xfId="19112" xr:uid="{00000000-0005-0000-0000-0000D5510000}"/>
    <cellStyle name="Hed Side Indent 3 8 3 4 2" xfId="19113" xr:uid="{00000000-0005-0000-0000-0000D6510000}"/>
    <cellStyle name="Hed Side Indent 3 8 3 5" xfId="19114" xr:uid="{00000000-0005-0000-0000-0000D7510000}"/>
    <cellStyle name="Hed Side Indent 3 8 3 5 2" xfId="19115" xr:uid="{00000000-0005-0000-0000-0000D8510000}"/>
    <cellStyle name="Hed Side Indent 3 8 3 6" xfId="19116" xr:uid="{00000000-0005-0000-0000-0000D9510000}"/>
    <cellStyle name="Hed Side Indent 3 8 3 6 2" xfId="19117" xr:uid="{00000000-0005-0000-0000-0000DA510000}"/>
    <cellStyle name="Hed Side Indent 3 8 3 7" xfId="19118" xr:uid="{00000000-0005-0000-0000-0000DB510000}"/>
    <cellStyle name="Hed Side Indent 3 8 3 7 2" xfId="19119" xr:uid="{00000000-0005-0000-0000-0000DC510000}"/>
    <cellStyle name="Hed Side Indent 3 8 3 8" xfId="19120" xr:uid="{00000000-0005-0000-0000-0000DD510000}"/>
    <cellStyle name="Hed Side Indent 3 8 3 8 2" xfId="19121" xr:uid="{00000000-0005-0000-0000-0000DE510000}"/>
    <cellStyle name="Hed Side Indent 3 8 3 9" xfId="19122" xr:uid="{00000000-0005-0000-0000-0000DF510000}"/>
    <cellStyle name="Hed Side Indent 3 8 3 9 2" xfId="19123" xr:uid="{00000000-0005-0000-0000-0000E0510000}"/>
    <cellStyle name="Hed Side Indent 3 8 4" xfId="19124" xr:uid="{00000000-0005-0000-0000-0000E1510000}"/>
    <cellStyle name="Hed Side Indent 3 8 4 10" xfId="19125" xr:uid="{00000000-0005-0000-0000-0000E2510000}"/>
    <cellStyle name="Hed Side Indent 3 8 4 2" xfId="19126" xr:uid="{00000000-0005-0000-0000-0000E3510000}"/>
    <cellStyle name="Hed Side Indent 3 8 4 2 2" xfId="19127" xr:uid="{00000000-0005-0000-0000-0000E4510000}"/>
    <cellStyle name="Hed Side Indent 3 8 4 3" xfId="19128" xr:uid="{00000000-0005-0000-0000-0000E5510000}"/>
    <cellStyle name="Hed Side Indent 3 8 4 3 2" xfId="19129" xr:uid="{00000000-0005-0000-0000-0000E6510000}"/>
    <cellStyle name="Hed Side Indent 3 8 4 4" xfId="19130" xr:uid="{00000000-0005-0000-0000-0000E7510000}"/>
    <cellStyle name="Hed Side Indent 3 8 4 4 2" xfId="19131" xr:uid="{00000000-0005-0000-0000-0000E8510000}"/>
    <cellStyle name="Hed Side Indent 3 8 4 5" xfId="19132" xr:uid="{00000000-0005-0000-0000-0000E9510000}"/>
    <cellStyle name="Hed Side Indent 3 8 4 5 2" xfId="19133" xr:uid="{00000000-0005-0000-0000-0000EA510000}"/>
    <cellStyle name="Hed Side Indent 3 8 4 6" xfId="19134" xr:uid="{00000000-0005-0000-0000-0000EB510000}"/>
    <cellStyle name="Hed Side Indent 3 8 4 6 2" xfId="19135" xr:uid="{00000000-0005-0000-0000-0000EC510000}"/>
    <cellStyle name="Hed Side Indent 3 8 4 7" xfId="19136" xr:uid="{00000000-0005-0000-0000-0000ED510000}"/>
    <cellStyle name="Hed Side Indent 3 8 4 7 2" xfId="19137" xr:uid="{00000000-0005-0000-0000-0000EE510000}"/>
    <cellStyle name="Hed Side Indent 3 8 4 8" xfId="19138" xr:uid="{00000000-0005-0000-0000-0000EF510000}"/>
    <cellStyle name="Hed Side Indent 3 8 4 8 2" xfId="19139" xr:uid="{00000000-0005-0000-0000-0000F0510000}"/>
    <cellStyle name="Hed Side Indent 3 8 4 9" xfId="19140" xr:uid="{00000000-0005-0000-0000-0000F1510000}"/>
    <cellStyle name="Hed Side Indent 3 8 4 9 2" xfId="19141" xr:uid="{00000000-0005-0000-0000-0000F2510000}"/>
    <cellStyle name="Hed Side Indent 3 8 5" xfId="19142" xr:uid="{00000000-0005-0000-0000-0000F3510000}"/>
    <cellStyle name="Hed Side Indent 3 8 5 10" xfId="19143" xr:uid="{00000000-0005-0000-0000-0000F4510000}"/>
    <cellStyle name="Hed Side Indent 3 8 5 2" xfId="19144" xr:uid="{00000000-0005-0000-0000-0000F5510000}"/>
    <cellStyle name="Hed Side Indent 3 8 5 2 2" xfId="19145" xr:uid="{00000000-0005-0000-0000-0000F6510000}"/>
    <cellStyle name="Hed Side Indent 3 8 5 3" xfId="19146" xr:uid="{00000000-0005-0000-0000-0000F7510000}"/>
    <cellStyle name="Hed Side Indent 3 8 5 3 2" xfId="19147" xr:uid="{00000000-0005-0000-0000-0000F8510000}"/>
    <cellStyle name="Hed Side Indent 3 8 5 4" xfId="19148" xr:uid="{00000000-0005-0000-0000-0000F9510000}"/>
    <cellStyle name="Hed Side Indent 3 8 5 4 2" xfId="19149" xr:uid="{00000000-0005-0000-0000-0000FA510000}"/>
    <cellStyle name="Hed Side Indent 3 8 5 5" xfId="19150" xr:uid="{00000000-0005-0000-0000-0000FB510000}"/>
    <cellStyle name="Hed Side Indent 3 8 5 5 2" xfId="19151" xr:uid="{00000000-0005-0000-0000-0000FC510000}"/>
    <cellStyle name="Hed Side Indent 3 8 5 6" xfId="19152" xr:uid="{00000000-0005-0000-0000-0000FD510000}"/>
    <cellStyle name="Hed Side Indent 3 8 5 6 2" xfId="19153" xr:uid="{00000000-0005-0000-0000-0000FE510000}"/>
    <cellStyle name="Hed Side Indent 3 8 5 7" xfId="19154" xr:uid="{00000000-0005-0000-0000-0000FF510000}"/>
    <cellStyle name="Hed Side Indent 3 8 5 7 2" xfId="19155" xr:uid="{00000000-0005-0000-0000-000000520000}"/>
    <cellStyle name="Hed Side Indent 3 8 5 8" xfId="19156" xr:uid="{00000000-0005-0000-0000-000001520000}"/>
    <cellStyle name="Hed Side Indent 3 8 5 8 2" xfId="19157" xr:uid="{00000000-0005-0000-0000-000002520000}"/>
    <cellStyle name="Hed Side Indent 3 8 5 9" xfId="19158" xr:uid="{00000000-0005-0000-0000-000003520000}"/>
    <cellStyle name="Hed Side Indent 3 8 5 9 2" xfId="19159" xr:uid="{00000000-0005-0000-0000-000004520000}"/>
    <cellStyle name="Hed Side Indent 3 8 6" xfId="19160" xr:uid="{00000000-0005-0000-0000-000005520000}"/>
    <cellStyle name="Hed Side Indent 3 8 6 10" xfId="19161" xr:uid="{00000000-0005-0000-0000-000006520000}"/>
    <cellStyle name="Hed Side Indent 3 8 6 2" xfId="19162" xr:uid="{00000000-0005-0000-0000-000007520000}"/>
    <cellStyle name="Hed Side Indent 3 8 6 2 2" xfId="19163" xr:uid="{00000000-0005-0000-0000-000008520000}"/>
    <cellStyle name="Hed Side Indent 3 8 6 3" xfId="19164" xr:uid="{00000000-0005-0000-0000-000009520000}"/>
    <cellStyle name="Hed Side Indent 3 8 6 3 2" xfId="19165" xr:uid="{00000000-0005-0000-0000-00000A520000}"/>
    <cellStyle name="Hed Side Indent 3 8 6 4" xfId="19166" xr:uid="{00000000-0005-0000-0000-00000B520000}"/>
    <cellStyle name="Hed Side Indent 3 8 6 4 2" xfId="19167" xr:uid="{00000000-0005-0000-0000-00000C520000}"/>
    <cellStyle name="Hed Side Indent 3 8 6 5" xfId="19168" xr:uid="{00000000-0005-0000-0000-00000D520000}"/>
    <cellStyle name="Hed Side Indent 3 8 6 5 2" xfId="19169" xr:uid="{00000000-0005-0000-0000-00000E520000}"/>
    <cellStyle name="Hed Side Indent 3 8 6 6" xfId="19170" xr:uid="{00000000-0005-0000-0000-00000F520000}"/>
    <cellStyle name="Hed Side Indent 3 8 6 6 2" xfId="19171" xr:uid="{00000000-0005-0000-0000-000010520000}"/>
    <cellStyle name="Hed Side Indent 3 8 6 7" xfId="19172" xr:uid="{00000000-0005-0000-0000-000011520000}"/>
    <cellStyle name="Hed Side Indent 3 8 6 7 2" xfId="19173" xr:uid="{00000000-0005-0000-0000-000012520000}"/>
    <cellStyle name="Hed Side Indent 3 8 6 8" xfId="19174" xr:uid="{00000000-0005-0000-0000-000013520000}"/>
    <cellStyle name="Hed Side Indent 3 8 6 8 2" xfId="19175" xr:uid="{00000000-0005-0000-0000-000014520000}"/>
    <cellStyle name="Hed Side Indent 3 8 6 9" xfId="19176" xr:uid="{00000000-0005-0000-0000-000015520000}"/>
    <cellStyle name="Hed Side Indent 3 8 6 9 2" xfId="19177" xr:uid="{00000000-0005-0000-0000-000016520000}"/>
    <cellStyle name="Hed Side Indent 3 8 7" xfId="19178" xr:uid="{00000000-0005-0000-0000-000017520000}"/>
    <cellStyle name="Hed Side Indent 3 8 7 10" xfId="19179" xr:uid="{00000000-0005-0000-0000-000018520000}"/>
    <cellStyle name="Hed Side Indent 3 8 7 2" xfId="19180" xr:uid="{00000000-0005-0000-0000-000019520000}"/>
    <cellStyle name="Hed Side Indent 3 8 7 2 2" xfId="19181" xr:uid="{00000000-0005-0000-0000-00001A520000}"/>
    <cellStyle name="Hed Side Indent 3 8 7 3" xfId="19182" xr:uid="{00000000-0005-0000-0000-00001B520000}"/>
    <cellStyle name="Hed Side Indent 3 8 7 3 2" xfId="19183" xr:uid="{00000000-0005-0000-0000-00001C520000}"/>
    <cellStyle name="Hed Side Indent 3 8 7 4" xfId="19184" xr:uid="{00000000-0005-0000-0000-00001D520000}"/>
    <cellStyle name="Hed Side Indent 3 8 7 4 2" xfId="19185" xr:uid="{00000000-0005-0000-0000-00001E520000}"/>
    <cellStyle name="Hed Side Indent 3 8 7 5" xfId="19186" xr:uid="{00000000-0005-0000-0000-00001F520000}"/>
    <cellStyle name="Hed Side Indent 3 8 7 5 2" xfId="19187" xr:uid="{00000000-0005-0000-0000-000020520000}"/>
    <cellStyle name="Hed Side Indent 3 8 7 6" xfId="19188" xr:uid="{00000000-0005-0000-0000-000021520000}"/>
    <cellStyle name="Hed Side Indent 3 8 7 6 2" xfId="19189" xr:uid="{00000000-0005-0000-0000-000022520000}"/>
    <cellStyle name="Hed Side Indent 3 8 7 7" xfId="19190" xr:uid="{00000000-0005-0000-0000-000023520000}"/>
    <cellStyle name="Hed Side Indent 3 8 7 7 2" xfId="19191" xr:uid="{00000000-0005-0000-0000-000024520000}"/>
    <cellStyle name="Hed Side Indent 3 8 7 8" xfId="19192" xr:uid="{00000000-0005-0000-0000-000025520000}"/>
    <cellStyle name="Hed Side Indent 3 8 7 8 2" xfId="19193" xr:uid="{00000000-0005-0000-0000-000026520000}"/>
    <cellStyle name="Hed Side Indent 3 8 7 9" xfId="19194" xr:uid="{00000000-0005-0000-0000-000027520000}"/>
    <cellStyle name="Hed Side Indent 3 8 7 9 2" xfId="19195" xr:uid="{00000000-0005-0000-0000-000028520000}"/>
    <cellStyle name="Hed Side Indent 3 8 8" xfId="19196" xr:uid="{00000000-0005-0000-0000-000029520000}"/>
    <cellStyle name="Hed Side Indent 3 8 8 10" xfId="19197" xr:uid="{00000000-0005-0000-0000-00002A520000}"/>
    <cellStyle name="Hed Side Indent 3 8 8 2" xfId="19198" xr:uid="{00000000-0005-0000-0000-00002B520000}"/>
    <cellStyle name="Hed Side Indent 3 8 8 2 2" xfId="19199" xr:uid="{00000000-0005-0000-0000-00002C520000}"/>
    <cellStyle name="Hed Side Indent 3 8 8 3" xfId="19200" xr:uid="{00000000-0005-0000-0000-00002D520000}"/>
    <cellStyle name="Hed Side Indent 3 8 8 3 2" xfId="19201" xr:uid="{00000000-0005-0000-0000-00002E520000}"/>
    <cellStyle name="Hed Side Indent 3 8 8 4" xfId="19202" xr:uid="{00000000-0005-0000-0000-00002F520000}"/>
    <cellStyle name="Hed Side Indent 3 8 8 4 2" xfId="19203" xr:uid="{00000000-0005-0000-0000-000030520000}"/>
    <cellStyle name="Hed Side Indent 3 8 8 5" xfId="19204" xr:uid="{00000000-0005-0000-0000-000031520000}"/>
    <cellStyle name="Hed Side Indent 3 8 8 5 2" xfId="19205" xr:uid="{00000000-0005-0000-0000-000032520000}"/>
    <cellStyle name="Hed Side Indent 3 8 8 6" xfId="19206" xr:uid="{00000000-0005-0000-0000-000033520000}"/>
    <cellStyle name="Hed Side Indent 3 8 8 6 2" xfId="19207" xr:uid="{00000000-0005-0000-0000-000034520000}"/>
    <cellStyle name="Hed Side Indent 3 8 8 7" xfId="19208" xr:uid="{00000000-0005-0000-0000-000035520000}"/>
    <cellStyle name="Hed Side Indent 3 8 8 7 2" xfId="19209" xr:uid="{00000000-0005-0000-0000-000036520000}"/>
    <cellStyle name="Hed Side Indent 3 8 8 8" xfId="19210" xr:uid="{00000000-0005-0000-0000-000037520000}"/>
    <cellStyle name="Hed Side Indent 3 8 8 8 2" xfId="19211" xr:uid="{00000000-0005-0000-0000-000038520000}"/>
    <cellStyle name="Hed Side Indent 3 8 8 9" xfId="19212" xr:uid="{00000000-0005-0000-0000-000039520000}"/>
    <cellStyle name="Hed Side Indent 3 8 8 9 2" xfId="19213" xr:uid="{00000000-0005-0000-0000-00003A520000}"/>
    <cellStyle name="Hed Side Indent 3 8 9" xfId="19214" xr:uid="{00000000-0005-0000-0000-00003B520000}"/>
    <cellStyle name="Hed Side Indent 3 8 9 10" xfId="19215" xr:uid="{00000000-0005-0000-0000-00003C520000}"/>
    <cellStyle name="Hed Side Indent 3 8 9 2" xfId="19216" xr:uid="{00000000-0005-0000-0000-00003D520000}"/>
    <cellStyle name="Hed Side Indent 3 8 9 2 2" xfId="19217" xr:uid="{00000000-0005-0000-0000-00003E520000}"/>
    <cellStyle name="Hed Side Indent 3 8 9 3" xfId="19218" xr:uid="{00000000-0005-0000-0000-00003F520000}"/>
    <cellStyle name="Hed Side Indent 3 8 9 3 2" xfId="19219" xr:uid="{00000000-0005-0000-0000-000040520000}"/>
    <cellStyle name="Hed Side Indent 3 8 9 4" xfId="19220" xr:uid="{00000000-0005-0000-0000-000041520000}"/>
    <cellStyle name="Hed Side Indent 3 8 9 4 2" xfId="19221" xr:uid="{00000000-0005-0000-0000-000042520000}"/>
    <cellStyle name="Hed Side Indent 3 8 9 5" xfId="19222" xr:uid="{00000000-0005-0000-0000-000043520000}"/>
    <cellStyle name="Hed Side Indent 3 8 9 5 2" xfId="19223" xr:uid="{00000000-0005-0000-0000-000044520000}"/>
    <cellStyle name="Hed Side Indent 3 8 9 6" xfId="19224" xr:uid="{00000000-0005-0000-0000-000045520000}"/>
    <cellStyle name="Hed Side Indent 3 8 9 6 2" xfId="19225" xr:uid="{00000000-0005-0000-0000-000046520000}"/>
    <cellStyle name="Hed Side Indent 3 8 9 7" xfId="19226" xr:uid="{00000000-0005-0000-0000-000047520000}"/>
    <cellStyle name="Hed Side Indent 3 8 9 7 2" xfId="19227" xr:uid="{00000000-0005-0000-0000-000048520000}"/>
    <cellStyle name="Hed Side Indent 3 8 9 8" xfId="19228" xr:uid="{00000000-0005-0000-0000-000049520000}"/>
    <cellStyle name="Hed Side Indent 3 8 9 8 2" xfId="19229" xr:uid="{00000000-0005-0000-0000-00004A520000}"/>
    <cellStyle name="Hed Side Indent 3 8 9 9" xfId="19230" xr:uid="{00000000-0005-0000-0000-00004B520000}"/>
    <cellStyle name="Hed Side Indent 3 8 9 9 2" xfId="19231" xr:uid="{00000000-0005-0000-0000-00004C520000}"/>
    <cellStyle name="Hed Side Regular" xfId="76" xr:uid="{00000000-0005-0000-0000-00004D520000}"/>
    <cellStyle name="Hed Side Regular 2" xfId="170" xr:uid="{00000000-0005-0000-0000-00004E520000}"/>
    <cellStyle name="Hed Side Regular 2 2" xfId="19232" xr:uid="{00000000-0005-0000-0000-00004F520000}"/>
    <cellStyle name="Hed Side Regular 2 2 10" xfId="19233" xr:uid="{00000000-0005-0000-0000-000050520000}"/>
    <cellStyle name="Hed Side Regular 2 2 10 10" xfId="19234" xr:uid="{00000000-0005-0000-0000-000051520000}"/>
    <cellStyle name="Hed Side Regular 2 2 10 2" xfId="19235" xr:uid="{00000000-0005-0000-0000-000052520000}"/>
    <cellStyle name="Hed Side Regular 2 2 10 2 2" xfId="19236" xr:uid="{00000000-0005-0000-0000-000053520000}"/>
    <cellStyle name="Hed Side Regular 2 2 10 3" xfId="19237" xr:uid="{00000000-0005-0000-0000-000054520000}"/>
    <cellStyle name="Hed Side Regular 2 2 10 3 2" xfId="19238" xr:uid="{00000000-0005-0000-0000-000055520000}"/>
    <cellStyle name="Hed Side Regular 2 2 10 4" xfId="19239" xr:uid="{00000000-0005-0000-0000-000056520000}"/>
    <cellStyle name="Hed Side Regular 2 2 10 4 2" xfId="19240" xr:uid="{00000000-0005-0000-0000-000057520000}"/>
    <cellStyle name="Hed Side Regular 2 2 10 5" xfId="19241" xr:uid="{00000000-0005-0000-0000-000058520000}"/>
    <cellStyle name="Hed Side Regular 2 2 10 5 2" xfId="19242" xr:uid="{00000000-0005-0000-0000-000059520000}"/>
    <cellStyle name="Hed Side Regular 2 2 10 6" xfId="19243" xr:uid="{00000000-0005-0000-0000-00005A520000}"/>
    <cellStyle name="Hed Side Regular 2 2 10 6 2" xfId="19244" xr:uid="{00000000-0005-0000-0000-00005B520000}"/>
    <cellStyle name="Hed Side Regular 2 2 10 7" xfId="19245" xr:uid="{00000000-0005-0000-0000-00005C520000}"/>
    <cellStyle name="Hed Side Regular 2 2 10 7 2" xfId="19246" xr:uid="{00000000-0005-0000-0000-00005D520000}"/>
    <cellStyle name="Hed Side Regular 2 2 10 8" xfId="19247" xr:uid="{00000000-0005-0000-0000-00005E520000}"/>
    <cellStyle name="Hed Side Regular 2 2 10 8 2" xfId="19248" xr:uid="{00000000-0005-0000-0000-00005F520000}"/>
    <cellStyle name="Hed Side Regular 2 2 10 9" xfId="19249" xr:uid="{00000000-0005-0000-0000-000060520000}"/>
    <cellStyle name="Hed Side Regular 2 2 10 9 2" xfId="19250" xr:uid="{00000000-0005-0000-0000-000061520000}"/>
    <cellStyle name="Hed Side Regular 2 2 11" xfId="19251" xr:uid="{00000000-0005-0000-0000-000062520000}"/>
    <cellStyle name="Hed Side Regular 2 2 11 2" xfId="19252" xr:uid="{00000000-0005-0000-0000-000063520000}"/>
    <cellStyle name="Hed Side Regular 2 2 11 2 2" xfId="19253" xr:uid="{00000000-0005-0000-0000-000064520000}"/>
    <cellStyle name="Hed Side Regular 2 2 11 3" xfId="19254" xr:uid="{00000000-0005-0000-0000-000065520000}"/>
    <cellStyle name="Hed Side Regular 2 2 11 3 2" xfId="19255" xr:uid="{00000000-0005-0000-0000-000066520000}"/>
    <cellStyle name="Hed Side Regular 2 2 11 4" xfId="19256" xr:uid="{00000000-0005-0000-0000-000067520000}"/>
    <cellStyle name="Hed Side Regular 2 2 11 4 2" xfId="19257" xr:uid="{00000000-0005-0000-0000-000068520000}"/>
    <cellStyle name="Hed Side Regular 2 2 11 5" xfId="19258" xr:uid="{00000000-0005-0000-0000-000069520000}"/>
    <cellStyle name="Hed Side Regular 2 2 11 5 2" xfId="19259" xr:uid="{00000000-0005-0000-0000-00006A520000}"/>
    <cellStyle name="Hed Side Regular 2 2 11 6" xfId="19260" xr:uid="{00000000-0005-0000-0000-00006B520000}"/>
    <cellStyle name="Hed Side Regular 2 2 11 6 2" xfId="19261" xr:uid="{00000000-0005-0000-0000-00006C520000}"/>
    <cellStyle name="Hed Side Regular 2 2 11 7" xfId="19262" xr:uid="{00000000-0005-0000-0000-00006D520000}"/>
    <cellStyle name="Hed Side Regular 2 2 11 7 2" xfId="19263" xr:uid="{00000000-0005-0000-0000-00006E520000}"/>
    <cellStyle name="Hed Side Regular 2 2 11 8" xfId="19264" xr:uid="{00000000-0005-0000-0000-00006F520000}"/>
    <cellStyle name="Hed Side Regular 2 2 11 8 2" xfId="19265" xr:uid="{00000000-0005-0000-0000-000070520000}"/>
    <cellStyle name="Hed Side Regular 2 2 11 9" xfId="19266" xr:uid="{00000000-0005-0000-0000-000071520000}"/>
    <cellStyle name="Hed Side Regular 2 2 2" xfId="19267" xr:uid="{00000000-0005-0000-0000-000072520000}"/>
    <cellStyle name="Hed Side Regular 2 2 2 10" xfId="19268" xr:uid="{00000000-0005-0000-0000-000073520000}"/>
    <cellStyle name="Hed Side Regular 2 2 2 2" xfId="19269" xr:uid="{00000000-0005-0000-0000-000074520000}"/>
    <cellStyle name="Hed Side Regular 2 2 2 2 2" xfId="19270" xr:uid="{00000000-0005-0000-0000-000075520000}"/>
    <cellStyle name="Hed Side Regular 2 2 2 3" xfId="19271" xr:uid="{00000000-0005-0000-0000-000076520000}"/>
    <cellStyle name="Hed Side Regular 2 2 2 3 2" xfId="19272" xr:uid="{00000000-0005-0000-0000-000077520000}"/>
    <cellStyle name="Hed Side Regular 2 2 2 4" xfId="19273" xr:uid="{00000000-0005-0000-0000-000078520000}"/>
    <cellStyle name="Hed Side Regular 2 2 2 4 2" xfId="19274" xr:uid="{00000000-0005-0000-0000-000079520000}"/>
    <cellStyle name="Hed Side Regular 2 2 2 5" xfId="19275" xr:uid="{00000000-0005-0000-0000-00007A520000}"/>
    <cellStyle name="Hed Side Regular 2 2 2 5 2" xfId="19276" xr:uid="{00000000-0005-0000-0000-00007B520000}"/>
    <cellStyle name="Hed Side Regular 2 2 2 6" xfId="19277" xr:uid="{00000000-0005-0000-0000-00007C520000}"/>
    <cellStyle name="Hed Side Regular 2 2 2 6 2" xfId="19278" xr:uid="{00000000-0005-0000-0000-00007D520000}"/>
    <cellStyle name="Hed Side Regular 2 2 2 7" xfId="19279" xr:uid="{00000000-0005-0000-0000-00007E520000}"/>
    <cellStyle name="Hed Side Regular 2 2 2 7 2" xfId="19280" xr:uid="{00000000-0005-0000-0000-00007F520000}"/>
    <cellStyle name="Hed Side Regular 2 2 2 8" xfId="19281" xr:uid="{00000000-0005-0000-0000-000080520000}"/>
    <cellStyle name="Hed Side Regular 2 2 2 8 2" xfId="19282" xr:uid="{00000000-0005-0000-0000-000081520000}"/>
    <cellStyle name="Hed Side Regular 2 2 2 9" xfId="19283" xr:uid="{00000000-0005-0000-0000-000082520000}"/>
    <cellStyle name="Hed Side Regular 2 2 2 9 2" xfId="19284" xr:uid="{00000000-0005-0000-0000-000083520000}"/>
    <cellStyle name="Hed Side Regular 2 2 3" xfId="19285" xr:uid="{00000000-0005-0000-0000-000084520000}"/>
    <cellStyle name="Hed Side Regular 2 2 3 10" xfId="19286" xr:uid="{00000000-0005-0000-0000-000085520000}"/>
    <cellStyle name="Hed Side Regular 2 2 3 2" xfId="19287" xr:uid="{00000000-0005-0000-0000-000086520000}"/>
    <cellStyle name="Hed Side Regular 2 2 3 2 2" xfId="19288" xr:uid="{00000000-0005-0000-0000-000087520000}"/>
    <cellStyle name="Hed Side Regular 2 2 3 3" xfId="19289" xr:uid="{00000000-0005-0000-0000-000088520000}"/>
    <cellStyle name="Hed Side Regular 2 2 3 3 2" xfId="19290" xr:uid="{00000000-0005-0000-0000-000089520000}"/>
    <cellStyle name="Hed Side Regular 2 2 3 4" xfId="19291" xr:uid="{00000000-0005-0000-0000-00008A520000}"/>
    <cellStyle name="Hed Side Regular 2 2 3 4 2" xfId="19292" xr:uid="{00000000-0005-0000-0000-00008B520000}"/>
    <cellStyle name="Hed Side Regular 2 2 3 5" xfId="19293" xr:uid="{00000000-0005-0000-0000-00008C520000}"/>
    <cellStyle name="Hed Side Regular 2 2 3 5 2" xfId="19294" xr:uid="{00000000-0005-0000-0000-00008D520000}"/>
    <cellStyle name="Hed Side Regular 2 2 3 6" xfId="19295" xr:uid="{00000000-0005-0000-0000-00008E520000}"/>
    <cellStyle name="Hed Side Regular 2 2 3 6 2" xfId="19296" xr:uid="{00000000-0005-0000-0000-00008F520000}"/>
    <cellStyle name="Hed Side Regular 2 2 3 7" xfId="19297" xr:uid="{00000000-0005-0000-0000-000090520000}"/>
    <cellStyle name="Hed Side Regular 2 2 3 7 2" xfId="19298" xr:uid="{00000000-0005-0000-0000-000091520000}"/>
    <cellStyle name="Hed Side Regular 2 2 3 8" xfId="19299" xr:uid="{00000000-0005-0000-0000-000092520000}"/>
    <cellStyle name="Hed Side Regular 2 2 3 8 2" xfId="19300" xr:uid="{00000000-0005-0000-0000-000093520000}"/>
    <cellStyle name="Hed Side Regular 2 2 3 9" xfId="19301" xr:uid="{00000000-0005-0000-0000-000094520000}"/>
    <cellStyle name="Hed Side Regular 2 2 3 9 2" xfId="19302" xr:uid="{00000000-0005-0000-0000-000095520000}"/>
    <cellStyle name="Hed Side Regular 2 2 4" xfId="19303" xr:uid="{00000000-0005-0000-0000-000096520000}"/>
    <cellStyle name="Hed Side Regular 2 2 4 10" xfId="19304" xr:uid="{00000000-0005-0000-0000-000097520000}"/>
    <cellStyle name="Hed Side Regular 2 2 4 2" xfId="19305" xr:uid="{00000000-0005-0000-0000-000098520000}"/>
    <cellStyle name="Hed Side Regular 2 2 4 2 2" xfId="19306" xr:uid="{00000000-0005-0000-0000-000099520000}"/>
    <cellStyle name="Hed Side Regular 2 2 4 3" xfId="19307" xr:uid="{00000000-0005-0000-0000-00009A520000}"/>
    <cellStyle name="Hed Side Regular 2 2 4 3 2" xfId="19308" xr:uid="{00000000-0005-0000-0000-00009B520000}"/>
    <cellStyle name="Hed Side Regular 2 2 4 4" xfId="19309" xr:uid="{00000000-0005-0000-0000-00009C520000}"/>
    <cellStyle name="Hed Side Regular 2 2 4 4 2" xfId="19310" xr:uid="{00000000-0005-0000-0000-00009D520000}"/>
    <cellStyle name="Hed Side Regular 2 2 4 5" xfId="19311" xr:uid="{00000000-0005-0000-0000-00009E520000}"/>
    <cellStyle name="Hed Side Regular 2 2 4 5 2" xfId="19312" xr:uid="{00000000-0005-0000-0000-00009F520000}"/>
    <cellStyle name="Hed Side Regular 2 2 4 6" xfId="19313" xr:uid="{00000000-0005-0000-0000-0000A0520000}"/>
    <cellStyle name="Hed Side Regular 2 2 4 6 2" xfId="19314" xr:uid="{00000000-0005-0000-0000-0000A1520000}"/>
    <cellStyle name="Hed Side Regular 2 2 4 7" xfId="19315" xr:uid="{00000000-0005-0000-0000-0000A2520000}"/>
    <cellStyle name="Hed Side Regular 2 2 4 7 2" xfId="19316" xr:uid="{00000000-0005-0000-0000-0000A3520000}"/>
    <cellStyle name="Hed Side Regular 2 2 4 8" xfId="19317" xr:uid="{00000000-0005-0000-0000-0000A4520000}"/>
    <cellStyle name="Hed Side Regular 2 2 4 8 2" xfId="19318" xr:uid="{00000000-0005-0000-0000-0000A5520000}"/>
    <cellStyle name="Hed Side Regular 2 2 4 9" xfId="19319" xr:uid="{00000000-0005-0000-0000-0000A6520000}"/>
    <cellStyle name="Hed Side Regular 2 2 4 9 2" xfId="19320" xr:uid="{00000000-0005-0000-0000-0000A7520000}"/>
    <cellStyle name="Hed Side Regular 2 2 5" xfId="19321" xr:uid="{00000000-0005-0000-0000-0000A8520000}"/>
    <cellStyle name="Hed Side Regular 2 2 5 10" xfId="19322" xr:uid="{00000000-0005-0000-0000-0000A9520000}"/>
    <cellStyle name="Hed Side Regular 2 2 5 2" xfId="19323" xr:uid="{00000000-0005-0000-0000-0000AA520000}"/>
    <cellStyle name="Hed Side Regular 2 2 5 2 2" xfId="19324" xr:uid="{00000000-0005-0000-0000-0000AB520000}"/>
    <cellStyle name="Hed Side Regular 2 2 5 3" xfId="19325" xr:uid="{00000000-0005-0000-0000-0000AC520000}"/>
    <cellStyle name="Hed Side Regular 2 2 5 3 2" xfId="19326" xr:uid="{00000000-0005-0000-0000-0000AD520000}"/>
    <cellStyle name="Hed Side Regular 2 2 5 4" xfId="19327" xr:uid="{00000000-0005-0000-0000-0000AE520000}"/>
    <cellStyle name="Hed Side Regular 2 2 5 4 2" xfId="19328" xr:uid="{00000000-0005-0000-0000-0000AF520000}"/>
    <cellStyle name="Hed Side Regular 2 2 5 5" xfId="19329" xr:uid="{00000000-0005-0000-0000-0000B0520000}"/>
    <cellStyle name="Hed Side Regular 2 2 5 5 2" xfId="19330" xr:uid="{00000000-0005-0000-0000-0000B1520000}"/>
    <cellStyle name="Hed Side Regular 2 2 5 6" xfId="19331" xr:uid="{00000000-0005-0000-0000-0000B2520000}"/>
    <cellStyle name="Hed Side Regular 2 2 5 6 2" xfId="19332" xr:uid="{00000000-0005-0000-0000-0000B3520000}"/>
    <cellStyle name="Hed Side Regular 2 2 5 7" xfId="19333" xr:uid="{00000000-0005-0000-0000-0000B4520000}"/>
    <cellStyle name="Hed Side Regular 2 2 5 7 2" xfId="19334" xr:uid="{00000000-0005-0000-0000-0000B5520000}"/>
    <cellStyle name="Hed Side Regular 2 2 5 8" xfId="19335" xr:uid="{00000000-0005-0000-0000-0000B6520000}"/>
    <cellStyle name="Hed Side Regular 2 2 5 8 2" xfId="19336" xr:uid="{00000000-0005-0000-0000-0000B7520000}"/>
    <cellStyle name="Hed Side Regular 2 2 5 9" xfId="19337" xr:uid="{00000000-0005-0000-0000-0000B8520000}"/>
    <cellStyle name="Hed Side Regular 2 2 5 9 2" xfId="19338" xr:uid="{00000000-0005-0000-0000-0000B9520000}"/>
    <cellStyle name="Hed Side Regular 2 2 6" xfId="19339" xr:uid="{00000000-0005-0000-0000-0000BA520000}"/>
    <cellStyle name="Hed Side Regular 2 2 6 10" xfId="19340" xr:uid="{00000000-0005-0000-0000-0000BB520000}"/>
    <cellStyle name="Hed Side Regular 2 2 6 2" xfId="19341" xr:uid="{00000000-0005-0000-0000-0000BC520000}"/>
    <cellStyle name="Hed Side Regular 2 2 6 2 2" xfId="19342" xr:uid="{00000000-0005-0000-0000-0000BD520000}"/>
    <cellStyle name="Hed Side Regular 2 2 6 3" xfId="19343" xr:uid="{00000000-0005-0000-0000-0000BE520000}"/>
    <cellStyle name="Hed Side Regular 2 2 6 3 2" xfId="19344" xr:uid="{00000000-0005-0000-0000-0000BF520000}"/>
    <cellStyle name="Hed Side Regular 2 2 6 4" xfId="19345" xr:uid="{00000000-0005-0000-0000-0000C0520000}"/>
    <cellStyle name="Hed Side Regular 2 2 6 4 2" xfId="19346" xr:uid="{00000000-0005-0000-0000-0000C1520000}"/>
    <cellStyle name="Hed Side Regular 2 2 6 5" xfId="19347" xr:uid="{00000000-0005-0000-0000-0000C2520000}"/>
    <cellStyle name="Hed Side Regular 2 2 6 5 2" xfId="19348" xr:uid="{00000000-0005-0000-0000-0000C3520000}"/>
    <cellStyle name="Hed Side Regular 2 2 6 6" xfId="19349" xr:uid="{00000000-0005-0000-0000-0000C4520000}"/>
    <cellStyle name="Hed Side Regular 2 2 6 6 2" xfId="19350" xr:uid="{00000000-0005-0000-0000-0000C5520000}"/>
    <cellStyle name="Hed Side Regular 2 2 6 7" xfId="19351" xr:uid="{00000000-0005-0000-0000-0000C6520000}"/>
    <cellStyle name="Hed Side Regular 2 2 6 7 2" xfId="19352" xr:uid="{00000000-0005-0000-0000-0000C7520000}"/>
    <cellStyle name="Hed Side Regular 2 2 6 8" xfId="19353" xr:uid="{00000000-0005-0000-0000-0000C8520000}"/>
    <cellStyle name="Hed Side Regular 2 2 6 8 2" xfId="19354" xr:uid="{00000000-0005-0000-0000-0000C9520000}"/>
    <cellStyle name="Hed Side Regular 2 2 6 9" xfId="19355" xr:uid="{00000000-0005-0000-0000-0000CA520000}"/>
    <cellStyle name="Hed Side Regular 2 2 6 9 2" xfId="19356" xr:uid="{00000000-0005-0000-0000-0000CB520000}"/>
    <cellStyle name="Hed Side Regular 2 2 7" xfId="19357" xr:uid="{00000000-0005-0000-0000-0000CC520000}"/>
    <cellStyle name="Hed Side Regular 2 2 7 10" xfId="19358" xr:uid="{00000000-0005-0000-0000-0000CD520000}"/>
    <cellStyle name="Hed Side Regular 2 2 7 2" xfId="19359" xr:uid="{00000000-0005-0000-0000-0000CE520000}"/>
    <cellStyle name="Hed Side Regular 2 2 7 2 2" xfId="19360" xr:uid="{00000000-0005-0000-0000-0000CF520000}"/>
    <cellStyle name="Hed Side Regular 2 2 7 3" xfId="19361" xr:uid="{00000000-0005-0000-0000-0000D0520000}"/>
    <cellStyle name="Hed Side Regular 2 2 7 3 2" xfId="19362" xr:uid="{00000000-0005-0000-0000-0000D1520000}"/>
    <cellStyle name="Hed Side Regular 2 2 7 4" xfId="19363" xr:uid="{00000000-0005-0000-0000-0000D2520000}"/>
    <cellStyle name="Hed Side Regular 2 2 7 4 2" xfId="19364" xr:uid="{00000000-0005-0000-0000-0000D3520000}"/>
    <cellStyle name="Hed Side Regular 2 2 7 5" xfId="19365" xr:uid="{00000000-0005-0000-0000-0000D4520000}"/>
    <cellStyle name="Hed Side Regular 2 2 7 5 2" xfId="19366" xr:uid="{00000000-0005-0000-0000-0000D5520000}"/>
    <cellStyle name="Hed Side Regular 2 2 7 6" xfId="19367" xr:uid="{00000000-0005-0000-0000-0000D6520000}"/>
    <cellStyle name="Hed Side Regular 2 2 7 6 2" xfId="19368" xr:uid="{00000000-0005-0000-0000-0000D7520000}"/>
    <cellStyle name="Hed Side Regular 2 2 7 7" xfId="19369" xr:uid="{00000000-0005-0000-0000-0000D8520000}"/>
    <cellStyle name="Hed Side Regular 2 2 7 7 2" xfId="19370" xr:uid="{00000000-0005-0000-0000-0000D9520000}"/>
    <cellStyle name="Hed Side Regular 2 2 7 8" xfId="19371" xr:uid="{00000000-0005-0000-0000-0000DA520000}"/>
    <cellStyle name="Hed Side Regular 2 2 7 8 2" xfId="19372" xr:uid="{00000000-0005-0000-0000-0000DB520000}"/>
    <cellStyle name="Hed Side Regular 2 2 7 9" xfId="19373" xr:uid="{00000000-0005-0000-0000-0000DC520000}"/>
    <cellStyle name="Hed Side Regular 2 2 7 9 2" xfId="19374" xr:uid="{00000000-0005-0000-0000-0000DD520000}"/>
    <cellStyle name="Hed Side Regular 2 2 8" xfId="19375" xr:uid="{00000000-0005-0000-0000-0000DE520000}"/>
    <cellStyle name="Hed Side Regular 2 2 8 10" xfId="19376" xr:uid="{00000000-0005-0000-0000-0000DF520000}"/>
    <cellStyle name="Hed Side Regular 2 2 8 2" xfId="19377" xr:uid="{00000000-0005-0000-0000-0000E0520000}"/>
    <cellStyle name="Hed Side Regular 2 2 8 2 2" xfId="19378" xr:uid="{00000000-0005-0000-0000-0000E1520000}"/>
    <cellStyle name="Hed Side Regular 2 2 8 3" xfId="19379" xr:uid="{00000000-0005-0000-0000-0000E2520000}"/>
    <cellStyle name="Hed Side Regular 2 2 8 3 2" xfId="19380" xr:uid="{00000000-0005-0000-0000-0000E3520000}"/>
    <cellStyle name="Hed Side Regular 2 2 8 4" xfId="19381" xr:uid="{00000000-0005-0000-0000-0000E4520000}"/>
    <cellStyle name="Hed Side Regular 2 2 8 4 2" xfId="19382" xr:uid="{00000000-0005-0000-0000-0000E5520000}"/>
    <cellStyle name="Hed Side Regular 2 2 8 5" xfId="19383" xr:uid="{00000000-0005-0000-0000-0000E6520000}"/>
    <cellStyle name="Hed Side Regular 2 2 8 5 2" xfId="19384" xr:uid="{00000000-0005-0000-0000-0000E7520000}"/>
    <cellStyle name="Hed Side Regular 2 2 8 6" xfId="19385" xr:uid="{00000000-0005-0000-0000-0000E8520000}"/>
    <cellStyle name="Hed Side Regular 2 2 8 6 2" xfId="19386" xr:uid="{00000000-0005-0000-0000-0000E9520000}"/>
    <cellStyle name="Hed Side Regular 2 2 8 7" xfId="19387" xr:uid="{00000000-0005-0000-0000-0000EA520000}"/>
    <cellStyle name="Hed Side Regular 2 2 8 7 2" xfId="19388" xr:uid="{00000000-0005-0000-0000-0000EB520000}"/>
    <cellStyle name="Hed Side Regular 2 2 8 8" xfId="19389" xr:uid="{00000000-0005-0000-0000-0000EC520000}"/>
    <cellStyle name="Hed Side Regular 2 2 8 8 2" xfId="19390" xr:uid="{00000000-0005-0000-0000-0000ED520000}"/>
    <cellStyle name="Hed Side Regular 2 2 8 9" xfId="19391" xr:uid="{00000000-0005-0000-0000-0000EE520000}"/>
    <cellStyle name="Hed Side Regular 2 2 8 9 2" xfId="19392" xr:uid="{00000000-0005-0000-0000-0000EF520000}"/>
    <cellStyle name="Hed Side Regular 2 2 9" xfId="19393" xr:uid="{00000000-0005-0000-0000-0000F0520000}"/>
    <cellStyle name="Hed Side Regular 2 2 9 10" xfId="19394" xr:uid="{00000000-0005-0000-0000-0000F1520000}"/>
    <cellStyle name="Hed Side Regular 2 2 9 2" xfId="19395" xr:uid="{00000000-0005-0000-0000-0000F2520000}"/>
    <cellStyle name="Hed Side Regular 2 2 9 2 2" xfId="19396" xr:uid="{00000000-0005-0000-0000-0000F3520000}"/>
    <cellStyle name="Hed Side Regular 2 2 9 3" xfId="19397" xr:uid="{00000000-0005-0000-0000-0000F4520000}"/>
    <cellStyle name="Hed Side Regular 2 2 9 3 2" xfId="19398" xr:uid="{00000000-0005-0000-0000-0000F5520000}"/>
    <cellStyle name="Hed Side Regular 2 2 9 4" xfId="19399" xr:uid="{00000000-0005-0000-0000-0000F6520000}"/>
    <cellStyle name="Hed Side Regular 2 2 9 4 2" xfId="19400" xr:uid="{00000000-0005-0000-0000-0000F7520000}"/>
    <cellStyle name="Hed Side Regular 2 2 9 5" xfId="19401" xr:uid="{00000000-0005-0000-0000-0000F8520000}"/>
    <cellStyle name="Hed Side Regular 2 2 9 5 2" xfId="19402" xr:uid="{00000000-0005-0000-0000-0000F9520000}"/>
    <cellStyle name="Hed Side Regular 2 2 9 6" xfId="19403" xr:uid="{00000000-0005-0000-0000-0000FA520000}"/>
    <cellStyle name="Hed Side Regular 2 2 9 6 2" xfId="19404" xr:uid="{00000000-0005-0000-0000-0000FB520000}"/>
    <cellStyle name="Hed Side Regular 2 2 9 7" xfId="19405" xr:uid="{00000000-0005-0000-0000-0000FC520000}"/>
    <cellStyle name="Hed Side Regular 2 2 9 7 2" xfId="19406" xr:uid="{00000000-0005-0000-0000-0000FD520000}"/>
    <cellStyle name="Hed Side Regular 2 2 9 8" xfId="19407" xr:uid="{00000000-0005-0000-0000-0000FE520000}"/>
    <cellStyle name="Hed Side Regular 2 2 9 8 2" xfId="19408" xr:uid="{00000000-0005-0000-0000-0000FF520000}"/>
    <cellStyle name="Hed Side Regular 2 2 9 9" xfId="19409" xr:uid="{00000000-0005-0000-0000-000000530000}"/>
    <cellStyle name="Hed Side Regular 2 2 9 9 2" xfId="19410" xr:uid="{00000000-0005-0000-0000-000001530000}"/>
    <cellStyle name="Hed Side Regular 2 3" xfId="19411" xr:uid="{00000000-0005-0000-0000-000002530000}"/>
    <cellStyle name="Hed Side Regular 2 3 10" xfId="19412" xr:uid="{00000000-0005-0000-0000-000003530000}"/>
    <cellStyle name="Hed Side Regular 2 3 10 10" xfId="19413" xr:uid="{00000000-0005-0000-0000-000004530000}"/>
    <cellStyle name="Hed Side Regular 2 3 10 2" xfId="19414" xr:uid="{00000000-0005-0000-0000-000005530000}"/>
    <cellStyle name="Hed Side Regular 2 3 10 2 2" xfId="19415" xr:uid="{00000000-0005-0000-0000-000006530000}"/>
    <cellStyle name="Hed Side Regular 2 3 10 3" xfId="19416" xr:uid="{00000000-0005-0000-0000-000007530000}"/>
    <cellStyle name="Hed Side Regular 2 3 10 3 2" xfId="19417" xr:uid="{00000000-0005-0000-0000-000008530000}"/>
    <cellStyle name="Hed Side Regular 2 3 10 4" xfId="19418" xr:uid="{00000000-0005-0000-0000-000009530000}"/>
    <cellStyle name="Hed Side Regular 2 3 10 4 2" xfId="19419" xr:uid="{00000000-0005-0000-0000-00000A530000}"/>
    <cellStyle name="Hed Side Regular 2 3 10 5" xfId="19420" xr:uid="{00000000-0005-0000-0000-00000B530000}"/>
    <cellStyle name="Hed Side Regular 2 3 10 5 2" xfId="19421" xr:uid="{00000000-0005-0000-0000-00000C530000}"/>
    <cellStyle name="Hed Side Regular 2 3 10 6" xfId="19422" xr:uid="{00000000-0005-0000-0000-00000D530000}"/>
    <cellStyle name="Hed Side Regular 2 3 10 6 2" xfId="19423" xr:uid="{00000000-0005-0000-0000-00000E530000}"/>
    <cellStyle name="Hed Side Regular 2 3 10 7" xfId="19424" xr:uid="{00000000-0005-0000-0000-00000F530000}"/>
    <cellStyle name="Hed Side Regular 2 3 10 7 2" xfId="19425" xr:uid="{00000000-0005-0000-0000-000010530000}"/>
    <cellStyle name="Hed Side Regular 2 3 10 8" xfId="19426" xr:uid="{00000000-0005-0000-0000-000011530000}"/>
    <cellStyle name="Hed Side Regular 2 3 10 8 2" xfId="19427" xr:uid="{00000000-0005-0000-0000-000012530000}"/>
    <cellStyle name="Hed Side Regular 2 3 10 9" xfId="19428" xr:uid="{00000000-0005-0000-0000-000013530000}"/>
    <cellStyle name="Hed Side Regular 2 3 10 9 2" xfId="19429" xr:uid="{00000000-0005-0000-0000-000014530000}"/>
    <cellStyle name="Hed Side Regular 2 3 11" xfId="19430" xr:uid="{00000000-0005-0000-0000-000015530000}"/>
    <cellStyle name="Hed Side Regular 2 3 11 2" xfId="19431" xr:uid="{00000000-0005-0000-0000-000016530000}"/>
    <cellStyle name="Hed Side Regular 2 3 11 2 2" xfId="19432" xr:uid="{00000000-0005-0000-0000-000017530000}"/>
    <cellStyle name="Hed Side Regular 2 3 11 3" xfId="19433" xr:uid="{00000000-0005-0000-0000-000018530000}"/>
    <cellStyle name="Hed Side Regular 2 3 11 3 2" xfId="19434" xr:uid="{00000000-0005-0000-0000-000019530000}"/>
    <cellStyle name="Hed Side Regular 2 3 11 4" xfId="19435" xr:uid="{00000000-0005-0000-0000-00001A530000}"/>
    <cellStyle name="Hed Side Regular 2 3 11 4 2" xfId="19436" xr:uid="{00000000-0005-0000-0000-00001B530000}"/>
    <cellStyle name="Hed Side Regular 2 3 11 5" xfId="19437" xr:uid="{00000000-0005-0000-0000-00001C530000}"/>
    <cellStyle name="Hed Side Regular 2 3 11 5 2" xfId="19438" xr:uid="{00000000-0005-0000-0000-00001D530000}"/>
    <cellStyle name="Hed Side Regular 2 3 11 6" xfId="19439" xr:uid="{00000000-0005-0000-0000-00001E530000}"/>
    <cellStyle name="Hed Side Regular 2 3 11 6 2" xfId="19440" xr:uid="{00000000-0005-0000-0000-00001F530000}"/>
    <cellStyle name="Hed Side Regular 2 3 11 7" xfId="19441" xr:uid="{00000000-0005-0000-0000-000020530000}"/>
    <cellStyle name="Hed Side Regular 2 3 11 7 2" xfId="19442" xr:uid="{00000000-0005-0000-0000-000021530000}"/>
    <cellStyle name="Hed Side Regular 2 3 11 8" xfId="19443" xr:uid="{00000000-0005-0000-0000-000022530000}"/>
    <cellStyle name="Hed Side Regular 2 3 11 8 2" xfId="19444" xr:uid="{00000000-0005-0000-0000-000023530000}"/>
    <cellStyle name="Hed Side Regular 2 3 11 9" xfId="19445" xr:uid="{00000000-0005-0000-0000-000024530000}"/>
    <cellStyle name="Hed Side Regular 2 3 2" xfId="19446" xr:uid="{00000000-0005-0000-0000-000025530000}"/>
    <cellStyle name="Hed Side Regular 2 3 2 10" xfId="19447" xr:uid="{00000000-0005-0000-0000-000026530000}"/>
    <cellStyle name="Hed Side Regular 2 3 2 2" xfId="19448" xr:uid="{00000000-0005-0000-0000-000027530000}"/>
    <cellStyle name="Hed Side Regular 2 3 2 2 2" xfId="19449" xr:uid="{00000000-0005-0000-0000-000028530000}"/>
    <cellStyle name="Hed Side Regular 2 3 2 3" xfId="19450" xr:uid="{00000000-0005-0000-0000-000029530000}"/>
    <cellStyle name="Hed Side Regular 2 3 2 3 2" xfId="19451" xr:uid="{00000000-0005-0000-0000-00002A530000}"/>
    <cellStyle name="Hed Side Regular 2 3 2 4" xfId="19452" xr:uid="{00000000-0005-0000-0000-00002B530000}"/>
    <cellStyle name="Hed Side Regular 2 3 2 4 2" xfId="19453" xr:uid="{00000000-0005-0000-0000-00002C530000}"/>
    <cellStyle name="Hed Side Regular 2 3 2 5" xfId="19454" xr:uid="{00000000-0005-0000-0000-00002D530000}"/>
    <cellStyle name="Hed Side Regular 2 3 2 5 2" xfId="19455" xr:uid="{00000000-0005-0000-0000-00002E530000}"/>
    <cellStyle name="Hed Side Regular 2 3 2 6" xfId="19456" xr:uid="{00000000-0005-0000-0000-00002F530000}"/>
    <cellStyle name="Hed Side Regular 2 3 2 6 2" xfId="19457" xr:uid="{00000000-0005-0000-0000-000030530000}"/>
    <cellStyle name="Hed Side Regular 2 3 2 7" xfId="19458" xr:uid="{00000000-0005-0000-0000-000031530000}"/>
    <cellStyle name="Hed Side Regular 2 3 2 7 2" xfId="19459" xr:uid="{00000000-0005-0000-0000-000032530000}"/>
    <cellStyle name="Hed Side Regular 2 3 2 8" xfId="19460" xr:uid="{00000000-0005-0000-0000-000033530000}"/>
    <cellStyle name="Hed Side Regular 2 3 2 8 2" xfId="19461" xr:uid="{00000000-0005-0000-0000-000034530000}"/>
    <cellStyle name="Hed Side Regular 2 3 2 9" xfId="19462" xr:uid="{00000000-0005-0000-0000-000035530000}"/>
    <cellStyle name="Hed Side Regular 2 3 2 9 2" xfId="19463" xr:uid="{00000000-0005-0000-0000-000036530000}"/>
    <cellStyle name="Hed Side Regular 2 3 3" xfId="19464" xr:uid="{00000000-0005-0000-0000-000037530000}"/>
    <cellStyle name="Hed Side Regular 2 3 3 10" xfId="19465" xr:uid="{00000000-0005-0000-0000-000038530000}"/>
    <cellStyle name="Hed Side Regular 2 3 3 2" xfId="19466" xr:uid="{00000000-0005-0000-0000-000039530000}"/>
    <cellStyle name="Hed Side Regular 2 3 3 2 2" xfId="19467" xr:uid="{00000000-0005-0000-0000-00003A530000}"/>
    <cellStyle name="Hed Side Regular 2 3 3 3" xfId="19468" xr:uid="{00000000-0005-0000-0000-00003B530000}"/>
    <cellStyle name="Hed Side Regular 2 3 3 3 2" xfId="19469" xr:uid="{00000000-0005-0000-0000-00003C530000}"/>
    <cellStyle name="Hed Side Regular 2 3 3 4" xfId="19470" xr:uid="{00000000-0005-0000-0000-00003D530000}"/>
    <cellStyle name="Hed Side Regular 2 3 3 4 2" xfId="19471" xr:uid="{00000000-0005-0000-0000-00003E530000}"/>
    <cellStyle name="Hed Side Regular 2 3 3 5" xfId="19472" xr:uid="{00000000-0005-0000-0000-00003F530000}"/>
    <cellStyle name="Hed Side Regular 2 3 3 5 2" xfId="19473" xr:uid="{00000000-0005-0000-0000-000040530000}"/>
    <cellStyle name="Hed Side Regular 2 3 3 6" xfId="19474" xr:uid="{00000000-0005-0000-0000-000041530000}"/>
    <cellStyle name="Hed Side Regular 2 3 3 6 2" xfId="19475" xr:uid="{00000000-0005-0000-0000-000042530000}"/>
    <cellStyle name="Hed Side Regular 2 3 3 7" xfId="19476" xr:uid="{00000000-0005-0000-0000-000043530000}"/>
    <cellStyle name="Hed Side Regular 2 3 3 7 2" xfId="19477" xr:uid="{00000000-0005-0000-0000-000044530000}"/>
    <cellStyle name="Hed Side Regular 2 3 3 8" xfId="19478" xr:uid="{00000000-0005-0000-0000-000045530000}"/>
    <cellStyle name="Hed Side Regular 2 3 3 8 2" xfId="19479" xr:uid="{00000000-0005-0000-0000-000046530000}"/>
    <cellStyle name="Hed Side Regular 2 3 3 9" xfId="19480" xr:uid="{00000000-0005-0000-0000-000047530000}"/>
    <cellStyle name="Hed Side Regular 2 3 3 9 2" xfId="19481" xr:uid="{00000000-0005-0000-0000-000048530000}"/>
    <cellStyle name="Hed Side Regular 2 3 4" xfId="19482" xr:uid="{00000000-0005-0000-0000-000049530000}"/>
    <cellStyle name="Hed Side Regular 2 3 4 10" xfId="19483" xr:uid="{00000000-0005-0000-0000-00004A530000}"/>
    <cellStyle name="Hed Side Regular 2 3 4 2" xfId="19484" xr:uid="{00000000-0005-0000-0000-00004B530000}"/>
    <cellStyle name="Hed Side Regular 2 3 4 2 2" xfId="19485" xr:uid="{00000000-0005-0000-0000-00004C530000}"/>
    <cellStyle name="Hed Side Regular 2 3 4 3" xfId="19486" xr:uid="{00000000-0005-0000-0000-00004D530000}"/>
    <cellStyle name="Hed Side Regular 2 3 4 3 2" xfId="19487" xr:uid="{00000000-0005-0000-0000-00004E530000}"/>
    <cellStyle name="Hed Side Regular 2 3 4 4" xfId="19488" xr:uid="{00000000-0005-0000-0000-00004F530000}"/>
    <cellStyle name="Hed Side Regular 2 3 4 4 2" xfId="19489" xr:uid="{00000000-0005-0000-0000-000050530000}"/>
    <cellStyle name="Hed Side Regular 2 3 4 5" xfId="19490" xr:uid="{00000000-0005-0000-0000-000051530000}"/>
    <cellStyle name="Hed Side Regular 2 3 4 5 2" xfId="19491" xr:uid="{00000000-0005-0000-0000-000052530000}"/>
    <cellStyle name="Hed Side Regular 2 3 4 6" xfId="19492" xr:uid="{00000000-0005-0000-0000-000053530000}"/>
    <cellStyle name="Hed Side Regular 2 3 4 6 2" xfId="19493" xr:uid="{00000000-0005-0000-0000-000054530000}"/>
    <cellStyle name="Hed Side Regular 2 3 4 7" xfId="19494" xr:uid="{00000000-0005-0000-0000-000055530000}"/>
    <cellStyle name="Hed Side Regular 2 3 4 7 2" xfId="19495" xr:uid="{00000000-0005-0000-0000-000056530000}"/>
    <cellStyle name="Hed Side Regular 2 3 4 8" xfId="19496" xr:uid="{00000000-0005-0000-0000-000057530000}"/>
    <cellStyle name="Hed Side Regular 2 3 4 8 2" xfId="19497" xr:uid="{00000000-0005-0000-0000-000058530000}"/>
    <cellStyle name="Hed Side Regular 2 3 4 9" xfId="19498" xr:uid="{00000000-0005-0000-0000-000059530000}"/>
    <cellStyle name="Hed Side Regular 2 3 4 9 2" xfId="19499" xr:uid="{00000000-0005-0000-0000-00005A530000}"/>
    <cellStyle name="Hed Side Regular 2 3 5" xfId="19500" xr:uid="{00000000-0005-0000-0000-00005B530000}"/>
    <cellStyle name="Hed Side Regular 2 3 5 10" xfId="19501" xr:uid="{00000000-0005-0000-0000-00005C530000}"/>
    <cellStyle name="Hed Side Regular 2 3 5 2" xfId="19502" xr:uid="{00000000-0005-0000-0000-00005D530000}"/>
    <cellStyle name="Hed Side Regular 2 3 5 2 2" xfId="19503" xr:uid="{00000000-0005-0000-0000-00005E530000}"/>
    <cellStyle name="Hed Side Regular 2 3 5 3" xfId="19504" xr:uid="{00000000-0005-0000-0000-00005F530000}"/>
    <cellStyle name="Hed Side Regular 2 3 5 3 2" xfId="19505" xr:uid="{00000000-0005-0000-0000-000060530000}"/>
    <cellStyle name="Hed Side Regular 2 3 5 4" xfId="19506" xr:uid="{00000000-0005-0000-0000-000061530000}"/>
    <cellStyle name="Hed Side Regular 2 3 5 4 2" xfId="19507" xr:uid="{00000000-0005-0000-0000-000062530000}"/>
    <cellStyle name="Hed Side Regular 2 3 5 5" xfId="19508" xr:uid="{00000000-0005-0000-0000-000063530000}"/>
    <cellStyle name="Hed Side Regular 2 3 5 5 2" xfId="19509" xr:uid="{00000000-0005-0000-0000-000064530000}"/>
    <cellStyle name="Hed Side Regular 2 3 5 6" xfId="19510" xr:uid="{00000000-0005-0000-0000-000065530000}"/>
    <cellStyle name="Hed Side Regular 2 3 5 6 2" xfId="19511" xr:uid="{00000000-0005-0000-0000-000066530000}"/>
    <cellStyle name="Hed Side Regular 2 3 5 7" xfId="19512" xr:uid="{00000000-0005-0000-0000-000067530000}"/>
    <cellStyle name="Hed Side Regular 2 3 5 7 2" xfId="19513" xr:uid="{00000000-0005-0000-0000-000068530000}"/>
    <cellStyle name="Hed Side Regular 2 3 5 8" xfId="19514" xr:uid="{00000000-0005-0000-0000-000069530000}"/>
    <cellStyle name="Hed Side Regular 2 3 5 8 2" xfId="19515" xr:uid="{00000000-0005-0000-0000-00006A530000}"/>
    <cellStyle name="Hed Side Regular 2 3 5 9" xfId="19516" xr:uid="{00000000-0005-0000-0000-00006B530000}"/>
    <cellStyle name="Hed Side Regular 2 3 5 9 2" xfId="19517" xr:uid="{00000000-0005-0000-0000-00006C530000}"/>
    <cellStyle name="Hed Side Regular 2 3 6" xfId="19518" xr:uid="{00000000-0005-0000-0000-00006D530000}"/>
    <cellStyle name="Hed Side Regular 2 3 6 10" xfId="19519" xr:uid="{00000000-0005-0000-0000-00006E530000}"/>
    <cellStyle name="Hed Side Regular 2 3 6 2" xfId="19520" xr:uid="{00000000-0005-0000-0000-00006F530000}"/>
    <cellStyle name="Hed Side Regular 2 3 6 2 2" xfId="19521" xr:uid="{00000000-0005-0000-0000-000070530000}"/>
    <cellStyle name="Hed Side Regular 2 3 6 3" xfId="19522" xr:uid="{00000000-0005-0000-0000-000071530000}"/>
    <cellStyle name="Hed Side Regular 2 3 6 3 2" xfId="19523" xr:uid="{00000000-0005-0000-0000-000072530000}"/>
    <cellStyle name="Hed Side Regular 2 3 6 4" xfId="19524" xr:uid="{00000000-0005-0000-0000-000073530000}"/>
    <cellStyle name="Hed Side Regular 2 3 6 4 2" xfId="19525" xr:uid="{00000000-0005-0000-0000-000074530000}"/>
    <cellStyle name="Hed Side Regular 2 3 6 5" xfId="19526" xr:uid="{00000000-0005-0000-0000-000075530000}"/>
    <cellStyle name="Hed Side Regular 2 3 6 5 2" xfId="19527" xr:uid="{00000000-0005-0000-0000-000076530000}"/>
    <cellStyle name="Hed Side Regular 2 3 6 6" xfId="19528" xr:uid="{00000000-0005-0000-0000-000077530000}"/>
    <cellStyle name="Hed Side Regular 2 3 6 6 2" xfId="19529" xr:uid="{00000000-0005-0000-0000-000078530000}"/>
    <cellStyle name="Hed Side Regular 2 3 6 7" xfId="19530" xr:uid="{00000000-0005-0000-0000-000079530000}"/>
    <cellStyle name="Hed Side Regular 2 3 6 7 2" xfId="19531" xr:uid="{00000000-0005-0000-0000-00007A530000}"/>
    <cellStyle name="Hed Side Regular 2 3 6 8" xfId="19532" xr:uid="{00000000-0005-0000-0000-00007B530000}"/>
    <cellStyle name="Hed Side Regular 2 3 6 8 2" xfId="19533" xr:uid="{00000000-0005-0000-0000-00007C530000}"/>
    <cellStyle name="Hed Side Regular 2 3 6 9" xfId="19534" xr:uid="{00000000-0005-0000-0000-00007D530000}"/>
    <cellStyle name="Hed Side Regular 2 3 6 9 2" xfId="19535" xr:uid="{00000000-0005-0000-0000-00007E530000}"/>
    <cellStyle name="Hed Side Regular 2 3 7" xfId="19536" xr:uid="{00000000-0005-0000-0000-00007F530000}"/>
    <cellStyle name="Hed Side Regular 2 3 7 10" xfId="19537" xr:uid="{00000000-0005-0000-0000-000080530000}"/>
    <cellStyle name="Hed Side Regular 2 3 7 2" xfId="19538" xr:uid="{00000000-0005-0000-0000-000081530000}"/>
    <cellStyle name="Hed Side Regular 2 3 7 2 2" xfId="19539" xr:uid="{00000000-0005-0000-0000-000082530000}"/>
    <cellStyle name="Hed Side Regular 2 3 7 3" xfId="19540" xr:uid="{00000000-0005-0000-0000-000083530000}"/>
    <cellStyle name="Hed Side Regular 2 3 7 3 2" xfId="19541" xr:uid="{00000000-0005-0000-0000-000084530000}"/>
    <cellStyle name="Hed Side Regular 2 3 7 4" xfId="19542" xr:uid="{00000000-0005-0000-0000-000085530000}"/>
    <cellStyle name="Hed Side Regular 2 3 7 4 2" xfId="19543" xr:uid="{00000000-0005-0000-0000-000086530000}"/>
    <cellStyle name="Hed Side Regular 2 3 7 5" xfId="19544" xr:uid="{00000000-0005-0000-0000-000087530000}"/>
    <cellStyle name="Hed Side Regular 2 3 7 5 2" xfId="19545" xr:uid="{00000000-0005-0000-0000-000088530000}"/>
    <cellStyle name="Hed Side Regular 2 3 7 6" xfId="19546" xr:uid="{00000000-0005-0000-0000-000089530000}"/>
    <cellStyle name="Hed Side Regular 2 3 7 6 2" xfId="19547" xr:uid="{00000000-0005-0000-0000-00008A530000}"/>
    <cellStyle name="Hed Side Regular 2 3 7 7" xfId="19548" xr:uid="{00000000-0005-0000-0000-00008B530000}"/>
    <cellStyle name="Hed Side Regular 2 3 7 7 2" xfId="19549" xr:uid="{00000000-0005-0000-0000-00008C530000}"/>
    <cellStyle name="Hed Side Regular 2 3 7 8" xfId="19550" xr:uid="{00000000-0005-0000-0000-00008D530000}"/>
    <cellStyle name="Hed Side Regular 2 3 7 8 2" xfId="19551" xr:uid="{00000000-0005-0000-0000-00008E530000}"/>
    <cellStyle name="Hed Side Regular 2 3 7 9" xfId="19552" xr:uid="{00000000-0005-0000-0000-00008F530000}"/>
    <cellStyle name="Hed Side Regular 2 3 7 9 2" xfId="19553" xr:uid="{00000000-0005-0000-0000-000090530000}"/>
    <cellStyle name="Hed Side Regular 2 3 8" xfId="19554" xr:uid="{00000000-0005-0000-0000-000091530000}"/>
    <cellStyle name="Hed Side Regular 2 3 8 10" xfId="19555" xr:uid="{00000000-0005-0000-0000-000092530000}"/>
    <cellStyle name="Hed Side Regular 2 3 8 2" xfId="19556" xr:uid="{00000000-0005-0000-0000-000093530000}"/>
    <cellStyle name="Hed Side Regular 2 3 8 2 2" xfId="19557" xr:uid="{00000000-0005-0000-0000-000094530000}"/>
    <cellStyle name="Hed Side Regular 2 3 8 3" xfId="19558" xr:uid="{00000000-0005-0000-0000-000095530000}"/>
    <cellStyle name="Hed Side Regular 2 3 8 3 2" xfId="19559" xr:uid="{00000000-0005-0000-0000-000096530000}"/>
    <cellStyle name="Hed Side Regular 2 3 8 4" xfId="19560" xr:uid="{00000000-0005-0000-0000-000097530000}"/>
    <cellStyle name="Hed Side Regular 2 3 8 4 2" xfId="19561" xr:uid="{00000000-0005-0000-0000-000098530000}"/>
    <cellStyle name="Hed Side Regular 2 3 8 5" xfId="19562" xr:uid="{00000000-0005-0000-0000-000099530000}"/>
    <cellStyle name="Hed Side Regular 2 3 8 5 2" xfId="19563" xr:uid="{00000000-0005-0000-0000-00009A530000}"/>
    <cellStyle name="Hed Side Regular 2 3 8 6" xfId="19564" xr:uid="{00000000-0005-0000-0000-00009B530000}"/>
    <cellStyle name="Hed Side Regular 2 3 8 6 2" xfId="19565" xr:uid="{00000000-0005-0000-0000-00009C530000}"/>
    <cellStyle name="Hed Side Regular 2 3 8 7" xfId="19566" xr:uid="{00000000-0005-0000-0000-00009D530000}"/>
    <cellStyle name="Hed Side Regular 2 3 8 7 2" xfId="19567" xr:uid="{00000000-0005-0000-0000-00009E530000}"/>
    <cellStyle name="Hed Side Regular 2 3 8 8" xfId="19568" xr:uid="{00000000-0005-0000-0000-00009F530000}"/>
    <cellStyle name="Hed Side Regular 2 3 8 8 2" xfId="19569" xr:uid="{00000000-0005-0000-0000-0000A0530000}"/>
    <cellStyle name="Hed Side Regular 2 3 8 9" xfId="19570" xr:uid="{00000000-0005-0000-0000-0000A1530000}"/>
    <cellStyle name="Hed Side Regular 2 3 8 9 2" xfId="19571" xr:uid="{00000000-0005-0000-0000-0000A2530000}"/>
    <cellStyle name="Hed Side Regular 2 3 9" xfId="19572" xr:uid="{00000000-0005-0000-0000-0000A3530000}"/>
    <cellStyle name="Hed Side Regular 2 3 9 10" xfId="19573" xr:uid="{00000000-0005-0000-0000-0000A4530000}"/>
    <cellStyle name="Hed Side Regular 2 3 9 2" xfId="19574" xr:uid="{00000000-0005-0000-0000-0000A5530000}"/>
    <cellStyle name="Hed Side Regular 2 3 9 2 2" xfId="19575" xr:uid="{00000000-0005-0000-0000-0000A6530000}"/>
    <cellStyle name="Hed Side Regular 2 3 9 3" xfId="19576" xr:uid="{00000000-0005-0000-0000-0000A7530000}"/>
    <cellStyle name="Hed Side Regular 2 3 9 3 2" xfId="19577" xr:uid="{00000000-0005-0000-0000-0000A8530000}"/>
    <cellStyle name="Hed Side Regular 2 3 9 4" xfId="19578" xr:uid="{00000000-0005-0000-0000-0000A9530000}"/>
    <cellStyle name="Hed Side Regular 2 3 9 4 2" xfId="19579" xr:uid="{00000000-0005-0000-0000-0000AA530000}"/>
    <cellStyle name="Hed Side Regular 2 3 9 5" xfId="19580" xr:uid="{00000000-0005-0000-0000-0000AB530000}"/>
    <cellStyle name="Hed Side Regular 2 3 9 5 2" xfId="19581" xr:uid="{00000000-0005-0000-0000-0000AC530000}"/>
    <cellStyle name="Hed Side Regular 2 3 9 6" xfId="19582" xr:uid="{00000000-0005-0000-0000-0000AD530000}"/>
    <cellStyle name="Hed Side Regular 2 3 9 6 2" xfId="19583" xr:uid="{00000000-0005-0000-0000-0000AE530000}"/>
    <cellStyle name="Hed Side Regular 2 3 9 7" xfId="19584" xr:uid="{00000000-0005-0000-0000-0000AF530000}"/>
    <cellStyle name="Hed Side Regular 2 3 9 7 2" xfId="19585" xr:uid="{00000000-0005-0000-0000-0000B0530000}"/>
    <cellStyle name="Hed Side Regular 2 3 9 8" xfId="19586" xr:uid="{00000000-0005-0000-0000-0000B1530000}"/>
    <cellStyle name="Hed Side Regular 2 3 9 8 2" xfId="19587" xr:uid="{00000000-0005-0000-0000-0000B2530000}"/>
    <cellStyle name="Hed Side Regular 2 3 9 9" xfId="19588" xr:uid="{00000000-0005-0000-0000-0000B3530000}"/>
    <cellStyle name="Hed Side Regular 2 3 9 9 2" xfId="19589" xr:uid="{00000000-0005-0000-0000-0000B4530000}"/>
    <cellStyle name="Hed Side Regular 2 4" xfId="19590" xr:uid="{00000000-0005-0000-0000-0000B5530000}"/>
    <cellStyle name="Hed Side Regular 2 4 10" xfId="19591" xr:uid="{00000000-0005-0000-0000-0000B6530000}"/>
    <cellStyle name="Hed Side Regular 2 4 10 2" xfId="19592" xr:uid="{00000000-0005-0000-0000-0000B7530000}"/>
    <cellStyle name="Hed Side Regular 2 4 10 2 2" xfId="19593" xr:uid="{00000000-0005-0000-0000-0000B8530000}"/>
    <cellStyle name="Hed Side Regular 2 4 10 3" xfId="19594" xr:uid="{00000000-0005-0000-0000-0000B9530000}"/>
    <cellStyle name="Hed Side Regular 2 4 10 3 2" xfId="19595" xr:uid="{00000000-0005-0000-0000-0000BA530000}"/>
    <cellStyle name="Hed Side Regular 2 4 10 4" xfId="19596" xr:uid="{00000000-0005-0000-0000-0000BB530000}"/>
    <cellStyle name="Hed Side Regular 2 4 10 4 2" xfId="19597" xr:uid="{00000000-0005-0000-0000-0000BC530000}"/>
    <cellStyle name="Hed Side Regular 2 4 10 5" xfId="19598" xr:uid="{00000000-0005-0000-0000-0000BD530000}"/>
    <cellStyle name="Hed Side Regular 2 4 10 5 2" xfId="19599" xr:uid="{00000000-0005-0000-0000-0000BE530000}"/>
    <cellStyle name="Hed Side Regular 2 4 10 6" xfId="19600" xr:uid="{00000000-0005-0000-0000-0000BF530000}"/>
    <cellStyle name="Hed Side Regular 2 4 10 6 2" xfId="19601" xr:uid="{00000000-0005-0000-0000-0000C0530000}"/>
    <cellStyle name="Hed Side Regular 2 4 10 7" xfId="19602" xr:uid="{00000000-0005-0000-0000-0000C1530000}"/>
    <cellStyle name="Hed Side Regular 2 4 10 7 2" xfId="19603" xr:uid="{00000000-0005-0000-0000-0000C2530000}"/>
    <cellStyle name="Hed Side Regular 2 4 10 8" xfId="19604" xr:uid="{00000000-0005-0000-0000-0000C3530000}"/>
    <cellStyle name="Hed Side Regular 2 4 10 8 2" xfId="19605" xr:uid="{00000000-0005-0000-0000-0000C4530000}"/>
    <cellStyle name="Hed Side Regular 2 4 10 9" xfId="19606" xr:uid="{00000000-0005-0000-0000-0000C5530000}"/>
    <cellStyle name="Hed Side Regular 2 4 11" xfId="19607" xr:uid="{00000000-0005-0000-0000-0000C6530000}"/>
    <cellStyle name="Hed Side Regular 2 4 11 2" xfId="19608" xr:uid="{00000000-0005-0000-0000-0000C7530000}"/>
    <cellStyle name="Hed Side Regular 2 4 12" xfId="19609" xr:uid="{00000000-0005-0000-0000-0000C8530000}"/>
    <cellStyle name="Hed Side Regular 2 4 12 2" xfId="19610" xr:uid="{00000000-0005-0000-0000-0000C9530000}"/>
    <cellStyle name="Hed Side Regular 2 4 13" xfId="19611" xr:uid="{00000000-0005-0000-0000-0000CA530000}"/>
    <cellStyle name="Hed Side Regular 2 4 13 2" xfId="19612" xr:uid="{00000000-0005-0000-0000-0000CB530000}"/>
    <cellStyle name="Hed Side Regular 2 4 14" xfId="19613" xr:uid="{00000000-0005-0000-0000-0000CC530000}"/>
    <cellStyle name="Hed Side Regular 2 4 14 2" xfId="19614" xr:uid="{00000000-0005-0000-0000-0000CD530000}"/>
    <cellStyle name="Hed Side Regular 2 4 15" xfId="19615" xr:uid="{00000000-0005-0000-0000-0000CE530000}"/>
    <cellStyle name="Hed Side Regular 2 4 15 2" xfId="19616" xr:uid="{00000000-0005-0000-0000-0000CF530000}"/>
    <cellStyle name="Hed Side Regular 2 4 16" xfId="19617" xr:uid="{00000000-0005-0000-0000-0000D0530000}"/>
    <cellStyle name="Hed Side Regular 2 4 16 2" xfId="19618" xr:uid="{00000000-0005-0000-0000-0000D1530000}"/>
    <cellStyle name="Hed Side Regular 2 4 17" xfId="19619" xr:uid="{00000000-0005-0000-0000-0000D2530000}"/>
    <cellStyle name="Hed Side Regular 2 4 17 2" xfId="19620" xr:uid="{00000000-0005-0000-0000-0000D3530000}"/>
    <cellStyle name="Hed Side Regular 2 4 18" xfId="19621" xr:uid="{00000000-0005-0000-0000-0000D4530000}"/>
    <cellStyle name="Hed Side Regular 2 4 2" xfId="19622" xr:uid="{00000000-0005-0000-0000-0000D5530000}"/>
    <cellStyle name="Hed Side Regular 2 4 2 10" xfId="19623" xr:uid="{00000000-0005-0000-0000-0000D6530000}"/>
    <cellStyle name="Hed Side Regular 2 4 2 2" xfId="19624" xr:uid="{00000000-0005-0000-0000-0000D7530000}"/>
    <cellStyle name="Hed Side Regular 2 4 2 2 2" xfId="19625" xr:uid="{00000000-0005-0000-0000-0000D8530000}"/>
    <cellStyle name="Hed Side Regular 2 4 2 3" xfId="19626" xr:uid="{00000000-0005-0000-0000-0000D9530000}"/>
    <cellStyle name="Hed Side Regular 2 4 2 3 2" xfId="19627" xr:uid="{00000000-0005-0000-0000-0000DA530000}"/>
    <cellStyle name="Hed Side Regular 2 4 2 4" xfId="19628" xr:uid="{00000000-0005-0000-0000-0000DB530000}"/>
    <cellStyle name="Hed Side Regular 2 4 2 4 2" xfId="19629" xr:uid="{00000000-0005-0000-0000-0000DC530000}"/>
    <cellStyle name="Hed Side Regular 2 4 2 5" xfId="19630" xr:uid="{00000000-0005-0000-0000-0000DD530000}"/>
    <cellStyle name="Hed Side Regular 2 4 2 5 2" xfId="19631" xr:uid="{00000000-0005-0000-0000-0000DE530000}"/>
    <cellStyle name="Hed Side Regular 2 4 2 6" xfId="19632" xr:uid="{00000000-0005-0000-0000-0000DF530000}"/>
    <cellStyle name="Hed Side Regular 2 4 2 6 2" xfId="19633" xr:uid="{00000000-0005-0000-0000-0000E0530000}"/>
    <cellStyle name="Hed Side Regular 2 4 2 7" xfId="19634" xr:uid="{00000000-0005-0000-0000-0000E1530000}"/>
    <cellStyle name="Hed Side Regular 2 4 2 7 2" xfId="19635" xr:uid="{00000000-0005-0000-0000-0000E2530000}"/>
    <cellStyle name="Hed Side Regular 2 4 2 8" xfId="19636" xr:uid="{00000000-0005-0000-0000-0000E3530000}"/>
    <cellStyle name="Hed Side Regular 2 4 2 8 2" xfId="19637" xr:uid="{00000000-0005-0000-0000-0000E4530000}"/>
    <cellStyle name="Hed Side Regular 2 4 2 9" xfId="19638" xr:uid="{00000000-0005-0000-0000-0000E5530000}"/>
    <cellStyle name="Hed Side Regular 2 4 2 9 2" xfId="19639" xr:uid="{00000000-0005-0000-0000-0000E6530000}"/>
    <cellStyle name="Hed Side Regular 2 4 3" xfId="19640" xr:uid="{00000000-0005-0000-0000-0000E7530000}"/>
    <cellStyle name="Hed Side Regular 2 4 3 10" xfId="19641" xr:uid="{00000000-0005-0000-0000-0000E8530000}"/>
    <cellStyle name="Hed Side Regular 2 4 3 2" xfId="19642" xr:uid="{00000000-0005-0000-0000-0000E9530000}"/>
    <cellStyle name="Hed Side Regular 2 4 3 2 2" xfId="19643" xr:uid="{00000000-0005-0000-0000-0000EA530000}"/>
    <cellStyle name="Hed Side Regular 2 4 3 3" xfId="19644" xr:uid="{00000000-0005-0000-0000-0000EB530000}"/>
    <cellStyle name="Hed Side Regular 2 4 3 3 2" xfId="19645" xr:uid="{00000000-0005-0000-0000-0000EC530000}"/>
    <cellStyle name="Hed Side Regular 2 4 3 4" xfId="19646" xr:uid="{00000000-0005-0000-0000-0000ED530000}"/>
    <cellStyle name="Hed Side Regular 2 4 3 4 2" xfId="19647" xr:uid="{00000000-0005-0000-0000-0000EE530000}"/>
    <cellStyle name="Hed Side Regular 2 4 3 5" xfId="19648" xr:uid="{00000000-0005-0000-0000-0000EF530000}"/>
    <cellStyle name="Hed Side Regular 2 4 3 5 2" xfId="19649" xr:uid="{00000000-0005-0000-0000-0000F0530000}"/>
    <cellStyle name="Hed Side Regular 2 4 3 6" xfId="19650" xr:uid="{00000000-0005-0000-0000-0000F1530000}"/>
    <cellStyle name="Hed Side Regular 2 4 3 6 2" xfId="19651" xr:uid="{00000000-0005-0000-0000-0000F2530000}"/>
    <cellStyle name="Hed Side Regular 2 4 3 7" xfId="19652" xr:uid="{00000000-0005-0000-0000-0000F3530000}"/>
    <cellStyle name="Hed Side Regular 2 4 3 7 2" xfId="19653" xr:uid="{00000000-0005-0000-0000-0000F4530000}"/>
    <cellStyle name="Hed Side Regular 2 4 3 8" xfId="19654" xr:uid="{00000000-0005-0000-0000-0000F5530000}"/>
    <cellStyle name="Hed Side Regular 2 4 3 8 2" xfId="19655" xr:uid="{00000000-0005-0000-0000-0000F6530000}"/>
    <cellStyle name="Hed Side Regular 2 4 3 9" xfId="19656" xr:uid="{00000000-0005-0000-0000-0000F7530000}"/>
    <cellStyle name="Hed Side Regular 2 4 3 9 2" xfId="19657" xr:uid="{00000000-0005-0000-0000-0000F8530000}"/>
    <cellStyle name="Hed Side Regular 2 4 4" xfId="19658" xr:uid="{00000000-0005-0000-0000-0000F9530000}"/>
    <cellStyle name="Hed Side Regular 2 4 4 10" xfId="19659" xr:uid="{00000000-0005-0000-0000-0000FA530000}"/>
    <cellStyle name="Hed Side Regular 2 4 4 2" xfId="19660" xr:uid="{00000000-0005-0000-0000-0000FB530000}"/>
    <cellStyle name="Hed Side Regular 2 4 4 2 2" xfId="19661" xr:uid="{00000000-0005-0000-0000-0000FC530000}"/>
    <cellStyle name="Hed Side Regular 2 4 4 3" xfId="19662" xr:uid="{00000000-0005-0000-0000-0000FD530000}"/>
    <cellStyle name="Hed Side Regular 2 4 4 3 2" xfId="19663" xr:uid="{00000000-0005-0000-0000-0000FE530000}"/>
    <cellStyle name="Hed Side Regular 2 4 4 4" xfId="19664" xr:uid="{00000000-0005-0000-0000-0000FF530000}"/>
    <cellStyle name="Hed Side Regular 2 4 4 4 2" xfId="19665" xr:uid="{00000000-0005-0000-0000-000000540000}"/>
    <cellStyle name="Hed Side Regular 2 4 4 5" xfId="19666" xr:uid="{00000000-0005-0000-0000-000001540000}"/>
    <cellStyle name="Hed Side Regular 2 4 4 5 2" xfId="19667" xr:uid="{00000000-0005-0000-0000-000002540000}"/>
    <cellStyle name="Hed Side Regular 2 4 4 6" xfId="19668" xr:uid="{00000000-0005-0000-0000-000003540000}"/>
    <cellStyle name="Hed Side Regular 2 4 4 6 2" xfId="19669" xr:uid="{00000000-0005-0000-0000-000004540000}"/>
    <cellStyle name="Hed Side Regular 2 4 4 7" xfId="19670" xr:uid="{00000000-0005-0000-0000-000005540000}"/>
    <cellStyle name="Hed Side Regular 2 4 4 7 2" xfId="19671" xr:uid="{00000000-0005-0000-0000-000006540000}"/>
    <cellStyle name="Hed Side Regular 2 4 4 8" xfId="19672" xr:uid="{00000000-0005-0000-0000-000007540000}"/>
    <cellStyle name="Hed Side Regular 2 4 4 8 2" xfId="19673" xr:uid="{00000000-0005-0000-0000-000008540000}"/>
    <cellStyle name="Hed Side Regular 2 4 4 9" xfId="19674" xr:uid="{00000000-0005-0000-0000-000009540000}"/>
    <cellStyle name="Hed Side Regular 2 4 4 9 2" xfId="19675" xr:uid="{00000000-0005-0000-0000-00000A540000}"/>
    <cellStyle name="Hed Side Regular 2 4 5" xfId="19676" xr:uid="{00000000-0005-0000-0000-00000B540000}"/>
    <cellStyle name="Hed Side Regular 2 4 5 10" xfId="19677" xr:uid="{00000000-0005-0000-0000-00000C540000}"/>
    <cellStyle name="Hed Side Regular 2 4 5 2" xfId="19678" xr:uid="{00000000-0005-0000-0000-00000D540000}"/>
    <cellStyle name="Hed Side Regular 2 4 5 2 2" xfId="19679" xr:uid="{00000000-0005-0000-0000-00000E540000}"/>
    <cellStyle name="Hed Side Regular 2 4 5 3" xfId="19680" xr:uid="{00000000-0005-0000-0000-00000F540000}"/>
    <cellStyle name="Hed Side Regular 2 4 5 3 2" xfId="19681" xr:uid="{00000000-0005-0000-0000-000010540000}"/>
    <cellStyle name="Hed Side Regular 2 4 5 4" xfId="19682" xr:uid="{00000000-0005-0000-0000-000011540000}"/>
    <cellStyle name="Hed Side Regular 2 4 5 4 2" xfId="19683" xr:uid="{00000000-0005-0000-0000-000012540000}"/>
    <cellStyle name="Hed Side Regular 2 4 5 5" xfId="19684" xr:uid="{00000000-0005-0000-0000-000013540000}"/>
    <cellStyle name="Hed Side Regular 2 4 5 5 2" xfId="19685" xr:uid="{00000000-0005-0000-0000-000014540000}"/>
    <cellStyle name="Hed Side Regular 2 4 5 6" xfId="19686" xr:uid="{00000000-0005-0000-0000-000015540000}"/>
    <cellStyle name="Hed Side Regular 2 4 5 6 2" xfId="19687" xr:uid="{00000000-0005-0000-0000-000016540000}"/>
    <cellStyle name="Hed Side Regular 2 4 5 7" xfId="19688" xr:uid="{00000000-0005-0000-0000-000017540000}"/>
    <cellStyle name="Hed Side Regular 2 4 5 7 2" xfId="19689" xr:uid="{00000000-0005-0000-0000-000018540000}"/>
    <cellStyle name="Hed Side Regular 2 4 5 8" xfId="19690" xr:uid="{00000000-0005-0000-0000-000019540000}"/>
    <cellStyle name="Hed Side Regular 2 4 5 8 2" xfId="19691" xr:uid="{00000000-0005-0000-0000-00001A540000}"/>
    <cellStyle name="Hed Side Regular 2 4 5 9" xfId="19692" xr:uid="{00000000-0005-0000-0000-00001B540000}"/>
    <cellStyle name="Hed Side Regular 2 4 5 9 2" xfId="19693" xr:uid="{00000000-0005-0000-0000-00001C540000}"/>
    <cellStyle name="Hed Side Regular 2 4 6" xfId="19694" xr:uid="{00000000-0005-0000-0000-00001D540000}"/>
    <cellStyle name="Hed Side Regular 2 4 6 10" xfId="19695" xr:uid="{00000000-0005-0000-0000-00001E540000}"/>
    <cellStyle name="Hed Side Regular 2 4 6 2" xfId="19696" xr:uid="{00000000-0005-0000-0000-00001F540000}"/>
    <cellStyle name="Hed Side Regular 2 4 6 2 2" xfId="19697" xr:uid="{00000000-0005-0000-0000-000020540000}"/>
    <cellStyle name="Hed Side Regular 2 4 6 3" xfId="19698" xr:uid="{00000000-0005-0000-0000-000021540000}"/>
    <cellStyle name="Hed Side Regular 2 4 6 3 2" xfId="19699" xr:uid="{00000000-0005-0000-0000-000022540000}"/>
    <cellStyle name="Hed Side Regular 2 4 6 4" xfId="19700" xr:uid="{00000000-0005-0000-0000-000023540000}"/>
    <cellStyle name="Hed Side Regular 2 4 6 4 2" xfId="19701" xr:uid="{00000000-0005-0000-0000-000024540000}"/>
    <cellStyle name="Hed Side Regular 2 4 6 5" xfId="19702" xr:uid="{00000000-0005-0000-0000-000025540000}"/>
    <cellStyle name="Hed Side Regular 2 4 6 5 2" xfId="19703" xr:uid="{00000000-0005-0000-0000-000026540000}"/>
    <cellStyle name="Hed Side Regular 2 4 6 6" xfId="19704" xr:uid="{00000000-0005-0000-0000-000027540000}"/>
    <cellStyle name="Hed Side Regular 2 4 6 6 2" xfId="19705" xr:uid="{00000000-0005-0000-0000-000028540000}"/>
    <cellStyle name="Hed Side Regular 2 4 6 7" xfId="19706" xr:uid="{00000000-0005-0000-0000-000029540000}"/>
    <cellStyle name="Hed Side Regular 2 4 6 7 2" xfId="19707" xr:uid="{00000000-0005-0000-0000-00002A540000}"/>
    <cellStyle name="Hed Side Regular 2 4 6 8" xfId="19708" xr:uid="{00000000-0005-0000-0000-00002B540000}"/>
    <cellStyle name="Hed Side Regular 2 4 6 8 2" xfId="19709" xr:uid="{00000000-0005-0000-0000-00002C540000}"/>
    <cellStyle name="Hed Side Regular 2 4 6 9" xfId="19710" xr:uid="{00000000-0005-0000-0000-00002D540000}"/>
    <cellStyle name="Hed Side Regular 2 4 6 9 2" xfId="19711" xr:uid="{00000000-0005-0000-0000-00002E540000}"/>
    <cellStyle name="Hed Side Regular 2 4 7" xfId="19712" xr:uid="{00000000-0005-0000-0000-00002F540000}"/>
    <cellStyle name="Hed Side Regular 2 4 7 10" xfId="19713" xr:uid="{00000000-0005-0000-0000-000030540000}"/>
    <cellStyle name="Hed Side Regular 2 4 7 2" xfId="19714" xr:uid="{00000000-0005-0000-0000-000031540000}"/>
    <cellStyle name="Hed Side Regular 2 4 7 2 2" xfId="19715" xr:uid="{00000000-0005-0000-0000-000032540000}"/>
    <cellStyle name="Hed Side Regular 2 4 7 3" xfId="19716" xr:uid="{00000000-0005-0000-0000-000033540000}"/>
    <cellStyle name="Hed Side Regular 2 4 7 3 2" xfId="19717" xr:uid="{00000000-0005-0000-0000-000034540000}"/>
    <cellStyle name="Hed Side Regular 2 4 7 4" xfId="19718" xr:uid="{00000000-0005-0000-0000-000035540000}"/>
    <cellStyle name="Hed Side Regular 2 4 7 4 2" xfId="19719" xr:uid="{00000000-0005-0000-0000-000036540000}"/>
    <cellStyle name="Hed Side Regular 2 4 7 5" xfId="19720" xr:uid="{00000000-0005-0000-0000-000037540000}"/>
    <cellStyle name="Hed Side Regular 2 4 7 5 2" xfId="19721" xr:uid="{00000000-0005-0000-0000-000038540000}"/>
    <cellStyle name="Hed Side Regular 2 4 7 6" xfId="19722" xr:uid="{00000000-0005-0000-0000-000039540000}"/>
    <cellStyle name="Hed Side Regular 2 4 7 6 2" xfId="19723" xr:uid="{00000000-0005-0000-0000-00003A540000}"/>
    <cellStyle name="Hed Side Regular 2 4 7 7" xfId="19724" xr:uid="{00000000-0005-0000-0000-00003B540000}"/>
    <cellStyle name="Hed Side Regular 2 4 7 7 2" xfId="19725" xr:uid="{00000000-0005-0000-0000-00003C540000}"/>
    <cellStyle name="Hed Side Regular 2 4 7 8" xfId="19726" xr:uid="{00000000-0005-0000-0000-00003D540000}"/>
    <cellStyle name="Hed Side Regular 2 4 7 8 2" xfId="19727" xr:uid="{00000000-0005-0000-0000-00003E540000}"/>
    <cellStyle name="Hed Side Regular 2 4 7 9" xfId="19728" xr:uid="{00000000-0005-0000-0000-00003F540000}"/>
    <cellStyle name="Hed Side Regular 2 4 7 9 2" xfId="19729" xr:uid="{00000000-0005-0000-0000-000040540000}"/>
    <cellStyle name="Hed Side Regular 2 4 8" xfId="19730" xr:uid="{00000000-0005-0000-0000-000041540000}"/>
    <cellStyle name="Hed Side Regular 2 4 8 10" xfId="19731" xr:uid="{00000000-0005-0000-0000-000042540000}"/>
    <cellStyle name="Hed Side Regular 2 4 8 2" xfId="19732" xr:uid="{00000000-0005-0000-0000-000043540000}"/>
    <cellStyle name="Hed Side Regular 2 4 8 2 2" xfId="19733" xr:uid="{00000000-0005-0000-0000-000044540000}"/>
    <cellStyle name="Hed Side Regular 2 4 8 3" xfId="19734" xr:uid="{00000000-0005-0000-0000-000045540000}"/>
    <cellStyle name="Hed Side Regular 2 4 8 3 2" xfId="19735" xr:uid="{00000000-0005-0000-0000-000046540000}"/>
    <cellStyle name="Hed Side Regular 2 4 8 4" xfId="19736" xr:uid="{00000000-0005-0000-0000-000047540000}"/>
    <cellStyle name="Hed Side Regular 2 4 8 4 2" xfId="19737" xr:uid="{00000000-0005-0000-0000-000048540000}"/>
    <cellStyle name="Hed Side Regular 2 4 8 5" xfId="19738" xr:uid="{00000000-0005-0000-0000-000049540000}"/>
    <cellStyle name="Hed Side Regular 2 4 8 5 2" xfId="19739" xr:uid="{00000000-0005-0000-0000-00004A540000}"/>
    <cellStyle name="Hed Side Regular 2 4 8 6" xfId="19740" xr:uid="{00000000-0005-0000-0000-00004B540000}"/>
    <cellStyle name="Hed Side Regular 2 4 8 6 2" xfId="19741" xr:uid="{00000000-0005-0000-0000-00004C540000}"/>
    <cellStyle name="Hed Side Regular 2 4 8 7" xfId="19742" xr:uid="{00000000-0005-0000-0000-00004D540000}"/>
    <cellStyle name="Hed Side Regular 2 4 8 7 2" xfId="19743" xr:uid="{00000000-0005-0000-0000-00004E540000}"/>
    <cellStyle name="Hed Side Regular 2 4 8 8" xfId="19744" xr:uid="{00000000-0005-0000-0000-00004F540000}"/>
    <cellStyle name="Hed Side Regular 2 4 8 8 2" xfId="19745" xr:uid="{00000000-0005-0000-0000-000050540000}"/>
    <cellStyle name="Hed Side Regular 2 4 8 9" xfId="19746" xr:uid="{00000000-0005-0000-0000-000051540000}"/>
    <cellStyle name="Hed Side Regular 2 4 8 9 2" xfId="19747" xr:uid="{00000000-0005-0000-0000-000052540000}"/>
    <cellStyle name="Hed Side Regular 2 4 9" xfId="19748" xr:uid="{00000000-0005-0000-0000-000053540000}"/>
    <cellStyle name="Hed Side Regular 2 4 9 10" xfId="19749" xr:uid="{00000000-0005-0000-0000-000054540000}"/>
    <cellStyle name="Hed Side Regular 2 4 9 2" xfId="19750" xr:uid="{00000000-0005-0000-0000-000055540000}"/>
    <cellStyle name="Hed Side Regular 2 4 9 2 2" xfId="19751" xr:uid="{00000000-0005-0000-0000-000056540000}"/>
    <cellStyle name="Hed Side Regular 2 4 9 3" xfId="19752" xr:uid="{00000000-0005-0000-0000-000057540000}"/>
    <cellStyle name="Hed Side Regular 2 4 9 3 2" xfId="19753" xr:uid="{00000000-0005-0000-0000-000058540000}"/>
    <cellStyle name="Hed Side Regular 2 4 9 4" xfId="19754" xr:uid="{00000000-0005-0000-0000-000059540000}"/>
    <cellStyle name="Hed Side Regular 2 4 9 4 2" xfId="19755" xr:uid="{00000000-0005-0000-0000-00005A540000}"/>
    <cellStyle name="Hed Side Regular 2 4 9 5" xfId="19756" xr:uid="{00000000-0005-0000-0000-00005B540000}"/>
    <cellStyle name="Hed Side Regular 2 4 9 5 2" xfId="19757" xr:uid="{00000000-0005-0000-0000-00005C540000}"/>
    <cellStyle name="Hed Side Regular 2 4 9 6" xfId="19758" xr:uid="{00000000-0005-0000-0000-00005D540000}"/>
    <cellStyle name="Hed Side Regular 2 4 9 6 2" xfId="19759" xr:uid="{00000000-0005-0000-0000-00005E540000}"/>
    <cellStyle name="Hed Side Regular 2 4 9 7" xfId="19760" xr:uid="{00000000-0005-0000-0000-00005F540000}"/>
    <cellStyle name="Hed Side Regular 2 4 9 7 2" xfId="19761" xr:uid="{00000000-0005-0000-0000-000060540000}"/>
    <cellStyle name="Hed Side Regular 2 4 9 8" xfId="19762" xr:uid="{00000000-0005-0000-0000-000061540000}"/>
    <cellStyle name="Hed Side Regular 2 4 9 8 2" xfId="19763" xr:uid="{00000000-0005-0000-0000-000062540000}"/>
    <cellStyle name="Hed Side Regular 2 4 9 9" xfId="19764" xr:uid="{00000000-0005-0000-0000-000063540000}"/>
    <cellStyle name="Hed Side Regular 2 4 9 9 2" xfId="19765" xr:uid="{00000000-0005-0000-0000-000064540000}"/>
    <cellStyle name="Hed Side Regular 2 5" xfId="19766" xr:uid="{00000000-0005-0000-0000-000065540000}"/>
    <cellStyle name="Hed Side Regular 2 5 10" xfId="19767" xr:uid="{00000000-0005-0000-0000-000066540000}"/>
    <cellStyle name="Hed Side Regular 2 5 10 2" xfId="19768" xr:uid="{00000000-0005-0000-0000-000067540000}"/>
    <cellStyle name="Hed Side Regular 2 5 10 2 2" xfId="19769" xr:uid="{00000000-0005-0000-0000-000068540000}"/>
    <cellStyle name="Hed Side Regular 2 5 10 3" xfId="19770" xr:uid="{00000000-0005-0000-0000-000069540000}"/>
    <cellStyle name="Hed Side Regular 2 5 10 3 2" xfId="19771" xr:uid="{00000000-0005-0000-0000-00006A540000}"/>
    <cellStyle name="Hed Side Regular 2 5 10 4" xfId="19772" xr:uid="{00000000-0005-0000-0000-00006B540000}"/>
    <cellStyle name="Hed Side Regular 2 5 10 4 2" xfId="19773" xr:uid="{00000000-0005-0000-0000-00006C540000}"/>
    <cellStyle name="Hed Side Regular 2 5 10 5" xfId="19774" xr:uid="{00000000-0005-0000-0000-00006D540000}"/>
    <cellStyle name="Hed Side Regular 2 5 10 5 2" xfId="19775" xr:uid="{00000000-0005-0000-0000-00006E540000}"/>
    <cellStyle name="Hed Side Regular 2 5 10 6" xfId="19776" xr:uid="{00000000-0005-0000-0000-00006F540000}"/>
    <cellStyle name="Hed Side Regular 2 5 10 6 2" xfId="19777" xr:uid="{00000000-0005-0000-0000-000070540000}"/>
    <cellStyle name="Hed Side Regular 2 5 10 7" xfId="19778" xr:uid="{00000000-0005-0000-0000-000071540000}"/>
    <cellStyle name="Hed Side Regular 2 5 10 7 2" xfId="19779" xr:uid="{00000000-0005-0000-0000-000072540000}"/>
    <cellStyle name="Hed Side Regular 2 5 10 8" xfId="19780" xr:uid="{00000000-0005-0000-0000-000073540000}"/>
    <cellStyle name="Hed Side Regular 2 5 10 8 2" xfId="19781" xr:uid="{00000000-0005-0000-0000-000074540000}"/>
    <cellStyle name="Hed Side Regular 2 5 10 9" xfId="19782" xr:uid="{00000000-0005-0000-0000-000075540000}"/>
    <cellStyle name="Hed Side Regular 2 5 11" xfId="19783" xr:uid="{00000000-0005-0000-0000-000076540000}"/>
    <cellStyle name="Hed Side Regular 2 5 11 2" xfId="19784" xr:uid="{00000000-0005-0000-0000-000077540000}"/>
    <cellStyle name="Hed Side Regular 2 5 12" xfId="19785" xr:uid="{00000000-0005-0000-0000-000078540000}"/>
    <cellStyle name="Hed Side Regular 2 5 12 2" xfId="19786" xr:uid="{00000000-0005-0000-0000-000079540000}"/>
    <cellStyle name="Hed Side Regular 2 5 13" xfId="19787" xr:uid="{00000000-0005-0000-0000-00007A540000}"/>
    <cellStyle name="Hed Side Regular 2 5 13 2" xfId="19788" xr:uid="{00000000-0005-0000-0000-00007B540000}"/>
    <cellStyle name="Hed Side Regular 2 5 14" xfId="19789" xr:uid="{00000000-0005-0000-0000-00007C540000}"/>
    <cellStyle name="Hed Side Regular 2 5 14 2" xfId="19790" xr:uid="{00000000-0005-0000-0000-00007D540000}"/>
    <cellStyle name="Hed Side Regular 2 5 15" xfId="19791" xr:uid="{00000000-0005-0000-0000-00007E540000}"/>
    <cellStyle name="Hed Side Regular 2 5 15 2" xfId="19792" xr:uid="{00000000-0005-0000-0000-00007F540000}"/>
    <cellStyle name="Hed Side Regular 2 5 16" xfId="19793" xr:uid="{00000000-0005-0000-0000-000080540000}"/>
    <cellStyle name="Hed Side Regular 2 5 16 2" xfId="19794" xr:uid="{00000000-0005-0000-0000-000081540000}"/>
    <cellStyle name="Hed Side Regular 2 5 17" xfId="19795" xr:uid="{00000000-0005-0000-0000-000082540000}"/>
    <cellStyle name="Hed Side Regular 2 5 17 2" xfId="19796" xr:uid="{00000000-0005-0000-0000-000083540000}"/>
    <cellStyle name="Hed Side Regular 2 5 18" xfId="19797" xr:uid="{00000000-0005-0000-0000-000084540000}"/>
    <cellStyle name="Hed Side Regular 2 5 2" xfId="19798" xr:uid="{00000000-0005-0000-0000-000085540000}"/>
    <cellStyle name="Hed Side Regular 2 5 2 10" xfId="19799" xr:uid="{00000000-0005-0000-0000-000086540000}"/>
    <cellStyle name="Hed Side Regular 2 5 2 2" xfId="19800" xr:uid="{00000000-0005-0000-0000-000087540000}"/>
    <cellStyle name="Hed Side Regular 2 5 2 2 2" xfId="19801" xr:uid="{00000000-0005-0000-0000-000088540000}"/>
    <cellStyle name="Hed Side Regular 2 5 2 3" xfId="19802" xr:uid="{00000000-0005-0000-0000-000089540000}"/>
    <cellStyle name="Hed Side Regular 2 5 2 3 2" xfId="19803" xr:uid="{00000000-0005-0000-0000-00008A540000}"/>
    <cellStyle name="Hed Side Regular 2 5 2 4" xfId="19804" xr:uid="{00000000-0005-0000-0000-00008B540000}"/>
    <cellStyle name="Hed Side Regular 2 5 2 4 2" xfId="19805" xr:uid="{00000000-0005-0000-0000-00008C540000}"/>
    <cellStyle name="Hed Side Regular 2 5 2 5" xfId="19806" xr:uid="{00000000-0005-0000-0000-00008D540000}"/>
    <cellStyle name="Hed Side Regular 2 5 2 5 2" xfId="19807" xr:uid="{00000000-0005-0000-0000-00008E540000}"/>
    <cellStyle name="Hed Side Regular 2 5 2 6" xfId="19808" xr:uid="{00000000-0005-0000-0000-00008F540000}"/>
    <cellStyle name="Hed Side Regular 2 5 2 6 2" xfId="19809" xr:uid="{00000000-0005-0000-0000-000090540000}"/>
    <cellStyle name="Hed Side Regular 2 5 2 7" xfId="19810" xr:uid="{00000000-0005-0000-0000-000091540000}"/>
    <cellStyle name="Hed Side Regular 2 5 2 7 2" xfId="19811" xr:uid="{00000000-0005-0000-0000-000092540000}"/>
    <cellStyle name="Hed Side Regular 2 5 2 8" xfId="19812" xr:uid="{00000000-0005-0000-0000-000093540000}"/>
    <cellStyle name="Hed Side Regular 2 5 2 8 2" xfId="19813" xr:uid="{00000000-0005-0000-0000-000094540000}"/>
    <cellStyle name="Hed Side Regular 2 5 2 9" xfId="19814" xr:uid="{00000000-0005-0000-0000-000095540000}"/>
    <cellStyle name="Hed Side Regular 2 5 2 9 2" xfId="19815" xr:uid="{00000000-0005-0000-0000-000096540000}"/>
    <cellStyle name="Hed Side Regular 2 5 3" xfId="19816" xr:uid="{00000000-0005-0000-0000-000097540000}"/>
    <cellStyle name="Hed Side Regular 2 5 3 10" xfId="19817" xr:uid="{00000000-0005-0000-0000-000098540000}"/>
    <cellStyle name="Hed Side Regular 2 5 3 2" xfId="19818" xr:uid="{00000000-0005-0000-0000-000099540000}"/>
    <cellStyle name="Hed Side Regular 2 5 3 2 2" xfId="19819" xr:uid="{00000000-0005-0000-0000-00009A540000}"/>
    <cellStyle name="Hed Side Regular 2 5 3 3" xfId="19820" xr:uid="{00000000-0005-0000-0000-00009B540000}"/>
    <cellStyle name="Hed Side Regular 2 5 3 3 2" xfId="19821" xr:uid="{00000000-0005-0000-0000-00009C540000}"/>
    <cellStyle name="Hed Side Regular 2 5 3 4" xfId="19822" xr:uid="{00000000-0005-0000-0000-00009D540000}"/>
    <cellStyle name="Hed Side Regular 2 5 3 4 2" xfId="19823" xr:uid="{00000000-0005-0000-0000-00009E540000}"/>
    <cellStyle name="Hed Side Regular 2 5 3 5" xfId="19824" xr:uid="{00000000-0005-0000-0000-00009F540000}"/>
    <cellStyle name="Hed Side Regular 2 5 3 5 2" xfId="19825" xr:uid="{00000000-0005-0000-0000-0000A0540000}"/>
    <cellStyle name="Hed Side Regular 2 5 3 6" xfId="19826" xr:uid="{00000000-0005-0000-0000-0000A1540000}"/>
    <cellStyle name="Hed Side Regular 2 5 3 6 2" xfId="19827" xr:uid="{00000000-0005-0000-0000-0000A2540000}"/>
    <cellStyle name="Hed Side Regular 2 5 3 7" xfId="19828" xr:uid="{00000000-0005-0000-0000-0000A3540000}"/>
    <cellStyle name="Hed Side Regular 2 5 3 7 2" xfId="19829" xr:uid="{00000000-0005-0000-0000-0000A4540000}"/>
    <cellStyle name="Hed Side Regular 2 5 3 8" xfId="19830" xr:uid="{00000000-0005-0000-0000-0000A5540000}"/>
    <cellStyle name="Hed Side Regular 2 5 3 8 2" xfId="19831" xr:uid="{00000000-0005-0000-0000-0000A6540000}"/>
    <cellStyle name="Hed Side Regular 2 5 3 9" xfId="19832" xr:uid="{00000000-0005-0000-0000-0000A7540000}"/>
    <cellStyle name="Hed Side Regular 2 5 3 9 2" xfId="19833" xr:uid="{00000000-0005-0000-0000-0000A8540000}"/>
    <cellStyle name="Hed Side Regular 2 5 4" xfId="19834" xr:uid="{00000000-0005-0000-0000-0000A9540000}"/>
    <cellStyle name="Hed Side Regular 2 5 4 10" xfId="19835" xr:uid="{00000000-0005-0000-0000-0000AA540000}"/>
    <cellStyle name="Hed Side Regular 2 5 4 2" xfId="19836" xr:uid="{00000000-0005-0000-0000-0000AB540000}"/>
    <cellStyle name="Hed Side Regular 2 5 4 2 2" xfId="19837" xr:uid="{00000000-0005-0000-0000-0000AC540000}"/>
    <cellStyle name="Hed Side Regular 2 5 4 3" xfId="19838" xr:uid="{00000000-0005-0000-0000-0000AD540000}"/>
    <cellStyle name="Hed Side Regular 2 5 4 3 2" xfId="19839" xr:uid="{00000000-0005-0000-0000-0000AE540000}"/>
    <cellStyle name="Hed Side Regular 2 5 4 4" xfId="19840" xr:uid="{00000000-0005-0000-0000-0000AF540000}"/>
    <cellStyle name="Hed Side Regular 2 5 4 4 2" xfId="19841" xr:uid="{00000000-0005-0000-0000-0000B0540000}"/>
    <cellStyle name="Hed Side Regular 2 5 4 5" xfId="19842" xr:uid="{00000000-0005-0000-0000-0000B1540000}"/>
    <cellStyle name="Hed Side Regular 2 5 4 5 2" xfId="19843" xr:uid="{00000000-0005-0000-0000-0000B2540000}"/>
    <cellStyle name="Hed Side Regular 2 5 4 6" xfId="19844" xr:uid="{00000000-0005-0000-0000-0000B3540000}"/>
    <cellStyle name="Hed Side Regular 2 5 4 6 2" xfId="19845" xr:uid="{00000000-0005-0000-0000-0000B4540000}"/>
    <cellStyle name="Hed Side Regular 2 5 4 7" xfId="19846" xr:uid="{00000000-0005-0000-0000-0000B5540000}"/>
    <cellStyle name="Hed Side Regular 2 5 4 7 2" xfId="19847" xr:uid="{00000000-0005-0000-0000-0000B6540000}"/>
    <cellStyle name="Hed Side Regular 2 5 4 8" xfId="19848" xr:uid="{00000000-0005-0000-0000-0000B7540000}"/>
    <cellStyle name="Hed Side Regular 2 5 4 8 2" xfId="19849" xr:uid="{00000000-0005-0000-0000-0000B8540000}"/>
    <cellStyle name="Hed Side Regular 2 5 4 9" xfId="19850" xr:uid="{00000000-0005-0000-0000-0000B9540000}"/>
    <cellStyle name="Hed Side Regular 2 5 4 9 2" xfId="19851" xr:uid="{00000000-0005-0000-0000-0000BA540000}"/>
    <cellStyle name="Hed Side Regular 2 5 5" xfId="19852" xr:uid="{00000000-0005-0000-0000-0000BB540000}"/>
    <cellStyle name="Hed Side Regular 2 5 5 10" xfId="19853" xr:uid="{00000000-0005-0000-0000-0000BC540000}"/>
    <cellStyle name="Hed Side Regular 2 5 5 2" xfId="19854" xr:uid="{00000000-0005-0000-0000-0000BD540000}"/>
    <cellStyle name="Hed Side Regular 2 5 5 2 2" xfId="19855" xr:uid="{00000000-0005-0000-0000-0000BE540000}"/>
    <cellStyle name="Hed Side Regular 2 5 5 3" xfId="19856" xr:uid="{00000000-0005-0000-0000-0000BF540000}"/>
    <cellStyle name="Hed Side Regular 2 5 5 3 2" xfId="19857" xr:uid="{00000000-0005-0000-0000-0000C0540000}"/>
    <cellStyle name="Hed Side Regular 2 5 5 4" xfId="19858" xr:uid="{00000000-0005-0000-0000-0000C1540000}"/>
    <cellStyle name="Hed Side Regular 2 5 5 4 2" xfId="19859" xr:uid="{00000000-0005-0000-0000-0000C2540000}"/>
    <cellStyle name="Hed Side Regular 2 5 5 5" xfId="19860" xr:uid="{00000000-0005-0000-0000-0000C3540000}"/>
    <cellStyle name="Hed Side Regular 2 5 5 5 2" xfId="19861" xr:uid="{00000000-0005-0000-0000-0000C4540000}"/>
    <cellStyle name="Hed Side Regular 2 5 5 6" xfId="19862" xr:uid="{00000000-0005-0000-0000-0000C5540000}"/>
    <cellStyle name="Hed Side Regular 2 5 5 6 2" xfId="19863" xr:uid="{00000000-0005-0000-0000-0000C6540000}"/>
    <cellStyle name="Hed Side Regular 2 5 5 7" xfId="19864" xr:uid="{00000000-0005-0000-0000-0000C7540000}"/>
    <cellStyle name="Hed Side Regular 2 5 5 7 2" xfId="19865" xr:uid="{00000000-0005-0000-0000-0000C8540000}"/>
    <cellStyle name="Hed Side Regular 2 5 5 8" xfId="19866" xr:uid="{00000000-0005-0000-0000-0000C9540000}"/>
    <cellStyle name="Hed Side Regular 2 5 5 8 2" xfId="19867" xr:uid="{00000000-0005-0000-0000-0000CA540000}"/>
    <cellStyle name="Hed Side Regular 2 5 5 9" xfId="19868" xr:uid="{00000000-0005-0000-0000-0000CB540000}"/>
    <cellStyle name="Hed Side Regular 2 5 5 9 2" xfId="19869" xr:uid="{00000000-0005-0000-0000-0000CC540000}"/>
    <cellStyle name="Hed Side Regular 2 5 6" xfId="19870" xr:uid="{00000000-0005-0000-0000-0000CD540000}"/>
    <cellStyle name="Hed Side Regular 2 5 6 10" xfId="19871" xr:uid="{00000000-0005-0000-0000-0000CE540000}"/>
    <cellStyle name="Hed Side Regular 2 5 6 2" xfId="19872" xr:uid="{00000000-0005-0000-0000-0000CF540000}"/>
    <cellStyle name="Hed Side Regular 2 5 6 2 2" xfId="19873" xr:uid="{00000000-0005-0000-0000-0000D0540000}"/>
    <cellStyle name="Hed Side Regular 2 5 6 3" xfId="19874" xr:uid="{00000000-0005-0000-0000-0000D1540000}"/>
    <cellStyle name="Hed Side Regular 2 5 6 3 2" xfId="19875" xr:uid="{00000000-0005-0000-0000-0000D2540000}"/>
    <cellStyle name="Hed Side Regular 2 5 6 4" xfId="19876" xr:uid="{00000000-0005-0000-0000-0000D3540000}"/>
    <cellStyle name="Hed Side Regular 2 5 6 4 2" xfId="19877" xr:uid="{00000000-0005-0000-0000-0000D4540000}"/>
    <cellStyle name="Hed Side Regular 2 5 6 5" xfId="19878" xr:uid="{00000000-0005-0000-0000-0000D5540000}"/>
    <cellStyle name="Hed Side Regular 2 5 6 5 2" xfId="19879" xr:uid="{00000000-0005-0000-0000-0000D6540000}"/>
    <cellStyle name="Hed Side Regular 2 5 6 6" xfId="19880" xr:uid="{00000000-0005-0000-0000-0000D7540000}"/>
    <cellStyle name="Hed Side Regular 2 5 6 6 2" xfId="19881" xr:uid="{00000000-0005-0000-0000-0000D8540000}"/>
    <cellStyle name="Hed Side Regular 2 5 6 7" xfId="19882" xr:uid="{00000000-0005-0000-0000-0000D9540000}"/>
    <cellStyle name="Hed Side Regular 2 5 6 7 2" xfId="19883" xr:uid="{00000000-0005-0000-0000-0000DA540000}"/>
    <cellStyle name="Hed Side Regular 2 5 6 8" xfId="19884" xr:uid="{00000000-0005-0000-0000-0000DB540000}"/>
    <cellStyle name="Hed Side Regular 2 5 6 8 2" xfId="19885" xr:uid="{00000000-0005-0000-0000-0000DC540000}"/>
    <cellStyle name="Hed Side Regular 2 5 6 9" xfId="19886" xr:uid="{00000000-0005-0000-0000-0000DD540000}"/>
    <cellStyle name="Hed Side Regular 2 5 6 9 2" xfId="19887" xr:uid="{00000000-0005-0000-0000-0000DE540000}"/>
    <cellStyle name="Hed Side Regular 2 5 7" xfId="19888" xr:uid="{00000000-0005-0000-0000-0000DF540000}"/>
    <cellStyle name="Hed Side Regular 2 5 7 10" xfId="19889" xr:uid="{00000000-0005-0000-0000-0000E0540000}"/>
    <cellStyle name="Hed Side Regular 2 5 7 2" xfId="19890" xr:uid="{00000000-0005-0000-0000-0000E1540000}"/>
    <cellStyle name="Hed Side Regular 2 5 7 2 2" xfId="19891" xr:uid="{00000000-0005-0000-0000-0000E2540000}"/>
    <cellStyle name="Hed Side Regular 2 5 7 3" xfId="19892" xr:uid="{00000000-0005-0000-0000-0000E3540000}"/>
    <cellStyle name="Hed Side Regular 2 5 7 3 2" xfId="19893" xr:uid="{00000000-0005-0000-0000-0000E4540000}"/>
    <cellStyle name="Hed Side Regular 2 5 7 4" xfId="19894" xr:uid="{00000000-0005-0000-0000-0000E5540000}"/>
    <cellStyle name="Hed Side Regular 2 5 7 4 2" xfId="19895" xr:uid="{00000000-0005-0000-0000-0000E6540000}"/>
    <cellStyle name="Hed Side Regular 2 5 7 5" xfId="19896" xr:uid="{00000000-0005-0000-0000-0000E7540000}"/>
    <cellStyle name="Hed Side Regular 2 5 7 5 2" xfId="19897" xr:uid="{00000000-0005-0000-0000-0000E8540000}"/>
    <cellStyle name="Hed Side Regular 2 5 7 6" xfId="19898" xr:uid="{00000000-0005-0000-0000-0000E9540000}"/>
    <cellStyle name="Hed Side Regular 2 5 7 6 2" xfId="19899" xr:uid="{00000000-0005-0000-0000-0000EA540000}"/>
    <cellStyle name="Hed Side Regular 2 5 7 7" xfId="19900" xr:uid="{00000000-0005-0000-0000-0000EB540000}"/>
    <cellStyle name="Hed Side Regular 2 5 7 7 2" xfId="19901" xr:uid="{00000000-0005-0000-0000-0000EC540000}"/>
    <cellStyle name="Hed Side Regular 2 5 7 8" xfId="19902" xr:uid="{00000000-0005-0000-0000-0000ED540000}"/>
    <cellStyle name="Hed Side Regular 2 5 7 8 2" xfId="19903" xr:uid="{00000000-0005-0000-0000-0000EE540000}"/>
    <cellStyle name="Hed Side Regular 2 5 7 9" xfId="19904" xr:uid="{00000000-0005-0000-0000-0000EF540000}"/>
    <cellStyle name="Hed Side Regular 2 5 7 9 2" xfId="19905" xr:uid="{00000000-0005-0000-0000-0000F0540000}"/>
    <cellStyle name="Hed Side Regular 2 5 8" xfId="19906" xr:uid="{00000000-0005-0000-0000-0000F1540000}"/>
    <cellStyle name="Hed Side Regular 2 5 8 10" xfId="19907" xr:uid="{00000000-0005-0000-0000-0000F2540000}"/>
    <cellStyle name="Hed Side Regular 2 5 8 2" xfId="19908" xr:uid="{00000000-0005-0000-0000-0000F3540000}"/>
    <cellStyle name="Hed Side Regular 2 5 8 2 2" xfId="19909" xr:uid="{00000000-0005-0000-0000-0000F4540000}"/>
    <cellStyle name="Hed Side Regular 2 5 8 3" xfId="19910" xr:uid="{00000000-0005-0000-0000-0000F5540000}"/>
    <cellStyle name="Hed Side Regular 2 5 8 3 2" xfId="19911" xr:uid="{00000000-0005-0000-0000-0000F6540000}"/>
    <cellStyle name="Hed Side Regular 2 5 8 4" xfId="19912" xr:uid="{00000000-0005-0000-0000-0000F7540000}"/>
    <cellStyle name="Hed Side Regular 2 5 8 4 2" xfId="19913" xr:uid="{00000000-0005-0000-0000-0000F8540000}"/>
    <cellStyle name="Hed Side Regular 2 5 8 5" xfId="19914" xr:uid="{00000000-0005-0000-0000-0000F9540000}"/>
    <cellStyle name="Hed Side Regular 2 5 8 5 2" xfId="19915" xr:uid="{00000000-0005-0000-0000-0000FA540000}"/>
    <cellStyle name="Hed Side Regular 2 5 8 6" xfId="19916" xr:uid="{00000000-0005-0000-0000-0000FB540000}"/>
    <cellStyle name="Hed Side Regular 2 5 8 6 2" xfId="19917" xr:uid="{00000000-0005-0000-0000-0000FC540000}"/>
    <cellStyle name="Hed Side Regular 2 5 8 7" xfId="19918" xr:uid="{00000000-0005-0000-0000-0000FD540000}"/>
    <cellStyle name="Hed Side Regular 2 5 8 7 2" xfId="19919" xr:uid="{00000000-0005-0000-0000-0000FE540000}"/>
    <cellStyle name="Hed Side Regular 2 5 8 8" xfId="19920" xr:uid="{00000000-0005-0000-0000-0000FF540000}"/>
    <cellStyle name="Hed Side Regular 2 5 8 8 2" xfId="19921" xr:uid="{00000000-0005-0000-0000-000000550000}"/>
    <cellStyle name="Hed Side Regular 2 5 8 9" xfId="19922" xr:uid="{00000000-0005-0000-0000-000001550000}"/>
    <cellStyle name="Hed Side Regular 2 5 8 9 2" xfId="19923" xr:uid="{00000000-0005-0000-0000-000002550000}"/>
    <cellStyle name="Hed Side Regular 2 5 9" xfId="19924" xr:uid="{00000000-0005-0000-0000-000003550000}"/>
    <cellStyle name="Hed Side Regular 2 5 9 10" xfId="19925" xr:uid="{00000000-0005-0000-0000-000004550000}"/>
    <cellStyle name="Hed Side Regular 2 5 9 2" xfId="19926" xr:uid="{00000000-0005-0000-0000-000005550000}"/>
    <cellStyle name="Hed Side Regular 2 5 9 2 2" xfId="19927" xr:uid="{00000000-0005-0000-0000-000006550000}"/>
    <cellStyle name="Hed Side Regular 2 5 9 3" xfId="19928" xr:uid="{00000000-0005-0000-0000-000007550000}"/>
    <cellStyle name="Hed Side Regular 2 5 9 3 2" xfId="19929" xr:uid="{00000000-0005-0000-0000-000008550000}"/>
    <cellStyle name="Hed Side Regular 2 5 9 4" xfId="19930" xr:uid="{00000000-0005-0000-0000-000009550000}"/>
    <cellStyle name="Hed Side Regular 2 5 9 4 2" xfId="19931" xr:uid="{00000000-0005-0000-0000-00000A550000}"/>
    <cellStyle name="Hed Side Regular 2 5 9 5" xfId="19932" xr:uid="{00000000-0005-0000-0000-00000B550000}"/>
    <cellStyle name="Hed Side Regular 2 5 9 5 2" xfId="19933" xr:uid="{00000000-0005-0000-0000-00000C550000}"/>
    <cellStyle name="Hed Side Regular 2 5 9 6" xfId="19934" xr:uid="{00000000-0005-0000-0000-00000D550000}"/>
    <cellStyle name="Hed Side Regular 2 5 9 6 2" xfId="19935" xr:uid="{00000000-0005-0000-0000-00000E550000}"/>
    <cellStyle name="Hed Side Regular 2 5 9 7" xfId="19936" xr:uid="{00000000-0005-0000-0000-00000F550000}"/>
    <cellStyle name="Hed Side Regular 2 5 9 7 2" xfId="19937" xr:uid="{00000000-0005-0000-0000-000010550000}"/>
    <cellStyle name="Hed Side Regular 2 5 9 8" xfId="19938" xr:uid="{00000000-0005-0000-0000-000011550000}"/>
    <cellStyle name="Hed Side Regular 2 5 9 8 2" xfId="19939" xr:uid="{00000000-0005-0000-0000-000012550000}"/>
    <cellStyle name="Hed Side Regular 2 5 9 9" xfId="19940" xr:uid="{00000000-0005-0000-0000-000013550000}"/>
    <cellStyle name="Hed Side Regular 2 5 9 9 2" xfId="19941" xr:uid="{00000000-0005-0000-0000-000014550000}"/>
    <cellStyle name="Hed Side Regular 2 6" xfId="19942" xr:uid="{00000000-0005-0000-0000-000015550000}"/>
    <cellStyle name="Hed Side Regular 2 6 10" xfId="19943" xr:uid="{00000000-0005-0000-0000-000016550000}"/>
    <cellStyle name="Hed Side Regular 2 6 10 2" xfId="19944" xr:uid="{00000000-0005-0000-0000-000017550000}"/>
    <cellStyle name="Hed Side Regular 2 6 10 2 2" xfId="19945" xr:uid="{00000000-0005-0000-0000-000018550000}"/>
    <cellStyle name="Hed Side Regular 2 6 10 3" xfId="19946" xr:uid="{00000000-0005-0000-0000-000019550000}"/>
    <cellStyle name="Hed Side Regular 2 6 10 3 2" xfId="19947" xr:uid="{00000000-0005-0000-0000-00001A550000}"/>
    <cellStyle name="Hed Side Regular 2 6 10 4" xfId="19948" xr:uid="{00000000-0005-0000-0000-00001B550000}"/>
    <cellStyle name="Hed Side Regular 2 6 10 4 2" xfId="19949" xr:uid="{00000000-0005-0000-0000-00001C550000}"/>
    <cellStyle name="Hed Side Regular 2 6 10 5" xfId="19950" xr:uid="{00000000-0005-0000-0000-00001D550000}"/>
    <cellStyle name="Hed Side Regular 2 6 10 5 2" xfId="19951" xr:uid="{00000000-0005-0000-0000-00001E550000}"/>
    <cellStyle name="Hed Side Regular 2 6 10 6" xfId="19952" xr:uid="{00000000-0005-0000-0000-00001F550000}"/>
    <cellStyle name="Hed Side Regular 2 6 10 6 2" xfId="19953" xr:uid="{00000000-0005-0000-0000-000020550000}"/>
    <cellStyle name="Hed Side Regular 2 6 10 7" xfId="19954" xr:uid="{00000000-0005-0000-0000-000021550000}"/>
    <cellStyle name="Hed Side Regular 2 6 10 7 2" xfId="19955" xr:uid="{00000000-0005-0000-0000-000022550000}"/>
    <cellStyle name="Hed Side Regular 2 6 10 8" xfId="19956" xr:uid="{00000000-0005-0000-0000-000023550000}"/>
    <cellStyle name="Hed Side Regular 2 6 10 8 2" xfId="19957" xr:uid="{00000000-0005-0000-0000-000024550000}"/>
    <cellStyle name="Hed Side Regular 2 6 10 9" xfId="19958" xr:uid="{00000000-0005-0000-0000-000025550000}"/>
    <cellStyle name="Hed Side Regular 2 6 11" xfId="19959" xr:uid="{00000000-0005-0000-0000-000026550000}"/>
    <cellStyle name="Hed Side Regular 2 6 11 2" xfId="19960" xr:uid="{00000000-0005-0000-0000-000027550000}"/>
    <cellStyle name="Hed Side Regular 2 6 12" xfId="19961" xr:uid="{00000000-0005-0000-0000-000028550000}"/>
    <cellStyle name="Hed Side Regular 2 6 12 2" xfId="19962" xr:uid="{00000000-0005-0000-0000-000029550000}"/>
    <cellStyle name="Hed Side Regular 2 6 13" xfId="19963" xr:uid="{00000000-0005-0000-0000-00002A550000}"/>
    <cellStyle name="Hed Side Regular 2 6 13 2" xfId="19964" xr:uid="{00000000-0005-0000-0000-00002B550000}"/>
    <cellStyle name="Hed Side Regular 2 6 14" xfId="19965" xr:uid="{00000000-0005-0000-0000-00002C550000}"/>
    <cellStyle name="Hed Side Regular 2 6 14 2" xfId="19966" xr:uid="{00000000-0005-0000-0000-00002D550000}"/>
    <cellStyle name="Hed Side Regular 2 6 15" xfId="19967" xr:uid="{00000000-0005-0000-0000-00002E550000}"/>
    <cellStyle name="Hed Side Regular 2 6 15 2" xfId="19968" xr:uid="{00000000-0005-0000-0000-00002F550000}"/>
    <cellStyle name="Hed Side Regular 2 6 16" xfId="19969" xr:uid="{00000000-0005-0000-0000-000030550000}"/>
    <cellStyle name="Hed Side Regular 2 6 16 2" xfId="19970" xr:uid="{00000000-0005-0000-0000-000031550000}"/>
    <cellStyle name="Hed Side Regular 2 6 17" xfId="19971" xr:uid="{00000000-0005-0000-0000-000032550000}"/>
    <cellStyle name="Hed Side Regular 2 6 17 2" xfId="19972" xr:uid="{00000000-0005-0000-0000-000033550000}"/>
    <cellStyle name="Hed Side Regular 2 6 18" xfId="19973" xr:uid="{00000000-0005-0000-0000-000034550000}"/>
    <cellStyle name="Hed Side Regular 2 6 2" xfId="19974" xr:uid="{00000000-0005-0000-0000-000035550000}"/>
    <cellStyle name="Hed Side Regular 2 6 2 10" xfId="19975" xr:uid="{00000000-0005-0000-0000-000036550000}"/>
    <cellStyle name="Hed Side Regular 2 6 2 2" xfId="19976" xr:uid="{00000000-0005-0000-0000-000037550000}"/>
    <cellStyle name="Hed Side Regular 2 6 2 2 2" xfId="19977" xr:uid="{00000000-0005-0000-0000-000038550000}"/>
    <cellStyle name="Hed Side Regular 2 6 2 3" xfId="19978" xr:uid="{00000000-0005-0000-0000-000039550000}"/>
    <cellStyle name="Hed Side Regular 2 6 2 3 2" xfId="19979" xr:uid="{00000000-0005-0000-0000-00003A550000}"/>
    <cellStyle name="Hed Side Regular 2 6 2 4" xfId="19980" xr:uid="{00000000-0005-0000-0000-00003B550000}"/>
    <cellStyle name="Hed Side Regular 2 6 2 4 2" xfId="19981" xr:uid="{00000000-0005-0000-0000-00003C550000}"/>
    <cellStyle name="Hed Side Regular 2 6 2 5" xfId="19982" xr:uid="{00000000-0005-0000-0000-00003D550000}"/>
    <cellStyle name="Hed Side Regular 2 6 2 5 2" xfId="19983" xr:uid="{00000000-0005-0000-0000-00003E550000}"/>
    <cellStyle name="Hed Side Regular 2 6 2 6" xfId="19984" xr:uid="{00000000-0005-0000-0000-00003F550000}"/>
    <cellStyle name="Hed Side Regular 2 6 2 6 2" xfId="19985" xr:uid="{00000000-0005-0000-0000-000040550000}"/>
    <cellStyle name="Hed Side Regular 2 6 2 7" xfId="19986" xr:uid="{00000000-0005-0000-0000-000041550000}"/>
    <cellStyle name="Hed Side Regular 2 6 2 7 2" xfId="19987" xr:uid="{00000000-0005-0000-0000-000042550000}"/>
    <cellStyle name="Hed Side Regular 2 6 2 8" xfId="19988" xr:uid="{00000000-0005-0000-0000-000043550000}"/>
    <cellStyle name="Hed Side Regular 2 6 2 8 2" xfId="19989" xr:uid="{00000000-0005-0000-0000-000044550000}"/>
    <cellStyle name="Hed Side Regular 2 6 2 9" xfId="19990" xr:uid="{00000000-0005-0000-0000-000045550000}"/>
    <cellStyle name="Hed Side Regular 2 6 2 9 2" xfId="19991" xr:uid="{00000000-0005-0000-0000-000046550000}"/>
    <cellStyle name="Hed Side Regular 2 6 3" xfId="19992" xr:uid="{00000000-0005-0000-0000-000047550000}"/>
    <cellStyle name="Hed Side Regular 2 6 3 10" xfId="19993" xr:uid="{00000000-0005-0000-0000-000048550000}"/>
    <cellStyle name="Hed Side Regular 2 6 3 2" xfId="19994" xr:uid="{00000000-0005-0000-0000-000049550000}"/>
    <cellStyle name="Hed Side Regular 2 6 3 2 2" xfId="19995" xr:uid="{00000000-0005-0000-0000-00004A550000}"/>
    <cellStyle name="Hed Side Regular 2 6 3 3" xfId="19996" xr:uid="{00000000-0005-0000-0000-00004B550000}"/>
    <cellStyle name="Hed Side Regular 2 6 3 3 2" xfId="19997" xr:uid="{00000000-0005-0000-0000-00004C550000}"/>
    <cellStyle name="Hed Side Regular 2 6 3 4" xfId="19998" xr:uid="{00000000-0005-0000-0000-00004D550000}"/>
    <cellStyle name="Hed Side Regular 2 6 3 4 2" xfId="19999" xr:uid="{00000000-0005-0000-0000-00004E550000}"/>
    <cellStyle name="Hed Side Regular 2 6 3 5" xfId="20000" xr:uid="{00000000-0005-0000-0000-00004F550000}"/>
    <cellStyle name="Hed Side Regular 2 6 3 5 2" xfId="20001" xr:uid="{00000000-0005-0000-0000-000050550000}"/>
    <cellStyle name="Hed Side Regular 2 6 3 6" xfId="20002" xr:uid="{00000000-0005-0000-0000-000051550000}"/>
    <cellStyle name="Hed Side Regular 2 6 3 6 2" xfId="20003" xr:uid="{00000000-0005-0000-0000-000052550000}"/>
    <cellStyle name="Hed Side Regular 2 6 3 7" xfId="20004" xr:uid="{00000000-0005-0000-0000-000053550000}"/>
    <cellStyle name="Hed Side Regular 2 6 3 7 2" xfId="20005" xr:uid="{00000000-0005-0000-0000-000054550000}"/>
    <cellStyle name="Hed Side Regular 2 6 3 8" xfId="20006" xr:uid="{00000000-0005-0000-0000-000055550000}"/>
    <cellStyle name="Hed Side Regular 2 6 3 8 2" xfId="20007" xr:uid="{00000000-0005-0000-0000-000056550000}"/>
    <cellStyle name="Hed Side Regular 2 6 3 9" xfId="20008" xr:uid="{00000000-0005-0000-0000-000057550000}"/>
    <cellStyle name="Hed Side Regular 2 6 3 9 2" xfId="20009" xr:uid="{00000000-0005-0000-0000-000058550000}"/>
    <cellStyle name="Hed Side Regular 2 6 4" xfId="20010" xr:uid="{00000000-0005-0000-0000-000059550000}"/>
    <cellStyle name="Hed Side Regular 2 6 4 10" xfId="20011" xr:uid="{00000000-0005-0000-0000-00005A550000}"/>
    <cellStyle name="Hed Side Regular 2 6 4 2" xfId="20012" xr:uid="{00000000-0005-0000-0000-00005B550000}"/>
    <cellStyle name="Hed Side Regular 2 6 4 2 2" xfId="20013" xr:uid="{00000000-0005-0000-0000-00005C550000}"/>
    <cellStyle name="Hed Side Regular 2 6 4 3" xfId="20014" xr:uid="{00000000-0005-0000-0000-00005D550000}"/>
    <cellStyle name="Hed Side Regular 2 6 4 3 2" xfId="20015" xr:uid="{00000000-0005-0000-0000-00005E550000}"/>
    <cellStyle name="Hed Side Regular 2 6 4 4" xfId="20016" xr:uid="{00000000-0005-0000-0000-00005F550000}"/>
    <cellStyle name="Hed Side Regular 2 6 4 4 2" xfId="20017" xr:uid="{00000000-0005-0000-0000-000060550000}"/>
    <cellStyle name="Hed Side Regular 2 6 4 5" xfId="20018" xr:uid="{00000000-0005-0000-0000-000061550000}"/>
    <cellStyle name="Hed Side Regular 2 6 4 5 2" xfId="20019" xr:uid="{00000000-0005-0000-0000-000062550000}"/>
    <cellStyle name="Hed Side Regular 2 6 4 6" xfId="20020" xr:uid="{00000000-0005-0000-0000-000063550000}"/>
    <cellStyle name="Hed Side Regular 2 6 4 6 2" xfId="20021" xr:uid="{00000000-0005-0000-0000-000064550000}"/>
    <cellStyle name="Hed Side Regular 2 6 4 7" xfId="20022" xr:uid="{00000000-0005-0000-0000-000065550000}"/>
    <cellStyle name="Hed Side Regular 2 6 4 7 2" xfId="20023" xr:uid="{00000000-0005-0000-0000-000066550000}"/>
    <cellStyle name="Hed Side Regular 2 6 4 8" xfId="20024" xr:uid="{00000000-0005-0000-0000-000067550000}"/>
    <cellStyle name="Hed Side Regular 2 6 4 8 2" xfId="20025" xr:uid="{00000000-0005-0000-0000-000068550000}"/>
    <cellStyle name="Hed Side Regular 2 6 4 9" xfId="20026" xr:uid="{00000000-0005-0000-0000-000069550000}"/>
    <cellStyle name="Hed Side Regular 2 6 4 9 2" xfId="20027" xr:uid="{00000000-0005-0000-0000-00006A550000}"/>
    <cellStyle name="Hed Side Regular 2 6 5" xfId="20028" xr:uid="{00000000-0005-0000-0000-00006B550000}"/>
    <cellStyle name="Hed Side Regular 2 6 5 10" xfId="20029" xr:uid="{00000000-0005-0000-0000-00006C550000}"/>
    <cellStyle name="Hed Side Regular 2 6 5 2" xfId="20030" xr:uid="{00000000-0005-0000-0000-00006D550000}"/>
    <cellStyle name="Hed Side Regular 2 6 5 2 2" xfId="20031" xr:uid="{00000000-0005-0000-0000-00006E550000}"/>
    <cellStyle name="Hed Side Regular 2 6 5 3" xfId="20032" xr:uid="{00000000-0005-0000-0000-00006F550000}"/>
    <cellStyle name="Hed Side Regular 2 6 5 3 2" xfId="20033" xr:uid="{00000000-0005-0000-0000-000070550000}"/>
    <cellStyle name="Hed Side Regular 2 6 5 4" xfId="20034" xr:uid="{00000000-0005-0000-0000-000071550000}"/>
    <cellStyle name="Hed Side Regular 2 6 5 4 2" xfId="20035" xr:uid="{00000000-0005-0000-0000-000072550000}"/>
    <cellStyle name="Hed Side Regular 2 6 5 5" xfId="20036" xr:uid="{00000000-0005-0000-0000-000073550000}"/>
    <cellStyle name="Hed Side Regular 2 6 5 5 2" xfId="20037" xr:uid="{00000000-0005-0000-0000-000074550000}"/>
    <cellStyle name="Hed Side Regular 2 6 5 6" xfId="20038" xr:uid="{00000000-0005-0000-0000-000075550000}"/>
    <cellStyle name="Hed Side Regular 2 6 5 6 2" xfId="20039" xr:uid="{00000000-0005-0000-0000-000076550000}"/>
    <cellStyle name="Hed Side Regular 2 6 5 7" xfId="20040" xr:uid="{00000000-0005-0000-0000-000077550000}"/>
    <cellStyle name="Hed Side Regular 2 6 5 7 2" xfId="20041" xr:uid="{00000000-0005-0000-0000-000078550000}"/>
    <cellStyle name="Hed Side Regular 2 6 5 8" xfId="20042" xr:uid="{00000000-0005-0000-0000-000079550000}"/>
    <cellStyle name="Hed Side Regular 2 6 5 8 2" xfId="20043" xr:uid="{00000000-0005-0000-0000-00007A550000}"/>
    <cellStyle name="Hed Side Regular 2 6 5 9" xfId="20044" xr:uid="{00000000-0005-0000-0000-00007B550000}"/>
    <cellStyle name="Hed Side Regular 2 6 5 9 2" xfId="20045" xr:uid="{00000000-0005-0000-0000-00007C550000}"/>
    <cellStyle name="Hed Side Regular 2 6 6" xfId="20046" xr:uid="{00000000-0005-0000-0000-00007D550000}"/>
    <cellStyle name="Hed Side Regular 2 6 6 10" xfId="20047" xr:uid="{00000000-0005-0000-0000-00007E550000}"/>
    <cellStyle name="Hed Side Regular 2 6 6 2" xfId="20048" xr:uid="{00000000-0005-0000-0000-00007F550000}"/>
    <cellStyle name="Hed Side Regular 2 6 6 2 2" xfId="20049" xr:uid="{00000000-0005-0000-0000-000080550000}"/>
    <cellStyle name="Hed Side Regular 2 6 6 3" xfId="20050" xr:uid="{00000000-0005-0000-0000-000081550000}"/>
    <cellStyle name="Hed Side Regular 2 6 6 3 2" xfId="20051" xr:uid="{00000000-0005-0000-0000-000082550000}"/>
    <cellStyle name="Hed Side Regular 2 6 6 4" xfId="20052" xr:uid="{00000000-0005-0000-0000-000083550000}"/>
    <cellStyle name="Hed Side Regular 2 6 6 4 2" xfId="20053" xr:uid="{00000000-0005-0000-0000-000084550000}"/>
    <cellStyle name="Hed Side Regular 2 6 6 5" xfId="20054" xr:uid="{00000000-0005-0000-0000-000085550000}"/>
    <cellStyle name="Hed Side Regular 2 6 6 5 2" xfId="20055" xr:uid="{00000000-0005-0000-0000-000086550000}"/>
    <cellStyle name="Hed Side Regular 2 6 6 6" xfId="20056" xr:uid="{00000000-0005-0000-0000-000087550000}"/>
    <cellStyle name="Hed Side Regular 2 6 6 6 2" xfId="20057" xr:uid="{00000000-0005-0000-0000-000088550000}"/>
    <cellStyle name="Hed Side Regular 2 6 6 7" xfId="20058" xr:uid="{00000000-0005-0000-0000-000089550000}"/>
    <cellStyle name="Hed Side Regular 2 6 6 7 2" xfId="20059" xr:uid="{00000000-0005-0000-0000-00008A550000}"/>
    <cellStyle name="Hed Side Regular 2 6 6 8" xfId="20060" xr:uid="{00000000-0005-0000-0000-00008B550000}"/>
    <cellStyle name="Hed Side Regular 2 6 6 8 2" xfId="20061" xr:uid="{00000000-0005-0000-0000-00008C550000}"/>
    <cellStyle name="Hed Side Regular 2 6 6 9" xfId="20062" xr:uid="{00000000-0005-0000-0000-00008D550000}"/>
    <cellStyle name="Hed Side Regular 2 6 6 9 2" xfId="20063" xr:uid="{00000000-0005-0000-0000-00008E550000}"/>
    <cellStyle name="Hed Side Regular 2 6 7" xfId="20064" xr:uid="{00000000-0005-0000-0000-00008F550000}"/>
    <cellStyle name="Hed Side Regular 2 6 7 10" xfId="20065" xr:uid="{00000000-0005-0000-0000-000090550000}"/>
    <cellStyle name="Hed Side Regular 2 6 7 2" xfId="20066" xr:uid="{00000000-0005-0000-0000-000091550000}"/>
    <cellStyle name="Hed Side Regular 2 6 7 2 2" xfId="20067" xr:uid="{00000000-0005-0000-0000-000092550000}"/>
    <cellStyle name="Hed Side Regular 2 6 7 3" xfId="20068" xr:uid="{00000000-0005-0000-0000-000093550000}"/>
    <cellStyle name="Hed Side Regular 2 6 7 3 2" xfId="20069" xr:uid="{00000000-0005-0000-0000-000094550000}"/>
    <cellStyle name="Hed Side Regular 2 6 7 4" xfId="20070" xr:uid="{00000000-0005-0000-0000-000095550000}"/>
    <cellStyle name="Hed Side Regular 2 6 7 4 2" xfId="20071" xr:uid="{00000000-0005-0000-0000-000096550000}"/>
    <cellStyle name="Hed Side Regular 2 6 7 5" xfId="20072" xr:uid="{00000000-0005-0000-0000-000097550000}"/>
    <cellStyle name="Hed Side Regular 2 6 7 5 2" xfId="20073" xr:uid="{00000000-0005-0000-0000-000098550000}"/>
    <cellStyle name="Hed Side Regular 2 6 7 6" xfId="20074" xr:uid="{00000000-0005-0000-0000-000099550000}"/>
    <cellStyle name="Hed Side Regular 2 6 7 6 2" xfId="20075" xr:uid="{00000000-0005-0000-0000-00009A550000}"/>
    <cellStyle name="Hed Side Regular 2 6 7 7" xfId="20076" xr:uid="{00000000-0005-0000-0000-00009B550000}"/>
    <cellStyle name="Hed Side Regular 2 6 7 7 2" xfId="20077" xr:uid="{00000000-0005-0000-0000-00009C550000}"/>
    <cellStyle name="Hed Side Regular 2 6 7 8" xfId="20078" xr:uid="{00000000-0005-0000-0000-00009D550000}"/>
    <cellStyle name="Hed Side Regular 2 6 7 8 2" xfId="20079" xr:uid="{00000000-0005-0000-0000-00009E550000}"/>
    <cellStyle name="Hed Side Regular 2 6 7 9" xfId="20080" xr:uid="{00000000-0005-0000-0000-00009F550000}"/>
    <cellStyle name="Hed Side Regular 2 6 7 9 2" xfId="20081" xr:uid="{00000000-0005-0000-0000-0000A0550000}"/>
    <cellStyle name="Hed Side Regular 2 6 8" xfId="20082" xr:uid="{00000000-0005-0000-0000-0000A1550000}"/>
    <cellStyle name="Hed Side Regular 2 6 8 10" xfId="20083" xr:uid="{00000000-0005-0000-0000-0000A2550000}"/>
    <cellStyle name="Hed Side Regular 2 6 8 2" xfId="20084" xr:uid="{00000000-0005-0000-0000-0000A3550000}"/>
    <cellStyle name="Hed Side Regular 2 6 8 2 2" xfId="20085" xr:uid="{00000000-0005-0000-0000-0000A4550000}"/>
    <cellStyle name="Hed Side Regular 2 6 8 3" xfId="20086" xr:uid="{00000000-0005-0000-0000-0000A5550000}"/>
    <cellStyle name="Hed Side Regular 2 6 8 3 2" xfId="20087" xr:uid="{00000000-0005-0000-0000-0000A6550000}"/>
    <cellStyle name="Hed Side Regular 2 6 8 4" xfId="20088" xr:uid="{00000000-0005-0000-0000-0000A7550000}"/>
    <cellStyle name="Hed Side Regular 2 6 8 4 2" xfId="20089" xr:uid="{00000000-0005-0000-0000-0000A8550000}"/>
    <cellStyle name="Hed Side Regular 2 6 8 5" xfId="20090" xr:uid="{00000000-0005-0000-0000-0000A9550000}"/>
    <cellStyle name="Hed Side Regular 2 6 8 5 2" xfId="20091" xr:uid="{00000000-0005-0000-0000-0000AA550000}"/>
    <cellStyle name="Hed Side Regular 2 6 8 6" xfId="20092" xr:uid="{00000000-0005-0000-0000-0000AB550000}"/>
    <cellStyle name="Hed Side Regular 2 6 8 6 2" xfId="20093" xr:uid="{00000000-0005-0000-0000-0000AC550000}"/>
    <cellStyle name="Hed Side Regular 2 6 8 7" xfId="20094" xr:uid="{00000000-0005-0000-0000-0000AD550000}"/>
    <cellStyle name="Hed Side Regular 2 6 8 7 2" xfId="20095" xr:uid="{00000000-0005-0000-0000-0000AE550000}"/>
    <cellStyle name="Hed Side Regular 2 6 8 8" xfId="20096" xr:uid="{00000000-0005-0000-0000-0000AF550000}"/>
    <cellStyle name="Hed Side Regular 2 6 8 8 2" xfId="20097" xr:uid="{00000000-0005-0000-0000-0000B0550000}"/>
    <cellStyle name="Hed Side Regular 2 6 8 9" xfId="20098" xr:uid="{00000000-0005-0000-0000-0000B1550000}"/>
    <cellStyle name="Hed Side Regular 2 6 8 9 2" xfId="20099" xr:uid="{00000000-0005-0000-0000-0000B2550000}"/>
    <cellStyle name="Hed Side Regular 2 6 9" xfId="20100" xr:uid="{00000000-0005-0000-0000-0000B3550000}"/>
    <cellStyle name="Hed Side Regular 2 6 9 10" xfId="20101" xr:uid="{00000000-0005-0000-0000-0000B4550000}"/>
    <cellStyle name="Hed Side Regular 2 6 9 2" xfId="20102" xr:uid="{00000000-0005-0000-0000-0000B5550000}"/>
    <cellStyle name="Hed Side Regular 2 6 9 2 2" xfId="20103" xr:uid="{00000000-0005-0000-0000-0000B6550000}"/>
    <cellStyle name="Hed Side Regular 2 6 9 3" xfId="20104" xr:uid="{00000000-0005-0000-0000-0000B7550000}"/>
    <cellStyle name="Hed Side Regular 2 6 9 3 2" xfId="20105" xr:uid="{00000000-0005-0000-0000-0000B8550000}"/>
    <cellStyle name="Hed Side Regular 2 6 9 4" xfId="20106" xr:uid="{00000000-0005-0000-0000-0000B9550000}"/>
    <cellStyle name="Hed Side Regular 2 6 9 4 2" xfId="20107" xr:uid="{00000000-0005-0000-0000-0000BA550000}"/>
    <cellStyle name="Hed Side Regular 2 6 9 5" xfId="20108" xr:uid="{00000000-0005-0000-0000-0000BB550000}"/>
    <cellStyle name="Hed Side Regular 2 6 9 5 2" xfId="20109" xr:uid="{00000000-0005-0000-0000-0000BC550000}"/>
    <cellStyle name="Hed Side Regular 2 6 9 6" xfId="20110" xr:uid="{00000000-0005-0000-0000-0000BD550000}"/>
    <cellStyle name="Hed Side Regular 2 6 9 6 2" xfId="20111" xr:uid="{00000000-0005-0000-0000-0000BE550000}"/>
    <cellStyle name="Hed Side Regular 2 6 9 7" xfId="20112" xr:uid="{00000000-0005-0000-0000-0000BF550000}"/>
    <cellStyle name="Hed Side Regular 2 6 9 7 2" xfId="20113" xr:uid="{00000000-0005-0000-0000-0000C0550000}"/>
    <cellStyle name="Hed Side Regular 2 6 9 8" xfId="20114" xr:uid="{00000000-0005-0000-0000-0000C1550000}"/>
    <cellStyle name="Hed Side Regular 2 6 9 8 2" xfId="20115" xr:uid="{00000000-0005-0000-0000-0000C2550000}"/>
    <cellStyle name="Hed Side Regular 2 6 9 9" xfId="20116" xr:uid="{00000000-0005-0000-0000-0000C3550000}"/>
    <cellStyle name="Hed Side Regular 2 6 9 9 2" xfId="20117" xr:uid="{00000000-0005-0000-0000-0000C4550000}"/>
    <cellStyle name="Hed Side Regular 2 7" xfId="20118" xr:uid="{00000000-0005-0000-0000-0000C5550000}"/>
    <cellStyle name="Hed Side Regular 2 7 10" xfId="20119" xr:uid="{00000000-0005-0000-0000-0000C6550000}"/>
    <cellStyle name="Hed Side Regular 2 7 10 2" xfId="20120" xr:uid="{00000000-0005-0000-0000-0000C7550000}"/>
    <cellStyle name="Hed Side Regular 2 7 10 2 2" xfId="20121" xr:uid="{00000000-0005-0000-0000-0000C8550000}"/>
    <cellStyle name="Hed Side Regular 2 7 10 3" xfId="20122" xr:uid="{00000000-0005-0000-0000-0000C9550000}"/>
    <cellStyle name="Hed Side Regular 2 7 10 3 2" xfId="20123" xr:uid="{00000000-0005-0000-0000-0000CA550000}"/>
    <cellStyle name="Hed Side Regular 2 7 10 4" xfId="20124" xr:uid="{00000000-0005-0000-0000-0000CB550000}"/>
    <cellStyle name="Hed Side Regular 2 7 10 4 2" xfId="20125" xr:uid="{00000000-0005-0000-0000-0000CC550000}"/>
    <cellStyle name="Hed Side Regular 2 7 10 5" xfId="20126" xr:uid="{00000000-0005-0000-0000-0000CD550000}"/>
    <cellStyle name="Hed Side Regular 2 7 10 5 2" xfId="20127" xr:uid="{00000000-0005-0000-0000-0000CE550000}"/>
    <cellStyle name="Hed Side Regular 2 7 10 6" xfId="20128" xr:uid="{00000000-0005-0000-0000-0000CF550000}"/>
    <cellStyle name="Hed Side Regular 2 7 10 6 2" xfId="20129" xr:uid="{00000000-0005-0000-0000-0000D0550000}"/>
    <cellStyle name="Hed Side Regular 2 7 10 7" xfId="20130" xr:uid="{00000000-0005-0000-0000-0000D1550000}"/>
    <cellStyle name="Hed Side Regular 2 7 10 7 2" xfId="20131" xr:uid="{00000000-0005-0000-0000-0000D2550000}"/>
    <cellStyle name="Hed Side Regular 2 7 10 8" xfId="20132" xr:uid="{00000000-0005-0000-0000-0000D3550000}"/>
    <cellStyle name="Hed Side Regular 2 7 10 8 2" xfId="20133" xr:uid="{00000000-0005-0000-0000-0000D4550000}"/>
    <cellStyle name="Hed Side Regular 2 7 10 9" xfId="20134" xr:uid="{00000000-0005-0000-0000-0000D5550000}"/>
    <cellStyle name="Hed Side Regular 2 7 11" xfId="20135" xr:uid="{00000000-0005-0000-0000-0000D6550000}"/>
    <cellStyle name="Hed Side Regular 2 7 11 2" xfId="20136" xr:uid="{00000000-0005-0000-0000-0000D7550000}"/>
    <cellStyle name="Hed Side Regular 2 7 12" xfId="20137" xr:uid="{00000000-0005-0000-0000-0000D8550000}"/>
    <cellStyle name="Hed Side Regular 2 7 12 2" xfId="20138" xr:uid="{00000000-0005-0000-0000-0000D9550000}"/>
    <cellStyle name="Hed Side Regular 2 7 13" xfId="20139" xr:uid="{00000000-0005-0000-0000-0000DA550000}"/>
    <cellStyle name="Hed Side Regular 2 7 13 2" xfId="20140" xr:uid="{00000000-0005-0000-0000-0000DB550000}"/>
    <cellStyle name="Hed Side Regular 2 7 14" xfId="20141" xr:uid="{00000000-0005-0000-0000-0000DC550000}"/>
    <cellStyle name="Hed Side Regular 2 7 14 2" xfId="20142" xr:uid="{00000000-0005-0000-0000-0000DD550000}"/>
    <cellStyle name="Hed Side Regular 2 7 15" xfId="20143" xr:uid="{00000000-0005-0000-0000-0000DE550000}"/>
    <cellStyle name="Hed Side Regular 2 7 15 2" xfId="20144" xr:uid="{00000000-0005-0000-0000-0000DF550000}"/>
    <cellStyle name="Hed Side Regular 2 7 16" xfId="20145" xr:uid="{00000000-0005-0000-0000-0000E0550000}"/>
    <cellStyle name="Hed Side Regular 2 7 16 2" xfId="20146" xr:uid="{00000000-0005-0000-0000-0000E1550000}"/>
    <cellStyle name="Hed Side Regular 2 7 17" xfId="20147" xr:uid="{00000000-0005-0000-0000-0000E2550000}"/>
    <cellStyle name="Hed Side Regular 2 7 17 2" xfId="20148" xr:uid="{00000000-0005-0000-0000-0000E3550000}"/>
    <cellStyle name="Hed Side Regular 2 7 18" xfId="20149" xr:uid="{00000000-0005-0000-0000-0000E4550000}"/>
    <cellStyle name="Hed Side Regular 2 7 2" xfId="20150" xr:uid="{00000000-0005-0000-0000-0000E5550000}"/>
    <cellStyle name="Hed Side Regular 2 7 2 10" xfId="20151" xr:uid="{00000000-0005-0000-0000-0000E6550000}"/>
    <cellStyle name="Hed Side Regular 2 7 2 2" xfId="20152" xr:uid="{00000000-0005-0000-0000-0000E7550000}"/>
    <cellStyle name="Hed Side Regular 2 7 2 2 2" xfId="20153" xr:uid="{00000000-0005-0000-0000-0000E8550000}"/>
    <cellStyle name="Hed Side Regular 2 7 2 3" xfId="20154" xr:uid="{00000000-0005-0000-0000-0000E9550000}"/>
    <cellStyle name="Hed Side Regular 2 7 2 3 2" xfId="20155" xr:uid="{00000000-0005-0000-0000-0000EA550000}"/>
    <cellStyle name="Hed Side Regular 2 7 2 4" xfId="20156" xr:uid="{00000000-0005-0000-0000-0000EB550000}"/>
    <cellStyle name="Hed Side Regular 2 7 2 4 2" xfId="20157" xr:uid="{00000000-0005-0000-0000-0000EC550000}"/>
    <cellStyle name="Hed Side Regular 2 7 2 5" xfId="20158" xr:uid="{00000000-0005-0000-0000-0000ED550000}"/>
    <cellStyle name="Hed Side Regular 2 7 2 5 2" xfId="20159" xr:uid="{00000000-0005-0000-0000-0000EE550000}"/>
    <cellStyle name="Hed Side Regular 2 7 2 6" xfId="20160" xr:uid="{00000000-0005-0000-0000-0000EF550000}"/>
    <cellStyle name="Hed Side Regular 2 7 2 6 2" xfId="20161" xr:uid="{00000000-0005-0000-0000-0000F0550000}"/>
    <cellStyle name="Hed Side Regular 2 7 2 7" xfId="20162" xr:uid="{00000000-0005-0000-0000-0000F1550000}"/>
    <cellStyle name="Hed Side Regular 2 7 2 7 2" xfId="20163" xr:uid="{00000000-0005-0000-0000-0000F2550000}"/>
    <cellStyle name="Hed Side Regular 2 7 2 8" xfId="20164" xr:uid="{00000000-0005-0000-0000-0000F3550000}"/>
    <cellStyle name="Hed Side Regular 2 7 2 8 2" xfId="20165" xr:uid="{00000000-0005-0000-0000-0000F4550000}"/>
    <cellStyle name="Hed Side Regular 2 7 2 9" xfId="20166" xr:uid="{00000000-0005-0000-0000-0000F5550000}"/>
    <cellStyle name="Hed Side Regular 2 7 2 9 2" xfId="20167" xr:uid="{00000000-0005-0000-0000-0000F6550000}"/>
    <cellStyle name="Hed Side Regular 2 7 3" xfId="20168" xr:uid="{00000000-0005-0000-0000-0000F7550000}"/>
    <cellStyle name="Hed Side Regular 2 7 3 10" xfId="20169" xr:uid="{00000000-0005-0000-0000-0000F8550000}"/>
    <cellStyle name="Hed Side Regular 2 7 3 2" xfId="20170" xr:uid="{00000000-0005-0000-0000-0000F9550000}"/>
    <cellStyle name="Hed Side Regular 2 7 3 2 2" xfId="20171" xr:uid="{00000000-0005-0000-0000-0000FA550000}"/>
    <cellStyle name="Hed Side Regular 2 7 3 3" xfId="20172" xr:uid="{00000000-0005-0000-0000-0000FB550000}"/>
    <cellStyle name="Hed Side Regular 2 7 3 3 2" xfId="20173" xr:uid="{00000000-0005-0000-0000-0000FC550000}"/>
    <cellStyle name="Hed Side Regular 2 7 3 4" xfId="20174" xr:uid="{00000000-0005-0000-0000-0000FD550000}"/>
    <cellStyle name="Hed Side Regular 2 7 3 4 2" xfId="20175" xr:uid="{00000000-0005-0000-0000-0000FE550000}"/>
    <cellStyle name="Hed Side Regular 2 7 3 5" xfId="20176" xr:uid="{00000000-0005-0000-0000-0000FF550000}"/>
    <cellStyle name="Hed Side Regular 2 7 3 5 2" xfId="20177" xr:uid="{00000000-0005-0000-0000-000000560000}"/>
    <cellStyle name="Hed Side Regular 2 7 3 6" xfId="20178" xr:uid="{00000000-0005-0000-0000-000001560000}"/>
    <cellStyle name="Hed Side Regular 2 7 3 6 2" xfId="20179" xr:uid="{00000000-0005-0000-0000-000002560000}"/>
    <cellStyle name="Hed Side Regular 2 7 3 7" xfId="20180" xr:uid="{00000000-0005-0000-0000-000003560000}"/>
    <cellStyle name="Hed Side Regular 2 7 3 7 2" xfId="20181" xr:uid="{00000000-0005-0000-0000-000004560000}"/>
    <cellStyle name="Hed Side Regular 2 7 3 8" xfId="20182" xr:uid="{00000000-0005-0000-0000-000005560000}"/>
    <cellStyle name="Hed Side Regular 2 7 3 8 2" xfId="20183" xr:uid="{00000000-0005-0000-0000-000006560000}"/>
    <cellStyle name="Hed Side Regular 2 7 3 9" xfId="20184" xr:uid="{00000000-0005-0000-0000-000007560000}"/>
    <cellStyle name="Hed Side Regular 2 7 3 9 2" xfId="20185" xr:uid="{00000000-0005-0000-0000-000008560000}"/>
    <cellStyle name="Hed Side Regular 2 7 4" xfId="20186" xr:uid="{00000000-0005-0000-0000-000009560000}"/>
    <cellStyle name="Hed Side Regular 2 7 4 10" xfId="20187" xr:uid="{00000000-0005-0000-0000-00000A560000}"/>
    <cellStyle name="Hed Side Regular 2 7 4 2" xfId="20188" xr:uid="{00000000-0005-0000-0000-00000B560000}"/>
    <cellStyle name="Hed Side Regular 2 7 4 2 2" xfId="20189" xr:uid="{00000000-0005-0000-0000-00000C560000}"/>
    <cellStyle name="Hed Side Regular 2 7 4 3" xfId="20190" xr:uid="{00000000-0005-0000-0000-00000D560000}"/>
    <cellStyle name="Hed Side Regular 2 7 4 3 2" xfId="20191" xr:uid="{00000000-0005-0000-0000-00000E560000}"/>
    <cellStyle name="Hed Side Regular 2 7 4 4" xfId="20192" xr:uid="{00000000-0005-0000-0000-00000F560000}"/>
    <cellStyle name="Hed Side Regular 2 7 4 4 2" xfId="20193" xr:uid="{00000000-0005-0000-0000-000010560000}"/>
    <cellStyle name="Hed Side Regular 2 7 4 5" xfId="20194" xr:uid="{00000000-0005-0000-0000-000011560000}"/>
    <cellStyle name="Hed Side Regular 2 7 4 5 2" xfId="20195" xr:uid="{00000000-0005-0000-0000-000012560000}"/>
    <cellStyle name="Hed Side Regular 2 7 4 6" xfId="20196" xr:uid="{00000000-0005-0000-0000-000013560000}"/>
    <cellStyle name="Hed Side Regular 2 7 4 6 2" xfId="20197" xr:uid="{00000000-0005-0000-0000-000014560000}"/>
    <cellStyle name="Hed Side Regular 2 7 4 7" xfId="20198" xr:uid="{00000000-0005-0000-0000-000015560000}"/>
    <cellStyle name="Hed Side Regular 2 7 4 7 2" xfId="20199" xr:uid="{00000000-0005-0000-0000-000016560000}"/>
    <cellStyle name="Hed Side Regular 2 7 4 8" xfId="20200" xr:uid="{00000000-0005-0000-0000-000017560000}"/>
    <cellStyle name="Hed Side Regular 2 7 4 8 2" xfId="20201" xr:uid="{00000000-0005-0000-0000-000018560000}"/>
    <cellStyle name="Hed Side Regular 2 7 4 9" xfId="20202" xr:uid="{00000000-0005-0000-0000-000019560000}"/>
    <cellStyle name="Hed Side Regular 2 7 4 9 2" xfId="20203" xr:uid="{00000000-0005-0000-0000-00001A560000}"/>
    <cellStyle name="Hed Side Regular 2 7 5" xfId="20204" xr:uid="{00000000-0005-0000-0000-00001B560000}"/>
    <cellStyle name="Hed Side Regular 2 7 5 10" xfId="20205" xr:uid="{00000000-0005-0000-0000-00001C560000}"/>
    <cellStyle name="Hed Side Regular 2 7 5 2" xfId="20206" xr:uid="{00000000-0005-0000-0000-00001D560000}"/>
    <cellStyle name="Hed Side Regular 2 7 5 2 2" xfId="20207" xr:uid="{00000000-0005-0000-0000-00001E560000}"/>
    <cellStyle name="Hed Side Regular 2 7 5 3" xfId="20208" xr:uid="{00000000-0005-0000-0000-00001F560000}"/>
    <cellStyle name="Hed Side Regular 2 7 5 3 2" xfId="20209" xr:uid="{00000000-0005-0000-0000-000020560000}"/>
    <cellStyle name="Hed Side Regular 2 7 5 4" xfId="20210" xr:uid="{00000000-0005-0000-0000-000021560000}"/>
    <cellStyle name="Hed Side Regular 2 7 5 4 2" xfId="20211" xr:uid="{00000000-0005-0000-0000-000022560000}"/>
    <cellStyle name="Hed Side Regular 2 7 5 5" xfId="20212" xr:uid="{00000000-0005-0000-0000-000023560000}"/>
    <cellStyle name="Hed Side Regular 2 7 5 5 2" xfId="20213" xr:uid="{00000000-0005-0000-0000-000024560000}"/>
    <cellStyle name="Hed Side Regular 2 7 5 6" xfId="20214" xr:uid="{00000000-0005-0000-0000-000025560000}"/>
    <cellStyle name="Hed Side Regular 2 7 5 6 2" xfId="20215" xr:uid="{00000000-0005-0000-0000-000026560000}"/>
    <cellStyle name="Hed Side Regular 2 7 5 7" xfId="20216" xr:uid="{00000000-0005-0000-0000-000027560000}"/>
    <cellStyle name="Hed Side Regular 2 7 5 7 2" xfId="20217" xr:uid="{00000000-0005-0000-0000-000028560000}"/>
    <cellStyle name="Hed Side Regular 2 7 5 8" xfId="20218" xr:uid="{00000000-0005-0000-0000-000029560000}"/>
    <cellStyle name="Hed Side Regular 2 7 5 8 2" xfId="20219" xr:uid="{00000000-0005-0000-0000-00002A560000}"/>
    <cellStyle name="Hed Side Regular 2 7 5 9" xfId="20220" xr:uid="{00000000-0005-0000-0000-00002B560000}"/>
    <cellStyle name="Hed Side Regular 2 7 5 9 2" xfId="20221" xr:uid="{00000000-0005-0000-0000-00002C560000}"/>
    <cellStyle name="Hed Side Regular 2 7 6" xfId="20222" xr:uid="{00000000-0005-0000-0000-00002D560000}"/>
    <cellStyle name="Hed Side Regular 2 7 6 10" xfId="20223" xr:uid="{00000000-0005-0000-0000-00002E560000}"/>
    <cellStyle name="Hed Side Regular 2 7 6 2" xfId="20224" xr:uid="{00000000-0005-0000-0000-00002F560000}"/>
    <cellStyle name="Hed Side Regular 2 7 6 2 2" xfId="20225" xr:uid="{00000000-0005-0000-0000-000030560000}"/>
    <cellStyle name="Hed Side Regular 2 7 6 3" xfId="20226" xr:uid="{00000000-0005-0000-0000-000031560000}"/>
    <cellStyle name="Hed Side Regular 2 7 6 3 2" xfId="20227" xr:uid="{00000000-0005-0000-0000-000032560000}"/>
    <cellStyle name="Hed Side Regular 2 7 6 4" xfId="20228" xr:uid="{00000000-0005-0000-0000-000033560000}"/>
    <cellStyle name="Hed Side Regular 2 7 6 4 2" xfId="20229" xr:uid="{00000000-0005-0000-0000-000034560000}"/>
    <cellStyle name="Hed Side Regular 2 7 6 5" xfId="20230" xr:uid="{00000000-0005-0000-0000-000035560000}"/>
    <cellStyle name="Hed Side Regular 2 7 6 5 2" xfId="20231" xr:uid="{00000000-0005-0000-0000-000036560000}"/>
    <cellStyle name="Hed Side Regular 2 7 6 6" xfId="20232" xr:uid="{00000000-0005-0000-0000-000037560000}"/>
    <cellStyle name="Hed Side Regular 2 7 6 6 2" xfId="20233" xr:uid="{00000000-0005-0000-0000-000038560000}"/>
    <cellStyle name="Hed Side Regular 2 7 6 7" xfId="20234" xr:uid="{00000000-0005-0000-0000-000039560000}"/>
    <cellStyle name="Hed Side Regular 2 7 6 7 2" xfId="20235" xr:uid="{00000000-0005-0000-0000-00003A560000}"/>
    <cellStyle name="Hed Side Regular 2 7 6 8" xfId="20236" xr:uid="{00000000-0005-0000-0000-00003B560000}"/>
    <cellStyle name="Hed Side Regular 2 7 6 8 2" xfId="20237" xr:uid="{00000000-0005-0000-0000-00003C560000}"/>
    <cellStyle name="Hed Side Regular 2 7 6 9" xfId="20238" xr:uid="{00000000-0005-0000-0000-00003D560000}"/>
    <cellStyle name="Hed Side Regular 2 7 6 9 2" xfId="20239" xr:uid="{00000000-0005-0000-0000-00003E560000}"/>
    <cellStyle name="Hed Side Regular 2 7 7" xfId="20240" xr:uid="{00000000-0005-0000-0000-00003F560000}"/>
    <cellStyle name="Hed Side Regular 2 7 7 10" xfId="20241" xr:uid="{00000000-0005-0000-0000-000040560000}"/>
    <cellStyle name="Hed Side Regular 2 7 7 2" xfId="20242" xr:uid="{00000000-0005-0000-0000-000041560000}"/>
    <cellStyle name="Hed Side Regular 2 7 7 2 2" xfId="20243" xr:uid="{00000000-0005-0000-0000-000042560000}"/>
    <cellStyle name="Hed Side Regular 2 7 7 3" xfId="20244" xr:uid="{00000000-0005-0000-0000-000043560000}"/>
    <cellStyle name="Hed Side Regular 2 7 7 3 2" xfId="20245" xr:uid="{00000000-0005-0000-0000-000044560000}"/>
    <cellStyle name="Hed Side Regular 2 7 7 4" xfId="20246" xr:uid="{00000000-0005-0000-0000-000045560000}"/>
    <cellStyle name="Hed Side Regular 2 7 7 4 2" xfId="20247" xr:uid="{00000000-0005-0000-0000-000046560000}"/>
    <cellStyle name="Hed Side Regular 2 7 7 5" xfId="20248" xr:uid="{00000000-0005-0000-0000-000047560000}"/>
    <cellStyle name="Hed Side Regular 2 7 7 5 2" xfId="20249" xr:uid="{00000000-0005-0000-0000-000048560000}"/>
    <cellStyle name="Hed Side Regular 2 7 7 6" xfId="20250" xr:uid="{00000000-0005-0000-0000-000049560000}"/>
    <cellStyle name="Hed Side Regular 2 7 7 6 2" xfId="20251" xr:uid="{00000000-0005-0000-0000-00004A560000}"/>
    <cellStyle name="Hed Side Regular 2 7 7 7" xfId="20252" xr:uid="{00000000-0005-0000-0000-00004B560000}"/>
    <cellStyle name="Hed Side Regular 2 7 7 7 2" xfId="20253" xr:uid="{00000000-0005-0000-0000-00004C560000}"/>
    <cellStyle name="Hed Side Regular 2 7 7 8" xfId="20254" xr:uid="{00000000-0005-0000-0000-00004D560000}"/>
    <cellStyle name="Hed Side Regular 2 7 7 8 2" xfId="20255" xr:uid="{00000000-0005-0000-0000-00004E560000}"/>
    <cellStyle name="Hed Side Regular 2 7 7 9" xfId="20256" xr:uid="{00000000-0005-0000-0000-00004F560000}"/>
    <cellStyle name="Hed Side Regular 2 7 7 9 2" xfId="20257" xr:uid="{00000000-0005-0000-0000-000050560000}"/>
    <cellStyle name="Hed Side Regular 2 7 8" xfId="20258" xr:uid="{00000000-0005-0000-0000-000051560000}"/>
    <cellStyle name="Hed Side Regular 2 7 8 10" xfId="20259" xr:uid="{00000000-0005-0000-0000-000052560000}"/>
    <cellStyle name="Hed Side Regular 2 7 8 2" xfId="20260" xr:uid="{00000000-0005-0000-0000-000053560000}"/>
    <cellStyle name="Hed Side Regular 2 7 8 2 2" xfId="20261" xr:uid="{00000000-0005-0000-0000-000054560000}"/>
    <cellStyle name="Hed Side Regular 2 7 8 3" xfId="20262" xr:uid="{00000000-0005-0000-0000-000055560000}"/>
    <cellStyle name="Hed Side Regular 2 7 8 3 2" xfId="20263" xr:uid="{00000000-0005-0000-0000-000056560000}"/>
    <cellStyle name="Hed Side Regular 2 7 8 4" xfId="20264" xr:uid="{00000000-0005-0000-0000-000057560000}"/>
    <cellStyle name="Hed Side Regular 2 7 8 4 2" xfId="20265" xr:uid="{00000000-0005-0000-0000-000058560000}"/>
    <cellStyle name="Hed Side Regular 2 7 8 5" xfId="20266" xr:uid="{00000000-0005-0000-0000-000059560000}"/>
    <cellStyle name="Hed Side Regular 2 7 8 5 2" xfId="20267" xr:uid="{00000000-0005-0000-0000-00005A560000}"/>
    <cellStyle name="Hed Side Regular 2 7 8 6" xfId="20268" xr:uid="{00000000-0005-0000-0000-00005B560000}"/>
    <cellStyle name="Hed Side Regular 2 7 8 6 2" xfId="20269" xr:uid="{00000000-0005-0000-0000-00005C560000}"/>
    <cellStyle name="Hed Side Regular 2 7 8 7" xfId="20270" xr:uid="{00000000-0005-0000-0000-00005D560000}"/>
    <cellStyle name="Hed Side Regular 2 7 8 7 2" xfId="20271" xr:uid="{00000000-0005-0000-0000-00005E560000}"/>
    <cellStyle name="Hed Side Regular 2 7 8 8" xfId="20272" xr:uid="{00000000-0005-0000-0000-00005F560000}"/>
    <cellStyle name="Hed Side Regular 2 7 8 8 2" xfId="20273" xr:uid="{00000000-0005-0000-0000-000060560000}"/>
    <cellStyle name="Hed Side Regular 2 7 8 9" xfId="20274" xr:uid="{00000000-0005-0000-0000-000061560000}"/>
    <cellStyle name="Hed Side Regular 2 7 8 9 2" xfId="20275" xr:uid="{00000000-0005-0000-0000-000062560000}"/>
    <cellStyle name="Hed Side Regular 2 7 9" xfId="20276" xr:uid="{00000000-0005-0000-0000-000063560000}"/>
    <cellStyle name="Hed Side Regular 2 7 9 10" xfId="20277" xr:uid="{00000000-0005-0000-0000-000064560000}"/>
    <cellStyle name="Hed Side Regular 2 7 9 2" xfId="20278" xr:uid="{00000000-0005-0000-0000-000065560000}"/>
    <cellStyle name="Hed Side Regular 2 7 9 2 2" xfId="20279" xr:uid="{00000000-0005-0000-0000-000066560000}"/>
    <cellStyle name="Hed Side Regular 2 7 9 3" xfId="20280" xr:uid="{00000000-0005-0000-0000-000067560000}"/>
    <cellStyle name="Hed Side Regular 2 7 9 3 2" xfId="20281" xr:uid="{00000000-0005-0000-0000-000068560000}"/>
    <cellStyle name="Hed Side Regular 2 7 9 4" xfId="20282" xr:uid="{00000000-0005-0000-0000-000069560000}"/>
    <cellStyle name="Hed Side Regular 2 7 9 4 2" xfId="20283" xr:uid="{00000000-0005-0000-0000-00006A560000}"/>
    <cellStyle name="Hed Side Regular 2 7 9 5" xfId="20284" xr:uid="{00000000-0005-0000-0000-00006B560000}"/>
    <cellStyle name="Hed Side Regular 2 7 9 5 2" xfId="20285" xr:uid="{00000000-0005-0000-0000-00006C560000}"/>
    <cellStyle name="Hed Side Regular 2 7 9 6" xfId="20286" xr:uid="{00000000-0005-0000-0000-00006D560000}"/>
    <cellStyle name="Hed Side Regular 2 7 9 6 2" xfId="20287" xr:uid="{00000000-0005-0000-0000-00006E560000}"/>
    <cellStyle name="Hed Side Regular 2 7 9 7" xfId="20288" xr:uid="{00000000-0005-0000-0000-00006F560000}"/>
    <cellStyle name="Hed Side Regular 2 7 9 7 2" xfId="20289" xr:uid="{00000000-0005-0000-0000-000070560000}"/>
    <cellStyle name="Hed Side Regular 2 7 9 8" xfId="20290" xr:uid="{00000000-0005-0000-0000-000071560000}"/>
    <cellStyle name="Hed Side Regular 2 7 9 8 2" xfId="20291" xr:uid="{00000000-0005-0000-0000-000072560000}"/>
    <cellStyle name="Hed Side Regular 2 7 9 9" xfId="20292" xr:uid="{00000000-0005-0000-0000-000073560000}"/>
    <cellStyle name="Hed Side Regular 2 7 9 9 2" xfId="20293" xr:uid="{00000000-0005-0000-0000-000074560000}"/>
    <cellStyle name="Hed Side Regular 2 8" xfId="20294" xr:uid="{00000000-0005-0000-0000-000075560000}"/>
    <cellStyle name="Hed Side Regular 2 8 10" xfId="20295" xr:uid="{00000000-0005-0000-0000-000076560000}"/>
    <cellStyle name="Hed Side Regular 2 8 10 2" xfId="20296" xr:uid="{00000000-0005-0000-0000-000077560000}"/>
    <cellStyle name="Hed Side Regular 2 8 10 2 2" xfId="20297" xr:uid="{00000000-0005-0000-0000-000078560000}"/>
    <cellStyle name="Hed Side Regular 2 8 10 3" xfId="20298" xr:uid="{00000000-0005-0000-0000-000079560000}"/>
    <cellStyle name="Hed Side Regular 2 8 10 3 2" xfId="20299" xr:uid="{00000000-0005-0000-0000-00007A560000}"/>
    <cellStyle name="Hed Side Regular 2 8 10 4" xfId="20300" xr:uid="{00000000-0005-0000-0000-00007B560000}"/>
    <cellStyle name="Hed Side Regular 2 8 10 4 2" xfId="20301" xr:uid="{00000000-0005-0000-0000-00007C560000}"/>
    <cellStyle name="Hed Side Regular 2 8 10 5" xfId="20302" xr:uid="{00000000-0005-0000-0000-00007D560000}"/>
    <cellStyle name="Hed Side Regular 2 8 10 5 2" xfId="20303" xr:uid="{00000000-0005-0000-0000-00007E560000}"/>
    <cellStyle name="Hed Side Regular 2 8 10 6" xfId="20304" xr:uid="{00000000-0005-0000-0000-00007F560000}"/>
    <cellStyle name="Hed Side Regular 2 8 10 6 2" xfId="20305" xr:uid="{00000000-0005-0000-0000-000080560000}"/>
    <cellStyle name="Hed Side Regular 2 8 10 7" xfId="20306" xr:uid="{00000000-0005-0000-0000-000081560000}"/>
    <cellStyle name="Hed Side Regular 2 8 10 7 2" xfId="20307" xr:uid="{00000000-0005-0000-0000-000082560000}"/>
    <cellStyle name="Hed Side Regular 2 8 10 8" xfId="20308" xr:uid="{00000000-0005-0000-0000-000083560000}"/>
    <cellStyle name="Hed Side Regular 2 8 10 8 2" xfId="20309" xr:uid="{00000000-0005-0000-0000-000084560000}"/>
    <cellStyle name="Hed Side Regular 2 8 10 9" xfId="20310" xr:uid="{00000000-0005-0000-0000-000085560000}"/>
    <cellStyle name="Hed Side Regular 2 8 11" xfId="20311" xr:uid="{00000000-0005-0000-0000-000086560000}"/>
    <cellStyle name="Hed Side Regular 2 8 11 2" xfId="20312" xr:uid="{00000000-0005-0000-0000-000087560000}"/>
    <cellStyle name="Hed Side Regular 2 8 12" xfId="20313" xr:uid="{00000000-0005-0000-0000-000088560000}"/>
    <cellStyle name="Hed Side Regular 2 8 12 2" xfId="20314" xr:uid="{00000000-0005-0000-0000-000089560000}"/>
    <cellStyle name="Hed Side Regular 2 8 13" xfId="20315" xr:uid="{00000000-0005-0000-0000-00008A560000}"/>
    <cellStyle name="Hed Side Regular 2 8 13 2" xfId="20316" xr:uid="{00000000-0005-0000-0000-00008B560000}"/>
    <cellStyle name="Hed Side Regular 2 8 14" xfId="20317" xr:uid="{00000000-0005-0000-0000-00008C560000}"/>
    <cellStyle name="Hed Side Regular 2 8 14 2" xfId="20318" xr:uid="{00000000-0005-0000-0000-00008D560000}"/>
    <cellStyle name="Hed Side Regular 2 8 15" xfId="20319" xr:uid="{00000000-0005-0000-0000-00008E560000}"/>
    <cellStyle name="Hed Side Regular 2 8 15 2" xfId="20320" xr:uid="{00000000-0005-0000-0000-00008F560000}"/>
    <cellStyle name="Hed Side Regular 2 8 16" xfId="20321" xr:uid="{00000000-0005-0000-0000-000090560000}"/>
    <cellStyle name="Hed Side Regular 2 8 16 2" xfId="20322" xr:uid="{00000000-0005-0000-0000-000091560000}"/>
    <cellStyle name="Hed Side Regular 2 8 17" xfId="20323" xr:uid="{00000000-0005-0000-0000-000092560000}"/>
    <cellStyle name="Hed Side Regular 2 8 17 2" xfId="20324" xr:uid="{00000000-0005-0000-0000-000093560000}"/>
    <cellStyle name="Hed Side Regular 2 8 18" xfId="20325" xr:uid="{00000000-0005-0000-0000-000094560000}"/>
    <cellStyle name="Hed Side Regular 2 8 2" xfId="20326" xr:uid="{00000000-0005-0000-0000-000095560000}"/>
    <cellStyle name="Hed Side Regular 2 8 2 10" xfId="20327" xr:uid="{00000000-0005-0000-0000-000096560000}"/>
    <cellStyle name="Hed Side Regular 2 8 2 2" xfId="20328" xr:uid="{00000000-0005-0000-0000-000097560000}"/>
    <cellStyle name="Hed Side Regular 2 8 2 2 2" xfId="20329" xr:uid="{00000000-0005-0000-0000-000098560000}"/>
    <cellStyle name="Hed Side Regular 2 8 2 3" xfId="20330" xr:uid="{00000000-0005-0000-0000-000099560000}"/>
    <cellStyle name="Hed Side Regular 2 8 2 3 2" xfId="20331" xr:uid="{00000000-0005-0000-0000-00009A560000}"/>
    <cellStyle name="Hed Side Regular 2 8 2 4" xfId="20332" xr:uid="{00000000-0005-0000-0000-00009B560000}"/>
    <cellStyle name="Hed Side Regular 2 8 2 4 2" xfId="20333" xr:uid="{00000000-0005-0000-0000-00009C560000}"/>
    <cellStyle name="Hed Side Regular 2 8 2 5" xfId="20334" xr:uid="{00000000-0005-0000-0000-00009D560000}"/>
    <cellStyle name="Hed Side Regular 2 8 2 5 2" xfId="20335" xr:uid="{00000000-0005-0000-0000-00009E560000}"/>
    <cellStyle name="Hed Side Regular 2 8 2 6" xfId="20336" xr:uid="{00000000-0005-0000-0000-00009F560000}"/>
    <cellStyle name="Hed Side Regular 2 8 2 6 2" xfId="20337" xr:uid="{00000000-0005-0000-0000-0000A0560000}"/>
    <cellStyle name="Hed Side Regular 2 8 2 7" xfId="20338" xr:uid="{00000000-0005-0000-0000-0000A1560000}"/>
    <cellStyle name="Hed Side Regular 2 8 2 7 2" xfId="20339" xr:uid="{00000000-0005-0000-0000-0000A2560000}"/>
    <cellStyle name="Hed Side Regular 2 8 2 8" xfId="20340" xr:uid="{00000000-0005-0000-0000-0000A3560000}"/>
    <cellStyle name="Hed Side Regular 2 8 2 8 2" xfId="20341" xr:uid="{00000000-0005-0000-0000-0000A4560000}"/>
    <cellStyle name="Hed Side Regular 2 8 2 9" xfId="20342" xr:uid="{00000000-0005-0000-0000-0000A5560000}"/>
    <cellStyle name="Hed Side Regular 2 8 2 9 2" xfId="20343" xr:uid="{00000000-0005-0000-0000-0000A6560000}"/>
    <cellStyle name="Hed Side Regular 2 8 3" xfId="20344" xr:uid="{00000000-0005-0000-0000-0000A7560000}"/>
    <cellStyle name="Hed Side Regular 2 8 3 10" xfId="20345" xr:uid="{00000000-0005-0000-0000-0000A8560000}"/>
    <cellStyle name="Hed Side Regular 2 8 3 2" xfId="20346" xr:uid="{00000000-0005-0000-0000-0000A9560000}"/>
    <cellStyle name="Hed Side Regular 2 8 3 2 2" xfId="20347" xr:uid="{00000000-0005-0000-0000-0000AA560000}"/>
    <cellStyle name="Hed Side Regular 2 8 3 3" xfId="20348" xr:uid="{00000000-0005-0000-0000-0000AB560000}"/>
    <cellStyle name="Hed Side Regular 2 8 3 3 2" xfId="20349" xr:uid="{00000000-0005-0000-0000-0000AC560000}"/>
    <cellStyle name="Hed Side Regular 2 8 3 4" xfId="20350" xr:uid="{00000000-0005-0000-0000-0000AD560000}"/>
    <cellStyle name="Hed Side Regular 2 8 3 4 2" xfId="20351" xr:uid="{00000000-0005-0000-0000-0000AE560000}"/>
    <cellStyle name="Hed Side Regular 2 8 3 5" xfId="20352" xr:uid="{00000000-0005-0000-0000-0000AF560000}"/>
    <cellStyle name="Hed Side Regular 2 8 3 5 2" xfId="20353" xr:uid="{00000000-0005-0000-0000-0000B0560000}"/>
    <cellStyle name="Hed Side Regular 2 8 3 6" xfId="20354" xr:uid="{00000000-0005-0000-0000-0000B1560000}"/>
    <cellStyle name="Hed Side Regular 2 8 3 6 2" xfId="20355" xr:uid="{00000000-0005-0000-0000-0000B2560000}"/>
    <cellStyle name="Hed Side Regular 2 8 3 7" xfId="20356" xr:uid="{00000000-0005-0000-0000-0000B3560000}"/>
    <cellStyle name="Hed Side Regular 2 8 3 7 2" xfId="20357" xr:uid="{00000000-0005-0000-0000-0000B4560000}"/>
    <cellStyle name="Hed Side Regular 2 8 3 8" xfId="20358" xr:uid="{00000000-0005-0000-0000-0000B5560000}"/>
    <cellStyle name="Hed Side Regular 2 8 3 8 2" xfId="20359" xr:uid="{00000000-0005-0000-0000-0000B6560000}"/>
    <cellStyle name="Hed Side Regular 2 8 3 9" xfId="20360" xr:uid="{00000000-0005-0000-0000-0000B7560000}"/>
    <cellStyle name="Hed Side Regular 2 8 3 9 2" xfId="20361" xr:uid="{00000000-0005-0000-0000-0000B8560000}"/>
    <cellStyle name="Hed Side Regular 2 8 4" xfId="20362" xr:uid="{00000000-0005-0000-0000-0000B9560000}"/>
    <cellStyle name="Hed Side Regular 2 8 4 10" xfId="20363" xr:uid="{00000000-0005-0000-0000-0000BA560000}"/>
    <cellStyle name="Hed Side Regular 2 8 4 2" xfId="20364" xr:uid="{00000000-0005-0000-0000-0000BB560000}"/>
    <cellStyle name="Hed Side Regular 2 8 4 2 2" xfId="20365" xr:uid="{00000000-0005-0000-0000-0000BC560000}"/>
    <cellStyle name="Hed Side Regular 2 8 4 3" xfId="20366" xr:uid="{00000000-0005-0000-0000-0000BD560000}"/>
    <cellStyle name="Hed Side Regular 2 8 4 3 2" xfId="20367" xr:uid="{00000000-0005-0000-0000-0000BE560000}"/>
    <cellStyle name="Hed Side Regular 2 8 4 4" xfId="20368" xr:uid="{00000000-0005-0000-0000-0000BF560000}"/>
    <cellStyle name="Hed Side Regular 2 8 4 4 2" xfId="20369" xr:uid="{00000000-0005-0000-0000-0000C0560000}"/>
    <cellStyle name="Hed Side Regular 2 8 4 5" xfId="20370" xr:uid="{00000000-0005-0000-0000-0000C1560000}"/>
    <cellStyle name="Hed Side Regular 2 8 4 5 2" xfId="20371" xr:uid="{00000000-0005-0000-0000-0000C2560000}"/>
    <cellStyle name="Hed Side Regular 2 8 4 6" xfId="20372" xr:uid="{00000000-0005-0000-0000-0000C3560000}"/>
    <cellStyle name="Hed Side Regular 2 8 4 6 2" xfId="20373" xr:uid="{00000000-0005-0000-0000-0000C4560000}"/>
    <cellStyle name="Hed Side Regular 2 8 4 7" xfId="20374" xr:uid="{00000000-0005-0000-0000-0000C5560000}"/>
    <cellStyle name="Hed Side Regular 2 8 4 7 2" xfId="20375" xr:uid="{00000000-0005-0000-0000-0000C6560000}"/>
    <cellStyle name="Hed Side Regular 2 8 4 8" xfId="20376" xr:uid="{00000000-0005-0000-0000-0000C7560000}"/>
    <cellStyle name="Hed Side Regular 2 8 4 8 2" xfId="20377" xr:uid="{00000000-0005-0000-0000-0000C8560000}"/>
    <cellStyle name="Hed Side Regular 2 8 4 9" xfId="20378" xr:uid="{00000000-0005-0000-0000-0000C9560000}"/>
    <cellStyle name="Hed Side Regular 2 8 4 9 2" xfId="20379" xr:uid="{00000000-0005-0000-0000-0000CA560000}"/>
    <cellStyle name="Hed Side Regular 2 8 5" xfId="20380" xr:uid="{00000000-0005-0000-0000-0000CB560000}"/>
    <cellStyle name="Hed Side Regular 2 8 5 10" xfId="20381" xr:uid="{00000000-0005-0000-0000-0000CC560000}"/>
    <cellStyle name="Hed Side Regular 2 8 5 2" xfId="20382" xr:uid="{00000000-0005-0000-0000-0000CD560000}"/>
    <cellStyle name="Hed Side Regular 2 8 5 2 2" xfId="20383" xr:uid="{00000000-0005-0000-0000-0000CE560000}"/>
    <cellStyle name="Hed Side Regular 2 8 5 3" xfId="20384" xr:uid="{00000000-0005-0000-0000-0000CF560000}"/>
    <cellStyle name="Hed Side Regular 2 8 5 3 2" xfId="20385" xr:uid="{00000000-0005-0000-0000-0000D0560000}"/>
    <cellStyle name="Hed Side Regular 2 8 5 4" xfId="20386" xr:uid="{00000000-0005-0000-0000-0000D1560000}"/>
    <cellStyle name="Hed Side Regular 2 8 5 4 2" xfId="20387" xr:uid="{00000000-0005-0000-0000-0000D2560000}"/>
    <cellStyle name="Hed Side Regular 2 8 5 5" xfId="20388" xr:uid="{00000000-0005-0000-0000-0000D3560000}"/>
    <cellStyle name="Hed Side Regular 2 8 5 5 2" xfId="20389" xr:uid="{00000000-0005-0000-0000-0000D4560000}"/>
    <cellStyle name="Hed Side Regular 2 8 5 6" xfId="20390" xr:uid="{00000000-0005-0000-0000-0000D5560000}"/>
    <cellStyle name="Hed Side Regular 2 8 5 6 2" xfId="20391" xr:uid="{00000000-0005-0000-0000-0000D6560000}"/>
    <cellStyle name="Hed Side Regular 2 8 5 7" xfId="20392" xr:uid="{00000000-0005-0000-0000-0000D7560000}"/>
    <cellStyle name="Hed Side Regular 2 8 5 7 2" xfId="20393" xr:uid="{00000000-0005-0000-0000-0000D8560000}"/>
    <cellStyle name="Hed Side Regular 2 8 5 8" xfId="20394" xr:uid="{00000000-0005-0000-0000-0000D9560000}"/>
    <cellStyle name="Hed Side Regular 2 8 5 8 2" xfId="20395" xr:uid="{00000000-0005-0000-0000-0000DA560000}"/>
    <cellStyle name="Hed Side Regular 2 8 5 9" xfId="20396" xr:uid="{00000000-0005-0000-0000-0000DB560000}"/>
    <cellStyle name="Hed Side Regular 2 8 5 9 2" xfId="20397" xr:uid="{00000000-0005-0000-0000-0000DC560000}"/>
    <cellStyle name="Hed Side Regular 2 8 6" xfId="20398" xr:uid="{00000000-0005-0000-0000-0000DD560000}"/>
    <cellStyle name="Hed Side Regular 2 8 6 10" xfId="20399" xr:uid="{00000000-0005-0000-0000-0000DE560000}"/>
    <cellStyle name="Hed Side Regular 2 8 6 2" xfId="20400" xr:uid="{00000000-0005-0000-0000-0000DF560000}"/>
    <cellStyle name="Hed Side Regular 2 8 6 2 2" xfId="20401" xr:uid="{00000000-0005-0000-0000-0000E0560000}"/>
    <cellStyle name="Hed Side Regular 2 8 6 3" xfId="20402" xr:uid="{00000000-0005-0000-0000-0000E1560000}"/>
    <cellStyle name="Hed Side Regular 2 8 6 3 2" xfId="20403" xr:uid="{00000000-0005-0000-0000-0000E2560000}"/>
    <cellStyle name="Hed Side Regular 2 8 6 4" xfId="20404" xr:uid="{00000000-0005-0000-0000-0000E3560000}"/>
    <cellStyle name="Hed Side Regular 2 8 6 4 2" xfId="20405" xr:uid="{00000000-0005-0000-0000-0000E4560000}"/>
    <cellStyle name="Hed Side Regular 2 8 6 5" xfId="20406" xr:uid="{00000000-0005-0000-0000-0000E5560000}"/>
    <cellStyle name="Hed Side Regular 2 8 6 5 2" xfId="20407" xr:uid="{00000000-0005-0000-0000-0000E6560000}"/>
    <cellStyle name="Hed Side Regular 2 8 6 6" xfId="20408" xr:uid="{00000000-0005-0000-0000-0000E7560000}"/>
    <cellStyle name="Hed Side Regular 2 8 6 6 2" xfId="20409" xr:uid="{00000000-0005-0000-0000-0000E8560000}"/>
    <cellStyle name="Hed Side Regular 2 8 6 7" xfId="20410" xr:uid="{00000000-0005-0000-0000-0000E9560000}"/>
    <cellStyle name="Hed Side Regular 2 8 6 7 2" xfId="20411" xr:uid="{00000000-0005-0000-0000-0000EA560000}"/>
    <cellStyle name="Hed Side Regular 2 8 6 8" xfId="20412" xr:uid="{00000000-0005-0000-0000-0000EB560000}"/>
    <cellStyle name="Hed Side Regular 2 8 6 8 2" xfId="20413" xr:uid="{00000000-0005-0000-0000-0000EC560000}"/>
    <cellStyle name="Hed Side Regular 2 8 6 9" xfId="20414" xr:uid="{00000000-0005-0000-0000-0000ED560000}"/>
    <cellStyle name="Hed Side Regular 2 8 6 9 2" xfId="20415" xr:uid="{00000000-0005-0000-0000-0000EE560000}"/>
    <cellStyle name="Hed Side Regular 2 8 7" xfId="20416" xr:uid="{00000000-0005-0000-0000-0000EF560000}"/>
    <cellStyle name="Hed Side Regular 2 8 7 10" xfId="20417" xr:uid="{00000000-0005-0000-0000-0000F0560000}"/>
    <cellStyle name="Hed Side Regular 2 8 7 2" xfId="20418" xr:uid="{00000000-0005-0000-0000-0000F1560000}"/>
    <cellStyle name="Hed Side Regular 2 8 7 2 2" xfId="20419" xr:uid="{00000000-0005-0000-0000-0000F2560000}"/>
    <cellStyle name="Hed Side Regular 2 8 7 3" xfId="20420" xr:uid="{00000000-0005-0000-0000-0000F3560000}"/>
    <cellStyle name="Hed Side Regular 2 8 7 3 2" xfId="20421" xr:uid="{00000000-0005-0000-0000-0000F4560000}"/>
    <cellStyle name="Hed Side Regular 2 8 7 4" xfId="20422" xr:uid="{00000000-0005-0000-0000-0000F5560000}"/>
    <cellStyle name="Hed Side Regular 2 8 7 4 2" xfId="20423" xr:uid="{00000000-0005-0000-0000-0000F6560000}"/>
    <cellStyle name="Hed Side Regular 2 8 7 5" xfId="20424" xr:uid="{00000000-0005-0000-0000-0000F7560000}"/>
    <cellStyle name="Hed Side Regular 2 8 7 5 2" xfId="20425" xr:uid="{00000000-0005-0000-0000-0000F8560000}"/>
    <cellStyle name="Hed Side Regular 2 8 7 6" xfId="20426" xr:uid="{00000000-0005-0000-0000-0000F9560000}"/>
    <cellStyle name="Hed Side Regular 2 8 7 6 2" xfId="20427" xr:uid="{00000000-0005-0000-0000-0000FA560000}"/>
    <cellStyle name="Hed Side Regular 2 8 7 7" xfId="20428" xr:uid="{00000000-0005-0000-0000-0000FB560000}"/>
    <cellStyle name="Hed Side Regular 2 8 7 7 2" xfId="20429" xr:uid="{00000000-0005-0000-0000-0000FC560000}"/>
    <cellStyle name="Hed Side Regular 2 8 7 8" xfId="20430" xr:uid="{00000000-0005-0000-0000-0000FD560000}"/>
    <cellStyle name="Hed Side Regular 2 8 7 8 2" xfId="20431" xr:uid="{00000000-0005-0000-0000-0000FE560000}"/>
    <cellStyle name="Hed Side Regular 2 8 7 9" xfId="20432" xr:uid="{00000000-0005-0000-0000-0000FF560000}"/>
    <cellStyle name="Hed Side Regular 2 8 7 9 2" xfId="20433" xr:uid="{00000000-0005-0000-0000-000000570000}"/>
    <cellStyle name="Hed Side Regular 2 8 8" xfId="20434" xr:uid="{00000000-0005-0000-0000-000001570000}"/>
    <cellStyle name="Hed Side Regular 2 8 8 10" xfId="20435" xr:uid="{00000000-0005-0000-0000-000002570000}"/>
    <cellStyle name="Hed Side Regular 2 8 8 2" xfId="20436" xr:uid="{00000000-0005-0000-0000-000003570000}"/>
    <cellStyle name="Hed Side Regular 2 8 8 2 2" xfId="20437" xr:uid="{00000000-0005-0000-0000-000004570000}"/>
    <cellStyle name="Hed Side Regular 2 8 8 3" xfId="20438" xr:uid="{00000000-0005-0000-0000-000005570000}"/>
    <cellStyle name="Hed Side Regular 2 8 8 3 2" xfId="20439" xr:uid="{00000000-0005-0000-0000-000006570000}"/>
    <cellStyle name="Hed Side Regular 2 8 8 4" xfId="20440" xr:uid="{00000000-0005-0000-0000-000007570000}"/>
    <cellStyle name="Hed Side Regular 2 8 8 4 2" xfId="20441" xr:uid="{00000000-0005-0000-0000-000008570000}"/>
    <cellStyle name="Hed Side Regular 2 8 8 5" xfId="20442" xr:uid="{00000000-0005-0000-0000-000009570000}"/>
    <cellStyle name="Hed Side Regular 2 8 8 5 2" xfId="20443" xr:uid="{00000000-0005-0000-0000-00000A570000}"/>
    <cellStyle name="Hed Side Regular 2 8 8 6" xfId="20444" xr:uid="{00000000-0005-0000-0000-00000B570000}"/>
    <cellStyle name="Hed Side Regular 2 8 8 6 2" xfId="20445" xr:uid="{00000000-0005-0000-0000-00000C570000}"/>
    <cellStyle name="Hed Side Regular 2 8 8 7" xfId="20446" xr:uid="{00000000-0005-0000-0000-00000D570000}"/>
    <cellStyle name="Hed Side Regular 2 8 8 7 2" xfId="20447" xr:uid="{00000000-0005-0000-0000-00000E570000}"/>
    <cellStyle name="Hed Side Regular 2 8 8 8" xfId="20448" xr:uid="{00000000-0005-0000-0000-00000F570000}"/>
    <cellStyle name="Hed Side Regular 2 8 8 8 2" xfId="20449" xr:uid="{00000000-0005-0000-0000-000010570000}"/>
    <cellStyle name="Hed Side Regular 2 8 8 9" xfId="20450" xr:uid="{00000000-0005-0000-0000-000011570000}"/>
    <cellStyle name="Hed Side Regular 2 8 8 9 2" xfId="20451" xr:uid="{00000000-0005-0000-0000-000012570000}"/>
    <cellStyle name="Hed Side Regular 2 8 9" xfId="20452" xr:uid="{00000000-0005-0000-0000-000013570000}"/>
    <cellStyle name="Hed Side Regular 2 8 9 10" xfId="20453" xr:uid="{00000000-0005-0000-0000-000014570000}"/>
    <cellStyle name="Hed Side Regular 2 8 9 2" xfId="20454" xr:uid="{00000000-0005-0000-0000-000015570000}"/>
    <cellStyle name="Hed Side Regular 2 8 9 2 2" xfId="20455" xr:uid="{00000000-0005-0000-0000-000016570000}"/>
    <cellStyle name="Hed Side Regular 2 8 9 3" xfId="20456" xr:uid="{00000000-0005-0000-0000-000017570000}"/>
    <cellStyle name="Hed Side Regular 2 8 9 3 2" xfId="20457" xr:uid="{00000000-0005-0000-0000-000018570000}"/>
    <cellStyle name="Hed Side Regular 2 8 9 4" xfId="20458" xr:uid="{00000000-0005-0000-0000-000019570000}"/>
    <cellStyle name="Hed Side Regular 2 8 9 4 2" xfId="20459" xr:uid="{00000000-0005-0000-0000-00001A570000}"/>
    <cellStyle name="Hed Side Regular 2 8 9 5" xfId="20460" xr:uid="{00000000-0005-0000-0000-00001B570000}"/>
    <cellStyle name="Hed Side Regular 2 8 9 5 2" xfId="20461" xr:uid="{00000000-0005-0000-0000-00001C570000}"/>
    <cellStyle name="Hed Side Regular 2 8 9 6" xfId="20462" xr:uid="{00000000-0005-0000-0000-00001D570000}"/>
    <cellStyle name="Hed Side Regular 2 8 9 6 2" xfId="20463" xr:uid="{00000000-0005-0000-0000-00001E570000}"/>
    <cellStyle name="Hed Side Regular 2 8 9 7" xfId="20464" xr:uid="{00000000-0005-0000-0000-00001F570000}"/>
    <cellStyle name="Hed Side Regular 2 8 9 7 2" xfId="20465" xr:uid="{00000000-0005-0000-0000-000020570000}"/>
    <cellStyle name="Hed Side Regular 2 8 9 8" xfId="20466" xr:uid="{00000000-0005-0000-0000-000021570000}"/>
    <cellStyle name="Hed Side Regular 2 8 9 8 2" xfId="20467" xr:uid="{00000000-0005-0000-0000-000022570000}"/>
    <cellStyle name="Hed Side Regular 2 8 9 9" xfId="20468" xr:uid="{00000000-0005-0000-0000-000023570000}"/>
    <cellStyle name="Hed Side Regular 2 8 9 9 2" xfId="20469" xr:uid="{00000000-0005-0000-0000-000024570000}"/>
    <cellStyle name="Hed Side Regular 3" xfId="171" xr:uid="{00000000-0005-0000-0000-000025570000}"/>
    <cellStyle name="Hed Side Regular 3 2" xfId="20470" xr:uid="{00000000-0005-0000-0000-000026570000}"/>
    <cellStyle name="Hed Side Regular 3 2 10" xfId="20471" xr:uid="{00000000-0005-0000-0000-000027570000}"/>
    <cellStyle name="Hed Side Regular 3 2 10 10" xfId="20472" xr:uid="{00000000-0005-0000-0000-000028570000}"/>
    <cellStyle name="Hed Side Regular 3 2 10 2" xfId="20473" xr:uid="{00000000-0005-0000-0000-000029570000}"/>
    <cellStyle name="Hed Side Regular 3 2 10 2 2" xfId="20474" xr:uid="{00000000-0005-0000-0000-00002A570000}"/>
    <cellStyle name="Hed Side Regular 3 2 10 3" xfId="20475" xr:uid="{00000000-0005-0000-0000-00002B570000}"/>
    <cellStyle name="Hed Side Regular 3 2 10 3 2" xfId="20476" xr:uid="{00000000-0005-0000-0000-00002C570000}"/>
    <cellStyle name="Hed Side Regular 3 2 10 4" xfId="20477" xr:uid="{00000000-0005-0000-0000-00002D570000}"/>
    <cellStyle name="Hed Side Regular 3 2 10 4 2" xfId="20478" xr:uid="{00000000-0005-0000-0000-00002E570000}"/>
    <cellStyle name="Hed Side Regular 3 2 10 5" xfId="20479" xr:uid="{00000000-0005-0000-0000-00002F570000}"/>
    <cellStyle name="Hed Side Regular 3 2 10 5 2" xfId="20480" xr:uid="{00000000-0005-0000-0000-000030570000}"/>
    <cellStyle name="Hed Side Regular 3 2 10 6" xfId="20481" xr:uid="{00000000-0005-0000-0000-000031570000}"/>
    <cellStyle name="Hed Side Regular 3 2 10 6 2" xfId="20482" xr:uid="{00000000-0005-0000-0000-000032570000}"/>
    <cellStyle name="Hed Side Regular 3 2 10 7" xfId="20483" xr:uid="{00000000-0005-0000-0000-000033570000}"/>
    <cellStyle name="Hed Side Regular 3 2 10 7 2" xfId="20484" xr:uid="{00000000-0005-0000-0000-000034570000}"/>
    <cellStyle name="Hed Side Regular 3 2 10 8" xfId="20485" xr:uid="{00000000-0005-0000-0000-000035570000}"/>
    <cellStyle name="Hed Side Regular 3 2 10 8 2" xfId="20486" xr:uid="{00000000-0005-0000-0000-000036570000}"/>
    <cellStyle name="Hed Side Regular 3 2 10 9" xfId="20487" xr:uid="{00000000-0005-0000-0000-000037570000}"/>
    <cellStyle name="Hed Side Regular 3 2 10 9 2" xfId="20488" xr:uid="{00000000-0005-0000-0000-000038570000}"/>
    <cellStyle name="Hed Side Regular 3 2 11" xfId="20489" xr:uid="{00000000-0005-0000-0000-000039570000}"/>
    <cellStyle name="Hed Side Regular 3 2 11 2" xfId="20490" xr:uid="{00000000-0005-0000-0000-00003A570000}"/>
    <cellStyle name="Hed Side Regular 3 2 11 2 2" xfId="20491" xr:uid="{00000000-0005-0000-0000-00003B570000}"/>
    <cellStyle name="Hed Side Regular 3 2 11 3" xfId="20492" xr:uid="{00000000-0005-0000-0000-00003C570000}"/>
    <cellStyle name="Hed Side Regular 3 2 11 3 2" xfId="20493" xr:uid="{00000000-0005-0000-0000-00003D570000}"/>
    <cellStyle name="Hed Side Regular 3 2 11 4" xfId="20494" xr:uid="{00000000-0005-0000-0000-00003E570000}"/>
    <cellStyle name="Hed Side Regular 3 2 11 4 2" xfId="20495" xr:uid="{00000000-0005-0000-0000-00003F570000}"/>
    <cellStyle name="Hed Side Regular 3 2 11 5" xfId="20496" xr:uid="{00000000-0005-0000-0000-000040570000}"/>
    <cellStyle name="Hed Side Regular 3 2 11 5 2" xfId="20497" xr:uid="{00000000-0005-0000-0000-000041570000}"/>
    <cellStyle name="Hed Side Regular 3 2 11 6" xfId="20498" xr:uid="{00000000-0005-0000-0000-000042570000}"/>
    <cellStyle name="Hed Side Regular 3 2 11 6 2" xfId="20499" xr:uid="{00000000-0005-0000-0000-000043570000}"/>
    <cellStyle name="Hed Side Regular 3 2 11 7" xfId="20500" xr:uid="{00000000-0005-0000-0000-000044570000}"/>
    <cellStyle name="Hed Side Regular 3 2 11 7 2" xfId="20501" xr:uid="{00000000-0005-0000-0000-000045570000}"/>
    <cellStyle name="Hed Side Regular 3 2 11 8" xfId="20502" xr:uid="{00000000-0005-0000-0000-000046570000}"/>
    <cellStyle name="Hed Side Regular 3 2 11 8 2" xfId="20503" xr:uid="{00000000-0005-0000-0000-000047570000}"/>
    <cellStyle name="Hed Side Regular 3 2 11 9" xfId="20504" xr:uid="{00000000-0005-0000-0000-000048570000}"/>
    <cellStyle name="Hed Side Regular 3 2 2" xfId="20505" xr:uid="{00000000-0005-0000-0000-000049570000}"/>
    <cellStyle name="Hed Side Regular 3 2 2 10" xfId="20506" xr:uid="{00000000-0005-0000-0000-00004A570000}"/>
    <cellStyle name="Hed Side Regular 3 2 2 2" xfId="20507" xr:uid="{00000000-0005-0000-0000-00004B570000}"/>
    <cellStyle name="Hed Side Regular 3 2 2 2 2" xfId="20508" xr:uid="{00000000-0005-0000-0000-00004C570000}"/>
    <cellStyle name="Hed Side Regular 3 2 2 3" xfId="20509" xr:uid="{00000000-0005-0000-0000-00004D570000}"/>
    <cellStyle name="Hed Side Regular 3 2 2 3 2" xfId="20510" xr:uid="{00000000-0005-0000-0000-00004E570000}"/>
    <cellStyle name="Hed Side Regular 3 2 2 4" xfId="20511" xr:uid="{00000000-0005-0000-0000-00004F570000}"/>
    <cellStyle name="Hed Side Regular 3 2 2 4 2" xfId="20512" xr:uid="{00000000-0005-0000-0000-000050570000}"/>
    <cellStyle name="Hed Side Regular 3 2 2 5" xfId="20513" xr:uid="{00000000-0005-0000-0000-000051570000}"/>
    <cellStyle name="Hed Side Regular 3 2 2 5 2" xfId="20514" xr:uid="{00000000-0005-0000-0000-000052570000}"/>
    <cellStyle name="Hed Side Regular 3 2 2 6" xfId="20515" xr:uid="{00000000-0005-0000-0000-000053570000}"/>
    <cellStyle name="Hed Side Regular 3 2 2 6 2" xfId="20516" xr:uid="{00000000-0005-0000-0000-000054570000}"/>
    <cellStyle name="Hed Side Regular 3 2 2 7" xfId="20517" xr:uid="{00000000-0005-0000-0000-000055570000}"/>
    <cellStyle name="Hed Side Regular 3 2 2 7 2" xfId="20518" xr:uid="{00000000-0005-0000-0000-000056570000}"/>
    <cellStyle name="Hed Side Regular 3 2 2 8" xfId="20519" xr:uid="{00000000-0005-0000-0000-000057570000}"/>
    <cellStyle name="Hed Side Regular 3 2 2 8 2" xfId="20520" xr:uid="{00000000-0005-0000-0000-000058570000}"/>
    <cellStyle name="Hed Side Regular 3 2 2 9" xfId="20521" xr:uid="{00000000-0005-0000-0000-000059570000}"/>
    <cellStyle name="Hed Side Regular 3 2 2 9 2" xfId="20522" xr:uid="{00000000-0005-0000-0000-00005A570000}"/>
    <cellStyle name="Hed Side Regular 3 2 3" xfId="20523" xr:uid="{00000000-0005-0000-0000-00005B570000}"/>
    <cellStyle name="Hed Side Regular 3 2 3 10" xfId="20524" xr:uid="{00000000-0005-0000-0000-00005C570000}"/>
    <cellStyle name="Hed Side Regular 3 2 3 2" xfId="20525" xr:uid="{00000000-0005-0000-0000-00005D570000}"/>
    <cellStyle name="Hed Side Regular 3 2 3 2 2" xfId="20526" xr:uid="{00000000-0005-0000-0000-00005E570000}"/>
    <cellStyle name="Hed Side Regular 3 2 3 3" xfId="20527" xr:uid="{00000000-0005-0000-0000-00005F570000}"/>
    <cellStyle name="Hed Side Regular 3 2 3 3 2" xfId="20528" xr:uid="{00000000-0005-0000-0000-000060570000}"/>
    <cellStyle name="Hed Side Regular 3 2 3 4" xfId="20529" xr:uid="{00000000-0005-0000-0000-000061570000}"/>
    <cellStyle name="Hed Side Regular 3 2 3 4 2" xfId="20530" xr:uid="{00000000-0005-0000-0000-000062570000}"/>
    <cellStyle name="Hed Side Regular 3 2 3 5" xfId="20531" xr:uid="{00000000-0005-0000-0000-000063570000}"/>
    <cellStyle name="Hed Side Regular 3 2 3 5 2" xfId="20532" xr:uid="{00000000-0005-0000-0000-000064570000}"/>
    <cellStyle name="Hed Side Regular 3 2 3 6" xfId="20533" xr:uid="{00000000-0005-0000-0000-000065570000}"/>
    <cellStyle name="Hed Side Regular 3 2 3 6 2" xfId="20534" xr:uid="{00000000-0005-0000-0000-000066570000}"/>
    <cellStyle name="Hed Side Regular 3 2 3 7" xfId="20535" xr:uid="{00000000-0005-0000-0000-000067570000}"/>
    <cellStyle name="Hed Side Regular 3 2 3 7 2" xfId="20536" xr:uid="{00000000-0005-0000-0000-000068570000}"/>
    <cellStyle name="Hed Side Regular 3 2 3 8" xfId="20537" xr:uid="{00000000-0005-0000-0000-000069570000}"/>
    <cellStyle name="Hed Side Regular 3 2 3 8 2" xfId="20538" xr:uid="{00000000-0005-0000-0000-00006A570000}"/>
    <cellStyle name="Hed Side Regular 3 2 3 9" xfId="20539" xr:uid="{00000000-0005-0000-0000-00006B570000}"/>
    <cellStyle name="Hed Side Regular 3 2 3 9 2" xfId="20540" xr:uid="{00000000-0005-0000-0000-00006C570000}"/>
    <cellStyle name="Hed Side Regular 3 2 4" xfId="20541" xr:uid="{00000000-0005-0000-0000-00006D570000}"/>
    <cellStyle name="Hed Side Regular 3 2 4 10" xfId="20542" xr:uid="{00000000-0005-0000-0000-00006E570000}"/>
    <cellStyle name="Hed Side Regular 3 2 4 2" xfId="20543" xr:uid="{00000000-0005-0000-0000-00006F570000}"/>
    <cellStyle name="Hed Side Regular 3 2 4 2 2" xfId="20544" xr:uid="{00000000-0005-0000-0000-000070570000}"/>
    <cellStyle name="Hed Side Regular 3 2 4 3" xfId="20545" xr:uid="{00000000-0005-0000-0000-000071570000}"/>
    <cellStyle name="Hed Side Regular 3 2 4 3 2" xfId="20546" xr:uid="{00000000-0005-0000-0000-000072570000}"/>
    <cellStyle name="Hed Side Regular 3 2 4 4" xfId="20547" xr:uid="{00000000-0005-0000-0000-000073570000}"/>
    <cellStyle name="Hed Side Regular 3 2 4 4 2" xfId="20548" xr:uid="{00000000-0005-0000-0000-000074570000}"/>
    <cellStyle name="Hed Side Regular 3 2 4 5" xfId="20549" xr:uid="{00000000-0005-0000-0000-000075570000}"/>
    <cellStyle name="Hed Side Regular 3 2 4 5 2" xfId="20550" xr:uid="{00000000-0005-0000-0000-000076570000}"/>
    <cellStyle name="Hed Side Regular 3 2 4 6" xfId="20551" xr:uid="{00000000-0005-0000-0000-000077570000}"/>
    <cellStyle name="Hed Side Regular 3 2 4 6 2" xfId="20552" xr:uid="{00000000-0005-0000-0000-000078570000}"/>
    <cellStyle name="Hed Side Regular 3 2 4 7" xfId="20553" xr:uid="{00000000-0005-0000-0000-000079570000}"/>
    <cellStyle name="Hed Side Regular 3 2 4 7 2" xfId="20554" xr:uid="{00000000-0005-0000-0000-00007A570000}"/>
    <cellStyle name="Hed Side Regular 3 2 4 8" xfId="20555" xr:uid="{00000000-0005-0000-0000-00007B570000}"/>
    <cellStyle name="Hed Side Regular 3 2 4 8 2" xfId="20556" xr:uid="{00000000-0005-0000-0000-00007C570000}"/>
    <cellStyle name="Hed Side Regular 3 2 4 9" xfId="20557" xr:uid="{00000000-0005-0000-0000-00007D570000}"/>
    <cellStyle name="Hed Side Regular 3 2 4 9 2" xfId="20558" xr:uid="{00000000-0005-0000-0000-00007E570000}"/>
    <cellStyle name="Hed Side Regular 3 2 5" xfId="20559" xr:uid="{00000000-0005-0000-0000-00007F570000}"/>
    <cellStyle name="Hed Side Regular 3 2 5 10" xfId="20560" xr:uid="{00000000-0005-0000-0000-000080570000}"/>
    <cellStyle name="Hed Side Regular 3 2 5 2" xfId="20561" xr:uid="{00000000-0005-0000-0000-000081570000}"/>
    <cellStyle name="Hed Side Regular 3 2 5 2 2" xfId="20562" xr:uid="{00000000-0005-0000-0000-000082570000}"/>
    <cellStyle name="Hed Side Regular 3 2 5 3" xfId="20563" xr:uid="{00000000-0005-0000-0000-000083570000}"/>
    <cellStyle name="Hed Side Regular 3 2 5 3 2" xfId="20564" xr:uid="{00000000-0005-0000-0000-000084570000}"/>
    <cellStyle name="Hed Side Regular 3 2 5 4" xfId="20565" xr:uid="{00000000-0005-0000-0000-000085570000}"/>
    <cellStyle name="Hed Side Regular 3 2 5 4 2" xfId="20566" xr:uid="{00000000-0005-0000-0000-000086570000}"/>
    <cellStyle name="Hed Side Regular 3 2 5 5" xfId="20567" xr:uid="{00000000-0005-0000-0000-000087570000}"/>
    <cellStyle name="Hed Side Regular 3 2 5 5 2" xfId="20568" xr:uid="{00000000-0005-0000-0000-000088570000}"/>
    <cellStyle name="Hed Side Regular 3 2 5 6" xfId="20569" xr:uid="{00000000-0005-0000-0000-000089570000}"/>
    <cellStyle name="Hed Side Regular 3 2 5 6 2" xfId="20570" xr:uid="{00000000-0005-0000-0000-00008A570000}"/>
    <cellStyle name="Hed Side Regular 3 2 5 7" xfId="20571" xr:uid="{00000000-0005-0000-0000-00008B570000}"/>
    <cellStyle name="Hed Side Regular 3 2 5 7 2" xfId="20572" xr:uid="{00000000-0005-0000-0000-00008C570000}"/>
    <cellStyle name="Hed Side Regular 3 2 5 8" xfId="20573" xr:uid="{00000000-0005-0000-0000-00008D570000}"/>
    <cellStyle name="Hed Side Regular 3 2 5 8 2" xfId="20574" xr:uid="{00000000-0005-0000-0000-00008E570000}"/>
    <cellStyle name="Hed Side Regular 3 2 5 9" xfId="20575" xr:uid="{00000000-0005-0000-0000-00008F570000}"/>
    <cellStyle name="Hed Side Regular 3 2 5 9 2" xfId="20576" xr:uid="{00000000-0005-0000-0000-000090570000}"/>
    <cellStyle name="Hed Side Regular 3 2 6" xfId="20577" xr:uid="{00000000-0005-0000-0000-000091570000}"/>
    <cellStyle name="Hed Side Regular 3 2 6 10" xfId="20578" xr:uid="{00000000-0005-0000-0000-000092570000}"/>
    <cellStyle name="Hed Side Regular 3 2 6 2" xfId="20579" xr:uid="{00000000-0005-0000-0000-000093570000}"/>
    <cellStyle name="Hed Side Regular 3 2 6 2 2" xfId="20580" xr:uid="{00000000-0005-0000-0000-000094570000}"/>
    <cellStyle name="Hed Side Regular 3 2 6 3" xfId="20581" xr:uid="{00000000-0005-0000-0000-000095570000}"/>
    <cellStyle name="Hed Side Regular 3 2 6 3 2" xfId="20582" xr:uid="{00000000-0005-0000-0000-000096570000}"/>
    <cellStyle name="Hed Side Regular 3 2 6 4" xfId="20583" xr:uid="{00000000-0005-0000-0000-000097570000}"/>
    <cellStyle name="Hed Side Regular 3 2 6 4 2" xfId="20584" xr:uid="{00000000-0005-0000-0000-000098570000}"/>
    <cellStyle name="Hed Side Regular 3 2 6 5" xfId="20585" xr:uid="{00000000-0005-0000-0000-000099570000}"/>
    <cellStyle name="Hed Side Regular 3 2 6 5 2" xfId="20586" xr:uid="{00000000-0005-0000-0000-00009A570000}"/>
    <cellStyle name="Hed Side Regular 3 2 6 6" xfId="20587" xr:uid="{00000000-0005-0000-0000-00009B570000}"/>
    <cellStyle name="Hed Side Regular 3 2 6 6 2" xfId="20588" xr:uid="{00000000-0005-0000-0000-00009C570000}"/>
    <cellStyle name="Hed Side Regular 3 2 6 7" xfId="20589" xr:uid="{00000000-0005-0000-0000-00009D570000}"/>
    <cellStyle name="Hed Side Regular 3 2 6 7 2" xfId="20590" xr:uid="{00000000-0005-0000-0000-00009E570000}"/>
    <cellStyle name="Hed Side Regular 3 2 6 8" xfId="20591" xr:uid="{00000000-0005-0000-0000-00009F570000}"/>
    <cellStyle name="Hed Side Regular 3 2 6 8 2" xfId="20592" xr:uid="{00000000-0005-0000-0000-0000A0570000}"/>
    <cellStyle name="Hed Side Regular 3 2 6 9" xfId="20593" xr:uid="{00000000-0005-0000-0000-0000A1570000}"/>
    <cellStyle name="Hed Side Regular 3 2 6 9 2" xfId="20594" xr:uid="{00000000-0005-0000-0000-0000A2570000}"/>
    <cellStyle name="Hed Side Regular 3 2 7" xfId="20595" xr:uid="{00000000-0005-0000-0000-0000A3570000}"/>
    <cellStyle name="Hed Side Regular 3 2 7 10" xfId="20596" xr:uid="{00000000-0005-0000-0000-0000A4570000}"/>
    <cellStyle name="Hed Side Regular 3 2 7 2" xfId="20597" xr:uid="{00000000-0005-0000-0000-0000A5570000}"/>
    <cellStyle name="Hed Side Regular 3 2 7 2 2" xfId="20598" xr:uid="{00000000-0005-0000-0000-0000A6570000}"/>
    <cellStyle name="Hed Side Regular 3 2 7 3" xfId="20599" xr:uid="{00000000-0005-0000-0000-0000A7570000}"/>
    <cellStyle name="Hed Side Regular 3 2 7 3 2" xfId="20600" xr:uid="{00000000-0005-0000-0000-0000A8570000}"/>
    <cellStyle name="Hed Side Regular 3 2 7 4" xfId="20601" xr:uid="{00000000-0005-0000-0000-0000A9570000}"/>
    <cellStyle name="Hed Side Regular 3 2 7 4 2" xfId="20602" xr:uid="{00000000-0005-0000-0000-0000AA570000}"/>
    <cellStyle name="Hed Side Regular 3 2 7 5" xfId="20603" xr:uid="{00000000-0005-0000-0000-0000AB570000}"/>
    <cellStyle name="Hed Side Regular 3 2 7 5 2" xfId="20604" xr:uid="{00000000-0005-0000-0000-0000AC570000}"/>
    <cellStyle name="Hed Side Regular 3 2 7 6" xfId="20605" xr:uid="{00000000-0005-0000-0000-0000AD570000}"/>
    <cellStyle name="Hed Side Regular 3 2 7 6 2" xfId="20606" xr:uid="{00000000-0005-0000-0000-0000AE570000}"/>
    <cellStyle name="Hed Side Regular 3 2 7 7" xfId="20607" xr:uid="{00000000-0005-0000-0000-0000AF570000}"/>
    <cellStyle name="Hed Side Regular 3 2 7 7 2" xfId="20608" xr:uid="{00000000-0005-0000-0000-0000B0570000}"/>
    <cellStyle name="Hed Side Regular 3 2 7 8" xfId="20609" xr:uid="{00000000-0005-0000-0000-0000B1570000}"/>
    <cellStyle name="Hed Side Regular 3 2 7 8 2" xfId="20610" xr:uid="{00000000-0005-0000-0000-0000B2570000}"/>
    <cellStyle name="Hed Side Regular 3 2 7 9" xfId="20611" xr:uid="{00000000-0005-0000-0000-0000B3570000}"/>
    <cellStyle name="Hed Side Regular 3 2 7 9 2" xfId="20612" xr:uid="{00000000-0005-0000-0000-0000B4570000}"/>
    <cellStyle name="Hed Side Regular 3 2 8" xfId="20613" xr:uid="{00000000-0005-0000-0000-0000B5570000}"/>
    <cellStyle name="Hed Side Regular 3 2 8 10" xfId="20614" xr:uid="{00000000-0005-0000-0000-0000B6570000}"/>
    <cellStyle name="Hed Side Regular 3 2 8 2" xfId="20615" xr:uid="{00000000-0005-0000-0000-0000B7570000}"/>
    <cellStyle name="Hed Side Regular 3 2 8 2 2" xfId="20616" xr:uid="{00000000-0005-0000-0000-0000B8570000}"/>
    <cellStyle name="Hed Side Regular 3 2 8 3" xfId="20617" xr:uid="{00000000-0005-0000-0000-0000B9570000}"/>
    <cellStyle name="Hed Side Regular 3 2 8 3 2" xfId="20618" xr:uid="{00000000-0005-0000-0000-0000BA570000}"/>
    <cellStyle name="Hed Side Regular 3 2 8 4" xfId="20619" xr:uid="{00000000-0005-0000-0000-0000BB570000}"/>
    <cellStyle name="Hed Side Regular 3 2 8 4 2" xfId="20620" xr:uid="{00000000-0005-0000-0000-0000BC570000}"/>
    <cellStyle name="Hed Side Regular 3 2 8 5" xfId="20621" xr:uid="{00000000-0005-0000-0000-0000BD570000}"/>
    <cellStyle name="Hed Side Regular 3 2 8 5 2" xfId="20622" xr:uid="{00000000-0005-0000-0000-0000BE570000}"/>
    <cellStyle name="Hed Side Regular 3 2 8 6" xfId="20623" xr:uid="{00000000-0005-0000-0000-0000BF570000}"/>
    <cellStyle name="Hed Side Regular 3 2 8 6 2" xfId="20624" xr:uid="{00000000-0005-0000-0000-0000C0570000}"/>
    <cellStyle name="Hed Side Regular 3 2 8 7" xfId="20625" xr:uid="{00000000-0005-0000-0000-0000C1570000}"/>
    <cellStyle name="Hed Side Regular 3 2 8 7 2" xfId="20626" xr:uid="{00000000-0005-0000-0000-0000C2570000}"/>
    <cellStyle name="Hed Side Regular 3 2 8 8" xfId="20627" xr:uid="{00000000-0005-0000-0000-0000C3570000}"/>
    <cellStyle name="Hed Side Regular 3 2 8 8 2" xfId="20628" xr:uid="{00000000-0005-0000-0000-0000C4570000}"/>
    <cellStyle name="Hed Side Regular 3 2 8 9" xfId="20629" xr:uid="{00000000-0005-0000-0000-0000C5570000}"/>
    <cellStyle name="Hed Side Regular 3 2 8 9 2" xfId="20630" xr:uid="{00000000-0005-0000-0000-0000C6570000}"/>
    <cellStyle name="Hed Side Regular 3 2 9" xfId="20631" xr:uid="{00000000-0005-0000-0000-0000C7570000}"/>
    <cellStyle name="Hed Side Regular 3 2 9 10" xfId="20632" xr:uid="{00000000-0005-0000-0000-0000C8570000}"/>
    <cellStyle name="Hed Side Regular 3 2 9 2" xfId="20633" xr:uid="{00000000-0005-0000-0000-0000C9570000}"/>
    <cellStyle name="Hed Side Regular 3 2 9 2 2" xfId="20634" xr:uid="{00000000-0005-0000-0000-0000CA570000}"/>
    <cellStyle name="Hed Side Regular 3 2 9 3" xfId="20635" xr:uid="{00000000-0005-0000-0000-0000CB570000}"/>
    <cellStyle name="Hed Side Regular 3 2 9 3 2" xfId="20636" xr:uid="{00000000-0005-0000-0000-0000CC570000}"/>
    <cellStyle name="Hed Side Regular 3 2 9 4" xfId="20637" xr:uid="{00000000-0005-0000-0000-0000CD570000}"/>
    <cellStyle name="Hed Side Regular 3 2 9 4 2" xfId="20638" xr:uid="{00000000-0005-0000-0000-0000CE570000}"/>
    <cellStyle name="Hed Side Regular 3 2 9 5" xfId="20639" xr:uid="{00000000-0005-0000-0000-0000CF570000}"/>
    <cellStyle name="Hed Side Regular 3 2 9 5 2" xfId="20640" xr:uid="{00000000-0005-0000-0000-0000D0570000}"/>
    <cellStyle name="Hed Side Regular 3 2 9 6" xfId="20641" xr:uid="{00000000-0005-0000-0000-0000D1570000}"/>
    <cellStyle name="Hed Side Regular 3 2 9 6 2" xfId="20642" xr:uid="{00000000-0005-0000-0000-0000D2570000}"/>
    <cellStyle name="Hed Side Regular 3 2 9 7" xfId="20643" xr:uid="{00000000-0005-0000-0000-0000D3570000}"/>
    <cellStyle name="Hed Side Regular 3 2 9 7 2" xfId="20644" xr:uid="{00000000-0005-0000-0000-0000D4570000}"/>
    <cellStyle name="Hed Side Regular 3 2 9 8" xfId="20645" xr:uid="{00000000-0005-0000-0000-0000D5570000}"/>
    <cellStyle name="Hed Side Regular 3 2 9 8 2" xfId="20646" xr:uid="{00000000-0005-0000-0000-0000D6570000}"/>
    <cellStyle name="Hed Side Regular 3 2 9 9" xfId="20647" xr:uid="{00000000-0005-0000-0000-0000D7570000}"/>
    <cellStyle name="Hed Side Regular 3 2 9 9 2" xfId="20648" xr:uid="{00000000-0005-0000-0000-0000D8570000}"/>
    <cellStyle name="Hed Side Regular 3 3" xfId="20649" xr:uid="{00000000-0005-0000-0000-0000D9570000}"/>
    <cellStyle name="Hed Side Regular 3 3 10" xfId="20650" xr:uid="{00000000-0005-0000-0000-0000DA570000}"/>
    <cellStyle name="Hed Side Regular 3 3 10 10" xfId="20651" xr:uid="{00000000-0005-0000-0000-0000DB570000}"/>
    <cellStyle name="Hed Side Regular 3 3 10 2" xfId="20652" xr:uid="{00000000-0005-0000-0000-0000DC570000}"/>
    <cellStyle name="Hed Side Regular 3 3 10 2 2" xfId="20653" xr:uid="{00000000-0005-0000-0000-0000DD570000}"/>
    <cellStyle name="Hed Side Regular 3 3 10 3" xfId="20654" xr:uid="{00000000-0005-0000-0000-0000DE570000}"/>
    <cellStyle name="Hed Side Regular 3 3 10 3 2" xfId="20655" xr:uid="{00000000-0005-0000-0000-0000DF570000}"/>
    <cellStyle name="Hed Side Regular 3 3 10 4" xfId="20656" xr:uid="{00000000-0005-0000-0000-0000E0570000}"/>
    <cellStyle name="Hed Side Regular 3 3 10 4 2" xfId="20657" xr:uid="{00000000-0005-0000-0000-0000E1570000}"/>
    <cellStyle name="Hed Side Regular 3 3 10 5" xfId="20658" xr:uid="{00000000-0005-0000-0000-0000E2570000}"/>
    <cellStyle name="Hed Side Regular 3 3 10 5 2" xfId="20659" xr:uid="{00000000-0005-0000-0000-0000E3570000}"/>
    <cellStyle name="Hed Side Regular 3 3 10 6" xfId="20660" xr:uid="{00000000-0005-0000-0000-0000E4570000}"/>
    <cellStyle name="Hed Side Regular 3 3 10 6 2" xfId="20661" xr:uid="{00000000-0005-0000-0000-0000E5570000}"/>
    <cellStyle name="Hed Side Regular 3 3 10 7" xfId="20662" xr:uid="{00000000-0005-0000-0000-0000E6570000}"/>
    <cellStyle name="Hed Side Regular 3 3 10 7 2" xfId="20663" xr:uid="{00000000-0005-0000-0000-0000E7570000}"/>
    <cellStyle name="Hed Side Regular 3 3 10 8" xfId="20664" xr:uid="{00000000-0005-0000-0000-0000E8570000}"/>
    <cellStyle name="Hed Side Regular 3 3 10 8 2" xfId="20665" xr:uid="{00000000-0005-0000-0000-0000E9570000}"/>
    <cellStyle name="Hed Side Regular 3 3 10 9" xfId="20666" xr:uid="{00000000-0005-0000-0000-0000EA570000}"/>
    <cellStyle name="Hed Side Regular 3 3 10 9 2" xfId="20667" xr:uid="{00000000-0005-0000-0000-0000EB570000}"/>
    <cellStyle name="Hed Side Regular 3 3 11" xfId="20668" xr:uid="{00000000-0005-0000-0000-0000EC570000}"/>
    <cellStyle name="Hed Side Regular 3 3 11 2" xfId="20669" xr:uid="{00000000-0005-0000-0000-0000ED570000}"/>
    <cellStyle name="Hed Side Regular 3 3 11 2 2" xfId="20670" xr:uid="{00000000-0005-0000-0000-0000EE570000}"/>
    <cellStyle name="Hed Side Regular 3 3 11 3" xfId="20671" xr:uid="{00000000-0005-0000-0000-0000EF570000}"/>
    <cellStyle name="Hed Side Regular 3 3 11 3 2" xfId="20672" xr:uid="{00000000-0005-0000-0000-0000F0570000}"/>
    <cellStyle name="Hed Side Regular 3 3 11 4" xfId="20673" xr:uid="{00000000-0005-0000-0000-0000F1570000}"/>
    <cellStyle name="Hed Side Regular 3 3 11 4 2" xfId="20674" xr:uid="{00000000-0005-0000-0000-0000F2570000}"/>
    <cellStyle name="Hed Side Regular 3 3 11 5" xfId="20675" xr:uid="{00000000-0005-0000-0000-0000F3570000}"/>
    <cellStyle name="Hed Side Regular 3 3 11 5 2" xfId="20676" xr:uid="{00000000-0005-0000-0000-0000F4570000}"/>
    <cellStyle name="Hed Side Regular 3 3 11 6" xfId="20677" xr:uid="{00000000-0005-0000-0000-0000F5570000}"/>
    <cellStyle name="Hed Side Regular 3 3 11 6 2" xfId="20678" xr:uid="{00000000-0005-0000-0000-0000F6570000}"/>
    <cellStyle name="Hed Side Regular 3 3 11 7" xfId="20679" xr:uid="{00000000-0005-0000-0000-0000F7570000}"/>
    <cellStyle name="Hed Side Regular 3 3 11 7 2" xfId="20680" xr:uid="{00000000-0005-0000-0000-0000F8570000}"/>
    <cellStyle name="Hed Side Regular 3 3 11 8" xfId="20681" xr:uid="{00000000-0005-0000-0000-0000F9570000}"/>
    <cellStyle name="Hed Side Regular 3 3 11 8 2" xfId="20682" xr:uid="{00000000-0005-0000-0000-0000FA570000}"/>
    <cellStyle name="Hed Side Regular 3 3 11 9" xfId="20683" xr:uid="{00000000-0005-0000-0000-0000FB570000}"/>
    <cellStyle name="Hed Side Regular 3 3 2" xfId="20684" xr:uid="{00000000-0005-0000-0000-0000FC570000}"/>
    <cellStyle name="Hed Side Regular 3 3 2 10" xfId="20685" xr:uid="{00000000-0005-0000-0000-0000FD570000}"/>
    <cellStyle name="Hed Side Regular 3 3 2 2" xfId="20686" xr:uid="{00000000-0005-0000-0000-0000FE570000}"/>
    <cellStyle name="Hed Side Regular 3 3 2 2 2" xfId="20687" xr:uid="{00000000-0005-0000-0000-0000FF570000}"/>
    <cellStyle name="Hed Side Regular 3 3 2 3" xfId="20688" xr:uid="{00000000-0005-0000-0000-000000580000}"/>
    <cellStyle name="Hed Side Regular 3 3 2 3 2" xfId="20689" xr:uid="{00000000-0005-0000-0000-000001580000}"/>
    <cellStyle name="Hed Side Regular 3 3 2 4" xfId="20690" xr:uid="{00000000-0005-0000-0000-000002580000}"/>
    <cellStyle name="Hed Side Regular 3 3 2 4 2" xfId="20691" xr:uid="{00000000-0005-0000-0000-000003580000}"/>
    <cellStyle name="Hed Side Regular 3 3 2 5" xfId="20692" xr:uid="{00000000-0005-0000-0000-000004580000}"/>
    <cellStyle name="Hed Side Regular 3 3 2 5 2" xfId="20693" xr:uid="{00000000-0005-0000-0000-000005580000}"/>
    <cellStyle name="Hed Side Regular 3 3 2 6" xfId="20694" xr:uid="{00000000-0005-0000-0000-000006580000}"/>
    <cellStyle name="Hed Side Regular 3 3 2 6 2" xfId="20695" xr:uid="{00000000-0005-0000-0000-000007580000}"/>
    <cellStyle name="Hed Side Regular 3 3 2 7" xfId="20696" xr:uid="{00000000-0005-0000-0000-000008580000}"/>
    <cellStyle name="Hed Side Regular 3 3 2 7 2" xfId="20697" xr:uid="{00000000-0005-0000-0000-000009580000}"/>
    <cellStyle name="Hed Side Regular 3 3 2 8" xfId="20698" xr:uid="{00000000-0005-0000-0000-00000A580000}"/>
    <cellStyle name="Hed Side Regular 3 3 2 8 2" xfId="20699" xr:uid="{00000000-0005-0000-0000-00000B580000}"/>
    <cellStyle name="Hed Side Regular 3 3 2 9" xfId="20700" xr:uid="{00000000-0005-0000-0000-00000C580000}"/>
    <cellStyle name="Hed Side Regular 3 3 2 9 2" xfId="20701" xr:uid="{00000000-0005-0000-0000-00000D580000}"/>
    <cellStyle name="Hed Side Regular 3 3 3" xfId="20702" xr:uid="{00000000-0005-0000-0000-00000E580000}"/>
    <cellStyle name="Hed Side Regular 3 3 3 10" xfId="20703" xr:uid="{00000000-0005-0000-0000-00000F580000}"/>
    <cellStyle name="Hed Side Regular 3 3 3 2" xfId="20704" xr:uid="{00000000-0005-0000-0000-000010580000}"/>
    <cellStyle name="Hed Side Regular 3 3 3 2 2" xfId="20705" xr:uid="{00000000-0005-0000-0000-000011580000}"/>
    <cellStyle name="Hed Side Regular 3 3 3 3" xfId="20706" xr:uid="{00000000-0005-0000-0000-000012580000}"/>
    <cellStyle name="Hed Side Regular 3 3 3 3 2" xfId="20707" xr:uid="{00000000-0005-0000-0000-000013580000}"/>
    <cellStyle name="Hed Side Regular 3 3 3 4" xfId="20708" xr:uid="{00000000-0005-0000-0000-000014580000}"/>
    <cellStyle name="Hed Side Regular 3 3 3 4 2" xfId="20709" xr:uid="{00000000-0005-0000-0000-000015580000}"/>
    <cellStyle name="Hed Side Regular 3 3 3 5" xfId="20710" xr:uid="{00000000-0005-0000-0000-000016580000}"/>
    <cellStyle name="Hed Side Regular 3 3 3 5 2" xfId="20711" xr:uid="{00000000-0005-0000-0000-000017580000}"/>
    <cellStyle name="Hed Side Regular 3 3 3 6" xfId="20712" xr:uid="{00000000-0005-0000-0000-000018580000}"/>
    <cellStyle name="Hed Side Regular 3 3 3 6 2" xfId="20713" xr:uid="{00000000-0005-0000-0000-000019580000}"/>
    <cellStyle name="Hed Side Regular 3 3 3 7" xfId="20714" xr:uid="{00000000-0005-0000-0000-00001A580000}"/>
    <cellStyle name="Hed Side Regular 3 3 3 7 2" xfId="20715" xr:uid="{00000000-0005-0000-0000-00001B580000}"/>
    <cellStyle name="Hed Side Regular 3 3 3 8" xfId="20716" xr:uid="{00000000-0005-0000-0000-00001C580000}"/>
    <cellStyle name="Hed Side Regular 3 3 3 8 2" xfId="20717" xr:uid="{00000000-0005-0000-0000-00001D580000}"/>
    <cellStyle name="Hed Side Regular 3 3 3 9" xfId="20718" xr:uid="{00000000-0005-0000-0000-00001E580000}"/>
    <cellStyle name="Hed Side Regular 3 3 3 9 2" xfId="20719" xr:uid="{00000000-0005-0000-0000-00001F580000}"/>
    <cellStyle name="Hed Side Regular 3 3 4" xfId="20720" xr:uid="{00000000-0005-0000-0000-000020580000}"/>
    <cellStyle name="Hed Side Regular 3 3 4 10" xfId="20721" xr:uid="{00000000-0005-0000-0000-000021580000}"/>
    <cellStyle name="Hed Side Regular 3 3 4 2" xfId="20722" xr:uid="{00000000-0005-0000-0000-000022580000}"/>
    <cellStyle name="Hed Side Regular 3 3 4 2 2" xfId="20723" xr:uid="{00000000-0005-0000-0000-000023580000}"/>
    <cellStyle name="Hed Side Regular 3 3 4 3" xfId="20724" xr:uid="{00000000-0005-0000-0000-000024580000}"/>
    <cellStyle name="Hed Side Regular 3 3 4 3 2" xfId="20725" xr:uid="{00000000-0005-0000-0000-000025580000}"/>
    <cellStyle name="Hed Side Regular 3 3 4 4" xfId="20726" xr:uid="{00000000-0005-0000-0000-000026580000}"/>
    <cellStyle name="Hed Side Regular 3 3 4 4 2" xfId="20727" xr:uid="{00000000-0005-0000-0000-000027580000}"/>
    <cellStyle name="Hed Side Regular 3 3 4 5" xfId="20728" xr:uid="{00000000-0005-0000-0000-000028580000}"/>
    <cellStyle name="Hed Side Regular 3 3 4 5 2" xfId="20729" xr:uid="{00000000-0005-0000-0000-000029580000}"/>
    <cellStyle name="Hed Side Regular 3 3 4 6" xfId="20730" xr:uid="{00000000-0005-0000-0000-00002A580000}"/>
    <cellStyle name="Hed Side Regular 3 3 4 6 2" xfId="20731" xr:uid="{00000000-0005-0000-0000-00002B580000}"/>
    <cellStyle name="Hed Side Regular 3 3 4 7" xfId="20732" xr:uid="{00000000-0005-0000-0000-00002C580000}"/>
    <cellStyle name="Hed Side Regular 3 3 4 7 2" xfId="20733" xr:uid="{00000000-0005-0000-0000-00002D580000}"/>
    <cellStyle name="Hed Side Regular 3 3 4 8" xfId="20734" xr:uid="{00000000-0005-0000-0000-00002E580000}"/>
    <cellStyle name="Hed Side Regular 3 3 4 8 2" xfId="20735" xr:uid="{00000000-0005-0000-0000-00002F580000}"/>
    <cellStyle name="Hed Side Regular 3 3 4 9" xfId="20736" xr:uid="{00000000-0005-0000-0000-000030580000}"/>
    <cellStyle name="Hed Side Regular 3 3 4 9 2" xfId="20737" xr:uid="{00000000-0005-0000-0000-000031580000}"/>
    <cellStyle name="Hed Side Regular 3 3 5" xfId="20738" xr:uid="{00000000-0005-0000-0000-000032580000}"/>
    <cellStyle name="Hed Side Regular 3 3 5 10" xfId="20739" xr:uid="{00000000-0005-0000-0000-000033580000}"/>
    <cellStyle name="Hed Side Regular 3 3 5 2" xfId="20740" xr:uid="{00000000-0005-0000-0000-000034580000}"/>
    <cellStyle name="Hed Side Regular 3 3 5 2 2" xfId="20741" xr:uid="{00000000-0005-0000-0000-000035580000}"/>
    <cellStyle name="Hed Side Regular 3 3 5 3" xfId="20742" xr:uid="{00000000-0005-0000-0000-000036580000}"/>
    <cellStyle name="Hed Side Regular 3 3 5 3 2" xfId="20743" xr:uid="{00000000-0005-0000-0000-000037580000}"/>
    <cellStyle name="Hed Side Regular 3 3 5 4" xfId="20744" xr:uid="{00000000-0005-0000-0000-000038580000}"/>
    <cellStyle name="Hed Side Regular 3 3 5 4 2" xfId="20745" xr:uid="{00000000-0005-0000-0000-000039580000}"/>
    <cellStyle name="Hed Side Regular 3 3 5 5" xfId="20746" xr:uid="{00000000-0005-0000-0000-00003A580000}"/>
    <cellStyle name="Hed Side Regular 3 3 5 5 2" xfId="20747" xr:uid="{00000000-0005-0000-0000-00003B580000}"/>
    <cellStyle name="Hed Side Regular 3 3 5 6" xfId="20748" xr:uid="{00000000-0005-0000-0000-00003C580000}"/>
    <cellStyle name="Hed Side Regular 3 3 5 6 2" xfId="20749" xr:uid="{00000000-0005-0000-0000-00003D580000}"/>
    <cellStyle name="Hed Side Regular 3 3 5 7" xfId="20750" xr:uid="{00000000-0005-0000-0000-00003E580000}"/>
    <cellStyle name="Hed Side Regular 3 3 5 7 2" xfId="20751" xr:uid="{00000000-0005-0000-0000-00003F580000}"/>
    <cellStyle name="Hed Side Regular 3 3 5 8" xfId="20752" xr:uid="{00000000-0005-0000-0000-000040580000}"/>
    <cellStyle name="Hed Side Regular 3 3 5 8 2" xfId="20753" xr:uid="{00000000-0005-0000-0000-000041580000}"/>
    <cellStyle name="Hed Side Regular 3 3 5 9" xfId="20754" xr:uid="{00000000-0005-0000-0000-000042580000}"/>
    <cellStyle name="Hed Side Regular 3 3 5 9 2" xfId="20755" xr:uid="{00000000-0005-0000-0000-000043580000}"/>
    <cellStyle name="Hed Side Regular 3 3 6" xfId="20756" xr:uid="{00000000-0005-0000-0000-000044580000}"/>
    <cellStyle name="Hed Side Regular 3 3 6 10" xfId="20757" xr:uid="{00000000-0005-0000-0000-000045580000}"/>
    <cellStyle name="Hed Side Regular 3 3 6 2" xfId="20758" xr:uid="{00000000-0005-0000-0000-000046580000}"/>
    <cellStyle name="Hed Side Regular 3 3 6 2 2" xfId="20759" xr:uid="{00000000-0005-0000-0000-000047580000}"/>
    <cellStyle name="Hed Side Regular 3 3 6 3" xfId="20760" xr:uid="{00000000-0005-0000-0000-000048580000}"/>
    <cellStyle name="Hed Side Regular 3 3 6 3 2" xfId="20761" xr:uid="{00000000-0005-0000-0000-000049580000}"/>
    <cellStyle name="Hed Side Regular 3 3 6 4" xfId="20762" xr:uid="{00000000-0005-0000-0000-00004A580000}"/>
    <cellStyle name="Hed Side Regular 3 3 6 4 2" xfId="20763" xr:uid="{00000000-0005-0000-0000-00004B580000}"/>
    <cellStyle name="Hed Side Regular 3 3 6 5" xfId="20764" xr:uid="{00000000-0005-0000-0000-00004C580000}"/>
    <cellStyle name="Hed Side Regular 3 3 6 5 2" xfId="20765" xr:uid="{00000000-0005-0000-0000-00004D580000}"/>
    <cellStyle name="Hed Side Regular 3 3 6 6" xfId="20766" xr:uid="{00000000-0005-0000-0000-00004E580000}"/>
    <cellStyle name="Hed Side Regular 3 3 6 6 2" xfId="20767" xr:uid="{00000000-0005-0000-0000-00004F580000}"/>
    <cellStyle name="Hed Side Regular 3 3 6 7" xfId="20768" xr:uid="{00000000-0005-0000-0000-000050580000}"/>
    <cellStyle name="Hed Side Regular 3 3 6 7 2" xfId="20769" xr:uid="{00000000-0005-0000-0000-000051580000}"/>
    <cellStyle name="Hed Side Regular 3 3 6 8" xfId="20770" xr:uid="{00000000-0005-0000-0000-000052580000}"/>
    <cellStyle name="Hed Side Regular 3 3 6 8 2" xfId="20771" xr:uid="{00000000-0005-0000-0000-000053580000}"/>
    <cellStyle name="Hed Side Regular 3 3 6 9" xfId="20772" xr:uid="{00000000-0005-0000-0000-000054580000}"/>
    <cellStyle name="Hed Side Regular 3 3 6 9 2" xfId="20773" xr:uid="{00000000-0005-0000-0000-000055580000}"/>
    <cellStyle name="Hed Side Regular 3 3 7" xfId="20774" xr:uid="{00000000-0005-0000-0000-000056580000}"/>
    <cellStyle name="Hed Side Regular 3 3 7 10" xfId="20775" xr:uid="{00000000-0005-0000-0000-000057580000}"/>
    <cellStyle name="Hed Side Regular 3 3 7 2" xfId="20776" xr:uid="{00000000-0005-0000-0000-000058580000}"/>
    <cellStyle name="Hed Side Regular 3 3 7 2 2" xfId="20777" xr:uid="{00000000-0005-0000-0000-000059580000}"/>
    <cellStyle name="Hed Side Regular 3 3 7 3" xfId="20778" xr:uid="{00000000-0005-0000-0000-00005A580000}"/>
    <cellStyle name="Hed Side Regular 3 3 7 3 2" xfId="20779" xr:uid="{00000000-0005-0000-0000-00005B580000}"/>
    <cellStyle name="Hed Side Regular 3 3 7 4" xfId="20780" xr:uid="{00000000-0005-0000-0000-00005C580000}"/>
    <cellStyle name="Hed Side Regular 3 3 7 4 2" xfId="20781" xr:uid="{00000000-0005-0000-0000-00005D580000}"/>
    <cellStyle name="Hed Side Regular 3 3 7 5" xfId="20782" xr:uid="{00000000-0005-0000-0000-00005E580000}"/>
    <cellStyle name="Hed Side Regular 3 3 7 5 2" xfId="20783" xr:uid="{00000000-0005-0000-0000-00005F580000}"/>
    <cellStyle name="Hed Side Regular 3 3 7 6" xfId="20784" xr:uid="{00000000-0005-0000-0000-000060580000}"/>
    <cellStyle name="Hed Side Regular 3 3 7 6 2" xfId="20785" xr:uid="{00000000-0005-0000-0000-000061580000}"/>
    <cellStyle name="Hed Side Regular 3 3 7 7" xfId="20786" xr:uid="{00000000-0005-0000-0000-000062580000}"/>
    <cellStyle name="Hed Side Regular 3 3 7 7 2" xfId="20787" xr:uid="{00000000-0005-0000-0000-000063580000}"/>
    <cellStyle name="Hed Side Regular 3 3 7 8" xfId="20788" xr:uid="{00000000-0005-0000-0000-000064580000}"/>
    <cellStyle name="Hed Side Regular 3 3 7 8 2" xfId="20789" xr:uid="{00000000-0005-0000-0000-000065580000}"/>
    <cellStyle name="Hed Side Regular 3 3 7 9" xfId="20790" xr:uid="{00000000-0005-0000-0000-000066580000}"/>
    <cellStyle name="Hed Side Regular 3 3 7 9 2" xfId="20791" xr:uid="{00000000-0005-0000-0000-000067580000}"/>
    <cellStyle name="Hed Side Regular 3 3 8" xfId="20792" xr:uid="{00000000-0005-0000-0000-000068580000}"/>
    <cellStyle name="Hed Side Regular 3 3 8 10" xfId="20793" xr:uid="{00000000-0005-0000-0000-000069580000}"/>
    <cellStyle name="Hed Side Regular 3 3 8 2" xfId="20794" xr:uid="{00000000-0005-0000-0000-00006A580000}"/>
    <cellStyle name="Hed Side Regular 3 3 8 2 2" xfId="20795" xr:uid="{00000000-0005-0000-0000-00006B580000}"/>
    <cellStyle name="Hed Side Regular 3 3 8 3" xfId="20796" xr:uid="{00000000-0005-0000-0000-00006C580000}"/>
    <cellStyle name="Hed Side Regular 3 3 8 3 2" xfId="20797" xr:uid="{00000000-0005-0000-0000-00006D580000}"/>
    <cellStyle name="Hed Side Regular 3 3 8 4" xfId="20798" xr:uid="{00000000-0005-0000-0000-00006E580000}"/>
    <cellStyle name="Hed Side Regular 3 3 8 4 2" xfId="20799" xr:uid="{00000000-0005-0000-0000-00006F580000}"/>
    <cellStyle name="Hed Side Regular 3 3 8 5" xfId="20800" xr:uid="{00000000-0005-0000-0000-000070580000}"/>
    <cellStyle name="Hed Side Regular 3 3 8 5 2" xfId="20801" xr:uid="{00000000-0005-0000-0000-000071580000}"/>
    <cellStyle name="Hed Side Regular 3 3 8 6" xfId="20802" xr:uid="{00000000-0005-0000-0000-000072580000}"/>
    <cellStyle name="Hed Side Regular 3 3 8 6 2" xfId="20803" xr:uid="{00000000-0005-0000-0000-000073580000}"/>
    <cellStyle name="Hed Side Regular 3 3 8 7" xfId="20804" xr:uid="{00000000-0005-0000-0000-000074580000}"/>
    <cellStyle name="Hed Side Regular 3 3 8 7 2" xfId="20805" xr:uid="{00000000-0005-0000-0000-000075580000}"/>
    <cellStyle name="Hed Side Regular 3 3 8 8" xfId="20806" xr:uid="{00000000-0005-0000-0000-000076580000}"/>
    <cellStyle name="Hed Side Regular 3 3 8 8 2" xfId="20807" xr:uid="{00000000-0005-0000-0000-000077580000}"/>
    <cellStyle name="Hed Side Regular 3 3 8 9" xfId="20808" xr:uid="{00000000-0005-0000-0000-000078580000}"/>
    <cellStyle name="Hed Side Regular 3 3 8 9 2" xfId="20809" xr:uid="{00000000-0005-0000-0000-000079580000}"/>
    <cellStyle name="Hed Side Regular 3 3 9" xfId="20810" xr:uid="{00000000-0005-0000-0000-00007A580000}"/>
    <cellStyle name="Hed Side Regular 3 3 9 10" xfId="20811" xr:uid="{00000000-0005-0000-0000-00007B580000}"/>
    <cellStyle name="Hed Side Regular 3 3 9 2" xfId="20812" xr:uid="{00000000-0005-0000-0000-00007C580000}"/>
    <cellStyle name="Hed Side Regular 3 3 9 2 2" xfId="20813" xr:uid="{00000000-0005-0000-0000-00007D580000}"/>
    <cellStyle name="Hed Side Regular 3 3 9 3" xfId="20814" xr:uid="{00000000-0005-0000-0000-00007E580000}"/>
    <cellStyle name="Hed Side Regular 3 3 9 3 2" xfId="20815" xr:uid="{00000000-0005-0000-0000-00007F580000}"/>
    <cellStyle name="Hed Side Regular 3 3 9 4" xfId="20816" xr:uid="{00000000-0005-0000-0000-000080580000}"/>
    <cellStyle name="Hed Side Regular 3 3 9 4 2" xfId="20817" xr:uid="{00000000-0005-0000-0000-000081580000}"/>
    <cellStyle name="Hed Side Regular 3 3 9 5" xfId="20818" xr:uid="{00000000-0005-0000-0000-000082580000}"/>
    <cellStyle name="Hed Side Regular 3 3 9 5 2" xfId="20819" xr:uid="{00000000-0005-0000-0000-000083580000}"/>
    <cellStyle name="Hed Side Regular 3 3 9 6" xfId="20820" xr:uid="{00000000-0005-0000-0000-000084580000}"/>
    <cellStyle name="Hed Side Regular 3 3 9 6 2" xfId="20821" xr:uid="{00000000-0005-0000-0000-000085580000}"/>
    <cellStyle name="Hed Side Regular 3 3 9 7" xfId="20822" xr:uid="{00000000-0005-0000-0000-000086580000}"/>
    <cellStyle name="Hed Side Regular 3 3 9 7 2" xfId="20823" xr:uid="{00000000-0005-0000-0000-000087580000}"/>
    <cellStyle name="Hed Side Regular 3 3 9 8" xfId="20824" xr:uid="{00000000-0005-0000-0000-000088580000}"/>
    <cellStyle name="Hed Side Regular 3 3 9 8 2" xfId="20825" xr:uid="{00000000-0005-0000-0000-000089580000}"/>
    <cellStyle name="Hed Side Regular 3 3 9 9" xfId="20826" xr:uid="{00000000-0005-0000-0000-00008A580000}"/>
    <cellStyle name="Hed Side Regular 3 3 9 9 2" xfId="20827" xr:uid="{00000000-0005-0000-0000-00008B580000}"/>
    <cellStyle name="Hed Side Regular 3 4" xfId="20828" xr:uid="{00000000-0005-0000-0000-00008C580000}"/>
    <cellStyle name="Hed Side Regular 3 4 10" xfId="20829" xr:uid="{00000000-0005-0000-0000-00008D580000}"/>
    <cellStyle name="Hed Side Regular 3 4 10 2" xfId="20830" xr:uid="{00000000-0005-0000-0000-00008E580000}"/>
    <cellStyle name="Hed Side Regular 3 4 10 2 2" xfId="20831" xr:uid="{00000000-0005-0000-0000-00008F580000}"/>
    <cellStyle name="Hed Side Regular 3 4 10 3" xfId="20832" xr:uid="{00000000-0005-0000-0000-000090580000}"/>
    <cellStyle name="Hed Side Regular 3 4 10 3 2" xfId="20833" xr:uid="{00000000-0005-0000-0000-000091580000}"/>
    <cellStyle name="Hed Side Regular 3 4 10 4" xfId="20834" xr:uid="{00000000-0005-0000-0000-000092580000}"/>
    <cellStyle name="Hed Side Regular 3 4 10 4 2" xfId="20835" xr:uid="{00000000-0005-0000-0000-000093580000}"/>
    <cellStyle name="Hed Side Regular 3 4 10 5" xfId="20836" xr:uid="{00000000-0005-0000-0000-000094580000}"/>
    <cellStyle name="Hed Side Regular 3 4 10 5 2" xfId="20837" xr:uid="{00000000-0005-0000-0000-000095580000}"/>
    <cellStyle name="Hed Side Regular 3 4 10 6" xfId="20838" xr:uid="{00000000-0005-0000-0000-000096580000}"/>
    <cellStyle name="Hed Side Regular 3 4 10 6 2" xfId="20839" xr:uid="{00000000-0005-0000-0000-000097580000}"/>
    <cellStyle name="Hed Side Regular 3 4 10 7" xfId="20840" xr:uid="{00000000-0005-0000-0000-000098580000}"/>
    <cellStyle name="Hed Side Regular 3 4 10 7 2" xfId="20841" xr:uid="{00000000-0005-0000-0000-000099580000}"/>
    <cellStyle name="Hed Side Regular 3 4 10 8" xfId="20842" xr:uid="{00000000-0005-0000-0000-00009A580000}"/>
    <cellStyle name="Hed Side Regular 3 4 10 8 2" xfId="20843" xr:uid="{00000000-0005-0000-0000-00009B580000}"/>
    <cellStyle name="Hed Side Regular 3 4 10 9" xfId="20844" xr:uid="{00000000-0005-0000-0000-00009C580000}"/>
    <cellStyle name="Hed Side Regular 3 4 11" xfId="20845" xr:uid="{00000000-0005-0000-0000-00009D580000}"/>
    <cellStyle name="Hed Side Regular 3 4 11 2" xfId="20846" xr:uid="{00000000-0005-0000-0000-00009E580000}"/>
    <cellStyle name="Hed Side Regular 3 4 12" xfId="20847" xr:uid="{00000000-0005-0000-0000-00009F580000}"/>
    <cellStyle name="Hed Side Regular 3 4 12 2" xfId="20848" xr:uid="{00000000-0005-0000-0000-0000A0580000}"/>
    <cellStyle name="Hed Side Regular 3 4 13" xfId="20849" xr:uid="{00000000-0005-0000-0000-0000A1580000}"/>
    <cellStyle name="Hed Side Regular 3 4 13 2" xfId="20850" xr:uid="{00000000-0005-0000-0000-0000A2580000}"/>
    <cellStyle name="Hed Side Regular 3 4 14" xfId="20851" xr:uid="{00000000-0005-0000-0000-0000A3580000}"/>
    <cellStyle name="Hed Side Regular 3 4 14 2" xfId="20852" xr:uid="{00000000-0005-0000-0000-0000A4580000}"/>
    <cellStyle name="Hed Side Regular 3 4 15" xfId="20853" xr:uid="{00000000-0005-0000-0000-0000A5580000}"/>
    <cellStyle name="Hed Side Regular 3 4 15 2" xfId="20854" xr:uid="{00000000-0005-0000-0000-0000A6580000}"/>
    <cellStyle name="Hed Side Regular 3 4 16" xfId="20855" xr:uid="{00000000-0005-0000-0000-0000A7580000}"/>
    <cellStyle name="Hed Side Regular 3 4 16 2" xfId="20856" xr:uid="{00000000-0005-0000-0000-0000A8580000}"/>
    <cellStyle name="Hed Side Regular 3 4 17" xfId="20857" xr:uid="{00000000-0005-0000-0000-0000A9580000}"/>
    <cellStyle name="Hed Side Regular 3 4 17 2" xfId="20858" xr:uid="{00000000-0005-0000-0000-0000AA580000}"/>
    <cellStyle name="Hed Side Regular 3 4 18" xfId="20859" xr:uid="{00000000-0005-0000-0000-0000AB580000}"/>
    <cellStyle name="Hed Side Regular 3 4 2" xfId="20860" xr:uid="{00000000-0005-0000-0000-0000AC580000}"/>
    <cellStyle name="Hed Side Regular 3 4 2 10" xfId="20861" xr:uid="{00000000-0005-0000-0000-0000AD580000}"/>
    <cellStyle name="Hed Side Regular 3 4 2 2" xfId="20862" xr:uid="{00000000-0005-0000-0000-0000AE580000}"/>
    <cellStyle name="Hed Side Regular 3 4 2 2 2" xfId="20863" xr:uid="{00000000-0005-0000-0000-0000AF580000}"/>
    <cellStyle name="Hed Side Regular 3 4 2 3" xfId="20864" xr:uid="{00000000-0005-0000-0000-0000B0580000}"/>
    <cellStyle name="Hed Side Regular 3 4 2 3 2" xfId="20865" xr:uid="{00000000-0005-0000-0000-0000B1580000}"/>
    <cellStyle name="Hed Side Regular 3 4 2 4" xfId="20866" xr:uid="{00000000-0005-0000-0000-0000B2580000}"/>
    <cellStyle name="Hed Side Regular 3 4 2 4 2" xfId="20867" xr:uid="{00000000-0005-0000-0000-0000B3580000}"/>
    <cellStyle name="Hed Side Regular 3 4 2 5" xfId="20868" xr:uid="{00000000-0005-0000-0000-0000B4580000}"/>
    <cellStyle name="Hed Side Regular 3 4 2 5 2" xfId="20869" xr:uid="{00000000-0005-0000-0000-0000B5580000}"/>
    <cellStyle name="Hed Side Regular 3 4 2 6" xfId="20870" xr:uid="{00000000-0005-0000-0000-0000B6580000}"/>
    <cellStyle name="Hed Side Regular 3 4 2 6 2" xfId="20871" xr:uid="{00000000-0005-0000-0000-0000B7580000}"/>
    <cellStyle name="Hed Side Regular 3 4 2 7" xfId="20872" xr:uid="{00000000-0005-0000-0000-0000B8580000}"/>
    <cellStyle name="Hed Side Regular 3 4 2 7 2" xfId="20873" xr:uid="{00000000-0005-0000-0000-0000B9580000}"/>
    <cellStyle name="Hed Side Regular 3 4 2 8" xfId="20874" xr:uid="{00000000-0005-0000-0000-0000BA580000}"/>
    <cellStyle name="Hed Side Regular 3 4 2 8 2" xfId="20875" xr:uid="{00000000-0005-0000-0000-0000BB580000}"/>
    <cellStyle name="Hed Side Regular 3 4 2 9" xfId="20876" xr:uid="{00000000-0005-0000-0000-0000BC580000}"/>
    <cellStyle name="Hed Side Regular 3 4 2 9 2" xfId="20877" xr:uid="{00000000-0005-0000-0000-0000BD580000}"/>
    <cellStyle name="Hed Side Regular 3 4 3" xfId="20878" xr:uid="{00000000-0005-0000-0000-0000BE580000}"/>
    <cellStyle name="Hed Side Regular 3 4 3 10" xfId="20879" xr:uid="{00000000-0005-0000-0000-0000BF580000}"/>
    <cellStyle name="Hed Side Regular 3 4 3 2" xfId="20880" xr:uid="{00000000-0005-0000-0000-0000C0580000}"/>
    <cellStyle name="Hed Side Regular 3 4 3 2 2" xfId="20881" xr:uid="{00000000-0005-0000-0000-0000C1580000}"/>
    <cellStyle name="Hed Side Regular 3 4 3 3" xfId="20882" xr:uid="{00000000-0005-0000-0000-0000C2580000}"/>
    <cellStyle name="Hed Side Regular 3 4 3 3 2" xfId="20883" xr:uid="{00000000-0005-0000-0000-0000C3580000}"/>
    <cellStyle name="Hed Side Regular 3 4 3 4" xfId="20884" xr:uid="{00000000-0005-0000-0000-0000C4580000}"/>
    <cellStyle name="Hed Side Regular 3 4 3 4 2" xfId="20885" xr:uid="{00000000-0005-0000-0000-0000C5580000}"/>
    <cellStyle name="Hed Side Regular 3 4 3 5" xfId="20886" xr:uid="{00000000-0005-0000-0000-0000C6580000}"/>
    <cellStyle name="Hed Side Regular 3 4 3 5 2" xfId="20887" xr:uid="{00000000-0005-0000-0000-0000C7580000}"/>
    <cellStyle name="Hed Side Regular 3 4 3 6" xfId="20888" xr:uid="{00000000-0005-0000-0000-0000C8580000}"/>
    <cellStyle name="Hed Side Regular 3 4 3 6 2" xfId="20889" xr:uid="{00000000-0005-0000-0000-0000C9580000}"/>
    <cellStyle name="Hed Side Regular 3 4 3 7" xfId="20890" xr:uid="{00000000-0005-0000-0000-0000CA580000}"/>
    <cellStyle name="Hed Side Regular 3 4 3 7 2" xfId="20891" xr:uid="{00000000-0005-0000-0000-0000CB580000}"/>
    <cellStyle name="Hed Side Regular 3 4 3 8" xfId="20892" xr:uid="{00000000-0005-0000-0000-0000CC580000}"/>
    <cellStyle name="Hed Side Regular 3 4 3 8 2" xfId="20893" xr:uid="{00000000-0005-0000-0000-0000CD580000}"/>
    <cellStyle name="Hed Side Regular 3 4 3 9" xfId="20894" xr:uid="{00000000-0005-0000-0000-0000CE580000}"/>
    <cellStyle name="Hed Side Regular 3 4 3 9 2" xfId="20895" xr:uid="{00000000-0005-0000-0000-0000CF580000}"/>
    <cellStyle name="Hed Side Regular 3 4 4" xfId="20896" xr:uid="{00000000-0005-0000-0000-0000D0580000}"/>
    <cellStyle name="Hed Side Regular 3 4 4 10" xfId="20897" xr:uid="{00000000-0005-0000-0000-0000D1580000}"/>
    <cellStyle name="Hed Side Regular 3 4 4 2" xfId="20898" xr:uid="{00000000-0005-0000-0000-0000D2580000}"/>
    <cellStyle name="Hed Side Regular 3 4 4 2 2" xfId="20899" xr:uid="{00000000-0005-0000-0000-0000D3580000}"/>
    <cellStyle name="Hed Side Regular 3 4 4 3" xfId="20900" xr:uid="{00000000-0005-0000-0000-0000D4580000}"/>
    <cellStyle name="Hed Side Regular 3 4 4 3 2" xfId="20901" xr:uid="{00000000-0005-0000-0000-0000D5580000}"/>
    <cellStyle name="Hed Side Regular 3 4 4 4" xfId="20902" xr:uid="{00000000-0005-0000-0000-0000D6580000}"/>
    <cellStyle name="Hed Side Regular 3 4 4 4 2" xfId="20903" xr:uid="{00000000-0005-0000-0000-0000D7580000}"/>
    <cellStyle name="Hed Side Regular 3 4 4 5" xfId="20904" xr:uid="{00000000-0005-0000-0000-0000D8580000}"/>
    <cellStyle name="Hed Side Regular 3 4 4 5 2" xfId="20905" xr:uid="{00000000-0005-0000-0000-0000D9580000}"/>
    <cellStyle name="Hed Side Regular 3 4 4 6" xfId="20906" xr:uid="{00000000-0005-0000-0000-0000DA580000}"/>
    <cellStyle name="Hed Side Regular 3 4 4 6 2" xfId="20907" xr:uid="{00000000-0005-0000-0000-0000DB580000}"/>
    <cellStyle name="Hed Side Regular 3 4 4 7" xfId="20908" xr:uid="{00000000-0005-0000-0000-0000DC580000}"/>
    <cellStyle name="Hed Side Regular 3 4 4 7 2" xfId="20909" xr:uid="{00000000-0005-0000-0000-0000DD580000}"/>
    <cellStyle name="Hed Side Regular 3 4 4 8" xfId="20910" xr:uid="{00000000-0005-0000-0000-0000DE580000}"/>
    <cellStyle name="Hed Side Regular 3 4 4 8 2" xfId="20911" xr:uid="{00000000-0005-0000-0000-0000DF580000}"/>
    <cellStyle name="Hed Side Regular 3 4 4 9" xfId="20912" xr:uid="{00000000-0005-0000-0000-0000E0580000}"/>
    <cellStyle name="Hed Side Regular 3 4 4 9 2" xfId="20913" xr:uid="{00000000-0005-0000-0000-0000E1580000}"/>
    <cellStyle name="Hed Side Regular 3 4 5" xfId="20914" xr:uid="{00000000-0005-0000-0000-0000E2580000}"/>
    <cellStyle name="Hed Side Regular 3 4 5 10" xfId="20915" xr:uid="{00000000-0005-0000-0000-0000E3580000}"/>
    <cellStyle name="Hed Side Regular 3 4 5 2" xfId="20916" xr:uid="{00000000-0005-0000-0000-0000E4580000}"/>
    <cellStyle name="Hed Side Regular 3 4 5 2 2" xfId="20917" xr:uid="{00000000-0005-0000-0000-0000E5580000}"/>
    <cellStyle name="Hed Side Regular 3 4 5 3" xfId="20918" xr:uid="{00000000-0005-0000-0000-0000E6580000}"/>
    <cellStyle name="Hed Side Regular 3 4 5 3 2" xfId="20919" xr:uid="{00000000-0005-0000-0000-0000E7580000}"/>
    <cellStyle name="Hed Side Regular 3 4 5 4" xfId="20920" xr:uid="{00000000-0005-0000-0000-0000E8580000}"/>
    <cellStyle name="Hed Side Regular 3 4 5 4 2" xfId="20921" xr:uid="{00000000-0005-0000-0000-0000E9580000}"/>
    <cellStyle name="Hed Side Regular 3 4 5 5" xfId="20922" xr:uid="{00000000-0005-0000-0000-0000EA580000}"/>
    <cellStyle name="Hed Side Regular 3 4 5 5 2" xfId="20923" xr:uid="{00000000-0005-0000-0000-0000EB580000}"/>
    <cellStyle name="Hed Side Regular 3 4 5 6" xfId="20924" xr:uid="{00000000-0005-0000-0000-0000EC580000}"/>
    <cellStyle name="Hed Side Regular 3 4 5 6 2" xfId="20925" xr:uid="{00000000-0005-0000-0000-0000ED580000}"/>
    <cellStyle name="Hed Side Regular 3 4 5 7" xfId="20926" xr:uid="{00000000-0005-0000-0000-0000EE580000}"/>
    <cellStyle name="Hed Side Regular 3 4 5 7 2" xfId="20927" xr:uid="{00000000-0005-0000-0000-0000EF580000}"/>
    <cellStyle name="Hed Side Regular 3 4 5 8" xfId="20928" xr:uid="{00000000-0005-0000-0000-0000F0580000}"/>
    <cellStyle name="Hed Side Regular 3 4 5 8 2" xfId="20929" xr:uid="{00000000-0005-0000-0000-0000F1580000}"/>
    <cellStyle name="Hed Side Regular 3 4 5 9" xfId="20930" xr:uid="{00000000-0005-0000-0000-0000F2580000}"/>
    <cellStyle name="Hed Side Regular 3 4 5 9 2" xfId="20931" xr:uid="{00000000-0005-0000-0000-0000F3580000}"/>
    <cellStyle name="Hed Side Regular 3 4 6" xfId="20932" xr:uid="{00000000-0005-0000-0000-0000F4580000}"/>
    <cellStyle name="Hed Side Regular 3 4 6 10" xfId="20933" xr:uid="{00000000-0005-0000-0000-0000F5580000}"/>
    <cellStyle name="Hed Side Regular 3 4 6 2" xfId="20934" xr:uid="{00000000-0005-0000-0000-0000F6580000}"/>
    <cellStyle name="Hed Side Regular 3 4 6 2 2" xfId="20935" xr:uid="{00000000-0005-0000-0000-0000F7580000}"/>
    <cellStyle name="Hed Side Regular 3 4 6 3" xfId="20936" xr:uid="{00000000-0005-0000-0000-0000F8580000}"/>
    <cellStyle name="Hed Side Regular 3 4 6 3 2" xfId="20937" xr:uid="{00000000-0005-0000-0000-0000F9580000}"/>
    <cellStyle name="Hed Side Regular 3 4 6 4" xfId="20938" xr:uid="{00000000-0005-0000-0000-0000FA580000}"/>
    <cellStyle name="Hed Side Regular 3 4 6 4 2" xfId="20939" xr:uid="{00000000-0005-0000-0000-0000FB580000}"/>
    <cellStyle name="Hed Side Regular 3 4 6 5" xfId="20940" xr:uid="{00000000-0005-0000-0000-0000FC580000}"/>
    <cellStyle name="Hed Side Regular 3 4 6 5 2" xfId="20941" xr:uid="{00000000-0005-0000-0000-0000FD580000}"/>
    <cellStyle name="Hed Side Regular 3 4 6 6" xfId="20942" xr:uid="{00000000-0005-0000-0000-0000FE580000}"/>
    <cellStyle name="Hed Side Regular 3 4 6 6 2" xfId="20943" xr:uid="{00000000-0005-0000-0000-0000FF580000}"/>
    <cellStyle name="Hed Side Regular 3 4 6 7" xfId="20944" xr:uid="{00000000-0005-0000-0000-000000590000}"/>
    <cellStyle name="Hed Side Regular 3 4 6 7 2" xfId="20945" xr:uid="{00000000-0005-0000-0000-000001590000}"/>
    <cellStyle name="Hed Side Regular 3 4 6 8" xfId="20946" xr:uid="{00000000-0005-0000-0000-000002590000}"/>
    <cellStyle name="Hed Side Regular 3 4 6 8 2" xfId="20947" xr:uid="{00000000-0005-0000-0000-000003590000}"/>
    <cellStyle name="Hed Side Regular 3 4 6 9" xfId="20948" xr:uid="{00000000-0005-0000-0000-000004590000}"/>
    <cellStyle name="Hed Side Regular 3 4 6 9 2" xfId="20949" xr:uid="{00000000-0005-0000-0000-000005590000}"/>
    <cellStyle name="Hed Side Regular 3 4 7" xfId="20950" xr:uid="{00000000-0005-0000-0000-000006590000}"/>
    <cellStyle name="Hed Side Regular 3 4 7 10" xfId="20951" xr:uid="{00000000-0005-0000-0000-000007590000}"/>
    <cellStyle name="Hed Side Regular 3 4 7 2" xfId="20952" xr:uid="{00000000-0005-0000-0000-000008590000}"/>
    <cellStyle name="Hed Side Regular 3 4 7 2 2" xfId="20953" xr:uid="{00000000-0005-0000-0000-000009590000}"/>
    <cellStyle name="Hed Side Regular 3 4 7 3" xfId="20954" xr:uid="{00000000-0005-0000-0000-00000A590000}"/>
    <cellStyle name="Hed Side Regular 3 4 7 3 2" xfId="20955" xr:uid="{00000000-0005-0000-0000-00000B590000}"/>
    <cellStyle name="Hed Side Regular 3 4 7 4" xfId="20956" xr:uid="{00000000-0005-0000-0000-00000C590000}"/>
    <cellStyle name="Hed Side Regular 3 4 7 4 2" xfId="20957" xr:uid="{00000000-0005-0000-0000-00000D590000}"/>
    <cellStyle name="Hed Side Regular 3 4 7 5" xfId="20958" xr:uid="{00000000-0005-0000-0000-00000E590000}"/>
    <cellStyle name="Hed Side Regular 3 4 7 5 2" xfId="20959" xr:uid="{00000000-0005-0000-0000-00000F590000}"/>
    <cellStyle name="Hed Side Regular 3 4 7 6" xfId="20960" xr:uid="{00000000-0005-0000-0000-000010590000}"/>
    <cellStyle name="Hed Side Regular 3 4 7 6 2" xfId="20961" xr:uid="{00000000-0005-0000-0000-000011590000}"/>
    <cellStyle name="Hed Side Regular 3 4 7 7" xfId="20962" xr:uid="{00000000-0005-0000-0000-000012590000}"/>
    <cellStyle name="Hed Side Regular 3 4 7 7 2" xfId="20963" xr:uid="{00000000-0005-0000-0000-000013590000}"/>
    <cellStyle name="Hed Side Regular 3 4 7 8" xfId="20964" xr:uid="{00000000-0005-0000-0000-000014590000}"/>
    <cellStyle name="Hed Side Regular 3 4 7 8 2" xfId="20965" xr:uid="{00000000-0005-0000-0000-000015590000}"/>
    <cellStyle name="Hed Side Regular 3 4 7 9" xfId="20966" xr:uid="{00000000-0005-0000-0000-000016590000}"/>
    <cellStyle name="Hed Side Regular 3 4 7 9 2" xfId="20967" xr:uid="{00000000-0005-0000-0000-000017590000}"/>
    <cellStyle name="Hed Side Regular 3 4 8" xfId="20968" xr:uid="{00000000-0005-0000-0000-000018590000}"/>
    <cellStyle name="Hed Side Regular 3 4 8 10" xfId="20969" xr:uid="{00000000-0005-0000-0000-000019590000}"/>
    <cellStyle name="Hed Side Regular 3 4 8 2" xfId="20970" xr:uid="{00000000-0005-0000-0000-00001A590000}"/>
    <cellStyle name="Hed Side Regular 3 4 8 2 2" xfId="20971" xr:uid="{00000000-0005-0000-0000-00001B590000}"/>
    <cellStyle name="Hed Side Regular 3 4 8 3" xfId="20972" xr:uid="{00000000-0005-0000-0000-00001C590000}"/>
    <cellStyle name="Hed Side Regular 3 4 8 3 2" xfId="20973" xr:uid="{00000000-0005-0000-0000-00001D590000}"/>
    <cellStyle name="Hed Side Regular 3 4 8 4" xfId="20974" xr:uid="{00000000-0005-0000-0000-00001E590000}"/>
    <cellStyle name="Hed Side Regular 3 4 8 4 2" xfId="20975" xr:uid="{00000000-0005-0000-0000-00001F590000}"/>
    <cellStyle name="Hed Side Regular 3 4 8 5" xfId="20976" xr:uid="{00000000-0005-0000-0000-000020590000}"/>
    <cellStyle name="Hed Side Regular 3 4 8 5 2" xfId="20977" xr:uid="{00000000-0005-0000-0000-000021590000}"/>
    <cellStyle name="Hed Side Regular 3 4 8 6" xfId="20978" xr:uid="{00000000-0005-0000-0000-000022590000}"/>
    <cellStyle name="Hed Side Regular 3 4 8 6 2" xfId="20979" xr:uid="{00000000-0005-0000-0000-000023590000}"/>
    <cellStyle name="Hed Side Regular 3 4 8 7" xfId="20980" xr:uid="{00000000-0005-0000-0000-000024590000}"/>
    <cellStyle name="Hed Side Regular 3 4 8 7 2" xfId="20981" xr:uid="{00000000-0005-0000-0000-000025590000}"/>
    <cellStyle name="Hed Side Regular 3 4 8 8" xfId="20982" xr:uid="{00000000-0005-0000-0000-000026590000}"/>
    <cellStyle name="Hed Side Regular 3 4 8 8 2" xfId="20983" xr:uid="{00000000-0005-0000-0000-000027590000}"/>
    <cellStyle name="Hed Side Regular 3 4 8 9" xfId="20984" xr:uid="{00000000-0005-0000-0000-000028590000}"/>
    <cellStyle name="Hed Side Regular 3 4 8 9 2" xfId="20985" xr:uid="{00000000-0005-0000-0000-000029590000}"/>
    <cellStyle name="Hed Side Regular 3 4 9" xfId="20986" xr:uid="{00000000-0005-0000-0000-00002A590000}"/>
    <cellStyle name="Hed Side Regular 3 4 9 10" xfId="20987" xr:uid="{00000000-0005-0000-0000-00002B590000}"/>
    <cellStyle name="Hed Side Regular 3 4 9 2" xfId="20988" xr:uid="{00000000-0005-0000-0000-00002C590000}"/>
    <cellStyle name="Hed Side Regular 3 4 9 2 2" xfId="20989" xr:uid="{00000000-0005-0000-0000-00002D590000}"/>
    <cellStyle name="Hed Side Regular 3 4 9 3" xfId="20990" xr:uid="{00000000-0005-0000-0000-00002E590000}"/>
    <cellStyle name="Hed Side Regular 3 4 9 3 2" xfId="20991" xr:uid="{00000000-0005-0000-0000-00002F590000}"/>
    <cellStyle name="Hed Side Regular 3 4 9 4" xfId="20992" xr:uid="{00000000-0005-0000-0000-000030590000}"/>
    <cellStyle name="Hed Side Regular 3 4 9 4 2" xfId="20993" xr:uid="{00000000-0005-0000-0000-000031590000}"/>
    <cellStyle name="Hed Side Regular 3 4 9 5" xfId="20994" xr:uid="{00000000-0005-0000-0000-000032590000}"/>
    <cellStyle name="Hed Side Regular 3 4 9 5 2" xfId="20995" xr:uid="{00000000-0005-0000-0000-000033590000}"/>
    <cellStyle name="Hed Side Regular 3 4 9 6" xfId="20996" xr:uid="{00000000-0005-0000-0000-000034590000}"/>
    <cellStyle name="Hed Side Regular 3 4 9 6 2" xfId="20997" xr:uid="{00000000-0005-0000-0000-000035590000}"/>
    <cellStyle name="Hed Side Regular 3 4 9 7" xfId="20998" xr:uid="{00000000-0005-0000-0000-000036590000}"/>
    <cellStyle name="Hed Side Regular 3 4 9 7 2" xfId="20999" xr:uid="{00000000-0005-0000-0000-000037590000}"/>
    <cellStyle name="Hed Side Regular 3 4 9 8" xfId="21000" xr:uid="{00000000-0005-0000-0000-000038590000}"/>
    <cellStyle name="Hed Side Regular 3 4 9 8 2" xfId="21001" xr:uid="{00000000-0005-0000-0000-000039590000}"/>
    <cellStyle name="Hed Side Regular 3 4 9 9" xfId="21002" xr:uid="{00000000-0005-0000-0000-00003A590000}"/>
    <cellStyle name="Hed Side Regular 3 4 9 9 2" xfId="21003" xr:uid="{00000000-0005-0000-0000-00003B590000}"/>
    <cellStyle name="Hed Side Regular 3 5" xfId="21004" xr:uid="{00000000-0005-0000-0000-00003C590000}"/>
    <cellStyle name="Hed Side Regular 3 5 10" xfId="21005" xr:uid="{00000000-0005-0000-0000-00003D590000}"/>
    <cellStyle name="Hed Side Regular 3 5 10 2" xfId="21006" xr:uid="{00000000-0005-0000-0000-00003E590000}"/>
    <cellStyle name="Hed Side Regular 3 5 10 2 2" xfId="21007" xr:uid="{00000000-0005-0000-0000-00003F590000}"/>
    <cellStyle name="Hed Side Regular 3 5 10 3" xfId="21008" xr:uid="{00000000-0005-0000-0000-000040590000}"/>
    <cellStyle name="Hed Side Regular 3 5 10 3 2" xfId="21009" xr:uid="{00000000-0005-0000-0000-000041590000}"/>
    <cellStyle name="Hed Side Regular 3 5 10 4" xfId="21010" xr:uid="{00000000-0005-0000-0000-000042590000}"/>
    <cellStyle name="Hed Side Regular 3 5 10 4 2" xfId="21011" xr:uid="{00000000-0005-0000-0000-000043590000}"/>
    <cellStyle name="Hed Side Regular 3 5 10 5" xfId="21012" xr:uid="{00000000-0005-0000-0000-000044590000}"/>
    <cellStyle name="Hed Side Regular 3 5 10 5 2" xfId="21013" xr:uid="{00000000-0005-0000-0000-000045590000}"/>
    <cellStyle name="Hed Side Regular 3 5 10 6" xfId="21014" xr:uid="{00000000-0005-0000-0000-000046590000}"/>
    <cellStyle name="Hed Side Regular 3 5 10 6 2" xfId="21015" xr:uid="{00000000-0005-0000-0000-000047590000}"/>
    <cellStyle name="Hed Side Regular 3 5 10 7" xfId="21016" xr:uid="{00000000-0005-0000-0000-000048590000}"/>
    <cellStyle name="Hed Side Regular 3 5 10 7 2" xfId="21017" xr:uid="{00000000-0005-0000-0000-000049590000}"/>
    <cellStyle name="Hed Side Regular 3 5 10 8" xfId="21018" xr:uid="{00000000-0005-0000-0000-00004A590000}"/>
    <cellStyle name="Hed Side Regular 3 5 10 8 2" xfId="21019" xr:uid="{00000000-0005-0000-0000-00004B590000}"/>
    <cellStyle name="Hed Side Regular 3 5 10 9" xfId="21020" xr:uid="{00000000-0005-0000-0000-00004C590000}"/>
    <cellStyle name="Hed Side Regular 3 5 11" xfId="21021" xr:uid="{00000000-0005-0000-0000-00004D590000}"/>
    <cellStyle name="Hed Side Regular 3 5 11 2" xfId="21022" xr:uid="{00000000-0005-0000-0000-00004E590000}"/>
    <cellStyle name="Hed Side Regular 3 5 12" xfId="21023" xr:uid="{00000000-0005-0000-0000-00004F590000}"/>
    <cellStyle name="Hed Side Regular 3 5 12 2" xfId="21024" xr:uid="{00000000-0005-0000-0000-000050590000}"/>
    <cellStyle name="Hed Side Regular 3 5 13" xfId="21025" xr:uid="{00000000-0005-0000-0000-000051590000}"/>
    <cellStyle name="Hed Side Regular 3 5 13 2" xfId="21026" xr:uid="{00000000-0005-0000-0000-000052590000}"/>
    <cellStyle name="Hed Side Regular 3 5 14" xfId="21027" xr:uid="{00000000-0005-0000-0000-000053590000}"/>
    <cellStyle name="Hed Side Regular 3 5 14 2" xfId="21028" xr:uid="{00000000-0005-0000-0000-000054590000}"/>
    <cellStyle name="Hed Side Regular 3 5 15" xfId="21029" xr:uid="{00000000-0005-0000-0000-000055590000}"/>
    <cellStyle name="Hed Side Regular 3 5 15 2" xfId="21030" xr:uid="{00000000-0005-0000-0000-000056590000}"/>
    <cellStyle name="Hed Side Regular 3 5 16" xfId="21031" xr:uid="{00000000-0005-0000-0000-000057590000}"/>
    <cellStyle name="Hed Side Regular 3 5 16 2" xfId="21032" xr:uid="{00000000-0005-0000-0000-000058590000}"/>
    <cellStyle name="Hed Side Regular 3 5 17" xfId="21033" xr:uid="{00000000-0005-0000-0000-000059590000}"/>
    <cellStyle name="Hed Side Regular 3 5 17 2" xfId="21034" xr:uid="{00000000-0005-0000-0000-00005A590000}"/>
    <cellStyle name="Hed Side Regular 3 5 18" xfId="21035" xr:uid="{00000000-0005-0000-0000-00005B590000}"/>
    <cellStyle name="Hed Side Regular 3 5 2" xfId="21036" xr:uid="{00000000-0005-0000-0000-00005C590000}"/>
    <cellStyle name="Hed Side Regular 3 5 2 10" xfId="21037" xr:uid="{00000000-0005-0000-0000-00005D590000}"/>
    <cellStyle name="Hed Side Regular 3 5 2 2" xfId="21038" xr:uid="{00000000-0005-0000-0000-00005E590000}"/>
    <cellStyle name="Hed Side Regular 3 5 2 2 2" xfId="21039" xr:uid="{00000000-0005-0000-0000-00005F590000}"/>
    <cellStyle name="Hed Side Regular 3 5 2 3" xfId="21040" xr:uid="{00000000-0005-0000-0000-000060590000}"/>
    <cellStyle name="Hed Side Regular 3 5 2 3 2" xfId="21041" xr:uid="{00000000-0005-0000-0000-000061590000}"/>
    <cellStyle name="Hed Side Regular 3 5 2 4" xfId="21042" xr:uid="{00000000-0005-0000-0000-000062590000}"/>
    <cellStyle name="Hed Side Regular 3 5 2 4 2" xfId="21043" xr:uid="{00000000-0005-0000-0000-000063590000}"/>
    <cellStyle name="Hed Side Regular 3 5 2 5" xfId="21044" xr:uid="{00000000-0005-0000-0000-000064590000}"/>
    <cellStyle name="Hed Side Regular 3 5 2 5 2" xfId="21045" xr:uid="{00000000-0005-0000-0000-000065590000}"/>
    <cellStyle name="Hed Side Regular 3 5 2 6" xfId="21046" xr:uid="{00000000-0005-0000-0000-000066590000}"/>
    <cellStyle name="Hed Side Regular 3 5 2 6 2" xfId="21047" xr:uid="{00000000-0005-0000-0000-000067590000}"/>
    <cellStyle name="Hed Side Regular 3 5 2 7" xfId="21048" xr:uid="{00000000-0005-0000-0000-000068590000}"/>
    <cellStyle name="Hed Side Regular 3 5 2 7 2" xfId="21049" xr:uid="{00000000-0005-0000-0000-000069590000}"/>
    <cellStyle name="Hed Side Regular 3 5 2 8" xfId="21050" xr:uid="{00000000-0005-0000-0000-00006A590000}"/>
    <cellStyle name="Hed Side Regular 3 5 2 8 2" xfId="21051" xr:uid="{00000000-0005-0000-0000-00006B590000}"/>
    <cellStyle name="Hed Side Regular 3 5 2 9" xfId="21052" xr:uid="{00000000-0005-0000-0000-00006C590000}"/>
    <cellStyle name="Hed Side Regular 3 5 2 9 2" xfId="21053" xr:uid="{00000000-0005-0000-0000-00006D590000}"/>
    <cellStyle name="Hed Side Regular 3 5 3" xfId="21054" xr:uid="{00000000-0005-0000-0000-00006E590000}"/>
    <cellStyle name="Hed Side Regular 3 5 3 10" xfId="21055" xr:uid="{00000000-0005-0000-0000-00006F590000}"/>
    <cellStyle name="Hed Side Regular 3 5 3 2" xfId="21056" xr:uid="{00000000-0005-0000-0000-000070590000}"/>
    <cellStyle name="Hed Side Regular 3 5 3 2 2" xfId="21057" xr:uid="{00000000-0005-0000-0000-000071590000}"/>
    <cellStyle name="Hed Side Regular 3 5 3 3" xfId="21058" xr:uid="{00000000-0005-0000-0000-000072590000}"/>
    <cellStyle name="Hed Side Regular 3 5 3 3 2" xfId="21059" xr:uid="{00000000-0005-0000-0000-000073590000}"/>
    <cellStyle name="Hed Side Regular 3 5 3 4" xfId="21060" xr:uid="{00000000-0005-0000-0000-000074590000}"/>
    <cellStyle name="Hed Side Regular 3 5 3 4 2" xfId="21061" xr:uid="{00000000-0005-0000-0000-000075590000}"/>
    <cellStyle name="Hed Side Regular 3 5 3 5" xfId="21062" xr:uid="{00000000-0005-0000-0000-000076590000}"/>
    <cellStyle name="Hed Side Regular 3 5 3 5 2" xfId="21063" xr:uid="{00000000-0005-0000-0000-000077590000}"/>
    <cellStyle name="Hed Side Regular 3 5 3 6" xfId="21064" xr:uid="{00000000-0005-0000-0000-000078590000}"/>
    <cellStyle name="Hed Side Regular 3 5 3 6 2" xfId="21065" xr:uid="{00000000-0005-0000-0000-000079590000}"/>
    <cellStyle name="Hed Side Regular 3 5 3 7" xfId="21066" xr:uid="{00000000-0005-0000-0000-00007A590000}"/>
    <cellStyle name="Hed Side Regular 3 5 3 7 2" xfId="21067" xr:uid="{00000000-0005-0000-0000-00007B590000}"/>
    <cellStyle name="Hed Side Regular 3 5 3 8" xfId="21068" xr:uid="{00000000-0005-0000-0000-00007C590000}"/>
    <cellStyle name="Hed Side Regular 3 5 3 8 2" xfId="21069" xr:uid="{00000000-0005-0000-0000-00007D590000}"/>
    <cellStyle name="Hed Side Regular 3 5 3 9" xfId="21070" xr:uid="{00000000-0005-0000-0000-00007E590000}"/>
    <cellStyle name="Hed Side Regular 3 5 3 9 2" xfId="21071" xr:uid="{00000000-0005-0000-0000-00007F590000}"/>
    <cellStyle name="Hed Side Regular 3 5 4" xfId="21072" xr:uid="{00000000-0005-0000-0000-000080590000}"/>
    <cellStyle name="Hed Side Regular 3 5 4 10" xfId="21073" xr:uid="{00000000-0005-0000-0000-000081590000}"/>
    <cellStyle name="Hed Side Regular 3 5 4 2" xfId="21074" xr:uid="{00000000-0005-0000-0000-000082590000}"/>
    <cellStyle name="Hed Side Regular 3 5 4 2 2" xfId="21075" xr:uid="{00000000-0005-0000-0000-000083590000}"/>
    <cellStyle name="Hed Side Regular 3 5 4 3" xfId="21076" xr:uid="{00000000-0005-0000-0000-000084590000}"/>
    <cellStyle name="Hed Side Regular 3 5 4 3 2" xfId="21077" xr:uid="{00000000-0005-0000-0000-000085590000}"/>
    <cellStyle name="Hed Side Regular 3 5 4 4" xfId="21078" xr:uid="{00000000-0005-0000-0000-000086590000}"/>
    <cellStyle name="Hed Side Regular 3 5 4 4 2" xfId="21079" xr:uid="{00000000-0005-0000-0000-000087590000}"/>
    <cellStyle name="Hed Side Regular 3 5 4 5" xfId="21080" xr:uid="{00000000-0005-0000-0000-000088590000}"/>
    <cellStyle name="Hed Side Regular 3 5 4 5 2" xfId="21081" xr:uid="{00000000-0005-0000-0000-000089590000}"/>
    <cellStyle name="Hed Side Regular 3 5 4 6" xfId="21082" xr:uid="{00000000-0005-0000-0000-00008A590000}"/>
    <cellStyle name="Hed Side Regular 3 5 4 6 2" xfId="21083" xr:uid="{00000000-0005-0000-0000-00008B590000}"/>
    <cellStyle name="Hed Side Regular 3 5 4 7" xfId="21084" xr:uid="{00000000-0005-0000-0000-00008C590000}"/>
    <cellStyle name="Hed Side Regular 3 5 4 7 2" xfId="21085" xr:uid="{00000000-0005-0000-0000-00008D590000}"/>
    <cellStyle name="Hed Side Regular 3 5 4 8" xfId="21086" xr:uid="{00000000-0005-0000-0000-00008E590000}"/>
    <cellStyle name="Hed Side Regular 3 5 4 8 2" xfId="21087" xr:uid="{00000000-0005-0000-0000-00008F590000}"/>
    <cellStyle name="Hed Side Regular 3 5 4 9" xfId="21088" xr:uid="{00000000-0005-0000-0000-000090590000}"/>
    <cellStyle name="Hed Side Regular 3 5 4 9 2" xfId="21089" xr:uid="{00000000-0005-0000-0000-000091590000}"/>
    <cellStyle name="Hed Side Regular 3 5 5" xfId="21090" xr:uid="{00000000-0005-0000-0000-000092590000}"/>
    <cellStyle name="Hed Side Regular 3 5 5 10" xfId="21091" xr:uid="{00000000-0005-0000-0000-000093590000}"/>
    <cellStyle name="Hed Side Regular 3 5 5 2" xfId="21092" xr:uid="{00000000-0005-0000-0000-000094590000}"/>
    <cellStyle name="Hed Side Regular 3 5 5 2 2" xfId="21093" xr:uid="{00000000-0005-0000-0000-000095590000}"/>
    <cellStyle name="Hed Side Regular 3 5 5 3" xfId="21094" xr:uid="{00000000-0005-0000-0000-000096590000}"/>
    <cellStyle name="Hed Side Regular 3 5 5 3 2" xfId="21095" xr:uid="{00000000-0005-0000-0000-000097590000}"/>
    <cellStyle name="Hed Side Regular 3 5 5 4" xfId="21096" xr:uid="{00000000-0005-0000-0000-000098590000}"/>
    <cellStyle name="Hed Side Regular 3 5 5 4 2" xfId="21097" xr:uid="{00000000-0005-0000-0000-000099590000}"/>
    <cellStyle name="Hed Side Regular 3 5 5 5" xfId="21098" xr:uid="{00000000-0005-0000-0000-00009A590000}"/>
    <cellStyle name="Hed Side Regular 3 5 5 5 2" xfId="21099" xr:uid="{00000000-0005-0000-0000-00009B590000}"/>
    <cellStyle name="Hed Side Regular 3 5 5 6" xfId="21100" xr:uid="{00000000-0005-0000-0000-00009C590000}"/>
    <cellStyle name="Hed Side Regular 3 5 5 6 2" xfId="21101" xr:uid="{00000000-0005-0000-0000-00009D590000}"/>
    <cellStyle name="Hed Side Regular 3 5 5 7" xfId="21102" xr:uid="{00000000-0005-0000-0000-00009E590000}"/>
    <cellStyle name="Hed Side Regular 3 5 5 7 2" xfId="21103" xr:uid="{00000000-0005-0000-0000-00009F590000}"/>
    <cellStyle name="Hed Side Regular 3 5 5 8" xfId="21104" xr:uid="{00000000-0005-0000-0000-0000A0590000}"/>
    <cellStyle name="Hed Side Regular 3 5 5 8 2" xfId="21105" xr:uid="{00000000-0005-0000-0000-0000A1590000}"/>
    <cellStyle name="Hed Side Regular 3 5 5 9" xfId="21106" xr:uid="{00000000-0005-0000-0000-0000A2590000}"/>
    <cellStyle name="Hed Side Regular 3 5 5 9 2" xfId="21107" xr:uid="{00000000-0005-0000-0000-0000A3590000}"/>
    <cellStyle name="Hed Side Regular 3 5 6" xfId="21108" xr:uid="{00000000-0005-0000-0000-0000A4590000}"/>
    <cellStyle name="Hed Side Regular 3 5 6 10" xfId="21109" xr:uid="{00000000-0005-0000-0000-0000A5590000}"/>
    <cellStyle name="Hed Side Regular 3 5 6 2" xfId="21110" xr:uid="{00000000-0005-0000-0000-0000A6590000}"/>
    <cellStyle name="Hed Side Regular 3 5 6 2 2" xfId="21111" xr:uid="{00000000-0005-0000-0000-0000A7590000}"/>
    <cellStyle name="Hed Side Regular 3 5 6 3" xfId="21112" xr:uid="{00000000-0005-0000-0000-0000A8590000}"/>
    <cellStyle name="Hed Side Regular 3 5 6 3 2" xfId="21113" xr:uid="{00000000-0005-0000-0000-0000A9590000}"/>
    <cellStyle name="Hed Side Regular 3 5 6 4" xfId="21114" xr:uid="{00000000-0005-0000-0000-0000AA590000}"/>
    <cellStyle name="Hed Side Regular 3 5 6 4 2" xfId="21115" xr:uid="{00000000-0005-0000-0000-0000AB590000}"/>
    <cellStyle name="Hed Side Regular 3 5 6 5" xfId="21116" xr:uid="{00000000-0005-0000-0000-0000AC590000}"/>
    <cellStyle name="Hed Side Regular 3 5 6 5 2" xfId="21117" xr:uid="{00000000-0005-0000-0000-0000AD590000}"/>
    <cellStyle name="Hed Side Regular 3 5 6 6" xfId="21118" xr:uid="{00000000-0005-0000-0000-0000AE590000}"/>
    <cellStyle name="Hed Side Regular 3 5 6 6 2" xfId="21119" xr:uid="{00000000-0005-0000-0000-0000AF590000}"/>
    <cellStyle name="Hed Side Regular 3 5 6 7" xfId="21120" xr:uid="{00000000-0005-0000-0000-0000B0590000}"/>
    <cellStyle name="Hed Side Regular 3 5 6 7 2" xfId="21121" xr:uid="{00000000-0005-0000-0000-0000B1590000}"/>
    <cellStyle name="Hed Side Regular 3 5 6 8" xfId="21122" xr:uid="{00000000-0005-0000-0000-0000B2590000}"/>
    <cellStyle name="Hed Side Regular 3 5 6 8 2" xfId="21123" xr:uid="{00000000-0005-0000-0000-0000B3590000}"/>
    <cellStyle name="Hed Side Regular 3 5 6 9" xfId="21124" xr:uid="{00000000-0005-0000-0000-0000B4590000}"/>
    <cellStyle name="Hed Side Regular 3 5 6 9 2" xfId="21125" xr:uid="{00000000-0005-0000-0000-0000B5590000}"/>
    <cellStyle name="Hed Side Regular 3 5 7" xfId="21126" xr:uid="{00000000-0005-0000-0000-0000B6590000}"/>
    <cellStyle name="Hed Side Regular 3 5 7 10" xfId="21127" xr:uid="{00000000-0005-0000-0000-0000B7590000}"/>
    <cellStyle name="Hed Side Regular 3 5 7 2" xfId="21128" xr:uid="{00000000-0005-0000-0000-0000B8590000}"/>
    <cellStyle name="Hed Side Regular 3 5 7 2 2" xfId="21129" xr:uid="{00000000-0005-0000-0000-0000B9590000}"/>
    <cellStyle name="Hed Side Regular 3 5 7 3" xfId="21130" xr:uid="{00000000-0005-0000-0000-0000BA590000}"/>
    <cellStyle name="Hed Side Regular 3 5 7 3 2" xfId="21131" xr:uid="{00000000-0005-0000-0000-0000BB590000}"/>
    <cellStyle name="Hed Side Regular 3 5 7 4" xfId="21132" xr:uid="{00000000-0005-0000-0000-0000BC590000}"/>
    <cellStyle name="Hed Side Regular 3 5 7 4 2" xfId="21133" xr:uid="{00000000-0005-0000-0000-0000BD590000}"/>
    <cellStyle name="Hed Side Regular 3 5 7 5" xfId="21134" xr:uid="{00000000-0005-0000-0000-0000BE590000}"/>
    <cellStyle name="Hed Side Regular 3 5 7 5 2" xfId="21135" xr:uid="{00000000-0005-0000-0000-0000BF590000}"/>
    <cellStyle name="Hed Side Regular 3 5 7 6" xfId="21136" xr:uid="{00000000-0005-0000-0000-0000C0590000}"/>
    <cellStyle name="Hed Side Regular 3 5 7 6 2" xfId="21137" xr:uid="{00000000-0005-0000-0000-0000C1590000}"/>
    <cellStyle name="Hed Side Regular 3 5 7 7" xfId="21138" xr:uid="{00000000-0005-0000-0000-0000C2590000}"/>
    <cellStyle name="Hed Side Regular 3 5 7 7 2" xfId="21139" xr:uid="{00000000-0005-0000-0000-0000C3590000}"/>
    <cellStyle name="Hed Side Regular 3 5 7 8" xfId="21140" xr:uid="{00000000-0005-0000-0000-0000C4590000}"/>
    <cellStyle name="Hed Side Regular 3 5 7 8 2" xfId="21141" xr:uid="{00000000-0005-0000-0000-0000C5590000}"/>
    <cellStyle name="Hed Side Regular 3 5 7 9" xfId="21142" xr:uid="{00000000-0005-0000-0000-0000C6590000}"/>
    <cellStyle name="Hed Side Regular 3 5 7 9 2" xfId="21143" xr:uid="{00000000-0005-0000-0000-0000C7590000}"/>
    <cellStyle name="Hed Side Regular 3 5 8" xfId="21144" xr:uid="{00000000-0005-0000-0000-0000C8590000}"/>
    <cellStyle name="Hed Side Regular 3 5 8 10" xfId="21145" xr:uid="{00000000-0005-0000-0000-0000C9590000}"/>
    <cellStyle name="Hed Side Regular 3 5 8 2" xfId="21146" xr:uid="{00000000-0005-0000-0000-0000CA590000}"/>
    <cellStyle name="Hed Side Regular 3 5 8 2 2" xfId="21147" xr:uid="{00000000-0005-0000-0000-0000CB590000}"/>
    <cellStyle name="Hed Side Regular 3 5 8 3" xfId="21148" xr:uid="{00000000-0005-0000-0000-0000CC590000}"/>
    <cellStyle name="Hed Side Regular 3 5 8 3 2" xfId="21149" xr:uid="{00000000-0005-0000-0000-0000CD590000}"/>
    <cellStyle name="Hed Side Regular 3 5 8 4" xfId="21150" xr:uid="{00000000-0005-0000-0000-0000CE590000}"/>
    <cellStyle name="Hed Side Regular 3 5 8 4 2" xfId="21151" xr:uid="{00000000-0005-0000-0000-0000CF590000}"/>
    <cellStyle name="Hed Side Regular 3 5 8 5" xfId="21152" xr:uid="{00000000-0005-0000-0000-0000D0590000}"/>
    <cellStyle name="Hed Side Regular 3 5 8 5 2" xfId="21153" xr:uid="{00000000-0005-0000-0000-0000D1590000}"/>
    <cellStyle name="Hed Side Regular 3 5 8 6" xfId="21154" xr:uid="{00000000-0005-0000-0000-0000D2590000}"/>
    <cellStyle name="Hed Side Regular 3 5 8 6 2" xfId="21155" xr:uid="{00000000-0005-0000-0000-0000D3590000}"/>
    <cellStyle name="Hed Side Regular 3 5 8 7" xfId="21156" xr:uid="{00000000-0005-0000-0000-0000D4590000}"/>
    <cellStyle name="Hed Side Regular 3 5 8 7 2" xfId="21157" xr:uid="{00000000-0005-0000-0000-0000D5590000}"/>
    <cellStyle name="Hed Side Regular 3 5 8 8" xfId="21158" xr:uid="{00000000-0005-0000-0000-0000D6590000}"/>
    <cellStyle name="Hed Side Regular 3 5 8 8 2" xfId="21159" xr:uid="{00000000-0005-0000-0000-0000D7590000}"/>
    <cellStyle name="Hed Side Regular 3 5 8 9" xfId="21160" xr:uid="{00000000-0005-0000-0000-0000D8590000}"/>
    <cellStyle name="Hed Side Regular 3 5 8 9 2" xfId="21161" xr:uid="{00000000-0005-0000-0000-0000D9590000}"/>
    <cellStyle name="Hed Side Regular 3 5 9" xfId="21162" xr:uid="{00000000-0005-0000-0000-0000DA590000}"/>
    <cellStyle name="Hed Side Regular 3 5 9 10" xfId="21163" xr:uid="{00000000-0005-0000-0000-0000DB590000}"/>
    <cellStyle name="Hed Side Regular 3 5 9 2" xfId="21164" xr:uid="{00000000-0005-0000-0000-0000DC590000}"/>
    <cellStyle name="Hed Side Regular 3 5 9 2 2" xfId="21165" xr:uid="{00000000-0005-0000-0000-0000DD590000}"/>
    <cellStyle name="Hed Side Regular 3 5 9 3" xfId="21166" xr:uid="{00000000-0005-0000-0000-0000DE590000}"/>
    <cellStyle name="Hed Side Regular 3 5 9 3 2" xfId="21167" xr:uid="{00000000-0005-0000-0000-0000DF590000}"/>
    <cellStyle name="Hed Side Regular 3 5 9 4" xfId="21168" xr:uid="{00000000-0005-0000-0000-0000E0590000}"/>
    <cellStyle name="Hed Side Regular 3 5 9 4 2" xfId="21169" xr:uid="{00000000-0005-0000-0000-0000E1590000}"/>
    <cellStyle name="Hed Side Regular 3 5 9 5" xfId="21170" xr:uid="{00000000-0005-0000-0000-0000E2590000}"/>
    <cellStyle name="Hed Side Regular 3 5 9 5 2" xfId="21171" xr:uid="{00000000-0005-0000-0000-0000E3590000}"/>
    <cellStyle name="Hed Side Regular 3 5 9 6" xfId="21172" xr:uid="{00000000-0005-0000-0000-0000E4590000}"/>
    <cellStyle name="Hed Side Regular 3 5 9 6 2" xfId="21173" xr:uid="{00000000-0005-0000-0000-0000E5590000}"/>
    <cellStyle name="Hed Side Regular 3 5 9 7" xfId="21174" xr:uid="{00000000-0005-0000-0000-0000E6590000}"/>
    <cellStyle name="Hed Side Regular 3 5 9 7 2" xfId="21175" xr:uid="{00000000-0005-0000-0000-0000E7590000}"/>
    <cellStyle name="Hed Side Regular 3 5 9 8" xfId="21176" xr:uid="{00000000-0005-0000-0000-0000E8590000}"/>
    <cellStyle name="Hed Side Regular 3 5 9 8 2" xfId="21177" xr:uid="{00000000-0005-0000-0000-0000E9590000}"/>
    <cellStyle name="Hed Side Regular 3 5 9 9" xfId="21178" xr:uid="{00000000-0005-0000-0000-0000EA590000}"/>
    <cellStyle name="Hed Side Regular 3 5 9 9 2" xfId="21179" xr:uid="{00000000-0005-0000-0000-0000EB590000}"/>
    <cellStyle name="Hed Side Regular 3 6" xfId="21180" xr:uid="{00000000-0005-0000-0000-0000EC590000}"/>
    <cellStyle name="Hed Side Regular 3 6 10" xfId="21181" xr:uid="{00000000-0005-0000-0000-0000ED590000}"/>
    <cellStyle name="Hed Side Regular 3 6 10 2" xfId="21182" xr:uid="{00000000-0005-0000-0000-0000EE590000}"/>
    <cellStyle name="Hed Side Regular 3 6 10 2 2" xfId="21183" xr:uid="{00000000-0005-0000-0000-0000EF590000}"/>
    <cellStyle name="Hed Side Regular 3 6 10 3" xfId="21184" xr:uid="{00000000-0005-0000-0000-0000F0590000}"/>
    <cellStyle name="Hed Side Regular 3 6 10 3 2" xfId="21185" xr:uid="{00000000-0005-0000-0000-0000F1590000}"/>
    <cellStyle name="Hed Side Regular 3 6 10 4" xfId="21186" xr:uid="{00000000-0005-0000-0000-0000F2590000}"/>
    <cellStyle name="Hed Side Regular 3 6 10 4 2" xfId="21187" xr:uid="{00000000-0005-0000-0000-0000F3590000}"/>
    <cellStyle name="Hed Side Regular 3 6 10 5" xfId="21188" xr:uid="{00000000-0005-0000-0000-0000F4590000}"/>
    <cellStyle name="Hed Side Regular 3 6 10 5 2" xfId="21189" xr:uid="{00000000-0005-0000-0000-0000F5590000}"/>
    <cellStyle name="Hed Side Regular 3 6 10 6" xfId="21190" xr:uid="{00000000-0005-0000-0000-0000F6590000}"/>
    <cellStyle name="Hed Side Regular 3 6 10 6 2" xfId="21191" xr:uid="{00000000-0005-0000-0000-0000F7590000}"/>
    <cellStyle name="Hed Side Regular 3 6 10 7" xfId="21192" xr:uid="{00000000-0005-0000-0000-0000F8590000}"/>
    <cellStyle name="Hed Side Regular 3 6 10 7 2" xfId="21193" xr:uid="{00000000-0005-0000-0000-0000F9590000}"/>
    <cellStyle name="Hed Side Regular 3 6 10 8" xfId="21194" xr:uid="{00000000-0005-0000-0000-0000FA590000}"/>
    <cellStyle name="Hed Side Regular 3 6 10 8 2" xfId="21195" xr:uid="{00000000-0005-0000-0000-0000FB590000}"/>
    <cellStyle name="Hed Side Regular 3 6 10 9" xfId="21196" xr:uid="{00000000-0005-0000-0000-0000FC590000}"/>
    <cellStyle name="Hed Side Regular 3 6 11" xfId="21197" xr:uid="{00000000-0005-0000-0000-0000FD590000}"/>
    <cellStyle name="Hed Side Regular 3 6 11 2" xfId="21198" xr:uid="{00000000-0005-0000-0000-0000FE590000}"/>
    <cellStyle name="Hed Side Regular 3 6 12" xfId="21199" xr:uid="{00000000-0005-0000-0000-0000FF590000}"/>
    <cellStyle name="Hed Side Regular 3 6 12 2" xfId="21200" xr:uid="{00000000-0005-0000-0000-0000005A0000}"/>
    <cellStyle name="Hed Side Regular 3 6 13" xfId="21201" xr:uid="{00000000-0005-0000-0000-0000015A0000}"/>
    <cellStyle name="Hed Side Regular 3 6 13 2" xfId="21202" xr:uid="{00000000-0005-0000-0000-0000025A0000}"/>
    <cellStyle name="Hed Side Regular 3 6 14" xfId="21203" xr:uid="{00000000-0005-0000-0000-0000035A0000}"/>
    <cellStyle name="Hed Side Regular 3 6 14 2" xfId="21204" xr:uid="{00000000-0005-0000-0000-0000045A0000}"/>
    <cellStyle name="Hed Side Regular 3 6 15" xfId="21205" xr:uid="{00000000-0005-0000-0000-0000055A0000}"/>
    <cellStyle name="Hed Side Regular 3 6 15 2" xfId="21206" xr:uid="{00000000-0005-0000-0000-0000065A0000}"/>
    <cellStyle name="Hed Side Regular 3 6 16" xfId="21207" xr:uid="{00000000-0005-0000-0000-0000075A0000}"/>
    <cellStyle name="Hed Side Regular 3 6 16 2" xfId="21208" xr:uid="{00000000-0005-0000-0000-0000085A0000}"/>
    <cellStyle name="Hed Side Regular 3 6 17" xfId="21209" xr:uid="{00000000-0005-0000-0000-0000095A0000}"/>
    <cellStyle name="Hed Side Regular 3 6 17 2" xfId="21210" xr:uid="{00000000-0005-0000-0000-00000A5A0000}"/>
    <cellStyle name="Hed Side Regular 3 6 18" xfId="21211" xr:uid="{00000000-0005-0000-0000-00000B5A0000}"/>
    <cellStyle name="Hed Side Regular 3 6 2" xfId="21212" xr:uid="{00000000-0005-0000-0000-00000C5A0000}"/>
    <cellStyle name="Hed Side Regular 3 6 2 10" xfId="21213" xr:uid="{00000000-0005-0000-0000-00000D5A0000}"/>
    <cellStyle name="Hed Side Regular 3 6 2 2" xfId="21214" xr:uid="{00000000-0005-0000-0000-00000E5A0000}"/>
    <cellStyle name="Hed Side Regular 3 6 2 2 2" xfId="21215" xr:uid="{00000000-0005-0000-0000-00000F5A0000}"/>
    <cellStyle name="Hed Side Regular 3 6 2 3" xfId="21216" xr:uid="{00000000-0005-0000-0000-0000105A0000}"/>
    <cellStyle name="Hed Side Regular 3 6 2 3 2" xfId="21217" xr:uid="{00000000-0005-0000-0000-0000115A0000}"/>
    <cellStyle name="Hed Side Regular 3 6 2 4" xfId="21218" xr:uid="{00000000-0005-0000-0000-0000125A0000}"/>
    <cellStyle name="Hed Side Regular 3 6 2 4 2" xfId="21219" xr:uid="{00000000-0005-0000-0000-0000135A0000}"/>
    <cellStyle name="Hed Side Regular 3 6 2 5" xfId="21220" xr:uid="{00000000-0005-0000-0000-0000145A0000}"/>
    <cellStyle name="Hed Side Regular 3 6 2 5 2" xfId="21221" xr:uid="{00000000-0005-0000-0000-0000155A0000}"/>
    <cellStyle name="Hed Side Regular 3 6 2 6" xfId="21222" xr:uid="{00000000-0005-0000-0000-0000165A0000}"/>
    <cellStyle name="Hed Side Regular 3 6 2 6 2" xfId="21223" xr:uid="{00000000-0005-0000-0000-0000175A0000}"/>
    <cellStyle name="Hed Side Regular 3 6 2 7" xfId="21224" xr:uid="{00000000-0005-0000-0000-0000185A0000}"/>
    <cellStyle name="Hed Side Regular 3 6 2 7 2" xfId="21225" xr:uid="{00000000-0005-0000-0000-0000195A0000}"/>
    <cellStyle name="Hed Side Regular 3 6 2 8" xfId="21226" xr:uid="{00000000-0005-0000-0000-00001A5A0000}"/>
    <cellStyle name="Hed Side Regular 3 6 2 8 2" xfId="21227" xr:uid="{00000000-0005-0000-0000-00001B5A0000}"/>
    <cellStyle name="Hed Side Regular 3 6 2 9" xfId="21228" xr:uid="{00000000-0005-0000-0000-00001C5A0000}"/>
    <cellStyle name="Hed Side Regular 3 6 2 9 2" xfId="21229" xr:uid="{00000000-0005-0000-0000-00001D5A0000}"/>
    <cellStyle name="Hed Side Regular 3 6 3" xfId="21230" xr:uid="{00000000-0005-0000-0000-00001E5A0000}"/>
    <cellStyle name="Hed Side Regular 3 6 3 10" xfId="21231" xr:uid="{00000000-0005-0000-0000-00001F5A0000}"/>
    <cellStyle name="Hed Side Regular 3 6 3 2" xfId="21232" xr:uid="{00000000-0005-0000-0000-0000205A0000}"/>
    <cellStyle name="Hed Side Regular 3 6 3 2 2" xfId="21233" xr:uid="{00000000-0005-0000-0000-0000215A0000}"/>
    <cellStyle name="Hed Side Regular 3 6 3 3" xfId="21234" xr:uid="{00000000-0005-0000-0000-0000225A0000}"/>
    <cellStyle name="Hed Side Regular 3 6 3 3 2" xfId="21235" xr:uid="{00000000-0005-0000-0000-0000235A0000}"/>
    <cellStyle name="Hed Side Regular 3 6 3 4" xfId="21236" xr:uid="{00000000-0005-0000-0000-0000245A0000}"/>
    <cellStyle name="Hed Side Regular 3 6 3 4 2" xfId="21237" xr:uid="{00000000-0005-0000-0000-0000255A0000}"/>
    <cellStyle name="Hed Side Regular 3 6 3 5" xfId="21238" xr:uid="{00000000-0005-0000-0000-0000265A0000}"/>
    <cellStyle name="Hed Side Regular 3 6 3 5 2" xfId="21239" xr:uid="{00000000-0005-0000-0000-0000275A0000}"/>
    <cellStyle name="Hed Side Regular 3 6 3 6" xfId="21240" xr:uid="{00000000-0005-0000-0000-0000285A0000}"/>
    <cellStyle name="Hed Side Regular 3 6 3 6 2" xfId="21241" xr:uid="{00000000-0005-0000-0000-0000295A0000}"/>
    <cellStyle name="Hed Side Regular 3 6 3 7" xfId="21242" xr:uid="{00000000-0005-0000-0000-00002A5A0000}"/>
    <cellStyle name="Hed Side Regular 3 6 3 7 2" xfId="21243" xr:uid="{00000000-0005-0000-0000-00002B5A0000}"/>
    <cellStyle name="Hed Side Regular 3 6 3 8" xfId="21244" xr:uid="{00000000-0005-0000-0000-00002C5A0000}"/>
    <cellStyle name="Hed Side Regular 3 6 3 8 2" xfId="21245" xr:uid="{00000000-0005-0000-0000-00002D5A0000}"/>
    <cellStyle name="Hed Side Regular 3 6 3 9" xfId="21246" xr:uid="{00000000-0005-0000-0000-00002E5A0000}"/>
    <cellStyle name="Hed Side Regular 3 6 3 9 2" xfId="21247" xr:uid="{00000000-0005-0000-0000-00002F5A0000}"/>
    <cellStyle name="Hed Side Regular 3 6 4" xfId="21248" xr:uid="{00000000-0005-0000-0000-0000305A0000}"/>
    <cellStyle name="Hed Side Regular 3 6 4 10" xfId="21249" xr:uid="{00000000-0005-0000-0000-0000315A0000}"/>
    <cellStyle name="Hed Side Regular 3 6 4 2" xfId="21250" xr:uid="{00000000-0005-0000-0000-0000325A0000}"/>
    <cellStyle name="Hed Side Regular 3 6 4 2 2" xfId="21251" xr:uid="{00000000-0005-0000-0000-0000335A0000}"/>
    <cellStyle name="Hed Side Regular 3 6 4 3" xfId="21252" xr:uid="{00000000-0005-0000-0000-0000345A0000}"/>
    <cellStyle name="Hed Side Regular 3 6 4 3 2" xfId="21253" xr:uid="{00000000-0005-0000-0000-0000355A0000}"/>
    <cellStyle name="Hed Side Regular 3 6 4 4" xfId="21254" xr:uid="{00000000-0005-0000-0000-0000365A0000}"/>
    <cellStyle name="Hed Side Regular 3 6 4 4 2" xfId="21255" xr:uid="{00000000-0005-0000-0000-0000375A0000}"/>
    <cellStyle name="Hed Side Regular 3 6 4 5" xfId="21256" xr:uid="{00000000-0005-0000-0000-0000385A0000}"/>
    <cellStyle name="Hed Side Regular 3 6 4 5 2" xfId="21257" xr:uid="{00000000-0005-0000-0000-0000395A0000}"/>
    <cellStyle name="Hed Side Regular 3 6 4 6" xfId="21258" xr:uid="{00000000-0005-0000-0000-00003A5A0000}"/>
    <cellStyle name="Hed Side Regular 3 6 4 6 2" xfId="21259" xr:uid="{00000000-0005-0000-0000-00003B5A0000}"/>
    <cellStyle name="Hed Side Regular 3 6 4 7" xfId="21260" xr:uid="{00000000-0005-0000-0000-00003C5A0000}"/>
    <cellStyle name="Hed Side Regular 3 6 4 7 2" xfId="21261" xr:uid="{00000000-0005-0000-0000-00003D5A0000}"/>
    <cellStyle name="Hed Side Regular 3 6 4 8" xfId="21262" xr:uid="{00000000-0005-0000-0000-00003E5A0000}"/>
    <cellStyle name="Hed Side Regular 3 6 4 8 2" xfId="21263" xr:uid="{00000000-0005-0000-0000-00003F5A0000}"/>
    <cellStyle name="Hed Side Regular 3 6 4 9" xfId="21264" xr:uid="{00000000-0005-0000-0000-0000405A0000}"/>
    <cellStyle name="Hed Side Regular 3 6 4 9 2" xfId="21265" xr:uid="{00000000-0005-0000-0000-0000415A0000}"/>
    <cellStyle name="Hed Side Regular 3 6 5" xfId="21266" xr:uid="{00000000-0005-0000-0000-0000425A0000}"/>
    <cellStyle name="Hed Side Regular 3 6 5 10" xfId="21267" xr:uid="{00000000-0005-0000-0000-0000435A0000}"/>
    <cellStyle name="Hed Side Regular 3 6 5 2" xfId="21268" xr:uid="{00000000-0005-0000-0000-0000445A0000}"/>
    <cellStyle name="Hed Side Regular 3 6 5 2 2" xfId="21269" xr:uid="{00000000-0005-0000-0000-0000455A0000}"/>
    <cellStyle name="Hed Side Regular 3 6 5 3" xfId="21270" xr:uid="{00000000-0005-0000-0000-0000465A0000}"/>
    <cellStyle name="Hed Side Regular 3 6 5 3 2" xfId="21271" xr:uid="{00000000-0005-0000-0000-0000475A0000}"/>
    <cellStyle name="Hed Side Regular 3 6 5 4" xfId="21272" xr:uid="{00000000-0005-0000-0000-0000485A0000}"/>
    <cellStyle name="Hed Side Regular 3 6 5 4 2" xfId="21273" xr:uid="{00000000-0005-0000-0000-0000495A0000}"/>
    <cellStyle name="Hed Side Regular 3 6 5 5" xfId="21274" xr:uid="{00000000-0005-0000-0000-00004A5A0000}"/>
    <cellStyle name="Hed Side Regular 3 6 5 5 2" xfId="21275" xr:uid="{00000000-0005-0000-0000-00004B5A0000}"/>
    <cellStyle name="Hed Side Regular 3 6 5 6" xfId="21276" xr:uid="{00000000-0005-0000-0000-00004C5A0000}"/>
    <cellStyle name="Hed Side Regular 3 6 5 6 2" xfId="21277" xr:uid="{00000000-0005-0000-0000-00004D5A0000}"/>
    <cellStyle name="Hed Side Regular 3 6 5 7" xfId="21278" xr:uid="{00000000-0005-0000-0000-00004E5A0000}"/>
    <cellStyle name="Hed Side Regular 3 6 5 7 2" xfId="21279" xr:uid="{00000000-0005-0000-0000-00004F5A0000}"/>
    <cellStyle name="Hed Side Regular 3 6 5 8" xfId="21280" xr:uid="{00000000-0005-0000-0000-0000505A0000}"/>
    <cellStyle name="Hed Side Regular 3 6 5 8 2" xfId="21281" xr:uid="{00000000-0005-0000-0000-0000515A0000}"/>
    <cellStyle name="Hed Side Regular 3 6 5 9" xfId="21282" xr:uid="{00000000-0005-0000-0000-0000525A0000}"/>
    <cellStyle name="Hed Side Regular 3 6 5 9 2" xfId="21283" xr:uid="{00000000-0005-0000-0000-0000535A0000}"/>
    <cellStyle name="Hed Side Regular 3 6 6" xfId="21284" xr:uid="{00000000-0005-0000-0000-0000545A0000}"/>
    <cellStyle name="Hed Side Regular 3 6 6 10" xfId="21285" xr:uid="{00000000-0005-0000-0000-0000555A0000}"/>
    <cellStyle name="Hed Side Regular 3 6 6 2" xfId="21286" xr:uid="{00000000-0005-0000-0000-0000565A0000}"/>
    <cellStyle name="Hed Side Regular 3 6 6 2 2" xfId="21287" xr:uid="{00000000-0005-0000-0000-0000575A0000}"/>
    <cellStyle name="Hed Side Regular 3 6 6 3" xfId="21288" xr:uid="{00000000-0005-0000-0000-0000585A0000}"/>
    <cellStyle name="Hed Side Regular 3 6 6 3 2" xfId="21289" xr:uid="{00000000-0005-0000-0000-0000595A0000}"/>
    <cellStyle name="Hed Side Regular 3 6 6 4" xfId="21290" xr:uid="{00000000-0005-0000-0000-00005A5A0000}"/>
    <cellStyle name="Hed Side Regular 3 6 6 4 2" xfId="21291" xr:uid="{00000000-0005-0000-0000-00005B5A0000}"/>
    <cellStyle name="Hed Side Regular 3 6 6 5" xfId="21292" xr:uid="{00000000-0005-0000-0000-00005C5A0000}"/>
    <cellStyle name="Hed Side Regular 3 6 6 5 2" xfId="21293" xr:uid="{00000000-0005-0000-0000-00005D5A0000}"/>
    <cellStyle name="Hed Side Regular 3 6 6 6" xfId="21294" xr:uid="{00000000-0005-0000-0000-00005E5A0000}"/>
    <cellStyle name="Hed Side Regular 3 6 6 6 2" xfId="21295" xr:uid="{00000000-0005-0000-0000-00005F5A0000}"/>
    <cellStyle name="Hed Side Regular 3 6 6 7" xfId="21296" xr:uid="{00000000-0005-0000-0000-0000605A0000}"/>
    <cellStyle name="Hed Side Regular 3 6 6 7 2" xfId="21297" xr:uid="{00000000-0005-0000-0000-0000615A0000}"/>
    <cellStyle name="Hed Side Regular 3 6 6 8" xfId="21298" xr:uid="{00000000-0005-0000-0000-0000625A0000}"/>
    <cellStyle name="Hed Side Regular 3 6 6 8 2" xfId="21299" xr:uid="{00000000-0005-0000-0000-0000635A0000}"/>
    <cellStyle name="Hed Side Regular 3 6 6 9" xfId="21300" xr:uid="{00000000-0005-0000-0000-0000645A0000}"/>
    <cellStyle name="Hed Side Regular 3 6 6 9 2" xfId="21301" xr:uid="{00000000-0005-0000-0000-0000655A0000}"/>
    <cellStyle name="Hed Side Regular 3 6 7" xfId="21302" xr:uid="{00000000-0005-0000-0000-0000665A0000}"/>
    <cellStyle name="Hed Side Regular 3 6 7 10" xfId="21303" xr:uid="{00000000-0005-0000-0000-0000675A0000}"/>
    <cellStyle name="Hed Side Regular 3 6 7 2" xfId="21304" xr:uid="{00000000-0005-0000-0000-0000685A0000}"/>
    <cellStyle name="Hed Side Regular 3 6 7 2 2" xfId="21305" xr:uid="{00000000-0005-0000-0000-0000695A0000}"/>
    <cellStyle name="Hed Side Regular 3 6 7 3" xfId="21306" xr:uid="{00000000-0005-0000-0000-00006A5A0000}"/>
    <cellStyle name="Hed Side Regular 3 6 7 3 2" xfId="21307" xr:uid="{00000000-0005-0000-0000-00006B5A0000}"/>
    <cellStyle name="Hed Side Regular 3 6 7 4" xfId="21308" xr:uid="{00000000-0005-0000-0000-00006C5A0000}"/>
    <cellStyle name="Hed Side Regular 3 6 7 4 2" xfId="21309" xr:uid="{00000000-0005-0000-0000-00006D5A0000}"/>
    <cellStyle name="Hed Side Regular 3 6 7 5" xfId="21310" xr:uid="{00000000-0005-0000-0000-00006E5A0000}"/>
    <cellStyle name="Hed Side Regular 3 6 7 5 2" xfId="21311" xr:uid="{00000000-0005-0000-0000-00006F5A0000}"/>
    <cellStyle name="Hed Side Regular 3 6 7 6" xfId="21312" xr:uid="{00000000-0005-0000-0000-0000705A0000}"/>
    <cellStyle name="Hed Side Regular 3 6 7 6 2" xfId="21313" xr:uid="{00000000-0005-0000-0000-0000715A0000}"/>
    <cellStyle name="Hed Side Regular 3 6 7 7" xfId="21314" xr:uid="{00000000-0005-0000-0000-0000725A0000}"/>
    <cellStyle name="Hed Side Regular 3 6 7 7 2" xfId="21315" xr:uid="{00000000-0005-0000-0000-0000735A0000}"/>
    <cellStyle name="Hed Side Regular 3 6 7 8" xfId="21316" xr:uid="{00000000-0005-0000-0000-0000745A0000}"/>
    <cellStyle name="Hed Side Regular 3 6 7 8 2" xfId="21317" xr:uid="{00000000-0005-0000-0000-0000755A0000}"/>
    <cellStyle name="Hed Side Regular 3 6 7 9" xfId="21318" xr:uid="{00000000-0005-0000-0000-0000765A0000}"/>
    <cellStyle name="Hed Side Regular 3 6 7 9 2" xfId="21319" xr:uid="{00000000-0005-0000-0000-0000775A0000}"/>
    <cellStyle name="Hed Side Regular 3 6 8" xfId="21320" xr:uid="{00000000-0005-0000-0000-0000785A0000}"/>
    <cellStyle name="Hed Side Regular 3 6 8 10" xfId="21321" xr:uid="{00000000-0005-0000-0000-0000795A0000}"/>
    <cellStyle name="Hed Side Regular 3 6 8 2" xfId="21322" xr:uid="{00000000-0005-0000-0000-00007A5A0000}"/>
    <cellStyle name="Hed Side Regular 3 6 8 2 2" xfId="21323" xr:uid="{00000000-0005-0000-0000-00007B5A0000}"/>
    <cellStyle name="Hed Side Regular 3 6 8 3" xfId="21324" xr:uid="{00000000-0005-0000-0000-00007C5A0000}"/>
    <cellStyle name="Hed Side Regular 3 6 8 3 2" xfId="21325" xr:uid="{00000000-0005-0000-0000-00007D5A0000}"/>
    <cellStyle name="Hed Side Regular 3 6 8 4" xfId="21326" xr:uid="{00000000-0005-0000-0000-00007E5A0000}"/>
    <cellStyle name="Hed Side Regular 3 6 8 4 2" xfId="21327" xr:uid="{00000000-0005-0000-0000-00007F5A0000}"/>
    <cellStyle name="Hed Side Regular 3 6 8 5" xfId="21328" xr:uid="{00000000-0005-0000-0000-0000805A0000}"/>
    <cellStyle name="Hed Side Regular 3 6 8 5 2" xfId="21329" xr:uid="{00000000-0005-0000-0000-0000815A0000}"/>
    <cellStyle name="Hed Side Regular 3 6 8 6" xfId="21330" xr:uid="{00000000-0005-0000-0000-0000825A0000}"/>
    <cellStyle name="Hed Side Regular 3 6 8 6 2" xfId="21331" xr:uid="{00000000-0005-0000-0000-0000835A0000}"/>
    <cellStyle name="Hed Side Regular 3 6 8 7" xfId="21332" xr:uid="{00000000-0005-0000-0000-0000845A0000}"/>
    <cellStyle name="Hed Side Regular 3 6 8 7 2" xfId="21333" xr:uid="{00000000-0005-0000-0000-0000855A0000}"/>
    <cellStyle name="Hed Side Regular 3 6 8 8" xfId="21334" xr:uid="{00000000-0005-0000-0000-0000865A0000}"/>
    <cellStyle name="Hed Side Regular 3 6 8 8 2" xfId="21335" xr:uid="{00000000-0005-0000-0000-0000875A0000}"/>
    <cellStyle name="Hed Side Regular 3 6 8 9" xfId="21336" xr:uid="{00000000-0005-0000-0000-0000885A0000}"/>
    <cellStyle name="Hed Side Regular 3 6 8 9 2" xfId="21337" xr:uid="{00000000-0005-0000-0000-0000895A0000}"/>
    <cellStyle name="Hed Side Regular 3 6 9" xfId="21338" xr:uid="{00000000-0005-0000-0000-00008A5A0000}"/>
    <cellStyle name="Hed Side Regular 3 6 9 10" xfId="21339" xr:uid="{00000000-0005-0000-0000-00008B5A0000}"/>
    <cellStyle name="Hed Side Regular 3 6 9 2" xfId="21340" xr:uid="{00000000-0005-0000-0000-00008C5A0000}"/>
    <cellStyle name="Hed Side Regular 3 6 9 2 2" xfId="21341" xr:uid="{00000000-0005-0000-0000-00008D5A0000}"/>
    <cellStyle name="Hed Side Regular 3 6 9 3" xfId="21342" xr:uid="{00000000-0005-0000-0000-00008E5A0000}"/>
    <cellStyle name="Hed Side Regular 3 6 9 3 2" xfId="21343" xr:uid="{00000000-0005-0000-0000-00008F5A0000}"/>
    <cellStyle name="Hed Side Regular 3 6 9 4" xfId="21344" xr:uid="{00000000-0005-0000-0000-0000905A0000}"/>
    <cellStyle name="Hed Side Regular 3 6 9 4 2" xfId="21345" xr:uid="{00000000-0005-0000-0000-0000915A0000}"/>
    <cellStyle name="Hed Side Regular 3 6 9 5" xfId="21346" xr:uid="{00000000-0005-0000-0000-0000925A0000}"/>
    <cellStyle name="Hed Side Regular 3 6 9 5 2" xfId="21347" xr:uid="{00000000-0005-0000-0000-0000935A0000}"/>
    <cellStyle name="Hed Side Regular 3 6 9 6" xfId="21348" xr:uid="{00000000-0005-0000-0000-0000945A0000}"/>
    <cellStyle name="Hed Side Regular 3 6 9 6 2" xfId="21349" xr:uid="{00000000-0005-0000-0000-0000955A0000}"/>
    <cellStyle name="Hed Side Regular 3 6 9 7" xfId="21350" xr:uid="{00000000-0005-0000-0000-0000965A0000}"/>
    <cellStyle name="Hed Side Regular 3 6 9 7 2" xfId="21351" xr:uid="{00000000-0005-0000-0000-0000975A0000}"/>
    <cellStyle name="Hed Side Regular 3 6 9 8" xfId="21352" xr:uid="{00000000-0005-0000-0000-0000985A0000}"/>
    <cellStyle name="Hed Side Regular 3 6 9 8 2" xfId="21353" xr:uid="{00000000-0005-0000-0000-0000995A0000}"/>
    <cellStyle name="Hed Side Regular 3 6 9 9" xfId="21354" xr:uid="{00000000-0005-0000-0000-00009A5A0000}"/>
    <cellStyle name="Hed Side Regular 3 6 9 9 2" xfId="21355" xr:uid="{00000000-0005-0000-0000-00009B5A0000}"/>
    <cellStyle name="Hed Side Regular 3 7" xfId="21356" xr:uid="{00000000-0005-0000-0000-00009C5A0000}"/>
    <cellStyle name="Hed Side Regular 3 7 10" xfId="21357" xr:uid="{00000000-0005-0000-0000-00009D5A0000}"/>
    <cellStyle name="Hed Side Regular 3 7 10 2" xfId="21358" xr:uid="{00000000-0005-0000-0000-00009E5A0000}"/>
    <cellStyle name="Hed Side Regular 3 7 10 2 2" xfId="21359" xr:uid="{00000000-0005-0000-0000-00009F5A0000}"/>
    <cellStyle name="Hed Side Regular 3 7 10 3" xfId="21360" xr:uid="{00000000-0005-0000-0000-0000A05A0000}"/>
    <cellStyle name="Hed Side Regular 3 7 10 3 2" xfId="21361" xr:uid="{00000000-0005-0000-0000-0000A15A0000}"/>
    <cellStyle name="Hed Side Regular 3 7 10 4" xfId="21362" xr:uid="{00000000-0005-0000-0000-0000A25A0000}"/>
    <cellStyle name="Hed Side Regular 3 7 10 4 2" xfId="21363" xr:uid="{00000000-0005-0000-0000-0000A35A0000}"/>
    <cellStyle name="Hed Side Regular 3 7 10 5" xfId="21364" xr:uid="{00000000-0005-0000-0000-0000A45A0000}"/>
    <cellStyle name="Hed Side Regular 3 7 10 5 2" xfId="21365" xr:uid="{00000000-0005-0000-0000-0000A55A0000}"/>
    <cellStyle name="Hed Side Regular 3 7 10 6" xfId="21366" xr:uid="{00000000-0005-0000-0000-0000A65A0000}"/>
    <cellStyle name="Hed Side Regular 3 7 10 6 2" xfId="21367" xr:uid="{00000000-0005-0000-0000-0000A75A0000}"/>
    <cellStyle name="Hed Side Regular 3 7 10 7" xfId="21368" xr:uid="{00000000-0005-0000-0000-0000A85A0000}"/>
    <cellStyle name="Hed Side Regular 3 7 10 7 2" xfId="21369" xr:uid="{00000000-0005-0000-0000-0000A95A0000}"/>
    <cellStyle name="Hed Side Regular 3 7 10 8" xfId="21370" xr:uid="{00000000-0005-0000-0000-0000AA5A0000}"/>
    <cellStyle name="Hed Side Regular 3 7 10 8 2" xfId="21371" xr:uid="{00000000-0005-0000-0000-0000AB5A0000}"/>
    <cellStyle name="Hed Side Regular 3 7 10 9" xfId="21372" xr:uid="{00000000-0005-0000-0000-0000AC5A0000}"/>
    <cellStyle name="Hed Side Regular 3 7 11" xfId="21373" xr:uid="{00000000-0005-0000-0000-0000AD5A0000}"/>
    <cellStyle name="Hed Side Regular 3 7 11 2" xfId="21374" xr:uid="{00000000-0005-0000-0000-0000AE5A0000}"/>
    <cellStyle name="Hed Side Regular 3 7 12" xfId="21375" xr:uid="{00000000-0005-0000-0000-0000AF5A0000}"/>
    <cellStyle name="Hed Side Regular 3 7 12 2" xfId="21376" xr:uid="{00000000-0005-0000-0000-0000B05A0000}"/>
    <cellStyle name="Hed Side Regular 3 7 13" xfId="21377" xr:uid="{00000000-0005-0000-0000-0000B15A0000}"/>
    <cellStyle name="Hed Side Regular 3 7 13 2" xfId="21378" xr:uid="{00000000-0005-0000-0000-0000B25A0000}"/>
    <cellStyle name="Hed Side Regular 3 7 14" xfId="21379" xr:uid="{00000000-0005-0000-0000-0000B35A0000}"/>
    <cellStyle name="Hed Side Regular 3 7 14 2" xfId="21380" xr:uid="{00000000-0005-0000-0000-0000B45A0000}"/>
    <cellStyle name="Hed Side Regular 3 7 15" xfId="21381" xr:uid="{00000000-0005-0000-0000-0000B55A0000}"/>
    <cellStyle name="Hed Side Regular 3 7 15 2" xfId="21382" xr:uid="{00000000-0005-0000-0000-0000B65A0000}"/>
    <cellStyle name="Hed Side Regular 3 7 16" xfId="21383" xr:uid="{00000000-0005-0000-0000-0000B75A0000}"/>
    <cellStyle name="Hed Side Regular 3 7 16 2" xfId="21384" xr:uid="{00000000-0005-0000-0000-0000B85A0000}"/>
    <cellStyle name="Hed Side Regular 3 7 17" xfId="21385" xr:uid="{00000000-0005-0000-0000-0000B95A0000}"/>
    <cellStyle name="Hed Side Regular 3 7 17 2" xfId="21386" xr:uid="{00000000-0005-0000-0000-0000BA5A0000}"/>
    <cellStyle name="Hed Side Regular 3 7 18" xfId="21387" xr:uid="{00000000-0005-0000-0000-0000BB5A0000}"/>
    <cellStyle name="Hed Side Regular 3 7 2" xfId="21388" xr:uid="{00000000-0005-0000-0000-0000BC5A0000}"/>
    <cellStyle name="Hed Side Regular 3 7 2 10" xfId="21389" xr:uid="{00000000-0005-0000-0000-0000BD5A0000}"/>
    <cellStyle name="Hed Side Regular 3 7 2 2" xfId="21390" xr:uid="{00000000-0005-0000-0000-0000BE5A0000}"/>
    <cellStyle name="Hed Side Regular 3 7 2 2 2" xfId="21391" xr:uid="{00000000-0005-0000-0000-0000BF5A0000}"/>
    <cellStyle name="Hed Side Regular 3 7 2 3" xfId="21392" xr:uid="{00000000-0005-0000-0000-0000C05A0000}"/>
    <cellStyle name="Hed Side Regular 3 7 2 3 2" xfId="21393" xr:uid="{00000000-0005-0000-0000-0000C15A0000}"/>
    <cellStyle name="Hed Side Regular 3 7 2 4" xfId="21394" xr:uid="{00000000-0005-0000-0000-0000C25A0000}"/>
    <cellStyle name="Hed Side Regular 3 7 2 4 2" xfId="21395" xr:uid="{00000000-0005-0000-0000-0000C35A0000}"/>
    <cellStyle name="Hed Side Regular 3 7 2 5" xfId="21396" xr:uid="{00000000-0005-0000-0000-0000C45A0000}"/>
    <cellStyle name="Hed Side Regular 3 7 2 5 2" xfId="21397" xr:uid="{00000000-0005-0000-0000-0000C55A0000}"/>
    <cellStyle name="Hed Side Regular 3 7 2 6" xfId="21398" xr:uid="{00000000-0005-0000-0000-0000C65A0000}"/>
    <cellStyle name="Hed Side Regular 3 7 2 6 2" xfId="21399" xr:uid="{00000000-0005-0000-0000-0000C75A0000}"/>
    <cellStyle name="Hed Side Regular 3 7 2 7" xfId="21400" xr:uid="{00000000-0005-0000-0000-0000C85A0000}"/>
    <cellStyle name="Hed Side Regular 3 7 2 7 2" xfId="21401" xr:uid="{00000000-0005-0000-0000-0000C95A0000}"/>
    <cellStyle name="Hed Side Regular 3 7 2 8" xfId="21402" xr:uid="{00000000-0005-0000-0000-0000CA5A0000}"/>
    <cellStyle name="Hed Side Regular 3 7 2 8 2" xfId="21403" xr:uid="{00000000-0005-0000-0000-0000CB5A0000}"/>
    <cellStyle name="Hed Side Regular 3 7 2 9" xfId="21404" xr:uid="{00000000-0005-0000-0000-0000CC5A0000}"/>
    <cellStyle name="Hed Side Regular 3 7 2 9 2" xfId="21405" xr:uid="{00000000-0005-0000-0000-0000CD5A0000}"/>
    <cellStyle name="Hed Side Regular 3 7 3" xfId="21406" xr:uid="{00000000-0005-0000-0000-0000CE5A0000}"/>
    <cellStyle name="Hed Side Regular 3 7 3 10" xfId="21407" xr:uid="{00000000-0005-0000-0000-0000CF5A0000}"/>
    <cellStyle name="Hed Side Regular 3 7 3 2" xfId="21408" xr:uid="{00000000-0005-0000-0000-0000D05A0000}"/>
    <cellStyle name="Hed Side Regular 3 7 3 2 2" xfId="21409" xr:uid="{00000000-0005-0000-0000-0000D15A0000}"/>
    <cellStyle name="Hed Side Regular 3 7 3 3" xfId="21410" xr:uid="{00000000-0005-0000-0000-0000D25A0000}"/>
    <cellStyle name="Hed Side Regular 3 7 3 3 2" xfId="21411" xr:uid="{00000000-0005-0000-0000-0000D35A0000}"/>
    <cellStyle name="Hed Side Regular 3 7 3 4" xfId="21412" xr:uid="{00000000-0005-0000-0000-0000D45A0000}"/>
    <cellStyle name="Hed Side Regular 3 7 3 4 2" xfId="21413" xr:uid="{00000000-0005-0000-0000-0000D55A0000}"/>
    <cellStyle name="Hed Side Regular 3 7 3 5" xfId="21414" xr:uid="{00000000-0005-0000-0000-0000D65A0000}"/>
    <cellStyle name="Hed Side Regular 3 7 3 5 2" xfId="21415" xr:uid="{00000000-0005-0000-0000-0000D75A0000}"/>
    <cellStyle name="Hed Side Regular 3 7 3 6" xfId="21416" xr:uid="{00000000-0005-0000-0000-0000D85A0000}"/>
    <cellStyle name="Hed Side Regular 3 7 3 6 2" xfId="21417" xr:uid="{00000000-0005-0000-0000-0000D95A0000}"/>
    <cellStyle name="Hed Side Regular 3 7 3 7" xfId="21418" xr:uid="{00000000-0005-0000-0000-0000DA5A0000}"/>
    <cellStyle name="Hed Side Regular 3 7 3 7 2" xfId="21419" xr:uid="{00000000-0005-0000-0000-0000DB5A0000}"/>
    <cellStyle name="Hed Side Regular 3 7 3 8" xfId="21420" xr:uid="{00000000-0005-0000-0000-0000DC5A0000}"/>
    <cellStyle name="Hed Side Regular 3 7 3 8 2" xfId="21421" xr:uid="{00000000-0005-0000-0000-0000DD5A0000}"/>
    <cellStyle name="Hed Side Regular 3 7 3 9" xfId="21422" xr:uid="{00000000-0005-0000-0000-0000DE5A0000}"/>
    <cellStyle name="Hed Side Regular 3 7 3 9 2" xfId="21423" xr:uid="{00000000-0005-0000-0000-0000DF5A0000}"/>
    <cellStyle name="Hed Side Regular 3 7 4" xfId="21424" xr:uid="{00000000-0005-0000-0000-0000E05A0000}"/>
    <cellStyle name="Hed Side Regular 3 7 4 10" xfId="21425" xr:uid="{00000000-0005-0000-0000-0000E15A0000}"/>
    <cellStyle name="Hed Side Regular 3 7 4 2" xfId="21426" xr:uid="{00000000-0005-0000-0000-0000E25A0000}"/>
    <cellStyle name="Hed Side Regular 3 7 4 2 2" xfId="21427" xr:uid="{00000000-0005-0000-0000-0000E35A0000}"/>
    <cellStyle name="Hed Side Regular 3 7 4 3" xfId="21428" xr:uid="{00000000-0005-0000-0000-0000E45A0000}"/>
    <cellStyle name="Hed Side Regular 3 7 4 3 2" xfId="21429" xr:uid="{00000000-0005-0000-0000-0000E55A0000}"/>
    <cellStyle name="Hed Side Regular 3 7 4 4" xfId="21430" xr:uid="{00000000-0005-0000-0000-0000E65A0000}"/>
    <cellStyle name="Hed Side Regular 3 7 4 4 2" xfId="21431" xr:uid="{00000000-0005-0000-0000-0000E75A0000}"/>
    <cellStyle name="Hed Side Regular 3 7 4 5" xfId="21432" xr:uid="{00000000-0005-0000-0000-0000E85A0000}"/>
    <cellStyle name="Hed Side Regular 3 7 4 5 2" xfId="21433" xr:uid="{00000000-0005-0000-0000-0000E95A0000}"/>
    <cellStyle name="Hed Side Regular 3 7 4 6" xfId="21434" xr:uid="{00000000-0005-0000-0000-0000EA5A0000}"/>
    <cellStyle name="Hed Side Regular 3 7 4 6 2" xfId="21435" xr:uid="{00000000-0005-0000-0000-0000EB5A0000}"/>
    <cellStyle name="Hed Side Regular 3 7 4 7" xfId="21436" xr:uid="{00000000-0005-0000-0000-0000EC5A0000}"/>
    <cellStyle name="Hed Side Regular 3 7 4 7 2" xfId="21437" xr:uid="{00000000-0005-0000-0000-0000ED5A0000}"/>
    <cellStyle name="Hed Side Regular 3 7 4 8" xfId="21438" xr:uid="{00000000-0005-0000-0000-0000EE5A0000}"/>
    <cellStyle name="Hed Side Regular 3 7 4 8 2" xfId="21439" xr:uid="{00000000-0005-0000-0000-0000EF5A0000}"/>
    <cellStyle name="Hed Side Regular 3 7 4 9" xfId="21440" xr:uid="{00000000-0005-0000-0000-0000F05A0000}"/>
    <cellStyle name="Hed Side Regular 3 7 4 9 2" xfId="21441" xr:uid="{00000000-0005-0000-0000-0000F15A0000}"/>
    <cellStyle name="Hed Side Regular 3 7 5" xfId="21442" xr:uid="{00000000-0005-0000-0000-0000F25A0000}"/>
    <cellStyle name="Hed Side Regular 3 7 5 10" xfId="21443" xr:uid="{00000000-0005-0000-0000-0000F35A0000}"/>
    <cellStyle name="Hed Side Regular 3 7 5 2" xfId="21444" xr:uid="{00000000-0005-0000-0000-0000F45A0000}"/>
    <cellStyle name="Hed Side Regular 3 7 5 2 2" xfId="21445" xr:uid="{00000000-0005-0000-0000-0000F55A0000}"/>
    <cellStyle name="Hed Side Regular 3 7 5 3" xfId="21446" xr:uid="{00000000-0005-0000-0000-0000F65A0000}"/>
    <cellStyle name="Hed Side Regular 3 7 5 3 2" xfId="21447" xr:uid="{00000000-0005-0000-0000-0000F75A0000}"/>
    <cellStyle name="Hed Side Regular 3 7 5 4" xfId="21448" xr:uid="{00000000-0005-0000-0000-0000F85A0000}"/>
    <cellStyle name="Hed Side Regular 3 7 5 4 2" xfId="21449" xr:uid="{00000000-0005-0000-0000-0000F95A0000}"/>
    <cellStyle name="Hed Side Regular 3 7 5 5" xfId="21450" xr:uid="{00000000-0005-0000-0000-0000FA5A0000}"/>
    <cellStyle name="Hed Side Regular 3 7 5 5 2" xfId="21451" xr:uid="{00000000-0005-0000-0000-0000FB5A0000}"/>
    <cellStyle name="Hed Side Regular 3 7 5 6" xfId="21452" xr:uid="{00000000-0005-0000-0000-0000FC5A0000}"/>
    <cellStyle name="Hed Side Regular 3 7 5 6 2" xfId="21453" xr:uid="{00000000-0005-0000-0000-0000FD5A0000}"/>
    <cellStyle name="Hed Side Regular 3 7 5 7" xfId="21454" xr:uid="{00000000-0005-0000-0000-0000FE5A0000}"/>
    <cellStyle name="Hed Side Regular 3 7 5 7 2" xfId="21455" xr:uid="{00000000-0005-0000-0000-0000FF5A0000}"/>
    <cellStyle name="Hed Side Regular 3 7 5 8" xfId="21456" xr:uid="{00000000-0005-0000-0000-0000005B0000}"/>
    <cellStyle name="Hed Side Regular 3 7 5 8 2" xfId="21457" xr:uid="{00000000-0005-0000-0000-0000015B0000}"/>
    <cellStyle name="Hed Side Regular 3 7 5 9" xfId="21458" xr:uid="{00000000-0005-0000-0000-0000025B0000}"/>
    <cellStyle name="Hed Side Regular 3 7 5 9 2" xfId="21459" xr:uid="{00000000-0005-0000-0000-0000035B0000}"/>
    <cellStyle name="Hed Side Regular 3 7 6" xfId="21460" xr:uid="{00000000-0005-0000-0000-0000045B0000}"/>
    <cellStyle name="Hed Side Regular 3 7 6 10" xfId="21461" xr:uid="{00000000-0005-0000-0000-0000055B0000}"/>
    <cellStyle name="Hed Side Regular 3 7 6 2" xfId="21462" xr:uid="{00000000-0005-0000-0000-0000065B0000}"/>
    <cellStyle name="Hed Side Regular 3 7 6 2 2" xfId="21463" xr:uid="{00000000-0005-0000-0000-0000075B0000}"/>
    <cellStyle name="Hed Side Regular 3 7 6 3" xfId="21464" xr:uid="{00000000-0005-0000-0000-0000085B0000}"/>
    <cellStyle name="Hed Side Regular 3 7 6 3 2" xfId="21465" xr:uid="{00000000-0005-0000-0000-0000095B0000}"/>
    <cellStyle name="Hed Side Regular 3 7 6 4" xfId="21466" xr:uid="{00000000-0005-0000-0000-00000A5B0000}"/>
    <cellStyle name="Hed Side Regular 3 7 6 4 2" xfId="21467" xr:uid="{00000000-0005-0000-0000-00000B5B0000}"/>
    <cellStyle name="Hed Side Regular 3 7 6 5" xfId="21468" xr:uid="{00000000-0005-0000-0000-00000C5B0000}"/>
    <cellStyle name="Hed Side Regular 3 7 6 5 2" xfId="21469" xr:uid="{00000000-0005-0000-0000-00000D5B0000}"/>
    <cellStyle name="Hed Side Regular 3 7 6 6" xfId="21470" xr:uid="{00000000-0005-0000-0000-00000E5B0000}"/>
    <cellStyle name="Hed Side Regular 3 7 6 6 2" xfId="21471" xr:uid="{00000000-0005-0000-0000-00000F5B0000}"/>
    <cellStyle name="Hed Side Regular 3 7 6 7" xfId="21472" xr:uid="{00000000-0005-0000-0000-0000105B0000}"/>
    <cellStyle name="Hed Side Regular 3 7 6 7 2" xfId="21473" xr:uid="{00000000-0005-0000-0000-0000115B0000}"/>
    <cellStyle name="Hed Side Regular 3 7 6 8" xfId="21474" xr:uid="{00000000-0005-0000-0000-0000125B0000}"/>
    <cellStyle name="Hed Side Regular 3 7 6 8 2" xfId="21475" xr:uid="{00000000-0005-0000-0000-0000135B0000}"/>
    <cellStyle name="Hed Side Regular 3 7 6 9" xfId="21476" xr:uid="{00000000-0005-0000-0000-0000145B0000}"/>
    <cellStyle name="Hed Side Regular 3 7 6 9 2" xfId="21477" xr:uid="{00000000-0005-0000-0000-0000155B0000}"/>
    <cellStyle name="Hed Side Regular 3 7 7" xfId="21478" xr:uid="{00000000-0005-0000-0000-0000165B0000}"/>
    <cellStyle name="Hed Side Regular 3 7 7 10" xfId="21479" xr:uid="{00000000-0005-0000-0000-0000175B0000}"/>
    <cellStyle name="Hed Side Regular 3 7 7 2" xfId="21480" xr:uid="{00000000-0005-0000-0000-0000185B0000}"/>
    <cellStyle name="Hed Side Regular 3 7 7 2 2" xfId="21481" xr:uid="{00000000-0005-0000-0000-0000195B0000}"/>
    <cellStyle name="Hed Side Regular 3 7 7 3" xfId="21482" xr:uid="{00000000-0005-0000-0000-00001A5B0000}"/>
    <cellStyle name="Hed Side Regular 3 7 7 3 2" xfId="21483" xr:uid="{00000000-0005-0000-0000-00001B5B0000}"/>
    <cellStyle name="Hed Side Regular 3 7 7 4" xfId="21484" xr:uid="{00000000-0005-0000-0000-00001C5B0000}"/>
    <cellStyle name="Hed Side Regular 3 7 7 4 2" xfId="21485" xr:uid="{00000000-0005-0000-0000-00001D5B0000}"/>
    <cellStyle name="Hed Side Regular 3 7 7 5" xfId="21486" xr:uid="{00000000-0005-0000-0000-00001E5B0000}"/>
    <cellStyle name="Hed Side Regular 3 7 7 5 2" xfId="21487" xr:uid="{00000000-0005-0000-0000-00001F5B0000}"/>
    <cellStyle name="Hed Side Regular 3 7 7 6" xfId="21488" xr:uid="{00000000-0005-0000-0000-0000205B0000}"/>
    <cellStyle name="Hed Side Regular 3 7 7 6 2" xfId="21489" xr:uid="{00000000-0005-0000-0000-0000215B0000}"/>
    <cellStyle name="Hed Side Regular 3 7 7 7" xfId="21490" xr:uid="{00000000-0005-0000-0000-0000225B0000}"/>
    <cellStyle name="Hed Side Regular 3 7 7 7 2" xfId="21491" xr:uid="{00000000-0005-0000-0000-0000235B0000}"/>
    <cellStyle name="Hed Side Regular 3 7 7 8" xfId="21492" xr:uid="{00000000-0005-0000-0000-0000245B0000}"/>
    <cellStyle name="Hed Side Regular 3 7 7 8 2" xfId="21493" xr:uid="{00000000-0005-0000-0000-0000255B0000}"/>
    <cellStyle name="Hed Side Regular 3 7 7 9" xfId="21494" xr:uid="{00000000-0005-0000-0000-0000265B0000}"/>
    <cellStyle name="Hed Side Regular 3 7 7 9 2" xfId="21495" xr:uid="{00000000-0005-0000-0000-0000275B0000}"/>
    <cellStyle name="Hed Side Regular 3 7 8" xfId="21496" xr:uid="{00000000-0005-0000-0000-0000285B0000}"/>
    <cellStyle name="Hed Side Regular 3 7 8 10" xfId="21497" xr:uid="{00000000-0005-0000-0000-0000295B0000}"/>
    <cellStyle name="Hed Side Regular 3 7 8 2" xfId="21498" xr:uid="{00000000-0005-0000-0000-00002A5B0000}"/>
    <cellStyle name="Hed Side Regular 3 7 8 2 2" xfId="21499" xr:uid="{00000000-0005-0000-0000-00002B5B0000}"/>
    <cellStyle name="Hed Side Regular 3 7 8 3" xfId="21500" xr:uid="{00000000-0005-0000-0000-00002C5B0000}"/>
    <cellStyle name="Hed Side Regular 3 7 8 3 2" xfId="21501" xr:uid="{00000000-0005-0000-0000-00002D5B0000}"/>
    <cellStyle name="Hed Side Regular 3 7 8 4" xfId="21502" xr:uid="{00000000-0005-0000-0000-00002E5B0000}"/>
    <cellStyle name="Hed Side Regular 3 7 8 4 2" xfId="21503" xr:uid="{00000000-0005-0000-0000-00002F5B0000}"/>
    <cellStyle name="Hed Side Regular 3 7 8 5" xfId="21504" xr:uid="{00000000-0005-0000-0000-0000305B0000}"/>
    <cellStyle name="Hed Side Regular 3 7 8 5 2" xfId="21505" xr:uid="{00000000-0005-0000-0000-0000315B0000}"/>
    <cellStyle name="Hed Side Regular 3 7 8 6" xfId="21506" xr:uid="{00000000-0005-0000-0000-0000325B0000}"/>
    <cellStyle name="Hed Side Regular 3 7 8 6 2" xfId="21507" xr:uid="{00000000-0005-0000-0000-0000335B0000}"/>
    <cellStyle name="Hed Side Regular 3 7 8 7" xfId="21508" xr:uid="{00000000-0005-0000-0000-0000345B0000}"/>
    <cellStyle name="Hed Side Regular 3 7 8 7 2" xfId="21509" xr:uid="{00000000-0005-0000-0000-0000355B0000}"/>
    <cellStyle name="Hed Side Regular 3 7 8 8" xfId="21510" xr:uid="{00000000-0005-0000-0000-0000365B0000}"/>
    <cellStyle name="Hed Side Regular 3 7 8 8 2" xfId="21511" xr:uid="{00000000-0005-0000-0000-0000375B0000}"/>
    <cellStyle name="Hed Side Regular 3 7 8 9" xfId="21512" xr:uid="{00000000-0005-0000-0000-0000385B0000}"/>
    <cellStyle name="Hed Side Regular 3 7 8 9 2" xfId="21513" xr:uid="{00000000-0005-0000-0000-0000395B0000}"/>
    <cellStyle name="Hed Side Regular 3 7 9" xfId="21514" xr:uid="{00000000-0005-0000-0000-00003A5B0000}"/>
    <cellStyle name="Hed Side Regular 3 7 9 10" xfId="21515" xr:uid="{00000000-0005-0000-0000-00003B5B0000}"/>
    <cellStyle name="Hed Side Regular 3 7 9 2" xfId="21516" xr:uid="{00000000-0005-0000-0000-00003C5B0000}"/>
    <cellStyle name="Hed Side Regular 3 7 9 2 2" xfId="21517" xr:uid="{00000000-0005-0000-0000-00003D5B0000}"/>
    <cellStyle name="Hed Side Regular 3 7 9 3" xfId="21518" xr:uid="{00000000-0005-0000-0000-00003E5B0000}"/>
    <cellStyle name="Hed Side Regular 3 7 9 3 2" xfId="21519" xr:uid="{00000000-0005-0000-0000-00003F5B0000}"/>
    <cellStyle name="Hed Side Regular 3 7 9 4" xfId="21520" xr:uid="{00000000-0005-0000-0000-0000405B0000}"/>
    <cellStyle name="Hed Side Regular 3 7 9 4 2" xfId="21521" xr:uid="{00000000-0005-0000-0000-0000415B0000}"/>
    <cellStyle name="Hed Side Regular 3 7 9 5" xfId="21522" xr:uid="{00000000-0005-0000-0000-0000425B0000}"/>
    <cellStyle name="Hed Side Regular 3 7 9 5 2" xfId="21523" xr:uid="{00000000-0005-0000-0000-0000435B0000}"/>
    <cellStyle name="Hed Side Regular 3 7 9 6" xfId="21524" xr:uid="{00000000-0005-0000-0000-0000445B0000}"/>
    <cellStyle name="Hed Side Regular 3 7 9 6 2" xfId="21525" xr:uid="{00000000-0005-0000-0000-0000455B0000}"/>
    <cellStyle name="Hed Side Regular 3 7 9 7" xfId="21526" xr:uid="{00000000-0005-0000-0000-0000465B0000}"/>
    <cellStyle name="Hed Side Regular 3 7 9 7 2" xfId="21527" xr:uid="{00000000-0005-0000-0000-0000475B0000}"/>
    <cellStyle name="Hed Side Regular 3 7 9 8" xfId="21528" xr:uid="{00000000-0005-0000-0000-0000485B0000}"/>
    <cellStyle name="Hed Side Regular 3 7 9 8 2" xfId="21529" xr:uid="{00000000-0005-0000-0000-0000495B0000}"/>
    <cellStyle name="Hed Side Regular 3 7 9 9" xfId="21530" xr:uid="{00000000-0005-0000-0000-00004A5B0000}"/>
    <cellStyle name="Hed Side Regular 3 7 9 9 2" xfId="21531" xr:uid="{00000000-0005-0000-0000-00004B5B0000}"/>
    <cellStyle name="Hed Side Regular 3 8" xfId="21532" xr:uid="{00000000-0005-0000-0000-00004C5B0000}"/>
    <cellStyle name="Hed Side Regular 3 8 10" xfId="21533" xr:uid="{00000000-0005-0000-0000-00004D5B0000}"/>
    <cellStyle name="Hed Side Regular 3 8 10 2" xfId="21534" xr:uid="{00000000-0005-0000-0000-00004E5B0000}"/>
    <cellStyle name="Hed Side Regular 3 8 10 2 2" xfId="21535" xr:uid="{00000000-0005-0000-0000-00004F5B0000}"/>
    <cellStyle name="Hed Side Regular 3 8 10 3" xfId="21536" xr:uid="{00000000-0005-0000-0000-0000505B0000}"/>
    <cellStyle name="Hed Side Regular 3 8 10 3 2" xfId="21537" xr:uid="{00000000-0005-0000-0000-0000515B0000}"/>
    <cellStyle name="Hed Side Regular 3 8 10 4" xfId="21538" xr:uid="{00000000-0005-0000-0000-0000525B0000}"/>
    <cellStyle name="Hed Side Regular 3 8 10 4 2" xfId="21539" xr:uid="{00000000-0005-0000-0000-0000535B0000}"/>
    <cellStyle name="Hed Side Regular 3 8 10 5" xfId="21540" xr:uid="{00000000-0005-0000-0000-0000545B0000}"/>
    <cellStyle name="Hed Side Regular 3 8 10 5 2" xfId="21541" xr:uid="{00000000-0005-0000-0000-0000555B0000}"/>
    <cellStyle name="Hed Side Regular 3 8 10 6" xfId="21542" xr:uid="{00000000-0005-0000-0000-0000565B0000}"/>
    <cellStyle name="Hed Side Regular 3 8 10 6 2" xfId="21543" xr:uid="{00000000-0005-0000-0000-0000575B0000}"/>
    <cellStyle name="Hed Side Regular 3 8 10 7" xfId="21544" xr:uid="{00000000-0005-0000-0000-0000585B0000}"/>
    <cellStyle name="Hed Side Regular 3 8 10 7 2" xfId="21545" xr:uid="{00000000-0005-0000-0000-0000595B0000}"/>
    <cellStyle name="Hed Side Regular 3 8 10 8" xfId="21546" xr:uid="{00000000-0005-0000-0000-00005A5B0000}"/>
    <cellStyle name="Hed Side Regular 3 8 10 8 2" xfId="21547" xr:uid="{00000000-0005-0000-0000-00005B5B0000}"/>
    <cellStyle name="Hed Side Regular 3 8 10 9" xfId="21548" xr:uid="{00000000-0005-0000-0000-00005C5B0000}"/>
    <cellStyle name="Hed Side Regular 3 8 11" xfId="21549" xr:uid="{00000000-0005-0000-0000-00005D5B0000}"/>
    <cellStyle name="Hed Side Regular 3 8 11 2" xfId="21550" xr:uid="{00000000-0005-0000-0000-00005E5B0000}"/>
    <cellStyle name="Hed Side Regular 3 8 12" xfId="21551" xr:uid="{00000000-0005-0000-0000-00005F5B0000}"/>
    <cellStyle name="Hed Side Regular 3 8 12 2" xfId="21552" xr:uid="{00000000-0005-0000-0000-0000605B0000}"/>
    <cellStyle name="Hed Side Regular 3 8 13" xfId="21553" xr:uid="{00000000-0005-0000-0000-0000615B0000}"/>
    <cellStyle name="Hed Side Regular 3 8 13 2" xfId="21554" xr:uid="{00000000-0005-0000-0000-0000625B0000}"/>
    <cellStyle name="Hed Side Regular 3 8 14" xfId="21555" xr:uid="{00000000-0005-0000-0000-0000635B0000}"/>
    <cellStyle name="Hed Side Regular 3 8 14 2" xfId="21556" xr:uid="{00000000-0005-0000-0000-0000645B0000}"/>
    <cellStyle name="Hed Side Regular 3 8 15" xfId="21557" xr:uid="{00000000-0005-0000-0000-0000655B0000}"/>
    <cellStyle name="Hed Side Regular 3 8 15 2" xfId="21558" xr:uid="{00000000-0005-0000-0000-0000665B0000}"/>
    <cellStyle name="Hed Side Regular 3 8 16" xfId="21559" xr:uid="{00000000-0005-0000-0000-0000675B0000}"/>
    <cellStyle name="Hed Side Regular 3 8 16 2" xfId="21560" xr:uid="{00000000-0005-0000-0000-0000685B0000}"/>
    <cellStyle name="Hed Side Regular 3 8 17" xfId="21561" xr:uid="{00000000-0005-0000-0000-0000695B0000}"/>
    <cellStyle name="Hed Side Regular 3 8 17 2" xfId="21562" xr:uid="{00000000-0005-0000-0000-00006A5B0000}"/>
    <cellStyle name="Hed Side Regular 3 8 18" xfId="21563" xr:uid="{00000000-0005-0000-0000-00006B5B0000}"/>
    <cellStyle name="Hed Side Regular 3 8 2" xfId="21564" xr:uid="{00000000-0005-0000-0000-00006C5B0000}"/>
    <cellStyle name="Hed Side Regular 3 8 2 10" xfId="21565" xr:uid="{00000000-0005-0000-0000-00006D5B0000}"/>
    <cellStyle name="Hed Side Regular 3 8 2 2" xfId="21566" xr:uid="{00000000-0005-0000-0000-00006E5B0000}"/>
    <cellStyle name="Hed Side Regular 3 8 2 2 2" xfId="21567" xr:uid="{00000000-0005-0000-0000-00006F5B0000}"/>
    <cellStyle name="Hed Side Regular 3 8 2 3" xfId="21568" xr:uid="{00000000-0005-0000-0000-0000705B0000}"/>
    <cellStyle name="Hed Side Regular 3 8 2 3 2" xfId="21569" xr:uid="{00000000-0005-0000-0000-0000715B0000}"/>
    <cellStyle name="Hed Side Regular 3 8 2 4" xfId="21570" xr:uid="{00000000-0005-0000-0000-0000725B0000}"/>
    <cellStyle name="Hed Side Regular 3 8 2 4 2" xfId="21571" xr:uid="{00000000-0005-0000-0000-0000735B0000}"/>
    <cellStyle name="Hed Side Regular 3 8 2 5" xfId="21572" xr:uid="{00000000-0005-0000-0000-0000745B0000}"/>
    <cellStyle name="Hed Side Regular 3 8 2 5 2" xfId="21573" xr:uid="{00000000-0005-0000-0000-0000755B0000}"/>
    <cellStyle name="Hed Side Regular 3 8 2 6" xfId="21574" xr:uid="{00000000-0005-0000-0000-0000765B0000}"/>
    <cellStyle name="Hed Side Regular 3 8 2 6 2" xfId="21575" xr:uid="{00000000-0005-0000-0000-0000775B0000}"/>
    <cellStyle name="Hed Side Regular 3 8 2 7" xfId="21576" xr:uid="{00000000-0005-0000-0000-0000785B0000}"/>
    <cellStyle name="Hed Side Regular 3 8 2 7 2" xfId="21577" xr:uid="{00000000-0005-0000-0000-0000795B0000}"/>
    <cellStyle name="Hed Side Regular 3 8 2 8" xfId="21578" xr:uid="{00000000-0005-0000-0000-00007A5B0000}"/>
    <cellStyle name="Hed Side Regular 3 8 2 8 2" xfId="21579" xr:uid="{00000000-0005-0000-0000-00007B5B0000}"/>
    <cellStyle name="Hed Side Regular 3 8 2 9" xfId="21580" xr:uid="{00000000-0005-0000-0000-00007C5B0000}"/>
    <cellStyle name="Hed Side Regular 3 8 2 9 2" xfId="21581" xr:uid="{00000000-0005-0000-0000-00007D5B0000}"/>
    <cellStyle name="Hed Side Regular 3 8 3" xfId="21582" xr:uid="{00000000-0005-0000-0000-00007E5B0000}"/>
    <cellStyle name="Hed Side Regular 3 8 3 10" xfId="21583" xr:uid="{00000000-0005-0000-0000-00007F5B0000}"/>
    <cellStyle name="Hed Side Regular 3 8 3 2" xfId="21584" xr:uid="{00000000-0005-0000-0000-0000805B0000}"/>
    <cellStyle name="Hed Side Regular 3 8 3 2 2" xfId="21585" xr:uid="{00000000-0005-0000-0000-0000815B0000}"/>
    <cellStyle name="Hed Side Regular 3 8 3 3" xfId="21586" xr:uid="{00000000-0005-0000-0000-0000825B0000}"/>
    <cellStyle name="Hed Side Regular 3 8 3 3 2" xfId="21587" xr:uid="{00000000-0005-0000-0000-0000835B0000}"/>
    <cellStyle name="Hed Side Regular 3 8 3 4" xfId="21588" xr:uid="{00000000-0005-0000-0000-0000845B0000}"/>
    <cellStyle name="Hed Side Regular 3 8 3 4 2" xfId="21589" xr:uid="{00000000-0005-0000-0000-0000855B0000}"/>
    <cellStyle name="Hed Side Regular 3 8 3 5" xfId="21590" xr:uid="{00000000-0005-0000-0000-0000865B0000}"/>
    <cellStyle name="Hed Side Regular 3 8 3 5 2" xfId="21591" xr:uid="{00000000-0005-0000-0000-0000875B0000}"/>
    <cellStyle name="Hed Side Regular 3 8 3 6" xfId="21592" xr:uid="{00000000-0005-0000-0000-0000885B0000}"/>
    <cellStyle name="Hed Side Regular 3 8 3 6 2" xfId="21593" xr:uid="{00000000-0005-0000-0000-0000895B0000}"/>
    <cellStyle name="Hed Side Regular 3 8 3 7" xfId="21594" xr:uid="{00000000-0005-0000-0000-00008A5B0000}"/>
    <cellStyle name="Hed Side Regular 3 8 3 7 2" xfId="21595" xr:uid="{00000000-0005-0000-0000-00008B5B0000}"/>
    <cellStyle name="Hed Side Regular 3 8 3 8" xfId="21596" xr:uid="{00000000-0005-0000-0000-00008C5B0000}"/>
    <cellStyle name="Hed Side Regular 3 8 3 8 2" xfId="21597" xr:uid="{00000000-0005-0000-0000-00008D5B0000}"/>
    <cellStyle name="Hed Side Regular 3 8 3 9" xfId="21598" xr:uid="{00000000-0005-0000-0000-00008E5B0000}"/>
    <cellStyle name="Hed Side Regular 3 8 3 9 2" xfId="21599" xr:uid="{00000000-0005-0000-0000-00008F5B0000}"/>
    <cellStyle name="Hed Side Regular 3 8 4" xfId="21600" xr:uid="{00000000-0005-0000-0000-0000905B0000}"/>
    <cellStyle name="Hed Side Regular 3 8 4 10" xfId="21601" xr:uid="{00000000-0005-0000-0000-0000915B0000}"/>
    <cellStyle name="Hed Side Regular 3 8 4 2" xfId="21602" xr:uid="{00000000-0005-0000-0000-0000925B0000}"/>
    <cellStyle name="Hed Side Regular 3 8 4 2 2" xfId="21603" xr:uid="{00000000-0005-0000-0000-0000935B0000}"/>
    <cellStyle name="Hed Side Regular 3 8 4 3" xfId="21604" xr:uid="{00000000-0005-0000-0000-0000945B0000}"/>
    <cellStyle name="Hed Side Regular 3 8 4 3 2" xfId="21605" xr:uid="{00000000-0005-0000-0000-0000955B0000}"/>
    <cellStyle name="Hed Side Regular 3 8 4 4" xfId="21606" xr:uid="{00000000-0005-0000-0000-0000965B0000}"/>
    <cellStyle name="Hed Side Regular 3 8 4 4 2" xfId="21607" xr:uid="{00000000-0005-0000-0000-0000975B0000}"/>
    <cellStyle name="Hed Side Regular 3 8 4 5" xfId="21608" xr:uid="{00000000-0005-0000-0000-0000985B0000}"/>
    <cellStyle name="Hed Side Regular 3 8 4 5 2" xfId="21609" xr:uid="{00000000-0005-0000-0000-0000995B0000}"/>
    <cellStyle name="Hed Side Regular 3 8 4 6" xfId="21610" xr:uid="{00000000-0005-0000-0000-00009A5B0000}"/>
    <cellStyle name="Hed Side Regular 3 8 4 6 2" xfId="21611" xr:uid="{00000000-0005-0000-0000-00009B5B0000}"/>
    <cellStyle name="Hed Side Regular 3 8 4 7" xfId="21612" xr:uid="{00000000-0005-0000-0000-00009C5B0000}"/>
    <cellStyle name="Hed Side Regular 3 8 4 7 2" xfId="21613" xr:uid="{00000000-0005-0000-0000-00009D5B0000}"/>
    <cellStyle name="Hed Side Regular 3 8 4 8" xfId="21614" xr:uid="{00000000-0005-0000-0000-00009E5B0000}"/>
    <cellStyle name="Hed Side Regular 3 8 4 8 2" xfId="21615" xr:uid="{00000000-0005-0000-0000-00009F5B0000}"/>
    <cellStyle name="Hed Side Regular 3 8 4 9" xfId="21616" xr:uid="{00000000-0005-0000-0000-0000A05B0000}"/>
    <cellStyle name="Hed Side Regular 3 8 4 9 2" xfId="21617" xr:uid="{00000000-0005-0000-0000-0000A15B0000}"/>
    <cellStyle name="Hed Side Regular 3 8 5" xfId="21618" xr:uid="{00000000-0005-0000-0000-0000A25B0000}"/>
    <cellStyle name="Hed Side Regular 3 8 5 10" xfId="21619" xr:uid="{00000000-0005-0000-0000-0000A35B0000}"/>
    <cellStyle name="Hed Side Regular 3 8 5 2" xfId="21620" xr:uid="{00000000-0005-0000-0000-0000A45B0000}"/>
    <cellStyle name="Hed Side Regular 3 8 5 2 2" xfId="21621" xr:uid="{00000000-0005-0000-0000-0000A55B0000}"/>
    <cellStyle name="Hed Side Regular 3 8 5 3" xfId="21622" xr:uid="{00000000-0005-0000-0000-0000A65B0000}"/>
    <cellStyle name="Hed Side Regular 3 8 5 3 2" xfId="21623" xr:uid="{00000000-0005-0000-0000-0000A75B0000}"/>
    <cellStyle name="Hed Side Regular 3 8 5 4" xfId="21624" xr:uid="{00000000-0005-0000-0000-0000A85B0000}"/>
    <cellStyle name="Hed Side Regular 3 8 5 4 2" xfId="21625" xr:uid="{00000000-0005-0000-0000-0000A95B0000}"/>
    <cellStyle name="Hed Side Regular 3 8 5 5" xfId="21626" xr:uid="{00000000-0005-0000-0000-0000AA5B0000}"/>
    <cellStyle name="Hed Side Regular 3 8 5 5 2" xfId="21627" xr:uid="{00000000-0005-0000-0000-0000AB5B0000}"/>
    <cellStyle name="Hed Side Regular 3 8 5 6" xfId="21628" xr:uid="{00000000-0005-0000-0000-0000AC5B0000}"/>
    <cellStyle name="Hed Side Regular 3 8 5 6 2" xfId="21629" xr:uid="{00000000-0005-0000-0000-0000AD5B0000}"/>
    <cellStyle name="Hed Side Regular 3 8 5 7" xfId="21630" xr:uid="{00000000-0005-0000-0000-0000AE5B0000}"/>
    <cellStyle name="Hed Side Regular 3 8 5 7 2" xfId="21631" xr:uid="{00000000-0005-0000-0000-0000AF5B0000}"/>
    <cellStyle name="Hed Side Regular 3 8 5 8" xfId="21632" xr:uid="{00000000-0005-0000-0000-0000B05B0000}"/>
    <cellStyle name="Hed Side Regular 3 8 5 8 2" xfId="21633" xr:uid="{00000000-0005-0000-0000-0000B15B0000}"/>
    <cellStyle name="Hed Side Regular 3 8 5 9" xfId="21634" xr:uid="{00000000-0005-0000-0000-0000B25B0000}"/>
    <cellStyle name="Hed Side Regular 3 8 5 9 2" xfId="21635" xr:uid="{00000000-0005-0000-0000-0000B35B0000}"/>
    <cellStyle name="Hed Side Regular 3 8 6" xfId="21636" xr:uid="{00000000-0005-0000-0000-0000B45B0000}"/>
    <cellStyle name="Hed Side Regular 3 8 6 10" xfId="21637" xr:uid="{00000000-0005-0000-0000-0000B55B0000}"/>
    <cellStyle name="Hed Side Regular 3 8 6 2" xfId="21638" xr:uid="{00000000-0005-0000-0000-0000B65B0000}"/>
    <cellStyle name="Hed Side Regular 3 8 6 2 2" xfId="21639" xr:uid="{00000000-0005-0000-0000-0000B75B0000}"/>
    <cellStyle name="Hed Side Regular 3 8 6 3" xfId="21640" xr:uid="{00000000-0005-0000-0000-0000B85B0000}"/>
    <cellStyle name="Hed Side Regular 3 8 6 3 2" xfId="21641" xr:uid="{00000000-0005-0000-0000-0000B95B0000}"/>
    <cellStyle name="Hed Side Regular 3 8 6 4" xfId="21642" xr:uid="{00000000-0005-0000-0000-0000BA5B0000}"/>
    <cellStyle name="Hed Side Regular 3 8 6 4 2" xfId="21643" xr:uid="{00000000-0005-0000-0000-0000BB5B0000}"/>
    <cellStyle name="Hed Side Regular 3 8 6 5" xfId="21644" xr:uid="{00000000-0005-0000-0000-0000BC5B0000}"/>
    <cellStyle name="Hed Side Regular 3 8 6 5 2" xfId="21645" xr:uid="{00000000-0005-0000-0000-0000BD5B0000}"/>
    <cellStyle name="Hed Side Regular 3 8 6 6" xfId="21646" xr:uid="{00000000-0005-0000-0000-0000BE5B0000}"/>
    <cellStyle name="Hed Side Regular 3 8 6 6 2" xfId="21647" xr:uid="{00000000-0005-0000-0000-0000BF5B0000}"/>
    <cellStyle name="Hed Side Regular 3 8 6 7" xfId="21648" xr:uid="{00000000-0005-0000-0000-0000C05B0000}"/>
    <cellStyle name="Hed Side Regular 3 8 6 7 2" xfId="21649" xr:uid="{00000000-0005-0000-0000-0000C15B0000}"/>
    <cellStyle name="Hed Side Regular 3 8 6 8" xfId="21650" xr:uid="{00000000-0005-0000-0000-0000C25B0000}"/>
    <cellStyle name="Hed Side Regular 3 8 6 8 2" xfId="21651" xr:uid="{00000000-0005-0000-0000-0000C35B0000}"/>
    <cellStyle name="Hed Side Regular 3 8 6 9" xfId="21652" xr:uid="{00000000-0005-0000-0000-0000C45B0000}"/>
    <cellStyle name="Hed Side Regular 3 8 6 9 2" xfId="21653" xr:uid="{00000000-0005-0000-0000-0000C55B0000}"/>
    <cellStyle name="Hed Side Regular 3 8 7" xfId="21654" xr:uid="{00000000-0005-0000-0000-0000C65B0000}"/>
    <cellStyle name="Hed Side Regular 3 8 7 10" xfId="21655" xr:uid="{00000000-0005-0000-0000-0000C75B0000}"/>
    <cellStyle name="Hed Side Regular 3 8 7 2" xfId="21656" xr:uid="{00000000-0005-0000-0000-0000C85B0000}"/>
    <cellStyle name="Hed Side Regular 3 8 7 2 2" xfId="21657" xr:uid="{00000000-0005-0000-0000-0000C95B0000}"/>
    <cellStyle name="Hed Side Regular 3 8 7 3" xfId="21658" xr:uid="{00000000-0005-0000-0000-0000CA5B0000}"/>
    <cellStyle name="Hed Side Regular 3 8 7 3 2" xfId="21659" xr:uid="{00000000-0005-0000-0000-0000CB5B0000}"/>
    <cellStyle name="Hed Side Regular 3 8 7 4" xfId="21660" xr:uid="{00000000-0005-0000-0000-0000CC5B0000}"/>
    <cellStyle name="Hed Side Regular 3 8 7 4 2" xfId="21661" xr:uid="{00000000-0005-0000-0000-0000CD5B0000}"/>
    <cellStyle name="Hed Side Regular 3 8 7 5" xfId="21662" xr:uid="{00000000-0005-0000-0000-0000CE5B0000}"/>
    <cellStyle name="Hed Side Regular 3 8 7 5 2" xfId="21663" xr:uid="{00000000-0005-0000-0000-0000CF5B0000}"/>
    <cellStyle name="Hed Side Regular 3 8 7 6" xfId="21664" xr:uid="{00000000-0005-0000-0000-0000D05B0000}"/>
    <cellStyle name="Hed Side Regular 3 8 7 6 2" xfId="21665" xr:uid="{00000000-0005-0000-0000-0000D15B0000}"/>
    <cellStyle name="Hed Side Regular 3 8 7 7" xfId="21666" xr:uid="{00000000-0005-0000-0000-0000D25B0000}"/>
    <cellStyle name="Hed Side Regular 3 8 7 7 2" xfId="21667" xr:uid="{00000000-0005-0000-0000-0000D35B0000}"/>
    <cellStyle name="Hed Side Regular 3 8 7 8" xfId="21668" xr:uid="{00000000-0005-0000-0000-0000D45B0000}"/>
    <cellStyle name="Hed Side Regular 3 8 7 8 2" xfId="21669" xr:uid="{00000000-0005-0000-0000-0000D55B0000}"/>
    <cellStyle name="Hed Side Regular 3 8 7 9" xfId="21670" xr:uid="{00000000-0005-0000-0000-0000D65B0000}"/>
    <cellStyle name="Hed Side Regular 3 8 7 9 2" xfId="21671" xr:uid="{00000000-0005-0000-0000-0000D75B0000}"/>
    <cellStyle name="Hed Side Regular 3 8 8" xfId="21672" xr:uid="{00000000-0005-0000-0000-0000D85B0000}"/>
    <cellStyle name="Hed Side Regular 3 8 8 10" xfId="21673" xr:uid="{00000000-0005-0000-0000-0000D95B0000}"/>
    <cellStyle name="Hed Side Regular 3 8 8 2" xfId="21674" xr:uid="{00000000-0005-0000-0000-0000DA5B0000}"/>
    <cellStyle name="Hed Side Regular 3 8 8 2 2" xfId="21675" xr:uid="{00000000-0005-0000-0000-0000DB5B0000}"/>
    <cellStyle name="Hed Side Regular 3 8 8 3" xfId="21676" xr:uid="{00000000-0005-0000-0000-0000DC5B0000}"/>
    <cellStyle name="Hed Side Regular 3 8 8 3 2" xfId="21677" xr:uid="{00000000-0005-0000-0000-0000DD5B0000}"/>
    <cellStyle name="Hed Side Regular 3 8 8 4" xfId="21678" xr:uid="{00000000-0005-0000-0000-0000DE5B0000}"/>
    <cellStyle name="Hed Side Regular 3 8 8 4 2" xfId="21679" xr:uid="{00000000-0005-0000-0000-0000DF5B0000}"/>
    <cellStyle name="Hed Side Regular 3 8 8 5" xfId="21680" xr:uid="{00000000-0005-0000-0000-0000E05B0000}"/>
    <cellStyle name="Hed Side Regular 3 8 8 5 2" xfId="21681" xr:uid="{00000000-0005-0000-0000-0000E15B0000}"/>
    <cellStyle name="Hed Side Regular 3 8 8 6" xfId="21682" xr:uid="{00000000-0005-0000-0000-0000E25B0000}"/>
    <cellStyle name="Hed Side Regular 3 8 8 6 2" xfId="21683" xr:uid="{00000000-0005-0000-0000-0000E35B0000}"/>
    <cellStyle name="Hed Side Regular 3 8 8 7" xfId="21684" xr:uid="{00000000-0005-0000-0000-0000E45B0000}"/>
    <cellStyle name="Hed Side Regular 3 8 8 7 2" xfId="21685" xr:uid="{00000000-0005-0000-0000-0000E55B0000}"/>
    <cellStyle name="Hed Side Regular 3 8 8 8" xfId="21686" xr:uid="{00000000-0005-0000-0000-0000E65B0000}"/>
    <cellStyle name="Hed Side Regular 3 8 8 8 2" xfId="21687" xr:uid="{00000000-0005-0000-0000-0000E75B0000}"/>
    <cellStyle name="Hed Side Regular 3 8 8 9" xfId="21688" xr:uid="{00000000-0005-0000-0000-0000E85B0000}"/>
    <cellStyle name="Hed Side Regular 3 8 8 9 2" xfId="21689" xr:uid="{00000000-0005-0000-0000-0000E95B0000}"/>
    <cellStyle name="Hed Side Regular 3 8 9" xfId="21690" xr:uid="{00000000-0005-0000-0000-0000EA5B0000}"/>
    <cellStyle name="Hed Side Regular 3 8 9 10" xfId="21691" xr:uid="{00000000-0005-0000-0000-0000EB5B0000}"/>
    <cellStyle name="Hed Side Regular 3 8 9 2" xfId="21692" xr:uid="{00000000-0005-0000-0000-0000EC5B0000}"/>
    <cellStyle name="Hed Side Regular 3 8 9 2 2" xfId="21693" xr:uid="{00000000-0005-0000-0000-0000ED5B0000}"/>
    <cellStyle name="Hed Side Regular 3 8 9 3" xfId="21694" xr:uid="{00000000-0005-0000-0000-0000EE5B0000}"/>
    <cellStyle name="Hed Side Regular 3 8 9 3 2" xfId="21695" xr:uid="{00000000-0005-0000-0000-0000EF5B0000}"/>
    <cellStyle name="Hed Side Regular 3 8 9 4" xfId="21696" xr:uid="{00000000-0005-0000-0000-0000F05B0000}"/>
    <cellStyle name="Hed Side Regular 3 8 9 4 2" xfId="21697" xr:uid="{00000000-0005-0000-0000-0000F15B0000}"/>
    <cellStyle name="Hed Side Regular 3 8 9 5" xfId="21698" xr:uid="{00000000-0005-0000-0000-0000F25B0000}"/>
    <cellStyle name="Hed Side Regular 3 8 9 5 2" xfId="21699" xr:uid="{00000000-0005-0000-0000-0000F35B0000}"/>
    <cellStyle name="Hed Side Regular 3 8 9 6" xfId="21700" xr:uid="{00000000-0005-0000-0000-0000F45B0000}"/>
    <cellStyle name="Hed Side Regular 3 8 9 6 2" xfId="21701" xr:uid="{00000000-0005-0000-0000-0000F55B0000}"/>
    <cellStyle name="Hed Side Regular 3 8 9 7" xfId="21702" xr:uid="{00000000-0005-0000-0000-0000F65B0000}"/>
    <cellStyle name="Hed Side Regular 3 8 9 7 2" xfId="21703" xr:uid="{00000000-0005-0000-0000-0000F75B0000}"/>
    <cellStyle name="Hed Side Regular 3 8 9 8" xfId="21704" xr:uid="{00000000-0005-0000-0000-0000F85B0000}"/>
    <cellStyle name="Hed Side Regular 3 8 9 8 2" xfId="21705" xr:uid="{00000000-0005-0000-0000-0000F95B0000}"/>
    <cellStyle name="Hed Side Regular 3 8 9 9" xfId="21706" xr:uid="{00000000-0005-0000-0000-0000FA5B0000}"/>
    <cellStyle name="Hed Side Regular 3 8 9 9 2" xfId="21707" xr:uid="{00000000-0005-0000-0000-0000FB5B0000}"/>
    <cellStyle name="Hed Side Regular_Regular" xfId="42838" xr:uid="{00000000-0005-0000-0000-0000FC5B0000}"/>
    <cellStyle name="Hed Side_1-1A-Regular" xfId="77" xr:uid="{00000000-0005-0000-0000-0000FD5B0000}"/>
    <cellStyle name="Hed Top" xfId="78" xr:uid="{00000000-0005-0000-0000-0000FE5B0000}"/>
    <cellStyle name="Hed Top - SECTION" xfId="79" xr:uid="{00000000-0005-0000-0000-0000FF5B0000}"/>
    <cellStyle name="Hed Top - SECTION 2" xfId="172" xr:uid="{00000000-0005-0000-0000-0000005C0000}"/>
    <cellStyle name="Hed Top - SECTION 2 2" xfId="173" xr:uid="{00000000-0005-0000-0000-0000015C0000}"/>
    <cellStyle name="Hed Top - SECTION 2 2 2" xfId="21708" xr:uid="{00000000-0005-0000-0000-0000025C0000}"/>
    <cellStyle name="Hed Top - SECTION 2 2 2 10" xfId="21709" xr:uid="{00000000-0005-0000-0000-0000035C0000}"/>
    <cellStyle name="Hed Top - SECTION 2 2 2 10 10" xfId="21710" xr:uid="{00000000-0005-0000-0000-0000045C0000}"/>
    <cellStyle name="Hed Top - SECTION 2 2 2 10 2" xfId="21711" xr:uid="{00000000-0005-0000-0000-0000055C0000}"/>
    <cellStyle name="Hed Top - SECTION 2 2 2 10 2 2" xfId="21712" xr:uid="{00000000-0005-0000-0000-0000065C0000}"/>
    <cellStyle name="Hed Top - SECTION 2 2 2 10 3" xfId="21713" xr:uid="{00000000-0005-0000-0000-0000075C0000}"/>
    <cellStyle name="Hed Top - SECTION 2 2 2 10 3 2" xfId="21714" xr:uid="{00000000-0005-0000-0000-0000085C0000}"/>
    <cellStyle name="Hed Top - SECTION 2 2 2 10 4" xfId="21715" xr:uid="{00000000-0005-0000-0000-0000095C0000}"/>
    <cellStyle name="Hed Top - SECTION 2 2 2 10 4 2" xfId="21716" xr:uid="{00000000-0005-0000-0000-00000A5C0000}"/>
    <cellStyle name="Hed Top - SECTION 2 2 2 10 5" xfId="21717" xr:uid="{00000000-0005-0000-0000-00000B5C0000}"/>
    <cellStyle name="Hed Top - SECTION 2 2 2 10 5 2" xfId="21718" xr:uid="{00000000-0005-0000-0000-00000C5C0000}"/>
    <cellStyle name="Hed Top - SECTION 2 2 2 10 6" xfId="21719" xr:uid="{00000000-0005-0000-0000-00000D5C0000}"/>
    <cellStyle name="Hed Top - SECTION 2 2 2 10 6 2" xfId="21720" xr:uid="{00000000-0005-0000-0000-00000E5C0000}"/>
    <cellStyle name="Hed Top - SECTION 2 2 2 10 7" xfId="21721" xr:uid="{00000000-0005-0000-0000-00000F5C0000}"/>
    <cellStyle name="Hed Top - SECTION 2 2 2 10 7 2" xfId="21722" xr:uid="{00000000-0005-0000-0000-0000105C0000}"/>
    <cellStyle name="Hed Top - SECTION 2 2 2 10 8" xfId="21723" xr:uid="{00000000-0005-0000-0000-0000115C0000}"/>
    <cellStyle name="Hed Top - SECTION 2 2 2 10 8 2" xfId="21724" xr:uid="{00000000-0005-0000-0000-0000125C0000}"/>
    <cellStyle name="Hed Top - SECTION 2 2 2 10 9" xfId="21725" xr:uid="{00000000-0005-0000-0000-0000135C0000}"/>
    <cellStyle name="Hed Top - SECTION 2 2 2 10 9 2" xfId="21726" xr:uid="{00000000-0005-0000-0000-0000145C0000}"/>
    <cellStyle name="Hed Top - SECTION 2 2 2 11" xfId="21727" xr:uid="{00000000-0005-0000-0000-0000155C0000}"/>
    <cellStyle name="Hed Top - SECTION 2 2 2 11 2" xfId="21728" xr:uid="{00000000-0005-0000-0000-0000165C0000}"/>
    <cellStyle name="Hed Top - SECTION 2 2 2 11 2 2" xfId="21729" xr:uid="{00000000-0005-0000-0000-0000175C0000}"/>
    <cellStyle name="Hed Top - SECTION 2 2 2 11 3" xfId="21730" xr:uid="{00000000-0005-0000-0000-0000185C0000}"/>
    <cellStyle name="Hed Top - SECTION 2 2 2 11 3 2" xfId="21731" xr:uid="{00000000-0005-0000-0000-0000195C0000}"/>
    <cellStyle name="Hed Top - SECTION 2 2 2 11 4" xfId="21732" xr:uid="{00000000-0005-0000-0000-00001A5C0000}"/>
    <cellStyle name="Hed Top - SECTION 2 2 2 11 4 2" xfId="21733" xr:uid="{00000000-0005-0000-0000-00001B5C0000}"/>
    <cellStyle name="Hed Top - SECTION 2 2 2 11 5" xfId="21734" xr:uid="{00000000-0005-0000-0000-00001C5C0000}"/>
    <cellStyle name="Hed Top - SECTION 2 2 2 11 5 2" xfId="21735" xr:uid="{00000000-0005-0000-0000-00001D5C0000}"/>
    <cellStyle name="Hed Top - SECTION 2 2 2 11 6" xfId="21736" xr:uid="{00000000-0005-0000-0000-00001E5C0000}"/>
    <cellStyle name="Hed Top - SECTION 2 2 2 11 6 2" xfId="21737" xr:uid="{00000000-0005-0000-0000-00001F5C0000}"/>
    <cellStyle name="Hed Top - SECTION 2 2 2 11 7" xfId="21738" xr:uid="{00000000-0005-0000-0000-0000205C0000}"/>
    <cellStyle name="Hed Top - SECTION 2 2 2 11 7 2" xfId="21739" xr:uid="{00000000-0005-0000-0000-0000215C0000}"/>
    <cellStyle name="Hed Top - SECTION 2 2 2 11 8" xfId="21740" xr:uid="{00000000-0005-0000-0000-0000225C0000}"/>
    <cellStyle name="Hed Top - SECTION 2 2 2 11 8 2" xfId="21741" xr:uid="{00000000-0005-0000-0000-0000235C0000}"/>
    <cellStyle name="Hed Top - SECTION 2 2 2 11 9" xfId="21742" xr:uid="{00000000-0005-0000-0000-0000245C0000}"/>
    <cellStyle name="Hed Top - SECTION 2 2 2 2" xfId="21743" xr:uid="{00000000-0005-0000-0000-0000255C0000}"/>
    <cellStyle name="Hed Top - SECTION 2 2 2 2 10" xfId="21744" xr:uid="{00000000-0005-0000-0000-0000265C0000}"/>
    <cellStyle name="Hed Top - SECTION 2 2 2 2 2" xfId="21745" xr:uid="{00000000-0005-0000-0000-0000275C0000}"/>
    <cellStyle name="Hed Top - SECTION 2 2 2 2 2 2" xfId="21746" xr:uid="{00000000-0005-0000-0000-0000285C0000}"/>
    <cellStyle name="Hed Top - SECTION 2 2 2 2 3" xfId="21747" xr:uid="{00000000-0005-0000-0000-0000295C0000}"/>
    <cellStyle name="Hed Top - SECTION 2 2 2 2 3 2" xfId="21748" xr:uid="{00000000-0005-0000-0000-00002A5C0000}"/>
    <cellStyle name="Hed Top - SECTION 2 2 2 2 4" xfId="21749" xr:uid="{00000000-0005-0000-0000-00002B5C0000}"/>
    <cellStyle name="Hed Top - SECTION 2 2 2 2 4 2" xfId="21750" xr:uid="{00000000-0005-0000-0000-00002C5C0000}"/>
    <cellStyle name="Hed Top - SECTION 2 2 2 2 5" xfId="21751" xr:uid="{00000000-0005-0000-0000-00002D5C0000}"/>
    <cellStyle name="Hed Top - SECTION 2 2 2 2 5 2" xfId="21752" xr:uid="{00000000-0005-0000-0000-00002E5C0000}"/>
    <cellStyle name="Hed Top - SECTION 2 2 2 2 6" xfId="21753" xr:uid="{00000000-0005-0000-0000-00002F5C0000}"/>
    <cellStyle name="Hed Top - SECTION 2 2 2 2 6 2" xfId="21754" xr:uid="{00000000-0005-0000-0000-0000305C0000}"/>
    <cellStyle name="Hed Top - SECTION 2 2 2 2 7" xfId="21755" xr:uid="{00000000-0005-0000-0000-0000315C0000}"/>
    <cellStyle name="Hed Top - SECTION 2 2 2 2 7 2" xfId="21756" xr:uid="{00000000-0005-0000-0000-0000325C0000}"/>
    <cellStyle name="Hed Top - SECTION 2 2 2 2 8" xfId="21757" xr:uid="{00000000-0005-0000-0000-0000335C0000}"/>
    <cellStyle name="Hed Top - SECTION 2 2 2 2 8 2" xfId="21758" xr:uid="{00000000-0005-0000-0000-0000345C0000}"/>
    <cellStyle name="Hed Top - SECTION 2 2 2 2 9" xfId="21759" xr:uid="{00000000-0005-0000-0000-0000355C0000}"/>
    <cellStyle name="Hed Top - SECTION 2 2 2 2 9 2" xfId="21760" xr:uid="{00000000-0005-0000-0000-0000365C0000}"/>
    <cellStyle name="Hed Top - SECTION 2 2 2 3" xfId="21761" xr:uid="{00000000-0005-0000-0000-0000375C0000}"/>
    <cellStyle name="Hed Top - SECTION 2 2 2 3 10" xfId="21762" xr:uid="{00000000-0005-0000-0000-0000385C0000}"/>
    <cellStyle name="Hed Top - SECTION 2 2 2 3 2" xfId="21763" xr:uid="{00000000-0005-0000-0000-0000395C0000}"/>
    <cellStyle name="Hed Top - SECTION 2 2 2 3 2 2" xfId="21764" xr:uid="{00000000-0005-0000-0000-00003A5C0000}"/>
    <cellStyle name="Hed Top - SECTION 2 2 2 3 3" xfId="21765" xr:uid="{00000000-0005-0000-0000-00003B5C0000}"/>
    <cellStyle name="Hed Top - SECTION 2 2 2 3 3 2" xfId="21766" xr:uid="{00000000-0005-0000-0000-00003C5C0000}"/>
    <cellStyle name="Hed Top - SECTION 2 2 2 3 4" xfId="21767" xr:uid="{00000000-0005-0000-0000-00003D5C0000}"/>
    <cellStyle name="Hed Top - SECTION 2 2 2 3 4 2" xfId="21768" xr:uid="{00000000-0005-0000-0000-00003E5C0000}"/>
    <cellStyle name="Hed Top - SECTION 2 2 2 3 5" xfId="21769" xr:uid="{00000000-0005-0000-0000-00003F5C0000}"/>
    <cellStyle name="Hed Top - SECTION 2 2 2 3 5 2" xfId="21770" xr:uid="{00000000-0005-0000-0000-0000405C0000}"/>
    <cellStyle name="Hed Top - SECTION 2 2 2 3 6" xfId="21771" xr:uid="{00000000-0005-0000-0000-0000415C0000}"/>
    <cellStyle name="Hed Top - SECTION 2 2 2 3 6 2" xfId="21772" xr:uid="{00000000-0005-0000-0000-0000425C0000}"/>
    <cellStyle name="Hed Top - SECTION 2 2 2 3 7" xfId="21773" xr:uid="{00000000-0005-0000-0000-0000435C0000}"/>
    <cellStyle name="Hed Top - SECTION 2 2 2 3 7 2" xfId="21774" xr:uid="{00000000-0005-0000-0000-0000445C0000}"/>
    <cellStyle name="Hed Top - SECTION 2 2 2 3 8" xfId="21775" xr:uid="{00000000-0005-0000-0000-0000455C0000}"/>
    <cellStyle name="Hed Top - SECTION 2 2 2 3 8 2" xfId="21776" xr:uid="{00000000-0005-0000-0000-0000465C0000}"/>
    <cellStyle name="Hed Top - SECTION 2 2 2 3 9" xfId="21777" xr:uid="{00000000-0005-0000-0000-0000475C0000}"/>
    <cellStyle name="Hed Top - SECTION 2 2 2 3 9 2" xfId="21778" xr:uid="{00000000-0005-0000-0000-0000485C0000}"/>
    <cellStyle name="Hed Top - SECTION 2 2 2 4" xfId="21779" xr:uid="{00000000-0005-0000-0000-0000495C0000}"/>
    <cellStyle name="Hed Top - SECTION 2 2 2 4 10" xfId="21780" xr:uid="{00000000-0005-0000-0000-00004A5C0000}"/>
    <cellStyle name="Hed Top - SECTION 2 2 2 4 2" xfId="21781" xr:uid="{00000000-0005-0000-0000-00004B5C0000}"/>
    <cellStyle name="Hed Top - SECTION 2 2 2 4 2 2" xfId="21782" xr:uid="{00000000-0005-0000-0000-00004C5C0000}"/>
    <cellStyle name="Hed Top - SECTION 2 2 2 4 3" xfId="21783" xr:uid="{00000000-0005-0000-0000-00004D5C0000}"/>
    <cellStyle name="Hed Top - SECTION 2 2 2 4 3 2" xfId="21784" xr:uid="{00000000-0005-0000-0000-00004E5C0000}"/>
    <cellStyle name="Hed Top - SECTION 2 2 2 4 4" xfId="21785" xr:uid="{00000000-0005-0000-0000-00004F5C0000}"/>
    <cellStyle name="Hed Top - SECTION 2 2 2 4 4 2" xfId="21786" xr:uid="{00000000-0005-0000-0000-0000505C0000}"/>
    <cellStyle name="Hed Top - SECTION 2 2 2 4 5" xfId="21787" xr:uid="{00000000-0005-0000-0000-0000515C0000}"/>
    <cellStyle name="Hed Top - SECTION 2 2 2 4 5 2" xfId="21788" xr:uid="{00000000-0005-0000-0000-0000525C0000}"/>
    <cellStyle name="Hed Top - SECTION 2 2 2 4 6" xfId="21789" xr:uid="{00000000-0005-0000-0000-0000535C0000}"/>
    <cellStyle name="Hed Top - SECTION 2 2 2 4 6 2" xfId="21790" xr:uid="{00000000-0005-0000-0000-0000545C0000}"/>
    <cellStyle name="Hed Top - SECTION 2 2 2 4 7" xfId="21791" xr:uid="{00000000-0005-0000-0000-0000555C0000}"/>
    <cellStyle name="Hed Top - SECTION 2 2 2 4 7 2" xfId="21792" xr:uid="{00000000-0005-0000-0000-0000565C0000}"/>
    <cellStyle name="Hed Top - SECTION 2 2 2 4 8" xfId="21793" xr:uid="{00000000-0005-0000-0000-0000575C0000}"/>
    <cellStyle name="Hed Top - SECTION 2 2 2 4 8 2" xfId="21794" xr:uid="{00000000-0005-0000-0000-0000585C0000}"/>
    <cellStyle name="Hed Top - SECTION 2 2 2 4 9" xfId="21795" xr:uid="{00000000-0005-0000-0000-0000595C0000}"/>
    <cellStyle name="Hed Top - SECTION 2 2 2 4 9 2" xfId="21796" xr:uid="{00000000-0005-0000-0000-00005A5C0000}"/>
    <cellStyle name="Hed Top - SECTION 2 2 2 5" xfId="21797" xr:uid="{00000000-0005-0000-0000-00005B5C0000}"/>
    <cellStyle name="Hed Top - SECTION 2 2 2 5 10" xfId="21798" xr:uid="{00000000-0005-0000-0000-00005C5C0000}"/>
    <cellStyle name="Hed Top - SECTION 2 2 2 5 2" xfId="21799" xr:uid="{00000000-0005-0000-0000-00005D5C0000}"/>
    <cellStyle name="Hed Top - SECTION 2 2 2 5 2 2" xfId="21800" xr:uid="{00000000-0005-0000-0000-00005E5C0000}"/>
    <cellStyle name="Hed Top - SECTION 2 2 2 5 3" xfId="21801" xr:uid="{00000000-0005-0000-0000-00005F5C0000}"/>
    <cellStyle name="Hed Top - SECTION 2 2 2 5 3 2" xfId="21802" xr:uid="{00000000-0005-0000-0000-0000605C0000}"/>
    <cellStyle name="Hed Top - SECTION 2 2 2 5 4" xfId="21803" xr:uid="{00000000-0005-0000-0000-0000615C0000}"/>
    <cellStyle name="Hed Top - SECTION 2 2 2 5 4 2" xfId="21804" xr:uid="{00000000-0005-0000-0000-0000625C0000}"/>
    <cellStyle name="Hed Top - SECTION 2 2 2 5 5" xfId="21805" xr:uid="{00000000-0005-0000-0000-0000635C0000}"/>
    <cellStyle name="Hed Top - SECTION 2 2 2 5 5 2" xfId="21806" xr:uid="{00000000-0005-0000-0000-0000645C0000}"/>
    <cellStyle name="Hed Top - SECTION 2 2 2 5 6" xfId="21807" xr:uid="{00000000-0005-0000-0000-0000655C0000}"/>
    <cellStyle name="Hed Top - SECTION 2 2 2 5 6 2" xfId="21808" xr:uid="{00000000-0005-0000-0000-0000665C0000}"/>
    <cellStyle name="Hed Top - SECTION 2 2 2 5 7" xfId="21809" xr:uid="{00000000-0005-0000-0000-0000675C0000}"/>
    <cellStyle name="Hed Top - SECTION 2 2 2 5 7 2" xfId="21810" xr:uid="{00000000-0005-0000-0000-0000685C0000}"/>
    <cellStyle name="Hed Top - SECTION 2 2 2 5 8" xfId="21811" xr:uid="{00000000-0005-0000-0000-0000695C0000}"/>
    <cellStyle name="Hed Top - SECTION 2 2 2 5 8 2" xfId="21812" xr:uid="{00000000-0005-0000-0000-00006A5C0000}"/>
    <cellStyle name="Hed Top - SECTION 2 2 2 5 9" xfId="21813" xr:uid="{00000000-0005-0000-0000-00006B5C0000}"/>
    <cellStyle name="Hed Top - SECTION 2 2 2 5 9 2" xfId="21814" xr:uid="{00000000-0005-0000-0000-00006C5C0000}"/>
    <cellStyle name="Hed Top - SECTION 2 2 2 6" xfId="21815" xr:uid="{00000000-0005-0000-0000-00006D5C0000}"/>
    <cellStyle name="Hed Top - SECTION 2 2 2 6 10" xfId="21816" xr:uid="{00000000-0005-0000-0000-00006E5C0000}"/>
    <cellStyle name="Hed Top - SECTION 2 2 2 6 2" xfId="21817" xr:uid="{00000000-0005-0000-0000-00006F5C0000}"/>
    <cellStyle name="Hed Top - SECTION 2 2 2 6 2 2" xfId="21818" xr:uid="{00000000-0005-0000-0000-0000705C0000}"/>
    <cellStyle name="Hed Top - SECTION 2 2 2 6 3" xfId="21819" xr:uid="{00000000-0005-0000-0000-0000715C0000}"/>
    <cellStyle name="Hed Top - SECTION 2 2 2 6 3 2" xfId="21820" xr:uid="{00000000-0005-0000-0000-0000725C0000}"/>
    <cellStyle name="Hed Top - SECTION 2 2 2 6 4" xfId="21821" xr:uid="{00000000-0005-0000-0000-0000735C0000}"/>
    <cellStyle name="Hed Top - SECTION 2 2 2 6 4 2" xfId="21822" xr:uid="{00000000-0005-0000-0000-0000745C0000}"/>
    <cellStyle name="Hed Top - SECTION 2 2 2 6 5" xfId="21823" xr:uid="{00000000-0005-0000-0000-0000755C0000}"/>
    <cellStyle name="Hed Top - SECTION 2 2 2 6 5 2" xfId="21824" xr:uid="{00000000-0005-0000-0000-0000765C0000}"/>
    <cellStyle name="Hed Top - SECTION 2 2 2 6 6" xfId="21825" xr:uid="{00000000-0005-0000-0000-0000775C0000}"/>
    <cellStyle name="Hed Top - SECTION 2 2 2 6 6 2" xfId="21826" xr:uid="{00000000-0005-0000-0000-0000785C0000}"/>
    <cellStyle name="Hed Top - SECTION 2 2 2 6 7" xfId="21827" xr:uid="{00000000-0005-0000-0000-0000795C0000}"/>
    <cellStyle name="Hed Top - SECTION 2 2 2 6 7 2" xfId="21828" xr:uid="{00000000-0005-0000-0000-00007A5C0000}"/>
    <cellStyle name="Hed Top - SECTION 2 2 2 6 8" xfId="21829" xr:uid="{00000000-0005-0000-0000-00007B5C0000}"/>
    <cellStyle name="Hed Top - SECTION 2 2 2 6 8 2" xfId="21830" xr:uid="{00000000-0005-0000-0000-00007C5C0000}"/>
    <cellStyle name="Hed Top - SECTION 2 2 2 6 9" xfId="21831" xr:uid="{00000000-0005-0000-0000-00007D5C0000}"/>
    <cellStyle name="Hed Top - SECTION 2 2 2 6 9 2" xfId="21832" xr:uid="{00000000-0005-0000-0000-00007E5C0000}"/>
    <cellStyle name="Hed Top - SECTION 2 2 2 7" xfId="21833" xr:uid="{00000000-0005-0000-0000-00007F5C0000}"/>
    <cellStyle name="Hed Top - SECTION 2 2 2 7 10" xfId="21834" xr:uid="{00000000-0005-0000-0000-0000805C0000}"/>
    <cellStyle name="Hed Top - SECTION 2 2 2 7 2" xfId="21835" xr:uid="{00000000-0005-0000-0000-0000815C0000}"/>
    <cellStyle name="Hed Top - SECTION 2 2 2 7 2 2" xfId="21836" xr:uid="{00000000-0005-0000-0000-0000825C0000}"/>
    <cellStyle name="Hed Top - SECTION 2 2 2 7 3" xfId="21837" xr:uid="{00000000-0005-0000-0000-0000835C0000}"/>
    <cellStyle name="Hed Top - SECTION 2 2 2 7 3 2" xfId="21838" xr:uid="{00000000-0005-0000-0000-0000845C0000}"/>
    <cellStyle name="Hed Top - SECTION 2 2 2 7 4" xfId="21839" xr:uid="{00000000-0005-0000-0000-0000855C0000}"/>
    <cellStyle name="Hed Top - SECTION 2 2 2 7 4 2" xfId="21840" xr:uid="{00000000-0005-0000-0000-0000865C0000}"/>
    <cellStyle name="Hed Top - SECTION 2 2 2 7 5" xfId="21841" xr:uid="{00000000-0005-0000-0000-0000875C0000}"/>
    <cellStyle name="Hed Top - SECTION 2 2 2 7 5 2" xfId="21842" xr:uid="{00000000-0005-0000-0000-0000885C0000}"/>
    <cellStyle name="Hed Top - SECTION 2 2 2 7 6" xfId="21843" xr:uid="{00000000-0005-0000-0000-0000895C0000}"/>
    <cellStyle name="Hed Top - SECTION 2 2 2 7 6 2" xfId="21844" xr:uid="{00000000-0005-0000-0000-00008A5C0000}"/>
    <cellStyle name="Hed Top - SECTION 2 2 2 7 7" xfId="21845" xr:uid="{00000000-0005-0000-0000-00008B5C0000}"/>
    <cellStyle name="Hed Top - SECTION 2 2 2 7 7 2" xfId="21846" xr:uid="{00000000-0005-0000-0000-00008C5C0000}"/>
    <cellStyle name="Hed Top - SECTION 2 2 2 7 8" xfId="21847" xr:uid="{00000000-0005-0000-0000-00008D5C0000}"/>
    <cellStyle name="Hed Top - SECTION 2 2 2 7 8 2" xfId="21848" xr:uid="{00000000-0005-0000-0000-00008E5C0000}"/>
    <cellStyle name="Hed Top - SECTION 2 2 2 7 9" xfId="21849" xr:uid="{00000000-0005-0000-0000-00008F5C0000}"/>
    <cellStyle name="Hed Top - SECTION 2 2 2 7 9 2" xfId="21850" xr:uid="{00000000-0005-0000-0000-0000905C0000}"/>
    <cellStyle name="Hed Top - SECTION 2 2 2 8" xfId="21851" xr:uid="{00000000-0005-0000-0000-0000915C0000}"/>
    <cellStyle name="Hed Top - SECTION 2 2 2 8 10" xfId="21852" xr:uid="{00000000-0005-0000-0000-0000925C0000}"/>
    <cellStyle name="Hed Top - SECTION 2 2 2 8 2" xfId="21853" xr:uid="{00000000-0005-0000-0000-0000935C0000}"/>
    <cellStyle name="Hed Top - SECTION 2 2 2 8 2 2" xfId="21854" xr:uid="{00000000-0005-0000-0000-0000945C0000}"/>
    <cellStyle name="Hed Top - SECTION 2 2 2 8 3" xfId="21855" xr:uid="{00000000-0005-0000-0000-0000955C0000}"/>
    <cellStyle name="Hed Top - SECTION 2 2 2 8 3 2" xfId="21856" xr:uid="{00000000-0005-0000-0000-0000965C0000}"/>
    <cellStyle name="Hed Top - SECTION 2 2 2 8 4" xfId="21857" xr:uid="{00000000-0005-0000-0000-0000975C0000}"/>
    <cellStyle name="Hed Top - SECTION 2 2 2 8 4 2" xfId="21858" xr:uid="{00000000-0005-0000-0000-0000985C0000}"/>
    <cellStyle name="Hed Top - SECTION 2 2 2 8 5" xfId="21859" xr:uid="{00000000-0005-0000-0000-0000995C0000}"/>
    <cellStyle name="Hed Top - SECTION 2 2 2 8 5 2" xfId="21860" xr:uid="{00000000-0005-0000-0000-00009A5C0000}"/>
    <cellStyle name="Hed Top - SECTION 2 2 2 8 6" xfId="21861" xr:uid="{00000000-0005-0000-0000-00009B5C0000}"/>
    <cellStyle name="Hed Top - SECTION 2 2 2 8 6 2" xfId="21862" xr:uid="{00000000-0005-0000-0000-00009C5C0000}"/>
    <cellStyle name="Hed Top - SECTION 2 2 2 8 7" xfId="21863" xr:uid="{00000000-0005-0000-0000-00009D5C0000}"/>
    <cellStyle name="Hed Top - SECTION 2 2 2 8 7 2" xfId="21864" xr:uid="{00000000-0005-0000-0000-00009E5C0000}"/>
    <cellStyle name="Hed Top - SECTION 2 2 2 8 8" xfId="21865" xr:uid="{00000000-0005-0000-0000-00009F5C0000}"/>
    <cellStyle name="Hed Top - SECTION 2 2 2 8 8 2" xfId="21866" xr:uid="{00000000-0005-0000-0000-0000A05C0000}"/>
    <cellStyle name="Hed Top - SECTION 2 2 2 8 9" xfId="21867" xr:uid="{00000000-0005-0000-0000-0000A15C0000}"/>
    <cellStyle name="Hed Top - SECTION 2 2 2 8 9 2" xfId="21868" xr:uid="{00000000-0005-0000-0000-0000A25C0000}"/>
    <cellStyle name="Hed Top - SECTION 2 2 2 9" xfId="21869" xr:uid="{00000000-0005-0000-0000-0000A35C0000}"/>
    <cellStyle name="Hed Top - SECTION 2 2 2 9 10" xfId="21870" xr:uid="{00000000-0005-0000-0000-0000A45C0000}"/>
    <cellStyle name="Hed Top - SECTION 2 2 2 9 2" xfId="21871" xr:uid="{00000000-0005-0000-0000-0000A55C0000}"/>
    <cellStyle name="Hed Top - SECTION 2 2 2 9 2 2" xfId="21872" xr:uid="{00000000-0005-0000-0000-0000A65C0000}"/>
    <cellStyle name="Hed Top - SECTION 2 2 2 9 3" xfId="21873" xr:uid="{00000000-0005-0000-0000-0000A75C0000}"/>
    <cellStyle name="Hed Top - SECTION 2 2 2 9 3 2" xfId="21874" xr:uid="{00000000-0005-0000-0000-0000A85C0000}"/>
    <cellStyle name="Hed Top - SECTION 2 2 2 9 4" xfId="21875" xr:uid="{00000000-0005-0000-0000-0000A95C0000}"/>
    <cellStyle name="Hed Top - SECTION 2 2 2 9 4 2" xfId="21876" xr:uid="{00000000-0005-0000-0000-0000AA5C0000}"/>
    <cellStyle name="Hed Top - SECTION 2 2 2 9 5" xfId="21877" xr:uid="{00000000-0005-0000-0000-0000AB5C0000}"/>
    <cellStyle name="Hed Top - SECTION 2 2 2 9 5 2" xfId="21878" xr:uid="{00000000-0005-0000-0000-0000AC5C0000}"/>
    <cellStyle name="Hed Top - SECTION 2 2 2 9 6" xfId="21879" xr:uid="{00000000-0005-0000-0000-0000AD5C0000}"/>
    <cellStyle name="Hed Top - SECTION 2 2 2 9 6 2" xfId="21880" xr:uid="{00000000-0005-0000-0000-0000AE5C0000}"/>
    <cellStyle name="Hed Top - SECTION 2 2 2 9 7" xfId="21881" xr:uid="{00000000-0005-0000-0000-0000AF5C0000}"/>
    <cellStyle name="Hed Top - SECTION 2 2 2 9 7 2" xfId="21882" xr:uid="{00000000-0005-0000-0000-0000B05C0000}"/>
    <cellStyle name="Hed Top - SECTION 2 2 2 9 8" xfId="21883" xr:uid="{00000000-0005-0000-0000-0000B15C0000}"/>
    <cellStyle name="Hed Top - SECTION 2 2 2 9 8 2" xfId="21884" xr:uid="{00000000-0005-0000-0000-0000B25C0000}"/>
    <cellStyle name="Hed Top - SECTION 2 2 2 9 9" xfId="21885" xr:uid="{00000000-0005-0000-0000-0000B35C0000}"/>
    <cellStyle name="Hed Top - SECTION 2 2 2 9 9 2" xfId="21886" xr:uid="{00000000-0005-0000-0000-0000B45C0000}"/>
    <cellStyle name="Hed Top - SECTION 2 2 3" xfId="21887" xr:uid="{00000000-0005-0000-0000-0000B55C0000}"/>
    <cellStyle name="Hed Top - SECTION 2 2 3 10" xfId="21888" xr:uid="{00000000-0005-0000-0000-0000B65C0000}"/>
    <cellStyle name="Hed Top - SECTION 2 2 3 10 2" xfId="21889" xr:uid="{00000000-0005-0000-0000-0000B75C0000}"/>
    <cellStyle name="Hed Top - SECTION 2 2 3 10 2 2" xfId="21890" xr:uid="{00000000-0005-0000-0000-0000B85C0000}"/>
    <cellStyle name="Hed Top - SECTION 2 2 3 10 3" xfId="21891" xr:uid="{00000000-0005-0000-0000-0000B95C0000}"/>
    <cellStyle name="Hed Top - SECTION 2 2 3 10 3 2" xfId="21892" xr:uid="{00000000-0005-0000-0000-0000BA5C0000}"/>
    <cellStyle name="Hed Top - SECTION 2 2 3 10 4" xfId="21893" xr:uid="{00000000-0005-0000-0000-0000BB5C0000}"/>
    <cellStyle name="Hed Top - SECTION 2 2 3 10 4 2" xfId="21894" xr:uid="{00000000-0005-0000-0000-0000BC5C0000}"/>
    <cellStyle name="Hed Top - SECTION 2 2 3 10 5" xfId="21895" xr:uid="{00000000-0005-0000-0000-0000BD5C0000}"/>
    <cellStyle name="Hed Top - SECTION 2 2 3 10 5 2" xfId="21896" xr:uid="{00000000-0005-0000-0000-0000BE5C0000}"/>
    <cellStyle name="Hed Top - SECTION 2 2 3 10 6" xfId="21897" xr:uid="{00000000-0005-0000-0000-0000BF5C0000}"/>
    <cellStyle name="Hed Top - SECTION 2 2 3 10 6 2" xfId="21898" xr:uid="{00000000-0005-0000-0000-0000C05C0000}"/>
    <cellStyle name="Hed Top - SECTION 2 2 3 10 7" xfId="21899" xr:uid="{00000000-0005-0000-0000-0000C15C0000}"/>
    <cellStyle name="Hed Top - SECTION 2 2 3 10 7 2" xfId="21900" xr:uid="{00000000-0005-0000-0000-0000C25C0000}"/>
    <cellStyle name="Hed Top - SECTION 2 2 3 10 8" xfId="21901" xr:uid="{00000000-0005-0000-0000-0000C35C0000}"/>
    <cellStyle name="Hed Top - SECTION 2 2 3 10 8 2" xfId="21902" xr:uid="{00000000-0005-0000-0000-0000C45C0000}"/>
    <cellStyle name="Hed Top - SECTION 2 2 3 10 9" xfId="21903" xr:uid="{00000000-0005-0000-0000-0000C55C0000}"/>
    <cellStyle name="Hed Top - SECTION 2 2 3 11" xfId="21904" xr:uid="{00000000-0005-0000-0000-0000C65C0000}"/>
    <cellStyle name="Hed Top - SECTION 2 2 3 11 2" xfId="21905" xr:uid="{00000000-0005-0000-0000-0000C75C0000}"/>
    <cellStyle name="Hed Top - SECTION 2 2 3 12" xfId="21906" xr:uid="{00000000-0005-0000-0000-0000C85C0000}"/>
    <cellStyle name="Hed Top - SECTION 2 2 3 12 2" xfId="21907" xr:uid="{00000000-0005-0000-0000-0000C95C0000}"/>
    <cellStyle name="Hed Top - SECTION 2 2 3 13" xfId="21908" xr:uid="{00000000-0005-0000-0000-0000CA5C0000}"/>
    <cellStyle name="Hed Top - SECTION 2 2 3 13 2" xfId="21909" xr:uid="{00000000-0005-0000-0000-0000CB5C0000}"/>
    <cellStyle name="Hed Top - SECTION 2 2 3 14" xfId="21910" xr:uid="{00000000-0005-0000-0000-0000CC5C0000}"/>
    <cellStyle name="Hed Top - SECTION 2 2 3 14 2" xfId="21911" xr:uid="{00000000-0005-0000-0000-0000CD5C0000}"/>
    <cellStyle name="Hed Top - SECTION 2 2 3 15" xfId="21912" xr:uid="{00000000-0005-0000-0000-0000CE5C0000}"/>
    <cellStyle name="Hed Top - SECTION 2 2 3 15 2" xfId="21913" xr:uid="{00000000-0005-0000-0000-0000CF5C0000}"/>
    <cellStyle name="Hed Top - SECTION 2 2 3 16" xfId="21914" xr:uid="{00000000-0005-0000-0000-0000D05C0000}"/>
    <cellStyle name="Hed Top - SECTION 2 2 3 16 2" xfId="21915" xr:uid="{00000000-0005-0000-0000-0000D15C0000}"/>
    <cellStyle name="Hed Top - SECTION 2 2 3 17" xfId="21916" xr:uid="{00000000-0005-0000-0000-0000D25C0000}"/>
    <cellStyle name="Hed Top - SECTION 2 2 3 17 2" xfId="21917" xr:uid="{00000000-0005-0000-0000-0000D35C0000}"/>
    <cellStyle name="Hed Top - SECTION 2 2 3 18" xfId="21918" xr:uid="{00000000-0005-0000-0000-0000D45C0000}"/>
    <cellStyle name="Hed Top - SECTION 2 2 3 2" xfId="21919" xr:uid="{00000000-0005-0000-0000-0000D55C0000}"/>
    <cellStyle name="Hed Top - SECTION 2 2 3 2 10" xfId="21920" xr:uid="{00000000-0005-0000-0000-0000D65C0000}"/>
    <cellStyle name="Hed Top - SECTION 2 2 3 2 2" xfId="21921" xr:uid="{00000000-0005-0000-0000-0000D75C0000}"/>
    <cellStyle name="Hed Top - SECTION 2 2 3 2 2 2" xfId="21922" xr:uid="{00000000-0005-0000-0000-0000D85C0000}"/>
    <cellStyle name="Hed Top - SECTION 2 2 3 2 3" xfId="21923" xr:uid="{00000000-0005-0000-0000-0000D95C0000}"/>
    <cellStyle name="Hed Top - SECTION 2 2 3 2 3 2" xfId="21924" xr:uid="{00000000-0005-0000-0000-0000DA5C0000}"/>
    <cellStyle name="Hed Top - SECTION 2 2 3 2 4" xfId="21925" xr:uid="{00000000-0005-0000-0000-0000DB5C0000}"/>
    <cellStyle name="Hed Top - SECTION 2 2 3 2 4 2" xfId="21926" xr:uid="{00000000-0005-0000-0000-0000DC5C0000}"/>
    <cellStyle name="Hed Top - SECTION 2 2 3 2 5" xfId="21927" xr:uid="{00000000-0005-0000-0000-0000DD5C0000}"/>
    <cellStyle name="Hed Top - SECTION 2 2 3 2 5 2" xfId="21928" xr:uid="{00000000-0005-0000-0000-0000DE5C0000}"/>
    <cellStyle name="Hed Top - SECTION 2 2 3 2 6" xfId="21929" xr:uid="{00000000-0005-0000-0000-0000DF5C0000}"/>
    <cellStyle name="Hed Top - SECTION 2 2 3 2 6 2" xfId="21930" xr:uid="{00000000-0005-0000-0000-0000E05C0000}"/>
    <cellStyle name="Hed Top - SECTION 2 2 3 2 7" xfId="21931" xr:uid="{00000000-0005-0000-0000-0000E15C0000}"/>
    <cellStyle name="Hed Top - SECTION 2 2 3 2 7 2" xfId="21932" xr:uid="{00000000-0005-0000-0000-0000E25C0000}"/>
    <cellStyle name="Hed Top - SECTION 2 2 3 2 8" xfId="21933" xr:uid="{00000000-0005-0000-0000-0000E35C0000}"/>
    <cellStyle name="Hed Top - SECTION 2 2 3 2 8 2" xfId="21934" xr:uid="{00000000-0005-0000-0000-0000E45C0000}"/>
    <cellStyle name="Hed Top - SECTION 2 2 3 2 9" xfId="21935" xr:uid="{00000000-0005-0000-0000-0000E55C0000}"/>
    <cellStyle name="Hed Top - SECTION 2 2 3 2 9 2" xfId="21936" xr:uid="{00000000-0005-0000-0000-0000E65C0000}"/>
    <cellStyle name="Hed Top - SECTION 2 2 3 3" xfId="21937" xr:uid="{00000000-0005-0000-0000-0000E75C0000}"/>
    <cellStyle name="Hed Top - SECTION 2 2 3 3 10" xfId="21938" xr:uid="{00000000-0005-0000-0000-0000E85C0000}"/>
    <cellStyle name="Hed Top - SECTION 2 2 3 3 2" xfId="21939" xr:uid="{00000000-0005-0000-0000-0000E95C0000}"/>
    <cellStyle name="Hed Top - SECTION 2 2 3 3 2 2" xfId="21940" xr:uid="{00000000-0005-0000-0000-0000EA5C0000}"/>
    <cellStyle name="Hed Top - SECTION 2 2 3 3 3" xfId="21941" xr:uid="{00000000-0005-0000-0000-0000EB5C0000}"/>
    <cellStyle name="Hed Top - SECTION 2 2 3 3 3 2" xfId="21942" xr:uid="{00000000-0005-0000-0000-0000EC5C0000}"/>
    <cellStyle name="Hed Top - SECTION 2 2 3 3 4" xfId="21943" xr:uid="{00000000-0005-0000-0000-0000ED5C0000}"/>
    <cellStyle name="Hed Top - SECTION 2 2 3 3 4 2" xfId="21944" xr:uid="{00000000-0005-0000-0000-0000EE5C0000}"/>
    <cellStyle name="Hed Top - SECTION 2 2 3 3 5" xfId="21945" xr:uid="{00000000-0005-0000-0000-0000EF5C0000}"/>
    <cellStyle name="Hed Top - SECTION 2 2 3 3 5 2" xfId="21946" xr:uid="{00000000-0005-0000-0000-0000F05C0000}"/>
    <cellStyle name="Hed Top - SECTION 2 2 3 3 6" xfId="21947" xr:uid="{00000000-0005-0000-0000-0000F15C0000}"/>
    <cellStyle name="Hed Top - SECTION 2 2 3 3 6 2" xfId="21948" xr:uid="{00000000-0005-0000-0000-0000F25C0000}"/>
    <cellStyle name="Hed Top - SECTION 2 2 3 3 7" xfId="21949" xr:uid="{00000000-0005-0000-0000-0000F35C0000}"/>
    <cellStyle name="Hed Top - SECTION 2 2 3 3 7 2" xfId="21950" xr:uid="{00000000-0005-0000-0000-0000F45C0000}"/>
    <cellStyle name="Hed Top - SECTION 2 2 3 3 8" xfId="21951" xr:uid="{00000000-0005-0000-0000-0000F55C0000}"/>
    <cellStyle name="Hed Top - SECTION 2 2 3 3 8 2" xfId="21952" xr:uid="{00000000-0005-0000-0000-0000F65C0000}"/>
    <cellStyle name="Hed Top - SECTION 2 2 3 3 9" xfId="21953" xr:uid="{00000000-0005-0000-0000-0000F75C0000}"/>
    <cellStyle name="Hed Top - SECTION 2 2 3 3 9 2" xfId="21954" xr:uid="{00000000-0005-0000-0000-0000F85C0000}"/>
    <cellStyle name="Hed Top - SECTION 2 2 3 4" xfId="21955" xr:uid="{00000000-0005-0000-0000-0000F95C0000}"/>
    <cellStyle name="Hed Top - SECTION 2 2 3 4 10" xfId="21956" xr:uid="{00000000-0005-0000-0000-0000FA5C0000}"/>
    <cellStyle name="Hed Top - SECTION 2 2 3 4 2" xfId="21957" xr:uid="{00000000-0005-0000-0000-0000FB5C0000}"/>
    <cellStyle name="Hed Top - SECTION 2 2 3 4 2 2" xfId="21958" xr:uid="{00000000-0005-0000-0000-0000FC5C0000}"/>
    <cellStyle name="Hed Top - SECTION 2 2 3 4 3" xfId="21959" xr:uid="{00000000-0005-0000-0000-0000FD5C0000}"/>
    <cellStyle name="Hed Top - SECTION 2 2 3 4 3 2" xfId="21960" xr:uid="{00000000-0005-0000-0000-0000FE5C0000}"/>
    <cellStyle name="Hed Top - SECTION 2 2 3 4 4" xfId="21961" xr:uid="{00000000-0005-0000-0000-0000FF5C0000}"/>
    <cellStyle name="Hed Top - SECTION 2 2 3 4 4 2" xfId="21962" xr:uid="{00000000-0005-0000-0000-0000005D0000}"/>
    <cellStyle name="Hed Top - SECTION 2 2 3 4 5" xfId="21963" xr:uid="{00000000-0005-0000-0000-0000015D0000}"/>
    <cellStyle name="Hed Top - SECTION 2 2 3 4 5 2" xfId="21964" xr:uid="{00000000-0005-0000-0000-0000025D0000}"/>
    <cellStyle name="Hed Top - SECTION 2 2 3 4 6" xfId="21965" xr:uid="{00000000-0005-0000-0000-0000035D0000}"/>
    <cellStyle name="Hed Top - SECTION 2 2 3 4 6 2" xfId="21966" xr:uid="{00000000-0005-0000-0000-0000045D0000}"/>
    <cellStyle name="Hed Top - SECTION 2 2 3 4 7" xfId="21967" xr:uid="{00000000-0005-0000-0000-0000055D0000}"/>
    <cellStyle name="Hed Top - SECTION 2 2 3 4 7 2" xfId="21968" xr:uid="{00000000-0005-0000-0000-0000065D0000}"/>
    <cellStyle name="Hed Top - SECTION 2 2 3 4 8" xfId="21969" xr:uid="{00000000-0005-0000-0000-0000075D0000}"/>
    <cellStyle name="Hed Top - SECTION 2 2 3 4 8 2" xfId="21970" xr:uid="{00000000-0005-0000-0000-0000085D0000}"/>
    <cellStyle name="Hed Top - SECTION 2 2 3 4 9" xfId="21971" xr:uid="{00000000-0005-0000-0000-0000095D0000}"/>
    <cellStyle name="Hed Top - SECTION 2 2 3 4 9 2" xfId="21972" xr:uid="{00000000-0005-0000-0000-00000A5D0000}"/>
    <cellStyle name="Hed Top - SECTION 2 2 3 5" xfId="21973" xr:uid="{00000000-0005-0000-0000-00000B5D0000}"/>
    <cellStyle name="Hed Top - SECTION 2 2 3 5 10" xfId="21974" xr:uid="{00000000-0005-0000-0000-00000C5D0000}"/>
    <cellStyle name="Hed Top - SECTION 2 2 3 5 2" xfId="21975" xr:uid="{00000000-0005-0000-0000-00000D5D0000}"/>
    <cellStyle name="Hed Top - SECTION 2 2 3 5 2 2" xfId="21976" xr:uid="{00000000-0005-0000-0000-00000E5D0000}"/>
    <cellStyle name="Hed Top - SECTION 2 2 3 5 3" xfId="21977" xr:uid="{00000000-0005-0000-0000-00000F5D0000}"/>
    <cellStyle name="Hed Top - SECTION 2 2 3 5 3 2" xfId="21978" xr:uid="{00000000-0005-0000-0000-0000105D0000}"/>
    <cellStyle name="Hed Top - SECTION 2 2 3 5 4" xfId="21979" xr:uid="{00000000-0005-0000-0000-0000115D0000}"/>
    <cellStyle name="Hed Top - SECTION 2 2 3 5 4 2" xfId="21980" xr:uid="{00000000-0005-0000-0000-0000125D0000}"/>
    <cellStyle name="Hed Top - SECTION 2 2 3 5 5" xfId="21981" xr:uid="{00000000-0005-0000-0000-0000135D0000}"/>
    <cellStyle name="Hed Top - SECTION 2 2 3 5 5 2" xfId="21982" xr:uid="{00000000-0005-0000-0000-0000145D0000}"/>
    <cellStyle name="Hed Top - SECTION 2 2 3 5 6" xfId="21983" xr:uid="{00000000-0005-0000-0000-0000155D0000}"/>
    <cellStyle name="Hed Top - SECTION 2 2 3 5 6 2" xfId="21984" xr:uid="{00000000-0005-0000-0000-0000165D0000}"/>
    <cellStyle name="Hed Top - SECTION 2 2 3 5 7" xfId="21985" xr:uid="{00000000-0005-0000-0000-0000175D0000}"/>
    <cellStyle name="Hed Top - SECTION 2 2 3 5 7 2" xfId="21986" xr:uid="{00000000-0005-0000-0000-0000185D0000}"/>
    <cellStyle name="Hed Top - SECTION 2 2 3 5 8" xfId="21987" xr:uid="{00000000-0005-0000-0000-0000195D0000}"/>
    <cellStyle name="Hed Top - SECTION 2 2 3 5 8 2" xfId="21988" xr:uid="{00000000-0005-0000-0000-00001A5D0000}"/>
    <cellStyle name="Hed Top - SECTION 2 2 3 5 9" xfId="21989" xr:uid="{00000000-0005-0000-0000-00001B5D0000}"/>
    <cellStyle name="Hed Top - SECTION 2 2 3 5 9 2" xfId="21990" xr:uid="{00000000-0005-0000-0000-00001C5D0000}"/>
    <cellStyle name="Hed Top - SECTION 2 2 3 6" xfId="21991" xr:uid="{00000000-0005-0000-0000-00001D5D0000}"/>
    <cellStyle name="Hed Top - SECTION 2 2 3 6 10" xfId="21992" xr:uid="{00000000-0005-0000-0000-00001E5D0000}"/>
    <cellStyle name="Hed Top - SECTION 2 2 3 6 2" xfId="21993" xr:uid="{00000000-0005-0000-0000-00001F5D0000}"/>
    <cellStyle name="Hed Top - SECTION 2 2 3 6 2 2" xfId="21994" xr:uid="{00000000-0005-0000-0000-0000205D0000}"/>
    <cellStyle name="Hed Top - SECTION 2 2 3 6 3" xfId="21995" xr:uid="{00000000-0005-0000-0000-0000215D0000}"/>
    <cellStyle name="Hed Top - SECTION 2 2 3 6 3 2" xfId="21996" xr:uid="{00000000-0005-0000-0000-0000225D0000}"/>
    <cellStyle name="Hed Top - SECTION 2 2 3 6 4" xfId="21997" xr:uid="{00000000-0005-0000-0000-0000235D0000}"/>
    <cellStyle name="Hed Top - SECTION 2 2 3 6 4 2" xfId="21998" xr:uid="{00000000-0005-0000-0000-0000245D0000}"/>
    <cellStyle name="Hed Top - SECTION 2 2 3 6 5" xfId="21999" xr:uid="{00000000-0005-0000-0000-0000255D0000}"/>
    <cellStyle name="Hed Top - SECTION 2 2 3 6 5 2" xfId="22000" xr:uid="{00000000-0005-0000-0000-0000265D0000}"/>
    <cellStyle name="Hed Top - SECTION 2 2 3 6 6" xfId="22001" xr:uid="{00000000-0005-0000-0000-0000275D0000}"/>
    <cellStyle name="Hed Top - SECTION 2 2 3 6 6 2" xfId="22002" xr:uid="{00000000-0005-0000-0000-0000285D0000}"/>
    <cellStyle name="Hed Top - SECTION 2 2 3 6 7" xfId="22003" xr:uid="{00000000-0005-0000-0000-0000295D0000}"/>
    <cellStyle name="Hed Top - SECTION 2 2 3 6 7 2" xfId="22004" xr:uid="{00000000-0005-0000-0000-00002A5D0000}"/>
    <cellStyle name="Hed Top - SECTION 2 2 3 6 8" xfId="22005" xr:uid="{00000000-0005-0000-0000-00002B5D0000}"/>
    <cellStyle name="Hed Top - SECTION 2 2 3 6 8 2" xfId="22006" xr:uid="{00000000-0005-0000-0000-00002C5D0000}"/>
    <cellStyle name="Hed Top - SECTION 2 2 3 6 9" xfId="22007" xr:uid="{00000000-0005-0000-0000-00002D5D0000}"/>
    <cellStyle name="Hed Top - SECTION 2 2 3 6 9 2" xfId="22008" xr:uid="{00000000-0005-0000-0000-00002E5D0000}"/>
    <cellStyle name="Hed Top - SECTION 2 2 3 7" xfId="22009" xr:uid="{00000000-0005-0000-0000-00002F5D0000}"/>
    <cellStyle name="Hed Top - SECTION 2 2 3 7 10" xfId="22010" xr:uid="{00000000-0005-0000-0000-0000305D0000}"/>
    <cellStyle name="Hed Top - SECTION 2 2 3 7 2" xfId="22011" xr:uid="{00000000-0005-0000-0000-0000315D0000}"/>
    <cellStyle name="Hed Top - SECTION 2 2 3 7 2 2" xfId="22012" xr:uid="{00000000-0005-0000-0000-0000325D0000}"/>
    <cellStyle name="Hed Top - SECTION 2 2 3 7 3" xfId="22013" xr:uid="{00000000-0005-0000-0000-0000335D0000}"/>
    <cellStyle name="Hed Top - SECTION 2 2 3 7 3 2" xfId="22014" xr:uid="{00000000-0005-0000-0000-0000345D0000}"/>
    <cellStyle name="Hed Top - SECTION 2 2 3 7 4" xfId="22015" xr:uid="{00000000-0005-0000-0000-0000355D0000}"/>
    <cellStyle name="Hed Top - SECTION 2 2 3 7 4 2" xfId="22016" xr:uid="{00000000-0005-0000-0000-0000365D0000}"/>
    <cellStyle name="Hed Top - SECTION 2 2 3 7 5" xfId="22017" xr:uid="{00000000-0005-0000-0000-0000375D0000}"/>
    <cellStyle name="Hed Top - SECTION 2 2 3 7 5 2" xfId="22018" xr:uid="{00000000-0005-0000-0000-0000385D0000}"/>
    <cellStyle name="Hed Top - SECTION 2 2 3 7 6" xfId="22019" xr:uid="{00000000-0005-0000-0000-0000395D0000}"/>
    <cellStyle name="Hed Top - SECTION 2 2 3 7 6 2" xfId="22020" xr:uid="{00000000-0005-0000-0000-00003A5D0000}"/>
    <cellStyle name="Hed Top - SECTION 2 2 3 7 7" xfId="22021" xr:uid="{00000000-0005-0000-0000-00003B5D0000}"/>
    <cellStyle name="Hed Top - SECTION 2 2 3 7 7 2" xfId="22022" xr:uid="{00000000-0005-0000-0000-00003C5D0000}"/>
    <cellStyle name="Hed Top - SECTION 2 2 3 7 8" xfId="22023" xr:uid="{00000000-0005-0000-0000-00003D5D0000}"/>
    <cellStyle name="Hed Top - SECTION 2 2 3 7 8 2" xfId="22024" xr:uid="{00000000-0005-0000-0000-00003E5D0000}"/>
    <cellStyle name="Hed Top - SECTION 2 2 3 7 9" xfId="22025" xr:uid="{00000000-0005-0000-0000-00003F5D0000}"/>
    <cellStyle name="Hed Top - SECTION 2 2 3 7 9 2" xfId="22026" xr:uid="{00000000-0005-0000-0000-0000405D0000}"/>
    <cellStyle name="Hed Top - SECTION 2 2 3 8" xfId="22027" xr:uid="{00000000-0005-0000-0000-0000415D0000}"/>
    <cellStyle name="Hed Top - SECTION 2 2 3 8 10" xfId="22028" xr:uid="{00000000-0005-0000-0000-0000425D0000}"/>
    <cellStyle name="Hed Top - SECTION 2 2 3 8 2" xfId="22029" xr:uid="{00000000-0005-0000-0000-0000435D0000}"/>
    <cellStyle name="Hed Top - SECTION 2 2 3 8 2 2" xfId="22030" xr:uid="{00000000-0005-0000-0000-0000445D0000}"/>
    <cellStyle name="Hed Top - SECTION 2 2 3 8 3" xfId="22031" xr:uid="{00000000-0005-0000-0000-0000455D0000}"/>
    <cellStyle name="Hed Top - SECTION 2 2 3 8 3 2" xfId="22032" xr:uid="{00000000-0005-0000-0000-0000465D0000}"/>
    <cellStyle name="Hed Top - SECTION 2 2 3 8 4" xfId="22033" xr:uid="{00000000-0005-0000-0000-0000475D0000}"/>
    <cellStyle name="Hed Top - SECTION 2 2 3 8 4 2" xfId="22034" xr:uid="{00000000-0005-0000-0000-0000485D0000}"/>
    <cellStyle name="Hed Top - SECTION 2 2 3 8 5" xfId="22035" xr:uid="{00000000-0005-0000-0000-0000495D0000}"/>
    <cellStyle name="Hed Top - SECTION 2 2 3 8 5 2" xfId="22036" xr:uid="{00000000-0005-0000-0000-00004A5D0000}"/>
    <cellStyle name="Hed Top - SECTION 2 2 3 8 6" xfId="22037" xr:uid="{00000000-0005-0000-0000-00004B5D0000}"/>
    <cellStyle name="Hed Top - SECTION 2 2 3 8 6 2" xfId="22038" xr:uid="{00000000-0005-0000-0000-00004C5D0000}"/>
    <cellStyle name="Hed Top - SECTION 2 2 3 8 7" xfId="22039" xr:uid="{00000000-0005-0000-0000-00004D5D0000}"/>
    <cellStyle name="Hed Top - SECTION 2 2 3 8 7 2" xfId="22040" xr:uid="{00000000-0005-0000-0000-00004E5D0000}"/>
    <cellStyle name="Hed Top - SECTION 2 2 3 8 8" xfId="22041" xr:uid="{00000000-0005-0000-0000-00004F5D0000}"/>
    <cellStyle name="Hed Top - SECTION 2 2 3 8 8 2" xfId="22042" xr:uid="{00000000-0005-0000-0000-0000505D0000}"/>
    <cellStyle name="Hed Top - SECTION 2 2 3 8 9" xfId="22043" xr:uid="{00000000-0005-0000-0000-0000515D0000}"/>
    <cellStyle name="Hed Top - SECTION 2 2 3 8 9 2" xfId="22044" xr:uid="{00000000-0005-0000-0000-0000525D0000}"/>
    <cellStyle name="Hed Top - SECTION 2 2 3 9" xfId="22045" xr:uid="{00000000-0005-0000-0000-0000535D0000}"/>
    <cellStyle name="Hed Top - SECTION 2 2 3 9 10" xfId="22046" xr:uid="{00000000-0005-0000-0000-0000545D0000}"/>
    <cellStyle name="Hed Top - SECTION 2 2 3 9 2" xfId="22047" xr:uid="{00000000-0005-0000-0000-0000555D0000}"/>
    <cellStyle name="Hed Top - SECTION 2 2 3 9 2 2" xfId="22048" xr:uid="{00000000-0005-0000-0000-0000565D0000}"/>
    <cellStyle name="Hed Top - SECTION 2 2 3 9 3" xfId="22049" xr:uid="{00000000-0005-0000-0000-0000575D0000}"/>
    <cellStyle name="Hed Top - SECTION 2 2 3 9 3 2" xfId="22050" xr:uid="{00000000-0005-0000-0000-0000585D0000}"/>
    <cellStyle name="Hed Top - SECTION 2 2 3 9 4" xfId="22051" xr:uid="{00000000-0005-0000-0000-0000595D0000}"/>
    <cellStyle name="Hed Top - SECTION 2 2 3 9 4 2" xfId="22052" xr:uid="{00000000-0005-0000-0000-00005A5D0000}"/>
    <cellStyle name="Hed Top - SECTION 2 2 3 9 5" xfId="22053" xr:uid="{00000000-0005-0000-0000-00005B5D0000}"/>
    <cellStyle name="Hed Top - SECTION 2 2 3 9 5 2" xfId="22054" xr:uid="{00000000-0005-0000-0000-00005C5D0000}"/>
    <cellStyle name="Hed Top - SECTION 2 2 3 9 6" xfId="22055" xr:uid="{00000000-0005-0000-0000-00005D5D0000}"/>
    <cellStyle name="Hed Top - SECTION 2 2 3 9 6 2" xfId="22056" xr:uid="{00000000-0005-0000-0000-00005E5D0000}"/>
    <cellStyle name="Hed Top - SECTION 2 2 3 9 7" xfId="22057" xr:uid="{00000000-0005-0000-0000-00005F5D0000}"/>
    <cellStyle name="Hed Top - SECTION 2 2 3 9 7 2" xfId="22058" xr:uid="{00000000-0005-0000-0000-0000605D0000}"/>
    <cellStyle name="Hed Top - SECTION 2 2 3 9 8" xfId="22059" xr:uid="{00000000-0005-0000-0000-0000615D0000}"/>
    <cellStyle name="Hed Top - SECTION 2 2 3 9 8 2" xfId="22060" xr:uid="{00000000-0005-0000-0000-0000625D0000}"/>
    <cellStyle name="Hed Top - SECTION 2 2 3 9 9" xfId="22061" xr:uid="{00000000-0005-0000-0000-0000635D0000}"/>
    <cellStyle name="Hed Top - SECTION 2 2 3 9 9 2" xfId="22062" xr:uid="{00000000-0005-0000-0000-0000645D0000}"/>
    <cellStyle name="Hed Top - SECTION 2 2 4" xfId="22063" xr:uid="{00000000-0005-0000-0000-0000655D0000}"/>
    <cellStyle name="Hed Top - SECTION 2 2 4 10" xfId="22064" xr:uid="{00000000-0005-0000-0000-0000665D0000}"/>
    <cellStyle name="Hed Top - SECTION 2 2 4 10 2" xfId="22065" xr:uid="{00000000-0005-0000-0000-0000675D0000}"/>
    <cellStyle name="Hed Top - SECTION 2 2 4 10 2 2" xfId="22066" xr:uid="{00000000-0005-0000-0000-0000685D0000}"/>
    <cellStyle name="Hed Top - SECTION 2 2 4 10 3" xfId="22067" xr:uid="{00000000-0005-0000-0000-0000695D0000}"/>
    <cellStyle name="Hed Top - SECTION 2 2 4 10 3 2" xfId="22068" xr:uid="{00000000-0005-0000-0000-00006A5D0000}"/>
    <cellStyle name="Hed Top - SECTION 2 2 4 10 4" xfId="22069" xr:uid="{00000000-0005-0000-0000-00006B5D0000}"/>
    <cellStyle name="Hed Top - SECTION 2 2 4 10 4 2" xfId="22070" xr:uid="{00000000-0005-0000-0000-00006C5D0000}"/>
    <cellStyle name="Hed Top - SECTION 2 2 4 10 5" xfId="22071" xr:uid="{00000000-0005-0000-0000-00006D5D0000}"/>
    <cellStyle name="Hed Top - SECTION 2 2 4 10 5 2" xfId="22072" xr:uid="{00000000-0005-0000-0000-00006E5D0000}"/>
    <cellStyle name="Hed Top - SECTION 2 2 4 10 6" xfId="22073" xr:uid="{00000000-0005-0000-0000-00006F5D0000}"/>
    <cellStyle name="Hed Top - SECTION 2 2 4 10 6 2" xfId="22074" xr:uid="{00000000-0005-0000-0000-0000705D0000}"/>
    <cellStyle name="Hed Top - SECTION 2 2 4 10 7" xfId="22075" xr:uid="{00000000-0005-0000-0000-0000715D0000}"/>
    <cellStyle name="Hed Top - SECTION 2 2 4 10 7 2" xfId="22076" xr:uid="{00000000-0005-0000-0000-0000725D0000}"/>
    <cellStyle name="Hed Top - SECTION 2 2 4 10 8" xfId="22077" xr:uid="{00000000-0005-0000-0000-0000735D0000}"/>
    <cellStyle name="Hed Top - SECTION 2 2 4 10 8 2" xfId="22078" xr:uid="{00000000-0005-0000-0000-0000745D0000}"/>
    <cellStyle name="Hed Top - SECTION 2 2 4 10 9" xfId="22079" xr:uid="{00000000-0005-0000-0000-0000755D0000}"/>
    <cellStyle name="Hed Top - SECTION 2 2 4 11" xfId="22080" xr:uid="{00000000-0005-0000-0000-0000765D0000}"/>
    <cellStyle name="Hed Top - SECTION 2 2 4 11 2" xfId="22081" xr:uid="{00000000-0005-0000-0000-0000775D0000}"/>
    <cellStyle name="Hed Top - SECTION 2 2 4 12" xfId="22082" xr:uid="{00000000-0005-0000-0000-0000785D0000}"/>
    <cellStyle name="Hed Top - SECTION 2 2 4 12 2" xfId="22083" xr:uid="{00000000-0005-0000-0000-0000795D0000}"/>
    <cellStyle name="Hed Top - SECTION 2 2 4 13" xfId="22084" xr:uid="{00000000-0005-0000-0000-00007A5D0000}"/>
    <cellStyle name="Hed Top - SECTION 2 2 4 13 2" xfId="22085" xr:uid="{00000000-0005-0000-0000-00007B5D0000}"/>
    <cellStyle name="Hed Top - SECTION 2 2 4 14" xfId="22086" xr:uid="{00000000-0005-0000-0000-00007C5D0000}"/>
    <cellStyle name="Hed Top - SECTION 2 2 4 14 2" xfId="22087" xr:uid="{00000000-0005-0000-0000-00007D5D0000}"/>
    <cellStyle name="Hed Top - SECTION 2 2 4 15" xfId="22088" xr:uid="{00000000-0005-0000-0000-00007E5D0000}"/>
    <cellStyle name="Hed Top - SECTION 2 2 4 15 2" xfId="22089" xr:uid="{00000000-0005-0000-0000-00007F5D0000}"/>
    <cellStyle name="Hed Top - SECTION 2 2 4 16" xfId="22090" xr:uid="{00000000-0005-0000-0000-0000805D0000}"/>
    <cellStyle name="Hed Top - SECTION 2 2 4 16 2" xfId="22091" xr:uid="{00000000-0005-0000-0000-0000815D0000}"/>
    <cellStyle name="Hed Top - SECTION 2 2 4 17" xfId="22092" xr:uid="{00000000-0005-0000-0000-0000825D0000}"/>
    <cellStyle name="Hed Top - SECTION 2 2 4 17 2" xfId="22093" xr:uid="{00000000-0005-0000-0000-0000835D0000}"/>
    <cellStyle name="Hed Top - SECTION 2 2 4 18" xfId="22094" xr:uid="{00000000-0005-0000-0000-0000845D0000}"/>
    <cellStyle name="Hed Top - SECTION 2 2 4 2" xfId="22095" xr:uid="{00000000-0005-0000-0000-0000855D0000}"/>
    <cellStyle name="Hed Top - SECTION 2 2 4 2 10" xfId="22096" xr:uid="{00000000-0005-0000-0000-0000865D0000}"/>
    <cellStyle name="Hed Top - SECTION 2 2 4 2 2" xfId="22097" xr:uid="{00000000-0005-0000-0000-0000875D0000}"/>
    <cellStyle name="Hed Top - SECTION 2 2 4 2 2 2" xfId="22098" xr:uid="{00000000-0005-0000-0000-0000885D0000}"/>
    <cellStyle name="Hed Top - SECTION 2 2 4 2 3" xfId="22099" xr:uid="{00000000-0005-0000-0000-0000895D0000}"/>
    <cellStyle name="Hed Top - SECTION 2 2 4 2 3 2" xfId="22100" xr:uid="{00000000-0005-0000-0000-00008A5D0000}"/>
    <cellStyle name="Hed Top - SECTION 2 2 4 2 4" xfId="22101" xr:uid="{00000000-0005-0000-0000-00008B5D0000}"/>
    <cellStyle name="Hed Top - SECTION 2 2 4 2 4 2" xfId="22102" xr:uid="{00000000-0005-0000-0000-00008C5D0000}"/>
    <cellStyle name="Hed Top - SECTION 2 2 4 2 5" xfId="22103" xr:uid="{00000000-0005-0000-0000-00008D5D0000}"/>
    <cellStyle name="Hed Top - SECTION 2 2 4 2 5 2" xfId="22104" xr:uid="{00000000-0005-0000-0000-00008E5D0000}"/>
    <cellStyle name="Hed Top - SECTION 2 2 4 2 6" xfId="22105" xr:uid="{00000000-0005-0000-0000-00008F5D0000}"/>
    <cellStyle name="Hed Top - SECTION 2 2 4 2 6 2" xfId="22106" xr:uid="{00000000-0005-0000-0000-0000905D0000}"/>
    <cellStyle name="Hed Top - SECTION 2 2 4 2 7" xfId="22107" xr:uid="{00000000-0005-0000-0000-0000915D0000}"/>
    <cellStyle name="Hed Top - SECTION 2 2 4 2 7 2" xfId="22108" xr:uid="{00000000-0005-0000-0000-0000925D0000}"/>
    <cellStyle name="Hed Top - SECTION 2 2 4 2 8" xfId="22109" xr:uid="{00000000-0005-0000-0000-0000935D0000}"/>
    <cellStyle name="Hed Top - SECTION 2 2 4 2 8 2" xfId="22110" xr:uid="{00000000-0005-0000-0000-0000945D0000}"/>
    <cellStyle name="Hed Top - SECTION 2 2 4 2 9" xfId="22111" xr:uid="{00000000-0005-0000-0000-0000955D0000}"/>
    <cellStyle name="Hed Top - SECTION 2 2 4 2 9 2" xfId="22112" xr:uid="{00000000-0005-0000-0000-0000965D0000}"/>
    <cellStyle name="Hed Top - SECTION 2 2 4 3" xfId="22113" xr:uid="{00000000-0005-0000-0000-0000975D0000}"/>
    <cellStyle name="Hed Top - SECTION 2 2 4 3 10" xfId="22114" xr:uid="{00000000-0005-0000-0000-0000985D0000}"/>
    <cellStyle name="Hed Top - SECTION 2 2 4 3 2" xfId="22115" xr:uid="{00000000-0005-0000-0000-0000995D0000}"/>
    <cellStyle name="Hed Top - SECTION 2 2 4 3 2 2" xfId="22116" xr:uid="{00000000-0005-0000-0000-00009A5D0000}"/>
    <cellStyle name="Hed Top - SECTION 2 2 4 3 3" xfId="22117" xr:uid="{00000000-0005-0000-0000-00009B5D0000}"/>
    <cellStyle name="Hed Top - SECTION 2 2 4 3 3 2" xfId="22118" xr:uid="{00000000-0005-0000-0000-00009C5D0000}"/>
    <cellStyle name="Hed Top - SECTION 2 2 4 3 4" xfId="22119" xr:uid="{00000000-0005-0000-0000-00009D5D0000}"/>
    <cellStyle name="Hed Top - SECTION 2 2 4 3 4 2" xfId="22120" xr:uid="{00000000-0005-0000-0000-00009E5D0000}"/>
    <cellStyle name="Hed Top - SECTION 2 2 4 3 5" xfId="22121" xr:uid="{00000000-0005-0000-0000-00009F5D0000}"/>
    <cellStyle name="Hed Top - SECTION 2 2 4 3 5 2" xfId="22122" xr:uid="{00000000-0005-0000-0000-0000A05D0000}"/>
    <cellStyle name="Hed Top - SECTION 2 2 4 3 6" xfId="22123" xr:uid="{00000000-0005-0000-0000-0000A15D0000}"/>
    <cellStyle name="Hed Top - SECTION 2 2 4 3 6 2" xfId="22124" xr:uid="{00000000-0005-0000-0000-0000A25D0000}"/>
    <cellStyle name="Hed Top - SECTION 2 2 4 3 7" xfId="22125" xr:uid="{00000000-0005-0000-0000-0000A35D0000}"/>
    <cellStyle name="Hed Top - SECTION 2 2 4 3 7 2" xfId="22126" xr:uid="{00000000-0005-0000-0000-0000A45D0000}"/>
    <cellStyle name="Hed Top - SECTION 2 2 4 3 8" xfId="22127" xr:uid="{00000000-0005-0000-0000-0000A55D0000}"/>
    <cellStyle name="Hed Top - SECTION 2 2 4 3 8 2" xfId="22128" xr:uid="{00000000-0005-0000-0000-0000A65D0000}"/>
    <cellStyle name="Hed Top - SECTION 2 2 4 3 9" xfId="22129" xr:uid="{00000000-0005-0000-0000-0000A75D0000}"/>
    <cellStyle name="Hed Top - SECTION 2 2 4 3 9 2" xfId="22130" xr:uid="{00000000-0005-0000-0000-0000A85D0000}"/>
    <cellStyle name="Hed Top - SECTION 2 2 4 4" xfId="22131" xr:uid="{00000000-0005-0000-0000-0000A95D0000}"/>
    <cellStyle name="Hed Top - SECTION 2 2 4 4 10" xfId="22132" xr:uid="{00000000-0005-0000-0000-0000AA5D0000}"/>
    <cellStyle name="Hed Top - SECTION 2 2 4 4 2" xfId="22133" xr:uid="{00000000-0005-0000-0000-0000AB5D0000}"/>
    <cellStyle name="Hed Top - SECTION 2 2 4 4 2 2" xfId="22134" xr:uid="{00000000-0005-0000-0000-0000AC5D0000}"/>
    <cellStyle name="Hed Top - SECTION 2 2 4 4 3" xfId="22135" xr:uid="{00000000-0005-0000-0000-0000AD5D0000}"/>
    <cellStyle name="Hed Top - SECTION 2 2 4 4 3 2" xfId="22136" xr:uid="{00000000-0005-0000-0000-0000AE5D0000}"/>
    <cellStyle name="Hed Top - SECTION 2 2 4 4 4" xfId="22137" xr:uid="{00000000-0005-0000-0000-0000AF5D0000}"/>
    <cellStyle name="Hed Top - SECTION 2 2 4 4 4 2" xfId="22138" xr:uid="{00000000-0005-0000-0000-0000B05D0000}"/>
    <cellStyle name="Hed Top - SECTION 2 2 4 4 5" xfId="22139" xr:uid="{00000000-0005-0000-0000-0000B15D0000}"/>
    <cellStyle name="Hed Top - SECTION 2 2 4 4 5 2" xfId="22140" xr:uid="{00000000-0005-0000-0000-0000B25D0000}"/>
    <cellStyle name="Hed Top - SECTION 2 2 4 4 6" xfId="22141" xr:uid="{00000000-0005-0000-0000-0000B35D0000}"/>
    <cellStyle name="Hed Top - SECTION 2 2 4 4 6 2" xfId="22142" xr:uid="{00000000-0005-0000-0000-0000B45D0000}"/>
    <cellStyle name="Hed Top - SECTION 2 2 4 4 7" xfId="22143" xr:uid="{00000000-0005-0000-0000-0000B55D0000}"/>
    <cellStyle name="Hed Top - SECTION 2 2 4 4 7 2" xfId="22144" xr:uid="{00000000-0005-0000-0000-0000B65D0000}"/>
    <cellStyle name="Hed Top - SECTION 2 2 4 4 8" xfId="22145" xr:uid="{00000000-0005-0000-0000-0000B75D0000}"/>
    <cellStyle name="Hed Top - SECTION 2 2 4 4 8 2" xfId="22146" xr:uid="{00000000-0005-0000-0000-0000B85D0000}"/>
    <cellStyle name="Hed Top - SECTION 2 2 4 4 9" xfId="22147" xr:uid="{00000000-0005-0000-0000-0000B95D0000}"/>
    <cellStyle name="Hed Top - SECTION 2 2 4 4 9 2" xfId="22148" xr:uid="{00000000-0005-0000-0000-0000BA5D0000}"/>
    <cellStyle name="Hed Top - SECTION 2 2 4 5" xfId="22149" xr:uid="{00000000-0005-0000-0000-0000BB5D0000}"/>
    <cellStyle name="Hed Top - SECTION 2 2 4 5 10" xfId="22150" xr:uid="{00000000-0005-0000-0000-0000BC5D0000}"/>
    <cellStyle name="Hed Top - SECTION 2 2 4 5 2" xfId="22151" xr:uid="{00000000-0005-0000-0000-0000BD5D0000}"/>
    <cellStyle name="Hed Top - SECTION 2 2 4 5 2 2" xfId="22152" xr:uid="{00000000-0005-0000-0000-0000BE5D0000}"/>
    <cellStyle name="Hed Top - SECTION 2 2 4 5 3" xfId="22153" xr:uid="{00000000-0005-0000-0000-0000BF5D0000}"/>
    <cellStyle name="Hed Top - SECTION 2 2 4 5 3 2" xfId="22154" xr:uid="{00000000-0005-0000-0000-0000C05D0000}"/>
    <cellStyle name="Hed Top - SECTION 2 2 4 5 4" xfId="22155" xr:uid="{00000000-0005-0000-0000-0000C15D0000}"/>
    <cellStyle name="Hed Top - SECTION 2 2 4 5 4 2" xfId="22156" xr:uid="{00000000-0005-0000-0000-0000C25D0000}"/>
    <cellStyle name="Hed Top - SECTION 2 2 4 5 5" xfId="22157" xr:uid="{00000000-0005-0000-0000-0000C35D0000}"/>
    <cellStyle name="Hed Top - SECTION 2 2 4 5 5 2" xfId="22158" xr:uid="{00000000-0005-0000-0000-0000C45D0000}"/>
    <cellStyle name="Hed Top - SECTION 2 2 4 5 6" xfId="22159" xr:uid="{00000000-0005-0000-0000-0000C55D0000}"/>
    <cellStyle name="Hed Top - SECTION 2 2 4 5 6 2" xfId="22160" xr:uid="{00000000-0005-0000-0000-0000C65D0000}"/>
    <cellStyle name="Hed Top - SECTION 2 2 4 5 7" xfId="22161" xr:uid="{00000000-0005-0000-0000-0000C75D0000}"/>
    <cellStyle name="Hed Top - SECTION 2 2 4 5 7 2" xfId="22162" xr:uid="{00000000-0005-0000-0000-0000C85D0000}"/>
    <cellStyle name="Hed Top - SECTION 2 2 4 5 8" xfId="22163" xr:uid="{00000000-0005-0000-0000-0000C95D0000}"/>
    <cellStyle name="Hed Top - SECTION 2 2 4 5 8 2" xfId="22164" xr:uid="{00000000-0005-0000-0000-0000CA5D0000}"/>
    <cellStyle name="Hed Top - SECTION 2 2 4 5 9" xfId="22165" xr:uid="{00000000-0005-0000-0000-0000CB5D0000}"/>
    <cellStyle name="Hed Top - SECTION 2 2 4 5 9 2" xfId="22166" xr:uid="{00000000-0005-0000-0000-0000CC5D0000}"/>
    <cellStyle name="Hed Top - SECTION 2 2 4 6" xfId="22167" xr:uid="{00000000-0005-0000-0000-0000CD5D0000}"/>
    <cellStyle name="Hed Top - SECTION 2 2 4 6 10" xfId="22168" xr:uid="{00000000-0005-0000-0000-0000CE5D0000}"/>
    <cellStyle name="Hed Top - SECTION 2 2 4 6 2" xfId="22169" xr:uid="{00000000-0005-0000-0000-0000CF5D0000}"/>
    <cellStyle name="Hed Top - SECTION 2 2 4 6 2 2" xfId="22170" xr:uid="{00000000-0005-0000-0000-0000D05D0000}"/>
    <cellStyle name="Hed Top - SECTION 2 2 4 6 3" xfId="22171" xr:uid="{00000000-0005-0000-0000-0000D15D0000}"/>
    <cellStyle name="Hed Top - SECTION 2 2 4 6 3 2" xfId="22172" xr:uid="{00000000-0005-0000-0000-0000D25D0000}"/>
    <cellStyle name="Hed Top - SECTION 2 2 4 6 4" xfId="22173" xr:uid="{00000000-0005-0000-0000-0000D35D0000}"/>
    <cellStyle name="Hed Top - SECTION 2 2 4 6 4 2" xfId="22174" xr:uid="{00000000-0005-0000-0000-0000D45D0000}"/>
    <cellStyle name="Hed Top - SECTION 2 2 4 6 5" xfId="22175" xr:uid="{00000000-0005-0000-0000-0000D55D0000}"/>
    <cellStyle name="Hed Top - SECTION 2 2 4 6 5 2" xfId="22176" xr:uid="{00000000-0005-0000-0000-0000D65D0000}"/>
    <cellStyle name="Hed Top - SECTION 2 2 4 6 6" xfId="22177" xr:uid="{00000000-0005-0000-0000-0000D75D0000}"/>
    <cellStyle name="Hed Top - SECTION 2 2 4 6 6 2" xfId="22178" xr:uid="{00000000-0005-0000-0000-0000D85D0000}"/>
    <cellStyle name="Hed Top - SECTION 2 2 4 6 7" xfId="22179" xr:uid="{00000000-0005-0000-0000-0000D95D0000}"/>
    <cellStyle name="Hed Top - SECTION 2 2 4 6 7 2" xfId="22180" xr:uid="{00000000-0005-0000-0000-0000DA5D0000}"/>
    <cellStyle name="Hed Top - SECTION 2 2 4 6 8" xfId="22181" xr:uid="{00000000-0005-0000-0000-0000DB5D0000}"/>
    <cellStyle name="Hed Top - SECTION 2 2 4 6 8 2" xfId="22182" xr:uid="{00000000-0005-0000-0000-0000DC5D0000}"/>
    <cellStyle name="Hed Top - SECTION 2 2 4 6 9" xfId="22183" xr:uid="{00000000-0005-0000-0000-0000DD5D0000}"/>
    <cellStyle name="Hed Top - SECTION 2 2 4 6 9 2" xfId="22184" xr:uid="{00000000-0005-0000-0000-0000DE5D0000}"/>
    <cellStyle name="Hed Top - SECTION 2 2 4 7" xfId="22185" xr:uid="{00000000-0005-0000-0000-0000DF5D0000}"/>
    <cellStyle name="Hed Top - SECTION 2 2 4 7 10" xfId="22186" xr:uid="{00000000-0005-0000-0000-0000E05D0000}"/>
    <cellStyle name="Hed Top - SECTION 2 2 4 7 2" xfId="22187" xr:uid="{00000000-0005-0000-0000-0000E15D0000}"/>
    <cellStyle name="Hed Top - SECTION 2 2 4 7 2 2" xfId="22188" xr:uid="{00000000-0005-0000-0000-0000E25D0000}"/>
    <cellStyle name="Hed Top - SECTION 2 2 4 7 3" xfId="22189" xr:uid="{00000000-0005-0000-0000-0000E35D0000}"/>
    <cellStyle name="Hed Top - SECTION 2 2 4 7 3 2" xfId="22190" xr:uid="{00000000-0005-0000-0000-0000E45D0000}"/>
    <cellStyle name="Hed Top - SECTION 2 2 4 7 4" xfId="22191" xr:uid="{00000000-0005-0000-0000-0000E55D0000}"/>
    <cellStyle name="Hed Top - SECTION 2 2 4 7 4 2" xfId="22192" xr:uid="{00000000-0005-0000-0000-0000E65D0000}"/>
    <cellStyle name="Hed Top - SECTION 2 2 4 7 5" xfId="22193" xr:uid="{00000000-0005-0000-0000-0000E75D0000}"/>
    <cellStyle name="Hed Top - SECTION 2 2 4 7 5 2" xfId="22194" xr:uid="{00000000-0005-0000-0000-0000E85D0000}"/>
    <cellStyle name="Hed Top - SECTION 2 2 4 7 6" xfId="22195" xr:uid="{00000000-0005-0000-0000-0000E95D0000}"/>
    <cellStyle name="Hed Top - SECTION 2 2 4 7 6 2" xfId="22196" xr:uid="{00000000-0005-0000-0000-0000EA5D0000}"/>
    <cellStyle name="Hed Top - SECTION 2 2 4 7 7" xfId="22197" xr:uid="{00000000-0005-0000-0000-0000EB5D0000}"/>
    <cellStyle name="Hed Top - SECTION 2 2 4 7 7 2" xfId="22198" xr:uid="{00000000-0005-0000-0000-0000EC5D0000}"/>
    <cellStyle name="Hed Top - SECTION 2 2 4 7 8" xfId="22199" xr:uid="{00000000-0005-0000-0000-0000ED5D0000}"/>
    <cellStyle name="Hed Top - SECTION 2 2 4 7 8 2" xfId="22200" xr:uid="{00000000-0005-0000-0000-0000EE5D0000}"/>
    <cellStyle name="Hed Top - SECTION 2 2 4 7 9" xfId="22201" xr:uid="{00000000-0005-0000-0000-0000EF5D0000}"/>
    <cellStyle name="Hed Top - SECTION 2 2 4 7 9 2" xfId="22202" xr:uid="{00000000-0005-0000-0000-0000F05D0000}"/>
    <cellStyle name="Hed Top - SECTION 2 2 4 8" xfId="22203" xr:uid="{00000000-0005-0000-0000-0000F15D0000}"/>
    <cellStyle name="Hed Top - SECTION 2 2 4 8 10" xfId="22204" xr:uid="{00000000-0005-0000-0000-0000F25D0000}"/>
    <cellStyle name="Hed Top - SECTION 2 2 4 8 2" xfId="22205" xr:uid="{00000000-0005-0000-0000-0000F35D0000}"/>
    <cellStyle name="Hed Top - SECTION 2 2 4 8 2 2" xfId="22206" xr:uid="{00000000-0005-0000-0000-0000F45D0000}"/>
    <cellStyle name="Hed Top - SECTION 2 2 4 8 3" xfId="22207" xr:uid="{00000000-0005-0000-0000-0000F55D0000}"/>
    <cellStyle name="Hed Top - SECTION 2 2 4 8 3 2" xfId="22208" xr:uid="{00000000-0005-0000-0000-0000F65D0000}"/>
    <cellStyle name="Hed Top - SECTION 2 2 4 8 4" xfId="22209" xr:uid="{00000000-0005-0000-0000-0000F75D0000}"/>
    <cellStyle name="Hed Top - SECTION 2 2 4 8 4 2" xfId="22210" xr:uid="{00000000-0005-0000-0000-0000F85D0000}"/>
    <cellStyle name="Hed Top - SECTION 2 2 4 8 5" xfId="22211" xr:uid="{00000000-0005-0000-0000-0000F95D0000}"/>
    <cellStyle name="Hed Top - SECTION 2 2 4 8 5 2" xfId="22212" xr:uid="{00000000-0005-0000-0000-0000FA5D0000}"/>
    <cellStyle name="Hed Top - SECTION 2 2 4 8 6" xfId="22213" xr:uid="{00000000-0005-0000-0000-0000FB5D0000}"/>
    <cellStyle name="Hed Top - SECTION 2 2 4 8 6 2" xfId="22214" xr:uid="{00000000-0005-0000-0000-0000FC5D0000}"/>
    <cellStyle name="Hed Top - SECTION 2 2 4 8 7" xfId="22215" xr:uid="{00000000-0005-0000-0000-0000FD5D0000}"/>
    <cellStyle name="Hed Top - SECTION 2 2 4 8 7 2" xfId="22216" xr:uid="{00000000-0005-0000-0000-0000FE5D0000}"/>
    <cellStyle name="Hed Top - SECTION 2 2 4 8 8" xfId="22217" xr:uid="{00000000-0005-0000-0000-0000FF5D0000}"/>
    <cellStyle name="Hed Top - SECTION 2 2 4 8 8 2" xfId="22218" xr:uid="{00000000-0005-0000-0000-0000005E0000}"/>
    <cellStyle name="Hed Top - SECTION 2 2 4 8 9" xfId="22219" xr:uid="{00000000-0005-0000-0000-0000015E0000}"/>
    <cellStyle name="Hed Top - SECTION 2 2 4 8 9 2" xfId="22220" xr:uid="{00000000-0005-0000-0000-0000025E0000}"/>
    <cellStyle name="Hed Top - SECTION 2 2 4 9" xfId="22221" xr:uid="{00000000-0005-0000-0000-0000035E0000}"/>
    <cellStyle name="Hed Top - SECTION 2 2 4 9 10" xfId="22222" xr:uid="{00000000-0005-0000-0000-0000045E0000}"/>
    <cellStyle name="Hed Top - SECTION 2 2 4 9 2" xfId="22223" xr:uid="{00000000-0005-0000-0000-0000055E0000}"/>
    <cellStyle name="Hed Top - SECTION 2 2 4 9 2 2" xfId="22224" xr:uid="{00000000-0005-0000-0000-0000065E0000}"/>
    <cellStyle name="Hed Top - SECTION 2 2 4 9 3" xfId="22225" xr:uid="{00000000-0005-0000-0000-0000075E0000}"/>
    <cellStyle name="Hed Top - SECTION 2 2 4 9 3 2" xfId="22226" xr:uid="{00000000-0005-0000-0000-0000085E0000}"/>
    <cellStyle name="Hed Top - SECTION 2 2 4 9 4" xfId="22227" xr:uid="{00000000-0005-0000-0000-0000095E0000}"/>
    <cellStyle name="Hed Top - SECTION 2 2 4 9 4 2" xfId="22228" xr:uid="{00000000-0005-0000-0000-00000A5E0000}"/>
    <cellStyle name="Hed Top - SECTION 2 2 4 9 5" xfId="22229" xr:uid="{00000000-0005-0000-0000-00000B5E0000}"/>
    <cellStyle name="Hed Top - SECTION 2 2 4 9 5 2" xfId="22230" xr:uid="{00000000-0005-0000-0000-00000C5E0000}"/>
    <cellStyle name="Hed Top - SECTION 2 2 4 9 6" xfId="22231" xr:uid="{00000000-0005-0000-0000-00000D5E0000}"/>
    <cellStyle name="Hed Top - SECTION 2 2 4 9 6 2" xfId="22232" xr:uid="{00000000-0005-0000-0000-00000E5E0000}"/>
    <cellStyle name="Hed Top - SECTION 2 2 4 9 7" xfId="22233" xr:uid="{00000000-0005-0000-0000-00000F5E0000}"/>
    <cellStyle name="Hed Top - SECTION 2 2 4 9 7 2" xfId="22234" xr:uid="{00000000-0005-0000-0000-0000105E0000}"/>
    <cellStyle name="Hed Top - SECTION 2 2 4 9 8" xfId="22235" xr:uid="{00000000-0005-0000-0000-0000115E0000}"/>
    <cellStyle name="Hed Top - SECTION 2 2 4 9 8 2" xfId="22236" xr:uid="{00000000-0005-0000-0000-0000125E0000}"/>
    <cellStyle name="Hed Top - SECTION 2 2 4 9 9" xfId="22237" xr:uid="{00000000-0005-0000-0000-0000135E0000}"/>
    <cellStyle name="Hed Top - SECTION 2 2 4 9 9 2" xfId="22238" xr:uid="{00000000-0005-0000-0000-0000145E0000}"/>
    <cellStyle name="Hed Top - SECTION 2 2 5" xfId="22239" xr:uid="{00000000-0005-0000-0000-0000155E0000}"/>
    <cellStyle name="Hed Top - SECTION 2 2 5 10" xfId="22240" xr:uid="{00000000-0005-0000-0000-0000165E0000}"/>
    <cellStyle name="Hed Top - SECTION 2 2 5 10 2" xfId="22241" xr:uid="{00000000-0005-0000-0000-0000175E0000}"/>
    <cellStyle name="Hed Top - SECTION 2 2 5 10 2 2" xfId="22242" xr:uid="{00000000-0005-0000-0000-0000185E0000}"/>
    <cellStyle name="Hed Top - SECTION 2 2 5 10 3" xfId="22243" xr:uid="{00000000-0005-0000-0000-0000195E0000}"/>
    <cellStyle name="Hed Top - SECTION 2 2 5 10 3 2" xfId="22244" xr:uid="{00000000-0005-0000-0000-00001A5E0000}"/>
    <cellStyle name="Hed Top - SECTION 2 2 5 10 4" xfId="22245" xr:uid="{00000000-0005-0000-0000-00001B5E0000}"/>
    <cellStyle name="Hed Top - SECTION 2 2 5 10 4 2" xfId="22246" xr:uid="{00000000-0005-0000-0000-00001C5E0000}"/>
    <cellStyle name="Hed Top - SECTION 2 2 5 10 5" xfId="22247" xr:uid="{00000000-0005-0000-0000-00001D5E0000}"/>
    <cellStyle name="Hed Top - SECTION 2 2 5 10 5 2" xfId="22248" xr:uid="{00000000-0005-0000-0000-00001E5E0000}"/>
    <cellStyle name="Hed Top - SECTION 2 2 5 10 6" xfId="22249" xr:uid="{00000000-0005-0000-0000-00001F5E0000}"/>
    <cellStyle name="Hed Top - SECTION 2 2 5 10 6 2" xfId="22250" xr:uid="{00000000-0005-0000-0000-0000205E0000}"/>
    <cellStyle name="Hed Top - SECTION 2 2 5 10 7" xfId="22251" xr:uid="{00000000-0005-0000-0000-0000215E0000}"/>
    <cellStyle name="Hed Top - SECTION 2 2 5 10 7 2" xfId="22252" xr:uid="{00000000-0005-0000-0000-0000225E0000}"/>
    <cellStyle name="Hed Top - SECTION 2 2 5 10 8" xfId="22253" xr:uid="{00000000-0005-0000-0000-0000235E0000}"/>
    <cellStyle name="Hed Top - SECTION 2 2 5 10 8 2" xfId="22254" xr:uid="{00000000-0005-0000-0000-0000245E0000}"/>
    <cellStyle name="Hed Top - SECTION 2 2 5 10 9" xfId="22255" xr:uid="{00000000-0005-0000-0000-0000255E0000}"/>
    <cellStyle name="Hed Top - SECTION 2 2 5 11" xfId="22256" xr:uid="{00000000-0005-0000-0000-0000265E0000}"/>
    <cellStyle name="Hed Top - SECTION 2 2 5 11 2" xfId="22257" xr:uid="{00000000-0005-0000-0000-0000275E0000}"/>
    <cellStyle name="Hed Top - SECTION 2 2 5 12" xfId="22258" xr:uid="{00000000-0005-0000-0000-0000285E0000}"/>
    <cellStyle name="Hed Top - SECTION 2 2 5 12 2" xfId="22259" xr:uid="{00000000-0005-0000-0000-0000295E0000}"/>
    <cellStyle name="Hed Top - SECTION 2 2 5 13" xfId="22260" xr:uid="{00000000-0005-0000-0000-00002A5E0000}"/>
    <cellStyle name="Hed Top - SECTION 2 2 5 13 2" xfId="22261" xr:uid="{00000000-0005-0000-0000-00002B5E0000}"/>
    <cellStyle name="Hed Top - SECTION 2 2 5 14" xfId="22262" xr:uid="{00000000-0005-0000-0000-00002C5E0000}"/>
    <cellStyle name="Hed Top - SECTION 2 2 5 14 2" xfId="22263" xr:uid="{00000000-0005-0000-0000-00002D5E0000}"/>
    <cellStyle name="Hed Top - SECTION 2 2 5 15" xfId="22264" xr:uid="{00000000-0005-0000-0000-00002E5E0000}"/>
    <cellStyle name="Hed Top - SECTION 2 2 5 15 2" xfId="22265" xr:uid="{00000000-0005-0000-0000-00002F5E0000}"/>
    <cellStyle name="Hed Top - SECTION 2 2 5 16" xfId="22266" xr:uid="{00000000-0005-0000-0000-0000305E0000}"/>
    <cellStyle name="Hed Top - SECTION 2 2 5 16 2" xfId="22267" xr:uid="{00000000-0005-0000-0000-0000315E0000}"/>
    <cellStyle name="Hed Top - SECTION 2 2 5 17" xfId="22268" xr:uid="{00000000-0005-0000-0000-0000325E0000}"/>
    <cellStyle name="Hed Top - SECTION 2 2 5 17 2" xfId="22269" xr:uid="{00000000-0005-0000-0000-0000335E0000}"/>
    <cellStyle name="Hed Top - SECTION 2 2 5 18" xfId="22270" xr:uid="{00000000-0005-0000-0000-0000345E0000}"/>
    <cellStyle name="Hed Top - SECTION 2 2 5 2" xfId="22271" xr:uid="{00000000-0005-0000-0000-0000355E0000}"/>
    <cellStyle name="Hed Top - SECTION 2 2 5 2 10" xfId="22272" xr:uid="{00000000-0005-0000-0000-0000365E0000}"/>
    <cellStyle name="Hed Top - SECTION 2 2 5 2 2" xfId="22273" xr:uid="{00000000-0005-0000-0000-0000375E0000}"/>
    <cellStyle name="Hed Top - SECTION 2 2 5 2 2 2" xfId="22274" xr:uid="{00000000-0005-0000-0000-0000385E0000}"/>
    <cellStyle name="Hed Top - SECTION 2 2 5 2 3" xfId="22275" xr:uid="{00000000-0005-0000-0000-0000395E0000}"/>
    <cellStyle name="Hed Top - SECTION 2 2 5 2 3 2" xfId="22276" xr:uid="{00000000-0005-0000-0000-00003A5E0000}"/>
    <cellStyle name="Hed Top - SECTION 2 2 5 2 4" xfId="22277" xr:uid="{00000000-0005-0000-0000-00003B5E0000}"/>
    <cellStyle name="Hed Top - SECTION 2 2 5 2 4 2" xfId="22278" xr:uid="{00000000-0005-0000-0000-00003C5E0000}"/>
    <cellStyle name="Hed Top - SECTION 2 2 5 2 5" xfId="22279" xr:uid="{00000000-0005-0000-0000-00003D5E0000}"/>
    <cellStyle name="Hed Top - SECTION 2 2 5 2 5 2" xfId="22280" xr:uid="{00000000-0005-0000-0000-00003E5E0000}"/>
    <cellStyle name="Hed Top - SECTION 2 2 5 2 6" xfId="22281" xr:uid="{00000000-0005-0000-0000-00003F5E0000}"/>
    <cellStyle name="Hed Top - SECTION 2 2 5 2 6 2" xfId="22282" xr:uid="{00000000-0005-0000-0000-0000405E0000}"/>
    <cellStyle name="Hed Top - SECTION 2 2 5 2 7" xfId="22283" xr:uid="{00000000-0005-0000-0000-0000415E0000}"/>
    <cellStyle name="Hed Top - SECTION 2 2 5 2 7 2" xfId="22284" xr:uid="{00000000-0005-0000-0000-0000425E0000}"/>
    <cellStyle name="Hed Top - SECTION 2 2 5 2 8" xfId="22285" xr:uid="{00000000-0005-0000-0000-0000435E0000}"/>
    <cellStyle name="Hed Top - SECTION 2 2 5 2 8 2" xfId="22286" xr:uid="{00000000-0005-0000-0000-0000445E0000}"/>
    <cellStyle name="Hed Top - SECTION 2 2 5 2 9" xfId="22287" xr:uid="{00000000-0005-0000-0000-0000455E0000}"/>
    <cellStyle name="Hed Top - SECTION 2 2 5 2 9 2" xfId="22288" xr:uid="{00000000-0005-0000-0000-0000465E0000}"/>
    <cellStyle name="Hed Top - SECTION 2 2 5 3" xfId="22289" xr:uid="{00000000-0005-0000-0000-0000475E0000}"/>
    <cellStyle name="Hed Top - SECTION 2 2 5 3 10" xfId="22290" xr:uid="{00000000-0005-0000-0000-0000485E0000}"/>
    <cellStyle name="Hed Top - SECTION 2 2 5 3 2" xfId="22291" xr:uid="{00000000-0005-0000-0000-0000495E0000}"/>
    <cellStyle name="Hed Top - SECTION 2 2 5 3 2 2" xfId="22292" xr:uid="{00000000-0005-0000-0000-00004A5E0000}"/>
    <cellStyle name="Hed Top - SECTION 2 2 5 3 3" xfId="22293" xr:uid="{00000000-0005-0000-0000-00004B5E0000}"/>
    <cellStyle name="Hed Top - SECTION 2 2 5 3 3 2" xfId="22294" xr:uid="{00000000-0005-0000-0000-00004C5E0000}"/>
    <cellStyle name="Hed Top - SECTION 2 2 5 3 4" xfId="22295" xr:uid="{00000000-0005-0000-0000-00004D5E0000}"/>
    <cellStyle name="Hed Top - SECTION 2 2 5 3 4 2" xfId="22296" xr:uid="{00000000-0005-0000-0000-00004E5E0000}"/>
    <cellStyle name="Hed Top - SECTION 2 2 5 3 5" xfId="22297" xr:uid="{00000000-0005-0000-0000-00004F5E0000}"/>
    <cellStyle name="Hed Top - SECTION 2 2 5 3 5 2" xfId="22298" xr:uid="{00000000-0005-0000-0000-0000505E0000}"/>
    <cellStyle name="Hed Top - SECTION 2 2 5 3 6" xfId="22299" xr:uid="{00000000-0005-0000-0000-0000515E0000}"/>
    <cellStyle name="Hed Top - SECTION 2 2 5 3 6 2" xfId="22300" xr:uid="{00000000-0005-0000-0000-0000525E0000}"/>
    <cellStyle name="Hed Top - SECTION 2 2 5 3 7" xfId="22301" xr:uid="{00000000-0005-0000-0000-0000535E0000}"/>
    <cellStyle name="Hed Top - SECTION 2 2 5 3 7 2" xfId="22302" xr:uid="{00000000-0005-0000-0000-0000545E0000}"/>
    <cellStyle name="Hed Top - SECTION 2 2 5 3 8" xfId="22303" xr:uid="{00000000-0005-0000-0000-0000555E0000}"/>
    <cellStyle name="Hed Top - SECTION 2 2 5 3 8 2" xfId="22304" xr:uid="{00000000-0005-0000-0000-0000565E0000}"/>
    <cellStyle name="Hed Top - SECTION 2 2 5 3 9" xfId="22305" xr:uid="{00000000-0005-0000-0000-0000575E0000}"/>
    <cellStyle name="Hed Top - SECTION 2 2 5 3 9 2" xfId="22306" xr:uid="{00000000-0005-0000-0000-0000585E0000}"/>
    <cellStyle name="Hed Top - SECTION 2 2 5 4" xfId="22307" xr:uid="{00000000-0005-0000-0000-0000595E0000}"/>
    <cellStyle name="Hed Top - SECTION 2 2 5 4 10" xfId="22308" xr:uid="{00000000-0005-0000-0000-00005A5E0000}"/>
    <cellStyle name="Hed Top - SECTION 2 2 5 4 2" xfId="22309" xr:uid="{00000000-0005-0000-0000-00005B5E0000}"/>
    <cellStyle name="Hed Top - SECTION 2 2 5 4 2 2" xfId="22310" xr:uid="{00000000-0005-0000-0000-00005C5E0000}"/>
    <cellStyle name="Hed Top - SECTION 2 2 5 4 3" xfId="22311" xr:uid="{00000000-0005-0000-0000-00005D5E0000}"/>
    <cellStyle name="Hed Top - SECTION 2 2 5 4 3 2" xfId="22312" xr:uid="{00000000-0005-0000-0000-00005E5E0000}"/>
    <cellStyle name="Hed Top - SECTION 2 2 5 4 4" xfId="22313" xr:uid="{00000000-0005-0000-0000-00005F5E0000}"/>
    <cellStyle name="Hed Top - SECTION 2 2 5 4 4 2" xfId="22314" xr:uid="{00000000-0005-0000-0000-0000605E0000}"/>
    <cellStyle name="Hed Top - SECTION 2 2 5 4 5" xfId="22315" xr:uid="{00000000-0005-0000-0000-0000615E0000}"/>
    <cellStyle name="Hed Top - SECTION 2 2 5 4 5 2" xfId="22316" xr:uid="{00000000-0005-0000-0000-0000625E0000}"/>
    <cellStyle name="Hed Top - SECTION 2 2 5 4 6" xfId="22317" xr:uid="{00000000-0005-0000-0000-0000635E0000}"/>
    <cellStyle name="Hed Top - SECTION 2 2 5 4 6 2" xfId="22318" xr:uid="{00000000-0005-0000-0000-0000645E0000}"/>
    <cellStyle name="Hed Top - SECTION 2 2 5 4 7" xfId="22319" xr:uid="{00000000-0005-0000-0000-0000655E0000}"/>
    <cellStyle name="Hed Top - SECTION 2 2 5 4 7 2" xfId="22320" xr:uid="{00000000-0005-0000-0000-0000665E0000}"/>
    <cellStyle name="Hed Top - SECTION 2 2 5 4 8" xfId="22321" xr:uid="{00000000-0005-0000-0000-0000675E0000}"/>
    <cellStyle name="Hed Top - SECTION 2 2 5 4 8 2" xfId="22322" xr:uid="{00000000-0005-0000-0000-0000685E0000}"/>
    <cellStyle name="Hed Top - SECTION 2 2 5 4 9" xfId="22323" xr:uid="{00000000-0005-0000-0000-0000695E0000}"/>
    <cellStyle name="Hed Top - SECTION 2 2 5 4 9 2" xfId="22324" xr:uid="{00000000-0005-0000-0000-00006A5E0000}"/>
    <cellStyle name="Hed Top - SECTION 2 2 5 5" xfId="22325" xr:uid="{00000000-0005-0000-0000-00006B5E0000}"/>
    <cellStyle name="Hed Top - SECTION 2 2 5 5 10" xfId="22326" xr:uid="{00000000-0005-0000-0000-00006C5E0000}"/>
    <cellStyle name="Hed Top - SECTION 2 2 5 5 2" xfId="22327" xr:uid="{00000000-0005-0000-0000-00006D5E0000}"/>
    <cellStyle name="Hed Top - SECTION 2 2 5 5 2 2" xfId="22328" xr:uid="{00000000-0005-0000-0000-00006E5E0000}"/>
    <cellStyle name="Hed Top - SECTION 2 2 5 5 3" xfId="22329" xr:uid="{00000000-0005-0000-0000-00006F5E0000}"/>
    <cellStyle name="Hed Top - SECTION 2 2 5 5 3 2" xfId="22330" xr:uid="{00000000-0005-0000-0000-0000705E0000}"/>
    <cellStyle name="Hed Top - SECTION 2 2 5 5 4" xfId="22331" xr:uid="{00000000-0005-0000-0000-0000715E0000}"/>
    <cellStyle name="Hed Top - SECTION 2 2 5 5 4 2" xfId="22332" xr:uid="{00000000-0005-0000-0000-0000725E0000}"/>
    <cellStyle name="Hed Top - SECTION 2 2 5 5 5" xfId="22333" xr:uid="{00000000-0005-0000-0000-0000735E0000}"/>
    <cellStyle name="Hed Top - SECTION 2 2 5 5 5 2" xfId="22334" xr:uid="{00000000-0005-0000-0000-0000745E0000}"/>
    <cellStyle name="Hed Top - SECTION 2 2 5 5 6" xfId="22335" xr:uid="{00000000-0005-0000-0000-0000755E0000}"/>
    <cellStyle name="Hed Top - SECTION 2 2 5 5 6 2" xfId="22336" xr:uid="{00000000-0005-0000-0000-0000765E0000}"/>
    <cellStyle name="Hed Top - SECTION 2 2 5 5 7" xfId="22337" xr:uid="{00000000-0005-0000-0000-0000775E0000}"/>
    <cellStyle name="Hed Top - SECTION 2 2 5 5 7 2" xfId="22338" xr:uid="{00000000-0005-0000-0000-0000785E0000}"/>
    <cellStyle name="Hed Top - SECTION 2 2 5 5 8" xfId="22339" xr:uid="{00000000-0005-0000-0000-0000795E0000}"/>
    <cellStyle name="Hed Top - SECTION 2 2 5 5 8 2" xfId="22340" xr:uid="{00000000-0005-0000-0000-00007A5E0000}"/>
    <cellStyle name="Hed Top - SECTION 2 2 5 5 9" xfId="22341" xr:uid="{00000000-0005-0000-0000-00007B5E0000}"/>
    <cellStyle name="Hed Top - SECTION 2 2 5 5 9 2" xfId="22342" xr:uid="{00000000-0005-0000-0000-00007C5E0000}"/>
    <cellStyle name="Hed Top - SECTION 2 2 5 6" xfId="22343" xr:uid="{00000000-0005-0000-0000-00007D5E0000}"/>
    <cellStyle name="Hed Top - SECTION 2 2 5 6 10" xfId="22344" xr:uid="{00000000-0005-0000-0000-00007E5E0000}"/>
    <cellStyle name="Hed Top - SECTION 2 2 5 6 2" xfId="22345" xr:uid="{00000000-0005-0000-0000-00007F5E0000}"/>
    <cellStyle name="Hed Top - SECTION 2 2 5 6 2 2" xfId="22346" xr:uid="{00000000-0005-0000-0000-0000805E0000}"/>
    <cellStyle name="Hed Top - SECTION 2 2 5 6 3" xfId="22347" xr:uid="{00000000-0005-0000-0000-0000815E0000}"/>
    <cellStyle name="Hed Top - SECTION 2 2 5 6 3 2" xfId="22348" xr:uid="{00000000-0005-0000-0000-0000825E0000}"/>
    <cellStyle name="Hed Top - SECTION 2 2 5 6 4" xfId="22349" xr:uid="{00000000-0005-0000-0000-0000835E0000}"/>
    <cellStyle name="Hed Top - SECTION 2 2 5 6 4 2" xfId="22350" xr:uid="{00000000-0005-0000-0000-0000845E0000}"/>
    <cellStyle name="Hed Top - SECTION 2 2 5 6 5" xfId="22351" xr:uid="{00000000-0005-0000-0000-0000855E0000}"/>
    <cellStyle name="Hed Top - SECTION 2 2 5 6 5 2" xfId="22352" xr:uid="{00000000-0005-0000-0000-0000865E0000}"/>
    <cellStyle name="Hed Top - SECTION 2 2 5 6 6" xfId="22353" xr:uid="{00000000-0005-0000-0000-0000875E0000}"/>
    <cellStyle name="Hed Top - SECTION 2 2 5 6 6 2" xfId="22354" xr:uid="{00000000-0005-0000-0000-0000885E0000}"/>
    <cellStyle name="Hed Top - SECTION 2 2 5 6 7" xfId="22355" xr:uid="{00000000-0005-0000-0000-0000895E0000}"/>
    <cellStyle name="Hed Top - SECTION 2 2 5 6 7 2" xfId="22356" xr:uid="{00000000-0005-0000-0000-00008A5E0000}"/>
    <cellStyle name="Hed Top - SECTION 2 2 5 6 8" xfId="22357" xr:uid="{00000000-0005-0000-0000-00008B5E0000}"/>
    <cellStyle name="Hed Top - SECTION 2 2 5 6 8 2" xfId="22358" xr:uid="{00000000-0005-0000-0000-00008C5E0000}"/>
    <cellStyle name="Hed Top - SECTION 2 2 5 6 9" xfId="22359" xr:uid="{00000000-0005-0000-0000-00008D5E0000}"/>
    <cellStyle name="Hed Top - SECTION 2 2 5 6 9 2" xfId="22360" xr:uid="{00000000-0005-0000-0000-00008E5E0000}"/>
    <cellStyle name="Hed Top - SECTION 2 2 5 7" xfId="22361" xr:uid="{00000000-0005-0000-0000-00008F5E0000}"/>
    <cellStyle name="Hed Top - SECTION 2 2 5 7 10" xfId="22362" xr:uid="{00000000-0005-0000-0000-0000905E0000}"/>
    <cellStyle name="Hed Top - SECTION 2 2 5 7 2" xfId="22363" xr:uid="{00000000-0005-0000-0000-0000915E0000}"/>
    <cellStyle name="Hed Top - SECTION 2 2 5 7 2 2" xfId="22364" xr:uid="{00000000-0005-0000-0000-0000925E0000}"/>
    <cellStyle name="Hed Top - SECTION 2 2 5 7 3" xfId="22365" xr:uid="{00000000-0005-0000-0000-0000935E0000}"/>
    <cellStyle name="Hed Top - SECTION 2 2 5 7 3 2" xfId="22366" xr:uid="{00000000-0005-0000-0000-0000945E0000}"/>
    <cellStyle name="Hed Top - SECTION 2 2 5 7 4" xfId="22367" xr:uid="{00000000-0005-0000-0000-0000955E0000}"/>
    <cellStyle name="Hed Top - SECTION 2 2 5 7 4 2" xfId="22368" xr:uid="{00000000-0005-0000-0000-0000965E0000}"/>
    <cellStyle name="Hed Top - SECTION 2 2 5 7 5" xfId="22369" xr:uid="{00000000-0005-0000-0000-0000975E0000}"/>
    <cellStyle name="Hed Top - SECTION 2 2 5 7 5 2" xfId="22370" xr:uid="{00000000-0005-0000-0000-0000985E0000}"/>
    <cellStyle name="Hed Top - SECTION 2 2 5 7 6" xfId="22371" xr:uid="{00000000-0005-0000-0000-0000995E0000}"/>
    <cellStyle name="Hed Top - SECTION 2 2 5 7 6 2" xfId="22372" xr:uid="{00000000-0005-0000-0000-00009A5E0000}"/>
    <cellStyle name="Hed Top - SECTION 2 2 5 7 7" xfId="22373" xr:uid="{00000000-0005-0000-0000-00009B5E0000}"/>
    <cellStyle name="Hed Top - SECTION 2 2 5 7 7 2" xfId="22374" xr:uid="{00000000-0005-0000-0000-00009C5E0000}"/>
    <cellStyle name="Hed Top - SECTION 2 2 5 7 8" xfId="22375" xr:uid="{00000000-0005-0000-0000-00009D5E0000}"/>
    <cellStyle name="Hed Top - SECTION 2 2 5 7 8 2" xfId="22376" xr:uid="{00000000-0005-0000-0000-00009E5E0000}"/>
    <cellStyle name="Hed Top - SECTION 2 2 5 7 9" xfId="22377" xr:uid="{00000000-0005-0000-0000-00009F5E0000}"/>
    <cellStyle name="Hed Top - SECTION 2 2 5 7 9 2" xfId="22378" xr:uid="{00000000-0005-0000-0000-0000A05E0000}"/>
    <cellStyle name="Hed Top - SECTION 2 2 5 8" xfId="22379" xr:uid="{00000000-0005-0000-0000-0000A15E0000}"/>
    <cellStyle name="Hed Top - SECTION 2 2 5 8 10" xfId="22380" xr:uid="{00000000-0005-0000-0000-0000A25E0000}"/>
    <cellStyle name="Hed Top - SECTION 2 2 5 8 2" xfId="22381" xr:uid="{00000000-0005-0000-0000-0000A35E0000}"/>
    <cellStyle name="Hed Top - SECTION 2 2 5 8 2 2" xfId="22382" xr:uid="{00000000-0005-0000-0000-0000A45E0000}"/>
    <cellStyle name="Hed Top - SECTION 2 2 5 8 3" xfId="22383" xr:uid="{00000000-0005-0000-0000-0000A55E0000}"/>
    <cellStyle name="Hed Top - SECTION 2 2 5 8 3 2" xfId="22384" xr:uid="{00000000-0005-0000-0000-0000A65E0000}"/>
    <cellStyle name="Hed Top - SECTION 2 2 5 8 4" xfId="22385" xr:uid="{00000000-0005-0000-0000-0000A75E0000}"/>
    <cellStyle name="Hed Top - SECTION 2 2 5 8 4 2" xfId="22386" xr:uid="{00000000-0005-0000-0000-0000A85E0000}"/>
    <cellStyle name="Hed Top - SECTION 2 2 5 8 5" xfId="22387" xr:uid="{00000000-0005-0000-0000-0000A95E0000}"/>
    <cellStyle name="Hed Top - SECTION 2 2 5 8 5 2" xfId="22388" xr:uid="{00000000-0005-0000-0000-0000AA5E0000}"/>
    <cellStyle name="Hed Top - SECTION 2 2 5 8 6" xfId="22389" xr:uid="{00000000-0005-0000-0000-0000AB5E0000}"/>
    <cellStyle name="Hed Top - SECTION 2 2 5 8 6 2" xfId="22390" xr:uid="{00000000-0005-0000-0000-0000AC5E0000}"/>
    <cellStyle name="Hed Top - SECTION 2 2 5 8 7" xfId="22391" xr:uid="{00000000-0005-0000-0000-0000AD5E0000}"/>
    <cellStyle name="Hed Top - SECTION 2 2 5 8 7 2" xfId="22392" xr:uid="{00000000-0005-0000-0000-0000AE5E0000}"/>
    <cellStyle name="Hed Top - SECTION 2 2 5 8 8" xfId="22393" xr:uid="{00000000-0005-0000-0000-0000AF5E0000}"/>
    <cellStyle name="Hed Top - SECTION 2 2 5 8 8 2" xfId="22394" xr:uid="{00000000-0005-0000-0000-0000B05E0000}"/>
    <cellStyle name="Hed Top - SECTION 2 2 5 8 9" xfId="22395" xr:uid="{00000000-0005-0000-0000-0000B15E0000}"/>
    <cellStyle name="Hed Top - SECTION 2 2 5 8 9 2" xfId="22396" xr:uid="{00000000-0005-0000-0000-0000B25E0000}"/>
    <cellStyle name="Hed Top - SECTION 2 2 5 9" xfId="22397" xr:uid="{00000000-0005-0000-0000-0000B35E0000}"/>
    <cellStyle name="Hed Top - SECTION 2 2 5 9 10" xfId="22398" xr:uid="{00000000-0005-0000-0000-0000B45E0000}"/>
    <cellStyle name="Hed Top - SECTION 2 2 5 9 2" xfId="22399" xr:uid="{00000000-0005-0000-0000-0000B55E0000}"/>
    <cellStyle name="Hed Top - SECTION 2 2 5 9 2 2" xfId="22400" xr:uid="{00000000-0005-0000-0000-0000B65E0000}"/>
    <cellStyle name="Hed Top - SECTION 2 2 5 9 3" xfId="22401" xr:uid="{00000000-0005-0000-0000-0000B75E0000}"/>
    <cellStyle name="Hed Top - SECTION 2 2 5 9 3 2" xfId="22402" xr:uid="{00000000-0005-0000-0000-0000B85E0000}"/>
    <cellStyle name="Hed Top - SECTION 2 2 5 9 4" xfId="22403" xr:uid="{00000000-0005-0000-0000-0000B95E0000}"/>
    <cellStyle name="Hed Top - SECTION 2 2 5 9 4 2" xfId="22404" xr:uid="{00000000-0005-0000-0000-0000BA5E0000}"/>
    <cellStyle name="Hed Top - SECTION 2 2 5 9 5" xfId="22405" xr:uid="{00000000-0005-0000-0000-0000BB5E0000}"/>
    <cellStyle name="Hed Top - SECTION 2 2 5 9 5 2" xfId="22406" xr:uid="{00000000-0005-0000-0000-0000BC5E0000}"/>
    <cellStyle name="Hed Top - SECTION 2 2 5 9 6" xfId="22407" xr:uid="{00000000-0005-0000-0000-0000BD5E0000}"/>
    <cellStyle name="Hed Top - SECTION 2 2 5 9 6 2" xfId="22408" xr:uid="{00000000-0005-0000-0000-0000BE5E0000}"/>
    <cellStyle name="Hed Top - SECTION 2 2 5 9 7" xfId="22409" xr:uid="{00000000-0005-0000-0000-0000BF5E0000}"/>
    <cellStyle name="Hed Top - SECTION 2 2 5 9 7 2" xfId="22410" xr:uid="{00000000-0005-0000-0000-0000C05E0000}"/>
    <cellStyle name="Hed Top - SECTION 2 2 5 9 8" xfId="22411" xr:uid="{00000000-0005-0000-0000-0000C15E0000}"/>
    <cellStyle name="Hed Top - SECTION 2 2 5 9 8 2" xfId="22412" xr:uid="{00000000-0005-0000-0000-0000C25E0000}"/>
    <cellStyle name="Hed Top - SECTION 2 2 5 9 9" xfId="22413" xr:uid="{00000000-0005-0000-0000-0000C35E0000}"/>
    <cellStyle name="Hed Top - SECTION 2 2 5 9 9 2" xfId="22414" xr:uid="{00000000-0005-0000-0000-0000C45E0000}"/>
    <cellStyle name="Hed Top - SECTION 2 2 6" xfId="22415" xr:uid="{00000000-0005-0000-0000-0000C55E0000}"/>
    <cellStyle name="Hed Top - SECTION 2 2 6 10" xfId="22416" xr:uid="{00000000-0005-0000-0000-0000C65E0000}"/>
    <cellStyle name="Hed Top - SECTION 2 2 6 10 2" xfId="22417" xr:uid="{00000000-0005-0000-0000-0000C75E0000}"/>
    <cellStyle name="Hed Top - SECTION 2 2 6 10 2 2" xfId="22418" xr:uid="{00000000-0005-0000-0000-0000C85E0000}"/>
    <cellStyle name="Hed Top - SECTION 2 2 6 10 3" xfId="22419" xr:uid="{00000000-0005-0000-0000-0000C95E0000}"/>
    <cellStyle name="Hed Top - SECTION 2 2 6 10 3 2" xfId="22420" xr:uid="{00000000-0005-0000-0000-0000CA5E0000}"/>
    <cellStyle name="Hed Top - SECTION 2 2 6 10 4" xfId="22421" xr:uid="{00000000-0005-0000-0000-0000CB5E0000}"/>
    <cellStyle name="Hed Top - SECTION 2 2 6 10 4 2" xfId="22422" xr:uid="{00000000-0005-0000-0000-0000CC5E0000}"/>
    <cellStyle name="Hed Top - SECTION 2 2 6 10 5" xfId="22423" xr:uid="{00000000-0005-0000-0000-0000CD5E0000}"/>
    <cellStyle name="Hed Top - SECTION 2 2 6 10 5 2" xfId="22424" xr:uid="{00000000-0005-0000-0000-0000CE5E0000}"/>
    <cellStyle name="Hed Top - SECTION 2 2 6 10 6" xfId="22425" xr:uid="{00000000-0005-0000-0000-0000CF5E0000}"/>
    <cellStyle name="Hed Top - SECTION 2 2 6 10 6 2" xfId="22426" xr:uid="{00000000-0005-0000-0000-0000D05E0000}"/>
    <cellStyle name="Hed Top - SECTION 2 2 6 10 7" xfId="22427" xr:uid="{00000000-0005-0000-0000-0000D15E0000}"/>
    <cellStyle name="Hed Top - SECTION 2 2 6 10 7 2" xfId="22428" xr:uid="{00000000-0005-0000-0000-0000D25E0000}"/>
    <cellStyle name="Hed Top - SECTION 2 2 6 10 8" xfId="22429" xr:uid="{00000000-0005-0000-0000-0000D35E0000}"/>
    <cellStyle name="Hed Top - SECTION 2 2 6 10 8 2" xfId="22430" xr:uid="{00000000-0005-0000-0000-0000D45E0000}"/>
    <cellStyle name="Hed Top - SECTION 2 2 6 10 9" xfId="22431" xr:uid="{00000000-0005-0000-0000-0000D55E0000}"/>
    <cellStyle name="Hed Top - SECTION 2 2 6 11" xfId="22432" xr:uid="{00000000-0005-0000-0000-0000D65E0000}"/>
    <cellStyle name="Hed Top - SECTION 2 2 6 11 2" xfId="22433" xr:uid="{00000000-0005-0000-0000-0000D75E0000}"/>
    <cellStyle name="Hed Top - SECTION 2 2 6 12" xfId="22434" xr:uid="{00000000-0005-0000-0000-0000D85E0000}"/>
    <cellStyle name="Hed Top - SECTION 2 2 6 12 2" xfId="22435" xr:uid="{00000000-0005-0000-0000-0000D95E0000}"/>
    <cellStyle name="Hed Top - SECTION 2 2 6 13" xfId="22436" xr:uid="{00000000-0005-0000-0000-0000DA5E0000}"/>
    <cellStyle name="Hed Top - SECTION 2 2 6 13 2" xfId="22437" xr:uid="{00000000-0005-0000-0000-0000DB5E0000}"/>
    <cellStyle name="Hed Top - SECTION 2 2 6 14" xfId="22438" xr:uid="{00000000-0005-0000-0000-0000DC5E0000}"/>
    <cellStyle name="Hed Top - SECTION 2 2 6 14 2" xfId="22439" xr:uid="{00000000-0005-0000-0000-0000DD5E0000}"/>
    <cellStyle name="Hed Top - SECTION 2 2 6 15" xfId="22440" xr:uid="{00000000-0005-0000-0000-0000DE5E0000}"/>
    <cellStyle name="Hed Top - SECTION 2 2 6 15 2" xfId="22441" xr:uid="{00000000-0005-0000-0000-0000DF5E0000}"/>
    <cellStyle name="Hed Top - SECTION 2 2 6 16" xfId="22442" xr:uid="{00000000-0005-0000-0000-0000E05E0000}"/>
    <cellStyle name="Hed Top - SECTION 2 2 6 16 2" xfId="22443" xr:uid="{00000000-0005-0000-0000-0000E15E0000}"/>
    <cellStyle name="Hed Top - SECTION 2 2 6 17" xfId="22444" xr:uid="{00000000-0005-0000-0000-0000E25E0000}"/>
    <cellStyle name="Hed Top - SECTION 2 2 6 17 2" xfId="22445" xr:uid="{00000000-0005-0000-0000-0000E35E0000}"/>
    <cellStyle name="Hed Top - SECTION 2 2 6 18" xfId="22446" xr:uid="{00000000-0005-0000-0000-0000E45E0000}"/>
    <cellStyle name="Hed Top - SECTION 2 2 6 2" xfId="22447" xr:uid="{00000000-0005-0000-0000-0000E55E0000}"/>
    <cellStyle name="Hed Top - SECTION 2 2 6 2 10" xfId="22448" xr:uid="{00000000-0005-0000-0000-0000E65E0000}"/>
    <cellStyle name="Hed Top - SECTION 2 2 6 2 2" xfId="22449" xr:uid="{00000000-0005-0000-0000-0000E75E0000}"/>
    <cellStyle name="Hed Top - SECTION 2 2 6 2 2 2" xfId="22450" xr:uid="{00000000-0005-0000-0000-0000E85E0000}"/>
    <cellStyle name="Hed Top - SECTION 2 2 6 2 3" xfId="22451" xr:uid="{00000000-0005-0000-0000-0000E95E0000}"/>
    <cellStyle name="Hed Top - SECTION 2 2 6 2 3 2" xfId="22452" xr:uid="{00000000-0005-0000-0000-0000EA5E0000}"/>
    <cellStyle name="Hed Top - SECTION 2 2 6 2 4" xfId="22453" xr:uid="{00000000-0005-0000-0000-0000EB5E0000}"/>
    <cellStyle name="Hed Top - SECTION 2 2 6 2 4 2" xfId="22454" xr:uid="{00000000-0005-0000-0000-0000EC5E0000}"/>
    <cellStyle name="Hed Top - SECTION 2 2 6 2 5" xfId="22455" xr:uid="{00000000-0005-0000-0000-0000ED5E0000}"/>
    <cellStyle name="Hed Top - SECTION 2 2 6 2 5 2" xfId="22456" xr:uid="{00000000-0005-0000-0000-0000EE5E0000}"/>
    <cellStyle name="Hed Top - SECTION 2 2 6 2 6" xfId="22457" xr:uid="{00000000-0005-0000-0000-0000EF5E0000}"/>
    <cellStyle name="Hed Top - SECTION 2 2 6 2 6 2" xfId="22458" xr:uid="{00000000-0005-0000-0000-0000F05E0000}"/>
    <cellStyle name="Hed Top - SECTION 2 2 6 2 7" xfId="22459" xr:uid="{00000000-0005-0000-0000-0000F15E0000}"/>
    <cellStyle name="Hed Top - SECTION 2 2 6 2 7 2" xfId="22460" xr:uid="{00000000-0005-0000-0000-0000F25E0000}"/>
    <cellStyle name="Hed Top - SECTION 2 2 6 2 8" xfId="22461" xr:uid="{00000000-0005-0000-0000-0000F35E0000}"/>
    <cellStyle name="Hed Top - SECTION 2 2 6 2 8 2" xfId="22462" xr:uid="{00000000-0005-0000-0000-0000F45E0000}"/>
    <cellStyle name="Hed Top - SECTION 2 2 6 2 9" xfId="22463" xr:uid="{00000000-0005-0000-0000-0000F55E0000}"/>
    <cellStyle name="Hed Top - SECTION 2 2 6 2 9 2" xfId="22464" xr:uid="{00000000-0005-0000-0000-0000F65E0000}"/>
    <cellStyle name="Hed Top - SECTION 2 2 6 3" xfId="22465" xr:uid="{00000000-0005-0000-0000-0000F75E0000}"/>
    <cellStyle name="Hed Top - SECTION 2 2 6 3 10" xfId="22466" xr:uid="{00000000-0005-0000-0000-0000F85E0000}"/>
    <cellStyle name="Hed Top - SECTION 2 2 6 3 2" xfId="22467" xr:uid="{00000000-0005-0000-0000-0000F95E0000}"/>
    <cellStyle name="Hed Top - SECTION 2 2 6 3 2 2" xfId="22468" xr:uid="{00000000-0005-0000-0000-0000FA5E0000}"/>
    <cellStyle name="Hed Top - SECTION 2 2 6 3 3" xfId="22469" xr:uid="{00000000-0005-0000-0000-0000FB5E0000}"/>
    <cellStyle name="Hed Top - SECTION 2 2 6 3 3 2" xfId="22470" xr:uid="{00000000-0005-0000-0000-0000FC5E0000}"/>
    <cellStyle name="Hed Top - SECTION 2 2 6 3 4" xfId="22471" xr:uid="{00000000-0005-0000-0000-0000FD5E0000}"/>
    <cellStyle name="Hed Top - SECTION 2 2 6 3 4 2" xfId="22472" xr:uid="{00000000-0005-0000-0000-0000FE5E0000}"/>
    <cellStyle name="Hed Top - SECTION 2 2 6 3 5" xfId="22473" xr:uid="{00000000-0005-0000-0000-0000FF5E0000}"/>
    <cellStyle name="Hed Top - SECTION 2 2 6 3 5 2" xfId="22474" xr:uid="{00000000-0005-0000-0000-0000005F0000}"/>
    <cellStyle name="Hed Top - SECTION 2 2 6 3 6" xfId="22475" xr:uid="{00000000-0005-0000-0000-0000015F0000}"/>
    <cellStyle name="Hed Top - SECTION 2 2 6 3 6 2" xfId="22476" xr:uid="{00000000-0005-0000-0000-0000025F0000}"/>
    <cellStyle name="Hed Top - SECTION 2 2 6 3 7" xfId="22477" xr:uid="{00000000-0005-0000-0000-0000035F0000}"/>
    <cellStyle name="Hed Top - SECTION 2 2 6 3 7 2" xfId="22478" xr:uid="{00000000-0005-0000-0000-0000045F0000}"/>
    <cellStyle name="Hed Top - SECTION 2 2 6 3 8" xfId="22479" xr:uid="{00000000-0005-0000-0000-0000055F0000}"/>
    <cellStyle name="Hed Top - SECTION 2 2 6 3 8 2" xfId="22480" xr:uid="{00000000-0005-0000-0000-0000065F0000}"/>
    <cellStyle name="Hed Top - SECTION 2 2 6 3 9" xfId="22481" xr:uid="{00000000-0005-0000-0000-0000075F0000}"/>
    <cellStyle name="Hed Top - SECTION 2 2 6 3 9 2" xfId="22482" xr:uid="{00000000-0005-0000-0000-0000085F0000}"/>
    <cellStyle name="Hed Top - SECTION 2 2 6 4" xfId="22483" xr:uid="{00000000-0005-0000-0000-0000095F0000}"/>
    <cellStyle name="Hed Top - SECTION 2 2 6 4 10" xfId="22484" xr:uid="{00000000-0005-0000-0000-00000A5F0000}"/>
    <cellStyle name="Hed Top - SECTION 2 2 6 4 2" xfId="22485" xr:uid="{00000000-0005-0000-0000-00000B5F0000}"/>
    <cellStyle name="Hed Top - SECTION 2 2 6 4 2 2" xfId="22486" xr:uid="{00000000-0005-0000-0000-00000C5F0000}"/>
    <cellStyle name="Hed Top - SECTION 2 2 6 4 3" xfId="22487" xr:uid="{00000000-0005-0000-0000-00000D5F0000}"/>
    <cellStyle name="Hed Top - SECTION 2 2 6 4 3 2" xfId="22488" xr:uid="{00000000-0005-0000-0000-00000E5F0000}"/>
    <cellStyle name="Hed Top - SECTION 2 2 6 4 4" xfId="22489" xr:uid="{00000000-0005-0000-0000-00000F5F0000}"/>
    <cellStyle name="Hed Top - SECTION 2 2 6 4 4 2" xfId="22490" xr:uid="{00000000-0005-0000-0000-0000105F0000}"/>
    <cellStyle name="Hed Top - SECTION 2 2 6 4 5" xfId="22491" xr:uid="{00000000-0005-0000-0000-0000115F0000}"/>
    <cellStyle name="Hed Top - SECTION 2 2 6 4 5 2" xfId="22492" xr:uid="{00000000-0005-0000-0000-0000125F0000}"/>
    <cellStyle name="Hed Top - SECTION 2 2 6 4 6" xfId="22493" xr:uid="{00000000-0005-0000-0000-0000135F0000}"/>
    <cellStyle name="Hed Top - SECTION 2 2 6 4 6 2" xfId="22494" xr:uid="{00000000-0005-0000-0000-0000145F0000}"/>
    <cellStyle name="Hed Top - SECTION 2 2 6 4 7" xfId="22495" xr:uid="{00000000-0005-0000-0000-0000155F0000}"/>
    <cellStyle name="Hed Top - SECTION 2 2 6 4 7 2" xfId="22496" xr:uid="{00000000-0005-0000-0000-0000165F0000}"/>
    <cellStyle name="Hed Top - SECTION 2 2 6 4 8" xfId="22497" xr:uid="{00000000-0005-0000-0000-0000175F0000}"/>
    <cellStyle name="Hed Top - SECTION 2 2 6 4 8 2" xfId="22498" xr:uid="{00000000-0005-0000-0000-0000185F0000}"/>
    <cellStyle name="Hed Top - SECTION 2 2 6 4 9" xfId="22499" xr:uid="{00000000-0005-0000-0000-0000195F0000}"/>
    <cellStyle name="Hed Top - SECTION 2 2 6 4 9 2" xfId="22500" xr:uid="{00000000-0005-0000-0000-00001A5F0000}"/>
    <cellStyle name="Hed Top - SECTION 2 2 6 5" xfId="22501" xr:uid="{00000000-0005-0000-0000-00001B5F0000}"/>
    <cellStyle name="Hed Top - SECTION 2 2 6 5 10" xfId="22502" xr:uid="{00000000-0005-0000-0000-00001C5F0000}"/>
    <cellStyle name="Hed Top - SECTION 2 2 6 5 2" xfId="22503" xr:uid="{00000000-0005-0000-0000-00001D5F0000}"/>
    <cellStyle name="Hed Top - SECTION 2 2 6 5 2 2" xfId="22504" xr:uid="{00000000-0005-0000-0000-00001E5F0000}"/>
    <cellStyle name="Hed Top - SECTION 2 2 6 5 3" xfId="22505" xr:uid="{00000000-0005-0000-0000-00001F5F0000}"/>
    <cellStyle name="Hed Top - SECTION 2 2 6 5 3 2" xfId="22506" xr:uid="{00000000-0005-0000-0000-0000205F0000}"/>
    <cellStyle name="Hed Top - SECTION 2 2 6 5 4" xfId="22507" xr:uid="{00000000-0005-0000-0000-0000215F0000}"/>
    <cellStyle name="Hed Top - SECTION 2 2 6 5 4 2" xfId="22508" xr:uid="{00000000-0005-0000-0000-0000225F0000}"/>
    <cellStyle name="Hed Top - SECTION 2 2 6 5 5" xfId="22509" xr:uid="{00000000-0005-0000-0000-0000235F0000}"/>
    <cellStyle name="Hed Top - SECTION 2 2 6 5 5 2" xfId="22510" xr:uid="{00000000-0005-0000-0000-0000245F0000}"/>
    <cellStyle name="Hed Top - SECTION 2 2 6 5 6" xfId="22511" xr:uid="{00000000-0005-0000-0000-0000255F0000}"/>
    <cellStyle name="Hed Top - SECTION 2 2 6 5 6 2" xfId="22512" xr:uid="{00000000-0005-0000-0000-0000265F0000}"/>
    <cellStyle name="Hed Top - SECTION 2 2 6 5 7" xfId="22513" xr:uid="{00000000-0005-0000-0000-0000275F0000}"/>
    <cellStyle name="Hed Top - SECTION 2 2 6 5 7 2" xfId="22514" xr:uid="{00000000-0005-0000-0000-0000285F0000}"/>
    <cellStyle name="Hed Top - SECTION 2 2 6 5 8" xfId="22515" xr:uid="{00000000-0005-0000-0000-0000295F0000}"/>
    <cellStyle name="Hed Top - SECTION 2 2 6 5 8 2" xfId="22516" xr:uid="{00000000-0005-0000-0000-00002A5F0000}"/>
    <cellStyle name="Hed Top - SECTION 2 2 6 5 9" xfId="22517" xr:uid="{00000000-0005-0000-0000-00002B5F0000}"/>
    <cellStyle name="Hed Top - SECTION 2 2 6 5 9 2" xfId="22518" xr:uid="{00000000-0005-0000-0000-00002C5F0000}"/>
    <cellStyle name="Hed Top - SECTION 2 2 6 6" xfId="22519" xr:uid="{00000000-0005-0000-0000-00002D5F0000}"/>
    <cellStyle name="Hed Top - SECTION 2 2 6 6 10" xfId="22520" xr:uid="{00000000-0005-0000-0000-00002E5F0000}"/>
    <cellStyle name="Hed Top - SECTION 2 2 6 6 2" xfId="22521" xr:uid="{00000000-0005-0000-0000-00002F5F0000}"/>
    <cellStyle name="Hed Top - SECTION 2 2 6 6 2 2" xfId="22522" xr:uid="{00000000-0005-0000-0000-0000305F0000}"/>
    <cellStyle name="Hed Top - SECTION 2 2 6 6 3" xfId="22523" xr:uid="{00000000-0005-0000-0000-0000315F0000}"/>
    <cellStyle name="Hed Top - SECTION 2 2 6 6 3 2" xfId="22524" xr:uid="{00000000-0005-0000-0000-0000325F0000}"/>
    <cellStyle name="Hed Top - SECTION 2 2 6 6 4" xfId="22525" xr:uid="{00000000-0005-0000-0000-0000335F0000}"/>
    <cellStyle name="Hed Top - SECTION 2 2 6 6 4 2" xfId="22526" xr:uid="{00000000-0005-0000-0000-0000345F0000}"/>
    <cellStyle name="Hed Top - SECTION 2 2 6 6 5" xfId="22527" xr:uid="{00000000-0005-0000-0000-0000355F0000}"/>
    <cellStyle name="Hed Top - SECTION 2 2 6 6 5 2" xfId="22528" xr:uid="{00000000-0005-0000-0000-0000365F0000}"/>
    <cellStyle name="Hed Top - SECTION 2 2 6 6 6" xfId="22529" xr:uid="{00000000-0005-0000-0000-0000375F0000}"/>
    <cellStyle name="Hed Top - SECTION 2 2 6 6 6 2" xfId="22530" xr:uid="{00000000-0005-0000-0000-0000385F0000}"/>
    <cellStyle name="Hed Top - SECTION 2 2 6 6 7" xfId="22531" xr:uid="{00000000-0005-0000-0000-0000395F0000}"/>
    <cellStyle name="Hed Top - SECTION 2 2 6 6 7 2" xfId="22532" xr:uid="{00000000-0005-0000-0000-00003A5F0000}"/>
    <cellStyle name="Hed Top - SECTION 2 2 6 6 8" xfId="22533" xr:uid="{00000000-0005-0000-0000-00003B5F0000}"/>
    <cellStyle name="Hed Top - SECTION 2 2 6 6 8 2" xfId="22534" xr:uid="{00000000-0005-0000-0000-00003C5F0000}"/>
    <cellStyle name="Hed Top - SECTION 2 2 6 6 9" xfId="22535" xr:uid="{00000000-0005-0000-0000-00003D5F0000}"/>
    <cellStyle name="Hed Top - SECTION 2 2 6 6 9 2" xfId="22536" xr:uid="{00000000-0005-0000-0000-00003E5F0000}"/>
    <cellStyle name="Hed Top - SECTION 2 2 6 7" xfId="22537" xr:uid="{00000000-0005-0000-0000-00003F5F0000}"/>
    <cellStyle name="Hed Top - SECTION 2 2 6 7 10" xfId="22538" xr:uid="{00000000-0005-0000-0000-0000405F0000}"/>
    <cellStyle name="Hed Top - SECTION 2 2 6 7 2" xfId="22539" xr:uid="{00000000-0005-0000-0000-0000415F0000}"/>
    <cellStyle name="Hed Top - SECTION 2 2 6 7 2 2" xfId="22540" xr:uid="{00000000-0005-0000-0000-0000425F0000}"/>
    <cellStyle name="Hed Top - SECTION 2 2 6 7 3" xfId="22541" xr:uid="{00000000-0005-0000-0000-0000435F0000}"/>
    <cellStyle name="Hed Top - SECTION 2 2 6 7 3 2" xfId="22542" xr:uid="{00000000-0005-0000-0000-0000445F0000}"/>
    <cellStyle name="Hed Top - SECTION 2 2 6 7 4" xfId="22543" xr:uid="{00000000-0005-0000-0000-0000455F0000}"/>
    <cellStyle name="Hed Top - SECTION 2 2 6 7 4 2" xfId="22544" xr:uid="{00000000-0005-0000-0000-0000465F0000}"/>
    <cellStyle name="Hed Top - SECTION 2 2 6 7 5" xfId="22545" xr:uid="{00000000-0005-0000-0000-0000475F0000}"/>
    <cellStyle name="Hed Top - SECTION 2 2 6 7 5 2" xfId="22546" xr:uid="{00000000-0005-0000-0000-0000485F0000}"/>
    <cellStyle name="Hed Top - SECTION 2 2 6 7 6" xfId="22547" xr:uid="{00000000-0005-0000-0000-0000495F0000}"/>
    <cellStyle name="Hed Top - SECTION 2 2 6 7 6 2" xfId="22548" xr:uid="{00000000-0005-0000-0000-00004A5F0000}"/>
    <cellStyle name="Hed Top - SECTION 2 2 6 7 7" xfId="22549" xr:uid="{00000000-0005-0000-0000-00004B5F0000}"/>
    <cellStyle name="Hed Top - SECTION 2 2 6 7 7 2" xfId="22550" xr:uid="{00000000-0005-0000-0000-00004C5F0000}"/>
    <cellStyle name="Hed Top - SECTION 2 2 6 7 8" xfId="22551" xr:uid="{00000000-0005-0000-0000-00004D5F0000}"/>
    <cellStyle name="Hed Top - SECTION 2 2 6 7 8 2" xfId="22552" xr:uid="{00000000-0005-0000-0000-00004E5F0000}"/>
    <cellStyle name="Hed Top - SECTION 2 2 6 7 9" xfId="22553" xr:uid="{00000000-0005-0000-0000-00004F5F0000}"/>
    <cellStyle name="Hed Top - SECTION 2 2 6 7 9 2" xfId="22554" xr:uid="{00000000-0005-0000-0000-0000505F0000}"/>
    <cellStyle name="Hed Top - SECTION 2 2 6 8" xfId="22555" xr:uid="{00000000-0005-0000-0000-0000515F0000}"/>
    <cellStyle name="Hed Top - SECTION 2 2 6 8 10" xfId="22556" xr:uid="{00000000-0005-0000-0000-0000525F0000}"/>
    <cellStyle name="Hed Top - SECTION 2 2 6 8 2" xfId="22557" xr:uid="{00000000-0005-0000-0000-0000535F0000}"/>
    <cellStyle name="Hed Top - SECTION 2 2 6 8 2 2" xfId="22558" xr:uid="{00000000-0005-0000-0000-0000545F0000}"/>
    <cellStyle name="Hed Top - SECTION 2 2 6 8 3" xfId="22559" xr:uid="{00000000-0005-0000-0000-0000555F0000}"/>
    <cellStyle name="Hed Top - SECTION 2 2 6 8 3 2" xfId="22560" xr:uid="{00000000-0005-0000-0000-0000565F0000}"/>
    <cellStyle name="Hed Top - SECTION 2 2 6 8 4" xfId="22561" xr:uid="{00000000-0005-0000-0000-0000575F0000}"/>
    <cellStyle name="Hed Top - SECTION 2 2 6 8 4 2" xfId="22562" xr:uid="{00000000-0005-0000-0000-0000585F0000}"/>
    <cellStyle name="Hed Top - SECTION 2 2 6 8 5" xfId="22563" xr:uid="{00000000-0005-0000-0000-0000595F0000}"/>
    <cellStyle name="Hed Top - SECTION 2 2 6 8 5 2" xfId="22564" xr:uid="{00000000-0005-0000-0000-00005A5F0000}"/>
    <cellStyle name="Hed Top - SECTION 2 2 6 8 6" xfId="22565" xr:uid="{00000000-0005-0000-0000-00005B5F0000}"/>
    <cellStyle name="Hed Top - SECTION 2 2 6 8 6 2" xfId="22566" xr:uid="{00000000-0005-0000-0000-00005C5F0000}"/>
    <cellStyle name="Hed Top - SECTION 2 2 6 8 7" xfId="22567" xr:uid="{00000000-0005-0000-0000-00005D5F0000}"/>
    <cellStyle name="Hed Top - SECTION 2 2 6 8 7 2" xfId="22568" xr:uid="{00000000-0005-0000-0000-00005E5F0000}"/>
    <cellStyle name="Hed Top - SECTION 2 2 6 8 8" xfId="22569" xr:uid="{00000000-0005-0000-0000-00005F5F0000}"/>
    <cellStyle name="Hed Top - SECTION 2 2 6 8 8 2" xfId="22570" xr:uid="{00000000-0005-0000-0000-0000605F0000}"/>
    <cellStyle name="Hed Top - SECTION 2 2 6 8 9" xfId="22571" xr:uid="{00000000-0005-0000-0000-0000615F0000}"/>
    <cellStyle name="Hed Top - SECTION 2 2 6 8 9 2" xfId="22572" xr:uid="{00000000-0005-0000-0000-0000625F0000}"/>
    <cellStyle name="Hed Top - SECTION 2 2 6 9" xfId="22573" xr:uid="{00000000-0005-0000-0000-0000635F0000}"/>
    <cellStyle name="Hed Top - SECTION 2 2 6 9 10" xfId="22574" xr:uid="{00000000-0005-0000-0000-0000645F0000}"/>
    <cellStyle name="Hed Top - SECTION 2 2 6 9 2" xfId="22575" xr:uid="{00000000-0005-0000-0000-0000655F0000}"/>
    <cellStyle name="Hed Top - SECTION 2 2 6 9 2 2" xfId="22576" xr:uid="{00000000-0005-0000-0000-0000665F0000}"/>
    <cellStyle name="Hed Top - SECTION 2 2 6 9 3" xfId="22577" xr:uid="{00000000-0005-0000-0000-0000675F0000}"/>
    <cellStyle name="Hed Top - SECTION 2 2 6 9 3 2" xfId="22578" xr:uid="{00000000-0005-0000-0000-0000685F0000}"/>
    <cellStyle name="Hed Top - SECTION 2 2 6 9 4" xfId="22579" xr:uid="{00000000-0005-0000-0000-0000695F0000}"/>
    <cellStyle name="Hed Top - SECTION 2 2 6 9 4 2" xfId="22580" xr:uid="{00000000-0005-0000-0000-00006A5F0000}"/>
    <cellStyle name="Hed Top - SECTION 2 2 6 9 5" xfId="22581" xr:uid="{00000000-0005-0000-0000-00006B5F0000}"/>
    <cellStyle name="Hed Top - SECTION 2 2 6 9 5 2" xfId="22582" xr:uid="{00000000-0005-0000-0000-00006C5F0000}"/>
    <cellStyle name="Hed Top - SECTION 2 2 6 9 6" xfId="22583" xr:uid="{00000000-0005-0000-0000-00006D5F0000}"/>
    <cellStyle name="Hed Top - SECTION 2 2 6 9 6 2" xfId="22584" xr:uid="{00000000-0005-0000-0000-00006E5F0000}"/>
    <cellStyle name="Hed Top - SECTION 2 2 6 9 7" xfId="22585" xr:uid="{00000000-0005-0000-0000-00006F5F0000}"/>
    <cellStyle name="Hed Top - SECTION 2 2 6 9 7 2" xfId="22586" xr:uid="{00000000-0005-0000-0000-0000705F0000}"/>
    <cellStyle name="Hed Top - SECTION 2 2 6 9 8" xfId="22587" xr:uid="{00000000-0005-0000-0000-0000715F0000}"/>
    <cellStyle name="Hed Top - SECTION 2 2 6 9 8 2" xfId="22588" xr:uid="{00000000-0005-0000-0000-0000725F0000}"/>
    <cellStyle name="Hed Top - SECTION 2 2 6 9 9" xfId="22589" xr:uid="{00000000-0005-0000-0000-0000735F0000}"/>
    <cellStyle name="Hed Top - SECTION 2 2 6 9 9 2" xfId="22590" xr:uid="{00000000-0005-0000-0000-0000745F0000}"/>
    <cellStyle name="Hed Top - SECTION 2 2 7" xfId="22591" xr:uid="{00000000-0005-0000-0000-0000755F0000}"/>
    <cellStyle name="Hed Top - SECTION 2 2 7 10" xfId="22592" xr:uid="{00000000-0005-0000-0000-0000765F0000}"/>
    <cellStyle name="Hed Top - SECTION 2 2 7 10 2" xfId="22593" xr:uid="{00000000-0005-0000-0000-0000775F0000}"/>
    <cellStyle name="Hed Top - SECTION 2 2 7 10 2 2" xfId="22594" xr:uid="{00000000-0005-0000-0000-0000785F0000}"/>
    <cellStyle name="Hed Top - SECTION 2 2 7 10 3" xfId="22595" xr:uid="{00000000-0005-0000-0000-0000795F0000}"/>
    <cellStyle name="Hed Top - SECTION 2 2 7 10 3 2" xfId="22596" xr:uid="{00000000-0005-0000-0000-00007A5F0000}"/>
    <cellStyle name="Hed Top - SECTION 2 2 7 10 4" xfId="22597" xr:uid="{00000000-0005-0000-0000-00007B5F0000}"/>
    <cellStyle name="Hed Top - SECTION 2 2 7 10 4 2" xfId="22598" xr:uid="{00000000-0005-0000-0000-00007C5F0000}"/>
    <cellStyle name="Hed Top - SECTION 2 2 7 10 5" xfId="22599" xr:uid="{00000000-0005-0000-0000-00007D5F0000}"/>
    <cellStyle name="Hed Top - SECTION 2 2 7 10 5 2" xfId="22600" xr:uid="{00000000-0005-0000-0000-00007E5F0000}"/>
    <cellStyle name="Hed Top - SECTION 2 2 7 10 6" xfId="22601" xr:uid="{00000000-0005-0000-0000-00007F5F0000}"/>
    <cellStyle name="Hed Top - SECTION 2 2 7 10 6 2" xfId="22602" xr:uid="{00000000-0005-0000-0000-0000805F0000}"/>
    <cellStyle name="Hed Top - SECTION 2 2 7 10 7" xfId="22603" xr:uid="{00000000-0005-0000-0000-0000815F0000}"/>
    <cellStyle name="Hed Top - SECTION 2 2 7 10 7 2" xfId="22604" xr:uid="{00000000-0005-0000-0000-0000825F0000}"/>
    <cellStyle name="Hed Top - SECTION 2 2 7 10 8" xfId="22605" xr:uid="{00000000-0005-0000-0000-0000835F0000}"/>
    <cellStyle name="Hed Top - SECTION 2 2 7 10 8 2" xfId="22606" xr:uid="{00000000-0005-0000-0000-0000845F0000}"/>
    <cellStyle name="Hed Top - SECTION 2 2 7 10 9" xfId="22607" xr:uid="{00000000-0005-0000-0000-0000855F0000}"/>
    <cellStyle name="Hed Top - SECTION 2 2 7 11" xfId="22608" xr:uid="{00000000-0005-0000-0000-0000865F0000}"/>
    <cellStyle name="Hed Top - SECTION 2 2 7 11 2" xfId="22609" xr:uid="{00000000-0005-0000-0000-0000875F0000}"/>
    <cellStyle name="Hed Top - SECTION 2 2 7 12" xfId="22610" xr:uid="{00000000-0005-0000-0000-0000885F0000}"/>
    <cellStyle name="Hed Top - SECTION 2 2 7 12 2" xfId="22611" xr:uid="{00000000-0005-0000-0000-0000895F0000}"/>
    <cellStyle name="Hed Top - SECTION 2 2 7 13" xfId="22612" xr:uid="{00000000-0005-0000-0000-00008A5F0000}"/>
    <cellStyle name="Hed Top - SECTION 2 2 7 13 2" xfId="22613" xr:uid="{00000000-0005-0000-0000-00008B5F0000}"/>
    <cellStyle name="Hed Top - SECTION 2 2 7 14" xfId="22614" xr:uid="{00000000-0005-0000-0000-00008C5F0000}"/>
    <cellStyle name="Hed Top - SECTION 2 2 7 14 2" xfId="22615" xr:uid="{00000000-0005-0000-0000-00008D5F0000}"/>
    <cellStyle name="Hed Top - SECTION 2 2 7 15" xfId="22616" xr:uid="{00000000-0005-0000-0000-00008E5F0000}"/>
    <cellStyle name="Hed Top - SECTION 2 2 7 15 2" xfId="22617" xr:uid="{00000000-0005-0000-0000-00008F5F0000}"/>
    <cellStyle name="Hed Top - SECTION 2 2 7 16" xfId="22618" xr:uid="{00000000-0005-0000-0000-0000905F0000}"/>
    <cellStyle name="Hed Top - SECTION 2 2 7 16 2" xfId="22619" xr:uid="{00000000-0005-0000-0000-0000915F0000}"/>
    <cellStyle name="Hed Top - SECTION 2 2 7 17" xfId="22620" xr:uid="{00000000-0005-0000-0000-0000925F0000}"/>
    <cellStyle name="Hed Top - SECTION 2 2 7 17 2" xfId="22621" xr:uid="{00000000-0005-0000-0000-0000935F0000}"/>
    <cellStyle name="Hed Top - SECTION 2 2 7 18" xfId="22622" xr:uid="{00000000-0005-0000-0000-0000945F0000}"/>
    <cellStyle name="Hed Top - SECTION 2 2 7 2" xfId="22623" xr:uid="{00000000-0005-0000-0000-0000955F0000}"/>
    <cellStyle name="Hed Top - SECTION 2 2 7 2 10" xfId="22624" xr:uid="{00000000-0005-0000-0000-0000965F0000}"/>
    <cellStyle name="Hed Top - SECTION 2 2 7 2 2" xfId="22625" xr:uid="{00000000-0005-0000-0000-0000975F0000}"/>
    <cellStyle name="Hed Top - SECTION 2 2 7 2 2 2" xfId="22626" xr:uid="{00000000-0005-0000-0000-0000985F0000}"/>
    <cellStyle name="Hed Top - SECTION 2 2 7 2 3" xfId="22627" xr:uid="{00000000-0005-0000-0000-0000995F0000}"/>
    <cellStyle name="Hed Top - SECTION 2 2 7 2 3 2" xfId="22628" xr:uid="{00000000-0005-0000-0000-00009A5F0000}"/>
    <cellStyle name="Hed Top - SECTION 2 2 7 2 4" xfId="22629" xr:uid="{00000000-0005-0000-0000-00009B5F0000}"/>
    <cellStyle name="Hed Top - SECTION 2 2 7 2 4 2" xfId="22630" xr:uid="{00000000-0005-0000-0000-00009C5F0000}"/>
    <cellStyle name="Hed Top - SECTION 2 2 7 2 5" xfId="22631" xr:uid="{00000000-0005-0000-0000-00009D5F0000}"/>
    <cellStyle name="Hed Top - SECTION 2 2 7 2 5 2" xfId="22632" xr:uid="{00000000-0005-0000-0000-00009E5F0000}"/>
    <cellStyle name="Hed Top - SECTION 2 2 7 2 6" xfId="22633" xr:uid="{00000000-0005-0000-0000-00009F5F0000}"/>
    <cellStyle name="Hed Top - SECTION 2 2 7 2 6 2" xfId="22634" xr:uid="{00000000-0005-0000-0000-0000A05F0000}"/>
    <cellStyle name="Hed Top - SECTION 2 2 7 2 7" xfId="22635" xr:uid="{00000000-0005-0000-0000-0000A15F0000}"/>
    <cellStyle name="Hed Top - SECTION 2 2 7 2 7 2" xfId="22636" xr:uid="{00000000-0005-0000-0000-0000A25F0000}"/>
    <cellStyle name="Hed Top - SECTION 2 2 7 2 8" xfId="22637" xr:uid="{00000000-0005-0000-0000-0000A35F0000}"/>
    <cellStyle name="Hed Top - SECTION 2 2 7 2 8 2" xfId="22638" xr:uid="{00000000-0005-0000-0000-0000A45F0000}"/>
    <cellStyle name="Hed Top - SECTION 2 2 7 2 9" xfId="22639" xr:uid="{00000000-0005-0000-0000-0000A55F0000}"/>
    <cellStyle name="Hed Top - SECTION 2 2 7 2 9 2" xfId="22640" xr:uid="{00000000-0005-0000-0000-0000A65F0000}"/>
    <cellStyle name="Hed Top - SECTION 2 2 7 3" xfId="22641" xr:uid="{00000000-0005-0000-0000-0000A75F0000}"/>
    <cellStyle name="Hed Top - SECTION 2 2 7 3 10" xfId="22642" xr:uid="{00000000-0005-0000-0000-0000A85F0000}"/>
    <cellStyle name="Hed Top - SECTION 2 2 7 3 2" xfId="22643" xr:uid="{00000000-0005-0000-0000-0000A95F0000}"/>
    <cellStyle name="Hed Top - SECTION 2 2 7 3 2 2" xfId="22644" xr:uid="{00000000-0005-0000-0000-0000AA5F0000}"/>
    <cellStyle name="Hed Top - SECTION 2 2 7 3 3" xfId="22645" xr:uid="{00000000-0005-0000-0000-0000AB5F0000}"/>
    <cellStyle name="Hed Top - SECTION 2 2 7 3 3 2" xfId="22646" xr:uid="{00000000-0005-0000-0000-0000AC5F0000}"/>
    <cellStyle name="Hed Top - SECTION 2 2 7 3 4" xfId="22647" xr:uid="{00000000-0005-0000-0000-0000AD5F0000}"/>
    <cellStyle name="Hed Top - SECTION 2 2 7 3 4 2" xfId="22648" xr:uid="{00000000-0005-0000-0000-0000AE5F0000}"/>
    <cellStyle name="Hed Top - SECTION 2 2 7 3 5" xfId="22649" xr:uid="{00000000-0005-0000-0000-0000AF5F0000}"/>
    <cellStyle name="Hed Top - SECTION 2 2 7 3 5 2" xfId="22650" xr:uid="{00000000-0005-0000-0000-0000B05F0000}"/>
    <cellStyle name="Hed Top - SECTION 2 2 7 3 6" xfId="22651" xr:uid="{00000000-0005-0000-0000-0000B15F0000}"/>
    <cellStyle name="Hed Top - SECTION 2 2 7 3 6 2" xfId="22652" xr:uid="{00000000-0005-0000-0000-0000B25F0000}"/>
    <cellStyle name="Hed Top - SECTION 2 2 7 3 7" xfId="22653" xr:uid="{00000000-0005-0000-0000-0000B35F0000}"/>
    <cellStyle name="Hed Top - SECTION 2 2 7 3 7 2" xfId="22654" xr:uid="{00000000-0005-0000-0000-0000B45F0000}"/>
    <cellStyle name="Hed Top - SECTION 2 2 7 3 8" xfId="22655" xr:uid="{00000000-0005-0000-0000-0000B55F0000}"/>
    <cellStyle name="Hed Top - SECTION 2 2 7 3 8 2" xfId="22656" xr:uid="{00000000-0005-0000-0000-0000B65F0000}"/>
    <cellStyle name="Hed Top - SECTION 2 2 7 3 9" xfId="22657" xr:uid="{00000000-0005-0000-0000-0000B75F0000}"/>
    <cellStyle name="Hed Top - SECTION 2 2 7 3 9 2" xfId="22658" xr:uid="{00000000-0005-0000-0000-0000B85F0000}"/>
    <cellStyle name="Hed Top - SECTION 2 2 7 4" xfId="22659" xr:uid="{00000000-0005-0000-0000-0000B95F0000}"/>
    <cellStyle name="Hed Top - SECTION 2 2 7 4 10" xfId="22660" xr:uid="{00000000-0005-0000-0000-0000BA5F0000}"/>
    <cellStyle name="Hed Top - SECTION 2 2 7 4 2" xfId="22661" xr:uid="{00000000-0005-0000-0000-0000BB5F0000}"/>
    <cellStyle name="Hed Top - SECTION 2 2 7 4 2 2" xfId="22662" xr:uid="{00000000-0005-0000-0000-0000BC5F0000}"/>
    <cellStyle name="Hed Top - SECTION 2 2 7 4 3" xfId="22663" xr:uid="{00000000-0005-0000-0000-0000BD5F0000}"/>
    <cellStyle name="Hed Top - SECTION 2 2 7 4 3 2" xfId="22664" xr:uid="{00000000-0005-0000-0000-0000BE5F0000}"/>
    <cellStyle name="Hed Top - SECTION 2 2 7 4 4" xfId="22665" xr:uid="{00000000-0005-0000-0000-0000BF5F0000}"/>
    <cellStyle name="Hed Top - SECTION 2 2 7 4 4 2" xfId="22666" xr:uid="{00000000-0005-0000-0000-0000C05F0000}"/>
    <cellStyle name="Hed Top - SECTION 2 2 7 4 5" xfId="22667" xr:uid="{00000000-0005-0000-0000-0000C15F0000}"/>
    <cellStyle name="Hed Top - SECTION 2 2 7 4 5 2" xfId="22668" xr:uid="{00000000-0005-0000-0000-0000C25F0000}"/>
    <cellStyle name="Hed Top - SECTION 2 2 7 4 6" xfId="22669" xr:uid="{00000000-0005-0000-0000-0000C35F0000}"/>
    <cellStyle name="Hed Top - SECTION 2 2 7 4 6 2" xfId="22670" xr:uid="{00000000-0005-0000-0000-0000C45F0000}"/>
    <cellStyle name="Hed Top - SECTION 2 2 7 4 7" xfId="22671" xr:uid="{00000000-0005-0000-0000-0000C55F0000}"/>
    <cellStyle name="Hed Top - SECTION 2 2 7 4 7 2" xfId="22672" xr:uid="{00000000-0005-0000-0000-0000C65F0000}"/>
    <cellStyle name="Hed Top - SECTION 2 2 7 4 8" xfId="22673" xr:uid="{00000000-0005-0000-0000-0000C75F0000}"/>
    <cellStyle name="Hed Top - SECTION 2 2 7 4 8 2" xfId="22674" xr:uid="{00000000-0005-0000-0000-0000C85F0000}"/>
    <cellStyle name="Hed Top - SECTION 2 2 7 4 9" xfId="22675" xr:uid="{00000000-0005-0000-0000-0000C95F0000}"/>
    <cellStyle name="Hed Top - SECTION 2 2 7 4 9 2" xfId="22676" xr:uid="{00000000-0005-0000-0000-0000CA5F0000}"/>
    <cellStyle name="Hed Top - SECTION 2 2 7 5" xfId="22677" xr:uid="{00000000-0005-0000-0000-0000CB5F0000}"/>
    <cellStyle name="Hed Top - SECTION 2 2 7 5 10" xfId="22678" xr:uid="{00000000-0005-0000-0000-0000CC5F0000}"/>
    <cellStyle name="Hed Top - SECTION 2 2 7 5 2" xfId="22679" xr:uid="{00000000-0005-0000-0000-0000CD5F0000}"/>
    <cellStyle name="Hed Top - SECTION 2 2 7 5 2 2" xfId="22680" xr:uid="{00000000-0005-0000-0000-0000CE5F0000}"/>
    <cellStyle name="Hed Top - SECTION 2 2 7 5 3" xfId="22681" xr:uid="{00000000-0005-0000-0000-0000CF5F0000}"/>
    <cellStyle name="Hed Top - SECTION 2 2 7 5 3 2" xfId="22682" xr:uid="{00000000-0005-0000-0000-0000D05F0000}"/>
    <cellStyle name="Hed Top - SECTION 2 2 7 5 4" xfId="22683" xr:uid="{00000000-0005-0000-0000-0000D15F0000}"/>
    <cellStyle name="Hed Top - SECTION 2 2 7 5 4 2" xfId="22684" xr:uid="{00000000-0005-0000-0000-0000D25F0000}"/>
    <cellStyle name="Hed Top - SECTION 2 2 7 5 5" xfId="22685" xr:uid="{00000000-0005-0000-0000-0000D35F0000}"/>
    <cellStyle name="Hed Top - SECTION 2 2 7 5 5 2" xfId="22686" xr:uid="{00000000-0005-0000-0000-0000D45F0000}"/>
    <cellStyle name="Hed Top - SECTION 2 2 7 5 6" xfId="22687" xr:uid="{00000000-0005-0000-0000-0000D55F0000}"/>
    <cellStyle name="Hed Top - SECTION 2 2 7 5 6 2" xfId="22688" xr:uid="{00000000-0005-0000-0000-0000D65F0000}"/>
    <cellStyle name="Hed Top - SECTION 2 2 7 5 7" xfId="22689" xr:uid="{00000000-0005-0000-0000-0000D75F0000}"/>
    <cellStyle name="Hed Top - SECTION 2 2 7 5 7 2" xfId="22690" xr:uid="{00000000-0005-0000-0000-0000D85F0000}"/>
    <cellStyle name="Hed Top - SECTION 2 2 7 5 8" xfId="22691" xr:uid="{00000000-0005-0000-0000-0000D95F0000}"/>
    <cellStyle name="Hed Top - SECTION 2 2 7 5 8 2" xfId="22692" xr:uid="{00000000-0005-0000-0000-0000DA5F0000}"/>
    <cellStyle name="Hed Top - SECTION 2 2 7 5 9" xfId="22693" xr:uid="{00000000-0005-0000-0000-0000DB5F0000}"/>
    <cellStyle name="Hed Top - SECTION 2 2 7 5 9 2" xfId="22694" xr:uid="{00000000-0005-0000-0000-0000DC5F0000}"/>
    <cellStyle name="Hed Top - SECTION 2 2 7 6" xfId="22695" xr:uid="{00000000-0005-0000-0000-0000DD5F0000}"/>
    <cellStyle name="Hed Top - SECTION 2 2 7 6 10" xfId="22696" xr:uid="{00000000-0005-0000-0000-0000DE5F0000}"/>
    <cellStyle name="Hed Top - SECTION 2 2 7 6 2" xfId="22697" xr:uid="{00000000-0005-0000-0000-0000DF5F0000}"/>
    <cellStyle name="Hed Top - SECTION 2 2 7 6 2 2" xfId="22698" xr:uid="{00000000-0005-0000-0000-0000E05F0000}"/>
    <cellStyle name="Hed Top - SECTION 2 2 7 6 3" xfId="22699" xr:uid="{00000000-0005-0000-0000-0000E15F0000}"/>
    <cellStyle name="Hed Top - SECTION 2 2 7 6 3 2" xfId="22700" xr:uid="{00000000-0005-0000-0000-0000E25F0000}"/>
    <cellStyle name="Hed Top - SECTION 2 2 7 6 4" xfId="22701" xr:uid="{00000000-0005-0000-0000-0000E35F0000}"/>
    <cellStyle name="Hed Top - SECTION 2 2 7 6 4 2" xfId="22702" xr:uid="{00000000-0005-0000-0000-0000E45F0000}"/>
    <cellStyle name="Hed Top - SECTION 2 2 7 6 5" xfId="22703" xr:uid="{00000000-0005-0000-0000-0000E55F0000}"/>
    <cellStyle name="Hed Top - SECTION 2 2 7 6 5 2" xfId="22704" xr:uid="{00000000-0005-0000-0000-0000E65F0000}"/>
    <cellStyle name="Hed Top - SECTION 2 2 7 6 6" xfId="22705" xr:uid="{00000000-0005-0000-0000-0000E75F0000}"/>
    <cellStyle name="Hed Top - SECTION 2 2 7 6 6 2" xfId="22706" xr:uid="{00000000-0005-0000-0000-0000E85F0000}"/>
    <cellStyle name="Hed Top - SECTION 2 2 7 6 7" xfId="22707" xr:uid="{00000000-0005-0000-0000-0000E95F0000}"/>
    <cellStyle name="Hed Top - SECTION 2 2 7 6 7 2" xfId="22708" xr:uid="{00000000-0005-0000-0000-0000EA5F0000}"/>
    <cellStyle name="Hed Top - SECTION 2 2 7 6 8" xfId="22709" xr:uid="{00000000-0005-0000-0000-0000EB5F0000}"/>
    <cellStyle name="Hed Top - SECTION 2 2 7 6 8 2" xfId="22710" xr:uid="{00000000-0005-0000-0000-0000EC5F0000}"/>
    <cellStyle name="Hed Top - SECTION 2 2 7 6 9" xfId="22711" xr:uid="{00000000-0005-0000-0000-0000ED5F0000}"/>
    <cellStyle name="Hed Top - SECTION 2 2 7 6 9 2" xfId="22712" xr:uid="{00000000-0005-0000-0000-0000EE5F0000}"/>
    <cellStyle name="Hed Top - SECTION 2 2 7 7" xfId="22713" xr:uid="{00000000-0005-0000-0000-0000EF5F0000}"/>
    <cellStyle name="Hed Top - SECTION 2 2 7 7 10" xfId="22714" xr:uid="{00000000-0005-0000-0000-0000F05F0000}"/>
    <cellStyle name="Hed Top - SECTION 2 2 7 7 2" xfId="22715" xr:uid="{00000000-0005-0000-0000-0000F15F0000}"/>
    <cellStyle name="Hed Top - SECTION 2 2 7 7 2 2" xfId="22716" xr:uid="{00000000-0005-0000-0000-0000F25F0000}"/>
    <cellStyle name="Hed Top - SECTION 2 2 7 7 3" xfId="22717" xr:uid="{00000000-0005-0000-0000-0000F35F0000}"/>
    <cellStyle name="Hed Top - SECTION 2 2 7 7 3 2" xfId="22718" xr:uid="{00000000-0005-0000-0000-0000F45F0000}"/>
    <cellStyle name="Hed Top - SECTION 2 2 7 7 4" xfId="22719" xr:uid="{00000000-0005-0000-0000-0000F55F0000}"/>
    <cellStyle name="Hed Top - SECTION 2 2 7 7 4 2" xfId="22720" xr:uid="{00000000-0005-0000-0000-0000F65F0000}"/>
    <cellStyle name="Hed Top - SECTION 2 2 7 7 5" xfId="22721" xr:uid="{00000000-0005-0000-0000-0000F75F0000}"/>
    <cellStyle name="Hed Top - SECTION 2 2 7 7 5 2" xfId="22722" xr:uid="{00000000-0005-0000-0000-0000F85F0000}"/>
    <cellStyle name="Hed Top - SECTION 2 2 7 7 6" xfId="22723" xr:uid="{00000000-0005-0000-0000-0000F95F0000}"/>
    <cellStyle name="Hed Top - SECTION 2 2 7 7 6 2" xfId="22724" xr:uid="{00000000-0005-0000-0000-0000FA5F0000}"/>
    <cellStyle name="Hed Top - SECTION 2 2 7 7 7" xfId="22725" xr:uid="{00000000-0005-0000-0000-0000FB5F0000}"/>
    <cellStyle name="Hed Top - SECTION 2 2 7 7 7 2" xfId="22726" xr:uid="{00000000-0005-0000-0000-0000FC5F0000}"/>
    <cellStyle name="Hed Top - SECTION 2 2 7 7 8" xfId="22727" xr:uid="{00000000-0005-0000-0000-0000FD5F0000}"/>
    <cellStyle name="Hed Top - SECTION 2 2 7 7 8 2" xfId="22728" xr:uid="{00000000-0005-0000-0000-0000FE5F0000}"/>
    <cellStyle name="Hed Top - SECTION 2 2 7 7 9" xfId="22729" xr:uid="{00000000-0005-0000-0000-0000FF5F0000}"/>
    <cellStyle name="Hed Top - SECTION 2 2 7 7 9 2" xfId="22730" xr:uid="{00000000-0005-0000-0000-000000600000}"/>
    <cellStyle name="Hed Top - SECTION 2 2 7 8" xfId="22731" xr:uid="{00000000-0005-0000-0000-000001600000}"/>
    <cellStyle name="Hed Top - SECTION 2 2 7 8 10" xfId="22732" xr:uid="{00000000-0005-0000-0000-000002600000}"/>
    <cellStyle name="Hed Top - SECTION 2 2 7 8 2" xfId="22733" xr:uid="{00000000-0005-0000-0000-000003600000}"/>
    <cellStyle name="Hed Top - SECTION 2 2 7 8 2 2" xfId="22734" xr:uid="{00000000-0005-0000-0000-000004600000}"/>
    <cellStyle name="Hed Top - SECTION 2 2 7 8 3" xfId="22735" xr:uid="{00000000-0005-0000-0000-000005600000}"/>
    <cellStyle name="Hed Top - SECTION 2 2 7 8 3 2" xfId="22736" xr:uid="{00000000-0005-0000-0000-000006600000}"/>
    <cellStyle name="Hed Top - SECTION 2 2 7 8 4" xfId="22737" xr:uid="{00000000-0005-0000-0000-000007600000}"/>
    <cellStyle name="Hed Top - SECTION 2 2 7 8 4 2" xfId="22738" xr:uid="{00000000-0005-0000-0000-000008600000}"/>
    <cellStyle name="Hed Top - SECTION 2 2 7 8 5" xfId="22739" xr:uid="{00000000-0005-0000-0000-000009600000}"/>
    <cellStyle name="Hed Top - SECTION 2 2 7 8 5 2" xfId="22740" xr:uid="{00000000-0005-0000-0000-00000A600000}"/>
    <cellStyle name="Hed Top - SECTION 2 2 7 8 6" xfId="22741" xr:uid="{00000000-0005-0000-0000-00000B600000}"/>
    <cellStyle name="Hed Top - SECTION 2 2 7 8 6 2" xfId="22742" xr:uid="{00000000-0005-0000-0000-00000C600000}"/>
    <cellStyle name="Hed Top - SECTION 2 2 7 8 7" xfId="22743" xr:uid="{00000000-0005-0000-0000-00000D600000}"/>
    <cellStyle name="Hed Top - SECTION 2 2 7 8 7 2" xfId="22744" xr:uid="{00000000-0005-0000-0000-00000E600000}"/>
    <cellStyle name="Hed Top - SECTION 2 2 7 8 8" xfId="22745" xr:uid="{00000000-0005-0000-0000-00000F600000}"/>
    <cellStyle name="Hed Top - SECTION 2 2 7 8 8 2" xfId="22746" xr:uid="{00000000-0005-0000-0000-000010600000}"/>
    <cellStyle name="Hed Top - SECTION 2 2 7 8 9" xfId="22747" xr:uid="{00000000-0005-0000-0000-000011600000}"/>
    <cellStyle name="Hed Top - SECTION 2 2 7 8 9 2" xfId="22748" xr:uid="{00000000-0005-0000-0000-000012600000}"/>
    <cellStyle name="Hed Top - SECTION 2 2 7 9" xfId="22749" xr:uid="{00000000-0005-0000-0000-000013600000}"/>
    <cellStyle name="Hed Top - SECTION 2 2 7 9 10" xfId="22750" xr:uid="{00000000-0005-0000-0000-000014600000}"/>
    <cellStyle name="Hed Top - SECTION 2 2 7 9 2" xfId="22751" xr:uid="{00000000-0005-0000-0000-000015600000}"/>
    <cellStyle name="Hed Top - SECTION 2 2 7 9 2 2" xfId="22752" xr:uid="{00000000-0005-0000-0000-000016600000}"/>
    <cellStyle name="Hed Top - SECTION 2 2 7 9 3" xfId="22753" xr:uid="{00000000-0005-0000-0000-000017600000}"/>
    <cellStyle name="Hed Top - SECTION 2 2 7 9 3 2" xfId="22754" xr:uid="{00000000-0005-0000-0000-000018600000}"/>
    <cellStyle name="Hed Top - SECTION 2 2 7 9 4" xfId="22755" xr:uid="{00000000-0005-0000-0000-000019600000}"/>
    <cellStyle name="Hed Top - SECTION 2 2 7 9 4 2" xfId="22756" xr:uid="{00000000-0005-0000-0000-00001A600000}"/>
    <cellStyle name="Hed Top - SECTION 2 2 7 9 5" xfId="22757" xr:uid="{00000000-0005-0000-0000-00001B600000}"/>
    <cellStyle name="Hed Top - SECTION 2 2 7 9 5 2" xfId="22758" xr:uid="{00000000-0005-0000-0000-00001C600000}"/>
    <cellStyle name="Hed Top - SECTION 2 2 7 9 6" xfId="22759" xr:uid="{00000000-0005-0000-0000-00001D600000}"/>
    <cellStyle name="Hed Top - SECTION 2 2 7 9 6 2" xfId="22760" xr:uid="{00000000-0005-0000-0000-00001E600000}"/>
    <cellStyle name="Hed Top - SECTION 2 2 7 9 7" xfId="22761" xr:uid="{00000000-0005-0000-0000-00001F600000}"/>
    <cellStyle name="Hed Top - SECTION 2 2 7 9 7 2" xfId="22762" xr:uid="{00000000-0005-0000-0000-000020600000}"/>
    <cellStyle name="Hed Top - SECTION 2 2 7 9 8" xfId="22763" xr:uid="{00000000-0005-0000-0000-000021600000}"/>
    <cellStyle name="Hed Top - SECTION 2 2 7 9 8 2" xfId="22764" xr:uid="{00000000-0005-0000-0000-000022600000}"/>
    <cellStyle name="Hed Top - SECTION 2 2 7 9 9" xfId="22765" xr:uid="{00000000-0005-0000-0000-000023600000}"/>
    <cellStyle name="Hed Top - SECTION 2 2 7 9 9 2" xfId="22766" xr:uid="{00000000-0005-0000-0000-000024600000}"/>
    <cellStyle name="Hed Top - SECTION 2 3" xfId="174" xr:uid="{00000000-0005-0000-0000-000025600000}"/>
    <cellStyle name="Hed Top - SECTION 2 3 2" xfId="22767" xr:uid="{00000000-0005-0000-0000-000026600000}"/>
    <cellStyle name="Hed Top - SECTION 2 3 2 10" xfId="22768" xr:uid="{00000000-0005-0000-0000-000027600000}"/>
    <cellStyle name="Hed Top - SECTION 2 3 2 10 10" xfId="22769" xr:uid="{00000000-0005-0000-0000-000028600000}"/>
    <cellStyle name="Hed Top - SECTION 2 3 2 10 2" xfId="22770" xr:uid="{00000000-0005-0000-0000-000029600000}"/>
    <cellStyle name="Hed Top - SECTION 2 3 2 10 2 2" xfId="22771" xr:uid="{00000000-0005-0000-0000-00002A600000}"/>
    <cellStyle name="Hed Top - SECTION 2 3 2 10 3" xfId="22772" xr:uid="{00000000-0005-0000-0000-00002B600000}"/>
    <cellStyle name="Hed Top - SECTION 2 3 2 10 3 2" xfId="22773" xr:uid="{00000000-0005-0000-0000-00002C600000}"/>
    <cellStyle name="Hed Top - SECTION 2 3 2 10 4" xfId="22774" xr:uid="{00000000-0005-0000-0000-00002D600000}"/>
    <cellStyle name="Hed Top - SECTION 2 3 2 10 4 2" xfId="22775" xr:uid="{00000000-0005-0000-0000-00002E600000}"/>
    <cellStyle name="Hed Top - SECTION 2 3 2 10 5" xfId="22776" xr:uid="{00000000-0005-0000-0000-00002F600000}"/>
    <cellStyle name="Hed Top - SECTION 2 3 2 10 5 2" xfId="22777" xr:uid="{00000000-0005-0000-0000-000030600000}"/>
    <cellStyle name="Hed Top - SECTION 2 3 2 10 6" xfId="22778" xr:uid="{00000000-0005-0000-0000-000031600000}"/>
    <cellStyle name="Hed Top - SECTION 2 3 2 10 6 2" xfId="22779" xr:uid="{00000000-0005-0000-0000-000032600000}"/>
    <cellStyle name="Hed Top - SECTION 2 3 2 10 7" xfId="22780" xr:uid="{00000000-0005-0000-0000-000033600000}"/>
    <cellStyle name="Hed Top - SECTION 2 3 2 10 7 2" xfId="22781" xr:uid="{00000000-0005-0000-0000-000034600000}"/>
    <cellStyle name="Hed Top - SECTION 2 3 2 10 8" xfId="22782" xr:uid="{00000000-0005-0000-0000-000035600000}"/>
    <cellStyle name="Hed Top - SECTION 2 3 2 10 8 2" xfId="22783" xr:uid="{00000000-0005-0000-0000-000036600000}"/>
    <cellStyle name="Hed Top - SECTION 2 3 2 10 9" xfId="22784" xr:uid="{00000000-0005-0000-0000-000037600000}"/>
    <cellStyle name="Hed Top - SECTION 2 3 2 10 9 2" xfId="22785" xr:uid="{00000000-0005-0000-0000-000038600000}"/>
    <cellStyle name="Hed Top - SECTION 2 3 2 11" xfId="22786" xr:uid="{00000000-0005-0000-0000-000039600000}"/>
    <cellStyle name="Hed Top - SECTION 2 3 2 11 2" xfId="22787" xr:uid="{00000000-0005-0000-0000-00003A600000}"/>
    <cellStyle name="Hed Top - SECTION 2 3 2 11 2 2" xfId="22788" xr:uid="{00000000-0005-0000-0000-00003B600000}"/>
    <cellStyle name="Hed Top - SECTION 2 3 2 11 3" xfId="22789" xr:uid="{00000000-0005-0000-0000-00003C600000}"/>
    <cellStyle name="Hed Top - SECTION 2 3 2 11 3 2" xfId="22790" xr:uid="{00000000-0005-0000-0000-00003D600000}"/>
    <cellStyle name="Hed Top - SECTION 2 3 2 11 4" xfId="22791" xr:uid="{00000000-0005-0000-0000-00003E600000}"/>
    <cellStyle name="Hed Top - SECTION 2 3 2 11 4 2" xfId="22792" xr:uid="{00000000-0005-0000-0000-00003F600000}"/>
    <cellStyle name="Hed Top - SECTION 2 3 2 11 5" xfId="22793" xr:uid="{00000000-0005-0000-0000-000040600000}"/>
    <cellStyle name="Hed Top - SECTION 2 3 2 11 5 2" xfId="22794" xr:uid="{00000000-0005-0000-0000-000041600000}"/>
    <cellStyle name="Hed Top - SECTION 2 3 2 11 6" xfId="22795" xr:uid="{00000000-0005-0000-0000-000042600000}"/>
    <cellStyle name="Hed Top - SECTION 2 3 2 11 6 2" xfId="22796" xr:uid="{00000000-0005-0000-0000-000043600000}"/>
    <cellStyle name="Hed Top - SECTION 2 3 2 11 7" xfId="22797" xr:uid="{00000000-0005-0000-0000-000044600000}"/>
    <cellStyle name="Hed Top - SECTION 2 3 2 11 7 2" xfId="22798" xr:uid="{00000000-0005-0000-0000-000045600000}"/>
    <cellStyle name="Hed Top - SECTION 2 3 2 11 8" xfId="22799" xr:uid="{00000000-0005-0000-0000-000046600000}"/>
    <cellStyle name="Hed Top - SECTION 2 3 2 11 8 2" xfId="22800" xr:uid="{00000000-0005-0000-0000-000047600000}"/>
    <cellStyle name="Hed Top - SECTION 2 3 2 11 9" xfId="22801" xr:uid="{00000000-0005-0000-0000-000048600000}"/>
    <cellStyle name="Hed Top - SECTION 2 3 2 2" xfId="22802" xr:uid="{00000000-0005-0000-0000-000049600000}"/>
    <cellStyle name="Hed Top - SECTION 2 3 2 2 10" xfId="22803" xr:uid="{00000000-0005-0000-0000-00004A600000}"/>
    <cellStyle name="Hed Top - SECTION 2 3 2 2 2" xfId="22804" xr:uid="{00000000-0005-0000-0000-00004B600000}"/>
    <cellStyle name="Hed Top - SECTION 2 3 2 2 2 2" xfId="22805" xr:uid="{00000000-0005-0000-0000-00004C600000}"/>
    <cellStyle name="Hed Top - SECTION 2 3 2 2 3" xfId="22806" xr:uid="{00000000-0005-0000-0000-00004D600000}"/>
    <cellStyle name="Hed Top - SECTION 2 3 2 2 3 2" xfId="22807" xr:uid="{00000000-0005-0000-0000-00004E600000}"/>
    <cellStyle name="Hed Top - SECTION 2 3 2 2 4" xfId="22808" xr:uid="{00000000-0005-0000-0000-00004F600000}"/>
    <cellStyle name="Hed Top - SECTION 2 3 2 2 4 2" xfId="22809" xr:uid="{00000000-0005-0000-0000-000050600000}"/>
    <cellStyle name="Hed Top - SECTION 2 3 2 2 5" xfId="22810" xr:uid="{00000000-0005-0000-0000-000051600000}"/>
    <cellStyle name="Hed Top - SECTION 2 3 2 2 5 2" xfId="22811" xr:uid="{00000000-0005-0000-0000-000052600000}"/>
    <cellStyle name="Hed Top - SECTION 2 3 2 2 6" xfId="22812" xr:uid="{00000000-0005-0000-0000-000053600000}"/>
    <cellStyle name="Hed Top - SECTION 2 3 2 2 6 2" xfId="22813" xr:uid="{00000000-0005-0000-0000-000054600000}"/>
    <cellStyle name="Hed Top - SECTION 2 3 2 2 7" xfId="22814" xr:uid="{00000000-0005-0000-0000-000055600000}"/>
    <cellStyle name="Hed Top - SECTION 2 3 2 2 7 2" xfId="22815" xr:uid="{00000000-0005-0000-0000-000056600000}"/>
    <cellStyle name="Hed Top - SECTION 2 3 2 2 8" xfId="22816" xr:uid="{00000000-0005-0000-0000-000057600000}"/>
    <cellStyle name="Hed Top - SECTION 2 3 2 2 8 2" xfId="22817" xr:uid="{00000000-0005-0000-0000-000058600000}"/>
    <cellStyle name="Hed Top - SECTION 2 3 2 2 9" xfId="22818" xr:uid="{00000000-0005-0000-0000-000059600000}"/>
    <cellStyle name="Hed Top - SECTION 2 3 2 2 9 2" xfId="22819" xr:uid="{00000000-0005-0000-0000-00005A600000}"/>
    <cellStyle name="Hed Top - SECTION 2 3 2 3" xfId="22820" xr:uid="{00000000-0005-0000-0000-00005B600000}"/>
    <cellStyle name="Hed Top - SECTION 2 3 2 3 10" xfId="22821" xr:uid="{00000000-0005-0000-0000-00005C600000}"/>
    <cellStyle name="Hed Top - SECTION 2 3 2 3 2" xfId="22822" xr:uid="{00000000-0005-0000-0000-00005D600000}"/>
    <cellStyle name="Hed Top - SECTION 2 3 2 3 2 2" xfId="22823" xr:uid="{00000000-0005-0000-0000-00005E600000}"/>
    <cellStyle name="Hed Top - SECTION 2 3 2 3 3" xfId="22824" xr:uid="{00000000-0005-0000-0000-00005F600000}"/>
    <cellStyle name="Hed Top - SECTION 2 3 2 3 3 2" xfId="22825" xr:uid="{00000000-0005-0000-0000-000060600000}"/>
    <cellStyle name="Hed Top - SECTION 2 3 2 3 4" xfId="22826" xr:uid="{00000000-0005-0000-0000-000061600000}"/>
    <cellStyle name="Hed Top - SECTION 2 3 2 3 4 2" xfId="22827" xr:uid="{00000000-0005-0000-0000-000062600000}"/>
    <cellStyle name="Hed Top - SECTION 2 3 2 3 5" xfId="22828" xr:uid="{00000000-0005-0000-0000-000063600000}"/>
    <cellStyle name="Hed Top - SECTION 2 3 2 3 5 2" xfId="22829" xr:uid="{00000000-0005-0000-0000-000064600000}"/>
    <cellStyle name="Hed Top - SECTION 2 3 2 3 6" xfId="22830" xr:uid="{00000000-0005-0000-0000-000065600000}"/>
    <cellStyle name="Hed Top - SECTION 2 3 2 3 6 2" xfId="22831" xr:uid="{00000000-0005-0000-0000-000066600000}"/>
    <cellStyle name="Hed Top - SECTION 2 3 2 3 7" xfId="22832" xr:uid="{00000000-0005-0000-0000-000067600000}"/>
    <cellStyle name="Hed Top - SECTION 2 3 2 3 7 2" xfId="22833" xr:uid="{00000000-0005-0000-0000-000068600000}"/>
    <cellStyle name="Hed Top - SECTION 2 3 2 3 8" xfId="22834" xr:uid="{00000000-0005-0000-0000-000069600000}"/>
    <cellStyle name="Hed Top - SECTION 2 3 2 3 8 2" xfId="22835" xr:uid="{00000000-0005-0000-0000-00006A600000}"/>
    <cellStyle name="Hed Top - SECTION 2 3 2 3 9" xfId="22836" xr:uid="{00000000-0005-0000-0000-00006B600000}"/>
    <cellStyle name="Hed Top - SECTION 2 3 2 3 9 2" xfId="22837" xr:uid="{00000000-0005-0000-0000-00006C600000}"/>
    <cellStyle name="Hed Top - SECTION 2 3 2 4" xfId="22838" xr:uid="{00000000-0005-0000-0000-00006D600000}"/>
    <cellStyle name="Hed Top - SECTION 2 3 2 4 10" xfId="22839" xr:uid="{00000000-0005-0000-0000-00006E600000}"/>
    <cellStyle name="Hed Top - SECTION 2 3 2 4 2" xfId="22840" xr:uid="{00000000-0005-0000-0000-00006F600000}"/>
    <cellStyle name="Hed Top - SECTION 2 3 2 4 2 2" xfId="22841" xr:uid="{00000000-0005-0000-0000-000070600000}"/>
    <cellStyle name="Hed Top - SECTION 2 3 2 4 3" xfId="22842" xr:uid="{00000000-0005-0000-0000-000071600000}"/>
    <cellStyle name="Hed Top - SECTION 2 3 2 4 3 2" xfId="22843" xr:uid="{00000000-0005-0000-0000-000072600000}"/>
    <cellStyle name="Hed Top - SECTION 2 3 2 4 4" xfId="22844" xr:uid="{00000000-0005-0000-0000-000073600000}"/>
    <cellStyle name="Hed Top - SECTION 2 3 2 4 4 2" xfId="22845" xr:uid="{00000000-0005-0000-0000-000074600000}"/>
    <cellStyle name="Hed Top - SECTION 2 3 2 4 5" xfId="22846" xr:uid="{00000000-0005-0000-0000-000075600000}"/>
    <cellStyle name="Hed Top - SECTION 2 3 2 4 5 2" xfId="22847" xr:uid="{00000000-0005-0000-0000-000076600000}"/>
    <cellStyle name="Hed Top - SECTION 2 3 2 4 6" xfId="22848" xr:uid="{00000000-0005-0000-0000-000077600000}"/>
    <cellStyle name="Hed Top - SECTION 2 3 2 4 6 2" xfId="22849" xr:uid="{00000000-0005-0000-0000-000078600000}"/>
    <cellStyle name="Hed Top - SECTION 2 3 2 4 7" xfId="22850" xr:uid="{00000000-0005-0000-0000-000079600000}"/>
    <cellStyle name="Hed Top - SECTION 2 3 2 4 7 2" xfId="22851" xr:uid="{00000000-0005-0000-0000-00007A600000}"/>
    <cellStyle name="Hed Top - SECTION 2 3 2 4 8" xfId="22852" xr:uid="{00000000-0005-0000-0000-00007B600000}"/>
    <cellStyle name="Hed Top - SECTION 2 3 2 4 8 2" xfId="22853" xr:uid="{00000000-0005-0000-0000-00007C600000}"/>
    <cellStyle name="Hed Top - SECTION 2 3 2 4 9" xfId="22854" xr:uid="{00000000-0005-0000-0000-00007D600000}"/>
    <cellStyle name="Hed Top - SECTION 2 3 2 4 9 2" xfId="22855" xr:uid="{00000000-0005-0000-0000-00007E600000}"/>
    <cellStyle name="Hed Top - SECTION 2 3 2 5" xfId="22856" xr:uid="{00000000-0005-0000-0000-00007F600000}"/>
    <cellStyle name="Hed Top - SECTION 2 3 2 5 10" xfId="22857" xr:uid="{00000000-0005-0000-0000-000080600000}"/>
    <cellStyle name="Hed Top - SECTION 2 3 2 5 2" xfId="22858" xr:uid="{00000000-0005-0000-0000-000081600000}"/>
    <cellStyle name="Hed Top - SECTION 2 3 2 5 2 2" xfId="22859" xr:uid="{00000000-0005-0000-0000-000082600000}"/>
    <cellStyle name="Hed Top - SECTION 2 3 2 5 3" xfId="22860" xr:uid="{00000000-0005-0000-0000-000083600000}"/>
    <cellStyle name="Hed Top - SECTION 2 3 2 5 3 2" xfId="22861" xr:uid="{00000000-0005-0000-0000-000084600000}"/>
    <cellStyle name="Hed Top - SECTION 2 3 2 5 4" xfId="22862" xr:uid="{00000000-0005-0000-0000-000085600000}"/>
    <cellStyle name="Hed Top - SECTION 2 3 2 5 4 2" xfId="22863" xr:uid="{00000000-0005-0000-0000-000086600000}"/>
    <cellStyle name="Hed Top - SECTION 2 3 2 5 5" xfId="22864" xr:uid="{00000000-0005-0000-0000-000087600000}"/>
    <cellStyle name="Hed Top - SECTION 2 3 2 5 5 2" xfId="22865" xr:uid="{00000000-0005-0000-0000-000088600000}"/>
    <cellStyle name="Hed Top - SECTION 2 3 2 5 6" xfId="22866" xr:uid="{00000000-0005-0000-0000-000089600000}"/>
    <cellStyle name="Hed Top - SECTION 2 3 2 5 6 2" xfId="22867" xr:uid="{00000000-0005-0000-0000-00008A600000}"/>
    <cellStyle name="Hed Top - SECTION 2 3 2 5 7" xfId="22868" xr:uid="{00000000-0005-0000-0000-00008B600000}"/>
    <cellStyle name="Hed Top - SECTION 2 3 2 5 7 2" xfId="22869" xr:uid="{00000000-0005-0000-0000-00008C600000}"/>
    <cellStyle name="Hed Top - SECTION 2 3 2 5 8" xfId="22870" xr:uid="{00000000-0005-0000-0000-00008D600000}"/>
    <cellStyle name="Hed Top - SECTION 2 3 2 5 8 2" xfId="22871" xr:uid="{00000000-0005-0000-0000-00008E600000}"/>
    <cellStyle name="Hed Top - SECTION 2 3 2 5 9" xfId="22872" xr:uid="{00000000-0005-0000-0000-00008F600000}"/>
    <cellStyle name="Hed Top - SECTION 2 3 2 5 9 2" xfId="22873" xr:uid="{00000000-0005-0000-0000-000090600000}"/>
    <cellStyle name="Hed Top - SECTION 2 3 2 6" xfId="22874" xr:uid="{00000000-0005-0000-0000-000091600000}"/>
    <cellStyle name="Hed Top - SECTION 2 3 2 6 10" xfId="22875" xr:uid="{00000000-0005-0000-0000-000092600000}"/>
    <cellStyle name="Hed Top - SECTION 2 3 2 6 2" xfId="22876" xr:uid="{00000000-0005-0000-0000-000093600000}"/>
    <cellStyle name="Hed Top - SECTION 2 3 2 6 2 2" xfId="22877" xr:uid="{00000000-0005-0000-0000-000094600000}"/>
    <cellStyle name="Hed Top - SECTION 2 3 2 6 3" xfId="22878" xr:uid="{00000000-0005-0000-0000-000095600000}"/>
    <cellStyle name="Hed Top - SECTION 2 3 2 6 3 2" xfId="22879" xr:uid="{00000000-0005-0000-0000-000096600000}"/>
    <cellStyle name="Hed Top - SECTION 2 3 2 6 4" xfId="22880" xr:uid="{00000000-0005-0000-0000-000097600000}"/>
    <cellStyle name="Hed Top - SECTION 2 3 2 6 4 2" xfId="22881" xr:uid="{00000000-0005-0000-0000-000098600000}"/>
    <cellStyle name="Hed Top - SECTION 2 3 2 6 5" xfId="22882" xr:uid="{00000000-0005-0000-0000-000099600000}"/>
    <cellStyle name="Hed Top - SECTION 2 3 2 6 5 2" xfId="22883" xr:uid="{00000000-0005-0000-0000-00009A600000}"/>
    <cellStyle name="Hed Top - SECTION 2 3 2 6 6" xfId="22884" xr:uid="{00000000-0005-0000-0000-00009B600000}"/>
    <cellStyle name="Hed Top - SECTION 2 3 2 6 6 2" xfId="22885" xr:uid="{00000000-0005-0000-0000-00009C600000}"/>
    <cellStyle name="Hed Top - SECTION 2 3 2 6 7" xfId="22886" xr:uid="{00000000-0005-0000-0000-00009D600000}"/>
    <cellStyle name="Hed Top - SECTION 2 3 2 6 7 2" xfId="22887" xr:uid="{00000000-0005-0000-0000-00009E600000}"/>
    <cellStyle name="Hed Top - SECTION 2 3 2 6 8" xfId="22888" xr:uid="{00000000-0005-0000-0000-00009F600000}"/>
    <cellStyle name="Hed Top - SECTION 2 3 2 6 8 2" xfId="22889" xr:uid="{00000000-0005-0000-0000-0000A0600000}"/>
    <cellStyle name="Hed Top - SECTION 2 3 2 6 9" xfId="22890" xr:uid="{00000000-0005-0000-0000-0000A1600000}"/>
    <cellStyle name="Hed Top - SECTION 2 3 2 6 9 2" xfId="22891" xr:uid="{00000000-0005-0000-0000-0000A2600000}"/>
    <cellStyle name="Hed Top - SECTION 2 3 2 7" xfId="22892" xr:uid="{00000000-0005-0000-0000-0000A3600000}"/>
    <cellStyle name="Hed Top - SECTION 2 3 2 7 10" xfId="22893" xr:uid="{00000000-0005-0000-0000-0000A4600000}"/>
    <cellStyle name="Hed Top - SECTION 2 3 2 7 2" xfId="22894" xr:uid="{00000000-0005-0000-0000-0000A5600000}"/>
    <cellStyle name="Hed Top - SECTION 2 3 2 7 2 2" xfId="22895" xr:uid="{00000000-0005-0000-0000-0000A6600000}"/>
    <cellStyle name="Hed Top - SECTION 2 3 2 7 3" xfId="22896" xr:uid="{00000000-0005-0000-0000-0000A7600000}"/>
    <cellStyle name="Hed Top - SECTION 2 3 2 7 3 2" xfId="22897" xr:uid="{00000000-0005-0000-0000-0000A8600000}"/>
    <cellStyle name="Hed Top - SECTION 2 3 2 7 4" xfId="22898" xr:uid="{00000000-0005-0000-0000-0000A9600000}"/>
    <cellStyle name="Hed Top - SECTION 2 3 2 7 4 2" xfId="22899" xr:uid="{00000000-0005-0000-0000-0000AA600000}"/>
    <cellStyle name="Hed Top - SECTION 2 3 2 7 5" xfId="22900" xr:uid="{00000000-0005-0000-0000-0000AB600000}"/>
    <cellStyle name="Hed Top - SECTION 2 3 2 7 5 2" xfId="22901" xr:uid="{00000000-0005-0000-0000-0000AC600000}"/>
    <cellStyle name="Hed Top - SECTION 2 3 2 7 6" xfId="22902" xr:uid="{00000000-0005-0000-0000-0000AD600000}"/>
    <cellStyle name="Hed Top - SECTION 2 3 2 7 6 2" xfId="22903" xr:uid="{00000000-0005-0000-0000-0000AE600000}"/>
    <cellStyle name="Hed Top - SECTION 2 3 2 7 7" xfId="22904" xr:uid="{00000000-0005-0000-0000-0000AF600000}"/>
    <cellStyle name="Hed Top - SECTION 2 3 2 7 7 2" xfId="22905" xr:uid="{00000000-0005-0000-0000-0000B0600000}"/>
    <cellStyle name="Hed Top - SECTION 2 3 2 7 8" xfId="22906" xr:uid="{00000000-0005-0000-0000-0000B1600000}"/>
    <cellStyle name="Hed Top - SECTION 2 3 2 7 8 2" xfId="22907" xr:uid="{00000000-0005-0000-0000-0000B2600000}"/>
    <cellStyle name="Hed Top - SECTION 2 3 2 7 9" xfId="22908" xr:uid="{00000000-0005-0000-0000-0000B3600000}"/>
    <cellStyle name="Hed Top - SECTION 2 3 2 7 9 2" xfId="22909" xr:uid="{00000000-0005-0000-0000-0000B4600000}"/>
    <cellStyle name="Hed Top - SECTION 2 3 2 8" xfId="22910" xr:uid="{00000000-0005-0000-0000-0000B5600000}"/>
    <cellStyle name="Hed Top - SECTION 2 3 2 8 10" xfId="22911" xr:uid="{00000000-0005-0000-0000-0000B6600000}"/>
    <cellStyle name="Hed Top - SECTION 2 3 2 8 2" xfId="22912" xr:uid="{00000000-0005-0000-0000-0000B7600000}"/>
    <cellStyle name="Hed Top - SECTION 2 3 2 8 2 2" xfId="22913" xr:uid="{00000000-0005-0000-0000-0000B8600000}"/>
    <cellStyle name="Hed Top - SECTION 2 3 2 8 3" xfId="22914" xr:uid="{00000000-0005-0000-0000-0000B9600000}"/>
    <cellStyle name="Hed Top - SECTION 2 3 2 8 3 2" xfId="22915" xr:uid="{00000000-0005-0000-0000-0000BA600000}"/>
    <cellStyle name="Hed Top - SECTION 2 3 2 8 4" xfId="22916" xr:uid="{00000000-0005-0000-0000-0000BB600000}"/>
    <cellStyle name="Hed Top - SECTION 2 3 2 8 4 2" xfId="22917" xr:uid="{00000000-0005-0000-0000-0000BC600000}"/>
    <cellStyle name="Hed Top - SECTION 2 3 2 8 5" xfId="22918" xr:uid="{00000000-0005-0000-0000-0000BD600000}"/>
    <cellStyle name="Hed Top - SECTION 2 3 2 8 5 2" xfId="22919" xr:uid="{00000000-0005-0000-0000-0000BE600000}"/>
    <cellStyle name="Hed Top - SECTION 2 3 2 8 6" xfId="22920" xr:uid="{00000000-0005-0000-0000-0000BF600000}"/>
    <cellStyle name="Hed Top - SECTION 2 3 2 8 6 2" xfId="22921" xr:uid="{00000000-0005-0000-0000-0000C0600000}"/>
    <cellStyle name="Hed Top - SECTION 2 3 2 8 7" xfId="22922" xr:uid="{00000000-0005-0000-0000-0000C1600000}"/>
    <cellStyle name="Hed Top - SECTION 2 3 2 8 7 2" xfId="22923" xr:uid="{00000000-0005-0000-0000-0000C2600000}"/>
    <cellStyle name="Hed Top - SECTION 2 3 2 8 8" xfId="22924" xr:uid="{00000000-0005-0000-0000-0000C3600000}"/>
    <cellStyle name="Hed Top - SECTION 2 3 2 8 8 2" xfId="22925" xr:uid="{00000000-0005-0000-0000-0000C4600000}"/>
    <cellStyle name="Hed Top - SECTION 2 3 2 8 9" xfId="22926" xr:uid="{00000000-0005-0000-0000-0000C5600000}"/>
    <cellStyle name="Hed Top - SECTION 2 3 2 8 9 2" xfId="22927" xr:uid="{00000000-0005-0000-0000-0000C6600000}"/>
    <cellStyle name="Hed Top - SECTION 2 3 2 9" xfId="22928" xr:uid="{00000000-0005-0000-0000-0000C7600000}"/>
    <cellStyle name="Hed Top - SECTION 2 3 2 9 10" xfId="22929" xr:uid="{00000000-0005-0000-0000-0000C8600000}"/>
    <cellStyle name="Hed Top - SECTION 2 3 2 9 2" xfId="22930" xr:uid="{00000000-0005-0000-0000-0000C9600000}"/>
    <cellStyle name="Hed Top - SECTION 2 3 2 9 2 2" xfId="22931" xr:uid="{00000000-0005-0000-0000-0000CA600000}"/>
    <cellStyle name="Hed Top - SECTION 2 3 2 9 3" xfId="22932" xr:uid="{00000000-0005-0000-0000-0000CB600000}"/>
    <cellStyle name="Hed Top - SECTION 2 3 2 9 3 2" xfId="22933" xr:uid="{00000000-0005-0000-0000-0000CC600000}"/>
    <cellStyle name="Hed Top - SECTION 2 3 2 9 4" xfId="22934" xr:uid="{00000000-0005-0000-0000-0000CD600000}"/>
    <cellStyle name="Hed Top - SECTION 2 3 2 9 4 2" xfId="22935" xr:uid="{00000000-0005-0000-0000-0000CE600000}"/>
    <cellStyle name="Hed Top - SECTION 2 3 2 9 5" xfId="22936" xr:uid="{00000000-0005-0000-0000-0000CF600000}"/>
    <cellStyle name="Hed Top - SECTION 2 3 2 9 5 2" xfId="22937" xr:uid="{00000000-0005-0000-0000-0000D0600000}"/>
    <cellStyle name="Hed Top - SECTION 2 3 2 9 6" xfId="22938" xr:uid="{00000000-0005-0000-0000-0000D1600000}"/>
    <cellStyle name="Hed Top - SECTION 2 3 2 9 6 2" xfId="22939" xr:uid="{00000000-0005-0000-0000-0000D2600000}"/>
    <cellStyle name="Hed Top - SECTION 2 3 2 9 7" xfId="22940" xr:uid="{00000000-0005-0000-0000-0000D3600000}"/>
    <cellStyle name="Hed Top - SECTION 2 3 2 9 7 2" xfId="22941" xr:uid="{00000000-0005-0000-0000-0000D4600000}"/>
    <cellStyle name="Hed Top - SECTION 2 3 2 9 8" xfId="22942" xr:uid="{00000000-0005-0000-0000-0000D5600000}"/>
    <cellStyle name="Hed Top - SECTION 2 3 2 9 8 2" xfId="22943" xr:uid="{00000000-0005-0000-0000-0000D6600000}"/>
    <cellStyle name="Hed Top - SECTION 2 3 2 9 9" xfId="22944" xr:uid="{00000000-0005-0000-0000-0000D7600000}"/>
    <cellStyle name="Hed Top - SECTION 2 3 2 9 9 2" xfId="22945" xr:uid="{00000000-0005-0000-0000-0000D8600000}"/>
    <cellStyle name="Hed Top - SECTION 2 3 3" xfId="22946" xr:uid="{00000000-0005-0000-0000-0000D9600000}"/>
    <cellStyle name="Hed Top - SECTION 2 3 3 10" xfId="22947" xr:uid="{00000000-0005-0000-0000-0000DA600000}"/>
    <cellStyle name="Hed Top - SECTION 2 3 3 10 2" xfId="22948" xr:uid="{00000000-0005-0000-0000-0000DB600000}"/>
    <cellStyle name="Hed Top - SECTION 2 3 3 10 2 2" xfId="22949" xr:uid="{00000000-0005-0000-0000-0000DC600000}"/>
    <cellStyle name="Hed Top - SECTION 2 3 3 10 3" xfId="22950" xr:uid="{00000000-0005-0000-0000-0000DD600000}"/>
    <cellStyle name="Hed Top - SECTION 2 3 3 10 3 2" xfId="22951" xr:uid="{00000000-0005-0000-0000-0000DE600000}"/>
    <cellStyle name="Hed Top - SECTION 2 3 3 10 4" xfId="22952" xr:uid="{00000000-0005-0000-0000-0000DF600000}"/>
    <cellStyle name="Hed Top - SECTION 2 3 3 10 4 2" xfId="22953" xr:uid="{00000000-0005-0000-0000-0000E0600000}"/>
    <cellStyle name="Hed Top - SECTION 2 3 3 10 5" xfId="22954" xr:uid="{00000000-0005-0000-0000-0000E1600000}"/>
    <cellStyle name="Hed Top - SECTION 2 3 3 10 5 2" xfId="22955" xr:uid="{00000000-0005-0000-0000-0000E2600000}"/>
    <cellStyle name="Hed Top - SECTION 2 3 3 10 6" xfId="22956" xr:uid="{00000000-0005-0000-0000-0000E3600000}"/>
    <cellStyle name="Hed Top - SECTION 2 3 3 10 6 2" xfId="22957" xr:uid="{00000000-0005-0000-0000-0000E4600000}"/>
    <cellStyle name="Hed Top - SECTION 2 3 3 10 7" xfId="22958" xr:uid="{00000000-0005-0000-0000-0000E5600000}"/>
    <cellStyle name="Hed Top - SECTION 2 3 3 10 7 2" xfId="22959" xr:uid="{00000000-0005-0000-0000-0000E6600000}"/>
    <cellStyle name="Hed Top - SECTION 2 3 3 10 8" xfId="22960" xr:uid="{00000000-0005-0000-0000-0000E7600000}"/>
    <cellStyle name="Hed Top - SECTION 2 3 3 10 8 2" xfId="22961" xr:uid="{00000000-0005-0000-0000-0000E8600000}"/>
    <cellStyle name="Hed Top - SECTION 2 3 3 10 9" xfId="22962" xr:uid="{00000000-0005-0000-0000-0000E9600000}"/>
    <cellStyle name="Hed Top - SECTION 2 3 3 11" xfId="22963" xr:uid="{00000000-0005-0000-0000-0000EA600000}"/>
    <cellStyle name="Hed Top - SECTION 2 3 3 11 2" xfId="22964" xr:uid="{00000000-0005-0000-0000-0000EB600000}"/>
    <cellStyle name="Hed Top - SECTION 2 3 3 12" xfId="22965" xr:uid="{00000000-0005-0000-0000-0000EC600000}"/>
    <cellStyle name="Hed Top - SECTION 2 3 3 12 2" xfId="22966" xr:uid="{00000000-0005-0000-0000-0000ED600000}"/>
    <cellStyle name="Hed Top - SECTION 2 3 3 13" xfId="22967" xr:uid="{00000000-0005-0000-0000-0000EE600000}"/>
    <cellStyle name="Hed Top - SECTION 2 3 3 13 2" xfId="22968" xr:uid="{00000000-0005-0000-0000-0000EF600000}"/>
    <cellStyle name="Hed Top - SECTION 2 3 3 14" xfId="22969" xr:uid="{00000000-0005-0000-0000-0000F0600000}"/>
    <cellStyle name="Hed Top - SECTION 2 3 3 14 2" xfId="22970" xr:uid="{00000000-0005-0000-0000-0000F1600000}"/>
    <cellStyle name="Hed Top - SECTION 2 3 3 15" xfId="22971" xr:uid="{00000000-0005-0000-0000-0000F2600000}"/>
    <cellStyle name="Hed Top - SECTION 2 3 3 15 2" xfId="22972" xr:uid="{00000000-0005-0000-0000-0000F3600000}"/>
    <cellStyle name="Hed Top - SECTION 2 3 3 16" xfId="22973" xr:uid="{00000000-0005-0000-0000-0000F4600000}"/>
    <cellStyle name="Hed Top - SECTION 2 3 3 16 2" xfId="22974" xr:uid="{00000000-0005-0000-0000-0000F5600000}"/>
    <cellStyle name="Hed Top - SECTION 2 3 3 17" xfId="22975" xr:uid="{00000000-0005-0000-0000-0000F6600000}"/>
    <cellStyle name="Hed Top - SECTION 2 3 3 17 2" xfId="22976" xr:uid="{00000000-0005-0000-0000-0000F7600000}"/>
    <cellStyle name="Hed Top - SECTION 2 3 3 18" xfId="22977" xr:uid="{00000000-0005-0000-0000-0000F8600000}"/>
    <cellStyle name="Hed Top - SECTION 2 3 3 2" xfId="22978" xr:uid="{00000000-0005-0000-0000-0000F9600000}"/>
    <cellStyle name="Hed Top - SECTION 2 3 3 2 10" xfId="22979" xr:uid="{00000000-0005-0000-0000-0000FA600000}"/>
    <cellStyle name="Hed Top - SECTION 2 3 3 2 2" xfId="22980" xr:uid="{00000000-0005-0000-0000-0000FB600000}"/>
    <cellStyle name="Hed Top - SECTION 2 3 3 2 2 2" xfId="22981" xr:uid="{00000000-0005-0000-0000-0000FC600000}"/>
    <cellStyle name="Hed Top - SECTION 2 3 3 2 3" xfId="22982" xr:uid="{00000000-0005-0000-0000-0000FD600000}"/>
    <cellStyle name="Hed Top - SECTION 2 3 3 2 3 2" xfId="22983" xr:uid="{00000000-0005-0000-0000-0000FE600000}"/>
    <cellStyle name="Hed Top - SECTION 2 3 3 2 4" xfId="22984" xr:uid="{00000000-0005-0000-0000-0000FF600000}"/>
    <cellStyle name="Hed Top - SECTION 2 3 3 2 4 2" xfId="22985" xr:uid="{00000000-0005-0000-0000-000000610000}"/>
    <cellStyle name="Hed Top - SECTION 2 3 3 2 5" xfId="22986" xr:uid="{00000000-0005-0000-0000-000001610000}"/>
    <cellStyle name="Hed Top - SECTION 2 3 3 2 5 2" xfId="22987" xr:uid="{00000000-0005-0000-0000-000002610000}"/>
    <cellStyle name="Hed Top - SECTION 2 3 3 2 6" xfId="22988" xr:uid="{00000000-0005-0000-0000-000003610000}"/>
    <cellStyle name="Hed Top - SECTION 2 3 3 2 6 2" xfId="22989" xr:uid="{00000000-0005-0000-0000-000004610000}"/>
    <cellStyle name="Hed Top - SECTION 2 3 3 2 7" xfId="22990" xr:uid="{00000000-0005-0000-0000-000005610000}"/>
    <cellStyle name="Hed Top - SECTION 2 3 3 2 7 2" xfId="22991" xr:uid="{00000000-0005-0000-0000-000006610000}"/>
    <cellStyle name="Hed Top - SECTION 2 3 3 2 8" xfId="22992" xr:uid="{00000000-0005-0000-0000-000007610000}"/>
    <cellStyle name="Hed Top - SECTION 2 3 3 2 8 2" xfId="22993" xr:uid="{00000000-0005-0000-0000-000008610000}"/>
    <cellStyle name="Hed Top - SECTION 2 3 3 2 9" xfId="22994" xr:uid="{00000000-0005-0000-0000-000009610000}"/>
    <cellStyle name="Hed Top - SECTION 2 3 3 2 9 2" xfId="22995" xr:uid="{00000000-0005-0000-0000-00000A610000}"/>
    <cellStyle name="Hed Top - SECTION 2 3 3 3" xfId="22996" xr:uid="{00000000-0005-0000-0000-00000B610000}"/>
    <cellStyle name="Hed Top - SECTION 2 3 3 3 10" xfId="22997" xr:uid="{00000000-0005-0000-0000-00000C610000}"/>
    <cellStyle name="Hed Top - SECTION 2 3 3 3 2" xfId="22998" xr:uid="{00000000-0005-0000-0000-00000D610000}"/>
    <cellStyle name="Hed Top - SECTION 2 3 3 3 2 2" xfId="22999" xr:uid="{00000000-0005-0000-0000-00000E610000}"/>
    <cellStyle name="Hed Top - SECTION 2 3 3 3 3" xfId="23000" xr:uid="{00000000-0005-0000-0000-00000F610000}"/>
    <cellStyle name="Hed Top - SECTION 2 3 3 3 3 2" xfId="23001" xr:uid="{00000000-0005-0000-0000-000010610000}"/>
    <cellStyle name="Hed Top - SECTION 2 3 3 3 4" xfId="23002" xr:uid="{00000000-0005-0000-0000-000011610000}"/>
    <cellStyle name="Hed Top - SECTION 2 3 3 3 4 2" xfId="23003" xr:uid="{00000000-0005-0000-0000-000012610000}"/>
    <cellStyle name="Hed Top - SECTION 2 3 3 3 5" xfId="23004" xr:uid="{00000000-0005-0000-0000-000013610000}"/>
    <cellStyle name="Hed Top - SECTION 2 3 3 3 5 2" xfId="23005" xr:uid="{00000000-0005-0000-0000-000014610000}"/>
    <cellStyle name="Hed Top - SECTION 2 3 3 3 6" xfId="23006" xr:uid="{00000000-0005-0000-0000-000015610000}"/>
    <cellStyle name="Hed Top - SECTION 2 3 3 3 6 2" xfId="23007" xr:uid="{00000000-0005-0000-0000-000016610000}"/>
    <cellStyle name="Hed Top - SECTION 2 3 3 3 7" xfId="23008" xr:uid="{00000000-0005-0000-0000-000017610000}"/>
    <cellStyle name="Hed Top - SECTION 2 3 3 3 7 2" xfId="23009" xr:uid="{00000000-0005-0000-0000-000018610000}"/>
    <cellStyle name="Hed Top - SECTION 2 3 3 3 8" xfId="23010" xr:uid="{00000000-0005-0000-0000-000019610000}"/>
    <cellStyle name="Hed Top - SECTION 2 3 3 3 8 2" xfId="23011" xr:uid="{00000000-0005-0000-0000-00001A610000}"/>
    <cellStyle name="Hed Top - SECTION 2 3 3 3 9" xfId="23012" xr:uid="{00000000-0005-0000-0000-00001B610000}"/>
    <cellStyle name="Hed Top - SECTION 2 3 3 3 9 2" xfId="23013" xr:uid="{00000000-0005-0000-0000-00001C610000}"/>
    <cellStyle name="Hed Top - SECTION 2 3 3 4" xfId="23014" xr:uid="{00000000-0005-0000-0000-00001D610000}"/>
    <cellStyle name="Hed Top - SECTION 2 3 3 4 10" xfId="23015" xr:uid="{00000000-0005-0000-0000-00001E610000}"/>
    <cellStyle name="Hed Top - SECTION 2 3 3 4 2" xfId="23016" xr:uid="{00000000-0005-0000-0000-00001F610000}"/>
    <cellStyle name="Hed Top - SECTION 2 3 3 4 2 2" xfId="23017" xr:uid="{00000000-0005-0000-0000-000020610000}"/>
    <cellStyle name="Hed Top - SECTION 2 3 3 4 3" xfId="23018" xr:uid="{00000000-0005-0000-0000-000021610000}"/>
    <cellStyle name="Hed Top - SECTION 2 3 3 4 3 2" xfId="23019" xr:uid="{00000000-0005-0000-0000-000022610000}"/>
    <cellStyle name="Hed Top - SECTION 2 3 3 4 4" xfId="23020" xr:uid="{00000000-0005-0000-0000-000023610000}"/>
    <cellStyle name="Hed Top - SECTION 2 3 3 4 4 2" xfId="23021" xr:uid="{00000000-0005-0000-0000-000024610000}"/>
    <cellStyle name="Hed Top - SECTION 2 3 3 4 5" xfId="23022" xr:uid="{00000000-0005-0000-0000-000025610000}"/>
    <cellStyle name="Hed Top - SECTION 2 3 3 4 5 2" xfId="23023" xr:uid="{00000000-0005-0000-0000-000026610000}"/>
    <cellStyle name="Hed Top - SECTION 2 3 3 4 6" xfId="23024" xr:uid="{00000000-0005-0000-0000-000027610000}"/>
    <cellStyle name="Hed Top - SECTION 2 3 3 4 6 2" xfId="23025" xr:uid="{00000000-0005-0000-0000-000028610000}"/>
    <cellStyle name="Hed Top - SECTION 2 3 3 4 7" xfId="23026" xr:uid="{00000000-0005-0000-0000-000029610000}"/>
    <cellStyle name="Hed Top - SECTION 2 3 3 4 7 2" xfId="23027" xr:uid="{00000000-0005-0000-0000-00002A610000}"/>
    <cellStyle name="Hed Top - SECTION 2 3 3 4 8" xfId="23028" xr:uid="{00000000-0005-0000-0000-00002B610000}"/>
    <cellStyle name="Hed Top - SECTION 2 3 3 4 8 2" xfId="23029" xr:uid="{00000000-0005-0000-0000-00002C610000}"/>
    <cellStyle name="Hed Top - SECTION 2 3 3 4 9" xfId="23030" xr:uid="{00000000-0005-0000-0000-00002D610000}"/>
    <cellStyle name="Hed Top - SECTION 2 3 3 4 9 2" xfId="23031" xr:uid="{00000000-0005-0000-0000-00002E610000}"/>
    <cellStyle name="Hed Top - SECTION 2 3 3 5" xfId="23032" xr:uid="{00000000-0005-0000-0000-00002F610000}"/>
    <cellStyle name="Hed Top - SECTION 2 3 3 5 10" xfId="23033" xr:uid="{00000000-0005-0000-0000-000030610000}"/>
    <cellStyle name="Hed Top - SECTION 2 3 3 5 2" xfId="23034" xr:uid="{00000000-0005-0000-0000-000031610000}"/>
    <cellStyle name="Hed Top - SECTION 2 3 3 5 2 2" xfId="23035" xr:uid="{00000000-0005-0000-0000-000032610000}"/>
    <cellStyle name="Hed Top - SECTION 2 3 3 5 3" xfId="23036" xr:uid="{00000000-0005-0000-0000-000033610000}"/>
    <cellStyle name="Hed Top - SECTION 2 3 3 5 3 2" xfId="23037" xr:uid="{00000000-0005-0000-0000-000034610000}"/>
    <cellStyle name="Hed Top - SECTION 2 3 3 5 4" xfId="23038" xr:uid="{00000000-0005-0000-0000-000035610000}"/>
    <cellStyle name="Hed Top - SECTION 2 3 3 5 4 2" xfId="23039" xr:uid="{00000000-0005-0000-0000-000036610000}"/>
    <cellStyle name="Hed Top - SECTION 2 3 3 5 5" xfId="23040" xr:uid="{00000000-0005-0000-0000-000037610000}"/>
    <cellStyle name="Hed Top - SECTION 2 3 3 5 5 2" xfId="23041" xr:uid="{00000000-0005-0000-0000-000038610000}"/>
    <cellStyle name="Hed Top - SECTION 2 3 3 5 6" xfId="23042" xr:uid="{00000000-0005-0000-0000-000039610000}"/>
    <cellStyle name="Hed Top - SECTION 2 3 3 5 6 2" xfId="23043" xr:uid="{00000000-0005-0000-0000-00003A610000}"/>
    <cellStyle name="Hed Top - SECTION 2 3 3 5 7" xfId="23044" xr:uid="{00000000-0005-0000-0000-00003B610000}"/>
    <cellStyle name="Hed Top - SECTION 2 3 3 5 7 2" xfId="23045" xr:uid="{00000000-0005-0000-0000-00003C610000}"/>
    <cellStyle name="Hed Top - SECTION 2 3 3 5 8" xfId="23046" xr:uid="{00000000-0005-0000-0000-00003D610000}"/>
    <cellStyle name="Hed Top - SECTION 2 3 3 5 8 2" xfId="23047" xr:uid="{00000000-0005-0000-0000-00003E610000}"/>
    <cellStyle name="Hed Top - SECTION 2 3 3 5 9" xfId="23048" xr:uid="{00000000-0005-0000-0000-00003F610000}"/>
    <cellStyle name="Hed Top - SECTION 2 3 3 5 9 2" xfId="23049" xr:uid="{00000000-0005-0000-0000-000040610000}"/>
    <cellStyle name="Hed Top - SECTION 2 3 3 6" xfId="23050" xr:uid="{00000000-0005-0000-0000-000041610000}"/>
    <cellStyle name="Hed Top - SECTION 2 3 3 6 10" xfId="23051" xr:uid="{00000000-0005-0000-0000-000042610000}"/>
    <cellStyle name="Hed Top - SECTION 2 3 3 6 2" xfId="23052" xr:uid="{00000000-0005-0000-0000-000043610000}"/>
    <cellStyle name="Hed Top - SECTION 2 3 3 6 2 2" xfId="23053" xr:uid="{00000000-0005-0000-0000-000044610000}"/>
    <cellStyle name="Hed Top - SECTION 2 3 3 6 3" xfId="23054" xr:uid="{00000000-0005-0000-0000-000045610000}"/>
    <cellStyle name="Hed Top - SECTION 2 3 3 6 3 2" xfId="23055" xr:uid="{00000000-0005-0000-0000-000046610000}"/>
    <cellStyle name="Hed Top - SECTION 2 3 3 6 4" xfId="23056" xr:uid="{00000000-0005-0000-0000-000047610000}"/>
    <cellStyle name="Hed Top - SECTION 2 3 3 6 4 2" xfId="23057" xr:uid="{00000000-0005-0000-0000-000048610000}"/>
    <cellStyle name="Hed Top - SECTION 2 3 3 6 5" xfId="23058" xr:uid="{00000000-0005-0000-0000-000049610000}"/>
    <cellStyle name="Hed Top - SECTION 2 3 3 6 5 2" xfId="23059" xr:uid="{00000000-0005-0000-0000-00004A610000}"/>
    <cellStyle name="Hed Top - SECTION 2 3 3 6 6" xfId="23060" xr:uid="{00000000-0005-0000-0000-00004B610000}"/>
    <cellStyle name="Hed Top - SECTION 2 3 3 6 6 2" xfId="23061" xr:uid="{00000000-0005-0000-0000-00004C610000}"/>
    <cellStyle name="Hed Top - SECTION 2 3 3 6 7" xfId="23062" xr:uid="{00000000-0005-0000-0000-00004D610000}"/>
    <cellStyle name="Hed Top - SECTION 2 3 3 6 7 2" xfId="23063" xr:uid="{00000000-0005-0000-0000-00004E610000}"/>
    <cellStyle name="Hed Top - SECTION 2 3 3 6 8" xfId="23064" xr:uid="{00000000-0005-0000-0000-00004F610000}"/>
    <cellStyle name="Hed Top - SECTION 2 3 3 6 8 2" xfId="23065" xr:uid="{00000000-0005-0000-0000-000050610000}"/>
    <cellStyle name="Hed Top - SECTION 2 3 3 6 9" xfId="23066" xr:uid="{00000000-0005-0000-0000-000051610000}"/>
    <cellStyle name="Hed Top - SECTION 2 3 3 6 9 2" xfId="23067" xr:uid="{00000000-0005-0000-0000-000052610000}"/>
    <cellStyle name="Hed Top - SECTION 2 3 3 7" xfId="23068" xr:uid="{00000000-0005-0000-0000-000053610000}"/>
    <cellStyle name="Hed Top - SECTION 2 3 3 7 10" xfId="23069" xr:uid="{00000000-0005-0000-0000-000054610000}"/>
    <cellStyle name="Hed Top - SECTION 2 3 3 7 2" xfId="23070" xr:uid="{00000000-0005-0000-0000-000055610000}"/>
    <cellStyle name="Hed Top - SECTION 2 3 3 7 2 2" xfId="23071" xr:uid="{00000000-0005-0000-0000-000056610000}"/>
    <cellStyle name="Hed Top - SECTION 2 3 3 7 3" xfId="23072" xr:uid="{00000000-0005-0000-0000-000057610000}"/>
    <cellStyle name="Hed Top - SECTION 2 3 3 7 3 2" xfId="23073" xr:uid="{00000000-0005-0000-0000-000058610000}"/>
    <cellStyle name="Hed Top - SECTION 2 3 3 7 4" xfId="23074" xr:uid="{00000000-0005-0000-0000-000059610000}"/>
    <cellStyle name="Hed Top - SECTION 2 3 3 7 4 2" xfId="23075" xr:uid="{00000000-0005-0000-0000-00005A610000}"/>
    <cellStyle name="Hed Top - SECTION 2 3 3 7 5" xfId="23076" xr:uid="{00000000-0005-0000-0000-00005B610000}"/>
    <cellStyle name="Hed Top - SECTION 2 3 3 7 5 2" xfId="23077" xr:uid="{00000000-0005-0000-0000-00005C610000}"/>
    <cellStyle name="Hed Top - SECTION 2 3 3 7 6" xfId="23078" xr:uid="{00000000-0005-0000-0000-00005D610000}"/>
    <cellStyle name="Hed Top - SECTION 2 3 3 7 6 2" xfId="23079" xr:uid="{00000000-0005-0000-0000-00005E610000}"/>
    <cellStyle name="Hed Top - SECTION 2 3 3 7 7" xfId="23080" xr:uid="{00000000-0005-0000-0000-00005F610000}"/>
    <cellStyle name="Hed Top - SECTION 2 3 3 7 7 2" xfId="23081" xr:uid="{00000000-0005-0000-0000-000060610000}"/>
    <cellStyle name="Hed Top - SECTION 2 3 3 7 8" xfId="23082" xr:uid="{00000000-0005-0000-0000-000061610000}"/>
    <cellStyle name="Hed Top - SECTION 2 3 3 7 8 2" xfId="23083" xr:uid="{00000000-0005-0000-0000-000062610000}"/>
    <cellStyle name="Hed Top - SECTION 2 3 3 7 9" xfId="23084" xr:uid="{00000000-0005-0000-0000-000063610000}"/>
    <cellStyle name="Hed Top - SECTION 2 3 3 7 9 2" xfId="23085" xr:uid="{00000000-0005-0000-0000-000064610000}"/>
    <cellStyle name="Hed Top - SECTION 2 3 3 8" xfId="23086" xr:uid="{00000000-0005-0000-0000-000065610000}"/>
    <cellStyle name="Hed Top - SECTION 2 3 3 8 10" xfId="23087" xr:uid="{00000000-0005-0000-0000-000066610000}"/>
    <cellStyle name="Hed Top - SECTION 2 3 3 8 2" xfId="23088" xr:uid="{00000000-0005-0000-0000-000067610000}"/>
    <cellStyle name="Hed Top - SECTION 2 3 3 8 2 2" xfId="23089" xr:uid="{00000000-0005-0000-0000-000068610000}"/>
    <cellStyle name="Hed Top - SECTION 2 3 3 8 3" xfId="23090" xr:uid="{00000000-0005-0000-0000-000069610000}"/>
    <cellStyle name="Hed Top - SECTION 2 3 3 8 3 2" xfId="23091" xr:uid="{00000000-0005-0000-0000-00006A610000}"/>
    <cellStyle name="Hed Top - SECTION 2 3 3 8 4" xfId="23092" xr:uid="{00000000-0005-0000-0000-00006B610000}"/>
    <cellStyle name="Hed Top - SECTION 2 3 3 8 4 2" xfId="23093" xr:uid="{00000000-0005-0000-0000-00006C610000}"/>
    <cellStyle name="Hed Top - SECTION 2 3 3 8 5" xfId="23094" xr:uid="{00000000-0005-0000-0000-00006D610000}"/>
    <cellStyle name="Hed Top - SECTION 2 3 3 8 5 2" xfId="23095" xr:uid="{00000000-0005-0000-0000-00006E610000}"/>
    <cellStyle name="Hed Top - SECTION 2 3 3 8 6" xfId="23096" xr:uid="{00000000-0005-0000-0000-00006F610000}"/>
    <cellStyle name="Hed Top - SECTION 2 3 3 8 6 2" xfId="23097" xr:uid="{00000000-0005-0000-0000-000070610000}"/>
    <cellStyle name="Hed Top - SECTION 2 3 3 8 7" xfId="23098" xr:uid="{00000000-0005-0000-0000-000071610000}"/>
    <cellStyle name="Hed Top - SECTION 2 3 3 8 7 2" xfId="23099" xr:uid="{00000000-0005-0000-0000-000072610000}"/>
    <cellStyle name="Hed Top - SECTION 2 3 3 8 8" xfId="23100" xr:uid="{00000000-0005-0000-0000-000073610000}"/>
    <cellStyle name="Hed Top - SECTION 2 3 3 8 8 2" xfId="23101" xr:uid="{00000000-0005-0000-0000-000074610000}"/>
    <cellStyle name="Hed Top - SECTION 2 3 3 8 9" xfId="23102" xr:uid="{00000000-0005-0000-0000-000075610000}"/>
    <cellStyle name="Hed Top - SECTION 2 3 3 8 9 2" xfId="23103" xr:uid="{00000000-0005-0000-0000-000076610000}"/>
    <cellStyle name="Hed Top - SECTION 2 3 3 9" xfId="23104" xr:uid="{00000000-0005-0000-0000-000077610000}"/>
    <cellStyle name="Hed Top - SECTION 2 3 3 9 10" xfId="23105" xr:uid="{00000000-0005-0000-0000-000078610000}"/>
    <cellStyle name="Hed Top - SECTION 2 3 3 9 2" xfId="23106" xr:uid="{00000000-0005-0000-0000-000079610000}"/>
    <cellStyle name="Hed Top - SECTION 2 3 3 9 2 2" xfId="23107" xr:uid="{00000000-0005-0000-0000-00007A610000}"/>
    <cellStyle name="Hed Top - SECTION 2 3 3 9 3" xfId="23108" xr:uid="{00000000-0005-0000-0000-00007B610000}"/>
    <cellStyle name="Hed Top - SECTION 2 3 3 9 3 2" xfId="23109" xr:uid="{00000000-0005-0000-0000-00007C610000}"/>
    <cellStyle name="Hed Top - SECTION 2 3 3 9 4" xfId="23110" xr:uid="{00000000-0005-0000-0000-00007D610000}"/>
    <cellStyle name="Hed Top - SECTION 2 3 3 9 4 2" xfId="23111" xr:uid="{00000000-0005-0000-0000-00007E610000}"/>
    <cellStyle name="Hed Top - SECTION 2 3 3 9 5" xfId="23112" xr:uid="{00000000-0005-0000-0000-00007F610000}"/>
    <cellStyle name="Hed Top - SECTION 2 3 3 9 5 2" xfId="23113" xr:uid="{00000000-0005-0000-0000-000080610000}"/>
    <cellStyle name="Hed Top - SECTION 2 3 3 9 6" xfId="23114" xr:uid="{00000000-0005-0000-0000-000081610000}"/>
    <cellStyle name="Hed Top - SECTION 2 3 3 9 6 2" xfId="23115" xr:uid="{00000000-0005-0000-0000-000082610000}"/>
    <cellStyle name="Hed Top - SECTION 2 3 3 9 7" xfId="23116" xr:uid="{00000000-0005-0000-0000-000083610000}"/>
    <cellStyle name="Hed Top - SECTION 2 3 3 9 7 2" xfId="23117" xr:uid="{00000000-0005-0000-0000-000084610000}"/>
    <cellStyle name="Hed Top - SECTION 2 3 3 9 8" xfId="23118" xr:uid="{00000000-0005-0000-0000-000085610000}"/>
    <cellStyle name="Hed Top - SECTION 2 3 3 9 8 2" xfId="23119" xr:uid="{00000000-0005-0000-0000-000086610000}"/>
    <cellStyle name="Hed Top - SECTION 2 3 3 9 9" xfId="23120" xr:uid="{00000000-0005-0000-0000-000087610000}"/>
    <cellStyle name="Hed Top - SECTION 2 3 3 9 9 2" xfId="23121" xr:uid="{00000000-0005-0000-0000-000088610000}"/>
    <cellStyle name="Hed Top - SECTION 2 3 4" xfId="23122" xr:uid="{00000000-0005-0000-0000-000089610000}"/>
    <cellStyle name="Hed Top - SECTION 2 3 4 10" xfId="23123" xr:uid="{00000000-0005-0000-0000-00008A610000}"/>
    <cellStyle name="Hed Top - SECTION 2 3 4 10 2" xfId="23124" xr:uid="{00000000-0005-0000-0000-00008B610000}"/>
    <cellStyle name="Hed Top - SECTION 2 3 4 10 2 2" xfId="23125" xr:uid="{00000000-0005-0000-0000-00008C610000}"/>
    <cellStyle name="Hed Top - SECTION 2 3 4 10 3" xfId="23126" xr:uid="{00000000-0005-0000-0000-00008D610000}"/>
    <cellStyle name="Hed Top - SECTION 2 3 4 10 3 2" xfId="23127" xr:uid="{00000000-0005-0000-0000-00008E610000}"/>
    <cellStyle name="Hed Top - SECTION 2 3 4 10 4" xfId="23128" xr:uid="{00000000-0005-0000-0000-00008F610000}"/>
    <cellStyle name="Hed Top - SECTION 2 3 4 10 4 2" xfId="23129" xr:uid="{00000000-0005-0000-0000-000090610000}"/>
    <cellStyle name="Hed Top - SECTION 2 3 4 10 5" xfId="23130" xr:uid="{00000000-0005-0000-0000-000091610000}"/>
    <cellStyle name="Hed Top - SECTION 2 3 4 10 5 2" xfId="23131" xr:uid="{00000000-0005-0000-0000-000092610000}"/>
    <cellStyle name="Hed Top - SECTION 2 3 4 10 6" xfId="23132" xr:uid="{00000000-0005-0000-0000-000093610000}"/>
    <cellStyle name="Hed Top - SECTION 2 3 4 10 6 2" xfId="23133" xr:uid="{00000000-0005-0000-0000-000094610000}"/>
    <cellStyle name="Hed Top - SECTION 2 3 4 10 7" xfId="23134" xr:uid="{00000000-0005-0000-0000-000095610000}"/>
    <cellStyle name="Hed Top - SECTION 2 3 4 10 7 2" xfId="23135" xr:uid="{00000000-0005-0000-0000-000096610000}"/>
    <cellStyle name="Hed Top - SECTION 2 3 4 10 8" xfId="23136" xr:uid="{00000000-0005-0000-0000-000097610000}"/>
    <cellStyle name="Hed Top - SECTION 2 3 4 10 8 2" xfId="23137" xr:uid="{00000000-0005-0000-0000-000098610000}"/>
    <cellStyle name="Hed Top - SECTION 2 3 4 10 9" xfId="23138" xr:uid="{00000000-0005-0000-0000-000099610000}"/>
    <cellStyle name="Hed Top - SECTION 2 3 4 11" xfId="23139" xr:uid="{00000000-0005-0000-0000-00009A610000}"/>
    <cellStyle name="Hed Top - SECTION 2 3 4 11 2" xfId="23140" xr:uid="{00000000-0005-0000-0000-00009B610000}"/>
    <cellStyle name="Hed Top - SECTION 2 3 4 12" xfId="23141" xr:uid="{00000000-0005-0000-0000-00009C610000}"/>
    <cellStyle name="Hed Top - SECTION 2 3 4 12 2" xfId="23142" xr:uid="{00000000-0005-0000-0000-00009D610000}"/>
    <cellStyle name="Hed Top - SECTION 2 3 4 13" xfId="23143" xr:uid="{00000000-0005-0000-0000-00009E610000}"/>
    <cellStyle name="Hed Top - SECTION 2 3 4 13 2" xfId="23144" xr:uid="{00000000-0005-0000-0000-00009F610000}"/>
    <cellStyle name="Hed Top - SECTION 2 3 4 14" xfId="23145" xr:uid="{00000000-0005-0000-0000-0000A0610000}"/>
    <cellStyle name="Hed Top - SECTION 2 3 4 14 2" xfId="23146" xr:uid="{00000000-0005-0000-0000-0000A1610000}"/>
    <cellStyle name="Hed Top - SECTION 2 3 4 15" xfId="23147" xr:uid="{00000000-0005-0000-0000-0000A2610000}"/>
    <cellStyle name="Hed Top - SECTION 2 3 4 15 2" xfId="23148" xr:uid="{00000000-0005-0000-0000-0000A3610000}"/>
    <cellStyle name="Hed Top - SECTION 2 3 4 16" xfId="23149" xr:uid="{00000000-0005-0000-0000-0000A4610000}"/>
    <cellStyle name="Hed Top - SECTION 2 3 4 16 2" xfId="23150" xr:uid="{00000000-0005-0000-0000-0000A5610000}"/>
    <cellStyle name="Hed Top - SECTION 2 3 4 17" xfId="23151" xr:uid="{00000000-0005-0000-0000-0000A6610000}"/>
    <cellStyle name="Hed Top - SECTION 2 3 4 17 2" xfId="23152" xr:uid="{00000000-0005-0000-0000-0000A7610000}"/>
    <cellStyle name="Hed Top - SECTION 2 3 4 18" xfId="23153" xr:uid="{00000000-0005-0000-0000-0000A8610000}"/>
    <cellStyle name="Hed Top - SECTION 2 3 4 2" xfId="23154" xr:uid="{00000000-0005-0000-0000-0000A9610000}"/>
    <cellStyle name="Hed Top - SECTION 2 3 4 2 10" xfId="23155" xr:uid="{00000000-0005-0000-0000-0000AA610000}"/>
    <cellStyle name="Hed Top - SECTION 2 3 4 2 2" xfId="23156" xr:uid="{00000000-0005-0000-0000-0000AB610000}"/>
    <cellStyle name="Hed Top - SECTION 2 3 4 2 2 2" xfId="23157" xr:uid="{00000000-0005-0000-0000-0000AC610000}"/>
    <cellStyle name="Hed Top - SECTION 2 3 4 2 3" xfId="23158" xr:uid="{00000000-0005-0000-0000-0000AD610000}"/>
    <cellStyle name="Hed Top - SECTION 2 3 4 2 3 2" xfId="23159" xr:uid="{00000000-0005-0000-0000-0000AE610000}"/>
    <cellStyle name="Hed Top - SECTION 2 3 4 2 4" xfId="23160" xr:uid="{00000000-0005-0000-0000-0000AF610000}"/>
    <cellStyle name="Hed Top - SECTION 2 3 4 2 4 2" xfId="23161" xr:uid="{00000000-0005-0000-0000-0000B0610000}"/>
    <cellStyle name="Hed Top - SECTION 2 3 4 2 5" xfId="23162" xr:uid="{00000000-0005-0000-0000-0000B1610000}"/>
    <cellStyle name="Hed Top - SECTION 2 3 4 2 5 2" xfId="23163" xr:uid="{00000000-0005-0000-0000-0000B2610000}"/>
    <cellStyle name="Hed Top - SECTION 2 3 4 2 6" xfId="23164" xr:uid="{00000000-0005-0000-0000-0000B3610000}"/>
    <cellStyle name="Hed Top - SECTION 2 3 4 2 6 2" xfId="23165" xr:uid="{00000000-0005-0000-0000-0000B4610000}"/>
    <cellStyle name="Hed Top - SECTION 2 3 4 2 7" xfId="23166" xr:uid="{00000000-0005-0000-0000-0000B5610000}"/>
    <cellStyle name="Hed Top - SECTION 2 3 4 2 7 2" xfId="23167" xr:uid="{00000000-0005-0000-0000-0000B6610000}"/>
    <cellStyle name="Hed Top - SECTION 2 3 4 2 8" xfId="23168" xr:uid="{00000000-0005-0000-0000-0000B7610000}"/>
    <cellStyle name="Hed Top - SECTION 2 3 4 2 8 2" xfId="23169" xr:uid="{00000000-0005-0000-0000-0000B8610000}"/>
    <cellStyle name="Hed Top - SECTION 2 3 4 2 9" xfId="23170" xr:uid="{00000000-0005-0000-0000-0000B9610000}"/>
    <cellStyle name="Hed Top - SECTION 2 3 4 2 9 2" xfId="23171" xr:uid="{00000000-0005-0000-0000-0000BA610000}"/>
    <cellStyle name="Hed Top - SECTION 2 3 4 3" xfId="23172" xr:uid="{00000000-0005-0000-0000-0000BB610000}"/>
    <cellStyle name="Hed Top - SECTION 2 3 4 3 10" xfId="23173" xr:uid="{00000000-0005-0000-0000-0000BC610000}"/>
    <cellStyle name="Hed Top - SECTION 2 3 4 3 2" xfId="23174" xr:uid="{00000000-0005-0000-0000-0000BD610000}"/>
    <cellStyle name="Hed Top - SECTION 2 3 4 3 2 2" xfId="23175" xr:uid="{00000000-0005-0000-0000-0000BE610000}"/>
    <cellStyle name="Hed Top - SECTION 2 3 4 3 3" xfId="23176" xr:uid="{00000000-0005-0000-0000-0000BF610000}"/>
    <cellStyle name="Hed Top - SECTION 2 3 4 3 3 2" xfId="23177" xr:uid="{00000000-0005-0000-0000-0000C0610000}"/>
    <cellStyle name="Hed Top - SECTION 2 3 4 3 4" xfId="23178" xr:uid="{00000000-0005-0000-0000-0000C1610000}"/>
    <cellStyle name="Hed Top - SECTION 2 3 4 3 4 2" xfId="23179" xr:uid="{00000000-0005-0000-0000-0000C2610000}"/>
    <cellStyle name="Hed Top - SECTION 2 3 4 3 5" xfId="23180" xr:uid="{00000000-0005-0000-0000-0000C3610000}"/>
    <cellStyle name="Hed Top - SECTION 2 3 4 3 5 2" xfId="23181" xr:uid="{00000000-0005-0000-0000-0000C4610000}"/>
    <cellStyle name="Hed Top - SECTION 2 3 4 3 6" xfId="23182" xr:uid="{00000000-0005-0000-0000-0000C5610000}"/>
    <cellStyle name="Hed Top - SECTION 2 3 4 3 6 2" xfId="23183" xr:uid="{00000000-0005-0000-0000-0000C6610000}"/>
    <cellStyle name="Hed Top - SECTION 2 3 4 3 7" xfId="23184" xr:uid="{00000000-0005-0000-0000-0000C7610000}"/>
    <cellStyle name="Hed Top - SECTION 2 3 4 3 7 2" xfId="23185" xr:uid="{00000000-0005-0000-0000-0000C8610000}"/>
    <cellStyle name="Hed Top - SECTION 2 3 4 3 8" xfId="23186" xr:uid="{00000000-0005-0000-0000-0000C9610000}"/>
    <cellStyle name="Hed Top - SECTION 2 3 4 3 8 2" xfId="23187" xr:uid="{00000000-0005-0000-0000-0000CA610000}"/>
    <cellStyle name="Hed Top - SECTION 2 3 4 3 9" xfId="23188" xr:uid="{00000000-0005-0000-0000-0000CB610000}"/>
    <cellStyle name="Hed Top - SECTION 2 3 4 3 9 2" xfId="23189" xr:uid="{00000000-0005-0000-0000-0000CC610000}"/>
    <cellStyle name="Hed Top - SECTION 2 3 4 4" xfId="23190" xr:uid="{00000000-0005-0000-0000-0000CD610000}"/>
    <cellStyle name="Hed Top - SECTION 2 3 4 4 10" xfId="23191" xr:uid="{00000000-0005-0000-0000-0000CE610000}"/>
    <cellStyle name="Hed Top - SECTION 2 3 4 4 2" xfId="23192" xr:uid="{00000000-0005-0000-0000-0000CF610000}"/>
    <cellStyle name="Hed Top - SECTION 2 3 4 4 2 2" xfId="23193" xr:uid="{00000000-0005-0000-0000-0000D0610000}"/>
    <cellStyle name="Hed Top - SECTION 2 3 4 4 3" xfId="23194" xr:uid="{00000000-0005-0000-0000-0000D1610000}"/>
    <cellStyle name="Hed Top - SECTION 2 3 4 4 3 2" xfId="23195" xr:uid="{00000000-0005-0000-0000-0000D2610000}"/>
    <cellStyle name="Hed Top - SECTION 2 3 4 4 4" xfId="23196" xr:uid="{00000000-0005-0000-0000-0000D3610000}"/>
    <cellStyle name="Hed Top - SECTION 2 3 4 4 4 2" xfId="23197" xr:uid="{00000000-0005-0000-0000-0000D4610000}"/>
    <cellStyle name="Hed Top - SECTION 2 3 4 4 5" xfId="23198" xr:uid="{00000000-0005-0000-0000-0000D5610000}"/>
    <cellStyle name="Hed Top - SECTION 2 3 4 4 5 2" xfId="23199" xr:uid="{00000000-0005-0000-0000-0000D6610000}"/>
    <cellStyle name="Hed Top - SECTION 2 3 4 4 6" xfId="23200" xr:uid="{00000000-0005-0000-0000-0000D7610000}"/>
    <cellStyle name="Hed Top - SECTION 2 3 4 4 6 2" xfId="23201" xr:uid="{00000000-0005-0000-0000-0000D8610000}"/>
    <cellStyle name="Hed Top - SECTION 2 3 4 4 7" xfId="23202" xr:uid="{00000000-0005-0000-0000-0000D9610000}"/>
    <cellStyle name="Hed Top - SECTION 2 3 4 4 7 2" xfId="23203" xr:uid="{00000000-0005-0000-0000-0000DA610000}"/>
    <cellStyle name="Hed Top - SECTION 2 3 4 4 8" xfId="23204" xr:uid="{00000000-0005-0000-0000-0000DB610000}"/>
    <cellStyle name="Hed Top - SECTION 2 3 4 4 8 2" xfId="23205" xr:uid="{00000000-0005-0000-0000-0000DC610000}"/>
    <cellStyle name="Hed Top - SECTION 2 3 4 4 9" xfId="23206" xr:uid="{00000000-0005-0000-0000-0000DD610000}"/>
    <cellStyle name="Hed Top - SECTION 2 3 4 4 9 2" xfId="23207" xr:uid="{00000000-0005-0000-0000-0000DE610000}"/>
    <cellStyle name="Hed Top - SECTION 2 3 4 5" xfId="23208" xr:uid="{00000000-0005-0000-0000-0000DF610000}"/>
    <cellStyle name="Hed Top - SECTION 2 3 4 5 10" xfId="23209" xr:uid="{00000000-0005-0000-0000-0000E0610000}"/>
    <cellStyle name="Hed Top - SECTION 2 3 4 5 2" xfId="23210" xr:uid="{00000000-0005-0000-0000-0000E1610000}"/>
    <cellStyle name="Hed Top - SECTION 2 3 4 5 2 2" xfId="23211" xr:uid="{00000000-0005-0000-0000-0000E2610000}"/>
    <cellStyle name="Hed Top - SECTION 2 3 4 5 3" xfId="23212" xr:uid="{00000000-0005-0000-0000-0000E3610000}"/>
    <cellStyle name="Hed Top - SECTION 2 3 4 5 3 2" xfId="23213" xr:uid="{00000000-0005-0000-0000-0000E4610000}"/>
    <cellStyle name="Hed Top - SECTION 2 3 4 5 4" xfId="23214" xr:uid="{00000000-0005-0000-0000-0000E5610000}"/>
    <cellStyle name="Hed Top - SECTION 2 3 4 5 4 2" xfId="23215" xr:uid="{00000000-0005-0000-0000-0000E6610000}"/>
    <cellStyle name="Hed Top - SECTION 2 3 4 5 5" xfId="23216" xr:uid="{00000000-0005-0000-0000-0000E7610000}"/>
    <cellStyle name="Hed Top - SECTION 2 3 4 5 5 2" xfId="23217" xr:uid="{00000000-0005-0000-0000-0000E8610000}"/>
    <cellStyle name="Hed Top - SECTION 2 3 4 5 6" xfId="23218" xr:uid="{00000000-0005-0000-0000-0000E9610000}"/>
    <cellStyle name="Hed Top - SECTION 2 3 4 5 6 2" xfId="23219" xr:uid="{00000000-0005-0000-0000-0000EA610000}"/>
    <cellStyle name="Hed Top - SECTION 2 3 4 5 7" xfId="23220" xr:uid="{00000000-0005-0000-0000-0000EB610000}"/>
    <cellStyle name="Hed Top - SECTION 2 3 4 5 7 2" xfId="23221" xr:uid="{00000000-0005-0000-0000-0000EC610000}"/>
    <cellStyle name="Hed Top - SECTION 2 3 4 5 8" xfId="23222" xr:uid="{00000000-0005-0000-0000-0000ED610000}"/>
    <cellStyle name="Hed Top - SECTION 2 3 4 5 8 2" xfId="23223" xr:uid="{00000000-0005-0000-0000-0000EE610000}"/>
    <cellStyle name="Hed Top - SECTION 2 3 4 5 9" xfId="23224" xr:uid="{00000000-0005-0000-0000-0000EF610000}"/>
    <cellStyle name="Hed Top - SECTION 2 3 4 5 9 2" xfId="23225" xr:uid="{00000000-0005-0000-0000-0000F0610000}"/>
    <cellStyle name="Hed Top - SECTION 2 3 4 6" xfId="23226" xr:uid="{00000000-0005-0000-0000-0000F1610000}"/>
    <cellStyle name="Hed Top - SECTION 2 3 4 6 10" xfId="23227" xr:uid="{00000000-0005-0000-0000-0000F2610000}"/>
    <cellStyle name="Hed Top - SECTION 2 3 4 6 2" xfId="23228" xr:uid="{00000000-0005-0000-0000-0000F3610000}"/>
    <cellStyle name="Hed Top - SECTION 2 3 4 6 2 2" xfId="23229" xr:uid="{00000000-0005-0000-0000-0000F4610000}"/>
    <cellStyle name="Hed Top - SECTION 2 3 4 6 3" xfId="23230" xr:uid="{00000000-0005-0000-0000-0000F5610000}"/>
    <cellStyle name="Hed Top - SECTION 2 3 4 6 3 2" xfId="23231" xr:uid="{00000000-0005-0000-0000-0000F6610000}"/>
    <cellStyle name="Hed Top - SECTION 2 3 4 6 4" xfId="23232" xr:uid="{00000000-0005-0000-0000-0000F7610000}"/>
    <cellStyle name="Hed Top - SECTION 2 3 4 6 4 2" xfId="23233" xr:uid="{00000000-0005-0000-0000-0000F8610000}"/>
    <cellStyle name="Hed Top - SECTION 2 3 4 6 5" xfId="23234" xr:uid="{00000000-0005-0000-0000-0000F9610000}"/>
    <cellStyle name="Hed Top - SECTION 2 3 4 6 5 2" xfId="23235" xr:uid="{00000000-0005-0000-0000-0000FA610000}"/>
    <cellStyle name="Hed Top - SECTION 2 3 4 6 6" xfId="23236" xr:uid="{00000000-0005-0000-0000-0000FB610000}"/>
    <cellStyle name="Hed Top - SECTION 2 3 4 6 6 2" xfId="23237" xr:uid="{00000000-0005-0000-0000-0000FC610000}"/>
    <cellStyle name="Hed Top - SECTION 2 3 4 6 7" xfId="23238" xr:uid="{00000000-0005-0000-0000-0000FD610000}"/>
    <cellStyle name="Hed Top - SECTION 2 3 4 6 7 2" xfId="23239" xr:uid="{00000000-0005-0000-0000-0000FE610000}"/>
    <cellStyle name="Hed Top - SECTION 2 3 4 6 8" xfId="23240" xr:uid="{00000000-0005-0000-0000-0000FF610000}"/>
    <cellStyle name="Hed Top - SECTION 2 3 4 6 8 2" xfId="23241" xr:uid="{00000000-0005-0000-0000-000000620000}"/>
    <cellStyle name="Hed Top - SECTION 2 3 4 6 9" xfId="23242" xr:uid="{00000000-0005-0000-0000-000001620000}"/>
    <cellStyle name="Hed Top - SECTION 2 3 4 6 9 2" xfId="23243" xr:uid="{00000000-0005-0000-0000-000002620000}"/>
    <cellStyle name="Hed Top - SECTION 2 3 4 7" xfId="23244" xr:uid="{00000000-0005-0000-0000-000003620000}"/>
    <cellStyle name="Hed Top - SECTION 2 3 4 7 10" xfId="23245" xr:uid="{00000000-0005-0000-0000-000004620000}"/>
    <cellStyle name="Hed Top - SECTION 2 3 4 7 2" xfId="23246" xr:uid="{00000000-0005-0000-0000-000005620000}"/>
    <cellStyle name="Hed Top - SECTION 2 3 4 7 2 2" xfId="23247" xr:uid="{00000000-0005-0000-0000-000006620000}"/>
    <cellStyle name="Hed Top - SECTION 2 3 4 7 3" xfId="23248" xr:uid="{00000000-0005-0000-0000-000007620000}"/>
    <cellStyle name="Hed Top - SECTION 2 3 4 7 3 2" xfId="23249" xr:uid="{00000000-0005-0000-0000-000008620000}"/>
    <cellStyle name="Hed Top - SECTION 2 3 4 7 4" xfId="23250" xr:uid="{00000000-0005-0000-0000-000009620000}"/>
    <cellStyle name="Hed Top - SECTION 2 3 4 7 4 2" xfId="23251" xr:uid="{00000000-0005-0000-0000-00000A620000}"/>
    <cellStyle name="Hed Top - SECTION 2 3 4 7 5" xfId="23252" xr:uid="{00000000-0005-0000-0000-00000B620000}"/>
    <cellStyle name="Hed Top - SECTION 2 3 4 7 5 2" xfId="23253" xr:uid="{00000000-0005-0000-0000-00000C620000}"/>
    <cellStyle name="Hed Top - SECTION 2 3 4 7 6" xfId="23254" xr:uid="{00000000-0005-0000-0000-00000D620000}"/>
    <cellStyle name="Hed Top - SECTION 2 3 4 7 6 2" xfId="23255" xr:uid="{00000000-0005-0000-0000-00000E620000}"/>
    <cellStyle name="Hed Top - SECTION 2 3 4 7 7" xfId="23256" xr:uid="{00000000-0005-0000-0000-00000F620000}"/>
    <cellStyle name="Hed Top - SECTION 2 3 4 7 7 2" xfId="23257" xr:uid="{00000000-0005-0000-0000-000010620000}"/>
    <cellStyle name="Hed Top - SECTION 2 3 4 7 8" xfId="23258" xr:uid="{00000000-0005-0000-0000-000011620000}"/>
    <cellStyle name="Hed Top - SECTION 2 3 4 7 8 2" xfId="23259" xr:uid="{00000000-0005-0000-0000-000012620000}"/>
    <cellStyle name="Hed Top - SECTION 2 3 4 7 9" xfId="23260" xr:uid="{00000000-0005-0000-0000-000013620000}"/>
    <cellStyle name="Hed Top - SECTION 2 3 4 7 9 2" xfId="23261" xr:uid="{00000000-0005-0000-0000-000014620000}"/>
    <cellStyle name="Hed Top - SECTION 2 3 4 8" xfId="23262" xr:uid="{00000000-0005-0000-0000-000015620000}"/>
    <cellStyle name="Hed Top - SECTION 2 3 4 8 10" xfId="23263" xr:uid="{00000000-0005-0000-0000-000016620000}"/>
    <cellStyle name="Hed Top - SECTION 2 3 4 8 2" xfId="23264" xr:uid="{00000000-0005-0000-0000-000017620000}"/>
    <cellStyle name="Hed Top - SECTION 2 3 4 8 2 2" xfId="23265" xr:uid="{00000000-0005-0000-0000-000018620000}"/>
    <cellStyle name="Hed Top - SECTION 2 3 4 8 3" xfId="23266" xr:uid="{00000000-0005-0000-0000-000019620000}"/>
    <cellStyle name="Hed Top - SECTION 2 3 4 8 3 2" xfId="23267" xr:uid="{00000000-0005-0000-0000-00001A620000}"/>
    <cellStyle name="Hed Top - SECTION 2 3 4 8 4" xfId="23268" xr:uid="{00000000-0005-0000-0000-00001B620000}"/>
    <cellStyle name="Hed Top - SECTION 2 3 4 8 4 2" xfId="23269" xr:uid="{00000000-0005-0000-0000-00001C620000}"/>
    <cellStyle name="Hed Top - SECTION 2 3 4 8 5" xfId="23270" xr:uid="{00000000-0005-0000-0000-00001D620000}"/>
    <cellStyle name="Hed Top - SECTION 2 3 4 8 5 2" xfId="23271" xr:uid="{00000000-0005-0000-0000-00001E620000}"/>
    <cellStyle name="Hed Top - SECTION 2 3 4 8 6" xfId="23272" xr:uid="{00000000-0005-0000-0000-00001F620000}"/>
    <cellStyle name="Hed Top - SECTION 2 3 4 8 6 2" xfId="23273" xr:uid="{00000000-0005-0000-0000-000020620000}"/>
    <cellStyle name="Hed Top - SECTION 2 3 4 8 7" xfId="23274" xr:uid="{00000000-0005-0000-0000-000021620000}"/>
    <cellStyle name="Hed Top - SECTION 2 3 4 8 7 2" xfId="23275" xr:uid="{00000000-0005-0000-0000-000022620000}"/>
    <cellStyle name="Hed Top - SECTION 2 3 4 8 8" xfId="23276" xr:uid="{00000000-0005-0000-0000-000023620000}"/>
    <cellStyle name="Hed Top - SECTION 2 3 4 8 8 2" xfId="23277" xr:uid="{00000000-0005-0000-0000-000024620000}"/>
    <cellStyle name="Hed Top - SECTION 2 3 4 8 9" xfId="23278" xr:uid="{00000000-0005-0000-0000-000025620000}"/>
    <cellStyle name="Hed Top - SECTION 2 3 4 8 9 2" xfId="23279" xr:uid="{00000000-0005-0000-0000-000026620000}"/>
    <cellStyle name="Hed Top - SECTION 2 3 4 9" xfId="23280" xr:uid="{00000000-0005-0000-0000-000027620000}"/>
    <cellStyle name="Hed Top - SECTION 2 3 4 9 10" xfId="23281" xr:uid="{00000000-0005-0000-0000-000028620000}"/>
    <cellStyle name="Hed Top - SECTION 2 3 4 9 2" xfId="23282" xr:uid="{00000000-0005-0000-0000-000029620000}"/>
    <cellStyle name="Hed Top - SECTION 2 3 4 9 2 2" xfId="23283" xr:uid="{00000000-0005-0000-0000-00002A620000}"/>
    <cellStyle name="Hed Top - SECTION 2 3 4 9 3" xfId="23284" xr:uid="{00000000-0005-0000-0000-00002B620000}"/>
    <cellStyle name="Hed Top - SECTION 2 3 4 9 3 2" xfId="23285" xr:uid="{00000000-0005-0000-0000-00002C620000}"/>
    <cellStyle name="Hed Top - SECTION 2 3 4 9 4" xfId="23286" xr:uid="{00000000-0005-0000-0000-00002D620000}"/>
    <cellStyle name="Hed Top - SECTION 2 3 4 9 4 2" xfId="23287" xr:uid="{00000000-0005-0000-0000-00002E620000}"/>
    <cellStyle name="Hed Top - SECTION 2 3 4 9 5" xfId="23288" xr:uid="{00000000-0005-0000-0000-00002F620000}"/>
    <cellStyle name="Hed Top - SECTION 2 3 4 9 5 2" xfId="23289" xr:uid="{00000000-0005-0000-0000-000030620000}"/>
    <cellStyle name="Hed Top - SECTION 2 3 4 9 6" xfId="23290" xr:uid="{00000000-0005-0000-0000-000031620000}"/>
    <cellStyle name="Hed Top - SECTION 2 3 4 9 6 2" xfId="23291" xr:uid="{00000000-0005-0000-0000-000032620000}"/>
    <cellStyle name="Hed Top - SECTION 2 3 4 9 7" xfId="23292" xr:uid="{00000000-0005-0000-0000-000033620000}"/>
    <cellStyle name="Hed Top - SECTION 2 3 4 9 7 2" xfId="23293" xr:uid="{00000000-0005-0000-0000-000034620000}"/>
    <cellStyle name="Hed Top - SECTION 2 3 4 9 8" xfId="23294" xr:uid="{00000000-0005-0000-0000-000035620000}"/>
    <cellStyle name="Hed Top - SECTION 2 3 4 9 8 2" xfId="23295" xr:uid="{00000000-0005-0000-0000-000036620000}"/>
    <cellStyle name="Hed Top - SECTION 2 3 4 9 9" xfId="23296" xr:uid="{00000000-0005-0000-0000-000037620000}"/>
    <cellStyle name="Hed Top - SECTION 2 3 4 9 9 2" xfId="23297" xr:uid="{00000000-0005-0000-0000-000038620000}"/>
    <cellStyle name="Hed Top - SECTION 2 3 5" xfId="23298" xr:uid="{00000000-0005-0000-0000-000039620000}"/>
    <cellStyle name="Hed Top - SECTION 2 3 5 10" xfId="23299" xr:uid="{00000000-0005-0000-0000-00003A620000}"/>
    <cellStyle name="Hed Top - SECTION 2 3 5 10 2" xfId="23300" xr:uid="{00000000-0005-0000-0000-00003B620000}"/>
    <cellStyle name="Hed Top - SECTION 2 3 5 10 2 2" xfId="23301" xr:uid="{00000000-0005-0000-0000-00003C620000}"/>
    <cellStyle name="Hed Top - SECTION 2 3 5 10 3" xfId="23302" xr:uid="{00000000-0005-0000-0000-00003D620000}"/>
    <cellStyle name="Hed Top - SECTION 2 3 5 10 3 2" xfId="23303" xr:uid="{00000000-0005-0000-0000-00003E620000}"/>
    <cellStyle name="Hed Top - SECTION 2 3 5 10 4" xfId="23304" xr:uid="{00000000-0005-0000-0000-00003F620000}"/>
    <cellStyle name="Hed Top - SECTION 2 3 5 10 4 2" xfId="23305" xr:uid="{00000000-0005-0000-0000-000040620000}"/>
    <cellStyle name="Hed Top - SECTION 2 3 5 10 5" xfId="23306" xr:uid="{00000000-0005-0000-0000-000041620000}"/>
    <cellStyle name="Hed Top - SECTION 2 3 5 10 5 2" xfId="23307" xr:uid="{00000000-0005-0000-0000-000042620000}"/>
    <cellStyle name="Hed Top - SECTION 2 3 5 10 6" xfId="23308" xr:uid="{00000000-0005-0000-0000-000043620000}"/>
    <cellStyle name="Hed Top - SECTION 2 3 5 10 6 2" xfId="23309" xr:uid="{00000000-0005-0000-0000-000044620000}"/>
    <cellStyle name="Hed Top - SECTION 2 3 5 10 7" xfId="23310" xr:uid="{00000000-0005-0000-0000-000045620000}"/>
    <cellStyle name="Hed Top - SECTION 2 3 5 10 7 2" xfId="23311" xr:uid="{00000000-0005-0000-0000-000046620000}"/>
    <cellStyle name="Hed Top - SECTION 2 3 5 10 8" xfId="23312" xr:uid="{00000000-0005-0000-0000-000047620000}"/>
    <cellStyle name="Hed Top - SECTION 2 3 5 10 8 2" xfId="23313" xr:uid="{00000000-0005-0000-0000-000048620000}"/>
    <cellStyle name="Hed Top - SECTION 2 3 5 10 9" xfId="23314" xr:uid="{00000000-0005-0000-0000-000049620000}"/>
    <cellStyle name="Hed Top - SECTION 2 3 5 11" xfId="23315" xr:uid="{00000000-0005-0000-0000-00004A620000}"/>
    <cellStyle name="Hed Top - SECTION 2 3 5 11 2" xfId="23316" xr:uid="{00000000-0005-0000-0000-00004B620000}"/>
    <cellStyle name="Hed Top - SECTION 2 3 5 12" xfId="23317" xr:uid="{00000000-0005-0000-0000-00004C620000}"/>
    <cellStyle name="Hed Top - SECTION 2 3 5 12 2" xfId="23318" xr:uid="{00000000-0005-0000-0000-00004D620000}"/>
    <cellStyle name="Hed Top - SECTION 2 3 5 13" xfId="23319" xr:uid="{00000000-0005-0000-0000-00004E620000}"/>
    <cellStyle name="Hed Top - SECTION 2 3 5 13 2" xfId="23320" xr:uid="{00000000-0005-0000-0000-00004F620000}"/>
    <cellStyle name="Hed Top - SECTION 2 3 5 14" xfId="23321" xr:uid="{00000000-0005-0000-0000-000050620000}"/>
    <cellStyle name="Hed Top - SECTION 2 3 5 14 2" xfId="23322" xr:uid="{00000000-0005-0000-0000-000051620000}"/>
    <cellStyle name="Hed Top - SECTION 2 3 5 15" xfId="23323" xr:uid="{00000000-0005-0000-0000-000052620000}"/>
    <cellStyle name="Hed Top - SECTION 2 3 5 15 2" xfId="23324" xr:uid="{00000000-0005-0000-0000-000053620000}"/>
    <cellStyle name="Hed Top - SECTION 2 3 5 16" xfId="23325" xr:uid="{00000000-0005-0000-0000-000054620000}"/>
    <cellStyle name="Hed Top - SECTION 2 3 5 16 2" xfId="23326" xr:uid="{00000000-0005-0000-0000-000055620000}"/>
    <cellStyle name="Hed Top - SECTION 2 3 5 17" xfId="23327" xr:uid="{00000000-0005-0000-0000-000056620000}"/>
    <cellStyle name="Hed Top - SECTION 2 3 5 17 2" xfId="23328" xr:uid="{00000000-0005-0000-0000-000057620000}"/>
    <cellStyle name="Hed Top - SECTION 2 3 5 18" xfId="23329" xr:uid="{00000000-0005-0000-0000-000058620000}"/>
    <cellStyle name="Hed Top - SECTION 2 3 5 2" xfId="23330" xr:uid="{00000000-0005-0000-0000-000059620000}"/>
    <cellStyle name="Hed Top - SECTION 2 3 5 2 10" xfId="23331" xr:uid="{00000000-0005-0000-0000-00005A620000}"/>
    <cellStyle name="Hed Top - SECTION 2 3 5 2 2" xfId="23332" xr:uid="{00000000-0005-0000-0000-00005B620000}"/>
    <cellStyle name="Hed Top - SECTION 2 3 5 2 2 2" xfId="23333" xr:uid="{00000000-0005-0000-0000-00005C620000}"/>
    <cellStyle name="Hed Top - SECTION 2 3 5 2 3" xfId="23334" xr:uid="{00000000-0005-0000-0000-00005D620000}"/>
    <cellStyle name="Hed Top - SECTION 2 3 5 2 3 2" xfId="23335" xr:uid="{00000000-0005-0000-0000-00005E620000}"/>
    <cellStyle name="Hed Top - SECTION 2 3 5 2 4" xfId="23336" xr:uid="{00000000-0005-0000-0000-00005F620000}"/>
    <cellStyle name="Hed Top - SECTION 2 3 5 2 4 2" xfId="23337" xr:uid="{00000000-0005-0000-0000-000060620000}"/>
    <cellStyle name="Hed Top - SECTION 2 3 5 2 5" xfId="23338" xr:uid="{00000000-0005-0000-0000-000061620000}"/>
    <cellStyle name="Hed Top - SECTION 2 3 5 2 5 2" xfId="23339" xr:uid="{00000000-0005-0000-0000-000062620000}"/>
    <cellStyle name="Hed Top - SECTION 2 3 5 2 6" xfId="23340" xr:uid="{00000000-0005-0000-0000-000063620000}"/>
    <cellStyle name="Hed Top - SECTION 2 3 5 2 6 2" xfId="23341" xr:uid="{00000000-0005-0000-0000-000064620000}"/>
    <cellStyle name="Hed Top - SECTION 2 3 5 2 7" xfId="23342" xr:uid="{00000000-0005-0000-0000-000065620000}"/>
    <cellStyle name="Hed Top - SECTION 2 3 5 2 7 2" xfId="23343" xr:uid="{00000000-0005-0000-0000-000066620000}"/>
    <cellStyle name="Hed Top - SECTION 2 3 5 2 8" xfId="23344" xr:uid="{00000000-0005-0000-0000-000067620000}"/>
    <cellStyle name="Hed Top - SECTION 2 3 5 2 8 2" xfId="23345" xr:uid="{00000000-0005-0000-0000-000068620000}"/>
    <cellStyle name="Hed Top - SECTION 2 3 5 2 9" xfId="23346" xr:uid="{00000000-0005-0000-0000-000069620000}"/>
    <cellStyle name="Hed Top - SECTION 2 3 5 2 9 2" xfId="23347" xr:uid="{00000000-0005-0000-0000-00006A620000}"/>
    <cellStyle name="Hed Top - SECTION 2 3 5 3" xfId="23348" xr:uid="{00000000-0005-0000-0000-00006B620000}"/>
    <cellStyle name="Hed Top - SECTION 2 3 5 3 10" xfId="23349" xr:uid="{00000000-0005-0000-0000-00006C620000}"/>
    <cellStyle name="Hed Top - SECTION 2 3 5 3 2" xfId="23350" xr:uid="{00000000-0005-0000-0000-00006D620000}"/>
    <cellStyle name="Hed Top - SECTION 2 3 5 3 2 2" xfId="23351" xr:uid="{00000000-0005-0000-0000-00006E620000}"/>
    <cellStyle name="Hed Top - SECTION 2 3 5 3 3" xfId="23352" xr:uid="{00000000-0005-0000-0000-00006F620000}"/>
    <cellStyle name="Hed Top - SECTION 2 3 5 3 3 2" xfId="23353" xr:uid="{00000000-0005-0000-0000-000070620000}"/>
    <cellStyle name="Hed Top - SECTION 2 3 5 3 4" xfId="23354" xr:uid="{00000000-0005-0000-0000-000071620000}"/>
    <cellStyle name="Hed Top - SECTION 2 3 5 3 4 2" xfId="23355" xr:uid="{00000000-0005-0000-0000-000072620000}"/>
    <cellStyle name="Hed Top - SECTION 2 3 5 3 5" xfId="23356" xr:uid="{00000000-0005-0000-0000-000073620000}"/>
    <cellStyle name="Hed Top - SECTION 2 3 5 3 5 2" xfId="23357" xr:uid="{00000000-0005-0000-0000-000074620000}"/>
    <cellStyle name="Hed Top - SECTION 2 3 5 3 6" xfId="23358" xr:uid="{00000000-0005-0000-0000-000075620000}"/>
    <cellStyle name="Hed Top - SECTION 2 3 5 3 6 2" xfId="23359" xr:uid="{00000000-0005-0000-0000-000076620000}"/>
    <cellStyle name="Hed Top - SECTION 2 3 5 3 7" xfId="23360" xr:uid="{00000000-0005-0000-0000-000077620000}"/>
    <cellStyle name="Hed Top - SECTION 2 3 5 3 7 2" xfId="23361" xr:uid="{00000000-0005-0000-0000-000078620000}"/>
    <cellStyle name="Hed Top - SECTION 2 3 5 3 8" xfId="23362" xr:uid="{00000000-0005-0000-0000-000079620000}"/>
    <cellStyle name="Hed Top - SECTION 2 3 5 3 8 2" xfId="23363" xr:uid="{00000000-0005-0000-0000-00007A620000}"/>
    <cellStyle name="Hed Top - SECTION 2 3 5 3 9" xfId="23364" xr:uid="{00000000-0005-0000-0000-00007B620000}"/>
    <cellStyle name="Hed Top - SECTION 2 3 5 3 9 2" xfId="23365" xr:uid="{00000000-0005-0000-0000-00007C620000}"/>
    <cellStyle name="Hed Top - SECTION 2 3 5 4" xfId="23366" xr:uid="{00000000-0005-0000-0000-00007D620000}"/>
    <cellStyle name="Hed Top - SECTION 2 3 5 4 10" xfId="23367" xr:uid="{00000000-0005-0000-0000-00007E620000}"/>
    <cellStyle name="Hed Top - SECTION 2 3 5 4 2" xfId="23368" xr:uid="{00000000-0005-0000-0000-00007F620000}"/>
    <cellStyle name="Hed Top - SECTION 2 3 5 4 2 2" xfId="23369" xr:uid="{00000000-0005-0000-0000-000080620000}"/>
    <cellStyle name="Hed Top - SECTION 2 3 5 4 3" xfId="23370" xr:uid="{00000000-0005-0000-0000-000081620000}"/>
    <cellStyle name="Hed Top - SECTION 2 3 5 4 3 2" xfId="23371" xr:uid="{00000000-0005-0000-0000-000082620000}"/>
    <cellStyle name="Hed Top - SECTION 2 3 5 4 4" xfId="23372" xr:uid="{00000000-0005-0000-0000-000083620000}"/>
    <cellStyle name="Hed Top - SECTION 2 3 5 4 4 2" xfId="23373" xr:uid="{00000000-0005-0000-0000-000084620000}"/>
    <cellStyle name="Hed Top - SECTION 2 3 5 4 5" xfId="23374" xr:uid="{00000000-0005-0000-0000-000085620000}"/>
    <cellStyle name="Hed Top - SECTION 2 3 5 4 5 2" xfId="23375" xr:uid="{00000000-0005-0000-0000-000086620000}"/>
    <cellStyle name="Hed Top - SECTION 2 3 5 4 6" xfId="23376" xr:uid="{00000000-0005-0000-0000-000087620000}"/>
    <cellStyle name="Hed Top - SECTION 2 3 5 4 6 2" xfId="23377" xr:uid="{00000000-0005-0000-0000-000088620000}"/>
    <cellStyle name="Hed Top - SECTION 2 3 5 4 7" xfId="23378" xr:uid="{00000000-0005-0000-0000-000089620000}"/>
    <cellStyle name="Hed Top - SECTION 2 3 5 4 7 2" xfId="23379" xr:uid="{00000000-0005-0000-0000-00008A620000}"/>
    <cellStyle name="Hed Top - SECTION 2 3 5 4 8" xfId="23380" xr:uid="{00000000-0005-0000-0000-00008B620000}"/>
    <cellStyle name="Hed Top - SECTION 2 3 5 4 8 2" xfId="23381" xr:uid="{00000000-0005-0000-0000-00008C620000}"/>
    <cellStyle name="Hed Top - SECTION 2 3 5 4 9" xfId="23382" xr:uid="{00000000-0005-0000-0000-00008D620000}"/>
    <cellStyle name="Hed Top - SECTION 2 3 5 4 9 2" xfId="23383" xr:uid="{00000000-0005-0000-0000-00008E620000}"/>
    <cellStyle name="Hed Top - SECTION 2 3 5 5" xfId="23384" xr:uid="{00000000-0005-0000-0000-00008F620000}"/>
    <cellStyle name="Hed Top - SECTION 2 3 5 5 10" xfId="23385" xr:uid="{00000000-0005-0000-0000-000090620000}"/>
    <cellStyle name="Hed Top - SECTION 2 3 5 5 2" xfId="23386" xr:uid="{00000000-0005-0000-0000-000091620000}"/>
    <cellStyle name="Hed Top - SECTION 2 3 5 5 2 2" xfId="23387" xr:uid="{00000000-0005-0000-0000-000092620000}"/>
    <cellStyle name="Hed Top - SECTION 2 3 5 5 3" xfId="23388" xr:uid="{00000000-0005-0000-0000-000093620000}"/>
    <cellStyle name="Hed Top - SECTION 2 3 5 5 3 2" xfId="23389" xr:uid="{00000000-0005-0000-0000-000094620000}"/>
    <cellStyle name="Hed Top - SECTION 2 3 5 5 4" xfId="23390" xr:uid="{00000000-0005-0000-0000-000095620000}"/>
    <cellStyle name="Hed Top - SECTION 2 3 5 5 4 2" xfId="23391" xr:uid="{00000000-0005-0000-0000-000096620000}"/>
    <cellStyle name="Hed Top - SECTION 2 3 5 5 5" xfId="23392" xr:uid="{00000000-0005-0000-0000-000097620000}"/>
    <cellStyle name="Hed Top - SECTION 2 3 5 5 5 2" xfId="23393" xr:uid="{00000000-0005-0000-0000-000098620000}"/>
    <cellStyle name="Hed Top - SECTION 2 3 5 5 6" xfId="23394" xr:uid="{00000000-0005-0000-0000-000099620000}"/>
    <cellStyle name="Hed Top - SECTION 2 3 5 5 6 2" xfId="23395" xr:uid="{00000000-0005-0000-0000-00009A620000}"/>
    <cellStyle name="Hed Top - SECTION 2 3 5 5 7" xfId="23396" xr:uid="{00000000-0005-0000-0000-00009B620000}"/>
    <cellStyle name="Hed Top - SECTION 2 3 5 5 7 2" xfId="23397" xr:uid="{00000000-0005-0000-0000-00009C620000}"/>
    <cellStyle name="Hed Top - SECTION 2 3 5 5 8" xfId="23398" xr:uid="{00000000-0005-0000-0000-00009D620000}"/>
    <cellStyle name="Hed Top - SECTION 2 3 5 5 8 2" xfId="23399" xr:uid="{00000000-0005-0000-0000-00009E620000}"/>
    <cellStyle name="Hed Top - SECTION 2 3 5 5 9" xfId="23400" xr:uid="{00000000-0005-0000-0000-00009F620000}"/>
    <cellStyle name="Hed Top - SECTION 2 3 5 5 9 2" xfId="23401" xr:uid="{00000000-0005-0000-0000-0000A0620000}"/>
    <cellStyle name="Hed Top - SECTION 2 3 5 6" xfId="23402" xr:uid="{00000000-0005-0000-0000-0000A1620000}"/>
    <cellStyle name="Hed Top - SECTION 2 3 5 6 10" xfId="23403" xr:uid="{00000000-0005-0000-0000-0000A2620000}"/>
    <cellStyle name="Hed Top - SECTION 2 3 5 6 2" xfId="23404" xr:uid="{00000000-0005-0000-0000-0000A3620000}"/>
    <cellStyle name="Hed Top - SECTION 2 3 5 6 2 2" xfId="23405" xr:uid="{00000000-0005-0000-0000-0000A4620000}"/>
    <cellStyle name="Hed Top - SECTION 2 3 5 6 3" xfId="23406" xr:uid="{00000000-0005-0000-0000-0000A5620000}"/>
    <cellStyle name="Hed Top - SECTION 2 3 5 6 3 2" xfId="23407" xr:uid="{00000000-0005-0000-0000-0000A6620000}"/>
    <cellStyle name="Hed Top - SECTION 2 3 5 6 4" xfId="23408" xr:uid="{00000000-0005-0000-0000-0000A7620000}"/>
    <cellStyle name="Hed Top - SECTION 2 3 5 6 4 2" xfId="23409" xr:uid="{00000000-0005-0000-0000-0000A8620000}"/>
    <cellStyle name="Hed Top - SECTION 2 3 5 6 5" xfId="23410" xr:uid="{00000000-0005-0000-0000-0000A9620000}"/>
    <cellStyle name="Hed Top - SECTION 2 3 5 6 5 2" xfId="23411" xr:uid="{00000000-0005-0000-0000-0000AA620000}"/>
    <cellStyle name="Hed Top - SECTION 2 3 5 6 6" xfId="23412" xr:uid="{00000000-0005-0000-0000-0000AB620000}"/>
    <cellStyle name="Hed Top - SECTION 2 3 5 6 6 2" xfId="23413" xr:uid="{00000000-0005-0000-0000-0000AC620000}"/>
    <cellStyle name="Hed Top - SECTION 2 3 5 6 7" xfId="23414" xr:uid="{00000000-0005-0000-0000-0000AD620000}"/>
    <cellStyle name="Hed Top - SECTION 2 3 5 6 7 2" xfId="23415" xr:uid="{00000000-0005-0000-0000-0000AE620000}"/>
    <cellStyle name="Hed Top - SECTION 2 3 5 6 8" xfId="23416" xr:uid="{00000000-0005-0000-0000-0000AF620000}"/>
    <cellStyle name="Hed Top - SECTION 2 3 5 6 8 2" xfId="23417" xr:uid="{00000000-0005-0000-0000-0000B0620000}"/>
    <cellStyle name="Hed Top - SECTION 2 3 5 6 9" xfId="23418" xr:uid="{00000000-0005-0000-0000-0000B1620000}"/>
    <cellStyle name="Hed Top - SECTION 2 3 5 6 9 2" xfId="23419" xr:uid="{00000000-0005-0000-0000-0000B2620000}"/>
    <cellStyle name="Hed Top - SECTION 2 3 5 7" xfId="23420" xr:uid="{00000000-0005-0000-0000-0000B3620000}"/>
    <cellStyle name="Hed Top - SECTION 2 3 5 7 10" xfId="23421" xr:uid="{00000000-0005-0000-0000-0000B4620000}"/>
    <cellStyle name="Hed Top - SECTION 2 3 5 7 2" xfId="23422" xr:uid="{00000000-0005-0000-0000-0000B5620000}"/>
    <cellStyle name="Hed Top - SECTION 2 3 5 7 2 2" xfId="23423" xr:uid="{00000000-0005-0000-0000-0000B6620000}"/>
    <cellStyle name="Hed Top - SECTION 2 3 5 7 3" xfId="23424" xr:uid="{00000000-0005-0000-0000-0000B7620000}"/>
    <cellStyle name="Hed Top - SECTION 2 3 5 7 3 2" xfId="23425" xr:uid="{00000000-0005-0000-0000-0000B8620000}"/>
    <cellStyle name="Hed Top - SECTION 2 3 5 7 4" xfId="23426" xr:uid="{00000000-0005-0000-0000-0000B9620000}"/>
    <cellStyle name="Hed Top - SECTION 2 3 5 7 4 2" xfId="23427" xr:uid="{00000000-0005-0000-0000-0000BA620000}"/>
    <cellStyle name="Hed Top - SECTION 2 3 5 7 5" xfId="23428" xr:uid="{00000000-0005-0000-0000-0000BB620000}"/>
    <cellStyle name="Hed Top - SECTION 2 3 5 7 5 2" xfId="23429" xr:uid="{00000000-0005-0000-0000-0000BC620000}"/>
    <cellStyle name="Hed Top - SECTION 2 3 5 7 6" xfId="23430" xr:uid="{00000000-0005-0000-0000-0000BD620000}"/>
    <cellStyle name="Hed Top - SECTION 2 3 5 7 6 2" xfId="23431" xr:uid="{00000000-0005-0000-0000-0000BE620000}"/>
    <cellStyle name="Hed Top - SECTION 2 3 5 7 7" xfId="23432" xr:uid="{00000000-0005-0000-0000-0000BF620000}"/>
    <cellStyle name="Hed Top - SECTION 2 3 5 7 7 2" xfId="23433" xr:uid="{00000000-0005-0000-0000-0000C0620000}"/>
    <cellStyle name="Hed Top - SECTION 2 3 5 7 8" xfId="23434" xr:uid="{00000000-0005-0000-0000-0000C1620000}"/>
    <cellStyle name="Hed Top - SECTION 2 3 5 7 8 2" xfId="23435" xr:uid="{00000000-0005-0000-0000-0000C2620000}"/>
    <cellStyle name="Hed Top - SECTION 2 3 5 7 9" xfId="23436" xr:uid="{00000000-0005-0000-0000-0000C3620000}"/>
    <cellStyle name="Hed Top - SECTION 2 3 5 7 9 2" xfId="23437" xr:uid="{00000000-0005-0000-0000-0000C4620000}"/>
    <cellStyle name="Hed Top - SECTION 2 3 5 8" xfId="23438" xr:uid="{00000000-0005-0000-0000-0000C5620000}"/>
    <cellStyle name="Hed Top - SECTION 2 3 5 8 10" xfId="23439" xr:uid="{00000000-0005-0000-0000-0000C6620000}"/>
    <cellStyle name="Hed Top - SECTION 2 3 5 8 2" xfId="23440" xr:uid="{00000000-0005-0000-0000-0000C7620000}"/>
    <cellStyle name="Hed Top - SECTION 2 3 5 8 2 2" xfId="23441" xr:uid="{00000000-0005-0000-0000-0000C8620000}"/>
    <cellStyle name="Hed Top - SECTION 2 3 5 8 3" xfId="23442" xr:uid="{00000000-0005-0000-0000-0000C9620000}"/>
    <cellStyle name="Hed Top - SECTION 2 3 5 8 3 2" xfId="23443" xr:uid="{00000000-0005-0000-0000-0000CA620000}"/>
    <cellStyle name="Hed Top - SECTION 2 3 5 8 4" xfId="23444" xr:uid="{00000000-0005-0000-0000-0000CB620000}"/>
    <cellStyle name="Hed Top - SECTION 2 3 5 8 4 2" xfId="23445" xr:uid="{00000000-0005-0000-0000-0000CC620000}"/>
    <cellStyle name="Hed Top - SECTION 2 3 5 8 5" xfId="23446" xr:uid="{00000000-0005-0000-0000-0000CD620000}"/>
    <cellStyle name="Hed Top - SECTION 2 3 5 8 5 2" xfId="23447" xr:uid="{00000000-0005-0000-0000-0000CE620000}"/>
    <cellStyle name="Hed Top - SECTION 2 3 5 8 6" xfId="23448" xr:uid="{00000000-0005-0000-0000-0000CF620000}"/>
    <cellStyle name="Hed Top - SECTION 2 3 5 8 6 2" xfId="23449" xr:uid="{00000000-0005-0000-0000-0000D0620000}"/>
    <cellStyle name="Hed Top - SECTION 2 3 5 8 7" xfId="23450" xr:uid="{00000000-0005-0000-0000-0000D1620000}"/>
    <cellStyle name="Hed Top - SECTION 2 3 5 8 7 2" xfId="23451" xr:uid="{00000000-0005-0000-0000-0000D2620000}"/>
    <cellStyle name="Hed Top - SECTION 2 3 5 8 8" xfId="23452" xr:uid="{00000000-0005-0000-0000-0000D3620000}"/>
    <cellStyle name="Hed Top - SECTION 2 3 5 8 8 2" xfId="23453" xr:uid="{00000000-0005-0000-0000-0000D4620000}"/>
    <cellStyle name="Hed Top - SECTION 2 3 5 8 9" xfId="23454" xr:uid="{00000000-0005-0000-0000-0000D5620000}"/>
    <cellStyle name="Hed Top - SECTION 2 3 5 8 9 2" xfId="23455" xr:uid="{00000000-0005-0000-0000-0000D6620000}"/>
    <cellStyle name="Hed Top - SECTION 2 3 5 9" xfId="23456" xr:uid="{00000000-0005-0000-0000-0000D7620000}"/>
    <cellStyle name="Hed Top - SECTION 2 3 5 9 10" xfId="23457" xr:uid="{00000000-0005-0000-0000-0000D8620000}"/>
    <cellStyle name="Hed Top - SECTION 2 3 5 9 2" xfId="23458" xr:uid="{00000000-0005-0000-0000-0000D9620000}"/>
    <cellStyle name="Hed Top - SECTION 2 3 5 9 2 2" xfId="23459" xr:uid="{00000000-0005-0000-0000-0000DA620000}"/>
    <cellStyle name="Hed Top - SECTION 2 3 5 9 3" xfId="23460" xr:uid="{00000000-0005-0000-0000-0000DB620000}"/>
    <cellStyle name="Hed Top - SECTION 2 3 5 9 3 2" xfId="23461" xr:uid="{00000000-0005-0000-0000-0000DC620000}"/>
    <cellStyle name="Hed Top - SECTION 2 3 5 9 4" xfId="23462" xr:uid="{00000000-0005-0000-0000-0000DD620000}"/>
    <cellStyle name="Hed Top - SECTION 2 3 5 9 4 2" xfId="23463" xr:uid="{00000000-0005-0000-0000-0000DE620000}"/>
    <cellStyle name="Hed Top - SECTION 2 3 5 9 5" xfId="23464" xr:uid="{00000000-0005-0000-0000-0000DF620000}"/>
    <cellStyle name="Hed Top - SECTION 2 3 5 9 5 2" xfId="23465" xr:uid="{00000000-0005-0000-0000-0000E0620000}"/>
    <cellStyle name="Hed Top - SECTION 2 3 5 9 6" xfId="23466" xr:uid="{00000000-0005-0000-0000-0000E1620000}"/>
    <cellStyle name="Hed Top - SECTION 2 3 5 9 6 2" xfId="23467" xr:uid="{00000000-0005-0000-0000-0000E2620000}"/>
    <cellStyle name="Hed Top - SECTION 2 3 5 9 7" xfId="23468" xr:uid="{00000000-0005-0000-0000-0000E3620000}"/>
    <cellStyle name="Hed Top - SECTION 2 3 5 9 7 2" xfId="23469" xr:uid="{00000000-0005-0000-0000-0000E4620000}"/>
    <cellStyle name="Hed Top - SECTION 2 3 5 9 8" xfId="23470" xr:uid="{00000000-0005-0000-0000-0000E5620000}"/>
    <cellStyle name="Hed Top - SECTION 2 3 5 9 8 2" xfId="23471" xr:uid="{00000000-0005-0000-0000-0000E6620000}"/>
    <cellStyle name="Hed Top - SECTION 2 3 5 9 9" xfId="23472" xr:uid="{00000000-0005-0000-0000-0000E7620000}"/>
    <cellStyle name="Hed Top - SECTION 2 3 5 9 9 2" xfId="23473" xr:uid="{00000000-0005-0000-0000-0000E8620000}"/>
    <cellStyle name="Hed Top - SECTION 2 3 6" xfId="23474" xr:uid="{00000000-0005-0000-0000-0000E9620000}"/>
    <cellStyle name="Hed Top - SECTION 2 3 6 10" xfId="23475" xr:uid="{00000000-0005-0000-0000-0000EA620000}"/>
    <cellStyle name="Hed Top - SECTION 2 3 6 10 2" xfId="23476" xr:uid="{00000000-0005-0000-0000-0000EB620000}"/>
    <cellStyle name="Hed Top - SECTION 2 3 6 10 2 2" xfId="23477" xr:uid="{00000000-0005-0000-0000-0000EC620000}"/>
    <cellStyle name="Hed Top - SECTION 2 3 6 10 3" xfId="23478" xr:uid="{00000000-0005-0000-0000-0000ED620000}"/>
    <cellStyle name="Hed Top - SECTION 2 3 6 10 3 2" xfId="23479" xr:uid="{00000000-0005-0000-0000-0000EE620000}"/>
    <cellStyle name="Hed Top - SECTION 2 3 6 10 4" xfId="23480" xr:uid="{00000000-0005-0000-0000-0000EF620000}"/>
    <cellStyle name="Hed Top - SECTION 2 3 6 10 4 2" xfId="23481" xr:uid="{00000000-0005-0000-0000-0000F0620000}"/>
    <cellStyle name="Hed Top - SECTION 2 3 6 10 5" xfId="23482" xr:uid="{00000000-0005-0000-0000-0000F1620000}"/>
    <cellStyle name="Hed Top - SECTION 2 3 6 10 5 2" xfId="23483" xr:uid="{00000000-0005-0000-0000-0000F2620000}"/>
    <cellStyle name="Hed Top - SECTION 2 3 6 10 6" xfId="23484" xr:uid="{00000000-0005-0000-0000-0000F3620000}"/>
    <cellStyle name="Hed Top - SECTION 2 3 6 10 6 2" xfId="23485" xr:uid="{00000000-0005-0000-0000-0000F4620000}"/>
    <cellStyle name="Hed Top - SECTION 2 3 6 10 7" xfId="23486" xr:uid="{00000000-0005-0000-0000-0000F5620000}"/>
    <cellStyle name="Hed Top - SECTION 2 3 6 10 7 2" xfId="23487" xr:uid="{00000000-0005-0000-0000-0000F6620000}"/>
    <cellStyle name="Hed Top - SECTION 2 3 6 10 8" xfId="23488" xr:uid="{00000000-0005-0000-0000-0000F7620000}"/>
    <cellStyle name="Hed Top - SECTION 2 3 6 10 8 2" xfId="23489" xr:uid="{00000000-0005-0000-0000-0000F8620000}"/>
    <cellStyle name="Hed Top - SECTION 2 3 6 10 9" xfId="23490" xr:uid="{00000000-0005-0000-0000-0000F9620000}"/>
    <cellStyle name="Hed Top - SECTION 2 3 6 11" xfId="23491" xr:uid="{00000000-0005-0000-0000-0000FA620000}"/>
    <cellStyle name="Hed Top - SECTION 2 3 6 11 2" xfId="23492" xr:uid="{00000000-0005-0000-0000-0000FB620000}"/>
    <cellStyle name="Hed Top - SECTION 2 3 6 12" xfId="23493" xr:uid="{00000000-0005-0000-0000-0000FC620000}"/>
    <cellStyle name="Hed Top - SECTION 2 3 6 12 2" xfId="23494" xr:uid="{00000000-0005-0000-0000-0000FD620000}"/>
    <cellStyle name="Hed Top - SECTION 2 3 6 13" xfId="23495" xr:uid="{00000000-0005-0000-0000-0000FE620000}"/>
    <cellStyle name="Hed Top - SECTION 2 3 6 13 2" xfId="23496" xr:uid="{00000000-0005-0000-0000-0000FF620000}"/>
    <cellStyle name="Hed Top - SECTION 2 3 6 14" xfId="23497" xr:uid="{00000000-0005-0000-0000-000000630000}"/>
    <cellStyle name="Hed Top - SECTION 2 3 6 14 2" xfId="23498" xr:uid="{00000000-0005-0000-0000-000001630000}"/>
    <cellStyle name="Hed Top - SECTION 2 3 6 15" xfId="23499" xr:uid="{00000000-0005-0000-0000-000002630000}"/>
    <cellStyle name="Hed Top - SECTION 2 3 6 15 2" xfId="23500" xr:uid="{00000000-0005-0000-0000-000003630000}"/>
    <cellStyle name="Hed Top - SECTION 2 3 6 16" xfId="23501" xr:uid="{00000000-0005-0000-0000-000004630000}"/>
    <cellStyle name="Hed Top - SECTION 2 3 6 16 2" xfId="23502" xr:uid="{00000000-0005-0000-0000-000005630000}"/>
    <cellStyle name="Hed Top - SECTION 2 3 6 17" xfId="23503" xr:uid="{00000000-0005-0000-0000-000006630000}"/>
    <cellStyle name="Hed Top - SECTION 2 3 6 17 2" xfId="23504" xr:uid="{00000000-0005-0000-0000-000007630000}"/>
    <cellStyle name="Hed Top - SECTION 2 3 6 18" xfId="23505" xr:uid="{00000000-0005-0000-0000-000008630000}"/>
    <cellStyle name="Hed Top - SECTION 2 3 6 2" xfId="23506" xr:uid="{00000000-0005-0000-0000-000009630000}"/>
    <cellStyle name="Hed Top - SECTION 2 3 6 2 10" xfId="23507" xr:uid="{00000000-0005-0000-0000-00000A630000}"/>
    <cellStyle name="Hed Top - SECTION 2 3 6 2 2" xfId="23508" xr:uid="{00000000-0005-0000-0000-00000B630000}"/>
    <cellStyle name="Hed Top - SECTION 2 3 6 2 2 2" xfId="23509" xr:uid="{00000000-0005-0000-0000-00000C630000}"/>
    <cellStyle name="Hed Top - SECTION 2 3 6 2 3" xfId="23510" xr:uid="{00000000-0005-0000-0000-00000D630000}"/>
    <cellStyle name="Hed Top - SECTION 2 3 6 2 3 2" xfId="23511" xr:uid="{00000000-0005-0000-0000-00000E630000}"/>
    <cellStyle name="Hed Top - SECTION 2 3 6 2 4" xfId="23512" xr:uid="{00000000-0005-0000-0000-00000F630000}"/>
    <cellStyle name="Hed Top - SECTION 2 3 6 2 4 2" xfId="23513" xr:uid="{00000000-0005-0000-0000-000010630000}"/>
    <cellStyle name="Hed Top - SECTION 2 3 6 2 5" xfId="23514" xr:uid="{00000000-0005-0000-0000-000011630000}"/>
    <cellStyle name="Hed Top - SECTION 2 3 6 2 5 2" xfId="23515" xr:uid="{00000000-0005-0000-0000-000012630000}"/>
    <cellStyle name="Hed Top - SECTION 2 3 6 2 6" xfId="23516" xr:uid="{00000000-0005-0000-0000-000013630000}"/>
    <cellStyle name="Hed Top - SECTION 2 3 6 2 6 2" xfId="23517" xr:uid="{00000000-0005-0000-0000-000014630000}"/>
    <cellStyle name="Hed Top - SECTION 2 3 6 2 7" xfId="23518" xr:uid="{00000000-0005-0000-0000-000015630000}"/>
    <cellStyle name="Hed Top - SECTION 2 3 6 2 7 2" xfId="23519" xr:uid="{00000000-0005-0000-0000-000016630000}"/>
    <cellStyle name="Hed Top - SECTION 2 3 6 2 8" xfId="23520" xr:uid="{00000000-0005-0000-0000-000017630000}"/>
    <cellStyle name="Hed Top - SECTION 2 3 6 2 8 2" xfId="23521" xr:uid="{00000000-0005-0000-0000-000018630000}"/>
    <cellStyle name="Hed Top - SECTION 2 3 6 2 9" xfId="23522" xr:uid="{00000000-0005-0000-0000-000019630000}"/>
    <cellStyle name="Hed Top - SECTION 2 3 6 2 9 2" xfId="23523" xr:uid="{00000000-0005-0000-0000-00001A630000}"/>
    <cellStyle name="Hed Top - SECTION 2 3 6 3" xfId="23524" xr:uid="{00000000-0005-0000-0000-00001B630000}"/>
    <cellStyle name="Hed Top - SECTION 2 3 6 3 10" xfId="23525" xr:uid="{00000000-0005-0000-0000-00001C630000}"/>
    <cellStyle name="Hed Top - SECTION 2 3 6 3 2" xfId="23526" xr:uid="{00000000-0005-0000-0000-00001D630000}"/>
    <cellStyle name="Hed Top - SECTION 2 3 6 3 2 2" xfId="23527" xr:uid="{00000000-0005-0000-0000-00001E630000}"/>
    <cellStyle name="Hed Top - SECTION 2 3 6 3 3" xfId="23528" xr:uid="{00000000-0005-0000-0000-00001F630000}"/>
    <cellStyle name="Hed Top - SECTION 2 3 6 3 3 2" xfId="23529" xr:uid="{00000000-0005-0000-0000-000020630000}"/>
    <cellStyle name="Hed Top - SECTION 2 3 6 3 4" xfId="23530" xr:uid="{00000000-0005-0000-0000-000021630000}"/>
    <cellStyle name="Hed Top - SECTION 2 3 6 3 4 2" xfId="23531" xr:uid="{00000000-0005-0000-0000-000022630000}"/>
    <cellStyle name="Hed Top - SECTION 2 3 6 3 5" xfId="23532" xr:uid="{00000000-0005-0000-0000-000023630000}"/>
    <cellStyle name="Hed Top - SECTION 2 3 6 3 5 2" xfId="23533" xr:uid="{00000000-0005-0000-0000-000024630000}"/>
    <cellStyle name="Hed Top - SECTION 2 3 6 3 6" xfId="23534" xr:uid="{00000000-0005-0000-0000-000025630000}"/>
    <cellStyle name="Hed Top - SECTION 2 3 6 3 6 2" xfId="23535" xr:uid="{00000000-0005-0000-0000-000026630000}"/>
    <cellStyle name="Hed Top - SECTION 2 3 6 3 7" xfId="23536" xr:uid="{00000000-0005-0000-0000-000027630000}"/>
    <cellStyle name="Hed Top - SECTION 2 3 6 3 7 2" xfId="23537" xr:uid="{00000000-0005-0000-0000-000028630000}"/>
    <cellStyle name="Hed Top - SECTION 2 3 6 3 8" xfId="23538" xr:uid="{00000000-0005-0000-0000-000029630000}"/>
    <cellStyle name="Hed Top - SECTION 2 3 6 3 8 2" xfId="23539" xr:uid="{00000000-0005-0000-0000-00002A630000}"/>
    <cellStyle name="Hed Top - SECTION 2 3 6 3 9" xfId="23540" xr:uid="{00000000-0005-0000-0000-00002B630000}"/>
    <cellStyle name="Hed Top - SECTION 2 3 6 3 9 2" xfId="23541" xr:uid="{00000000-0005-0000-0000-00002C630000}"/>
    <cellStyle name="Hed Top - SECTION 2 3 6 4" xfId="23542" xr:uid="{00000000-0005-0000-0000-00002D630000}"/>
    <cellStyle name="Hed Top - SECTION 2 3 6 4 10" xfId="23543" xr:uid="{00000000-0005-0000-0000-00002E630000}"/>
    <cellStyle name="Hed Top - SECTION 2 3 6 4 2" xfId="23544" xr:uid="{00000000-0005-0000-0000-00002F630000}"/>
    <cellStyle name="Hed Top - SECTION 2 3 6 4 2 2" xfId="23545" xr:uid="{00000000-0005-0000-0000-000030630000}"/>
    <cellStyle name="Hed Top - SECTION 2 3 6 4 3" xfId="23546" xr:uid="{00000000-0005-0000-0000-000031630000}"/>
    <cellStyle name="Hed Top - SECTION 2 3 6 4 3 2" xfId="23547" xr:uid="{00000000-0005-0000-0000-000032630000}"/>
    <cellStyle name="Hed Top - SECTION 2 3 6 4 4" xfId="23548" xr:uid="{00000000-0005-0000-0000-000033630000}"/>
    <cellStyle name="Hed Top - SECTION 2 3 6 4 4 2" xfId="23549" xr:uid="{00000000-0005-0000-0000-000034630000}"/>
    <cellStyle name="Hed Top - SECTION 2 3 6 4 5" xfId="23550" xr:uid="{00000000-0005-0000-0000-000035630000}"/>
    <cellStyle name="Hed Top - SECTION 2 3 6 4 5 2" xfId="23551" xr:uid="{00000000-0005-0000-0000-000036630000}"/>
    <cellStyle name="Hed Top - SECTION 2 3 6 4 6" xfId="23552" xr:uid="{00000000-0005-0000-0000-000037630000}"/>
    <cellStyle name="Hed Top - SECTION 2 3 6 4 6 2" xfId="23553" xr:uid="{00000000-0005-0000-0000-000038630000}"/>
    <cellStyle name="Hed Top - SECTION 2 3 6 4 7" xfId="23554" xr:uid="{00000000-0005-0000-0000-000039630000}"/>
    <cellStyle name="Hed Top - SECTION 2 3 6 4 7 2" xfId="23555" xr:uid="{00000000-0005-0000-0000-00003A630000}"/>
    <cellStyle name="Hed Top - SECTION 2 3 6 4 8" xfId="23556" xr:uid="{00000000-0005-0000-0000-00003B630000}"/>
    <cellStyle name="Hed Top - SECTION 2 3 6 4 8 2" xfId="23557" xr:uid="{00000000-0005-0000-0000-00003C630000}"/>
    <cellStyle name="Hed Top - SECTION 2 3 6 4 9" xfId="23558" xr:uid="{00000000-0005-0000-0000-00003D630000}"/>
    <cellStyle name="Hed Top - SECTION 2 3 6 4 9 2" xfId="23559" xr:uid="{00000000-0005-0000-0000-00003E630000}"/>
    <cellStyle name="Hed Top - SECTION 2 3 6 5" xfId="23560" xr:uid="{00000000-0005-0000-0000-00003F630000}"/>
    <cellStyle name="Hed Top - SECTION 2 3 6 5 10" xfId="23561" xr:uid="{00000000-0005-0000-0000-000040630000}"/>
    <cellStyle name="Hed Top - SECTION 2 3 6 5 2" xfId="23562" xr:uid="{00000000-0005-0000-0000-000041630000}"/>
    <cellStyle name="Hed Top - SECTION 2 3 6 5 2 2" xfId="23563" xr:uid="{00000000-0005-0000-0000-000042630000}"/>
    <cellStyle name="Hed Top - SECTION 2 3 6 5 3" xfId="23564" xr:uid="{00000000-0005-0000-0000-000043630000}"/>
    <cellStyle name="Hed Top - SECTION 2 3 6 5 3 2" xfId="23565" xr:uid="{00000000-0005-0000-0000-000044630000}"/>
    <cellStyle name="Hed Top - SECTION 2 3 6 5 4" xfId="23566" xr:uid="{00000000-0005-0000-0000-000045630000}"/>
    <cellStyle name="Hed Top - SECTION 2 3 6 5 4 2" xfId="23567" xr:uid="{00000000-0005-0000-0000-000046630000}"/>
    <cellStyle name="Hed Top - SECTION 2 3 6 5 5" xfId="23568" xr:uid="{00000000-0005-0000-0000-000047630000}"/>
    <cellStyle name="Hed Top - SECTION 2 3 6 5 5 2" xfId="23569" xr:uid="{00000000-0005-0000-0000-000048630000}"/>
    <cellStyle name="Hed Top - SECTION 2 3 6 5 6" xfId="23570" xr:uid="{00000000-0005-0000-0000-000049630000}"/>
    <cellStyle name="Hed Top - SECTION 2 3 6 5 6 2" xfId="23571" xr:uid="{00000000-0005-0000-0000-00004A630000}"/>
    <cellStyle name="Hed Top - SECTION 2 3 6 5 7" xfId="23572" xr:uid="{00000000-0005-0000-0000-00004B630000}"/>
    <cellStyle name="Hed Top - SECTION 2 3 6 5 7 2" xfId="23573" xr:uid="{00000000-0005-0000-0000-00004C630000}"/>
    <cellStyle name="Hed Top - SECTION 2 3 6 5 8" xfId="23574" xr:uid="{00000000-0005-0000-0000-00004D630000}"/>
    <cellStyle name="Hed Top - SECTION 2 3 6 5 8 2" xfId="23575" xr:uid="{00000000-0005-0000-0000-00004E630000}"/>
    <cellStyle name="Hed Top - SECTION 2 3 6 5 9" xfId="23576" xr:uid="{00000000-0005-0000-0000-00004F630000}"/>
    <cellStyle name="Hed Top - SECTION 2 3 6 5 9 2" xfId="23577" xr:uid="{00000000-0005-0000-0000-000050630000}"/>
    <cellStyle name="Hed Top - SECTION 2 3 6 6" xfId="23578" xr:uid="{00000000-0005-0000-0000-000051630000}"/>
    <cellStyle name="Hed Top - SECTION 2 3 6 6 10" xfId="23579" xr:uid="{00000000-0005-0000-0000-000052630000}"/>
    <cellStyle name="Hed Top - SECTION 2 3 6 6 2" xfId="23580" xr:uid="{00000000-0005-0000-0000-000053630000}"/>
    <cellStyle name="Hed Top - SECTION 2 3 6 6 2 2" xfId="23581" xr:uid="{00000000-0005-0000-0000-000054630000}"/>
    <cellStyle name="Hed Top - SECTION 2 3 6 6 3" xfId="23582" xr:uid="{00000000-0005-0000-0000-000055630000}"/>
    <cellStyle name="Hed Top - SECTION 2 3 6 6 3 2" xfId="23583" xr:uid="{00000000-0005-0000-0000-000056630000}"/>
    <cellStyle name="Hed Top - SECTION 2 3 6 6 4" xfId="23584" xr:uid="{00000000-0005-0000-0000-000057630000}"/>
    <cellStyle name="Hed Top - SECTION 2 3 6 6 4 2" xfId="23585" xr:uid="{00000000-0005-0000-0000-000058630000}"/>
    <cellStyle name="Hed Top - SECTION 2 3 6 6 5" xfId="23586" xr:uid="{00000000-0005-0000-0000-000059630000}"/>
    <cellStyle name="Hed Top - SECTION 2 3 6 6 5 2" xfId="23587" xr:uid="{00000000-0005-0000-0000-00005A630000}"/>
    <cellStyle name="Hed Top - SECTION 2 3 6 6 6" xfId="23588" xr:uid="{00000000-0005-0000-0000-00005B630000}"/>
    <cellStyle name="Hed Top - SECTION 2 3 6 6 6 2" xfId="23589" xr:uid="{00000000-0005-0000-0000-00005C630000}"/>
    <cellStyle name="Hed Top - SECTION 2 3 6 6 7" xfId="23590" xr:uid="{00000000-0005-0000-0000-00005D630000}"/>
    <cellStyle name="Hed Top - SECTION 2 3 6 6 7 2" xfId="23591" xr:uid="{00000000-0005-0000-0000-00005E630000}"/>
    <cellStyle name="Hed Top - SECTION 2 3 6 6 8" xfId="23592" xr:uid="{00000000-0005-0000-0000-00005F630000}"/>
    <cellStyle name="Hed Top - SECTION 2 3 6 6 8 2" xfId="23593" xr:uid="{00000000-0005-0000-0000-000060630000}"/>
    <cellStyle name="Hed Top - SECTION 2 3 6 6 9" xfId="23594" xr:uid="{00000000-0005-0000-0000-000061630000}"/>
    <cellStyle name="Hed Top - SECTION 2 3 6 6 9 2" xfId="23595" xr:uid="{00000000-0005-0000-0000-000062630000}"/>
    <cellStyle name="Hed Top - SECTION 2 3 6 7" xfId="23596" xr:uid="{00000000-0005-0000-0000-000063630000}"/>
    <cellStyle name="Hed Top - SECTION 2 3 6 7 10" xfId="23597" xr:uid="{00000000-0005-0000-0000-000064630000}"/>
    <cellStyle name="Hed Top - SECTION 2 3 6 7 2" xfId="23598" xr:uid="{00000000-0005-0000-0000-000065630000}"/>
    <cellStyle name="Hed Top - SECTION 2 3 6 7 2 2" xfId="23599" xr:uid="{00000000-0005-0000-0000-000066630000}"/>
    <cellStyle name="Hed Top - SECTION 2 3 6 7 3" xfId="23600" xr:uid="{00000000-0005-0000-0000-000067630000}"/>
    <cellStyle name="Hed Top - SECTION 2 3 6 7 3 2" xfId="23601" xr:uid="{00000000-0005-0000-0000-000068630000}"/>
    <cellStyle name="Hed Top - SECTION 2 3 6 7 4" xfId="23602" xr:uid="{00000000-0005-0000-0000-000069630000}"/>
    <cellStyle name="Hed Top - SECTION 2 3 6 7 4 2" xfId="23603" xr:uid="{00000000-0005-0000-0000-00006A630000}"/>
    <cellStyle name="Hed Top - SECTION 2 3 6 7 5" xfId="23604" xr:uid="{00000000-0005-0000-0000-00006B630000}"/>
    <cellStyle name="Hed Top - SECTION 2 3 6 7 5 2" xfId="23605" xr:uid="{00000000-0005-0000-0000-00006C630000}"/>
    <cellStyle name="Hed Top - SECTION 2 3 6 7 6" xfId="23606" xr:uid="{00000000-0005-0000-0000-00006D630000}"/>
    <cellStyle name="Hed Top - SECTION 2 3 6 7 6 2" xfId="23607" xr:uid="{00000000-0005-0000-0000-00006E630000}"/>
    <cellStyle name="Hed Top - SECTION 2 3 6 7 7" xfId="23608" xr:uid="{00000000-0005-0000-0000-00006F630000}"/>
    <cellStyle name="Hed Top - SECTION 2 3 6 7 7 2" xfId="23609" xr:uid="{00000000-0005-0000-0000-000070630000}"/>
    <cellStyle name="Hed Top - SECTION 2 3 6 7 8" xfId="23610" xr:uid="{00000000-0005-0000-0000-000071630000}"/>
    <cellStyle name="Hed Top - SECTION 2 3 6 7 8 2" xfId="23611" xr:uid="{00000000-0005-0000-0000-000072630000}"/>
    <cellStyle name="Hed Top - SECTION 2 3 6 7 9" xfId="23612" xr:uid="{00000000-0005-0000-0000-000073630000}"/>
    <cellStyle name="Hed Top - SECTION 2 3 6 7 9 2" xfId="23613" xr:uid="{00000000-0005-0000-0000-000074630000}"/>
    <cellStyle name="Hed Top - SECTION 2 3 6 8" xfId="23614" xr:uid="{00000000-0005-0000-0000-000075630000}"/>
    <cellStyle name="Hed Top - SECTION 2 3 6 8 10" xfId="23615" xr:uid="{00000000-0005-0000-0000-000076630000}"/>
    <cellStyle name="Hed Top - SECTION 2 3 6 8 2" xfId="23616" xr:uid="{00000000-0005-0000-0000-000077630000}"/>
    <cellStyle name="Hed Top - SECTION 2 3 6 8 2 2" xfId="23617" xr:uid="{00000000-0005-0000-0000-000078630000}"/>
    <cellStyle name="Hed Top - SECTION 2 3 6 8 3" xfId="23618" xr:uid="{00000000-0005-0000-0000-000079630000}"/>
    <cellStyle name="Hed Top - SECTION 2 3 6 8 3 2" xfId="23619" xr:uid="{00000000-0005-0000-0000-00007A630000}"/>
    <cellStyle name="Hed Top - SECTION 2 3 6 8 4" xfId="23620" xr:uid="{00000000-0005-0000-0000-00007B630000}"/>
    <cellStyle name="Hed Top - SECTION 2 3 6 8 4 2" xfId="23621" xr:uid="{00000000-0005-0000-0000-00007C630000}"/>
    <cellStyle name="Hed Top - SECTION 2 3 6 8 5" xfId="23622" xr:uid="{00000000-0005-0000-0000-00007D630000}"/>
    <cellStyle name="Hed Top - SECTION 2 3 6 8 5 2" xfId="23623" xr:uid="{00000000-0005-0000-0000-00007E630000}"/>
    <cellStyle name="Hed Top - SECTION 2 3 6 8 6" xfId="23624" xr:uid="{00000000-0005-0000-0000-00007F630000}"/>
    <cellStyle name="Hed Top - SECTION 2 3 6 8 6 2" xfId="23625" xr:uid="{00000000-0005-0000-0000-000080630000}"/>
    <cellStyle name="Hed Top - SECTION 2 3 6 8 7" xfId="23626" xr:uid="{00000000-0005-0000-0000-000081630000}"/>
    <cellStyle name="Hed Top - SECTION 2 3 6 8 7 2" xfId="23627" xr:uid="{00000000-0005-0000-0000-000082630000}"/>
    <cellStyle name="Hed Top - SECTION 2 3 6 8 8" xfId="23628" xr:uid="{00000000-0005-0000-0000-000083630000}"/>
    <cellStyle name="Hed Top - SECTION 2 3 6 8 8 2" xfId="23629" xr:uid="{00000000-0005-0000-0000-000084630000}"/>
    <cellStyle name="Hed Top - SECTION 2 3 6 8 9" xfId="23630" xr:uid="{00000000-0005-0000-0000-000085630000}"/>
    <cellStyle name="Hed Top - SECTION 2 3 6 8 9 2" xfId="23631" xr:uid="{00000000-0005-0000-0000-000086630000}"/>
    <cellStyle name="Hed Top - SECTION 2 3 6 9" xfId="23632" xr:uid="{00000000-0005-0000-0000-000087630000}"/>
    <cellStyle name="Hed Top - SECTION 2 3 6 9 10" xfId="23633" xr:uid="{00000000-0005-0000-0000-000088630000}"/>
    <cellStyle name="Hed Top - SECTION 2 3 6 9 2" xfId="23634" xr:uid="{00000000-0005-0000-0000-000089630000}"/>
    <cellStyle name="Hed Top - SECTION 2 3 6 9 2 2" xfId="23635" xr:uid="{00000000-0005-0000-0000-00008A630000}"/>
    <cellStyle name="Hed Top - SECTION 2 3 6 9 3" xfId="23636" xr:uid="{00000000-0005-0000-0000-00008B630000}"/>
    <cellStyle name="Hed Top - SECTION 2 3 6 9 3 2" xfId="23637" xr:uid="{00000000-0005-0000-0000-00008C630000}"/>
    <cellStyle name="Hed Top - SECTION 2 3 6 9 4" xfId="23638" xr:uid="{00000000-0005-0000-0000-00008D630000}"/>
    <cellStyle name="Hed Top - SECTION 2 3 6 9 4 2" xfId="23639" xr:uid="{00000000-0005-0000-0000-00008E630000}"/>
    <cellStyle name="Hed Top - SECTION 2 3 6 9 5" xfId="23640" xr:uid="{00000000-0005-0000-0000-00008F630000}"/>
    <cellStyle name="Hed Top - SECTION 2 3 6 9 5 2" xfId="23641" xr:uid="{00000000-0005-0000-0000-000090630000}"/>
    <cellStyle name="Hed Top - SECTION 2 3 6 9 6" xfId="23642" xr:uid="{00000000-0005-0000-0000-000091630000}"/>
    <cellStyle name="Hed Top - SECTION 2 3 6 9 6 2" xfId="23643" xr:uid="{00000000-0005-0000-0000-000092630000}"/>
    <cellStyle name="Hed Top - SECTION 2 3 6 9 7" xfId="23644" xr:uid="{00000000-0005-0000-0000-000093630000}"/>
    <cellStyle name="Hed Top - SECTION 2 3 6 9 7 2" xfId="23645" xr:uid="{00000000-0005-0000-0000-000094630000}"/>
    <cellStyle name="Hed Top - SECTION 2 3 6 9 8" xfId="23646" xr:uid="{00000000-0005-0000-0000-000095630000}"/>
    <cellStyle name="Hed Top - SECTION 2 3 6 9 8 2" xfId="23647" xr:uid="{00000000-0005-0000-0000-000096630000}"/>
    <cellStyle name="Hed Top - SECTION 2 3 6 9 9" xfId="23648" xr:uid="{00000000-0005-0000-0000-000097630000}"/>
    <cellStyle name="Hed Top - SECTION 2 3 6 9 9 2" xfId="23649" xr:uid="{00000000-0005-0000-0000-000098630000}"/>
    <cellStyle name="Hed Top - SECTION 2 3 7" xfId="23650" xr:uid="{00000000-0005-0000-0000-000099630000}"/>
    <cellStyle name="Hed Top - SECTION 2 3 7 10" xfId="23651" xr:uid="{00000000-0005-0000-0000-00009A630000}"/>
    <cellStyle name="Hed Top - SECTION 2 3 7 10 2" xfId="23652" xr:uid="{00000000-0005-0000-0000-00009B630000}"/>
    <cellStyle name="Hed Top - SECTION 2 3 7 10 2 2" xfId="23653" xr:uid="{00000000-0005-0000-0000-00009C630000}"/>
    <cellStyle name="Hed Top - SECTION 2 3 7 10 3" xfId="23654" xr:uid="{00000000-0005-0000-0000-00009D630000}"/>
    <cellStyle name="Hed Top - SECTION 2 3 7 10 3 2" xfId="23655" xr:uid="{00000000-0005-0000-0000-00009E630000}"/>
    <cellStyle name="Hed Top - SECTION 2 3 7 10 4" xfId="23656" xr:uid="{00000000-0005-0000-0000-00009F630000}"/>
    <cellStyle name="Hed Top - SECTION 2 3 7 10 4 2" xfId="23657" xr:uid="{00000000-0005-0000-0000-0000A0630000}"/>
    <cellStyle name="Hed Top - SECTION 2 3 7 10 5" xfId="23658" xr:uid="{00000000-0005-0000-0000-0000A1630000}"/>
    <cellStyle name="Hed Top - SECTION 2 3 7 10 5 2" xfId="23659" xr:uid="{00000000-0005-0000-0000-0000A2630000}"/>
    <cellStyle name="Hed Top - SECTION 2 3 7 10 6" xfId="23660" xr:uid="{00000000-0005-0000-0000-0000A3630000}"/>
    <cellStyle name="Hed Top - SECTION 2 3 7 10 6 2" xfId="23661" xr:uid="{00000000-0005-0000-0000-0000A4630000}"/>
    <cellStyle name="Hed Top - SECTION 2 3 7 10 7" xfId="23662" xr:uid="{00000000-0005-0000-0000-0000A5630000}"/>
    <cellStyle name="Hed Top - SECTION 2 3 7 10 7 2" xfId="23663" xr:uid="{00000000-0005-0000-0000-0000A6630000}"/>
    <cellStyle name="Hed Top - SECTION 2 3 7 10 8" xfId="23664" xr:uid="{00000000-0005-0000-0000-0000A7630000}"/>
    <cellStyle name="Hed Top - SECTION 2 3 7 10 8 2" xfId="23665" xr:uid="{00000000-0005-0000-0000-0000A8630000}"/>
    <cellStyle name="Hed Top - SECTION 2 3 7 10 9" xfId="23666" xr:uid="{00000000-0005-0000-0000-0000A9630000}"/>
    <cellStyle name="Hed Top - SECTION 2 3 7 11" xfId="23667" xr:uid="{00000000-0005-0000-0000-0000AA630000}"/>
    <cellStyle name="Hed Top - SECTION 2 3 7 11 2" xfId="23668" xr:uid="{00000000-0005-0000-0000-0000AB630000}"/>
    <cellStyle name="Hed Top - SECTION 2 3 7 12" xfId="23669" xr:uid="{00000000-0005-0000-0000-0000AC630000}"/>
    <cellStyle name="Hed Top - SECTION 2 3 7 12 2" xfId="23670" xr:uid="{00000000-0005-0000-0000-0000AD630000}"/>
    <cellStyle name="Hed Top - SECTION 2 3 7 13" xfId="23671" xr:uid="{00000000-0005-0000-0000-0000AE630000}"/>
    <cellStyle name="Hed Top - SECTION 2 3 7 13 2" xfId="23672" xr:uid="{00000000-0005-0000-0000-0000AF630000}"/>
    <cellStyle name="Hed Top - SECTION 2 3 7 14" xfId="23673" xr:uid="{00000000-0005-0000-0000-0000B0630000}"/>
    <cellStyle name="Hed Top - SECTION 2 3 7 14 2" xfId="23674" xr:uid="{00000000-0005-0000-0000-0000B1630000}"/>
    <cellStyle name="Hed Top - SECTION 2 3 7 15" xfId="23675" xr:uid="{00000000-0005-0000-0000-0000B2630000}"/>
    <cellStyle name="Hed Top - SECTION 2 3 7 15 2" xfId="23676" xr:uid="{00000000-0005-0000-0000-0000B3630000}"/>
    <cellStyle name="Hed Top - SECTION 2 3 7 16" xfId="23677" xr:uid="{00000000-0005-0000-0000-0000B4630000}"/>
    <cellStyle name="Hed Top - SECTION 2 3 7 16 2" xfId="23678" xr:uid="{00000000-0005-0000-0000-0000B5630000}"/>
    <cellStyle name="Hed Top - SECTION 2 3 7 17" xfId="23679" xr:uid="{00000000-0005-0000-0000-0000B6630000}"/>
    <cellStyle name="Hed Top - SECTION 2 3 7 17 2" xfId="23680" xr:uid="{00000000-0005-0000-0000-0000B7630000}"/>
    <cellStyle name="Hed Top - SECTION 2 3 7 18" xfId="23681" xr:uid="{00000000-0005-0000-0000-0000B8630000}"/>
    <cellStyle name="Hed Top - SECTION 2 3 7 2" xfId="23682" xr:uid="{00000000-0005-0000-0000-0000B9630000}"/>
    <cellStyle name="Hed Top - SECTION 2 3 7 2 10" xfId="23683" xr:uid="{00000000-0005-0000-0000-0000BA630000}"/>
    <cellStyle name="Hed Top - SECTION 2 3 7 2 2" xfId="23684" xr:uid="{00000000-0005-0000-0000-0000BB630000}"/>
    <cellStyle name="Hed Top - SECTION 2 3 7 2 2 2" xfId="23685" xr:uid="{00000000-0005-0000-0000-0000BC630000}"/>
    <cellStyle name="Hed Top - SECTION 2 3 7 2 3" xfId="23686" xr:uid="{00000000-0005-0000-0000-0000BD630000}"/>
    <cellStyle name="Hed Top - SECTION 2 3 7 2 3 2" xfId="23687" xr:uid="{00000000-0005-0000-0000-0000BE630000}"/>
    <cellStyle name="Hed Top - SECTION 2 3 7 2 4" xfId="23688" xr:uid="{00000000-0005-0000-0000-0000BF630000}"/>
    <cellStyle name="Hed Top - SECTION 2 3 7 2 4 2" xfId="23689" xr:uid="{00000000-0005-0000-0000-0000C0630000}"/>
    <cellStyle name="Hed Top - SECTION 2 3 7 2 5" xfId="23690" xr:uid="{00000000-0005-0000-0000-0000C1630000}"/>
    <cellStyle name="Hed Top - SECTION 2 3 7 2 5 2" xfId="23691" xr:uid="{00000000-0005-0000-0000-0000C2630000}"/>
    <cellStyle name="Hed Top - SECTION 2 3 7 2 6" xfId="23692" xr:uid="{00000000-0005-0000-0000-0000C3630000}"/>
    <cellStyle name="Hed Top - SECTION 2 3 7 2 6 2" xfId="23693" xr:uid="{00000000-0005-0000-0000-0000C4630000}"/>
    <cellStyle name="Hed Top - SECTION 2 3 7 2 7" xfId="23694" xr:uid="{00000000-0005-0000-0000-0000C5630000}"/>
    <cellStyle name="Hed Top - SECTION 2 3 7 2 7 2" xfId="23695" xr:uid="{00000000-0005-0000-0000-0000C6630000}"/>
    <cellStyle name="Hed Top - SECTION 2 3 7 2 8" xfId="23696" xr:uid="{00000000-0005-0000-0000-0000C7630000}"/>
    <cellStyle name="Hed Top - SECTION 2 3 7 2 8 2" xfId="23697" xr:uid="{00000000-0005-0000-0000-0000C8630000}"/>
    <cellStyle name="Hed Top - SECTION 2 3 7 2 9" xfId="23698" xr:uid="{00000000-0005-0000-0000-0000C9630000}"/>
    <cellStyle name="Hed Top - SECTION 2 3 7 2 9 2" xfId="23699" xr:uid="{00000000-0005-0000-0000-0000CA630000}"/>
    <cellStyle name="Hed Top - SECTION 2 3 7 3" xfId="23700" xr:uid="{00000000-0005-0000-0000-0000CB630000}"/>
    <cellStyle name="Hed Top - SECTION 2 3 7 3 10" xfId="23701" xr:uid="{00000000-0005-0000-0000-0000CC630000}"/>
    <cellStyle name="Hed Top - SECTION 2 3 7 3 2" xfId="23702" xr:uid="{00000000-0005-0000-0000-0000CD630000}"/>
    <cellStyle name="Hed Top - SECTION 2 3 7 3 2 2" xfId="23703" xr:uid="{00000000-0005-0000-0000-0000CE630000}"/>
    <cellStyle name="Hed Top - SECTION 2 3 7 3 3" xfId="23704" xr:uid="{00000000-0005-0000-0000-0000CF630000}"/>
    <cellStyle name="Hed Top - SECTION 2 3 7 3 3 2" xfId="23705" xr:uid="{00000000-0005-0000-0000-0000D0630000}"/>
    <cellStyle name="Hed Top - SECTION 2 3 7 3 4" xfId="23706" xr:uid="{00000000-0005-0000-0000-0000D1630000}"/>
    <cellStyle name="Hed Top - SECTION 2 3 7 3 4 2" xfId="23707" xr:uid="{00000000-0005-0000-0000-0000D2630000}"/>
    <cellStyle name="Hed Top - SECTION 2 3 7 3 5" xfId="23708" xr:uid="{00000000-0005-0000-0000-0000D3630000}"/>
    <cellStyle name="Hed Top - SECTION 2 3 7 3 5 2" xfId="23709" xr:uid="{00000000-0005-0000-0000-0000D4630000}"/>
    <cellStyle name="Hed Top - SECTION 2 3 7 3 6" xfId="23710" xr:uid="{00000000-0005-0000-0000-0000D5630000}"/>
    <cellStyle name="Hed Top - SECTION 2 3 7 3 6 2" xfId="23711" xr:uid="{00000000-0005-0000-0000-0000D6630000}"/>
    <cellStyle name="Hed Top - SECTION 2 3 7 3 7" xfId="23712" xr:uid="{00000000-0005-0000-0000-0000D7630000}"/>
    <cellStyle name="Hed Top - SECTION 2 3 7 3 7 2" xfId="23713" xr:uid="{00000000-0005-0000-0000-0000D8630000}"/>
    <cellStyle name="Hed Top - SECTION 2 3 7 3 8" xfId="23714" xr:uid="{00000000-0005-0000-0000-0000D9630000}"/>
    <cellStyle name="Hed Top - SECTION 2 3 7 3 8 2" xfId="23715" xr:uid="{00000000-0005-0000-0000-0000DA630000}"/>
    <cellStyle name="Hed Top - SECTION 2 3 7 3 9" xfId="23716" xr:uid="{00000000-0005-0000-0000-0000DB630000}"/>
    <cellStyle name="Hed Top - SECTION 2 3 7 3 9 2" xfId="23717" xr:uid="{00000000-0005-0000-0000-0000DC630000}"/>
    <cellStyle name="Hed Top - SECTION 2 3 7 4" xfId="23718" xr:uid="{00000000-0005-0000-0000-0000DD630000}"/>
    <cellStyle name="Hed Top - SECTION 2 3 7 4 10" xfId="23719" xr:uid="{00000000-0005-0000-0000-0000DE630000}"/>
    <cellStyle name="Hed Top - SECTION 2 3 7 4 2" xfId="23720" xr:uid="{00000000-0005-0000-0000-0000DF630000}"/>
    <cellStyle name="Hed Top - SECTION 2 3 7 4 2 2" xfId="23721" xr:uid="{00000000-0005-0000-0000-0000E0630000}"/>
    <cellStyle name="Hed Top - SECTION 2 3 7 4 3" xfId="23722" xr:uid="{00000000-0005-0000-0000-0000E1630000}"/>
    <cellStyle name="Hed Top - SECTION 2 3 7 4 3 2" xfId="23723" xr:uid="{00000000-0005-0000-0000-0000E2630000}"/>
    <cellStyle name="Hed Top - SECTION 2 3 7 4 4" xfId="23724" xr:uid="{00000000-0005-0000-0000-0000E3630000}"/>
    <cellStyle name="Hed Top - SECTION 2 3 7 4 4 2" xfId="23725" xr:uid="{00000000-0005-0000-0000-0000E4630000}"/>
    <cellStyle name="Hed Top - SECTION 2 3 7 4 5" xfId="23726" xr:uid="{00000000-0005-0000-0000-0000E5630000}"/>
    <cellStyle name="Hed Top - SECTION 2 3 7 4 5 2" xfId="23727" xr:uid="{00000000-0005-0000-0000-0000E6630000}"/>
    <cellStyle name="Hed Top - SECTION 2 3 7 4 6" xfId="23728" xr:uid="{00000000-0005-0000-0000-0000E7630000}"/>
    <cellStyle name="Hed Top - SECTION 2 3 7 4 6 2" xfId="23729" xr:uid="{00000000-0005-0000-0000-0000E8630000}"/>
    <cellStyle name="Hed Top - SECTION 2 3 7 4 7" xfId="23730" xr:uid="{00000000-0005-0000-0000-0000E9630000}"/>
    <cellStyle name="Hed Top - SECTION 2 3 7 4 7 2" xfId="23731" xr:uid="{00000000-0005-0000-0000-0000EA630000}"/>
    <cellStyle name="Hed Top - SECTION 2 3 7 4 8" xfId="23732" xr:uid="{00000000-0005-0000-0000-0000EB630000}"/>
    <cellStyle name="Hed Top - SECTION 2 3 7 4 8 2" xfId="23733" xr:uid="{00000000-0005-0000-0000-0000EC630000}"/>
    <cellStyle name="Hed Top - SECTION 2 3 7 4 9" xfId="23734" xr:uid="{00000000-0005-0000-0000-0000ED630000}"/>
    <cellStyle name="Hed Top - SECTION 2 3 7 4 9 2" xfId="23735" xr:uid="{00000000-0005-0000-0000-0000EE630000}"/>
    <cellStyle name="Hed Top - SECTION 2 3 7 5" xfId="23736" xr:uid="{00000000-0005-0000-0000-0000EF630000}"/>
    <cellStyle name="Hed Top - SECTION 2 3 7 5 10" xfId="23737" xr:uid="{00000000-0005-0000-0000-0000F0630000}"/>
    <cellStyle name="Hed Top - SECTION 2 3 7 5 2" xfId="23738" xr:uid="{00000000-0005-0000-0000-0000F1630000}"/>
    <cellStyle name="Hed Top - SECTION 2 3 7 5 2 2" xfId="23739" xr:uid="{00000000-0005-0000-0000-0000F2630000}"/>
    <cellStyle name="Hed Top - SECTION 2 3 7 5 3" xfId="23740" xr:uid="{00000000-0005-0000-0000-0000F3630000}"/>
    <cellStyle name="Hed Top - SECTION 2 3 7 5 3 2" xfId="23741" xr:uid="{00000000-0005-0000-0000-0000F4630000}"/>
    <cellStyle name="Hed Top - SECTION 2 3 7 5 4" xfId="23742" xr:uid="{00000000-0005-0000-0000-0000F5630000}"/>
    <cellStyle name="Hed Top - SECTION 2 3 7 5 4 2" xfId="23743" xr:uid="{00000000-0005-0000-0000-0000F6630000}"/>
    <cellStyle name="Hed Top - SECTION 2 3 7 5 5" xfId="23744" xr:uid="{00000000-0005-0000-0000-0000F7630000}"/>
    <cellStyle name="Hed Top - SECTION 2 3 7 5 5 2" xfId="23745" xr:uid="{00000000-0005-0000-0000-0000F8630000}"/>
    <cellStyle name="Hed Top - SECTION 2 3 7 5 6" xfId="23746" xr:uid="{00000000-0005-0000-0000-0000F9630000}"/>
    <cellStyle name="Hed Top - SECTION 2 3 7 5 6 2" xfId="23747" xr:uid="{00000000-0005-0000-0000-0000FA630000}"/>
    <cellStyle name="Hed Top - SECTION 2 3 7 5 7" xfId="23748" xr:uid="{00000000-0005-0000-0000-0000FB630000}"/>
    <cellStyle name="Hed Top - SECTION 2 3 7 5 7 2" xfId="23749" xr:uid="{00000000-0005-0000-0000-0000FC630000}"/>
    <cellStyle name="Hed Top - SECTION 2 3 7 5 8" xfId="23750" xr:uid="{00000000-0005-0000-0000-0000FD630000}"/>
    <cellStyle name="Hed Top - SECTION 2 3 7 5 8 2" xfId="23751" xr:uid="{00000000-0005-0000-0000-0000FE630000}"/>
    <cellStyle name="Hed Top - SECTION 2 3 7 5 9" xfId="23752" xr:uid="{00000000-0005-0000-0000-0000FF630000}"/>
    <cellStyle name="Hed Top - SECTION 2 3 7 5 9 2" xfId="23753" xr:uid="{00000000-0005-0000-0000-000000640000}"/>
    <cellStyle name="Hed Top - SECTION 2 3 7 6" xfId="23754" xr:uid="{00000000-0005-0000-0000-000001640000}"/>
    <cellStyle name="Hed Top - SECTION 2 3 7 6 10" xfId="23755" xr:uid="{00000000-0005-0000-0000-000002640000}"/>
    <cellStyle name="Hed Top - SECTION 2 3 7 6 2" xfId="23756" xr:uid="{00000000-0005-0000-0000-000003640000}"/>
    <cellStyle name="Hed Top - SECTION 2 3 7 6 2 2" xfId="23757" xr:uid="{00000000-0005-0000-0000-000004640000}"/>
    <cellStyle name="Hed Top - SECTION 2 3 7 6 3" xfId="23758" xr:uid="{00000000-0005-0000-0000-000005640000}"/>
    <cellStyle name="Hed Top - SECTION 2 3 7 6 3 2" xfId="23759" xr:uid="{00000000-0005-0000-0000-000006640000}"/>
    <cellStyle name="Hed Top - SECTION 2 3 7 6 4" xfId="23760" xr:uid="{00000000-0005-0000-0000-000007640000}"/>
    <cellStyle name="Hed Top - SECTION 2 3 7 6 4 2" xfId="23761" xr:uid="{00000000-0005-0000-0000-000008640000}"/>
    <cellStyle name="Hed Top - SECTION 2 3 7 6 5" xfId="23762" xr:uid="{00000000-0005-0000-0000-000009640000}"/>
    <cellStyle name="Hed Top - SECTION 2 3 7 6 5 2" xfId="23763" xr:uid="{00000000-0005-0000-0000-00000A640000}"/>
    <cellStyle name="Hed Top - SECTION 2 3 7 6 6" xfId="23764" xr:uid="{00000000-0005-0000-0000-00000B640000}"/>
    <cellStyle name="Hed Top - SECTION 2 3 7 6 6 2" xfId="23765" xr:uid="{00000000-0005-0000-0000-00000C640000}"/>
    <cellStyle name="Hed Top - SECTION 2 3 7 6 7" xfId="23766" xr:uid="{00000000-0005-0000-0000-00000D640000}"/>
    <cellStyle name="Hed Top - SECTION 2 3 7 6 7 2" xfId="23767" xr:uid="{00000000-0005-0000-0000-00000E640000}"/>
    <cellStyle name="Hed Top - SECTION 2 3 7 6 8" xfId="23768" xr:uid="{00000000-0005-0000-0000-00000F640000}"/>
    <cellStyle name="Hed Top - SECTION 2 3 7 6 8 2" xfId="23769" xr:uid="{00000000-0005-0000-0000-000010640000}"/>
    <cellStyle name="Hed Top - SECTION 2 3 7 6 9" xfId="23770" xr:uid="{00000000-0005-0000-0000-000011640000}"/>
    <cellStyle name="Hed Top - SECTION 2 3 7 6 9 2" xfId="23771" xr:uid="{00000000-0005-0000-0000-000012640000}"/>
    <cellStyle name="Hed Top - SECTION 2 3 7 7" xfId="23772" xr:uid="{00000000-0005-0000-0000-000013640000}"/>
    <cellStyle name="Hed Top - SECTION 2 3 7 7 10" xfId="23773" xr:uid="{00000000-0005-0000-0000-000014640000}"/>
    <cellStyle name="Hed Top - SECTION 2 3 7 7 2" xfId="23774" xr:uid="{00000000-0005-0000-0000-000015640000}"/>
    <cellStyle name="Hed Top - SECTION 2 3 7 7 2 2" xfId="23775" xr:uid="{00000000-0005-0000-0000-000016640000}"/>
    <cellStyle name="Hed Top - SECTION 2 3 7 7 3" xfId="23776" xr:uid="{00000000-0005-0000-0000-000017640000}"/>
    <cellStyle name="Hed Top - SECTION 2 3 7 7 3 2" xfId="23777" xr:uid="{00000000-0005-0000-0000-000018640000}"/>
    <cellStyle name="Hed Top - SECTION 2 3 7 7 4" xfId="23778" xr:uid="{00000000-0005-0000-0000-000019640000}"/>
    <cellStyle name="Hed Top - SECTION 2 3 7 7 4 2" xfId="23779" xr:uid="{00000000-0005-0000-0000-00001A640000}"/>
    <cellStyle name="Hed Top - SECTION 2 3 7 7 5" xfId="23780" xr:uid="{00000000-0005-0000-0000-00001B640000}"/>
    <cellStyle name="Hed Top - SECTION 2 3 7 7 5 2" xfId="23781" xr:uid="{00000000-0005-0000-0000-00001C640000}"/>
    <cellStyle name="Hed Top - SECTION 2 3 7 7 6" xfId="23782" xr:uid="{00000000-0005-0000-0000-00001D640000}"/>
    <cellStyle name="Hed Top - SECTION 2 3 7 7 6 2" xfId="23783" xr:uid="{00000000-0005-0000-0000-00001E640000}"/>
    <cellStyle name="Hed Top - SECTION 2 3 7 7 7" xfId="23784" xr:uid="{00000000-0005-0000-0000-00001F640000}"/>
    <cellStyle name="Hed Top - SECTION 2 3 7 7 7 2" xfId="23785" xr:uid="{00000000-0005-0000-0000-000020640000}"/>
    <cellStyle name="Hed Top - SECTION 2 3 7 7 8" xfId="23786" xr:uid="{00000000-0005-0000-0000-000021640000}"/>
    <cellStyle name="Hed Top - SECTION 2 3 7 7 8 2" xfId="23787" xr:uid="{00000000-0005-0000-0000-000022640000}"/>
    <cellStyle name="Hed Top - SECTION 2 3 7 7 9" xfId="23788" xr:uid="{00000000-0005-0000-0000-000023640000}"/>
    <cellStyle name="Hed Top - SECTION 2 3 7 7 9 2" xfId="23789" xr:uid="{00000000-0005-0000-0000-000024640000}"/>
    <cellStyle name="Hed Top - SECTION 2 3 7 8" xfId="23790" xr:uid="{00000000-0005-0000-0000-000025640000}"/>
    <cellStyle name="Hed Top - SECTION 2 3 7 8 10" xfId="23791" xr:uid="{00000000-0005-0000-0000-000026640000}"/>
    <cellStyle name="Hed Top - SECTION 2 3 7 8 2" xfId="23792" xr:uid="{00000000-0005-0000-0000-000027640000}"/>
    <cellStyle name="Hed Top - SECTION 2 3 7 8 2 2" xfId="23793" xr:uid="{00000000-0005-0000-0000-000028640000}"/>
    <cellStyle name="Hed Top - SECTION 2 3 7 8 3" xfId="23794" xr:uid="{00000000-0005-0000-0000-000029640000}"/>
    <cellStyle name="Hed Top - SECTION 2 3 7 8 3 2" xfId="23795" xr:uid="{00000000-0005-0000-0000-00002A640000}"/>
    <cellStyle name="Hed Top - SECTION 2 3 7 8 4" xfId="23796" xr:uid="{00000000-0005-0000-0000-00002B640000}"/>
    <cellStyle name="Hed Top - SECTION 2 3 7 8 4 2" xfId="23797" xr:uid="{00000000-0005-0000-0000-00002C640000}"/>
    <cellStyle name="Hed Top - SECTION 2 3 7 8 5" xfId="23798" xr:uid="{00000000-0005-0000-0000-00002D640000}"/>
    <cellStyle name="Hed Top - SECTION 2 3 7 8 5 2" xfId="23799" xr:uid="{00000000-0005-0000-0000-00002E640000}"/>
    <cellStyle name="Hed Top - SECTION 2 3 7 8 6" xfId="23800" xr:uid="{00000000-0005-0000-0000-00002F640000}"/>
    <cellStyle name="Hed Top - SECTION 2 3 7 8 6 2" xfId="23801" xr:uid="{00000000-0005-0000-0000-000030640000}"/>
    <cellStyle name="Hed Top - SECTION 2 3 7 8 7" xfId="23802" xr:uid="{00000000-0005-0000-0000-000031640000}"/>
    <cellStyle name="Hed Top - SECTION 2 3 7 8 7 2" xfId="23803" xr:uid="{00000000-0005-0000-0000-000032640000}"/>
    <cellStyle name="Hed Top - SECTION 2 3 7 8 8" xfId="23804" xr:uid="{00000000-0005-0000-0000-000033640000}"/>
    <cellStyle name="Hed Top - SECTION 2 3 7 8 8 2" xfId="23805" xr:uid="{00000000-0005-0000-0000-000034640000}"/>
    <cellStyle name="Hed Top - SECTION 2 3 7 8 9" xfId="23806" xr:uid="{00000000-0005-0000-0000-000035640000}"/>
    <cellStyle name="Hed Top - SECTION 2 3 7 8 9 2" xfId="23807" xr:uid="{00000000-0005-0000-0000-000036640000}"/>
    <cellStyle name="Hed Top - SECTION 2 3 7 9" xfId="23808" xr:uid="{00000000-0005-0000-0000-000037640000}"/>
    <cellStyle name="Hed Top - SECTION 2 3 7 9 10" xfId="23809" xr:uid="{00000000-0005-0000-0000-000038640000}"/>
    <cellStyle name="Hed Top - SECTION 2 3 7 9 2" xfId="23810" xr:uid="{00000000-0005-0000-0000-000039640000}"/>
    <cellStyle name="Hed Top - SECTION 2 3 7 9 2 2" xfId="23811" xr:uid="{00000000-0005-0000-0000-00003A640000}"/>
    <cellStyle name="Hed Top - SECTION 2 3 7 9 3" xfId="23812" xr:uid="{00000000-0005-0000-0000-00003B640000}"/>
    <cellStyle name="Hed Top - SECTION 2 3 7 9 3 2" xfId="23813" xr:uid="{00000000-0005-0000-0000-00003C640000}"/>
    <cellStyle name="Hed Top - SECTION 2 3 7 9 4" xfId="23814" xr:uid="{00000000-0005-0000-0000-00003D640000}"/>
    <cellStyle name="Hed Top - SECTION 2 3 7 9 4 2" xfId="23815" xr:uid="{00000000-0005-0000-0000-00003E640000}"/>
    <cellStyle name="Hed Top - SECTION 2 3 7 9 5" xfId="23816" xr:uid="{00000000-0005-0000-0000-00003F640000}"/>
    <cellStyle name="Hed Top - SECTION 2 3 7 9 5 2" xfId="23817" xr:uid="{00000000-0005-0000-0000-000040640000}"/>
    <cellStyle name="Hed Top - SECTION 2 3 7 9 6" xfId="23818" xr:uid="{00000000-0005-0000-0000-000041640000}"/>
    <cellStyle name="Hed Top - SECTION 2 3 7 9 6 2" xfId="23819" xr:uid="{00000000-0005-0000-0000-000042640000}"/>
    <cellStyle name="Hed Top - SECTION 2 3 7 9 7" xfId="23820" xr:uid="{00000000-0005-0000-0000-000043640000}"/>
    <cellStyle name="Hed Top - SECTION 2 3 7 9 7 2" xfId="23821" xr:uid="{00000000-0005-0000-0000-000044640000}"/>
    <cellStyle name="Hed Top - SECTION 2 3 7 9 8" xfId="23822" xr:uid="{00000000-0005-0000-0000-000045640000}"/>
    <cellStyle name="Hed Top - SECTION 2 3 7 9 8 2" xfId="23823" xr:uid="{00000000-0005-0000-0000-000046640000}"/>
    <cellStyle name="Hed Top - SECTION 2 3 7 9 9" xfId="23824" xr:uid="{00000000-0005-0000-0000-000047640000}"/>
    <cellStyle name="Hed Top - SECTION 2 3 7 9 9 2" xfId="23825" xr:uid="{00000000-0005-0000-0000-000048640000}"/>
    <cellStyle name="Hed Top - SECTION 2 4" xfId="23826" xr:uid="{00000000-0005-0000-0000-000049640000}"/>
    <cellStyle name="Hed Top - SECTION 2 4 10" xfId="23827" xr:uid="{00000000-0005-0000-0000-00004A640000}"/>
    <cellStyle name="Hed Top - SECTION 2 4 10 10" xfId="23828" xr:uid="{00000000-0005-0000-0000-00004B640000}"/>
    <cellStyle name="Hed Top - SECTION 2 4 10 2" xfId="23829" xr:uid="{00000000-0005-0000-0000-00004C640000}"/>
    <cellStyle name="Hed Top - SECTION 2 4 10 2 2" xfId="23830" xr:uid="{00000000-0005-0000-0000-00004D640000}"/>
    <cellStyle name="Hed Top - SECTION 2 4 10 3" xfId="23831" xr:uid="{00000000-0005-0000-0000-00004E640000}"/>
    <cellStyle name="Hed Top - SECTION 2 4 10 3 2" xfId="23832" xr:uid="{00000000-0005-0000-0000-00004F640000}"/>
    <cellStyle name="Hed Top - SECTION 2 4 10 4" xfId="23833" xr:uid="{00000000-0005-0000-0000-000050640000}"/>
    <cellStyle name="Hed Top - SECTION 2 4 10 4 2" xfId="23834" xr:uid="{00000000-0005-0000-0000-000051640000}"/>
    <cellStyle name="Hed Top - SECTION 2 4 10 5" xfId="23835" xr:uid="{00000000-0005-0000-0000-000052640000}"/>
    <cellStyle name="Hed Top - SECTION 2 4 10 5 2" xfId="23836" xr:uid="{00000000-0005-0000-0000-000053640000}"/>
    <cellStyle name="Hed Top - SECTION 2 4 10 6" xfId="23837" xr:uid="{00000000-0005-0000-0000-000054640000}"/>
    <cellStyle name="Hed Top - SECTION 2 4 10 6 2" xfId="23838" xr:uid="{00000000-0005-0000-0000-000055640000}"/>
    <cellStyle name="Hed Top - SECTION 2 4 10 7" xfId="23839" xr:uid="{00000000-0005-0000-0000-000056640000}"/>
    <cellStyle name="Hed Top - SECTION 2 4 10 7 2" xfId="23840" xr:uid="{00000000-0005-0000-0000-000057640000}"/>
    <cellStyle name="Hed Top - SECTION 2 4 10 8" xfId="23841" xr:uid="{00000000-0005-0000-0000-000058640000}"/>
    <cellStyle name="Hed Top - SECTION 2 4 10 8 2" xfId="23842" xr:uid="{00000000-0005-0000-0000-000059640000}"/>
    <cellStyle name="Hed Top - SECTION 2 4 10 9" xfId="23843" xr:uid="{00000000-0005-0000-0000-00005A640000}"/>
    <cellStyle name="Hed Top - SECTION 2 4 10 9 2" xfId="23844" xr:uid="{00000000-0005-0000-0000-00005B640000}"/>
    <cellStyle name="Hed Top - SECTION 2 4 11" xfId="23845" xr:uid="{00000000-0005-0000-0000-00005C640000}"/>
    <cellStyle name="Hed Top - SECTION 2 4 11 2" xfId="23846" xr:uid="{00000000-0005-0000-0000-00005D640000}"/>
    <cellStyle name="Hed Top - SECTION 2 4 11 2 2" xfId="23847" xr:uid="{00000000-0005-0000-0000-00005E640000}"/>
    <cellStyle name="Hed Top - SECTION 2 4 11 3" xfId="23848" xr:uid="{00000000-0005-0000-0000-00005F640000}"/>
    <cellStyle name="Hed Top - SECTION 2 4 11 3 2" xfId="23849" xr:uid="{00000000-0005-0000-0000-000060640000}"/>
    <cellStyle name="Hed Top - SECTION 2 4 11 4" xfId="23850" xr:uid="{00000000-0005-0000-0000-000061640000}"/>
    <cellStyle name="Hed Top - SECTION 2 4 11 4 2" xfId="23851" xr:uid="{00000000-0005-0000-0000-000062640000}"/>
    <cellStyle name="Hed Top - SECTION 2 4 11 5" xfId="23852" xr:uid="{00000000-0005-0000-0000-000063640000}"/>
    <cellStyle name="Hed Top - SECTION 2 4 11 5 2" xfId="23853" xr:uid="{00000000-0005-0000-0000-000064640000}"/>
    <cellStyle name="Hed Top - SECTION 2 4 11 6" xfId="23854" xr:uid="{00000000-0005-0000-0000-000065640000}"/>
    <cellStyle name="Hed Top - SECTION 2 4 11 6 2" xfId="23855" xr:uid="{00000000-0005-0000-0000-000066640000}"/>
    <cellStyle name="Hed Top - SECTION 2 4 11 7" xfId="23856" xr:uid="{00000000-0005-0000-0000-000067640000}"/>
    <cellStyle name="Hed Top - SECTION 2 4 11 7 2" xfId="23857" xr:uid="{00000000-0005-0000-0000-000068640000}"/>
    <cellStyle name="Hed Top - SECTION 2 4 11 8" xfId="23858" xr:uid="{00000000-0005-0000-0000-000069640000}"/>
    <cellStyle name="Hed Top - SECTION 2 4 11 8 2" xfId="23859" xr:uid="{00000000-0005-0000-0000-00006A640000}"/>
    <cellStyle name="Hed Top - SECTION 2 4 11 9" xfId="23860" xr:uid="{00000000-0005-0000-0000-00006B640000}"/>
    <cellStyle name="Hed Top - SECTION 2 4 2" xfId="23861" xr:uid="{00000000-0005-0000-0000-00006C640000}"/>
    <cellStyle name="Hed Top - SECTION 2 4 2 10" xfId="23862" xr:uid="{00000000-0005-0000-0000-00006D640000}"/>
    <cellStyle name="Hed Top - SECTION 2 4 2 2" xfId="23863" xr:uid="{00000000-0005-0000-0000-00006E640000}"/>
    <cellStyle name="Hed Top - SECTION 2 4 2 2 2" xfId="23864" xr:uid="{00000000-0005-0000-0000-00006F640000}"/>
    <cellStyle name="Hed Top - SECTION 2 4 2 3" xfId="23865" xr:uid="{00000000-0005-0000-0000-000070640000}"/>
    <cellStyle name="Hed Top - SECTION 2 4 2 3 2" xfId="23866" xr:uid="{00000000-0005-0000-0000-000071640000}"/>
    <cellStyle name="Hed Top - SECTION 2 4 2 4" xfId="23867" xr:uid="{00000000-0005-0000-0000-000072640000}"/>
    <cellStyle name="Hed Top - SECTION 2 4 2 4 2" xfId="23868" xr:uid="{00000000-0005-0000-0000-000073640000}"/>
    <cellStyle name="Hed Top - SECTION 2 4 2 5" xfId="23869" xr:uid="{00000000-0005-0000-0000-000074640000}"/>
    <cellStyle name="Hed Top - SECTION 2 4 2 5 2" xfId="23870" xr:uid="{00000000-0005-0000-0000-000075640000}"/>
    <cellStyle name="Hed Top - SECTION 2 4 2 6" xfId="23871" xr:uid="{00000000-0005-0000-0000-000076640000}"/>
    <cellStyle name="Hed Top - SECTION 2 4 2 6 2" xfId="23872" xr:uid="{00000000-0005-0000-0000-000077640000}"/>
    <cellStyle name="Hed Top - SECTION 2 4 2 7" xfId="23873" xr:uid="{00000000-0005-0000-0000-000078640000}"/>
    <cellStyle name="Hed Top - SECTION 2 4 2 7 2" xfId="23874" xr:uid="{00000000-0005-0000-0000-000079640000}"/>
    <cellStyle name="Hed Top - SECTION 2 4 2 8" xfId="23875" xr:uid="{00000000-0005-0000-0000-00007A640000}"/>
    <cellStyle name="Hed Top - SECTION 2 4 2 8 2" xfId="23876" xr:uid="{00000000-0005-0000-0000-00007B640000}"/>
    <cellStyle name="Hed Top - SECTION 2 4 2 9" xfId="23877" xr:uid="{00000000-0005-0000-0000-00007C640000}"/>
    <cellStyle name="Hed Top - SECTION 2 4 2 9 2" xfId="23878" xr:uid="{00000000-0005-0000-0000-00007D640000}"/>
    <cellStyle name="Hed Top - SECTION 2 4 3" xfId="23879" xr:uid="{00000000-0005-0000-0000-00007E640000}"/>
    <cellStyle name="Hed Top - SECTION 2 4 3 10" xfId="23880" xr:uid="{00000000-0005-0000-0000-00007F640000}"/>
    <cellStyle name="Hed Top - SECTION 2 4 3 2" xfId="23881" xr:uid="{00000000-0005-0000-0000-000080640000}"/>
    <cellStyle name="Hed Top - SECTION 2 4 3 2 2" xfId="23882" xr:uid="{00000000-0005-0000-0000-000081640000}"/>
    <cellStyle name="Hed Top - SECTION 2 4 3 3" xfId="23883" xr:uid="{00000000-0005-0000-0000-000082640000}"/>
    <cellStyle name="Hed Top - SECTION 2 4 3 3 2" xfId="23884" xr:uid="{00000000-0005-0000-0000-000083640000}"/>
    <cellStyle name="Hed Top - SECTION 2 4 3 4" xfId="23885" xr:uid="{00000000-0005-0000-0000-000084640000}"/>
    <cellStyle name="Hed Top - SECTION 2 4 3 4 2" xfId="23886" xr:uid="{00000000-0005-0000-0000-000085640000}"/>
    <cellStyle name="Hed Top - SECTION 2 4 3 5" xfId="23887" xr:uid="{00000000-0005-0000-0000-000086640000}"/>
    <cellStyle name="Hed Top - SECTION 2 4 3 5 2" xfId="23888" xr:uid="{00000000-0005-0000-0000-000087640000}"/>
    <cellStyle name="Hed Top - SECTION 2 4 3 6" xfId="23889" xr:uid="{00000000-0005-0000-0000-000088640000}"/>
    <cellStyle name="Hed Top - SECTION 2 4 3 6 2" xfId="23890" xr:uid="{00000000-0005-0000-0000-000089640000}"/>
    <cellStyle name="Hed Top - SECTION 2 4 3 7" xfId="23891" xr:uid="{00000000-0005-0000-0000-00008A640000}"/>
    <cellStyle name="Hed Top - SECTION 2 4 3 7 2" xfId="23892" xr:uid="{00000000-0005-0000-0000-00008B640000}"/>
    <cellStyle name="Hed Top - SECTION 2 4 3 8" xfId="23893" xr:uid="{00000000-0005-0000-0000-00008C640000}"/>
    <cellStyle name="Hed Top - SECTION 2 4 3 8 2" xfId="23894" xr:uid="{00000000-0005-0000-0000-00008D640000}"/>
    <cellStyle name="Hed Top - SECTION 2 4 3 9" xfId="23895" xr:uid="{00000000-0005-0000-0000-00008E640000}"/>
    <cellStyle name="Hed Top - SECTION 2 4 3 9 2" xfId="23896" xr:uid="{00000000-0005-0000-0000-00008F640000}"/>
    <cellStyle name="Hed Top - SECTION 2 4 4" xfId="23897" xr:uid="{00000000-0005-0000-0000-000090640000}"/>
    <cellStyle name="Hed Top - SECTION 2 4 4 10" xfId="23898" xr:uid="{00000000-0005-0000-0000-000091640000}"/>
    <cellStyle name="Hed Top - SECTION 2 4 4 2" xfId="23899" xr:uid="{00000000-0005-0000-0000-000092640000}"/>
    <cellStyle name="Hed Top - SECTION 2 4 4 2 2" xfId="23900" xr:uid="{00000000-0005-0000-0000-000093640000}"/>
    <cellStyle name="Hed Top - SECTION 2 4 4 3" xfId="23901" xr:uid="{00000000-0005-0000-0000-000094640000}"/>
    <cellStyle name="Hed Top - SECTION 2 4 4 3 2" xfId="23902" xr:uid="{00000000-0005-0000-0000-000095640000}"/>
    <cellStyle name="Hed Top - SECTION 2 4 4 4" xfId="23903" xr:uid="{00000000-0005-0000-0000-000096640000}"/>
    <cellStyle name="Hed Top - SECTION 2 4 4 4 2" xfId="23904" xr:uid="{00000000-0005-0000-0000-000097640000}"/>
    <cellStyle name="Hed Top - SECTION 2 4 4 5" xfId="23905" xr:uid="{00000000-0005-0000-0000-000098640000}"/>
    <cellStyle name="Hed Top - SECTION 2 4 4 5 2" xfId="23906" xr:uid="{00000000-0005-0000-0000-000099640000}"/>
    <cellStyle name="Hed Top - SECTION 2 4 4 6" xfId="23907" xr:uid="{00000000-0005-0000-0000-00009A640000}"/>
    <cellStyle name="Hed Top - SECTION 2 4 4 6 2" xfId="23908" xr:uid="{00000000-0005-0000-0000-00009B640000}"/>
    <cellStyle name="Hed Top - SECTION 2 4 4 7" xfId="23909" xr:uid="{00000000-0005-0000-0000-00009C640000}"/>
    <cellStyle name="Hed Top - SECTION 2 4 4 7 2" xfId="23910" xr:uid="{00000000-0005-0000-0000-00009D640000}"/>
    <cellStyle name="Hed Top - SECTION 2 4 4 8" xfId="23911" xr:uid="{00000000-0005-0000-0000-00009E640000}"/>
    <cellStyle name="Hed Top - SECTION 2 4 4 8 2" xfId="23912" xr:uid="{00000000-0005-0000-0000-00009F640000}"/>
    <cellStyle name="Hed Top - SECTION 2 4 4 9" xfId="23913" xr:uid="{00000000-0005-0000-0000-0000A0640000}"/>
    <cellStyle name="Hed Top - SECTION 2 4 4 9 2" xfId="23914" xr:uid="{00000000-0005-0000-0000-0000A1640000}"/>
    <cellStyle name="Hed Top - SECTION 2 4 5" xfId="23915" xr:uid="{00000000-0005-0000-0000-0000A2640000}"/>
    <cellStyle name="Hed Top - SECTION 2 4 5 10" xfId="23916" xr:uid="{00000000-0005-0000-0000-0000A3640000}"/>
    <cellStyle name="Hed Top - SECTION 2 4 5 2" xfId="23917" xr:uid="{00000000-0005-0000-0000-0000A4640000}"/>
    <cellStyle name="Hed Top - SECTION 2 4 5 2 2" xfId="23918" xr:uid="{00000000-0005-0000-0000-0000A5640000}"/>
    <cellStyle name="Hed Top - SECTION 2 4 5 3" xfId="23919" xr:uid="{00000000-0005-0000-0000-0000A6640000}"/>
    <cellStyle name="Hed Top - SECTION 2 4 5 3 2" xfId="23920" xr:uid="{00000000-0005-0000-0000-0000A7640000}"/>
    <cellStyle name="Hed Top - SECTION 2 4 5 4" xfId="23921" xr:uid="{00000000-0005-0000-0000-0000A8640000}"/>
    <cellStyle name="Hed Top - SECTION 2 4 5 4 2" xfId="23922" xr:uid="{00000000-0005-0000-0000-0000A9640000}"/>
    <cellStyle name="Hed Top - SECTION 2 4 5 5" xfId="23923" xr:uid="{00000000-0005-0000-0000-0000AA640000}"/>
    <cellStyle name="Hed Top - SECTION 2 4 5 5 2" xfId="23924" xr:uid="{00000000-0005-0000-0000-0000AB640000}"/>
    <cellStyle name="Hed Top - SECTION 2 4 5 6" xfId="23925" xr:uid="{00000000-0005-0000-0000-0000AC640000}"/>
    <cellStyle name="Hed Top - SECTION 2 4 5 6 2" xfId="23926" xr:uid="{00000000-0005-0000-0000-0000AD640000}"/>
    <cellStyle name="Hed Top - SECTION 2 4 5 7" xfId="23927" xr:uid="{00000000-0005-0000-0000-0000AE640000}"/>
    <cellStyle name="Hed Top - SECTION 2 4 5 7 2" xfId="23928" xr:uid="{00000000-0005-0000-0000-0000AF640000}"/>
    <cellStyle name="Hed Top - SECTION 2 4 5 8" xfId="23929" xr:uid="{00000000-0005-0000-0000-0000B0640000}"/>
    <cellStyle name="Hed Top - SECTION 2 4 5 8 2" xfId="23930" xr:uid="{00000000-0005-0000-0000-0000B1640000}"/>
    <cellStyle name="Hed Top - SECTION 2 4 5 9" xfId="23931" xr:uid="{00000000-0005-0000-0000-0000B2640000}"/>
    <cellStyle name="Hed Top - SECTION 2 4 5 9 2" xfId="23932" xr:uid="{00000000-0005-0000-0000-0000B3640000}"/>
    <cellStyle name="Hed Top - SECTION 2 4 6" xfId="23933" xr:uid="{00000000-0005-0000-0000-0000B4640000}"/>
    <cellStyle name="Hed Top - SECTION 2 4 6 10" xfId="23934" xr:uid="{00000000-0005-0000-0000-0000B5640000}"/>
    <cellStyle name="Hed Top - SECTION 2 4 6 2" xfId="23935" xr:uid="{00000000-0005-0000-0000-0000B6640000}"/>
    <cellStyle name="Hed Top - SECTION 2 4 6 2 2" xfId="23936" xr:uid="{00000000-0005-0000-0000-0000B7640000}"/>
    <cellStyle name="Hed Top - SECTION 2 4 6 3" xfId="23937" xr:uid="{00000000-0005-0000-0000-0000B8640000}"/>
    <cellStyle name="Hed Top - SECTION 2 4 6 3 2" xfId="23938" xr:uid="{00000000-0005-0000-0000-0000B9640000}"/>
    <cellStyle name="Hed Top - SECTION 2 4 6 4" xfId="23939" xr:uid="{00000000-0005-0000-0000-0000BA640000}"/>
    <cellStyle name="Hed Top - SECTION 2 4 6 4 2" xfId="23940" xr:uid="{00000000-0005-0000-0000-0000BB640000}"/>
    <cellStyle name="Hed Top - SECTION 2 4 6 5" xfId="23941" xr:uid="{00000000-0005-0000-0000-0000BC640000}"/>
    <cellStyle name="Hed Top - SECTION 2 4 6 5 2" xfId="23942" xr:uid="{00000000-0005-0000-0000-0000BD640000}"/>
    <cellStyle name="Hed Top - SECTION 2 4 6 6" xfId="23943" xr:uid="{00000000-0005-0000-0000-0000BE640000}"/>
    <cellStyle name="Hed Top - SECTION 2 4 6 6 2" xfId="23944" xr:uid="{00000000-0005-0000-0000-0000BF640000}"/>
    <cellStyle name="Hed Top - SECTION 2 4 6 7" xfId="23945" xr:uid="{00000000-0005-0000-0000-0000C0640000}"/>
    <cellStyle name="Hed Top - SECTION 2 4 6 7 2" xfId="23946" xr:uid="{00000000-0005-0000-0000-0000C1640000}"/>
    <cellStyle name="Hed Top - SECTION 2 4 6 8" xfId="23947" xr:uid="{00000000-0005-0000-0000-0000C2640000}"/>
    <cellStyle name="Hed Top - SECTION 2 4 6 8 2" xfId="23948" xr:uid="{00000000-0005-0000-0000-0000C3640000}"/>
    <cellStyle name="Hed Top - SECTION 2 4 6 9" xfId="23949" xr:uid="{00000000-0005-0000-0000-0000C4640000}"/>
    <cellStyle name="Hed Top - SECTION 2 4 6 9 2" xfId="23950" xr:uid="{00000000-0005-0000-0000-0000C5640000}"/>
    <cellStyle name="Hed Top - SECTION 2 4 7" xfId="23951" xr:uid="{00000000-0005-0000-0000-0000C6640000}"/>
    <cellStyle name="Hed Top - SECTION 2 4 7 10" xfId="23952" xr:uid="{00000000-0005-0000-0000-0000C7640000}"/>
    <cellStyle name="Hed Top - SECTION 2 4 7 2" xfId="23953" xr:uid="{00000000-0005-0000-0000-0000C8640000}"/>
    <cellStyle name="Hed Top - SECTION 2 4 7 2 2" xfId="23954" xr:uid="{00000000-0005-0000-0000-0000C9640000}"/>
    <cellStyle name="Hed Top - SECTION 2 4 7 3" xfId="23955" xr:uid="{00000000-0005-0000-0000-0000CA640000}"/>
    <cellStyle name="Hed Top - SECTION 2 4 7 3 2" xfId="23956" xr:uid="{00000000-0005-0000-0000-0000CB640000}"/>
    <cellStyle name="Hed Top - SECTION 2 4 7 4" xfId="23957" xr:uid="{00000000-0005-0000-0000-0000CC640000}"/>
    <cellStyle name="Hed Top - SECTION 2 4 7 4 2" xfId="23958" xr:uid="{00000000-0005-0000-0000-0000CD640000}"/>
    <cellStyle name="Hed Top - SECTION 2 4 7 5" xfId="23959" xr:uid="{00000000-0005-0000-0000-0000CE640000}"/>
    <cellStyle name="Hed Top - SECTION 2 4 7 5 2" xfId="23960" xr:uid="{00000000-0005-0000-0000-0000CF640000}"/>
    <cellStyle name="Hed Top - SECTION 2 4 7 6" xfId="23961" xr:uid="{00000000-0005-0000-0000-0000D0640000}"/>
    <cellStyle name="Hed Top - SECTION 2 4 7 6 2" xfId="23962" xr:uid="{00000000-0005-0000-0000-0000D1640000}"/>
    <cellStyle name="Hed Top - SECTION 2 4 7 7" xfId="23963" xr:uid="{00000000-0005-0000-0000-0000D2640000}"/>
    <cellStyle name="Hed Top - SECTION 2 4 7 7 2" xfId="23964" xr:uid="{00000000-0005-0000-0000-0000D3640000}"/>
    <cellStyle name="Hed Top - SECTION 2 4 7 8" xfId="23965" xr:uid="{00000000-0005-0000-0000-0000D4640000}"/>
    <cellStyle name="Hed Top - SECTION 2 4 7 8 2" xfId="23966" xr:uid="{00000000-0005-0000-0000-0000D5640000}"/>
    <cellStyle name="Hed Top - SECTION 2 4 7 9" xfId="23967" xr:uid="{00000000-0005-0000-0000-0000D6640000}"/>
    <cellStyle name="Hed Top - SECTION 2 4 7 9 2" xfId="23968" xr:uid="{00000000-0005-0000-0000-0000D7640000}"/>
    <cellStyle name="Hed Top - SECTION 2 4 8" xfId="23969" xr:uid="{00000000-0005-0000-0000-0000D8640000}"/>
    <cellStyle name="Hed Top - SECTION 2 4 8 10" xfId="23970" xr:uid="{00000000-0005-0000-0000-0000D9640000}"/>
    <cellStyle name="Hed Top - SECTION 2 4 8 2" xfId="23971" xr:uid="{00000000-0005-0000-0000-0000DA640000}"/>
    <cellStyle name="Hed Top - SECTION 2 4 8 2 2" xfId="23972" xr:uid="{00000000-0005-0000-0000-0000DB640000}"/>
    <cellStyle name="Hed Top - SECTION 2 4 8 3" xfId="23973" xr:uid="{00000000-0005-0000-0000-0000DC640000}"/>
    <cellStyle name="Hed Top - SECTION 2 4 8 3 2" xfId="23974" xr:uid="{00000000-0005-0000-0000-0000DD640000}"/>
    <cellStyle name="Hed Top - SECTION 2 4 8 4" xfId="23975" xr:uid="{00000000-0005-0000-0000-0000DE640000}"/>
    <cellStyle name="Hed Top - SECTION 2 4 8 4 2" xfId="23976" xr:uid="{00000000-0005-0000-0000-0000DF640000}"/>
    <cellStyle name="Hed Top - SECTION 2 4 8 5" xfId="23977" xr:uid="{00000000-0005-0000-0000-0000E0640000}"/>
    <cellStyle name="Hed Top - SECTION 2 4 8 5 2" xfId="23978" xr:uid="{00000000-0005-0000-0000-0000E1640000}"/>
    <cellStyle name="Hed Top - SECTION 2 4 8 6" xfId="23979" xr:uid="{00000000-0005-0000-0000-0000E2640000}"/>
    <cellStyle name="Hed Top - SECTION 2 4 8 6 2" xfId="23980" xr:uid="{00000000-0005-0000-0000-0000E3640000}"/>
    <cellStyle name="Hed Top - SECTION 2 4 8 7" xfId="23981" xr:uid="{00000000-0005-0000-0000-0000E4640000}"/>
    <cellStyle name="Hed Top - SECTION 2 4 8 7 2" xfId="23982" xr:uid="{00000000-0005-0000-0000-0000E5640000}"/>
    <cellStyle name="Hed Top - SECTION 2 4 8 8" xfId="23983" xr:uid="{00000000-0005-0000-0000-0000E6640000}"/>
    <cellStyle name="Hed Top - SECTION 2 4 8 8 2" xfId="23984" xr:uid="{00000000-0005-0000-0000-0000E7640000}"/>
    <cellStyle name="Hed Top - SECTION 2 4 8 9" xfId="23985" xr:uid="{00000000-0005-0000-0000-0000E8640000}"/>
    <cellStyle name="Hed Top - SECTION 2 4 8 9 2" xfId="23986" xr:uid="{00000000-0005-0000-0000-0000E9640000}"/>
    <cellStyle name="Hed Top - SECTION 2 4 9" xfId="23987" xr:uid="{00000000-0005-0000-0000-0000EA640000}"/>
    <cellStyle name="Hed Top - SECTION 2 4 9 10" xfId="23988" xr:uid="{00000000-0005-0000-0000-0000EB640000}"/>
    <cellStyle name="Hed Top - SECTION 2 4 9 2" xfId="23989" xr:uid="{00000000-0005-0000-0000-0000EC640000}"/>
    <cellStyle name="Hed Top - SECTION 2 4 9 2 2" xfId="23990" xr:uid="{00000000-0005-0000-0000-0000ED640000}"/>
    <cellStyle name="Hed Top - SECTION 2 4 9 3" xfId="23991" xr:uid="{00000000-0005-0000-0000-0000EE640000}"/>
    <cellStyle name="Hed Top - SECTION 2 4 9 3 2" xfId="23992" xr:uid="{00000000-0005-0000-0000-0000EF640000}"/>
    <cellStyle name="Hed Top - SECTION 2 4 9 4" xfId="23993" xr:uid="{00000000-0005-0000-0000-0000F0640000}"/>
    <cellStyle name="Hed Top - SECTION 2 4 9 4 2" xfId="23994" xr:uid="{00000000-0005-0000-0000-0000F1640000}"/>
    <cellStyle name="Hed Top - SECTION 2 4 9 5" xfId="23995" xr:uid="{00000000-0005-0000-0000-0000F2640000}"/>
    <cellStyle name="Hed Top - SECTION 2 4 9 5 2" xfId="23996" xr:uid="{00000000-0005-0000-0000-0000F3640000}"/>
    <cellStyle name="Hed Top - SECTION 2 4 9 6" xfId="23997" xr:uid="{00000000-0005-0000-0000-0000F4640000}"/>
    <cellStyle name="Hed Top - SECTION 2 4 9 6 2" xfId="23998" xr:uid="{00000000-0005-0000-0000-0000F5640000}"/>
    <cellStyle name="Hed Top - SECTION 2 4 9 7" xfId="23999" xr:uid="{00000000-0005-0000-0000-0000F6640000}"/>
    <cellStyle name="Hed Top - SECTION 2 4 9 7 2" xfId="24000" xr:uid="{00000000-0005-0000-0000-0000F7640000}"/>
    <cellStyle name="Hed Top - SECTION 2 4 9 8" xfId="24001" xr:uid="{00000000-0005-0000-0000-0000F8640000}"/>
    <cellStyle name="Hed Top - SECTION 2 4 9 8 2" xfId="24002" xr:uid="{00000000-0005-0000-0000-0000F9640000}"/>
    <cellStyle name="Hed Top - SECTION 2 4 9 9" xfId="24003" xr:uid="{00000000-0005-0000-0000-0000FA640000}"/>
    <cellStyle name="Hed Top - SECTION 2 4 9 9 2" xfId="24004" xr:uid="{00000000-0005-0000-0000-0000FB640000}"/>
    <cellStyle name="Hed Top - SECTION 2 5" xfId="24005" xr:uid="{00000000-0005-0000-0000-0000FC640000}"/>
    <cellStyle name="Hed Top - SECTION 2 5 10" xfId="24006" xr:uid="{00000000-0005-0000-0000-0000FD640000}"/>
    <cellStyle name="Hed Top - SECTION 2 5 10 2" xfId="24007" xr:uid="{00000000-0005-0000-0000-0000FE640000}"/>
    <cellStyle name="Hed Top - SECTION 2 5 10 2 2" xfId="24008" xr:uid="{00000000-0005-0000-0000-0000FF640000}"/>
    <cellStyle name="Hed Top - SECTION 2 5 10 3" xfId="24009" xr:uid="{00000000-0005-0000-0000-000000650000}"/>
    <cellStyle name="Hed Top - SECTION 2 5 10 3 2" xfId="24010" xr:uid="{00000000-0005-0000-0000-000001650000}"/>
    <cellStyle name="Hed Top - SECTION 2 5 10 4" xfId="24011" xr:uid="{00000000-0005-0000-0000-000002650000}"/>
    <cellStyle name="Hed Top - SECTION 2 5 10 4 2" xfId="24012" xr:uid="{00000000-0005-0000-0000-000003650000}"/>
    <cellStyle name="Hed Top - SECTION 2 5 10 5" xfId="24013" xr:uid="{00000000-0005-0000-0000-000004650000}"/>
    <cellStyle name="Hed Top - SECTION 2 5 10 5 2" xfId="24014" xr:uid="{00000000-0005-0000-0000-000005650000}"/>
    <cellStyle name="Hed Top - SECTION 2 5 10 6" xfId="24015" xr:uid="{00000000-0005-0000-0000-000006650000}"/>
    <cellStyle name="Hed Top - SECTION 2 5 10 6 2" xfId="24016" xr:uid="{00000000-0005-0000-0000-000007650000}"/>
    <cellStyle name="Hed Top - SECTION 2 5 10 7" xfId="24017" xr:uid="{00000000-0005-0000-0000-000008650000}"/>
    <cellStyle name="Hed Top - SECTION 2 5 10 7 2" xfId="24018" xr:uid="{00000000-0005-0000-0000-000009650000}"/>
    <cellStyle name="Hed Top - SECTION 2 5 10 8" xfId="24019" xr:uid="{00000000-0005-0000-0000-00000A650000}"/>
    <cellStyle name="Hed Top - SECTION 2 5 10 8 2" xfId="24020" xr:uid="{00000000-0005-0000-0000-00000B650000}"/>
    <cellStyle name="Hed Top - SECTION 2 5 10 9" xfId="24021" xr:uid="{00000000-0005-0000-0000-00000C650000}"/>
    <cellStyle name="Hed Top - SECTION 2 5 11" xfId="24022" xr:uid="{00000000-0005-0000-0000-00000D650000}"/>
    <cellStyle name="Hed Top - SECTION 2 5 11 2" xfId="24023" xr:uid="{00000000-0005-0000-0000-00000E650000}"/>
    <cellStyle name="Hed Top - SECTION 2 5 12" xfId="24024" xr:uid="{00000000-0005-0000-0000-00000F650000}"/>
    <cellStyle name="Hed Top - SECTION 2 5 12 2" xfId="24025" xr:uid="{00000000-0005-0000-0000-000010650000}"/>
    <cellStyle name="Hed Top - SECTION 2 5 13" xfId="24026" xr:uid="{00000000-0005-0000-0000-000011650000}"/>
    <cellStyle name="Hed Top - SECTION 2 5 13 2" xfId="24027" xr:uid="{00000000-0005-0000-0000-000012650000}"/>
    <cellStyle name="Hed Top - SECTION 2 5 14" xfId="24028" xr:uid="{00000000-0005-0000-0000-000013650000}"/>
    <cellStyle name="Hed Top - SECTION 2 5 14 2" xfId="24029" xr:uid="{00000000-0005-0000-0000-000014650000}"/>
    <cellStyle name="Hed Top - SECTION 2 5 15" xfId="24030" xr:uid="{00000000-0005-0000-0000-000015650000}"/>
    <cellStyle name="Hed Top - SECTION 2 5 15 2" xfId="24031" xr:uid="{00000000-0005-0000-0000-000016650000}"/>
    <cellStyle name="Hed Top - SECTION 2 5 16" xfId="24032" xr:uid="{00000000-0005-0000-0000-000017650000}"/>
    <cellStyle name="Hed Top - SECTION 2 5 16 2" xfId="24033" xr:uid="{00000000-0005-0000-0000-000018650000}"/>
    <cellStyle name="Hed Top - SECTION 2 5 17" xfId="24034" xr:uid="{00000000-0005-0000-0000-000019650000}"/>
    <cellStyle name="Hed Top - SECTION 2 5 17 2" xfId="24035" xr:uid="{00000000-0005-0000-0000-00001A650000}"/>
    <cellStyle name="Hed Top - SECTION 2 5 18" xfId="24036" xr:uid="{00000000-0005-0000-0000-00001B650000}"/>
    <cellStyle name="Hed Top - SECTION 2 5 2" xfId="24037" xr:uid="{00000000-0005-0000-0000-00001C650000}"/>
    <cellStyle name="Hed Top - SECTION 2 5 2 10" xfId="24038" xr:uid="{00000000-0005-0000-0000-00001D650000}"/>
    <cellStyle name="Hed Top - SECTION 2 5 2 2" xfId="24039" xr:uid="{00000000-0005-0000-0000-00001E650000}"/>
    <cellStyle name="Hed Top - SECTION 2 5 2 2 2" xfId="24040" xr:uid="{00000000-0005-0000-0000-00001F650000}"/>
    <cellStyle name="Hed Top - SECTION 2 5 2 3" xfId="24041" xr:uid="{00000000-0005-0000-0000-000020650000}"/>
    <cellStyle name="Hed Top - SECTION 2 5 2 3 2" xfId="24042" xr:uid="{00000000-0005-0000-0000-000021650000}"/>
    <cellStyle name="Hed Top - SECTION 2 5 2 4" xfId="24043" xr:uid="{00000000-0005-0000-0000-000022650000}"/>
    <cellStyle name="Hed Top - SECTION 2 5 2 4 2" xfId="24044" xr:uid="{00000000-0005-0000-0000-000023650000}"/>
    <cellStyle name="Hed Top - SECTION 2 5 2 5" xfId="24045" xr:uid="{00000000-0005-0000-0000-000024650000}"/>
    <cellStyle name="Hed Top - SECTION 2 5 2 5 2" xfId="24046" xr:uid="{00000000-0005-0000-0000-000025650000}"/>
    <cellStyle name="Hed Top - SECTION 2 5 2 6" xfId="24047" xr:uid="{00000000-0005-0000-0000-000026650000}"/>
    <cellStyle name="Hed Top - SECTION 2 5 2 6 2" xfId="24048" xr:uid="{00000000-0005-0000-0000-000027650000}"/>
    <cellStyle name="Hed Top - SECTION 2 5 2 7" xfId="24049" xr:uid="{00000000-0005-0000-0000-000028650000}"/>
    <cellStyle name="Hed Top - SECTION 2 5 2 7 2" xfId="24050" xr:uid="{00000000-0005-0000-0000-000029650000}"/>
    <cellStyle name="Hed Top - SECTION 2 5 2 8" xfId="24051" xr:uid="{00000000-0005-0000-0000-00002A650000}"/>
    <cellStyle name="Hed Top - SECTION 2 5 2 8 2" xfId="24052" xr:uid="{00000000-0005-0000-0000-00002B650000}"/>
    <cellStyle name="Hed Top - SECTION 2 5 2 9" xfId="24053" xr:uid="{00000000-0005-0000-0000-00002C650000}"/>
    <cellStyle name="Hed Top - SECTION 2 5 2 9 2" xfId="24054" xr:uid="{00000000-0005-0000-0000-00002D650000}"/>
    <cellStyle name="Hed Top - SECTION 2 5 3" xfId="24055" xr:uid="{00000000-0005-0000-0000-00002E650000}"/>
    <cellStyle name="Hed Top - SECTION 2 5 3 10" xfId="24056" xr:uid="{00000000-0005-0000-0000-00002F650000}"/>
    <cellStyle name="Hed Top - SECTION 2 5 3 2" xfId="24057" xr:uid="{00000000-0005-0000-0000-000030650000}"/>
    <cellStyle name="Hed Top - SECTION 2 5 3 2 2" xfId="24058" xr:uid="{00000000-0005-0000-0000-000031650000}"/>
    <cellStyle name="Hed Top - SECTION 2 5 3 3" xfId="24059" xr:uid="{00000000-0005-0000-0000-000032650000}"/>
    <cellStyle name="Hed Top - SECTION 2 5 3 3 2" xfId="24060" xr:uid="{00000000-0005-0000-0000-000033650000}"/>
    <cellStyle name="Hed Top - SECTION 2 5 3 4" xfId="24061" xr:uid="{00000000-0005-0000-0000-000034650000}"/>
    <cellStyle name="Hed Top - SECTION 2 5 3 4 2" xfId="24062" xr:uid="{00000000-0005-0000-0000-000035650000}"/>
    <cellStyle name="Hed Top - SECTION 2 5 3 5" xfId="24063" xr:uid="{00000000-0005-0000-0000-000036650000}"/>
    <cellStyle name="Hed Top - SECTION 2 5 3 5 2" xfId="24064" xr:uid="{00000000-0005-0000-0000-000037650000}"/>
    <cellStyle name="Hed Top - SECTION 2 5 3 6" xfId="24065" xr:uid="{00000000-0005-0000-0000-000038650000}"/>
    <cellStyle name="Hed Top - SECTION 2 5 3 6 2" xfId="24066" xr:uid="{00000000-0005-0000-0000-000039650000}"/>
    <cellStyle name="Hed Top - SECTION 2 5 3 7" xfId="24067" xr:uid="{00000000-0005-0000-0000-00003A650000}"/>
    <cellStyle name="Hed Top - SECTION 2 5 3 7 2" xfId="24068" xr:uid="{00000000-0005-0000-0000-00003B650000}"/>
    <cellStyle name="Hed Top - SECTION 2 5 3 8" xfId="24069" xr:uid="{00000000-0005-0000-0000-00003C650000}"/>
    <cellStyle name="Hed Top - SECTION 2 5 3 8 2" xfId="24070" xr:uid="{00000000-0005-0000-0000-00003D650000}"/>
    <cellStyle name="Hed Top - SECTION 2 5 3 9" xfId="24071" xr:uid="{00000000-0005-0000-0000-00003E650000}"/>
    <cellStyle name="Hed Top - SECTION 2 5 3 9 2" xfId="24072" xr:uid="{00000000-0005-0000-0000-00003F650000}"/>
    <cellStyle name="Hed Top - SECTION 2 5 4" xfId="24073" xr:uid="{00000000-0005-0000-0000-000040650000}"/>
    <cellStyle name="Hed Top - SECTION 2 5 4 10" xfId="24074" xr:uid="{00000000-0005-0000-0000-000041650000}"/>
    <cellStyle name="Hed Top - SECTION 2 5 4 2" xfId="24075" xr:uid="{00000000-0005-0000-0000-000042650000}"/>
    <cellStyle name="Hed Top - SECTION 2 5 4 2 2" xfId="24076" xr:uid="{00000000-0005-0000-0000-000043650000}"/>
    <cellStyle name="Hed Top - SECTION 2 5 4 3" xfId="24077" xr:uid="{00000000-0005-0000-0000-000044650000}"/>
    <cellStyle name="Hed Top - SECTION 2 5 4 3 2" xfId="24078" xr:uid="{00000000-0005-0000-0000-000045650000}"/>
    <cellStyle name="Hed Top - SECTION 2 5 4 4" xfId="24079" xr:uid="{00000000-0005-0000-0000-000046650000}"/>
    <cellStyle name="Hed Top - SECTION 2 5 4 4 2" xfId="24080" xr:uid="{00000000-0005-0000-0000-000047650000}"/>
    <cellStyle name="Hed Top - SECTION 2 5 4 5" xfId="24081" xr:uid="{00000000-0005-0000-0000-000048650000}"/>
    <cellStyle name="Hed Top - SECTION 2 5 4 5 2" xfId="24082" xr:uid="{00000000-0005-0000-0000-000049650000}"/>
    <cellStyle name="Hed Top - SECTION 2 5 4 6" xfId="24083" xr:uid="{00000000-0005-0000-0000-00004A650000}"/>
    <cellStyle name="Hed Top - SECTION 2 5 4 6 2" xfId="24084" xr:uid="{00000000-0005-0000-0000-00004B650000}"/>
    <cellStyle name="Hed Top - SECTION 2 5 4 7" xfId="24085" xr:uid="{00000000-0005-0000-0000-00004C650000}"/>
    <cellStyle name="Hed Top - SECTION 2 5 4 7 2" xfId="24086" xr:uid="{00000000-0005-0000-0000-00004D650000}"/>
    <cellStyle name="Hed Top - SECTION 2 5 4 8" xfId="24087" xr:uid="{00000000-0005-0000-0000-00004E650000}"/>
    <cellStyle name="Hed Top - SECTION 2 5 4 8 2" xfId="24088" xr:uid="{00000000-0005-0000-0000-00004F650000}"/>
    <cellStyle name="Hed Top - SECTION 2 5 4 9" xfId="24089" xr:uid="{00000000-0005-0000-0000-000050650000}"/>
    <cellStyle name="Hed Top - SECTION 2 5 4 9 2" xfId="24090" xr:uid="{00000000-0005-0000-0000-000051650000}"/>
    <cellStyle name="Hed Top - SECTION 2 5 5" xfId="24091" xr:uid="{00000000-0005-0000-0000-000052650000}"/>
    <cellStyle name="Hed Top - SECTION 2 5 5 10" xfId="24092" xr:uid="{00000000-0005-0000-0000-000053650000}"/>
    <cellStyle name="Hed Top - SECTION 2 5 5 2" xfId="24093" xr:uid="{00000000-0005-0000-0000-000054650000}"/>
    <cellStyle name="Hed Top - SECTION 2 5 5 2 2" xfId="24094" xr:uid="{00000000-0005-0000-0000-000055650000}"/>
    <cellStyle name="Hed Top - SECTION 2 5 5 3" xfId="24095" xr:uid="{00000000-0005-0000-0000-000056650000}"/>
    <cellStyle name="Hed Top - SECTION 2 5 5 3 2" xfId="24096" xr:uid="{00000000-0005-0000-0000-000057650000}"/>
    <cellStyle name="Hed Top - SECTION 2 5 5 4" xfId="24097" xr:uid="{00000000-0005-0000-0000-000058650000}"/>
    <cellStyle name="Hed Top - SECTION 2 5 5 4 2" xfId="24098" xr:uid="{00000000-0005-0000-0000-000059650000}"/>
    <cellStyle name="Hed Top - SECTION 2 5 5 5" xfId="24099" xr:uid="{00000000-0005-0000-0000-00005A650000}"/>
    <cellStyle name="Hed Top - SECTION 2 5 5 5 2" xfId="24100" xr:uid="{00000000-0005-0000-0000-00005B650000}"/>
    <cellStyle name="Hed Top - SECTION 2 5 5 6" xfId="24101" xr:uid="{00000000-0005-0000-0000-00005C650000}"/>
    <cellStyle name="Hed Top - SECTION 2 5 5 6 2" xfId="24102" xr:uid="{00000000-0005-0000-0000-00005D650000}"/>
    <cellStyle name="Hed Top - SECTION 2 5 5 7" xfId="24103" xr:uid="{00000000-0005-0000-0000-00005E650000}"/>
    <cellStyle name="Hed Top - SECTION 2 5 5 7 2" xfId="24104" xr:uid="{00000000-0005-0000-0000-00005F650000}"/>
    <cellStyle name="Hed Top - SECTION 2 5 5 8" xfId="24105" xr:uid="{00000000-0005-0000-0000-000060650000}"/>
    <cellStyle name="Hed Top - SECTION 2 5 5 8 2" xfId="24106" xr:uid="{00000000-0005-0000-0000-000061650000}"/>
    <cellStyle name="Hed Top - SECTION 2 5 5 9" xfId="24107" xr:uid="{00000000-0005-0000-0000-000062650000}"/>
    <cellStyle name="Hed Top - SECTION 2 5 5 9 2" xfId="24108" xr:uid="{00000000-0005-0000-0000-000063650000}"/>
    <cellStyle name="Hed Top - SECTION 2 5 6" xfId="24109" xr:uid="{00000000-0005-0000-0000-000064650000}"/>
    <cellStyle name="Hed Top - SECTION 2 5 6 10" xfId="24110" xr:uid="{00000000-0005-0000-0000-000065650000}"/>
    <cellStyle name="Hed Top - SECTION 2 5 6 2" xfId="24111" xr:uid="{00000000-0005-0000-0000-000066650000}"/>
    <cellStyle name="Hed Top - SECTION 2 5 6 2 2" xfId="24112" xr:uid="{00000000-0005-0000-0000-000067650000}"/>
    <cellStyle name="Hed Top - SECTION 2 5 6 3" xfId="24113" xr:uid="{00000000-0005-0000-0000-000068650000}"/>
    <cellStyle name="Hed Top - SECTION 2 5 6 3 2" xfId="24114" xr:uid="{00000000-0005-0000-0000-000069650000}"/>
    <cellStyle name="Hed Top - SECTION 2 5 6 4" xfId="24115" xr:uid="{00000000-0005-0000-0000-00006A650000}"/>
    <cellStyle name="Hed Top - SECTION 2 5 6 4 2" xfId="24116" xr:uid="{00000000-0005-0000-0000-00006B650000}"/>
    <cellStyle name="Hed Top - SECTION 2 5 6 5" xfId="24117" xr:uid="{00000000-0005-0000-0000-00006C650000}"/>
    <cellStyle name="Hed Top - SECTION 2 5 6 5 2" xfId="24118" xr:uid="{00000000-0005-0000-0000-00006D650000}"/>
    <cellStyle name="Hed Top - SECTION 2 5 6 6" xfId="24119" xr:uid="{00000000-0005-0000-0000-00006E650000}"/>
    <cellStyle name="Hed Top - SECTION 2 5 6 6 2" xfId="24120" xr:uid="{00000000-0005-0000-0000-00006F650000}"/>
    <cellStyle name="Hed Top - SECTION 2 5 6 7" xfId="24121" xr:uid="{00000000-0005-0000-0000-000070650000}"/>
    <cellStyle name="Hed Top - SECTION 2 5 6 7 2" xfId="24122" xr:uid="{00000000-0005-0000-0000-000071650000}"/>
    <cellStyle name="Hed Top - SECTION 2 5 6 8" xfId="24123" xr:uid="{00000000-0005-0000-0000-000072650000}"/>
    <cellStyle name="Hed Top - SECTION 2 5 6 8 2" xfId="24124" xr:uid="{00000000-0005-0000-0000-000073650000}"/>
    <cellStyle name="Hed Top - SECTION 2 5 6 9" xfId="24125" xr:uid="{00000000-0005-0000-0000-000074650000}"/>
    <cellStyle name="Hed Top - SECTION 2 5 6 9 2" xfId="24126" xr:uid="{00000000-0005-0000-0000-000075650000}"/>
    <cellStyle name="Hed Top - SECTION 2 5 7" xfId="24127" xr:uid="{00000000-0005-0000-0000-000076650000}"/>
    <cellStyle name="Hed Top - SECTION 2 5 7 10" xfId="24128" xr:uid="{00000000-0005-0000-0000-000077650000}"/>
    <cellStyle name="Hed Top - SECTION 2 5 7 2" xfId="24129" xr:uid="{00000000-0005-0000-0000-000078650000}"/>
    <cellStyle name="Hed Top - SECTION 2 5 7 2 2" xfId="24130" xr:uid="{00000000-0005-0000-0000-000079650000}"/>
    <cellStyle name="Hed Top - SECTION 2 5 7 3" xfId="24131" xr:uid="{00000000-0005-0000-0000-00007A650000}"/>
    <cellStyle name="Hed Top - SECTION 2 5 7 3 2" xfId="24132" xr:uid="{00000000-0005-0000-0000-00007B650000}"/>
    <cellStyle name="Hed Top - SECTION 2 5 7 4" xfId="24133" xr:uid="{00000000-0005-0000-0000-00007C650000}"/>
    <cellStyle name="Hed Top - SECTION 2 5 7 4 2" xfId="24134" xr:uid="{00000000-0005-0000-0000-00007D650000}"/>
    <cellStyle name="Hed Top - SECTION 2 5 7 5" xfId="24135" xr:uid="{00000000-0005-0000-0000-00007E650000}"/>
    <cellStyle name="Hed Top - SECTION 2 5 7 5 2" xfId="24136" xr:uid="{00000000-0005-0000-0000-00007F650000}"/>
    <cellStyle name="Hed Top - SECTION 2 5 7 6" xfId="24137" xr:uid="{00000000-0005-0000-0000-000080650000}"/>
    <cellStyle name="Hed Top - SECTION 2 5 7 6 2" xfId="24138" xr:uid="{00000000-0005-0000-0000-000081650000}"/>
    <cellStyle name="Hed Top - SECTION 2 5 7 7" xfId="24139" xr:uid="{00000000-0005-0000-0000-000082650000}"/>
    <cellStyle name="Hed Top - SECTION 2 5 7 7 2" xfId="24140" xr:uid="{00000000-0005-0000-0000-000083650000}"/>
    <cellStyle name="Hed Top - SECTION 2 5 7 8" xfId="24141" xr:uid="{00000000-0005-0000-0000-000084650000}"/>
    <cellStyle name="Hed Top - SECTION 2 5 7 8 2" xfId="24142" xr:uid="{00000000-0005-0000-0000-000085650000}"/>
    <cellStyle name="Hed Top - SECTION 2 5 7 9" xfId="24143" xr:uid="{00000000-0005-0000-0000-000086650000}"/>
    <cellStyle name="Hed Top - SECTION 2 5 7 9 2" xfId="24144" xr:uid="{00000000-0005-0000-0000-000087650000}"/>
    <cellStyle name="Hed Top - SECTION 2 5 8" xfId="24145" xr:uid="{00000000-0005-0000-0000-000088650000}"/>
    <cellStyle name="Hed Top - SECTION 2 5 8 10" xfId="24146" xr:uid="{00000000-0005-0000-0000-000089650000}"/>
    <cellStyle name="Hed Top - SECTION 2 5 8 2" xfId="24147" xr:uid="{00000000-0005-0000-0000-00008A650000}"/>
    <cellStyle name="Hed Top - SECTION 2 5 8 2 2" xfId="24148" xr:uid="{00000000-0005-0000-0000-00008B650000}"/>
    <cellStyle name="Hed Top - SECTION 2 5 8 3" xfId="24149" xr:uid="{00000000-0005-0000-0000-00008C650000}"/>
    <cellStyle name="Hed Top - SECTION 2 5 8 3 2" xfId="24150" xr:uid="{00000000-0005-0000-0000-00008D650000}"/>
    <cellStyle name="Hed Top - SECTION 2 5 8 4" xfId="24151" xr:uid="{00000000-0005-0000-0000-00008E650000}"/>
    <cellStyle name="Hed Top - SECTION 2 5 8 4 2" xfId="24152" xr:uid="{00000000-0005-0000-0000-00008F650000}"/>
    <cellStyle name="Hed Top - SECTION 2 5 8 5" xfId="24153" xr:uid="{00000000-0005-0000-0000-000090650000}"/>
    <cellStyle name="Hed Top - SECTION 2 5 8 5 2" xfId="24154" xr:uid="{00000000-0005-0000-0000-000091650000}"/>
    <cellStyle name="Hed Top - SECTION 2 5 8 6" xfId="24155" xr:uid="{00000000-0005-0000-0000-000092650000}"/>
    <cellStyle name="Hed Top - SECTION 2 5 8 6 2" xfId="24156" xr:uid="{00000000-0005-0000-0000-000093650000}"/>
    <cellStyle name="Hed Top - SECTION 2 5 8 7" xfId="24157" xr:uid="{00000000-0005-0000-0000-000094650000}"/>
    <cellStyle name="Hed Top - SECTION 2 5 8 7 2" xfId="24158" xr:uid="{00000000-0005-0000-0000-000095650000}"/>
    <cellStyle name="Hed Top - SECTION 2 5 8 8" xfId="24159" xr:uid="{00000000-0005-0000-0000-000096650000}"/>
    <cellStyle name="Hed Top - SECTION 2 5 8 8 2" xfId="24160" xr:uid="{00000000-0005-0000-0000-000097650000}"/>
    <cellStyle name="Hed Top - SECTION 2 5 8 9" xfId="24161" xr:uid="{00000000-0005-0000-0000-000098650000}"/>
    <cellStyle name="Hed Top - SECTION 2 5 8 9 2" xfId="24162" xr:uid="{00000000-0005-0000-0000-000099650000}"/>
    <cellStyle name="Hed Top - SECTION 2 5 9" xfId="24163" xr:uid="{00000000-0005-0000-0000-00009A650000}"/>
    <cellStyle name="Hed Top - SECTION 2 5 9 10" xfId="24164" xr:uid="{00000000-0005-0000-0000-00009B650000}"/>
    <cellStyle name="Hed Top - SECTION 2 5 9 2" xfId="24165" xr:uid="{00000000-0005-0000-0000-00009C650000}"/>
    <cellStyle name="Hed Top - SECTION 2 5 9 2 2" xfId="24166" xr:uid="{00000000-0005-0000-0000-00009D650000}"/>
    <cellStyle name="Hed Top - SECTION 2 5 9 3" xfId="24167" xr:uid="{00000000-0005-0000-0000-00009E650000}"/>
    <cellStyle name="Hed Top - SECTION 2 5 9 3 2" xfId="24168" xr:uid="{00000000-0005-0000-0000-00009F650000}"/>
    <cellStyle name="Hed Top - SECTION 2 5 9 4" xfId="24169" xr:uid="{00000000-0005-0000-0000-0000A0650000}"/>
    <cellStyle name="Hed Top - SECTION 2 5 9 4 2" xfId="24170" xr:uid="{00000000-0005-0000-0000-0000A1650000}"/>
    <cellStyle name="Hed Top - SECTION 2 5 9 5" xfId="24171" xr:uid="{00000000-0005-0000-0000-0000A2650000}"/>
    <cellStyle name="Hed Top - SECTION 2 5 9 5 2" xfId="24172" xr:uid="{00000000-0005-0000-0000-0000A3650000}"/>
    <cellStyle name="Hed Top - SECTION 2 5 9 6" xfId="24173" xr:uid="{00000000-0005-0000-0000-0000A4650000}"/>
    <cellStyle name="Hed Top - SECTION 2 5 9 6 2" xfId="24174" xr:uid="{00000000-0005-0000-0000-0000A5650000}"/>
    <cellStyle name="Hed Top - SECTION 2 5 9 7" xfId="24175" xr:uid="{00000000-0005-0000-0000-0000A6650000}"/>
    <cellStyle name="Hed Top - SECTION 2 5 9 7 2" xfId="24176" xr:uid="{00000000-0005-0000-0000-0000A7650000}"/>
    <cellStyle name="Hed Top - SECTION 2 5 9 8" xfId="24177" xr:uid="{00000000-0005-0000-0000-0000A8650000}"/>
    <cellStyle name="Hed Top - SECTION 2 5 9 8 2" xfId="24178" xr:uid="{00000000-0005-0000-0000-0000A9650000}"/>
    <cellStyle name="Hed Top - SECTION 2 5 9 9" xfId="24179" xr:uid="{00000000-0005-0000-0000-0000AA650000}"/>
    <cellStyle name="Hed Top - SECTION 2 5 9 9 2" xfId="24180" xr:uid="{00000000-0005-0000-0000-0000AB650000}"/>
    <cellStyle name="Hed Top - SECTION 2 6" xfId="24181" xr:uid="{00000000-0005-0000-0000-0000AC650000}"/>
    <cellStyle name="Hed Top - SECTION 2 6 10" xfId="24182" xr:uid="{00000000-0005-0000-0000-0000AD650000}"/>
    <cellStyle name="Hed Top - SECTION 2 6 10 2" xfId="24183" xr:uid="{00000000-0005-0000-0000-0000AE650000}"/>
    <cellStyle name="Hed Top - SECTION 2 6 10 2 2" xfId="24184" xr:uid="{00000000-0005-0000-0000-0000AF650000}"/>
    <cellStyle name="Hed Top - SECTION 2 6 10 3" xfId="24185" xr:uid="{00000000-0005-0000-0000-0000B0650000}"/>
    <cellStyle name="Hed Top - SECTION 2 6 10 3 2" xfId="24186" xr:uid="{00000000-0005-0000-0000-0000B1650000}"/>
    <cellStyle name="Hed Top - SECTION 2 6 10 4" xfId="24187" xr:uid="{00000000-0005-0000-0000-0000B2650000}"/>
    <cellStyle name="Hed Top - SECTION 2 6 10 4 2" xfId="24188" xr:uid="{00000000-0005-0000-0000-0000B3650000}"/>
    <cellStyle name="Hed Top - SECTION 2 6 10 5" xfId="24189" xr:uid="{00000000-0005-0000-0000-0000B4650000}"/>
    <cellStyle name="Hed Top - SECTION 2 6 10 5 2" xfId="24190" xr:uid="{00000000-0005-0000-0000-0000B5650000}"/>
    <cellStyle name="Hed Top - SECTION 2 6 10 6" xfId="24191" xr:uid="{00000000-0005-0000-0000-0000B6650000}"/>
    <cellStyle name="Hed Top - SECTION 2 6 10 6 2" xfId="24192" xr:uid="{00000000-0005-0000-0000-0000B7650000}"/>
    <cellStyle name="Hed Top - SECTION 2 6 10 7" xfId="24193" xr:uid="{00000000-0005-0000-0000-0000B8650000}"/>
    <cellStyle name="Hed Top - SECTION 2 6 10 7 2" xfId="24194" xr:uid="{00000000-0005-0000-0000-0000B9650000}"/>
    <cellStyle name="Hed Top - SECTION 2 6 10 8" xfId="24195" xr:uid="{00000000-0005-0000-0000-0000BA650000}"/>
    <cellStyle name="Hed Top - SECTION 2 6 10 8 2" xfId="24196" xr:uid="{00000000-0005-0000-0000-0000BB650000}"/>
    <cellStyle name="Hed Top - SECTION 2 6 10 9" xfId="24197" xr:uid="{00000000-0005-0000-0000-0000BC650000}"/>
    <cellStyle name="Hed Top - SECTION 2 6 11" xfId="24198" xr:uid="{00000000-0005-0000-0000-0000BD650000}"/>
    <cellStyle name="Hed Top - SECTION 2 6 11 2" xfId="24199" xr:uid="{00000000-0005-0000-0000-0000BE650000}"/>
    <cellStyle name="Hed Top - SECTION 2 6 12" xfId="24200" xr:uid="{00000000-0005-0000-0000-0000BF650000}"/>
    <cellStyle name="Hed Top - SECTION 2 6 12 2" xfId="24201" xr:uid="{00000000-0005-0000-0000-0000C0650000}"/>
    <cellStyle name="Hed Top - SECTION 2 6 13" xfId="24202" xr:uid="{00000000-0005-0000-0000-0000C1650000}"/>
    <cellStyle name="Hed Top - SECTION 2 6 13 2" xfId="24203" xr:uid="{00000000-0005-0000-0000-0000C2650000}"/>
    <cellStyle name="Hed Top - SECTION 2 6 14" xfId="24204" xr:uid="{00000000-0005-0000-0000-0000C3650000}"/>
    <cellStyle name="Hed Top - SECTION 2 6 14 2" xfId="24205" xr:uid="{00000000-0005-0000-0000-0000C4650000}"/>
    <cellStyle name="Hed Top - SECTION 2 6 15" xfId="24206" xr:uid="{00000000-0005-0000-0000-0000C5650000}"/>
    <cellStyle name="Hed Top - SECTION 2 6 15 2" xfId="24207" xr:uid="{00000000-0005-0000-0000-0000C6650000}"/>
    <cellStyle name="Hed Top - SECTION 2 6 16" xfId="24208" xr:uid="{00000000-0005-0000-0000-0000C7650000}"/>
    <cellStyle name="Hed Top - SECTION 2 6 16 2" xfId="24209" xr:uid="{00000000-0005-0000-0000-0000C8650000}"/>
    <cellStyle name="Hed Top - SECTION 2 6 17" xfId="24210" xr:uid="{00000000-0005-0000-0000-0000C9650000}"/>
    <cellStyle name="Hed Top - SECTION 2 6 17 2" xfId="24211" xr:uid="{00000000-0005-0000-0000-0000CA650000}"/>
    <cellStyle name="Hed Top - SECTION 2 6 18" xfId="24212" xr:uid="{00000000-0005-0000-0000-0000CB650000}"/>
    <cellStyle name="Hed Top - SECTION 2 6 2" xfId="24213" xr:uid="{00000000-0005-0000-0000-0000CC650000}"/>
    <cellStyle name="Hed Top - SECTION 2 6 2 10" xfId="24214" xr:uid="{00000000-0005-0000-0000-0000CD650000}"/>
    <cellStyle name="Hed Top - SECTION 2 6 2 2" xfId="24215" xr:uid="{00000000-0005-0000-0000-0000CE650000}"/>
    <cellStyle name="Hed Top - SECTION 2 6 2 2 2" xfId="24216" xr:uid="{00000000-0005-0000-0000-0000CF650000}"/>
    <cellStyle name="Hed Top - SECTION 2 6 2 3" xfId="24217" xr:uid="{00000000-0005-0000-0000-0000D0650000}"/>
    <cellStyle name="Hed Top - SECTION 2 6 2 3 2" xfId="24218" xr:uid="{00000000-0005-0000-0000-0000D1650000}"/>
    <cellStyle name="Hed Top - SECTION 2 6 2 4" xfId="24219" xr:uid="{00000000-0005-0000-0000-0000D2650000}"/>
    <cellStyle name="Hed Top - SECTION 2 6 2 4 2" xfId="24220" xr:uid="{00000000-0005-0000-0000-0000D3650000}"/>
    <cellStyle name="Hed Top - SECTION 2 6 2 5" xfId="24221" xr:uid="{00000000-0005-0000-0000-0000D4650000}"/>
    <cellStyle name="Hed Top - SECTION 2 6 2 5 2" xfId="24222" xr:uid="{00000000-0005-0000-0000-0000D5650000}"/>
    <cellStyle name="Hed Top - SECTION 2 6 2 6" xfId="24223" xr:uid="{00000000-0005-0000-0000-0000D6650000}"/>
    <cellStyle name="Hed Top - SECTION 2 6 2 6 2" xfId="24224" xr:uid="{00000000-0005-0000-0000-0000D7650000}"/>
    <cellStyle name="Hed Top - SECTION 2 6 2 7" xfId="24225" xr:uid="{00000000-0005-0000-0000-0000D8650000}"/>
    <cellStyle name="Hed Top - SECTION 2 6 2 7 2" xfId="24226" xr:uid="{00000000-0005-0000-0000-0000D9650000}"/>
    <cellStyle name="Hed Top - SECTION 2 6 2 8" xfId="24227" xr:uid="{00000000-0005-0000-0000-0000DA650000}"/>
    <cellStyle name="Hed Top - SECTION 2 6 2 8 2" xfId="24228" xr:uid="{00000000-0005-0000-0000-0000DB650000}"/>
    <cellStyle name="Hed Top - SECTION 2 6 2 9" xfId="24229" xr:uid="{00000000-0005-0000-0000-0000DC650000}"/>
    <cellStyle name="Hed Top - SECTION 2 6 2 9 2" xfId="24230" xr:uid="{00000000-0005-0000-0000-0000DD650000}"/>
    <cellStyle name="Hed Top - SECTION 2 6 3" xfId="24231" xr:uid="{00000000-0005-0000-0000-0000DE650000}"/>
    <cellStyle name="Hed Top - SECTION 2 6 3 10" xfId="24232" xr:uid="{00000000-0005-0000-0000-0000DF650000}"/>
    <cellStyle name="Hed Top - SECTION 2 6 3 2" xfId="24233" xr:uid="{00000000-0005-0000-0000-0000E0650000}"/>
    <cellStyle name="Hed Top - SECTION 2 6 3 2 2" xfId="24234" xr:uid="{00000000-0005-0000-0000-0000E1650000}"/>
    <cellStyle name="Hed Top - SECTION 2 6 3 3" xfId="24235" xr:uid="{00000000-0005-0000-0000-0000E2650000}"/>
    <cellStyle name="Hed Top - SECTION 2 6 3 3 2" xfId="24236" xr:uid="{00000000-0005-0000-0000-0000E3650000}"/>
    <cellStyle name="Hed Top - SECTION 2 6 3 4" xfId="24237" xr:uid="{00000000-0005-0000-0000-0000E4650000}"/>
    <cellStyle name="Hed Top - SECTION 2 6 3 4 2" xfId="24238" xr:uid="{00000000-0005-0000-0000-0000E5650000}"/>
    <cellStyle name="Hed Top - SECTION 2 6 3 5" xfId="24239" xr:uid="{00000000-0005-0000-0000-0000E6650000}"/>
    <cellStyle name="Hed Top - SECTION 2 6 3 5 2" xfId="24240" xr:uid="{00000000-0005-0000-0000-0000E7650000}"/>
    <cellStyle name="Hed Top - SECTION 2 6 3 6" xfId="24241" xr:uid="{00000000-0005-0000-0000-0000E8650000}"/>
    <cellStyle name="Hed Top - SECTION 2 6 3 6 2" xfId="24242" xr:uid="{00000000-0005-0000-0000-0000E9650000}"/>
    <cellStyle name="Hed Top - SECTION 2 6 3 7" xfId="24243" xr:uid="{00000000-0005-0000-0000-0000EA650000}"/>
    <cellStyle name="Hed Top - SECTION 2 6 3 7 2" xfId="24244" xr:uid="{00000000-0005-0000-0000-0000EB650000}"/>
    <cellStyle name="Hed Top - SECTION 2 6 3 8" xfId="24245" xr:uid="{00000000-0005-0000-0000-0000EC650000}"/>
    <cellStyle name="Hed Top - SECTION 2 6 3 8 2" xfId="24246" xr:uid="{00000000-0005-0000-0000-0000ED650000}"/>
    <cellStyle name="Hed Top - SECTION 2 6 3 9" xfId="24247" xr:uid="{00000000-0005-0000-0000-0000EE650000}"/>
    <cellStyle name="Hed Top - SECTION 2 6 3 9 2" xfId="24248" xr:uid="{00000000-0005-0000-0000-0000EF650000}"/>
    <cellStyle name="Hed Top - SECTION 2 6 4" xfId="24249" xr:uid="{00000000-0005-0000-0000-0000F0650000}"/>
    <cellStyle name="Hed Top - SECTION 2 6 4 10" xfId="24250" xr:uid="{00000000-0005-0000-0000-0000F1650000}"/>
    <cellStyle name="Hed Top - SECTION 2 6 4 2" xfId="24251" xr:uid="{00000000-0005-0000-0000-0000F2650000}"/>
    <cellStyle name="Hed Top - SECTION 2 6 4 2 2" xfId="24252" xr:uid="{00000000-0005-0000-0000-0000F3650000}"/>
    <cellStyle name="Hed Top - SECTION 2 6 4 3" xfId="24253" xr:uid="{00000000-0005-0000-0000-0000F4650000}"/>
    <cellStyle name="Hed Top - SECTION 2 6 4 3 2" xfId="24254" xr:uid="{00000000-0005-0000-0000-0000F5650000}"/>
    <cellStyle name="Hed Top - SECTION 2 6 4 4" xfId="24255" xr:uid="{00000000-0005-0000-0000-0000F6650000}"/>
    <cellStyle name="Hed Top - SECTION 2 6 4 4 2" xfId="24256" xr:uid="{00000000-0005-0000-0000-0000F7650000}"/>
    <cellStyle name="Hed Top - SECTION 2 6 4 5" xfId="24257" xr:uid="{00000000-0005-0000-0000-0000F8650000}"/>
    <cellStyle name="Hed Top - SECTION 2 6 4 5 2" xfId="24258" xr:uid="{00000000-0005-0000-0000-0000F9650000}"/>
    <cellStyle name="Hed Top - SECTION 2 6 4 6" xfId="24259" xr:uid="{00000000-0005-0000-0000-0000FA650000}"/>
    <cellStyle name="Hed Top - SECTION 2 6 4 6 2" xfId="24260" xr:uid="{00000000-0005-0000-0000-0000FB650000}"/>
    <cellStyle name="Hed Top - SECTION 2 6 4 7" xfId="24261" xr:uid="{00000000-0005-0000-0000-0000FC650000}"/>
    <cellStyle name="Hed Top - SECTION 2 6 4 7 2" xfId="24262" xr:uid="{00000000-0005-0000-0000-0000FD650000}"/>
    <cellStyle name="Hed Top - SECTION 2 6 4 8" xfId="24263" xr:uid="{00000000-0005-0000-0000-0000FE650000}"/>
    <cellStyle name="Hed Top - SECTION 2 6 4 8 2" xfId="24264" xr:uid="{00000000-0005-0000-0000-0000FF650000}"/>
    <cellStyle name="Hed Top - SECTION 2 6 4 9" xfId="24265" xr:uid="{00000000-0005-0000-0000-000000660000}"/>
    <cellStyle name="Hed Top - SECTION 2 6 4 9 2" xfId="24266" xr:uid="{00000000-0005-0000-0000-000001660000}"/>
    <cellStyle name="Hed Top - SECTION 2 6 5" xfId="24267" xr:uid="{00000000-0005-0000-0000-000002660000}"/>
    <cellStyle name="Hed Top - SECTION 2 6 5 10" xfId="24268" xr:uid="{00000000-0005-0000-0000-000003660000}"/>
    <cellStyle name="Hed Top - SECTION 2 6 5 2" xfId="24269" xr:uid="{00000000-0005-0000-0000-000004660000}"/>
    <cellStyle name="Hed Top - SECTION 2 6 5 2 2" xfId="24270" xr:uid="{00000000-0005-0000-0000-000005660000}"/>
    <cellStyle name="Hed Top - SECTION 2 6 5 3" xfId="24271" xr:uid="{00000000-0005-0000-0000-000006660000}"/>
    <cellStyle name="Hed Top - SECTION 2 6 5 3 2" xfId="24272" xr:uid="{00000000-0005-0000-0000-000007660000}"/>
    <cellStyle name="Hed Top - SECTION 2 6 5 4" xfId="24273" xr:uid="{00000000-0005-0000-0000-000008660000}"/>
    <cellStyle name="Hed Top - SECTION 2 6 5 4 2" xfId="24274" xr:uid="{00000000-0005-0000-0000-000009660000}"/>
    <cellStyle name="Hed Top - SECTION 2 6 5 5" xfId="24275" xr:uid="{00000000-0005-0000-0000-00000A660000}"/>
    <cellStyle name="Hed Top - SECTION 2 6 5 5 2" xfId="24276" xr:uid="{00000000-0005-0000-0000-00000B660000}"/>
    <cellStyle name="Hed Top - SECTION 2 6 5 6" xfId="24277" xr:uid="{00000000-0005-0000-0000-00000C660000}"/>
    <cellStyle name="Hed Top - SECTION 2 6 5 6 2" xfId="24278" xr:uid="{00000000-0005-0000-0000-00000D660000}"/>
    <cellStyle name="Hed Top - SECTION 2 6 5 7" xfId="24279" xr:uid="{00000000-0005-0000-0000-00000E660000}"/>
    <cellStyle name="Hed Top - SECTION 2 6 5 7 2" xfId="24280" xr:uid="{00000000-0005-0000-0000-00000F660000}"/>
    <cellStyle name="Hed Top - SECTION 2 6 5 8" xfId="24281" xr:uid="{00000000-0005-0000-0000-000010660000}"/>
    <cellStyle name="Hed Top - SECTION 2 6 5 8 2" xfId="24282" xr:uid="{00000000-0005-0000-0000-000011660000}"/>
    <cellStyle name="Hed Top - SECTION 2 6 5 9" xfId="24283" xr:uid="{00000000-0005-0000-0000-000012660000}"/>
    <cellStyle name="Hed Top - SECTION 2 6 5 9 2" xfId="24284" xr:uid="{00000000-0005-0000-0000-000013660000}"/>
    <cellStyle name="Hed Top - SECTION 2 6 6" xfId="24285" xr:uid="{00000000-0005-0000-0000-000014660000}"/>
    <cellStyle name="Hed Top - SECTION 2 6 6 10" xfId="24286" xr:uid="{00000000-0005-0000-0000-000015660000}"/>
    <cellStyle name="Hed Top - SECTION 2 6 6 2" xfId="24287" xr:uid="{00000000-0005-0000-0000-000016660000}"/>
    <cellStyle name="Hed Top - SECTION 2 6 6 2 2" xfId="24288" xr:uid="{00000000-0005-0000-0000-000017660000}"/>
    <cellStyle name="Hed Top - SECTION 2 6 6 3" xfId="24289" xr:uid="{00000000-0005-0000-0000-000018660000}"/>
    <cellStyle name="Hed Top - SECTION 2 6 6 3 2" xfId="24290" xr:uid="{00000000-0005-0000-0000-000019660000}"/>
    <cellStyle name="Hed Top - SECTION 2 6 6 4" xfId="24291" xr:uid="{00000000-0005-0000-0000-00001A660000}"/>
    <cellStyle name="Hed Top - SECTION 2 6 6 4 2" xfId="24292" xr:uid="{00000000-0005-0000-0000-00001B660000}"/>
    <cellStyle name="Hed Top - SECTION 2 6 6 5" xfId="24293" xr:uid="{00000000-0005-0000-0000-00001C660000}"/>
    <cellStyle name="Hed Top - SECTION 2 6 6 5 2" xfId="24294" xr:uid="{00000000-0005-0000-0000-00001D660000}"/>
    <cellStyle name="Hed Top - SECTION 2 6 6 6" xfId="24295" xr:uid="{00000000-0005-0000-0000-00001E660000}"/>
    <cellStyle name="Hed Top - SECTION 2 6 6 6 2" xfId="24296" xr:uid="{00000000-0005-0000-0000-00001F660000}"/>
    <cellStyle name="Hed Top - SECTION 2 6 6 7" xfId="24297" xr:uid="{00000000-0005-0000-0000-000020660000}"/>
    <cellStyle name="Hed Top - SECTION 2 6 6 7 2" xfId="24298" xr:uid="{00000000-0005-0000-0000-000021660000}"/>
    <cellStyle name="Hed Top - SECTION 2 6 6 8" xfId="24299" xr:uid="{00000000-0005-0000-0000-000022660000}"/>
    <cellStyle name="Hed Top - SECTION 2 6 6 8 2" xfId="24300" xr:uid="{00000000-0005-0000-0000-000023660000}"/>
    <cellStyle name="Hed Top - SECTION 2 6 6 9" xfId="24301" xr:uid="{00000000-0005-0000-0000-000024660000}"/>
    <cellStyle name="Hed Top - SECTION 2 6 6 9 2" xfId="24302" xr:uid="{00000000-0005-0000-0000-000025660000}"/>
    <cellStyle name="Hed Top - SECTION 2 6 7" xfId="24303" xr:uid="{00000000-0005-0000-0000-000026660000}"/>
    <cellStyle name="Hed Top - SECTION 2 6 7 10" xfId="24304" xr:uid="{00000000-0005-0000-0000-000027660000}"/>
    <cellStyle name="Hed Top - SECTION 2 6 7 2" xfId="24305" xr:uid="{00000000-0005-0000-0000-000028660000}"/>
    <cellStyle name="Hed Top - SECTION 2 6 7 2 2" xfId="24306" xr:uid="{00000000-0005-0000-0000-000029660000}"/>
    <cellStyle name="Hed Top - SECTION 2 6 7 3" xfId="24307" xr:uid="{00000000-0005-0000-0000-00002A660000}"/>
    <cellStyle name="Hed Top - SECTION 2 6 7 3 2" xfId="24308" xr:uid="{00000000-0005-0000-0000-00002B660000}"/>
    <cellStyle name="Hed Top - SECTION 2 6 7 4" xfId="24309" xr:uid="{00000000-0005-0000-0000-00002C660000}"/>
    <cellStyle name="Hed Top - SECTION 2 6 7 4 2" xfId="24310" xr:uid="{00000000-0005-0000-0000-00002D660000}"/>
    <cellStyle name="Hed Top - SECTION 2 6 7 5" xfId="24311" xr:uid="{00000000-0005-0000-0000-00002E660000}"/>
    <cellStyle name="Hed Top - SECTION 2 6 7 5 2" xfId="24312" xr:uid="{00000000-0005-0000-0000-00002F660000}"/>
    <cellStyle name="Hed Top - SECTION 2 6 7 6" xfId="24313" xr:uid="{00000000-0005-0000-0000-000030660000}"/>
    <cellStyle name="Hed Top - SECTION 2 6 7 6 2" xfId="24314" xr:uid="{00000000-0005-0000-0000-000031660000}"/>
    <cellStyle name="Hed Top - SECTION 2 6 7 7" xfId="24315" xr:uid="{00000000-0005-0000-0000-000032660000}"/>
    <cellStyle name="Hed Top - SECTION 2 6 7 7 2" xfId="24316" xr:uid="{00000000-0005-0000-0000-000033660000}"/>
    <cellStyle name="Hed Top - SECTION 2 6 7 8" xfId="24317" xr:uid="{00000000-0005-0000-0000-000034660000}"/>
    <cellStyle name="Hed Top - SECTION 2 6 7 8 2" xfId="24318" xr:uid="{00000000-0005-0000-0000-000035660000}"/>
    <cellStyle name="Hed Top - SECTION 2 6 7 9" xfId="24319" xr:uid="{00000000-0005-0000-0000-000036660000}"/>
    <cellStyle name="Hed Top - SECTION 2 6 7 9 2" xfId="24320" xr:uid="{00000000-0005-0000-0000-000037660000}"/>
    <cellStyle name="Hed Top - SECTION 2 6 8" xfId="24321" xr:uid="{00000000-0005-0000-0000-000038660000}"/>
    <cellStyle name="Hed Top - SECTION 2 6 8 10" xfId="24322" xr:uid="{00000000-0005-0000-0000-000039660000}"/>
    <cellStyle name="Hed Top - SECTION 2 6 8 2" xfId="24323" xr:uid="{00000000-0005-0000-0000-00003A660000}"/>
    <cellStyle name="Hed Top - SECTION 2 6 8 2 2" xfId="24324" xr:uid="{00000000-0005-0000-0000-00003B660000}"/>
    <cellStyle name="Hed Top - SECTION 2 6 8 3" xfId="24325" xr:uid="{00000000-0005-0000-0000-00003C660000}"/>
    <cellStyle name="Hed Top - SECTION 2 6 8 3 2" xfId="24326" xr:uid="{00000000-0005-0000-0000-00003D660000}"/>
    <cellStyle name="Hed Top - SECTION 2 6 8 4" xfId="24327" xr:uid="{00000000-0005-0000-0000-00003E660000}"/>
    <cellStyle name="Hed Top - SECTION 2 6 8 4 2" xfId="24328" xr:uid="{00000000-0005-0000-0000-00003F660000}"/>
    <cellStyle name="Hed Top - SECTION 2 6 8 5" xfId="24329" xr:uid="{00000000-0005-0000-0000-000040660000}"/>
    <cellStyle name="Hed Top - SECTION 2 6 8 5 2" xfId="24330" xr:uid="{00000000-0005-0000-0000-000041660000}"/>
    <cellStyle name="Hed Top - SECTION 2 6 8 6" xfId="24331" xr:uid="{00000000-0005-0000-0000-000042660000}"/>
    <cellStyle name="Hed Top - SECTION 2 6 8 6 2" xfId="24332" xr:uid="{00000000-0005-0000-0000-000043660000}"/>
    <cellStyle name="Hed Top - SECTION 2 6 8 7" xfId="24333" xr:uid="{00000000-0005-0000-0000-000044660000}"/>
    <cellStyle name="Hed Top - SECTION 2 6 8 7 2" xfId="24334" xr:uid="{00000000-0005-0000-0000-000045660000}"/>
    <cellStyle name="Hed Top - SECTION 2 6 8 8" xfId="24335" xr:uid="{00000000-0005-0000-0000-000046660000}"/>
    <cellStyle name="Hed Top - SECTION 2 6 8 8 2" xfId="24336" xr:uid="{00000000-0005-0000-0000-000047660000}"/>
    <cellStyle name="Hed Top - SECTION 2 6 8 9" xfId="24337" xr:uid="{00000000-0005-0000-0000-000048660000}"/>
    <cellStyle name="Hed Top - SECTION 2 6 8 9 2" xfId="24338" xr:uid="{00000000-0005-0000-0000-000049660000}"/>
    <cellStyle name="Hed Top - SECTION 2 6 9" xfId="24339" xr:uid="{00000000-0005-0000-0000-00004A660000}"/>
    <cellStyle name="Hed Top - SECTION 2 6 9 10" xfId="24340" xr:uid="{00000000-0005-0000-0000-00004B660000}"/>
    <cellStyle name="Hed Top - SECTION 2 6 9 2" xfId="24341" xr:uid="{00000000-0005-0000-0000-00004C660000}"/>
    <cellStyle name="Hed Top - SECTION 2 6 9 2 2" xfId="24342" xr:uid="{00000000-0005-0000-0000-00004D660000}"/>
    <cellStyle name="Hed Top - SECTION 2 6 9 3" xfId="24343" xr:uid="{00000000-0005-0000-0000-00004E660000}"/>
    <cellStyle name="Hed Top - SECTION 2 6 9 3 2" xfId="24344" xr:uid="{00000000-0005-0000-0000-00004F660000}"/>
    <cellStyle name="Hed Top - SECTION 2 6 9 4" xfId="24345" xr:uid="{00000000-0005-0000-0000-000050660000}"/>
    <cellStyle name="Hed Top - SECTION 2 6 9 4 2" xfId="24346" xr:uid="{00000000-0005-0000-0000-000051660000}"/>
    <cellStyle name="Hed Top - SECTION 2 6 9 5" xfId="24347" xr:uid="{00000000-0005-0000-0000-000052660000}"/>
    <cellStyle name="Hed Top - SECTION 2 6 9 5 2" xfId="24348" xr:uid="{00000000-0005-0000-0000-000053660000}"/>
    <cellStyle name="Hed Top - SECTION 2 6 9 6" xfId="24349" xr:uid="{00000000-0005-0000-0000-000054660000}"/>
    <cellStyle name="Hed Top - SECTION 2 6 9 6 2" xfId="24350" xr:uid="{00000000-0005-0000-0000-000055660000}"/>
    <cellStyle name="Hed Top - SECTION 2 6 9 7" xfId="24351" xr:uid="{00000000-0005-0000-0000-000056660000}"/>
    <cellStyle name="Hed Top - SECTION 2 6 9 7 2" xfId="24352" xr:uid="{00000000-0005-0000-0000-000057660000}"/>
    <cellStyle name="Hed Top - SECTION 2 6 9 8" xfId="24353" xr:uid="{00000000-0005-0000-0000-000058660000}"/>
    <cellStyle name="Hed Top - SECTION 2 6 9 8 2" xfId="24354" xr:uid="{00000000-0005-0000-0000-000059660000}"/>
    <cellStyle name="Hed Top - SECTION 2 6 9 9" xfId="24355" xr:uid="{00000000-0005-0000-0000-00005A660000}"/>
    <cellStyle name="Hed Top - SECTION 2 6 9 9 2" xfId="24356" xr:uid="{00000000-0005-0000-0000-00005B660000}"/>
    <cellStyle name="Hed Top - SECTION 2 7" xfId="24357" xr:uid="{00000000-0005-0000-0000-00005C660000}"/>
    <cellStyle name="Hed Top - SECTION 2 7 10" xfId="24358" xr:uid="{00000000-0005-0000-0000-00005D660000}"/>
    <cellStyle name="Hed Top - SECTION 2 7 10 2" xfId="24359" xr:uid="{00000000-0005-0000-0000-00005E660000}"/>
    <cellStyle name="Hed Top - SECTION 2 7 10 2 2" xfId="24360" xr:uid="{00000000-0005-0000-0000-00005F660000}"/>
    <cellStyle name="Hed Top - SECTION 2 7 10 3" xfId="24361" xr:uid="{00000000-0005-0000-0000-000060660000}"/>
    <cellStyle name="Hed Top - SECTION 2 7 10 3 2" xfId="24362" xr:uid="{00000000-0005-0000-0000-000061660000}"/>
    <cellStyle name="Hed Top - SECTION 2 7 10 4" xfId="24363" xr:uid="{00000000-0005-0000-0000-000062660000}"/>
    <cellStyle name="Hed Top - SECTION 2 7 10 4 2" xfId="24364" xr:uid="{00000000-0005-0000-0000-000063660000}"/>
    <cellStyle name="Hed Top - SECTION 2 7 10 5" xfId="24365" xr:uid="{00000000-0005-0000-0000-000064660000}"/>
    <cellStyle name="Hed Top - SECTION 2 7 10 5 2" xfId="24366" xr:uid="{00000000-0005-0000-0000-000065660000}"/>
    <cellStyle name="Hed Top - SECTION 2 7 10 6" xfId="24367" xr:uid="{00000000-0005-0000-0000-000066660000}"/>
    <cellStyle name="Hed Top - SECTION 2 7 10 6 2" xfId="24368" xr:uid="{00000000-0005-0000-0000-000067660000}"/>
    <cellStyle name="Hed Top - SECTION 2 7 10 7" xfId="24369" xr:uid="{00000000-0005-0000-0000-000068660000}"/>
    <cellStyle name="Hed Top - SECTION 2 7 10 7 2" xfId="24370" xr:uid="{00000000-0005-0000-0000-000069660000}"/>
    <cellStyle name="Hed Top - SECTION 2 7 10 8" xfId="24371" xr:uid="{00000000-0005-0000-0000-00006A660000}"/>
    <cellStyle name="Hed Top - SECTION 2 7 10 8 2" xfId="24372" xr:uid="{00000000-0005-0000-0000-00006B660000}"/>
    <cellStyle name="Hed Top - SECTION 2 7 10 9" xfId="24373" xr:uid="{00000000-0005-0000-0000-00006C660000}"/>
    <cellStyle name="Hed Top - SECTION 2 7 11" xfId="24374" xr:uid="{00000000-0005-0000-0000-00006D660000}"/>
    <cellStyle name="Hed Top - SECTION 2 7 11 2" xfId="24375" xr:uid="{00000000-0005-0000-0000-00006E660000}"/>
    <cellStyle name="Hed Top - SECTION 2 7 12" xfId="24376" xr:uid="{00000000-0005-0000-0000-00006F660000}"/>
    <cellStyle name="Hed Top - SECTION 2 7 12 2" xfId="24377" xr:uid="{00000000-0005-0000-0000-000070660000}"/>
    <cellStyle name="Hed Top - SECTION 2 7 13" xfId="24378" xr:uid="{00000000-0005-0000-0000-000071660000}"/>
    <cellStyle name="Hed Top - SECTION 2 7 13 2" xfId="24379" xr:uid="{00000000-0005-0000-0000-000072660000}"/>
    <cellStyle name="Hed Top - SECTION 2 7 14" xfId="24380" xr:uid="{00000000-0005-0000-0000-000073660000}"/>
    <cellStyle name="Hed Top - SECTION 2 7 14 2" xfId="24381" xr:uid="{00000000-0005-0000-0000-000074660000}"/>
    <cellStyle name="Hed Top - SECTION 2 7 15" xfId="24382" xr:uid="{00000000-0005-0000-0000-000075660000}"/>
    <cellStyle name="Hed Top - SECTION 2 7 15 2" xfId="24383" xr:uid="{00000000-0005-0000-0000-000076660000}"/>
    <cellStyle name="Hed Top - SECTION 2 7 16" xfId="24384" xr:uid="{00000000-0005-0000-0000-000077660000}"/>
    <cellStyle name="Hed Top - SECTION 2 7 16 2" xfId="24385" xr:uid="{00000000-0005-0000-0000-000078660000}"/>
    <cellStyle name="Hed Top - SECTION 2 7 17" xfId="24386" xr:uid="{00000000-0005-0000-0000-000079660000}"/>
    <cellStyle name="Hed Top - SECTION 2 7 17 2" xfId="24387" xr:uid="{00000000-0005-0000-0000-00007A660000}"/>
    <cellStyle name="Hed Top - SECTION 2 7 18" xfId="24388" xr:uid="{00000000-0005-0000-0000-00007B660000}"/>
    <cellStyle name="Hed Top - SECTION 2 7 2" xfId="24389" xr:uid="{00000000-0005-0000-0000-00007C660000}"/>
    <cellStyle name="Hed Top - SECTION 2 7 2 10" xfId="24390" xr:uid="{00000000-0005-0000-0000-00007D660000}"/>
    <cellStyle name="Hed Top - SECTION 2 7 2 2" xfId="24391" xr:uid="{00000000-0005-0000-0000-00007E660000}"/>
    <cellStyle name="Hed Top - SECTION 2 7 2 2 2" xfId="24392" xr:uid="{00000000-0005-0000-0000-00007F660000}"/>
    <cellStyle name="Hed Top - SECTION 2 7 2 3" xfId="24393" xr:uid="{00000000-0005-0000-0000-000080660000}"/>
    <cellStyle name="Hed Top - SECTION 2 7 2 3 2" xfId="24394" xr:uid="{00000000-0005-0000-0000-000081660000}"/>
    <cellStyle name="Hed Top - SECTION 2 7 2 4" xfId="24395" xr:uid="{00000000-0005-0000-0000-000082660000}"/>
    <cellStyle name="Hed Top - SECTION 2 7 2 4 2" xfId="24396" xr:uid="{00000000-0005-0000-0000-000083660000}"/>
    <cellStyle name="Hed Top - SECTION 2 7 2 5" xfId="24397" xr:uid="{00000000-0005-0000-0000-000084660000}"/>
    <cellStyle name="Hed Top - SECTION 2 7 2 5 2" xfId="24398" xr:uid="{00000000-0005-0000-0000-000085660000}"/>
    <cellStyle name="Hed Top - SECTION 2 7 2 6" xfId="24399" xr:uid="{00000000-0005-0000-0000-000086660000}"/>
    <cellStyle name="Hed Top - SECTION 2 7 2 6 2" xfId="24400" xr:uid="{00000000-0005-0000-0000-000087660000}"/>
    <cellStyle name="Hed Top - SECTION 2 7 2 7" xfId="24401" xr:uid="{00000000-0005-0000-0000-000088660000}"/>
    <cellStyle name="Hed Top - SECTION 2 7 2 7 2" xfId="24402" xr:uid="{00000000-0005-0000-0000-000089660000}"/>
    <cellStyle name="Hed Top - SECTION 2 7 2 8" xfId="24403" xr:uid="{00000000-0005-0000-0000-00008A660000}"/>
    <cellStyle name="Hed Top - SECTION 2 7 2 8 2" xfId="24404" xr:uid="{00000000-0005-0000-0000-00008B660000}"/>
    <cellStyle name="Hed Top - SECTION 2 7 2 9" xfId="24405" xr:uid="{00000000-0005-0000-0000-00008C660000}"/>
    <cellStyle name="Hed Top - SECTION 2 7 2 9 2" xfId="24406" xr:uid="{00000000-0005-0000-0000-00008D660000}"/>
    <cellStyle name="Hed Top - SECTION 2 7 3" xfId="24407" xr:uid="{00000000-0005-0000-0000-00008E660000}"/>
    <cellStyle name="Hed Top - SECTION 2 7 3 10" xfId="24408" xr:uid="{00000000-0005-0000-0000-00008F660000}"/>
    <cellStyle name="Hed Top - SECTION 2 7 3 2" xfId="24409" xr:uid="{00000000-0005-0000-0000-000090660000}"/>
    <cellStyle name="Hed Top - SECTION 2 7 3 2 2" xfId="24410" xr:uid="{00000000-0005-0000-0000-000091660000}"/>
    <cellStyle name="Hed Top - SECTION 2 7 3 3" xfId="24411" xr:uid="{00000000-0005-0000-0000-000092660000}"/>
    <cellStyle name="Hed Top - SECTION 2 7 3 3 2" xfId="24412" xr:uid="{00000000-0005-0000-0000-000093660000}"/>
    <cellStyle name="Hed Top - SECTION 2 7 3 4" xfId="24413" xr:uid="{00000000-0005-0000-0000-000094660000}"/>
    <cellStyle name="Hed Top - SECTION 2 7 3 4 2" xfId="24414" xr:uid="{00000000-0005-0000-0000-000095660000}"/>
    <cellStyle name="Hed Top - SECTION 2 7 3 5" xfId="24415" xr:uid="{00000000-0005-0000-0000-000096660000}"/>
    <cellStyle name="Hed Top - SECTION 2 7 3 5 2" xfId="24416" xr:uid="{00000000-0005-0000-0000-000097660000}"/>
    <cellStyle name="Hed Top - SECTION 2 7 3 6" xfId="24417" xr:uid="{00000000-0005-0000-0000-000098660000}"/>
    <cellStyle name="Hed Top - SECTION 2 7 3 6 2" xfId="24418" xr:uid="{00000000-0005-0000-0000-000099660000}"/>
    <cellStyle name="Hed Top - SECTION 2 7 3 7" xfId="24419" xr:uid="{00000000-0005-0000-0000-00009A660000}"/>
    <cellStyle name="Hed Top - SECTION 2 7 3 7 2" xfId="24420" xr:uid="{00000000-0005-0000-0000-00009B660000}"/>
    <cellStyle name="Hed Top - SECTION 2 7 3 8" xfId="24421" xr:uid="{00000000-0005-0000-0000-00009C660000}"/>
    <cellStyle name="Hed Top - SECTION 2 7 3 8 2" xfId="24422" xr:uid="{00000000-0005-0000-0000-00009D660000}"/>
    <cellStyle name="Hed Top - SECTION 2 7 3 9" xfId="24423" xr:uid="{00000000-0005-0000-0000-00009E660000}"/>
    <cellStyle name="Hed Top - SECTION 2 7 3 9 2" xfId="24424" xr:uid="{00000000-0005-0000-0000-00009F660000}"/>
    <cellStyle name="Hed Top - SECTION 2 7 4" xfId="24425" xr:uid="{00000000-0005-0000-0000-0000A0660000}"/>
    <cellStyle name="Hed Top - SECTION 2 7 4 10" xfId="24426" xr:uid="{00000000-0005-0000-0000-0000A1660000}"/>
    <cellStyle name="Hed Top - SECTION 2 7 4 2" xfId="24427" xr:uid="{00000000-0005-0000-0000-0000A2660000}"/>
    <cellStyle name="Hed Top - SECTION 2 7 4 2 2" xfId="24428" xr:uid="{00000000-0005-0000-0000-0000A3660000}"/>
    <cellStyle name="Hed Top - SECTION 2 7 4 3" xfId="24429" xr:uid="{00000000-0005-0000-0000-0000A4660000}"/>
    <cellStyle name="Hed Top - SECTION 2 7 4 3 2" xfId="24430" xr:uid="{00000000-0005-0000-0000-0000A5660000}"/>
    <cellStyle name="Hed Top - SECTION 2 7 4 4" xfId="24431" xr:uid="{00000000-0005-0000-0000-0000A6660000}"/>
    <cellStyle name="Hed Top - SECTION 2 7 4 4 2" xfId="24432" xr:uid="{00000000-0005-0000-0000-0000A7660000}"/>
    <cellStyle name="Hed Top - SECTION 2 7 4 5" xfId="24433" xr:uid="{00000000-0005-0000-0000-0000A8660000}"/>
    <cellStyle name="Hed Top - SECTION 2 7 4 5 2" xfId="24434" xr:uid="{00000000-0005-0000-0000-0000A9660000}"/>
    <cellStyle name="Hed Top - SECTION 2 7 4 6" xfId="24435" xr:uid="{00000000-0005-0000-0000-0000AA660000}"/>
    <cellStyle name="Hed Top - SECTION 2 7 4 6 2" xfId="24436" xr:uid="{00000000-0005-0000-0000-0000AB660000}"/>
    <cellStyle name="Hed Top - SECTION 2 7 4 7" xfId="24437" xr:uid="{00000000-0005-0000-0000-0000AC660000}"/>
    <cellStyle name="Hed Top - SECTION 2 7 4 7 2" xfId="24438" xr:uid="{00000000-0005-0000-0000-0000AD660000}"/>
    <cellStyle name="Hed Top - SECTION 2 7 4 8" xfId="24439" xr:uid="{00000000-0005-0000-0000-0000AE660000}"/>
    <cellStyle name="Hed Top - SECTION 2 7 4 8 2" xfId="24440" xr:uid="{00000000-0005-0000-0000-0000AF660000}"/>
    <cellStyle name="Hed Top - SECTION 2 7 4 9" xfId="24441" xr:uid="{00000000-0005-0000-0000-0000B0660000}"/>
    <cellStyle name="Hed Top - SECTION 2 7 4 9 2" xfId="24442" xr:uid="{00000000-0005-0000-0000-0000B1660000}"/>
    <cellStyle name="Hed Top - SECTION 2 7 5" xfId="24443" xr:uid="{00000000-0005-0000-0000-0000B2660000}"/>
    <cellStyle name="Hed Top - SECTION 2 7 5 10" xfId="24444" xr:uid="{00000000-0005-0000-0000-0000B3660000}"/>
    <cellStyle name="Hed Top - SECTION 2 7 5 2" xfId="24445" xr:uid="{00000000-0005-0000-0000-0000B4660000}"/>
    <cellStyle name="Hed Top - SECTION 2 7 5 2 2" xfId="24446" xr:uid="{00000000-0005-0000-0000-0000B5660000}"/>
    <cellStyle name="Hed Top - SECTION 2 7 5 3" xfId="24447" xr:uid="{00000000-0005-0000-0000-0000B6660000}"/>
    <cellStyle name="Hed Top - SECTION 2 7 5 3 2" xfId="24448" xr:uid="{00000000-0005-0000-0000-0000B7660000}"/>
    <cellStyle name="Hed Top - SECTION 2 7 5 4" xfId="24449" xr:uid="{00000000-0005-0000-0000-0000B8660000}"/>
    <cellStyle name="Hed Top - SECTION 2 7 5 4 2" xfId="24450" xr:uid="{00000000-0005-0000-0000-0000B9660000}"/>
    <cellStyle name="Hed Top - SECTION 2 7 5 5" xfId="24451" xr:uid="{00000000-0005-0000-0000-0000BA660000}"/>
    <cellStyle name="Hed Top - SECTION 2 7 5 5 2" xfId="24452" xr:uid="{00000000-0005-0000-0000-0000BB660000}"/>
    <cellStyle name="Hed Top - SECTION 2 7 5 6" xfId="24453" xr:uid="{00000000-0005-0000-0000-0000BC660000}"/>
    <cellStyle name="Hed Top - SECTION 2 7 5 6 2" xfId="24454" xr:uid="{00000000-0005-0000-0000-0000BD660000}"/>
    <cellStyle name="Hed Top - SECTION 2 7 5 7" xfId="24455" xr:uid="{00000000-0005-0000-0000-0000BE660000}"/>
    <cellStyle name="Hed Top - SECTION 2 7 5 7 2" xfId="24456" xr:uid="{00000000-0005-0000-0000-0000BF660000}"/>
    <cellStyle name="Hed Top - SECTION 2 7 5 8" xfId="24457" xr:uid="{00000000-0005-0000-0000-0000C0660000}"/>
    <cellStyle name="Hed Top - SECTION 2 7 5 8 2" xfId="24458" xr:uid="{00000000-0005-0000-0000-0000C1660000}"/>
    <cellStyle name="Hed Top - SECTION 2 7 5 9" xfId="24459" xr:uid="{00000000-0005-0000-0000-0000C2660000}"/>
    <cellStyle name="Hed Top - SECTION 2 7 5 9 2" xfId="24460" xr:uid="{00000000-0005-0000-0000-0000C3660000}"/>
    <cellStyle name="Hed Top - SECTION 2 7 6" xfId="24461" xr:uid="{00000000-0005-0000-0000-0000C4660000}"/>
    <cellStyle name="Hed Top - SECTION 2 7 6 10" xfId="24462" xr:uid="{00000000-0005-0000-0000-0000C5660000}"/>
    <cellStyle name="Hed Top - SECTION 2 7 6 2" xfId="24463" xr:uid="{00000000-0005-0000-0000-0000C6660000}"/>
    <cellStyle name="Hed Top - SECTION 2 7 6 2 2" xfId="24464" xr:uid="{00000000-0005-0000-0000-0000C7660000}"/>
    <cellStyle name="Hed Top - SECTION 2 7 6 3" xfId="24465" xr:uid="{00000000-0005-0000-0000-0000C8660000}"/>
    <cellStyle name="Hed Top - SECTION 2 7 6 3 2" xfId="24466" xr:uid="{00000000-0005-0000-0000-0000C9660000}"/>
    <cellStyle name="Hed Top - SECTION 2 7 6 4" xfId="24467" xr:uid="{00000000-0005-0000-0000-0000CA660000}"/>
    <cellStyle name="Hed Top - SECTION 2 7 6 4 2" xfId="24468" xr:uid="{00000000-0005-0000-0000-0000CB660000}"/>
    <cellStyle name="Hed Top - SECTION 2 7 6 5" xfId="24469" xr:uid="{00000000-0005-0000-0000-0000CC660000}"/>
    <cellStyle name="Hed Top - SECTION 2 7 6 5 2" xfId="24470" xr:uid="{00000000-0005-0000-0000-0000CD660000}"/>
    <cellStyle name="Hed Top - SECTION 2 7 6 6" xfId="24471" xr:uid="{00000000-0005-0000-0000-0000CE660000}"/>
    <cellStyle name="Hed Top - SECTION 2 7 6 6 2" xfId="24472" xr:uid="{00000000-0005-0000-0000-0000CF660000}"/>
    <cellStyle name="Hed Top - SECTION 2 7 6 7" xfId="24473" xr:uid="{00000000-0005-0000-0000-0000D0660000}"/>
    <cellStyle name="Hed Top - SECTION 2 7 6 7 2" xfId="24474" xr:uid="{00000000-0005-0000-0000-0000D1660000}"/>
    <cellStyle name="Hed Top - SECTION 2 7 6 8" xfId="24475" xr:uid="{00000000-0005-0000-0000-0000D2660000}"/>
    <cellStyle name="Hed Top - SECTION 2 7 6 8 2" xfId="24476" xr:uid="{00000000-0005-0000-0000-0000D3660000}"/>
    <cellStyle name="Hed Top - SECTION 2 7 6 9" xfId="24477" xr:uid="{00000000-0005-0000-0000-0000D4660000}"/>
    <cellStyle name="Hed Top - SECTION 2 7 6 9 2" xfId="24478" xr:uid="{00000000-0005-0000-0000-0000D5660000}"/>
    <cellStyle name="Hed Top - SECTION 2 7 7" xfId="24479" xr:uid="{00000000-0005-0000-0000-0000D6660000}"/>
    <cellStyle name="Hed Top - SECTION 2 7 7 10" xfId="24480" xr:uid="{00000000-0005-0000-0000-0000D7660000}"/>
    <cellStyle name="Hed Top - SECTION 2 7 7 2" xfId="24481" xr:uid="{00000000-0005-0000-0000-0000D8660000}"/>
    <cellStyle name="Hed Top - SECTION 2 7 7 2 2" xfId="24482" xr:uid="{00000000-0005-0000-0000-0000D9660000}"/>
    <cellStyle name="Hed Top - SECTION 2 7 7 3" xfId="24483" xr:uid="{00000000-0005-0000-0000-0000DA660000}"/>
    <cellStyle name="Hed Top - SECTION 2 7 7 3 2" xfId="24484" xr:uid="{00000000-0005-0000-0000-0000DB660000}"/>
    <cellStyle name="Hed Top - SECTION 2 7 7 4" xfId="24485" xr:uid="{00000000-0005-0000-0000-0000DC660000}"/>
    <cellStyle name="Hed Top - SECTION 2 7 7 4 2" xfId="24486" xr:uid="{00000000-0005-0000-0000-0000DD660000}"/>
    <cellStyle name="Hed Top - SECTION 2 7 7 5" xfId="24487" xr:uid="{00000000-0005-0000-0000-0000DE660000}"/>
    <cellStyle name="Hed Top - SECTION 2 7 7 5 2" xfId="24488" xr:uid="{00000000-0005-0000-0000-0000DF660000}"/>
    <cellStyle name="Hed Top - SECTION 2 7 7 6" xfId="24489" xr:uid="{00000000-0005-0000-0000-0000E0660000}"/>
    <cellStyle name="Hed Top - SECTION 2 7 7 6 2" xfId="24490" xr:uid="{00000000-0005-0000-0000-0000E1660000}"/>
    <cellStyle name="Hed Top - SECTION 2 7 7 7" xfId="24491" xr:uid="{00000000-0005-0000-0000-0000E2660000}"/>
    <cellStyle name="Hed Top - SECTION 2 7 7 7 2" xfId="24492" xr:uid="{00000000-0005-0000-0000-0000E3660000}"/>
    <cellStyle name="Hed Top - SECTION 2 7 7 8" xfId="24493" xr:uid="{00000000-0005-0000-0000-0000E4660000}"/>
    <cellStyle name="Hed Top - SECTION 2 7 7 8 2" xfId="24494" xr:uid="{00000000-0005-0000-0000-0000E5660000}"/>
    <cellStyle name="Hed Top - SECTION 2 7 7 9" xfId="24495" xr:uid="{00000000-0005-0000-0000-0000E6660000}"/>
    <cellStyle name="Hed Top - SECTION 2 7 7 9 2" xfId="24496" xr:uid="{00000000-0005-0000-0000-0000E7660000}"/>
    <cellStyle name="Hed Top - SECTION 2 7 8" xfId="24497" xr:uid="{00000000-0005-0000-0000-0000E8660000}"/>
    <cellStyle name="Hed Top - SECTION 2 7 8 10" xfId="24498" xr:uid="{00000000-0005-0000-0000-0000E9660000}"/>
    <cellStyle name="Hed Top - SECTION 2 7 8 2" xfId="24499" xr:uid="{00000000-0005-0000-0000-0000EA660000}"/>
    <cellStyle name="Hed Top - SECTION 2 7 8 2 2" xfId="24500" xr:uid="{00000000-0005-0000-0000-0000EB660000}"/>
    <cellStyle name="Hed Top - SECTION 2 7 8 3" xfId="24501" xr:uid="{00000000-0005-0000-0000-0000EC660000}"/>
    <cellStyle name="Hed Top - SECTION 2 7 8 3 2" xfId="24502" xr:uid="{00000000-0005-0000-0000-0000ED660000}"/>
    <cellStyle name="Hed Top - SECTION 2 7 8 4" xfId="24503" xr:uid="{00000000-0005-0000-0000-0000EE660000}"/>
    <cellStyle name="Hed Top - SECTION 2 7 8 4 2" xfId="24504" xr:uid="{00000000-0005-0000-0000-0000EF660000}"/>
    <cellStyle name="Hed Top - SECTION 2 7 8 5" xfId="24505" xr:uid="{00000000-0005-0000-0000-0000F0660000}"/>
    <cellStyle name="Hed Top - SECTION 2 7 8 5 2" xfId="24506" xr:uid="{00000000-0005-0000-0000-0000F1660000}"/>
    <cellStyle name="Hed Top - SECTION 2 7 8 6" xfId="24507" xr:uid="{00000000-0005-0000-0000-0000F2660000}"/>
    <cellStyle name="Hed Top - SECTION 2 7 8 6 2" xfId="24508" xr:uid="{00000000-0005-0000-0000-0000F3660000}"/>
    <cellStyle name="Hed Top - SECTION 2 7 8 7" xfId="24509" xr:uid="{00000000-0005-0000-0000-0000F4660000}"/>
    <cellStyle name="Hed Top - SECTION 2 7 8 7 2" xfId="24510" xr:uid="{00000000-0005-0000-0000-0000F5660000}"/>
    <cellStyle name="Hed Top - SECTION 2 7 8 8" xfId="24511" xr:uid="{00000000-0005-0000-0000-0000F6660000}"/>
    <cellStyle name="Hed Top - SECTION 2 7 8 8 2" xfId="24512" xr:uid="{00000000-0005-0000-0000-0000F7660000}"/>
    <cellStyle name="Hed Top - SECTION 2 7 8 9" xfId="24513" xr:uid="{00000000-0005-0000-0000-0000F8660000}"/>
    <cellStyle name="Hed Top - SECTION 2 7 8 9 2" xfId="24514" xr:uid="{00000000-0005-0000-0000-0000F9660000}"/>
    <cellStyle name="Hed Top - SECTION 2 7 9" xfId="24515" xr:uid="{00000000-0005-0000-0000-0000FA660000}"/>
    <cellStyle name="Hed Top - SECTION 2 7 9 10" xfId="24516" xr:uid="{00000000-0005-0000-0000-0000FB660000}"/>
    <cellStyle name="Hed Top - SECTION 2 7 9 2" xfId="24517" xr:uid="{00000000-0005-0000-0000-0000FC660000}"/>
    <cellStyle name="Hed Top - SECTION 2 7 9 2 2" xfId="24518" xr:uid="{00000000-0005-0000-0000-0000FD660000}"/>
    <cellStyle name="Hed Top - SECTION 2 7 9 3" xfId="24519" xr:uid="{00000000-0005-0000-0000-0000FE660000}"/>
    <cellStyle name="Hed Top - SECTION 2 7 9 3 2" xfId="24520" xr:uid="{00000000-0005-0000-0000-0000FF660000}"/>
    <cellStyle name="Hed Top - SECTION 2 7 9 4" xfId="24521" xr:uid="{00000000-0005-0000-0000-000000670000}"/>
    <cellStyle name="Hed Top - SECTION 2 7 9 4 2" xfId="24522" xr:uid="{00000000-0005-0000-0000-000001670000}"/>
    <cellStyle name="Hed Top - SECTION 2 7 9 5" xfId="24523" xr:uid="{00000000-0005-0000-0000-000002670000}"/>
    <cellStyle name="Hed Top - SECTION 2 7 9 5 2" xfId="24524" xr:uid="{00000000-0005-0000-0000-000003670000}"/>
    <cellStyle name="Hed Top - SECTION 2 7 9 6" xfId="24525" xr:uid="{00000000-0005-0000-0000-000004670000}"/>
    <cellStyle name="Hed Top - SECTION 2 7 9 6 2" xfId="24526" xr:uid="{00000000-0005-0000-0000-000005670000}"/>
    <cellStyle name="Hed Top - SECTION 2 7 9 7" xfId="24527" xr:uid="{00000000-0005-0000-0000-000006670000}"/>
    <cellStyle name="Hed Top - SECTION 2 7 9 7 2" xfId="24528" xr:uid="{00000000-0005-0000-0000-000007670000}"/>
    <cellStyle name="Hed Top - SECTION 2 7 9 8" xfId="24529" xr:uid="{00000000-0005-0000-0000-000008670000}"/>
    <cellStyle name="Hed Top - SECTION 2 7 9 8 2" xfId="24530" xr:uid="{00000000-0005-0000-0000-000009670000}"/>
    <cellStyle name="Hed Top - SECTION 2 7 9 9" xfId="24531" xr:uid="{00000000-0005-0000-0000-00000A670000}"/>
    <cellStyle name="Hed Top - SECTION 2 7 9 9 2" xfId="24532" xr:uid="{00000000-0005-0000-0000-00000B670000}"/>
    <cellStyle name="Hed Top - SECTION 2 8" xfId="24533" xr:uid="{00000000-0005-0000-0000-00000C670000}"/>
    <cellStyle name="Hed Top - SECTION 2 8 10" xfId="24534" xr:uid="{00000000-0005-0000-0000-00000D670000}"/>
    <cellStyle name="Hed Top - SECTION 2 8 10 2" xfId="24535" xr:uid="{00000000-0005-0000-0000-00000E670000}"/>
    <cellStyle name="Hed Top - SECTION 2 8 10 2 2" xfId="24536" xr:uid="{00000000-0005-0000-0000-00000F670000}"/>
    <cellStyle name="Hed Top - SECTION 2 8 10 3" xfId="24537" xr:uid="{00000000-0005-0000-0000-000010670000}"/>
    <cellStyle name="Hed Top - SECTION 2 8 10 3 2" xfId="24538" xr:uid="{00000000-0005-0000-0000-000011670000}"/>
    <cellStyle name="Hed Top - SECTION 2 8 10 4" xfId="24539" xr:uid="{00000000-0005-0000-0000-000012670000}"/>
    <cellStyle name="Hed Top - SECTION 2 8 10 4 2" xfId="24540" xr:uid="{00000000-0005-0000-0000-000013670000}"/>
    <cellStyle name="Hed Top - SECTION 2 8 10 5" xfId="24541" xr:uid="{00000000-0005-0000-0000-000014670000}"/>
    <cellStyle name="Hed Top - SECTION 2 8 10 5 2" xfId="24542" xr:uid="{00000000-0005-0000-0000-000015670000}"/>
    <cellStyle name="Hed Top - SECTION 2 8 10 6" xfId="24543" xr:uid="{00000000-0005-0000-0000-000016670000}"/>
    <cellStyle name="Hed Top - SECTION 2 8 10 6 2" xfId="24544" xr:uid="{00000000-0005-0000-0000-000017670000}"/>
    <cellStyle name="Hed Top - SECTION 2 8 10 7" xfId="24545" xr:uid="{00000000-0005-0000-0000-000018670000}"/>
    <cellStyle name="Hed Top - SECTION 2 8 10 7 2" xfId="24546" xr:uid="{00000000-0005-0000-0000-000019670000}"/>
    <cellStyle name="Hed Top - SECTION 2 8 10 8" xfId="24547" xr:uid="{00000000-0005-0000-0000-00001A670000}"/>
    <cellStyle name="Hed Top - SECTION 2 8 10 8 2" xfId="24548" xr:uid="{00000000-0005-0000-0000-00001B670000}"/>
    <cellStyle name="Hed Top - SECTION 2 8 10 9" xfId="24549" xr:uid="{00000000-0005-0000-0000-00001C670000}"/>
    <cellStyle name="Hed Top - SECTION 2 8 11" xfId="24550" xr:uid="{00000000-0005-0000-0000-00001D670000}"/>
    <cellStyle name="Hed Top - SECTION 2 8 11 2" xfId="24551" xr:uid="{00000000-0005-0000-0000-00001E670000}"/>
    <cellStyle name="Hed Top - SECTION 2 8 12" xfId="24552" xr:uid="{00000000-0005-0000-0000-00001F670000}"/>
    <cellStyle name="Hed Top - SECTION 2 8 12 2" xfId="24553" xr:uid="{00000000-0005-0000-0000-000020670000}"/>
    <cellStyle name="Hed Top - SECTION 2 8 13" xfId="24554" xr:uid="{00000000-0005-0000-0000-000021670000}"/>
    <cellStyle name="Hed Top - SECTION 2 8 13 2" xfId="24555" xr:uid="{00000000-0005-0000-0000-000022670000}"/>
    <cellStyle name="Hed Top - SECTION 2 8 14" xfId="24556" xr:uid="{00000000-0005-0000-0000-000023670000}"/>
    <cellStyle name="Hed Top - SECTION 2 8 14 2" xfId="24557" xr:uid="{00000000-0005-0000-0000-000024670000}"/>
    <cellStyle name="Hed Top - SECTION 2 8 15" xfId="24558" xr:uid="{00000000-0005-0000-0000-000025670000}"/>
    <cellStyle name="Hed Top - SECTION 2 8 15 2" xfId="24559" xr:uid="{00000000-0005-0000-0000-000026670000}"/>
    <cellStyle name="Hed Top - SECTION 2 8 16" xfId="24560" xr:uid="{00000000-0005-0000-0000-000027670000}"/>
    <cellStyle name="Hed Top - SECTION 2 8 16 2" xfId="24561" xr:uid="{00000000-0005-0000-0000-000028670000}"/>
    <cellStyle name="Hed Top - SECTION 2 8 17" xfId="24562" xr:uid="{00000000-0005-0000-0000-000029670000}"/>
    <cellStyle name="Hed Top - SECTION 2 8 17 2" xfId="24563" xr:uid="{00000000-0005-0000-0000-00002A670000}"/>
    <cellStyle name="Hed Top - SECTION 2 8 18" xfId="24564" xr:uid="{00000000-0005-0000-0000-00002B670000}"/>
    <cellStyle name="Hed Top - SECTION 2 8 2" xfId="24565" xr:uid="{00000000-0005-0000-0000-00002C670000}"/>
    <cellStyle name="Hed Top - SECTION 2 8 2 10" xfId="24566" xr:uid="{00000000-0005-0000-0000-00002D670000}"/>
    <cellStyle name="Hed Top - SECTION 2 8 2 2" xfId="24567" xr:uid="{00000000-0005-0000-0000-00002E670000}"/>
    <cellStyle name="Hed Top - SECTION 2 8 2 2 2" xfId="24568" xr:uid="{00000000-0005-0000-0000-00002F670000}"/>
    <cellStyle name="Hed Top - SECTION 2 8 2 3" xfId="24569" xr:uid="{00000000-0005-0000-0000-000030670000}"/>
    <cellStyle name="Hed Top - SECTION 2 8 2 3 2" xfId="24570" xr:uid="{00000000-0005-0000-0000-000031670000}"/>
    <cellStyle name="Hed Top - SECTION 2 8 2 4" xfId="24571" xr:uid="{00000000-0005-0000-0000-000032670000}"/>
    <cellStyle name="Hed Top - SECTION 2 8 2 4 2" xfId="24572" xr:uid="{00000000-0005-0000-0000-000033670000}"/>
    <cellStyle name="Hed Top - SECTION 2 8 2 5" xfId="24573" xr:uid="{00000000-0005-0000-0000-000034670000}"/>
    <cellStyle name="Hed Top - SECTION 2 8 2 5 2" xfId="24574" xr:uid="{00000000-0005-0000-0000-000035670000}"/>
    <cellStyle name="Hed Top - SECTION 2 8 2 6" xfId="24575" xr:uid="{00000000-0005-0000-0000-000036670000}"/>
    <cellStyle name="Hed Top - SECTION 2 8 2 6 2" xfId="24576" xr:uid="{00000000-0005-0000-0000-000037670000}"/>
    <cellStyle name="Hed Top - SECTION 2 8 2 7" xfId="24577" xr:uid="{00000000-0005-0000-0000-000038670000}"/>
    <cellStyle name="Hed Top - SECTION 2 8 2 7 2" xfId="24578" xr:uid="{00000000-0005-0000-0000-000039670000}"/>
    <cellStyle name="Hed Top - SECTION 2 8 2 8" xfId="24579" xr:uid="{00000000-0005-0000-0000-00003A670000}"/>
    <cellStyle name="Hed Top - SECTION 2 8 2 8 2" xfId="24580" xr:uid="{00000000-0005-0000-0000-00003B670000}"/>
    <cellStyle name="Hed Top - SECTION 2 8 2 9" xfId="24581" xr:uid="{00000000-0005-0000-0000-00003C670000}"/>
    <cellStyle name="Hed Top - SECTION 2 8 2 9 2" xfId="24582" xr:uid="{00000000-0005-0000-0000-00003D670000}"/>
    <cellStyle name="Hed Top - SECTION 2 8 3" xfId="24583" xr:uid="{00000000-0005-0000-0000-00003E670000}"/>
    <cellStyle name="Hed Top - SECTION 2 8 3 10" xfId="24584" xr:uid="{00000000-0005-0000-0000-00003F670000}"/>
    <cellStyle name="Hed Top - SECTION 2 8 3 2" xfId="24585" xr:uid="{00000000-0005-0000-0000-000040670000}"/>
    <cellStyle name="Hed Top - SECTION 2 8 3 2 2" xfId="24586" xr:uid="{00000000-0005-0000-0000-000041670000}"/>
    <cellStyle name="Hed Top - SECTION 2 8 3 3" xfId="24587" xr:uid="{00000000-0005-0000-0000-000042670000}"/>
    <cellStyle name="Hed Top - SECTION 2 8 3 3 2" xfId="24588" xr:uid="{00000000-0005-0000-0000-000043670000}"/>
    <cellStyle name="Hed Top - SECTION 2 8 3 4" xfId="24589" xr:uid="{00000000-0005-0000-0000-000044670000}"/>
    <cellStyle name="Hed Top - SECTION 2 8 3 4 2" xfId="24590" xr:uid="{00000000-0005-0000-0000-000045670000}"/>
    <cellStyle name="Hed Top - SECTION 2 8 3 5" xfId="24591" xr:uid="{00000000-0005-0000-0000-000046670000}"/>
    <cellStyle name="Hed Top - SECTION 2 8 3 5 2" xfId="24592" xr:uid="{00000000-0005-0000-0000-000047670000}"/>
    <cellStyle name="Hed Top - SECTION 2 8 3 6" xfId="24593" xr:uid="{00000000-0005-0000-0000-000048670000}"/>
    <cellStyle name="Hed Top - SECTION 2 8 3 6 2" xfId="24594" xr:uid="{00000000-0005-0000-0000-000049670000}"/>
    <cellStyle name="Hed Top - SECTION 2 8 3 7" xfId="24595" xr:uid="{00000000-0005-0000-0000-00004A670000}"/>
    <cellStyle name="Hed Top - SECTION 2 8 3 7 2" xfId="24596" xr:uid="{00000000-0005-0000-0000-00004B670000}"/>
    <cellStyle name="Hed Top - SECTION 2 8 3 8" xfId="24597" xr:uid="{00000000-0005-0000-0000-00004C670000}"/>
    <cellStyle name="Hed Top - SECTION 2 8 3 8 2" xfId="24598" xr:uid="{00000000-0005-0000-0000-00004D670000}"/>
    <cellStyle name="Hed Top - SECTION 2 8 3 9" xfId="24599" xr:uid="{00000000-0005-0000-0000-00004E670000}"/>
    <cellStyle name="Hed Top - SECTION 2 8 3 9 2" xfId="24600" xr:uid="{00000000-0005-0000-0000-00004F670000}"/>
    <cellStyle name="Hed Top - SECTION 2 8 4" xfId="24601" xr:uid="{00000000-0005-0000-0000-000050670000}"/>
    <cellStyle name="Hed Top - SECTION 2 8 4 10" xfId="24602" xr:uid="{00000000-0005-0000-0000-000051670000}"/>
    <cellStyle name="Hed Top - SECTION 2 8 4 2" xfId="24603" xr:uid="{00000000-0005-0000-0000-000052670000}"/>
    <cellStyle name="Hed Top - SECTION 2 8 4 2 2" xfId="24604" xr:uid="{00000000-0005-0000-0000-000053670000}"/>
    <cellStyle name="Hed Top - SECTION 2 8 4 3" xfId="24605" xr:uid="{00000000-0005-0000-0000-000054670000}"/>
    <cellStyle name="Hed Top - SECTION 2 8 4 3 2" xfId="24606" xr:uid="{00000000-0005-0000-0000-000055670000}"/>
    <cellStyle name="Hed Top - SECTION 2 8 4 4" xfId="24607" xr:uid="{00000000-0005-0000-0000-000056670000}"/>
    <cellStyle name="Hed Top - SECTION 2 8 4 4 2" xfId="24608" xr:uid="{00000000-0005-0000-0000-000057670000}"/>
    <cellStyle name="Hed Top - SECTION 2 8 4 5" xfId="24609" xr:uid="{00000000-0005-0000-0000-000058670000}"/>
    <cellStyle name="Hed Top - SECTION 2 8 4 5 2" xfId="24610" xr:uid="{00000000-0005-0000-0000-000059670000}"/>
    <cellStyle name="Hed Top - SECTION 2 8 4 6" xfId="24611" xr:uid="{00000000-0005-0000-0000-00005A670000}"/>
    <cellStyle name="Hed Top - SECTION 2 8 4 6 2" xfId="24612" xr:uid="{00000000-0005-0000-0000-00005B670000}"/>
    <cellStyle name="Hed Top - SECTION 2 8 4 7" xfId="24613" xr:uid="{00000000-0005-0000-0000-00005C670000}"/>
    <cellStyle name="Hed Top - SECTION 2 8 4 7 2" xfId="24614" xr:uid="{00000000-0005-0000-0000-00005D670000}"/>
    <cellStyle name="Hed Top - SECTION 2 8 4 8" xfId="24615" xr:uid="{00000000-0005-0000-0000-00005E670000}"/>
    <cellStyle name="Hed Top - SECTION 2 8 4 8 2" xfId="24616" xr:uid="{00000000-0005-0000-0000-00005F670000}"/>
    <cellStyle name="Hed Top - SECTION 2 8 4 9" xfId="24617" xr:uid="{00000000-0005-0000-0000-000060670000}"/>
    <cellStyle name="Hed Top - SECTION 2 8 4 9 2" xfId="24618" xr:uid="{00000000-0005-0000-0000-000061670000}"/>
    <cellStyle name="Hed Top - SECTION 2 8 5" xfId="24619" xr:uid="{00000000-0005-0000-0000-000062670000}"/>
    <cellStyle name="Hed Top - SECTION 2 8 5 10" xfId="24620" xr:uid="{00000000-0005-0000-0000-000063670000}"/>
    <cellStyle name="Hed Top - SECTION 2 8 5 2" xfId="24621" xr:uid="{00000000-0005-0000-0000-000064670000}"/>
    <cellStyle name="Hed Top - SECTION 2 8 5 2 2" xfId="24622" xr:uid="{00000000-0005-0000-0000-000065670000}"/>
    <cellStyle name="Hed Top - SECTION 2 8 5 3" xfId="24623" xr:uid="{00000000-0005-0000-0000-000066670000}"/>
    <cellStyle name="Hed Top - SECTION 2 8 5 3 2" xfId="24624" xr:uid="{00000000-0005-0000-0000-000067670000}"/>
    <cellStyle name="Hed Top - SECTION 2 8 5 4" xfId="24625" xr:uid="{00000000-0005-0000-0000-000068670000}"/>
    <cellStyle name="Hed Top - SECTION 2 8 5 4 2" xfId="24626" xr:uid="{00000000-0005-0000-0000-000069670000}"/>
    <cellStyle name="Hed Top - SECTION 2 8 5 5" xfId="24627" xr:uid="{00000000-0005-0000-0000-00006A670000}"/>
    <cellStyle name="Hed Top - SECTION 2 8 5 5 2" xfId="24628" xr:uid="{00000000-0005-0000-0000-00006B670000}"/>
    <cellStyle name="Hed Top - SECTION 2 8 5 6" xfId="24629" xr:uid="{00000000-0005-0000-0000-00006C670000}"/>
    <cellStyle name="Hed Top - SECTION 2 8 5 6 2" xfId="24630" xr:uid="{00000000-0005-0000-0000-00006D670000}"/>
    <cellStyle name="Hed Top - SECTION 2 8 5 7" xfId="24631" xr:uid="{00000000-0005-0000-0000-00006E670000}"/>
    <cellStyle name="Hed Top - SECTION 2 8 5 7 2" xfId="24632" xr:uid="{00000000-0005-0000-0000-00006F670000}"/>
    <cellStyle name="Hed Top - SECTION 2 8 5 8" xfId="24633" xr:uid="{00000000-0005-0000-0000-000070670000}"/>
    <cellStyle name="Hed Top - SECTION 2 8 5 8 2" xfId="24634" xr:uid="{00000000-0005-0000-0000-000071670000}"/>
    <cellStyle name="Hed Top - SECTION 2 8 5 9" xfId="24635" xr:uid="{00000000-0005-0000-0000-000072670000}"/>
    <cellStyle name="Hed Top - SECTION 2 8 5 9 2" xfId="24636" xr:uid="{00000000-0005-0000-0000-000073670000}"/>
    <cellStyle name="Hed Top - SECTION 2 8 6" xfId="24637" xr:uid="{00000000-0005-0000-0000-000074670000}"/>
    <cellStyle name="Hed Top - SECTION 2 8 6 10" xfId="24638" xr:uid="{00000000-0005-0000-0000-000075670000}"/>
    <cellStyle name="Hed Top - SECTION 2 8 6 2" xfId="24639" xr:uid="{00000000-0005-0000-0000-000076670000}"/>
    <cellStyle name="Hed Top - SECTION 2 8 6 2 2" xfId="24640" xr:uid="{00000000-0005-0000-0000-000077670000}"/>
    <cellStyle name="Hed Top - SECTION 2 8 6 3" xfId="24641" xr:uid="{00000000-0005-0000-0000-000078670000}"/>
    <cellStyle name="Hed Top - SECTION 2 8 6 3 2" xfId="24642" xr:uid="{00000000-0005-0000-0000-000079670000}"/>
    <cellStyle name="Hed Top - SECTION 2 8 6 4" xfId="24643" xr:uid="{00000000-0005-0000-0000-00007A670000}"/>
    <cellStyle name="Hed Top - SECTION 2 8 6 4 2" xfId="24644" xr:uid="{00000000-0005-0000-0000-00007B670000}"/>
    <cellStyle name="Hed Top - SECTION 2 8 6 5" xfId="24645" xr:uid="{00000000-0005-0000-0000-00007C670000}"/>
    <cellStyle name="Hed Top - SECTION 2 8 6 5 2" xfId="24646" xr:uid="{00000000-0005-0000-0000-00007D670000}"/>
    <cellStyle name="Hed Top - SECTION 2 8 6 6" xfId="24647" xr:uid="{00000000-0005-0000-0000-00007E670000}"/>
    <cellStyle name="Hed Top - SECTION 2 8 6 6 2" xfId="24648" xr:uid="{00000000-0005-0000-0000-00007F670000}"/>
    <cellStyle name="Hed Top - SECTION 2 8 6 7" xfId="24649" xr:uid="{00000000-0005-0000-0000-000080670000}"/>
    <cellStyle name="Hed Top - SECTION 2 8 6 7 2" xfId="24650" xr:uid="{00000000-0005-0000-0000-000081670000}"/>
    <cellStyle name="Hed Top - SECTION 2 8 6 8" xfId="24651" xr:uid="{00000000-0005-0000-0000-000082670000}"/>
    <cellStyle name="Hed Top - SECTION 2 8 6 8 2" xfId="24652" xr:uid="{00000000-0005-0000-0000-000083670000}"/>
    <cellStyle name="Hed Top - SECTION 2 8 6 9" xfId="24653" xr:uid="{00000000-0005-0000-0000-000084670000}"/>
    <cellStyle name="Hed Top - SECTION 2 8 6 9 2" xfId="24654" xr:uid="{00000000-0005-0000-0000-000085670000}"/>
    <cellStyle name="Hed Top - SECTION 2 8 7" xfId="24655" xr:uid="{00000000-0005-0000-0000-000086670000}"/>
    <cellStyle name="Hed Top - SECTION 2 8 7 10" xfId="24656" xr:uid="{00000000-0005-0000-0000-000087670000}"/>
    <cellStyle name="Hed Top - SECTION 2 8 7 2" xfId="24657" xr:uid="{00000000-0005-0000-0000-000088670000}"/>
    <cellStyle name="Hed Top - SECTION 2 8 7 2 2" xfId="24658" xr:uid="{00000000-0005-0000-0000-000089670000}"/>
    <cellStyle name="Hed Top - SECTION 2 8 7 3" xfId="24659" xr:uid="{00000000-0005-0000-0000-00008A670000}"/>
    <cellStyle name="Hed Top - SECTION 2 8 7 3 2" xfId="24660" xr:uid="{00000000-0005-0000-0000-00008B670000}"/>
    <cellStyle name="Hed Top - SECTION 2 8 7 4" xfId="24661" xr:uid="{00000000-0005-0000-0000-00008C670000}"/>
    <cellStyle name="Hed Top - SECTION 2 8 7 4 2" xfId="24662" xr:uid="{00000000-0005-0000-0000-00008D670000}"/>
    <cellStyle name="Hed Top - SECTION 2 8 7 5" xfId="24663" xr:uid="{00000000-0005-0000-0000-00008E670000}"/>
    <cellStyle name="Hed Top - SECTION 2 8 7 5 2" xfId="24664" xr:uid="{00000000-0005-0000-0000-00008F670000}"/>
    <cellStyle name="Hed Top - SECTION 2 8 7 6" xfId="24665" xr:uid="{00000000-0005-0000-0000-000090670000}"/>
    <cellStyle name="Hed Top - SECTION 2 8 7 6 2" xfId="24666" xr:uid="{00000000-0005-0000-0000-000091670000}"/>
    <cellStyle name="Hed Top - SECTION 2 8 7 7" xfId="24667" xr:uid="{00000000-0005-0000-0000-000092670000}"/>
    <cellStyle name="Hed Top - SECTION 2 8 7 7 2" xfId="24668" xr:uid="{00000000-0005-0000-0000-000093670000}"/>
    <cellStyle name="Hed Top - SECTION 2 8 7 8" xfId="24669" xr:uid="{00000000-0005-0000-0000-000094670000}"/>
    <cellStyle name="Hed Top - SECTION 2 8 7 8 2" xfId="24670" xr:uid="{00000000-0005-0000-0000-000095670000}"/>
    <cellStyle name="Hed Top - SECTION 2 8 7 9" xfId="24671" xr:uid="{00000000-0005-0000-0000-000096670000}"/>
    <cellStyle name="Hed Top - SECTION 2 8 7 9 2" xfId="24672" xr:uid="{00000000-0005-0000-0000-000097670000}"/>
    <cellStyle name="Hed Top - SECTION 2 8 8" xfId="24673" xr:uid="{00000000-0005-0000-0000-000098670000}"/>
    <cellStyle name="Hed Top - SECTION 2 8 8 10" xfId="24674" xr:uid="{00000000-0005-0000-0000-000099670000}"/>
    <cellStyle name="Hed Top - SECTION 2 8 8 2" xfId="24675" xr:uid="{00000000-0005-0000-0000-00009A670000}"/>
    <cellStyle name="Hed Top - SECTION 2 8 8 2 2" xfId="24676" xr:uid="{00000000-0005-0000-0000-00009B670000}"/>
    <cellStyle name="Hed Top - SECTION 2 8 8 3" xfId="24677" xr:uid="{00000000-0005-0000-0000-00009C670000}"/>
    <cellStyle name="Hed Top - SECTION 2 8 8 3 2" xfId="24678" xr:uid="{00000000-0005-0000-0000-00009D670000}"/>
    <cellStyle name="Hed Top - SECTION 2 8 8 4" xfId="24679" xr:uid="{00000000-0005-0000-0000-00009E670000}"/>
    <cellStyle name="Hed Top - SECTION 2 8 8 4 2" xfId="24680" xr:uid="{00000000-0005-0000-0000-00009F670000}"/>
    <cellStyle name="Hed Top - SECTION 2 8 8 5" xfId="24681" xr:uid="{00000000-0005-0000-0000-0000A0670000}"/>
    <cellStyle name="Hed Top - SECTION 2 8 8 5 2" xfId="24682" xr:uid="{00000000-0005-0000-0000-0000A1670000}"/>
    <cellStyle name="Hed Top - SECTION 2 8 8 6" xfId="24683" xr:uid="{00000000-0005-0000-0000-0000A2670000}"/>
    <cellStyle name="Hed Top - SECTION 2 8 8 6 2" xfId="24684" xr:uid="{00000000-0005-0000-0000-0000A3670000}"/>
    <cellStyle name="Hed Top - SECTION 2 8 8 7" xfId="24685" xr:uid="{00000000-0005-0000-0000-0000A4670000}"/>
    <cellStyle name="Hed Top - SECTION 2 8 8 7 2" xfId="24686" xr:uid="{00000000-0005-0000-0000-0000A5670000}"/>
    <cellStyle name="Hed Top - SECTION 2 8 8 8" xfId="24687" xr:uid="{00000000-0005-0000-0000-0000A6670000}"/>
    <cellStyle name="Hed Top - SECTION 2 8 8 8 2" xfId="24688" xr:uid="{00000000-0005-0000-0000-0000A7670000}"/>
    <cellStyle name="Hed Top - SECTION 2 8 8 9" xfId="24689" xr:uid="{00000000-0005-0000-0000-0000A8670000}"/>
    <cellStyle name="Hed Top - SECTION 2 8 8 9 2" xfId="24690" xr:uid="{00000000-0005-0000-0000-0000A9670000}"/>
    <cellStyle name="Hed Top - SECTION 2 8 9" xfId="24691" xr:uid="{00000000-0005-0000-0000-0000AA670000}"/>
    <cellStyle name="Hed Top - SECTION 2 8 9 10" xfId="24692" xr:uid="{00000000-0005-0000-0000-0000AB670000}"/>
    <cellStyle name="Hed Top - SECTION 2 8 9 2" xfId="24693" xr:uid="{00000000-0005-0000-0000-0000AC670000}"/>
    <cellStyle name="Hed Top - SECTION 2 8 9 2 2" xfId="24694" xr:uid="{00000000-0005-0000-0000-0000AD670000}"/>
    <cellStyle name="Hed Top - SECTION 2 8 9 3" xfId="24695" xr:uid="{00000000-0005-0000-0000-0000AE670000}"/>
    <cellStyle name="Hed Top - SECTION 2 8 9 3 2" xfId="24696" xr:uid="{00000000-0005-0000-0000-0000AF670000}"/>
    <cellStyle name="Hed Top - SECTION 2 8 9 4" xfId="24697" xr:uid="{00000000-0005-0000-0000-0000B0670000}"/>
    <cellStyle name="Hed Top - SECTION 2 8 9 4 2" xfId="24698" xr:uid="{00000000-0005-0000-0000-0000B1670000}"/>
    <cellStyle name="Hed Top - SECTION 2 8 9 5" xfId="24699" xr:uid="{00000000-0005-0000-0000-0000B2670000}"/>
    <cellStyle name="Hed Top - SECTION 2 8 9 5 2" xfId="24700" xr:uid="{00000000-0005-0000-0000-0000B3670000}"/>
    <cellStyle name="Hed Top - SECTION 2 8 9 6" xfId="24701" xr:uid="{00000000-0005-0000-0000-0000B4670000}"/>
    <cellStyle name="Hed Top - SECTION 2 8 9 6 2" xfId="24702" xr:uid="{00000000-0005-0000-0000-0000B5670000}"/>
    <cellStyle name="Hed Top - SECTION 2 8 9 7" xfId="24703" xr:uid="{00000000-0005-0000-0000-0000B6670000}"/>
    <cellStyle name="Hed Top - SECTION 2 8 9 7 2" xfId="24704" xr:uid="{00000000-0005-0000-0000-0000B7670000}"/>
    <cellStyle name="Hed Top - SECTION 2 8 9 8" xfId="24705" xr:uid="{00000000-0005-0000-0000-0000B8670000}"/>
    <cellStyle name="Hed Top - SECTION 2 8 9 8 2" xfId="24706" xr:uid="{00000000-0005-0000-0000-0000B9670000}"/>
    <cellStyle name="Hed Top - SECTION 2 8 9 9" xfId="24707" xr:uid="{00000000-0005-0000-0000-0000BA670000}"/>
    <cellStyle name="Hed Top - SECTION 2 8 9 9 2" xfId="24708" xr:uid="{00000000-0005-0000-0000-0000BB670000}"/>
    <cellStyle name="Hed Top - SECTION 2 9" xfId="24709" xr:uid="{00000000-0005-0000-0000-0000BC670000}"/>
    <cellStyle name="Hed Top - SECTION 2 9 10" xfId="24710" xr:uid="{00000000-0005-0000-0000-0000BD670000}"/>
    <cellStyle name="Hed Top - SECTION 2 9 10 2" xfId="24711" xr:uid="{00000000-0005-0000-0000-0000BE670000}"/>
    <cellStyle name="Hed Top - SECTION 2 9 10 2 2" xfId="24712" xr:uid="{00000000-0005-0000-0000-0000BF670000}"/>
    <cellStyle name="Hed Top - SECTION 2 9 10 3" xfId="24713" xr:uid="{00000000-0005-0000-0000-0000C0670000}"/>
    <cellStyle name="Hed Top - SECTION 2 9 10 3 2" xfId="24714" xr:uid="{00000000-0005-0000-0000-0000C1670000}"/>
    <cellStyle name="Hed Top - SECTION 2 9 10 4" xfId="24715" xr:uid="{00000000-0005-0000-0000-0000C2670000}"/>
    <cellStyle name="Hed Top - SECTION 2 9 10 4 2" xfId="24716" xr:uid="{00000000-0005-0000-0000-0000C3670000}"/>
    <cellStyle name="Hed Top - SECTION 2 9 10 5" xfId="24717" xr:uid="{00000000-0005-0000-0000-0000C4670000}"/>
    <cellStyle name="Hed Top - SECTION 2 9 10 5 2" xfId="24718" xr:uid="{00000000-0005-0000-0000-0000C5670000}"/>
    <cellStyle name="Hed Top - SECTION 2 9 10 6" xfId="24719" xr:uid="{00000000-0005-0000-0000-0000C6670000}"/>
    <cellStyle name="Hed Top - SECTION 2 9 10 6 2" xfId="24720" xr:uid="{00000000-0005-0000-0000-0000C7670000}"/>
    <cellStyle name="Hed Top - SECTION 2 9 10 7" xfId="24721" xr:uid="{00000000-0005-0000-0000-0000C8670000}"/>
    <cellStyle name="Hed Top - SECTION 2 9 10 7 2" xfId="24722" xr:uid="{00000000-0005-0000-0000-0000C9670000}"/>
    <cellStyle name="Hed Top - SECTION 2 9 10 8" xfId="24723" xr:uid="{00000000-0005-0000-0000-0000CA670000}"/>
    <cellStyle name="Hed Top - SECTION 2 9 10 8 2" xfId="24724" xr:uid="{00000000-0005-0000-0000-0000CB670000}"/>
    <cellStyle name="Hed Top - SECTION 2 9 10 9" xfId="24725" xr:uid="{00000000-0005-0000-0000-0000CC670000}"/>
    <cellStyle name="Hed Top - SECTION 2 9 11" xfId="24726" xr:uid="{00000000-0005-0000-0000-0000CD670000}"/>
    <cellStyle name="Hed Top - SECTION 2 9 11 2" xfId="24727" xr:uid="{00000000-0005-0000-0000-0000CE670000}"/>
    <cellStyle name="Hed Top - SECTION 2 9 12" xfId="24728" xr:uid="{00000000-0005-0000-0000-0000CF670000}"/>
    <cellStyle name="Hed Top - SECTION 2 9 12 2" xfId="24729" xr:uid="{00000000-0005-0000-0000-0000D0670000}"/>
    <cellStyle name="Hed Top - SECTION 2 9 13" xfId="24730" xr:uid="{00000000-0005-0000-0000-0000D1670000}"/>
    <cellStyle name="Hed Top - SECTION 2 9 13 2" xfId="24731" xr:uid="{00000000-0005-0000-0000-0000D2670000}"/>
    <cellStyle name="Hed Top - SECTION 2 9 14" xfId="24732" xr:uid="{00000000-0005-0000-0000-0000D3670000}"/>
    <cellStyle name="Hed Top - SECTION 2 9 14 2" xfId="24733" xr:uid="{00000000-0005-0000-0000-0000D4670000}"/>
    <cellStyle name="Hed Top - SECTION 2 9 15" xfId="24734" xr:uid="{00000000-0005-0000-0000-0000D5670000}"/>
    <cellStyle name="Hed Top - SECTION 2 9 15 2" xfId="24735" xr:uid="{00000000-0005-0000-0000-0000D6670000}"/>
    <cellStyle name="Hed Top - SECTION 2 9 16" xfId="24736" xr:uid="{00000000-0005-0000-0000-0000D7670000}"/>
    <cellStyle name="Hed Top - SECTION 2 9 16 2" xfId="24737" xr:uid="{00000000-0005-0000-0000-0000D8670000}"/>
    <cellStyle name="Hed Top - SECTION 2 9 17" xfId="24738" xr:uid="{00000000-0005-0000-0000-0000D9670000}"/>
    <cellStyle name="Hed Top - SECTION 2 9 17 2" xfId="24739" xr:uid="{00000000-0005-0000-0000-0000DA670000}"/>
    <cellStyle name="Hed Top - SECTION 2 9 18" xfId="24740" xr:uid="{00000000-0005-0000-0000-0000DB670000}"/>
    <cellStyle name="Hed Top - SECTION 2 9 2" xfId="24741" xr:uid="{00000000-0005-0000-0000-0000DC670000}"/>
    <cellStyle name="Hed Top - SECTION 2 9 2 10" xfId="24742" xr:uid="{00000000-0005-0000-0000-0000DD670000}"/>
    <cellStyle name="Hed Top - SECTION 2 9 2 2" xfId="24743" xr:uid="{00000000-0005-0000-0000-0000DE670000}"/>
    <cellStyle name="Hed Top - SECTION 2 9 2 2 2" xfId="24744" xr:uid="{00000000-0005-0000-0000-0000DF670000}"/>
    <cellStyle name="Hed Top - SECTION 2 9 2 3" xfId="24745" xr:uid="{00000000-0005-0000-0000-0000E0670000}"/>
    <cellStyle name="Hed Top - SECTION 2 9 2 3 2" xfId="24746" xr:uid="{00000000-0005-0000-0000-0000E1670000}"/>
    <cellStyle name="Hed Top - SECTION 2 9 2 4" xfId="24747" xr:uid="{00000000-0005-0000-0000-0000E2670000}"/>
    <cellStyle name="Hed Top - SECTION 2 9 2 4 2" xfId="24748" xr:uid="{00000000-0005-0000-0000-0000E3670000}"/>
    <cellStyle name="Hed Top - SECTION 2 9 2 5" xfId="24749" xr:uid="{00000000-0005-0000-0000-0000E4670000}"/>
    <cellStyle name="Hed Top - SECTION 2 9 2 5 2" xfId="24750" xr:uid="{00000000-0005-0000-0000-0000E5670000}"/>
    <cellStyle name="Hed Top - SECTION 2 9 2 6" xfId="24751" xr:uid="{00000000-0005-0000-0000-0000E6670000}"/>
    <cellStyle name="Hed Top - SECTION 2 9 2 6 2" xfId="24752" xr:uid="{00000000-0005-0000-0000-0000E7670000}"/>
    <cellStyle name="Hed Top - SECTION 2 9 2 7" xfId="24753" xr:uid="{00000000-0005-0000-0000-0000E8670000}"/>
    <cellStyle name="Hed Top - SECTION 2 9 2 7 2" xfId="24754" xr:uid="{00000000-0005-0000-0000-0000E9670000}"/>
    <cellStyle name="Hed Top - SECTION 2 9 2 8" xfId="24755" xr:uid="{00000000-0005-0000-0000-0000EA670000}"/>
    <cellStyle name="Hed Top - SECTION 2 9 2 8 2" xfId="24756" xr:uid="{00000000-0005-0000-0000-0000EB670000}"/>
    <cellStyle name="Hed Top - SECTION 2 9 2 9" xfId="24757" xr:uid="{00000000-0005-0000-0000-0000EC670000}"/>
    <cellStyle name="Hed Top - SECTION 2 9 2 9 2" xfId="24758" xr:uid="{00000000-0005-0000-0000-0000ED670000}"/>
    <cellStyle name="Hed Top - SECTION 2 9 3" xfId="24759" xr:uid="{00000000-0005-0000-0000-0000EE670000}"/>
    <cellStyle name="Hed Top - SECTION 2 9 3 10" xfId="24760" xr:uid="{00000000-0005-0000-0000-0000EF670000}"/>
    <cellStyle name="Hed Top - SECTION 2 9 3 2" xfId="24761" xr:uid="{00000000-0005-0000-0000-0000F0670000}"/>
    <cellStyle name="Hed Top - SECTION 2 9 3 2 2" xfId="24762" xr:uid="{00000000-0005-0000-0000-0000F1670000}"/>
    <cellStyle name="Hed Top - SECTION 2 9 3 3" xfId="24763" xr:uid="{00000000-0005-0000-0000-0000F2670000}"/>
    <cellStyle name="Hed Top - SECTION 2 9 3 3 2" xfId="24764" xr:uid="{00000000-0005-0000-0000-0000F3670000}"/>
    <cellStyle name="Hed Top - SECTION 2 9 3 4" xfId="24765" xr:uid="{00000000-0005-0000-0000-0000F4670000}"/>
    <cellStyle name="Hed Top - SECTION 2 9 3 4 2" xfId="24766" xr:uid="{00000000-0005-0000-0000-0000F5670000}"/>
    <cellStyle name="Hed Top - SECTION 2 9 3 5" xfId="24767" xr:uid="{00000000-0005-0000-0000-0000F6670000}"/>
    <cellStyle name="Hed Top - SECTION 2 9 3 5 2" xfId="24768" xr:uid="{00000000-0005-0000-0000-0000F7670000}"/>
    <cellStyle name="Hed Top - SECTION 2 9 3 6" xfId="24769" xr:uid="{00000000-0005-0000-0000-0000F8670000}"/>
    <cellStyle name="Hed Top - SECTION 2 9 3 6 2" xfId="24770" xr:uid="{00000000-0005-0000-0000-0000F9670000}"/>
    <cellStyle name="Hed Top - SECTION 2 9 3 7" xfId="24771" xr:uid="{00000000-0005-0000-0000-0000FA670000}"/>
    <cellStyle name="Hed Top - SECTION 2 9 3 7 2" xfId="24772" xr:uid="{00000000-0005-0000-0000-0000FB670000}"/>
    <cellStyle name="Hed Top - SECTION 2 9 3 8" xfId="24773" xr:uid="{00000000-0005-0000-0000-0000FC670000}"/>
    <cellStyle name="Hed Top - SECTION 2 9 3 8 2" xfId="24774" xr:uid="{00000000-0005-0000-0000-0000FD670000}"/>
    <cellStyle name="Hed Top - SECTION 2 9 3 9" xfId="24775" xr:uid="{00000000-0005-0000-0000-0000FE670000}"/>
    <cellStyle name="Hed Top - SECTION 2 9 3 9 2" xfId="24776" xr:uid="{00000000-0005-0000-0000-0000FF670000}"/>
    <cellStyle name="Hed Top - SECTION 2 9 4" xfId="24777" xr:uid="{00000000-0005-0000-0000-000000680000}"/>
    <cellStyle name="Hed Top - SECTION 2 9 4 10" xfId="24778" xr:uid="{00000000-0005-0000-0000-000001680000}"/>
    <cellStyle name="Hed Top - SECTION 2 9 4 2" xfId="24779" xr:uid="{00000000-0005-0000-0000-000002680000}"/>
    <cellStyle name="Hed Top - SECTION 2 9 4 2 2" xfId="24780" xr:uid="{00000000-0005-0000-0000-000003680000}"/>
    <cellStyle name="Hed Top - SECTION 2 9 4 3" xfId="24781" xr:uid="{00000000-0005-0000-0000-000004680000}"/>
    <cellStyle name="Hed Top - SECTION 2 9 4 3 2" xfId="24782" xr:uid="{00000000-0005-0000-0000-000005680000}"/>
    <cellStyle name="Hed Top - SECTION 2 9 4 4" xfId="24783" xr:uid="{00000000-0005-0000-0000-000006680000}"/>
    <cellStyle name="Hed Top - SECTION 2 9 4 4 2" xfId="24784" xr:uid="{00000000-0005-0000-0000-000007680000}"/>
    <cellStyle name="Hed Top - SECTION 2 9 4 5" xfId="24785" xr:uid="{00000000-0005-0000-0000-000008680000}"/>
    <cellStyle name="Hed Top - SECTION 2 9 4 5 2" xfId="24786" xr:uid="{00000000-0005-0000-0000-000009680000}"/>
    <cellStyle name="Hed Top - SECTION 2 9 4 6" xfId="24787" xr:uid="{00000000-0005-0000-0000-00000A680000}"/>
    <cellStyle name="Hed Top - SECTION 2 9 4 6 2" xfId="24788" xr:uid="{00000000-0005-0000-0000-00000B680000}"/>
    <cellStyle name="Hed Top - SECTION 2 9 4 7" xfId="24789" xr:uid="{00000000-0005-0000-0000-00000C680000}"/>
    <cellStyle name="Hed Top - SECTION 2 9 4 7 2" xfId="24790" xr:uid="{00000000-0005-0000-0000-00000D680000}"/>
    <cellStyle name="Hed Top - SECTION 2 9 4 8" xfId="24791" xr:uid="{00000000-0005-0000-0000-00000E680000}"/>
    <cellStyle name="Hed Top - SECTION 2 9 4 8 2" xfId="24792" xr:uid="{00000000-0005-0000-0000-00000F680000}"/>
    <cellStyle name="Hed Top - SECTION 2 9 4 9" xfId="24793" xr:uid="{00000000-0005-0000-0000-000010680000}"/>
    <cellStyle name="Hed Top - SECTION 2 9 4 9 2" xfId="24794" xr:uid="{00000000-0005-0000-0000-000011680000}"/>
    <cellStyle name="Hed Top - SECTION 2 9 5" xfId="24795" xr:uid="{00000000-0005-0000-0000-000012680000}"/>
    <cellStyle name="Hed Top - SECTION 2 9 5 10" xfId="24796" xr:uid="{00000000-0005-0000-0000-000013680000}"/>
    <cellStyle name="Hed Top - SECTION 2 9 5 2" xfId="24797" xr:uid="{00000000-0005-0000-0000-000014680000}"/>
    <cellStyle name="Hed Top - SECTION 2 9 5 2 2" xfId="24798" xr:uid="{00000000-0005-0000-0000-000015680000}"/>
    <cellStyle name="Hed Top - SECTION 2 9 5 3" xfId="24799" xr:uid="{00000000-0005-0000-0000-000016680000}"/>
    <cellStyle name="Hed Top - SECTION 2 9 5 3 2" xfId="24800" xr:uid="{00000000-0005-0000-0000-000017680000}"/>
    <cellStyle name="Hed Top - SECTION 2 9 5 4" xfId="24801" xr:uid="{00000000-0005-0000-0000-000018680000}"/>
    <cellStyle name="Hed Top - SECTION 2 9 5 4 2" xfId="24802" xr:uid="{00000000-0005-0000-0000-000019680000}"/>
    <cellStyle name="Hed Top - SECTION 2 9 5 5" xfId="24803" xr:uid="{00000000-0005-0000-0000-00001A680000}"/>
    <cellStyle name="Hed Top - SECTION 2 9 5 5 2" xfId="24804" xr:uid="{00000000-0005-0000-0000-00001B680000}"/>
    <cellStyle name="Hed Top - SECTION 2 9 5 6" xfId="24805" xr:uid="{00000000-0005-0000-0000-00001C680000}"/>
    <cellStyle name="Hed Top - SECTION 2 9 5 6 2" xfId="24806" xr:uid="{00000000-0005-0000-0000-00001D680000}"/>
    <cellStyle name="Hed Top - SECTION 2 9 5 7" xfId="24807" xr:uid="{00000000-0005-0000-0000-00001E680000}"/>
    <cellStyle name="Hed Top - SECTION 2 9 5 7 2" xfId="24808" xr:uid="{00000000-0005-0000-0000-00001F680000}"/>
    <cellStyle name="Hed Top - SECTION 2 9 5 8" xfId="24809" xr:uid="{00000000-0005-0000-0000-000020680000}"/>
    <cellStyle name="Hed Top - SECTION 2 9 5 8 2" xfId="24810" xr:uid="{00000000-0005-0000-0000-000021680000}"/>
    <cellStyle name="Hed Top - SECTION 2 9 5 9" xfId="24811" xr:uid="{00000000-0005-0000-0000-000022680000}"/>
    <cellStyle name="Hed Top - SECTION 2 9 5 9 2" xfId="24812" xr:uid="{00000000-0005-0000-0000-000023680000}"/>
    <cellStyle name="Hed Top - SECTION 2 9 6" xfId="24813" xr:uid="{00000000-0005-0000-0000-000024680000}"/>
    <cellStyle name="Hed Top - SECTION 2 9 6 10" xfId="24814" xr:uid="{00000000-0005-0000-0000-000025680000}"/>
    <cellStyle name="Hed Top - SECTION 2 9 6 2" xfId="24815" xr:uid="{00000000-0005-0000-0000-000026680000}"/>
    <cellStyle name="Hed Top - SECTION 2 9 6 2 2" xfId="24816" xr:uid="{00000000-0005-0000-0000-000027680000}"/>
    <cellStyle name="Hed Top - SECTION 2 9 6 3" xfId="24817" xr:uid="{00000000-0005-0000-0000-000028680000}"/>
    <cellStyle name="Hed Top - SECTION 2 9 6 3 2" xfId="24818" xr:uid="{00000000-0005-0000-0000-000029680000}"/>
    <cellStyle name="Hed Top - SECTION 2 9 6 4" xfId="24819" xr:uid="{00000000-0005-0000-0000-00002A680000}"/>
    <cellStyle name="Hed Top - SECTION 2 9 6 4 2" xfId="24820" xr:uid="{00000000-0005-0000-0000-00002B680000}"/>
    <cellStyle name="Hed Top - SECTION 2 9 6 5" xfId="24821" xr:uid="{00000000-0005-0000-0000-00002C680000}"/>
    <cellStyle name="Hed Top - SECTION 2 9 6 5 2" xfId="24822" xr:uid="{00000000-0005-0000-0000-00002D680000}"/>
    <cellStyle name="Hed Top - SECTION 2 9 6 6" xfId="24823" xr:uid="{00000000-0005-0000-0000-00002E680000}"/>
    <cellStyle name="Hed Top - SECTION 2 9 6 6 2" xfId="24824" xr:uid="{00000000-0005-0000-0000-00002F680000}"/>
    <cellStyle name="Hed Top - SECTION 2 9 6 7" xfId="24825" xr:uid="{00000000-0005-0000-0000-000030680000}"/>
    <cellStyle name="Hed Top - SECTION 2 9 6 7 2" xfId="24826" xr:uid="{00000000-0005-0000-0000-000031680000}"/>
    <cellStyle name="Hed Top - SECTION 2 9 6 8" xfId="24827" xr:uid="{00000000-0005-0000-0000-000032680000}"/>
    <cellStyle name="Hed Top - SECTION 2 9 6 8 2" xfId="24828" xr:uid="{00000000-0005-0000-0000-000033680000}"/>
    <cellStyle name="Hed Top - SECTION 2 9 6 9" xfId="24829" xr:uid="{00000000-0005-0000-0000-000034680000}"/>
    <cellStyle name="Hed Top - SECTION 2 9 6 9 2" xfId="24830" xr:uid="{00000000-0005-0000-0000-000035680000}"/>
    <cellStyle name="Hed Top - SECTION 2 9 7" xfId="24831" xr:uid="{00000000-0005-0000-0000-000036680000}"/>
    <cellStyle name="Hed Top - SECTION 2 9 7 10" xfId="24832" xr:uid="{00000000-0005-0000-0000-000037680000}"/>
    <cellStyle name="Hed Top - SECTION 2 9 7 2" xfId="24833" xr:uid="{00000000-0005-0000-0000-000038680000}"/>
    <cellStyle name="Hed Top - SECTION 2 9 7 2 2" xfId="24834" xr:uid="{00000000-0005-0000-0000-000039680000}"/>
    <cellStyle name="Hed Top - SECTION 2 9 7 3" xfId="24835" xr:uid="{00000000-0005-0000-0000-00003A680000}"/>
    <cellStyle name="Hed Top - SECTION 2 9 7 3 2" xfId="24836" xr:uid="{00000000-0005-0000-0000-00003B680000}"/>
    <cellStyle name="Hed Top - SECTION 2 9 7 4" xfId="24837" xr:uid="{00000000-0005-0000-0000-00003C680000}"/>
    <cellStyle name="Hed Top - SECTION 2 9 7 4 2" xfId="24838" xr:uid="{00000000-0005-0000-0000-00003D680000}"/>
    <cellStyle name="Hed Top - SECTION 2 9 7 5" xfId="24839" xr:uid="{00000000-0005-0000-0000-00003E680000}"/>
    <cellStyle name="Hed Top - SECTION 2 9 7 5 2" xfId="24840" xr:uid="{00000000-0005-0000-0000-00003F680000}"/>
    <cellStyle name="Hed Top - SECTION 2 9 7 6" xfId="24841" xr:uid="{00000000-0005-0000-0000-000040680000}"/>
    <cellStyle name="Hed Top - SECTION 2 9 7 6 2" xfId="24842" xr:uid="{00000000-0005-0000-0000-000041680000}"/>
    <cellStyle name="Hed Top - SECTION 2 9 7 7" xfId="24843" xr:uid="{00000000-0005-0000-0000-000042680000}"/>
    <cellStyle name="Hed Top - SECTION 2 9 7 7 2" xfId="24844" xr:uid="{00000000-0005-0000-0000-000043680000}"/>
    <cellStyle name="Hed Top - SECTION 2 9 7 8" xfId="24845" xr:uid="{00000000-0005-0000-0000-000044680000}"/>
    <cellStyle name="Hed Top - SECTION 2 9 7 8 2" xfId="24846" xr:uid="{00000000-0005-0000-0000-000045680000}"/>
    <cellStyle name="Hed Top - SECTION 2 9 7 9" xfId="24847" xr:uid="{00000000-0005-0000-0000-000046680000}"/>
    <cellStyle name="Hed Top - SECTION 2 9 7 9 2" xfId="24848" xr:uid="{00000000-0005-0000-0000-000047680000}"/>
    <cellStyle name="Hed Top - SECTION 2 9 8" xfId="24849" xr:uid="{00000000-0005-0000-0000-000048680000}"/>
    <cellStyle name="Hed Top - SECTION 2 9 8 10" xfId="24850" xr:uid="{00000000-0005-0000-0000-000049680000}"/>
    <cellStyle name="Hed Top - SECTION 2 9 8 2" xfId="24851" xr:uid="{00000000-0005-0000-0000-00004A680000}"/>
    <cellStyle name="Hed Top - SECTION 2 9 8 2 2" xfId="24852" xr:uid="{00000000-0005-0000-0000-00004B680000}"/>
    <cellStyle name="Hed Top - SECTION 2 9 8 3" xfId="24853" xr:uid="{00000000-0005-0000-0000-00004C680000}"/>
    <cellStyle name="Hed Top - SECTION 2 9 8 3 2" xfId="24854" xr:uid="{00000000-0005-0000-0000-00004D680000}"/>
    <cellStyle name="Hed Top - SECTION 2 9 8 4" xfId="24855" xr:uid="{00000000-0005-0000-0000-00004E680000}"/>
    <cellStyle name="Hed Top - SECTION 2 9 8 4 2" xfId="24856" xr:uid="{00000000-0005-0000-0000-00004F680000}"/>
    <cellStyle name="Hed Top - SECTION 2 9 8 5" xfId="24857" xr:uid="{00000000-0005-0000-0000-000050680000}"/>
    <cellStyle name="Hed Top - SECTION 2 9 8 5 2" xfId="24858" xr:uid="{00000000-0005-0000-0000-000051680000}"/>
    <cellStyle name="Hed Top - SECTION 2 9 8 6" xfId="24859" xr:uid="{00000000-0005-0000-0000-000052680000}"/>
    <cellStyle name="Hed Top - SECTION 2 9 8 6 2" xfId="24860" xr:uid="{00000000-0005-0000-0000-000053680000}"/>
    <cellStyle name="Hed Top - SECTION 2 9 8 7" xfId="24861" xr:uid="{00000000-0005-0000-0000-000054680000}"/>
    <cellStyle name="Hed Top - SECTION 2 9 8 7 2" xfId="24862" xr:uid="{00000000-0005-0000-0000-000055680000}"/>
    <cellStyle name="Hed Top - SECTION 2 9 8 8" xfId="24863" xr:uid="{00000000-0005-0000-0000-000056680000}"/>
    <cellStyle name="Hed Top - SECTION 2 9 8 8 2" xfId="24864" xr:uid="{00000000-0005-0000-0000-000057680000}"/>
    <cellStyle name="Hed Top - SECTION 2 9 8 9" xfId="24865" xr:uid="{00000000-0005-0000-0000-000058680000}"/>
    <cellStyle name="Hed Top - SECTION 2 9 8 9 2" xfId="24866" xr:uid="{00000000-0005-0000-0000-000059680000}"/>
    <cellStyle name="Hed Top - SECTION 2 9 9" xfId="24867" xr:uid="{00000000-0005-0000-0000-00005A680000}"/>
    <cellStyle name="Hed Top - SECTION 2 9 9 10" xfId="24868" xr:uid="{00000000-0005-0000-0000-00005B680000}"/>
    <cellStyle name="Hed Top - SECTION 2 9 9 2" xfId="24869" xr:uid="{00000000-0005-0000-0000-00005C680000}"/>
    <cellStyle name="Hed Top - SECTION 2 9 9 2 2" xfId="24870" xr:uid="{00000000-0005-0000-0000-00005D680000}"/>
    <cellStyle name="Hed Top - SECTION 2 9 9 3" xfId="24871" xr:uid="{00000000-0005-0000-0000-00005E680000}"/>
    <cellStyle name="Hed Top - SECTION 2 9 9 3 2" xfId="24872" xr:uid="{00000000-0005-0000-0000-00005F680000}"/>
    <cellStyle name="Hed Top - SECTION 2 9 9 4" xfId="24873" xr:uid="{00000000-0005-0000-0000-000060680000}"/>
    <cellStyle name="Hed Top - SECTION 2 9 9 4 2" xfId="24874" xr:uid="{00000000-0005-0000-0000-000061680000}"/>
    <cellStyle name="Hed Top - SECTION 2 9 9 5" xfId="24875" xr:uid="{00000000-0005-0000-0000-000062680000}"/>
    <cellStyle name="Hed Top - SECTION 2 9 9 5 2" xfId="24876" xr:uid="{00000000-0005-0000-0000-000063680000}"/>
    <cellStyle name="Hed Top - SECTION 2 9 9 6" xfId="24877" xr:uid="{00000000-0005-0000-0000-000064680000}"/>
    <cellStyle name="Hed Top - SECTION 2 9 9 6 2" xfId="24878" xr:uid="{00000000-0005-0000-0000-000065680000}"/>
    <cellStyle name="Hed Top - SECTION 2 9 9 7" xfId="24879" xr:uid="{00000000-0005-0000-0000-000066680000}"/>
    <cellStyle name="Hed Top - SECTION 2 9 9 7 2" xfId="24880" xr:uid="{00000000-0005-0000-0000-000067680000}"/>
    <cellStyle name="Hed Top - SECTION 2 9 9 8" xfId="24881" xr:uid="{00000000-0005-0000-0000-000068680000}"/>
    <cellStyle name="Hed Top - SECTION 2 9 9 8 2" xfId="24882" xr:uid="{00000000-0005-0000-0000-000069680000}"/>
    <cellStyle name="Hed Top - SECTION 2 9 9 9" xfId="24883" xr:uid="{00000000-0005-0000-0000-00006A680000}"/>
    <cellStyle name="Hed Top - SECTION 2 9 9 9 2" xfId="24884" xr:uid="{00000000-0005-0000-0000-00006B680000}"/>
    <cellStyle name="Hed Top - SECTION 3" xfId="175" xr:uid="{00000000-0005-0000-0000-00006C680000}"/>
    <cellStyle name="Hed Top - SECTION 3 2" xfId="24885" xr:uid="{00000000-0005-0000-0000-00006D680000}"/>
    <cellStyle name="Hed Top - SECTION 3 2 10" xfId="24886" xr:uid="{00000000-0005-0000-0000-00006E680000}"/>
    <cellStyle name="Hed Top - SECTION 3 2 10 10" xfId="24887" xr:uid="{00000000-0005-0000-0000-00006F680000}"/>
    <cellStyle name="Hed Top - SECTION 3 2 10 2" xfId="24888" xr:uid="{00000000-0005-0000-0000-000070680000}"/>
    <cellStyle name="Hed Top - SECTION 3 2 10 2 2" xfId="24889" xr:uid="{00000000-0005-0000-0000-000071680000}"/>
    <cellStyle name="Hed Top - SECTION 3 2 10 3" xfId="24890" xr:uid="{00000000-0005-0000-0000-000072680000}"/>
    <cellStyle name="Hed Top - SECTION 3 2 10 3 2" xfId="24891" xr:uid="{00000000-0005-0000-0000-000073680000}"/>
    <cellStyle name="Hed Top - SECTION 3 2 10 4" xfId="24892" xr:uid="{00000000-0005-0000-0000-000074680000}"/>
    <cellStyle name="Hed Top - SECTION 3 2 10 4 2" xfId="24893" xr:uid="{00000000-0005-0000-0000-000075680000}"/>
    <cellStyle name="Hed Top - SECTION 3 2 10 5" xfId="24894" xr:uid="{00000000-0005-0000-0000-000076680000}"/>
    <cellStyle name="Hed Top - SECTION 3 2 10 5 2" xfId="24895" xr:uid="{00000000-0005-0000-0000-000077680000}"/>
    <cellStyle name="Hed Top - SECTION 3 2 10 6" xfId="24896" xr:uid="{00000000-0005-0000-0000-000078680000}"/>
    <cellStyle name="Hed Top - SECTION 3 2 10 6 2" xfId="24897" xr:uid="{00000000-0005-0000-0000-000079680000}"/>
    <cellStyle name="Hed Top - SECTION 3 2 10 7" xfId="24898" xr:uid="{00000000-0005-0000-0000-00007A680000}"/>
    <cellStyle name="Hed Top - SECTION 3 2 10 7 2" xfId="24899" xr:uid="{00000000-0005-0000-0000-00007B680000}"/>
    <cellStyle name="Hed Top - SECTION 3 2 10 8" xfId="24900" xr:uid="{00000000-0005-0000-0000-00007C680000}"/>
    <cellStyle name="Hed Top - SECTION 3 2 10 8 2" xfId="24901" xr:uid="{00000000-0005-0000-0000-00007D680000}"/>
    <cellStyle name="Hed Top - SECTION 3 2 10 9" xfId="24902" xr:uid="{00000000-0005-0000-0000-00007E680000}"/>
    <cellStyle name="Hed Top - SECTION 3 2 10 9 2" xfId="24903" xr:uid="{00000000-0005-0000-0000-00007F680000}"/>
    <cellStyle name="Hed Top - SECTION 3 2 11" xfId="24904" xr:uid="{00000000-0005-0000-0000-000080680000}"/>
    <cellStyle name="Hed Top - SECTION 3 2 11 2" xfId="24905" xr:uid="{00000000-0005-0000-0000-000081680000}"/>
    <cellStyle name="Hed Top - SECTION 3 2 11 2 2" xfId="24906" xr:uid="{00000000-0005-0000-0000-000082680000}"/>
    <cellStyle name="Hed Top - SECTION 3 2 11 3" xfId="24907" xr:uid="{00000000-0005-0000-0000-000083680000}"/>
    <cellStyle name="Hed Top - SECTION 3 2 11 3 2" xfId="24908" xr:uid="{00000000-0005-0000-0000-000084680000}"/>
    <cellStyle name="Hed Top - SECTION 3 2 11 4" xfId="24909" xr:uid="{00000000-0005-0000-0000-000085680000}"/>
    <cellStyle name="Hed Top - SECTION 3 2 11 4 2" xfId="24910" xr:uid="{00000000-0005-0000-0000-000086680000}"/>
    <cellStyle name="Hed Top - SECTION 3 2 11 5" xfId="24911" xr:uid="{00000000-0005-0000-0000-000087680000}"/>
    <cellStyle name="Hed Top - SECTION 3 2 11 5 2" xfId="24912" xr:uid="{00000000-0005-0000-0000-000088680000}"/>
    <cellStyle name="Hed Top - SECTION 3 2 11 6" xfId="24913" xr:uid="{00000000-0005-0000-0000-000089680000}"/>
    <cellStyle name="Hed Top - SECTION 3 2 11 6 2" xfId="24914" xr:uid="{00000000-0005-0000-0000-00008A680000}"/>
    <cellStyle name="Hed Top - SECTION 3 2 11 7" xfId="24915" xr:uid="{00000000-0005-0000-0000-00008B680000}"/>
    <cellStyle name="Hed Top - SECTION 3 2 11 7 2" xfId="24916" xr:uid="{00000000-0005-0000-0000-00008C680000}"/>
    <cellStyle name="Hed Top - SECTION 3 2 11 8" xfId="24917" xr:uid="{00000000-0005-0000-0000-00008D680000}"/>
    <cellStyle name="Hed Top - SECTION 3 2 11 8 2" xfId="24918" xr:uid="{00000000-0005-0000-0000-00008E680000}"/>
    <cellStyle name="Hed Top - SECTION 3 2 11 9" xfId="24919" xr:uid="{00000000-0005-0000-0000-00008F680000}"/>
    <cellStyle name="Hed Top - SECTION 3 2 2" xfId="24920" xr:uid="{00000000-0005-0000-0000-000090680000}"/>
    <cellStyle name="Hed Top - SECTION 3 2 2 10" xfId="24921" xr:uid="{00000000-0005-0000-0000-000091680000}"/>
    <cellStyle name="Hed Top - SECTION 3 2 2 2" xfId="24922" xr:uid="{00000000-0005-0000-0000-000092680000}"/>
    <cellStyle name="Hed Top - SECTION 3 2 2 2 2" xfId="24923" xr:uid="{00000000-0005-0000-0000-000093680000}"/>
    <cellStyle name="Hed Top - SECTION 3 2 2 3" xfId="24924" xr:uid="{00000000-0005-0000-0000-000094680000}"/>
    <cellStyle name="Hed Top - SECTION 3 2 2 3 2" xfId="24925" xr:uid="{00000000-0005-0000-0000-000095680000}"/>
    <cellStyle name="Hed Top - SECTION 3 2 2 4" xfId="24926" xr:uid="{00000000-0005-0000-0000-000096680000}"/>
    <cellStyle name="Hed Top - SECTION 3 2 2 4 2" xfId="24927" xr:uid="{00000000-0005-0000-0000-000097680000}"/>
    <cellStyle name="Hed Top - SECTION 3 2 2 5" xfId="24928" xr:uid="{00000000-0005-0000-0000-000098680000}"/>
    <cellStyle name="Hed Top - SECTION 3 2 2 5 2" xfId="24929" xr:uid="{00000000-0005-0000-0000-000099680000}"/>
    <cellStyle name="Hed Top - SECTION 3 2 2 6" xfId="24930" xr:uid="{00000000-0005-0000-0000-00009A680000}"/>
    <cellStyle name="Hed Top - SECTION 3 2 2 6 2" xfId="24931" xr:uid="{00000000-0005-0000-0000-00009B680000}"/>
    <cellStyle name="Hed Top - SECTION 3 2 2 7" xfId="24932" xr:uid="{00000000-0005-0000-0000-00009C680000}"/>
    <cellStyle name="Hed Top - SECTION 3 2 2 7 2" xfId="24933" xr:uid="{00000000-0005-0000-0000-00009D680000}"/>
    <cellStyle name="Hed Top - SECTION 3 2 2 8" xfId="24934" xr:uid="{00000000-0005-0000-0000-00009E680000}"/>
    <cellStyle name="Hed Top - SECTION 3 2 2 8 2" xfId="24935" xr:uid="{00000000-0005-0000-0000-00009F680000}"/>
    <cellStyle name="Hed Top - SECTION 3 2 2 9" xfId="24936" xr:uid="{00000000-0005-0000-0000-0000A0680000}"/>
    <cellStyle name="Hed Top - SECTION 3 2 2 9 2" xfId="24937" xr:uid="{00000000-0005-0000-0000-0000A1680000}"/>
    <cellStyle name="Hed Top - SECTION 3 2 3" xfId="24938" xr:uid="{00000000-0005-0000-0000-0000A2680000}"/>
    <cellStyle name="Hed Top - SECTION 3 2 3 10" xfId="24939" xr:uid="{00000000-0005-0000-0000-0000A3680000}"/>
    <cellStyle name="Hed Top - SECTION 3 2 3 2" xfId="24940" xr:uid="{00000000-0005-0000-0000-0000A4680000}"/>
    <cellStyle name="Hed Top - SECTION 3 2 3 2 2" xfId="24941" xr:uid="{00000000-0005-0000-0000-0000A5680000}"/>
    <cellStyle name="Hed Top - SECTION 3 2 3 3" xfId="24942" xr:uid="{00000000-0005-0000-0000-0000A6680000}"/>
    <cellStyle name="Hed Top - SECTION 3 2 3 3 2" xfId="24943" xr:uid="{00000000-0005-0000-0000-0000A7680000}"/>
    <cellStyle name="Hed Top - SECTION 3 2 3 4" xfId="24944" xr:uid="{00000000-0005-0000-0000-0000A8680000}"/>
    <cellStyle name="Hed Top - SECTION 3 2 3 4 2" xfId="24945" xr:uid="{00000000-0005-0000-0000-0000A9680000}"/>
    <cellStyle name="Hed Top - SECTION 3 2 3 5" xfId="24946" xr:uid="{00000000-0005-0000-0000-0000AA680000}"/>
    <cellStyle name="Hed Top - SECTION 3 2 3 5 2" xfId="24947" xr:uid="{00000000-0005-0000-0000-0000AB680000}"/>
    <cellStyle name="Hed Top - SECTION 3 2 3 6" xfId="24948" xr:uid="{00000000-0005-0000-0000-0000AC680000}"/>
    <cellStyle name="Hed Top - SECTION 3 2 3 6 2" xfId="24949" xr:uid="{00000000-0005-0000-0000-0000AD680000}"/>
    <cellStyle name="Hed Top - SECTION 3 2 3 7" xfId="24950" xr:uid="{00000000-0005-0000-0000-0000AE680000}"/>
    <cellStyle name="Hed Top - SECTION 3 2 3 7 2" xfId="24951" xr:uid="{00000000-0005-0000-0000-0000AF680000}"/>
    <cellStyle name="Hed Top - SECTION 3 2 3 8" xfId="24952" xr:uid="{00000000-0005-0000-0000-0000B0680000}"/>
    <cellStyle name="Hed Top - SECTION 3 2 3 8 2" xfId="24953" xr:uid="{00000000-0005-0000-0000-0000B1680000}"/>
    <cellStyle name="Hed Top - SECTION 3 2 3 9" xfId="24954" xr:uid="{00000000-0005-0000-0000-0000B2680000}"/>
    <cellStyle name="Hed Top - SECTION 3 2 3 9 2" xfId="24955" xr:uid="{00000000-0005-0000-0000-0000B3680000}"/>
    <cellStyle name="Hed Top - SECTION 3 2 4" xfId="24956" xr:uid="{00000000-0005-0000-0000-0000B4680000}"/>
    <cellStyle name="Hed Top - SECTION 3 2 4 10" xfId="24957" xr:uid="{00000000-0005-0000-0000-0000B5680000}"/>
    <cellStyle name="Hed Top - SECTION 3 2 4 2" xfId="24958" xr:uid="{00000000-0005-0000-0000-0000B6680000}"/>
    <cellStyle name="Hed Top - SECTION 3 2 4 2 2" xfId="24959" xr:uid="{00000000-0005-0000-0000-0000B7680000}"/>
    <cellStyle name="Hed Top - SECTION 3 2 4 3" xfId="24960" xr:uid="{00000000-0005-0000-0000-0000B8680000}"/>
    <cellStyle name="Hed Top - SECTION 3 2 4 3 2" xfId="24961" xr:uid="{00000000-0005-0000-0000-0000B9680000}"/>
    <cellStyle name="Hed Top - SECTION 3 2 4 4" xfId="24962" xr:uid="{00000000-0005-0000-0000-0000BA680000}"/>
    <cellStyle name="Hed Top - SECTION 3 2 4 4 2" xfId="24963" xr:uid="{00000000-0005-0000-0000-0000BB680000}"/>
    <cellStyle name="Hed Top - SECTION 3 2 4 5" xfId="24964" xr:uid="{00000000-0005-0000-0000-0000BC680000}"/>
    <cellStyle name="Hed Top - SECTION 3 2 4 5 2" xfId="24965" xr:uid="{00000000-0005-0000-0000-0000BD680000}"/>
    <cellStyle name="Hed Top - SECTION 3 2 4 6" xfId="24966" xr:uid="{00000000-0005-0000-0000-0000BE680000}"/>
    <cellStyle name="Hed Top - SECTION 3 2 4 6 2" xfId="24967" xr:uid="{00000000-0005-0000-0000-0000BF680000}"/>
    <cellStyle name="Hed Top - SECTION 3 2 4 7" xfId="24968" xr:uid="{00000000-0005-0000-0000-0000C0680000}"/>
    <cellStyle name="Hed Top - SECTION 3 2 4 7 2" xfId="24969" xr:uid="{00000000-0005-0000-0000-0000C1680000}"/>
    <cellStyle name="Hed Top - SECTION 3 2 4 8" xfId="24970" xr:uid="{00000000-0005-0000-0000-0000C2680000}"/>
    <cellStyle name="Hed Top - SECTION 3 2 4 8 2" xfId="24971" xr:uid="{00000000-0005-0000-0000-0000C3680000}"/>
    <cellStyle name="Hed Top - SECTION 3 2 4 9" xfId="24972" xr:uid="{00000000-0005-0000-0000-0000C4680000}"/>
    <cellStyle name="Hed Top - SECTION 3 2 4 9 2" xfId="24973" xr:uid="{00000000-0005-0000-0000-0000C5680000}"/>
    <cellStyle name="Hed Top - SECTION 3 2 5" xfId="24974" xr:uid="{00000000-0005-0000-0000-0000C6680000}"/>
    <cellStyle name="Hed Top - SECTION 3 2 5 10" xfId="24975" xr:uid="{00000000-0005-0000-0000-0000C7680000}"/>
    <cellStyle name="Hed Top - SECTION 3 2 5 2" xfId="24976" xr:uid="{00000000-0005-0000-0000-0000C8680000}"/>
    <cellStyle name="Hed Top - SECTION 3 2 5 2 2" xfId="24977" xr:uid="{00000000-0005-0000-0000-0000C9680000}"/>
    <cellStyle name="Hed Top - SECTION 3 2 5 3" xfId="24978" xr:uid="{00000000-0005-0000-0000-0000CA680000}"/>
    <cellStyle name="Hed Top - SECTION 3 2 5 3 2" xfId="24979" xr:uid="{00000000-0005-0000-0000-0000CB680000}"/>
    <cellStyle name="Hed Top - SECTION 3 2 5 4" xfId="24980" xr:uid="{00000000-0005-0000-0000-0000CC680000}"/>
    <cellStyle name="Hed Top - SECTION 3 2 5 4 2" xfId="24981" xr:uid="{00000000-0005-0000-0000-0000CD680000}"/>
    <cellStyle name="Hed Top - SECTION 3 2 5 5" xfId="24982" xr:uid="{00000000-0005-0000-0000-0000CE680000}"/>
    <cellStyle name="Hed Top - SECTION 3 2 5 5 2" xfId="24983" xr:uid="{00000000-0005-0000-0000-0000CF680000}"/>
    <cellStyle name="Hed Top - SECTION 3 2 5 6" xfId="24984" xr:uid="{00000000-0005-0000-0000-0000D0680000}"/>
    <cellStyle name="Hed Top - SECTION 3 2 5 6 2" xfId="24985" xr:uid="{00000000-0005-0000-0000-0000D1680000}"/>
    <cellStyle name="Hed Top - SECTION 3 2 5 7" xfId="24986" xr:uid="{00000000-0005-0000-0000-0000D2680000}"/>
    <cellStyle name="Hed Top - SECTION 3 2 5 7 2" xfId="24987" xr:uid="{00000000-0005-0000-0000-0000D3680000}"/>
    <cellStyle name="Hed Top - SECTION 3 2 5 8" xfId="24988" xr:uid="{00000000-0005-0000-0000-0000D4680000}"/>
    <cellStyle name="Hed Top - SECTION 3 2 5 8 2" xfId="24989" xr:uid="{00000000-0005-0000-0000-0000D5680000}"/>
    <cellStyle name="Hed Top - SECTION 3 2 5 9" xfId="24990" xr:uid="{00000000-0005-0000-0000-0000D6680000}"/>
    <cellStyle name="Hed Top - SECTION 3 2 5 9 2" xfId="24991" xr:uid="{00000000-0005-0000-0000-0000D7680000}"/>
    <cellStyle name="Hed Top - SECTION 3 2 6" xfId="24992" xr:uid="{00000000-0005-0000-0000-0000D8680000}"/>
    <cellStyle name="Hed Top - SECTION 3 2 6 10" xfId="24993" xr:uid="{00000000-0005-0000-0000-0000D9680000}"/>
    <cellStyle name="Hed Top - SECTION 3 2 6 2" xfId="24994" xr:uid="{00000000-0005-0000-0000-0000DA680000}"/>
    <cellStyle name="Hed Top - SECTION 3 2 6 2 2" xfId="24995" xr:uid="{00000000-0005-0000-0000-0000DB680000}"/>
    <cellStyle name="Hed Top - SECTION 3 2 6 3" xfId="24996" xr:uid="{00000000-0005-0000-0000-0000DC680000}"/>
    <cellStyle name="Hed Top - SECTION 3 2 6 3 2" xfId="24997" xr:uid="{00000000-0005-0000-0000-0000DD680000}"/>
    <cellStyle name="Hed Top - SECTION 3 2 6 4" xfId="24998" xr:uid="{00000000-0005-0000-0000-0000DE680000}"/>
    <cellStyle name="Hed Top - SECTION 3 2 6 4 2" xfId="24999" xr:uid="{00000000-0005-0000-0000-0000DF680000}"/>
    <cellStyle name="Hed Top - SECTION 3 2 6 5" xfId="25000" xr:uid="{00000000-0005-0000-0000-0000E0680000}"/>
    <cellStyle name="Hed Top - SECTION 3 2 6 5 2" xfId="25001" xr:uid="{00000000-0005-0000-0000-0000E1680000}"/>
    <cellStyle name="Hed Top - SECTION 3 2 6 6" xfId="25002" xr:uid="{00000000-0005-0000-0000-0000E2680000}"/>
    <cellStyle name="Hed Top - SECTION 3 2 6 6 2" xfId="25003" xr:uid="{00000000-0005-0000-0000-0000E3680000}"/>
    <cellStyle name="Hed Top - SECTION 3 2 6 7" xfId="25004" xr:uid="{00000000-0005-0000-0000-0000E4680000}"/>
    <cellStyle name="Hed Top - SECTION 3 2 6 7 2" xfId="25005" xr:uid="{00000000-0005-0000-0000-0000E5680000}"/>
    <cellStyle name="Hed Top - SECTION 3 2 6 8" xfId="25006" xr:uid="{00000000-0005-0000-0000-0000E6680000}"/>
    <cellStyle name="Hed Top - SECTION 3 2 6 8 2" xfId="25007" xr:uid="{00000000-0005-0000-0000-0000E7680000}"/>
    <cellStyle name="Hed Top - SECTION 3 2 6 9" xfId="25008" xr:uid="{00000000-0005-0000-0000-0000E8680000}"/>
    <cellStyle name="Hed Top - SECTION 3 2 6 9 2" xfId="25009" xr:uid="{00000000-0005-0000-0000-0000E9680000}"/>
    <cellStyle name="Hed Top - SECTION 3 2 7" xfId="25010" xr:uid="{00000000-0005-0000-0000-0000EA680000}"/>
    <cellStyle name="Hed Top - SECTION 3 2 7 10" xfId="25011" xr:uid="{00000000-0005-0000-0000-0000EB680000}"/>
    <cellStyle name="Hed Top - SECTION 3 2 7 2" xfId="25012" xr:uid="{00000000-0005-0000-0000-0000EC680000}"/>
    <cellStyle name="Hed Top - SECTION 3 2 7 2 2" xfId="25013" xr:uid="{00000000-0005-0000-0000-0000ED680000}"/>
    <cellStyle name="Hed Top - SECTION 3 2 7 3" xfId="25014" xr:uid="{00000000-0005-0000-0000-0000EE680000}"/>
    <cellStyle name="Hed Top - SECTION 3 2 7 3 2" xfId="25015" xr:uid="{00000000-0005-0000-0000-0000EF680000}"/>
    <cellStyle name="Hed Top - SECTION 3 2 7 4" xfId="25016" xr:uid="{00000000-0005-0000-0000-0000F0680000}"/>
    <cellStyle name="Hed Top - SECTION 3 2 7 4 2" xfId="25017" xr:uid="{00000000-0005-0000-0000-0000F1680000}"/>
    <cellStyle name="Hed Top - SECTION 3 2 7 5" xfId="25018" xr:uid="{00000000-0005-0000-0000-0000F2680000}"/>
    <cellStyle name="Hed Top - SECTION 3 2 7 5 2" xfId="25019" xr:uid="{00000000-0005-0000-0000-0000F3680000}"/>
    <cellStyle name="Hed Top - SECTION 3 2 7 6" xfId="25020" xr:uid="{00000000-0005-0000-0000-0000F4680000}"/>
    <cellStyle name="Hed Top - SECTION 3 2 7 6 2" xfId="25021" xr:uid="{00000000-0005-0000-0000-0000F5680000}"/>
    <cellStyle name="Hed Top - SECTION 3 2 7 7" xfId="25022" xr:uid="{00000000-0005-0000-0000-0000F6680000}"/>
    <cellStyle name="Hed Top - SECTION 3 2 7 7 2" xfId="25023" xr:uid="{00000000-0005-0000-0000-0000F7680000}"/>
    <cellStyle name="Hed Top - SECTION 3 2 7 8" xfId="25024" xr:uid="{00000000-0005-0000-0000-0000F8680000}"/>
    <cellStyle name="Hed Top - SECTION 3 2 7 8 2" xfId="25025" xr:uid="{00000000-0005-0000-0000-0000F9680000}"/>
    <cellStyle name="Hed Top - SECTION 3 2 7 9" xfId="25026" xr:uid="{00000000-0005-0000-0000-0000FA680000}"/>
    <cellStyle name="Hed Top - SECTION 3 2 7 9 2" xfId="25027" xr:uid="{00000000-0005-0000-0000-0000FB680000}"/>
    <cellStyle name="Hed Top - SECTION 3 2 8" xfId="25028" xr:uid="{00000000-0005-0000-0000-0000FC680000}"/>
    <cellStyle name="Hed Top - SECTION 3 2 8 10" xfId="25029" xr:uid="{00000000-0005-0000-0000-0000FD680000}"/>
    <cellStyle name="Hed Top - SECTION 3 2 8 2" xfId="25030" xr:uid="{00000000-0005-0000-0000-0000FE680000}"/>
    <cellStyle name="Hed Top - SECTION 3 2 8 2 2" xfId="25031" xr:uid="{00000000-0005-0000-0000-0000FF680000}"/>
    <cellStyle name="Hed Top - SECTION 3 2 8 3" xfId="25032" xr:uid="{00000000-0005-0000-0000-000000690000}"/>
    <cellStyle name="Hed Top - SECTION 3 2 8 3 2" xfId="25033" xr:uid="{00000000-0005-0000-0000-000001690000}"/>
    <cellStyle name="Hed Top - SECTION 3 2 8 4" xfId="25034" xr:uid="{00000000-0005-0000-0000-000002690000}"/>
    <cellStyle name="Hed Top - SECTION 3 2 8 4 2" xfId="25035" xr:uid="{00000000-0005-0000-0000-000003690000}"/>
    <cellStyle name="Hed Top - SECTION 3 2 8 5" xfId="25036" xr:uid="{00000000-0005-0000-0000-000004690000}"/>
    <cellStyle name="Hed Top - SECTION 3 2 8 5 2" xfId="25037" xr:uid="{00000000-0005-0000-0000-000005690000}"/>
    <cellStyle name="Hed Top - SECTION 3 2 8 6" xfId="25038" xr:uid="{00000000-0005-0000-0000-000006690000}"/>
    <cellStyle name="Hed Top - SECTION 3 2 8 6 2" xfId="25039" xr:uid="{00000000-0005-0000-0000-000007690000}"/>
    <cellStyle name="Hed Top - SECTION 3 2 8 7" xfId="25040" xr:uid="{00000000-0005-0000-0000-000008690000}"/>
    <cellStyle name="Hed Top - SECTION 3 2 8 7 2" xfId="25041" xr:uid="{00000000-0005-0000-0000-000009690000}"/>
    <cellStyle name="Hed Top - SECTION 3 2 8 8" xfId="25042" xr:uid="{00000000-0005-0000-0000-00000A690000}"/>
    <cellStyle name="Hed Top - SECTION 3 2 8 8 2" xfId="25043" xr:uid="{00000000-0005-0000-0000-00000B690000}"/>
    <cellStyle name="Hed Top - SECTION 3 2 8 9" xfId="25044" xr:uid="{00000000-0005-0000-0000-00000C690000}"/>
    <cellStyle name="Hed Top - SECTION 3 2 8 9 2" xfId="25045" xr:uid="{00000000-0005-0000-0000-00000D690000}"/>
    <cellStyle name="Hed Top - SECTION 3 2 9" xfId="25046" xr:uid="{00000000-0005-0000-0000-00000E690000}"/>
    <cellStyle name="Hed Top - SECTION 3 2 9 10" xfId="25047" xr:uid="{00000000-0005-0000-0000-00000F690000}"/>
    <cellStyle name="Hed Top - SECTION 3 2 9 2" xfId="25048" xr:uid="{00000000-0005-0000-0000-000010690000}"/>
    <cellStyle name="Hed Top - SECTION 3 2 9 2 2" xfId="25049" xr:uid="{00000000-0005-0000-0000-000011690000}"/>
    <cellStyle name="Hed Top - SECTION 3 2 9 3" xfId="25050" xr:uid="{00000000-0005-0000-0000-000012690000}"/>
    <cellStyle name="Hed Top - SECTION 3 2 9 3 2" xfId="25051" xr:uid="{00000000-0005-0000-0000-000013690000}"/>
    <cellStyle name="Hed Top - SECTION 3 2 9 4" xfId="25052" xr:uid="{00000000-0005-0000-0000-000014690000}"/>
    <cellStyle name="Hed Top - SECTION 3 2 9 4 2" xfId="25053" xr:uid="{00000000-0005-0000-0000-000015690000}"/>
    <cellStyle name="Hed Top - SECTION 3 2 9 5" xfId="25054" xr:uid="{00000000-0005-0000-0000-000016690000}"/>
    <cellStyle name="Hed Top - SECTION 3 2 9 5 2" xfId="25055" xr:uid="{00000000-0005-0000-0000-000017690000}"/>
    <cellStyle name="Hed Top - SECTION 3 2 9 6" xfId="25056" xr:uid="{00000000-0005-0000-0000-000018690000}"/>
    <cellStyle name="Hed Top - SECTION 3 2 9 6 2" xfId="25057" xr:uid="{00000000-0005-0000-0000-000019690000}"/>
    <cellStyle name="Hed Top - SECTION 3 2 9 7" xfId="25058" xr:uid="{00000000-0005-0000-0000-00001A690000}"/>
    <cellStyle name="Hed Top - SECTION 3 2 9 7 2" xfId="25059" xr:uid="{00000000-0005-0000-0000-00001B690000}"/>
    <cellStyle name="Hed Top - SECTION 3 2 9 8" xfId="25060" xr:uid="{00000000-0005-0000-0000-00001C690000}"/>
    <cellStyle name="Hed Top - SECTION 3 2 9 8 2" xfId="25061" xr:uid="{00000000-0005-0000-0000-00001D690000}"/>
    <cellStyle name="Hed Top - SECTION 3 2 9 9" xfId="25062" xr:uid="{00000000-0005-0000-0000-00001E690000}"/>
    <cellStyle name="Hed Top - SECTION 3 2 9 9 2" xfId="25063" xr:uid="{00000000-0005-0000-0000-00001F690000}"/>
    <cellStyle name="Hed Top - SECTION 3 3" xfId="25064" xr:uid="{00000000-0005-0000-0000-000020690000}"/>
    <cellStyle name="Hed Top - SECTION 3 3 10" xfId="25065" xr:uid="{00000000-0005-0000-0000-000021690000}"/>
    <cellStyle name="Hed Top - SECTION 3 3 10 2" xfId="25066" xr:uid="{00000000-0005-0000-0000-000022690000}"/>
    <cellStyle name="Hed Top - SECTION 3 3 10 2 2" xfId="25067" xr:uid="{00000000-0005-0000-0000-000023690000}"/>
    <cellStyle name="Hed Top - SECTION 3 3 10 3" xfId="25068" xr:uid="{00000000-0005-0000-0000-000024690000}"/>
    <cellStyle name="Hed Top - SECTION 3 3 10 3 2" xfId="25069" xr:uid="{00000000-0005-0000-0000-000025690000}"/>
    <cellStyle name="Hed Top - SECTION 3 3 10 4" xfId="25070" xr:uid="{00000000-0005-0000-0000-000026690000}"/>
    <cellStyle name="Hed Top - SECTION 3 3 10 4 2" xfId="25071" xr:uid="{00000000-0005-0000-0000-000027690000}"/>
    <cellStyle name="Hed Top - SECTION 3 3 10 5" xfId="25072" xr:uid="{00000000-0005-0000-0000-000028690000}"/>
    <cellStyle name="Hed Top - SECTION 3 3 10 5 2" xfId="25073" xr:uid="{00000000-0005-0000-0000-000029690000}"/>
    <cellStyle name="Hed Top - SECTION 3 3 10 6" xfId="25074" xr:uid="{00000000-0005-0000-0000-00002A690000}"/>
    <cellStyle name="Hed Top - SECTION 3 3 10 6 2" xfId="25075" xr:uid="{00000000-0005-0000-0000-00002B690000}"/>
    <cellStyle name="Hed Top - SECTION 3 3 10 7" xfId="25076" xr:uid="{00000000-0005-0000-0000-00002C690000}"/>
    <cellStyle name="Hed Top - SECTION 3 3 10 7 2" xfId="25077" xr:uid="{00000000-0005-0000-0000-00002D690000}"/>
    <cellStyle name="Hed Top - SECTION 3 3 10 8" xfId="25078" xr:uid="{00000000-0005-0000-0000-00002E690000}"/>
    <cellStyle name="Hed Top - SECTION 3 3 10 8 2" xfId="25079" xr:uid="{00000000-0005-0000-0000-00002F690000}"/>
    <cellStyle name="Hed Top - SECTION 3 3 10 9" xfId="25080" xr:uid="{00000000-0005-0000-0000-000030690000}"/>
    <cellStyle name="Hed Top - SECTION 3 3 11" xfId="25081" xr:uid="{00000000-0005-0000-0000-000031690000}"/>
    <cellStyle name="Hed Top - SECTION 3 3 11 2" xfId="25082" xr:uid="{00000000-0005-0000-0000-000032690000}"/>
    <cellStyle name="Hed Top - SECTION 3 3 12" xfId="25083" xr:uid="{00000000-0005-0000-0000-000033690000}"/>
    <cellStyle name="Hed Top - SECTION 3 3 12 2" xfId="25084" xr:uid="{00000000-0005-0000-0000-000034690000}"/>
    <cellStyle name="Hed Top - SECTION 3 3 13" xfId="25085" xr:uid="{00000000-0005-0000-0000-000035690000}"/>
    <cellStyle name="Hed Top - SECTION 3 3 13 2" xfId="25086" xr:uid="{00000000-0005-0000-0000-000036690000}"/>
    <cellStyle name="Hed Top - SECTION 3 3 14" xfId="25087" xr:uid="{00000000-0005-0000-0000-000037690000}"/>
    <cellStyle name="Hed Top - SECTION 3 3 14 2" xfId="25088" xr:uid="{00000000-0005-0000-0000-000038690000}"/>
    <cellStyle name="Hed Top - SECTION 3 3 15" xfId="25089" xr:uid="{00000000-0005-0000-0000-000039690000}"/>
    <cellStyle name="Hed Top - SECTION 3 3 15 2" xfId="25090" xr:uid="{00000000-0005-0000-0000-00003A690000}"/>
    <cellStyle name="Hed Top - SECTION 3 3 16" xfId="25091" xr:uid="{00000000-0005-0000-0000-00003B690000}"/>
    <cellStyle name="Hed Top - SECTION 3 3 16 2" xfId="25092" xr:uid="{00000000-0005-0000-0000-00003C690000}"/>
    <cellStyle name="Hed Top - SECTION 3 3 17" xfId="25093" xr:uid="{00000000-0005-0000-0000-00003D690000}"/>
    <cellStyle name="Hed Top - SECTION 3 3 17 2" xfId="25094" xr:uid="{00000000-0005-0000-0000-00003E690000}"/>
    <cellStyle name="Hed Top - SECTION 3 3 18" xfId="25095" xr:uid="{00000000-0005-0000-0000-00003F690000}"/>
    <cellStyle name="Hed Top - SECTION 3 3 2" xfId="25096" xr:uid="{00000000-0005-0000-0000-000040690000}"/>
    <cellStyle name="Hed Top - SECTION 3 3 2 10" xfId="25097" xr:uid="{00000000-0005-0000-0000-000041690000}"/>
    <cellStyle name="Hed Top - SECTION 3 3 2 2" xfId="25098" xr:uid="{00000000-0005-0000-0000-000042690000}"/>
    <cellStyle name="Hed Top - SECTION 3 3 2 2 2" xfId="25099" xr:uid="{00000000-0005-0000-0000-000043690000}"/>
    <cellStyle name="Hed Top - SECTION 3 3 2 3" xfId="25100" xr:uid="{00000000-0005-0000-0000-000044690000}"/>
    <cellStyle name="Hed Top - SECTION 3 3 2 3 2" xfId="25101" xr:uid="{00000000-0005-0000-0000-000045690000}"/>
    <cellStyle name="Hed Top - SECTION 3 3 2 4" xfId="25102" xr:uid="{00000000-0005-0000-0000-000046690000}"/>
    <cellStyle name="Hed Top - SECTION 3 3 2 4 2" xfId="25103" xr:uid="{00000000-0005-0000-0000-000047690000}"/>
    <cellStyle name="Hed Top - SECTION 3 3 2 5" xfId="25104" xr:uid="{00000000-0005-0000-0000-000048690000}"/>
    <cellStyle name="Hed Top - SECTION 3 3 2 5 2" xfId="25105" xr:uid="{00000000-0005-0000-0000-000049690000}"/>
    <cellStyle name="Hed Top - SECTION 3 3 2 6" xfId="25106" xr:uid="{00000000-0005-0000-0000-00004A690000}"/>
    <cellStyle name="Hed Top - SECTION 3 3 2 6 2" xfId="25107" xr:uid="{00000000-0005-0000-0000-00004B690000}"/>
    <cellStyle name="Hed Top - SECTION 3 3 2 7" xfId="25108" xr:uid="{00000000-0005-0000-0000-00004C690000}"/>
    <cellStyle name="Hed Top - SECTION 3 3 2 7 2" xfId="25109" xr:uid="{00000000-0005-0000-0000-00004D690000}"/>
    <cellStyle name="Hed Top - SECTION 3 3 2 8" xfId="25110" xr:uid="{00000000-0005-0000-0000-00004E690000}"/>
    <cellStyle name="Hed Top - SECTION 3 3 2 8 2" xfId="25111" xr:uid="{00000000-0005-0000-0000-00004F690000}"/>
    <cellStyle name="Hed Top - SECTION 3 3 2 9" xfId="25112" xr:uid="{00000000-0005-0000-0000-000050690000}"/>
    <cellStyle name="Hed Top - SECTION 3 3 2 9 2" xfId="25113" xr:uid="{00000000-0005-0000-0000-000051690000}"/>
    <cellStyle name="Hed Top - SECTION 3 3 3" xfId="25114" xr:uid="{00000000-0005-0000-0000-000052690000}"/>
    <cellStyle name="Hed Top - SECTION 3 3 3 10" xfId="25115" xr:uid="{00000000-0005-0000-0000-000053690000}"/>
    <cellStyle name="Hed Top - SECTION 3 3 3 2" xfId="25116" xr:uid="{00000000-0005-0000-0000-000054690000}"/>
    <cellStyle name="Hed Top - SECTION 3 3 3 2 2" xfId="25117" xr:uid="{00000000-0005-0000-0000-000055690000}"/>
    <cellStyle name="Hed Top - SECTION 3 3 3 3" xfId="25118" xr:uid="{00000000-0005-0000-0000-000056690000}"/>
    <cellStyle name="Hed Top - SECTION 3 3 3 3 2" xfId="25119" xr:uid="{00000000-0005-0000-0000-000057690000}"/>
    <cellStyle name="Hed Top - SECTION 3 3 3 4" xfId="25120" xr:uid="{00000000-0005-0000-0000-000058690000}"/>
    <cellStyle name="Hed Top - SECTION 3 3 3 4 2" xfId="25121" xr:uid="{00000000-0005-0000-0000-000059690000}"/>
    <cellStyle name="Hed Top - SECTION 3 3 3 5" xfId="25122" xr:uid="{00000000-0005-0000-0000-00005A690000}"/>
    <cellStyle name="Hed Top - SECTION 3 3 3 5 2" xfId="25123" xr:uid="{00000000-0005-0000-0000-00005B690000}"/>
    <cellStyle name="Hed Top - SECTION 3 3 3 6" xfId="25124" xr:uid="{00000000-0005-0000-0000-00005C690000}"/>
    <cellStyle name="Hed Top - SECTION 3 3 3 6 2" xfId="25125" xr:uid="{00000000-0005-0000-0000-00005D690000}"/>
    <cellStyle name="Hed Top - SECTION 3 3 3 7" xfId="25126" xr:uid="{00000000-0005-0000-0000-00005E690000}"/>
    <cellStyle name="Hed Top - SECTION 3 3 3 7 2" xfId="25127" xr:uid="{00000000-0005-0000-0000-00005F690000}"/>
    <cellStyle name="Hed Top - SECTION 3 3 3 8" xfId="25128" xr:uid="{00000000-0005-0000-0000-000060690000}"/>
    <cellStyle name="Hed Top - SECTION 3 3 3 8 2" xfId="25129" xr:uid="{00000000-0005-0000-0000-000061690000}"/>
    <cellStyle name="Hed Top - SECTION 3 3 3 9" xfId="25130" xr:uid="{00000000-0005-0000-0000-000062690000}"/>
    <cellStyle name="Hed Top - SECTION 3 3 3 9 2" xfId="25131" xr:uid="{00000000-0005-0000-0000-000063690000}"/>
    <cellStyle name="Hed Top - SECTION 3 3 4" xfId="25132" xr:uid="{00000000-0005-0000-0000-000064690000}"/>
    <cellStyle name="Hed Top - SECTION 3 3 4 10" xfId="25133" xr:uid="{00000000-0005-0000-0000-000065690000}"/>
    <cellStyle name="Hed Top - SECTION 3 3 4 2" xfId="25134" xr:uid="{00000000-0005-0000-0000-000066690000}"/>
    <cellStyle name="Hed Top - SECTION 3 3 4 2 2" xfId="25135" xr:uid="{00000000-0005-0000-0000-000067690000}"/>
    <cellStyle name="Hed Top - SECTION 3 3 4 3" xfId="25136" xr:uid="{00000000-0005-0000-0000-000068690000}"/>
    <cellStyle name="Hed Top - SECTION 3 3 4 3 2" xfId="25137" xr:uid="{00000000-0005-0000-0000-000069690000}"/>
    <cellStyle name="Hed Top - SECTION 3 3 4 4" xfId="25138" xr:uid="{00000000-0005-0000-0000-00006A690000}"/>
    <cellStyle name="Hed Top - SECTION 3 3 4 4 2" xfId="25139" xr:uid="{00000000-0005-0000-0000-00006B690000}"/>
    <cellStyle name="Hed Top - SECTION 3 3 4 5" xfId="25140" xr:uid="{00000000-0005-0000-0000-00006C690000}"/>
    <cellStyle name="Hed Top - SECTION 3 3 4 5 2" xfId="25141" xr:uid="{00000000-0005-0000-0000-00006D690000}"/>
    <cellStyle name="Hed Top - SECTION 3 3 4 6" xfId="25142" xr:uid="{00000000-0005-0000-0000-00006E690000}"/>
    <cellStyle name="Hed Top - SECTION 3 3 4 6 2" xfId="25143" xr:uid="{00000000-0005-0000-0000-00006F690000}"/>
    <cellStyle name="Hed Top - SECTION 3 3 4 7" xfId="25144" xr:uid="{00000000-0005-0000-0000-000070690000}"/>
    <cellStyle name="Hed Top - SECTION 3 3 4 7 2" xfId="25145" xr:uid="{00000000-0005-0000-0000-000071690000}"/>
    <cellStyle name="Hed Top - SECTION 3 3 4 8" xfId="25146" xr:uid="{00000000-0005-0000-0000-000072690000}"/>
    <cellStyle name="Hed Top - SECTION 3 3 4 8 2" xfId="25147" xr:uid="{00000000-0005-0000-0000-000073690000}"/>
    <cellStyle name="Hed Top - SECTION 3 3 4 9" xfId="25148" xr:uid="{00000000-0005-0000-0000-000074690000}"/>
    <cellStyle name="Hed Top - SECTION 3 3 4 9 2" xfId="25149" xr:uid="{00000000-0005-0000-0000-000075690000}"/>
    <cellStyle name="Hed Top - SECTION 3 3 5" xfId="25150" xr:uid="{00000000-0005-0000-0000-000076690000}"/>
    <cellStyle name="Hed Top - SECTION 3 3 5 10" xfId="25151" xr:uid="{00000000-0005-0000-0000-000077690000}"/>
    <cellStyle name="Hed Top - SECTION 3 3 5 2" xfId="25152" xr:uid="{00000000-0005-0000-0000-000078690000}"/>
    <cellStyle name="Hed Top - SECTION 3 3 5 2 2" xfId="25153" xr:uid="{00000000-0005-0000-0000-000079690000}"/>
    <cellStyle name="Hed Top - SECTION 3 3 5 3" xfId="25154" xr:uid="{00000000-0005-0000-0000-00007A690000}"/>
    <cellStyle name="Hed Top - SECTION 3 3 5 3 2" xfId="25155" xr:uid="{00000000-0005-0000-0000-00007B690000}"/>
    <cellStyle name="Hed Top - SECTION 3 3 5 4" xfId="25156" xr:uid="{00000000-0005-0000-0000-00007C690000}"/>
    <cellStyle name="Hed Top - SECTION 3 3 5 4 2" xfId="25157" xr:uid="{00000000-0005-0000-0000-00007D690000}"/>
    <cellStyle name="Hed Top - SECTION 3 3 5 5" xfId="25158" xr:uid="{00000000-0005-0000-0000-00007E690000}"/>
    <cellStyle name="Hed Top - SECTION 3 3 5 5 2" xfId="25159" xr:uid="{00000000-0005-0000-0000-00007F690000}"/>
    <cellStyle name="Hed Top - SECTION 3 3 5 6" xfId="25160" xr:uid="{00000000-0005-0000-0000-000080690000}"/>
    <cellStyle name="Hed Top - SECTION 3 3 5 6 2" xfId="25161" xr:uid="{00000000-0005-0000-0000-000081690000}"/>
    <cellStyle name="Hed Top - SECTION 3 3 5 7" xfId="25162" xr:uid="{00000000-0005-0000-0000-000082690000}"/>
    <cellStyle name="Hed Top - SECTION 3 3 5 7 2" xfId="25163" xr:uid="{00000000-0005-0000-0000-000083690000}"/>
    <cellStyle name="Hed Top - SECTION 3 3 5 8" xfId="25164" xr:uid="{00000000-0005-0000-0000-000084690000}"/>
    <cellStyle name="Hed Top - SECTION 3 3 5 8 2" xfId="25165" xr:uid="{00000000-0005-0000-0000-000085690000}"/>
    <cellStyle name="Hed Top - SECTION 3 3 5 9" xfId="25166" xr:uid="{00000000-0005-0000-0000-000086690000}"/>
    <cellStyle name="Hed Top - SECTION 3 3 5 9 2" xfId="25167" xr:uid="{00000000-0005-0000-0000-000087690000}"/>
    <cellStyle name="Hed Top - SECTION 3 3 6" xfId="25168" xr:uid="{00000000-0005-0000-0000-000088690000}"/>
    <cellStyle name="Hed Top - SECTION 3 3 6 10" xfId="25169" xr:uid="{00000000-0005-0000-0000-000089690000}"/>
    <cellStyle name="Hed Top - SECTION 3 3 6 2" xfId="25170" xr:uid="{00000000-0005-0000-0000-00008A690000}"/>
    <cellStyle name="Hed Top - SECTION 3 3 6 2 2" xfId="25171" xr:uid="{00000000-0005-0000-0000-00008B690000}"/>
    <cellStyle name="Hed Top - SECTION 3 3 6 3" xfId="25172" xr:uid="{00000000-0005-0000-0000-00008C690000}"/>
    <cellStyle name="Hed Top - SECTION 3 3 6 3 2" xfId="25173" xr:uid="{00000000-0005-0000-0000-00008D690000}"/>
    <cellStyle name="Hed Top - SECTION 3 3 6 4" xfId="25174" xr:uid="{00000000-0005-0000-0000-00008E690000}"/>
    <cellStyle name="Hed Top - SECTION 3 3 6 4 2" xfId="25175" xr:uid="{00000000-0005-0000-0000-00008F690000}"/>
    <cellStyle name="Hed Top - SECTION 3 3 6 5" xfId="25176" xr:uid="{00000000-0005-0000-0000-000090690000}"/>
    <cellStyle name="Hed Top - SECTION 3 3 6 5 2" xfId="25177" xr:uid="{00000000-0005-0000-0000-000091690000}"/>
    <cellStyle name="Hed Top - SECTION 3 3 6 6" xfId="25178" xr:uid="{00000000-0005-0000-0000-000092690000}"/>
    <cellStyle name="Hed Top - SECTION 3 3 6 6 2" xfId="25179" xr:uid="{00000000-0005-0000-0000-000093690000}"/>
    <cellStyle name="Hed Top - SECTION 3 3 6 7" xfId="25180" xr:uid="{00000000-0005-0000-0000-000094690000}"/>
    <cellStyle name="Hed Top - SECTION 3 3 6 7 2" xfId="25181" xr:uid="{00000000-0005-0000-0000-000095690000}"/>
    <cellStyle name="Hed Top - SECTION 3 3 6 8" xfId="25182" xr:uid="{00000000-0005-0000-0000-000096690000}"/>
    <cellStyle name="Hed Top - SECTION 3 3 6 8 2" xfId="25183" xr:uid="{00000000-0005-0000-0000-000097690000}"/>
    <cellStyle name="Hed Top - SECTION 3 3 6 9" xfId="25184" xr:uid="{00000000-0005-0000-0000-000098690000}"/>
    <cellStyle name="Hed Top - SECTION 3 3 6 9 2" xfId="25185" xr:uid="{00000000-0005-0000-0000-000099690000}"/>
    <cellStyle name="Hed Top - SECTION 3 3 7" xfId="25186" xr:uid="{00000000-0005-0000-0000-00009A690000}"/>
    <cellStyle name="Hed Top - SECTION 3 3 7 10" xfId="25187" xr:uid="{00000000-0005-0000-0000-00009B690000}"/>
    <cellStyle name="Hed Top - SECTION 3 3 7 2" xfId="25188" xr:uid="{00000000-0005-0000-0000-00009C690000}"/>
    <cellStyle name="Hed Top - SECTION 3 3 7 2 2" xfId="25189" xr:uid="{00000000-0005-0000-0000-00009D690000}"/>
    <cellStyle name="Hed Top - SECTION 3 3 7 3" xfId="25190" xr:uid="{00000000-0005-0000-0000-00009E690000}"/>
    <cellStyle name="Hed Top - SECTION 3 3 7 3 2" xfId="25191" xr:uid="{00000000-0005-0000-0000-00009F690000}"/>
    <cellStyle name="Hed Top - SECTION 3 3 7 4" xfId="25192" xr:uid="{00000000-0005-0000-0000-0000A0690000}"/>
    <cellStyle name="Hed Top - SECTION 3 3 7 4 2" xfId="25193" xr:uid="{00000000-0005-0000-0000-0000A1690000}"/>
    <cellStyle name="Hed Top - SECTION 3 3 7 5" xfId="25194" xr:uid="{00000000-0005-0000-0000-0000A2690000}"/>
    <cellStyle name="Hed Top - SECTION 3 3 7 5 2" xfId="25195" xr:uid="{00000000-0005-0000-0000-0000A3690000}"/>
    <cellStyle name="Hed Top - SECTION 3 3 7 6" xfId="25196" xr:uid="{00000000-0005-0000-0000-0000A4690000}"/>
    <cellStyle name="Hed Top - SECTION 3 3 7 6 2" xfId="25197" xr:uid="{00000000-0005-0000-0000-0000A5690000}"/>
    <cellStyle name="Hed Top - SECTION 3 3 7 7" xfId="25198" xr:uid="{00000000-0005-0000-0000-0000A6690000}"/>
    <cellStyle name="Hed Top - SECTION 3 3 7 7 2" xfId="25199" xr:uid="{00000000-0005-0000-0000-0000A7690000}"/>
    <cellStyle name="Hed Top - SECTION 3 3 7 8" xfId="25200" xr:uid="{00000000-0005-0000-0000-0000A8690000}"/>
    <cellStyle name="Hed Top - SECTION 3 3 7 8 2" xfId="25201" xr:uid="{00000000-0005-0000-0000-0000A9690000}"/>
    <cellStyle name="Hed Top - SECTION 3 3 7 9" xfId="25202" xr:uid="{00000000-0005-0000-0000-0000AA690000}"/>
    <cellStyle name="Hed Top - SECTION 3 3 7 9 2" xfId="25203" xr:uid="{00000000-0005-0000-0000-0000AB690000}"/>
    <cellStyle name="Hed Top - SECTION 3 3 8" xfId="25204" xr:uid="{00000000-0005-0000-0000-0000AC690000}"/>
    <cellStyle name="Hed Top - SECTION 3 3 8 10" xfId="25205" xr:uid="{00000000-0005-0000-0000-0000AD690000}"/>
    <cellStyle name="Hed Top - SECTION 3 3 8 2" xfId="25206" xr:uid="{00000000-0005-0000-0000-0000AE690000}"/>
    <cellStyle name="Hed Top - SECTION 3 3 8 2 2" xfId="25207" xr:uid="{00000000-0005-0000-0000-0000AF690000}"/>
    <cellStyle name="Hed Top - SECTION 3 3 8 3" xfId="25208" xr:uid="{00000000-0005-0000-0000-0000B0690000}"/>
    <cellStyle name="Hed Top - SECTION 3 3 8 3 2" xfId="25209" xr:uid="{00000000-0005-0000-0000-0000B1690000}"/>
    <cellStyle name="Hed Top - SECTION 3 3 8 4" xfId="25210" xr:uid="{00000000-0005-0000-0000-0000B2690000}"/>
    <cellStyle name="Hed Top - SECTION 3 3 8 4 2" xfId="25211" xr:uid="{00000000-0005-0000-0000-0000B3690000}"/>
    <cellStyle name="Hed Top - SECTION 3 3 8 5" xfId="25212" xr:uid="{00000000-0005-0000-0000-0000B4690000}"/>
    <cellStyle name="Hed Top - SECTION 3 3 8 5 2" xfId="25213" xr:uid="{00000000-0005-0000-0000-0000B5690000}"/>
    <cellStyle name="Hed Top - SECTION 3 3 8 6" xfId="25214" xr:uid="{00000000-0005-0000-0000-0000B6690000}"/>
    <cellStyle name="Hed Top - SECTION 3 3 8 6 2" xfId="25215" xr:uid="{00000000-0005-0000-0000-0000B7690000}"/>
    <cellStyle name="Hed Top - SECTION 3 3 8 7" xfId="25216" xr:uid="{00000000-0005-0000-0000-0000B8690000}"/>
    <cellStyle name="Hed Top - SECTION 3 3 8 7 2" xfId="25217" xr:uid="{00000000-0005-0000-0000-0000B9690000}"/>
    <cellStyle name="Hed Top - SECTION 3 3 8 8" xfId="25218" xr:uid="{00000000-0005-0000-0000-0000BA690000}"/>
    <cellStyle name="Hed Top - SECTION 3 3 8 8 2" xfId="25219" xr:uid="{00000000-0005-0000-0000-0000BB690000}"/>
    <cellStyle name="Hed Top - SECTION 3 3 8 9" xfId="25220" xr:uid="{00000000-0005-0000-0000-0000BC690000}"/>
    <cellStyle name="Hed Top - SECTION 3 3 8 9 2" xfId="25221" xr:uid="{00000000-0005-0000-0000-0000BD690000}"/>
    <cellStyle name="Hed Top - SECTION 3 3 9" xfId="25222" xr:uid="{00000000-0005-0000-0000-0000BE690000}"/>
    <cellStyle name="Hed Top - SECTION 3 3 9 10" xfId="25223" xr:uid="{00000000-0005-0000-0000-0000BF690000}"/>
    <cellStyle name="Hed Top - SECTION 3 3 9 2" xfId="25224" xr:uid="{00000000-0005-0000-0000-0000C0690000}"/>
    <cellStyle name="Hed Top - SECTION 3 3 9 2 2" xfId="25225" xr:uid="{00000000-0005-0000-0000-0000C1690000}"/>
    <cellStyle name="Hed Top - SECTION 3 3 9 3" xfId="25226" xr:uid="{00000000-0005-0000-0000-0000C2690000}"/>
    <cellStyle name="Hed Top - SECTION 3 3 9 3 2" xfId="25227" xr:uid="{00000000-0005-0000-0000-0000C3690000}"/>
    <cellStyle name="Hed Top - SECTION 3 3 9 4" xfId="25228" xr:uid="{00000000-0005-0000-0000-0000C4690000}"/>
    <cellStyle name="Hed Top - SECTION 3 3 9 4 2" xfId="25229" xr:uid="{00000000-0005-0000-0000-0000C5690000}"/>
    <cellStyle name="Hed Top - SECTION 3 3 9 5" xfId="25230" xr:uid="{00000000-0005-0000-0000-0000C6690000}"/>
    <cellStyle name="Hed Top - SECTION 3 3 9 5 2" xfId="25231" xr:uid="{00000000-0005-0000-0000-0000C7690000}"/>
    <cellStyle name="Hed Top - SECTION 3 3 9 6" xfId="25232" xr:uid="{00000000-0005-0000-0000-0000C8690000}"/>
    <cellStyle name="Hed Top - SECTION 3 3 9 6 2" xfId="25233" xr:uid="{00000000-0005-0000-0000-0000C9690000}"/>
    <cellStyle name="Hed Top - SECTION 3 3 9 7" xfId="25234" xr:uid="{00000000-0005-0000-0000-0000CA690000}"/>
    <cellStyle name="Hed Top - SECTION 3 3 9 7 2" xfId="25235" xr:uid="{00000000-0005-0000-0000-0000CB690000}"/>
    <cellStyle name="Hed Top - SECTION 3 3 9 8" xfId="25236" xr:uid="{00000000-0005-0000-0000-0000CC690000}"/>
    <cellStyle name="Hed Top - SECTION 3 3 9 8 2" xfId="25237" xr:uid="{00000000-0005-0000-0000-0000CD690000}"/>
    <cellStyle name="Hed Top - SECTION 3 3 9 9" xfId="25238" xr:uid="{00000000-0005-0000-0000-0000CE690000}"/>
    <cellStyle name="Hed Top - SECTION 3 3 9 9 2" xfId="25239" xr:uid="{00000000-0005-0000-0000-0000CF690000}"/>
    <cellStyle name="Hed Top - SECTION 3 4" xfId="25240" xr:uid="{00000000-0005-0000-0000-0000D0690000}"/>
    <cellStyle name="Hed Top - SECTION 3 4 10" xfId="25241" xr:uid="{00000000-0005-0000-0000-0000D1690000}"/>
    <cellStyle name="Hed Top - SECTION 3 4 10 2" xfId="25242" xr:uid="{00000000-0005-0000-0000-0000D2690000}"/>
    <cellStyle name="Hed Top - SECTION 3 4 10 2 2" xfId="25243" xr:uid="{00000000-0005-0000-0000-0000D3690000}"/>
    <cellStyle name="Hed Top - SECTION 3 4 10 3" xfId="25244" xr:uid="{00000000-0005-0000-0000-0000D4690000}"/>
    <cellStyle name="Hed Top - SECTION 3 4 10 3 2" xfId="25245" xr:uid="{00000000-0005-0000-0000-0000D5690000}"/>
    <cellStyle name="Hed Top - SECTION 3 4 10 4" xfId="25246" xr:uid="{00000000-0005-0000-0000-0000D6690000}"/>
    <cellStyle name="Hed Top - SECTION 3 4 10 4 2" xfId="25247" xr:uid="{00000000-0005-0000-0000-0000D7690000}"/>
    <cellStyle name="Hed Top - SECTION 3 4 10 5" xfId="25248" xr:uid="{00000000-0005-0000-0000-0000D8690000}"/>
    <cellStyle name="Hed Top - SECTION 3 4 10 5 2" xfId="25249" xr:uid="{00000000-0005-0000-0000-0000D9690000}"/>
    <cellStyle name="Hed Top - SECTION 3 4 10 6" xfId="25250" xr:uid="{00000000-0005-0000-0000-0000DA690000}"/>
    <cellStyle name="Hed Top - SECTION 3 4 10 6 2" xfId="25251" xr:uid="{00000000-0005-0000-0000-0000DB690000}"/>
    <cellStyle name="Hed Top - SECTION 3 4 10 7" xfId="25252" xr:uid="{00000000-0005-0000-0000-0000DC690000}"/>
    <cellStyle name="Hed Top - SECTION 3 4 10 7 2" xfId="25253" xr:uid="{00000000-0005-0000-0000-0000DD690000}"/>
    <cellStyle name="Hed Top - SECTION 3 4 10 8" xfId="25254" xr:uid="{00000000-0005-0000-0000-0000DE690000}"/>
    <cellStyle name="Hed Top - SECTION 3 4 10 8 2" xfId="25255" xr:uid="{00000000-0005-0000-0000-0000DF690000}"/>
    <cellStyle name="Hed Top - SECTION 3 4 10 9" xfId="25256" xr:uid="{00000000-0005-0000-0000-0000E0690000}"/>
    <cellStyle name="Hed Top - SECTION 3 4 11" xfId="25257" xr:uid="{00000000-0005-0000-0000-0000E1690000}"/>
    <cellStyle name="Hed Top - SECTION 3 4 11 2" xfId="25258" xr:uid="{00000000-0005-0000-0000-0000E2690000}"/>
    <cellStyle name="Hed Top - SECTION 3 4 12" xfId="25259" xr:uid="{00000000-0005-0000-0000-0000E3690000}"/>
    <cellStyle name="Hed Top - SECTION 3 4 12 2" xfId="25260" xr:uid="{00000000-0005-0000-0000-0000E4690000}"/>
    <cellStyle name="Hed Top - SECTION 3 4 13" xfId="25261" xr:uid="{00000000-0005-0000-0000-0000E5690000}"/>
    <cellStyle name="Hed Top - SECTION 3 4 13 2" xfId="25262" xr:uid="{00000000-0005-0000-0000-0000E6690000}"/>
    <cellStyle name="Hed Top - SECTION 3 4 14" xfId="25263" xr:uid="{00000000-0005-0000-0000-0000E7690000}"/>
    <cellStyle name="Hed Top - SECTION 3 4 14 2" xfId="25264" xr:uid="{00000000-0005-0000-0000-0000E8690000}"/>
    <cellStyle name="Hed Top - SECTION 3 4 15" xfId="25265" xr:uid="{00000000-0005-0000-0000-0000E9690000}"/>
    <cellStyle name="Hed Top - SECTION 3 4 15 2" xfId="25266" xr:uid="{00000000-0005-0000-0000-0000EA690000}"/>
    <cellStyle name="Hed Top - SECTION 3 4 16" xfId="25267" xr:uid="{00000000-0005-0000-0000-0000EB690000}"/>
    <cellStyle name="Hed Top - SECTION 3 4 16 2" xfId="25268" xr:uid="{00000000-0005-0000-0000-0000EC690000}"/>
    <cellStyle name="Hed Top - SECTION 3 4 17" xfId="25269" xr:uid="{00000000-0005-0000-0000-0000ED690000}"/>
    <cellStyle name="Hed Top - SECTION 3 4 17 2" xfId="25270" xr:uid="{00000000-0005-0000-0000-0000EE690000}"/>
    <cellStyle name="Hed Top - SECTION 3 4 18" xfId="25271" xr:uid="{00000000-0005-0000-0000-0000EF690000}"/>
    <cellStyle name="Hed Top - SECTION 3 4 2" xfId="25272" xr:uid="{00000000-0005-0000-0000-0000F0690000}"/>
    <cellStyle name="Hed Top - SECTION 3 4 2 10" xfId="25273" xr:uid="{00000000-0005-0000-0000-0000F1690000}"/>
    <cellStyle name="Hed Top - SECTION 3 4 2 2" xfId="25274" xr:uid="{00000000-0005-0000-0000-0000F2690000}"/>
    <cellStyle name="Hed Top - SECTION 3 4 2 2 2" xfId="25275" xr:uid="{00000000-0005-0000-0000-0000F3690000}"/>
    <cellStyle name="Hed Top - SECTION 3 4 2 3" xfId="25276" xr:uid="{00000000-0005-0000-0000-0000F4690000}"/>
    <cellStyle name="Hed Top - SECTION 3 4 2 3 2" xfId="25277" xr:uid="{00000000-0005-0000-0000-0000F5690000}"/>
    <cellStyle name="Hed Top - SECTION 3 4 2 4" xfId="25278" xr:uid="{00000000-0005-0000-0000-0000F6690000}"/>
    <cellStyle name="Hed Top - SECTION 3 4 2 4 2" xfId="25279" xr:uid="{00000000-0005-0000-0000-0000F7690000}"/>
    <cellStyle name="Hed Top - SECTION 3 4 2 5" xfId="25280" xr:uid="{00000000-0005-0000-0000-0000F8690000}"/>
    <cellStyle name="Hed Top - SECTION 3 4 2 5 2" xfId="25281" xr:uid="{00000000-0005-0000-0000-0000F9690000}"/>
    <cellStyle name="Hed Top - SECTION 3 4 2 6" xfId="25282" xr:uid="{00000000-0005-0000-0000-0000FA690000}"/>
    <cellStyle name="Hed Top - SECTION 3 4 2 6 2" xfId="25283" xr:uid="{00000000-0005-0000-0000-0000FB690000}"/>
    <cellStyle name="Hed Top - SECTION 3 4 2 7" xfId="25284" xr:uid="{00000000-0005-0000-0000-0000FC690000}"/>
    <cellStyle name="Hed Top - SECTION 3 4 2 7 2" xfId="25285" xr:uid="{00000000-0005-0000-0000-0000FD690000}"/>
    <cellStyle name="Hed Top - SECTION 3 4 2 8" xfId="25286" xr:uid="{00000000-0005-0000-0000-0000FE690000}"/>
    <cellStyle name="Hed Top - SECTION 3 4 2 8 2" xfId="25287" xr:uid="{00000000-0005-0000-0000-0000FF690000}"/>
    <cellStyle name="Hed Top - SECTION 3 4 2 9" xfId="25288" xr:uid="{00000000-0005-0000-0000-0000006A0000}"/>
    <cellStyle name="Hed Top - SECTION 3 4 2 9 2" xfId="25289" xr:uid="{00000000-0005-0000-0000-0000016A0000}"/>
    <cellStyle name="Hed Top - SECTION 3 4 3" xfId="25290" xr:uid="{00000000-0005-0000-0000-0000026A0000}"/>
    <cellStyle name="Hed Top - SECTION 3 4 3 10" xfId="25291" xr:uid="{00000000-0005-0000-0000-0000036A0000}"/>
    <cellStyle name="Hed Top - SECTION 3 4 3 2" xfId="25292" xr:uid="{00000000-0005-0000-0000-0000046A0000}"/>
    <cellStyle name="Hed Top - SECTION 3 4 3 2 2" xfId="25293" xr:uid="{00000000-0005-0000-0000-0000056A0000}"/>
    <cellStyle name="Hed Top - SECTION 3 4 3 3" xfId="25294" xr:uid="{00000000-0005-0000-0000-0000066A0000}"/>
    <cellStyle name="Hed Top - SECTION 3 4 3 3 2" xfId="25295" xr:uid="{00000000-0005-0000-0000-0000076A0000}"/>
    <cellStyle name="Hed Top - SECTION 3 4 3 4" xfId="25296" xr:uid="{00000000-0005-0000-0000-0000086A0000}"/>
    <cellStyle name="Hed Top - SECTION 3 4 3 4 2" xfId="25297" xr:uid="{00000000-0005-0000-0000-0000096A0000}"/>
    <cellStyle name="Hed Top - SECTION 3 4 3 5" xfId="25298" xr:uid="{00000000-0005-0000-0000-00000A6A0000}"/>
    <cellStyle name="Hed Top - SECTION 3 4 3 5 2" xfId="25299" xr:uid="{00000000-0005-0000-0000-00000B6A0000}"/>
    <cellStyle name="Hed Top - SECTION 3 4 3 6" xfId="25300" xr:uid="{00000000-0005-0000-0000-00000C6A0000}"/>
    <cellStyle name="Hed Top - SECTION 3 4 3 6 2" xfId="25301" xr:uid="{00000000-0005-0000-0000-00000D6A0000}"/>
    <cellStyle name="Hed Top - SECTION 3 4 3 7" xfId="25302" xr:uid="{00000000-0005-0000-0000-00000E6A0000}"/>
    <cellStyle name="Hed Top - SECTION 3 4 3 7 2" xfId="25303" xr:uid="{00000000-0005-0000-0000-00000F6A0000}"/>
    <cellStyle name="Hed Top - SECTION 3 4 3 8" xfId="25304" xr:uid="{00000000-0005-0000-0000-0000106A0000}"/>
    <cellStyle name="Hed Top - SECTION 3 4 3 8 2" xfId="25305" xr:uid="{00000000-0005-0000-0000-0000116A0000}"/>
    <cellStyle name="Hed Top - SECTION 3 4 3 9" xfId="25306" xr:uid="{00000000-0005-0000-0000-0000126A0000}"/>
    <cellStyle name="Hed Top - SECTION 3 4 3 9 2" xfId="25307" xr:uid="{00000000-0005-0000-0000-0000136A0000}"/>
    <cellStyle name="Hed Top - SECTION 3 4 4" xfId="25308" xr:uid="{00000000-0005-0000-0000-0000146A0000}"/>
    <cellStyle name="Hed Top - SECTION 3 4 4 10" xfId="25309" xr:uid="{00000000-0005-0000-0000-0000156A0000}"/>
    <cellStyle name="Hed Top - SECTION 3 4 4 2" xfId="25310" xr:uid="{00000000-0005-0000-0000-0000166A0000}"/>
    <cellStyle name="Hed Top - SECTION 3 4 4 2 2" xfId="25311" xr:uid="{00000000-0005-0000-0000-0000176A0000}"/>
    <cellStyle name="Hed Top - SECTION 3 4 4 3" xfId="25312" xr:uid="{00000000-0005-0000-0000-0000186A0000}"/>
    <cellStyle name="Hed Top - SECTION 3 4 4 3 2" xfId="25313" xr:uid="{00000000-0005-0000-0000-0000196A0000}"/>
    <cellStyle name="Hed Top - SECTION 3 4 4 4" xfId="25314" xr:uid="{00000000-0005-0000-0000-00001A6A0000}"/>
    <cellStyle name="Hed Top - SECTION 3 4 4 4 2" xfId="25315" xr:uid="{00000000-0005-0000-0000-00001B6A0000}"/>
    <cellStyle name="Hed Top - SECTION 3 4 4 5" xfId="25316" xr:uid="{00000000-0005-0000-0000-00001C6A0000}"/>
    <cellStyle name="Hed Top - SECTION 3 4 4 5 2" xfId="25317" xr:uid="{00000000-0005-0000-0000-00001D6A0000}"/>
    <cellStyle name="Hed Top - SECTION 3 4 4 6" xfId="25318" xr:uid="{00000000-0005-0000-0000-00001E6A0000}"/>
    <cellStyle name="Hed Top - SECTION 3 4 4 6 2" xfId="25319" xr:uid="{00000000-0005-0000-0000-00001F6A0000}"/>
    <cellStyle name="Hed Top - SECTION 3 4 4 7" xfId="25320" xr:uid="{00000000-0005-0000-0000-0000206A0000}"/>
    <cellStyle name="Hed Top - SECTION 3 4 4 7 2" xfId="25321" xr:uid="{00000000-0005-0000-0000-0000216A0000}"/>
    <cellStyle name="Hed Top - SECTION 3 4 4 8" xfId="25322" xr:uid="{00000000-0005-0000-0000-0000226A0000}"/>
    <cellStyle name="Hed Top - SECTION 3 4 4 8 2" xfId="25323" xr:uid="{00000000-0005-0000-0000-0000236A0000}"/>
    <cellStyle name="Hed Top - SECTION 3 4 4 9" xfId="25324" xr:uid="{00000000-0005-0000-0000-0000246A0000}"/>
    <cellStyle name="Hed Top - SECTION 3 4 4 9 2" xfId="25325" xr:uid="{00000000-0005-0000-0000-0000256A0000}"/>
    <cellStyle name="Hed Top - SECTION 3 4 5" xfId="25326" xr:uid="{00000000-0005-0000-0000-0000266A0000}"/>
    <cellStyle name="Hed Top - SECTION 3 4 5 10" xfId="25327" xr:uid="{00000000-0005-0000-0000-0000276A0000}"/>
    <cellStyle name="Hed Top - SECTION 3 4 5 2" xfId="25328" xr:uid="{00000000-0005-0000-0000-0000286A0000}"/>
    <cellStyle name="Hed Top - SECTION 3 4 5 2 2" xfId="25329" xr:uid="{00000000-0005-0000-0000-0000296A0000}"/>
    <cellStyle name="Hed Top - SECTION 3 4 5 3" xfId="25330" xr:uid="{00000000-0005-0000-0000-00002A6A0000}"/>
    <cellStyle name="Hed Top - SECTION 3 4 5 3 2" xfId="25331" xr:uid="{00000000-0005-0000-0000-00002B6A0000}"/>
    <cellStyle name="Hed Top - SECTION 3 4 5 4" xfId="25332" xr:uid="{00000000-0005-0000-0000-00002C6A0000}"/>
    <cellStyle name="Hed Top - SECTION 3 4 5 4 2" xfId="25333" xr:uid="{00000000-0005-0000-0000-00002D6A0000}"/>
    <cellStyle name="Hed Top - SECTION 3 4 5 5" xfId="25334" xr:uid="{00000000-0005-0000-0000-00002E6A0000}"/>
    <cellStyle name="Hed Top - SECTION 3 4 5 5 2" xfId="25335" xr:uid="{00000000-0005-0000-0000-00002F6A0000}"/>
    <cellStyle name="Hed Top - SECTION 3 4 5 6" xfId="25336" xr:uid="{00000000-0005-0000-0000-0000306A0000}"/>
    <cellStyle name="Hed Top - SECTION 3 4 5 6 2" xfId="25337" xr:uid="{00000000-0005-0000-0000-0000316A0000}"/>
    <cellStyle name="Hed Top - SECTION 3 4 5 7" xfId="25338" xr:uid="{00000000-0005-0000-0000-0000326A0000}"/>
    <cellStyle name="Hed Top - SECTION 3 4 5 7 2" xfId="25339" xr:uid="{00000000-0005-0000-0000-0000336A0000}"/>
    <cellStyle name="Hed Top - SECTION 3 4 5 8" xfId="25340" xr:uid="{00000000-0005-0000-0000-0000346A0000}"/>
    <cellStyle name="Hed Top - SECTION 3 4 5 8 2" xfId="25341" xr:uid="{00000000-0005-0000-0000-0000356A0000}"/>
    <cellStyle name="Hed Top - SECTION 3 4 5 9" xfId="25342" xr:uid="{00000000-0005-0000-0000-0000366A0000}"/>
    <cellStyle name="Hed Top - SECTION 3 4 5 9 2" xfId="25343" xr:uid="{00000000-0005-0000-0000-0000376A0000}"/>
    <cellStyle name="Hed Top - SECTION 3 4 6" xfId="25344" xr:uid="{00000000-0005-0000-0000-0000386A0000}"/>
    <cellStyle name="Hed Top - SECTION 3 4 6 10" xfId="25345" xr:uid="{00000000-0005-0000-0000-0000396A0000}"/>
    <cellStyle name="Hed Top - SECTION 3 4 6 2" xfId="25346" xr:uid="{00000000-0005-0000-0000-00003A6A0000}"/>
    <cellStyle name="Hed Top - SECTION 3 4 6 2 2" xfId="25347" xr:uid="{00000000-0005-0000-0000-00003B6A0000}"/>
    <cellStyle name="Hed Top - SECTION 3 4 6 3" xfId="25348" xr:uid="{00000000-0005-0000-0000-00003C6A0000}"/>
    <cellStyle name="Hed Top - SECTION 3 4 6 3 2" xfId="25349" xr:uid="{00000000-0005-0000-0000-00003D6A0000}"/>
    <cellStyle name="Hed Top - SECTION 3 4 6 4" xfId="25350" xr:uid="{00000000-0005-0000-0000-00003E6A0000}"/>
    <cellStyle name="Hed Top - SECTION 3 4 6 4 2" xfId="25351" xr:uid="{00000000-0005-0000-0000-00003F6A0000}"/>
    <cellStyle name="Hed Top - SECTION 3 4 6 5" xfId="25352" xr:uid="{00000000-0005-0000-0000-0000406A0000}"/>
    <cellStyle name="Hed Top - SECTION 3 4 6 5 2" xfId="25353" xr:uid="{00000000-0005-0000-0000-0000416A0000}"/>
    <cellStyle name="Hed Top - SECTION 3 4 6 6" xfId="25354" xr:uid="{00000000-0005-0000-0000-0000426A0000}"/>
    <cellStyle name="Hed Top - SECTION 3 4 6 6 2" xfId="25355" xr:uid="{00000000-0005-0000-0000-0000436A0000}"/>
    <cellStyle name="Hed Top - SECTION 3 4 6 7" xfId="25356" xr:uid="{00000000-0005-0000-0000-0000446A0000}"/>
    <cellStyle name="Hed Top - SECTION 3 4 6 7 2" xfId="25357" xr:uid="{00000000-0005-0000-0000-0000456A0000}"/>
    <cellStyle name="Hed Top - SECTION 3 4 6 8" xfId="25358" xr:uid="{00000000-0005-0000-0000-0000466A0000}"/>
    <cellStyle name="Hed Top - SECTION 3 4 6 8 2" xfId="25359" xr:uid="{00000000-0005-0000-0000-0000476A0000}"/>
    <cellStyle name="Hed Top - SECTION 3 4 6 9" xfId="25360" xr:uid="{00000000-0005-0000-0000-0000486A0000}"/>
    <cellStyle name="Hed Top - SECTION 3 4 6 9 2" xfId="25361" xr:uid="{00000000-0005-0000-0000-0000496A0000}"/>
    <cellStyle name="Hed Top - SECTION 3 4 7" xfId="25362" xr:uid="{00000000-0005-0000-0000-00004A6A0000}"/>
    <cellStyle name="Hed Top - SECTION 3 4 7 10" xfId="25363" xr:uid="{00000000-0005-0000-0000-00004B6A0000}"/>
    <cellStyle name="Hed Top - SECTION 3 4 7 2" xfId="25364" xr:uid="{00000000-0005-0000-0000-00004C6A0000}"/>
    <cellStyle name="Hed Top - SECTION 3 4 7 2 2" xfId="25365" xr:uid="{00000000-0005-0000-0000-00004D6A0000}"/>
    <cellStyle name="Hed Top - SECTION 3 4 7 3" xfId="25366" xr:uid="{00000000-0005-0000-0000-00004E6A0000}"/>
    <cellStyle name="Hed Top - SECTION 3 4 7 3 2" xfId="25367" xr:uid="{00000000-0005-0000-0000-00004F6A0000}"/>
    <cellStyle name="Hed Top - SECTION 3 4 7 4" xfId="25368" xr:uid="{00000000-0005-0000-0000-0000506A0000}"/>
    <cellStyle name="Hed Top - SECTION 3 4 7 4 2" xfId="25369" xr:uid="{00000000-0005-0000-0000-0000516A0000}"/>
    <cellStyle name="Hed Top - SECTION 3 4 7 5" xfId="25370" xr:uid="{00000000-0005-0000-0000-0000526A0000}"/>
    <cellStyle name="Hed Top - SECTION 3 4 7 5 2" xfId="25371" xr:uid="{00000000-0005-0000-0000-0000536A0000}"/>
    <cellStyle name="Hed Top - SECTION 3 4 7 6" xfId="25372" xr:uid="{00000000-0005-0000-0000-0000546A0000}"/>
    <cellStyle name="Hed Top - SECTION 3 4 7 6 2" xfId="25373" xr:uid="{00000000-0005-0000-0000-0000556A0000}"/>
    <cellStyle name="Hed Top - SECTION 3 4 7 7" xfId="25374" xr:uid="{00000000-0005-0000-0000-0000566A0000}"/>
    <cellStyle name="Hed Top - SECTION 3 4 7 7 2" xfId="25375" xr:uid="{00000000-0005-0000-0000-0000576A0000}"/>
    <cellStyle name="Hed Top - SECTION 3 4 7 8" xfId="25376" xr:uid="{00000000-0005-0000-0000-0000586A0000}"/>
    <cellStyle name="Hed Top - SECTION 3 4 7 8 2" xfId="25377" xr:uid="{00000000-0005-0000-0000-0000596A0000}"/>
    <cellStyle name="Hed Top - SECTION 3 4 7 9" xfId="25378" xr:uid="{00000000-0005-0000-0000-00005A6A0000}"/>
    <cellStyle name="Hed Top - SECTION 3 4 7 9 2" xfId="25379" xr:uid="{00000000-0005-0000-0000-00005B6A0000}"/>
    <cellStyle name="Hed Top - SECTION 3 4 8" xfId="25380" xr:uid="{00000000-0005-0000-0000-00005C6A0000}"/>
    <cellStyle name="Hed Top - SECTION 3 4 8 10" xfId="25381" xr:uid="{00000000-0005-0000-0000-00005D6A0000}"/>
    <cellStyle name="Hed Top - SECTION 3 4 8 2" xfId="25382" xr:uid="{00000000-0005-0000-0000-00005E6A0000}"/>
    <cellStyle name="Hed Top - SECTION 3 4 8 2 2" xfId="25383" xr:uid="{00000000-0005-0000-0000-00005F6A0000}"/>
    <cellStyle name="Hed Top - SECTION 3 4 8 3" xfId="25384" xr:uid="{00000000-0005-0000-0000-0000606A0000}"/>
    <cellStyle name="Hed Top - SECTION 3 4 8 3 2" xfId="25385" xr:uid="{00000000-0005-0000-0000-0000616A0000}"/>
    <cellStyle name="Hed Top - SECTION 3 4 8 4" xfId="25386" xr:uid="{00000000-0005-0000-0000-0000626A0000}"/>
    <cellStyle name="Hed Top - SECTION 3 4 8 4 2" xfId="25387" xr:uid="{00000000-0005-0000-0000-0000636A0000}"/>
    <cellStyle name="Hed Top - SECTION 3 4 8 5" xfId="25388" xr:uid="{00000000-0005-0000-0000-0000646A0000}"/>
    <cellStyle name="Hed Top - SECTION 3 4 8 5 2" xfId="25389" xr:uid="{00000000-0005-0000-0000-0000656A0000}"/>
    <cellStyle name="Hed Top - SECTION 3 4 8 6" xfId="25390" xr:uid="{00000000-0005-0000-0000-0000666A0000}"/>
    <cellStyle name="Hed Top - SECTION 3 4 8 6 2" xfId="25391" xr:uid="{00000000-0005-0000-0000-0000676A0000}"/>
    <cellStyle name="Hed Top - SECTION 3 4 8 7" xfId="25392" xr:uid="{00000000-0005-0000-0000-0000686A0000}"/>
    <cellStyle name="Hed Top - SECTION 3 4 8 7 2" xfId="25393" xr:uid="{00000000-0005-0000-0000-0000696A0000}"/>
    <cellStyle name="Hed Top - SECTION 3 4 8 8" xfId="25394" xr:uid="{00000000-0005-0000-0000-00006A6A0000}"/>
    <cellStyle name="Hed Top - SECTION 3 4 8 8 2" xfId="25395" xr:uid="{00000000-0005-0000-0000-00006B6A0000}"/>
    <cellStyle name="Hed Top - SECTION 3 4 8 9" xfId="25396" xr:uid="{00000000-0005-0000-0000-00006C6A0000}"/>
    <cellStyle name="Hed Top - SECTION 3 4 8 9 2" xfId="25397" xr:uid="{00000000-0005-0000-0000-00006D6A0000}"/>
    <cellStyle name="Hed Top - SECTION 3 4 9" xfId="25398" xr:uid="{00000000-0005-0000-0000-00006E6A0000}"/>
    <cellStyle name="Hed Top - SECTION 3 4 9 10" xfId="25399" xr:uid="{00000000-0005-0000-0000-00006F6A0000}"/>
    <cellStyle name="Hed Top - SECTION 3 4 9 2" xfId="25400" xr:uid="{00000000-0005-0000-0000-0000706A0000}"/>
    <cellStyle name="Hed Top - SECTION 3 4 9 2 2" xfId="25401" xr:uid="{00000000-0005-0000-0000-0000716A0000}"/>
    <cellStyle name="Hed Top - SECTION 3 4 9 3" xfId="25402" xr:uid="{00000000-0005-0000-0000-0000726A0000}"/>
    <cellStyle name="Hed Top - SECTION 3 4 9 3 2" xfId="25403" xr:uid="{00000000-0005-0000-0000-0000736A0000}"/>
    <cellStyle name="Hed Top - SECTION 3 4 9 4" xfId="25404" xr:uid="{00000000-0005-0000-0000-0000746A0000}"/>
    <cellStyle name="Hed Top - SECTION 3 4 9 4 2" xfId="25405" xr:uid="{00000000-0005-0000-0000-0000756A0000}"/>
    <cellStyle name="Hed Top - SECTION 3 4 9 5" xfId="25406" xr:uid="{00000000-0005-0000-0000-0000766A0000}"/>
    <cellStyle name="Hed Top - SECTION 3 4 9 5 2" xfId="25407" xr:uid="{00000000-0005-0000-0000-0000776A0000}"/>
    <cellStyle name="Hed Top - SECTION 3 4 9 6" xfId="25408" xr:uid="{00000000-0005-0000-0000-0000786A0000}"/>
    <cellStyle name="Hed Top - SECTION 3 4 9 6 2" xfId="25409" xr:uid="{00000000-0005-0000-0000-0000796A0000}"/>
    <cellStyle name="Hed Top - SECTION 3 4 9 7" xfId="25410" xr:uid="{00000000-0005-0000-0000-00007A6A0000}"/>
    <cellStyle name="Hed Top - SECTION 3 4 9 7 2" xfId="25411" xr:uid="{00000000-0005-0000-0000-00007B6A0000}"/>
    <cellStyle name="Hed Top - SECTION 3 4 9 8" xfId="25412" xr:uid="{00000000-0005-0000-0000-00007C6A0000}"/>
    <cellStyle name="Hed Top - SECTION 3 4 9 8 2" xfId="25413" xr:uid="{00000000-0005-0000-0000-00007D6A0000}"/>
    <cellStyle name="Hed Top - SECTION 3 4 9 9" xfId="25414" xr:uid="{00000000-0005-0000-0000-00007E6A0000}"/>
    <cellStyle name="Hed Top - SECTION 3 4 9 9 2" xfId="25415" xr:uid="{00000000-0005-0000-0000-00007F6A0000}"/>
    <cellStyle name="Hed Top - SECTION 3 5" xfId="25416" xr:uid="{00000000-0005-0000-0000-0000806A0000}"/>
    <cellStyle name="Hed Top - SECTION 3 5 10" xfId="25417" xr:uid="{00000000-0005-0000-0000-0000816A0000}"/>
    <cellStyle name="Hed Top - SECTION 3 5 10 2" xfId="25418" xr:uid="{00000000-0005-0000-0000-0000826A0000}"/>
    <cellStyle name="Hed Top - SECTION 3 5 10 2 2" xfId="25419" xr:uid="{00000000-0005-0000-0000-0000836A0000}"/>
    <cellStyle name="Hed Top - SECTION 3 5 10 3" xfId="25420" xr:uid="{00000000-0005-0000-0000-0000846A0000}"/>
    <cellStyle name="Hed Top - SECTION 3 5 10 3 2" xfId="25421" xr:uid="{00000000-0005-0000-0000-0000856A0000}"/>
    <cellStyle name="Hed Top - SECTION 3 5 10 4" xfId="25422" xr:uid="{00000000-0005-0000-0000-0000866A0000}"/>
    <cellStyle name="Hed Top - SECTION 3 5 10 4 2" xfId="25423" xr:uid="{00000000-0005-0000-0000-0000876A0000}"/>
    <cellStyle name="Hed Top - SECTION 3 5 10 5" xfId="25424" xr:uid="{00000000-0005-0000-0000-0000886A0000}"/>
    <cellStyle name="Hed Top - SECTION 3 5 10 5 2" xfId="25425" xr:uid="{00000000-0005-0000-0000-0000896A0000}"/>
    <cellStyle name="Hed Top - SECTION 3 5 10 6" xfId="25426" xr:uid="{00000000-0005-0000-0000-00008A6A0000}"/>
    <cellStyle name="Hed Top - SECTION 3 5 10 6 2" xfId="25427" xr:uid="{00000000-0005-0000-0000-00008B6A0000}"/>
    <cellStyle name="Hed Top - SECTION 3 5 10 7" xfId="25428" xr:uid="{00000000-0005-0000-0000-00008C6A0000}"/>
    <cellStyle name="Hed Top - SECTION 3 5 10 7 2" xfId="25429" xr:uid="{00000000-0005-0000-0000-00008D6A0000}"/>
    <cellStyle name="Hed Top - SECTION 3 5 10 8" xfId="25430" xr:uid="{00000000-0005-0000-0000-00008E6A0000}"/>
    <cellStyle name="Hed Top - SECTION 3 5 10 8 2" xfId="25431" xr:uid="{00000000-0005-0000-0000-00008F6A0000}"/>
    <cellStyle name="Hed Top - SECTION 3 5 10 9" xfId="25432" xr:uid="{00000000-0005-0000-0000-0000906A0000}"/>
    <cellStyle name="Hed Top - SECTION 3 5 11" xfId="25433" xr:uid="{00000000-0005-0000-0000-0000916A0000}"/>
    <cellStyle name="Hed Top - SECTION 3 5 11 2" xfId="25434" xr:uid="{00000000-0005-0000-0000-0000926A0000}"/>
    <cellStyle name="Hed Top - SECTION 3 5 12" xfId="25435" xr:uid="{00000000-0005-0000-0000-0000936A0000}"/>
    <cellStyle name="Hed Top - SECTION 3 5 12 2" xfId="25436" xr:uid="{00000000-0005-0000-0000-0000946A0000}"/>
    <cellStyle name="Hed Top - SECTION 3 5 13" xfId="25437" xr:uid="{00000000-0005-0000-0000-0000956A0000}"/>
    <cellStyle name="Hed Top - SECTION 3 5 13 2" xfId="25438" xr:uid="{00000000-0005-0000-0000-0000966A0000}"/>
    <cellStyle name="Hed Top - SECTION 3 5 14" xfId="25439" xr:uid="{00000000-0005-0000-0000-0000976A0000}"/>
    <cellStyle name="Hed Top - SECTION 3 5 14 2" xfId="25440" xr:uid="{00000000-0005-0000-0000-0000986A0000}"/>
    <cellStyle name="Hed Top - SECTION 3 5 15" xfId="25441" xr:uid="{00000000-0005-0000-0000-0000996A0000}"/>
    <cellStyle name="Hed Top - SECTION 3 5 15 2" xfId="25442" xr:uid="{00000000-0005-0000-0000-00009A6A0000}"/>
    <cellStyle name="Hed Top - SECTION 3 5 16" xfId="25443" xr:uid="{00000000-0005-0000-0000-00009B6A0000}"/>
    <cellStyle name="Hed Top - SECTION 3 5 16 2" xfId="25444" xr:uid="{00000000-0005-0000-0000-00009C6A0000}"/>
    <cellStyle name="Hed Top - SECTION 3 5 17" xfId="25445" xr:uid="{00000000-0005-0000-0000-00009D6A0000}"/>
    <cellStyle name="Hed Top - SECTION 3 5 17 2" xfId="25446" xr:uid="{00000000-0005-0000-0000-00009E6A0000}"/>
    <cellStyle name="Hed Top - SECTION 3 5 18" xfId="25447" xr:uid="{00000000-0005-0000-0000-00009F6A0000}"/>
    <cellStyle name="Hed Top - SECTION 3 5 2" xfId="25448" xr:uid="{00000000-0005-0000-0000-0000A06A0000}"/>
    <cellStyle name="Hed Top - SECTION 3 5 2 10" xfId="25449" xr:uid="{00000000-0005-0000-0000-0000A16A0000}"/>
    <cellStyle name="Hed Top - SECTION 3 5 2 2" xfId="25450" xr:uid="{00000000-0005-0000-0000-0000A26A0000}"/>
    <cellStyle name="Hed Top - SECTION 3 5 2 2 2" xfId="25451" xr:uid="{00000000-0005-0000-0000-0000A36A0000}"/>
    <cellStyle name="Hed Top - SECTION 3 5 2 3" xfId="25452" xr:uid="{00000000-0005-0000-0000-0000A46A0000}"/>
    <cellStyle name="Hed Top - SECTION 3 5 2 3 2" xfId="25453" xr:uid="{00000000-0005-0000-0000-0000A56A0000}"/>
    <cellStyle name="Hed Top - SECTION 3 5 2 4" xfId="25454" xr:uid="{00000000-0005-0000-0000-0000A66A0000}"/>
    <cellStyle name="Hed Top - SECTION 3 5 2 4 2" xfId="25455" xr:uid="{00000000-0005-0000-0000-0000A76A0000}"/>
    <cellStyle name="Hed Top - SECTION 3 5 2 5" xfId="25456" xr:uid="{00000000-0005-0000-0000-0000A86A0000}"/>
    <cellStyle name="Hed Top - SECTION 3 5 2 5 2" xfId="25457" xr:uid="{00000000-0005-0000-0000-0000A96A0000}"/>
    <cellStyle name="Hed Top - SECTION 3 5 2 6" xfId="25458" xr:uid="{00000000-0005-0000-0000-0000AA6A0000}"/>
    <cellStyle name="Hed Top - SECTION 3 5 2 6 2" xfId="25459" xr:uid="{00000000-0005-0000-0000-0000AB6A0000}"/>
    <cellStyle name="Hed Top - SECTION 3 5 2 7" xfId="25460" xr:uid="{00000000-0005-0000-0000-0000AC6A0000}"/>
    <cellStyle name="Hed Top - SECTION 3 5 2 7 2" xfId="25461" xr:uid="{00000000-0005-0000-0000-0000AD6A0000}"/>
    <cellStyle name="Hed Top - SECTION 3 5 2 8" xfId="25462" xr:uid="{00000000-0005-0000-0000-0000AE6A0000}"/>
    <cellStyle name="Hed Top - SECTION 3 5 2 8 2" xfId="25463" xr:uid="{00000000-0005-0000-0000-0000AF6A0000}"/>
    <cellStyle name="Hed Top - SECTION 3 5 2 9" xfId="25464" xr:uid="{00000000-0005-0000-0000-0000B06A0000}"/>
    <cellStyle name="Hed Top - SECTION 3 5 2 9 2" xfId="25465" xr:uid="{00000000-0005-0000-0000-0000B16A0000}"/>
    <cellStyle name="Hed Top - SECTION 3 5 3" xfId="25466" xr:uid="{00000000-0005-0000-0000-0000B26A0000}"/>
    <cellStyle name="Hed Top - SECTION 3 5 3 10" xfId="25467" xr:uid="{00000000-0005-0000-0000-0000B36A0000}"/>
    <cellStyle name="Hed Top - SECTION 3 5 3 2" xfId="25468" xr:uid="{00000000-0005-0000-0000-0000B46A0000}"/>
    <cellStyle name="Hed Top - SECTION 3 5 3 2 2" xfId="25469" xr:uid="{00000000-0005-0000-0000-0000B56A0000}"/>
    <cellStyle name="Hed Top - SECTION 3 5 3 3" xfId="25470" xr:uid="{00000000-0005-0000-0000-0000B66A0000}"/>
    <cellStyle name="Hed Top - SECTION 3 5 3 3 2" xfId="25471" xr:uid="{00000000-0005-0000-0000-0000B76A0000}"/>
    <cellStyle name="Hed Top - SECTION 3 5 3 4" xfId="25472" xr:uid="{00000000-0005-0000-0000-0000B86A0000}"/>
    <cellStyle name="Hed Top - SECTION 3 5 3 4 2" xfId="25473" xr:uid="{00000000-0005-0000-0000-0000B96A0000}"/>
    <cellStyle name="Hed Top - SECTION 3 5 3 5" xfId="25474" xr:uid="{00000000-0005-0000-0000-0000BA6A0000}"/>
    <cellStyle name="Hed Top - SECTION 3 5 3 5 2" xfId="25475" xr:uid="{00000000-0005-0000-0000-0000BB6A0000}"/>
    <cellStyle name="Hed Top - SECTION 3 5 3 6" xfId="25476" xr:uid="{00000000-0005-0000-0000-0000BC6A0000}"/>
    <cellStyle name="Hed Top - SECTION 3 5 3 6 2" xfId="25477" xr:uid="{00000000-0005-0000-0000-0000BD6A0000}"/>
    <cellStyle name="Hed Top - SECTION 3 5 3 7" xfId="25478" xr:uid="{00000000-0005-0000-0000-0000BE6A0000}"/>
    <cellStyle name="Hed Top - SECTION 3 5 3 7 2" xfId="25479" xr:uid="{00000000-0005-0000-0000-0000BF6A0000}"/>
    <cellStyle name="Hed Top - SECTION 3 5 3 8" xfId="25480" xr:uid="{00000000-0005-0000-0000-0000C06A0000}"/>
    <cellStyle name="Hed Top - SECTION 3 5 3 8 2" xfId="25481" xr:uid="{00000000-0005-0000-0000-0000C16A0000}"/>
    <cellStyle name="Hed Top - SECTION 3 5 3 9" xfId="25482" xr:uid="{00000000-0005-0000-0000-0000C26A0000}"/>
    <cellStyle name="Hed Top - SECTION 3 5 3 9 2" xfId="25483" xr:uid="{00000000-0005-0000-0000-0000C36A0000}"/>
    <cellStyle name="Hed Top - SECTION 3 5 4" xfId="25484" xr:uid="{00000000-0005-0000-0000-0000C46A0000}"/>
    <cellStyle name="Hed Top - SECTION 3 5 4 10" xfId="25485" xr:uid="{00000000-0005-0000-0000-0000C56A0000}"/>
    <cellStyle name="Hed Top - SECTION 3 5 4 2" xfId="25486" xr:uid="{00000000-0005-0000-0000-0000C66A0000}"/>
    <cellStyle name="Hed Top - SECTION 3 5 4 2 2" xfId="25487" xr:uid="{00000000-0005-0000-0000-0000C76A0000}"/>
    <cellStyle name="Hed Top - SECTION 3 5 4 3" xfId="25488" xr:uid="{00000000-0005-0000-0000-0000C86A0000}"/>
    <cellStyle name="Hed Top - SECTION 3 5 4 3 2" xfId="25489" xr:uid="{00000000-0005-0000-0000-0000C96A0000}"/>
    <cellStyle name="Hed Top - SECTION 3 5 4 4" xfId="25490" xr:uid="{00000000-0005-0000-0000-0000CA6A0000}"/>
    <cellStyle name="Hed Top - SECTION 3 5 4 4 2" xfId="25491" xr:uid="{00000000-0005-0000-0000-0000CB6A0000}"/>
    <cellStyle name="Hed Top - SECTION 3 5 4 5" xfId="25492" xr:uid="{00000000-0005-0000-0000-0000CC6A0000}"/>
    <cellStyle name="Hed Top - SECTION 3 5 4 5 2" xfId="25493" xr:uid="{00000000-0005-0000-0000-0000CD6A0000}"/>
    <cellStyle name="Hed Top - SECTION 3 5 4 6" xfId="25494" xr:uid="{00000000-0005-0000-0000-0000CE6A0000}"/>
    <cellStyle name="Hed Top - SECTION 3 5 4 6 2" xfId="25495" xr:uid="{00000000-0005-0000-0000-0000CF6A0000}"/>
    <cellStyle name="Hed Top - SECTION 3 5 4 7" xfId="25496" xr:uid="{00000000-0005-0000-0000-0000D06A0000}"/>
    <cellStyle name="Hed Top - SECTION 3 5 4 7 2" xfId="25497" xr:uid="{00000000-0005-0000-0000-0000D16A0000}"/>
    <cellStyle name="Hed Top - SECTION 3 5 4 8" xfId="25498" xr:uid="{00000000-0005-0000-0000-0000D26A0000}"/>
    <cellStyle name="Hed Top - SECTION 3 5 4 8 2" xfId="25499" xr:uid="{00000000-0005-0000-0000-0000D36A0000}"/>
    <cellStyle name="Hed Top - SECTION 3 5 4 9" xfId="25500" xr:uid="{00000000-0005-0000-0000-0000D46A0000}"/>
    <cellStyle name="Hed Top - SECTION 3 5 4 9 2" xfId="25501" xr:uid="{00000000-0005-0000-0000-0000D56A0000}"/>
    <cellStyle name="Hed Top - SECTION 3 5 5" xfId="25502" xr:uid="{00000000-0005-0000-0000-0000D66A0000}"/>
    <cellStyle name="Hed Top - SECTION 3 5 5 10" xfId="25503" xr:uid="{00000000-0005-0000-0000-0000D76A0000}"/>
    <cellStyle name="Hed Top - SECTION 3 5 5 2" xfId="25504" xr:uid="{00000000-0005-0000-0000-0000D86A0000}"/>
    <cellStyle name="Hed Top - SECTION 3 5 5 2 2" xfId="25505" xr:uid="{00000000-0005-0000-0000-0000D96A0000}"/>
    <cellStyle name="Hed Top - SECTION 3 5 5 3" xfId="25506" xr:uid="{00000000-0005-0000-0000-0000DA6A0000}"/>
    <cellStyle name="Hed Top - SECTION 3 5 5 3 2" xfId="25507" xr:uid="{00000000-0005-0000-0000-0000DB6A0000}"/>
    <cellStyle name="Hed Top - SECTION 3 5 5 4" xfId="25508" xr:uid="{00000000-0005-0000-0000-0000DC6A0000}"/>
    <cellStyle name="Hed Top - SECTION 3 5 5 4 2" xfId="25509" xr:uid="{00000000-0005-0000-0000-0000DD6A0000}"/>
    <cellStyle name="Hed Top - SECTION 3 5 5 5" xfId="25510" xr:uid="{00000000-0005-0000-0000-0000DE6A0000}"/>
    <cellStyle name="Hed Top - SECTION 3 5 5 5 2" xfId="25511" xr:uid="{00000000-0005-0000-0000-0000DF6A0000}"/>
    <cellStyle name="Hed Top - SECTION 3 5 5 6" xfId="25512" xr:uid="{00000000-0005-0000-0000-0000E06A0000}"/>
    <cellStyle name="Hed Top - SECTION 3 5 5 6 2" xfId="25513" xr:uid="{00000000-0005-0000-0000-0000E16A0000}"/>
    <cellStyle name="Hed Top - SECTION 3 5 5 7" xfId="25514" xr:uid="{00000000-0005-0000-0000-0000E26A0000}"/>
    <cellStyle name="Hed Top - SECTION 3 5 5 7 2" xfId="25515" xr:uid="{00000000-0005-0000-0000-0000E36A0000}"/>
    <cellStyle name="Hed Top - SECTION 3 5 5 8" xfId="25516" xr:uid="{00000000-0005-0000-0000-0000E46A0000}"/>
    <cellStyle name="Hed Top - SECTION 3 5 5 8 2" xfId="25517" xr:uid="{00000000-0005-0000-0000-0000E56A0000}"/>
    <cellStyle name="Hed Top - SECTION 3 5 5 9" xfId="25518" xr:uid="{00000000-0005-0000-0000-0000E66A0000}"/>
    <cellStyle name="Hed Top - SECTION 3 5 5 9 2" xfId="25519" xr:uid="{00000000-0005-0000-0000-0000E76A0000}"/>
    <cellStyle name="Hed Top - SECTION 3 5 6" xfId="25520" xr:uid="{00000000-0005-0000-0000-0000E86A0000}"/>
    <cellStyle name="Hed Top - SECTION 3 5 6 10" xfId="25521" xr:uid="{00000000-0005-0000-0000-0000E96A0000}"/>
    <cellStyle name="Hed Top - SECTION 3 5 6 2" xfId="25522" xr:uid="{00000000-0005-0000-0000-0000EA6A0000}"/>
    <cellStyle name="Hed Top - SECTION 3 5 6 2 2" xfId="25523" xr:uid="{00000000-0005-0000-0000-0000EB6A0000}"/>
    <cellStyle name="Hed Top - SECTION 3 5 6 3" xfId="25524" xr:uid="{00000000-0005-0000-0000-0000EC6A0000}"/>
    <cellStyle name="Hed Top - SECTION 3 5 6 3 2" xfId="25525" xr:uid="{00000000-0005-0000-0000-0000ED6A0000}"/>
    <cellStyle name="Hed Top - SECTION 3 5 6 4" xfId="25526" xr:uid="{00000000-0005-0000-0000-0000EE6A0000}"/>
    <cellStyle name="Hed Top - SECTION 3 5 6 4 2" xfId="25527" xr:uid="{00000000-0005-0000-0000-0000EF6A0000}"/>
    <cellStyle name="Hed Top - SECTION 3 5 6 5" xfId="25528" xr:uid="{00000000-0005-0000-0000-0000F06A0000}"/>
    <cellStyle name="Hed Top - SECTION 3 5 6 5 2" xfId="25529" xr:uid="{00000000-0005-0000-0000-0000F16A0000}"/>
    <cellStyle name="Hed Top - SECTION 3 5 6 6" xfId="25530" xr:uid="{00000000-0005-0000-0000-0000F26A0000}"/>
    <cellStyle name="Hed Top - SECTION 3 5 6 6 2" xfId="25531" xr:uid="{00000000-0005-0000-0000-0000F36A0000}"/>
    <cellStyle name="Hed Top - SECTION 3 5 6 7" xfId="25532" xr:uid="{00000000-0005-0000-0000-0000F46A0000}"/>
    <cellStyle name="Hed Top - SECTION 3 5 6 7 2" xfId="25533" xr:uid="{00000000-0005-0000-0000-0000F56A0000}"/>
    <cellStyle name="Hed Top - SECTION 3 5 6 8" xfId="25534" xr:uid="{00000000-0005-0000-0000-0000F66A0000}"/>
    <cellStyle name="Hed Top - SECTION 3 5 6 8 2" xfId="25535" xr:uid="{00000000-0005-0000-0000-0000F76A0000}"/>
    <cellStyle name="Hed Top - SECTION 3 5 6 9" xfId="25536" xr:uid="{00000000-0005-0000-0000-0000F86A0000}"/>
    <cellStyle name="Hed Top - SECTION 3 5 6 9 2" xfId="25537" xr:uid="{00000000-0005-0000-0000-0000F96A0000}"/>
    <cellStyle name="Hed Top - SECTION 3 5 7" xfId="25538" xr:uid="{00000000-0005-0000-0000-0000FA6A0000}"/>
    <cellStyle name="Hed Top - SECTION 3 5 7 10" xfId="25539" xr:uid="{00000000-0005-0000-0000-0000FB6A0000}"/>
    <cellStyle name="Hed Top - SECTION 3 5 7 2" xfId="25540" xr:uid="{00000000-0005-0000-0000-0000FC6A0000}"/>
    <cellStyle name="Hed Top - SECTION 3 5 7 2 2" xfId="25541" xr:uid="{00000000-0005-0000-0000-0000FD6A0000}"/>
    <cellStyle name="Hed Top - SECTION 3 5 7 3" xfId="25542" xr:uid="{00000000-0005-0000-0000-0000FE6A0000}"/>
    <cellStyle name="Hed Top - SECTION 3 5 7 3 2" xfId="25543" xr:uid="{00000000-0005-0000-0000-0000FF6A0000}"/>
    <cellStyle name="Hed Top - SECTION 3 5 7 4" xfId="25544" xr:uid="{00000000-0005-0000-0000-0000006B0000}"/>
    <cellStyle name="Hed Top - SECTION 3 5 7 4 2" xfId="25545" xr:uid="{00000000-0005-0000-0000-0000016B0000}"/>
    <cellStyle name="Hed Top - SECTION 3 5 7 5" xfId="25546" xr:uid="{00000000-0005-0000-0000-0000026B0000}"/>
    <cellStyle name="Hed Top - SECTION 3 5 7 5 2" xfId="25547" xr:uid="{00000000-0005-0000-0000-0000036B0000}"/>
    <cellStyle name="Hed Top - SECTION 3 5 7 6" xfId="25548" xr:uid="{00000000-0005-0000-0000-0000046B0000}"/>
    <cellStyle name="Hed Top - SECTION 3 5 7 6 2" xfId="25549" xr:uid="{00000000-0005-0000-0000-0000056B0000}"/>
    <cellStyle name="Hed Top - SECTION 3 5 7 7" xfId="25550" xr:uid="{00000000-0005-0000-0000-0000066B0000}"/>
    <cellStyle name="Hed Top - SECTION 3 5 7 7 2" xfId="25551" xr:uid="{00000000-0005-0000-0000-0000076B0000}"/>
    <cellStyle name="Hed Top - SECTION 3 5 7 8" xfId="25552" xr:uid="{00000000-0005-0000-0000-0000086B0000}"/>
    <cellStyle name="Hed Top - SECTION 3 5 7 8 2" xfId="25553" xr:uid="{00000000-0005-0000-0000-0000096B0000}"/>
    <cellStyle name="Hed Top - SECTION 3 5 7 9" xfId="25554" xr:uid="{00000000-0005-0000-0000-00000A6B0000}"/>
    <cellStyle name="Hed Top - SECTION 3 5 7 9 2" xfId="25555" xr:uid="{00000000-0005-0000-0000-00000B6B0000}"/>
    <cellStyle name="Hed Top - SECTION 3 5 8" xfId="25556" xr:uid="{00000000-0005-0000-0000-00000C6B0000}"/>
    <cellStyle name="Hed Top - SECTION 3 5 8 10" xfId="25557" xr:uid="{00000000-0005-0000-0000-00000D6B0000}"/>
    <cellStyle name="Hed Top - SECTION 3 5 8 2" xfId="25558" xr:uid="{00000000-0005-0000-0000-00000E6B0000}"/>
    <cellStyle name="Hed Top - SECTION 3 5 8 2 2" xfId="25559" xr:uid="{00000000-0005-0000-0000-00000F6B0000}"/>
    <cellStyle name="Hed Top - SECTION 3 5 8 3" xfId="25560" xr:uid="{00000000-0005-0000-0000-0000106B0000}"/>
    <cellStyle name="Hed Top - SECTION 3 5 8 3 2" xfId="25561" xr:uid="{00000000-0005-0000-0000-0000116B0000}"/>
    <cellStyle name="Hed Top - SECTION 3 5 8 4" xfId="25562" xr:uid="{00000000-0005-0000-0000-0000126B0000}"/>
    <cellStyle name="Hed Top - SECTION 3 5 8 4 2" xfId="25563" xr:uid="{00000000-0005-0000-0000-0000136B0000}"/>
    <cellStyle name="Hed Top - SECTION 3 5 8 5" xfId="25564" xr:uid="{00000000-0005-0000-0000-0000146B0000}"/>
    <cellStyle name="Hed Top - SECTION 3 5 8 5 2" xfId="25565" xr:uid="{00000000-0005-0000-0000-0000156B0000}"/>
    <cellStyle name="Hed Top - SECTION 3 5 8 6" xfId="25566" xr:uid="{00000000-0005-0000-0000-0000166B0000}"/>
    <cellStyle name="Hed Top - SECTION 3 5 8 6 2" xfId="25567" xr:uid="{00000000-0005-0000-0000-0000176B0000}"/>
    <cellStyle name="Hed Top - SECTION 3 5 8 7" xfId="25568" xr:uid="{00000000-0005-0000-0000-0000186B0000}"/>
    <cellStyle name="Hed Top - SECTION 3 5 8 7 2" xfId="25569" xr:uid="{00000000-0005-0000-0000-0000196B0000}"/>
    <cellStyle name="Hed Top - SECTION 3 5 8 8" xfId="25570" xr:uid="{00000000-0005-0000-0000-00001A6B0000}"/>
    <cellStyle name="Hed Top - SECTION 3 5 8 8 2" xfId="25571" xr:uid="{00000000-0005-0000-0000-00001B6B0000}"/>
    <cellStyle name="Hed Top - SECTION 3 5 8 9" xfId="25572" xr:uid="{00000000-0005-0000-0000-00001C6B0000}"/>
    <cellStyle name="Hed Top - SECTION 3 5 8 9 2" xfId="25573" xr:uid="{00000000-0005-0000-0000-00001D6B0000}"/>
    <cellStyle name="Hed Top - SECTION 3 5 9" xfId="25574" xr:uid="{00000000-0005-0000-0000-00001E6B0000}"/>
    <cellStyle name="Hed Top - SECTION 3 5 9 10" xfId="25575" xr:uid="{00000000-0005-0000-0000-00001F6B0000}"/>
    <cellStyle name="Hed Top - SECTION 3 5 9 2" xfId="25576" xr:uid="{00000000-0005-0000-0000-0000206B0000}"/>
    <cellStyle name="Hed Top - SECTION 3 5 9 2 2" xfId="25577" xr:uid="{00000000-0005-0000-0000-0000216B0000}"/>
    <cellStyle name="Hed Top - SECTION 3 5 9 3" xfId="25578" xr:uid="{00000000-0005-0000-0000-0000226B0000}"/>
    <cellStyle name="Hed Top - SECTION 3 5 9 3 2" xfId="25579" xr:uid="{00000000-0005-0000-0000-0000236B0000}"/>
    <cellStyle name="Hed Top - SECTION 3 5 9 4" xfId="25580" xr:uid="{00000000-0005-0000-0000-0000246B0000}"/>
    <cellStyle name="Hed Top - SECTION 3 5 9 4 2" xfId="25581" xr:uid="{00000000-0005-0000-0000-0000256B0000}"/>
    <cellStyle name="Hed Top - SECTION 3 5 9 5" xfId="25582" xr:uid="{00000000-0005-0000-0000-0000266B0000}"/>
    <cellStyle name="Hed Top - SECTION 3 5 9 5 2" xfId="25583" xr:uid="{00000000-0005-0000-0000-0000276B0000}"/>
    <cellStyle name="Hed Top - SECTION 3 5 9 6" xfId="25584" xr:uid="{00000000-0005-0000-0000-0000286B0000}"/>
    <cellStyle name="Hed Top - SECTION 3 5 9 6 2" xfId="25585" xr:uid="{00000000-0005-0000-0000-0000296B0000}"/>
    <cellStyle name="Hed Top - SECTION 3 5 9 7" xfId="25586" xr:uid="{00000000-0005-0000-0000-00002A6B0000}"/>
    <cellStyle name="Hed Top - SECTION 3 5 9 7 2" xfId="25587" xr:uid="{00000000-0005-0000-0000-00002B6B0000}"/>
    <cellStyle name="Hed Top - SECTION 3 5 9 8" xfId="25588" xr:uid="{00000000-0005-0000-0000-00002C6B0000}"/>
    <cellStyle name="Hed Top - SECTION 3 5 9 8 2" xfId="25589" xr:uid="{00000000-0005-0000-0000-00002D6B0000}"/>
    <cellStyle name="Hed Top - SECTION 3 5 9 9" xfId="25590" xr:uid="{00000000-0005-0000-0000-00002E6B0000}"/>
    <cellStyle name="Hed Top - SECTION 3 5 9 9 2" xfId="25591" xr:uid="{00000000-0005-0000-0000-00002F6B0000}"/>
    <cellStyle name="Hed Top - SECTION 3 6" xfId="25592" xr:uid="{00000000-0005-0000-0000-0000306B0000}"/>
    <cellStyle name="Hed Top - SECTION 3 6 10" xfId="25593" xr:uid="{00000000-0005-0000-0000-0000316B0000}"/>
    <cellStyle name="Hed Top - SECTION 3 6 10 2" xfId="25594" xr:uid="{00000000-0005-0000-0000-0000326B0000}"/>
    <cellStyle name="Hed Top - SECTION 3 6 10 2 2" xfId="25595" xr:uid="{00000000-0005-0000-0000-0000336B0000}"/>
    <cellStyle name="Hed Top - SECTION 3 6 10 3" xfId="25596" xr:uid="{00000000-0005-0000-0000-0000346B0000}"/>
    <cellStyle name="Hed Top - SECTION 3 6 10 3 2" xfId="25597" xr:uid="{00000000-0005-0000-0000-0000356B0000}"/>
    <cellStyle name="Hed Top - SECTION 3 6 10 4" xfId="25598" xr:uid="{00000000-0005-0000-0000-0000366B0000}"/>
    <cellStyle name="Hed Top - SECTION 3 6 10 4 2" xfId="25599" xr:uid="{00000000-0005-0000-0000-0000376B0000}"/>
    <cellStyle name="Hed Top - SECTION 3 6 10 5" xfId="25600" xr:uid="{00000000-0005-0000-0000-0000386B0000}"/>
    <cellStyle name="Hed Top - SECTION 3 6 10 5 2" xfId="25601" xr:uid="{00000000-0005-0000-0000-0000396B0000}"/>
    <cellStyle name="Hed Top - SECTION 3 6 10 6" xfId="25602" xr:uid="{00000000-0005-0000-0000-00003A6B0000}"/>
    <cellStyle name="Hed Top - SECTION 3 6 10 6 2" xfId="25603" xr:uid="{00000000-0005-0000-0000-00003B6B0000}"/>
    <cellStyle name="Hed Top - SECTION 3 6 10 7" xfId="25604" xr:uid="{00000000-0005-0000-0000-00003C6B0000}"/>
    <cellStyle name="Hed Top - SECTION 3 6 10 7 2" xfId="25605" xr:uid="{00000000-0005-0000-0000-00003D6B0000}"/>
    <cellStyle name="Hed Top - SECTION 3 6 10 8" xfId="25606" xr:uid="{00000000-0005-0000-0000-00003E6B0000}"/>
    <cellStyle name="Hed Top - SECTION 3 6 10 8 2" xfId="25607" xr:uid="{00000000-0005-0000-0000-00003F6B0000}"/>
    <cellStyle name="Hed Top - SECTION 3 6 10 9" xfId="25608" xr:uid="{00000000-0005-0000-0000-0000406B0000}"/>
    <cellStyle name="Hed Top - SECTION 3 6 11" xfId="25609" xr:uid="{00000000-0005-0000-0000-0000416B0000}"/>
    <cellStyle name="Hed Top - SECTION 3 6 11 2" xfId="25610" xr:uid="{00000000-0005-0000-0000-0000426B0000}"/>
    <cellStyle name="Hed Top - SECTION 3 6 12" xfId="25611" xr:uid="{00000000-0005-0000-0000-0000436B0000}"/>
    <cellStyle name="Hed Top - SECTION 3 6 12 2" xfId="25612" xr:uid="{00000000-0005-0000-0000-0000446B0000}"/>
    <cellStyle name="Hed Top - SECTION 3 6 13" xfId="25613" xr:uid="{00000000-0005-0000-0000-0000456B0000}"/>
    <cellStyle name="Hed Top - SECTION 3 6 13 2" xfId="25614" xr:uid="{00000000-0005-0000-0000-0000466B0000}"/>
    <cellStyle name="Hed Top - SECTION 3 6 14" xfId="25615" xr:uid="{00000000-0005-0000-0000-0000476B0000}"/>
    <cellStyle name="Hed Top - SECTION 3 6 14 2" xfId="25616" xr:uid="{00000000-0005-0000-0000-0000486B0000}"/>
    <cellStyle name="Hed Top - SECTION 3 6 15" xfId="25617" xr:uid="{00000000-0005-0000-0000-0000496B0000}"/>
    <cellStyle name="Hed Top - SECTION 3 6 15 2" xfId="25618" xr:uid="{00000000-0005-0000-0000-00004A6B0000}"/>
    <cellStyle name="Hed Top - SECTION 3 6 16" xfId="25619" xr:uid="{00000000-0005-0000-0000-00004B6B0000}"/>
    <cellStyle name="Hed Top - SECTION 3 6 16 2" xfId="25620" xr:uid="{00000000-0005-0000-0000-00004C6B0000}"/>
    <cellStyle name="Hed Top - SECTION 3 6 17" xfId="25621" xr:uid="{00000000-0005-0000-0000-00004D6B0000}"/>
    <cellStyle name="Hed Top - SECTION 3 6 17 2" xfId="25622" xr:uid="{00000000-0005-0000-0000-00004E6B0000}"/>
    <cellStyle name="Hed Top - SECTION 3 6 18" xfId="25623" xr:uid="{00000000-0005-0000-0000-00004F6B0000}"/>
    <cellStyle name="Hed Top - SECTION 3 6 2" xfId="25624" xr:uid="{00000000-0005-0000-0000-0000506B0000}"/>
    <cellStyle name="Hed Top - SECTION 3 6 2 10" xfId="25625" xr:uid="{00000000-0005-0000-0000-0000516B0000}"/>
    <cellStyle name="Hed Top - SECTION 3 6 2 2" xfId="25626" xr:uid="{00000000-0005-0000-0000-0000526B0000}"/>
    <cellStyle name="Hed Top - SECTION 3 6 2 2 2" xfId="25627" xr:uid="{00000000-0005-0000-0000-0000536B0000}"/>
    <cellStyle name="Hed Top - SECTION 3 6 2 3" xfId="25628" xr:uid="{00000000-0005-0000-0000-0000546B0000}"/>
    <cellStyle name="Hed Top - SECTION 3 6 2 3 2" xfId="25629" xr:uid="{00000000-0005-0000-0000-0000556B0000}"/>
    <cellStyle name="Hed Top - SECTION 3 6 2 4" xfId="25630" xr:uid="{00000000-0005-0000-0000-0000566B0000}"/>
    <cellStyle name="Hed Top - SECTION 3 6 2 4 2" xfId="25631" xr:uid="{00000000-0005-0000-0000-0000576B0000}"/>
    <cellStyle name="Hed Top - SECTION 3 6 2 5" xfId="25632" xr:uid="{00000000-0005-0000-0000-0000586B0000}"/>
    <cellStyle name="Hed Top - SECTION 3 6 2 5 2" xfId="25633" xr:uid="{00000000-0005-0000-0000-0000596B0000}"/>
    <cellStyle name="Hed Top - SECTION 3 6 2 6" xfId="25634" xr:uid="{00000000-0005-0000-0000-00005A6B0000}"/>
    <cellStyle name="Hed Top - SECTION 3 6 2 6 2" xfId="25635" xr:uid="{00000000-0005-0000-0000-00005B6B0000}"/>
    <cellStyle name="Hed Top - SECTION 3 6 2 7" xfId="25636" xr:uid="{00000000-0005-0000-0000-00005C6B0000}"/>
    <cellStyle name="Hed Top - SECTION 3 6 2 7 2" xfId="25637" xr:uid="{00000000-0005-0000-0000-00005D6B0000}"/>
    <cellStyle name="Hed Top - SECTION 3 6 2 8" xfId="25638" xr:uid="{00000000-0005-0000-0000-00005E6B0000}"/>
    <cellStyle name="Hed Top - SECTION 3 6 2 8 2" xfId="25639" xr:uid="{00000000-0005-0000-0000-00005F6B0000}"/>
    <cellStyle name="Hed Top - SECTION 3 6 2 9" xfId="25640" xr:uid="{00000000-0005-0000-0000-0000606B0000}"/>
    <cellStyle name="Hed Top - SECTION 3 6 2 9 2" xfId="25641" xr:uid="{00000000-0005-0000-0000-0000616B0000}"/>
    <cellStyle name="Hed Top - SECTION 3 6 3" xfId="25642" xr:uid="{00000000-0005-0000-0000-0000626B0000}"/>
    <cellStyle name="Hed Top - SECTION 3 6 3 10" xfId="25643" xr:uid="{00000000-0005-0000-0000-0000636B0000}"/>
    <cellStyle name="Hed Top - SECTION 3 6 3 2" xfId="25644" xr:uid="{00000000-0005-0000-0000-0000646B0000}"/>
    <cellStyle name="Hed Top - SECTION 3 6 3 2 2" xfId="25645" xr:uid="{00000000-0005-0000-0000-0000656B0000}"/>
    <cellStyle name="Hed Top - SECTION 3 6 3 3" xfId="25646" xr:uid="{00000000-0005-0000-0000-0000666B0000}"/>
    <cellStyle name="Hed Top - SECTION 3 6 3 3 2" xfId="25647" xr:uid="{00000000-0005-0000-0000-0000676B0000}"/>
    <cellStyle name="Hed Top - SECTION 3 6 3 4" xfId="25648" xr:uid="{00000000-0005-0000-0000-0000686B0000}"/>
    <cellStyle name="Hed Top - SECTION 3 6 3 4 2" xfId="25649" xr:uid="{00000000-0005-0000-0000-0000696B0000}"/>
    <cellStyle name="Hed Top - SECTION 3 6 3 5" xfId="25650" xr:uid="{00000000-0005-0000-0000-00006A6B0000}"/>
    <cellStyle name="Hed Top - SECTION 3 6 3 5 2" xfId="25651" xr:uid="{00000000-0005-0000-0000-00006B6B0000}"/>
    <cellStyle name="Hed Top - SECTION 3 6 3 6" xfId="25652" xr:uid="{00000000-0005-0000-0000-00006C6B0000}"/>
    <cellStyle name="Hed Top - SECTION 3 6 3 6 2" xfId="25653" xr:uid="{00000000-0005-0000-0000-00006D6B0000}"/>
    <cellStyle name="Hed Top - SECTION 3 6 3 7" xfId="25654" xr:uid="{00000000-0005-0000-0000-00006E6B0000}"/>
    <cellStyle name="Hed Top - SECTION 3 6 3 7 2" xfId="25655" xr:uid="{00000000-0005-0000-0000-00006F6B0000}"/>
    <cellStyle name="Hed Top - SECTION 3 6 3 8" xfId="25656" xr:uid="{00000000-0005-0000-0000-0000706B0000}"/>
    <cellStyle name="Hed Top - SECTION 3 6 3 8 2" xfId="25657" xr:uid="{00000000-0005-0000-0000-0000716B0000}"/>
    <cellStyle name="Hed Top - SECTION 3 6 3 9" xfId="25658" xr:uid="{00000000-0005-0000-0000-0000726B0000}"/>
    <cellStyle name="Hed Top - SECTION 3 6 3 9 2" xfId="25659" xr:uid="{00000000-0005-0000-0000-0000736B0000}"/>
    <cellStyle name="Hed Top - SECTION 3 6 4" xfId="25660" xr:uid="{00000000-0005-0000-0000-0000746B0000}"/>
    <cellStyle name="Hed Top - SECTION 3 6 4 10" xfId="25661" xr:uid="{00000000-0005-0000-0000-0000756B0000}"/>
    <cellStyle name="Hed Top - SECTION 3 6 4 2" xfId="25662" xr:uid="{00000000-0005-0000-0000-0000766B0000}"/>
    <cellStyle name="Hed Top - SECTION 3 6 4 2 2" xfId="25663" xr:uid="{00000000-0005-0000-0000-0000776B0000}"/>
    <cellStyle name="Hed Top - SECTION 3 6 4 3" xfId="25664" xr:uid="{00000000-0005-0000-0000-0000786B0000}"/>
    <cellStyle name="Hed Top - SECTION 3 6 4 3 2" xfId="25665" xr:uid="{00000000-0005-0000-0000-0000796B0000}"/>
    <cellStyle name="Hed Top - SECTION 3 6 4 4" xfId="25666" xr:uid="{00000000-0005-0000-0000-00007A6B0000}"/>
    <cellStyle name="Hed Top - SECTION 3 6 4 4 2" xfId="25667" xr:uid="{00000000-0005-0000-0000-00007B6B0000}"/>
    <cellStyle name="Hed Top - SECTION 3 6 4 5" xfId="25668" xr:uid="{00000000-0005-0000-0000-00007C6B0000}"/>
    <cellStyle name="Hed Top - SECTION 3 6 4 5 2" xfId="25669" xr:uid="{00000000-0005-0000-0000-00007D6B0000}"/>
    <cellStyle name="Hed Top - SECTION 3 6 4 6" xfId="25670" xr:uid="{00000000-0005-0000-0000-00007E6B0000}"/>
    <cellStyle name="Hed Top - SECTION 3 6 4 6 2" xfId="25671" xr:uid="{00000000-0005-0000-0000-00007F6B0000}"/>
    <cellStyle name="Hed Top - SECTION 3 6 4 7" xfId="25672" xr:uid="{00000000-0005-0000-0000-0000806B0000}"/>
    <cellStyle name="Hed Top - SECTION 3 6 4 7 2" xfId="25673" xr:uid="{00000000-0005-0000-0000-0000816B0000}"/>
    <cellStyle name="Hed Top - SECTION 3 6 4 8" xfId="25674" xr:uid="{00000000-0005-0000-0000-0000826B0000}"/>
    <cellStyle name="Hed Top - SECTION 3 6 4 8 2" xfId="25675" xr:uid="{00000000-0005-0000-0000-0000836B0000}"/>
    <cellStyle name="Hed Top - SECTION 3 6 4 9" xfId="25676" xr:uid="{00000000-0005-0000-0000-0000846B0000}"/>
    <cellStyle name="Hed Top - SECTION 3 6 4 9 2" xfId="25677" xr:uid="{00000000-0005-0000-0000-0000856B0000}"/>
    <cellStyle name="Hed Top - SECTION 3 6 5" xfId="25678" xr:uid="{00000000-0005-0000-0000-0000866B0000}"/>
    <cellStyle name="Hed Top - SECTION 3 6 5 10" xfId="25679" xr:uid="{00000000-0005-0000-0000-0000876B0000}"/>
    <cellStyle name="Hed Top - SECTION 3 6 5 2" xfId="25680" xr:uid="{00000000-0005-0000-0000-0000886B0000}"/>
    <cellStyle name="Hed Top - SECTION 3 6 5 2 2" xfId="25681" xr:uid="{00000000-0005-0000-0000-0000896B0000}"/>
    <cellStyle name="Hed Top - SECTION 3 6 5 3" xfId="25682" xr:uid="{00000000-0005-0000-0000-00008A6B0000}"/>
    <cellStyle name="Hed Top - SECTION 3 6 5 3 2" xfId="25683" xr:uid="{00000000-0005-0000-0000-00008B6B0000}"/>
    <cellStyle name="Hed Top - SECTION 3 6 5 4" xfId="25684" xr:uid="{00000000-0005-0000-0000-00008C6B0000}"/>
    <cellStyle name="Hed Top - SECTION 3 6 5 4 2" xfId="25685" xr:uid="{00000000-0005-0000-0000-00008D6B0000}"/>
    <cellStyle name="Hed Top - SECTION 3 6 5 5" xfId="25686" xr:uid="{00000000-0005-0000-0000-00008E6B0000}"/>
    <cellStyle name="Hed Top - SECTION 3 6 5 5 2" xfId="25687" xr:uid="{00000000-0005-0000-0000-00008F6B0000}"/>
    <cellStyle name="Hed Top - SECTION 3 6 5 6" xfId="25688" xr:uid="{00000000-0005-0000-0000-0000906B0000}"/>
    <cellStyle name="Hed Top - SECTION 3 6 5 6 2" xfId="25689" xr:uid="{00000000-0005-0000-0000-0000916B0000}"/>
    <cellStyle name="Hed Top - SECTION 3 6 5 7" xfId="25690" xr:uid="{00000000-0005-0000-0000-0000926B0000}"/>
    <cellStyle name="Hed Top - SECTION 3 6 5 7 2" xfId="25691" xr:uid="{00000000-0005-0000-0000-0000936B0000}"/>
    <cellStyle name="Hed Top - SECTION 3 6 5 8" xfId="25692" xr:uid="{00000000-0005-0000-0000-0000946B0000}"/>
    <cellStyle name="Hed Top - SECTION 3 6 5 8 2" xfId="25693" xr:uid="{00000000-0005-0000-0000-0000956B0000}"/>
    <cellStyle name="Hed Top - SECTION 3 6 5 9" xfId="25694" xr:uid="{00000000-0005-0000-0000-0000966B0000}"/>
    <cellStyle name="Hed Top - SECTION 3 6 5 9 2" xfId="25695" xr:uid="{00000000-0005-0000-0000-0000976B0000}"/>
    <cellStyle name="Hed Top - SECTION 3 6 6" xfId="25696" xr:uid="{00000000-0005-0000-0000-0000986B0000}"/>
    <cellStyle name="Hed Top - SECTION 3 6 6 10" xfId="25697" xr:uid="{00000000-0005-0000-0000-0000996B0000}"/>
    <cellStyle name="Hed Top - SECTION 3 6 6 2" xfId="25698" xr:uid="{00000000-0005-0000-0000-00009A6B0000}"/>
    <cellStyle name="Hed Top - SECTION 3 6 6 2 2" xfId="25699" xr:uid="{00000000-0005-0000-0000-00009B6B0000}"/>
    <cellStyle name="Hed Top - SECTION 3 6 6 3" xfId="25700" xr:uid="{00000000-0005-0000-0000-00009C6B0000}"/>
    <cellStyle name="Hed Top - SECTION 3 6 6 3 2" xfId="25701" xr:uid="{00000000-0005-0000-0000-00009D6B0000}"/>
    <cellStyle name="Hed Top - SECTION 3 6 6 4" xfId="25702" xr:uid="{00000000-0005-0000-0000-00009E6B0000}"/>
    <cellStyle name="Hed Top - SECTION 3 6 6 4 2" xfId="25703" xr:uid="{00000000-0005-0000-0000-00009F6B0000}"/>
    <cellStyle name="Hed Top - SECTION 3 6 6 5" xfId="25704" xr:uid="{00000000-0005-0000-0000-0000A06B0000}"/>
    <cellStyle name="Hed Top - SECTION 3 6 6 5 2" xfId="25705" xr:uid="{00000000-0005-0000-0000-0000A16B0000}"/>
    <cellStyle name="Hed Top - SECTION 3 6 6 6" xfId="25706" xr:uid="{00000000-0005-0000-0000-0000A26B0000}"/>
    <cellStyle name="Hed Top - SECTION 3 6 6 6 2" xfId="25707" xr:uid="{00000000-0005-0000-0000-0000A36B0000}"/>
    <cellStyle name="Hed Top - SECTION 3 6 6 7" xfId="25708" xr:uid="{00000000-0005-0000-0000-0000A46B0000}"/>
    <cellStyle name="Hed Top - SECTION 3 6 6 7 2" xfId="25709" xr:uid="{00000000-0005-0000-0000-0000A56B0000}"/>
    <cellStyle name="Hed Top - SECTION 3 6 6 8" xfId="25710" xr:uid="{00000000-0005-0000-0000-0000A66B0000}"/>
    <cellStyle name="Hed Top - SECTION 3 6 6 8 2" xfId="25711" xr:uid="{00000000-0005-0000-0000-0000A76B0000}"/>
    <cellStyle name="Hed Top - SECTION 3 6 6 9" xfId="25712" xr:uid="{00000000-0005-0000-0000-0000A86B0000}"/>
    <cellStyle name="Hed Top - SECTION 3 6 6 9 2" xfId="25713" xr:uid="{00000000-0005-0000-0000-0000A96B0000}"/>
    <cellStyle name="Hed Top - SECTION 3 6 7" xfId="25714" xr:uid="{00000000-0005-0000-0000-0000AA6B0000}"/>
    <cellStyle name="Hed Top - SECTION 3 6 7 10" xfId="25715" xr:uid="{00000000-0005-0000-0000-0000AB6B0000}"/>
    <cellStyle name="Hed Top - SECTION 3 6 7 2" xfId="25716" xr:uid="{00000000-0005-0000-0000-0000AC6B0000}"/>
    <cellStyle name="Hed Top - SECTION 3 6 7 2 2" xfId="25717" xr:uid="{00000000-0005-0000-0000-0000AD6B0000}"/>
    <cellStyle name="Hed Top - SECTION 3 6 7 3" xfId="25718" xr:uid="{00000000-0005-0000-0000-0000AE6B0000}"/>
    <cellStyle name="Hed Top - SECTION 3 6 7 3 2" xfId="25719" xr:uid="{00000000-0005-0000-0000-0000AF6B0000}"/>
    <cellStyle name="Hed Top - SECTION 3 6 7 4" xfId="25720" xr:uid="{00000000-0005-0000-0000-0000B06B0000}"/>
    <cellStyle name="Hed Top - SECTION 3 6 7 4 2" xfId="25721" xr:uid="{00000000-0005-0000-0000-0000B16B0000}"/>
    <cellStyle name="Hed Top - SECTION 3 6 7 5" xfId="25722" xr:uid="{00000000-0005-0000-0000-0000B26B0000}"/>
    <cellStyle name="Hed Top - SECTION 3 6 7 5 2" xfId="25723" xr:uid="{00000000-0005-0000-0000-0000B36B0000}"/>
    <cellStyle name="Hed Top - SECTION 3 6 7 6" xfId="25724" xr:uid="{00000000-0005-0000-0000-0000B46B0000}"/>
    <cellStyle name="Hed Top - SECTION 3 6 7 6 2" xfId="25725" xr:uid="{00000000-0005-0000-0000-0000B56B0000}"/>
    <cellStyle name="Hed Top - SECTION 3 6 7 7" xfId="25726" xr:uid="{00000000-0005-0000-0000-0000B66B0000}"/>
    <cellStyle name="Hed Top - SECTION 3 6 7 7 2" xfId="25727" xr:uid="{00000000-0005-0000-0000-0000B76B0000}"/>
    <cellStyle name="Hed Top - SECTION 3 6 7 8" xfId="25728" xr:uid="{00000000-0005-0000-0000-0000B86B0000}"/>
    <cellStyle name="Hed Top - SECTION 3 6 7 8 2" xfId="25729" xr:uid="{00000000-0005-0000-0000-0000B96B0000}"/>
    <cellStyle name="Hed Top - SECTION 3 6 7 9" xfId="25730" xr:uid="{00000000-0005-0000-0000-0000BA6B0000}"/>
    <cellStyle name="Hed Top - SECTION 3 6 7 9 2" xfId="25731" xr:uid="{00000000-0005-0000-0000-0000BB6B0000}"/>
    <cellStyle name="Hed Top - SECTION 3 6 8" xfId="25732" xr:uid="{00000000-0005-0000-0000-0000BC6B0000}"/>
    <cellStyle name="Hed Top - SECTION 3 6 8 10" xfId="25733" xr:uid="{00000000-0005-0000-0000-0000BD6B0000}"/>
    <cellStyle name="Hed Top - SECTION 3 6 8 2" xfId="25734" xr:uid="{00000000-0005-0000-0000-0000BE6B0000}"/>
    <cellStyle name="Hed Top - SECTION 3 6 8 2 2" xfId="25735" xr:uid="{00000000-0005-0000-0000-0000BF6B0000}"/>
    <cellStyle name="Hed Top - SECTION 3 6 8 3" xfId="25736" xr:uid="{00000000-0005-0000-0000-0000C06B0000}"/>
    <cellStyle name="Hed Top - SECTION 3 6 8 3 2" xfId="25737" xr:uid="{00000000-0005-0000-0000-0000C16B0000}"/>
    <cellStyle name="Hed Top - SECTION 3 6 8 4" xfId="25738" xr:uid="{00000000-0005-0000-0000-0000C26B0000}"/>
    <cellStyle name="Hed Top - SECTION 3 6 8 4 2" xfId="25739" xr:uid="{00000000-0005-0000-0000-0000C36B0000}"/>
    <cellStyle name="Hed Top - SECTION 3 6 8 5" xfId="25740" xr:uid="{00000000-0005-0000-0000-0000C46B0000}"/>
    <cellStyle name="Hed Top - SECTION 3 6 8 5 2" xfId="25741" xr:uid="{00000000-0005-0000-0000-0000C56B0000}"/>
    <cellStyle name="Hed Top - SECTION 3 6 8 6" xfId="25742" xr:uid="{00000000-0005-0000-0000-0000C66B0000}"/>
    <cellStyle name="Hed Top - SECTION 3 6 8 6 2" xfId="25743" xr:uid="{00000000-0005-0000-0000-0000C76B0000}"/>
    <cellStyle name="Hed Top - SECTION 3 6 8 7" xfId="25744" xr:uid="{00000000-0005-0000-0000-0000C86B0000}"/>
    <cellStyle name="Hed Top - SECTION 3 6 8 7 2" xfId="25745" xr:uid="{00000000-0005-0000-0000-0000C96B0000}"/>
    <cellStyle name="Hed Top - SECTION 3 6 8 8" xfId="25746" xr:uid="{00000000-0005-0000-0000-0000CA6B0000}"/>
    <cellStyle name="Hed Top - SECTION 3 6 8 8 2" xfId="25747" xr:uid="{00000000-0005-0000-0000-0000CB6B0000}"/>
    <cellStyle name="Hed Top - SECTION 3 6 8 9" xfId="25748" xr:uid="{00000000-0005-0000-0000-0000CC6B0000}"/>
    <cellStyle name="Hed Top - SECTION 3 6 8 9 2" xfId="25749" xr:uid="{00000000-0005-0000-0000-0000CD6B0000}"/>
    <cellStyle name="Hed Top - SECTION 3 6 9" xfId="25750" xr:uid="{00000000-0005-0000-0000-0000CE6B0000}"/>
    <cellStyle name="Hed Top - SECTION 3 6 9 10" xfId="25751" xr:uid="{00000000-0005-0000-0000-0000CF6B0000}"/>
    <cellStyle name="Hed Top - SECTION 3 6 9 2" xfId="25752" xr:uid="{00000000-0005-0000-0000-0000D06B0000}"/>
    <cellStyle name="Hed Top - SECTION 3 6 9 2 2" xfId="25753" xr:uid="{00000000-0005-0000-0000-0000D16B0000}"/>
    <cellStyle name="Hed Top - SECTION 3 6 9 3" xfId="25754" xr:uid="{00000000-0005-0000-0000-0000D26B0000}"/>
    <cellStyle name="Hed Top - SECTION 3 6 9 3 2" xfId="25755" xr:uid="{00000000-0005-0000-0000-0000D36B0000}"/>
    <cellStyle name="Hed Top - SECTION 3 6 9 4" xfId="25756" xr:uid="{00000000-0005-0000-0000-0000D46B0000}"/>
    <cellStyle name="Hed Top - SECTION 3 6 9 4 2" xfId="25757" xr:uid="{00000000-0005-0000-0000-0000D56B0000}"/>
    <cellStyle name="Hed Top - SECTION 3 6 9 5" xfId="25758" xr:uid="{00000000-0005-0000-0000-0000D66B0000}"/>
    <cellStyle name="Hed Top - SECTION 3 6 9 5 2" xfId="25759" xr:uid="{00000000-0005-0000-0000-0000D76B0000}"/>
    <cellStyle name="Hed Top - SECTION 3 6 9 6" xfId="25760" xr:uid="{00000000-0005-0000-0000-0000D86B0000}"/>
    <cellStyle name="Hed Top - SECTION 3 6 9 6 2" xfId="25761" xr:uid="{00000000-0005-0000-0000-0000D96B0000}"/>
    <cellStyle name="Hed Top - SECTION 3 6 9 7" xfId="25762" xr:uid="{00000000-0005-0000-0000-0000DA6B0000}"/>
    <cellStyle name="Hed Top - SECTION 3 6 9 7 2" xfId="25763" xr:uid="{00000000-0005-0000-0000-0000DB6B0000}"/>
    <cellStyle name="Hed Top - SECTION 3 6 9 8" xfId="25764" xr:uid="{00000000-0005-0000-0000-0000DC6B0000}"/>
    <cellStyle name="Hed Top - SECTION 3 6 9 8 2" xfId="25765" xr:uid="{00000000-0005-0000-0000-0000DD6B0000}"/>
    <cellStyle name="Hed Top - SECTION 3 6 9 9" xfId="25766" xr:uid="{00000000-0005-0000-0000-0000DE6B0000}"/>
    <cellStyle name="Hed Top - SECTION 3 6 9 9 2" xfId="25767" xr:uid="{00000000-0005-0000-0000-0000DF6B0000}"/>
    <cellStyle name="Hed Top - SECTION 3 7" xfId="25768" xr:uid="{00000000-0005-0000-0000-0000E06B0000}"/>
    <cellStyle name="Hed Top - SECTION 3 7 10" xfId="25769" xr:uid="{00000000-0005-0000-0000-0000E16B0000}"/>
    <cellStyle name="Hed Top - SECTION 3 7 10 2" xfId="25770" xr:uid="{00000000-0005-0000-0000-0000E26B0000}"/>
    <cellStyle name="Hed Top - SECTION 3 7 10 2 2" xfId="25771" xr:uid="{00000000-0005-0000-0000-0000E36B0000}"/>
    <cellStyle name="Hed Top - SECTION 3 7 10 3" xfId="25772" xr:uid="{00000000-0005-0000-0000-0000E46B0000}"/>
    <cellStyle name="Hed Top - SECTION 3 7 10 3 2" xfId="25773" xr:uid="{00000000-0005-0000-0000-0000E56B0000}"/>
    <cellStyle name="Hed Top - SECTION 3 7 10 4" xfId="25774" xr:uid="{00000000-0005-0000-0000-0000E66B0000}"/>
    <cellStyle name="Hed Top - SECTION 3 7 10 4 2" xfId="25775" xr:uid="{00000000-0005-0000-0000-0000E76B0000}"/>
    <cellStyle name="Hed Top - SECTION 3 7 10 5" xfId="25776" xr:uid="{00000000-0005-0000-0000-0000E86B0000}"/>
    <cellStyle name="Hed Top - SECTION 3 7 10 5 2" xfId="25777" xr:uid="{00000000-0005-0000-0000-0000E96B0000}"/>
    <cellStyle name="Hed Top - SECTION 3 7 10 6" xfId="25778" xr:uid="{00000000-0005-0000-0000-0000EA6B0000}"/>
    <cellStyle name="Hed Top - SECTION 3 7 10 6 2" xfId="25779" xr:uid="{00000000-0005-0000-0000-0000EB6B0000}"/>
    <cellStyle name="Hed Top - SECTION 3 7 10 7" xfId="25780" xr:uid="{00000000-0005-0000-0000-0000EC6B0000}"/>
    <cellStyle name="Hed Top - SECTION 3 7 10 7 2" xfId="25781" xr:uid="{00000000-0005-0000-0000-0000ED6B0000}"/>
    <cellStyle name="Hed Top - SECTION 3 7 10 8" xfId="25782" xr:uid="{00000000-0005-0000-0000-0000EE6B0000}"/>
    <cellStyle name="Hed Top - SECTION 3 7 10 8 2" xfId="25783" xr:uid="{00000000-0005-0000-0000-0000EF6B0000}"/>
    <cellStyle name="Hed Top - SECTION 3 7 10 9" xfId="25784" xr:uid="{00000000-0005-0000-0000-0000F06B0000}"/>
    <cellStyle name="Hed Top - SECTION 3 7 11" xfId="25785" xr:uid="{00000000-0005-0000-0000-0000F16B0000}"/>
    <cellStyle name="Hed Top - SECTION 3 7 11 2" xfId="25786" xr:uid="{00000000-0005-0000-0000-0000F26B0000}"/>
    <cellStyle name="Hed Top - SECTION 3 7 12" xfId="25787" xr:uid="{00000000-0005-0000-0000-0000F36B0000}"/>
    <cellStyle name="Hed Top - SECTION 3 7 12 2" xfId="25788" xr:uid="{00000000-0005-0000-0000-0000F46B0000}"/>
    <cellStyle name="Hed Top - SECTION 3 7 13" xfId="25789" xr:uid="{00000000-0005-0000-0000-0000F56B0000}"/>
    <cellStyle name="Hed Top - SECTION 3 7 13 2" xfId="25790" xr:uid="{00000000-0005-0000-0000-0000F66B0000}"/>
    <cellStyle name="Hed Top - SECTION 3 7 14" xfId="25791" xr:uid="{00000000-0005-0000-0000-0000F76B0000}"/>
    <cellStyle name="Hed Top - SECTION 3 7 14 2" xfId="25792" xr:uid="{00000000-0005-0000-0000-0000F86B0000}"/>
    <cellStyle name="Hed Top - SECTION 3 7 15" xfId="25793" xr:uid="{00000000-0005-0000-0000-0000F96B0000}"/>
    <cellStyle name="Hed Top - SECTION 3 7 15 2" xfId="25794" xr:uid="{00000000-0005-0000-0000-0000FA6B0000}"/>
    <cellStyle name="Hed Top - SECTION 3 7 16" xfId="25795" xr:uid="{00000000-0005-0000-0000-0000FB6B0000}"/>
    <cellStyle name="Hed Top - SECTION 3 7 16 2" xfId="25796" xr:uid="{00000000-0005-0000-0000-0000FC6B0000}"/>
    <cellStyle name="Hed Top - SECTION 3 7 17" xfId="25797" xr:uid="{00000000-0005-0000-0000-0000FD6B0000}"/>
    <cellStyle name="Hed Top - SECTION 3 7 17 2" xfId="25798" xr:uid="{00000000-0005-0000-0000-0000FE6B0000}"/>
    <cellStyle name="Hed Top - SECTION 3 7 18" xfId="25799" xr:uid="{00000000-0005-0000-0000-0000FF6B0000}"/>
    <cellStyle name="Hed Top - SECTION 3 7 2" xfId="25800" xr:uid="{00000000-0005-0000-0000-0000006C0000}"/>
    <cellStyle name="Hed Top - SECTION 3 7 2 10" xfId="25801" xr:uid="{00000000-0005-0000-0000-0000016C0000}"/>
    <cellStyle name="Hed Top - SECTION 3 7 2 2" xfId="25802" xr:uid="{00000000-0005-0000-0000-0000026C0000}"/>
    <cellStyle name="Hed Top - SECTION 3 7 2 2 2" xfId="25803" xr:uid="{00000000-0005-0000-0000-0000036C0000}"/>
    <cellStyle name="Hed Top - SECTION 3 7 2 3" xfId="25804" xr:uid="{00000000-0005-0000-0000-0000046C0000}"/>
    <cellStyle name="Hed Top - SECTION 3 7 2 3 2" xfId="25805" xr:uid="{00000000-0005-0000-0000-0000056C0000}"/>
    <cellStyle name="Hed Top - SECTION 3 7 2 4" xfId="25806" xr:uid="{00000000-0005-0000-0000-0000066C0000}"/>
    <cellStyle name="Hed Top - SECTION 3 7 2 4 2" xfId="25807" xr:uid="{00000000-0005-0000-0000-0000076C0000}"/>
    <cellStyle name="Hed Top - SECTION 3 7 2 5" xfId="25808" xr:uid="{00000000-0005-0000-0000-0000086C0000}"/>
    <cellStyle name="Hed Top - SECTION 3 7 2 5 2" xfId="25809" xr:uid="{00000000-0005-0000-0000-0000096C0000}"/>
    <cellStyle name="Hed Top - SECTION 3 7 2 6" xfId="25810" xr:uid="{00000000-0005-0000-0000-00000A6C0000}"/>
    <cellStyle name="Hed Top - SECTION 3 7 2 6 2" xfId="25811" xr:uid="{00000000-0005-0000-0000-00000B6C0000}"/>
    <cellStyle name="Hed Top - SECTION 3 7 2 7" xfId="25812" xr:uid="{00000000-0005-0000-0000-00000C6C0000}"/>
    <cellStyle name="Hed Top - SECTION 3 7 2 7 2" xfId="25813" xr:uid="{00000000-0005-0000-0000-00000D6C0000}"/>
    <cellStyle name="Hed Top - SECTION 3 7 2 8" xfId="25814" xr:uid="{00000000-0005-0000-0000-00000E6C0000}"/>
    <cellStyle name="Hed Top - SECTION 3 7 2 8 2" xfId="25815" xr:uid="{00000000-0005-0000-0000-00000F6C0000}"/>
    <cellStyle name="Hed Top - SECTION 3 7 2 9" xfId="25816" xr:uid="{00000000-0005-0000-0000-0000106C0000}"/>
    <cellStyle name="Hed Top - SECTION 3 7 2 9 2" xfId="25817" xr:uid="{00000000-0005-0000-0000-0000116C0000}"/>
    <cellStyle name="Hed Top - SECTION 3 7 3" xfId="25818" xr:uid="{00000000-0005-0000-0000-0000126C0000}"/>
    <cellStyle name="Hed Top - SECTION 3 7 3 10" xfId="25819" xr:uid="{00000000-0005-0000-0000-0000136C0000}"/>
    <cellStyle name="Hed Top - SECTION 3 7 3 2" xfId="25820" xr:uid="{00000000-0005-0000-0000-0000146C0000}"/>
    <cellStyle name="Hed Top - SECTION 3 7 3 2 2" xfId="25821" xr:uid="{00000000-0005-0000-0000-0000156C0000}"/>
    <cellStyle name="Hed Top - SECTION 3 7 3 3" xfId="25822" xr:uid="{00000000-0005-0000-0000-0000166C0000}"/>
    <cellStyle name="Hed Top - SECTION 3 7 3 3 2" xfId="25823" xr:uid="{00000000-0005-0000-0000-0000176C0000}"/>
    <cellStyle name="Hed Top - SECTION 3 7 3 4" xfId="25824" xr:uid="{00000000-0005-0000-0000-0000186C0000}"/>
    <cellStyle name="Hed Top - SECTION 3 7 3 4 2" xfId="25825" xr:uid="{00000000-0005-0000-0000-0000196C0000}"/>
    <cellStyle name="Hed Top - SECTION 3 7 3 5" xfId="25826" xr:uid="{00000000-0005-0000-0000-00001A6C0000}"/>
    <cellStyle name="Hed Top - SECTION 3 7 3 5 2" xfId="25827" xr:uid="{00000000-0005-0000-0000-00001B6C0000}"/>
    <cellStyle name="Hed Top - SECTION 3 7 3 6" xfId="25828" xr:uid="{00000000-0005-0000-0000-00001C6C0000}"/>
    <cellStyle name="Hed Top - SECTION 3 7 3 6 2" xfId="25829" xr:uid="{00000000-0005-0000-0000-00001D6C0000}"/>
    <cellStyle name="Hed Top - SECTION 3 7 3 7" xfId="25830" xr:uid="{00000000-0005-0000-0000-00001E6C0000}"/>
    <cellStyle name="Hed Top - SECTION 3 7 3 7 2" xfId="25831" xr:uid="{00000000-0005-0000-0000-00001F6C0000}"/>
    <cellStyle name="Hed Top - SECTION 3 7 3 8" xfId="25832" xr:uid="{00000000-0005-0000-0000-0000206C0000}"/>
    <cellStyle name="Hed Top - SECTION 3 7 3 8 2" xfId="25833" xr:uid="{00000000-0005-0000-0000-0000216C0000}"/>
    <cellStyle name="Hed Top - SECTION 3 7 3 9" xfId="25834" xr:uid="{00000000-0005-0000-0000-0000226C0000}"/>
    <cellStyle name="Hed Top - SECTION 3 7 3 9 2" xfId="25835" xr:uid="{00000000-0005-0000-0000-0000236C0000}"/>
    <cellStyle name="Hed Top - SECTION 3 7 4" xfId="25836" xr:uid="{00000000-0005-0000-0000-0000246C0000}"/>
    <cellStyle name="Hed Top - SECTION 3 7 4 10" xfId="25837" xr:uid="{00000000-0005-0000-0000-0000256C0000}"/>
    <cellStyle name="Hed Top - SECTION 3 7 4 2" xfId="25838" xr:uid="{00000000-0005-0000-0000-0000266C0000}"/>
    <cellStyle name="Hed Top - SECTION 3 7 4 2 2" xfId="25839" xr:uid="{00000000-0005-0000-0000-0000276C0000}"/>
    <cellStyle name="Hed Top - SECTION 3 7 4 3" xfId="25840" xr:uid="{00000000-0005-0000-0000-0000286C0000}"/>
    <cellStyle name="Hed Top - SECTION 3 7 4 3 2" xfId="25841" xr:uid="{00000000-0005-0000-0000-0000296C0000}"/>
    <cellStyle name="Hed Top - SECTION 3 7 4 4" xfId="25842" xr:uid="{00000000-0005-0000-0000-00002A6C0000}"/>
    <cellStyle name="Hed Top - SECTION 3 7 4 4 2" xfId="25843" xr:uid="{00000000-0005-0000-0000-00002B6C0000}"/>
    <cellStyle name="Hed Top - SECTION 3 7 4 5" xfId="25844" xr:uid="{00000000-0005-0000-0000-00002C6C0000}"/>
    <cellStyle name="Hed Top - SECTION 3 7 4 5 2" xfId="25845" xr:uid="{00000000-0005-0000-0000-00002D6C0000}"/>
    <cellStyle name="Hed Top - SECTION 3 7 4 6" xfId="25846" xr:uid="{00000000-0005-0000-0000-00002E6C0000}"/>
    <cellStyle name="Hed Top - SECTION 3 7 4 6 2" xfId="25847" xr:uid="{00000000-0005-0000-0000-00002F6C0000}"/>
    <cellStyle name="Hed Top - SECTION 3 7 4 7" xfId="25848" xr:uid="{00000000-0005-0000-0000-0000306C0000}"/>
    <cellStyle name="Hed Top - SECTION 3 7 4 7 2" xfId="25849" xr:uid="{00000000-0005-0000-0000-0000316C0000}"/>
    <cellStyle name="Hed Top - SECTION 3 7 4 8" xfId="25850" xr:uid="{00000000-0005-0000-0000-0000326C0000}"/>
    <cellStyle name="Hed Top - SECTION 3 7 4 8 2" xfId="25851" xr:uid="{00000000-0005-0000-0000-0000336C0000}"/>
    <cellStyle name="Hed Top - SECTION 3 7 4 9" xfId="25852" xr:uid="{00000000-0005-0000-0000-0000346C0000}"/>
    <cellStyle name="Hed Top - SECTION 3 7 4 9 2" xfId="25853" xr:uid="{00000000-0005-0000-0000-0000356C0000}"/>
    <cellStyle name="Hed Top - SECTION 3 7 5" xfId="25854" xr:uid="{00000000-0005-0000-0000-0000366C0000}"/>
    <cellStyle name="Hed Top - SECTION 3 7 5 10" xfId="25855" xr:uid="{00000000-0005-0000-0000-0000376C0000}"/>
    <cellStyle name="Hed Top - SECTION 3 7 5 2" xfId="25856" xr:uid="{00000000-0005-0000-0000-0000386C0000}"/>
    <cellStyle name="Hed Top - SECTION 3 7 5 2 2" xfId="25857" xr:uid="{00000000-0005-0000-0000-0000396C0000}"/>
    <cellStyle name="Hed Top - SECTION 3 7 5 3" xfId="25858" xr:uid="{00000000-0005-0000-0000-00003A6C0000}"/>
    <cellStyle name="Hed Top - SECTION 3 7 5 3 2" xfId="25859" xr:uid="{00000000-0005-0000-0000-00003B6C0000}"/>
    <cellStyle name="Hed Top - SECTION 3 7 5 4" xfId="25860" xr:uid="{00000000-0005-0000-0000-00003C6C0000}"/>
    <cellStyle name="Hed Top - SECTION 3 7 5 4 2" xfId="25861" xr:uid="{00000000-0005-0000-0000-00003D6C0000}"/>
    <cellStyle name="Hed Top - SECTION 3 7 5 5" xfId="25862" xr:uid="{00000000-0005-0000-0000-00003E6C0000}"/>
    <cellStyle name="Hed Top - SECTION 3 7 5 5 2" xfId="25863" xr:uid="{00000000-0005-0000-0000-00003F6C0000}"/>
    <cellStyle name="Hed Top - SECTION 3 7 5 6" xfId="25864" xr:uid="{00000000-0005-0000-0000-0000406C0000}"/>
    <cellStyle name="Hed Top - SECTION 3 7 5 6 2" xfId="25865" xr:uid="{00000000-0005-0000-0000-0000416C0000}"/>
    <cellStyle name="Hed Top - SECTION 3 7 5 7" xfId="25866" xr:uid="{00000000-0005-0000-0000-0000426C0000}"/>
    <cellStyle name="Hed Top - SECTION 3 7 5 7 2" xfId="25867" xr:uid="{00000000-0005-0000-0000-0000436C0000}"/>
    <cellStyle name="Hed Top - SECTION 3 7 5 8" xfId="25868" xr:uid="{00000000-0005-0000-0000-0000446C0000}"/>
    <cellStyle name="Hed Top - SECTION 3 7 5 8 2" xfId="25869" xr:uid="{00000000-0005-0000-0000-0000456C0000}"/>
    <cellStyle name="Hed Top - SECTION 3 7 5 9" xfId="25870" xr:uid="{00000000-0005-0000-0000-0000466C0000}"/>
    <cellStyle name="Hed Top - SECTION 3 7 5 9 2" xfId="25871" xr:uid="{00000000-0005-0000-0000-0000476C0000}"/>
    <cellStyle name="Hed Top - SECTION 3 7 6" xfId="25872" xr:uid="{00000000-0005-0000-0000-0000486C0000}"/>
    <cellStyle name="Hed Top - SECTION 3 7 6 10" xfId="25873" xr:uid="{00000000-0005-0000-0000-0000496C0000}"/>
    <cellStyle name="Hed Top - SECTION 3 7 6 2" xfId="25874" xr:uid="{00000000-0005-0000-0000-00004A6C0000}"/>
    <cellStyle name="Hed Top - SECTION 3 7 6 2 2" xfId="25875" xr:uid="{00000000-0005-0000-0000-00004B6C0000}"/>
    <cellStyle name="Hed Top - SECTION 3 7 6 3" xfId="25876" xr:uid="{00000000-0005-0000-0000-00004C6C0000}"/>
    <cellStyle name="Hed Top - SECTION 3 7 6 3 2" xfId="25877" xr:uid="{00000000-0005-0000-0000-00004D6C0000}"/>
    <cellStyle name="Hed Top - SECTION 3 7 6 4" xfId="25878" xr:uid="{00000000-0005-0000-0000-00004E6C0000}"/>
    <cellStyle name="Hed Top - SECTION 3 7 6 4 2" xfId="25879" xr:uid="{00000000-0005-0000-0000-00004F6C0000}"/>
    <cellStyle name="Hed Top - SECTION 3 7 6 5" xfId="25880" xr:uid="{00000000-0005-0000-0000-0000506C0000}"/>
    <cellStyle name="Hed Top - SECTION 3 7 6 5 2" xfId="25881" xr:uid="{00000000-0005-0000-0000-0000516C0000}"/>
    <cellStyle name="Hed Top - SECTION 3 7 6 6" xfId="25882" xr:uid="{00000000-0005-0000-0000-0000526C0000}"/>
    <cellStyle name="Hed Top - SECTION 3 7 6 6 2" xfId="25883" xr:uid="{00000000-0005-0000-0000-0000536C0000}"/>
    <cellStyle name="Hed Top - SECTION 3 7 6 7" xfId="25884" xr:uid="{00000000-0005-0000-0000-0000546C0000}"/>
    <cellStyle name="Hed Top - SECTION 3 7 6 7 2" xfId="25885" xr:uid="{00000000-0005-0000-0000-0000556C0000}"/>
    <cellStyle name="Hed Top - SECTION 3 7 6 8" xfId="25886" xr:uid="{00000000-0005-0000-0000-0000566C0000}"/>
    <cellStyle name="Hed Top - SECTION 3 7 6 8 2" xfId="25887" xr:uid="{00000000-0005-0000-0000-0000576C0000}"/>
    <cellStyle name="Hed Top - SECTION 3 7 6 9" xfId="25888" xr:uid="{00000000-0005-0000-0000-0000586C0000}"/>
    <cellStyle name="Hed Top - SECTION 3 7 6 9 2" xfId="25889" xr:uid="{00000000-0005-0000-0000-0000596C0000}"/>
    <cellStyle name="Hed Top - SECTION 3 7 7" xfId="25890" xr:uid="{00000000-0005-0000-0000-00005A6C0000}"/>
    <cellStyle name="Hed Top - SECTION 3 7 7 10" xfId="25891" xr:uid="{00000000-0005-0000-0000-00005B6C0000}"/>
    <cellStyle name="Hed Top - SECTION 3 7 7 2" xfId="25892" xr:uid="{00000000-0005-0000-0000-00005C6C0000}"/>
    <cellStyle name="Hed Top - SECTION 3 7 7 2 2" xfId="25893" xr:uid="{00000000-0005-0000-0000-00005D6C0000}"/>
    <cellStyle name="Hed Top - SECTION 3 7 7 3" xfId="25894" xr:uid="{00000000-0005-0000-0000-00005E6C0000}"/>
    <cellStyle name="Hed Top - SECTION 3 7 7 3 2" xfId="25895" xr:uid="{00000000-0005-0000-0000-00005F6C0000}"/>
    <cellStyle name="Hed Top - SECTION 3 7 7 4" xfId="25896" xr:uid="{00000000-0005-0000-0000-0000606C0000}"/>
    <cellStyle name="Hed Top - SECTION 3 7 7 4 2" xfId="25897" xr:uid="{00000000-0005-0000-0000-0000616C0000}"/>
    <cellStyle name="Hed Top - SECTION 3 7 7 5" xfId="25898" xr:uid="{00000000-0005-0000-0000-0000626C0000}"/>
    <cellStyle name="Hed Top - SECTION 3 7 7 5 2" xfId="25899" xr:uid="{00000000-0005-0000-0000-0000636C0000}"/>
    <cellStyle name="Hed Top - SECTION 3 7 7 6" xfId="25900" xr:uid="{00000000-0005-0000-0000-0000646C0000}"/>
    <cellStyle name="Hed Top - SECTION 3 7 7 6 2" xfId="25901" xr:uid="{00000000-0005-0000-0000-0000656C0000}"/>
    <cellStyle name="Hed Top - SECTION 3 7 7 7" xfId="25902" xr:uid="{00000000-0005-0000-0000-0000666C0000}"/>
    <cellStyle name="Hed Top - SECTION 3 7 7 7 2" xfId="25903" xr:uid="{00000000-0005-0000-0000-0000676C0000}"/>
    <cellStyle name="Hed Top - SECTION 3 7 7 8" xfId="25904" xr:uid="{00000000-0005-0000-0000-0000686C0000}"/>
    <cellStyle name="Hed Top - SECTION 3 7 7 8 2" xfId="25905" xr:uid="{00000000-0005-0000-0000-0000696C0000}"/>
    <cellStyle name="Hed Top - SECTION 3 7 7 9" xfId="25906" xr:uid="{00000000-0005-0000-0000-00006A6C0000}"/>
    <cellStyle name="Hed Top - SECTION 3 7 7 9 2" xfId="25907" xr:uid="{00000000-0005-0000-0000-00006B6C0000}"/>
    <cellStyle name="Hed Top - SECTION 3 7 8" xfId="25908" xr:uid="{00000000-0005-0000-0000-00006C6C0000}"/>
    <cellStyle name="Hed Top - SECTION 3 7 8 10" xfId="25909" xr:uid="{00000000-0005-0000-0000-00006D6C0000}"/>
    <cellStyle name="Hed Top - SECTION 3 7 8 2" xfId="25910" xr:uid="{00000000-0005-0000-0000-00006E6C0000}"/>
    <cellStyle name="Hed Top - SECTION 3 7 8 2 2" xfId="25911" xr:uid="{00000000-0005-0000-0000-00006F6C0000}"/>
    <cellStyle name="Hed Top - SECTION 3 7 8 3" xfId="25912" xr:uid="{00000000-0005-0000-0000-0000706C0000}"/>
    <cellStyle name="Hed Top - SECTION 3 7 8 3 2" xfId="25913" xr:uid="{00000000-0005-0000-0000-0000716C0000}"/>
    <cellStyle name="Hed Top - SECTION 3 7 8 4" xfId="25914" xr:uid="{00000000-0005-0000-0000-0000726C0000}"/>
    <cellStyle name="Hed Top - SECTION 3 7 8 4 2" xfId="25915" xr:uid="{00000000-0005-0000-0000-0000736C0000}"/>
    <cellStyle name="Hed Top - SECTION 3 7 8 5" xfId="25916" xr:uid="{00000000-0005-0000-0000-0000746C0000}"/>
    <cellStyle name="Hed Top - SECTION 3 7 8 5 2" xfId="25917" xr:uid="{00000000-0005-0000-0000-0000756C0000}"/>
    <cellStyle name="Hed Top - SECTION 3 7 8 6" xfId="25918" xr:uid="{00000000-0005-0000-0000-0000766C0000}"/>
    <cellStyle name="Hed Top - SECTION 3 7 8 6 2" xfId="25919" xr:uid="{00000000-0005-0000-0000-0000776C0000}"/>
    <cellStyle name="Hed Top - SECTION 3 7 8 7" xfId="25920" xr:uid="{00000000-0005-0000-0000-0000786C0000}"/>
    <cellStyle name="Hed Top - SECTION 3 7 8 7 2" xfId="25921" xr:uid="{00000000-0005-0000-0000-0000796C0000}"/>
    <cellStyle name="Hed Top - SECTION 3 7 8 8" xfId="25922" xr:uid="{00000000-0005-0000-0000-00007A6C0000}"/>
    <cellStyle name="Hed Top - SECTION 3 7 8 8 2" xfId="25923" xr:uid="{00000000-0005-0000-0000-00007B6C0000}"/>
    <cellStyle name="Hed Top - SECTION 3 7 8 9" xfId="25924" xr:uid="{00000000-0005-0000-0000-00007C6C0000}"/>
    <cellStyle name="Hed Top - SECTION 3 7 8 9 2" xfId="25925" xr:uid="{00000000-0005-0000-0000-00007D6C0000}"/>
    <cellStyle name="Hed Top - SECTION 3 7 9" xfId="25926" xr:uid="{00000000-0005-0000-0000-00007E6C0000}"/>
    <cellStyle name="Hed Top - SECTION 3 7 9 10" xfId="25927" xr:uid="{00000000-0005-0000-0000-00007F6C0000}"/>
    <cellStyle name="Hed Top - SECTION 3 7 9 2" xfId="25928" xr:uid="{00000000-0005-0000-0000-0000806C0000}"/>
    <cellStyle name="Hed Top - SECTION 3 7 9 2 2" xfId="25929" xr:uid="{00000000-0005-0000-0000-0000816C0000}"/>
    <cellStyle name="Hed Top - SECTION 3 7 9 3" xfId="25930" xr:uid="{00000000-0005-0000-0000-0000826C0000}"/>
    <cellStyle name="Hed Top - SECTION 3 7 9 3 2" xfId="25931" xr:uid="{00000000-0005-0000-0000-0000836C0000}"/>
    <cellStyle name="Hed Top - SECTION 3 7 9 4" xfId="25932" xr:uid="{00000000-0005-0000-0000-0000846C0000}"/>
    <cellStyle name="Hed Top - SECTION 3 7 9 4 2" xfId="25933" xr:uid="{00000000-0005-0000-0000-0000856C0000}"/>
    <cellStyle name="Hed Top - SECTION 3 7 9 5" xfId="25934" xr:uid="{00000000-0005-0000-0000-0000866C0000}"/>
    <cellStyle name="Hed Top - SECTION 3 7 9 5 2" xfId="25935" xr:uid="{00000000-0005-0000-0000-0000876C0000}"/>
    <cellStyle name="Hed Top - SECTION 3 7 9 6" xfId="25936" xr:uid="{00000000-0005-0000-0000-0000886C0000}"/>
    <cellStyle name="Hed Top - SECTION 3 7 9 6 2" xfId="25937" xr:uid="{00000000-0005-0000-0000-0000896C0000}"/>
    <cellStyle name="Hed Top - SECTION 3 7 9 7" xfId="25938" xr:uid="{00000000-0005-0000-0000-00008A6C0000}"/>
    <cellStyle name="Hed Top - SECTION 3 7 9 7 2" xfId="25939" xr:uid="{00000000-0005-0000-0000-00008B6C0000}"/>
    <cellStyle name="Hed Top - SECTION 3 7 9 8" xfId="25940" xr:uid="{00000000-0005-0000-0000-00008C6C0000}"/>
    <cellStyle name="Hed Top - SECTION 3 7 9 8 2" xfId="25941" xr:uid="{00000000-0005-0000-0000-00008D6C0000}"/>
    <cellStyle name="Hed Top - SECTION 3 7 9 9" xfId="25942" xr:uid="{00000000-0005-0000-0000-00008E6C0000}"/>
    <cellStyle name="Hed Top - SECTION 3 7 9 9 2" xfId="25943" xr:uid="{00000000-0005-0000-0000-00008F6C0000}"/>
    <cellStyle name="Hed Top - SECTION 4" xfId="176" xr:uid="{00000000-0005-0000-0000-0000906C0000}"/>
    <cellStyle name="Hed Top - SECTION 4 2" xfId="25944" xr:uid="{00000000-0005-0000-0000-0000916C0000}"/>
    <cellStyle name="Hed Top - SECTION 4 2 10" xfId="25945" xr:uid="{00000000-0005-0000-0000-0000926C0000}"/>
    <cellStyle name="Hed Top - SECTION 4 2 10 10" xfId="25946" xr:uid="{00000000-0005-0000-0000-0000936C0000}"/>
    <cellStyle name="Hed Top - SECTION 4 2 10 2" xfId="25947" xr:uid="{00000000-0005-0000-0000-0000946C0000}"/>
    <cellStyle name="Hed Top - SECTION 4 2 10 2 2" xfId="25948" xr:uid="{00000000-0005-0000-0000-0000956C0000}"/>
    <cellStyle name="Hed Top - SECTION 4 2 10 3" xfId="25949" xr:uid="{00000000-0005-0000-0000-0000966C0000}"/>
    <cellStyle name="Hed Top - SECTION 4 2 10 3 2" xfId="25950" xr:uid="{00000000-0005-0000-0000-0000976C0000}"/>
    <cellStyle name="Hed Top - SECTION 4 2 10 4" xfId="25951" xr:uid="{00000000-0005-0000-0000-0000986C0000}"/>
    <cellStyle name="Hed Top - SECTION 4 2 10 4 2" xfId="25952" xr:uid="{00000000-0005-0000-0000-0000996C0000}"/>
    <cellStyle name="Hed Top - SECTION 4 2 10 5" xfId="25953" xr:uid="{00000000-0005-0000-0000-00009A6C0000}"/>
    <cellStyle name="Hed Top - SECTION 4 2 10 5 2" xfId="25954" xr:uid="{00000000-0005-0000-0000-00009B6C0000}"/>
    <cellStyle name="Hed Top - SECTION 4 2 10 6" xfId="25955" xr:uid="{00000000-0005-0000-0000-00009C6C0000}"/>
    <cellStyle name="Hed Top - SECTION 4 2 10 6 2" xfId="25956" xr:uid="{00000000-0005-0000-0000-00009D6C0000}"/>
    <cellStyle name="Hed Top - SECTION 4 2 10 7" xfId="25957" xr:uid="{00000000-0005-0000-0000-00009E6C0000}"/>
    <cellStyle name="Hed Top - SECTION 4 2 10 7 2" xfId="25958" xr:uid="{00000000-0005-0000-0000-00009F6C0000}"/>
    <cellStyle name="Hed Top - SECTION 4 2 10 8" xfId="25959" xr:uid="{00000000-0005-0000-0000-0000A06C0000}"/>
    <cellStyle name="Hed Top - SECTION 4 2 10 8 2" xfId="25960" xr:uid="{00000000-0005-0000-0000-0000A16C0000}"/>
    <cellStyle name="Hed Top - SECTION 4 2 10 9" xfId="25961" xr:uid="{00000000-0005-0000-0000-0000A26C0000}"/>
    <cellStyle name="Hed Top - SECTION 4 2 10 9 2" xfId="25962" xr:uid="{00000000-0005-0000-0000-0000A36C0000}"/>
    <cellStyle name="Hed Top - SECTION 4 2 11" xfId="25963" xr:uid="{00000000-0005-0000-0000-0000A46C0000}"/>
    <cellStyle name="Hed Top - SECTION 4 2 11 2" xfId="25964" xr:uid="{00000000-0005-0000-0000-0000A56C0000}"/>
    <cellStyle name="Hed Top - SECTION 4 2 11 2 2" xfId="25965" xr:uid="{00000000-0005-0000-0000-0000A66C0000}"/>
    <cellStyle name="Hed Top - SECTION 4 2 11 3" xfId="25966" xr:uid="{00000000-0005-0000-0000-0000A76C0000}"/>
    <cellStyle name="Hed Top - SECTION 4 2 11 3 2" xfId="25967" xr:uid="{00000000-0005-0000-0000-0000A86C0000}"/>
    <cellStyle name="Hed Top - SECTION 4 2 11 4" xfId="25968" xr:uid="{00000000-0005-0000-0000-0000A96C0000}"/>
    <cellStyle name="Hed Top - SECTION 4 2 11 4 2" xfId="25969" xr:uid="{00000000-0005-0000-0000-0000AA6C0000}"/>
    <cellStyle name="Hed Top - SECTION 4 2 11 5" xfId="25970" xr:uid="{00000000-0005-0000-0000-0000AB6C0000}"/>
    <cellStyle name="Hed Top - SECTION 4 2 11 5 2" xfId="25971" xr:uid="{00000000-0005-0000-0000-0000AC6C0000}"/>
    <cellStyle name="Hed Top - SECTION 4 2 11 6" xfId="25972" xr:uid="{00000000-0005-0000-0000-0000AD6C0000}"/>
    <cellStyle name="Hed Top - SECTION 4 2 11 6 2" xfId="25973" xr:uid="{00000000-0005-0000-0000-0000AE6C0000}"/>
    <cellStyle name="Hed Top - SECTION 4 2 11 7" xfId="25974" xr:uid="{00000000-0005-0000-0000-0000AF6C0000}"/>
    <cellStyle name="Hed Top - SECTION 4 2 11 7 2" xfId="25975" xr:uid="{00000000-0005-0000-0000-0000B06C0000}"/>
    <cellStyle name="Hed Top - SECTION 4 2 11 8" xfId="25976" xr:uid="{00000000-0005-0000-0000-0000B16C0000}"/>
    <cellStyle name="Hed Top - SECTION 4 2 11 8 2" xfId="25977" xr:uid="{00000000-0005-0000-0000-0000B26C0000}"/>
    <cellStyle name="Hed Top - SECTION 4 2 11 9" xfId="25978" xr:uid="{00000000-0005-0000-0000-0000B36C0000}"/>
    <cellStyle name="Hed Top - SECTION 4 2 2" xfId="25979" xr:uid="{00000000-0005-0000-0000-0000B46C0000}"/>
    <cellStyle name="Hed Top - SECTION 4 2 2 10" xfId="25980" xr:uid="{00000000-0005-0000-0000-0000B56C0000}"/>
    <cellStyle name="Hed Top - SECTION 4 2 2 2" xfId="25981" xr:uid="{00000000-0005-0000-0000-0000B66C0000}"/>
    <cellStyle name="Hed Top - SECTION 4 2 2 2 2" xfId="25982" xr:uid="{00000000-0005-0000-0000-0000B76C0000}"/>
    <cellStyle name="Hed Top - SECTION 4 2 2 3" xfId="25983" xr:uid="{00000000-0005-0000-0000-0000B86C0000}"/>
    <cellStyle name="Hed Top - SECTION 4 2 2 3 2" xfId="25984" xr:uid="{00000000-0005-0000-0000-0000B96C0000}"/>
    <cellStyle name="Hed Top - SECTION 4 2 2 4" xfId="25985" xr:uid="{00000000-0005-0000-0000-0000BA6C0000}"/>
    <cellStyle name="Hed Top - SECTION 4 2 2 4 2" xfId="25986" xr:uid="{00000000-0005-0000-0000-0000BB6C0000}"/>
    <cellStyle name="Hed Top - SECTION 4 2 2 5" xfId="25987" xr:uid="{00000000-0005-0000-0000-0000BC6C0000}"/>
    <cellStyle name="Hed Top - SECTION 4 2 2 5 2" xfId="25988" xr:uid="{00000000-0005-0000-0000-0000BD6C0000}"/>
    <cellStyle name="Hed Top - SECTION 4 2 2 6" xfId="25989" xr:uid="{00000000-0005-0000-0000-0000BE6C0000}"/>
    <cellStyle name="Hed Top - SECTION 4 2 2 6 2" xfId="25990" xr:uid="{00000000-0005-0000-0000-0000BF6C0000}"/>
    <cellStyle name="Hed Top - SECTION 4 2 2 7" xfId="25991" xr:uid="{00000000-0005-0000-0000-0000C06C0000}"/>
    <cellStyle name="Hed Top - SECTION 4 2 2 7 2" xfId="25992" xr:uid="{00000000-0005-0000-0000-0000C16C0000}"/>
    <cellStyle name="Hed Top - SECTION 4 2 2 8" xfId="25993" xr:uid="{00000000-0005-0000-0000-0000C26C0000}"/>
    <cellStyle name="Hed Top - SECTION 4 2 2 8 2" xfId="25994" xr:uid="{00000000-0005-0000-0000-0000C36C0000}"/>
    <cellStyle name="Hed Top - SECTION 4 2 2 9" xfId="25995" xr:uid="{00000000-0005-0000-0000-0000C46C0000}"/>
    <cellStyle name="Hed Top - SECTION 4 2 2 9 2" xfId="25996" xr:uid="{00000000-0005-0000-0000-0000C56C0000}"/>
    <cellStyle name="Hed Top - SECTION 4 2 3" xfId="25997" xr:uid="{00000000-0005-0000-0000-0000C66C0000}"/>
    <cellStyle name="Hed Top - SECTION 4 2 3 10" xfId="25998" xr:uid="{00000000-0005-0000-0000-0000C76C0000}"/>
    <cellStyle name="Hed Top - SECTION 4 2 3 2" xfId="25999" xr:uid="{00000000-0005-0000-0000-0000C86C0000}"/>
    <cellStyle name="Hed Top - SECTION 4 2 3 2 2" xfId="26000" xr:uid="{00000000-0005-0000-0000-0000C96C0000}"/>
    <cellStyle name="Hed Top - SECTION 4 2 3 3" xfId="26001" xr:uid="{00000000-0005-0000-0000-0000CA6C0000}"/>
    <cellStyle name="Hed Top - SECTION 4 2 3 3 2" xfId="26002" xr:uid="{00000000-0005-0000-0000-0000CB6C0000}"/>
    <cellStyle name="Hed Top - SECTION 4 2 3 4" xfId="26003" xr:uid="{00000000-0005-0000-0000-0000CC6C0000}"/>
    <cellStyle name="Hed Top - SECTION 4 2 3 4 2" xfId="26004" xr:uid="{00000000-0005-0000-0000-0000CD6C0000}"/>
    <cellStyle name="Hed Top - SECTION 4 2 3 5" xfId="26005" xr:uid="{00000000-0005-0000-0000-0000CE6C0000}"/>
    <cellStyle name="Hed Top - SECTION 4 2 3 5 2" xfId="26006" xr:uid="{00000000-0005-0000-0000-0000CF6C0000}"/>
    <cellStyle name="Hed Top - SECTION 4 2 3 6" xfId="26007" xr:uid="{00000000-0005-0000-0000-0000D06C0000}"/>
    <cellStyle name="Hed Top - SECTION 4 2 3 6 2" xfId="26008" xr:uid="{00000000-0005-0000-0000-0000D16C0000}"/>
    <cellStyle name="Hed Top - SECTION 4 2 3 7" xfId="26009" xr:uid="{00000000-0005-0000-0000-0000D26C0000}"/>
    <cellStyle name="Hed Top - SECTION 4 2 3 7 2" xfId="26010" xr:uid="{00000000-0005-0000-0000-0000D36C0000}"/>
    <cellStyle name="Hed Top - SECTION 4 2 3 8" xfId="26011" xr:uid="{00000000-0005-0000-0000-0000D46C0000}"/>
    <cellStyle name="Hed Top - SECTION 4 2 3 8 2" xfId="26012" xr:uid="{00000000-0005-0000-0000-0000D56C0000}"/>
    <cellStyle name="Hed Top - SECTION 4 2 3 9" xfId="26013" xr:uid="{00000000-0005-0000-0000-0000D66C0000}"/>
    <cellStyle name="Hed Top - SECTION 4 2 3 9 2" xfId="26014" xr:uid="{00000000-0005-0000-0000-0000D76C0000}"/>
    <cellStyle name="Hed Top - SECTION 4 2 4" xfId="26015" xr:uid="{00000000-0005-0000-0000-0000D86C0000}"/>
    <cellStyle name="Hed Top - SECTION 4 2 4 10" xfId="26016" xr:uid="{00000000-0005-0000-0000-0000D96C0000}"/>
    <cellStyle name="Hed Top - SECTION 4 2 4 2" xfId="26017" xr:uid="{00000000-0005-0000-0000-0000DA6C0000}"/>
    <cellStyle name="Hed Top - SECTION 4 2 4 2 2" xfId="26018" xr:uid="{00000000-0005-0000-0000-0000DB6C0000}"/>
    <cellStyle name="Hed Top - SECTION 4 2 4 3" xfId="26019" xr:uid="{00000000-0005-0000-0000-0000DC6C0000}"/>
    <cellStyle name="Hed Top - SECTION 4 2 4 3 2" xfId="26020" xr:uid="{00000000-0005-0000-0000-0000DD6C0000}"/>
    <cellStyle name="Hed Top - SECTION 4 2 4 4" xfId="26021" xr:uid="{00000000-0005-0000-0000-0000DE6C0000}"/>
    <cellStyle name="Hed Top - SECTION 4 2 4 4 2" xfId="26022" xr:uid="{00000000-0005-0000-0000-0000DF6C0000}"/>
    <cellStyle name="Hed Top - SECTION 4 2 4 5" xfId="26023" xr:uid="{00000000-0005-0000-0000-0000E06C0000}"/>
    <cellStyle name="Hed Top - SECTION 4 2 4 5 2" xfId="26024" xr:uid="{00000000-0005-0000-0000-0000E16C0000}"/>
    <cellStyle name="Hed Top - SECTION 4 2 4 6" xfId="26025" xr:uid="{00000000-0005-0000-0000-0000E26C0000}"/>
    <cellStyle name="Hed Top - SECTION 4 2 4 6 2" xfId="26026" xr:uid="{00000000-0005-0000-0000-0000E36C0000}"/>
    <cellStyle name="Hed Top - SECTION 4 2 4 7" xfId="26027" xr:uid="{00000000-0005-0000-0000-0000E46C0000}"/>
    <cellStyle name="Hed Top - SECTION 4 2 4 7 2" xfId="26028" xr:uid="{00000000-0005-0000-0000-0000E56C0000}"/>
    <cellStyle name="Hed Top - SECTION 4 2 4 8" xfId="26029" xr:uid="{00000000-0005-0000-0000-0000E66C0000}"/>
    <cellStyle name="Hed Top - SECTION 4 2 4 8 2" xfId="26030" xr:uid="{00000000-0005-0000-0000-0000E76C0000}"/>
    <cellStyle name="Hed Top - SECTION 4 2 4 9" xfId="26031" xr:uid="{00000000-0005-0000-0000-0000E86C0000}"/>
    <cellStyle name="Hed Top - SECTION 4 2 4 9 2" xfId="26032" xr:uid="{00000000-0005-0000-0000-0000E96C0000}"/>
    <cellStyle name="Hed Top - SECTION 4 2 5" xfId="26033" xr:uid="{00000000-0005-0000-0000-0000EA6C0000}"/>
    <cellStyle name="Hed Top - SECTION 4 2 5 10" xfId="26034" xr:uid="{00000000-0005-0000-0000-0000EB6C0000}"/>
    <cellStyle name="Hed Top - SECTION 4 2 5 2" xfId="26035" xr:uid="{00000000-0005-0000-0000-0000EC6C0000}"/>
    <cellStyle name="Hed Top - SECTION 4 2 5 2 2" xfId="26036" xr:uid="{00000000-0005-0000-0000-0000ED6C0000}"/>
    <cellStyle name="Hed Top - SECTION 4 2 5 3" xfId="26037" xr:uid="{00000000-0005-0000-0000-0000EE6C0000}"/>
    <cellStyle name="Hed Top - SECTION 4 2 5 3 2" xfId="26038" xr:uid="{00000000-0005-0000-0000-0000EF6C0000}"/>
    <cellStyle name="Hed Top - SECTION 4 2 5 4" xfId="26039" xr:uid="{00000000-0005-0000-0000-0000F06C0000}"/>
    <cellStyle name="Hed Top - SECTION 4 2 5 4 2" xfId="26040" xr:uid="{00000000-0005-0000-0000-0000F16C0000}"/>
    <cellStyle name="Hed Top - SECTION 4 2 5 5" xfId="26041" xr:uid="{00000000-0005-0000-0000-0000F26C0000}"/>
    <cellStyle name="Hed Top - SECTION 4 2 5 5 2" xfId="26042" xr:uid="{00000000-0005-0000-0000-0000F36C0000}"/>
    <cellStyle name="Hed Top - SECTION 4 2 5 6" xfId="26043" xr:uid="{00000000-0005-0000-0000-0000F46C0000}"/>
    <cellStyle name="Hed Top - SECTION 4 2 5 6 2" xfId="26044" xr:uid="{00000000-0005-0000-0000-0000F56C0000}"/>
    <cellStyle name="Hed Top - SECTION 4 2 5 7" xfId="26045" xr:uid="{00000000-0005-0000-0000-0000F66C0000}"/>
    <cellStyle name="Hed Top - SECTION 4 2 5 7 2" xfId="26046" xr:uid="{00000000-0005-0000-0000-0000F76C0000}"/>
    <cellStyle name="Hed Top - SECTION 4 2 5 8" xfId="26047" xr:uid="{00000000-0005-0000-0000-0000F86C0000}"/>
    <cellStyle name="Hed Top - SECTION 4 2 5 8 2" xfId="26048" xr:uid="{00000000-0005-0000-0000-0000F96C0000}"/>
    <cellStyle name="Hed Top - SECTION 4 2 5 9" xfId="26049" xr:uid="{00000000-0005-0000-0000-0000FA6C0000}"/>
    <cellStyle name="Hed Top - SECTION 4 2 5 9 2" xfId="26050" xr:uid="{00000000-0005-0000-0000-0000FB6C0000}"/>
    <cellStyle name="Hed Top - SECTION 4 2 6" xfId="26051" xr:uid="{00000000-0005-0000-0000-0000FC6C0000}"/>
    <cellStyle name="Hed Top - SECTION 4 2 6 10" xfId="26052" xr:uid="{00000000-0005-0000-0000-0000FD6C0000}"/>
    <cellStyle name="Hed Top - SECTION 4 2 6 2" xfId="26053" xr:uid="{00000000-0005-0000-0000-0000FE6C0000}"/>
    <cellStyle name="Hed Top - SECTION 4 2 6 2 2" xfId="26054" xr:uid="{00000000-0005-0000-0000-0000FF6C0000}"/>
    <cellStyle name="Hed Top - SECTION 4 2 6 3" xfId="26055" xr:uid="{00000000-0005-0000-0000-0000006D0000}"/>
    <cellStyle name="Hed Top - SECTION 4 2 6 3 2" xfId="26056" xr:uid="{00000000-0005-0000-0000-0000016D0000}"/>
    <cellStyle name="Hed Top - SECTION 4 2 6 4" xfId="26057" xr:uid="{00000000-0005-0000-0000-0000026D0000}"/>
    <cellStyle name="Hed Top - SECTION 4 2 6 4 2" xfId="26058" xr:uid="{00000000-0005-0000-0000-0000036D0000}"/>
    <cellStyle name="Hed Top - SECTION 4 2 6 5" xfId="26059" xr:uid="{00000000-0005-0000-0000-0000046D0000}"/>
    <cellStyle name="Hed Top - SECTION 4 2 6 5 2" xfId="26060" xr:uid="{00000000-0005-0000-0000-0000056D0000}"/>
    <cellStyle name="Hed Top - SECTION 4 2 6 6" xfId="26061" xr:uid="{00000000-0005-0000-0000-0000066D0000}"/>
    <cellStyle name="Hed Top - SECTION 4 2 6 6 2" xfId="26062" xr:uid="{00000000-0005-0000-0000-0000076D0000}"/>
    <cellStyle name="Hed Top - SECTION 4 2 6 7" xfId="26063" xr:uid="{00000000-0005-0000-0000-0000086D0000}"/>
    <cellStyle name="Hed Top - SECTION 4 2 6 7 2" xfId="26064" xr:uid="{00000000-0005-0000-0000-0000096D0000}"/>
    <cellStyle name="Hed Top - SECTION 4 2 6 8" xfId="26065" xr:uid="{00000000-0005-0000-0000-00000A6D0000}"/>
    <cellStyle name="Hed Top - SECTION 4 2 6 8 2" xfId="26066" xr:uid="{00000000-0005-0000-0000-00000B6D0000}"/>
    <cellStyle name="Hed Top - SECTION 4 2 6 9" xfId="26067" xr:uid="{00000000-0005-0000-0000-00000C6D0000}"/>
    <cellStyle name="Hed Top - SECTION 4 2 6 9 2" xfId="26068" xr:uid="{00000000-0005-0000-0000-00000D6D0000}"/>
    <cellStyle name="Hed Top - SECTION 4 2 7" xfId="26069" xr:uid="{00000000-0005-0000-0000-00000E6D0000}"/>
    <cellStyle name="Hed Top - SECTION 4 2 7 10" xfId="26070" xr:uid="{00000000-0005-0000-0000-00000F6D0000}"/>
    <cellStyle name="Hed Top - SECTION 4 2 7 2" xfId="26071" xr:uid="{00000000-0005-0000-0000-0000106D0000}"/>
    <cellStyle name="Hed Top - SECTION 4 2 7 2 2" xfId="26072" xr:uid="{00000000-0005-0000-0000-0000116D0000}"/>
    <cellStyle name="Hed Top - SECTION 4 2 7 3" xfId="26073" xr:uid="{00000000-0005-0000-0000-0000126D0000}"/>
    <cellStyle name="Hed Top - SECTION 4 2 7 3 2" xfId="26074" xr:uid="{00000000-0005-0000-0000-0000136D0000}"/>
    <cellStyle name="Hed Top - SECTION 4 2 7 4" xfId="26075" xr:uid="{00000000-0005-0000-0000-0000146D0000}"/>
    <cellStyle name="Hed Top - SECTION 4 2 7 4 2" xfId="26076" xr:uid="{00000000-0005-0000-0000-0000156D0000}"/>
    <cellStyle name="Hed Top - SECTION 4 2 7 5" xfId="26077" xr:uid="{00000000-0005-0000-0000-0000166D0000}"/>
    <cellStyle name="Hed Top - SECTION 4 2 7 5 2" xfId="26078" xr:uid="{00000000-0005-0000-0000-0000176D0000}"/>
    <cellStyle name="Hed Top - SECTION 4 2 7 6" xfId="26079" xr:uid="{00000000-0005-0000-0000-0000186D0000}"/>
    <cellStyle name="Hed Top - SECTION 4 2 7 6 2" xfId="26080" xr:uid="{00000000-0005-0000-0000-0000196D0000}"/>
    <cellStyle name="Hed Top - SECTION 4 2 7 7" xfId="26081" xr:uid="{00000000-0005-0000-0000-00001A6D0000}"/>
    <cellStyle name="Hed Top - SECTION 4 2 7 7 2" xfId="26082" xr:uid="{00000000-0005-0000-0000-00001B6D0000}"/>
    <cellStyle name="Hed Top - SECTION 4 2 7 8" xfId="26083" xr:uid="{00000000-0005-0000-0000-00001C6D0000}"/>
    <cellStyle name="Hed Top - SECTION 4 2 7 8 2" xfId="26084" xr:uid="{00000000-0005-0000-0000-00001D6D0000}"/>
    <cellStyle name="Hed Top - SECTION 4 2 7 9" xfId="26085" xr:uid="{00000000-0005-0000-0000-00001E6D0000}"/>
    <cellStyle name="Hed Top - SECTION 4 2 7 9 2" xfId="26086" xr:uid="{00000000-0005-0000-0000-00001F6D0000}"/>
    <cellStyle name="Hed Top - SECTION 4 2 8" xfId="26087" xr:uid="{00000000-0005-0000-0000-0000206D0000}"/>
    <cellStyle name="Hed Top - SECTION 4 2 8 10" xfId="26088" xr:uid="{00000000-0005-0000-0000-0000216D0000}"/>
    <cellStyle name="Hed Top - SECTION 4 2 8 2" xfId="26089" xr:uid="{00000000-0005-0000-0000-0000226D0000}"/>
    <cellStyle name="Hed Top - SECTION 4 2 8 2 2" xfId="26090" xr:uid="{00000000-0005-0000-0000-0000236D0000}"/>
    <cellStyle name="Hed Top - SECTION 4 2 8 3" xfId="26091" xr:uid="{00000000-0005-0000-0000-0000246D0000}"/>
    <cellStyle name="Hed Top - SECTION 4 2 8 3 2" xfId="26092" xr:uid="{00000000-0005-0000-0000-0000256D0000}"/>
    <cellStyle name="Hed Top - SECTION 4 2 8 4" xfId="26093" xr:uid="{00000000-0005-0000-0000-0000266D0000}"/>
    <cellStyle name="Hed Top - SECTION 4 2 8 4 2" xfId="26094" xr:uid="{00000000-0005-0000-0000-0000276D0000}"/>
    <cellStyle name="Hed Top - SECTION 4 2 8 5" xfId="26095" xr:uid="{00000000-0005-0000-0000-0000286D0000}"/>
    <cellStyle name="Hed Top - SECTION 4 2 8 5 2" xfId="26096" xr:uid="{00000000-0005-0000-0000-0000296D0000}"/>
    <cellStyle name="Hed Top - SECTION 4 2 8 6" xfId="26097" xr:uid="{00000000-0005-0000-0000-00002A6D0000}"/>
    <cellStyle name="Hed Top - SECTION 4 2 8 6 2" xfId="26098" xr:uid="{00000000-0005-0000-0000-00002B6D0000}"/>
    <cellStyle name="Hed Top - SECTION 4 2 8 7" xfId="26099" xr:uid="{00000000-0005-0000-0000-00002C6D0000}"/>
    <cellStyle name="Hed Top - SECTION 4 2 8 7 2" xfId="26100" xr:uid="{00000000-0005-0000-0000-00002D6D0000}"/>
    <cellStyle name="Hed Top - SECTION 4 2 8 8" xfId="26101" xr:uid="{00000000-0005-0000-0000-00002E6D0000}"/>
    <cellStyle name="Hed Top - SECTION 4 2 8 8 2" xfId="26102" xr:uid="{00000000-0005-0000-0000-00002F6D0000}"/>
    <cellStyle name="Hed Top - SECTION 4 2 8 9" xfId="26103" xr:uid="{00000000-0005-0000-0000-0000306D0000}"/>
    <cellStyle name="Hed Top - SECTION 4 2 8 9 2" xfId="26104" xr:uid="{00000000-0005-0000-0000-0000316D0000}"/>
    <cellStyle name="Hed Top - SECTION 4 2 9" xfId="26105" xr:uid="{00000000-0005-0000-0000-0000326D0000}"/>
    <cellStyle name="Hed Top - SECTION 4 2 9 10" xfId="26106" xr:uid="{00000000-0005-0000-0000-0000336D0000}"/>
    <cellStyle name="Hed Top - SECTION 4 2 9 2" xfId="26107" xr:uid="{00000000-0005-0000-0000-0000346D0000}"/>
    <cellStyle name="Hed Top - SECTION 4 2 9 2 2" xfId="26108" xr:uid="{00000000-0005-0000-0000-0000356D0000}"/>
    <cellStyle name="Hed Top - SECTION 4 2 9 3" xfId="26109" xr:uid="{00000000-0005-0000-0000-0000366D0000}"/>
    <cellStyle name="Hed Top - SECTION 4 2 9 3 2" xfId="26110" xr:uid="{00000000-0005-0000-0000-0000376D0000}"/>
    <cellStyle name="Hed Top - SECTION 4 2 9 4" xfId="26111" xr:uid="{00000000-0005-0000-0000-0000386D0000}"/>
    <cellStyle name="Hed Top - SECTION 4 2 9 4 2" xfId="26112" xr:uid="{00000000-0005-0000-0000-0000396D0000}"/>
    <cellStyle name="Hed Top - SECTION 4 2 9 5" xfId="26113" xr:uid="{00000000-0005-0000-0000-00003A6D0000}"/>
    <cellStyle name="Hed Top - SECTION 4 2 9 5 2" xfId="26114" xr:uid="{00000000-0005-0000-0000-00003B6D0000}"/>
    <cellStyle name="Hed Top - SECTION 4 2 9 6" xfId="26115" xr:uid="{00000000-0005-0000-0000-00003C6D0000}"/>
    <cellStyle name="Hed Top - SECTION 4 2 9 6 2" xfId="26116" xr:uid="{00000000-0005-0000-0000-00003D6D0000}"/>
    <cellStyle name="Hed Top - SECTION 4 2 9 7" xfId="26117" xr:uid="{00000000-0005-0000-0000-00003E6D0000}"/>
    <cellStyle name="Hed Top - SECTION 4 2 9 7 2" xfId="26118" xr:uid="{00000000-0005-0000-0000-00003F6D0000}"/>
    <cellStyle name="Hed Top - SECTION 4 2 9 8" xfId="26119" xr:uid="{00000000-0005-0000-0000-0000406D0000}"/>
    <cellStyle name="Hed Top - SECTION 4 2 9 8 2" xfId="26120" xr:uid="{00000000-0005-0000-0000-0000416D0000}"/>
    <cellStyle name="Hed Top - SECTION 4 2 9 9" xfId="26121" xr:uid="{00000000-0005-0000-0000-0000426D0000}"/>
    <cellStyle name="Hed Top - SECTION 4 2 9 9 2" xfId="26122" xr:uid="{00000000-0005-0000-0000-0000436D0000}"/>
    <cellStyle name="Hed Top - SECTION 4 3" xfId="26123" xr:uid="{00000000-0005-0000-0000-0000446D0000}"/>
    <cellStyle name="Hed Top - SECTION 4 3 10" xfId="26124" xr:uid="{00000000-0005-0000-0000-0000456D0000}"/>
    <cellStyle name="Hed Top - SECTION 4 3 10 2" xfId="26125" xr:uid="{00000000-0005-0000-0000-0000466D0000}"/>
    <cellStyle name="Hed Top - SECTION 4 3 10 2 2" xfId="26126" xr:uid="{00000000-0005-0000-0000-0000476D0000}"/>
    <cellStyle name="Hed Top - SECTION 4 3 10 3" xfId="26127" xr:uid="{00000000-0005-0000-0000-0000486D0000}"/>
    <cellStyle name="Hed Top - SECTION 4 3 10 3 2" xfId="26128" xr:uid="{00000000-0005-0000-0000-0000496D0000}"/>
    <cellStyle name="Hed Top - SECTION 4 3 10 4" xfId="26129" xr:uid="{00000000-0005-0000-0000-00004A6D0000}"/>
    <cellStyle name="Hed Top - SECTION 4 3 10 4 2" xfId="26130" xr:uid="{00000000-0005-0000-0000-00004B6D0000}"/>
    <cellStyle name="Hed Top - SECTION 4 3 10 5" xfId="26131" xr:uid="{00000000-0005-0000-0000-00004C6D0000}"/>
    <cellStyle name="Hed Top - SECTION 4 3 10 5 2" xfId="26132" xr:uid="{00000000-0005-0000-0000-00004D6D0000}"/>
    <cellStyle name="Hed Top - SECTION 4 3 10 6" xfId="26133" xr:uid="{00000000-0005-0000-0000-00004E6D0000}"/>
    <cellStyle name="Hed Top - SECTION 4 3 10 6 2" xfId="26134" xr:uid="{00000000-0005-0000-0000-00004F6D0000}"/>
    <cellStyle name="Hed Top - SECTION 4 3 10 7" xfId="26135" xr:uid="{00000000-0005-0000-0000-0000506D0000}"/>
    <cellStyle name="Hed Top - SECTION 4 3 10 7 2" xfId="26136" xr:uid="{00000000-0005-0000-0000-0000516D0000}"/>
    <cellStyle name="Hed Top - SECTION 4 3 10 8" xfId="26137" xr:uid="{00000000-0005-0000-0000-0000526D0000}"/>
    <cellStyle name="Hed Top - SECTION 4 3 10 8 2" xfId="26138" xr:uid="{00000000-0005-0000-0000-0000536D0000}"/>
    <cellStyle name="Hed Top - SECTION 4 3 10 9" xfId="26139" xr:uid="{00000000-0005-0000-0000-0000546D0000}"/>
    <cellStyle name="Hed Top - SECTION 4 3 11" xfId="26140" xr:uid="{00000000-0005-0000-0000-0000556D0000}"/>
    <cellStyle name="Hed Top - SECTION 4 3 11 2" xfId="26141" xr:uid="{00000000-0005-0000-0000-0000566D0000}"/>
    <cellStyle name="Hed Top - SECTION 4 3 12" xfId="26142" xr:uid="{00000000-0005-0000-0000-0000576D0000}"/>
    <cellStyle name="Hed Top - SECTION 4 3 12 2" xfId="26143" xr:uid="{00000000-0005-0000-0000-0000586D0000}"/>
    <cellStyle name="Hed Top - SECTION 4 3 13" xfId="26144" xr:uid="{00000000-0005-0000-0000-0000596D0000}"/>
    <cellStyle name="Hed Top - SECTION 4 3 13 2" xfId="26145" xr:uid="{00000000-0005-0000-0000-00005A6D0000}"/>
    <cellStyle name="Hed Top - SECTION 4 3 14" xfId="26146" xr:uid="{00000000-0005-0000-0000-00005B6D0000}"/>
    <cellStyle name="Hed Top - SECTION 4 3 14 2" xfId="26147" xr:uid="{00000000-0005-0000-0000-00005C6D0000}"/>
    <cellStyle name="Hed Top - SECTION 4 3 15" xfId="26148" xr:uid="{00000000-0005-0000-0000-00005D6D0000}"/>
    <cellStyle name="Hed Top - SECTION 4 3 15 2" xfId="26149" xr:uid="{00000000-0005-0000-0000-00005E6D0000}"/>
    <cellStyle name="Hed Top - SECTION 4 3 16" xfId="26150" xr:uid="{00000000-0005-0000-0000-00005F6D0000}"/>
    <cellStyle name="Hed Top - SECTION 4 3 16 2" xfId="26151" xr:uid="{00000000-0005-0000-0000-0000606D0000}"/>
    <cellStyle name="Hed Top - SECTION 4 3 17" xfId="26152" xr:uid="{00000000-0005-0000-0000-0000616D0000}"/>
    <cellStyle name="Hed Top - SECTION 4 3 17 2" xfId="26153" xr:uid="{00000000-0005-0000-0000-0000626D0000}"/>
    <cellStyle name="Hed Top - SECTION 4 3 18" xfId="26154" xr:uid="{00000000-0005-0000-0000-0000636D0000}"/>
    <cellStyle name="Hed Top - SECTION 4 3 2" xfId="26155" xr:uid="{00000000-0005-0000-0000-0000646D0000}"/>
    <cellStyle name="Hed Top - SECTION 4 3 2 10" xfId="26156" xr:uid="{00000000-0005-0000-0000-0000656D0000}"/>
    <cellStyle name="Hed Top - SECTION 4 3 2 2" xfId="26157" xr:uid="{00000000-0005-0000-0000-0000666D0000}"/>
    <cellStyle name="Hed Top - SECTION 4 3 2 2 2" xfId="26158" xr:uid="{00000000-0005-0000-0000-0000676D0000}"/>
    <cellStyle name="Hed Top - SECTION 4 3 2 3" xfId="26159" xr:uid="{00000000-0005-0000-0000-0000686D0000}"/>
    <cellStyle name="Hed Top - SECTION 4 3 2 3 2" xfId="26160" xr:uid="{00000000-0005-0000-0000-0000696D0000}"/>
    <cellStyle name="Hed Top - SECTION 4 3 2 4" xfId="26161" xr:uid="{00000000-0005-0000-0000-00006A6D0000}"/>
    <cellStyle name="Hed Top - SECTION 4 3 2 4 2" xfId="26162" xr:uid="{00000000-0005-0000-0000-00006B6D0000}"/>
    <cellStyle name="Hed Top - SECTION 4 3 2 5" xfId="26163" xr:uid="{00000000-0005-0000-0000-00006C6D0000}"/>
    <cellStyle name="Hed Top - SECTION 4 3 2 5 2" xfId="26164" xr:uid="{00000000-0005-0000-0000-00006D6D0000}"/>
    <cellStyle name="Hed Top - SECTION 4 3 2 6" xfId="26165" xr:uid="{00000000-0005-0000-0000-00006E6D0000}"/>
    <cellStyle name="Hed Top - SECTION 4 3 2 6 2" xfId="26166" xr:uid="{00000000-0005-0000-0000-00006F6D0000}"/>
    <cellStyle name="Hed Top - SECTION 4 3 2 7" xfId="26167" xr:uid="{00000000-0005-0000-0000-0000706D0000}"/>
    <cellStyle name="Hed Top - SECTION 4 3 2 7 2" xfId="26168" xr:uid="{00000000-0005-0000-0000-0000716D0000}"/>
    <cellStyle name="Hed Top - SECTION 4 3 2 8" xfId="26169" xr:uid="{00000000-0005-0000-0000-0000726D0000}"/>
    <cellStyle name="Hed Top - SECTION 4 3 2 8 2" xfId="26170" xr:uid="{00000000-0005-0000-0000-0000736D0000}"/>
    <cellStyle name="Hed Top - SECTION 4 3 2 9" xfId="26171" xr:uid="{00000000-0005-0000-0000-0000746D0000}"/>
    <cellStyle name="Hed Top - SECTION 4 3 2 9 2" xfId="26172" xr:uid="{00000000-0005-0000-0000-0000756D0000}"/>
    <cellStyle name="Hed Top - SECTION 4 3 3" xfId="26173" xr:uid="{00000000-0005-0000-0000-0000766D0000}"/>
    <cellStyle name="Hed Top - SECTION 4 3 3 10" xfId="26174" xr:uid="{00000000-0005-0000-0000-0000776D0000}"/>
    <cellStyle name="Hed Top - SECTION 4 3 3 2" xfId="26175" xr:uid="{00000000-0005-0000-0000-0000786D0000}"/>
    <cellStyle name="Hed Top - SECTION 4 3 3 2 2" xfId="26176" xr:uid="{00000000-0005-0000-0000-0000796D0000}"/>
    <cellStyle name="Hed Top - SECTION 4 3 3 3" xfId="26177" xr:uid="{00000000-0005-0000-0000-00007A6D0000}"/>
    <cellStyle name="Hed Top - SECTION 4 3 3 3 2" xfId="26178" xr:uid="{00000000-0005-0000-0000-00007B6D0000}"/>
    <cellStyle name="Hed Top - SECTION 4 3 3 4" xfId="26179" xr:uid="{00000000-0005-0000-0000-00007C6D0000}"/>
    <cellStyle name="Hed Top - SECTION 4 3 3 4 2" xfId="26180" xr:uid="{00000000-0005-0000-0000-00007D6D0000}"/>
    <cellStyle name="Hed Top - SECTION 4 3 3 5" xfId="26181" xr:uid="{00000000-0005-0000-0000-00007E6D0000}"/>
    <cellStyle name="Hed Top - SECTION 4 3 3 5 2" xfId="26182" xr:uid="{00000000-0005-0000-0000-00007F6D0000}"/>
    <cellStyle name="Hed Top - SECTION 4 3 3 6" xfId="26183" xr:uid="{00000000-0005-0000-0000-0000806D0000}"/>
    <cellStyle name="Hed Top - SECTION 4 3 3 6 2" xfId="26184" xr:uid="{00000000-0005-0000-0000-0000816D0000}"/>
    <cellStyle name="Hed Top - SECTION 4 3 3 7" xfId="26185" xr:uid="{00000000-0005-0000-0000-0000826D0000}"/>
    <cellStyle name="Hed Top - SECTION 4 3 3 7 2" xfId="26186" xr:uid="{00000000-0005-0000-0000-0000836D0000}"/>
    <cellStyle name="Hed Top - SECTION 4 3 3 8" xfId="26187" xr:uid="{00000000-0005-0000-0000-0000846D0000}"/>
    <cellStyle name="Hed Top - SECTION 4 3 3 8 2" xfId="26188" xr:uid="{00000000-0005-0000-0000-0000856D0000}"/>
    <cellStyle name="Hed Top - SECTION 4 3 3 9" xfId="26189" xr:uid="{00000000-0005-0000-0000-0000866D0000}"/>
    <cellStyle name="Hed Top - SECTION 4 3 3 9 2" xfId="26190" xr:uid="{00000000-0005-0000-0000-0000876D0000}"/>
    <cellStyle name="Hed Top - SECTION 4 3 4" xfId="26191" xr:uid="{00000000-0005-0000-0000-0000886D0000}"/>
    <cellStyle name="Hed Top - SECTION 4 3 4 10" xfId="26192" xr:uid="{00000000-0005-0000-0000-0000896D0000}"/>
    <cellStyle name="Hed Top - SECTION 4 3 4 2" xfId="26193" xr:uid="{00000000-0005-0000-0000-00008A6D0000}"/>
    <cellStyle name="Hed Top - SECTION 4 3 4 2 2" xfId="26194" xr:uid="{00000000-0005-0000-0000-00008B6D0000}"/>
    <cellStyle name="Hed Top - SECTION 4 3 4 3" xfId="26195" xr:uid="{00000000-0005-0000-0000-00008C6D0000}"/>
    <cellStyle name="Hed Top - SECTION 4 3 4 3 2" xfId="26196" xr:uid="{00000000-0005-0000-0000-00008D6D0000}"/>
    <cellStyle name="Hed Top - SECTION 4 3 4 4" xfId="26197" xr:uid="{00000000-0005-0000-0000-00008E6D0000}"/>
    <cellStyle name="Hed Top - SECTION 4 3 4 4 2" xfId="26198" xr:uid="{00000000-0005-0000-0000-00008F6D0000}"/>
    <cellStyle name="Hed Top - SECTION 4 3 4 5" xfId="26199" xr:uid="{00000000-0005-0000-0000-0000906D0000}"/>
    <cellStyle name="Hed Top - SECTION 4 3 4 5 2" xfId="26200" xr:uid="{00000000-0005-0000-0000-0000916D0000}"/>
    <cellStyle name="Hed Top - SECTION 4 3 4 6" xfId="26201" xr:uid="{00000000-0005-0000-0000-0000926D0000}"/>
    <cellStyle name="Hed Top - SECTION 4 3 4 6 2" xfId="26202" xr:uid="{00000000-0005-0000-0000-0000936D0000}"/>
    <cellStyle name="Hed Top - SECTION 4 3 4 7" xfId="26203" xr:uid="{00000000-0005-0000-0000-0000946D0000}"/>
    <cellStyle name="Hed Top - SECTION 4 3 4 7 2" xfId="26204" xr:uid="{00000000-0005-0000-0000-0000956D0000}"/>
    <cellStyle name="Hed Top - SECTION 4 3 4 8" xfId="26205" xr:uid="{00000000-0005-0000-0000-0000966D0000}"/>
    <cellStyle name="Hed Top - SECTION 4 3 4 8 2" xfId="26206" xr:uid="{00000000-0005-0000-0000-0000976D0000}"/>
    <cellStyle name="Hed Top - SECTION 4 3 4 9" xfId="26207" xr:uid="{00000000-0005-0000-0000-0000986D0000}"/>
    <cellStyle name="Hed Top - SECTION 4 3 4 9 2" xfId="26208" xr:uid="{00000000-0005-0000-0000-0000996D0000}"/>
    <cellStyle name="Hed Top - SECTION 4 3 5" xfId="26209" xr:uid="{00000000-0005-0000-0000-00009A6D0000}"/>
    <cellStyle name="Hed Top - SECTION 4 3 5 10" xfId="26210" xr:uid="{00000000-0005-0000-0000-00009B6D0000}"/>
    <cellStyle name="Hed Top - SECTION 4 3 5 2" xfId="26211" xr:uid="{00000000-0005-0000-0000-00009C6D0000}"/>
    <cellStyle name="Hed Top - SECTION 4 3 5 2 2" xfId="26212" xr:uid="{00000000-0005-0000-0000-00009D6D0000}"/>
    <cellStyle name="Hed Top - SECTION 4 3 5 3" xfId="26213" xr:uid="{00000000-0005-0000-0000-00009E6D0000}"/>
    <cellStyle name="Hed Top - SECTION 4 3 5 3 2" xfId="26214" xr:uid="{00000000-0005-0000-0000-00009F6D0000}"/>
    <cellStyle name="Hed Top - SECTION 4 3 5 4" xfId="26215" xr:uid="{00000000-0005-0000-0000-0000A06D0000}"/>
    <cellStyle name="Hed Top - SECTION 4 3 5 4 2" xfId="26216" xr:uid="{00000000-0005-0000-0000-0000A16D0000}"/>
    <cellStyle name="Hed Top - SECTION 4 3 5 5" xfId="26217" xr:uid="{00000000-0005-0000-0000-0000A26D0000}"/>
    <cellStyle name="Hed Top - SECTION 4 3 5 5 2" xfId="26218" xr:uid="{00000000-0005-0000-0000-0000A36D0000}"/>
    <cellStyle name="Hed Top - SECTION 4 3 5 6" xfId="26219" xr:uid="{00000000-0005-0000-0000-0000A46D0000}"/>
    <cellStyle name="Hed Top - SECTION 4 3 5 6 2" xfId="26220" xr:uid="{00000000-0005-0000-0000-0000A56D0000}"/>
    <cellStyle name="Hed Top - SECTION 4 3 5 7" xfId="26221" xr:uid="{00000000-0005-0000-0000-0000A66D0000}"/>
    <cellStyle name="Hed Top - SECTION 4 3 5 7 2" xfId="26222" xr:uid="{00000000-0005-0000-0000-0000A76D0000}"/>
    <cellStyle name="Hed Top - SECTION 4 3 5 8" xfId="26223" xr:uid="{00000000-0005-0000-0000-0000A86D0000}"/>
    <cellStyle name="Hed Top - SECTION 4 3 5 8 2" xfId="26224" xr:uid="{00000000-0005-0000-0000-0000A96D0000}"/>
    <cellStyle name="Hed Top - SECTION 4 3 5 9" xfId="26225" xr:uid="{00000000-0005-0000-0000-0000AA6D0000}"/>
    <cellStyle name="Hed Top - SECTION 4 3 5 9 2" xfId="26226" xr:uid="{00000000-0005-0000-0000-0000AB6D0000}"/>
    <cellStyle name="Hed Top - SECTION 4 3 6" xfId="26227" xr:uid="{00000000-0005-0000-0000-0000AC6D0000}"/>
    <cellStyle name="Hed Top - SECTION 4 3 6 10" xfId="26228" xr:uid="{00000000-0005-0000-0000-0000AD6D0000}"/>
    <cellStyle name="Hed Top - SECTION 4 3 6 2" xfId="26229" xr:uid="{00000000-0005-0000-0000-0000AE6D0000}"/>
    <cellStyle name="Hed Top - SECTION 4 3 6 2 2" xfId="26230" xr:uid="{00000000-0005-0000-0000-0000AF6D0000}"/>
    <cellStyle name="Hed Top - SECTION 4 3 6 3" xfId="26231" xr:uid="{00000000-0005-0000-0000-0000B06D0000}"/>
    <cellStyle name="Hed Top - SECTION 4 3 6 3 2" xfId="26232" xr:uid="{00000000-0005-0000-0000-0000B16D0000}"/>
    <cellStyle name="Hed Top - SECTION 4 3 6 4" xfId="26233" xr:uid="{00000000-0005-0000-0000-0000B26D0000}"/>
    <cellStyle name="Hed Top - SECTION 4 3 6 4 2" xfId="26234" xr:uid="{00000000-0005-0000-0000-0000B36D0000}"/>
    <cellStyle name="Hed Top - SECTION 4 3 6 5" xfId="26235" xr:uid="{00000000-0005-0000-0000-0000B46D0000}"/>
    <cellStyle name="Hed Top - SECTION 4 3 6 5 2" xfId="26236" xr:uid="{00000000-0005-0000-0000-0000B56D0000}"/>
    <cellStyle name="Hed Top - SECTION 4 3 6 6" xfId="26237" xr:uid="{00000000-0005-0000-0000-0000B66D0000}"/>
    <cellStyle name="Hed Top - SECTION 4 3 6 6 2" xfId="26238" xr:uid="{00000000-0005-0000-0000-0000B76D0000}"/>
    <cellStyle name="Hed Top - SECTION 4 3 6 7" xfId="26239" xr:uid="{00000000-0005-0000-0000-0000B86D0000}"/>
    <cellStyle name="Hed Top - SECTION 4 3 6 7 2" xfId="26240" xr:uid="{00000000-0005-0000-0000-0000B96D0000}"/>
    <cellStyle name="Hed Top - SECTION 4 3 6 8" xfId="26241" xr:uid="{00000000-0005-0000-0000-0000BA6D0000}"/>
    <cellStyle name="Hed Top - SECTION 4 3 6 8 2" xfId="26242" xr:uid="{00000000-0005-0000-0000-0000BB6D0000}"/>
    <cellStyle name="Hed Top - SECTION 4 3 6 9" xfId="26243" xr:uid="{00000000-0005-0000-0000-0000BC6D0000}"/>
    <cellStyle name="Hed Top - SECTION 4 3 6 9 2" xfId="26244" xr:uid="{00000000-0005-0000-0000-0000BD6D0000}"/>
    <cellStyle name="Hed Top - SECTION 4 3 7" xfId="26245" xr:uid="{00000000-0005-0000-0000-0000BE6D0000}"/>
    <cellStyle name="Hed Top - SECTION 4 3 7 10" xfId="26246" xr:uid="{00000000-0005-0000-0000-0000BF6D0000}"/>
    <cellStyle name="Hed Top - SECTION 4 3 7 2" xfId="26247" xr:uid="{00000000-0005-0000-0000-0000C06D0000}"/>
    <cellStyle name="Hed Top - SECTION 4 3 7 2 2" xfId="26248" xr:uid="{00000000-0005-0000-0000-0000C16D0000}"/>
    <cellStyle name="Hed Top - SECTION 4 3 7 3" xfId="26249" xr:uid="{00000000-0005-0000-0000-0000C26D0000}"/>
    <cellStyle name="Hed Top - SECTION 4 3 7 3 2" xfId="26250" xr:uid="{00000000-0005-0000-0000-0000C36D0000}"/>
    <cellStyle name="Hed Top - SECTION 4 3 7 4" xfId="26251" xr:uid="{00000000-0005-0000-0000-0000C46D0000}"/>
    <cellStyle name="Hed Top - SECTION 4 3 7 4 2" xfId="26252" xr:uid="{00000000-0005-0000-0000-0000C56D0000}"/>
    <cellStyle name="Hed Top - SECTION 4 3 7 5" xfId="26253" xr:uid="{00000000-0005-0000-0000-0000C66D0000}"/>
    <cellStyle name="Hed Top - SECTION 4 3 7 5 2" xfId="26254" xr:uid="{00000000-0005-0000-0000-0000C76D0000}"/>
    <cellStyle name="Hed Top - SECTION 4 3 7 6" xfId="26255" xr:uid="{00000000-0005-0000-0000-0000C86D0000}"/>
    <cellStyle name="Hed Top - SECTION 4 3 7 6 2" xfId="26256" xr:uid="{00000000-0005-0000-0000-0000C96D0000}"/>
    <cellStyle name="Hed Top - SECTION 4 3 7 7" xfId="26257" xr:uid="{00000000-0005-0000-0000-0000CA6D0000}"/>
    <cellStyle name="Hed Top - SECTION 4 3 7 7 2" xfId="26258" xr:uid="{00000000-0005-0000-0000-0000CB6D0000}"/>
    <cellStyle name="Hed Top - SECTION 4 3 7 8" xfId="26259" xr:uid="{00000000-0005-0000-0000-0000CC6D0000}"/>
    <cellStyle name="Hed Top - SECTION 4 3 7 8 2" xfId="26260" xr:uid="{00000000-0005-0000-0000-0000CD6D0000}"/>
    <cellStyle name="Hed Top - SECTION 4 3 7 9" xfId="26261" xr:uid="{00000000-0005-0000-0000-0000CE6D0000}"/>
    <cellStyle name="Hed Top - SECTION 4 3 7 9 2" xfId="26262" xr:uid="{00000000-0005-0000-0000-0000CF6D0000}"/>
    <cellStyle name="Hed Top - SECTION 4 3 8" xfId="26263" xr:uid="{00000000-0005-0000-0000-0000D06D0000}"/>
    <cellStyle name="Hed Top - SECTION 4 3 8 10" xfId="26264" xr:uid="{00000000-0005-0000-0000-0000D16D0000}"/>
    <cellStyle name="Hed Top - SECTION 4 3 8 2" xfId="26265" xr:uid="{00000000-0005-0000-0000-0000D26D0000}"/>
    <cellStyle name="Hed Top - SECTION 4 3 8 2 2" xfId="26266" xr:uid="{00000000-0005-0000-0000-0000D36D0000}"/>
    <cellStyle name="Hed Top - SECTION 4 3 8 3" xfId="26267" xr:uid="{00000000-0005-0000-0000-0000D46D0000}"/>
    <cellStyle name="Hed Top - SECTION 4 3 8 3 2" xfId="26268" xr:uid="{00000000-0005-0000-0000-0000D56D0000}"/>
    <cellStyle name="Hed Top - SECTION 4 3 8 4" xfId="26269" xr:uid="{00000000-0005-0000-0000-0000D66D0000}"/>
    <cellStyle name="Hed Top - SECTION 4 3 8 4 2" xfId="26270" xr:uid="{00000000-0005-0000-0000-0000D76D0000}"/>
    <cellStyle name="Hed Top - SECTION 4 3 8 5" xfId="26271" xr:uid="{00000000-0005-0000-0000-0000D86D0000}"/>
    <cellStyle name="Hed Top - SECTION 4 3 8 5 2" xfId="26272" xr:uid="{00000000-0005-0000-0000-0000D96D0000}"/>
    <cellStyle name="Hed Top - SECTION 4 3 8 6" xfId="26273" xr:uid="{00000000-0005-0000-0000-0000DA6D0000}"/>
    <cellStyle name="Hed Top - SECTION 4 3 8 6 2" xfId="26274" xr:uid="{00000000-0005-0000-0000-0000DB6D0000}"/>
    <cellStyle name="Hed Top - SECTION 4 3 8 7" xfId="26275" xr:uid="{00000000-0005-0000-0000-0000DC6D0000}"/>
    <cellStyle name="Hed Top - SECTION 4 3 8 7 2" xfId="26276" xr:uid="{00000000-0005-0000-0000-0000DD6D0000}"/>
    <cellStyle name="Hed Top - SECTION 4 3 8 8" xfId="26277" xr:uid="{00000000-0005-0000-0000-0000DE6D0000}"/>
    <cellStyle name="Hed Top - SECTION 4 3 8 8 2" xfId="26278" xr:uid="{00000000-0005-0000-0000-0000DF6D0000}"/>
    <cellStyle name="Hed Top - SECTION 4 3 8 9" xfId="26279" xr:uid="{00000000-0005-0000-0000-0000E06D0000}"/>
    <cellStyle name="Hed Top - SECTION 4 3 8 9 2" xfId="26280" xr:uid="{00000000-0005-0000-0000-0000E16D0000}"/>
    <cellStyle name="Hed Top - SECTION 4 3 9" xfId="26281" xr:uid="{00000000-0005-0000-0000-0000E26D0000}"/>
    <cellStyle name="Hed Top - SECTION 4 3 9 10" xfId="26282" xr:uid="{00000000-0005-0000-0000-0000E36D0000}"/>
    <cellStyle name="Hed Top - SECTION 4 3 9 2" xfId="26283" xr:uid="{00000000-0005-0000-0000-0000E46D0000}"/>
    <cellStyle name="Hed Top - SECTION 4 3 9 2 2" xfId="26284" xr:uid="{00000000-0005-0000-0000-0000E56D0000}"/>
    <cellStyle name="Hed Top - SECTION 4 3 9 3" xfId="26285" xr:uid="{00000000-0005-0000-0000-0000E66D0000}"/>
    <cellStyle name="Hed Top - SECTION 4 3 9 3 2" xfId="26286" xr:uid="{00000000-0005-0000-0000-0000E76D0000}"/>
    <cellStyle name="Hed Top - SECTION 4 3 9 4" xfId="26287" xr:uid="{00000000-0005-0000-0000-0000E86D0000}"/>
    <cellStyle name="Hed Top - SECTION 4 3 9 4 2" xfId="26288" xr:uid="{00000000-0005-0000-0000-0000E96D0000}"/>
    <cellStyle name="Hed Top - SECTION 4 3 9 5" xfId="26289" xr:uid="{00000000-0005-0000-0000-0000EA6D0000}"/>
    <cellStyle name="Hed Top - SECTION 4 3 9 5 2" xfId="26290" xr:uid="{00000000-0005-0000-0000-0000EB6D0000}"/>
    <cellStyle name="Hed Top - SECTION 4 3 9 6" xfId="26291" xr:uid="{00000000-0005-0000-0000-0000EC6D0000}"/>
    <cellStyle name="Hed Top - SECTION 4 3 9 6 2" xfId="26292" xr:uid="{00000000-0005-0000-0000-0000ED6D0000}"/>
    <cellStyle name="Hed Top - SECTION 4 3 9 7" xfId="26293" xr:uid="{00000000-0005-0000-0000-0000EE6D0000}"/>
    <cellStyle name="Hed Top - SECTION 4 3 9 7 2" xfId="26294" xr:uid="{00000000-0005-0000-0000-0000EF6D0000}"/>
    <cellStyle name="Hed Top - SECTION 4 3 9 8" xfId="26295" xr:uid="{00000000-0005-0000-0000-0000F06D0000}"/>
    <cellStyle name="Hed Top - SECTION 4 3 9 8 2" xfId="26296" xr:uid="{00000000-0005-0000-0000-0000F16D0000}"/>
    <cellStyle name="Hed Top - SECTION 4 3 9 9" xfId="26297" xr:uid="{00000000-0005-0000-0000-0000F26D0000}"/>
    <cellStyle name="Hed Top - SECTION 4 3 9 9 2" xfId="26298" xr:uid="{00000000-0005-0000-0000-0000F36D0000}"/>
    <cellStyle name="Hed Top - SECTION 4 4" xfId="26299" xr:uid="{00000000-0005-0000-0000-0000F46D0000}"/>
    <cellStyle name="Hed Top - SECTION 4 4 10" xfId="26300" xr:uid="{00000000-0005-0000-0000-0000F56D0000}"/>
    <cellStyle name="Hed Top - SECTION 4 4 10 2" xfId="26301" xr:uid="{00000000-0005-0000-0000-0000F66D0000}"/>
    <cellStyle name="Hed Top - SECTION 4 4 10 2 2" xfId="26302" xr:uid="{00000000-0005-0000-0000-0000F76D0000}"/>
    <cellStyle name="Hed Top - SECTION 4 4 10 3" xfId="26303" xr:uid="{00000000-0005-0000-0000-0000F86D0000}"/>
    <cellStyle name="Hed Top - SECTION 4 4 10 3 2" xfId="26304" xr:uid="{00000000-0005-0000-0000-0000F96D0000}"/>
    <cellStyle name="Hed Top - SECTION 4 4 10 4" xfId="26305" xr:uid="{00000000-0005-0000-0000-0000FA6D0000}"/>
    <cellStyle name="Hed Top - SECTION 4 4 10 4 2" xfId="26306" xr:uid="{00000000-0005-0000-0000-0000FB6D0000}"/>
    <cellStyle name="Hed Top - SECTION 4 4 10 5" xfId="26307" xr:uid="{00000000-0005-0000-0000-0000FC6D0000}"/>
    <cellStyle name="Hed Top - SECTION 4 4 10 5 2" xfId="26308" xr:uid="{00000000-0005-0000-0000-0000FD6D0000}"/>
    <cellStyle name="Hed Top - SECTION 4 4 10 6" xfId="26309" xr:uid="{00000000-0005-0000-0000-0000FE6D0000}"/>
    <cellStyle name="Hed Top - SECTION 4 4 10 6 2" xfId="26310" xr:uid="{00000000-0005-0000-0000-0000FF6D0000}"/>
    <cellStyle name="Hed Top - SECTION 4 4 10 7" xfId="26311" xr:uid="{00000000-0005-0000-0000-0000006E0000}"/>
    <cellStyle name="Hed Top - SECTION 4 4 10 7 2" xfId="26312" xr:uid="{00000000-0005-0000-0000-0000016E0000}"/>
    <cellStyle name="Hed Top - SECTION 4 4 10 8" xfId="26313" xr:uid="{00000000-0005-0000-0000-0000026E0000}"/>
    <cellStyle name="Hed Top - SECTION 4 4 10 8 2" xfId="26314" xr:uid="{00000000-0005-0000-0000-0000036E0000}"/>
    <cellStyle name="Hed Top - SECTION 4 4 10 9" xfId="26315" xr:uid="{00000000-0005-0000-0000-0000046E0000}"/>
    <cellStyle name="Hed Top - SECTION 4 4 11" xfId="26316" xr:uid="{00000000-0005-0000-0000-0000056E0000}"/>
    <cellStyle name="Hed Top - SECTION 4 4 11 2" xfId="26317" xr:uid="{00000000-0005-0000-0000-0000066E0000}"/>
    <cellStyle name="Hed Top - SECTION 4 4 12" xfId="26318" xr:uid="{00000000-0005-0000-0000-0000076E0000}"/>
    <cellStyle name="Hed Top - SECTION 4 4 12 2" xfId="26319" xr:uid="{00000000-0005-0000-0000-0000086E0000}"/>
    <cellStyle name="Hed Top - SECTION 4 4 13" xfId="26320" xr:uid="{00000000-0005-0000-0000-0000096E0000}"/>
    <cellStyle name="Hed Top - SECTION 4 4 13 2" xfId="26321" xr:uid="{00000000-0005-0000-0000-00000A6E0000}"/>
    <cellStyle name="Hed Top - SECTION 4 4 14" xfId="26322" xr:uid="{00000000-0005-0000-0000-00000B6E0000}"/>
    <cellStyle name="Hed Top - SECTION 4 4 14 2" xfId="26323" xr:uid="{00000000-0005-0000-0000-00000C6E0000}"/>
    <cellStyle name="Hed Top - SECTION 4 4 15" xfId="26324" xr:uid="{00000000-0005-0000-0000-00000D6E0000}"/>
    <cellStyle name="Hed Top - SECTION 4 4 15 2" xfId="26325" xr:uid="{00000000-0005-0000-0000-00000E6E0000}"/>
    <cellStyle name="Hed Top - SECTION 4 4 16" xfId="26326" xr:uid="{00000000-0005-0000-0000-00000F6E0000}"/>
    <cellStyle name="Hed Top - SECTION 4 4 16 2" xfId="26327" xr:uid="{00000000-0005-0000-0000-0000106E0000}"/>
    <cellStyle name="Hed Top - SECTION 4 4 17" xfId="26328" xr:uid="{00000000-0005-0000-0000-0000116E0000}"/>
    <cellStyle name="Hed Top - SECTION 4 4 17 2" xfId="26329" xr:uid="{00000000-0005-0000-0000-0000126E0000}"/>
    <cellStyle name="Hed Top - SECTION 4 4 18" xfId="26330" xr:uid="{00000000-0005-0000-0000-0000136E0000}"/>
    <cellStyle name="Hed Top - SECTION 4 4 2" xfId="26331" xr:uid="{00000000-0005-0000-0000-0000146E0000}"/>
    <cellStyle name="Hed Top - SECTION 4 4 2 10" xfId="26332" xr:uid="{00000000-0005-0000-0000-0000156E0000}"/>
    <cellStyle name="Hed Top - SECTION 4 4 2 2" xfId="26333" xr:uid="{00000000-0005-0000-0000-0000166E0000}"/>
    <cellStyle name="Hed Top - SECTION 4 4 2 2 2" xfId="26334" xr:uid="{00000000-0005-0000-0000-0000176E0000}"/>
    <cellStyle name="Hed Top - SECTION 4 4 2 3" xfId="26335" xr:uid="{00000000-0005-0000-0000-0000186E0000}"/>
    <cellStyle name="Hed Top - SECTION 4 4 2 3 2" xfId="26336" xr:uid="{00000000-0005-0000-0000-0000196E0000}"/>
    <cellStyle name="Hed Top - SECTION 4 4 2 4" xfId="26337" xr:uid="{00000000-0005-0000-0000-00001A6E0000}"/>
    <cellStyle name="Hed Top - SECTION 4 4 2 4 2" xfId="26338" xr:uid="{00000000-0005-0000-0000-00001B6E0000}"/>
    <cellStyle name="Hed Top - SECTION 4 4 2 5" xfId="26339" xr:uid="{00000000-0005-0000-0000-00001C6E0000}"/>
    <cellStyle name="Hed Top - SECTION 4 4 2 5 2" xfId="26340" xr:uid="{00000000-0005-0000-0000-00001D6E0000}"/>
    <cellStyle name="Hed Top - SECTION 4 4 2 6" xfId="26341" xr:uid="{00000000-0005-0000-0000-00001E6E0000}"/>
    <cellStyle name="Hed Top - SECTION 4 4 2 6 2" xfId="26342" xr:uid="{00000000-0005-0000-0000-00001F6E0000}"/>
    <cellStyle name="Hed Top - SECTION 4 4 2 7" xfId="26343" xr:uid="{00000000-0005-0000-0000-0000206E0000}"/>
    <cellStyle name="Hed Top - SECTION 4 4 2 7 2" xfId="26344" xr:uid="{00000000-0005-0000-0000-0000216E0000}"/>
    <cellStyle name="Hed Top - SECTION 4 4 2 8" xfId="26345" xr:uid="{00000000-0005-0000-0000-0000226E0000}"/>
    <cellStyle name="Hed Top - SECTION 4 4 2 8 2" xfId="26346" xr:uid="{00000000-0005-0000-0000-0000236E0000}"/>
    <cellStyle name="Hed Top - SECTION 4 4 2 9" xfId="26347" xr:uid="{00000000-0005-0000-0000-0000246E0000}"/>
    <cellStyle name="Hed Top - SECTION 4 4 2 9 2" xfId="26348" xr:uid="{00000000-0005-0000-0000-0000256E0000}"/>
    <cellStyle name="Hed Top - SECTION 4 4 3" xfId="26349" xr:uid="{00000000-0005-0000-0000-0000266E0000}"/>
    <cellStyle name="Hed Top - SECTION 4 4 3 10" xfId="26350" xr:uid="{00000000-0005-0000-0000-0000276E0000}"/>
    <cellStyle name="Hed Top - SECTION 4 4 3 2" xfId="26351" xr:uid="{00000000-0005-0000-0000-0000286E0000}"/>
    <cellStyle name="Hed Top - SECTION 4 4 3 2 2" xfId="26352" xr:uid="{00000000-0005-0000-0000-0000296E0000}"/>
    <cellStyle name="Hed Top - SECTION 4 4 3 3" xfId="26353" xr:uid="{00000000-0005-0000-0000-00002A6E0000}"/>
    <cellStyle name="Hed Top - SECTION 4 4 3 3 2" xfId="26354" xr:uid="{00000000-0005-0000-0000-00002B6E0000}"/>
    <cellStyle name="Hed Top - SECTION 4 4 3 4" xfId="26355" xr:uid="{00000000-0005-0000-0000-00002C6E0000}"/>
    <cellStyle name="Hed Top - SECTION 4 4 3 4 2" xfId="26356" xr:uid="{00000000-0005-0000-0000-00002D6E0000}"/>
    <cellStyle name="Hed Top - SECTION 4 4 3 5" xfId="26357" xr:uid="{00000000-0005-0000-0000-00002E6E0000}"/>
    <cellStyle name="Hed Top - SECTION 4 4 3 5 2" xfId="26358" xr:uid="{00000000-0005-0000-0000-00002F6E0000}"/>
    <cellStyle name="Hed Top - SECTION 4 4 3 6" xfId="26359" xr:uid="{00000000-0005-0000-0000-0000306E0000}"/>
    <cellStyle name="Hed Top - SECTION 4 4 3 6 2" xfId="26360" xr:uid="{00000000-0005-0000-0000-0000316E0000}"/>
    <cellStyle name="Hed Top - SECTION 4 4 3 7" xfId="26361" xr:uid="{00000000-0005-0000-0000-0000326E0000}"/>
    <cellStyle name="Hed Top - SECTION 4 4 3 7 2" xfId="26362" xr:uid="{00000000-0005-0000-0000-0000336E0000}"/>
    <cellStyle name="Hed Top - SECTION 4 4 3 8" xfId="26363" xr:uid="{00000000-0005-0000-0000-0000346E0000}"/>
    <cellStyle name="Hed Top - SECTION 4 4 3 8 2" xfId="26364" xr:uid="{00000000-0005-0000-0000-0000356E0000}"/>
    <cellStyle name="Hed Top - SECTION 4 4 3 9" xfId="26365" xr:uid="{00000000-0005-0000-0000-0000366E0000}"/>
    <cellStyle name="Hed Top - SECTION 4 4 3 9 2" xfId="26366" xr:uid="{00000000-0005-0000-0000-0000376E0000}"/>
    <cellStyle name="Hed Top - SECTION 4 4 4" xfId="26367" xr:uid="{00000000-0005-0000-0000-0000386E0000}"/>
    <cellStyle name="Hed Top - SECTION 4 4 4 10" xfId="26368" xr:uid="{00000000-0005-0000-0000-0000396E0000}"/>
    <cellStyle name="Hed Top - SECTION 4 4 4 2" xfId="26369" xr:uid="{00000000-0005-0000-0000-00003A6E0000}"/>
    <cellStyle name="Hed Top - SECTION 4 4 4 2 2" xfId="26370" xr:uid="{00000000-0005-0000-0000-00003B6E0000}"/>
    <cellStyle name="Hed Top - SECTION 4 4 4 3" xfId="26371" xr:uid="{00000000-0005-0000-0000-00003C6E0000}"/>
    <cellStyle name="Hed Top - SECTION 4 4 4 3 2" xfId="26372" xr:uid="{00000000-0005-0000-0000-00003D6E0000}"/>
    <cellStyle name="Hed Top - SECTION 4 4 4 4" xfId="26373" xr:uid="{00000000-0005-0000-0000-00003E6E0000}"/>
    <cellStyle name="Hed Top - SECTION 4 4 4 4 2" xfId="26374" xr:uid="{00000000-0005-0000-0000-00003F6E0000}"/>
    <cellStyle name="Hed Top - SECTION 4 4 4 5" xfId="26375" xr:uid="{00000000-0005-0000-0000-0000406E0000}"/>
    <cellStyle name="Hed Top - SECTION 4 4 4 5 2" xfId="26376" xr:uid="{00000000-0005-0000-0000-0000416E0000}"/>
    <cellStyle name="Hed Top - SECTION 4 4 4 6" xfId="26377" xr:uid="{00000000-0005-0000-0000-0000426E0000}"/>
    <cellStyle name="Hed Top - SECTION 4 4 4 6 2" xfId="26378" xr:uid="{00000000-0005-0000-0000-0000436E0000}"/>
    <cellStyle name="Hed Top - SECTION 4 4 4 7" xfId="26379" xr:uid="{00000000-0005-0000-0000-0000446E0000}"/>
    <cellStyle name="Hed Top - SECTION 4 4 4 7 2" xfId="26380" xr:uid="{00000000-0005-0000-0000-0000456E0000}"/>
    <cellStyle name="Hed Top - SECTION 4 4 4 8" xfId="26381" xr:uid="{00000000-0005-0000-0000-0000466E0000}"/>
    <cellStyle name="Hed Top - SECTION 4 4 4 8 2" xfId="26382" xr:uid="{00000000-0005-0000-0000-0000476E0000}"/>
    <cellStyle name="Hed Top - SECTION 4 4 4 9" xfId="26383" xr:uid="{00000000-0005-0000-0000-0000486E0000}"/>
    <cellStyle name="Hed Top - SECTION 4 4 4 9 2" xfId="26384" xr:uid="{00000000-0005-0000-0000-0000496E0000}"/>
    <cellStyle name="Hed Top - SECTION 4 4 5" xfId="26385" xr:uid="{00000000-0005-0000-0000-00004A6E0000}"/>
    <cellStyle name="Hed Top - SECTION 4 4 5 10" xfId="26386" xr:uid="{00000000-0005-0000-0000-00004B6E0000}"/>
    <cellStyle name="Hed Top - SECTION 4 4 5 2" xfId="26387" xr:uid="{00000000-0005-0000-0000-00004C6E0000}"/>
    <cellStyle name="Hed Top - SECTION 4 4 5 2 2" xfId="26388" xr:uid="{00000000-0005-0000-0000-00004D6E0000}"/>
    <cellStyle name="Hed Top - SECTION 4 4 5 3" xfId="26389" xr:uid="{00000000-0005-0000-0000-00004E6E0000}"/>
    <cellStyle name="Hed Top - SECTION 4 4 5 3 2" xfId="26390" xr:uid="{00000000-0005-0000-0000-00004F6E0000}"/>
    <cellStyle name="Hed Top - SECTION 4 4 5 4" xfId="26391" xr:uid="{00000000-0005-0000-0000-0000506E0000}"/>
    <cellStyle name="Hed Top - SECTION 4 4 5 4 2" xfId="26392" xr:uid="{00000000-0005-0000-0000-0000516E0000}"/>
    <cellStyle name="Hed Top - SECTION 4 4 5 5" xfId="26393" xr:uid="{00000000-0005-0000-0000-0000526E0000}"/>
    <cellStyle name="Hed Top - SECTION 4 4 5 5 2" xfId="26394" xr:uid="{00000000-0005-0000-0000-0000536E0000}"/>
    <cellStyle name="Hed Top - SECTION 4 4 5 6" xfId="26395" xr:uid="{00000000-0005-0000-0000-0000546E0000}"/>
    <cellStyle name="Hed Top - SECTION 4 4 5 6 2" xfId="26396" xr:uid="{00000000-0005-0000-0000-0000556E0000}"/>
    <cellStyle name="Hed Top - SECTION 4 4 5 7" xfId="26397" xr:uid="{00000000-0005-0000-0000-0000566E0000}"/>
    <cellStyle name="Hed Top - SECTION 4 4 5 7 2" xfId="26398" xr:uid="{00000000-0005-0000-0000-0000576E0000}"/>
    <cellStyle name="Hed Top - SECTION 4 4 5 8" xfId="26399" xr:uid="{00000000-0005-0000-0000-0000586E0000}"/>
    <cellStyle name="Hed Top - SECTION 4 4 5 8 2" xfId="26400" xr:uid="{00000000-0005-0000-0000-0000596E0000}"/>
    <cellStyle name="Hed Top - SECTION 4 4 5 9" xfId="26401" xr:uid="{00000000-0005-0000-0000-00005A6E0000}"/>
    <cellStyle name="Hed Top - SECTION 4 4 5 9 2" xfId="26402" xr:uid="{00000000-0005-0000-0000-00005B6E0000}"/>
    <cellStyle name="Hed Top - SECTION 4 4 6" xfId="26403" xr:uid="{00000000-0005-0000-0000-00005C6E0000}"/>
    <cellStyle name="Hed Top - SECTION 4 4 6 10" xfId="26404" xr:uid="{00000000-0005-0000-0000-00005D6E0000}"/>
    <cellStyle name="Hed Top - SECTION 4 4 6 2" xfId="26405" xr:uid="{00000000-0005-0000-0000-00005E6E0000}"/>
    <cellStyle name="Hed Top - SECTION 4 4 6 2 2" xfId="26406" xr:uid="{00000000-0005-0000-0000-00005F6E0000}"/>
    <cellStyle name="Hed Top - SECTION 4 4 6 3" xfId="26407" xr:uid="{00000000-0005-0000-0000-0000606E0000}"/>
    <cellStyle name="Hed Top - SECTION 4 4 6 3 2" xfId="26408" xr:uid="{00000000-0005-0000-0000-0000616E0000}"/>
    <cellStyle name="Hed Top - SECTION 4 4 6 4" xfId="26409" xr:uid="{00000000-0005-0000-0000-0000626E0000}"/>
    <cellStyle name="Hed Top - SECTION 4 4 6 4 2" xfId="26410" xr:uid="{00000000-0005-0000-0000-0000636E0000}"/>
    <cellStyle name="Hed Top - SECTION 4 4 6 5" xfId="26411" xr:uid="{00000000-0005-0000-0000-0000646E0000}"/>
    <cellStyle name="Hed Top - SECTION 4 4 6 5 2" xfId="26412" xr:uid="{00000000-0005-0000-0000-0000656E0000}"/>
    <cellStyle name="Hed Top - SECTION 4 4 6 6" xfId="26413" xr:uid="{00000000-0005-0000-0000-0000666E0000}"/>
    <cellStyle name="Hed Top - SECTION 4 4 6 6 2" xfId="26414" xr:uid="{00000000-0005-0000-0000-0000676E0000}"/>
    <cellStyle name="Hed Top - SECTION 4 4 6 7" xfId="26415" xr:uid="{00000000-0005-0000-0000-0000686E0000}"/>
    <cellStyle name="Hed Top - SECTION 4 4 6 7 2" xfId="26416" xr:uid="{00000000-0005-0000-0000-0000696E0000}"/>
    <cellStyle name="Hed Top - SECTION 4 4 6 8" xfId="26417" xr:uid="{00000000-0005-0000-0000-00006A6E0000}"/>
    <cellStyle name="Hed Top - SECTION 4 4 6 8 2" xfId="26418" xr:uid="{00000000-0005-0000-0000-00006B6E0000}"/>
    <cellStyle name="Hed Top - SECTION 4 4 6 9" xfId="26419" xr:uid="{00000000-0005-0000-0000-00006C6E0000}"/>
    <cellStyle name="Hed Top - SECTION 4 4 6 9 2" xfId="26420" xr:uid="{00000000-0005-0000-0000-00006D6E0000}"/>
    <cellStyle name="Hed Top - SECTION 4 4 7" xfId="26421" xr:uid="{00000000-0005-0000-0000-00006E6E0000}"/>
    <cellStyle name="Hed Top - SECTION 4 4 7 10" xfId="26422" xr:uid="{00000000-0005-0000-0000-00006F6E0000}"/>
    <cellStyle name="Hed Top - SECTION 4 4 7 2" xfId="26423" xr:uid="{00000000-0005-0000-0000-0000706E0000}"/>
    <cellStyle name="Hed Top - SECTION 4 4 7 2 2" xfId="26424" xr:uid="{00000000-0005-0000-0000-0000716E0000}"/>
    <cellStyle name="Hed Top - SECTION 4 4 7 3" xfId="26425" xr:uid="{00000000-0005-0000-0000-0000726E0000}"/>
    <cellStyle name="Hed Top - SECTION 4 4 7 3 2" xfId="26426" xr:uid="{00000000-0005-0000-0000-0000736E0000}"/>
    <cellStyle name="Hed Top - SECTION 4 4 7 4" xfId="26427" xr:uid="{00000000-0005-0000-0000-0000746E0000}"/>
    <cellStyle name="Hed Top - SECTION 4 4 7 4 2" xfId="26428" xr:uid="{00000000-0005-0000-0000-0000756E0000}"/>
    <cellStyle name="Hed Top - SECTION 4 4 7 5" xfId="26429" xr:uid="{00000000-0005-0000-0000-0000766E0000}"/>
    <cellStyle name="Hed Top - SECTION 4 4 7 5 2" xfId="26430" xr:uid="{00000000-0005-0000-0000-0000776E0000}"/>
    <cellStyle name="Hed Top - SECTION 4 4 7 6" xfId="26431" xr:uid="{00000000-0005-0000-0000-0000786E0000}"/>
    <cellStyle name="Hed Top - SECTION 4 4 7 6 2" xfId="26432" xr:uid="{00000000-0005-0000-0000-0000796E0000}"/>
    <cellStyle name="Hed Top - SECTION 4 4 7 7" xfId="26433" xr:uid="{00000000-0005-0000-0000-00007A6E0000}"/>
    <cellStyle name="Hed Top - SECTION 4 4 7 7 2" xfId="26434" xr:uid="{00000000-0005-0000-0000-00007B6E0000}"/>
    <cellStyle name="Hed Top - SECTION 4 4 7 8" xfId="26435" xr:uid="{00000000-0005-0000-0000-00007C6E0000}"/>
    <cellStyle name="Hed Top - SECTION 4 4 7 8 2" xfId="26436" xr:uid="{00000000-0005-0000-0000-00007D6E0000}"/>
    <cellStyle name="Hed Top - SECTION 4 4 7 9" xfId="26437" xr:uid="{00000000-0005-0000-0000-00007E6E0000}"/>
    <cellStyle name="Hed Top - SECTION 4 4 7 9 2" xfId="26438" xr:uid="{00000000-0005-0000-0000-00007F6E0000}"/>
    <cellStyle name="Hed Top - SECTION 4 4 8" xfId="26439" xr:uid="{00000000-0005-0000-0000-0000806E0000}"/>
    <cellStyle name="Hed Top - SECTION 4 4 8 10" xfId="26440" xr:uid="{00000000-0005-0000-0000-0000816E0000}"/>
    <cellStyle name="Hed Top - SECTION 4 4 8 2" xfId="26441" xr:uid="{00000000-0005-0000-0000-0000826E0000}"/>
    <cellStyle name="Hed Top - SECTION 4 4 8 2 2" xfId="26442" xr:uid="{00000000-0005-0000-0000-0000836E0000}"/>
    <cellStyle name="Hed Top - SECTION 4 4 8 3" xfId="26443" xr:uid="{00000000-0005-0000-0000-0000846E0000}"/>
    <cellStyle name="Hed Top - SECTION 4 4 8 3 2" xfId="26444" xr:uid="{00000000-0005-0000-0000-0000856E0000}"/>
    <cellStyle name="Hed Top - SECTION 4 4 8 4" xfId="26445" xr:uid="{00000000-0005-0000-0000-0000866E0000}"/>
    <cellStyle name="Hed Top - SECTION 4 4 8 4 2" xfId="26446" xr:uid="{00000000-0005-0000-0000-0000876E0000}"/>
    <cellStyle name="Hed Top - SECTION 4 4 8 5" xfId="26447" xr:uid="{00000000-0005-0000-0000-0000886E0000}"/>
    <cellStyle name="Hed Top - SECTION 4 4 8 5 2" xfId="26448" xr:uid="{00000000-0005-0000-0000-0000896E0000}"/>
    <cellStyle name="Hed Top - SECTION 4 4 8 6" xfId="26449" xr:uid="{00000000-0005-0000-0000-00008A6E0000}"/>
    <cellStyle name="Hed Top - SECTION 4 4 8 6 2" xfId="26450" xr:uid="{00000000-0005-0000-0000-00008B6E0000}"/>
    <cellStyle name="Hed Top - SECTION 4 4 8 7" xfId="26451" xr:uid="{00000000-0005-0000-0000-00008C6E0000}"/>
    <cellStyle name="Hed Top - SECTION 4 4 8 7 2" xfId="26452" xr:uid="{00000000-0005-0000-0000-00008D6E0000}"/>
    <cellStyle name="Hed Top - SECTION 4 4 8 8" xfId="26453" xr:uid="{00000000-0005-0000-0000-00008E6E0000}"/>
    <cellStyle name="Hed Top - SECTION 4 4 8 8 2" xfId="26454" xr:uid="{00000000-0005-0000-0000-00008F6E0000}"/>
    <cellStyle name="Hed Top - SECTION 4 4 8 9" xfId="26455" xr:uid="{00000000-0005-0000-0000-0000906E0000}"/>
    <cellStyle name="Hed Top - SECTION 4 4 8 9 2" xfId="26456" xr:uid="{00000000-0005-0000-0000-0000916E0000}"/>
    <cellStyle name="Hed Top - SECTION 4 4 9" xfId="26457" xr:uid="{00000000-0005-0000-0000-0000926E0000}"/>
    <cellStyle name="Hed Top - SECTION 4 4 9 10" xfId="26458" xr:uid="{00000000-0005-0000-0000-0000936E0000}"/>
    <cellStyle name="Hed Top - SECTION 4 4 9 2" xfId="26459" xr:uid="{00000000-0005-0000-0000-0000946E0000}"/>
    <cellStyle name="Hed Top - SECTION 4 4 9 2 2" xfId="26460" xr:uid="{00000000-0005-0000-0000-0000956E0000}"/>
    <cellStyle name="Hed Top - SECTION 4 4 9 3" xfId="26461" xr:uid="{00000000-0005-0000-0000-0000966E0000}"/>
    <cellStyle name="Hed Top - SECTION 4 4 9 3 2" xfId="26462" xr:uid="{00000000-0005-0000-0000-0000976E0000}"/>
    <cellStyle name="Hed Top - SECTION 4 4 9 4" xfId="26463" xr:uid="{00000000-0005-0000-0000-0000986E0000}"/>
    <cellStyle name="Hed Top - SECTION 4 4 9 4 2" xfId="26464" xr:uid="{00000000-0005-0000-0000-0000996E0000}"/>
    <cellStyle name="Hed Top - SECTION 4 4 9 5" xfId="26465" xr:uid="{00000000-0005-0000-0000-00009A6E0000}"/>
    <cellStyle name="Hed Top - SECTION 4 4 9 5 2" xfId="26466" xr:uid="{00000000-0005-0000-0000-00009B6E0000}"/>
    <cellStyle name="Hed Top - SECTION 4 4 9 6" xfId="26467" xr:uid="{00000000-0005-0000-0000-00009C6E0000}"/>
    <cellStyle name="Hed Top - SECTION 4 4 9 6 2" xfId="26468" xr:uid="{00000000-0005-0000-0000-00009D6E0000}"/>
    <cellStyle name="Hed Top - SECTION 4 4 9 7" xfId="26469" xr:uid="{00000000-0005-0000-0000-00009E6E0000}"/>
    <cellStyle name="Hed Top - SECTION 4 4 9 7 2" xfId="26470" xr:uid="{00000000-0005-0000-0000-00009F6E0000}"/>
    <cellStyle name="Hed Top - SECTION 4 4 9 8" xfId="26471" xr:uid="{00000000-0005-0000-0000-0000A06E0000}"/>
    <cellStyle name="Hed Top - SECTION 4 4 9 8 2" xfId="26472" xr:uid="{00000000-0005-0000-0000-0000A16E0000}"/>
    <cellStyle name="Hed Top - SECTION 4 4 9 9" xfId="26473" xr:uid="{00000000-0005-0000-0000-0000A26E0000}"/>
    <cellStyle name="Hed Top - SECTION 4 4 9 9 2" xfId="26474" xr:uid="{00000000-0005-0000-0000-0000A36E0000}"/>
    <cellStyle name="Hed Top - SECTION 4 5" xfId="26475" xr:uid="{00000000-0005-0000-0000-0000A46E0000}"/>
    <cellStyle name="Hed Top - SECTION 4 5 10" xfId="26476" xr:uid="{00000000-0005-0000-0000-0000A56E0000}"/>
    <cellStyle name="Hed Top - SECTION 4 5 10 2" xfId="26477" xr:uid="{00000000-0005-0000-0000-0000A66E0000}"/>
    <cellStyle name="Hed Top - SECTION 4 5 10 2 2" xfId="26478" xr:uid="{00000000-0005-0000-0000-0000A76E0000}"/>
    <cellStyle name="Hed Top - SECTION 4 5 10 3" xfId="26479" xr:uid="{00000000-0005-0000-0000-0000A86E0000}"/>
    <cellStyle name="Hed Top - SECTION 4 5 10 3 2" xfId="26480" xr:uid="{00000000-0005-0000-0000-0000A96E0000}"/>
    <cellStyle name="Hed Top - SECTION 4 5 10 4" xfId="26481" xr:uid="{00000000-0005-0000-0000-0000AA6E0000}"/>
    <cellStyle name="Hed Top - SECTION 4 5 10 4 2" xfId="26482" xr:uid="{00000000-0005-0000-0000-0000AB6E0000}"/>
    <cellStyle name="Hed Top - SECTION 4 5 10 5" xfId="26483" xr:uid="{00000000-0005-0000-0000-0000AC6E0000}"/>
    <cellStyle name="Hed Top - SECTION 4 5 10 5 2" xfId="26484" xr:uid="{00000000-0005-0000-0000-0000AD6E0000}"/>
    <cellStyle name="Hed Top - SECTION 4 5 10 6" xfId="26485" xr:uid="{00000000-0005-0000-0000-0000AE6E0000}"/>
    <cellStyle name="Hed Top - SECTION 4 5 10 6 2" xfId="26486" xr:uid="{00000000-0005-0000-0000-0000AF6E0000}"/>
    <cellStyle name="Hed Top - SECTION 4 5 10 7" xfId="26487" xr:uid="{00000000-0005-0000-0000-0000B06E0000}"/>
    <cellStyle name="Hed Top - SECTION 4 5 10 7 2" xfId="26488" xr:uid="{00000000-0005-0000-0000-0000B16E0000}"/>
    <cellStyle name="Hed Top - SECTION 4 5 10 8" xfId="26489" xr:uid="{00000000-0005-0000-0000-0000B26E0000}"/>
    <cellStyle name="Hed Top - SECTION 4 5 10 8 2" xfId="26490" xr:uid="{00000000-0005-0000-0000-0000B36E0000}"/>
    <cellStyle name="Hed Top - SECTION 4 5 10 9" xfId="26491" xr:uid="{00000000-0005-0000-0000-0000B46E0000}"/>
    <cellStyle name="Hed Top - SECTION 4 5 11" xfId="26492" xr:uid="{00000000-0005-0000-0000-0000B56E0000}"/>
    <cellStyle name="Hed Top - SECTION 4 5 11 2" xfId="26493" xr:uid="{00000000-0005-0000-0000-0000B66E0000}"/>
    <cellStyle name="Hed Top - SECTION 4 5 12" xfId="26494" xr:uid="{00000000-0005-0000-0000-0000B76E0000}"/>
    <cellStyle name="Hed Top - SECTION 4 5 12 2" xfId="26495" xr:uid="{00000000-0005-0000-0000-0000B86E0000}"/>
    <cellStyle name="Hed Top - SECTION 4 5 13" xfId="26496" xr:uid="{00000000-0005-0000-0000-0000B96E0000}"/>
    <cellStyle name="Hed Top - SECTION 4 5 13 2" xfId="26497" xr:uid="{00000000-0005-0000-0000-0000BA6E0000}"/>
    <cellStyle name="Hed Top - SECTION 4 5 14" xfId="26498" xr:uid="{00000000-0005-0000-0000-0000BB6E0000}"/>
    <cellStyle name="Hed Top - SECTION 4 5 14 2" xfId="26499" xr:uid="{00000000-0005-0000-0000-0000BC6E0000}"/>
    <cellStyle name="Hed Top - SECTION 4 5 15" xfId="26500" xr:uid="{00000000-0005-0000-0000-0000BD6E0000}"/>
    <cellStyle name="Hed Top - SECTION 4 5 15 2" xfId="26501" xr:uid="{00000000-0005-0000-0000-0000BE6E0000}"/>
    <cellStyle name="Hed Top - SECTION 4 5 16" xfId="26502" xr:uid="{00000000-0005-0000-0000-0000BF6E0000}"/>
    <cellStyle name="Hed Top - SECTION 4 5 16 2" xfId="26503" xr:uid="{00000000-0005-0000-0000-0000C06E0000}"/>
    <cellStyle name="Hed Top - SECTION 4 5 17" xfId="26504" xr:uid="{00000000-0005-0000-0000-0000C16E0000}"/>
    <cellStyle name="Hed Top - SECTION 4 5 17 2" xfId="26505" xr:uid="{00000000-0005-0000-0000-0000C26E0000}"/>
    <cellStyle name="Hed Top - SECTION 4 5 18" xfId="26506" xr:uid="{00000000-0005-0000-0000-0000C36E0000}"/>
    <cellStyle name="Hed Top - SECTION 4 5 2" xfId="26507" xr:uid="{00000000-0005-0000-0000-0000C46E0000}"/>
    <cellStyle name="Hed Top - SECTION 4 5 2 10" xfId="26508" xr:uid="{00000000-0005-0000-0000-0000C56E0000}"/>
    <cellStyle name="Hed Top - SECTION 4 5 2 2" xfId="26509" xr:uid="{00000000-0005-0000-0000-0000C66E0000}"/>
    <cellStyle name="Hed Top - SECTION 4 5 2 2 2" xfId="26510" xr:uid="{00000000-0005-0000-0000-0000C76E0000}"/>
    <cellStyle name="Hed Top - SECTION 4 5 2 3" xfId="26511" xr:uid="{00000000-0005-0000-0000-0000C86E0000}"/>
    <cellStyle name="Hed Top - SECTION 4 5 2 3 2" xfId="26512" xr:uid="{00000000-0005-0000-0000-0000C96E0000}"/>
    <cellStyle name="Hed Top - SECTION 4 5 2 4" xfId="26513" xr:uid="{00000000-0005-0000-0000-0000CA6E0000}"/>
    <cellStyle name="Hed Top - SECTION 4 5 2 4 2" xfId="26514" xr:uid="{00000000-0005-0000-0000-0000CB6E0000}"/>
    <cellStyle name="Hed Top - SECTION 4 5 2 5" xfId="26515" xr:uid="{00000000-0005-0000-0000-0000CC6E0000}"/>
    <cellStyle name="Hed Top - SECTION 4 5 2 5 2" xfId="26516" xr:uid="{00000000-0005-0000-0000-0000CD6E0000}"/>
    <cellStyle name="Hed Top - SECTION 4 5 2 6" xfId="26517" xr:uid="{00000000-0005-0000-0000-0000CE6E0000}"/>
    <cellStyle name="Hed Top - SECTION 4 5 2 6 2" xfId="26518" xr:uid="{00000000-0005-0000-0000-0000CF6E0000}"/>
    <cellStyle name="Hed Top - SECTION 4 5 2 7" xfId="26519" xr:uid="{00000000-0005-0000-0000-0000D06E0000}"/>
    <cellStyle name="Hed Top - SECTION 4 5 2 7 2" xfId="26520" xr:uid="{00000000-0005-0000-0000-0000D16E0000}"/>
    <cellStyle name="Hed Top - SECTION 4 5 2 8" xfId="26521" xr:uid="{00000000-0005-0000-0000-0000D26E0000}"/>
    <cellStyle name="Hed Top - SECTION 4 5 2 8 2" xfId="26522" xr:uid="{00000000-0005-0000-0000-0000D36E0000}"/>
    <cellStyle name="Hed Top - SECTION 4 5 2 9" xfId="26523" xr:uid="{00000000-0005-0000-0000-0000D46E0000}"/>
    <cellStyle name="Hed Top - SECTION 4 5 2 9 2" xfId="26524" xr:uid="{00000000-0005-0000-0000-0000D56E0000}"/>
    <cellStyle name="Hed Top - SECTION 4 5 3" xfId="26525" xr:uid="{00000000-0005-0000-0000-0000D66E0000}"/>
    <cellStyle name="Hed Top - SECTION 4 5 3 10" xfId="26526" xr:uid="{00000000-0005-0000-0000-0000D76E0000}"/>
    <cellStyle name="Hed Top - SECTION 4 5 3 2" xfId="26527" xr:uid="{00000000-0005-0000-0000-0000D86E0000}"/>
    <cellStyle name="Hed Top - SECTION 4 5 3 2 2" xfId="26528" xr:uid="{00000000-0005-0000-0000-0000D96E0000}"/>
    <cellStyle name="Hed Top - SECTION 4 5 3 3" xfId="26529" xr:uid="{00000000-0005-0000-0000-0000DA6E0000}"/>
    <cellStyle name="Hed Top - SECTION 4 5 3 3 2" xfId="26530" xr:uid="{00000000-0005-0000-0000-0000DB6E0000}"/>
    <cellStyle name="Hed Top - SECTION 4 5 3 4" xfId="26531" xr:uid="{00000000-0005-0000-0000-0000DC6E0000}"/>
    <cellStyle name="Hed Top - SECTION 4 5 3 4 2" xfId="26532" xr:uid="{00000000-0005-0000-0000-0000DD6E0000}"/>
    <cellStyle name="Hed Top - SECTION 4 5 3 5" xfId="26533" xr:uid="{00000000-0005-0000-0000-0000DE6E0000}"/>
    <cellStyle name="Hed Top - SECTION 4 5 3 5 2" xfId="26534" xr:uid="{00000000-0005-0000-0000-0000DF6E0000}"/>
    <cellStyle name="Hed Top - SECTION 4 5 3 6" xfId="26535" xr:uid="{00000000-0005-0000-0000-0000E06E0000}"/>
    <cellStyle name="Hed Top - SECTION 4 5 3 6 2" xfId="26536" xr:uid="{00000000-0005-0000-0000-0000E16E0000}"/>
    <cellStyle name="Hed Top - SECTION 4 5 3 7" xfId="26537" xr:uid="{00000000-0005-0000-0000-0000E26E0000}"/>
    <cellStyle name="Hed Top - SECTION 4 5 3 7 2" xfId="26538" xr:uid="{00000000-0005-0000-0000-0000E36E0000}"/>
    <cellStyle name="Hed Top - SECTION 4 5 3 8" xfId="26539" xr:uid="{00000000-0005-0000-0000-0000E46E0000}"/>
    <cellStyle name="Hed Top - SECTION 4 5 3 8 2" xfId="26540" xr:uid="{00000000-0005-0000-0000-0000E56E0000}"/>
    <cellStyle name="Hed Top - SECTION 4 5 3 9" xfId="26541" xr:uid="{00000000-0005-0000-0000-0000E66E0000}"/>
    <cellStyle name="Hed Top - SECTION 4 5 3 9 2" xfId="26542" xr:uid="{00000000-0005-0000-0000-0000E76E0000}"/>
    <cellStyle name="Hed Top - SECTION 4 5 4" xfId="26543" xr:uid="{00000000-0005-0000-0000-0000E86E0000}"/>
    <cellStyle name="Hed Top - SECTION 4 5 4 10" xfId="26544" xr:uid="{00000000-0005-0000-0000-0000E96E0000}"/>
    <cellStyle name="Hed Top - SECTION 4 5 4 2" xfId="26545" xr:uid="{00000000-0005-0000-0000-0000EA6E0000}"/>
    <cellStyle name="Hed Top - SECTION 4 5 4 2 2" xfId="26546" xr:uid="{00000000-0005-0000-0000-0000EB6E0000}"/>
    <cellStyle name="Hed Top - SECTION 4 5 4 3" xfId="26547" xr:uid="{00000000-0005-0000-0000-0000EC6E0000}"/>
    <cellStyle name="Hed Top - SECTION 4 5 4 3 2" xfId="26548" xr:uid="{00000000-0005-0000-0000-0000ED6E0000}"/>
    <cellStyle name="Hed Top - SECTION 4 5 4 4" xfId="26549" xr:uid="{00000000-0005-0000-0000-0000EE6E0000}"/>
    <cellStyle name="Hed Top - SECTION 4 5 4 4 2" xfId="26550" xr:uid="{00000000-0005-0000-0000-0000EF6E0000}"/>
    <cellStyle name="Hed Top - SECTION 4 5 4 5" xfId="26551" xr:uid="{00000000-0005-0000-0000-0000F06E0000}"/>
    <cellStyle name="Hed Top - SECTION 4 5 4 5 2" xfId="26552" xr:uid="{00000000-0005-0000-0000-0000F16E0000}"/>
    <cellStyle name="Hed Top - SECTION 4 5 4 6" xfId="26553" xr:uid="{00000000-0005-0000-0000-0000F26E0000}"/>
    <cellStyle name="Hed Top - SECTION 4 5 4 6 2" xfId="26554" xr:uid="{00000000-0005-0000-0000-0000F36E0000}"/>
    <cellStyle name="Hed Top - SECTION 4 5 4 7" xfId="26555" xr:uid="{00000000-0005-0000-0000-0000F46E0000}"/>
    <cellStyle name="Hed Top - SECTION 4 5 4 7 2" xfId="26556" xr:uid="{00000000-0005-0000-0000-0000F56E0000}"/>
    <cellStyle name="Hed Top - SECTION 4 5 4 8" xfId="26557" xr:uid="{00000000-0005-0000-0000-0000F66E0000}"/>
    <cellStyle name="Hed Top - SECTION 4 5 4 8 2" xfId="26558" xr:uid="{00000000-0005-0000-0000-0000F76E0000}"/>
    <cellStyle name="Hed Top - SECTION 4 5 4 9" xfId="26559" xr:uid="{00000000-0005-0000-0000-0000F86E0000}"/>
    <cellStyle name="Hed Top - SECTION 4 5 4 9 2" xfId="26560" xr:uid="{00000000-0005-0000-0000-0000F96E0000}"/>
    <cellStyle name="Hed Top - SECTION 4 5 5" xfId="26561" xr:uid="{00000000-0005-0000-0000-0000FA6E0000}"/>
    <cellStyle name="Hed Top - SECTION 4 5 5 10" xfId="26562" xr:uid="{00000000-0005-0000-0000-0000FB6E0000}"/>
    <cellStyle name="Hed Top - SECTION 4 5 5 2" xfId="26563" xr:uid="{00000000-0005-0000-0000-0000FC6E0000}"/>
    <cellStyle name="Hed Top - SECTION 4 5 5 2 2" xfId="26564" xr:uid="{00000000-0005-0000-0000-0000FD6E0000}"/>
    <cellStyle name="Hed Top - SECTION 4 5 5 3" xfId="26565" xr:uid="{00000000-0005-0000-0000-0000FE6E0000}"/>
    <cellStyle name="Hed Top - SECTION 4 5 5 3 2" xfId="26566" xr:uid="{00000000-0005-0000-0000-0000FF6E0000}"/>
    <cellStyle name="Hed Top - SECTION 4 5 5 4" xfId="26567" xr:uid="{00000000-0005-0000-0000-0000006F0000}"/>
    <cellStyle name="Hed Top - SECTION 4 5 5 4 2" xfId="26568" xr:uid="{00000000-0005-0000-0000-0000016F0000}"/>
    <cellStyle name="Hed Top - SECTION 4 5 5 5" xfId="26569" xr:uid="{00000000-0005-0000-0000-0000026F0000}"/>
    <cellStyle name="Hed Top - SECTION 4 5 5 5 2" xfId="26570" xr:uid="{00000000-0005-0000-0000-0000036F0000}"/>
    <cellStyle name="Hed Top - SECTION 4 5 5 6" xfId="26571" xr:uid="{00000000-0005-0000-0000-0000046F0000}"/>
    <cellStyle name="Hed Top - SECTION 4 5 5 6 2" xfId="26572" xr:uid="{00000000-0005-0000-0000-0000056F0000}"/>
    <cellStyle name="Hed Top - SECTION 4 5 5 7" xfId="26573" xr:uid="{00000000-0005-0000-0000-0000066F0000}"/>
    <cellStyle name="Hed Top - SECTION 4 5 5 7 2" xfId="26574" xr:uid="{00000000-0005-0000-0000-0000076F0000}"/>
    <cellStyle name="Hed Top - SECTION 4 5 5 8" xfId="26575" xr:uid="{00000000-0005-0000-0000-0000086F0000}"/>
    <cellStyle name="Hed Top - SECTION 4 5 5 8 2" xfId="26576" xr:uid="{00000000-0005-0000-0000-0000096F0000}"/>
    <cellStyle name="Hed Top - SECTION 4 5 5 9" xfId="26577" xr:uid="{00000000-0005-0000-0000-00000A6F0000}"/>
    <cellStyle name="Hed Top - SECTION 4 5 5 9 2" xfId="26578" xr:uid="{00000000-0005-0000-0000-00000B6F0000}"/>
    <cellStyle name="Hed Top - SECTION 4 5 6" xfId="26579" xr:uid="{00000000-0005-0000-0000-00000C6F0000}"/>
    <cellStyle name="Hed Top - SECTION 4 5 6 10" xfId="26580" xr:uid="{00000000-0005-0000-0000-00000D6F0000}"/>
    <cellStyle name="Hed Top - SECTION 4 5 6 2" xfId="26581" xr:uid="{00000000-0005-0000-0000-00000E6F0000}"/>
    <cellStyle name="Hed Top - SECTION 4 5 6 2 2" xfId="26582" xr:uid="{00000000-0005-0000-0000-00000F6F0000}"/>
    <cellStyle name="Hed Top - SECTION 4 5 6 3" xfId="26583" xr:uid="{00000000-0005-0000-0000-0000106F0000}"/>
    <cellStyle name="Hed Top - SECTION 4 5 6 3 2" xfId="26584" xr:uid="{00000000-0005-0000-0000-0000116F0000}"/>
    <cellStyle name="Hed Top - SECTION 4 5 6 4" xfId="26585" xr:uid="{00000000-0005-0000-0000-0000126F0000}"/>
    <cellStyle name="Hed Top - SECTION 4 5 6 4 2" xfId="26586" xr:uid="{00000000-0005-0000-0000-0000136F0000}"/>
    <cellStyle name="Hed Top - SECTION 4 5 6 5" xfId="26587" xr:uid="{00000000-0005-0000-0000-0000146F0000}"/>
    <cellStyle name="Hed Top - SECTION 4 5 6 5 2" xfId="26588" xr:uid="{00000000-0005-0000-0000-0000156F0000}"/>
    <cellStyle name="Hed Top - SECTION 4 5 6 6" xfId="26589" xr:uid="{00000000-0005-0000-0000-0000166F0000}"/>
    <cellStyle name="Hed Top - SECTION 4 5 6 6 2" xfId="26590" xr:uid="{00000000-0005-0000-0000-0000176F0000}"/>
    <cellStyle name="Hed Top - SECTION 4 5 6 7" xfId="26591" xr:uid="{00000000-0005-0000-0000-0000186F0000}"/>
    <cellStyle name="Hed Top - SECTION 4 5 6 7 2" xfId="26592" xr:uid="{00000000-0005-0000-0000-0000196F0000}"/>
    <cellStyle name="Hed Top - SECTION 4 5 6 8" xfId="26593" xr:uid="{00000000-0005-0000-0000-00001A6F0000}"/>
    <cellStyle name="Hed Top - SECTION 4 5 6 8 2" xfId="26594" xr:uid="{00000000-0005-0000-0000-00001B6F0000}"/>
    <cellStyle name="Hed Top - SECTION 4 5 6 9" xfId="26595" xr:uid="{00000000-0005-0000-0000-00001C6F0000}"/>
    <cellStyle name="Hed Top - SECTION 4 5 6 9 2" xfId="26596" xr:uid="{00000000-0005-0000-0000-00001D6F0000}"/>
    <cellStyle name="Hed Top - SECTION 4 5 7" xfId="26597" xr:uid="{00000000-0005-0000-0000-00001E6F0000}"/>
    <cellStyle name="Hed Top - SECTION 4 5 7 10" xfId="26598" xr:uid="{00000000-0005-0000-0000-00001F6F0000}"/>
    <cellStyle name="Hed Top - SECTION 4 5 7 2" xfId="26599" xr:uid="{00000000-0005-0000-0000-0000206F0000}"/>
    <cellStyle name="Hed Top - SECTION 4 5 7 2 2" xfId="26600" xr:uid="{00000000-0005-0000-0000-0000216F0000}"/>
    <cellStyle name="Hed Top - SECTION 4 5 7 3" xfId="26601" xr:uid="{00000000-0005-0000-0000-0000226F0000}"/>
    <cellStyle name="Hed Top - SECTION 4 5 7 3 2" xfId="26602" xr:uid="{00000000-0005-0000-0000-0000236F0000}"/>
    <cellStyle name="Hed Top - SECTION 4 5 7 4" xfId="26603" xr:uid="{00000000-0005-0000-0000-0000246F0000}"/>
    <cellStyle name="Hed Top - SECTION 4 5 7 4 2" xfId="26604" xr:uid="{00000000-0005-0000-0000-0000256F0000}"/>
    <cellStyle name="Hed Top - SECTION 4 5 7 5" xfId="26605" xr:uid="{00000000-0005-0000-0000-0000266F0000}"/>
    <cellStyle name="Hed Top - SECTION 4 5 7 5 2" xfId="26606" xr:uid="{00000000-0005-0000-0000-0000276F0000}"/>
    <cellStyle name="Hed Top - SECTION 4 5 7 6" xfId="26607" xr:uid="{00000000-0005-0000-0000-0000286F0000}"/>
    <cellStyle name="Hed Top - SECTION 4 5 7 6 2" xfId="26608" xr:uid="{00000000-0005-0000-0000-0000296F0000}"/>
    <cellStyle name="Hed Top - SECTION 4 5 7 7" xfId="26609" xr:uid="{00000000-0005-0000-0000-00002A6F0000}"/>
    <cellStyle name="Hed Top - SECTION 4 5 7 7 2" xfId="26610" xr:uid="{00000000-0005-0000-0000-00002B6F0000}"/>
    <cellStyle name="Hed Top - SECTION 4 5 7 8" xfId="26611" xr:uid="{00000000-0005-0000-0000-00002C6F0000}"/>
    <cellStyle name="Hed Top - SECTION 4 5 7 8 2" xfId="26612" xr:uid="{00000000-0005-0000-0000-00002D6F0000}"/>
    <cellStyle name="Hed Top - SECTION 4 5 7 9" xfId="26613" xr:uid="{00000000-0005-0000-0000-00002E6F0000}"/>
    <cellStyle name="Hed Top - SECTION 4 5 7 9 2" xfId="26614" xr:uid="{00000000-0005-0000-0000-00002F6F0000}"/>
    <cellStyle name="Hed Top - SECTION 4 5 8" xfId="26615" xr:uid="{00000000-0005-0000-0000-0000306F0000}"/>
    <cellStyle name="Hed Top - SECTION 4 5 8 10" xfId="26616" xr:uid="{00000000-0005-0000-0000-0000316F0000}"/>
    <cellStyle name="Hed Top - SECTION 4 5 8 2" xfId="26617" xr:uid="{00000000-0005-0000-0000-0000326F0000}"/>
    <cellStyle name="Hed Top - SECTION 4 5 8 2 2" xfId="26618" xr:uid="{00000000-0005-0000-0000-0000336F0000}"/>
    <cellStyle name="Hed Top - SECTION 4 5 8 3" xfId="26619" xr:uid="{00000000-0005-0000-0000-0000346F0000}"/>
    <cellStyle name="Hed Top - SECTION 4 5 8 3 2" xfId="26620" xr:uid="{00000000-0005-0000-0000-0000356F0000}"/>
    <cellStyle name="Hed Top - SECTION 4 5 8 4" xfId="26621" xr:uid="{00000000-0005-0000-0000-0000366F0000}"/>
    <cellStyle name="Hed Top - SECTION 4 5 8 4 2" xfId="26622" xr:uid="{00000000-0005-0000-0000-0000376F0000}"/>
    <cellStyle name="Hed Top - SECTION 4 5 8 5" xfId="26623" xr:uid="{00000000-0005-0000-0000-0000386F0000}"/>
    <cellStyle name="Hed Top - SECTION 4 5 8 5 2" xfId="26624" xr:uid="{00000000-0005-0000-0000-0000396F0000}"/>
    <cellStyle name="Hed Top - SECTION 4 5 8 6" xfId="26625" xr:uid="{00000000-0005-0000-0000-00003A6F0000}"/>
    <cellStyle name="Hed Top - SECTION 4 5 8 6 2" xfId="26626" xr:uid="{00000000-0005-0000-0000-00003B6F0000}"/>
    <cellStyle name="Hed Top - SECTION 4 5 8 7" xfId="26627" xr:uid="{00000000-0005-0000-0000-00003C6F0000}"/>
    <cellStyle name="Hed Top - SECTION 4 5 8 7 2" xfId="26628" xr:uid="{00000000-0005-0000-0000-00003D6F0000}"/>
    <cellStyle name="Hed Top - SECTION 4 5 8 8" xfId="26629" xr:uid="{00000000-0005-0000-0000-00003E6F0000}"/>
    <cellStyle name="Hed Top - SECTION 4 5 8 8 2" xfId="26630" xr:uid="{00000000-0005-0000-0000-00003F6F0000}"/>
    <cellStyle name="Hed Top - SECTION 4 5 8 9" xfId="26631" xr:uid="{00000000-0005-0000-0000-0000406F0000}"/>
    <cellStyle name="Hed Top - SECTION 4 5 8 9 2" xfId="26632" xr:uid="{00000000-0005-0000-0000-0000416F0000}"/>
    <cellStyle name="Hed Top - SECTION 4 5 9" xfId="26633" xr:uid="{00000000-0005-0000-0000-0000426F0000}"/>
    <cellStyle name="Hed Top - SECTION 4 5 9 10" xfId="26634" xr:uid="{00000000-0005-0000-0000-0000436F0000}"/>
    <cellStyle name="Hed Top - SECTION 4 5 9 2" xfId="26635" xr:uid="{00000000-0005-0000-0000-0000446F0000}"/>
    <cellStyle name="Hed Top - SECTION 4 5 9 2 2" xfId="26636" xr:uid="{00000000-0005-0000-0000-0000456F0000}"/>
    <cellStyle name="Hed Top - SECTION 4 5 9 3" xfId="26637" xr:uid="{00000000-0005-0000-0000-0000466F0000}"/>
    <cellStyle name="Hed Top - SECTION 4 5 9 3 2" xfId="26638" xr:uid="{00000000-0005-0000-0000-0000476F0000}"/>
    <cellStyle name="Hed Top - SECTION 4 5 9 4" xfId="26639" xr:uid="{00000000-0005-0000-0000-0000486F0000}"/>
    <cellStyle name="Hed Top - SECTION 4 5 9 4 2" xfId="26640" xr:uid="{00000000-0005-0000-0000-0000496F0000}"/>
    <cellStyle name="Hed Top - SECTION 4 5 9 5" xfId="26641" xr:uid="{00000000-0005-0000-0000-00004A6F0000}"/>
    <cellStyle name="Hed Top - SECTION 4 5 9 5 2" xfId="26642" xr:uid="{00000000-0005-0000-0000-00004B6F0000}"/>
    <cellStyle name="Hed Top - SECTION 4 5 9 6" xfId="26643" xr:uid="{00000000-0005-0000-0000-00004C6F0000}"/>
    <cellStyle name="Hed Top - SECTION 4 5 9 6 2" xfId="26644" xr:uid="{00000000-0005-0000-0000-00004D6F0000}"/>
    <cellStyle name="Hed Top - SECTION 4 5 9 7" xfId="26645" xr:uid="{00000000-0005-0000-0000-00004E6F0000}"/>
    <cellStyle name="Hed Top - SECTION 4 5 9 7 2" xfId="26646" xr:uid="{00000000-0005-0000-0000-00004F6F0000}"/>
    <cellStyle name="Hed Top - SECTION 4 5 9 8" xfId="26647" xr:uid="{00000000-0005-0000-0000-0000506F0000}"/>
    <cellStyle name="Hed Top - SECTION 4 5 9 8 2" xfId="26648" xr:uid="{00000000-0005-0000-0000-0000516F0000}"/>
    <cellStyle name="Hed Top - SECTION 4 5 9 9" xfId="26649" xr:uid="{00000000-0005-0000-0000-0000526F0000}"/>
    <cellStyle name="Hed Top - SECTION 4 5 9 9 2" xfId="26650" xr:uid="{00000000-0005-0000-0000-0000536F0000}"/>
    <cellStyle name="Hed Top - SECTION 4 6" xfId="26651" xr:uid="{00000000-0005-0000-0000-0000546F0000}"/>
    <cellStyle name="Hed Top - SECTION 4 6 10" xfId="26652" xr:uid="{00000000-0005-0000-0000-0000556F0000}"/>
    <cellStyle name="Hed Top - SECTION 4 6 10 2" xfId="26653" xr:uid="{00000000-0005-0000-0000-0000566F0000}"/>
    <cellStyle name="Hed Top - SECTION 4 6 10 2 2" xfId="26654" xr:uid="{00000000-0005-0000-0000-0000576F0000}"/>
    <cellStyle name="Hed Top - SECTION 4 6 10 3" xfId="26655" xr:uid="{00000000-0005-0000-0000-0000586F0000}"/>
    <cellStyle name="Hed Top - SECTION 4 6 10 3 2" xfId="26656" xr:uid="{00000000-0005-0000-0000-0000596F0000}"/>
    <cellStyle name="Hed Top - SECTION 4 6 10 4" xfId="26657" xr:uid="{00000000-0005-0000-0000-00005A6F0000}"/>
    <cellStyle name="Hed Top - SECTION 4 6 10 4 2" xfId="26658" xr:uid="{00000000-0005-0000-0000-00005B6F0000}"/>
    <cellStyle name="Hed Top - SECTION 4 6 10 5" xfId="26659" xr:uid="{00000000-0005-0000-0000-00005C6F0000}"/>
    <cellStyle name="Hed Top - SECTION 4 6 10 5 2" xfId="26660" xr:uid="{00000000-0005-0000-0000-00005D6F0000}"/>
    <cellStyle name="Hed Top - SECTION 4 6 10 6" xfId="26661" xr:uid="{00000000-0005-0000-0000-00005E6F0000}"/>
    <cellStyle name="Hed Top - SECTION 4 6 10 6 2" xfId="26662" xr:uid="{00000000-0005-0000-0000-00005F6F0000}"/>
    <cellStyle name="Hed Top - SECTION 4 6 10 7" xfId="26663" xr:uid="{00000000-0005-0000-0000-0000606F0000}"/>
    <cellStyle name="Hed Top - SECTION 4 6 10 7 2" xfId="26664" xr:uid="{00000000-0005-0000-0000-0000616F0000}"/>
    <cellStyle name="Hed Top - SECTION 4 6 10 8" xfId="26665" xr:uid="{00000000-0005-0000-0000-0000626F0000}"/>
    <cellStyle name="Hed Top - SECTION 4 6 10 8 2" xfId="26666" xr:uid="{00000000-0005-0000-0000-0000636F0000}"/>
    <cellStyle name="Hed Top - SECTION 4 6 10 9" xfId="26667" xr:uid="{00000000-0005-0000-0000-0000646F0000}"/>
    <cellStyle name="Hed Top - SECTION 4 6 11" xfId="26668" xr:uid="{00000000-0005-0000-0000-0000656F0000}"/>
    <cellStyle name="Hed Top - SECTION 4 6 11 2" xfId="26669" xr:uid="{00000000-0005-0000-0000-0000666F0000}"/>
    <cellStyle name="Hed Top - SECTION 4 6 12" xfId="26670" xr:uid="{00000000-0005-0000-0000-0000676F0000}"/>
    <cellStyle name="Hed Top - SECTION 4 6 12 2" xfId="26671" xr:uid="{00000000-0005-0000-0000-0000686F0000}"/>
    <cellStyle name="Hed Top - SECTION 4 6 13" xfId="26672" xr:uid="{00000000-0005-0000-0000-0000696F0000}"/>
    <cellStyle name="Hed Top - SECTION 4 6 13 2" xfId="26673" xr:uid="{00000000-0005-0000-0000-00006A6F0000}"/>
    <cellStyle name="Hed Top - SECTION 4 6 14" xfId="26674" xr:uid="{00000000-0005-0000-0000-00006B6F0000}"/>
    <cellStyle name="Hed Top - SECTION 4 6 14 2" xfId="26675" xr:uid="{00000000-0005-0000-0000-00006C6F0000}"/>
    <cellStyle name="Hed Top - SECTION 4 6 15" xfId="26676" xr:uid="{00000000-0005-0000-0000-00006D6F0000}"/>
    <cellStyle name="Hed Top - SECTION 4 6 15 2" xfId="26677" xr:uid="{00000000-0005-0000-0000-00006E6F0000}"/>
    <cellStyle name="Hed Top - SECTION 4 6 16" xfId="26678" xr:uid="{00000000-0005-0000-0000-00006F6F0000}"/>
    <cellStyle name="Hed Top - SECTION 4 6 16 2" xfId="26679" xr:uid="{00000000-0005-0000-0000-0000706F0000}"/>
    <cellStyle name="Hed Top - SECTION 4 6 17" xfId="26680" xr:uid="{00000000-0005-0000-0000-0000716F0000}"/>
    <cellStyle name="Hed Top - SECTION 4 6 17 2" xfId="26681" xr:uid="{00000000-0005-0000-0000-0000726F0000}"/>
    <cellStyle name="Hed Top - SECTION 4 6 18" xfId="26682" xr:uid="{00000000-0005-0000-0000-0000736F0000}"/>
    <cellStyle name="Hed Top - SECTION 4 6 2" xfId="26683" xr:uid="{00000000-0005-0000-0000-0000746F0000}"/>
    <cellStyle name="Hed Top - SECTION 4 6 2 10" xfId="26684" xr:uid="{00000000-0005-0000-0000-0000756F0000}"/>
    <cellStyle name="Hed Top - SECTION 4 6 2 2" xfId="26685" xr:uid="{00000000-0005-0000-0000-0000766F0000}"/>
    <cellStyle name="Hed Top - SECTION 4 6 2 2 2" xfId="26686" xr:uid="{00000000-0005-0000-0000-0000776F0000}"/>
    <cellStyle name="Hed Top - SECTION 4 6 2 3" xfId="26687" xr:uid="{00000000-0005-0000-0000-0000786F0000}"/>
    <cellStyle name="Hed Top - SECTION 4 6 2 3 2" xfId="26688" xr:uid="{00000000-0005-0000-0000-0000796F0000}"/>
    <cellStyle name="Hed Top - SECTION 4 6 2 4" xfId="26689" xr:uid="{00000000-0005-0000-0000-00007A6F0000}"/>
    <cellStyle name="Hed Top - SECTION 4 6 2 4 2" xfId="26690" xr:uid="{00000000-0005-0000-0000-00007B6F0000}"/>
    <cellStyle name="Hed Top - SECTION 4 6 2 5" xfId="26691" xr:uid="{00000000-0005-0000-0000-00007C6F0000}"/>
    <cellStyle name="Hed Top - SECTION 4 6 2 5 2" xfId="26692" xr:uid="{00000000-0005-0000-0000-00007D6F0000}"/>
    <cellStyle name="Hed Top - SECTION 4 6 2 6" xfId="26693" xr:uid="{00000000-0005-0000-0000-00007E6F0000}"/>
    <cellStyle name="Hed Top - SECTION 4 6 2 6 2" xfId="26694" xr:uid="{00000000-0005-0000-0000-00007F6F0000}"/>
    <cellStyle name="Hed Top - SECTION 4 6 2 7" xfId="26695" xr:uid="{00000000-0005-0000-0000-0000806F0000}"/>
    <cellStyle name="Hed Top - SECTION 4 6 2 7 2" xfId="26696" xr:uid="{00000000-0005-0000-0000-0000816F0000}"/>
    <cellStyle name="Hed Top - SECTION 4 6 2 8" xfId="26697" xr:uid="{00000000-0005-0000-0000-0000826F0000}"/>
    <cellStyle name="Hed Top - SECTION 4 6 2 8 2" xfId="26698" xr:uid="{00000000-0005-0000-0000-0000836F0000}"/>
    <cellStyle name="Hed Top - SECTION 4 6 2 9" xfId="26699" xr:uid="{00000000-0005-0000-0000-0000846F0000}"/>
    <cellStyle name="Hed Top - SECTION 4 6 2 9 2" xfId="26700" xr:uid="{00000000-0005-0000-0000-0000856F0000}"/>
    <cellStyle name="Hed Top - SECTION 4 6 3" xfId="26701" xr:uid="{00000000-0005-0000-0000-0000866F0000}"/>
    <cellStyle name="Hed Top - SECTION 4 6 3 10" xfId="26702" xr:uid="{00000000-0005-0000-0000-0000876F0000}"/>
    <cellStyle name="Hed Top - SECTION 4 6 3 2" xfId="26703" xr:uid="{00000000-0005-0000-0000-0000886F0000}"/>
    <cellStyle name="Hed Top - SECTION 4 6 3 2 2" xfId="26704" xr:uid="{00000000-0005-0000-0000-0000896F0000}"/>
    <cellStyle name="Hed Top - SECTION 4 6 3 3" xfId="26705" xr:uid="{00000000-0005-0000-0000-00008A6F0000}"/>
    <cellStyle name="Hed Top - SECTION 4 6 3 3 2" xfId="26706" xr:uid="{00000000-0005-0000-0000-00008B6F0000}"/>
    <cellStyle name="Hed Top - SECTION 4 6 3 4" xfId="26707" xr:uid="{00000000-0005-0000-0000-00008C6F0000}"/>
    <cellStyle name="Hed Top - SECTION 4 6 3 4 2" xfId="26708" xr:uid="{00000000-0005-0000-0000-00008D6F0000}"/>
    <cellStyle name="Hed Top - SECTION 4 6 3 5" xfId="26709" xr:uid="{00000000-0005-0000-0000-00008E6F0000}"/>
    <cellStyle name="Hed Top - SECTION 4 6 3 5 2" xfId="26710" xr:uid="{00000000-0005-0000-0000-00008F6F0000}"/>
    <cellStyle name="Hed Top - SECTION 4 6 3 6" xfId="26711" xr:uid="{00000000-0005-0000-0000-0000906F0000}"/>
    <cellStyle name="Hed Top - SECTION 4 6 3 6 2" xfId="26712" xr:uid="{00000000-0005-0000-0000-0000916F0000}"/>
    <cellStyle name="Hed Top - SECTION 4 6 3 7" xfId="26713" xr:uid="{00000000-0005-0000-0000-0000926F0000}"/>
    <cellStyle name="Hed Top - SECTION 4 6 3 7 2" xfId="26714" xr:uid="{00000000-0005-0000-0000-0000936F0000}"/>
    <cellStyle name="Hed Top - SECTION 4 6 3 8" xfId="26715" xr:uid="{00000000-0005-0000-0000-0000946F0000}"/>
    <cellStyle name="Hed Top - SECTION 4 6 3 8 2" xfId="26716" xr:uid="{00000000-0005-0000-0000-0000956F0000}"/>
    <cellStyle name="Hed Top - SECTION 4 6 3 9" xfId="26717" xr:uid="{00000000-0005-0000-0000-0000966F0000}"/>
    <cellStyle name="Hed Top - SECTION 4 6 3 9 2" xfId="26718" xr:uid="{00000000-0005-0000-0000-0000976F0000}"/>
    <cellStyle name="Hed Top - SECTION 4 6 4" xfId="26719" xr:uid="{00000000-0005-0000-0000-0000986F0000}"/>
    <cellStyle name="Hed Top - SECTION 4 6 4 10" xfId="26720" xr:uid="{00000000-0005-0000-0000-0000996F0000}"/>
    <cellStyle name="Hed Top - SECTION 4 6 4 2" xfId="26721" xr:uid="{00000000-0005-0000-0000-00009A6F0000}"/>
    <cellStyle name="Hed Top - SECTION 4 6 4 2 2" xfId="26722" xr:uid="{00000000-0005-0000-0000-00009B6F0000}"/>
    <cellStyle name="Hed Top - SECTION 4 6 4 3" xfId="26723" xr:uid="{00000000-0005-0000-0000-00009C6F0000}"/>
    <cellStyle name="Hed Top - SECTION 4 6 4 3 2" xfId="26724" xr:uid="{00000000-0005-0000-0000-00009D6F0000}"/>
    <cellStyle name="Hed Top - SECTION 4 6 4 4" xfId="26725" xr:uid="{00000000-0005-0000-0000-00009E6F0000}"/>
    <cellStyle name="Hed Top - SECTION 4 6 4 4 2" xfId="26726" xr:uid="{00000000-0005-0000-0000-00009F6F0000}"/>
    <cellStyle name="Hed Top - SECTION 4 6 4 5" xfId="26727" xr:uid="{00000000-0005-0000-0000-0000A06F0000}"/>
    <cellStyle name="Hed Top - SECTION 4 6 4 5 2" xfId="26728" xr:uid="{00000000-0005-0000-0000-0000A16F0000}"/>
    <cellStyle name="Hed Top - SECTION 4 6 4 6" xfId="26729" xr:uid="{00000000-0005-0000-0000-0000A26F0000}"/>
    <cellStyle name="Hed Top - SECTION 4 6 4 6 2" xfId="26730" xr:uid="{00000000-0005-0000-0000-0000A36F0000}"/>
    <cellStyle name="Hed Top - SECTION 4 6 4 7" xfId="26731" xr:uid="{00000000-0005-0000-0000-0000A46F0000}"/>
    <cellStyle name="Hed Top - SECTION 4 6 4 7 2" xfId="26732" xr:uid="{00000000-0005-0000-0000-0000A56F0000}"/>
    <cellStyle name="Hed Top - SECTION 4 6 4 8" xfId="26733" xr:uid="{00000000-0005-0000-0000-0000A66F0000}"/>
    <cellStyle name="Hed Top - SECTION 4 6 4 8 2" xfId="26734" xr:uid="{00000000-0005-0000-0000-0000A76F0000}"/>
    <cellStyle name="Hed Top - SECTION 4 6 4 9" xfId="26735" xr:uid="{00000000-0005-0000-0000-0000A86F0000}"/>
    <cellStyle name="Hed Top - SECTION 4 6 4 9 2" xfId="26736" xr:uid="{00000000-0005-0000-0000-0000A96F0000}"/>
    <cellStyle name="Hed Top - SECTION 4 6 5" xfId="26737" xr:uid="{00000000-0005-0000-0000-0000AA6F0000}"/>
    <cellStyle name="Hed Top - SECTION 4 6 5 10" xfId="26738" xr:uid="{00000000-0005-0000-0000-0000AB6F0000}"/>
    <cellStyle name="Hed Top - SECTION 4 6 5 2" xfId="26739" xr:uid="{00000000-0005-0000-0000-0000AC6F0000}"/>
    <cellStyle name="Hed Top - SECTION 4 6 5 2 2" xfId="26740" xr:uid="{00000000-0005-0000-0000-0000AD6F0000}"/>
    <cellStyle name="Hed Top - SECTION 4 6 5 3" xfId="26741" xr:uid="{00000000-0005-0000-0000-0000AE6F0000}"/>
    <cellStyle name="Hed Top - SECTION 4 6 5 3 2" xfId="26742" xr:uid="{00000000-0005-0000-0000-0000AF6F0000}"/>
    <cellStyle name="Hed Top - SECTION 4 6 5 4" xfId="26743" xr:uid="{00000000-0005-0000-0000-0000B06F0000}"/>
    <cellStyle name="Hed Top - SECTION 4 6 5 4 2" xfId="26744" xr:uid="{00000000-0005-0000-0000-0000B16F0000}"/>
    <cellStyle name="Hed Top - SECTION 4 6 5 5" xfId="26745" xr:uid="{00000000-0005-0000-0000-0000B26F0000}"/>
    <cellStyle name="Hed Top - SECTION 4 6 5 5 2" xfId="26746" xr:uid="{00000000-0005-0000-0000-0000B36F0000}"/>
    <cellStyle name="Hed Top - SECTION 4 6 5 6" xfId="26747" xr:uid="{00000000-0005-0000-0000-0000B46F0000}"/>
    <cellStyle name="Hed Top - SECTION 4 6 5 6 2" xfId="26748" xr:uid="{00000000-0005-0000-0000-0000B56F0000}"/>
    <cellStyle name="Hed Top - SECTION 4 6 5 7" xfId="26749" xr:uid="{00000000-0005-0000-0000-0000B66F0000}"/>
    <cellStyle name="Hed Top - SECTION 4 6 5 7 2" xfId="26750" xr:uid="{00000000-0005-0000-0000-0000B76F0000}"/>
    <cellStyle name="Hed Top - SECTION 4 6 5 8" xfId="26751" xr:uid="{00000000-0005-0000-0000-0000B86F0000}"/>
    <cellStyle name="Hed Top - SECTION 4 6 5 8 2" xfId="26752" xr:uid="{00000000-0005-0000-0000-0000B96F0000}"/>
    <cellStyle name="Hed Top - SECTION 4 6 5 9" xfId="26753" xr:uid="{00000000-0005-0000-0000-0000BA6F0000}"/>
    <cellStyle name="Hed Top - SECTION 4 6 5 9 2" xfId="26754" xr:uid="{00000000-0005-0000-0000-0000BB6F0000}"/>
    <cellStyle name="Hed Top - SECTION 4 6 6" xfId="26755" xr:uid="{00000000-0005-0000-0000-0000BC6F0000}"/>
    <cellStyle name="Hed Top - SECTION 4 6 6 10" xfId="26756" xr:uid="{00000000-0005-0000-0000-0000BD6F0000}"/>
    <cellStyle name="Hed Top - SECTION 4 6 6 2" xfId="26757" xr:uid="{00000000-0005-0000-0000-0000BE6F0000}"/>
    <cellStyle name="Hed Top - SECTION 4 6 6 2 2" xfId="26758" xr:uid="{00000000-0005-0000-0000-0000BF6F0000}"/>
    <cellStyle name="Hed Top - SECTION 4 6 6 3" xfId="26759" xr:uid="{00000000-0005-0000-0000-0000C06F0000}"/>
    <cellStyle name="Hed Top - SECTION 4 6 6 3 2" xfId="26760" xr:uid="{00000000-0005-0000-0000-0000C16F0000}"/>
    <cellStyle name="Hed Top - SECTION 4 6 6 4" xfId="26761" xr:uid="{00000000-0005-0000-0000-0000C26F0000}"/>
    <cellStyle name="Hed Top - SECTION 4 6 6 4 2" xfId="26762" xr:uid="{00000000-0005-0000-0000-0000C36F0000}"/>
    <cellStyle name="Hed Top - SECTION 4 6 6 5" xfId="26763" xr:uid="{00000000-0005-0000-0000-0000C46F0000}"/>
    <cellStyle name="Hed Top - SECTION 4 6 6 5 2" xfId="26764" xr:uid="{00000000-0005-0000-0000-0000C56F0000}"/>
    <cellStyle name="Hed Top - SECTION 4 6 6 6" xfId="26765" xr:uid="{00000000-0005-0000-0000-0000C66F0000}"/>
    <cellStyle name="Hed Top - SECTION 4 6 6 6 2" xfId="26766" xr:uid="{00000000-0005-0000-0000-0000C76F0000}"/>
    <cellStyle name="Hed Top - SECTION 4 6 6 7" xfId="26767" xr:uid="{00000000-0005-0000-0000-0000C86F0000}"/>
    <cellStyle name="Hed Top - SECTION 4 6 6 7 2" xfId="26768" xr:uid="{00000000-0005-0000-0000-0000C96F0000}"/>
    <cellStyle name="Hed Top - SECTION 4 6 6 8" xfId="26769" xr:uid="{00000000-0005-0000-0000-0000CA6F0000}"/>
    <cellStyle name="Hed Top - SECTION 4 6 6 8 2" xfId="26770" xr:uid="{00000000-0005-0000-0000-0000CB6F0000}"/>
    <cellStyle name="Hed Top - SECTION 4 6 6 9" xfId="26771" xr:uid="{00000000-0005-0000-0000-0000CC6F0000}"/>
    <cellStyle name="Hed Top - SECTION 4 6 6 9 2" xfId="26772" xr:uid="{00000000-0005-0000-0000-0000CD6F0000}"/>
    <cellStyle name="Hed Top - SECTION 4 6 7" xfId="26773" xr:uid="{00000000-0005-0000-0000-0000CE6F0000}"/>
    <cellStyle name="Hed Top - SECTION 4 6 7 10" xfId="26774" xr:uid="{00000000-0005-0000-0000-0000CF6F0000}"/>
    <cellStyle name="Hed Top - SECTION 4 6 7 2" xfId="26775" xr:uid="{00000000-0005-0000-0000-0000D06F0000}"/>
    <cellStyle name="Hed Top - SECTION 4 6 7 2 2" xfId="26776" xr:uid="{00000000-0005-0000-0000-0000D16F0000}"/>
    <cellStyle name="Hed Top - SECTION 4 6 7 3" xfId="26777" xr:uid="{00000000-0005-0000-0000-0000D26F0000}"/>
    <cellStyle name="Hed Top - SECTION 4 6 7 3 2" xfId="26778" xr:uid="{00000000-0005-0000-0000-0000D36F0000}"/>
    <cellStyle name="Hed Top - SECTION 4 6 7 4" xfId="26779" xr:uid="{00000000-0005-0000-0000-0000D46F0000}"/>
    <cellStyle name="Hed Top - SECTION 4 6 7 4 2" xfId="26780" xr:uid="{00000000-0005-0000-0000-0000D56F0000}"/>
    <cellStyle name="Hed Top - SECTION 4 6 7 5" xfId="26781" xr:uid="{00000000-0005-0000-0000-0000D66F0000}"/>
    <cellStyle name="Hed Top - SECTION 4 6 7 5 2" xfId="26782" xr:uid="{00000000-0005-0000-0000-0000D76F0000}"/>
    <cellStyle name="Hed Top - SECTION 4 6 7 6" xfId="26783" xr:uid="{00000000-0005-0000-0000-0000D86F0000}"/>
    <cellStyle name="Hed Top - SECTION 4 6 7 6 2" xfId="26784" xr:uid="{00000000-0005-0000-0000-0000D96F0000}"/>
    <cellStyle name="Hed Top - SECTION 4 6 7 7" xfId="26785" xr:uid="{00000000-0005-0000-0000-0000DA6F0000}"/>
    <cellStyle name="Hed Top - SECTION 4 6 7 7 2" xfId="26786" xr:uid="{00000000-0005-0000-0000-0000DB6F0000}"/>
    <cellStyle name="Hed Top - SECTION 4 6 7 8" xfId="26787" xr:uid="{00000000-0005-0000-0000-0000DC6F0000}"/>
    <cellStyle name="Hed Top - SECTION 4 6 7 8 2" xfId="26788" xr:uid="{00000000-0005-0000-0000-0000DD6F0000}"/>
    <cellStyle name="Hed Top - SECTION 4 6 7 9" xfId="26789" xr:uid="{00000000-0005-0000-0000-0000DE6F0000}"/>
    <cellStyle name="Hed Top - SECTION 4 6 7 9 2" xfId="26790" xr:uid="{00000000-0005-0000-0000-0000DF6F0000}"/>
    <cellStyle name="Hed Top - SECTION 4 6 8" xfId="26791" xr:uid="{00000000-0005-0000-0000-0000E06F0000}"/>
    <cellStyle name="Hed Top - SECTION 4 6 8 10" xfId="26792" xr:uid="{00000000-0005-0000-0000-0000E16F0000}"/>
    <cellStyle name="Hed Top - SECTION 4 6 8 2" xfId="26793" xr:uid="{00000000-0005-0000-0000-0000E26F0000}"/>
    <cellStyle name="Hed Top - SECTION 4 6 8 2 2" xfId="26794" xr:uid="{00000000-0005-0000-0000-0000E36F0000}"/>
    <cellStyle name="Hed Top - SECTION 4 6 8 3" xfId="26795" xr:uid="{00000000-0005-0000-0000-0000E46F0000}"/>
    <cellStyle name="Hed Top - SECTION 4 6 8 3 2" xfId="26796" xr:uid="{00000000-0005-0000-0000-0000E56F0000}"/>
    <cellStyle name="Hed Top - SECTION 4 6 8 4" xfId="26797" xr:uid="{00000000-0005-0000-0000-0000E66F0000}"/>
    <cellStyle name="Hed Top - SECTION 4 6 8 4 2" xfId="26798" xr:uid="{00000000-0005-0000-0000-0000E76F0000}"/>
    <cellStyle name="Hed Top - SECTION 4 6 8 5" xfId="26799" xr:uid="{00000000-0005-0000-0000-0000E86F0000}"/>
    <cellStyle name="Hed Top - SECTION 4 6 8 5 2" xfId="26800" xr:uid="{00000000-0005-0000-0000-0000E96F0000}"/>
    <cellStyle name="Hed Top - SECTION 4 6 8 6" xfId="26801" xr:uid="{00000000-0005-0000-0000-0000EA6F0000}"/>
    <cellStyle name="Hed Top - SECTION 4 6 8 6 2" xfId="26802" xr:uid="{00000000-0005-0000-0000-0000EB6F0000}"/>
    <cellStyle name="Hed Top - SECTION 4 6 8 7" xfId="26803" xr:uid="{00000000-0005-0000-0000-0000EC6F0000}"/>
    <cellStyle name="Hed Top - SECTION 4 6 8 7 2" xfId="26804" xr:uid="{00000000-0005-0000-0000-0000ED6F0000}"/>
    <cellStyle name="Hed Top - SECTION 4 6 8 8" xfId="26805" xr:uid="{00000000-0005-0000-0000-0000EE6F0000}"/>
    <cellStyle name="Hed Top - SECTION 4 6 8 8 2" xfId="26806" xr:uid="{00000000-0005-0000-0000-0000EF6F0000}"/>
    <cellStyle name="Hed Top - SECTION 4 6 8 9" xfId="26807" xr:uid="{00000000-0005-0000-0000-0000F06F0000}"/>
    <cellStyle name="Hed Top - SECTION 4 6 8 9 2" xfId="26808" xr:uid="{00000000-0005-0000-0000-0000F16F0000}"/>
    <cellStyle name="Hed Top - SECTION 4 6 9" xfId="26809" xr:uid="{00000000-0005-0000-0000-0000F26F0000}"/>
    <cellStyle name="Hed Top - SECTION 4 6 9 10" xfId="26810" xr:uid="{00000000-0005-0000-0000-0000F36F0000}"/>
    <cellStyle name="Hed Top - SECTION 4 6 9 2" xfId="26811" xr:uid="{00000000-0005-0000-0000-0000F46F0000}"/>
    <cellStyle name="Hed Top - SECTION 4 6 9 2 2" xfId="26812" xr:uid="{00000000-0005-0000-0000-0000F56F0000}"/>
    <cellStyle name="Hed Top - SECTION 4 6 9 3" xfId="26813" xr:uid="{00000000-0005-0000-0000-0000F66F0000}"/>
    <cellStyle name="Hed Top - SECTION 4 6 9 3 2" xfId="26814" xr:uid="{00000000-0005-0000-0000-0000F76F0000}"/>
    <cellStyle name="Hed Top - SECTION 4 6 9 4" xfId="26815" xr:uid="{00000000-0005-0000-0000-0000F86F0000}"/>
    <cellStyle name="Hed Top - SECTION 4 6 9 4 2" xfId="26816" xr:uid="{00000000-0005-0000-0000-0000F96F0000}"/>
    <cellStyle name="Hed Top - SECTION 4 6 9 5" xfId="26817" xr:uid="{00000000-0005-0000-0000-0000FA6F0000}"/>
    <cellStyle name="Hed Top - SECTION 4 6 9 5 2" xfId="26818" xr:uid="{00000000-0005-0000-0000-0000FB6F0000}"/>
    <cellStyle name="Hed Top - SECTION 4 6 9 6" xfId="26819" xr:uid="{00000000-0005-0000-0000-0000FC6F0000}"/>
    <cellStyle name="Hed Top - SECTION 4 6 9 6 2" xfId="26820" xr:uid="{00000000-0005-0000-0000-0000FD6F0000}"/>
    <cellStyle name="Hed Top - SECTION 4 6 9 7" xfId="26821" xr:uid="{00000000-0005-0000-0000-0000FE6F0000}"/>
    <cellStyle name="Hed Top - SECTION 4 6 9 7 2" xfId="26822" xr:uid="{00000000-0005-0000-0000-0000FF6F0000}"/>
    <cellStyle name="Hed Top - SECTION 4 6 9 8" xfId="26823" xr:uid="{00000000-0005-0000-0000-000000700000}"/>
    <cellStyle name="Hed Top - SECTION 4 6 9 8 2" xfId="26824" xr:uid="{00000000-0005-0000-0000-000001700000}"/>
    <cellStyle name="Hed Top - SECTION 4 6 9 9" xfId="26825" xr:uid="{00000000-0005-0000-0000-000002700000}"/>
    <cellStyle name="Hed Top - SECTION 4 6 9 9 2" xfId="26826" xr:uid="{00000000-0005-0000-0000-000003700000}"/>
    <cellStyle name="Hed Top - SECTION 4 7" xfId="26827" xr:uid="{00000000-0005-0000-0000-000004700000}"/>
    <cellStyle name="Hed Top - SECTION 4 7 10" xfId="26828" xr:uid="{00000000-0005-0000-0000-000005700000}"/>
    <cellStyle name="Hed Top - SECTION 4 7 10 2" xfId="26829" xr:uid="{00000000-0005-0000-0000-000006700000}"/>
    <cellStyle name="Hed Top - SECTION 4 7 10 2 2" xfId="26830" xr:uid="{00000000-0005-0000-0000-000007700000}"/>
    <cellStyle name="Hed Top - SECTION 4 7 10 3" xfId="26831" xr:uid="{00000000-0005-0000-0000-000008700000}"/>
    <cellStyle name="Hed Top - SECTION 4 7 10 3 2" xfId="26832" xr:uid="{00000000-0005-0000-0000-000009700000}"/>
    <cellStyle name="Hed Top - SECTION 4 7 10 4" xfId="26833" xr:uid="{00000000-0005-0000-0000-00000A700000}"/>
    <cellStyle name="Hed Top - SECTION 4 7 10 4 2" xfId="26834" xr:uid="{00000000-0005-0000-0000-00000B700000}"/>
    <cellStyle name="Hed Top - SECTION 4 7 10 5" xfId="26835" xr:uid="{00000000-0005-0000-0000-00000C700000}"/>
    <cellStyle name="Hed Top - SECTION 4 7 10 5 2" xfId="26836" xr:uid="{00000000-0005-0000-0000-00000D700000}"/>
    <cellStyle name="Hed Top - SECTION 4 7 10 6" xfId="26837" xr:uid="{00000000-0005-0000-0000-00000E700000}"/>
    <cellStyle name="Hed Top - SECTION 4 7 10 6 2" xfId="26838" xr:uid="{00000000-0005-0000-0000-00000F700000}"/>
    <cellStyle name="Hed Top - SECTION 4 7 10 7" xfId="26839" xr:uid="{00000000-0005-0000-0000-000010700000}"/>
    <cellStyle name="Hed Top - SECTION 4 7 10 7 2" xfId="26840" xr:uid="{00000000-0005-0000-0000-000011700000}"/>
    <cellStyle name="Hed Top - SECTION 4 7 10 8" xfId="26841" xr:uid="{00000000-0005-0000-0000-000012700000}"/>
    <cellStyle name="Hed Top - SECTION 4 7 10 8 2" xfId="26842" xr:uid="{00000000-0005-0000-0000-000013700000}"/>
    <cellStyle name="Hed Top - SECTION 4 7 10 9" xfId="26843" xr:uid="{00000000-0005-0000-0000-000014700000}"/>
    <cellStyle name="Hed Top - SECTION 4 7 11" xfId="26844" xr:uid="{00000000-0005-0000-0000-000015700000}"/>
    <cellStyle name="Hed Top - SECTION 4 7 11 2" xfId="26845" xr:uid="{00000000-0005-0000-0000-000016700000}"/>
    <cellStyle name="Hed Top - SECTION 4 7 12" xfId="26846" xr:uid="{00000000-0005-0000-0000-000017700000}"/>
    <cellStyle name="Hed Top - SECTION 4 7 12 2" xfId="26847" xr:uid="{00000000-0005-0000-0000-000018700000}"/>
    <cellStyle name="Hed Top - SECTION 4 7 13" xfId="26848" xr:uid="{00000000-0005-0000-0000-000019700000}"/>
    <cellStyle name="Hed Top - SECTION 4 7 13 2" xfId="26849" xr:uid="{00000000-0005-0000-0000-00001A700000}"/>
    <cellStyle name="Hed Top - SECTION 4 7 14" xfId="26850" xr:uid="{00000000-0005-0000-0000-00001B700000}"/>
    <cellStyle name="Hed Top - SECTION 4 7 14 2" xfId="26851" xr:uid="{00000000-0005-0000-0000-00001C700000}"/>
    <cellStyle name="Hed Top - SECTION 4 7 15" xfId="26852" xr:uid="{00000000-0005-0000-0000-00001D700000}"/>
    <cellStyle name="Hed Top - SECTION 4 7 15 2" xfId="26853" xr:uid="{00000000-0005-0000-0000-00001E700000}"/>
    <cellStyle name="Hed Top - SECTION 4 7 16" xfId="26854" xr:uid="{00000000-0005-0000-0000-00001F700000}"/>
    <cellStyle name="Hed Top - SECTION 4 7 16 2" xfId="26855" xr:uid="{00000000-0005-0000-0000-000020700000}"/>
    <cellStyle name="Hed Top - SECTION 4 7 17" xfId="26856" xr:uid="{00000000-0005-0000-0000-000021700000}"/>
    <cellStyle name="Hed Top - SECTION 4 7 17 2" xfId="26857" xr:uid="{00000000-0005-0000-0000-000022700000}"/>
    <cellStyle name="Hed Top - SECTION 4 7 18" xfId="26858" xr:uid="{00000000-0005-0000-0000-000023700000}"/>
    <cellStyle name="Hed Top - SECTION 4 7 2" xfId="26859" xr:uid="{00000000-0005-0000-0000-000024700000}"/>
    <cellStyle name="Hed Top - SECTION 4 7 2 10" xfId="26860" xr:uid="{00000000-0005-0000-0000-000025700000}"/>
    <cellStyle name="Hed Top - SECTION 4 7 2 2" xfId="26861" xr:uid="{00000000-0005-0000-0000-000026700000}"/>
    <cellStyle name="Hed Top - SECTION 4 7 2 2 2" xfId="26862" xr:uid="{00000000-0005-0000-0000-000027700000}"/>
    <cellStyle name="Hed Top - SECTION 4 7 2 3" xfId="26863" xr:uid="{00000000-0005-0000-0000-000028700000}"/>
    <cellStyle name="Hed Top - SECTION 4 7 2 3 2" xfId="26864" xr:uid="{00000000-0005-0000-0000-000029700000}"/>
    <cellStyle name="Hed Top - SECTION 4 7 2 4" xfId="26865" xr:uid="{00000000-0005-0000-0000-00002A700000}"/>
    <cellStyle name="Hed Top - SECTION 4 7 2 4 2" xfId="26866" xr:uid="{00000000-0005-0000-0000-00002B700000}"/>
    <cellStyle name="Hed Top - SECTION 4 7 2 5" xfId="26867" xr:uid="{00000000-0005-0000-0000-00002C700000}"/>
    <cellStyle name="Hed Top - SECTION 4 7 2 5 2" xfId="26868" xr:uid="{00000000-0005-0000-0000-00002D700000}"/>
    <cellStyle name="Hed Top - SECTION 4 7 2 6" xfId="26869" xr:uid="{00000000-0005-0000-0000-00002E700000}"/>
    <cellStyle name="Hed Top - SECTION 4 7 2 6 2" xfId="26870" xr:uid="{00000000-0005-0000-0000-00002F700000}"/>
    <cellStyle name="Hed Top - SECTION 4 7 2 7" xfId="26871" xr:uid="{00000000-0005-0000-0000-000030700000}"/>
    <cellStyle name="Hed Top - SECTION 4 7 2 7 2" xfId="26872" xr:uid="{00000000-0005-0000-0000-000031700000}"/>
    <cellStyle name="Hed Top - SECTION 4 7 2 8" xfId="26873" xr:uid="{00000000-0005-0000-0000-000032700000}"/>
    <cellStyle name="Hed Top - SECTION 4 7 2 8 2" xfId="26874" xr:uid="{00000000-0005-0000-0000-000033700000}"/>
    <cellStyle name="Hed Top - SECTION 4 7 2 9" xfId="26875" xr:uid="{00000000-0005-0000-0000-000034700000}"/>
    <cellStyle name="Hed Top - SECTION 4 7 2 9 2" xfId="26876" xr:uid="{00000000-0005-0000-0000-000035700000}"/>
    <cellStyle name="Hed Top - SECTION 4 7 3" xfId="26877" xr:uid="{00000000-0005-0000-0000-000036700000}"/>
    <cellStyle name="Hed Top - SECTION 4 7 3 10" xfId="26878" xr:uid="{00000000-0005-0000-0000-000037700000}"/>
    <cellStyle name="Hed Top - SECTION 4 7 3 2" xfId="26879" xr:uid="{00000000-0005-0000-0000-000038700000}"/>
    <cellStyle name="Hed Top - SECTION 4 7 3 2 2" xfId="26880" xr:uid="{00000000-0005-0000-0000-000039700000}"/>
    <cellStyle name="Hed Top - SECTION 4 7 3 3" xfId="26881" xr:uid="{00000000-0005-0000-0000-00003A700000}"/>
    <cellStyle name="Hed Top - SECTION 4 7 3 3 2" xfId="26882" xr:uid="{00000000-0005-0000-0000-00003B700000}"/>
    <cellStyle name="Hed Top - SECTION 4 7 3 4" xfId="26883" xr:uid="{00000000-0005-0000-0000-00003C700000}"/>
    <cellStyle name="Hed Top - SECTION 4 7 3 4 2" xfId="26884" xr:uid="{00000000-0005-0000-0000-00003D700000}"/>
    <cellStyle name="Hed Top - SECTION 4 7 3 5" xfId="26885" xr:uid="{00000000-0005-0000-0000-00003E700000}"/>
    <cellStyle name="Hed Top - SECTION 4 7 3 5 2" xfId="26886" xr:uid="{00000000-0005-0000-0000-00003F700000}"/>
    <cellStyle name="Hed Top - SECTION 4 7 3 6" xfId="26887" xr:uid="{00000000-0005-0000-0000-000040700000}"/>
    <cellStyle name="Hed Top - SECTION 4 7 3 6 2" xfId="26888" xr:uid="{00000000-0005-0000-0000-000041700000}"/>
    <cellStyle name="Hed Top - SECTION 4 7 3 7" xfId="26889" xr:uid="{00000000-0005-0000-0000-000042700000}"/>
    <cellStyle name="Hed Top - SECTION 4 7 3 7 2" xfId="26890" xr:uid="{00000000-0005-0000-0000-000043700000}"/>
    <cellStyle name="Hed Top - SECTION 4 7 3 8" xfId="26891" xr:uid="{00000000-0005-0000-0000-000044700000}"/>
    <cellStyle name="Hed Top - SECTION 4 7 3 8 2" xfId="26892" xr:uid="{00000000-0005-0000-0000-000045700000}"/>
    <cellStyle name="Hed Top - SECTION 4 7 3 9" xfId="26893" xr:uid="{00000000-0005-0000-0000-000046700000}"/>
    <cellStyle name="Hed Top - SECTION 4 7 3 9 2" xfId="26894" xr:uid="{00000000-0005-0000-0000-000047700000}"/>
    <cellStyle name="Hed Top - SECTION 4 7 4" xfId="26895" xr:uid="{00000000-0005-0000-0000-000048700000}"/>
    <cellStyle name="Hed Top - SECTION 4 7 4 10" xfId="26896" xr:uid="{00000000-0005-0000-0000-000049700000}"/>
    <cellStyle name="Hed Top - SECTION 4 7 4 2" xfId="26897" xr:uid="{00000000-0005-0000-0000-00004A700000}"/>
    <cellStyle name="Hed Top - SECTION 4 7 4 2 2" xfId="26898" xr:uid="{00000000-0005-0000-0000-00004B700000}"/>
    <cellStyle name="Hed Top - SECTION 4 7 4 3" xfId="26899" xr:uid="{00000000-0005-0000-0000-00004C700000}"/>
    <cellStyle name="Hed Top - SECTION 4 7 4 3 2" xfId="26900" xr:uid="{00000000-0005-0000-0000-00004D700000}"/>
    <cellStyle name="Hed Top - SECTION 4 7 4 4" xfId="26901" xr:uid="{00000000-0005-0000-0000-00004E700000}"/>
    <cellStyle name="Hed Top - SECTION 4 7 4 4 2" xfId="26902" xr:uid="{00000000-0005-0000-0000-00004F700000}"/>
    <cellStyle name="Hed Top - SECTION 4 7 4 5" xfId="26903" xr:uid="{00000000-0005-0000-0000-000050700000}"/>
    <cellStyle name="Hed Top - SECTION 4 7 4 5 2" xfId="26904" xr:uid="{00000000-0005-0000-0000-000051700000}"/>
    <cellStyle name="Hed Top - SECTION 4 7 4 6" xfId="26905" xr:uid="{00000000-0005-0000-0000-000052700000}"/>
    <cellStyle name="Hed Top - SECTION 4 7 4 6 2" xfId="26906" xr:uid="{00000000-0005-0000-0000-000053700000}"/>
    <cellStyle name="Hed Top - SECTION 4 7 4 7" xfId="26907" xr:uid="{00000000-0005-0000-0000-000054700000}"/>
    <cellStyle name="Hed Top - SECTION 4 7 4 7 2" xfId="26908" xr:uid="{00000000-0005-0000-0000-000055700000}"/>
    <cellStyle name="Hed Top - SECTION 4 7 4 8" xfId="26909" xr:uid="{00000000-0005-0000-0000-000056700000}"/>
    <cellStyle name="Hed Top - SECTION 4 7 4 8 2" xfId="26910" xr:uid="{00000000-0005-0000-0000-000057700000}"/>
    <cellStyle name="Hed Top - SECTION 4 7 4 9" xfId="26911" xr:uid="{00000000-0005-0000-0000-000058700000}"/>
    <cellStyle name="Hed Top - SECTION 4 7 4 9 2" xfId="26912" xr:uid="{00000000-0005-0000-0000-000059700000}"/>
    <cellStyle name="Hed Top - SECTION 4 7 5" xfId="26913" xr:uid="{00000000-0005-0000-0000-00005A700000}"/>
    <cellStyle name="Hed Top - SECTION 4 7 5 10" xfId="26914" xr:uid="{00000000-0005-0000-0000-00005B700000}"/>
    <cellStyle name="Hed Top - SECTION 4 7 5 2" xfId="26915" xr:uid="{00000000-0005-0000-0000-00005C700000}"/>
    <cellStyle name="Hed Top - SECTION 4 7 5 2 2" xfId="26916" xr:uid="{00000000-0005-0000-0000-00005D700000}"/>
    <cellStyle name="Hed Top - SECTION 4 7 5 3" xfId="26917" xr:uid="{00000000-0005-0000-0000-00005E700000}"/>
    <cellStyle name="Hed Top - SECTION 4 7 5 3 2" xfId="26918" xr:uid="{00000000-0005-0000-0000-00005F700000}"/>
    <cellStyle name="Hed Top - SECTION 4 7 5 4" xfId="26919" xr:uid="{00000000-0005-0000-0000-000060700000}"/>
    <cellStyle name="Hed Top - SECTION 4 7 5 4 2" xfId="26920" xr:uid="{00000000-0005-0000-0000-000061700000}"/>
    <cellStyle name="Hed Top - SECTION 4 7 5 5" xfId="26921" xr:uid="{00000000-0005-0000-0000-000062700000}"/>
    <cellStyle name="Hed Top - SECTION 4 7 5 5 2" xfId="26922" xr:uid="{00000000-0005-0000-0000-000063700000}"/>
    <cellStyle name="Hed Top - SECTION 4 7 5 6" xfId="26923" xr:uid="{00000000-0005-0000-0000-000064700000}"/>
    <cellStyle name="Hed Top - SECTION 4 7 5 6 2" xfId="26924" xr:uid="{00000000-0005-0000-0000-000065700000}"/>
    <cellStyle name="Hed Top - SECTION 4 7 5 7" xfId="26925" xr:uid="{00000000-0005-0000-0000-000066700000}"/>
    <cellStyle name="Hed Top - SECTION 4 7 5 7 2" xfId="26926" xr:uid="{00000000-0005-0000-0000-000067700000}"/>
    <cellStyle name="Hed Top - SECTION 4 7 5 8" xfId="26927" xr:uid="{00000000-0005-0000-0000-000068700000}"/>
    <cellStyle name="Hed Top - SECTION 4 7 5 8 2" xfId="26928" xr:uid="{00000000-0005-0000-0000-000069700000}"/>
    <cellStyle name="Hed Top - SECTION 4 7 5 9" xfId="26929" xr:uid="{00000000-0005-0000-0000-00006A700000}"/>
    <cellStyle name="Hed Top - SECTION 4 7 5 9 2" xfId="26930" xr:uid="{00000000-0005-0000-0000-00006B700000}"/>
    <cellStyle name="Hed Top - SECTION 4 7 6" xfId="26931" xr:uid="{00000000-0005-0000-0000-00006C700000}"/>
    <cellStyle name="Hed Top - SECTION 4 7 6 10" xfId="26932" xr:uid="{00000000-0005-0000-0000-00006D700000}"/>
    <cellStyle name="Hed Top - SECTION 4 7 6 2" xfId="26933" xr:uid="{00000000-0005-0000-0000-00006E700000}"/>
    <cellStyle name="Hed Top - SECTION 4 7 6 2 2" xfId="26934" xr:uid="{00000000-0005-0000-0000-00006F700000}"/>
    <cellStyle name="Hed Top - SECTION 4 7 6 3" xfId="26935" xr:uid="{00000000-0005-0000-0000-000070700000}"/>
    <cellStyle name="Hed Top - SECTION 4 7 6 3 2" xfId="26936" xr:uid="{00000000-0005-0000-0000-000071700000}"/>
    <cellStyle name="Hed Top - SECTION 4 7 6 4" xfId="26937" xr:uid="{00000000-0005-0000-0000-000072700000}"/>
    <cellStyle name="Hed Top - SECTION 4 7 6 4 2" xfId="26938" xr:uid="{00000000-0005-0000-0000-000073700000}"/>
    <cellStyle name="Hed Top - SECTION 4 7 6 5" xfId="26939" xr:uid="{00000000-0005-0000-0000-000074700000}"/>
    <cellStyle name="Hed Top - SECTION 4 7 6 5 2" xfId="26940" xr:uid="{00000000-0005-0000-0000-000075700000}"/>
    <cellStyle name="Hed Top - SECTION 4 7 6 6" xfId="26941" xr:uid="{00000000-0005-0000-0000-000076700000}"/>
    <cellStyle name="Hed Top - SECTION 4 7 6 6 2" xfId="26942" xr:uid="{00000000-0005-0000-0000-000077700000}"/>
    <cellStyle name="Hed Top - SECTION 4 7 6 7" xfId="26943" xr:uid="{00000000-0005-0000-0000-000078700000}"/>
    <cellStyle name="Hed Top - SECTION 4 7 6 7 2" xfId="26944" xr:uid="{00000000-0005-0000-0000-000079700000}"/>
    <cellStyle name="Hed Top - SECTION 4 7 6 8" xfId="26945" xr:uid="{00000000-0005-0000-0000-00007A700000}"/>
    <cellStyle name="Hed Top - SECTION 4 7 6 8 2" xfId="26946" xr:uid="{00000000-0005-0000-0000-00007B700000}"/>
    <cellStyle name="Hed Top - SECTION 4 7 6 9" xfId="26947" xr:uid="{00000000-0005-0000-0000-00007C700000}"/>
    <cellStyle name="Hed Top - SECTION 4 7 6 9 2" xfId="26948" xr:uid="{00000000-0005-0000-0000-00007D700000}"/>
    <cellStyle name="Hed Top - SECTION 4 7 7" xfId="26949" xr:uid="{00000000-0005-0000-0000-00007E700000}"/>
    <cellStyle name="Hed Top - SECTION 4 7 7 10" xfId="26950" xr:uid="{00000000-0005-0000-0000-00007F700000}"/>
    <cellStyle name="Hed Top - SECTION 4 7 7 2" xfId="26951" xr:uid="{00000000-0005-0000-0000-000080700000}"/>
    <cellStyle name="Hed Top - SECTION 4 7 7 2 2" xfId="26952" xr:uid="{00000000-0005-0000-0000-000081700000}"/>
    <cellStyle name="Hed Top - SECTION 4 7 7 3" xfId="26953" xr:uid="{00000000-0005-0000-0000-000082700000}"/>
    <cellStyle name="Hed Top - SECTION 4 7 7 3 2" xfId="26954" xr:uid="{00000000-0005-0000-0000-000083700000}"/>
    <cellStyle name="Hed Top - SECTION 4 7 7 4" xfId="26955" xr:uid="{00000000-0005-0000-0000-000084700000}"/>
    <cellStyle name="Hed Top - SECTION 4 7 7 4 2" xfId="26956" xr:uid="{00000000-0005-0000-0000-000085700000}"/>
    <cellStyle name="Hed Top - SECTION 4 7 7 5" xfId="26957" xr:uid="{00000000-0005-0000-0000-000086700000}"/>
    <cellStyle name="Hed Top - SECTION 4 7 7 5 2" xfId="26958" xr:uid="{00000000-0005-0000-0000-000087700000}"/>
    <cellStyle name="Hed Top - SECTION 4 7 7 6" xfId="26959" xr:uid="{00000000-0005-0000-0000-000088700000}"/>
    <cellStyle name="Hed Top - SECTION 4 7 7 6 2" xfId="26960" xr:uid="{00000000-0005-0000-0000-000089700000}"/>
    <cellStyle name="Hed Top - SECTION 4 7 7 7" xfId="26961" xr:uid="{00000000-0005-0000-0000-00008A700000}"/>
    <cellStyle name="Hed Top - SECTION 4 7 7 7 2" xfId="26962" xr:uid="{00000000-0005-0000-0000-00008B700000}"/>
    <cellStyle name="Hed Top - SECTION 4 7 7 8" xfId="26963" xr:uid="{00000000-0005-0000-0000-00008C700000}"/>
    <cellStyle name="Hed Top - SECTION 4 7 7 8 2" xfId="26964" xr:uid="{00000000-0005-0000-0000-00008D700000}"/>
    <cellStyle name="Hed Top - SECTION 4 7 7 9" xfId="26965" xr:uid="{00000000-0005-0000-0000-00008E700000}"/>
    <cellStyle name="Hed Top - SECTION 4 7 7 9 2" xfId="26966" xr:uid="{00000000-0005-0000-0000-00008F700000}"/>
    <cellStyle name="Hed Top - SECTION 4 7 8" xfId="26967" xr:uid="{00000000-0005-0000-0000-000090700000}"/>
    <cellStyle name="Hed Top - SECTION 4 7 8 10" xfId="26968" xr:uid="{00000000-0005-0000-0000-000091700000}"/>
    <cellStyle name="Hed Top - SECTION 4 7 8 2" xfId="26969" xr:uid="{00000000-0005-0000-0000-000092700000}"/>
    <cellStyle name="Hed Top - SECTION 4 7 8 2 2" xfId="26970" xr:uid="{00000000-0005-0000-0000-000093700000}"/>
    <cellStyle name="Hed Top - SECTION 4 7 8 3" xfId="26971" xr:uid="{00000000-0005-0000-0000-000094700000}"/>
    <cellStyle name="Hed Top - SECTION 4 7 8 3 2" xfId="26972" xr:uid="{00000000-0005-0000-0000-000095700000}"/>
    <cellStyle name="Hed Top - SECTION 4 7 8 4" xfId="26973" xr:uid="{00000000-0005-0000-0000-000096700000}"/>
    <cellStyle name="Hed Top - SECTION 4 7 8 4 2" xfId="26974" xr:uid="{00000000-0005-0000-0000-000097700000}"/>
    <cellStyle name="Hed Top - SECTION 4 7 8 5" xfId="26975" xr:uid="{00000000-0005-0000-0000-000098700000}"/>
    <cellStyle name="Hed Top - SECTION 4 7 8 5 2" xfId="26976" xr:uid="{00000000-0005-0000-0000-000099700000}"/>
    <cellStyle name="Hed Top - SECTION 4 7 8 6" xfId="26977" xr:uid="{00000000-0005-0000-0000-00009A700000}"/>
    <cellStyle name="Hed Top - SECTION 4 7 8 6 2" xfId="26978" xr:uid="{00000000-0005-0000-0000-00009B700000}"/>
    <cellStyle name="Hed Top - SECTION 4 7 8 7" xfId="26979" xr:uid="{00000000-0005-0000-0000-00009C700000}"/>
    <cellStyle name="Hed Top - SECTION 4 7 8 7 2" xfId="26980" xr:uid="{00000000-0005-0000-0000-00009D700000}"/>
    <cellStyle name="Hed Top - SECTION 4 7 8 8" xfId="26981" xr:uid="{00000000-0005-0000-0000-00009E700000}"/>
    <cellStyle name="Hed Top - SECTION 4 7 8 8 2" xfId="26982" xr:uid="{00000000-0005-0000-0000-00009F700000}"/>
    <cellStyle name="Hed Top - SECTION 4 7 8 9" xfId="26983" xr:uid="{00000000-0005-0000-0000-0000A0700000}"/>
    <cellStyle name="Hed Top - SECTION 4 7 8 9 2" xfId="26984" xr:uid="{00000000-0005-0000-0000-0000A1700000}"/>
    <cellStyle name="Hed Top - SECTION 4 7 9" xfId="26985" xr:uid="{00000000-0005-0000-0000-0000A2700000}"/>
    <cellStyle name="Hed Top - SECTION 4 7 9 10" xfId="26986" xr:uid="{00000000-0005-0000-0000-0000A3700000}"/>
    <cellStyle name="Hed Top - SECTION 4 7 9 2" xfId="26987" xr:uid="{00000000-0005-0000-0000-0000A4700000}"/>
    <cellStyle name="Hed Top - SECTION 4 7 9 2 2" xfId="26988" xr:uid="{00000000-0005-0000-0000-0000A5700000}"/>
    <cellStyle name="Hed Top - SECTION 4 7 9 3" xfId="26989" xr:uid="{00000000-0005-0000-0000-0000A6700000}"/>
    <cellStyle name="Hed Top - SECTION 4 7 9 3 2" xfId="26990" xr:uid="{00000000-0005-0000-0000-0000A7700000}"/>
    <cellStyle name="Hed Top - SECTION 4 7 9 4" xfId="26991" xr:uid="{00000000-0005-0000-0000-0000A8700000}"/>
    <cellStyle name="Hed Top - SECTION 4 7 9 4 2" xfId="26992" xr:uid="{00000000-0005-0000-0000-0000A9700000}"/>
    <cellStyle name="Hed Top - SECTION 4 7 9 5" xfId="26993" xr:uid="{00000000-0005-0000-0000-0000AA700000}"/>
    <cellStyle name="Hed Top - SECTION 4 7 9 5 2" xfId="26994" xr:uid="{00000000-0005-0000-0000-0000AB700000}"/>
    <cellStyle name="Hed Top - SECTION 4 7 9 6" xfId="26995" xr:uid="{00000000-0005-0000-0000-0000AC700000}"/>
    <cellStyle name="Hed Top - SECTION 4 7 9 6 2" xfId="26996" xr:uid="{00000000-0005-0000-0000-0000AD700000}"/>
    <cellStyle name="Hed Top - SECTION 4 7 9 7" xfId="26997" xr:uid="{00000000-0005-0000-0000-0000AE700000}"/>
    <cellStyle name="Hed Top - SECTION 4 7 9 7 2" xfId="26998" xr:uid="{00000000-0005-0000-0000-0000AF700000}"/>
    <cellStyle name="Hed Top - SECTION 4 7 9 8" xfId="26999" xr:uid="{00000000-0005-0000-0000-0000B0700000}"/>
    <cellStyle name="Hed Top - SECTION 4 7 9 8 2" xfId="27000" xr:uid="{00000000-0005-0000-0000-0000B1700000}"/>
    <cellStyle name="Hed Top - SECTION 4 7 9 9" xfId="27001" xr:uid="{00000000-0005-0000-0000-0000B2700000}"/>
    <cellStyle name="Hed Top - SECTION 4 7 9 9 2" xfId="27002" xr:uid="{00000000-0005-0000-0000-0000B3700000}"/>
    <cellStyle name="Hed Top_3-new4" xfId="80" xr:uid="{00000000-0005-0000-0000-0000B4700000}"/>
    <cellStyle name="Hyperlink" xfId="43848" builtinId="8"/>
    <cellStyle name="Hyperlink 2" xfId="17" xr:uid="{00000000-0005-0000-0000-0000B6700000}"/>
    <cellStyle name="Hyperlink 2 2" xfId="42839" xr:uid="{00000000-0005-0000-0000-0000B7700000}"/>
    <cellStyle name="Hyperlink 2 2 2" xfId="42840" xr:uid="{00000000-0005-0000-0000-0000B8700000}"/>
    <cellStyle name="Hyperlink 2 3" xfId="42841" xr:uid="{00000000-0005-0000-0000-0000B9700000}"/>
    <cellStyle name="Hyperlink 3" xfId="7" xr:uid="{00000000-0005-0000-0000-0000BA700000}"/>
    <cellStyle name="Hyperlink 3 2" xfId="213" xr:uid="{00000000-0005-0000-0000-0000BB700000}"/>
    <cellStyle name="Hyperlink 4" xfId="27003" xr:uid="{00000000-0005-0000-0000-0000BC700000}"/>
    <cellStyle name="Hyperlink 5" xfId="42842" xr:uid="{00000000-0005-0000-0000-0000BD700000}"/>
    <cellStyle name="Hyperlink 6" xfId="42843" xr:uid="{00000000-0005-0000-0000-0000BE700000}"/>
    <cellStyle name="Hyperlink 7" xfId="42844" xr:uid="{00000000-0005-0000-0000-0000BF700000}"/>
    <cellStyle name="Input [yellow]" xfId="177" xr:uid="{00000000-0005-0000-0000-0000C0700000}"/>
    <cellStyle name="Input [yellow] 10" xfId="42845" xr:uid="{00000000-0005-0000-0000-0000C1700000}"/>
    <cellStyle name="Input [yellow] 11" xfId="42846" xr:uid="{00000000-0005-0000-0000-0000C2700000}"/>
    <cellStyle name="Input [yellow] 12" xfId="42847" xr:uid="{00000000-0005-0000-0000-0000C3700000}"/>
    <cellStyle name="Input [yellow] 13" xfId="42848" xr:uid="{00000000-0005-0000-0000-0000C4700000}"/>
    <cellStyle name="Input [yellow] 14" xfId="42849" xr:uid="{00000000-0005-0000-0000-0000C5700000}"/>
    <cellStyle name="Input [yellow] 15" xfId="42850" xr:uid="{00000000-0005-0000-0000-0000C6700000}"/>
    <cellStyle name="Input [yellow] 16" xfId="42851" xr:uid="{00000000-0005-0000-0000-0000C7700000}"/>
    <cellStyle name="Input [yellow] 17" xfId="42852" xr:uid="{00000000-0005-0000-0000-0000C8700000}"/>
    <cellStyle name="Input [yellow] 18" xfId="42853" xr:uid="{00000000-0005-0000-0000-0000C9700000}"/>
    <cellStyle name="Input [yellow] 19" xfId="42854" xr:uid="{00000000-0005-0000-0000-0000CA700000}"/>
    <cellStyle name="Input [yellow] 2" xfId="42855" xr:uid="{00000000-0005-0000-0000-0000CB700000}"/>
    <cellStyle name="Input [yellow] 20" xfId="42856" xr:uid="{00000000-0005-0000-0000-0000CC700000}"/>
    <cellStyle name="Input [yellow] 21" xfId="42857" xr:uid="{00000000-0005-0000-0000-0000CD700000}"/>
    <cellStyle name="Input [yellow] 22" xfId="42858" xr:uid="{00000000-0005-0000-0000-0000CE700000}"/>
    <cellStyle name="Input [yellow] 3" xfId="42859" xr:uid="{00000000-0005-0000-0000-0000CF700000}"/>
    <cellStyle name="Input [yellow] 4" xfId="42860" xr:uid="{00000000-0005-0000-0000-0000D0700000}"/>
    <cellStyle name="Input [yellow] 5" xfId="42861" xr:uid="{00000000-0005-0000-0000-0000D1700000}"/>
    <cellStyle name="Input [yellow] 6" xfId="42862" xr:uid="{00000000-0005-0000-0000-0000D2700000}"/>
    <cellStyle name="Input [yellow] 7" xfId="42863" xr:uid="{00000000-0005-0000-0000-0000D3700000}"/>
    <cellStyle name="Input [yellow] 8" xfId="42864" xr:uid="{00000000-0005-0000-0000-0000D4700000}"/>
    <cellStyle name="Input [yellow] 9" xfId="42865" xr:uid="{00000000-0005-0000-0000-0000D5700000}"/>
    <cellStyle name="Input 10" xfId="42866" xr:uid="{00000000-0005-0000-0000-0000D6700000}"/>
    <cellStyle name="Input 11" xfId="42867" xr:uid="{00000000-0005-0000-0000-0000D7700000}"/>
    <cellStyle name="Input 12" xfId="42868" xr:uid="{00000000-0005-0000-0000-0000D8700000}"/>
    <cellStyle name="Input 13" xfId="42869" xr:uid="{00000000-0005-0000-0000-0000D9700000}"/>
    <cellStyle name="Input 14" xfId="42870" xr:uid="{00000000-0005-0000-0000-0000DA700000}"/>
    <cellStyle name="Input 15" xfId="42871" xr:uid="{00000000-0005-0000-0000-0000DB700000}"/>
    <cellStyle name="Input 16" xfId="42872" xr:uid="{00000000-0005-0000-0000-0000DC700000}"/>
    <cellStyle name="Input 17" xfId="42873" xr:uid="{00000000-0005-0000-0000-0000DD700000}"/>
    <cellStyle name="Input 18" xfId="42874" xr:uid="{00000000-0005-0000-0000-0000DE700000}"/>
    <cellStyle name="Input 19" xfId="42875" xr:uid="{00000000-0005-0000-0000-0000DF700000}"/>
    <cellStyle name="Input 2" xfId="81" xr:uid="{00000000-0005-0000-0000-0000E0700000}"/>
    <cellStyle name="Input 2 2" xfId="42876" xr:uid="{00000000-0005-0000-0000-0000E1700000}"/>
    <cellStyle name="Input 20" xfId="42877" xr:uid="{00000000-0005-0000-0000-0000E2700000}"/>
    <cellStyle name="Input 21" xfId="42878" xr:uid="{00000000-0005-0000-0000-0000E3700000}"/>
    <cellStyle name="Input 22" xfId="42879" xr:uid="{00000000-0005-0000-0000-0000E4700000}"/>
    <cellStyle name="Input 23" xfId="42880" xr:uid="{00000000-0005-0000-0000-0000E5700000}"/>
    <cellStyle name="Input 24" xfId="42881" xr:uid="{00000000-0005-0000-0000-0000E6700000}"/>
    <cellStyle name="Input 25" xfId="42882" xr:uid="{00000000-0005-0000-0000-0000E7700000}"/>
    <cellStyle name="Input 26" xfId="42883" xr:uid="{00000000-0005-0000-0000-0000E8700000}"/>
    <cellStyle name="Input 27" xfId="42884" xr:uid="{00000000-0005-0000-0000-0000E9700000}"/>
    <cellStyle name="Input 28" xfId="42885" xr:uid="{00000000-0005-0000-0000-0000EA700000}"/>
    <cellStyle name="Input 29" xfId="42886" xr:uid="{00000000-0005-0000-0000-0000EB700000}"/>
    <cellStyle name="Input 3" xfId="42887" xr:uid="{00000000-0005-0000-0000-0000EC700000}"/>
    <cellStyle name="Input 3 2" xfId="42888" xr:uid="{00000000-0005-0000-0000-0000ED700000}"/>
    <cellStyle name="Input 30" xfId="42889" xr:uid="{00000000-0005-0000-0000-0000EE700000}"/>
    <cellStyle name="Input 4" xfId="42890" xr:uid="{00000000-0005-0000-0000-0000EF700000}"/>
    <cellStyle name="Input 4 2" xfId="42891" xr:uid="{00000000-0005-0000-0000-0000F0700000}"/>
    <cellStyle name="Input 5" xfId="42892" xr:uid="{00000000-0005-0000-0000-0000F1700000}"/>
    <cellStyle name="Input 6" xfId="42893" xr:uid="{00000000-0005-0000-0000-0000F2700000}"/>
    <cellStyle name="Input 7" xfId="42894" xr:uid="{00000000-0005-0000-0000-0000F3700000}"/>
    <cellStyle name="Input 8" xfId="42895" xr:uid="{00000000-0005-0000-0000-0000F4700000}"/>
    <cellStyle name="Input 9" xfId="42896" xr:uid="{00000000-0005-0000-0000-0000F5700000}"/>
    <cellStyle name="Linked Cell 10" xfId="42897" xr:uid="{00000000-0005-0000-0000-0000F6700000}"/>
    <cellStyle name="Linked Cell 11" xfId="42898" xr:uid="{00000000-0005-0000-0000-0000F7700000}"/>
    <cellStyle name="Linked Cell 12" xfId="42899" xr:uid="{00000000-0005-0000-0000-0000F8700000}"/>
    <cellStyle name="Linked Cell 13" xfId="42900" xr:uid="{00000000-0005-0000-0000-0000F9700000}"/>
    <cellStyle name="Linked Cell 14" xfId="42901" xr:uid="{00000000-0005-0000-0000-0000FA700000}"/>
    <cellStyle name="Linked Cell 15" xfId="42902" xr:uid="{00000000-0005-0000-0000-0000FB700000}"/>
    <cellStyle name="Linked Cell 16" xfId="42903" xr:uid="{00000000-0005-0000-0000-0000FC700000}"/>
    <cellStyle name="Linked Cell 17" xfId="42904" xr:uid="{00000000-0005-0000-0000-0000FD700000}"/>
    <cellStyle name="Linked Cell 18" xfId="42905" xr:uid="{00000000-0005-0000-0000-0000FE700000}"/>
    <cellStyle name="Linked Cell 19" xfId="42906" xr:uid="{00000000-0005-0000-0000-0000FF700000}"/>
    <cellStyle name="Linked Cell 2" xfId="82" xr:uid="{00000000-0005-0000-0000-000000710000}"/>
    <cellStyle name="Linked Cell 2 2" xfId="42907" xr:uid="{00000000-0005-0000-0000-000001710000}"/>
    <cellStyle name="Linked Cell 20" xfId="42908" xr:uid="{00000000-0005-0000-0000-000002710000}"/>
    <cellStyle name="Linked Cell 21" xfId="42909" xr:uid="{00000000-0005-0000-0000-000003710000}"/>
    <cellStyle name="Linked Cell 22" xfId="42910" xr:uid="{00000000-0005-0000-0000-000004710000}"/>
    <cellStyle name="Linked Cell 23" xfId="42911" xr:uid="{00000000-0005-0000-0000-000005710000}"/>
    <cellStyle name="Linked Cell 3" xfId="42912" xr:uid="{00000000-0005-0000-0000-000006710000}"/>
    <cellStyle name="Linked Cell 4" xfId="42913" xr:uid="{00000000-0005-0000-0000-000007710000}"/>
    <cellStyle name="Linked Cell 5" xfId="42914" xr:uid="{00000000-0005-0000-0000-000008710000}"/>
    <cellStyle name="Linked Cell 6" xfId="42915" xr:uid="{00000000-0005-0000-0000-000009710000}"/>
    <cellStyle name="Linked Cell 7" xfId="42916" xr:uid="{00000000-0005-0000-0000-00000A710000}"/>
    <cellStyle name="Linked Cell 8" xfId="42917" xr:uid="{00000000-0005-0000-0000-00000B710000}"/>
    <cellStyle name="Linked Cell 9" xfId="42918" xr:uid="{00000000-0005-0000-0000-00000C710000}"/>
    <cellStyle name="Microsoft Excel found an error in the formula you entered. Do you want to accept the correction proposed below?_x000a__x000a_|_x000a__x000a_• To accept the correction, click Yes._x000a_• To close this message and correct the formula yourself, click No." xfId="42919" xr:uid="{00000000-0005-0000-0000-00000D710000}"/>
    <cellStyle name="Microsoft Excel found an error in the formula you entered. Do you want to accept the correction proposed below?_x000a__x000a_|_x000a__x000a_• To accept the correction, click Yes._x000a_• To close this message and correct the formula yourself, click No. 2" xfId="42920" xr:uid="{00000000-0005-0000-0000-00000E710000}"/>
    <cellStyle name="Millares [0]_laroux" xfId="178" xr:uid="{00000000-0005-0000-0000-00000F710000}"/>
    <cellStyle name="Millares_laroux" xfId="179" xr:uid="{00000000-0005-0000-0000-000010710000}"/>
    <cellStyle name="Moneda [0]_laroux" xfId="180" xr:uid="{00000000-0005-0000-0000-000011710000}"/>
    <cellStyle name="Moneda_laroux" xfId="181" xr:uid="{00000000-0005-0000-0000-000012710000}"/>
    <cellStyle name="Neutral 10" xfId="42921" xr:uid="{00000000-0005-0000-0000-000013710000}"/>
    <cellStyle name="Neutral 11" xfId="42922" xr:uid="{00000000-0005-0000-0000-000014710000}"/>
    <cellStyle name="Neutral 12" xfId="42923" xr:uid="{00000000-0005-0000-0000-000015710000}"/>
    <cellStyle name="Neutral 13" xfId="42924" xr:uid="{00000000-0005-0000-0000-000016710000}"/>
    <cellStyle name="Neutral 14" xfId="42925" xr:uid="{00000000-0005-0000-0000-000017710000}"/>
    <cellStyle name="Neutral 15" xfId="42926" xr:uid="{00000000-0005-0000-0000-000018710000}"/>
    <cellStyle name="Neutral 16" xfId="42927" xr:uid="{00000000-0005-0000-0000-000019710000}"/>
    <cellStyle name="Neutral 17" xfId="42928" xr:uid="{00000000-0005-0000-0000-00001A710000}"/>
    <cellStyle name="Neutral 18" xfId="42929" xr:uid="{00000000-0005-0000-0000-00001B710000}"/>
    <cellStyle name="Neutral 19" xfId="42930" xr:uid="{00000000-0005-0000-0000-00001C710000}"/>
    <cellStyle name="Neutral 2" xfId="83" xr:uid="{00000000-0005-0000-0000-00001D710000}"/>
    <cellStyle name="Neutral 2 2" xfId="42931" xr:uid="{00000000-0005-0000-0000-00001E710000}"/>
    <cellStyle name="Neutral 20" xfId="42932" xr:uid="{00000000-0005-0000-0000-00001F710000}"/>
    <cellStyle name="Neutral 21" xfId="42933" xr:uid="{00000000-0005-0000-0000-000020710000}"/>
    <cellStyle name="Neutral 22" xfId="42934" xr:uid="{00000000-0005-0000-0000-000021710000}"/>
    <cellStyle name="Neutral 23" xfId="42935" xr:uid="{00000000-0005-0000-0000-000022710000}"/>
    <cellStyle name="Neutral 3" xfId="42936" xr:uid="{00000000-0005-0000-0000-000023710000}"/>
    <cellStyle name="Neutral 4" xfId="42937" xr:uid="{00000000-0005-0000-0000-000024710000}"/>
    <cellStyle name="Neutral 5" xfId="42938" xr:uid="{00000000-0005-0000-0000-000025710000}"/>
    <cellStyle name="Neutral 6" xfId="42939" xr:uid="{00000000-0005-0000-0000-000026710000}"/>
    <cellStyle name="Neutral 7" xfId="42940" xr:uid="{00000000-0005-0000-0000-000027710000}"/>
    <cellStyle name="Neutral 8" xfId="42941" xr:uid="{00000000-0005-0000-0000-000028710000}"/>
    <cellStyle name="Neutral 9" xfId="42942" xr:uid="{00000000-0005-0000-0000-000029710000}"/>
    <cellStyle name="no dec" xfId="182" xr:uid="{00000000-0005-0000-0000-00002A710000}"/>
    <cellStyle name="Normal" xfId="0" builtinId="0"/>
    <cellStyle name="Normal - Style1" xfId="183" xr:uid="{00000000-0005-0000-0000-00002C710000}"/>
    <cellStyle name="Normal 10" xfId="84" xr:uid="{00000000-0005-0000-0000-00002D710000}"/>
    <cellStyle name="Normal 10 2" xfId="226" xr:uid="{00000000-0005-0000-0000-00002E710000}"/>
    <cellStyle name="Normal 10 3" xfId="227" xr:uid="{00000000-0005-0000-0000-00002F710000}"/>
    <cellStyle name="Normal 11" xfId="219" xr:uid="{00000000-0005-0000-0000-000030710000}"/>
    <cellStyle name="Normal 12" xfId="228" xr:uid="{00000000-0005-0000-0000-000031710000}"/>
    <cellStyle name="Normal 13" xfId="229" xr:uid="{00000000-0005-0000-0000-000032710000}"/>
    <cellStyle name="Normal 13 2" xfId="42943" xr:uid="{00000000-0005-0000-0000-000033710000}"/>
    <cellStyle name="Normal 13 3" xfId="42944" xr:uid="{00000000-0005-0000-0000-000034710000}"/>
    <cellStyle name="Normal 14" xfId="230" xr:uid="{00000000-0005-0000-0000-000035710000}"/>
    <cellStyle name="Normal 15" xfId="231" xr:uid="{00000000-0005-0000-0000-000036710000}"/>
    <cellStyle name="Normal 16" xfId="232" xr:uid="{00000000-0005-0000-0000-000037710000}"/>
    <cellStyle name="Normal 17" xfId="233" xr:uid="{00000000-0005-0000-0000-000038710000}"/>
    <cellStyle name="Normal 18" xfId="234" xr:uid="{00000000-0005-0000-0000-000039710000}"/>
    <cellStyle name="Normal 19" xfId="235" xr:uid="{00000000-0005-0000-0000-00003A710000}"/>
    <cellStyle name="Normal 2" xfId="8" xr:uid="{00000000-0005-0000-0000-00003B710000}"/>
    <cellStyle name="Normal 2 10" xfId="42945" xr:uid="{00000000-0005-0000-0000-00003C710000}"/>
    <cellStyle name="Normal 2 11" xfId="42946" xr:uid="{00000000-0005-0000-0000-00003D710000}"/>
    <cellStyle name="Normal 2 12" xfId="42947" xr:uid="{00000000-0005-0000-0000-00003E710000}"/>
    <cellStyle name="Normal 2 13" xfId="42948" xr:uid="{00000000-0005-0000-0000-00003F710000}"/>
    <cellStyle name="Normal 2 14" xfId="42949" xr:uid="{00000000-0005-0000-0000-000040710000}"/>
    <cellStyle name="Normal 2 15" xfId="42950" xr:uid="{00000000-0005-0000-0000-000041710000}"/>
    <cellStyle name="Normal 2 16" xfId="42951" xr:uid="{00000000-0005-0000-0000-000042710000}"/>
    <cellStyle name="Normal 2 17" xfId="42952" xr:uid="{00000000-0005-0000-0000-000043710000}"/>
    <cellStyle name="Normal 2 18" xfId="42953" xr:uid="{00000000-0005-0000-0000-000044710000}"/>
    <cellStyle name="Normal 2 19" xfId="42954" xr:uid="{00000000-0005-0000-0000-000045710000}"/>
    <cellStyle name="Normal 2 2" xfId="85" xr:uid="{00000000-0005-0000-0000-000046710000}"/>
    <cellStyle name="Normal 2 2 2" xfId="236" xr:uid="{00000000-0005-0000-0000-000047710000}"/>
    <cellStyle name="Normal 2 2 3" xfId="237" xr:uid="{00000000-0005-0000-0000-000048710000}"/>
    <cellStyle name="Normal 2 2 4" xfId="42955" xr:uid="{00000000-0005-0000-0000-000049710000}"/>
    <cellStyle name="Normal 2 2 5" xfId="42956" xr:uid="{00000000-0005-0000-0000-00004A710000}"/>
    <cellStyle name="Normal 2 2 6" xfId="42957" xr:uid="{00000000-0005-0000-0000-00004B710000}"/>
    <cellStyle name="Normal 2 20" xfId="42958" xr:uid="{00000000-0005-0000-0000-00004C710000}"/>
    <cellStyle name="Normal 2 21" xfId="42959" xr:uid="{00000000-0005-0000-0000-00004D710000}"/>
    <cellStyle name="Normal 2 22" xfId="42960" xr:uid="{00000000-0005-0000-0000-00004E710000}"/>
    <cellStyle name="Normal 2 23" xfId="42961" xr:uid="{00000000-0005-0000-0000-00004F710000}"/>
    <cellStyle name="Normal 2 23 2" xfId="42962" xr:uid="{00000000-0005-0000-0000-000050710000}"/>
    <cellStyle name="Normal 2 23 3" xfId="42963" xr:uid="{00000000-0005-0000-0000-000051710000}"/>
    <cellStyle name="Normal 2 3" xfId="86" xr:uid="{00000000-0005-0000-0000-000052710000}"/>
    <cellStyle name="Normal 2 4" xfId="238" xr:uid="{00000000-0005-0000-0000-000053710000}"/>
    <cellStyle name="Normal 2 5" xfId="239" xr:uid="{00000000-0005-0000-0000-000054710000}"/>
    <cellStyle name="Normal 2 6" xfId="42964" xr:uid="{00000000-0005-0000-0000-000055710000}"/>
    <cellStyle name="Normal 2 7" xfId="42965" xr:uid="{00000000-0005-0000-0000-000056710000}"/>
    <cellStyle name="Normal 2 8" xfId="42966" xr:uid="{00000000-0005-0000-0000-000057710000}"/>
    <cellStyle name="Normal 2 9" xfId="42967" xr:uid="{00000000-0005-0000-0000-000058710000}"/>
    <cellStyle name="Normal 20" xfId="240" xr:uid="{00000000-0005-0000-0000-000059710000}"/>
    <cellStyle name="Normal 21" xfId="18" xr:uid="{00000000-0005-0000-0000-00005A710000}"/>
    <cellStyle name="Normal 21 2" xfId="42968" xr:uid="{00000000-0005-0000-0000-00005B710000}"/>
    <cellStyle name="Normal 21 2 2" xfId="42969" xr:uid="{00000000-0005-0000-0000-00005C710000}"/>
    <cellStyle name="Normal 21 2 2 2" xfId="42970" xr:uid="{00000000-0005-0000-0000-00005D710000}"/>
    <cellStyle name="Normal 21 2 2 2 2" xfId="42971" xr:uid="{00000000-0005-0000-0000-00005E710000}"/>
    <cellStyle name="Normal 21 2 2 2 3" xfId="42972" xr:uid="{00000000-0005-0000-0000-00005F710000}"/>
    <cellStyle name="Normal 21 2 2 3" xfId="42973" xr:uid="{00000000-0005-0000-0000-000060710000}"/>
    <cellStyle name="Normal 21 2 2 3 2" xfId="42974" xr:uid="{00000000-0005-0000-0000-000061710000}"/>
    <cellStyle name="Normal 21 2 2 3 3" xfId="42975" xr:uid="{00000000-0005-0000-0000-000062710000}"/>
    <cellStyle name="Normal 21 2 2 4" xfId="42976" xr:uid="{00000000-0005-0000-0000-000063710000}"/>
    <cellStyle name="Normal 21 2 2 5" xfId="42977" xr:uid="{00000000-0005-0000-0000-000064710000}"/>
    <cellStyle name="Normal 21 2 3" xfId="42978" xr:uid="{00000000-0005-0000-0000-000065710000}"/>
    <cellStyle name="Normal 21 2 3 2" xfId="42979" xr:uid="{00000000-0005-0000-0000-000066710000}"/>
    <cellStyle name="Normal 21 2 3 3" xfId="42980" xr:uid="{00000000-0005-0000-0000-000067710000}"/>
    <cellStyle name="Normal 21 2 4" xfId="42981" xr:uid="{00000000-0005-0000-0000-000068710000}"/>
    <cellStyle name="Normal 21 2 4 2" xfId="42982" xr:uid="{00000000-0005-0000-0000-000069710000}"/>
    <cellStyle name="Normal 21 2 4 3" xfId="42983" xr:uid="{00000000-0005-0000-0000-00006A710000}"/>
    <cellStyle name="Normal 21 2 5" xfId="42984" xr:uid="{00000000-0005-0000-0000-00006B710000}"/>
    <cellStyle name="Normal 21 2 6" xfId="42985" xr:uid="{00000000-0005-0000-0000-00006C710000}"/>
    <cellStyle name="Normal 22" xfId="241" xr:uid="{00000000-0005-0000-0000-00006D710000}"/>
    <cellStyle name="Normal 23" xfId="242" xr:uid="{00000000-0005-0000-0000-00006E710000}"/>
    <cellStyle name="Normal 23 2" xfId="42986" xr:uid="{00000000-0005-0000-0000-00006F710000}"/>
    <cellStyle name="Normal 23 2 2" xfId="42987" xr:uid="{00000000-0005-0000-0000-000070710000}"/>
    <cellStyle name="Normal 23 2 2 2" xfId="42988" xr:uid="{00000000-0005-0000-0000-000071710000}"/>
    <cellStyle name="Normal 23 2 2 2 2" xfId="42989" xr:uid="{00000000-0005-0000-0000-000072710000}"/>
    <cellStyle name="Normal 23 2 2 2 3" xfId="42990" xr:uid="{00000000-0005-0000-0000-000073710000}"/>
    <cellStyle name="Normal 23 2 2 3" xfId="42991" xr:uid="{00000000-0005-0000-0000-000074710000}"/>
    <cellStyle name="Normal 23 2 2 3 2" xfId="42992" xr:uid="{00000000-0005-0000-0000-000075710000}"/>
    <cellStyle name="Normal 23 2 2 3 3" xfId="42993" xr:uid="{00000000-0005-0000-0000-000076710000}"/>
    <cellStyle name="Normal 23 2 2 4" xfId="42994" xr:uid="{00000000-0005-0000-0000-000077710000}"/>
    <cellStyle name="Normal 23 2 2 5" xfId="42995" xr:uid="{00000000-0005-0000-0000-000078710000}"/>
    <cellStyle name="Normal 23 2 3" xfId="42996" xr:uid="{00000000-0005-0000-0000-000079710000}"/>
    <cellStyle name="Normal 23 2 3 2" xfId="42997" xr:uid="{00000000-0005-0000-0000-00007A710000}"/>
    <cellStyle name="Normal 23 2 3 3" xfId="42998" xr:uid="{00000000-0005-0000-0000-00007B710000}"/>
    <cellStyle name="Normal 23 2 4" xfId="42999" xr:uid="{00000000-0005-0000-0000-00007C710000}"/>
    <cellStyle name="Normal 23 2 4 2" xfId="43000" xr:uid="{00000000-0005-0000-0000-00007D710000}"/>
    <cellStyle name="Normal 23 2 4 3" xfId="43001" xr:uid="{00000000-0005-0000-0000-00007E710000}"/>
    <cellStyle name="Normal 23 2 5" xfId="43002" xr:uid="{00000000-0005-0000-0000-00007F710000}"/>
    <cellStyle name="Normal 23 2 6" xfId="43003" xr:uid="{00000000-0005-0000-0000-000080710000}"/>
    <cellStyle name="Normal 23 3" xfId="43004" xr:uid="{00000000-0005-0000-0000-000081710000}"/>
    <cellStyle name="Normal 23 3 2" xfId="43005" xr:uid="{00000000-0005-0000-0000-000082710000}"/>
    <cellStyle name="Normal 23 3 2 2" xfId="43006" xr:uid="{00000000-0005-0000-0000-000083710000}"/>
    <cellStyle name="Normal 23 3 2 3" xfId="43007" xr:uid="{00000000-0005-0000-0000-000084710000}"/>
    <cellStyle name="Normal 23 3 3" xfId="43008" xr:uid="{00000000-0005-0000-0000-000085710000}"/>
    <cellStyle name="Normal 23 3 3 2" xfId="43009" xr:uid="{00000000-0005-0000-0000-000086710000}"/>
    <cellStyle name="Normal 23 3 3 3" xfId="43010" xr:uid="{00000000-0005-0000-0000-000087710000}"/>
    <cellStyle name="Normal 23 3 4" xfId="43011" xr:uid="{00000000-0005-0000-0000-000088710000}"/>
    <cellStyle name="Normal 23 3 5" xfId="43012" xr:uid="{00000000-0005-0000-0000-000089710000}"/>
    <cellStyle name="Normal 23 4" xfId="43013" xr:uid="{00000000-0005-0000-0000-00008A710000}"/>
    <cellStyle name="Normal 23 4 2" xfId="43014" xr:uid="{00000000-0005-0000-0000-00008B710000}"/>
    <cellStyle name="Normal 23 4 2 2" xfId="43015" xr:uid="{00000000-0005-0000-0000-00008C710000}"/>
    <cellStyle name="Normal 23 4 2 2 2" xfId="43016" xr:uid="{00000000-0005-0000-0000-00008D710000}"/>
    <cellStyle name="Normal 23 4 2 2 3" xfId="43017" xr:uid="{00000000-0005-0000-0000-00008E710000}"/>
    <cellStyle name="Normal 23 4 2 3" xfId="43018" xr:uid="{00000000-0005-0000-0000-00008F710000}"/>
    <cellStyle name="Normal 23 4 2 4" xfId="43019" xr:uid="{00000000-0005-0000-0000-000090710000}"/>
    <cellStyle name="Normal 23 4 3" xfId="43020" xr:uid="{00000000-0005-0000-0000-000091710000}"/>
    <cellStyle name="Normal 23 4 3 2" xfId="43021" xr:uid="{00000000-0005-0000-0000-000092710000}"/>
    <cellStyle name="Normal 23 4 3 3" xfId="43022" xr:uid="{00000000-0005-0000-0000-000093710000}"/>
    <cellStyle name="Normal 23 4 4" xfId="43023" xr:uid="{00000000-0005-0000-0000-000094710000}"/>
    <cellStyle name="Normal 23 4 4 2" xfId="43024" xr:uid="{00000000-0005-0000-0000-000095710000}"/>
    <cellStyle name="Normal 23 4 4 3" xfId="43025" xr:uid="{00000000-0005-0000-0000-000096710000}"/>
    <cellStyle name="Normal 23 4 5" xfId="43026" xr:uid="{00000000-0005-0000-0000-000097710000}"/>
    <cellStyle name="Normal 23 4 6" xfId="43027" xr:uid="{00000000-0005-0000-0000-000098710000}"/>
    <cellStyle name="Normal 23 5" xfId="43028" xr:uid="{00000000-0005-0000-0000-000099710000}"/>
    <cellStyle name="Normal 23 5 2" xfId="43029" xr:uid="{00000000-0005-0000-0000-00009A710000}"/>
    <cellStyle name="Normal 23 5 2 2" xfId="43030" xr:uid="{00000000-0005-0000-0000-00009B710000}"/>
    <cellStyle name="Normal 23 5 2 3" xfId="43031" xr:uid="{00000000-0005-0000-0000-00009C710000}"/>
    <cellStyle name="Normal 23 5 3" xfId="43032" xr:uid="{00000000-0005-0000-0000-00009D710000}"/>
    <cellStyle name="Normal 23 5 4" xfId="43033" xr:uid="{00000000-0005-0000-0000-00009E710000}"/>
    <cellStyle name="Normal 23 6" xfId="43034" xr:uid="{00000000-0005-0000-0000-00009F710000}"/>
    <cellStyle name="Normal 23 6 2" xfId="43035" xr:uid="{00000000-0005-0000-0000-0000A0710000}"/>
    <cellStyle name="Normal 23 6 3" xfId="43036" xr:uid="{00000000-0005-0000-0000-0000A1710000}"/>
    <cellStyle name="Normal 23 7" xfId="43037" xr:uid="{00000000-0005-0000-0000-0000A2710000}"/>
    <cellStyle name="Normal 23 8" xfId="43038" xr:uid="{00000000-0005-0000-0000-0000A3710000}"/>
    <cellStyle name="Normal 23 9" xfId="43039" xr:uid="{00000000-0005-0000-0000-0000A4710000}"/>
    <cellStyle name="Normal 24" xfId="243" xr:uid="{00000000-0005-0000-0000-0000A5710000}"/>
    <cellStyle name="Normal 24 2" xfId="43040" xr:uid="{00000000-0005-0000-0000-0000A6710000}"/>
    <cellStyle name="Normal 24 2 2" xfId="43041" xr:uid="{00000000-0005-0000-0000-0000A7710000}"/>
    <cellStyle name="Normal 24 2 2 2" xfId="43042" xr:uid="{00000000-0005-0000-0000-0000A8710000}"/>
    <cellStyle name="Normal 24 2 2 2 2" xfId="43043" xr:uid="{00000000-0005-0000-0000-0000A9710000}"/>
    <cellStyle name="Normal 24 2 2 2 3" xfId="43044" xr:uid="{00000000-0005-0000-0000-0000AA710000}"/>
    <cellStyle name="Normal 24 2 2 3" xfId="43045" xr:uid="{00000000-0005-0000-0000-0000AB710000}"/>
    <cellStyle name="Normal 24 2 2 3 2" xfId="43046" xr:uid="{00000000-0005-0000-0000-0000AC710000}"/>
    <cellStyle name="Normal 24 2 2 3 3" xfId="43047" xr:uid="{00000000-0005-0000-0000-0000AD710000}"/>
    <cellStyle name="Normal 24 2 2 4" xfId="43048" xr:uid="{00000000-0005-0000-0000-0000AE710000}"/>
    <cellStyle name="Normal 24 2 2 5" xfId="43049" xr:uid="{00000000-0005-0000-0000-0000AF710000}"/>
    <cellStyle name="Normal 24 2 3" xfId="43050" xr:uid="{00000000-0005-0000-0000-0000B0710000}"/>
    <cellStyle name="Normal 24 2 3 2" xfId="43051" xr:uid="{00000000-0005-0000-0000-0000B1710000}"/>
    <cellStyle name="Normal 24 2 3 3" xfId="43052" xr:uid="{00000000-0005-0000-0000-0000B2710000}"/>
    <cellStyle name="Normal 24 2 4" xfId="43053" xr:uid="{00000000-0005-0000-0000-0000B3710000}"/>
    <cellStyle name="Normal 24 2 4 2" xfId="43054" xr:uid="{00000000-0005-0000-0000-0000B4710000}"/>
    <cellStyle name="Normal 24 2 4 3" xfId="43055" xr:uid="{00000000-0005-0000-0000-0000B5710000}"/>
    <cellStyle name="Normal 24 2 5" xfId="43056" xr:uid="{00000000-0005-0000-0000-0000B6710000}"/>
    <cellStyle name="Normal 24 2 6" xfId="43057" xr:uid="{00000000-0005-0000-0000-0000B7710000}"/>
    <cellStyle name="Normal 24 3" xfId="43058" xr:uid="{00000000-0005-0000-0000-0000B8710000}"/>
    <cellStyle name="Normal 24 3 2" xfId="43059" xr:uid="{00000000-0005-0000-0000-0000B9710000}"/>
    <cellStyle name="Normal 24 3 2 2" xfId="43060" xr:uid="{00000000-0005-0000-0000-0000BA710000}"/>
    <cellStyle name="Normal 24 3 2 3" xfId="43061" xr:uid="{00000000-0005-0000-0000-0000BB710000}"/>
    <cellStyle name="Normal 24 3 3" xfId="43062" xr:uid="{00000000-0005-0000-0000-0000BC710000}"/>
    <cellStyle name="Normal 24 3 3 2" xfId="43063" xr:uid="{00000000-0005-0000-0000-0000BD710000}"/>
    <cellStyle name="Normal 24 3 3 3" xfId="43064" xr:uid="{00000000-0005-0000-0000-0000BE710000}"/>
    <cellStyle name="Normal 24 3 4" xfId="43065" xr:uid="{00000000-0005-0000-0000-0000BF710000}"/>
    <cellStyle name="Normal 24 3 5" xfId="43066" xr:uid="{00000000-0005-0000-0000-0000C0710000}"/>
    <cellStyle name="Normal 24 4" xfId="43067" xr:uid="{00000000-0005-0000-0000-0000C1710000}"/>
    <cellStyle name="Normal 24 4 2" xfId="43068" xr:uid="{00000000-0005-0000-0000-0000C2710000}"/>
    <cellStyle name="Normal 24 4 3" xfId="43069" xr:uid="{00000000-0005-0000-0000-0000C3710000}"/>
    <cellStyle name="Normal 24 5" xfId="43070" xr:uid="{00000000-0005-0000-0000-0000C4710000}"/>
    <cellStyle name="Normal 24 5 2" xfId="43071" xr:uid="{00000000-0005-0000-0000-0000C5710000}"/>
    <cellStyle name="Normal 24 5 3" xfId="43072" xr:uid="{00000000-0005-0000-0000-0000C6710000}"/>
    <cellStyle name="Normal 24 6" xfId="43073" xr:uid="{00000000-0005-0000-0000-0000C7710000}"/>
    <cellStyle name="Normal 24 7" xfId="43074" xr:uid="{00000000-0005-0000-0000-0000C8710000}"/>
    <cellStyle name="Normal 25" xfId="244" xr:uid="{00000000-0005-0000-0000-0000C9710000}"/>
    <cellStyle name="Normal 26" xfId="245" xr:uid="{00000000-0005-0000-0000-0000CA710000}"/>
    <cellStyle name="Normal 26 2" xfId="43075" xr:uid="{00000000-0005-0000-0000-0000CB710000}"/>
    <cellStyle name="Normal 26 2 2" xfId="43076" xr:uid="{00000000-0005-0000-0000-0000CC710000}"/>
    <cellStyle name="Normal 26 2 2 2" xfId="43077" xr:uid="{00000000-0005-0000-0000-0000CD710000}"/>
    <cellStyle name="Normal 26 2 2 3" xfId="43078" xr:uid="{00000000-0005-0000-0000-0000CE710000}"/>
    <cellStyle name="Normal 26 2 3" xfId="43079" xr:uid="{00000000-0005-0000-0000-0000CF710000}"/>
    <cellStyle name="Normal 26 2 3 2" xfId="43080" xr:uid="{00000000-0005-0000-0000-0000D0710000}"/>
    <cellStyle name="Normal 26 2 3 3" xfId="43081" xr:uid="{00000000-0005-0000-0000-0000D1710000}"/>
    <cellStyle name="Normal 26 2 4" xfId="43082" xr:uid="{00000000-0005-0000-0000-0000D2710000}"/>
    <cellStyle name="Normal 26 2 5" xfId="43083" xr:uid="{00000000-0005-0000-0000-0000D3710000}"/>
    <cellStyle name="Normal 26 3" xfId="43084" xr:uid="{00000000-0005-0000-0000-0000D4710000}"/>
    <cellStyle name="Normal 26 3 2" xfId="43085" xr:uid="{00000000-0005-0000-0000-0000D5710000}"/>
    <cellStyle name="Normal 26 3 3" xfId="43086" xr:uid="{00000000-0005-0000-0000-0000D6710000}"/>
    <cellStyle name="Normal 26 4" xfId="43087" xr:uid="{00000000-0005-0000-0000-0000D7710000}"/>
    <cellStyle name="Normal 26 4 2" xfId="43088" xr:uid="{00000000-0005-0000-0000-0000D8710000}"/>
    <cellStyle name="Normal 26 4 3" xfId="43089" xr:uid="{00000000-0005-0000-0000-0000D9710000}"/>
    <cellStyle name="Normal 26 5" xfId="43090" xr:uid="{00000000-0005-0000-0000-0000DA710000}"/>
    <cellStyle name="Normal 26 6" xfId="43091" xr:uid="{00000000-0005-0000-0000-0000DB710000}"/>
    <cellStyle name="Normal 27" xfId="246" xr:uid="{00000000-0005-0000-0000-0000DC710000}"/>
    <cellStyle name="Normal 27 2" xfId="43092" xr:uid="{00000000-0005-0000-0000-0000DD710000}"/>
    <cellStyle name="Normal 27 2 2" xfId="43093" xr:uid="{00000000-0005-0000-0000-0000DE710000}"/>
    <cellStyle name="Normal 27 2 2 2" xfId="43094" xr:uid="{00000000-0005-0000-0000-0000DF710000}"/>
    <cellStyle name="Normal 27 2 2 3" xfId="43095" xr:uid="{00000000-0005-0000-0000-0000E0710000}"/>
    <cellStyle name="Normal 27 2 3" xfId="43096" xr:uid="{00000000-0005-0000-0000-0000E1710000}"/>
    <cellStyle name="Normal 27 2 3 2" xfId="43097" xr:uid="{00000000-0005-0000-0000-0000E2710000}"/>
    <cellStyle name="Normal 27 2 3 3" xfId="43098" xr:uid="{00000000-0005-0000-0000-0000E3710000}"/>
    <cellStyle name="Normal 27 2 4" xfId="43099" xr:uid="{00000000-0005-0000-0000-0000E4710000}"/>
    <cellStyle name="Normal 27 2 5" xfId="43100" xr:uid="{00000000-0005-0000-0000-0000E5710000}"/>
    <cellStyle name="Normal 27 3" xfId="43101" xr:uid="{00000000-0005-0000-0000-0000E6710000}"/>
    <cellStyle name="Normal 27 3 2" xfId="43102" xr:uid="{00000000-0005-0000-0000-0000E7710000}"/>
    <cellStyle name="Normal 27 3 3" xfId="43103" xr:uid="{00000000-0005-0000-0000-0000E8710000}"/>
    <cellStyle name="Normal 27 4" xfId="43104" xr:uid="{00000000-0005-0000-0000-0000E9710000}"/>
    <cellStyle name="Normal 27 4 2" xfId="43105" xr:uid="{00000000-0005-0000-0000-0000EA710000}"/>
    <cellStyle name="Normal 27 4 3" xfId="43106" xr:uid="{00000000-0005-0000-0000-0000EB710000}"/>
    <cellStyle name="Normal 27 5" xfId="43107" xr:uid="{00000000-0005-0000-0000-0000EC710000}"/>
    <cellStyle name="Normal 27 6" xfId="43108" xr:uid="{00000000-0005-0000-0000-0000ED710000}"/>
    <cellStyle name="Normal 28" xfId="247" xr:uid="{00000000-0005-0000-0000-0000EE710000}"/>
    <cellStyle name="Normal 28 2" xfId="43109" xr:uid="{00000000-0005-0000-0000-0000EF710000}"/>
    <cellStyle name="Normal 28 2 2" xfId="43110" xr:uid="{00000000-0005-0000-0000-0000F0710000}"/>
    <cellStyle name="Normal 28 2 2 2" xfId="43111" xr:uid="{00000000-0005-0000-0000-0000F1710000}"/>
    <cellStyle name="Normal 28 2 2 3" xfId="43112" xr:uid="{00000000-0005-0000-0000-0000F2710000}"/>
    <cellStyle name="Normal 28 2 3" xfId="43113" xr:uid="{00000000-0005-0000-0000-0000F3710000}"/>
    <cellStyle name="Normal 28 2 3 2" xfId="43114" xr:uid="{00000000-0005-0000-0000-0000F4710000}"/>
    <cellStyle name="Normal 28 2 3 3" xfId="43115" xr:uid="{00000000-0005-0000-0000-0000F5710000}"/>
    <cellStyle name="Normal 28 2 4" xfId="43116" xr:uid="{00000000-0005-0000-0000-0000F6710000}"/>
    <cellStyle name="Normal 28 2 5" xfId="43117" xr:uid="{00000000-0005-0000-0000-0000F7710000}"/>
    <cellStyle name="Normal 28 3" xfId="43118" xr:uid="{00000000-0005-0000-0000-0000F8710000}"/>
    <cellStyle name="Normal 28 3 2" xfId="43119" xr:uid="{00000000-0005-0000-0000-0000F9710000}"/>
    <cellStyle name="Normal 28 3 3" xfId="43120" xr:uid="{00000000-0005-0000-0000-0000FA710000}"/>
    <cellStyle name="Normal 28 4" xfId="43121" xr:uid="{00000000-0005-0000-0000-0000FB710000}"/>
    <cellStyle name="Normal 28 4 2" xfId="43122" xr:uid="{00000000-0005-0000-0000-0000FC710000}"/>
    <cellStyle name="Normal 28 4 3" xfId="43123" xr:uid="{00000000-0005-0000-0000-0000FD710000}"/>
    <cellStyle name="Normal 28 5" xfId="43124" xr:uid="{00000000-0005-0000-0000-0000FE710000}"/>
    <cellStyle name="Normal 28 6" xfId="43125" xr:uid="{00000000-0005-0000-0000-0000FF710000}"/>
    <cellStyle name="Normal 29" xfId="87" xr:uid="{00000000-0005-0000-0000-000000720000}"/>
    <cellStyle name="Normal 29 2" xfId="43126" xr:uid="{00000000-0005-0000-0000-000001720000}"/>
    <cellStyle name="Normal 29 2 2" xfId="43127" xr:uid="{00000000-0005-0000-0000-000002720000}"/>
    <cellStyle name="Normal 29 2 2 2" xfId="43128" xr:uid="{00000000-0005-0000-0000-000003720000}"/>
    <cellStyle name="Normal 29 2 2 3" xfId="43129" xr:uid="{00000000-0005-0000-0000-000004720000}"/>
    <cellStyle name="Normal 29 2 3" xfId="43130" xr:uid="{00000000-0005-0000-0000-000005720000}"/>
    <cellStyle name="Normal 29 2 3 2" xfId="43131" xr:uid="{00000000-0005-0000-0000-000006720000}"/>
    <cellStyle name="Normal 29 2 3 3" xfId="43132" xr:uid="{00000000-0005-0000-0000-000007720000}"/>
    <cellStyle name="Normal 29 2 4" xfId="43133" xr:uid="{00000000-0005-0000-0000-000008720000}"/>
    <cellStyle name="Normal 29 2 5" xfId="43134" xr:uid="{00000000-0005-0000-0000-000009720000}"/>
    <cellStyle name="Normal 29 3" xfId="43135" xr:uid="{00000000-0005-0000-0000-00000A720000}"/>
    <cellStyle name="Normal 29 3 2" xfId="43136" xr:uid="{00000000-0005-0000-0000-00000B720000}"/>
    <cellStyle name="Normal 29 3 3" xfId="43137" xr:uid="{00000000-0005-0000-0000-00000C720000}"/>
    <cellStyle name="Normal 29 4" xfId="43138" xr:uid="{00000000-0005-0000-0000-00000D720000}"/>
    <cellStyle name="Normal 29 4 2" xfId="43139" xr:uid="{00000000-0005-0000-0000-00000E720000}"/>
    <cellStyle name="Normal 29 4 3" xfId="43140" xr:uid="{00000000-0005-0000-0000-00000F720000}"/>
    <cellStyle name="Normal 29 5" xfId="43141" xr:uid="{00000000-0005-0000-0000-000010720000}"/>
    <cellStyle name="Normal 29 6" xfId="43142" xr:uid="{00000000-0005-0000-0000-000011720000}"/>
    <cellStyle name="Normal 3" xfId="11" xr:uid="{00000000-0005-0000-0000-000012720000}"/>
    <cellStyle name="Normal 3 10" xfId="43143" xr:uid="{00000000-0005-0000-0000-000013720000}"/>
    <cellStyle name="Normal 3 2" xfId="88" xr:uid="{00000000-0005-0000-0000-000014720000}"/>
    <cellStyle name="Normal 3 2 2" xfId="248" xr:uid="{00000000-0005-0000-0000-000015720000}"/>
    <cellStyle name="Normal 3 2 2 2" xfId="43144" xr:uid="{00000000-0005-0000-0000-000016720000}"/>
    <cellStyle name="Normal 3 2 2 2 2" xfId="43145" xr:uid="{00000000-0005-0000-0000-000017720000}"/>
    <cellStyle name="Normal 3 2 2 2 2 2" xfId="43146" xr:uid="{00000000-0005-0000-0000-000018720000}"/>
    <cellStyle name="Normal 3 2 2 2 2 3" xfId="43147" xr:uid="{00000000-0005-0000-0000-000019720000}"/>
    <cellStyle name="Normal 3 2 2 2 3" xfId="43148" xr:uid="{00000000-0005-0000-0000-00001A720000}"/>
    <cellStyle name="Normal 3 2 2 2 3 2" xfId="43149" xr:uid="{00000000-0005-0000-0000-00001B720000}"/>
    <cellStyle name="Normal 3 2 2 2 3 3" xfId="43150" xr:uid="{00000000-0005-0000-0000-00001C720000}"/>
    <cellStyle name="Normal 3 2 2 2 4" xfId="43151" xr:uid="{00000000-0005-0000-0000-00001D720000}"/>
    <cellStyle name="Normal 3 2 2 2 5" xfId="43152" xr:uid="{00000000-0005-0000-0000-00001E720000}"/>
    <cellStyle name="Normal 3 2 2 3" xfId="43153" xr:uid="{00000000-0005-0000-0000-00001F720000}"/>
    <cellStyle name="Normal 3 2 2 3 2" xfId="43154" xr:uid="{00000000-0005-0000-0000-000020720000}"/>
    <cellStyle name="Normal 3 2 2 3 3" xfId="43155" xr:uid="{00000000-0005-0000-0000-000021720000}"/>
    <cellStyle name="Normal 3 2 2 4" xfId="43156" xr:uid="{00000000-0005-0000-0000-000022720000}"/>
    <cellStyle name="Normal 3 2 2 4 2" xfId="43157" xr:uid="{00000000-0005-0000-0000-000023720000}"/>
    <cellStyle name="Normal 3 2 2 4 3" xfId="43158" xr:uid="{00000000-0005-0000-0000-000024720000}"/>
    <cellStyle name="Normal 3 2 2 5" xfId="43159" xr:uid="{00000000-0005-0000-0000-000025720000}"/>
    <cellStyle name="Normal 3 2 2 6" xfId="43160" xr:uid="{00000000-0005-0000-0000-000026720000}"/>
    <cellStyle name="Normal 3 2 3" xfId="249" xr:uid="{00000000-0005-0000-0000-000027720000}"/>
    <cellStyle name="Normal 3 2 3 2" xfId="43161" xr:uid="{00000000-0005-0000-0000-000028720000}"/>
    <cellStyle name="Normal 3 2 3 2 2" xfId="43162" xr:uid="{00000000-0005-0000-0000-000029720000}"/>
    <cellStyle name="Normal 3 2 3 2 3" xfId="43163" xr:uid="{00000000-0005-0000-0000-00002A720000}"/>
    <cellStyle name="Normal 3 2 3 3" xfId="43164" xr:uid="{00000000-0005-0000-0000-00002B720000}"/>
    <cellStyle name="Normal 3 2 3 3 2" xfId="43165" xr:uid="{00000000-0005-0000-0000-00002C720000}"/>
    <cellStyle name="Normal 3 2 3 3 3" xfId="43166" xr:uid="{00000000-0005-0000-0000-00002D720000}"/>
    <cellStyle name="Normal 3 2 3 4" xfId="43167" xr:uid="{00000000-0005-0000-0000-00002E720000}"/>
    <cellStyle name="Normal 3 2 3 5" xfId="43168" xr:uid="{00000000-0005-0000-0000-00002F720000}"/>
    <cellStyle name="Normal 3 2 4" xfId="43169" xr:uid="{00000000-0005-0000-0000-000030720000}"/>
    <cellStyle name="Normal 3 2 4 2" xfId="43170" xr:uid="{00000000-0005-0000-0000-000031720000}"/>
    <cellStyle name="Normal 3 2 4 3" xfId="43171" xr:uid="{00000000-0005-0000-0000-000032720000}"/>
    <cellStyle name="Normal 3 2 5" xfId="43172" xr:uid="{00000000-0005-0000-0000-000033720000}"/>
    <cellStyle name="Normal 3 2 5 2" xfId="43173" xr:uid="{00000000-0005-0000-0000-000034720000}"/>
    <cellStyle name="Normal 3 2 5 3" xfId="43174" xr:uid="{00000000-0005-0000-0000-000035720000}"/>
    <cellStyle name="Normal 3 2 6" xfId="43175" xr:uid="{00000000-0005-0000-0000-000036720000}"/>
    <cellStyle name="Normal 3 2 7" xfId="43176" xr:uid="{00000000-0005-0000-0000-000037720000}"/>
    <cellStyle name="Normal 3 3" xfId="89" xr:uid="{00000000-0005-0000-0000-000038720000}"/>
    <cellStyle name="Normal 3 3 2" xfId="43177" xr:uid="{00000000-0005-0000-0000-000039720000}"/>
    <cellStyle name="Normal 3 3 2 2" xfId="43178" xr:uid="{00000000-0005-0000-0000-00003A720000}"/>
    <cellStyle name="Normal 3 3 2 2 2" xfId="43179" xr:uid="{00000000-0005-0000-0000-00003B720000}"/>
    <cellStyle name="Normal 3 3 2 2 3" xfId="43180" xr:uid="{00000000-0005-0000-0000-00003C720000}"/>
    <cellStyle name="Normal 3 3 2 3" xfId="43181" xr:uid="{00000000-0005-0000-0000-00003D720000}"/>
    <cellStyle name="Normal 3 3 2 3 2" xfId="43182" xr:uid="{00000000-0005-0000-0000-00003E720000}"/>
    <cellStyle name="Normal 3 3 2 3 3" xfId="43183" xr:uid="{00000000-0005-0000-0000-00003F720000}"/>
    <cellStyle name="Normal 3 3 2 4" xfId="43184" xr:uid="{00000000-0005-0000-0000-000040720000}"/>
    <cellStyle name="Normal 3 3 2 5" xfId="43185" xr:uid="{00000000-0005-0000-0000-000041720000}"/>
    <cellStyle name="Normal 3 3 3" xfId="43186" xr:uid="{00000000-0005-0000-0000-000042720000}"/>
    <cellStyle name="Normal 3 3 3 2" xfId="43187" xr:uid="{00000000-0005-0000-0000-000043720000}"/>
    <cellStyle name="Normal 3 3 3 3" xfId="43188" xr:uid="{00000000-0005-0000-0000-000044720000}"/>
    <cellStyle name="Normal 3 3 4" xfId="43189" xr:uid="{00000000-0005-0000-0000-000045720000}"/>
    <cellStyle name="Normal 3 3 4 2" xfId="43190" xr:uid="{00000000-0005-0000-0000-000046720000}"/>
    <cellStyle name="Normal 3 3 4 3" xfId="43191" xr:uid="{00000000-0005-0000-0000-000047720000}"/>
    <cellStyle name="Normal 3 3 5" xfId="43192" xr:uid="{00000000-0005-0000-0000-000048720000}"/>
    <cellStyle name="Normal 3 3 6" xfId="43193" xr:uid="{00000000-0005-0000-0000-000049720000}"/>
    <cellStyle name="Normal 3 4" xfId="184" xr:uid="{00000000-0005-0000-0000-00004A720000}"/>
    <cellStyle name="Normal 3 5" xfId="218" xr:uid="{00000000-0005-0000-0000-00004B720000}"/>
    <cellStyle name="Normal 3 5 2" xfId="250" xr:uid="{00000000-0005-0000-0000-00004C720000}"/>
    <cellStyle name="Normal 3 5 2 2" xfId="43194" xr:uid="{00000000-0005-0000-0000-00004D720000}"/>
    <cellStyle name="Normal 3 5 2 3" xfId="43195" xr:uid="{00000000-0005-0000-0000-00004E720000}"/>
    <cellStyle name="Normal 3 5 3" xfId="43196" xr:uid="{00000000-0005-0000-0000-00004F720000}"/>
    <cellStyle name="Normal 3 5 3 2" xfId="43197" xr:uid="{00000000-0005-0000-0000-000050720000}"/>
    <cellStyle name="Normal 3 5 3 3" xfId="43198" xr:uid="{00000000-0005-0000-0000-000051720000}"/>
    <cellStyle name="Normal 3 5 4" xfId="43199" xr:uid="{00000000-0005-0000-0000-000052720000}"/>
    <cellStyle name="Normal 3 5 5" xfId="43200" xr:uid="{00000000-0005-0000-0000-000053720000}"/>
    <cellStyle name="Normal 3 6" xfId="251" xr:uid="{00000000-0005-0000-0000-000054720000}"/>
    <cellStyle name="Normal 3 6 2" xfId="43201" xr:uid="{00000000-0005-0000-0000-000055720000}"/>
    <cellStyle name="Normal 3 6 2 2" xfId="43202" xr:uid="{00000000-0005-0000-0000-000056720000}"/>
    <cellStyle name="Normal 3 6 2 3" xfId="43203" xr:uid="{00000000-0005-0000-0000-000057720000}"/>
    <cellStyle name="Normal 3 6 3" xfId="43204" xr:uid="{00000000-0005-0000-0000-000058720000}"/>
    <cellStyle name="Normal 3 6 3 2" xfId="43205" xr:uid="{00000000-0005-0000-0000-000059720000}"/>
    <cellStyle name="Normal 3 6 3 3" xfId="43206" xr:uid="{00000000-0005-0000-0000-00005A720000}"/>
    <cellStyle name="Normal 3 6 4" xfId="43207" xr:uid="{00000000-0005-0000-0000-00005B720000}"/>
    <cellStyle name="Normal 3 6 5" xfId="43208" xr:uid="{00000000-0005-0000-0000-00005C720000}"/>
    <cellStyle name="Normal 3 7" xfId="43209" xr:uid="{00000000-0005-0000-0000-00005D720000}"/>
    <cellStyle name="Normal 3 7 2" xfId="43210" xr:uid="{00000000-0005-0000-0000-00005E720000}"/>
    <cellStyle name="Normal 3 7 3" xfId="43211" xr:uid="{00000000-0005-0000-0000-00005F720000}"/>
    <cellStyle name="Normal 3 8" xfId="43212" xr:uid="{00000000-0005-0000-0000-000060720000}"/>
    <cellStyle name="Normal 3 8 2" xfId="43213" xr:uid="{00000000-0005-0000-0000-000061720000}"/>
    <cellStyle name="Normal 3 8 3" xfId="43214" xr:uid="{00000000-0005-0000-0000-000062720000}"/>
    <cellStyle name="Normal 3 9" xfId="43215" xr:uid="{00000000-0005-0000-0000-000063720000}"/>
    <cellStyle name="Normal 30" xfId="252" xr:uid="{00000000-0005-0000-0000-000064720000}"/>
    <cellStyle name="Normal 30 2" xfId="43216" xr:uid="{00000000-0005-0000-0000-000065720000}"/>
    <cellStyle name="Normal 30 2 2" xfId="43217" xr:uid="{00000000-0005-0000-0000-000066720000}"/>
    <cellStyle name="Normal 30 2 3" xfId="43218" xr:uid="{00000000-0005-0000-0000-000067720000}"/>
    <cellStyle name="Normal 30 3" xfId="43219" xr:uid="{00000000-0005-0000-0000-000068720000}"/>
    <cellStyle name="Normal 30 3 2" xfId="43220" xr:uid="{00000000-0005-0000-0000-000069720000}"/>
    <cellStyle name="Normal 30 3 3" xfId="43221" xr:uid="{00000000-0005-0000-0000-00006A720000}"/>
    <cellStyle name="Normal 30 4" xfId="43222" xr:uid="{00000000-0005-0000-0000-00006B720000}"/>
    <cellStyle name="Normal 30 5" xfId="43223" xr:uid="{00000000-0005-0000-0000-00006C720000}"/>
    <cellStyle name="Normal 31" xfId="253" xr:uid="{00000000-0005-0000-0000-00006D720000}"/>
    <cellStyle name="Normal 31 2" xfId="43224" xr:uid="{00000000-0005-0000-0000-00006E720000}"/>
    <cellStyle name="Normal 31 2 2" xfId="43225" xr:uid="{00000000-0005-0000-0000-00006F720000}"/>
    <cellStyle name="Normal 31 2 3" xfId="43226" xr:uid="{00000000-0005-0000-0000-000070720000}"/>
    <cellStyle name="Normal 31 3" xfId="43227" xr:uid="{00000000-0005-0000-0000-000071720000}"/>
    <cellStyle name="Normal 31 3 2" xfId="43228" xr:uid="{00000000-0005-0000-0000-000072720000}"/>
    <cellStyle name="Normal 31 3 3" xfId="43229" xr:uid="{00000000-0005-0000-0000-000073720000}"/>
    <cellStyle name="Normal 31 4" xfId="43230" xr:uid="{00000000-0005-0000-0000-000074720000}"/>
    <cellStyle name="Normal 31 5" xfId="43231" xr:uid="{00000000-0005-0000-0000-000075720000}"/>
    <cellStyle name="Normal 32" xfId="254" xr:uid="{00000000-0005-0000-0000-000076720000}"/>
    <cellStyle name="Normal 32 2" xfId="43232" xr:uid="{00000000-0005-0000-0000-000077720000}"/>
    <cellStyle name="Normal 32 2 2" xfId="43233" xr:uid="{00000000-0005-0000-0000-000078720000}"/>
    <cellStyle name="Normal 32 2 3" xfId="43234" xr:uid="{00000000-0005-0000-0000-000079720000}"/>
    <cellStyle name="Normal 32 3" xfId="43235" xr:uid="{00000000-0005-0000-0000-00007A720000}"/>
    <cellStyle name="Normal 32 3 2" xfId="43236" xr:uid="{00000000-0005-0000-0000-00007B720000}"/>
    <cellStyle name="Normal 32 3 3" xfId="43237" xr:uid="{00000000-0005-0000-0000-00007C720000}"/>
    <cellStyle name="Normal 32 4" xfId="43238" xr:uid="{00000000-0005-0000-0000-00007D720000}"/>
    <cellStyle name="Normal 32 5" xfId="43239" xr:uid="{00000000-0005-0000-0000-00007E720000}"/>
    <cellStyle name="Normal 33" xfId="255" xr:uid="{00000000-0005-0000-0000-00007F720000}"/>
    <cellStyle name="Normal 33 2" xfId="43240" xr:uid="{00000000-0005-0000-0000-000080720000}"/>
    <cellStyle name="Normal 33 2 2" xfId="43241" xr:uid="{00000000-0005-0000-0000-000081720000}"/>
    <cellStyle name="Normal 33 2 3" xfId="43242" xr:uid="{00000000-0005-0000-0000-000082720000}"/>
    <cellStyle name="Normal 33 3" xfId="43243" xr:uid="{00000000-0005-0000-0000-000083720000}"/>
    <cellStyle name="Normal 33 3 2" xfId="43244" xr:uid="{00000000-0005-0000-0000-000084720000}"/>
    <cellStyle name="Normal 33 3 3" xfId="43245" xr:uid="{00000000-0005-0000-0000-000085720000}"/>
    <cellStyle name="Normal 33 4" xfId="43246" xr:uid="{00000000-0005-0000-0000-000086720000}"/>
    <cellStyle name="Normal 33 5" xfId="43247" xr:uid="{00000000-0005-0000-0000-000087720000}"/>
    <cellStyle name="Normal 34" xfId="256" xr:uid="{00000000-0005-0000-0000-000088720000}"/>
    <cellStyle name="Normal 34 2" xfId="43248" xr:uid="{00000000-0005-0000-0000-000089720000}"/>
    <cellStyle name="Normal 34 2 2" xfId="43249" xr:uid="{00000000-0005-0000-0000-00008A720000}"/>
    <cellStyle name="Normal 34 2 3" xfId="43250" xr:uid="{00000000-0005-0000-0000-00008B720000}"/>
    <cellStyle name="Normal 34 3" xfId="43251" xr:uid="{00000000-0005-0000-0000-00008C720000}"/>
    <cellStyle name="Normal 34 3 2" xfId="43252" xr:uid="{00000000-0005-0000-0000-00008D720000}"/>
    <cellStyle name="Normal 34 3 3" xfId="43253" xr:uid="{00000000-0005-0000-0000-00008E720000}"/>
    <cellStyle name="Normal 34 4" xfId="43254" xr:uid="{00000000-0005-0000-0000-00008F720000}"/>
    <cellStyle name="Normal 34 5" xfId="43255" xr:uid="{00000000-0005-0000-0000-000090720000}"/>
    <cellStyle name="Normal 35" xfId="257" xr:uid="{00000000-0005-0000-0000-000091720000}"/>
    <cellStyle name="Normal 35 2" xfId="43256" xr:uid="{00000000-0005-0000-0000-000092720000}"/>
    <cellStyle name="Normal 35 2 2" xfId="43257" xr:uid="{00000000-0005-0000-0000-000093720000}"/>
    <cellStyle name="Normal 35 2 3" xfId="43258" xr:uid="{00000000-0005-0000-0000-000094720000}"/>
    <cellStyle name="Normal 35 3" xfId="43259" xr:uid="{00000000-0005-0000-0000-000095720000}"/>
    <cellStyle name="Normal 35 3 2" xfId="43260" xr:uid="{00000000-0005-0000-0000-000096720000}"/>
    <cellStyle name="Normal 35 3 3" xfId="43261" xr:uid="{00000000-0005-0000-0000-000097720000}"/>
    <cellStyle name="Normal 35 4" xfId="43262" xr:uid="{00000000-0005-0000-0000-000098720000}"/>
    <cellStyle name="Normal 35 5" xfId="43263" xr:uid="{00000000-0005-0000-0000-000099720000}"/>
    <cellStyle name="Normal 36" xfId="258" xr:uid="{00000000-0005-0000-0000-00009A720000}"/>
    <cellStyle name="Normal 36 2" xfId="43264" xr:uid="{00000000-0005-0000-0000-00009B720000}"/>
    <cellStyle name="Normal 36 2 2" xfId="43265" xr:uid="{00000000-0005-0000-0000-00009C720000}"/>
    <cellStyle name="Normal 36 2 3" xfId="43266" xr:uid="{00000000-0005-0000-0000-00009D720000}"/>
    <cellStyle name="Normal 36 3" xfId="43267" xr:uid="{00000000-0005-0000-0000-00009E720000}"/>
    <cellStyle name="Normal 36 3 2" xfId="43268" xr:uid="{00000000-0005-0000-0000-00009F720000}"/>
    <cellStyle name="Normal 36 3 3" xfId="43269" xr:uid="{00000000-0005-0000-0000-0000A0720000}"/>
    <cellStyle name="Normal 36 4" xfId="43270" xr:uid="{00000000-0005-0000-0000-0000A1720000}"/>
    <cellStyle name="Normal 36 5" xfId="43271" xr:uid="{00000000-0005-0000-0000-0000A2720000}"/>
    <cellStyle name="Normal 37" xfId="259" xr:uid="{00000000-0005-0000-0000-0000A3720000}"/>
    <cellStyle name="Normal 37 2" xfId="43272" xr:uid="{00000000-0005-0000-0000-0000A4720000}"/>
    <cellStyle name="Normal 37 2 2" xfId="43273" xr:uid="{00000000-0005-0000-0000-0000A5720000}"/>
    <cellStyle name="Normal 37 2 3" xfId="43274" xr:uid="{00000000-0005-0000-0000-0000A6720000}"/>
    <cellStyle name="Normal 37 3" xfId="43275" xr:uid="{00000000-0005-0000-0000-0000A7720000}"/>
    <cellStyle name="Normal 37 3 2" xfId="43276" xr:uid="{00000000-0005-0000-0000-0000A8720000}"/>
    <cellStyle name="Normal 37 3 3" xfId="43277" xr:uid="{00000000-0005-0000-0000-0000A9720000}"/>
    <cellStyle name="Normal 37 4" xfId="43278" xr:uid="{00000000-0005-0000-0000-0000AA720000}"/>
    <cellStyle name="Normal 37 5" xfId="43279" xr:uid="{00000000-0005-0000-0000-0000AB720000}"/>
    <cellStyle name="Normal 38" xfId="260" xr:uid="{00000000-0005-0000-0000-0000AC720000}"/>
    <cellStyle name="Normal 38 2" xfId="43280" xr:uid="{00000000-0005-0000-0000-0000AD720000}"/>
    <cellStyle name="Normal 38 2 2" xfId="43281" xr:uid="{00000000-0005-0000-0000-0000AE720000}"/>
    <cellStyle name="Normal 38 2 3" xfId="43282" xr:uid="{00000000-0005-0000-0000-0000AF720000}"/>
    <cellStyle name="Normal 38 3" xfId="43283" xr:uid="{00000000-0005-0000-0000-0000B0720000}"/>
    <cellStyle name="Normal 38 3 2" xfId="43284" xr:uid="{00000000-0005-0000-0000-0000B1720000}"/>
    <cellStyle name="Normal 38 3 3" xfId="43285" xr:uid="{00000000-0005-0000-0000-0000B2720000}"/>
    <cellStyle name="Normal 38 4" xfId="43286" xr:uid="{00000000-0005-0000-0000-0000B3720000}"/>
    <cellStyle name="Normal 38 5" xfId="43287" xr:uid="{00000000-0005-0000-0000-0000B4720000}"/>
    <cellStyle name="Normal 39" xfId="261" xr:uid="{00000000-0005-0000-0000-0000B5720000}"/>
    <cellStyle name="Normal 39 2" xfId="43288" xr:uid="{00000000-0005-0000-0000-0000B6720000}"/>
    <cellStyle name="Normal 39 2 2" xfId="43289" xr:uid="{00000000-0005-0000-0000-0000B7720000}"/>
    <cellStyle name="Normal 39 2 3" xfId="43290" xr:uid="{00000000-0005-0000-0000-0000B8720000}"/>
    <cellStyle name="Normal 39 3" xfId="43291" xr:uid="{00000000-0005-0000-0000-0000B9720000}"/>
    <cellStyle name="Normal 39 3 2" xfId="43292" xr:uid="{00000000-0005-0000-0000-0000BA720000}"/>
    <cellStyle name="Normal 39 3 3" xfId="43293" xr:uid="{00000000-0005-0000-0000-0000BB720000}"/>
    <cellStyle name="Normal 39 4" xfId="43294" xr:uid="{00000000-0005-0000-0000-0000BC720000}"/>
    <cellStyle name="Normal 39 5" xfId="43295" xr:uid="{00000000-0005-0000-0000-0000BD720000}"/>
    <cellStyle name="Normal 4" xfId="9" xr:uid="{00000000-0005-0000-0000-0000BE720000}"/>
    <cellStyle name="Normal 4 2" xfId="262" xr:uid="{00000000-0005-0000-0000-0000BF720000}"/>
    <cellStyle name="Normal 4 3" xfId="263" xr:uid="{00000000-0005-0000-0000-0000C0720000}"/>
    <cellStyle name="Normal 4 4" xfId="43296" xr:uid="{00000000-0005-0000-0000-0000C1720000}"/>
    <cellStyle name="Normal 40" xfId="264" xr:uid="{00000000-0005-0000-0000-0000C2720000}"/>
    <cellStyle name="Normal 40 2" xfId="43297" xr:uid="{00000000-0005-0000-0000-0000C3720000}"/>
    <cellStyle name="Normal 40 2 2" xfId="43298" xr:uid="{00000000-0005-0000-0000-0000C4720000}"/>
    <cellStyle name="Normal 40 2 3" xfId="43299" xr:uid="{00000000-0005-0000-0000-0000C5720000}"/>
    <cellStyle name="Normal 40 3" xfId="43300" xr:uid="{00000000-0005-0000-0000-0000C6720000}"/>
    <cellStyle name="Normal 40 3 2" xfId="43301" xr:uid="{00000000-0005-0000-0000-0000C7720000}"/>
    <cellStyle name="Normal 40 3 3" xfId="43302" xr:uid="{00000000-0005-0000-0000-0000C8720000}"/>
    <cellStyle name="Normal 40 4" xfId="43303" xr:uid="{00000000-0005-0000-0000-0000C9720000}"/>
    <cellStyle name="Normal 40 5" xfId="43304" xr:uid="{00000000-0005-0000-0000-0000CA720000}"/>
    <cellStyle name="Normal 41" xfId="265" xr:uid="{00000000-0005-0000-0000-0000CB720000}"/>
    <cellStyle name="Normal 41 2" xfId="43305" xr:uid="{00000000-0005-0000-0000-0000CC720000}"/>
    <cellStyle name="Normal 41 2 2" xfId="43306" xr:uid="{00000000-0005-0000-0000-0000CD720000}"/>
    <cellStyle name="Normal 41 2 3" xfId="43307" xr:uid="{00000000-0005-0000-0000-0000CE720000}"/>
    <cellStyle name="Normal 41 3" xfId="43308" xr:uid="{00000000-0005-0000-0000-0000CF720000}"/>
    <cellStyle name="Normal 41 3 2" xfId="43309" xr:uid="{00000000-0005-0000-0000-0000D0720000}"/>
    <cellStyle name="Normal 41 3 3" xfId="43310" xr:uid="{00000000-0005-0000-0000-0000D1720000}"/>
    <cellStyle name="Normal 41 4" xfId="43311" xr:uid="{00000000-0005-0000-0000-0000D2720000}"/>
    <cellStyle name="Normal 41 5" xfId="43312" xr:uid="{00000000-0005-0000-0000-0000D3720000}"/>
    <cellStyle name="Normal 42" xfId="266" xr:uid="{00000000-0005-0000-0000-0000D4720000}"/>
    <cellStyle name="Normal 42 2" xfId="43313" xr:uid="{00000000-0005-0000-0000-0000D5720000}"/>
    <cellStyle name="Normal 42 2 2" xfId="43314" xr:uid="{00000000-0005-0000-0000-0000D6720000}"/>
    <cellStyle name="Normal 42 2 3" xfId="43315" xr:uid="{00000000-0005-0000-0000-0000D7720000}"/>
    <cellStyle name="Normal 42 3" xfId="43316" xr:uid="{00000000-0005-0000-0000-0000D8720000}"/>
    <cellStyle name="Normal 42 3 2" xfId="43317" xr:uid="{00000000-0005-0000-0000-0000D9720000}"/>
    <cellStyle name="Normal 42 3 3" xfId="43318" xr:uid="{00000000-0005-0000-0000-0000DA720000}"/>
    <cellStyle name="Normal 42 4" xfId="43319" xr:uid="{00000000-0005-0000-0000-0000DB720000}"/>
    <cellStyle name="Normal 42 5" xfId="43320" xr:uid="{00000000-0005-0000-0000-0000DC720000}"/>
    <cellStyle name="Normal 43" xfId="267" xr:uid="{00000000-0005-0000-0000-0000DD720000}"/>
    <cellStyle name="Normal 43 2" xfId="43321" xr:uid="{00000000-0005-0000-0000-0000DE720000}"/>
    <cellStyle name="Normal 43 2 2" xfId="43322" xr:uid="{00000000-0005-0000-0000-0000DF720000}"/>
    <cellStyle name="Normal 43 2 3" xfId="43323" xr:uid="{00000000-0005-0000-0000-0000E0720000}"/>
    <cellStyle name="Normal 43 3" xfId="43324" xr:uid="{00000000-0005-0000-0000-0000E1720000}"/>
    <cellStyle name="Normal 43 3 2" xfId="43325" xr:uid="{00000000-0005-0000-0000-0000E2720000}"/>
    <cellStyle name="Normal 43 3 3" xfId="43326" xr:uid="{00000000-0005-0000-0000-0000E3720000}"/>
    <cellStyle name="Normal 43 4" xfId="43327" xr:uid="{00000000-0005-0000-0000-0000E4720000}"/>
    <cellStyle name="Normal 43 5" xfId="43328" xr:uid="{00000000-0005-0000-0000-0000E5720000}"/>
    <cellStyle name="Normal 44" xfId="268" xr:uid="{00000000-0005-0000-0000-0000E6720000}"/>
    <cellStyle name="Normal 45" xfId="269" xr:uid="{00000000-0005-0000-0000-0000E7720000}"/>
    <cellStyle name="Normal 46" xfId="270" xr:uid="{00000000-0005-0000-0000-0000E8720000}"/>
    <cellStyle name="Normal 47" xfId="271" xr:uid="{00000000-0005-0000-0000-0000E9720000}"/>
    <cellStyle name="Normal 48" xfId="272" xr:uid="{00000000-0005-0000-0000-0000EA720000}"/>
    <cellStyle name="Normal 49" xfId="273" xr:uid="{00000000-0005-0000-0000-0000EB720000}"/>
    <cellStyle name="Normal 5" xfId="90" xr:uid="{00000000-0005-0000-0000-0000EC720000}"/>
    <cellStyle name="Normal 5 2" xfId="214" xr:uid="{00000000-0005-0000-0000-0000ED720000}"/>
    <cellStyle name="Normal 5 3" xfId="40803" xr:uid="{00000000-0005-0000-0000-0000EE720000}"/>
    <cellStyle name="Normal 50" xfId="274" xr:uid="{00000000-0005-0000-0000-0000EF720000}"/>
    <cellStyle name="Normal 51" xfId="275" xr:uid="{00000000-0005-0000-0000-0000F0720000}"/>
    <cellStyle name="Normal 52" xfId="276" xr:uid="{00000000-0005-0000-0000-0000F1720000}"/>
    <cellStyle name="Normal 53" xfId="277" xr:uid="{00000000-0005-0000-0000-0000F2720000}"/>
    <cellStyle name="Normal 54" xfId="278" xr:uid="{00000000-0005-0000-0000-0000F3720000}"/>
    <cellStyle name="Normal 55" xfId="279" xr:uid="{00000000-0005-0000-0000-0000F4720000}"/>
    <cellStyle name="Normal 56" xfId="280" xr:uid="{00000000-0005-0000-0000-0000F5720000}"/>
    <cellStyle name="Normal 56 2" xfId="43329" xr:uid="{00000000-0005-0000-0000-0000F6720000}"/>
    <cellStyle name="Normal 56 2 2" xfId="43330" xr:uid="{00000000-0005-0000-0000-0000F7720000}"/>
    <cellStyle name="Normal 56 2 3" xfId="43331" xr:uid="{00000000-0005-0000-0000-0000F8720000}"/>
    <cellStyle name="Normal 56 3" xfId="43332" xr:uid="{00000000-0005-0000-0000-0000F9720000}"/>
    <cellStyle name="Normal 56 3 2" xfId="43333" xr:uid="{00000000-0005-0000-0000-0000FA720000}"/>
    <cellStyle name="Normal 56 3 3" xfId="43334" xr:uid="{00000000-0005-0000-0000-0000FB720000}"/>
    <cellStyle name="Normal 56 4" xfId="43335" xr:uid="{00000000-0005-0000-0000-0000FC720000}"/>
    <cellStyle name="Normal 56 5" xfId="43336" xr:uid="{00000000-0005-0000-0000-0000FD720000}"/>
    <cellStyle name="Normal 57" xfId="281" xr:uid="{00000000-0005-0000-0000-0000FE720000}"/>
    <cellStyle name="Normal 57 2" xfId="43337" xr:uid="{00000000-0005-0000-0000-0000FF720000}"/>
    <cellStyle name="Normal 57 2 2" xfId="43338" xr:uid="{00000000-0005-0000-0000-000000730000}"/>
    <cellStyle name="Normal 57 2 3" xfId="43339" xr:uid="{00000000-0005-0000-0000-000001730000}"/>
    <cellStyle name="Normal 57 3" xfId="43340" xr:uid="{00000000-0005-0000-0000-000002730000}"/>
    <cellStyle name="Normal 57 3 2" xfId="43341" xr:uid="{00000000-0005-0000-0000-000003730000}"/>
    <cellStyle name="Normal 57 3 3" xfId="43342" xr:uid="{00000000-0005-0000-0000-000004730000}"/>
    <cellStyle name="Normal 57 4" xfId="43343" xr:uid="{00000000-0005-0000-0000-000005730000}"/>
    <cellStyle name="Normal 57 5" xfId="43344" xr:uid="{00000000-0005-0000-0000-000006730000}"/>
    <cellStyle name="Normal 58" xfId="282" xr:uid="{00000000-0005-0000-0000-000007730000}"/>
    <cellStyle name="Normal 58 2" xfId="43345" xr:uid="{00000000-0005-0000-0000-000008730000}"/>
    <cellStyle name="Normal 58 2 2" xfId="43346" xr:uid="{00000000-0005-0000-0000-000009730000}"/>
    <cellStyle name="Normal 58 2 3" xfId="43347" xr:uid="{00000000-0005-0000-0000-00000A730000}"/>
    <cellStyle name="Normal 58 3" xfId="43348" xr:uid="{00000000-0005-0000-0000-00000B730000}"/>
    <cellStyle name="Normal 58 3 2" xfId="43349" xr:uid="{00000000-0005-0000-0000-00000C730000}"/>
    <cellStyle name="Normal 58 3 3" xfId="43350" xr:uid="{00000000-0005-0000-0000-00000D730000}"/>
    <cellStyle name="Normal 58 4" xfId="43351" xr:uid="{00000000-0005-0000-0000-00000E730000}"/>
    <cellStyle name="Normal 58 5" xfId="43352" xr:uid="{00000000-0005-0000-0000-00000F730000}"/>
    <cellStyle name="Normal 59" xfId="283" xr:uid="{00000000-0005-0000-0000-000010730000}"/>
    <cellStyle name="Normal 6" xfId="91" xr:uid="{00000000-0005-0000-0000-000011730000}"/>
    <cellStyle name="Normal 6 2" xfId="284" xr:uid="{00000000-0005-0000-0000-000012730000}"/>
    <cellStyle name="Normal 6 3" xfId="285" xr:uid="{00000000-0005-0000-0000-000013730000}"/>
    <cellStyle name="Normal 60" xfId="286" xr:uid="{00000000-0005-0000-0000-000014730000}"/>
    <cellStyle name="Normal 61" xfId="287" xr:uid="{00000000-0005-0000-0000-000015730000}"/>
    <cellStyle name="Normal 62" xfId="288" xr:uid="{00000000-0005-0000-0000-000016730000}"/>
    <cellStyle name="Normal 62 2" xfId="43353" xr:uid="{00000000-0005-0000-0000-000017730000}"/>
    <cellStyle name="Normal 62 2 2" xfId="43354" xr:uid="{00000000-0005-0000-0000-000018730000}"/>
    <cellStyle name="Normal 62 2 3" xfId="43355" xr:uid="{00000000-0005-0000-0000-000019730000}"/>
    <cellStyle name="Normal 62 3" xfId="43356" xr:uid="{00000000-0005-0000-0000-00001A730000}"/>
    <cellStyle name="Normal 62 3 2" xfId="43357" xr:uid="{00000000-0005-0000-0000-00001B730000}"/>
    <cellStyle name="Normal 62 3 3" xfId="43358" xr:uid="{00000000-0005-0000-0000-00001C730000}"/>
    <cellStyle name="Normal 62 4" xfId="43359" xr:uid="{00000000-0005-0000-0000-00001D730000}"/>
    <cellStyle name="Normal 62 5" xfId="43360" xr:uid="{00000000-0005-0000-0000-00001E730000}"/>
    <cellStyle name="Normal 63" xfId="289" xr:uid="{00000000-0005-0000-0000-00001F730000}"/>
    <cellStyle name="Normal 63 2" xfId="43361" xr:uid="{00000000-0005-0000-0000-000020730000}"/>
    <cellStyle name="Normal 63 2 2" xfId="43362" xr:uid="{00000000-0005-0000-0000-000021730000}"/>
    <cellStyle name="Normal 63 2 3" xfId="43363" xr:uid="{00000000-0005-0000-0000-000022730000}"/>
    <cellStyle name="Normal 63 3" xfId="43364" xr:uid="{00000000-0005-0000-0000-000023730000}"/>
    <cellStyle name="Normal 63 3 2" xfId="43365" xr:uid="{00000000-0005-0000-0000-000024730000}"/>
    <cellStyle name="Normal 63 3 3" xfId="43366" xr:uid="{00000000-0005-0000-0000-000025730000}"/>
    <cellStyle name="Normal 63 4" xfId="43367" xr:uid="{00000000-0005-0000-0000-000026730000}"/>
    <cellStyle name="Normal 63 5" xfId="43368" xr:uid="{00000000-0005-0000-0000-000027730000}"/>
    <cellStyle name="Normal 64" xfId="290" xr:uid="{00000000-0005-0000-0000-000028730000}"/>
    <cellStyle name="Normal 64 2" xfId="43369" xr:uid="{00000000-0005-0000-0000-000029730000}"/>
    <cellStyle name="Normal 64 2 2" xfId="43370" xr:uid="{00000000-0005-0000-0000-00002A730000}"/>
    <cellStyle name="Normal 64 2 3" xfId="43371" xr:uid="{00000000-0005-0000-0000-00002B730000}"/>
    <cellStyle name="Normal 64 3" xfId="43372" xr:uid="{00000000-0005-0000-0000-00002C730000}"/>
    <cellStyle name="Normal 64 3 2" xfId="43373" xr:uid="{00000000-0005-0000-0000-00002D730000}"/>
    <cellStyle name="Normal 64 3 3" xfId="43374" xr:uid="{00000000-0005-0000-0000-00002E730000}"/>
    <cellStyle name="Normal 64 4" xfId="43375" xr:uid="{00000000-0005-0000-0000-00002F730000}"/>
    <cellStyle name="Normal 64 5" xfId="43376" xr:uid="{00000000-0005-0000-0000-000030730000}"/>
    <cellStyle name="Normal 65" xfId="291" xr:uid="{00000000-0005-0000-0000-000031730000}"/>
    <cellStyle name="Normal 65 2" xfId="43377" xr:uid="{00000000-0005-0000-0000-000032730000}"/>
    <cellStyle name="Normal 65 2 2" xfId="43378" xr:uid="{00000000-0005-0000-0000-000033730000}"/>
    <cellStyle name="Normal 65 2 3" xfId="43379" xr:uid="{00000000-0005-0000-0000-000034730000}"/>
    <cellStyle name="Normal 65 3" xfId="43380" xr:uid="{00000000-0005-0000-0000-000035730000}"/>
    <cellStyle name="Normal 65 3 2" xfId="43381" xr:uid="{00000000-0005-0000-0000-000036730000}"/>
    <cellStyle name="Normal 65 3 3" xfId="43382" xr:uid="{00000000-0005-0000-0000-000037730000}"/>
    <cellStyle name="Normal 65 4" xfId="43383" xr:uid="{00000000-0005-0000-0000-000038730000}"/>
    <cellStyle name="Normal 65 5" xfId="43384" xr:uid="{00000000-0005-0000-0000-000039730000}"/>
    <cellStyle name="Normal 66" xfId="292" xr:uid="{00000000-0005-0000-0000-00003A730000}"/>
    <cellStyle name="Normal 66 2" xfId="43385" xr:uid="{00000000-0005-0000-0000-00003B730000}"/>
    <cellStyle name="Normal 66 2 2" xfId="43386" xr:uid="{00000000-0005-0000-0000-00003C730000}"/>
    <cellStyle name="Normal 66 2 3" xfId="43387" xr:uid="{00000000-0005-0000-0000-00003D730000}"/>
    <cellStyle name="Normal 66 3" xfId="43388" xr:uid="{00000000-0005-0000-0000-00003E730000}"/>
    <cellStyle name="Normal 66 3 2" xfId="43389" xr:uid="{00000000-0005-0000-0000-00003F730000}"/>
    <cellStyle name="Normal 66 3 3" xfId="43390" xr:uid="{00000000-0005-0000-0000-000040730000}"/>
    <cellStyle name="Normal 66 4" xfId="43391" xr:uid="{00000000-0005-0000-0000-000041730000}"/>
    <cellStyle name="Normal 66 5" xfId="43392" xr:uid="{00000000-0005-0000-0000-000042730000}"/>
    <cellStyle name="Normal 67" xfId="293" xr:uid="{00000000-0005-0000-0000-000043730000}"/>
    <cellStyle name="Normal 67 2" xfId="43393" xr:uid="{00000000-0005-0000-0000-000044730000}"/>
    <cellStyle name="Normal 67 2 2" xfId="43394" xr:uid="{00000000-0005-0000-0000-000045730000}"/>
    <cellStyle name="Normal 67 2 3" xfId="43395" xr:uid="{00000000-0005-0000-0000-000046730000}"/>
    <cellStyle name="Normal 67 3" xfId="43396" xr:uid="{00000000-0005-0000-0000-000047730000}"/>
    <cellStyle name="Normal 67 3 2" xfId="43397" xr:uid="{00000000-0005-0000-0000-000048730000}"/>
    <cellStyle name="Normal 67 3 3" xfId="43398" xr:uid="{00000000-0005-0000-0000-000049730000}"/>
    <cellStyle name="Normal 67 4" xfId="43399" xr:uid="{00000000-0005-0000-0000-00004A730000}"/>
    <cellStyle name="Normal 67 5" xfId="43400" xr:uid="{00000000-0005-0000-0000-00004B730000}"/>
    <cellStyle name="Normal 68" xfId="294" xr:uid="{00000000-0005-0000-0000-00004C730000}"/>
    <cellStyle name="Normal 68 2" xfId="43401" xr:uid="{00000000-0005-0000-0000-00004D730000}"/>
    <cellStyle name="Normal 68 2 2" xfId="43402" xr:uid="{00000000-0005-0000-0000-00004E730000}"/>
    <cellStyle name="Normal 68 2 3" xfId="43403" xr:uid="{00000000-0005-0000-0000-00004F730000}"/>
    <cellStyle name="Normal 68 3" xfId="43404" xr:uid="{00000000-0005-0000-0000-000050730000}"/>
    <cellStyle name="Normal 68 3 2" xfId="43405" xr:uid="{00000000-0005-0000-0000-000051730000}"/>
    <cellStyle name="Normal 68 3 3" xfId="43406" xr:uid="{00000000-0005-0000-0000-000052730000}"/>
    <cellStyle name="Normal 68 4" xfId="43407" xr:uid="{00000000-0005-0000-0000-000053730000}"/>
    <cellStyle name="Normal 68 5" xfId="43408" xr:uid="{00000000-0005-0000-0000-000054730000}"/>
    <cellStyle name="Normal 69" xfId="295" xr:uid="{00000000-0005-0000-0000-000055730000}"/>
    <cellStyle name="Normal 69 2" xfId="43409" xr:uid="{00000000-0005-0000-0000-000056730000}"/>
    <cellStyle name="Normal 69 2 2" xfId="43410" xr:uid="{00000000-0005-0000-0000-000057730000}"/>
    <cellStyle name="Normal 69 2 3" xfId="43411" xr:uid="{00000000-0005-0000-0000-000058730000}"/>
    <cellStyle name="Normal 69 3" xfId="43412" xr:uid="{00000000-0005-0000-0000-000059730000}"/>
    <cellStyle name="Normal 69 3 2" xfId="43413" xr:uid="{00000000-0005-0000-0000-00005A730000}"/>
    <cellStyle name="Normal 69 3 3" xfId="43414" xr:uid="{00000000-0005-0000-0000-00005B730000}"/>
    <cellStyle name="Normal 69 4" xfId="43415" xr:uid="{00000000-0005-0000-0000-00005C730000}"/>
    <cellStyle name="Normal 69 5" xfId="43416" xr:uid="{00000000-0005-0000-0000-00005D730000}"/>
    <cellStyle name="Normal 7" xfId="92" xr:uid="{00000000-0005-0000-0000-00005E730000}"/>
    <cellStyle name="Normal 7 2" xfId="215" xr:uid="{00000000-0005-0000-0000-00005F730000}"/>
    <cellStyle name="Normal 7 3" xfId="296" xr:uid="{00000000-0005-0000-0000-000060730000}"/>
    <cellStyle name="Normal 7 4" xfId="297" xr:uid="{00000000-0005-0000-0000-000061730000}"/>
    <cellStyle name="Normal 70" xfId="185" xr:uid="{00000000-0005-0000-0000-000062730000}"/>
    <cellStyle name="Normal 70 2" xfId="43417" xr:uid="{00000000-0005-0000-0000-000063730000}"/>
    <cellStyle name="Normal 70 2 2" xfId="43418" xr:uid="{00000000-0005-0000-0000-000064730000}"/>
    <cellStyle name="Normal 70 2 2 2" xfId="43419" xr:uid="{00000000-0005-0000-0000-000065730000}"/>
    <cellStyle name="Normal 70 2 2 3" xfId="43420" xr:uid="{00000000-0005-0000-0000-000066730000}"/>
    <cellStyle name="Normal 70 2 3" xfId="43421" xr:uid="{00000000-0005-0000-0000-000067730000}"/>
    <cellStyle name="Normal 70 2 3 2" xfId="43422" xr:uid="{00000000-0005-0000-0000-000068730000}"/>
    <cellStyle name="Normal 70 2 3 3" xfId="43423" xr:uid="{00000000-0005-0000-0000-000069730000}"/>
    <cellStyle name="Normal 70 2 4" xfId="43424" xr:uid="{00000000-0005-0000-0000-00006A730000}"/>
    <cellStyle name="Normal 70 2 5" xfId="43425" xr:uid="{00000000-0005-0000-0000-00006B730000}"/>
    <cellStyle name="Normal 70 3" xfId="43426" xr:uid="{00000000-0005-0000-0000-00006C730000}"/>
    <cellStyle name="Normal 70 3 2" xfId="43427" xr:uid="{00000000-0005-0000-0000-00006D730000}"/>
    <cellStyle name="Normal 70 3 3" xfId="43428" xr:uid="{00000000-0005-0000-0000-00006E730000}"/>
    <cellStyle name="Normal 70 4" xfId="43429" xr:uid="{00000000-0005-0000-0000-00006F730000}"/>
    <cellStyle name="Normal 70 4 2" xfId="43430" xr:uid="{00000000-0005-0000-0000-000070730000}"/>
    <cellStyle name="Normal 70 4 3" xfId="43431" xr:uid="{00000000-0005-0000-0000-000071730000}"/>
    <cellStyle name="Normal 70 5" xfId="43432" xr:uid="{00000000-0005-0000-0000-000072730000}"/>
    <cellStyle name="Normal 70 6" xfId="43433" xr:uid="{00000000-0005-0000-0000-000073730000}"/>
    <cellStyle name="Normal 71" xfId="298" xr:uid="{00000000-0005-0000-0000-000074730000}"/>
    <cellStyle name="Normal 71 2" xfId="43434" xr:uid="{00000000-0005-0000-0000-000075730000}"/>
    <cellStyle name="Normal 71 2 2" xfId="43435" xr:uid="{00000000-0005-0000-0000-000076730000}"/>
    <cellStyle name="Normal 71 2 3" xfId="43436" xr:uid="{00000000-0005-0000-0000-000077730000}"/>
    <cellStyle name="Normal 71 3" xfId="43437" xr:uid="{00000000-0005-0000-0000-000078730000}"/>
    <cellStyle name="Normal 71 3 2" xfId="43438" xr:uid="{00000000-0005-0000-0000-000079730000}"/>
    <cellStyle name="Normal 71 3 3" xfId="43439" xr:uid="{00000000-0005-0000-0000-00007A730000}"/>
    <cellStyle name="Normal 71 4" xfId="43440" xr:uid="{00000000-0005-0000-0000-00007B730000}"/>
    <cellStyle name="Normal 71 5" xfId="43441" xr:uid="{00000000-0005-0000-0000-00007C730000}"/>
    <cellStyle name="Normal 72" xfId="299" xr:uid="{00000000-0005-0000-0000-00007D730000}"/>
    <cellStyle name="Normal 72 2" xfId="43442" xr:uid="{00000000-0005-0000-0000-00007E730000}"/>
    <cellStyle name="Normal 72 2 2" xfId="43443" xr:uid="{00000000-0005-0000-0000-00007F730000}"/>
    <cellStyle name="Normal 72 2 3" xfId="43444" xr:uid="{00000000-0005-0000-0000-000080730000}"/>
    <cellStyle name="Normal 72 3" xfId="43445" xr:uid="{00000000-0005-0000-0000-000081730000}"/>
    <cellStyle name="Normal 72 3 2" xfId="43446" xr:uid="{00000000-0005-0000-0000-000082730000}"/>
    <cellStyle name="Normal 72 3 3" xfId="43447" xr:uid="{00000000-0005-0000-0000-000083730000}"/>
    <cellStyle name="Normal 72 4" xfId="43448" xr:uid="{00000000-0005-0000-0000-000084730000}"/>
    <cellStyle name="Normal 72 5" xfId="43449" xr:uid="{00000000-0005-0000-0000-000085730000}"/>
    <cellStyle name="Normal 73" xfId="300" xr:uid="{00000000-0005-0000-0000-000086730000}"/>
    <cellStyle name="Normal 73 2" xfId="43450" xr:uid="{00000000-0005-0000-0000-000087730000}"/>
    <cellStyle name="Normal 73 2 2" xfId="43451" xr:uid="{00000000-0005-0000-0000-000088730000}"/>
    <cellStyle name="Normal 73 2 3" xfId="43452" xr:uid="{00000000-0005-0000-0000-000089730000}"/>
    <cellStyle name="Normal 73 3" xfId="43453" xr:uid="{00000000-0005-0000-0000-00008A730000}"/>
    <cellStyle name="Normal 73 3 2" xfId="43454" xr:uid="{00000000-0005-0000-0000-00008B730000}"/>
    <cellStyle name="Normal 73 3 3" xfId="43455" xr:uid="{00000000-0005-0000-0000-00008C730000}"/>
    <cellStyle name="Normal 73 4" xfId="43456" xr:uid="{00000000-0005-0000-0000-00008D730000}"/>
    <cellStyle name="Normal 73 5" xfId="43457" xr:uid="{00000000-0005-0000-0000-00008E730000}"/>
    <cellStyle name="Normal 74" xfId="301" xr:uid="{00000000-0005-0000-0000-00008F730000}"/>
    <cellStyle name="Normal 74 2" xfId="43458" xr:uid="{00000000-0005-0000-0000-000090730000}"/>
    <cellStyle name="Normal 74 2 2" xfId="43459" xr:uid="{00000000-0005-0000-0000-000091730000}"/>
    <cellStyle name="Normal 74 2 3" xfId="43460" xr:uid="{00000000-0005-0000-0000-000092730000}"/>
    <cellStyle name="Normal 74 3" xfId="43461" xr:uid="{00000000-0005-0000-0000-000093730000}"/>
    <cellStyle name="Normal 74 3 2" xfId="43462" xr:uid="{00000000-0005-0000-0000-000094730000}"/>
    <cellStyle name="Normal 74 3 3" xfId="43463" xr:uid="{00000000-0005-0000-0000-000095730000}"/>
    <cellStyle name="Normal 74 4" xfId="43464" xr:uid="{00000000-0005-0000-0000-000096730000}"/>
    <cellStyle name="Normal 74 4 2" xfId="43465" xr:uid="{00000000-0005-0000-0000-000097730000}"/>
    <cellStyle name="Normal 74 4 3" xfId="43466" xr:uid="{00000000-0005-0000-0000-000098730000}"/>
    <cellStyle name="Normal 74 4 4" xfId="43467" xr:uid="{00000000-0005-0000-0000-000099730000}"/>
    <cellStyle name="Normal 74 5" xfId="43468" xr:uid="{00000000-0005-0000-0000-00009A730000}"/>
    <cellStyle name="Normal 74 6" xfId="43469" xr:uid="{00000000-0005-0000-0000-00009B730000}"/>
    <cellStyle name="Normal 74 7" xfId="43470" xr:uid="{00000000-0005-0000-0000-00009C730000}"/>
    <cellStyle name="Normal 75" xfId="302" xr:uid="{00000000-0005-0000-0000-00009D730000}"/>
    <cellStyle name="Normal 75 2" xfId="43471" xr:uid="{00000000-0005-0000-0000-00009E730000}"/>
    <cellStyle name="Normal 75 2 2" xfId="43472" xr:uid="{00000000-0005-0000-0000-00009F730000}"/>
    <cellStyle name="Normal 75 2 2 2" xfId="43473" xr:uid="{00000000-0005-0000-0000-0000A0730000}"/>
    <cellStyle name="Normal 75 2 3" xfId="43474" xr:uid="{00000000-0005-0000-0000-0000A1730000}"/>
    <cellStyle name="Normal 75 3" xfId="43475" xr:uid="{00000000-0005-0000-0000-0000A2730000}"/>
    <cellStyle name="Normal 75 3 2" xfId="43476" xr:uid="{00000000-0005-0000-0000-0000A3730000}"/>
    <cellStyle name="Normal 75 3 3" xfId="43477" xr:uid="{00000000-0005-0000-0000-0000A4730000}"/>
    <cellStyle name="Normal 75 4" xfId="43478" xr:uid="{00000000-0005-0000-0000-0000A5730000}"/>
    <cellStyle name="Normal 75 5" xfId="43479" xr:uid="{00000000-0005-0000-0000-0000A6730000}"/>
    <cellStyle name="Normal 76" xfId="40804" xr:uid="{00000000-0005-0000-0000-0000A7730000}"/>
    <cellStyle name="Normal 76 2" xfId="43480" xr:uid="{00000000-0005-0000-0000-0000A8730000}"/>
    <cellStyle name="Normal 77" xfId="40805" xr:uid="{00000000-0005-0000-0000-0000A9730000}"/>
    <cellStyle name="Normal 77 2" xfId="43481" xr:uid="{00000000-0005-0000-0000-0000AA730000}"/>
    <cellStyle name="Normal 77 2 2" xfId="43482" xr:uid="{00000000-0005-0000-0000-0000AB730000}"/>
    <cellStyle name="Normal 77 2 3" xfId="43483" xr:uid="{00000000-0005-0000-0000-0000AC730000}"/>
    <cellStyle name="Normal 77 3" xfId="43484" xr:uid="{00000000-0005-0000-0000-0000AD730000}"/>
    <cellStyle name="Normal 77 4" xfId="43485" xr:uid="{00000000-0005-0000-0000-0000AE730000}"/>
    <cellStyle name="Normal 78" xfId="40806" xr:uid="{00000000-0005-0000-0000-0000AF730000}"/>
    <cellStyle name="Normal 78 2" xfId="43486" xr:uid="{00000000-0005-0000-0000-0000B0730000}"/>
    <cellStyle name="Normal 78 2 2" xfId="43487" xr:uid="{00000000-0005-0000-0000-0000B1730000}"/>
    <cellStyle name="Normal 78 2 3" xfId="43488" xr:uid="{00000000-0005-0000-0000-0000B2730000}"/>
    <cellStyle name="Normal 78 3" xfId="43489" xr:uid="{00000000-0005-0000-0000-0000B3730000}"/>
    <cellStyle name="Normal 78 4" xfId="43490" xr:uid="{00000000-0005-0000-0000-0000B4730000}"/>
    <cellStyle name="Normal 78 5" xfId="43491" xr:uid="{00000000-0005-0000-0000-0000B5730000}"/>
    <cellStyle name="Normal 79" xfId="40807" xr:uid="{00000000-0005-0000-0000-0000B6730000}"/>
    <cellStyle name="Normal 8" xfId="6" xr:uid="{00000000-0005-0000-0000-0000B7730000}"/>
    <cellStyle name="Normal 8 2" xfId="216" xr:uid="{00000000-0005-0000-0000-0000B8730000}"/>
    <cellStyle name="Normal 8 3" xfId="303" xr:uid="{00000000-0005-0000-0000-0000B9730000}"/>
    <cellStyle name="Normal 8 4" xfId="304" xr:uid="{00000000-0005-0000-0000-0000BA730000}"/>
    <cellStyle name="Normal 80" xfId="43492" xr:uid="{00000000-0005-0000-0000-0000BB730000}"/>
    <cellStyle name="Normal 81" xfId="43493" xr:uid="{00000000-0005-0000-0000-0000BC730000}"/>
    <cellStyle name="Normal 81 2" xfId="43494" xr:uid="{00000000-0005-0000-0000-0000BD730000}"/>
    <cellStyle name="Normal 81 3" xfId="43495" xr:uid="{00000000-0005-0000-0000-0000BE730000}"/>
    <cellStyle name="Normal 82" xfId="43496" xr:uid="{00000000-0005-0000-0000-0000BF730000}"/>
    <cellStyle name="Normal 83" xfId="40808" xr:uid="{00000000-0005-0000-0000-0000C0730000}"/>
    <cellStyle name="Normal 84" xfId="43497" xr:uid="{00000000-0005-0000-0000-0000C1730000}"/>
    <cellStyle name="Normal 85" xfId="43498" xr:uid="{00000000-0005-0000-0000-0000C2730000}"/>
    <cellStyle name="Normal 85 2" xfId="43499" xr:uid="{00000000-0005-0000-0000-0000C3730000}"/>
    <cellStyle name="Normal 85 3" xfId="43500" xr:uid="{00000000-0005-0000-0000-0000C4730000}"/>
    <cellStyle name="Normal 86" xfId="43501" xr:uid="{00000000-0005-0000-0000-0000C5730000}"/>
    <cellStyle name="Normal 86 2" xfId="43502" xr:uid="{00000000-0005-0000-0000-0000C6730000}"/>
    <cellStyle name="Normal 86 3" xfId="43503" xr:uid="{00000000-0005-0000-0000-0000C7730000}"/>
    <cellStyle name="Normal 87" xfId="43504" xr:uid="{00000000-0005-0000-0000-0000C8730000}"/>
    <cellStyle name="Normal 88" xfId="43505" xr:uid="{00000000-0005-0000-0000-0000C9730000}"/>
    <cellStyle name="Normal 89" xfId="43506" xr:uid="{00000000-0005-0000-0000-0000CA730000}"/>
    <cellStyle name="Normal 9" xfId="12" xr:uid="{00000000-0005-0000-0000-0000CB730000}"/>
    <cellStyle name="Normal 9 2" xfId="217" xr:uid="{00000000-0005-0000-0000-0000CC730000}"/>
    <cellStyle name="Normal 9 3" xfId="305" xr:uid="{00000000-0005-0000-0000-0000CD730000}"/>
    <cellStyle name="Normal 9 4" xfId="306" xr:uid="{00000000-0005-0000-0000-0000CE730000}"/>
    <cellStyle name="Normal 90" xfId="43507" xr:uid="{00000000-0005-0000-0000-0000CF730000}"/>
    <cellStyle name="Normal 91" xfId="43508" xr:uid="{00000000-0005-0000-0000-0000D0730000}"/>
    <cellStyle name="Normal 92" xfId="43509" xr:uid="{00000000-0005-0000-0000-0000D1730000}"/>
    <cellStyle name="Normal 93" xfId="43510" xr:uid="{00000000-0005-0000-0000-0000D2730000}"/>
    <cellStyle name="Normal 94" xfId="43511" xr:uid="{00000000-0005-0000-0000-0000D3730000}"/>
    <cellStyle name="Normal 95" xfId="43512" xr:uid="{00000000-0005-0000-0000-0000D4730000}"/>
    <cellStyle name="Normal 96" xfId="43513" xr:uid="{00000000-0005-0000-0000-0000D5730000}"/>
    <cellStyle name="Normal 97" xfId="43514" xr:uid="{00000000-0005-0000-0000-0000D6730000}"/>
    <cellStyle name="Normal 98" xfId="43515" xr:uid="{00000000-0005-0000-0000-0000D7730000}"/>
    <cellStyle name="Note 10" xfId="43516" xr:uid="{00000000-0005-0000-0000-0000D8730000}"/>
    <cellStyle name="Note 11" xfId="43517" xr:uid="{00000000-0005-0000-0000-0000D9730000}"/>
    <cellStyle name="Note 12" xfId="43518" xr:uid="{00000000-0005-0000-0000-0000DA730000}"/>
    <cellStyle name="Note 13" xfId="43519" xr:uid="{00000000-0005-0000-0000-0000DB730000}"/>
    <cellStyle name="Note 14" xfId="43520" xr:uid="{00000000-0005-0000-0000-0000DC730000}"/>
    <cellStyle name="Note 15" xfId="43521" xr:uid="{00000000-0005-0000-0000-0000DD730000}"/>
    <cellStyle name="Note 16" xfId="43522" xr:uid="{00000000-0005-0000-0000-0000DE730000}"/>
    <cellStyle name="Note 17" xfId="43523" xr:uid="{00000000-0005-0000-0000-0000DF730000}"/>
    <cellStyle name="Note 18" xfId="43524" xr:uid="{00000000-0005-0000-0000-0000E0730000}"/>
    <cellStyle name="Note 19" xfId="43525" xr:uid="{00000000-0005-0000-0000-0000E1730000}"/>
    <cellStyle name="Note 2" xfId="93" xr:uid="{00000000-0005-0000-0000-0000E2730000}"/>
    <cellStyle name="Note 2 2" xfId="43526" xr:uid="{00000000-0005-0000-0000-0000E3730000}"/>
    <cellStyle name="Note 2 3" xfId="43527" xr:uid="{00000000-0005-0000-0000-0000E4730000}"/>
    <cellStyle name="Note 2 3 2" xfId="43528" xr:uid="{00000000-0005-0000-0000-0000E5730000}"/>
    <cellStyle name="Note 2 3 2 2" xfId="43529" xr:uid="{00000000-0005-0000-0000-0000E6730000}"/>
    <cellStyle name="Note 2 3 2 3" xfId="43530" xr:uid="{00000000-0005-0000-0000-0000E7730000}"/>
    <cellStyle name="Note 2 3 3" xfId="43531" xr:uid="{00000000-0005-0000-0000-0000E8730000}"/>
    <cellStyle name="Note 2 3 3 2" xfId="43532" xr:uid="{00000000-0005-0000-0000-0000E9730000}"/>
    <cellStyle name="Note 2 3 3 3" xfId="43533" xr:uid="{00000000-0005-0000-0000-0000EA730000}"/>
    <cellStyle name="Note 2 3 4" xfId="43534" xr:uid="{00000000-0005-0000-0000-0000EB730000}"/>
    <cellStyle name="Note 2 3 5" xfId="43535" xr:uid="{00000000-0005-0000-0000-0000EC730000}"/>
    <cellStyle name="Note 20" xfId="43536" xr:uid="{00000000-0005-0000-0000-0000ED730000}"/>
    <cellStyle name="Note 21" xfId="43537" xr:uid="{00000000-0005-0000-0000-0000EE730000}"/>
    <cellStyle name="Note 22" xfId="43538" xr:uid="{00000000-0005-0000-0000-0000EF730000}"/>
    <cellStyle name="Note 23" xfId="43539" xr:uid="{00000000-0005-0000-0000-0000F0730000}"/>
    <cellStyle name="Note 24" xfId="43540" xr:uid="{00000000-0005-0000-0000-0000F1730000}"/>
    <cellStyle name="Note 25" xfId="43541" xr:uid="{00000000-0005-0000-0000-0000F2730000}"/>
    <cellStyle name="Note 25 2" xfId="43542" xr:uid="{00000000-0005-0000-0000-0000F3730000}"/>
    <cellStyle name="Note 25 2 2" xfId="43543" xr:uid="{00000000-0005-0000-0000-0000F4730000}"/>
    <cellStyle name="Note 25 2 3" xfId="43544" xr:uid="{00000000-0005-0000-0000-0000F5730000}"/>
    <cellStyle name="Note 25 3" xfId="43545" xr:uid="{00000000-0005-0000-0000-0000F6730000}"/>
    <cellStyle name="Note 25 3 2" xfId="43546" xr:uid="{00000000-0005-0000-0000-0000F7730000}"/>
    <cellStyle name="Note 25 3 3" xfId="43547" xr:uid="{00000000-0005-0000-0000-0000F8730000}"/>
    <cellStyle name="Note 25 4" xfId="43548" xr:uid="{00000000-0005-0000-0000-0000F9730000}"/>
    <cellStyle name="Note 25 5" xfId="43549" xr:uid="{00000000-0005-0000-0000-0000FA730000}"/>
    <cellStyle name="Note 26" xfId="43550" xr:uid="{00000000-0005-0000-0000-0000FB730000}"/>
    <cellStyle name="Note 3" xfId="43551" xr:uid="{00000000-0005-0000-0000-0000FC730000}"/>
    <cellStyle name="Note 4" xfId="43552" xr:uid="{00000000-0005-0000-0000-0000FD730000}"/>
    <cellStyle name="Note 5" xfId="43553" xr:uid="{00000000-0005-0000-0000-0000FE730000}"/>
    <cellStyle name="Note 6" xfId="43554" xr:uid="{00000000-0005-0000-0000-0000FF730000}"/>
    <cellStyle name="Note 7" xfId="43555" xr:uid="{00000000-0005-0000-0000-000000740000}"/>
    <cellStyle name="Note 8" xfId="43556" xr:uid="{00000000-0005-0000-0000-000001740000}"/>
    <cellStyle name="Note 9" xfId="43557" xr:uid="{00000000-0005-0000-0000-000002740000}"/>
    <cellStyle name="Œ…‹æØ‚è [0.00]_PRODUCT DETAIL Q1" xfId="186" xr:uid="{00000000-0005-0000-0000-000003740000}"/>
    <cellStyle name="Œ…‹æØ‚è_PRODUCT DETAIL Q1" xfId="187" xr:uid="{00000000-0005-0000-0000-000004740000}"/>
    <cellStyle name="Output 10" xfId="43558" xr:uid="{00000000-0005-0000-0000-000005740000}"/>
    <cellStyle name="Output 11" xfId="43559" xr:uid="{00000000-0005-0000-0000-000006740000}"/>
    <cellStyle name="Output 12" xfId="43560" xr:uid="{00000000-0005-0000-0000-000007740000}"/>
    <cellStyle name="Output 13" xfId="43561" xr:uid="{00000000-0005-0000-0000-000008740000}"/>
    <cellStyle name="Output 14" xfId="43562" xr:uid="{00000000-0005-0000-0000-000009740000}"/>
    <cellStyle name="Output 15" xfId="43563" xr:uid="{00000000-0005-0000-0000-00000A740000}"/>
    <cellStyle name="Output 16" xfId="43564" xr:uid="{00000000-0005-0000-0000-00000B740000}"/>
    <cellStyle name="Output 17" xfId="43565" xr:uid="{00000000-0005-0000-0000-00000C740000}"/>
    <cellStyle name="Output 18" xfId="43566" xr:uid="{00000000-0005-0000-0000-00000D740000}"/>
    <cellStyle name="Output 19" xfId="43567" xr:uid="{00000000-0005-0000-0000-00000E740000}"/>
    <cellStyle name="Output 2" xfId="94" xr:uid="{00000000-0005-0000-0000-00000F740000}"/>
    <cellStyle name="Output 2 2" xfId="43568" xr:uid="{00000000-0005-0000-0000-000010740000}"/>
    <cellStyle name="Output 20" xfId="43569" xr:uid="{00000000-0005-0000-0000-000011740000}"/>
    <cellStyle name="Output 21" xfId="43570" xr:uid="{00000000-0005-0000-0000-000012740000}"/>
    <cellStyle name="Output 22" xfId="43571" xr:uid="{00000000-0005-0000-0000-000013740000}"/>
    <cellStyle name="Output 23" xfId="43572" xr:uid="{00000000-0005-0000-0000-000014740000}"/>
    <cellStyle name="Output 3" xfId="43573" xr:uid="{00000000-0005-0000-0000-000015740000}"/>
    <cellStyle name="Output 4" xfId="43574" xr:uid="{00000000-0005-0000-0000-000016740000}"/>
    <cellStyle name="Output 5" xfId="43575" xr:uid="{00000000-0005-0000-0000-000017740000}"/>
    <cellStyle name="Output 6" xfId="43576" xr:uid="{00000000-0005-0000-0000-000018740000}"/>
    <cellStyle name="Output 7" xfId="43577" xr:uid="{00000000-0005-0000-0000-000019740000}"/>
    <cellStyle name="Output 8" xfId="43578" xr:uid="{00000000-0005-0000-0000-00001A740000}"/>
    <cellStyle name="Output 9" xfId="43579" xr:uid="{00000000-0005-0000-0000-00001B740000}"/>
    <cellStyle name="Parent row" xfId="95" xr:uid="{00000000-0005-0000-0000-00001C740000}"/>
    <cellStyle name="Percent" xfId="1" builtinId="5"/>
    <cellStyle name="Percent [2]" xfId="188" xr:uid="{00000000-0005-0000-0000-00001E740000}"/>
    <cellStyle name="Percent [2] 10" xfId="43580" xr:uid="{00000000-0005-0000-0000-00001F740000}"/>
    <cellStyle name="Percent [2] 11" xfId="43581" xr:uid="{00000000-0005-0000-0000-000020740000}"/>
    <cellStyle name="Percent [2] 12" xfId="43582" xr:uid="{00000000-0005-0000-0000-000021740000}"/>
    <cellStyle name="Percent [2] 13" xfId="43583" xr:uid="{00000000-0005-0000-0000-000022740000}"/>
    <cellStyle name="Percent [2] 14" xfId="43584" xr:uid="{00000000-0005-0000-0000-000023740000}"/>
    <cellStyle name="Percent [2] 15" xfId="43585" xr:uid="{00000000-0005-0000-0000-000024740000}"/>
    <cellStyle name="Percent [2] 16" xfId="43586" xr:uid="{00000000-0005-0000-0000-000025740000}"/>
    <cellStyle name="Percent [2] 17" xfId="43587" xr:uid="{00000000-0005-0000-0000-000026740000}"/>
    <cellStyle name="Percent [2] 18" xfId="43588" xr:uid="{00000000-0005-0000-0000-000027740000}"/>
    <cellStyle name="Percent [2] 19" xfId="43589" xr:uid="{00000000-0005-0000-0000-000028740000}"/>
    <cellStyle name="Percent [2] 2" xfId="43590" xr:uid="{00000000-0005-0000-0000-000029740000}"/>
    <cellStyle name="Percent [2] 20" xfId="43591" xr:uid="{00000000-0005-0000-0000-00002A740000}"/>
    <cellStyle name="Percent [2] 21" xfId="43592" xr:uid="{00000000-0005-0000-0000-00002B740000}"/>
    <cellStyle name="Percent [2] 22" xfId="43593" xr:uid="{00000000-0005-0000-0000-00002C740000}"/>
    <cellStyle name="Percent [2] 3" xfId="43594" xr:uid="{00000000-0005-0000-0000-00002D740000}"/>
    <cellStyle name="Percent [2] 4" xfId="43595" xr:uid="{00000000-0005-0000-0000-00002E740000}"/>
    <cellStyle name="Percent [2] 5" xfId="43596" xr:uid="{00000000-0005-0000-0000-00002F740000}"/>
    <cellStyle name="Percent [2] 6" xfId="43597" xr:uid="{00000000-0005-0000-0000-000030740000}"/>
    <cellStyle name="Percent [2] 7" xfId="43598" xr:uid="{00000000-0005-0000-0000-000031740000}"/>
    <cellStyle name="Percent [2] 8" xfId="43599" xr:uid="{00000000-0005-0000-0000-000032740000}"/>
    <cellStyle name="Percent [2] 9" xfId="43600" xr:uid="{00000000-0005-0000-0000-000033740000}"/>
    <cellStyle name="Percent 10" xfId="20" xr:uid="{00000000-0005-0000-0000-000034740000}"/>
    <cellStyle name="Percent 10 2" xfId="43601" xr:uid="{00000000-0005-0000-0000-000035740000}"/>
    <cellStyle name="Percent 10 2 2" xfId="43602" xr:uid="{00000000-0005-0000-0000-000036740000}"/>
    <cellStyle name="Percent 10 2 2 2" xfId="43603" xr:uid="{00000000-0005-0000-0000-000037740000}"/>
    <cellStyle name="Percent 10 2 2 3" xfId="43604" xr:uid="{00000000-0005-0000-0000-000038740000}"/>
    <cellStyle name="Percent 10 2 3" xfId="43605" xr:uid="{00000000-0005-0000-0000-000039740000}"/>
    <cellStyle name="Percent 10 2 3 2" xfId="43606" xr:uid="{00000000-0005-0000-0000-00003A740000}"/>
    <cellStyle name="Percent 10 2 3 3" xfId="43607" xr:uid="{00000000-0005-0000-0000-00003B740000}"/>
    <cellStyle name="Percent 10 2 4" xfId="43608" xr:uid="{00000000-0005-0000-0000-00003C740000}"/>
    <cellStyle name="Percent 10 2 5" xfId="43609" xr:uid="{00000000-0005-0000-0000-00003D740000}"/>
    <cellStyle name="Percent 11" xfId="43610" xr:uid="{00000000-0005-0000-0000-00003E740000}"/>
    <cellStyle name="Percent 12" xfId="43611" xr:uid="{00000000-0005-0000-0000-00003F740000}"/>
    <cellStyle name="Percent 13" xfId="43612" xr:uid="{00000000-0005-0000-0000-000040740000}"/>
    <cellStyle name="Percent 13 2" xfId="43613" xr:uid="{00000000-0005-0000-0000-000041740000}"/>
    <cellStyle name="Percent 13 2 2" xfId="43614" xr:uid="{00000000-0005-0000-0000-000042740000}"/>
    <cellStyle name="Percent 13 2 2 2" xfId="43615" xr:uid="{00000000-0005-0000-0000-000043740000}"/>
    <cellStyle name="Percent 13 2 2 3" xfId="43616" xr:uid="{00000000-0005-0000-0000-000044740000}"/>
    <cellStyle name="Percent 13 2 3" xfId="43617" xr:uid="{00000000-0005-0000-0000-000045740000}"/>
    <cellStyle name="Percent 13 2 3 2" xfId="43618" xr:uid="{00000000-0005-0000-0000-000046740000}"/>
    <cellStyle name="Percent 13 2 3 3" xfId="43619" xr:uid="{00000000-0005-0000-0000-000047740000}"/>
    <cellStyle name="Percent 13 2 4" xfId="43620" xr:uid="{00000000-0005-0000-0000-000048740000}"/>
    <cellStyle name="Percent 13 2 5" xfId="43621" xr:uid="{00000000-0005-0000-0000-000049740000}"/>
    <cellStyle name="Percent 14" xfId="43622" xr:uid="{00000000-0005-0000-0000-00004A740000}"/>
    <cellStyle name="Percent 15" xfId="43623" xr:uid="{00000000-0005-0000-0000-00004B740000}"/>
    <cellStyle name="Percent 16" xfId="43624" xr:uid="{00000000-0005-0000-0000-00004C740000}"/>
    <cellStyle name="Percent 17" xfId="43625" xr:uid="{00000000-0005-0000-0000-00004D740000}"/>
    <cellStyle name="Percent 17 2" xfId="43626" xr:uid="{00000000-0005-0000-0000-00004E740000}"/>
    <cellStyle name="Percent 17 2 2" xfId="43627" xr:uid="{00000000-0005-0000-0000-00004F740000}"/>
    <cellStyle name="Percent 17 2 3" xfId="43628" xr:uid="{00000000-0005-0000-0000-000050740000}"/>
    <cellStyle name="Percent 17 3" xfId="43629" xr:uid="{00000000-0005-0000-0000-000051740000}"/>
    <cellStyle name="Percent 17 3 2" xfId="43630" xr:uid="{00000000-0005-0000-0000-000052740000}"/>
    <cellStyle name="Percent 17 3 3" xfId="43631" xr:uid="{00000000-0005-0000-0000-000053740000}"/>
    <cellStyle name="Percent 17 4" xfId="43632" xr:uid="{00000000-0005-0000-0000-000054740000}"/>
    <cellStyle name="Percent 17 5" xfId="43633" xr:uid="{00000000-0005-0000-0000-000055740000}"/>
    <cellStyle name="Percent 18" xfId="43634" xr:uid="{00000000-0005-0000-0000-000056740000}"/>
    <cellStyle name="Percent 18 2" xfId="43635" xr:uid="{00000000-0005-0000-0000-000057740000}"/>
    <cellStyle name="Percent 18 2 2" xfId="43636" xr:uid="{00000000-0005-0000-0000-000058740000}"/>
    <cellStyle name="Percent 18 2 3" xfId="43637" xr:uid="{00000000-0005-0000-0000-000059740000}"/>
    <cellStyle name="Percent 18 3" xfId="43638" xr:uid="{00000000-0005-0000-0000-00005A740000}"/>
    <cellStyle name="Percent 18 3 2" xfId="43639" xr:uid="{00000000-0005-0000-0000-00005B740000}"/>
    <cellStyle name="Percent 18 3 3" xfId="43640" xr:uid="{00000000-0005-0000-0000-00005C740000}"/>
    <cellStyle name="Percent 18 4" xfId="43641" xr:uid="{00000000-0005-0000-0000-00005D740000}"/>
    <cellStyle name="Percent 18 5" xfId="43642" xr:uid="{00000000-0005-0000-0000-00005E740000}"/>
    <cellStyle name="Percent 19" xfId="43643" xr:uid="{00000000-0005-0000-0000-00005F740000}"/>
    <cellStyle name="Percent 19 2" xfId="43644" xr:uid="{00000000-0005-0000-0000-000060740000}"/>
    <cellStyle name="Percent 2" xfId="96" xr:uid="{00000000-0005-0000-0000-000061740000}"/>
    <cellStyle name="Percent 2 2" xfId="97" xr:uid="{00000000-0005-0000-0000-000062740000}"/>
    <cellStyle name="Percent 2 2 2" xfId="43645" xr:uid="{00000000-0005-0000-0000-000063740000}"/>
    <cellStyle name="Percent 2 3" xfId="43646" xr:uid="{00000000-0005-0000-0000-000064740000}"/>
    <cellStyle name="Percent 20" xfId="43647" xr:uid="{00000000-0005-0000-0000-000065740000}"/>
    <cellStyle name="Percent 21" xfId="43648" xr:uid="{00000000-0005-0000-0000-000066740000}"/>
    <cellStyle name="Percent 22" xfId="43649" xr:uid="{00000000-0005-0000-0000-000067740000}"/>
    <cellStyle name="Percent 23" xfId="43650" xr:uid="{00000000-0005-0000-0000-000068740000}"/>
    <cellStyle name="Percent 24" xfId="43651" xr:uid="{00000000-0005-0000-0000-000069740000}"/>
    <cellStyle name="Percent 3" xfId="98" xr:uid="{00000000-0005-0000-0000-00006A740000}"/>
    <cellStyle name="Percent 4" xfId="99" xr:uid="{00000000-0005-0000-0000-00006B740000}"/>
    <cellStyle name="Percent 4 2" xfId="27004" xr:uid="{00000000-0005-0000-0000-00006C740000}"/>
    <cellStyle name="Percent 5" xfId="189" xr:uid="{00000000-0005-0000-0000-00006D740000}"/>
    <cellStyle name="Percent 6" xfId="40809" xr:uid="{00000000-0005-0000-0000-00006E740000}"/>
    <cellStyle name="Percent 66" xfId="40810" xr:uid="{00000000-0005-0000-0000-00006F740000}"/>
    <cellStyle name="Percent 7" xfId="40811" xr:uid="{00000000-0005-0000-0000-000070740000}"/>
    <cellStyle name="Percent 8" xfId="43652" xr:uid="{00000000-0005-0000-0000-000071740000}"/>
    <cellStyle name="Percent 9" xfId="43653" xr:uid="{00000000-0005-0000-0000-000072740000}"/>
    <cellStyle name="Percent.00" xfId="190" xr:uid="{00000000-0005-0000-0000-000073740000}"/>
    <cellStyle name="producto" xfId="191" xr:uid="{00000000-0005-0000-0000-000074740000}"/>
    <cellStyle name="Reference" xfId="100" xr:uid="{00000000-0005-0000-0000-000075740000}"/>
    <cellStyle name="RISKbottomEdge" xfId="192" xr:uid="{00000000-0005-0000-0000-000076740000}"/>
    <cellStyle name="RISKbottomEdge 10" xfId="43654" xr:uid="{00000000-0005-0000-0000-000077740000}"/>
    <cellStyle name="RISKbottomEdge 11" xfId="43655" xr:uid="{00000000-0005-0000-0000-000078740000}"/>
    <cellStyle name="RISKbottomEdge 12" xfId="43656" xr:uid="{00000000-0005-0000-0000-000079740000}"/>
    <cellStyle name="RISKbottomEdge 13" xfId="43657" xr:uid="{00000000-0005-0000-0000-00007A740000}"/>
    <cellStyle name="RISKbottomEdge 14" xfId="43658" xr:uid="{00000000-0005-0000-0000-00007B740000}"/>
    <cellStyle name="RISKbottomEdge 15" xfId="43659" xr:uid="{00000000-0005-0000-0000-00007C740000}"/>
    <cellStyle name="RISKbottomEdge 16" xfId="43660" xr:uid="{00000000-0005-0000-0000-00007D740000}"/>
    <cellStyle name="RISKbottomEdge 17" xfId="43661" xr:uid="{00000000-0005-0000-0000-00007E740000}"/>
    <cellStyle name="RISKbottomEdge 18" xfId="43662" xr:uid="{00000000-0005-0000-0000-00007F740000}"/>
    <cellStyle name="RISKbottomEdge 19" xfId="43663" xr:uid="{00000000-0005-0000-0000-000080740000}"/>
    <cellStyle name="RISKbottomEdge 2" xfId="193" xr:uid="{00000000-0005-0000-0000-000081740000}"/>
    <cellStyle name="RISKbottomEdge 2 2" xfId="27005" xr:uid="{00000000-0005-0000-0000-000082740000}"/>
    <cellStyle name="RISKbottomEdge 2 2 10" xfId="27006" xr:uid="{00000000-0005-0000-0000-000083740000}"/>
    <cellStyle name="RISKbottomEdge 2 2 10 2" xfId="27007" xr:uid="{00000000-0005-0000-0000-000084740000}"/>
    <cellStyle name="RISKbottomEdge 2 2 10 2 2" xfId="27008" xr:uid="{00000000-0005-0000-0000-000085740000}"/>
    <cellStyle name="RISKbottomEdge 2 2 10 3" xfId="27009" xr:uid="{00000000-0005-0000-0000-000086740000}"/>
    <cellStyle name="RISKbottomEdge 2 2 10 3 2" xfId="27010" xr:uid="{00000000-0005-0000-0000-000087740000}"/>
    <cellStyle name="RISKbottomEdge 2 2 10 4" xfId="27011" xr:uid="{00000000-0005-0000-0000-000088740000}"/>
    <cellStyle name="RISKbottomEdge 2 2 10 4 2" xfId="27012" xr:uid="{00000000-0005-0000-0000-000089740000}"/>
    <cellStyle name="RISKbottomEdge 2 2 10 5" xfId="27013" xr:uid="{00000000-0005-0000-0000-00008A740000}"/>
    <cellStyle name="RISKbottomEdge 2 2 10 5 2" xfId="27014" xr:uid="{00000000-0005-0000-0000-00008B740000}"/>
    <cellStyle name="RISKbottomEdge 2 2 10 6" xfId="27015" xr:uid="{00000000-0005-0000-0000-00008C740000}"/>
    <cellStyle name="RISKbottomEdge 2 2 10 6 2" xfId="27016" xr:uid="{00000000-0005-0000-0000-00008D740000}"/>
    <cellStyle name="RISKbottomEdge 2 2 10 7" xfId="27017" xr:uid="{00000000-0005-0000-0000-00008E740000}"/>
    <cellStyle name="RISKbottomEdge 2 2 10 7 2" xfId="27018" xr:uid="{00000000-0005-0000-0000-00008F740000}"/>
    <cellStyle name="RISKbottomEdge 2 2 10 8" xfId="27019" xr:uid="{00000000-0005-0000-0000-000090740000}"/>
    <cellStyle name="RISKbottomEdge 2 2 10 8 2" xfId="27020" xr:uid="{00000000-0005-0000-0000-000091740000}"/>
    <cellStyle name="RISKbottomEdge 2 2 10 9" xfId="27021" xr:uid="{00000000-0005-0000-0000-000092740000}"/>
    <cellStyle name="RISKbottomEdge 2 2 11" xfId="27022" xr:uid="{00000000-0005-0000-0000-000093740000}"/>
    <cellStyle name="RISKbottomEdge 2 2 11 2" xfId="27023" xr:uid="{00000000-0005-0000-0000-000094740000}"/>
    <cellStyle name="RISKbottomEdge 2 2 12" xfId="27024" xr:uid="{00000000-0005-0000-0000-000095740000}"/>
    <cellStyle name="RISKbottomEdge 2 2 12 2" xfId="27025" xr:uid="{00000000-0005-0000-0000-000096740000}"/>
    <cellStyle name="RISKbottomEdge 2 2 13" xfId="27026" xr:uid="{00000000-0005-0000-0000-000097740000}"/>
    <cellStyle name="RISKbottomEdge 2 2 13 2" xfId="27027" xr:uid="{00000000-0005-0000-0000-000098740000}"/>
    <cellStyle name="RISKbottomEdge 2 2 14" xfId="27028" xr:uid="{00000000-0005-0000-0000-000099740000}"/>
    <cellStyle name="RISKbottomEdge 2 2 14 2" xfId="27029" xr:uid="{00000000-0005-0000-0000-00009A740000}"/>
    <cellStyle name="RISKbottomEdge 2 2 15" xfId="27030" xr:uid="{00000000-0005-0000-0000-00009B740000}"/>
    <cellStyle name="RISKbottomEdge 2 2 15 2" xfId="27031" xr:uid="{00000000-0005-0000-0000-00009C740000}"/>
    <cellStyle name="RISKbottomEdge 2 2 16" xfId="27032" xr:uid="{00000000-0005-0000-0000-00009D740000}"/>
    <cellStyle name="RISKbottomEdge 2 2 16 2" xfId="27033" xr:uid="{00000000-0005-0000-0000-00009E740000}"/>
    <cellStyle name="RISKbottomEdge 2 2 17" xfId="27034" xr:uid="{00000000-0005-0000-0000-00009F740000}"/>
    <cellStyle name="RISKbottomEdge 2 2 17 2" xfId="27035" xr:uid="{00000000-0005-0000-0000-0000A0740000}"/>
    <cellStyle name="RISKbottomEdge 2 2 18" xfId="27036" xr:uid="{00000000-0005-0000-0000-0000A1740000}"/>
    <cellStyle name="RISKbottomEdge 2 2 2" xfId="27037" xr:uid="{00000000-0005-0000-0000-0000A2740000}"/>
    <cellStyle name="RISKbottomEdge 2 2 2 10" xfId="27038" xr:uid="{00000000-0005-0000-0000-0000A3740000}"/>
    <cellStyle name="RISKbottomEdge 2 2 2 2" xfId="27039" xr:uid="{00000000-0005-0000-0000-0000A4740000}"/>
    <cellStyle name="RISKbottomEdge 2 2 2 2 2" xfId="27040" xr:uid="{00000000-0005-0000-0000-0000A5740000}"/>
    <cellStyle name="RISKbottomEdge 2 2 2 3" xfId="27041" xr:uid="{00000000-0005-0000-0000-0000A6740000}"/>
    <cellStyle name="RISKbottomEdge 2 2 2 3 2" xfId="27042" xr:uid="{00000000-0005-0000-0000-0000A7740000}"/>
    <cellStyle name="RISKbottomEdge 2 2 2 4" xfId="27043" xr:uid="{00000000-0005-0000-0000-0000A8740000}"/>
    <cellStyle name="RISKbottomEdge 2 2 2 4 2" xfId="27044" xr:uid="{00000000-0005-0000-0000-0000A9740000}"/>
    <cellStyle name="RISKbottomEdge 2 2 2 5" xfId="27045" xr:uid="{00000000-0005-0000-0000-0000AA740000}"/>
    <cellStyle name="RISKbottomEdge 2 2 2 5 2" xfId="27046" xr:uid="{00000000-0005-0000-0000-0000AB740000}"/>
    <cellStyle name="RISKbottomEdge 2 2 2 6" xfId="27047" xr:uid="{00000000-0005-0000-0000-0000AC740000}"/>
    <cellStyle name="RISKbottomEdge 2 2 2 6 2" xfId="27048" xr:uid="{00000000-0005-0000-0000-0000AD740000}"/>
    <cellStyle name="RISKbottomEdge 2 2 2 7" xfId="27049" xr:uid="{00000000-0005-0000-0000-0000AE740000}"/>
    <cellStyle name="RISKbottomEdge 2 2 2 7 2" xfId="27050" xr:uid="{00000000-0005-0000-0000-0000AF740000}"/>
    <cellStyle name="RISKbottomEdge 2 2 2 8" xfId="27051" xr:uid="{00000000-0005-0000-0000-0000B0740000}"/>
    <cellStyle name="RISKbottomEdge 2 2 2 8 2" xfId="27052" xr:uid="{00000000-0005-0000-0000-0000B1740000}"/>
    <cellStyle name="RISKbottomEdge 2 2 2 9" xfId="27053" xr:uid="{00000000-0005-0000-0000-0000B2740000}"/>
    <cellStyle name="RISKbottomEdge 2 2 2 9 2" xfId="27054" xr:uid="{00000000-0005-0000-0000-0000B3740000}"/>
    <cellStyle name="RISKbottomEdge 2 2 3" xfId="27055" xr:uid="{00000000-0005-0000-0000-0000B4740000}"/>
    <cellStyle name="RISKbottomEdge 2 2 3 10" xfId="27056" xr:uid="{00000000-0005-0000-0000-0000B5740000}"/>
    <cellStyle name="RISKbottomEdge 2 2 3 2" xfId="27057" xr:uid="{00000000-0005-0000-0000-0000B6740000}"/>
    <cellStyle name="RISKbottomEdge 2 2 3 2 2" xfId="27058" xr:uid="{00000000-0005-0000-0000-0000B7740000}"/>
    <cellStyle name="RISKbottomEdge 2 2 3 3" xfId="27059" xr:uid="{00000000-0005-0000-0000-0000B8740000}"/>
    <cellStyle name="RISKbottomEdge 2 2 3 3 2" xfId="27060" xr:uid="{00000000-0005-0000-0000-0000B9740000}"/>
    <cellStyle name="RISKbottomEdge 2 2 3 4" xfId="27061" xr:uid="{00000000-0005-0000-0000-0000BA740000}"/>
    <cellStyle name="RISKbottomEdge 2 2 3 4 2" xfId="27062" xr:uid="{00000000-0005-0000-0000-0000BB740000}"/>
    <cellStyle name="RISKbottomEdge 2 2 3 5" xfId="27063" xr:uid="{00000000-0005-0000-0000-0000BC740000}"/>
    <cellStyle name="RISKbottomEdge 2 2 3 5 2" xfId="27064" xr:uid="{00000000-0005-0000-0000-0000BD740000}"/>
    <cellStyle name="RISKbottomEdge 2 2 3 6" xfId="27065" xr:uid="{00000000-0005-0000-0000-0000BE740000}"/>
    <cellStyle name="RISKbottomEdge 2 2 3 6 2" xfId="27066" xr:uid="{00000000-0005-0000-0000-0000BF740000}"/>
    <cellStyle name="RISKbottomEdge 2 2 3 7" xfId="27067" xr:uid="{00000000-0005-0000-0000-0000C0740000}"/>
    <cellStyle name="RISKbottomEdge 2 2 3 7 2" xfId="27068" xr:uid="{00000000-0005-0000-0000-0000C1740000}"/>
    <cellStyle name="RISKbottomEdge 2 2 3 8" xfId="27069" xr:uid="{00000000-0005-0000-0000-0000C2740000}"/>
    <cellStyle name="RISKbottomEdge 2 2 3 8 2" xfId="27070" xr:uid="{00000000-0005-0000-0000-0000C3740000}"/>
    <cellStyle name="RISKbottomEdge 2 2 3 9" xfId="27071" xr:uid="{00000000-0005-0000-0000-0000C4740000}"/>
    <cellStyle name="RISKbottomEdge 2 2 3 9 2" xfId="27072" xr:uid="{00000000-0005-0000-0000-0000C5740000}"/>
    <cellStyle name="RISKbottomEdge 2 2 4" xfId="27073" xr:uid="{00000000-0005-0000-0000-0000C6740000}"/>
    <cellStyle name="RISKbottomEdge 2 2 4 10" xfId="27074" xr:uid="{00000000-0005-0000-0000-0000C7740000}"/>
    <cellStyle name="RISKbottomEdge 2 2 4 2" xfId="27075" xr:uid="{00000000-0005-0000-0000-0000C8740000}"/>
    <cellStyle name="RISKbottomEdge 2 2 4 2 2" xfId="27076" xr:uid="{00000000-0005-0000-0000-0000C9740000}"/>
    <cellStyle name="RISKbottomEdge 2 2 4 3" xfId="27077" xr:uid="{00000000-0005-0000-0000-0000CA740000}"/>
    <cellStyle name="RISKbottomEdge 2 2 4 3 2" xfId="27078" xr:uid="{00000000-0005-0000-0000-0000CB740000}"/>
    <cellStyle name="RISKbottomEdge 2 2 4 4" xfId="27079" xr:uid="{00000000-0005-0000-0000-0000CC740000}"/>
    <cellStyle name="RISKbottomEdge 2 2 4 4 2" xfId="27080" xr:uid="{00000000-0005-0000-0000-0000CD740000}"/>
    <cellStyle name="RISKbottomEdge 2 2 4 5" xfId="27081" xr:uid="{00000000-0005-0000-0000-0000CE740000}"/>
    <cellStyle name="RISKbottomEdge 2 2 4 5 2" xfId="27082" xr:uid="{00000000-0005-0000-0000-0000CF740000}"/>
    <cellStyle name="RISKbottomEdge 2 2 4 6" xfId="27083" xr:uid="{00000000-0005-0000-0000-0000D0740000}"/>
    <cellStyle name="RISKbottomEdge 2 2 4 6 2" xfId="27084" xr:uid="{00000000-0005-0000-0000-0000D1740000}"/>
    <cellStyle name="RISKbottomEdge 2 2 4 7" xfId="27085" xr:uid="{00000000-0005-0000-0000-0000D2740000}"/>
    <cellStyle name="RISKbottomEdge 2 2 4 7 2" xfId="27086" xr:uid="{00000000-0005-0000-0000-0000D3740000}"/>
    <cellStyle name="RISKbottomEdge 2 2 4 8" xfId="27087" xr:uid="{00000000-0005-0000-0000-0000D4740000}"/>
    <cellStyle name="RISKbottomEdge 2 2 4 8 2" xfId="27088" xr:uid="{00000000-0005-0000-0000-0000D5740000}"/>
    <cellStyle name="RISKbottomEdge 2 2 4 9" xfId="27089" xr:uid="{00000000-0005-0000-0000-0000D6740000}"/>
    <cellStyle name="RISKbottomEdge 2 2 4 9 2" xfId="27090" xr:uid="{00000000-0005-0000-0000-0000D7740000}"/>
    <cellStyle name="RISKbottomEdge 2 2 5" xfId="27091" xr:uid="{00000000-0005-0000-0000-0000D8740000}"/>
    <cellStyle name="RISKbottomEdge 2 2 5 10" xfId="27092" xr:uid="{00000000-0005-0000-0000-0000D9740000}"/>
    <cellStyle name="RISKbottomEdge 2 2 5 2" xfId="27093" xr:uid="{00000000-0005-0000-0000-0000DA740000}"/>
    <cellStyle name="RISKbottomEdge 2 2 5 2 2" xfId="27094" xr:uid="{00000000-0005-0000-0000-0000DB740000}"/>
    <cellStyle name="RISKbottomEdge 2 2 5 3" xfId="27095" xr:uid="{00000000-0005-0000-0000-0000DC740000}"/>
    <cellStyle name="RISKbottomEdge 2 2 5 3 2" xfId="27096" xr:uid="{00000000-0005-0000-0000-0000DD740000}"/>
    <cellStyle name="RISKbottomEdge 2 2 5 4" xfId="27097" xr:uid="{00000000-0005-0000-0000-0000DE740000}"/>
    <cellStyle name="RISKbottomEdge 2 2 5 4 2" xfId="27098" xr:uid="{00000000-0005-0000-0000-0000DF740000}"/>
    <cellStyle name="RISKbottomEdge 2 2 5 5" xfId="27099" xr:uid="{00000000-0005-0000-0000-0000E0740000}"/>
    <cellStyle name="RISKbottomEdge 2 2 5 5 2" xfId="27100" xr:uid="{00000000-0005-0000-0000-0000E1740000}"/>
    <cellStyle name="RISKbottomEdge 2 2 5 6" xfId="27101" xr:uid="{00000000-0005-0000-0000-0000E2740000}"/>
    <cellStyle name="RISKbottomEdge 2 2 5 6 2" xfId="27102" xr:uid="{00000000-0005-0000-0000-0000E3740000}"/>
    <cellStyle name="RISKbottomEdge 2 2 5 7" xfId="27103" xr:uid="{00000000-0005-0000-0000-0000E4740000}"/>
    <cellStyle name="RISKbottomEdge 2 2 5 7 2" xfId="27104" xr:uid="{00000000-0005-0000-0000-0000E5740000}"/>
    <cellStyle name="RISKbottomEdge 2 2 5 8" xfId="27105" xr:uid="{00000000-0005-0000-0000-0000E6740000}"/>
    <cellStyle name="RISKbottomEdge 2 2 5 8 2" xfId="27106" xr:uid="{00000000-0005-0000-0000-0000E7740000}"/>
    <cellStyle name="RISKbottomEdge 2 2 5 9" xfId="27107" xr:uid="{00000000-0005-0000-0000-0000E8740000}"/>
    <cellStyle name="RISKbottomEdge 2 2 5 9 2" xfId="27108" xr:uid="{00000000-0005-0000-0000-0000E9740000}"/>
    <cellStyle name="RISKbottomEdge 2 2 6" xfId="27109" xr:uid="{00000000-0005-0000-0000-0000EA740000}"/>
    <cellStyle name="RISKbottomEdge 2 2 6 10" xfId="27110" xr:uid="{00000000-0005-0000-0000-0000EB740000}"/>
    <cellStyle name="RISKbottomEdge 2 2 6 2" xfId="27111" xr:uid="{00000000-0005-0000-0000-0000EC740000}"/>
    <cellStyle name="RISKbottomEdge 2 2 6 2 2" xfId="27112" xr:uid="{00000000-0005-0000-0000-0000ED740000}"/>
    <cellStyle name="RISKbottomEdge 2 2 6 3" xfId="27113" xr:uid="{00000000-0005-0000-0000-0000EE740000}"/>
    <cellStyle name="RISKbottomEdge 2 2 6 3 2" xfId="27114" xr:uid="{00000000-0005-0000-0000-0000EF740000}"/>
    <cellStyle name="RISKbottomEdge 2 2 6 4" xfId="27115" xr:uid="{00000000-0005-0000-0000-0000F0740000}"/>
    <cellStyle name="RISKbottomEdge 2 2 6 4 2" xfId="27116" xr:uid="{00000000-0005-0000-0000-0000F1740000}"/>
    <cellStyle name="RISKbottomEdge 2 2 6 5" xfId="27117" xr:uid="{00000000-0005-0000-0000-0000F2740000}"/>
    <cellStyle name="RISKbottomEdge 2 2 6 5 2" xfId="27118" xr:uid="{00000000-0005-0000-0000-0000F3740000}"/>
    <cellStyle name="RISKbottomEdge 2 2 6 6" xfId="27119" xr:uid="{00000000-0005-0000-0000-0000F4740000}"/>
    <cellStyle name="RISKbottomEdge 2 2 6 6 2" xfId="27120" xr:uid="{00000000-0005-0000-0000-0000F5740000}"/>
    <cellStyle name="RISKbottomEdge 2 2 6 7" xfId="27121" xr:uid="{00000000-0005-0000-0000-0000F6740000}"/>
    <cellStyle name="RISKbottomEdge 2 2 6 7 2" xfId="27122" xr:uid="{00000000-0005-0000-0000-0000F7740000}"/>
    <cellStyle name="RISKbottomEdge 2 2 6 8" xfId="27123" xr:uid="{00000000-0005-0000-0000-0000F8740000}"/>
    <cellStyle name="RISKbottomEdge 2 2 6 8 2" xfId="27124" xr:uid="{00000000-0005-0000-0000-0000F9740000}"/>
    <cellStyle name="RISKbottomEdge 2 2 6 9" xfId="27125" xr:uid="{00000000-0005-0000-0000-0000FA740000}"/>
    <cellStyle name="RISKbottomEdge 2 2 6 9 2" xfId="27126" xr:uid="{00000000-0005-0000-0000-0000FB740000}"/>
    <cellStyle name="RISKbottomEdge 2 2 7" xfId="27127" xr:uid="{00000000-0005-0000-0000-0000FC740000}"/>
    <cellStyle name="RISKbottomEdge 2 2 7 10" xfId="27128" xr:uid="{00000000-0005-0000-0000-0000FD740000}"/>
    <cellStyle name="RISKbottomEdge 2 2 7 2" xfId="27129" xr:uid="{00000000-0005-0000-0000-0000FE740000}"/>
    <cellStyle name="RISKbottomEdge 2 2 7 2 2" xfId="27130" xr:uid="{00000000-0005-0000-0000-0000FF740000}"/>
    <cellStyle name="RISKbottomEdge 2 2 7 3" xfId="27131" xr:uid="{00000000-0005-0000-0000-000000750000}"/>
    <cellStyle name="RISKbottomEdge 2 2 7 3 2" xfId="27132" xr:uid="{00000000-0005-0000-0000-000001750000}"/>
    <cellStyle name="RISKbottomEdge 2 2 7 4" xfId="27133" xr:uid="{00000000-0005-0000-0000-000002750000}"/>
    <cellStyle name="RISKbottomEdge 2 2 7 4 2" xfId="27134" xr:uid="{00000000-0005-0000-0000-000003750000}"/>
    <cellStyle name="RISKbottomEdge 2 2 7 5" xfId="27135" xr:uid="{00000000-0005-0000-0000-000004750000}"/>
    <cellStyle name="RISKbottomEdge 2 2 7 5 2" xfId="27136" xr:uid="{00000000-0005-0000-0000-000005750000}"/>
    <cellStyle name="RISKbottomEdge 2 2 7 6" xfId="27137" xr:uid="{00000000-0005-0000-0000-000006750000}"/>
    <cellStyle name="RISKbottomEdge 2 2 7 6 2" xfId="27138" xr:uid="{00000000-0005-0000-0000-000007750000}"/>
    <cellStyle name="RISKbottomEdge 2 2 7 7" xfId="27139" xr:uid="{00000000-0005-0000-0000-000008750000}"/>
    <cellStyle name="RISKbottomEdge 2 2 7 7 2" xfId="27140" xr:uid="{00000000-0005-0000-0000-000009750000}"/>
    <cellStyle name="RISKbottomEdge 2 2 7 8" xfId="27141" xr:uid="{00000000-0005-0000-0000-00000A750000}"/>
    <cellStyle name="RISKbottomEdge 2 2 7 8 2" xfId="27142" xr:uid="{00000000-0005-0000-0000-00000B750000}"/>
    <cellStyle name="RISKbottomEdge 2 2 7 9" xfId="27143" xr:uid="{00000000-0005-0000-0000-00000C750000}"/>
    <cellStyle name="RISKbottomEdge 2 2 7 9 2" xfId="27144" xr:uid="{00000000-0005-0000-0000-00000D750000}"/>
    <cellStyle name="RISKbottomEdge 2 2 8" xfId="27145" xr:uid="{00000000-0005-0000-0000-00000E750000}"/>
    <cellStyle name="RISKbottomEdge 2 2 8 10" xfId="27146" xr:uid="{00000000-0005-0000-0000-00000F750000}"/>
    <cellStyle name="RISKbottomEdge 2 2 8 2" xfId="27147" xr:uid="{00000000-0005-0000-0000-000010750000}"/>
    <cellStyle name="RISKbottomEdge 2 2 8 2 2" xfId="27148" xr:uid="{00000000-0005-0000-0000-000011750000}"/>
    <cellStyle name="RISKbottomEdge 2 2 8 3" xfId="27149" xr:uid="{00000000-0005-0000-0000-000012750000}"/>
    <cellStyle name="RISKbottomEdge 2 2 8 3 2" xfId="27150" xr:uid="{00000000-0005-0000-0000-000013750000}"/>
    <cellStyle name="RISKbottomEdge 2 2 8 4" xfId="27151" xr:uid="{00000000-0005-0000-0000-000014750000}"/>
    <cellStyle name="RISKbottomEdge 2 2 8 4 2" xfId="27152" xr:uid="{00000000-0005-0000-0000-000015750000}"/>
    <cellStyle name="RISKbottomEdge 2 2 8 5" xfId="27153" xr:uid="{00000000-0005-0000-0000-000016750000}"/>
    <cellStyle name="RISKbottomEdge 2 2 8 5 2" xfId="27154" xr:uid="{00000000-0005-0000-0000-000017750000}"/>
    <cellStyle name="RISKbottomEdge 2 2 8 6" xfId="27155" xr:uid="{00000000-0005-0000-0000-000018750000}"/>
    <cellStyle name="RISKbottomEdge 2 2 8 6 2" xfId="27156" xr:uid="{00000000-0005-0000-0000-000019750000}"/>
    <cellStyle name="RISKbottomEdge 2 2 8 7" xfId="27157" xr:uid="{00000000-0005-0000-0000-00001A750000}"/>
    <cellStyle name="RISKbottomEdge 2 2 8 7 2" xfId="27158" xr:uid="{00000000-0005-0000-0000-00001B750000}"/>
    <cellStyle name="RISKbottomEdge 2 2 8 8" xfId="27159" xr:uid="{00000000-0005-0000-0000-00001C750000}"/>
    <cellStyle name="RISKbottomEdge 2 2 8 8 2" xfId="27160" xr:uid="{00000000-0005-0000-0000-00001D750000}"/>
    <cellStyle name="RISKbottomEdge 2 2 8 9" xfId="27161" xr:uid="{00000000-0005-0000-0000-00001E750000}"/>
    <cellStyle name="RISKbottomEdge 2 2 8 9 2" xfId="27162" xr:uid="{00000000-0005-0000-0000-00001F750000}"/>
    <cellStyle name="RISKbottomEdge 2 2 9" xfId="27163" xr:uid="{00000000-0005-0000-0000-000020750000}"/>
    <cellStyle name="RISKbottomEdge 2 2 9 10" xfId="27164" xr:uid="{00000000-0005-0000-0000-000021750000}"/>
    <cellStyle name="RISKbottomEdge 2 2 9 2" xfId="27165" xr:uid="{00000000-0005-0000-0000-000022750000}"/>
    <cellStyle name="RISKbottomEdge 2 2 9 2 2" xfId="27166" xr:uid="{00000000-0005-0000-0000-000023750000}"/>
    <cellStyle name="RISKbottomEdge 2 2 9 3" xfId="27167" xr:uid="{00000000-0005-0000-0000-000024750000}"/>
    <cellStyle name="RISKbottomEdge 2 2 9 3 2" xfId="27168" xr:uid="{00000000-0005-0000-0000-000025750000}"/>
    <cellStyle name="RISKbottomEdge 2 2 9 4" xfId="27169" xr:uid="{00000000-0005-0000-0000-000026750000}"/>
    <cellStyle name="RISKbottomEdge 2 2 9 4 2" xfId="27170" xr:uid="{00000000-0005-0000-0000-000027750000}"/>
    <cellStyle name="RISKbottomEdge 2 2 9 5" xfId="27171" xr:uid="{00000000-0005-0000-0000-000028750000}"/>
    <cellStyle name="RISKbottomEdge 2 2 9 5 2" xfId="27172" xr:uid="{00000000-0005-0000-0000-000029750000}"/>
    <cellStyle name="RISKbottomEdge 2 2 9 6" xfId="27173" xr:uid="{00000000-0005-0000-0000-00002A750000}"/>
    <cellStyle name="RISKbottomEdge 2 2 9 6 2" xfId="27174" xr:uid="{00000000-0005-0000-0000-00002B750000}"/>
    <cellStyle name="RISKbottomEdge 2 2 9 7" xfId="27175" xr:uid="{00000000-0005-0000-0000-00002C750000}"/>
    <cellStyle name="RISKbottomEdge 2 2 9 7 2" xfId="27176" xr:uid="{00000000-0005-0000-0000-00002D750000}"/>
    <cellStyle name="RISKbottomEdge 2 2 9 8" xfId="27177" xr:uid="{00000000-0005-0000-0000-00002E750000}"/>
    <cellStyle name="RISKbottomEdge 2 2 9 8 2" xfId="27178" xr:uid="{00000000-0005-0000-0000-00002F750000}"/>
    <cellStyle name="RISKbottomEdge 2 2 9 9" xfId="27179" xr:uid="{00000000-0005-0000-0000-000030750000}"/>
    <cellStyle name="RISKbottomEdge 2 2 9 9 2" xfId="27180" xr:uid="{00000000-0005-0000-0000-000031750000}"/>
    <cellStyle name="RISKbottomEdge 20" xfId="43664" xr:uid="{00000000-0005-0000-0000-000032750000}"/>
    <cellStyle name="RISKbottomEdge 21" xfId="43665" xr:uid="{00000000-0005-0000-0000-000033750000}"/>
    <cellStyle name="RISKbottomEdge 22" xfId="43666" xr:uid="{00000000-0005-0000-0000-000034750000}"/>
    <cellStyle name="RISKbottomEdge 3" xfId="27181" xr:uid="{00000000-0005-0000-0000-000035750000}"/>
    <cellStyle name="RISKbottomEdge 3 10" xfId="27182" xr:uid="{00000000-0005-0000-0000-000036750000}"/>
    <cellStyle name="RISKbottomEdge 3 10 2" xfId="27183" xr:uid="{00000000-0005-0000-0000-000037750000}"/>
    <cellStyle name="RISKbottomEdge 3 10 2 2" xfId="27184" xr:uid="{00000000-0005-0000-0000-000038750000}"/>
    <cellStyle name="RISKbottomEdge 3 10 3" xfId="27185" xr:uid="{00000000-0005-0000-0000-000039750000}"/>
    <cellStyle name="RISKbottomEdge 3 10 3 2" xfId="27186" xr:uid="{00000000-0005-0000-0000-00003A750000}"/>
    <cellStyle name="RISKbottomEdge 3 10 4" xfId="27187" xr:uid="{00000000-0005-0000-0000-00003B750000}"/>
    <cellStyle name="RISKbottomEdge 3 10 4 2" xfId="27188" xr:uid="{00000000-0005-0000-0000-00003C750000}"/>
    <cellStyle name="RISKbottomEdge 3 10 5" xfId="27189" xr:uid="{00000000-0005-0000-0000-00003D750000}"/>
    <cellStyle name="RISKbottomEdge 3 10 5 2" xfId="27190" xr:uid="{00000000-0005-0000-0000-00003E750000}"/>
    <cellStyle name="RISKbottomEdge 3 10 6" xfId="27191" xr:uid="{00000000-0005-0000-0000-00003F750000}"/>
    <cellStyle name="RISKbottomEdge 3 10 6 2" xfId="27192" xr:uid="{00000000-0005-0000-0000-000040750000}"/>
    <cellStyle name="RISKbottomEdge 3 10 7" xfId="27193" xr:uid="{00000000-0005-0000-0000-000041750000}"/>
    <cellStyle name="RISKbottomEdge 3 10 7 2" xfId="27194" xr:uid="{00000000-0005-0000-0000-000042750000}"/>
    <cellStyle name="RISKbottomEdge 3 10 8" xfId="27195" xr:uid="{00000000-0005-0000-0000-000043750000}"/>
    <cellStyle name="RISKbottomEdge 3 10 8 2" xfId="27196" xr:uid="{00000000-0005-0000-0000-000044750000}"/>
    <cellStyle name="RISKbottomEdge 3 10 9" xfId="27197" xr:uid="{00000000-0005-0000-0000-000045750000}"/>
    <cellStyle name="RISKbottomEdge 3 11" xfId="27198" xr:uid="{00000000-0005-0000-0000-000046750000}"/>
    <cellStyle name="RISKbottomEdge 3 11 2" xfId="27199" xr:uid="{00000000-0005-0000-0000-000047750000}"/>
    <cellStyle name="RISKbottomEdge 3 12" xfId="27200" xr:uid="{00000000-0005-0000-0000-000048750000}"/>
    <cellStyle name="RISKbottomEdge 3 12 2" xfId="27201" xr:uid="{00000000-0005-0000-0000-000049750000}"/>
    <cellStyle name="RISKbottomEdge 3 13" xfId="27202" xr:uid="{00000000-0005-0000-0000-00004A750000}"/>
    <cellStyle name="RISKbottomEdge 3 13 2" xfId="27203" xr:uid="{00000000-0005-0000-0000-00004B750000}"/>
    <cellStyle name="RISKbottomEdge 3 14" xfId="27204" xr:uid="{00000000-0005-0000-0000-00004C750000}"/>
    <cellStyle name="RISKbottomEdge 3 14 2" xfId="27205" xr:uid="{00000000-0005-0000-0000-00004D750000}"/>
    <cellStyle name="RISKbottomEdge 3 15" xfId="27206" xr:uid="{00000000-0005-0000-0000-00004E750000}"/>
    <cellStyle name="RISKbottomEdge 3 15 2" xfId="27207" xr:uid="{00000000-0005-0000-0000-00004F750000}"/>
    <cellStyle name="RISKbottomEdge 3 16" xfId="27208" xr:uid="{00000000-0005-0000-0000-000050750000}"/>
    <cellStyle name="RISKbottomEdge 3 16 2" xfId="27209" xr:uid="{00000000-0005-0000-0000-000051750000}"/>
    <cellStyle name="RISKbottomEdge 3 17" xfId="27210" xr:uid="{00000000-0005-0000-0000-000052750000}"/>
    <cellStyle name="RISKbottomEdge 3 17 2" xfId="27211" xr:uid="{00000000-0005-0000-0000-000053750000}"/>
    <cellStyle name="RISKbottomEdge 3 18" xfId="27212" xr:uid="{00000000-0005-0000-0000-000054750000}"/>
    <cellStyle name="RISKbottomEdge 3 2" xfId="27213" xr:uid="{00000000-0005-0000-0000-000055750000}"/>
    <cellStyle name="RISKbottomEdge 3 2 10" xfId="27214" xr:uid="{00000000-0005-0000-0000-000056750000}"/>
    <cellStyle name="RISKbottomEdge 3 2 2" xfId="27215" xr:uid="{00000000-0005-0000-0000-000057750000}"/>
    <cellStyle name="RISKbottomEdge 3 2 2 2" xfId="27216" xr:uid="{00000000-0005-0000-0000-000058750000}"/>
    <cellStyle name="RISKbottomEdge 3 2 3" xfId="27217" xr:uid="{00000000-0005-0000-0000-000059750000}"/>
    <cellStyle name="RISKbottomEdge 3 2 3 2" xfId="27218" xr:uid="{00000000-0005-0000-0000-00005A750000}"/>
    <cellStyle name="RISKbottomEdge 3 2 4" xfId="27219" xr:uid="{00000000-0005-0000-0000-00005B750000}"/>
    <cellStyle name="RISKbottomEdge 3 2 4 2" xfId="27220" xr:uid="{00000000-0005-0000-0000-00005C750000}"/>
    <cellStyle name="RISKbottomEdge 3 2 5" xfId="27221" xr:uid="{00000000-0005-0000-0000-00005D750000}"/>
    <cellStyle name="RISKbottomEdge 3 2 5 2" xfId="27222" xr:uid="{00000000-0005-0000-0000-00005E750000}"/>
    <cellStyle name="RISKbottomEdge 3 2 6" xfId="27223" xr:uid="{00000000-0005-0000-0000-00005F750000}"/>
    <cellStyle name="RISKbottomEdge 3 2 6 2" xfId="27224" xr:uid="{00000000-0005-0000-0000-000060750000}"/>
    <cellStyle name="RISKbottomEdge 3 2 7" xfId="27225" xr:uid="{00000000-0005-0000-0000-000061750000}"/>
    <cellStyle name="RISKbottomEdge 3 2 7 2" xfId="27226" xr:uid="{00000000-0005-0000-0000-000062750000}"/>
    <cellStyle name="RISKbottomEdge 3 2 8" xfId="27227" xr:uid="{00000000-0005-0000-0000-000063750000}"/>
    <cellStyle name="RISKbottomEdge 3 2 8 2" xfId="27228" xr:uid="{00000000-0005-0000-0000-000064750000}"/>
    <cellStyle name="RISKbottomEdge 3 2 9" xfId="27229" xr:uid="{00000000-0005-0000-0000-000065750000}"/>
    <cellStyle name="RISKbottomEdge 3 2 9 2" xfId="27230" xr:uid="{00000000-0005-0000-0000-000066750000}"/>
    <cellStyle name="RISKbottomEdge 3 3" xfId="27231" xr:uid="{00000000-0005-0000-0000-000067750000}"/>
    <cellStyle name="RISKbottomEdge 3 3 10" xfId="27232" xr:uid="{00000000-0005-0000-0000-000068750000}"/>
    <cellStyle name="RISKbottomEdge 3 3 2" xfId="27233" xr:uid="{00000000-0005-0000-0000-000069750000}"/>
    <cellStyle name="RISKbottomEdge 3 3 2 2" xfId="27234" xr:uid="{00000000-0005-0000-0000-00006A750000}"/>
    <cellStyle name="RISKbottomEdge 3 3 3" xfId="27235" xr:uid="{00000000-0005-0000-0000-00006B750000}"/>
    <cellStyle name="RISKbottomEdge 3 3 3 2" xfId="27236" xr:uid="{00000000-0005-0000-0000-00006C750000}"/>
    <cellStyle name="RISKbottomEdge 3 3 4" xfId="27237" xr:uid="{00000000-0005-0000-0000-00006D750000}"/>
    <cellStyle name="RISKbottomEdge 3 3 4 2" xfId="27238" xr:uid="{00000000-0005-0000-0000-00006E750000}"/>
    <cellStyle name="RISKbottomEdge 3 3 5" xfId="27239" xr:uid="{00000000-0005-0000-0000-00006F750000}"/>
    <cellStyle name="RISKbottomEdge 3 3 5 2" xfId="27240" xr:uid="{00000000-0005-0000-0000-000070750000}"/>
    <cellStyle name="RISKbottomEdge 3 3 6" xfId="27241" xr:uid="{00000000-0005-0000-0000-000071750000}"/>
    <cellStyle name="RISKbottomEdge 3 3 6 2" xfId="27242" xr:uid="{00000000-0005-0000-0000-000072750000}"/>
    <cellStyle name="RISKbottomEdge 3 3 7" xfId="27243" xr:uid="{00000000-0005-0000-0000-000073750000}"/>
    <cellStyle name="RISKbottomEdge 3 3 7 2" xfId="27244" xr:uid="{00000000-0005-0000-0000-000074750000}"/>
    <cellStyle name="RISKbottomEdge 3 3 8" xfId="27245" xr:uid="{00000000-0005-0000-0000-000075750000}"/>
    <cellStyle name="RISKbottomEdge 3 3 8 2" xfId="27246" xr:uid="{00000000-0005-0000-0000-000076750000}"/>
    <cellStyle name="RISKbottomEdge 3 3 9" xfId="27247" xr:uid="{00000000-0005-0000-0000-000077750000}"/>
    <cellStyle name="RISKbottomEdge 3 3 9 2" xfId="27248" xr:uid="{00000000-0005-0000-0000-000078750000}"/>
    <cellStyle name="RISKbottomEdge 3 4" xfId="27249" xr:uid="{00000000-0005-0000-0000-000079750000}"/>
    <cellStyle name="RISKbottomEdge 3 4 10" xfId="27250" xr:uid="{00000000-0005-0000-0000-00007A750000}"/>
    <cellStyle name="RISKbottomEdge 3 4 2" xfId="27251" xr:uid="{00000000-0005-0000-0000-00007B750000}"/>
    <cellStyle name="RISKbottomEdge 3 4 2 2" xfId="27252" xr:uid="{00000000-0005-0000-0000-00007C750000}"/>
    <cellStyle name="RISKbottomEdge 3 4 3" xfId="27253" xr:uid="{00000000-0005-0000-0000-00007D750000}"/>
    <cellStyle name="RISKbottomEdge 3 4 3 2" xfId="27254" xr:uid="{00000000-0005-0000-0000-00007E750000}"/>
    <cellStyle name="RISKbottomEdge 3 4 4" xfId="27255" xr:uid="{00000000-0005-0000-0000-00007F750000}"/>
    <cellStyle name="RISKbottomEdge 3 4 4 2" xfId="27256" xr:uid="{00000000-0005-0000-0000-000080750000}"/>
    <cellStyle name="RISKbottomEdge 3 4 5" xfId="27257" xr:uid="{00000000-0005-0000-0000-000081750000}"/>
    <cellStyle name="RISKbottomEdge 3 4 5 2" xfId="27258" xr:uid="{00000000-0005-0000-0000-000082750000}"/>
    <cellStyle name="RISKbottomEdge 3 4 6" xfId="27259" xr:uid="{00000000-0005-0000-0000-000083750000}"/>
    <cellStyle name="RISKbottomEdge 3 4 6 2" xfId="27260" xr:uid="{00000000-0005-0000-0000-000084750000}"/>
    <cellStyle name="RISKbottomEdge 3 4 7" xfId="27261" xr:uid="{00000000-0005-0000-0000-000085750000}"/>
    <cellStyle name="RISKbottomEdge 3 4 7 2" xfId="27262" xr:uid="{00000000-0005-0000-0000-000086750000}"/>
    <cellStyle name="RISKbottomEdge 3 4 8" xfId="27263" xr:uid="{00000000-0005-0000-0000-000087750000}"/>
    <cellStyle name="RISKbottomEdge 3 4 8 2" xfId="27264" xr:uid="{00000000-0005-0000-0000-000088750000}"/>
    <cellStyle name="RISKbottomEdge 3 4 9" xfId="27265" xr:uid="{00000000-0005-0000-0000-000089750000}"/>
    <cellStyle name="RISKbottomEdge 3 4 9 2" xfId="27266" xr:uid="{00000000-0005-0000-0000-00008A750000}"/>
    <cellStyle name="RISKbottomEdge 3 5" xfId="27267" xr:uid="{00000000-0005-0000-0000-00008B750000}"/>
    <cellStyle name="RISKbottomEdge 3 5 10" xfId="27268" xr:uid="{00000000-0005-0000-0000-00008C750000}"/>
    <cellStyle name="RISKbottomEdge 3 5 2" xfId="27269" xr:uid="{00000000-0005-0000-0000-00008D750000}"/>
    <cellStyle name="RISKbottomEdge 3 5 2 2" xfId="27270" xr:uid="{00000000-0005-0000-0000-00008E750000}"/>
    <cellStyle name="RISKbottomEdge 3 5 3" xfId="27271" xr:uid="{00000000-0005-0000-0000-00008F750000}"/>
    <cellStyle name="RISKbottomEdge 3 5 3 2" xfId="27272" xr:uid="{00000000-0005-0000-0000-000090750000}"/>
    <cellStyle name="RISKbottomEdge 3 5 4" xfId="27273" xr:uid="{00000000-0005-0000-0000-000091750000}"/>
    <cellStyle name="RISKbottomEdge 3 5 4 2" xfId="27274" xr:uid="{00000000-0005-0000-0000-000092750000}"/>
    <cellStyle name="RISKbottomEdge 3 5 5" xfId="27275" xr:uid="{00000000-0005-0000-0000-000093750000}"/>
    <cellStyle name="RISKbottomEdge 3 5 5 2" xfId="27276" xr:uid="{00000000-0005-0000-0000-000094750000}"/>
    <cellStyle name="RISKbottomEdge 3 5 6" xfId="27277" xr:uid="{00000000-0005-0000-0000-000095750000}"/>
    <cellStyle name="RISKbottomEdge 3 5 6 2" xfId="27278" xr:uid="{00000000-0005-0000-0000-000096750000}"/>
    <cellStyle name="RISKbottomEdge 3 5 7" xfId="27279" xr:uid="{00000000-0005-0000-0000-000097750000}"/>
    <cellStyle name="RISKbottomEdge 3 5 7 2" xfId="27280" xr:uid="{00000000-0005-0000-0000-000098750000}"/>
    <cellStyle name="RISKbottomEdge 3 5 8" xfId="27281" xr:uid="{00000000-0005-0000-0000-000099750000}"/>
    <cellStyle name="RISKbottomEdge 3 5 8 2" xfId="27282" xr:uid="{00000000-0005-0000-0000-00009A750000}"/>
    <cellStyle name="RISKbottomEdge 3 5 9" xfId="27283" xr:uid="{00000000-0005-0000-0000-00009B750000}"/>
    <cellStyle name="RISKbottomEdge 3 5 9 2" xfId="27284" xr:uid="{00000000-0005-0000-0000-00009C750000}"/>
    <cellStyle name="RISKbottomEdge 3 6" xfId="27285" xr:uid="{00000000-0005-0000-0000-00009D750000}"/>
    <cellStyle name="RISKbottomEdge 3 6 10" xfId="27286" xr:uid="{00000000-0005-0000-0000-00009E750000}"/>
    <cellStyle name="RISKbottomEdge 3 6 2" xfId="27287" xr:uid="{00000000-0005-0000-0000-00009F750000}"/>
    <cellStyle name="RISKbottomEdge 3 6 2 2" xfId="27288" xr:uid="{00000000-0005-0000-0000-0000A0750000}"/>
    <cellStyle name="RISKbottomEdge 3 6 3" xfId="27289" xr:uid="{00000000-0005-0000-0000-0000A1750000}"/>
    <cellStyle name="RISKbottomEdge 3 6 3 2" xfId="27290" xr:uid="{00000000-0005-0000-0000-0000A2750000}"/>
    <cellStyle name="RISKbottomEdge 3 6 4" xfId="27291" xr:uid="{00000000-0005-0000-0000-0000A3750000}"/>
    <cellStyle name="RISKbottomEdge 3 6 4 2" xfId="27292" xr:uid="{00000000-0005-0000-0000-0000A4750000}"/>
    <cellStyle name="RISKbottomEdge 3 6 5" xfId="27293" xr:uid="{00000000-0005-0000-0000-0000A5750000}"/>
    <cellStyle name="RISKbottomEdge 3 6 5 2" xfId="27294" xr:uid="{00000000-0005-0000-0000-0000A6750000}"/>
    <cellStyle name="RISKbottomEdge 3 6 6" xfId="27295" xr:uid="{00000000-0005-0000-0000-0000A7750000}"/>
    <cellStyle name="RISKbottomEdge 3 6 6 2" xfId="27296" xr:uid="{00000000-0005-0000-0000-0000A8750000}"/>
    <cellStyle name="RISKbottomEdge 3 6 7" xfId="27297" xr:uid="{00000000-0005-0000-0000-0000A9750000}"/>
    <cellStyle name="RISKbottomEdge 3 6 7 2" xfId="27298" xr:uid="{00000000-0005-0000-0000-0000AA750000}"/>
    <cellStyle name="RISKbottomEdge 3 6 8" xfId="27299" xr:uid="{00000000-0005-0000-0000-0000AB750000}"/>
    <cellStyle name="RISKbottomEdge 3 6 8 2" xfId="27300" xr:uid="{00000000-0005-0000-0000-0000AC750000}"/>
    <cellStyle name="RISKbottomEdge 3 6 9" xfId="27301" xr:uid="{00000000-0005-0000-0000-0000AD750000}"/>
    <cellStyle name="RISKbottomEdge 3 6 9 2" xfId="27302" xr:uid="{00000000-0005-0000-0000-0000AE750000}"/>
    <cellStyle name="RISKbottomEdge 3 7" xfId="27303" xr:uid="{00000000-0005-0000-0000-0000AF750000}"/>
    <cellStyle name="RISKbottomEdge 3 7 10" xfId="27304" xr:uid="{00000000-0005-0000-0000-0000B0750000}"/>
    <cellStyle name="RISKbottomEdge 3 7 2" xfId="27305" xr:uid="{00000000-0005-0000-0000-0000B1750000}"/>
    <cellStyle name="RISKbottomEdge 3 7 2 2" xfId="27306" xr:uid="{00000000-0005-0000-0000-0000B2750000}"/>
    <cellStyle name="RISKbottomEdge 3 7 3" xfId="27307" xr:uid="{00000000-0005-0000-0000-0000B3750000}"/>
    <cellStyle name="RISKbottomEdge 3 7 3 2" xfId="27308" xr:uid="{00000000-0005-0000-0000-0000B4750000}"/>
    <cellStyle name="RISKbottomEdge 3 7 4" xfId="27309" xr:uid="{00000000-0005-0000-0000-0000B5750000}"/>
    <cellStyle name="RISKbottomEdge 3 7 4 2" xfId="27310" xr:uid="{00000000-0005-0000-0000-0000B6750000}"/>
    <cellStyle name="RISKbottomEdge 3 7 5" xfId="27311" xr:uid="{00000000-0005-0000-0000-0000B7750000}"/>
    <cellStyle name="RISKbottomEdge 3 7 5 2" xfId="27312" xr:uid="{00000000-0005-0000-0000-0000B8750000}"/>
    <cellStyle name="RISKbottomEdge 3 7 6" xfId="27313" xr:uid="{00000000-0005-0000-0000-0000B9750000}"/>
    <cellStyle name="RISKbottomEdge 3 7 6 2" xfId="27314" xr:uid="{00000000-0005-0000-0000-0000BA750000}"/>
    <cellStyle name="RISKbottomEdge 3 7 7" xfId="27315" xr:uid="{00000000-0005-0000-0000-0000BB750000}"/>
    <cellStyle name="RISKbottomEdge 3 7 7 2" xfId="27316" xr:uid="{00000000-0005-0000-0000-0000BC750000}"/>
    <cellStyle name="RISKbottomEdge 3 7 8" xfId="27317" xr:uid="{00000000-0005-0000-0000-0000BD750000}"/>
    <cellStyle name="RISKbottomEdge 3 7 8 2" xfId="27318" xr:uid="{00000000-0005-0000-0000-0000BE750000}"/>
    <cellStyle name="RISKbottomEdge 3 7 9" xfId="27319" xr:uid="{00000000-0005-0000-0000-0000BF750000}"/>
    <cellStyle name="RISKbottomEdge 3 7 9 2" xfId="27320" xr:uid="{00000000-0005-0000-0000-0000C0750000}"/>
    <cellStyle name="RISKbottomEdge 3 8" xfId="27321" xr:uid="{00000000-0005-0000-0000-0000C1750000}"/>
    <cellStyle name="RISKbottomEdge 3 8 10" xfId="27322" xr:uid="{00000000-0005-0000-0000-0000C2750000}"/>
    <cellStyle name="RISKbottomEdge 3 8 2" xfId="27323" xr:uid="{00000000-0005-0000-0000-0000C3750000}"/>
    <cellStyle name="RISKbottomEdge 3 8 2 2" xfId="27324" xr:uid="{00000000-0005-0000-0000-0000C4750000}"/>
    <cellStyle name="RISKbottomEdge 3 8 3" xfId="27325" xr:uid="{00000000-0005-0000-0000-0000C5750000}"/>
    <cellStyle name="RISKbottomEdge 3 8 3 2" xfId="27326" xr:uid="{00000000-0005-0000-0000-0000C6750000}"/>
    <cellStyle name="RISKbottomEdge 3 8 4" xfId="27327" xr:uid="{00000000-0005-0000-0000-0000C7750000}"/>
    <cellStyle name="RISKbottomEdge 3 8 4 2" xfId="27328" xr:uid="{00000000-0005-0000-0000-0000C8750000}"/>
    <cellStyle name="RISKbottomEdge 3 8 5" xfId="27329" xr:uid="{00000000-0005-0000-0000-0000C9750000}"/>
    <cellStyle name="RISKbottomEdge 3 8 5 2" xfId="27330" xr:uid="{00000000-0005-0000-0000-0000CA750000}"/>
    <cellStyle name="RISKbottomEdge 3 8 6" xfId="27331" xr:uid="{00000000-0005-0000-0000-0000CB750000}"/>
    <cellStyle name="RISKbottomEdge 3 8 6 2" xfId="27332" xr:uid="{00000000-0005-0000-0000-0000CC750000}"/>
    <cellStyle name="RISKbottomEdge 3 8 7" xfId="27333" xr:uid="{00000000-0005-0000-0000-0000CD750000}"/>
    <cellStyle name="RISKbottomEdge 3 8 7 2" xfId="27334" xr:uid="{00000000-0005-0000-0000-0000CE750000}"/>
    <cellStyle name="RISKbottomEdge 3 8 8" xfId="27335" xr:uid="{00000000-0005-0000-0000-0000CF750000}"/>
    <cellStyle name="RISKbottomEdge 3 8 8 2" xfId="27336" xr:uid="{00000000-0005-0000-0000-0000D0750000}"/>
    <cellStyle name="RISKbottomEdge 3 8 9" xfId="27337" xr:uid="{00000000-0005-0000-0000-0000D1750000}"/>
    <cellStyle name="RISKbottomEdge 3 8 9 2" xfId="27338" xr:uid="{00000000-0005-0000-0000-0000D2750000}"/>
    <cellStyle name="RISKbottomEdge 3 9" xfId="27339" xr:uid="{00000000-0005-0000-0000-0000D3750000}"/>
    <cellStyle name="RISKbottomEdge 3 9 10" xfId="27340" xr:uid="{00000000-0005-0000-0000-0000D4750000}"/>
    <cellStyle name="RISKbottomEdge 3 9 2" xfId="27341" xr:uid="{00000000-0005-0000-0000-0000D5750000}"/>
    <cellStyle name="RISKbottomEdge 3 9 2 2" xfId="27342" xr:uid="{00000000-0005-0000-0000-0000D6750000}"/>
    <cellStyle name="RISKbottomEdge 3 9 3" xfId="27343" xr:uid="{00000000-0005-0000-0000-0000D7750000}"/>
    <cellStyle name="RISKbottomEdge 3 9 3 2" xfId="27344" xr:uid="{00000000-0005-0000-0000-0000D8750000}"/>
    <cellStyle name="RISKbottomEdge 3 9 4" xfId="27345" xr:uid="{00000000-0005-0000-0000-0000D9750000}"/>
    <cellStyle name="RISKbottomEdge 3 9 4 2" xfId="27346" xr:uid="{00000000-0005-0000-0000-0000DA750000}"/>
    <cellStyle name="RISKbottomEdge 3 9 5" xfId="27347" xr:uid="{00000000-0005-0000-0000-0000DB750000}"/>
    <cellStyle name="RISKbottomEdge 3 9 5 2" xfId="27348" xr:uid="{00000000-0005-0000-0000-0000DC750000}"/>
    <cellStyle name="RISKbottomEdge 3 9 6" xfId="27349" xr:uid="{00000000-0005-0000-0000-0000DD750000}"/>
    <cellStyle name="RISKbottomEdge 3 9 6 2" xfId="27350" xr:uid="{00000000-0005-0000-0000-0000DE750000}"/>
    <cellStyle name="RISKbottomEdge 3 9 7" xfId="27351" xr:uid="{00000000-0005-0000-0000-0000DF750000}"/>
    <cellStyle name="RISKbottomEdge 3 9 7 2" xfId="27352" xr:uid="{00000000-0005-0000-0000-0000E0750000}"/>
    <cellStyle name="RISKbottomEdge 3 9 8" xfId="27353" xr:uid="{00000000-0005-0000-0000-0000E1750000}"/>
    <cellStyle name="RISKbottomEdge 3 9 8 2" xfId="27354" xr:uid="{00000000-0005-0000-0000-0000E2750000}"/>
    <cellStyle name="RISKbottomEdge 3 9 9" xfId="27355" xr:uid="{00000000-0005-0000-0000-0000E3750000}"/>
    <cellStyle name="RISKbottomEdge 3 9 9 2" xfId="27356" xr:uid="{00000000-0005-0000-0000-0000E4750000}"/>
    <cellStyle name="RISKbottomEdge 4" xfId="43667" xr:uid="{00000000-0005-0000-0000-0000E5750000}"/>
    <cellStyle name="RISKbottomEdge 5" xfId="43668" xr:uid="{00000000-0005-0000-0000-0000E6750000}"/>
    <cellStyle name="RISKbottomEdge 6" xfId="43669" xr:uid="{00000000-0005-0000-0000-0000E7750000}"/>
    <cellStyle name="RISKbottomEdge 7" xfId="43670" xr:uid="{00000000-0005-0000-0000-0000E8750000}"/>
    <cellStyle name="RISKbottomEdge 8" xfId="43671" xr:uid="{00000000-0005-0000-0000-0000E9750000}"/>
    <cellStyle name="RISKbottomEdge 9" xfId="43672" xr:uid="{00000000-0005-0000-0000-0000EA750000}"/>
    <cellStyle name="RISKleftEdge" xfId="194" xr:uid="{00000000-0005-0000-0000-0000EB750000}"/>
    <cellStyle name="RISKleftEdge 10" xfId="43673" xr:uid="{00000000-0005-0000-0000-0000EC750000}"/>
    <cellStyle name="RISKleftEdge 10 2" xfId="43674" xr:uid="{00000000-0005-0000-0000-0000ED750000}"/>
    <cellStyle name="RISKleftEdge 10 3" xfId="43675" xr:uid="{00000000-0005-0000-0000-0000EE750000}"/>
    <cellStyle name="RISKleftEdge 11" xfId="43676" xr:uid="{00000000-0005-0000-0000-0000EF750000}"/>
    <cellStyle name="RISKleftEdge 11 2" xfId="43677" xr:uid="{00000000-0005-0000-0000-0000F0750000}"/>
    <cellStyle name="RISKleftEdge 11 3" xfId="43678" xr:uid="{00000000-0005-0000-0000-0000F1750000}"/>
    <cellStyle name="RISKleftEdge 12" xfId="43679" xr:uid="{00000000-0005-0000-0000-0000F2750000}"/>
    <cellStyle name="RISKleftEdge 12 2" xfId="43680" xr:uid="{00000000-0005-0000-0000-0000F3750000}"/>
    <cellStyle name="RISKleftEdge 12 3" xfId="43681" xr:uid="{00000000-0005-0000-0000-0000F4750000}"/>
    <cellStyle name="RISKleftEdge 13" xfId="43682" xr:uid="{00000000-0005-0000-0000-0000F5750000}"/>
    <cellStyle name="RISKleftEdge 13 2" xfId="43683" xr:uid="{00000000-0005-0000-0000-0000F6750000}"/>
    <cellStyle name="RISKleftEdge 13 3" xfId="43684" xr:uid="{00000000-0005-0000-0000-0000F7750000}"/>
    <cellStyle name="RISKleftEdge 14" xfId="43685" xr:uid="{00000000-0005-0000-0000-0000F8750000}"/>
    <cellStyle name="RISKleftEdge 14 2" xfId="43686" xr:uid="{00000000-0005-0000-0000-0000F9750000}"/>
    <cellStyle name="RISKleftEdge 14 3" xfId="43687" xr:uid="{00000000-0005-0000-0000-0000FA750000}"/>
    <cellStyle name="RISKleftEdge 15" xfId="43688" xr:uid="{00000000-0005-0000-0000-0000FB750000}"/>
    <cellStyle name="RISKleftEdge 15 2" xfId="43689" xr:uid="{00000000-0005-0000-0000-0000FC750000}"/>
    <cellStyle name="RISKleftEdge 15 3" xfId="43690" xr:uid="{00000000-0005-0000-0000-0000FD750000}"/>
    <cellStyle name="RISKleftEdge 16" xfId="43691" xr:uid="{00000000-0005-0000-0000-0000FE750000}"/>
    <cellStyle name="RISKleftEdge 16 2" xfId="43692" xr:uid="{00000000-0005-0000-0000-0000FF750000}"/>
    <cellStyle name="RISKleftEdge 16 3" xfId="43693" xr:uid="{00000000-0005-0000-0000-000000760000}"/>
    <cellStyle name="RISKleftEdge 17" xfId="43694" xr:uid="{00000000-0005-0000-0000-000001760000}"/>
    <cellStyle name="RISKleftEdge 17 2" xfId="43695" xr:uid="{00000000-0005-0000-0000-000002760000}"/>
    <cellStyle name="RISKleftEdge 17 3" xfId="43696" xr:uid="{00000000-0005-0000-0000-000003760000}"/>
    <cellStyle name="RISKleftEdge 18" xfId="43697" xr:uid="{00000000-0005-0000-0000-000004760000}"/>
    <cellStyle name="RISKleftEdge 18 2" xfId="43698" xr:uid="{00000000-0005-0000-0000-000005760000}"/>
    <cellStyle name="RISKleftEdge 18 3" xfId="43699" xr:uid="{00000000-0005-0000-0000-000006760000}"/>
    <cellStyle name="RISKleftEdge 19" xfId="43700" xr:uid="{00000000-0005-0000-0000-000007760000}"/>
    <cellStyle name="RISKleftEdge 19 2" xfId="43701" xr:uid="{00000000-0005-0000-0000-000008760000}"/>
    <cellStyle name="RISKleftEdge 19 3" xfId="43702" xr:uid="{00000000-0005-0000-0000-000009760000}"/>
    <cellStyle name="RISKleftEdge 2" xfId="43703" xr:uid="{00000000-0005-0000-0000-00000A760000}"/>
    <cellStyle name="RISKleftEdge 2 2" xfId="43704" xr:uid="{00000000-0005-0000-0000-00000B760000}"/>
    <cellStyle name="RISKleftEdge 2 3" xfId="43705" xr:uid="{00000000-0005-0000-0000-00000C760000}"/>
    <cellStyle name="RISKleftEdge 20" xfId="43706" xr:uid="{00000000-0005-0000-0000-00000D760000}"/>
    <cellStyle name="RISKleftEdge 20 2" xfId="43707" xr:uid="{00000000-0005-0000-0000-00000E760000}"/>
    <cellStyle name="RISKleftEdge 20 3" xfId="43708" xr:uid="{00000000-0005-0000-0000-00000F760000}"/>
    <cellStyle name="RISKleftEdge 21" xfId="43709" xr:uid="{00000000-0005-0000-0000-000010760000}"/>
    <cellStyle name="RISKleftEdge 21 2" xfId="43710" xr:uid="{00000000-0005-0000-0000-000011760000}"/>
    <cellStyle name="RISKleftEdge 21 3" xfId="43711" xr:uid="{00000000-0005-0000-0000-000012760000}"/>
    <cellStyle name="RISKleftEdge 22" xfId="43712" xr:uid="{00000000-0005-0000-0000-000013760000}"/>
    <cellStyle name="RISKleftEdge 22 2" xfId="43713" xr:uid="{00000000-0005-0000-0000-000014760000}"/>
    <cellStyle name="RISKleftEdge 22 3" xfId="43714" xr:uid="{00000000-0005-0000-0000-000015760000}"/>
    <cellStyle name="RISKleftEdge 23" xfId="43715" xr:uid="{00000000-0005-0000-0000-000016760000}"/>
    <cellStyle name="RISKleftEdge 24" xfId="43716" xr:uid="{00000000-0005-0000-0000-000017760000}"/>
    <cellStyle name="RISKleftEdge 3" xfId="43717" xr:uid="{00000000-0005-0000-0000-000018760000}"/>
    <cellStyle name="RISKleftEdge 3 2" xfId="43718" xr:uid="{00000000-0005-0000-0000-000019760000}"/>
    <cellStyle name="RISKleftEdge 3 3" xfId="43719" xr:uid="{00000000-0005-0000-0000-00001A760000}"/>
    <cellStyle name="RISKleftEdge 4" xfId="43720" xr:uid="{00000000-0005-0000-0000-00001B760000}"/>
    <cellStyle name="RISKleftEdge 4 2" xfId="43721" xr:uid="{00000000-0005-0000-0000-00001C760000}"/>
    <cellStyle name="RISKleftEdge 4 3" xfId="43722" xr:uid="{00000000-0005-0000-0000-00001D760000}"/>
    <cellStyle name="RISKleftEdge 5" xfId="43723" xr:uid="{00000000-0005-0000-0000-00001E760000}"/>
    <cellStyle name="RISKleftEdge 5 2" xfId="43724" xr:uid="{00000000-0005-0000-0000-00001F760000}"/>
    <cellStyle name="RISKleftEdge 5 3" xfId="43725" xr:uid="{00000000-0005-0000-0000-000020760000}"/>
    <cellStyle name="RISKleftEdge 6" xfId="43726" xr:uid="{00000000-0005-0000-0000-000021760000}"/>
    <cellStyle name="RISKleftEdge 6 2" xfId="43727" xr:uid="{00000000-0005-0000-0000-000022760000}"/>
    <cellStyle name="RISKleftEdge 6 3" xfId="43728" xr:uid="{00000000-0005-0000-0000-000023760000}"/>
    <cellStyle name="RISKleftEdge 7" xfId="43729" xr:uid="{00000000-0005-0000-0000-000024760000}"/>
    <cellStyle name="RISKleftEdge 7 2" xfId="43730" xr:uid="{00000000-0005-0000-0000-000025760000}"/>
    <cellStyle name="RISKleftEdge 7 3" xfId="43731" xr:uid="{00000000-0005-0000-0000-000026760000}"/>
    <cellStyle name="RISKleftEdge 8" xfId="43732" xr:uid="{00000000-0005-0000-0000-000027760000}"/>
    <cellStyle name="RISKleftEdge 8 2" xfId="43733" xr:uid="{00000000-0005-0000-0000-000028760000}"/>
    <cellStyle name="RISKleftEdge 8 3" xfId="43734" xr:uid="{00000000-0005-0000-0000-000029760000}"/>
    <cellStyle name="RISKleftEdge 9" xfId="43735" xr:uid="{00000000-0005-0000-0000-00002A760000}"/>
    <cellStyle name="RISKleftEdge 9 2" xfId="43736" xr:uid="{00000000-0005-0000-0000-00002B760000}"/>
    <cellStyle name="RISKleftEdge 9 3" xfId="43737" xr:uid="{00000000-0005-0000-0000-00002C760000}"/>
    <cellStyle name="RISKnormBoxed" xfId="195" xr:uid="{00000000-0005-0000-0000-00002D760000}"/>
    <cellStyle name="RISKnormBoxed 10" xfId="43738" xr:uid="{00000000-0005-0000-0000-00002E760000}"/>
    <cellStyle name="RISKnormBoxed 11" xfId="43739" xr:uid="{00000000-0005-0000-0000-00002F760000}"/>
    <cellStyle name="RISKnormBoxed 12" xfId="43740" xr:uid="{00000000-0005-0000-0000-000030760000}"/>
    <cellStyle name="RISKnormBoxed 13" xfId="43741" xr:uid="{00000000-0005-0000-0000-000031760000}"/>
    <cellStyle name="RISKnormBoxed 14" xfId="43742" xr:uid="{00000000-0005-0000-0000-000032760000}"/>
    <cellStyle name="RISKnormBoxed 15" xfId="43743" xr:uid="{00000000-0005-0000-0000-000033760000}"/>
    <cellStyle name="RISKnormBoxed 16" xfId="43744" xr:uid="{00000000-0005-0000-0000-000034760000}"/>
    <cellStyle name="RISKnormBoxed 17" xfId="43745" xr:uid="{00000000-0005-0000-0000-000035760000}"/>
    <cellStyle name="RISKnormBoxed 18" xfId="43746" xr:uid="{00000000-0005-0000-0000-000036760000}"/>
    <cellStyle name="RISKnormBoxed 19" xfId="43747" xr:uid="{00000000-0005-0000-0000-000037760000}"/>
    <cellStyle name="RISKnormBoxed 2" xfId="43748" xr:uid="{00000000-0005-0000-0000-000038760000}"/>
    <cellStyle name="RISKnormBoxed 20" xfId="43749" xr:uid="{00000000-0005-0000-0000-000039760000}"/>
    <cellStyle name="RISKnormBoxed 21" xfId="43750" xr:uid="{00000000-0005-0000-0000-00003A760000}"/>
    <cellStyle name="RISKnormBoxed 22" xfId="43751" xr:uid="{00000000-0005-0000-0000-00003B760000}"/>
    <cellStyle name="RISKnormBoxed 3" xfId="43752" xr:uid="{00000000-0005-0000-0000-00003C760000}"/>
    <cellStyle name="RISKnormBoxed 4" xfId="43753" xr:uid="{00000000-0005-0000-0000-00003D760000}"/>
    <cellStyle name="RISKnormBoxed 5" xfId="43754" xr:uid="{00000000-0005-0000-0000-00003E760000}"/>
    <cellStyle name="RISKnormBoxed 6" xfId="43755" xr:uid="{00000000-0005-0000-0000-00003F760000}"/>
    <cellStyle name="RISKnormBoxed 7" xfId="43756" xr:uid="{00000000-0005-0000-0000-000040760000}"/>
    <cellStyle name="RISKnormBoxed 8" xfId="43757" xr:uid="{00000000-0005-0000-0000-000041760000}"/>
    <cellStyle name="RISKnormBoxed 9" xfId="43758" xr:uid="{00000000-0005-0000-0000-000042760000}"/>
    <cellStyle name="RISKnormHeading" xfId="196" xr:uid="{00000000-0005-0000-0000-000043760000}"/>
    <cellStyle name="RISKnormLabel" xfId="197" xr:uid="{00000000-0005-0000-0000-000044760000}"/>
    <cellStyle name="RISKnormTitle" xfId="198" xr:uid="{00000000-0005-0000-0000-000045760000}"/>
    <cellStyle name="RISKtopEdge" xfId="199" xr:uid="{00000000-0005-0000-0000-000046760000}"/>
    <cellStyle name="RISKtopEdge 10" xfId="43759" xr:uid="{00000000-0005-0000-0000-000047760000}"/>
    <cellStyle name="RISKtopEdge 11" xfId="43760" xr:uid="{00000000-0005-0000-0000-000048760000}"/>
    <cellStyle name="RISKtopEdge 12" xfId="43761" xr:uid="{00000000-0005-0000-0000-000049760000}"/>
    <cellStyle name="RISKtopEdge 13" xfId="43762" xr:uid="{00000000-0005-0000-0000-00004A760000}"/>
    <cellStyle name="RISKtopEdge 14" xfId="43763" xr:uid="{00000000-0005-0000-0000-00004B760000}"/>
    <cellStyle name="RISKtopEdge 15" xfId="43764" xr:uid="{00000000-0005-0000-0000-00004C760000}"/>
    <cellStyle name="RISKtopEdge 16" xfId="43765" xr:uid="{00000000-0005-0000-0000-00004D760000}"/>
    <cellStyle name="RISKtopEdge 17" xfId="43766" xr:uid="{00000000-0005-0000-0000-00004E760000}"/>
    <cellStyle name="RISKtopEdge 18" xfId="43767" xr:uid="{00000000-0005-0000-0000-00004F760000}"/>
    <cellStyle name="RISKtopEdge 19" xfId="43768" xr:uid="{00000000-0005-0000-0000-000050760000}"/>
    <cellStyle name="RISKtopEdge 2" xfId="43769" xr:uid="{00000000-0005-0000-0000-000051760000}"/>
    <cellStyle name="RISKtopEdge 20" xfId="43770" xr:uid="{00000000-0005-0000-0000-000052760000}"/>
    <cellStyle name="RISKtopEdge 21" xfId="43771" xr:uid="{00000000-0005-0000-0000-000053760000}"/>
    <cellStyle name="RISKtopEdge 22" xfId="43772" xr:uid="{00000000-0005-0000-0000-000054760000}"/>
    <cellStyle name="RISKtopEdge 3" xfId="43773" xr:uid="{00000000-0005-0000-0000-000055760000}"/>
    <cellStyle name="RISKtopEdge 4" xfId="43774" xr:uid="{00000000-0005-0000-0000-000056760000}"/>
    <cellStyle name="RISKtopEdge 5" xfId="43775" xr:uid="{00000000-0005-0000-0000-000057760000}"/>
    <cellStyle name="RISKtopEdge 6" xfId="43776" xr:uid="{00000000-0005-0000-0000-000058760000}"/>
    <cellStyle name="RISKtopEdge 7" xfId="43777" xr:uid="{00000000-0005-0000-0000-000059760000}"/>
    <cellStyle name="RISKtopEdge 8" xfId="43778" xr:uid="{00000000-0005-0000-0000-00005A760000}"/>
    <cellStyle name="RISKtopEdge 9" xfId="43779" xr:uid="{00000000-0005-0000-0000-00005B760000}"/>
    <cellStyle name="Row heading" xfId="101" xr:uid="{00000000-0005-0000-0000-00005C760000}"/>
    <cellStyle name="Sheet Title" xfId="200" xr:uid="{00000000-0005-0000-0000-00005D760000}"/>
    <cellStyle name="Source Hed" xfId="102" xr:uid="{00000000-0005-0000-0000-00005E760000}"/>
    <cellStyle name="Source Letter" xfId="103" xr:uid="{00000000-0005-0000-0000-00005F760000}"/>
    <cellStyle name="Source Superscript" xfId="104" xr:uid="{00000000-0005-0000-0000-000060760000}"/>
    <cellStyle name="Source Superscript 2" xfId="105" xr:uid="{00000000-0005-0000-0000-000061760000}"/>
    <cellStyle name="Source Text" xfId="106" xr:uid="{00000000-0005-0000-0000-000062760000}"/>
    <cellStyle name="Source Text 2" xfId="107" xr:uid="{00000000-0005-0000-0000-000063760000}"/>
    <cellStyle name="State" xfId="108" xr:uid="{00000000-0005-0000-0000-000064760000}"/>
    <cellStyle name="Style 27" xfId="43780" xr:uid="{00000000-0005-0000-0000-000065760000}"/>
    <cellStyle name="Superscript" xfId="109" xr:uid="{00000000-0005-0000-0000-000066760000}"/>
    <cellStyle name="Superscript 2" xfId="201" xr:uid="{00000000-0005-0000-0000-000067760000}"/>
    <cellStyle name="Superscript 2 2" xfId="27357" xr:uid="{00000000-0005-0000-0000-000068760000}"/>
    <cellStyle name="Superscript 2 2 10" xfId="27358" xr:uid="{00000000-0005-0000-0000-000069760000}"/>
    <cellStyle name="Superscript 2 2 10 10" xfId="27359" xr:uid="{00000000-0005-0000-0000-00006A760000}"/>
    <cellStyle name="Superscript 2 2 10 2" xfId="27360" xr:uid="{00000000-0005-0000-0000-00006B760000}"/>
    <cellStyle name="Superscript 2 2 10 2 2" xfId="27361" xr:uid="{00000000-0005-0000-0000-00006C760000}"/>
    <cellStyle name="Superscript 2 2 10 3" xfId="27362" xr:uid="{00000000-0005-0000-0000-00006D760000}"/>
    <cellStyle name="Superscript 2 2 10 3 2" xfId="27363" xr:uid="{00000000-0005-0000-0000-00006E760000}"/>
    <cellStyle name="Superscript 2 2 10 4" xfId="27364" xr:uid="{00000000-0005-0000-0000-00006F760000}"/>
    <cellStyle name="Superscript 2 2 10 4 2" xfId="27365" xr:uid="{00000000-0005-0000-0000-000070760000}"/>
    <cellStyle name="Superscript 2 2 10 5" xfId="27366" xr:uid="{00000000-0005-0000-0000-000071760000}"/>
    <cellStyle name="Superscript 2 2 10 5 2" xfId="27367" xr:uid="{00000000-0005-0000-0000-000072760000}"/>
    <cellStyle name="Superscript 2 2 10 6" xfId="27368" xr:uid="{00000000-0005-0000-0000-000073760000}"/>
    <cellStyle name="Superscript 2 2 10 6 2" xfId="27369" xr:uid="{00000000-0005-0000-0000-000074760000}"/>
    <cellStyle name="Superscript 2 2 10 7" xfId="27370" xr:uid="{00000000-0005-0000-0000-000075760000}"/>
    <cellStyle name="Superscript 2 2 10 7 2" xfId="27371" xr:uid="{00000000-0005-0000-0000-000076760000}"/>
    <cellStyle name="Superscript 2 2 10 8" xfId="27372" xr:uid="{00000000-0005-0000-0000-000077760000}"/>
    <cellStyle name="Superscript 2 2 10 8 2" xfId="27373" xr:uid="{00000000-0005-0000-0000-000078760000}"/>
    <cellStyle name="Superscript 2 2 10 9" xfId="27374" xr:uid="{00000000-0005-0000-0000-000079760000}"/>
    <cellStyle name="Superscript 2 2 10 9 2" xfId="27375" xr:uid="{00000000-0005-0000-0000-00007A760000}"/>
    <cellStyle name="Superscript 2 2 11" xfId="27376" xr:uid="{00000000-0005-0000-0000-00007B760000}"/>
    <cellStyle name="Superscript 2 2 11 2" xfId="27377" xr:uid="{00000000-0005-0000-0000-00007C760000}"/>
    <cellStyle name="Superscript 2 2 11 2 2" xfId="27378" xr:uid="{00000000-0005-0000-0000-00007D760000}"/>
    <cellStyle name="Superscript 2 2 11 3" xfId="27379" xr:uid="{00000000-0005-0000-0000-00007E760000}"/>
    <cellStyle name="Superscript 2 2 11 3 2" xfId="27380" xr:uid="{00000000-0005-0000-0000-00007F760000}"/>
    <cellStyle name="Superscript 2 2 11 4" xfId="27381" xr:uid="{00000000-0005-0000-0000-000080760000}"/>
    <cellStyle name="Superscript 2 2 11 4 2" xfId="27382" xr:uid="{00000000-0005-0000-0000-000081760000}"/>
    <cellStyle name="Superscript 2 2 11 5" xfId="27383" xr:uid="{00000000-0005-0000-0000-000082760000}"/>
    <cellStyle name="Superscript 2 2 11 5 2" xfId="27384" xr:uid="{00000000-0005-0000-0000-000083760000}"/>
    <cellStyle name="Superscript 2 2 11 6" xfId="27385" xr:uid="{00000000-0005-0000-0000-000084760000}"/>
    <cellStyle name="Superscript 2 2 11 6 2" xfId="27386" xr:uid="{00000000-0005-0000-0000-000085760000}"/>
    <cellStyle name="Superscript 2 2 11 7" xfId="27387" xr:uid="{00000000-0005-0000-0000-000086760000}"/>
    <cellStyle name="Superscript 2 2 11 7 2" xfId="27388" xr:uid="{00000000-0005-0000-0000-000087760000}"/>
    <cellStyle name="Superscript 2 2 11 8" xfId="27389" xr:uid="{00000000-0005-0000-0000-000088760000}"/>
    <cellStyle name="Superscript 2 2 11 8 2" xfId="27390" xr:uid="{00000000-0005-0000-0000-000089760000}"/>
    <cellStyle name="Superscript 2 2 11 9" xfId="27391" xr:uid="{00000000-0005-0000-0000-00008A760000}"/>
    <cellStyle name="Superscript 2 2 2" xfId="27392" xr:uid="{00000000-0005-0000-0000-00008B760000}"/>
    <cellStyle name="Superscript 2 2 2 10" xfId="27393" xr:uid="{00000000-0005-0000-0000-00008C760000}"/>
    <cellStyle name="Superscript 2 2 2 2" xfId="27394" xr:uid="{00000000-0005-0000-0000-00008D760000}"/>
    <cellStyle name="Superscript 2 2 2 2 2" xfId="27395" xr:uid="{00000000-0005-0000-0000-00008E760000}"/>
    <cellStyle name="Superscript 2 2 2 3" xfId="27396" xr:uid="{00000000-0005-0000-0000-00008F760000}"/>
    <cellStyle name="Superscript 2 2 2 3 2" xfId="27397" xr:uid="{00000000-0005-0000-0000-000090760000}"/>
    <cellStyle name="Superscript 2 2 2 4" xfId="27398" xr:uid="{00000000-0005-0000-0000-000091760000}"/>
    <cellStyle name="Superscript 2 2 2 4 2" xfId="27399" xr:uid="{00000000-0005-0000-0000-000092760000}"/>
    <cellStyle name="Superscript 2 2 2 5" xfId="27400" xr:uid="{00000000-0005-0000-0000-000093760000}"/>
    <cellStyle name="Superscript 2 2 2 5 2" xfId="27401" xr:uid="{00000000-0005-0000-0000-000094760000}"/>
    <cellStyle name="Superscript 2 2 2 6" xfId="27402" xr:uid="{00000000-0005-0000-0000-000095760000}"/>
    <cellStyle name="Superscript 2 2 2 6 2" xfId="27403" xr:uid="{00000000-0005-0000-0000-000096760000}"/>
    <cellStyle name="Superscript 2 2 2 7" xfId="27404" xr:uid="{00000000-0005-0000-0000-000097760000}"/>
    <cellStyle name="Superscript 2 2 2 7 2" xfId="27405" xr:uid="{00000000-0005-0000-0000-000098760000}"/>
    <cellStyle name="Superscript 2 2 2 8" xfId="27406" xr:uid="{00000000-0005-0000-0000-000099760000}"/>
    <cellStyle name="Superscript 2 2 2 8 2" xfId="27407" xr:uid="{00000000-0005-0000-0000-00009A760000}"/>
    <cellStyle name="Superscript 2 2 2 9" xfId="27408" xr:uid="{00000000-0005-0000-0000-00009B760000}"/>
    <cellStyle name="Superscript 2 2 2 9 2" xfId="27409" xr:uid="{00000000-0005-0000-0000-00009C760000}"/>
    <cellStyle name="Superscript 2 2 3" xfId="27410" xr:uid="{00000000-0005-0000-0000-00009D760000}"/>
    <cellStyle name="Superscript 2 2 3 10" xfId="27411" xr:uid="{00000000-0005-0000-0000-00009E760000}"/>
    <cellStyle name="Superscript 2 2 3 2" xfId="27412" xr:uid="{00000000-0005-0000-0000-00009F760000}"/>
    <cellStyle name="Superscript 2 2 3 2 2" xfId="27413" xr:uid="{00000000-0005-0000-0000-0000A0760000}"/>
    <cellStyle name="Superscript 2 2 3 3" xfId="27414" xr:uid="{00000000-0005-0000-0000-0000A1760000}"/>
    <cellStyle name="Superscript 2 2 3 3 2" xfId="27415" xr:uid="{00000000-0005-0000-0000-0000A2760000}"/>
    <cellStyle name="Superscript 2 2 3 4" xfId="27416" xr:uid="{00000000-0005-0000-0000-0000A3760000}"/>
    <cellStyle name="Superscript 2 2 3 4 2" xfId="27417" xr:uid="{00000000-0005-0000-0000-0000A4760000}"/>
    <cellStyle name="Superscript 2 2 3 5" xfId="27418" xr:uid="{00000000-0005-0000-0000-0000A5760000}"/>
    <cellStyle name="Superscript 2 2 3 5 2" xfId="27419" xr:uid="{00000000-0005-0000-0000-0000A6760000}"/>
    <cellStyle name="Superscript 2 2 3 6" xfId="27420" xr:uid="{00000000-0005-0000-0000-0000A7760000}"/>
    <cellStyle name="Superscript 2 2 3 6 2" xfId="27421" xr:uid="{00000000-0005-0000-0000-0000A8760000}"/>
    <cellStyle name="Superscript 2 2 3 7" xfId="27422" xr:uid="{00000000-0005-0000-0000-0000A9760000}"/>
    <cellStyle name="Superscript 2 2 3 7 2" xfId="27423" xr:uid="{00000000-0005-0000-0000-0000AA760000}"/>
    <cellStyle name="Superscript 2 2 3 8" xfId="27424" xr:uid="{00000000-0005-0000-0000-0000AB760000}"/>
    <cellStyle name="Superscript 2 2 3 8 2" xfId="27425" xr:uid="{00000000-0005-0000-0000-0000AC760000}"/>
    <cellStyle name="Superscript 2 2 3 9" xfId="27426" xr:uid="{00000000-0005-0000-0000-0000AD760000}"/>
    <cellStyle name="Superscript 2 2 3 9 2" xfId="27427" xr:uid="{00000000-0005-0000-0000-0000AE760000}"/>
    <cellStyle name="Superscript 2 2 4" xfId="27428" xr:uid="{00000000-0005-0000-0000-0000AF760000}"/>
    <cellStyle name="Superscript 2 2 4 10" xfId="27429" xr:uid="{00000000-0005-0000-0000-0000B0760000}"/>
    <cellStyle name="Superscript 2 2 4 2" xfId="27430" xr:uid="{00000000-0005-0000-0000-0000B1760000}"/>
    <cellStyle name="Superscript 2 2 4 2 2" xfId="27431" xr:uid="{00000000-0005-0000-0000-0000B2760000}"/>
    <cellStyle name="Superscript 2 2 4 3" xfId="27432" xr:uid="{00000000-0005-0000-0000-0000B3760000}"/>
    <cellStyle name="Superscript 2 2 4 3 2" xfId="27433" xr:uid="{00000000-0005-0000-0000-0000B4760000}"/>
    <cellStyle name="Superscript 2 2 4 4" xfId="27434" xr:uid="{00000000-0005-0000-0000-0000B5760000}"/>
    <cellStyle name="Superscript 2 2 4 4 2" xfId="27435" xr:uid="{00000000-0005-0000-0000-0000B6760000}"/>
    <cellStyle name="Superscript 2 2 4 5" xfId="27436" xr:uid="{00000000-0005-0000-0000-0000B7760000}"/>
    <cellStyle name="Superscript 2 2 4 5 2" xfId="27437" xr:uid="{00000000-0005-0000-0000-0000B8760000}"/>
    <cellStyle name="Superscript 2 2 4 6" xfId="27438" xr:uid="{00000000-0005-0000-0000-0000B9760000}"/>
    <cellStyle name="Superscript 2 2 4 6 2" xfId="27439" xr:uid="{00000000-0005-0000-0000-0000BA760000}"/>
    <cellStyle name="Superscript 2 2 4 7" xfId="27440" xr:uid="{00000000-0005-0000-0000-0000BB760000}"/>
    <cellStyle name="Superscript 2 2 4 7 2" xfId="27441" xr:uid="{00000000-0005-0000-0000-0000BC760000}"/>
    <cellStyle name="Superscript 2 2 4 8" xfId="27442" xr:uid="{00000000-0005-0000-0000-0000BD760000}"/>
    <cellStyle name="Superscript 2 2 4 8 2" xfId="27443" xr:uid="{00000000-0005-0000-0000-0000BE760000}"/>
    <cellStyle name="Superscript 2 2 4 9" xfId="27444" xr:uid="{00000000-0005-0000-0000-0000BF760000}"/>
    <cellStyle name="Superscript 2 2 4 9 2" xfId="27445" xr:uid="{00000000-0005-0000-0000-0000C0760000}"/>
    <cellStyle name="Superscript 2 2 5" xfId="27446" xr:uid="{00000000-0005-0000-0000-0000C1760000}"/>
    <cellStyle name="Superscript 2 2 5 10" xfId="27447" xr:uid="{00000000-0005-0000-0000-0000C2760000}"/>
    <cellStyle name="Superscript 2 2 5 2" xfId="27448" xr:uid="{00000000-0005-0000-0000-0000C3760000}"/>
    <cellStyle name="Superscript 2 2 5 2 2" xfId="27449" xr:uid="{00000000-0005-0000-0000-0000C4760000}"/>
    <cellStyle name="Superscript 2 2 5 3" xfId="27450" xr:uid="{00000000-0005-0000-0000-0000C5760000}"/>
    <cellStyle name="Superscript 2 2 5 3 2" xfId="27451" xr:uid="{00000000-0005-0000-0000-0000C6760000}"/>
    <cellStyle name="Superscript 2 2 5 4" xfId="27452" xr:uid="{00000000-0005-0000-0000-0000C7760000}"/>
    <cellStyle name="Superscript 2 2 5 4 2" xfId="27453" xr:uid="{00000000-0005-0000-0000-0000C8760000}"/>
    <cellStyle name="Superscript 2 2 5 5" xfId="27454" xr:uid="{00000000-0005-0000-0000-0000C9760000}"/>
    <cellStyle name="Superscript 2 2 5 5 2" xfId="27455" xr:uid="{00000000-0005-0000-0000-0000CA760000}"/>
    <cellStyle name="Superscript 2 2 5 6" xfId="27456" xr:uid="{00000000-0005-0000-0000-0000CB760000}"/>
    <cellStyle name="Superscript 2 2 5 6 2" xfId="27457" xr:uid="{00000000-0005-0000-0000-0000CC760000}"/>
    <cellStyle name="Superscript 2 2 5 7" xfId="27458" xr:uid="{00000000-0005-0000-0000-0000CD760000}"/>
    <cellStyle name="Superscript 2 2 5 7 2" xfId="27459" xr:uid="{00000000-0005-0000-0000-0000CE760000}"/>
    <cellStyle name="Superscript 2 2 5 8" xfId="27460" xr:uid="{00000000-0005-0000-0000-0000CF760000}"/>
    <cellStyle name="Superscript 2 2 5 8 2" xfId="27461" xr:uid="{00000000-0005-0000-0000-0000D0760000}"/>
    <cellStyle name="Superscript 2 2 5 9" xfId="27462" xr:uid="{00000000-0005-0000-0000-0000D1760000}"/>
    <cellStyle name="Superscript 2 2 5 9 2" xfId="27463" xr:uid="{00000000-0005-0000-0000-0000D2760000}"/>
    <cellStyle name="Superscript 2 2 6" xfId="27464" xr:uid="{00000000-0005-0000-0000-0000D3760000}"/>
    <cellStyle name="Superscript 2 2 6 10" xfId="27465" xr:uid="{00000000-0005-0000-0000-0000D4760000}"/>
    <cellStyle name="Superscript 2 2 6 2" xfId="27466" xr:uid="{00000000-0005-0000-0000-0000D5760000}"/>
    <cellStyle name="Superscript 2 2 6 2 2" xfId="27467" xr:uid="{00000000-0005-0000-0000-0000D6760000}"/>
    <cellStyle name="Superscript 2 2 6 3" xfId="27468" xr:uid="{00000000-0005-0000-0000-0000D7760000}"/>
    <cellStyle name="Superscript 2 2 6 3 2" xfId="27469" xr:uid="{00000000-0005-0000-0000-0000D8760000}"/>
    <cellStyle name="Superscript 2 2 6 4" xfId="27470" xr:uid="{00000000-0005-0000-0000-0000D9760000}"/>
    <cellStyle name="Superscript 2 2 6 4 2" xfId="27471" xr:uid="{00000000-0005-0000-0000-0000DA760000}"/>
    <cellStyle name="Superscript 2 2 6 5" xfId="27472" xr:uid="{00000000-0005-0000-0000-0000DB760000}"/>
    <cellStyle name="Superscript 2 2 6 5 2" xfId="27473" xr:uid="{00000000-0005-0000-0000-0000DC760000}"/>
    <cellStyle name="Superscript 2 2 6 6" xfId="27474" xr:uid="{00000000-0005-0000-0000-0000DD760000}"/>
    <cellStyle name="Superscript 2 2 6 6 2" xfId="27475" xr:uid="{00000000-0005-0000-0000-0000DE760000}"/>
    <cellStyle name="Superscript 2 2 6 7" xfId="27476" xr:uid="{00000000-0005-0000-0000-0000DF760000}"/>
    <cellStyle name="Superscript 2 2 6 7 2" xfId="27477" xr:uid="{00000000-0005-0000-0000-0000E0760000}"/>
    <cellStyle name="Superscript 2 2 6 8" xfId="27478" xr:uid="{00000000-0005-0000-0000-0000E1760000}"/>
    <cellStyle name="Superscript 2 2 6 8 2" xfId="27479" xr:uid="{00000000-0005-0000-0000-0000E2760000}"/>
    <cellStyle name="Superscript 2 2 6 9" xfId="27480" xr:uid="{00000000-0005-0000-0000-0000E3760000}"/>
    <cellStyle name="Superscript 2 2 6 9 2" xfId="27481" xr:uid="{00000000-0005-0000-0000-0000E4760000}"/>
    <cellStyle name="Superscript 2 2 7" xfId="27482" xr:uid="{00000000-0005-0000-0000-0000E5760000}"/>
    <cellStyle name="Superscript 2 2 7 10" xfId="27483" xr:uid="{00000000-0005-0000-0000-0000E6760000}"/>
    <cellStyle name="Superscript 2 2 7 2" xfId="27484" xr:uid="{00000000-0005-0000-0000-0000E7760000}"/>
    <cellStyle name="Superscript 2 2 7 2 2" xfId="27485" xr:uid="{00000000-0005-0000-0000-0000E8760000}"/>
    <cellStyle name="Superscript 2 2 7 3" xfId="27486" xr:uid="{00000000-0005-0000-0000-0000E9760000}"/>
    <cellStyle name="Superscript 2 2 7 3 2" xfId="27487" xr:uid="{00000000-0005-0000-0000-0000EA760000}"/>
    <cellStyle name="Superscript 2 2 7 4" xfId="27488" xr:uid="{00000000-0005-0000-0000-0000EB760000}"/>
    <cellStyle name="Superscript 2 2 7 4 2" xfId="27489" xr:uid="{00000000-0005-0000-0000-0000EC760000}"/>
    <cellStyle name="Superscript 2 2 7 5" xfId="27490" xr:uid="{00000000-0005-0000-0000-0000ED760000}"/>
    <cellStyle name="Superscript 2 2 7 5 2" xfId="27491" xr:uid="{00000000-0005-0000-0000-0000EE760000}"/>
    <cellStyle name="Superscript 2 2 7 6" xfId="27492" xr:uid="{00000000-0005-0000-0000-0000EF760000}"/>
    <cellStyle name="Superscript 2 2 7 6 2" xfId="27493" xr:uid="{00000000-0005-0000-0000-0000F0760000}"/>
    <cellStyle name="Superscript 2 2 7 7" xfId="27494" xr:uid="{00000000-0005-0000-0000-0000F1760000}"/>
    <cellStyle name="Superscript 2 2 7 7 2" xfId="27495" xr:uid="{00000000-0005-0000-0000-0000F2760000}"/>
    <cellStyle name="Superscript 2 2 7 8" xfId="27496" xr:uid="{00000000-0005-0000-0000-0000F3760000}"/>
    <cellStyle name="Superscript 2 2 7 8 2" xfId="27497" xr:uid="{00000000-0005-0000-0000-0000F4760000}"/>
    <cellStyle name="Superscript 2 2 7 9" xfId="27498" xr:uid="{00000000-0005-0000-0000-0000F5760000}"/>
    <cellStyle name="Superscript 2 2 7 9 2" xfId="27499" xr:uid="{00000000-0005-0000-0000-0000F6760000}"/>
    <cellStyle name="Superscript 2 2 8" xfId="27500" xr:uid="{00000000-0005-0000-0000-0000F7760000}"/>
    <cellStyle name="Superscript 2 2 8 10" xfId="27501" xr:uid="{00000000-0005-0000-0000-0000F8760000}"/>
    <cellStyle name="Superscript 2 2 8 2" xfId="27502" xr:uid="{00000000-0005-0000-0000-0000F9760000}"/>
    <cellStyle name="Superscript 2 2 8 2 2" xfId="27503" xr:uid="{00000000-0005-0000-0000-0000FA760000}"/>
    <cellStyle name="Superscript 2 2 8 3" xfId="27504" xr:uid="{00000000-0005-0000-0000-0000FB760000}"/>
    <cellStyle name="Superscript 2 2 8 3 2" xfId="27505" xr:uid="{00000000-0005-0000-0000-0000FC760000}"/>
    <cellStyle name="Superscript 2 2 8 4" xfId="27506" xr:uid="{00000000-0005-0000-0000-0000FD760000}"/>
    <cellStyle name="Superscript 2 2 8 4 2" xfId="27507" xr:uid="{00000000-0005-0000-0000-0000FE760000}"/>
    <cellStyle name="Superscript 2 2 8 5" xfId="27508" xr:uid="{00000000-0005-0000-0000-0000FF760000}"/>
    <cellStyle name="Superscript 2 2 8 5 2" xfId="27509" xr:uid="{00000000-0005-0000-0000-000000770000}"/>
    <cellStyle name="Superscript 2 2 8 6" xfId="27510" xr:uid="{00000000-0005-0000-0000-000001770000}"/>
    <cellStyle name="Superscript 2 2 8 6 2" xfId="27511" xr:uid="{00000000-0005-0000-0000-000002770000}"/>
    <cellStyle name="Superscript 2 2 8 7" xfId="27512" xr:uid="{00000000-0005-0000-0000-000003770000}"/>
    <cellStyle name="Superscript 2 2 8 7 2" xfId="27513" xr:uid="{00000000-0005-0000-0000-000004770000}"/>
    <cellStyle name="Superscript 2 2 8 8" xfId="27514" xr:uid="{00000000-0005-0000-0000-000005770000}"/>
    <cellStyle name="Superscript 2 2 8 8 2" xfId="27515" xr:uid="{00000000-0005-0000-0000-000006770000}"/>
    <cellStyle name="Superscript 2 2 8 9" xfId="27516" xr:uid="{00000000-0005-0000-0000-000007770000}"/>
    <cellStyle name="Superscript 2 2 8 9 2" xfId="27517" xr:uid="{00000000-0005-0000-0000-000008770000}"/>
    <cellStyle name="Superscript 2 2 9" xfId="27518" xr:uid="{00000000-0005-0000-0000-000009770000}"/>
    <cellStyle name="Superscript 2 2 9 10" xfId="27519" xr:uid="{00000000-0005-0000-0000-00000A770000}"/>
    <cellStyle name="Superscript 2 2 9 2" xfId="27520" xr:uid="{00000000-0005-0000-0000-00000B770000}"/>
    <cellStyle name="Superscript 2 2 9 2 2" xfId="27521" xr:uid="{00000000-0005-0000-0000-00000C770000}"/>
    <cellStyle name="Superscript 2 2 9 3" xfId="27522" xr:uid="{00000000-0005-0000-0000-00000D770000}"/>
    <cellStyle name="Superscript 2 2 9 3 2" xfId="27523" xr:uid="{00000000-0005-0000-0000-00000E770000}"/>
    <cellStyle name="Superscript 2 2 9 4" xfId="27524" xr:uid="{00000000-0005-0000-0000-00000F770000}"/>
    <cellStyle name="Superscript 2 2 9 4 2" xfId="27525" xr:uid="{00000000-0005-0000-0000-000010770000}"/>
    <cellStyle name="Superscript 2 2 9 5" xfId="27526" xr:uid="{00000000-0005-0000-0000-000011770000}"/>
    <cellStyle name="Superscript 2 2 9 5 2" xfId="27527" xr:uid="{00000000-0005-0000-0000-000012770000}"/>
    <cellStyle name="Superscript 2 2 9 6" xfId="27528" xr:uid="{00000000-0005-0000-0000-000013770000}"/>
    <cellStyle name="Superscript 2 2 9 6 2" xfId="27529" xr:uid="{00000000-0005-0000-0000-000014770000}"/>
    <cellStyle name="Superscript 2 2 9 7" xfId="27530" xr:uid="{00000000-0005-0000-0000-000015770000}"/>
    <cellStyle name="Superscript 2 2 9 7 2" xfId="27531" xr:uid="{00000000-0005-0000-0000-000016770000}"/>
    <cellStyle name="Superscript 2 2 9 8" xfId="27532" xr:uid="{00000000-0005-0000-0000-000017770000}"/>
    <cellStyle name="Superscript 2 2 9 8 2" xfId="27533" xr:uid="{00000000-0005-0000-0000-000018770000}"/>
    <cellStyle name="Superscript 2 2 9 9" xfId="27534" xr:uid="{00000000-0005-0000-0000-000019770000}"/>
    <cellStyle name="Superscript 2 2 9 9 2" xfId="27535" xr:uid="{00000000-0005-0000-0000-00001A770000}"/>
    <cellStyle name="Superscript 2 3" xfId="27536" xr:uid="{00000000-0005-0000-0000-00001B770000}"/>
    <cellStyle name="Superscript 2 3 10" xfId="27537" xr:uid="{00000000-0005-0000-0000-00001C770000}"/>
    <cellStyle name="Superscript 2 3 10 10" xfId="27538" xr:uid="{00000000-0005-0000-0000-00001D770000}"/>
    <cellStyle name="Superscript 2 3 10 2" xfId="27539" xr:uid="{00000000-0005-0000-0000-00001E770000}"/>
    <cellStyle name="Superscript 2 3 10 2 2" xfId="27540" xr:uid="{00000000-0005-0000-0000-00001F770000}"/>
    <cellStyle name="Superscript 2 3 10 3" xfId="27541" xr:uid="{00000000-0005-0000-0000-000020770000}"/>
    <cellStyle name="Superscript 2 3 10 3 2" xfId="27542" xr:uid="{00000000-0005-0000-0000-000021770000}"/>
    <cellStyle name="Superscript 2 3 10 4" xfId="27543" xr:uid="{00000000-0005-0000-0000-000022770000}"/>
    <cellStyle name="Superscript 2 3 10 4 2" xfId="27544" xr:uid="{00000000-0005-0000-0000-000023770000}"/>
    <cellStyle name="Superscript 2 3 10 5" xfId="27545" xr:uid="{00000000-0005-0000-0000-000024770000}"/>
    <cellStyle name="Superscript 2 3 10 5 2" xfId="27546" xr:uid="{00000000-0005-0000-0000-000025770000}"/>
    <cellStyle name="Superscript 2 3 10 6" xfId="27547" xr:uid="{00000000-0005-0000-0000-000026770000}"/>
    <cellStyle name="Superscript 2 3 10 6 2" xfId="27548" xr:uid="{00000000-0005-0000-0000-000027770000}"/>
    <cellStyle name="Superscript 2 3 10 7" xfId="27549" xr:uid="{00000000-0005-0000-0000-000028770000}"/>
    <cellStyle name="Superscript 2 3 10 7 2" xfId="27550" xr:uid="{00000000-0005-0000-0000-000029770000}"/>
    <cellStyle name="Superscript 2 3 10 8" xfId="27551" xr:uid="{00000000-0005-0000-0000-00002A770000}"/>
    <cellStyle name="Superscript 2 3 10 8 2" xfId="27552" xr:uid="{00000000-0005-0000-0000-00002B770000}"/>
    <cellStyle name="Superscript 2 3 10 9" xfId="27553" xr:uid="{00000000-0005-0000-0000-00002C770000}"/>
    <cellStyle name="Superscript 2 3 10 9 2" xfId="27554" xr:uid="{00000000-0005-0000-0000-00002D770000}"/>
    <cellStyle name="Superscript 2 3 11" xfId="27555" xr:uid="{00000000-0005-0000-0000-00002E770000}"/>
    <cellStyle name="Superscript 2 3 11 2" xfId="27556" xr:uid="{00000000-0005-0000-0000-00002F770000}"/>
    <cellStyle name="Superscript 2 3 11 2 2" xfId="27557" xr:uid="{00000000-0005-0000-0000-000030770000}"/>
    <cellStyle name="Superscript 2 3 11 3" xfId="27558" xr:uid="{00000000-0005-0000-0000-000031770000}"/>
    <cellStyle name="Superscript 2 3 11 3 2" xfId="27559" xr:uid="{00000000-0005-0000-0000-000032770000}"/>
    <cellStyle name="Superscript 2 3 11 4" xfId="27560" xr:uid="{00000000-0005-0000-0000-000033770000}"/>
    <cellStyle name="Superscript 2 3 11 4 2" xfId="27561" xr:uid="{00000000-0005-0000-0000-000034770000}"/>
    <cellStyle name="Superscript 2 3 11 5" xfId="27562" xr:uid="{00000000-0005-0000-0000-000035770000}"/>
    <cellStyle name="Superscript 2 3 11 5 2" xfId="27563" xr:uid="{00000000-0005-0000-0000-000036770000}"/>
    <cellStyle name="Superscript 2 3 11 6" xfId="27564" xr:uid="{00000000-0005-0000-0000-000037770000}"/>
    <cellStyle name="Superscript 2 3 11 6 2" xfId="27565" xr:uid="{00000000-0005-0000-0000-000038770000}"/>
    <cellStyle name="Superscript 2 3 11 7" xfId="27566" xr:uid="{00000000-0005-0000-0000-000039770000}"/>
    <cellStyle name="Superscript 2 3 11 7 2" xfId="27567" xr:uid="{00000000-0005-0000-0000-00003A770000}"/>
    <cellStyle name="Superscript 2 3 11 8" xfId="27568" xr:uid="{00000000-0005-0000-0000-00003B770000}"/>
    <cellStyle name="Superscript 2 3 11 8 2" xfId="27569" xr:uid="{00000000-0005-0000-0000-00003C770000}"/>
    <cellStyle name="Superscript 2 3 11 9" xfId="27570" xr:uid="{00000000-0005-0000-0000-00003D770000}"/>
    <cellStyle name="Superscript 2 3 2" xfId="27571" xr:uid="{00000000-0005-0000-0000-00003E770000}"/>
    <cellStyle name="Superscript 2 3 2 10" xfId="27572" xr:uid="{00000000-0005-0000-0000-00003F770000}"/>
    <cellStyle name="Superscript 2 3 2 2" xfId="27573" xr:uid="{00000000-0005-0000-0000-000040770000}"/>
    <cellStyle name="Superscript 2 3 2 2 2" xfId="27574" xr:uid="{00000000-0005-0000-0000-000041770000}"/>
    <cellStyle name="Superscript 2 3 2 3" xfId="27575" xr:uid="{00000000-0005-0000-0000-000042770000}"/>
    <cellStyle name="Superscript 2 3 2 3 2" xfId="27576" xr:uid="{00000000-0005-0000-0000-000043770000}"/>
    <cellStyle name="Superscript 2 3 2 4" xfId="27577" xr:uid="{00000000-0005-0000-0000-000044770000}"/>
    <cellStyle name="Superscript 2 3 2 4 2" xfId="27578" xr:uid="{00000000-0005-0000-0000-000045770000}"/>
    <cellStyle name="Superscript 2 3 2 5" xfId="27579" xr:uid="{00000000-0005-0000-0000-000046770000}"/>
    <cellStyle name="Superscript 2 3 2 5 2" xfId="27580" xr:uid="{00000000-0005-0000-0000-000047770000}"/>
    <cellStyle name="Superscript 2 3 2 6" xfId="27581" xr:uid="{00000000-0005-0000-0000-000048770000}"/>
    <cellStyle name="Superscript 2 3 2 6 2" xfId="27582" xr:uid="{00000000-0005-0000-0000-000049770000}"/>
    <cellStyle name="Superscript 2 3 2 7" xfId="27583" xr:uid="{00000000-0005-0000-0000-00004A770000}"/>
    <cellStyle name="Superscript 2 3 2 7 2" xfId="27584" xr:uid="{00000000-0005-0000-0000-00004B770000}"/>
    <cellStyle name="Superscript 2 3 2 8" xfId="27585" xr:uid="{00000000-0005-0000-0000-00004C770000}"/>
    <cellStyle name="Superscript 2 3 2 8 2" xfId="27586" xr:uid="{00000000-0005-0000-0000-00004D770000}"/>
    <cellStyle name="Superscript 2 3 2 9" xfId="27587" xr:uid="{00000000-0005-0000-0000-00004E770000}"/>
    <cellStyle name="Superscript 2 3 2 9 2" xfId="27588" xr:uid="{00000000-0005-0000-0000-00004F770000}"/>
    <cellStyle name="Superscript 2 3 3" xfId="27589" xr:uid="{00000000-0005-0000-0000-000050770000}"/>
    <cellStyle name="Superscript 2 3 3 10" xfId="27590" xr:uid="{00000000-0005-0000-0000-000051770000}"/>
    <cellStyle name="Superscript 2 3 3 2" xfId="27591" xr:uid="{00000000-0005-0000-0000-000052770000}"/>
    <cellStyle name="Superscript 2 3 3 2 2" xfId="27592" xr:uid="{00000000-0005-0000-0000-000053770000}"/>
    <cellStyle name="Superscript 2 3 3 3" xfId="27593" xr:uid="{00000000-0005-0000-0000-000054770000}"/>
    <cellStyle name="Superscript 2 3 3 3 2" xfId="27594" xr:uid="{00000000-0005-0000-0000-000055770000}"/>
    <cellStyle name="Superscript 2 3 3 4" xfId="27595" xr:uid="{00000000-0005-0000-0000-000056770000}"/>
    <cellStyle name="Superscript 2 3 3 4 2" xfId="27596" xr:uid="{00000000-0005-0000-0000-000057770000}"/>
    <cellStyle name="Superscript 2 3 3 5" xfId="27597" xr:uid="{00000000-0005-0000-0000-000058770000}"/>
    <cellStyle name="Superscript 2 3 3 5 2" xfId="27598" xr:uid="{00000000-0005-0000-0000-000059770000}"/>
    <cellStyle name="Superscript 2 3 3 6" xfId="27599" xr:uid="{00000000-0005-0000-0000-00005A770000}"/>
    <cellStyle name="Superscript 2 3 3 6 2" xfId="27600" xr:uid="{00000000-0005-0000-0000-00005B770000}"/>
    <cellStyle name="Superscript 2 3 3 7" xfId="27601" xr:uid="{00000000-0005-0000-0000-00005C770000}"/>
    <cellStyle name="Superscript 2 3 3 7 2" xfId="27602" xr:uid="{00000000-0005-0000-0000-00005D770000}"/>
    <cellStyle name="Superscript 2 3 3 8" xfId="27603" xr:uid="{00000000-0005-0000-0000-00005E770000}"/>
    <cellStyle name="Superscript 2 3 3 8 2" xfId="27604" xr:uid="{00000000-0005-0000-0000-00005F770000}"/>
    <cellStyle name="Superscript 2 3 3 9" xfId="27605" xr:uid="{00000000-0005-0000-0000-000060770000}"/>
    <cellStyle name="Superscript 2 3 3 9 2" xfId="27606" xr:uid="{00000000-0005-0000-0000-000061770000}"/>
    <cellStyle name="Superscript 2 3 4" xfId="27607" xr:uid="{00000000-0005-0000-0000-000062770000}"/>
    <cellStyle name="Superscript 2 3 4 10" xfId="27608" xr:uid="{00000000-0005-0000-0000-000063770000}"/>
    <cellStyle name="Superscript 2 3 4 2" xfId="27609" xr:uid="{00000000-0005-0000-0000-000064770000}"/>
    <cellStyle name="Superscript 2 3 4 2 2" xfId="27610" xr:uid="{00000000-0005-0000-0000-000065770000}"/>
    <cellStyle name="Superscript 2 3 4 3" xfId="27611" xr:uid="{00000000-0005-0000-0000-000066770000}"/>
    <cellStyle name="Superscript 2 3 4 3 2" xfId="27612" xr:uid="{00000000-0005-0000-0000-000067770000}"/>
    <cellStyle name="Superscript 2 3 4 4" xfId="27613" xr:uid="{00000000-0005-0000-0000-000068770000}"/>
    <cellStyle name="Superscript 2 3 4 4 2" xfId="27614" xr:uid="{00000000-0005-0000-0000-000069770000}"/>
    <cellStyle name="Superscript 2 3 4 5" xfId="27615" xr:uid="{00000000-0005-0000-0000-00006A770000}"/>
    <cellStyle name="Superscript 2 3 4 5 2" xfId="27616" xr:uid="{00000000-0005-0000-0000-00006B770000}"/>
    <cellStyle name="Superscript 2 3 4 6" xfId="27617" xr:uid="{00000000-0005-0000-0000-00006C770000}"/>
    <cellStyle name="Superscript 2 3 4 6 2" xfId="27618" xr:uid="{00000000-0005-0000-0000-00006D770000}"/>
    <cellStyle name="Superscript 2 3 4 7" xfId="27619" xr:uid="{00000000-0005-0000-0000-00006E770000}"/>
    <cellStyle name="Superscript 2 3 4 7 2" xfId="27620" xr:uid="{00000000-0005-0000-0000-00006F770000}"/>
    <cellStyle name="Superscript 2 3 4 8" xfId="27621" xr:uid="{00000000-0005-0000-0000-000070770000}"/>
    <cellStyle name="Superscript 2 3 4 8 2" xfId="27622" xr:uid="{00000000-0005-0000-0000-000071770000}"/>
    <cellStyle name="Superscript 2 3 4 9" xfId="27623" xr:uid="{00000000-0005-0000-0000-000072770000}"/>
    <cellStyle name="Superscript 2 3 4 9 2" xfId="27624" xr:uid="{00000000-0005-0000-0000-000073770000}"/>
    <cellStyle name="Superscript 2 3 5" xfId="27625" xr:uid="{00000000-0005-0000-0000-000074770000}"/>
    <cellStyle name="Superscript 2 3 5 10" xfId="27626" xr:uid="{00000000-0005-0000-0000-000075770000}"/>
    <cellStyle name="Superscript 2 3 5 2" xfId="27627" xr:uid="{00000000-0005-0000-0000-000076770000}"/>
    <cellStyle name="Superscript 2 3 5 2 2" xfId="27628" xr:uid="{00000000-0005-0000-0000-000077770000}"/>
    <cellStyle name="Superscript 2 3 5 3" xfId="27629" xr:uid="{00000000-0005-0000-0000-000078770000}"/>
    <cellStyle name="Superscript 2 3 5 3 2" xfId="27630" xr:uid="{00000000-0005-0000-0000-000079770000}"/>
    <cellStyle name="Superscript 2 3 5 4" xfId="27631" xr:uid="{00000000-0005-0000-0000-00007A770000}"/>
    <cellStyle name="Superscript 2 3 5 4 2" xfId="27632" xr:uid="{00000000-0005-0000-0000-00007B770000}"/>
    <cellStyle name="Superscript 2 3 5 5" xfId="27633" xr:uid="{00000000-0005-0000-0000-00007C770000}"/>
    <cellStyle name="Superscript 2 3 5 5 2" xfId="27634" xr:uid="{00000000-0005-0000-0000-00007D770000}"/>
    <cellStyle name="Superscript 2 3 5 6" xfId="27635" xr:uid="{00000000-0005-0000-0000-00007E770000}"/>
    <cellStyle name="Superscript 2 3 5 6 2" xfId="27636" xr:uid="{00000000-0005-0000-0000-00007F770000}"/>
    <cellStyle name="Superscript 2 3 5 7" xfId="27637" xr:uid="{00000000-0005-0000-0000-000080770000}"/>
    <cellStyle name="Superscript 2 3 5 7 2" xfId="27638" xr:uid="{00000000-0005-0000-0000-000081770000}"/>
    <cellStyle name="Superscript 2 3 5 8" xfId="27639" xr:uid="{00000000-0005-0000-0000-000082770000}"/>
    <cellStyle name="Superscript 2 3 5 8 2" xfId="27640" xr:uid="{00000000-0005-0000-0000-000083770000}"/>
    <cellStyle name="Superscript 2 3 5 9" xfId="27641" xr:uid="{00000000-0005-0000-0000-000084770000}"/>
    <cellStyle name="Superscript 2 3 5 9 2" xfId="27642" xr:uid="{00000000-0005-0000-0000-000085770000}"/>
    <cellStyle name="Superscript 2 3 6" xfId="27643" xr:uid="{00000000-0005-0000-0000-000086770000}"/>
    <cellStyle name="Superscript 2 3 6 10" xfId="27644" xr:uid="{00000000-0005-0000-0000-000087770000}"/>
    <cellStyle name="Superscript 2 3 6 2" xfId="27645" xr:uid="{00000000-0005-0000-0000-000088770000}"/>
    <cellStyle name="Superscript 2 3 6 2 2" xfId="27646" xr:uid="{00000000-0005-0000-0000-000089770000}"/>
    <cellStyle name="Superscript 2 3 6 3" xfId="27647" xr:uid="{00000000-0005-0000-0000-00008A770000}"/>
    <cellStyle name="Superscript 2 3 6 3 2" xfId="27648" xr:uid="{00000000-0005-0000-0000-00008B770000}"/>
    <cellStyle name="Superscript 2 3 6 4" xfId="27649" xr:uid="{00000000-0005-0000-0000-00008C770000}"/>
    <cellStyle name="Superscript 2 3 6 4 2" xfId="27650" xr:uid="{00000000-0005-0000-0000-00008D770000}"/>
    <cellStyle name="Superscript 2 3 6 5" xfId="27651" xr:uid="{00000000-0005-0000-0000-00008E770000}"/>
    <cellStyle name="Superscript 2 3 6 5 2" xfId="27652" xr:uid="{00000000-0005-0000-0000-00008F770000}"/>
    <cellStyle name="Superscript 2 3 6 6" xfId="27653" xr:uid="{00000000-0005-0000-0000-000090770000}"/>
    <cellStyle name="Superscript 2 3 6 6 2" xfId="27654" xr:uid="{00000000-0005-0000-0000-000091770000}"/>
    <cellStyle name="Superscript 2 3 6 7" xfId="27655" xr:uid="{00000000-0005-0000-0000-000092770000}"/>
    <cellStyle name="Superscript 2 3 6 7 2" xfId="27656" xr:uid="{00000000-0005-0000-0000-000093770000}"/>
    <cellStyle name="Superscript 2 3 6 8" xfId="27657" xr:uid="{00000000-0005-0000-0000-000094770000}"/>
    <cellStyle name="Superscript 2 3 6 8 2" xfId="27658" xr:uid="{00000000-0005-0000-0000-000095770000}"/>
    <cellStyle name="Superscript 2 3 6 9" xfId="27659" xr:uid="{00000000-0005-0000-0000-000096770000}"/>
    <cellStyle name="Superscript 2 3 6 9 2" xfId="27660" xr:uid="{00000000-0005-0000-0000-000097770000}"/>
    <cellStyle name="Superscript 2 3 7" xfId="27661" xr:uid="{00000000-0005-0000-0000-000098770000}"/>
    <cellStyle name="Superscript 2 3 7 10" xfId="27662" xr:uid="{00000000-0005-0000-0000-000099770000}"/>
    <cellStyle name="Superscript 2 3 7 2" xfId="27663" xr:uid="{00000000-0005-0000-0000-00009A770000}"/>
    <cellStyle name="Superscript 2 3 7 2 2" xfId="27664" xr:uid="{00000000-0005-0000-0000-00009B770000}"/>
    <cellStyle name="Superscript 2 3 7 3" xfId="27665" xr:uid="{00000000-0005-0000-0000-00009C770000}"/>
    <cellStyle name="Superscript 2 3 7 3 2" xfId="27666" xr:uid="{00000000-0005-0000-0000-00009D770000}"/>
    <cellStyle name="Superscript 2 3 7 4" xfId="27667" xr:uid="{00000000-0005-0000-0000-00009E770000}"/>
    <cellStyle name="Superscript 2 3 7 4 2" xfId="27668" xr:uid="{00000000-0005-0000-0000-00009F770000}"/>
    <cellStyle name="Superscript 2 3 7 5" xfId="27669" xr:uid="{00000000-0005-0000-0000-0000A0770000}"/>
    <cellStyle name="Superscript 2 3 7 5 2" xfId="27670" xr:uid="{00000000-0005-0000-0000-0000A1770000}"/>
    <cellStyle name="Superscript 2 3 7 6" xfId="27671" xr:uid="{00000000-0005-0000-0000-0000A2770000}"/>
    <cellStyle name="Superscript 2 3 7 6 2" xfId="27672" xr:uid="{00000000-0005-0000-0000-0000A3770000}"/>
    <cellStyle name="Superscript 2 3 7 7" xfId="27673" xr:uid="{00000000-0005-0000-0000-0000A4770000}"/>
    <cellStyle name="Superscript 2 3 7 7 2" xfId="27674" xr:uid="{00000000-0005-0000-0000-0000A5770000}"/>
    <cellStyle name="Superscript 2 3 7 8" xfId="27675" xr:uid="{00000000-0005-0000-0000-0000A6770000}"/>
    <cellStyle name="Superscript 2 3 7 8 2" xfId="27676" xr:uid="{00000000-0005-0000-0000-0000A7770000}"/>
    <cellStyle name="Superscript 2 3 7 9" xfId="27677" xr:uid="{00000000-0005-0000-0000-0000A8770000}"/>
    <cellStyle name="Superscript 2 3 7 9 2" xfId="27678" xr:uid="{00000000-0005-0000-0000-0000A9770000}"/>
    <cellStyle name="Superscript 2 3 8" xfId="27679" xr:uid="{00000000-0005-0000-0000-0000AA770000}"/>
    <cellStyle name="Superscript 2 3 8 10" xfId="27680" xr:uid="{00000000-0005-0000-0000-0000AB770000}"/>
    <cellStyle name="Superscript 2 3 8 2" xfId="27681" xr:uid="{00000000-0005-0000-0000-0000AC770000}"/>
    <cellStyle name="Superscript 2 3 8 2 2" xfId="27682" xr:uid="{00000000-0005-0000-0000-0000AD770000}"/>
    <cellStyle name="Superscript 2 3 8 3" xfId="27683" xr:uid="{00000000-0005-0000-0000-0000AE770000}"/>
    <cellStyle name="Superscript 2 3 8 3 2" xfId="27684" xr:uid="{00000000-0005-0000-0000-0000AF770000}"/>
    <cellStyle name="Superscript 2 3 8 4" xfId="27685" xr:uid="{00000000-0005-0000-0000-0000B0770000}"/>
    <cellStyle name="Superscript 2 3 8 4 2" xfId="27686" xr:uid="{00000000-0005-0000-0000-0000B1770000}"/>
    <cellStyle name="Superscript 2 3 8 5" xfId="27687" xr:uid="{00000000-0005-0000-0000-0000B2770000}"/>
    <cellStyle name="Superscript 2 3 8 5 2" xfId="27688" xr:uid="{00000000-0005-0000-0000-0000B3770000}"/>
    <cellStyle name="Superscript 2 3 8 6" xfId="27689" xr:uid="{00000000-0005-0000-0000-0000B4770000}"/>
    <cellStyle name="Superscript 2 3 8 6 2" xfId="27690" xr:uid="{00000000-0005-0000-0000-0000B5770000}"/>
    <cellStyle name="Superscript 2 3 8 7" xfId="27691" xr:uid="{00000000-0005-0000-0000-0000B6770000}"/>
    <cellStyle name="Superscript 2 3 8 7 2" xfId="27692" xr:uid="{00000000-0005-0000-0000-0000B7770000}"/>
    <cellStyle name="Superscript 2 3 8 8" xfId="27693" xr:uid="{00000000-0005-0000-0000-0000B8770000}"/>
    <cellStyle name="Superscript 2 3 8 8 2" xfId="27694" xr:uid="{00000000-0005-0000-0000-0000B9770000}"/>
    <cellStyle name="Superscript 2 3 8 9" xfId="27695" xr:uid="{00000000-0005-0000-0000-0000BA770000}"/>
    <cellStyle name="Superscript 2 3 8 9 2" xfId="27696" xr:uid="{00000000-0005-0000-0000-0000BB770000}"/>
    <cellStyle name="Superscript 2 3 9" xfId="27697" xr:uid="{00000000-0005-0000-0000-0000BC770000}"/>
    <cellStyle name="Superscript 2 3 9 10" xfId="27698" xr:uid="{00000000-0005-0000-0000-0000BD770000}"/>
    <cellStyle name="Superscript 2 3 9 2" xfId="27699" xr:uid="{00000000-0005-0000-0000-0000BE770000}"/>
    <cellStyle name="Superscript 2 3 9 2 2" xfId="27700" xr:uid="{00000000-0005-0000-0000-0000BF770000}"/>
    <cellStyle name="Superscript 2 3 9 3" xfId="27701" xr:uid="{00000000-0005-0000-0000-0000C0770000}"/>
    <cellStyle name="Superscript 2 3 9 3 2" xfId="27702" xr:uid="{00000000-0005-0000-0000-0000C1770000}"/>
    <cellStyle name="Superscript 2 3 9 4" xfId="27703" xr:uid="{00000000-0005-0000-0000-0000C2770000}"/>
    <cellStyle name="Superscript 2 3 9 4 2" xfId="27704" xr:uid="{00000000-0005-0000-0000-0000C3770000}"/>
    <cellStyle name="Superscript 2 3 9 5" xfId="27705" xr:uid="{00000000-0005-0000-0000-0000C4770000}"/>
    <cellStyle name="Superscript 2 3 9 5 2" xfId="27706" xr:uid="{00000000-0005-0000-0000-0000C5770000}"/>
    <cellStyle name="Superscript 2 3 9 6" xfId="27707" xr:uid="{00000000-0005-0000-0000-0000C6770000}"/>
    <cellStyle name="Superscript 2 3 9 6 2" xfId="27708" xr:uid="{00000000-0005-0000-0000-0000C7770000}"/>
    <cellStyle name="Superscript 2 3 9 7" xfId="27709" xr:uid="{00000000-0005-0000-0000-0000C8770000}"/>
    <cellStyle name="Superscript 2 3 9 7 2" xfId="27710" xr:uid="{00000000-0005-0000-0000-0000C9770000}"/>
    <cellStyle name="Superscript 2 3 9 8" xfId="27711" xr:uid="{00000000-0005-0000-0000-0000CA770000}"/>
    <cellStyle name="Superscript 2 3 9 8 2" xfId="27712" xr:uid="{00000000-0005-0000-0000-0000CB770000}"/>
    <cellStyle name="Superscript 2 3 9 9" xfId="27713" xr:uid="{00000000-0005-0000-0000-0000CC770000}"/>
    <cellStyle name="Superscript 2 3 9 9 2" xfId="27714" xr:uid="{00000000-0005-0000-0000-0000CD770000}"/>
    <cellStyle name="Superscript 2 4" xfId="27715" xr:uid="{00000000-0005-0000-0000-0000CE770000}"/>
    <cellStyle name="Superscript 2 4 10" xfId="27716" xr:uid="{00000000-0005-0000-0000-0000CF770000}"/>
    <cellStyle name="Superscript 2 4 10 2" xfId="27717" xr:uid="{00000000-0005-0000-0000-0000D0770000}"/>
    <cellStyle name="Superscript 2 4 10 2 2" xfId="27718" xr:uid="{00000000-0005-0000-0000-0000D1770000}"/>
    <cellStyle name="Superscript 2 4 10 3" xfId="27719" xr:uid="{00000000-0005-0000-0000-0000D2770000}"/>
    <cellStyle name="Superscript 2 4 10 3 2" xfId="27720" xr:uid="{00000000-0005-0000-0000-0000D3770000}"/>
    <cellStyle name="Superscript 2 4 10 4" xfId="27721" xr:uid="{00000000-0005-0000-0000-0000D4770000}"/>
    <cellStyle name="Superscript 2 4 10 4 2" xfId="27722" xr:uid="{00000000-0005-0000-0000-0000D5770000}"/>
    <cellStyle name="Superscript 2 4 10 5" xfId="27723" xr:uid="{00000000-0005-0000-0000-0000D6770000}"/>
    <cellStyle name="Superscript 2 4 10 5 2" xfId="27724" xr:uid="{00000000-0005-0000-0000-0000D7770000}"/>
    <cellStyle name="Superscript 2 4 10 6" xfId="27725" xr:uid="{00000000-0005-0000-0000-0000D8770000}"/>
    <cellStyle name="Superscript 2 4 10 6 2" xfId="27726" xr:uid="{00000000-0005-0000-0000-0000D9770000}"/>
    <cellStyle name="Superscript 2 4 10 7" xfId="27727" xr:uid="{00000000-0005-0000-0000-0000DA770000}"/>
    <cellStyle name="Superscript 2 4 10 7 2" xfId="27728" xr:uid="{00000000-0005-0000-0000-0000DB770000}"/>
    <cellStyle name="Superscript 2 4 10 8" xfId="27729" xr:uid="{00000000-0005-0000-0000-0000DC770000}"/>
    <cellStyle name="Superscript 2 4 10 8 2" xfId="27730" xr:uid="{00000000-0005-0000-0000-0000DD770000}"/>
    <cellStyle name="Superscript 2 4 10 9" xfId="27731" xr:uid="{00000000-0005-0000-0000-0000DE770000}"/>
    <cellStyle name="Superscript 2 4 11" xfId="27732" xr:uid="{00000000-0005-0000-0000-0000DF770000}"/>
    <cellStyle name="Superscript 2 4 11 2" xfId="27733" xr:uid="{00000000-0005-0000-0000-0000E0770000}"/>
    <cellStyle name="Superscript 2 4 12" xfId="27734" xr:uid="{00000000-0005-0000-0000-0000E1770000}"/>
    <cellStyle name="Superscript 2 4 12 2" xfId="27735" xr:uid="{00000000-0005-0000-0000-0000E2770000}"/>
    <cellStyle name="Superscript 2 4 13" xfId="27736" xr:uid="{00000000-0005-0000-0000-0000E3770000}"/>
    <cellStyle name="Superscript 2 4 13 2" xfId="27737" xr:uid="{00000000-0005-0000-0000-0000E4770000}"/>
    <cellStyle name="Superscript 2 4 14" xfId="27738" xr:uid="{00000000-0005-0000-0000-0000E5770000}"/>
    <cellStyle name="Superscript 2 4 14 2" xfId="27739" xr:uid="{00000000-0005-0000-0000-0000E6770000}"/>
    <cellStyle name="Superscript 2 4 15" xfId="27740" xr:uid="{00000000-0005-0000-0000-0000E7770000}"/>
    <cellStyle name="Superscript 2 4 15 2" xfId="27741" xr:uid="{00000000-0005-0000-0000-0000E8770000}"/>
    <cellStyle name="Superscript 2 4 16" xfId="27742" xr:uid="{00000000-0005-0000-0000-0000E9770000}"/>
    <cellStyle name="Superscript 2 4 16 2" xfId="27743" xr:uid="{00000000-0005-0000-0000-0000EA770000}"/>
    <cellStyle name="Superscript 2 4 17" xfId="27744" xr:uid="{00000000-0005-0000-0000-0000EB770000}"/>
    <cellStyle name="Superscript 2 4 17 2" xfId="27745" xr:uid="{00000000-0005-0000-0000-0000EC770000}"/>
    <cellStyle name="Superscript 2 4 18" xfId="27746" xr:uid="{00000000-0005-0000-0000-0000ED770000}"/>
    <cellStyle name="Superscript 2 4 2" xfId="27747" xr:uid="{00000000-0005-0000-0000-0000EE770000}"/>
    <cellStyle name="Superscript 2 4 2 10" xfId="27748" xr:uid="{00000000-0005-0000-0000-0000EF770000}"/>
    <cellStyle name="Superscript 2 4 2 2" xfId="27749" xr:uid="{00000000-0005-0000-0000-0000F0770000}"/>
    <cellStyle name="Superscript 2 4 2 2 2" xfId="27750" xr:uid="{00000000-0005-0000-0000-0000F1770000}"/>
    <cellStyle name="Superscript 2 4 2 3" xfId="27751" xr:uid="{00000000-0005-0000-0000-0000F2770000}"/>
    <cellStyle name="Superscript 2 4 2 3 2" xfId="27752" xr:uid="{00000000-0005-0000-0000-0000F3770000}"/>
    <cellStyle name="Superscript 2 4 2 4" xfId="27753" xr:uid="{00000000-0005-0000-0000-0000F4770000}"/>
    <cellStyle name="Superscript 2 4 2 4 2" xfId="27754" xr:uid="{00000000-0005-0000-0000-0000F5770000}"/>
    <cellStyle name="Superscript 2 4 2 5" xfId="27755" xr:uid="{00000000-0005-0000-0000-0000F6770000}"/>
    <cellStyle name="Superscript 2 4 2 5 2" xfId="27756" xr:uid="{00000000-0005-0000-0000-0000F7770000}"/>
    <cellStyle name="Superscript 2 4 2 6" xfId="27757" xr:uid="{00000000-0005-0000-0000-0000F8770000}"/>
    <cellStyle name="Superscript 2 4 2 6 2" xfId="27758" xr:uid="{00000000-0005-0000-0000-0000F9770000}"/>
    <cellStyle name="Superscript 2 4 2 7" xfId="27759" xr:uid="{00000000-0005-0000-0000-0000FA770000}"/>
    <cellStyle name="Superscript 2 4 2 7 2" xfId="27760" xr:uid="{00000000-0005-0000-0000-0000FB770000}"/>
    <cellStyle name="Superscript 2 4 2 8" xfId="27761" xr:uid="{00000000-0005-0000-0000-0000FC770000}"/>
    <cellStyle name="Superscript 2 4 2 8 2" xfId="27762" xr:uid="{00000000-0005-0000-0000-0000FD770000}"/>
    <cellStyle name="Superscript 2 4 2 9" xfId="27763" xr:uid="{00000000-0005-0000-0000-0000FE770000}"/>
    <cellStyle name="Superscript 2 4 2 9 2" xfId="27764" xr:uid="{00000000-0005-0000-0000-0000FF770000}"/>
    <cellStyle name="Superscript 2 4 3" xfId="27765" xr:uid="{00000000-0005-0000-0000-000000780000}"/>
    <cellStyle name="Superscript 2 4 3 10" xfId="27766" xr:uid="{00000000-0005-0000-0000-000001780000}"/>
    <cellStyle name="Superscript 2 4 3 2" xfId="27767" xr:uid="{00000000-0005-0000-0000-000002780000}"/>
    <cellStyle name="Superscript 2 4 3 2 2" xfId="27768" xr:uid="{00000000-0005-0000-0000-000003780000}"/>
    <cellStyle name="Superscript 2 4 3 3" xfId="27769" xr:uid="{00000000-0005-0000-0000-000004780000}"/>
    <cellStyle name="Superscript 2 4 3 3 2" xfId="27770" xr:uid="{00000000-0005-0000-0000-000005780000}"/>
    <cellStyle name="Superscript 2 4 3 4" xfId="27771" xr:uid="{00000000-0005-0000-0000-000006780000}"/>
    <cellStyle name="Superscript 2 4 3 4 2" xfId="27772" xr:uid="{00000000-0005-0000-0000-000007780000}"/>
    <cellStyle name="Superscript 2 4 3 5" xfId="27773" xr:uid="{00000000-0005-0000-0000-000008780000}"/>
    <cellStyle name="Superscript 2 4 3 5 2" xfId="27774" xr:uid="{00000000-0005-0000-0000-000009780000}"/>
    <cellStyle name="Superscript 2 4 3 6" xfId="27775" xr:uid="{00000000-0005-0000-0000-00000A780000}"/>
    <cellStyle name="Superscript 2 4 3 6 2" xfId="27776" xr:uid="{00000000-0005-0000-0000-00000B780000}"/>
    <cellStyle name="Superscript 2 4 3 7" xfId="27777" xr:uid="{00000000-0005-0000-0000-00000C780000}"/>
    <cellStyle name="Superscript 2 4 3 7 2" xfId="27778" xr:uid="{00000000-0005-0000-0000-00000D780000}"/>
    <cellStyle name="Superscript 2 4 3 8" xfId="27779" xr:uid="{00000000-0005-0000-0000-00000E780000}"/>
    <cellStyle name="Superscript 2 4 3 8 2" xfId="27780" xr:uid="{00000000-0005-0000-0000-00000F780000}"/>
    <cellStyle name="Superscript 2 4 3 9" xfId="27781" xr:uid="{00000000-0005-0000-0000-000010780000}"/>
    <cellStyle name="Superscript 2 4 3 9 2" xfId="27782" xr:uid="{00000000-0005-0000-0000-000011780000}"/>
    <cellStyle name="Superscript 2 4 4" xfId="27783" xr:uid="{00000000-0005-0000-0000-000012780000}"/>
    <cellStyle name="Superscript 2 4 4 10" xfId="27784" xr:uid="{00000000-0005-0000-0000-000013780000}"/>
    <cellStyle name="Superscript 2 4 4 2" xfId="27785" xr:uid="{00000000-0005-0000-0000-000014780000}"/>
    <cellStyle name="Superscript 2 4 4 2 2" xfId="27786" xr:uid="{00000000-0005-0000-0000-000015780000}"/>
    <cellStyle name="Superscript 2 4 4 3" xfId="27787" xr:uid="{00000000-0005-0000-0000-000016780000}"/>
    <cellStyle name="Superscript 2 4 4 3 2" xfId="27788" xr:uid="{00000000-0005-0000-0000-000017780000}"/>
    <cellStyle name="Superscript 2 4 4 4" xfId="27789" xr:uid="{00000000-0005-0000-0000-000018780000}"/>
    <cellStyle name="Superscript 2 4 4 4 2" xfId="27790" xr:uid="{00000000-0005-0000-0000-000019780000}"/>
    <cellStyle name="Superscript 2 4 4 5" xfId="27791" xr:uid="{00000000-0005-0000-0000-00001A780000}"/>
    <cellStyle name="Superscript 2 4 4 5 2" xfId="27792" xr:uid="{00000000-0005-0000-0000-00001B780000}"/>
    <cellStyle name="Superscript 2 4 4 6" xfId="27793" xr:uid="{00000000-0005-0000-0000-00001C780000}"/>
    <cellStyle name="Superscript 2 4 4 6 2" xfId="27794" xr:uid="{00000000-0005-0000-0000-00001D780000}"/>
    <cellStyle name="Superscript 2 4 4 7" xfId="27795" xr:uid="{00000000-0005-0000-0000-00001E780000}"/>
    <cellStyle name="Superscript 2 4 4 7 2" xfId="27796" xr:uid="{00000000-0005-0000-0000-00001F780000}"/>
    <cellStyle name="Superscript 2 4 4 8" xfId="27797" xr:uid="{00000000-0005-0000-0000-000020780000}"/>
    <cellStyle name="Superscript 2 4 4 8 2" xfId="27798" xr:uid="{00000000-0005-0000-0000-000021780000}"/>
    <cellStyle name="Superscript 2 4 4 9" xfId="27799" xr:uid="{00000000-0005-0000-0000-000022780000}"/>
    <cellStyle name="Superscript 2 4 4 9 2" xfId="27800" xr:uid="{00000000-0005-0000-0000-000023780000}"/>
    <cellStyle name="Superscript 2 4 5" xfId="27801" xr:uid="{00000000-0005-0000-0000-000024780000}"/>
    <cellStyle name="Superscript 2 4 5 10" xfId="27802" xr:uid="{00000000-0005-0000-0000-000025780000}"/>
    <cellStyle name="Superscript 2 4 5 2" xfId="27803" xr:uid="{00000000-0005-0000-0000-000026780000}"/>
    <cellStyle name="Superscript 2 4 5 2 2" xfId="27804" xr:uid="{00000000-0005-0000-0000-000027780000}"/>
    <cellStyle name="Superscript 2 4 5 3" xfId="27805" xr:uid="{00000000-0005-0000-0000-000028780000}"/>
    <cellStyle name="Superscript 2 4 5 3 2" xfId="27806" xr:uid="{00000000-0005-0000-0000-000029780000}"/>
    <cellStyle name="Superscript 2 4 5 4" xfId="27807" xr:uid="{00000000-0005-0000-0000-00002A780000}"/>
    <cellStyle name="Superscript 2 4 5 4 2" xfId="27808" xr:uid="{00000000-0005-0000-0000-00002B780000}"/>
    <cellStyle name="Superscript 2 4 5 5" xfId="27809" xr:uid="{00000000-0005-0000-0000-00002C780000}"/>
    <cellStyle name="Superscript 2 4 5 5 2" xfId="27810" xr:uid="{00000000-0005-0000-0000-00002D780000}"/>
    <cellStyle name="Superscript 2 4 5 6" xfId="27811" xr:uid="{00000000-0005-0000-0000-00002E780000}"/>
    <cellStyle name="Superscript 2 4 5 6 2" xfId="27812" xr:uid="{00000000-0005-0000-0000-00002F780000}"/>
    <cellStyle name="Superscript 2 4 5 7" xfId="27813" xr:uid="{00000000-0005-0000-0000-000030780000}"/>
    <cellStyle name="Superscript 2 4 5 7 2" xfId="27814" xr:uid="{00000000-0005-0000-0000-000031780000}"/>
    <cellStyle name="Superscript 2 4 5 8" xfId="27815" xr:uid="{00000000-0005-0000-0000-000032780000}"/>
    <cellStyle name="Superscript 2 4 5 8 2" xfId="27816" xr:uid="{00000000-0005-0000-0000-000033780000}"/>
    <cellStyle name="Superscript 2 4 5 9" xfId="27817" xr:uid="{00000000-0005-0000-0000-000034780000}"/>
    <cellStyle name="Superscript 2 4 5 9 2" xfId="27818" xr:uid="{00000000-0005-0000-0000-000035780000}"/>
    <cellStyle name="Superscript 2 4 6" xfId="27819" xr:uid="{00000000-0005-0000-0000-000036780000}"/>
    <cellStyle name="Superscript 2 4 6 10" xfId="27820" xr:uid="{00000000-0005-0000-0000-000037780000}"/>
    <cellStyle name="Superscript 2 4 6 2" xfId="27821" xr:uid="{00000000-0005-0000-0000-000038780000}"/>
    <cellStyle name="Superscript 2 4 6 2 2" xfId="27822" xr:uid="{00000000-0005-0000-0000-000039780000}"/>
    <cellStyle name="Superscript 2 4 6 3" xfId="27823" xr:uid="{00000000-0005-0000-0000-00003A780000}"/>
    <cellStyle name="Superscript 2 4 6 3 2" xfId="27824" xr:uid="{00000000-0005-0000-0000-00003B780000}"/>
    <cellStyle name="Superscript 2 4 6 4" xfId="27825" xr:uid="{00000000-0005-0000-0000-00003C780000}"/>
    <cellStyle name="Superscript 2 4 6 4 2" xfId="27826" xr:uid="{00000000-0005-0000-0000-00003D780000}"/>
    <cellStyle name="Superscript 2 4 6 5" xfId="27827" xr:uid="{00000000-0005-0000-0000-00003E780000}"/>
    <cellStyle name="Superscript 2 4 6 5 2" xfId="27828" xr:uid="{00000000-0005-0000-0000-00003F780000}"/>
    <cellStyle name="Superscript 2 4 6 6" xfId="27829" xr:uid="{00000000-0005-0000-0000-000040780000}"/>
    <cellStyle name="Superscript 2 4 6 6 2" xfId="27830" xr:uid="{00000000-0005-0000-0000-000041780000}"/>
    <cellStyle name="Superscript 2 4 6 7" xfId="27831" xr:uid="{00000000-0005-0000-0000-000042780000}"/>
    <cellStyle name="Superscript 2 4 6 7 2" xfId="27832" xr:uid="{00000000-0005-0000-0000-000043780000}"/>
    <cellStyle name="Superscript 2 4 6 8" xfId="27833" xr:uid="{00000000-0005-0000-0000-000044780000}"/>
    <cellStyle name="Superscript 2 4 6 8 2" xfId="27834" xr:uid="{00000000-0005-0000-0000-000045780000}"/>
    <cellStyle name="Superscript 2 4 6 9" xfId="27835" xr:uid="{00000000-0005-0000-0000-000046780000}"/>
    <cellStyle name="Superscript 2 4 6 9 2" xfId="27836" xr:uid="{00000000-0005-0000-0000-000047780000}"/>
    <cellStyle name="Superscript 2 4 7" xfId="27837" xr:uid="{00000000-0005-0000-0000-000048780000}"/>
    <cellStyle name="Superscript 2 4 7 10" xfId="27838" xr:uid="{00000000-0005-0000-0000-000049780000}"/>
    <cellStyle name="Superscript 2 4 7 2" xfId="27839" xr:uid="{00000000-0005-0000-0000-00004A780000}"/>
    <cellStyle name="Superscript 2 4 7 2 2" xfId="27840" xr:uid="{00000000-0005-0000-0000-00004B780000}"/>
    <cellStyle name="Superscript 2 4 7 3" xfId="27841" xr:uid="{00000000-0005-0000-0000-00004C780000}"/>
    <cellStyle name="Superscript 2 4 7 3 2" xfId="27842" xr:uid="{00000000-0005-0000-0000-00004D780000}"/>
    <cellStyle name="Superscript 2 4 7 4" xfId="27843" xr:uid="{00000000-0005-0000-0000-00004E780000}"/>
    <cellStyle name="Superscript 2 4 7 4 2" xfId="27844" xr:uid="{00000000-0005-0000-0000-00004F780000}"/>
    <cellStyle name="Superscript 2 4 7 5" xfId="27845" xr:uid="{00000000-0005-0000-0000-000050780000}"/>
    <cellStyle name="Superscript 2 4 7 5 2" xfId="27846" xr:uid="{00000000-0005-0000-0000-000051780000}"/>
    <cellStyle name="Superscript 2 4 7 6" xfId="27847" xr:uid="{00000000-0005-0000-0000-000052780000}"/>
    <cellStyle name="Superscript 2 4 7 6 2" xfId="27848" xr:uid="{00000000-0005-0000-0000-000053780000}"/>
    <cellStyle name="Superscript 2 4 7 7" xfId="27849" xr:uid="{00000000-0005-0000-0000-000054780000}"/>
    <cellStyle name="Superscript 2 4 7 7 2" xfId="27850" xr:uid="{00000000-0005-0000-0000-000055780000}"/>
    <cellStyle name="Superscript 2 4 7 8" xfId="27851" xr:uid="{00000000-0005-0000-0000-000056780000}"/>
    <cellStyle name="Superscript 2 4 7 8 2" xfId="27852" xr:uid="{00000000-0005-0000-0000-000057780000}"/>
    <cellStyle name="Superscript 2 4 7 9" xfId="27853" xr:uid="{00000000-0005-0000-0000-000058780000}"/>
    <cellStyle name="Superscript 2 4 7 9 2" xfId="27854" xr:uid="{00000000-0005-0000-0000-000059780000}"/>
    <cellStyle name="Superscript 2 4 8" xfId="27855" xr:uid="{00000000-0005-0000-0000-00005A780000}"/>
    <cellStyle name="Superscript 2 4 8 10" xfId="27856" xr:uid="{00000000-0005-0000-0000-00005B780000}"/>
    <cellStyle name="Superscript 2 4 8 2" xfId="27857" xr:uid="{00000000-0005-0000-0000-00005C780000}"/>
    <cellStyle name="Superscript 2 4 8 2 2" xfId="27858" xr:uid="{00000000-0005-0000-0000-00005D780000}"/>
    <cellStyle name="Superscript 2 4 8 3" xfId="27859" xr:uid="{00000000-0005-0000-0000-00005E780000}"/>
    <cellStyle name="Superscript 2 4 8 3 2" xfId="27860" xr:uid="{00000000-0005-0000-0000-00005F780000}"/>
    <cellStyle name="Superscript 2 4 8 4" xfId="27861" xr:uid="{00000000-0005-0000-0000-000060780000}"/>
    <cellStyle name="Superscript 2 4 8 4 2" xfId="27862" xr:uid="{00000000-0005-0000-0000-000061780000}"/>
    <cellStyle name="Superscript 2 4 8 5" xfId="27863" xr:uid="{00000000-0005-0000-0000-000062780000}"/>
    <cellStyle name="Superscript 2 4 8 5 2" xfId="27864" xr:uid="{00000000-0005-0000-0000-000063780000}"/>
    <cellStyle name="Superscript 2 4 8 6" xfId="27865" xr:uid="{00000000-0005-0000-0000-000064780000}"/>
    <cellStyle name="Superscript 2 4 8 6 2" xfId="27866" xr:uid="{00000000-0005-0000-0000-000065780000}"/>
    <cellStyle name="Superscript 2 4 8 7" xfId="27867" xr:uid="{00000000-0005-0000-0000-000066780000}"/>
    <cellStyle name="Superscript 2 4 8 7 2" xfId="27868" xr:uid="{00000000-0005-0000-0000-000067780000}"/>
    <cellStyle name="Superscript 2 4 8 8" xfId="27869" xr:uid="{00000000-0005-0000-0000-000068780000}"/>
    <cellStyle name="Superscript 2 4 8 8 2" xfId="27870" xr:uid="{00000000-0005-0000-0000-000069780000}"/>
    <cellStyle name="Superscript 2 4 8 9" xfId="27871" xr:uid="{00000000-0005-0000-0000-00006A780000}"/>
    <cellStyle name="Superscript 2 4 8 9 2" xfId="27872" xr:uid="{00000000-0005-0000-0000-00006B780000}"/>
    <cellStyle name="Superscript 2 4 9" xfId="27873" xr:uid="{00000000-0005-0000-0000-00006C780000}"/>
    <cellStyle name="Superscript 2 4 9 10" xfId="27874" xr:uid="{00000000-0005-0000-0000-00006D780000}"/>
    <cellStyle name="Superscript 2 4 9 2" xfId="27875" xr:uid="{00000000-0005-0000-0000-00006E780000}"/>
    <cellStyle name="Superscript 2 4 9 2 2" xfId="27876" xr:uid="{00000000-0005-0000-0000-00006F780000}"/>
    <cellStyle name="Superscript 2 4 9 3" xfId="27877" xr:uid="{00000000-0005-0000-0000-000070780000}"/>
    <cellStyle name="Superscript 2 4 9 3 2" xfId="27878" xr:uid="{00000000-0005-0000-0000-000071780000}"/>
    <cellStyle name="Superscript 2 4 9 4" xfId="27879" xr:uid="{00000000-0005-0000-0000-000072780000}"/>
    <cellStyle name="Superscript 2 4 9 4 2" xfId="27880" xr:uid="{00000000-0005-0000-0000-000073780000}"/>
    <cellStyle name="Superscript 2 4 9 5" xfId="27881" xr:uid="{00000000-0005-0000-0000-000074780000}"/>
    <cellStyle name="Superscript 2 4 9 5 2" xfId="27882" xr:uid="{00000000-0005-0000-0000-000075780000}"/>
    <cellStyle name="Superscript 2 4 9 6" xfId="27883" xr:uid="{00000000-0005-0000-0000-000076780000}"/>
    <cellStyle name="Superscript 2 4 9 6 2" xfId="27884" xr:uid="{00000000-0005-0000-0000-000077780000}"/>
    <cellStyle name="Superscript 2 4 9 7" xfId="27885" xr:uid="{00000000-0005-0000-0000-000078780000}"/>
    <cellStyle name="Superscript 2 4 9 7 2" xfId="27886" xr:uid="{00000000-0005-0000-0000-000079780000}"/>
    <cellStyle name="Superscript 2 4 9 8" xfId="27887" xr:uid="{00000000-0005-0000-0000-00007A780000}"/>
    <cellStyle name="Superscript 2 4 9 8 2" xfId="27888" xr:uid="{00000000-0005-0000-0000-00007B780000}"/>
    <cellStyle name="Superscript 2 4 9 9" xfId="27889" xr:uid="{00000000-0005-0000-0000-00007C780000}"/>
    <cellStyle name="Superscript 2 4 9 9 2" xfId="27890" xr:uid="{00000000-0005-0000-0000-00007D780000}"/>
    <cellStyle name="Superscript 2 5" xfId="27891" xr:uid="{00000000-0005-0000-0000-00007E780000}"/>
    <cellStyle name="Superscript 2 5 10" xfId="27892" xr:uid="{00000000-0005-0000-0000-00007F780000}"/>
    <cellStyle name="Superscript 2 5 10 2" xfId="27893" xr:uid="{00000000-0005-0000-0000-000080780000}"/>
    <cellStyle name="Superscript 2 5 10 2 2" xfId="27894" xr:uid="{00000000-0005-0000-0000-000081780000}"/>
    <cellStyle name="Superscript 2 5 10 3" xfId="27895" xr:uid="{00000000-0005-0000-0000-000082780000}"/>
    <cellStyle name="Superscript 2 5 10 3 2" xfId="27896" xr:uid="{00000000-0005-0000-0000-000083780000}"/>
    <cellStyle name="Superscript 2 5 10 4" xfId="27897" xr:uid="{00000000-0005-0000-0000-000084780000}"/>
    <cellStyle name="Superscript 2 5 10 4 2" xfId="27898" xr:uid="{00000000-0005-0000-0000-000085780000}"/>
    <cellStyle name="Superscript 2 5 10 5" xfId="27899" xr:uid="{00000000-0005-0000-0000-000086780000}"/>
    <cellStyle name="Superscript 2 5 10 5 2" xfId="27900" xr:uid="{00000000-0005-0000-0000-000087780000}"/>
    <cellStyle name="Superscript 2 5 10 6" xfId="27901" xr:uid="{00000000-0005-0000-0000-000088780000}"/>
    <cellStyle name="Superscript 2 5 10 6 2" xfId="27902" xr:uid="{00000000-0005-0000-0000-000089780000}"/>
    <cellStyle name="Superscript 2 5 10 7" xfId="27903" xr:uid="{00000000-0005-0000-0000-00008A780000}"/>
    <cellStyle name="Superscript 2 5 10 7 2" xfId="27904" xr:uid="{00000000-0005-0000-0000-00008B780000}"/>
    <cellStyle name="Superscript 2 5 10 8" xfId="27905" xr:uid="{00000000-0005-0000-0000-00008C780000}"/>
    <cellStyle name="Superscript 2 5 10 8 2" xfId="27906" xr:uid="{00000000-0005-0000-0000-00008D780000}"/>
    <cellStyle name="Superscript 2 5 10 9" xfId="27907" xr:uid="{00000000-0005-0000-0000-00008E780000}"/>
    <cellStyle name="Superscript 2 5 11" xfId="27908" xr:uid="{00000000-0005-0000-0000-00008F780000}"/>
    <cellStyle name="Superscript 2 5 11 2" xfId="27909" xr:uid="{00000000-0005-0000-0000-000090780000}"/>
    <cellStyle name="Superscript 2 5 12" xfId="27910" xr:uid="{00000000-0005-0000-0000-000091780000}"/>
    <cellStyle name="Superscript 2 5 12 2" xfId="27911" xr:uid="{00000000-0005-0000-0000-000092780000}"/>
    <cellStyle name="Superscript 2 5 13" xfId="27912" xr:uid="{00000000-0005-0000-0000-000093780000}"/>
    <cellStyle name="Superscript 2 5 13 2" xfId="27913" xr:uid="{00000000-0005-0000-0000-000094780000}"/>
    <cellStyle name="Superscript 2 5 14" xfId="27914" xr:uid="{00000000-0005-0000-0000-000095780000}"/>
    <cellStyle name="Superscript 2 5 14 2" xfId="27915" xr:uid="{00000000-0005-0000-0000-000096780000}"/>
    <cellStyle name="Superscript 2 5 15" xfId="27916" xr:uid="{00000000-0005-0000-0000-000097780000}"/>
    <cellStyle name="Superscript 2 5 15 2" xfId="27917" xr:uid="{00000000-0005-0000-0000-000098780000}"/>
    <cellStyle name="Superscript 2 5 16" xfId="27918" xr:uid="{00000000-0005-0000-0000-000099780000}"/>
    <cellStyle name="Superscript 2 5 16 2" xfId="27919" xr:uid="{00000000-0005-0000-0000-00009A780000}"/>
    <cellStyle name="Superscript 2 5 17" xfId="27920" xr:uid="{00000000-0005-0000-0000-00009B780000}"/>
    <cellStyle name="Superscript 2 5 17 2" xfId="27921" xr:uid="{00000000-0005-0000-0000-00009C780000}"/>
    <cellStyle name="Superscript 2 5 18" xfId="27922" xr:uid="{00000000-0005-0000-0000-00009D780000}"/>
    <cellStyle name="Superscript 2 5 2" xfId="27923" xr:uid="{00000000-0005-0000-0000-00009E780000}"/>
    <cellStyle name="Superscript 2 5 2 10" xfId="27924" xr:uid="{00000000-0005-0000-0000-00009F780000}"/>
    <cellStyle name="Superscript 2 5 2 2" xfId="27925" xr:uid="{00000000-0005-0000-0000-0000A0780000}"/>
    <cellStyle name="Superscript 2 5 2 2 2" xfId="27926" xr:uid="{00000000-0005-0000-0000-0000A1780000}"/>
    <cellStyle name="Superscript 2 5 2 3" xfId="27927" xr:uid="{00000000-0005-0000-0000-0000A2780000}"/>
    <cellStyle name="Superscript 2 5 2 3 2" xfId="27928" xr:uid="{00000000-0005-0000-0000-0000A3780000}"/>
    <cellStyle name="Superscript 2 5 2 4" xfId="27929" xr:uid="{00000000-0005-0000-0000-0000A4780000}"/>
    <cellStyle name="Superscript 2 5 2 4 2" xfId="27930" xr:uid="{00000000-0005-0000-0000-0000A5780000}"/>
    <cellStyle name="Superscript 2 5 2 5" xfId="27931" xr:uid="{00000000-0005-0000-0000-0000A6780000}"/>
    <cellStyle name="Superscript 2 5 2 5 2" xfId="27932" xr:uid="{00000000-0005-0000-0000-0000A7780000}"/>
    <cellStyle name="Superscript 2 5 2 6" xfId="27933" xr:uid="{00000000-0005-0000-0000-0000A8780000}"/>
    <cellStyle name="Superscript 2 5 2 6 2" xfId="27934" xr:uid="{00000000-0005-0000-0000-0000A9780000}"/>
    <cellStyle name="Superscript 2 5 2 7" xfId="27935" xr:uid="{00000000-0005-0000-0000-0000AA780000}"/>
    <cellStyle name="Superscript 2 5 2 7 2" xfId="27936" xr:uid="{00000000-0005-0000-0000-0000AB780000}"/>
    <cellStyle name="Superscript 2 5 2 8" xfId="27937" xr:uid="{00000000-0005-0000-0000-0000AC780000}"/>
    <cellStyle name="Superscript 2 5 2 8 2" xfId="27938" xr:uid="{00000000-0005-0000-0000-0000AD780000}"/>
    <cellStyle name="Superscript 2 5 2 9" xfId="27939" xr:uid="{00000000-0005-0000-0000-0000AE780000}"/>
    <cellStyle name="Superscript 2 5 2 9 2" xfId="27940" xr:uid="{00000000-0005-0000-0000-0000AF780000}"/>
    <cellStyle name="Superscript 2 5 3" xfId="27941" xr:uid="{00000000-0005-0000-0000-0000B0780000}"/>
    <cellStyle name="Superscript 2 5 3 10" xfId="27942" xr:uid="{00000000-0005-0000-0000-0000B1780000}"/>
    <cellStyle name="Superscript 2 5 3 2" xfId="27943" xr:uid="{00000000-0005-0000-0000-0000B2780000}"/>
    <cellStyle name="Superscript 2 5 3 2 2" xfId="27944" xr:uid="{00000000-0005-0000-0000-0000B3780000}"/>
    <cellStyle name="Superscript 2 5 3 3" xfId="27945" xr:uid="{00000000-0005-0000-0000-0000B4780000}"/>
    <cellStyle name="Superscript 2 5 3 3 2" xfId="27946" xr:uid="{00000000-0005-0000-0000-0000B5780000}"/>
    <cellStyle name="Superscript 2 5 3 4" xfId="27947" xr:uid="{00000000-0005-0000-0000-0000B6780000}"/>
    <cellStyle name="Superscript 2 5 3 4 2" xfId="27948" xr:uid="{00000000-0005-0000-0000-0000B7780000}"/>
    <cellStyle name="Superscript 2 5 3 5" xfId="27949" xr:uid="{00000000-0005-0000-0000-0000B8780000}"/>
    <cellStyle name="Superscript 2 5 3 5 2" xfId="27950" xr:uid="{00000000-0005-0000-0000-0000B9780000}"/>
    <cellStyle name="Superscript 2 5 3 6" xfId="27951" xr:uid="{00000000-0005-0000-0000-0000BA780000}"/>
    <cellStyle name="Superscript 2 5 3 6 2" xfId="27952" xr:uid="{00000000-0005-0000-0000-0000BB780000}"/>
    <cellStyle name="Superscript 2 5 3 7" xfId="27953" xr:uid="{00000000-0005-0000-0000-0000BC780000}"/>
    <cellStyle name="Superscript 2 5 3 7 2" xfId="27954" xr:uid="{00000000-0005-0000-0000-0000BD780000}"/>
    <cellStyle name="Superscript 2 5 3 8" xfId="27955" xr:uid="{00000000-0005-0000-0000-0000BE780000}"/>
    <cellStyle name="Superscript 2 5 3 8 2" xfId="27956" xr:uid="{00000000-0005-0000-0000-0000BF780000}"/>
    <cellStyle name="Superscript 2 5 3 9" xfId="27957" xr:uid="{00000000-0005-0000-0000-0000C0780000}"/>
    <cellStyle name="Superscript 2 5 3 9 2" xfId="27958" xr:uid="{00000000-0005-0000-0000-0000C1780000}"/>
    <cellStyle name="Superscript 2 5 4" xfId="27959" xr:uid="{00000000-0005-0000-0000-0000C2780000}"/>
    <cellStyle name="Superscript 2 5 4 10" xfId="27960" xr:uid="{00000000-0005-0000-0000-0000C3780000}"/>
    <cellStyle name="Superscript 2 5 4 2" xfId="27961" xr:uid="{00000000-0005-0000-0000-0000C4780000}"/>
    <cellStyle name="Superscript 2 5 4 2 2" xfId="27962" xr:uid="{00000000-0005-0000-0000-0000C5780000}"/>
    <cellStyle name="Superscript 2 5 4 3" xfId="27963" xr:uid="{00000000-0005-0000-0000-0000C6780000}"/>
    <cellStyle name="Superscript 2 5 4 3 2" xfId="27964" xr:uid="{00000000-0005-0000-0000-0000C7780000}"/>
    <cellStyle name="Superscript 2 5 4 4" xfId="27965" xr:uid="{00000000-0005-0000-0000-0000C8780000}"/>
    <cellStyle name="Superscript 2 5 4 4 2" xfId="27966" xr:uid="{00000000-0005-0000-0000-0000C9780000}"/>
    <cellStyle name="Superscript 2 5 4 5" xfId="27967" xr:uid="{00000000-0005-0000-0000-0000CA780000}"/>
    <cellStyle name="Superscript 2 5 4 5 2" xfId="27968" xr:uid="{00000000-0005-0000-0000-0000CB780000}"/>
    <cellStyle name="Superscript 2 5 4 6" xfId="27969" xr:uid="{00000000-0005-0000-0000-0000CC780000}"/>
    <cellStyle name="Superscript 2 5 4 6 2" xfId="27970" xr:uid="{00000000-0005-0000-0000-0000CD780000}"/>
    <cellStyle name="Superscript 2 5 4 7" xfId="27971" xr:uid="{00000000-0005-0000-0000-0000CE780000}"/>
    <cellStyle name="Superscript 2 5 4 7 2" xfId="27972" xr:uid="{00000000-0005-0000-0000-0000CF780000}"/>
    <cellStyle name="Superscript 2 5 4 8" xfId="27973" xr:uid="{00000000-0005-0000-0000-0000D0780000}"/>
    <cellStyle name="Superscript 2 5 4 8 2" xfId="27974" xr:uid="{00000000-0005-0000-0000-0000D1780000}"/>
    <cellStyle name="Superscript 2 5 4 9" xfId="27975" xr:uid="{00000000-0005-0000-0000-0000D2780000}"/>
    <cellStyle name="Superscript 2 5 4 9 2" xfId="27976" xr:uid="{00000000-0005-0000-0000-0000D3780000}"/>
    <cellStyle name="Superscript 2 5 5" xfId="27977" xr:uid="{00000000-0005-0000-0000-0000D4780000}"/>
    <cellStyle name="Superscript 2 5 5 10" xfId="27978" xr:uid="{00000000-0005-0000-0000-0000D5780000}"/>
    <cellStyle name="Superscript 2 5 5 2" xfId="27979" xr:uid="{00000000-0005-0000-0000-0000D6780000}"/>
    <cellStyle name="Superscript 2 5 5 2 2" xfId="27980" xr:uid="{00000000-0005-0000-0000-0000D7780000}"/>
    <cellStyle name="Superscript 2 5 5 3" xfId="27981" xr:uid="{00000000-0005-0000-0000-0000D8780000}"/>
    <cellStyle name="Superscript 2 5 5 3 2" xfId="27982" xr:uid="{00000000-0005-0000-0000-0000D9780000}"/>
    <cellStyle name="Superscript 2 5 5 4" xfId="27983" xr:uid="{00000000-0005-0000-0000-0000DA780000}"/>
    <cellStyle name="Superscript 2 5 5 4 2" xfId="27984" xr:uid="{00000000-0005-0000-0000-0000DB780000}"/>
    <cellStyle name="Superscript 2 5 5 5" xfId="27985" xr:uid="{00000000-0005-0000-0000-0000DC780000}"/>
    <cellStyle name="Superscript 2 5 5 5 2" xfId="27986" xr:uid="{00000000-0005-0000-0000-0000DD780000}"/>
    <cellStyle name="Superscript 2 5 5 6" xfId="27987" xr:uid="{00000000-0005-0000-0000-0000DE780000}"/>
    <cellStyle name="Superscript 2 5 5 6 2" xfId="27988" xr:uid="{00000000-0005-0000-0000-0000DF780000}"/>
    <cellStyle name="Superscript 2 5 5 7" xfId="27989" xr:uid="{00000000-0005-0000-0000-0000E0780000}"/>
    <cellStyle name="Superscript 2 5 5 7 2" xfId="27990" xr:uid="{00000000-0005-0000-0000-0000E1780000}"/>
    <cellStyle name="Superscript 2 5 5 8" xfId="27991" xr:uid="{00000000-0005-0000-0000-0000E2780000}"/>
    <cellStyle name="Superscript 2 5 5 8 2" xfId="27992" xr:uid="{00000000-0005-0000-0000-0000E3780000}"/>
    <cellStyle name="Superscript 2 5 5 9" xfId="27993" xr:uid="{00000000-0005-0000-0000-0000E4780000}"/>
    <cellStyle name="Superscript 2 5 5 9 2" xfId="27994" xr:uid="{00000000-0005-0000-0000-0000E5780000}"/>
    <cellStyle name="Superscript 2 5 6" xfId="27995" xr:uid="{00000000-0005-0000-0000-0000E6780000}"/>
    <cellStyle name="Superscript 2 5 6 10" xfId="27996" xr:uid="{00000000-0005-0000-0000-0000E7780000}"/>
    <cellStyle name="Superscript 2 5 6 2" xfId="27997" xr:uid="{00000000-0005-0000-0000-0000E8780000}"/>
    <cellStyle name="Superscript 2 5 6 2 2" xfId="27998" xr:uid="{00000000-0005-0000-0000-0000E9780000}"/>
    <cellStyle name="Superscript 2 5 6 3" xfId="27999" xr:uid="{00000000-0005-0000-0000-0000EA780000}"/>
    <cellStyle name="Superscript 2 5 6 3 2" xfId="28000" xr:uid="{00000000-0005-0000-0000-0000EB780000}"/>
    <cellStyle name="Superscript 2 5 6 4" xfId="28001" xr:uid="{00000000-0005-0000-0000-0000EC780000}"/>
    <cellStyle name="Superscript 2 5 6 4 2" xfId="28002" xr:uid="{00000000-0005-0000-0000-0000ED780000}"/>
    <cellStyle name="Superscript 2 5 6 5" xfId="28003" xr:uid="{00000000-0005-0000-0000-0000EE780000}"/>
    <cellStyle name="Superscript 2 5 6 5 2" xfId="28004" xr:uid="{00000000-0005-0000-0000-0000EF780000}"/>
    <cellStyle name="Superscript 2 5 6 6" xfId="28005" xr:uid="{00000000-0005-0000-0000-0000F0780000}"/>
    <cellStyle name="Superscript 2 5 6 6 2" xfId="28006" xr:uid="{00000000-0005-0000-0000-0000F1780000}"/>
    <cellStyle name="Superscript 2 5 6 7" xfId="28007" xr:uid="{00000000-0005-0000-0000-0000F2780000}"/>
    <cellStyle name="Superscript 2 5 6 7 2" xfId="28008" xr:uid="{00000000-0005-0000-0000-0000F3780000}"/>
    <cellStyle name="Superscript 2 5 6 8" xfId="28009" xr:uid="{00000000-0005-0000-0000-0000F4780000}"/>
    <cellStyle name="Superscript 2 5 6 8 2" xfId="28010" xr:uid="{00000000-0005-0000-0000-0000F5780000}"/>
    <cellStyle name="Superscript 2 5 6 9" xfId="28011" xr:uid="{00000000-0005-0000-0000-0000F6780000}"/>
    <cellStyle name="Superscript 2 5 6 9 2" xfId="28012" xr:uid="{00000000-0005-0000-0000-0000F7780000}"/>
    <cellStyle name="Superscript 2 5 7" xfId="28013" xr:uid="{00000000-0005-0000-0000-0000F8780000}"/>
    <cellStyle name="Superscript 2 5 7 10" xfId="28014" xr:uid="{00000000-0005-0000-0000-0000F9780000}"/>
    <cellStyle name="Superscript 2 5 7 2" xfId="28015" xr:uid="{00000000-0005-0000-0000-0000FA780000}"/>
    <cellStyle name="Superscript 2 5 7 2 2" xfId="28016" xr:uid="{00000000-0005-0000-0000-0000FB780000}"/>
    <cellStyle name="Superscript 2 5 7 3" xfId="28017" xr:uid="{00000000-0005-0000-0000-0000FC780000}"/>
    <cellStyle name="Superscript 2 5 7 3 2" xfId="28018" xr:uid="{00000000-0005-0000-0000-0000FD780000}"/>
    <cellStyle name="Superscript 2 5 7 4" xfId="28019" xr:uid="{00000000-0005-0000-0000-0000FE780000}"/>
    <cellStyle name="Superscript 2 5 7 4 2" xfId="28020" xr:uid="{00000000-0005-0000-0000-0000FF780000}"/>
    <cellStyle name="Superscript 2 5 7 5" xfId="28021" xr:uid="{00000000-0005-0000-0000-000000790000}"/>
    <cellStyle name="Superscript 2 5 7 5 2" xfId="28022" xr:uid="{00000000-0005-0000-0000-000001790000}"/>
    <cellStyle name="Superscript 2 5 7 6" xfId="28023" xr:uid="{00000000-0005-0000-0000-000002790000}"/>
    <cellStyle name="Superscript 2 5 7 6 2" xfId="28024" xr:uid="{00000000-0005-0000-0000-000003790000}"/>
    <cellStyle name="Superscript 2 5 7 7" xfId="28025" xr:uid="{00000000-0005-0000-0000-000004790000}"/>
    <cellStyle name="Superscript 2 5 7 7 2" xfId="28026" xr:uid="{00000000-0005-0000-0000-000005790000}"/>
    <cellStyle name="Superscript 2 5 7 8" xfId="28027" xr:uid="{00000000-0005-0000-0000-000006790000}"/>
    <cellStyle name="Superscript 2 5 7 8 2" xfId="28028" xr:uid="{00000000-0005-0000-0000-000007790000}"/>
    <cellStyle name="Superscript 2 5 7 9" xfId="28029" xr:uid="{00000000-0005-0000-0000-000008790000}"/>
    <cellStyle name="Superscript 2 5 7 9 2" xfId="28030" xr:uid="{00000000-0005-0000-0000-000009790000}"/>
    <cellStyle name="Superscript 2 5 8" xfId="28031" xr:uid="{00000000-0005-0000-0000-00000A790000}"/>
    <cellStyle name="Superscript 2 5 8 10" xfId="28032" xr:uid="{00000000-0005-0000-0000-00000B790000}"/>
    <cellStyle name="Superscript 2 5 8 2" xfId="28033" xr:uid="{00000000-0005-0000-0000-00000C790000}"/>
    <cellStyle name="Superscript 2 5 8 2 2" xfId="28034" xr:uid="{00000000-0005-0000-0000-00000D790000}"/>
    <cellStyle name="Superscript 2 5 8 3" xfId="28035" xr:uid="{00000000-0005-0000-0000-00000E790000}"/>
    <cellStyle name="Superscript 2 5 8 3 2" xfId="28036" xr:uid="{00000000-0005-0000-0000-00000F790000}"/>
    <cellStyle name="Superscript 2 5 8 4" xfId="28037" xr:uid="{00000000-0005-0000-0000-000010790000}"/>
    <cellStyle name="Superscript 2 5 8 4 2" xfId="28038" xr:uid="{00000000-0005-0000-0000-000011790000}"/>
    <cellStyle name="Superscript 2 5 8 5" xfId="28039" xr:uid="{00000000-0005-0000-0000-000012790000}"/>
    <cellStyle name="Superscript 2 5 8 5 2" xfId="28040" xr:uid="{00000000-0005-0000-0000-000013790000}"/>
    <cellStyle name="Superscript 2 5 8 6" xfId="28041" xr:uid="{00000000-0005-0000-0000-000014790000}"/>
    <cellStyle name="Superscript 2 5 8 6 2" xfId="28042" xr:uid="{00000000-0005-0000-0000-000015790000}"/>
    <cellStyle name="Superscript 2 5 8 7" xfId="28043" xr:uid="{00000000-0005-0000-0000-000016790000}"/>
    <cellStyle name="Superscript 2 5 8 7 2" xfId="28044" xr:uid="{00000000-0005-0000-0000-000017790000}"/>
    <cellStyle name="Superscript 2 5 8 8" xfId="28045" xr:uid="{00000000-0005-0000-0000-000018790000}"/>
    <cellStyle name="Superscript 2 5 8 8 2" xfId="28046" xr:uid="{00000000-0005-0000-0000-000019790000}"/>
    <cellStyle name="Superscript 2 5 8 9" xfId="28047" xr:uid="{00000000-0005-0000-0000-00001A790000}"/>
    <cellStyle name="Superscript 2 5 8 9 2" xfId="28048" xr:uid="{00000000-0005-0000-0000-00001B790000}"/>
    <cellStyle name="Superscript 2 5 9" xfId="28049" xr:uid="{00000000-0005-0000-0000-00001C790000}"/>
    <cellStyle name="Superscript 2 5 9 10" xfId="28050" xr:uid="{00000000-0005-0000-0000-00001D790000}"/>
    <cellStyle name="Superscript 2 5 9 2" xfId="28051" xr:uid="{00000000-0005-0000-0000-00001E790000}"/>
    <cellStyle name="Superscript 2 5 9 2 2" xfId="28052" xr:uid="{00000000-0005-0000-0000-00001F790000}"/>
    <cellStyle name="Superscript 2 5 9 3" xfId="28053" xr:uid="{00000000-0005-0000-0000-000020790000}"/>
    <cellStyle name="Superscript 2 5 9 3 2" xfId="28054" xr:uid="{00000000-0005-0000-0000-000021790000}"/>
    <cellStyle name="Superscript 2 5 9 4" xfId="28055" xr:uid="{00000000-0005-0000-0000-000022790000}"/>
    <cellStyle name="Superscript 2 5 9 4 2" xfId="28056" xr:uid="{00000000-0005-0000-0000-000023790000}"/>
    <cellStyle name="Superscript 2 5 9 5" xfId="28057" xr:uid="{00000000-0005-0000-0000-000024790000}"/>
    <cellStyle name="Superscript 2 5 9 5 2" xfId="28058" xr:uid="{00000000-0005-0000-0000-000025790000}"/>
    <cellStyle name="Superscript 2 5 9 6" xfId="28059" xr:uid="{00000000-0005-0000-0000-000026790000}"/>
    <cellStyle name="Superscript 2 5 9 6 2" xfId="28060" xr:uid="{00000000-0005-0000-0000-000027790000}"/>
    <cellStyle name="Superscript 2 5 9 7" xfId="28061" xr:uid="{00000000-0005-0000-0000-000028790000}"/>
    <cellStyle name="Superscript 2 5 9 7 2" xfId="28062" xr:uid="{00000000-0005-0000-0000-000029790000}"/>
    <cellStyle name="Superscript 2 5 9 8" xfId="28063" xr:uid="{00000000-0005-0000-0000-00002A790000}"/>
    <cellStyle name="Superscript 2 5 9 8 2" xfId="28064" xr:uid="{00000000-0005-0000-0000-00002B790000}"/>
    <cellStyle name="Superscript 2 5 9 9" xfId="28065" xr:uid="{00000000-0005-0000-0000-00002C790000}"/>
    <cellStyle name="Superscript 2 5 9 9 2" xfId="28066" xr:uid="{00000000-0005-0000-0000-00002D790000}"/>
    <cellStyle name="Superscript 2 6" xfId="28067" xr:uid="{00000000-0005-0000-0000-00002E790000}"/>
    <cellStyle name="Superscript 2 6 10" xfId="28068" xr:uid="{00000000-0005-0000-0000-00002F790000}"/>
    <cellStyle name="Superscript 2 6 10 2" xfId="28069" xr:uid="{00000000-0005-0000-0000-000030790000}"/>
    <cellStyle name="Superscript 2 6 10 2 2" xfId="28070" xr:uid="{00000000-0005-0000-0000-000031790000}"/>
    <cellStyle name="Superscript 2 6 10 3" xfId="28071" xr:uid="{00000000-0005-0000-0000-000032790000}"/>
    <cellStyle name="Superscript 2 6 10 3 2" xfId="28072" xr:uid="{00000000-0005-0000-0000-000033790000}"/>
    <cellStyle name="Superscript 2 6 10 4" xfId="28073" xr:uid="{00000000-0005-0000-0000-000034790000}"/>
    <cellStyle name="Superscript 2 6 10 4 2" xfId="28074" xr:uid="{00000000-0005-0000-0000-000035790000}"/>
    <cellStyle name="Superscript 2 6 10 5" xfId="28075" xr:uid="{00000000-0005-0000-0000-000036790000}"/>
    <cellStyle name="Superscript 2 6 10 5 2" xfId="28076" xr:uid="{00000000-0005-0000-0000-000037790000}"/>
    <cellStyle name="Superscript 2 6 10 6" xfId="28077" xr:uid="{00000000-0005-0000-0000-000038790000}"/>
    <cellStyle name="Superscript 2 6 10 6 2" xfId="28078" xr:uid="{00000000-0005-0000-0000-000039790000}"/>
    <cellStyle name="Superscript 2 6 10 7" xfId="28079" xr:uid="{00000000-0005-0000-0000-00003A790000}"/>
    <cellStyle name="Superscript 2 6 10 7 2" xfId="28080" xr:uid="{00000000-0005-0000-0000-00003B790000}"/>
    <cellStyle name="Superscript 2 6 10 8" xfId="28081" xr:uid="{00000000-0005-0000-0000-00003C790000}"/>
    <cellStyle name="Superscript 2 6 10 8 2" xfId="28082" xr:uid="{00000000-0005-0000-0000-00003D790000}"/>
    <cellStyle name="Superscript 2 6 10 9" xfId="28083" xr:uid="{00000000-0005-0000-0000-00003E790000}"/>
    <cellStyle name="Superscript 2 6 11" xfId="28084" xr:uid="{00000000-0005-0000-0000-00003F790000}"/>
    <cellStyle name="Superscript 2 6 11 2" xfId="28085" xr:uid="{00000000-0005-0000-0000-000040790000}"/>
    <cellStyle name="Superscript 2 6 12" xfId="28086" xr:uid="{00000000-0005-0000-0000-000041790000}"/>
    <cellStyle name="Superscript 2 6 12 2" xfId="28087" xr:uid="{00000000-0005-0000-0000-000042790000}"/>
    <cellStyle name="Superscript 2 6 13" xfId="28088" xr:uid="{00000000-0005-0000-0000-000043790000}"/>
    <cellStyle name="Superscript 2 6 13 2" xfId="28089" xr:uid="{00000000-0005-0000-0000-000044790000}"/>
    <cellStyle name="Superscript 2 6 14" xfId="28090" xr:uid="{00000000-0005-0000-0000-000045790000}"/>
    <cellStyle name="Superscript 2 6 14 2" xfId="28091" xr:uid="{00000000-0005-0000-0000-000046790000}"/>
    <cellStyle name="Superscript 2 6 15" xfId="28092" xr:uid="{00000000-0005-0000-0000-000047790000}"/>
    <cellStyle name="Superscript 2 6 15 2" xfId="28093" xr:uid="{00000000-0005-0000-0000-000048790000}"/>
    <cellStyle name="Superscript 2 6 16" xfId="28094" xr:uid="{00000000-0005-0000-0000-000049790000}"/>
    <cellStyle name="Superscript 2 6 16 2" xfId="28095" xr:uid="{00000000-0005-0000-0000-00004A790000}"/>
    <cellStyle name="Superscript 2 6 17" xfId="28096" xr:uid="{00000000-0005-0000-0000-00004B790000}"/>
    <cellStyle name="Superscript 2 6 17 2" xfId="28097" xr:uid="{00000000-0005-0000-0000-00004C790000}"/>
    <cellStyle name="Superscript 2 6 18" xfId="28098" xr:uid="{00000000-0005-0000-0000-00004D790000}"/>
    <cellStyle name="Superscript 2 6 2" xfId="28099" xr:uid="{00000000-0005-0000-0000-00004E790000}"/>
    <cellStyle name="Superscript 2 6 2 10" xfId="28100" xr:uid="{00000000-0005-0000-0000-00004F790000}"/>
    <cellStyle name="Superscript 2 6 2 2" xfId="28101" xr:uid="{00000000-0005-0000-0000-000050790000}"/>
    <cellStyle name="Superscript 2 6 2 2 2" xfId="28102" xr:uid="{00000000-0005-0000-0000-000051790000}"/>
    <cellStyle name="Superscript 2 6 2 3" xfId="28103" xr:uid="{00000000-0005-0000-0000-000052790000}"/>
    <cellStyle name="Superscript 2 6 2 3 2" xfId="28104" xr:uid="{00000000-0005-0000-0000-000053790000}"/>
    <cellStyle name="Superscript 2 6 2 4" xfId="28105" xr:uid="{00000000-0005-0000-0000-000054790000}"/>
    <cellStyle name="Superscript 2 6 2 4 2" xfId="28106" xr:uid="{00000000-0005-0000-0000-000055790000}"/>
    <cellStyle name="Superscript 2 6 2 5" xfId="28107" xr:uid="{00000000-0005-0000-0000-000056790000}"/>
    <cellStyle name="Superscript 2 6 2 5 2" xfId="28108" xr:uid="{00000000-0005-0000-0000-000057790000}"/>
    <cellStyle name="Superscript 2 6 2 6" xfId="28109" xr:uid="{00000000-0005-0000-0000-000058790000}"/>
    <cellStyle name="Superscript 2 6 2 6 2" xfId="28110" xr:uid="{00000000-0005-0000-0000-000059790000}"/>
    <cellStyle name="Superscript 2 6 2 7" xfId="28111" xr:uid="{00000000-0005-0000-0000-00005A790000}"/>
    <cellStyle name="Superscript 2 6 2 7 2" xfId="28112" xr:uid="{00000000-0005-0000-0000-00005B790000}"/>
    <cellStyle name="Superscript 2 6 2 8" xfId="28113" xr:uid="{00000000-0005-0000-0000-00005C790000}"/>
    <cellStyle name="Superscript 2 6 2 8 2" xfId="28114" xr:uid="{00000000-0005-0000-0000-00005D790000}"/>
    <cellStyle name="Superscript 2 6 2 9" xfId="28115" xr:uid="{00000000-0005-0000-0000-00005E790000}"/>
    <cellStyle name="Superscript 2 6 2 9 2" xfId="28116" xr:uid="{00000000-0005-0000-0000-00005F790000}"/>
    <cellStyle name="Superscript 2 6 3" xfId="28117" xr:uid="{00000000-0005-0000-0000-000060790000}"/>
    <cellStyle name="Superscript 2 6 3 10" xfId="28118" xr:uid="{00000000-0005-0000-0000-000061790000}"/>
    <cellStyle name="Superscript 2 6 3 2" xfId="28119" xr:uid="{00000000-0005-0000-0000-000062790000}"/>
    <cellStyle name="Superscript 2 6 3 2 2" xfId="28120" xr:uid="{00000000-0005-0000-0000-000063790000}"/>
    <cellStyle name="Superscript 2 6 3 3" xfId="28121" xr:uid="{00000000-0005-0000-0000-000064790000}"/>
    <cellStyle name="Superscript 2 6 3 3 2" xfId="28122" xr:uid="{00000000-0005-0000-0000-000065790000}"/>
    <cellStyle name="Superscript 2 6 3 4" xfId="28123" xr:uid="{00000000-0005-0000-0000-000066790000}"/>
    <cellStyle name="Superscript 2 6 3 4 2" xfId="28124" xr:uid="{00000000-0005-0000-0000-000067790000}"/>
    <cellStyle name="Superscript 2 6 3 5" xfId="28125" xr:uid="{00000000-0005-0000-0000-000068790000}"/>
    <cellStyle name="Superscript 2 6 3 5 2" xfId="28126" xr:uid="{00000000-0005-0000-0000-000069790000}"/>
    <cellStyle name="Superscript 2 6 3 6" xfId="28127" xr:uid="{00000000-0005-0000-0000-00006A790000}"/>
    <cellStyle name="Superscript 2 6 3 6 2" xfId="28128" xr:uid="{00000000-0005-0000-0000-00006B790000}"/>
    <cellStyle name="Superscript 2 6 3 7" xfId="28129" xr:uid="{00000000-0005-0000-0000-00006C790000}"/>
    <cellStyle name="Superscript 2 6 3 7 2" xfId="28130" xr:uid="{00000000-0005-0000-0000-00006D790000}"/>
    <cellStyle name="Superscript 2 6 3 8" xfId="28131" xr:uid="{00000000-0005-0000-0000-00006E790000}"/>
    <cellStyle name="Superscript 2 6 3 8 2" xfId="28132" xr:uid="{00000000-0005-0000-0000-00006F790000}"/>
    <cellStyle name="Superscript 2 6 3 9" xfId="28133" xr:uid="{00000000-0005-0000-0000-000070790000}"/>
    <cellStyle name="Superscript 2 6 3 9 2" xfId="28134" xr:uid="{00000000-0005-0000-0000-000071790000}"/>
    <cellStyle name="Superscript 2 6 4" xfId="28135" xr:uid="{00000000-0005-0000-0000-000072790000}"/>
    <cellStyle name="Superscript 2 6 4 10" xfId="28136" xr:uid="{00000000-0005-0000-0000-000073790000}"/>
    <cellStyle name="Superscript 2 6 4 2" xfId="28137" xr:uid="{00000000-0005-0000-0000-000074790000}"/>
    <cellStyle name="Superscript 2 6 4 2 2" xfId="28138" xr:uid="{00000000-0005-0000-0000-000075790000}"/>
    <cellStyle name="Superscript 2 6 4 3" xfId="28139" xr:uid="{00000000-0005-0000-0000-000076790000}"/>
    <cellStyle name="Superscript 2 6 4 3 2" xfId="28140" xr:uid="{00000000-0005-0000-0000-000077790000}"/>
    <cellStyle name="Superscript 2 6 4 4" xfId="28141" xr:uid="{00000000-0005-0000-0000-000078790000}"/>
    <cellStyle name="Superscript 2 6 4 4 2" xfId="28142" xr:uid="{00000000-0005-0000-0000-000079790000}"/>
    <cellStyle name="Superscript 2 6 4 5" xfId="28143" xr:uid="{00000000-0005-0000-0000-00007A790000}"/>
    <cellStyle name="Superscript 2 6 4 5 2" xfId="28144" xr:uid="{00000000-0005-0000-0000-00007B790000}"/>
    <cellStyle name="Superscript 2 6 4 6" xfId="28145" xr:uid="{00000000-0005-0000-0000-00007C790000}"/>
    <cellStyle name="Superscript 2 6 4 6 2" xfId="28146" xr:uid="{00000000-0005-0000-0000-00007D790000}"/>
    <cellStyle name="Superscript 2 6 4 7" xfId="28147" xr:uid="{00000000-0005-0000-0000-00007E790000}"/>
    <cellStyle name="Superscript 2 6 4 7 2" xfId="28148" xr:uid="{00000000-0005-0000-0000-00007F790000}"/>
    <cellStyle name="Superscript 2 6 4 8" xfId="28149" xr:uid="{00000000-0005-0000-0000-000080790000}"/>
    <cellStyle name="Superscript 2 6 4 8 2" xfId="28150" xr:uid="{00000000-0005-0000-0000-000081790000}"/>
    <cellStyle name="Superscript 2 6 4 9" xfId="28151" xr:uid="{00000000-0005-0000-0000-000082790000}"/>
    <cellStyle name="Superscript 2 6 4 9 2" xfId="28152" xr:uid="{00000000-0005-0000-0000-000083790000}"/>
    <cellStyle name="Superscript 2 6 5" xfId="28153" xr:uid="{00000000-0005-0000-0000-000084790000}"/>
    <cellStyle name="Superscript 2 6 5 10" xfId="28154" xr:uid="{00000000-0005-0000-0000-000085790000}"/>
    <cellStyle name="Superscript 2 6 5 2" xfId="28155" xr:uid="{00000000-0005-0000-0000-000086790000}"/>
    <cellStyle name="Superscript 2 6 5 2 2" xfId="28156" xr:uid="{00000000-0005-0000-0000-000087790000}"/>
    <cellStyle name="Superscript 2 6 5 3" xfId="28157" xr:uid="{00000000-0005-0000-0000-000088790000}"/>
    <cellStyle name="Superscript 2 6 5 3 2" xfId="28158" xr:uid="{00000000-0005-0000-0000-000089790000}"/>
    <cellStyle name="Superscript 2 6 5 4" xfId="28159" xr:uid="{00000000-0005-0000-0000-00008A790000}"/>
    <cellStyle name="Superscript 2 6 5 4 2" xfId="28160" xr:uid="{00000000-0005-0000-0000-00008B790000}"/>
    <cellStyle name="Superscript 2 6 5 5" xfId="28161" xr:uid="{00000000-0005-0000-0000-00008C790000}"/>
    <cellStyle name="Superscript 2 6 5 5 2" xfId="28162" xr:uid="{00000000-0005-0000-0000-00008D790000}"/>
    <cellStyle name="Superscript 2 6 5 6" xfId="28163" xr:uid="{00000000-0005-0000-0000-00008E790000}"/>
    <cellStyle name="Superscript 2 6 5 6 2" xfId="28164" xr:uid="{00000000-0005-0000-0000-00008F790000}"/>
    <cellStyle name="Superscript 2 6 5 7" xfId="28165" xr:uid="{00000000-0005-0000-0000-000090790000}"/>
    <cellStyle name="Superscript 2 6 5 7 2" xfId="28166" xr:uid="{00000000-0005-0000-0000-000091790000}"/>
    <cellStyle name="Superscript 2 6 5 8" xfId="28167" xr:uid="{00000000-0005-0000-0000-000092790000}"/>
    <cellStyle name="Superscript 2 6 5 8 2" xfId="28168" xr:uid="{00000000-0005-0000-0000-000093790000}"/>
    <cellStyle name="Superscript 2 6 5 9" xfId="28169" xr:uid="{00000000-0005-0000-0000-000094790000}"/>
    <cellStyle name="Superscript 2 6 5 9 2" xfId="28170" xr:uid="{00000000-0005-0000-0000-000095790000}"/>
    <cellStyle name="Superscript 2 6 6" xfId="28171" xr:uid="{00000000-0005-0000-0000-000096790000}"/>
    <cellStyle name="Superscript 2 6 6 10" xfId="28172" xr:uid="{00000000-0005-0000-0000-000097790000}"/>
    <cellStyle name="Superscript 2 6 6 2" xfId="28173" xr:uid="{00000000-0005-0000-0000-000098790000}"/>
    <cellStyle name="Superscript 2 6 6 2 2" xfId="28174" xr:uid="{00000000-0005-0000-0000-000099790000}"/>
    <cellStyle name="Superscript 2 6 6 3" xfId="28175" xr:uid="{00000000-0005-0000-0000-00009A790000}"/>
    <cellStyle name="Superscript 2 6 6 3 2" xfId="28176" xr:uid="{00000000-0005-0000-0000-00009B790000}"/>
    <cellStyle name="Superscript 2 6 6 4" xfId="28177" xr:uid="{00000000-0005-0000-0000-00009C790000}"/>
    <cellStyle name="Superscript 2 6 6 4 2" xfId="28178" xr:uid="{00000000-0005-0000-0000-00009D790000}"/>
    <cellStyle name="Superscript 2 6 6 5" xfId="28179" xr:uid="{00000000-0005-0000-0000-00009E790000}"/>
    <cellStyle name="Superscript 2 6 6 5 2" xfId="28180" xr:uid="{00000000-0005-0000-0000-00009F790000}"/>
    <cellStyle name="Superscript 2 6 6 6" xfId="28181" xr:uid="{00000000-0005-0000-0000-0000A0790000}"/>
    <cellStyle name="Superscript 2 6 6 6 2" xfId="28182" xr:uid="{00000000-0005-0000-0000-0000A1790000}"/>
    <cellStyle name="Superscript 2 6 6 7" xfId="28183" xr:uid="{00000000-0005-0000-0000-0000A2790000}"/>
    <cellStyle name="Superscript 2 6 6 7 2" xfId="28184" xr:uid="{00000000-0005-0000-0000-0000A3790000}"/>
    <cellStyle name="Superscript 2 6 6 8" xfId="28185" xr:uid="{00000000-0005-0000-0000-0000A4790000}"/>
    <cellStyle name="Superscript 2 6 6 8 2" xfId="28186" xr:uid="{00000000-0005-0000-0000-0000A5790000}"/>
    <cellStyle name="Superscript 2 6 6 9" xfId="28187" xr:uid="{00000000-0005-0000-0000-0000A6790000}"/>
    <cellStyle name="Superscript 2 6 6 9 2" xfId="28188" xr:uid="{00000000-0005-0000-0000-0000A7790000}"/>
    <cellStyle name="Superscript 2 6 7" xfId="28189" xr:uid="{00000000-0005-0000-0000-0000A8790000}"/>
    <cellStyle name="Superscript 2 6 7 10" xfId="28190" xr:uid="{00000000-0005-0000-0000-0000A9790000}"/>
    <cellStyle name="Superscript 2 6 7 2" xfId="28191" xr:uid="{00000000-0005-0000-0000-0000AA790000}"/>
    <cellStyle name="Superscript 2 6 7 2 2" xfId="28192" xr:uid="{00000000-0005-0000-0000-0000AB790000}"/>
    <cellStyle name="Superscript 2 6 7 3" xfId="28193" xr:uid="{00000000-0005-0000-0000-0000AC790000}"/>
    <cellStyle name="Superscript 2 6 7 3 2" xfId="28194" xr:uid="{00000000-0005-0000-0000-0000AD790000}"/>
    <cellStyle name="Superscript 2 6 7 4" xfId="28195" xr:uid="{00000000-0005-0000-0000-0000AE790000}"/>
    <cellStyle name="Superscript 2 6 7 4 2" xfId="28196" xr:uid="{00000000-0005-0000-0000-0000AF790000}"/>
    <cellStyle name="Superscript 2 6 7 5" xfId="28197" xr:uid="{00000000-0005-0000-0000-0000B0790000}"/>
    <cellStyle name="Superscript 2 6 7 5 2" xfId="28198" xr:uid="{00000000-0005-0000-0000-0000B1790000}"/>
    <cellStyle name="Superscript 2 6 7 6" xfId="28199" xr:uid="{00000000-0005-0000-0000-0000B2790000}"/>
    <cellStyle name="Superscript 2 6 7 6 2" xfId="28200" xr:uid="{00000000-0005-0000-0000-0000B3790000}"/>
    <cellStyle name="Superscript 2 6 7 7" xfId="28201" xr:uid="{00000000-0005-0000-0000-0000B4790000}"/>
    <cellStyle name="Superscript 2 6 7 7 2" xfId="28202" xr:uid="{00000000-0005-0000-0000-0000B5790000}"/>
    <cellStyle name="Superscript 2 6 7 8" xfId="28203" xr:uid="{00000000-0005-0000-0000-0000B6790000}"/>
    <cellStyle name="Superscript 2 6 7 8 2" xfId="28204" xr:uid="{00000000-0005-0000-0000-0000B7790000}"/>
    <cellStyle name="Superscript 2 6 7 9" xfId="28205" xr:uid="{00000000-0005-0000-0000-0000B8790000}"/>
    <cellStyle name="Superscript 2 6 7 9 2" xfId="28206" xr:uid="{00000000-0005-0000-0000-0000B9790000}"/>
    <cellStyle name="Superscript 2 6 8" xfId="28207" xr:uid="{00000000-0005-0000-0000-0000BA790000}"/>
    <cellStyle name="Superscript 2 6 8 10" xfId="28208" xr:uid="{00000000-0005-0000-0000-0000BB790000}"/>
    <cellStyle name="Superscript 2 6 8 2" xfId="28209" xr:uid="{00000000-0005-0000-0000-0000BC790000}"/>
    <cellStyle name="Superscript 2 6 8 2 2" xfId="28210" xr:uid="{00000000-0005-0000-0000-0000BD790000}"/>
    <cellStyle name="Superscript 2 6 8 3" xfId="28211" xr:uid="{00000000-0005-0000-0000-0000BE790000}"/>
    <cellStyle name="Superscript 2 6 8 3 2" xfId="28212" xr:uid="{00000000-0005-0000-0000-0000BF790000}"/>
    <cellStyle name="Superscript 2 6 8 4" xfId="28213" xr:uid="{00000000-0005-0000-0000-0000C0790000}"/>
    <cellStyle name="Superscript 2 6 8 4 2" xfId="28214" xr:uid="{00000000-0005-0000-0000-0000C1790000}"/>
    <cellStyle name="Superscript 2 6 8 5" xfId="28215" xr:uid="{00000000-0005-0000-0000-0000C2790000}"/>
    <cellStyle name="Superscript 2 6 8 5 2" xfId="28216" xr:uid="{00000000-0005-0000-0000-0000C3790000}"/>
    <cellStyle name="Superscript 2 6 8 6" xfId="28217" xr:uid="{00000000-0005-0000-0000-0000C4790000}"/>
    <cellStyle name="Superscript 2 6 8 6 2" xfId="28218" xr:uid="{00000000-0005-0000-0000-0000C5790000}"/>
    <cellStyle name="Superscript 2 6 8 7" xfId="28219" xr:uid="{00000000-0005-0000-0000-0000C6790000}"/>
    <cellStyle name="Superscript 2 6 8 7 2" xfId="28220" xr:uid="{00000000-0005-0000-0000-0000C7790000}"/>
    <cellStyle name="Superscript 2 6 8 8" xfId="28221" xr:uid="{00000000-0005-0000-0000-0000C8790000}"/>
    <cellStyle name="Superscript 2 6 8 8 2" xfId="28222" xr:uid="{00000000-0005-0000-0000-0000C9790000}"/>
    <cellStyle name="Superscript 2 6 8 9" xfId="28223" xr:uid="{00000000-0005-0000-0000-0000CA790000}"/>
    <cellStyle name="Superscript 2 6 8 9 2" xfId="28224" xr:uid="{00000000-0005-0000-0000-0000CB790000}"/>
    <cellStyle name="Superscript 2 6 9" xfId="28225" xr:uid="{00000000-0005-0000-0000-0000CC790000}"/>
    <cellStyle name="Superscript 2 6 9 10" xfId="28226" xr:uid="{00000000-0005-0000-0000-0000CD790000}"/>
    <cellStyle name="Superscript 2 6 9 2" xfId="28227" xr:uid="{00000000-0005-0000-0000-0000CE790000}"/>
    <cellStyle name="Superscript 2 6 9 2 2" xfId="28228" xr:uid="{00000000-0005-0000-0000-0000CF790000}"/>
    <cellStyle name="Superscript 2 6 9 3" xfId="28229" xr:uid="{00000000-0005-0000-0000-0000D0790000}"/>
    <cellStyle name="Superscript 2 6 9 3 2" xfId="28230" xr:uid="{00000000-0005-0000-0000-0000D1790000}"/>
    <cellStyle name="Superscript 2 6 9 4" xfId="28231" xr:uid="{00000000-0005-0000-0000-0000D2790000}"/>
    <cellStyle name="Superscript 2 6 9 4 2" xfId="28232" xr:uid="{00000000-0005-0000-0000-0000D3790000}"/>
    <cellStyle name="Superscript 2 6 9 5" xfId="28233" xr:uid="{00000000-0005-0000-0000-0000D4790000}"/>
    <cellStyle name="Superscript 2 6 9 5 2" xfId="28234" xr:uid="{00000000-0005-0000-0000-0000D5790000}"/>
    <cellStyle name="Superscript 2 6 9 6" xfId="28235" xr:uid="{00000000-0005-0000-0000-0000D6790000}"/>
    <cellStyle name="Superscript 2 6 9 6 2" xfId="28236" xr:uid="{00000000-0005-0000-0000-0000D7790000}"/>
    <cellStyle name="Superscript 2 6 9 7" xfId="28237" xr:uid="{00000000-0005-0000-0000-0000D8790000}"/>
    <cellStyle name="Superscript 2 6 9 7 2" xfId="28238" xr:uid="{00000000-0005-0000-0000-0000D9790000}"/>
    <cellStyle name="Superscript 2 6 9 8" xfId="28239" xr:uid="{00000000-0005-0000-0000-0000DA790000}"/>
    <cellStyle name="Superscript 2 6 9 8 2" xfId="28240" xr:uid="{00000000-0005-0000-0000-0000DB790000}"/>
    <cellStyle name="Superscript 2 6 9 9" xfId="28241" xr:uid="{00000000-0005-0000-0000-0000DC790000}"/>
    <cellStyle name="Superscript 2 6 9 9 2" xfId="28242" xr:uid="{00000000-0005-0000-0000-0000DD790000}"/>
    <cellStyle name="Superscript 2 7" xfId="28243" xr:uid="{00000000-0005-0000-0000-0000DE790000}"/>
    <cellStyle name="Superscript 2 7 10" xfId="28244" xr:uid="{00000000-0005-0000-0000-0000DF790000}"/>
    <cellStyle name="Superscript 2 7 10 2" xfId="28245" xr:uid="{00000000-0005-0000-0000-0000E0790000}"/>
    <cellStyle name="Superscript 2 7 10 2 2" xfId="28246" xr:uid="{00000000-0005-0000-0000-0000E1790000}"/>
    <cellStyle name="Superscript 2 7 10 3" xfId="28247" xr:uid="{00000000-0005-0000-0000-0000E2790000}"/>
    <cellStyle name="Superscript 2 7 10 3 2" xfId="28248" xr:uid="{00000000-0005-0000-0000-0000E3790000}"/>
    <cellStyle name="Superscript 2 7 10 4" xfId="28249" xr:uid="{00000000-0005-0000-0000-0000E4790000}"/>
    <cellStyle name="Superscript 2 7 10 4 2" xfId="28250" xr:uid="{00000000-0005-0000-0000-0000E5790000}"/>
    <cellStyle name="Superscript 2 7 10 5" xfId="28251" xr:uid="{00000000-0005-0000-0000-0000E6790000}"/>
    <cellStyle name="Superscript 2 7 10 5 2" xfId="28252" xr:uid="{00000000-0005-0000-0000-0000E7790000}"/>
    <cellStyle name="Superscript 2 7 10 6" xfId="28253" xr:uid="{00000000-0005-0000-0000-0000E8790000}"/>
    <cellStyle name="Superscript 2 7 10 6 2" xfId="28254" xr:uid="{00000000-0005-0000-0000-0000E9790000}"/>
    <cellStyle name="Superscript 2 7 10 7" xfId="28255" xr:uid="{00000000-0005-0000-0000-0000EA790000}"/>
    <cellStyle name="Superscript 2 7 10 7 2" xfId="28256" xr:uid="{00000000-0005-0000-0000-0000EB790000}"/>
    <cellStyle name="Superscript 2 7 10 8" xfId="28257" xr:uid="{00000000-0005-0000-0000-0000EC790000}"/>
    <cellStyle name="Superscript 2 7 10 8 2" xfId="28258" xr:uid="{00000000-0005-0000-0000-0000ED790000}"/>
    <cellStyle name="Superscript 2 7 10 9" xfId="28259" xr:uid="{00000000-0005-0000-0000-0000EE790000}"/>
    <cellStyle name="Superscript 2 7 11" xfId="28260" xr:uid="{00000000-0005-0000-0000-0000EF790000}"/>
    <cellStyle name="Superscript 2 7 11 2" xfId="28261" xr:uid="{00000000-0005-0000-0000-0000F0790000}"/>
    <cellStyle name="Superscript 2 7 12" xfId="28262" xr:uid="{00000000-0005-0000-0000-0000F1790000}"/>
    <cellStyle name="Superscript 2 7 12 2" xfId="28263" xr:uid="{00000000-0005-0000-0000-0000F2790000}"/>
    <cellStyle name="Superscript 2 7 13" xfId="28264" xr:uid="{00000000-0005-0000-0000-0000F3790000}"/>
    <cellStyle name="Superscript 2 7 13 2" xfId="28265" xr:uid="{00000000-0005-0000-0000-0000F4790000}"/>
    <cellStyle name="Superscript 2 7 14" xfId="28266" xr:uid="{00000000-0005-0000-0000-0000F5790000}"/>
    <cellStyle name="Superscript 2 7 14 2" xfId="28267" xr:uid="{00000000-0005-0000-0000-0000F6790000}"/>
    <cellStyle name="Superscript 2 7 15" xfId="28268" xr:uid="{00000000-0005-0000-0000-0000F7790000}"/>
    <cellStyle name="Superscript 2 7 15 2" xfId="28269" xr:uid="{00000000-0005-0000-0000-0000F8790000}"/>
    <cellStyle name="Superscript 2 7 16" xfId="28270" xr:uid="{00000000-0005-0000-0000-0000F9790000}"/>
    <cellStyle name="Superscript 2 7 16 2" xfId="28271" xr:uid="{00000000-0005-0000-0000-0000FA790000}"/>
    <cellStyle name="Superscript 2 7 17" xfId="28272" xr:uid="{00000000-0005-0000-0000-0000FB790000}"/>
    <cellStyle name="Superscript 2 7 17 2" xfId="28273" xr:uid="{00000000-0005-0000-0000-0000FC790000}"/>
    <cellStyle name="Superscript 2 7 18" xfId="28274" xr:uid="{00000000-0005-0000-0000-0000FD790000}"/>
    <cellStyle name="Superscript 2 7 2" xfId="28275" xr:uid="{00000000-0005-0000-0000-0000FE790000}"/>
    <cellStyle name="Superscript 2 7 2 10" xfId="28276" xr:uid="{00000000-0005-0000-0000-0000FF790000}"/>
    <cellStyle name="Superscript 2 7 2 2" xfId="28277" xr:uid="{00000000-0005-0000-0000-0000007A0000}"/>
    <cellStyle name="Superscript 2 7 2 2 2" xfId="28278" xr:uid="{00000000-0005-0000-0000-0000017A0000}"/>
    <cellStyle name="Superscript 2 7 2 3" xfId="28279" xr:uid="{00000000-0005-0000-0000-0000027A0000}"/>
    <cellStyle name="Superscript 2 7 2 3 2" xfId="28280" xr:uid="{00000000-0005-0000-0000-0000037A0000}"/>
    <cellStyle name="Superscript 2 7 2 4" xfId="28281" xr:uid="{00000000-0005-0000-0000-0000047A0000}"/>
    <cellStyle name="Superscript 2 7 2 4 2" xfId="28282" xr:uid="{00000000-0005-0000-0000-0000057A0000}"/>
    <cellStyle name="Superscript 2 7 2 5" xfId="28283" xr:uid="{00000000-0005-0000-0000-0000067A0000}"/>
    <cellStyle name="Superscript 2 7 2 5 2" xfId="28284" xr:uid="{00000000-0005-0000-0000-0000077A0000}"/>
    <cellStyle name="Superscript 2 7 2 6" xfId="28285" xr:uid="{00000000-0005-0000-0000-0000087A0000}"/>
    <cellStyle name="Superscript 2 7 2 6 2" xfId="28286" xr:uid="{00000000-0005-0000-0000-0000097A0000}"/>
    <cellStyle name="Superscript 2 7 2 7" xfId="28287" xr:uid="{00000000-0005-0000-0000-00000A7A0000}"/>
    <cellStyle name="Superscript 2 7 2 7 2" xfId="28288" xr:uid="{00000000-0005-0000-0000-00000B7A0000}"/>
    <cellStyle name="Superscript 2 7 2 8" xfId="28289" xr:uid="{00000000-0005-0000-0000-00000C7A0000}"/>
    <cellStyle name="Superscript 2 7 2 8 2" xfId="28290" xr:uid="{00000000-0005-0000-0000-00000D7A0000}"/>
    <cellStyle name="Superscript 2 7 2 9" xfId="28291" xr:uid="{00000000-0005-0000-0000-00000E7A0000}"/>
    <cellStyle name="Superscript 2 7 2 9 2" xfId="28292" xr:uid="{00000000-0005-0000-0000-00000F7A0000}"/>
    <cellStyle name="Superscript 2 7 3" xfId="28293" xr:uid="{00000000-0005-0000-0000-0000107A0000}"/>
    <cellStyle name="Superscript 2 7 3 10" xfId="28294" xr:uid="{00000000-0005-0000-0000-0000117A0000}"/>
    <cellStyle name="Superscript 2 7 3 2" xfId="28295" xr:uid="{00000000-0005-0000-0000-0000127A0000}"/>
    <cellStyle name="Superscript 2 7 3 2 2" xfId="28296" xr:uid="{00000000-0005-0000-0000-0000137A0000}"/>
    <cellStyle name="Superscript 2 7 3 3" xfId="28297" xr:uid="{00000000-0005-0000-0000-0000147A0000}"/>
    <cellStyle name="Superscript 2 7 3 3 2" xfId="28298" xr:uid="{00000000-0005-0000-0000-0000157A0000}"/>
    <cellStyle name="Superscript 2 7 3 4" xfId="28299" xr:uid="{00000000-0005-0000-0000-0000167A0000}"/>
    <cellStyle name="Superscript 2 7 3 4 2" xfId="28300" xr:uid="{00000000-0005-0000-0000-0000177A0000}"/>
    <cellStyle name="Superscript 2 7 3 5" xfId="28301" xr:uid="{00000000-0005-0000-0000-0000187A0000}"/>
    <cellStyle name="Superscript 2 7 3 5 2" xfId="28302" xr:uid="{00000000-0005-0000-0000-0000197A0000}"/>
    <cellStyle name="Superscript 2 7 3 6" xfId="28303" xr:uid="{00000000-0005-0000-0000-00001A7A0000}"/>
    <cellStyle name="Superscript 2 7 3 6 2" xfId="28304" xr:uid="{00000000-0005-0000-0000-00001B7A0000}"/>
    <cellStyle name="Superscript 2 7 3 7" xfId="28305" xr:uid="{00000000-0005-0000-0000-00001C7A0000}"/>
    <cellStyle name="Superscript 2 7 3 7 2" xfId="28306" xr:uid="{00000000-0005-0000-0000-00001D7A0000}"/>
    <cellStyle name="Superscript 2 7 3 8" xfId="28307" xr:uid="{00000000-0005-0000-0000-00001E7A0000}"/>
    <cellStyle name="Superscript 2 7 3 8 2" xfId="28308" xr:uid="{00000000-0005-0000-0000-00001F7A0000}"/>
    <cellStyle name="Superscript 2 7 3 9" xfId="28309" xr:uid="{00000000-0005-0000-0000-0000207A0000}"/>
    <cellStyle name="Superscript 2 7 3 9 2" xfId="28310" xr:uid="{00000000-0005-0000-0000-0000217A0000}"/>
    <cellStyle name="Superscript 2 7 4" xfId="28311" xr:uid="{00000000-0005-0000-0000-0000227A0000}"/>
    <cellStyle name="Superscript 2 7 4 10" xfId="28312" xr:uid="{00000000-0005-0000-0000-0000237A0000}"/>
    <cellStyle name="Superscript 2 7 4 2" xfId="28313" xr:uid="{00000000-0005-0000-0000-0000247A0000}"/>
    <cellStyle name="Superscript 2 7 4 2 2" xfId="28314" xr:uid="{00000000-0005-0000-0000-0000257A0000}"/>
    <cellStyle name="Superscript 2 7 4 3" xfId="28315" xr:uid="{00000000-0005-0000-0000-0000267A0000}"/>
    <cellStyle name="Superscript 2 7 4 3 2" xfId="28316" xr:uid="{00000000-0005-0000-0000-0000277A0000}"/>
    <cellStyle name="Superscript 2 7 4 4" xfId="28317" xr:uid="{00000000-0005-0000-0000-0000287A0000}"/>
    <cellStyle name="Superscript 2 7 4 4 2" xfId="28318" xr:uid="{00000000-0005-0000-0000-0000297A0000}"/>
    <cellStyle name="Superscript 2 7 4 5" xfId="28319" xr:uid="{00000000-0005-0000-0000-00002A7A0000}"/>
    <cellStyle name="Superscript 2 7 4 5 2" xfId="28320" xr:uid="{00000000-0005-0000-0000-00002B7A0000}"/>
    <cellStyle name="Superscript 2 7 4 6" xfId="28321" xr:uid="{00000000-0005-0000-0000-00002C7A0000}"/>
    <cellStyle name="Superscript 2 7 4 6 2" xfId="28322" xr:uid="{00000000-0005-0000-0000-00002D7A0000}"/>
    <cellStyle name="Superscript 2 7 4 7" xfId="28323" xr:uid="{00000000-0005-0000-0000-00002E7A0000}"/>
    <cellStyle name="Superscript 2 7 4 7 2" xfId="28324" xr:uid="{00000000-0005-0000-0000-00002F7A0000}"/>
    <cellStyle name="Superscript 2 7 4 8" xfId="28325" xr:uid="{00000000-0005-0000-0000-0000307A0000}"/>
    <cellStyle name="Superscript 2 7 4 8 2" xfId="28326" xr:uid="{00000000-0005-0000-0000-0000317A0000}"/>
    <cellStyle name="Superscript 2 7 4 9" xfId="28327" xr:uid="{00000000-0005-0000-0000-0000327A0000}"/>
    <cellStyle name="Superscript 2 7 4 9 2" xfId="28328" xr:uid="{00000000-0005-0000-0000-0000337A0000}"/>
    <cellStyle name="Superscript 2 7 5" xfId="28329" xr:uid="{00000000-0005-0000-0000-0000347A0000}"/>
    <cellStyle name="Superscript 2 7 5 10" xfId="28330" xr:uid="{00000000-0005-0000-0000-0000357A0000}"/>
    <cellStyle name="Superscript 2 7 5 2" xfId="28331" xr:uid="{00000000-0005-0000-0000-0000367A0000}"/>
    <cellStyle name="Superscript 2 7 5 2 2" xfId="28332" xr:uid="{00000000-0005-0000-0000-0000377A0000}"/>
    <cellStyle name="Superscript 2 7 5 3" xfId="28333" xr:uid="{00000000-0005-0000-0000-0000387A0000}"/>
    <cellStyle name="Superscript 2 7 5 3 2" xfId="28334" xr:uid="{00000000-0005-0000-0000-0000397A0000}"/>
    <cellStyle name="Superscript 2 7 5 4" xfId="28335" xr:uid="{00000000-0005-0000-0000-00003A7A0000}"/>
    <cellStyle name="Superscript 2 7 5 4 2" xfId="28336" xr:uid="{00000000-0005-0000-0000-00003B7A0000}"/>
    <cellStyle name="Superscript 2 7 5 5" xfId="28337" xr:uid="{00000000-0005-0000-0000-00003C7A0000}"/>
    <cellStyle name="Superscript 2 7 5 5 2" xfId="28338" xr:uid="{00000000-0005-0000-0000-00003D7A0000}"/>
    <cellStyle name="Superscript 2 7 5 6" xfId="28339" xr:uid="{00000000-0005-0000-0000-00003E7A0000}"/>
    <cellStyle name="Superscript 2 7 5 6 2" xfId="28340" xr:uid="{00000000-0005-0000-0000-00003F7A0000}"/>
    <cellStyle name="Superscript 2 7 5 7" xfId="28341" xr:uid="{00000000-0005-0000-0000-0000407A0000}"/>
    <cellStyle name="Superscript 2 7 5 7 2" xfId="28342" xr:uid="{00000000-0005-0000-0000-0000417A0000}"/>
    <cellStyle name="Superscript 2 7 5 8" xfId="28343" xr:uid="{00000000-0005-0000-0000-0000427A0000}"/>
    <cellStyle name="Superscript 2 7 5 8 2" xfId="28344" xr:uid="{00000000-0005-0000-0000-0000437A0000}"/>
    <cellStyle name="Superscript 2 7 5 9" xfId="28345" xr:uid="{00000000-0005-0000-0000-0000447A0000}"/>
    <cellStyle name="Superscript 2 7 5 9 2" xfId="28346" xr:uid="{00000000-0005-0000-0000-0000457A0000}"/>
    <cellStyle name="Superscript 2 7 6" xfId="28347" xr:uid="{00000000-0005-0000-0000-0000467A0000}"/>
    <cellStyle name="Superscript 2 7 6 10" xfId="28348" xr:uid="{00000000-0005-0000-0000-0000477A0000}"/>
    <cellStyle name="Superscript 2 7 6 2" xfId="28349" xr:uid="{00000000-0005-0000-0000-0000487A0000}"/>
    <cellStyle name="Superscript 2 7 6 2 2" xfId="28350" xr:uid="{00000000-0005-0000-0000-0000497A0000}"/>
    <cellStyle name="Superscript 2 7 6 3" xfId="28351" xr:uid="{00000000-0005-0000-0000-00004A7A0000}"/>
    <cellStyle name="Superscript 2 7 6 3 2" xfId="28352" xr:uid="{00000000-0005-0000-0000-00004B7A0000}"/>
    <cellStyle name="Superscript 2 7 6 4" xfId="28353" xr:uid="{00000000-0005-0000-0000-00004C7A0000}"/>
    <cellStyle name="Superscript 2 7 6 4 2" xfId="28354" xr:uid="{00000000-0005-0000-0000-00004D7A0000}"/>
    <cellStyle name="Superscript 2 7 6 5" xfId="28355" xr:uid="{00000000-0005-0000-0000-00004E7A0000}"/>
    <cellStyle name="Superscript 2 7 6 5 2" xfId="28356" xr:uid="{00000000-0005-0000-0000-00004F7A0000}"/>
    <cellStyle name="Superscript 2 7 6 6" xfId="28357" xr:uid="{00000000-0005-0000-0000-0000507A0000}"/>
    <cellStyle name="Superscript 2 7 6 6 2" xfId="28358" xr:uid="{00000000-0005-0000-0000-0000517A0000}"/>
    <cellStyle name="Superscript 2 7 6 7" xfId="28359" xr:uid="{00000000-0005-0000-0000-0000527A0000}"/>
    <cellStyle name="Superscript 2 7 6 7 2" xfId="28360" xr:uid="{00000000-0005-0000-0000-0000537A0000}"/>
    <cellStyle name="Superscript 2 7 6 8" xfId="28361" xr:uid="{00000000-0005-0000-0000-0000547A0000}"/>
    <cellStyle name="Superscript 2 7 6 8 2" xfId="28362" xr:uid="{00000000-0005-0000-0000-0000557A0000}"/>
    <cellStyle name="Superscript 2 7 6 9" xfId="28363" xr:uid="{00000000-0005-0000-0000-0000567A0000}"/>
    <cellStyle name="Superscript 2 7 6 9 2" xfId="28364" xr:uid="{00000000-0005-0000-0000-0000577A0000}"/>
    <cellStyle name="Superscript 2 7 7" xfId="28365" xr:uid="{00000000-0005-0000-0000-0000587A0000}"/>
    <cellStyle name="Superscript 2 7 7 10" xfId="28366" xr:uid="{00000000-0005-0000-0000-0000597A0000}"/>
    <cellStyle name="Superscript 2 7 7 2" xfId="28367" xr:uid="{00000000-0005-0000-0000-00005A7A0000}"/>
    <cellStyle name="Superscript 2 7 7 2 2" xfId="28368" xr:uid="{00000000-0005-0000-0000-00005B7A0000}"/>
    <cellStyle name="Superscript 2 7 7 3" xfId="28369" xr:uid="{00000000-0005-0000-0000-00005C7A0000}"/>
    <cellStyle name="Superscript 2 7 7 3 2" xfId="28370" xr:uid="{00000000-0005-0000-0000-00005D7A0000}"/>
    <cellStyle name="Superscript 2 7 7 4" xfId="28371" xr:uid="{00000000-0005-0000-0000-00005E7A0000}"/>
    <cellStyle name="Superscript 2 7 7 4 2" xfId="28372" xr:uid="{00000000-0005-0000-0000-00005F7A0000}"/>
    <cellStyle name="Superscript 2 7 7 5" xfId="28373" xr:uid="{00000000-0005-0000-0000-0000607A0000}"/>
    <cellStyle name="Superscript 2 7 7 5 2" xfId="28374" xr:uid="{00000000-0005-0000-0000-0000617A0000}"/>
    <cellStyle name="Superscript 2 7 7 6" xfId="28375" xr:uid="{00000000-0005-0000-0000-0000627A0000}"/>
    <cellStyle name="Superscript 2 7 7 6 2" xfId="28376" xr:uid="{00000000-0005-0000-0000-0000637A0000}"/>
    <cellStyle name="Superscript 2 7 7 7" xfId="28377" xr:uid="{00000000-0005-0000-0000-0000647A0000}"/>
    <cellStyle name="Superscript 2 7 7 7 2" xfId="28378" xr:uid="{00000000-0005-0000-0000-0000657A0000}"/>
    <cellStyle name="Superscript 2 7 7 8" xfId="28379" xr:uid="{00000000-0005-0000-0000-0000667A0000}"/>
    <cellStyle name="Superscript 2 7 7 8 2" xfId="28380" xr:uid="{00000000-0005-0000-0000-0000677A0000}"/>
    <cellStyle name="Superscript 2 7 7 9" xfId="28381" xr:uid="{00000000-0005-0000-0000-0000687A0000}"/>
    <cellStyle name="Superscript 2 7 7 9 2" xfId="28382" xr:uid="{00000000-0005-0000-0000-0000697A0000}"/>
    <cellStyle name="Superscript 2 7 8" xfId="28383" xr:uid="{00000000-0005-0000-0000-00006A7A0000}"/>
    <cellStyle name="Superscript 2 7 8 10" xfId="28384" xr:uid="{00000000-0005-0000-0000-00006B7A0000}"/>
    <cellStyle name="Superscript 2 7 8 2" xfId="28385" xr:uid="{00000000-0005-0000-0000-00006C7A0000}"/>
    <cellStyle name="Superscript 2 7 8 2 2" xfId="28386" xr:uid="{00000000-0005-0000-0000-00006D7A0000}"/>
    <cellStyle name="Superscript 2 7 8 3" xfId="28387" xr:uid="{00000000-0005-0000-0000-00006E7A0000}"/>
    <cellStyle name="Superscript 2 7 8 3 2" xfId="28388" xr:uid="{00000000-0005-0000-0000-00006F7A0000}"/>
    <cellStyle name="Superscript 2 7 8 4" xfId="28389" xr:uid="{00000000-0005-0000-0000-0000707A0000}"/>
    <cellStyle name="Superscript 2 7 8 4 2" xfId="28390" xr:uid="{00000000-0005-0000-0000-0000717A0000}"/>
    <cellStyle name="Superscript 2 7 8 5" xfId="28391" xr:uid="{00000000-0005-0000-0000-0000727A0000}"/>
    <cellStyle name="Superscript 2 7 8 5 2" xfId="28392" xr:uid="{00000000-0005-0000-0000-0000737A0000}"/>
    <cellStyle name="Superscript 2 7 8 6" xfId="28393" xr:uid="{00000000-0005-0000-0000-0000747A0000}"/>
    <cellStyle name="Superscript 2 7 8 6 2" xfId="28394" xr:uid="{00000000-0005-0000-0000-0000757A0000}"/>
    <cellStyle name="Superscript 2 7 8 7" xfId="28395" xr:uid="{00000000-0005-0000-0000-0000767A0000}"/>
    <cellStyle name="Superscript 2 7 8 7 2" xfId="28396" xr:uid="{00000000-0005-0000-0000-0000777A0000}"/>
    <cellStyle name="Superscript 2 7 8 8" xfId="28397" xr:uid="{00000000-0005-0000-0000-0000787A0000}"/>
    <cellStyle name="Superscript 2 7 8 8 2" xfId="28398" xr:uid="{00000000-0005-0000-0000-0000797A0000}"/>
    <cellStyle name="Superscript 2 7 8 9" xfId="28399" xr:uid="{00000000-0005-0000-0000-00007A7A0000}"/>
    <cellStyle name="Superscript 2 7 8 9 2" xfId="28400" xr:uid="{00000000-0005-0000-0000-00007B7A0000}"/>
    <cellStyle name="Superscript 2 7 9" xfId="28401" xr:uid="{00000000-0005-0000-0000-00007C7A0000}"/>
    <cellStyle name="Superscript 2 7 9 10" xfId="28402" xr:uid="{00000000-0005-0000-0000-00007D7A0000}"/>
    <cellStyle name="Superscript 2 7 9 2" xfId="28403" xr:uid="{00000000-0005-0000-0000-00007E7A0000}"/>
    <cellStyle name="Superscript 2 7 9 2 2" xfId="28404" xr:uid="{00000000-0005-0000-0000-00007F7A0000}"/>
    <cellStyle name="Superscript 2 7 9 3" xfId="28405" xr:uid="{00000000-0005-0000-0000-0000807A0000}"/>
    <cellStyle name="Superscript 2 7 9 3 2" xfId="28406" xr:uid="{00000000-0005-0000-0000-0000817A0000}"/>
    <cellStyle name="Superscript 2 7 9 4" xfId="28407" xr:uid="{00000000-0005-0000-0000-0000827A0000}"/>
    <cellStyle name="Superscript 2 7 9 4 2" xfId="28408" xr:uid="{00000000-0005-0000-0000-0000837A0000}"/>
    <cellStyle name="Superscript 2 7 9 5" xfId="28409" xr:uid="{00000000-0005-0000-0000-0000847A0000}"/>
    <cellStyle name="Superscript 2 7 9 5 2" xfId="28410" xr:uid="{00000000-0005-0000-0000-0000857A0000}"/>
    <cellStyle name="Superscript 2 7 9 6" xfId="28411" xr:uid="{00000000-0005-0000-0000-0000867A0000}"/>
    <cellStyle name="Superscript 2 7 9 6 2" xfId="28412" xr:uid="{00000000-0005-0000-0000-0000877A0000}"/>
    <cellStyle name="Superscript 2 7 9 7" xfId="28413" xr:uid="{00000000-0005-0000-0000-0000887A0000}"/>
    <cellStyle name="Superscript 2 7 9 7 2" xfId="28414" xr:uid="{00000000-0005-0000-0000-0000897A0000}"/>
    <cellStyle name="Superscript 2 7 9 8" xfId="28415" xr:uid="{00000000-0005-0000-0000-00008A7A0000}"/>
    <cellStyle name="Superscript 2 7 9 8 2" xfId="28416" xr:uid="{00000000-0005-0000-0000-00008B7A0000}"/>
    <cellStyle name="Superscript 2 7 9 9" xfId="28417" xr:uid="{00000000-0005-0000-0000-00008C7A0000}"/>
    <cellStyle name="Superscript 2 7 9 9 2" xfId="28418" xr:uid="{00000000-0005-0000-0000-00008D7A0000}"/>
    <cellStyle name="Superscript 2 8" xfId="28419" xr:uid="{00000000-0005-0000-0000-00008E7A0000}"/>
    <cellStyle name="Superscript 2 8 10" xfId="28420" xr:uid="{00000000-0005-0000-0000-00008F7A0000}"/>
    <cellStyle name="Superscript 2 8 10 2" xfId="28421" xr:uid="{00000000-0005-0000-0000-0000907A0000}"/>
    <cellStyle name="Superscript 2 8 10 2 2" xfId="28422" xr:uid="{00000000-0005-0000-0000-0000917A0000}"/>
    <cellStyle name="Superscript 2 8 10 3" xfId="28423" xr:uid="{00000000-0005-0000-0000-0000927A0000}"/>
    <cellStyle name="Superscript 2 8 10 3 2" xfId="28424" xr:uid="{00000000-0005-0000-0000-0000937A0000}"/>
    <cellStyle name="Superscript 2 8 10 4" xfId="28425" xr:uid="{00000000-0005-0000-0000-0000947A0000}"/>
    <cellStyle name="Superscript 2 8 10 4 2" xfId="28426" xr:uid="{00000000-0005-0000-0000-0000957A0000}"/>
    <cellStyle name="Superscript 2 8 10 5" xfId="28427" xr:uid="{00000000-0005-0000-0000-0000967A0000}"/>
    <cellStyle name="Superscript 2 8 10 5 2" xfId="28428" xr:uid="{00000000-0005-0000-0000-0000977A0000}"/>
    <cellStyle name="Superscript 2 8 10 6" xfId="28429" xr:uid="{00000000-0005-0000-0000-0000987A0000}"/>
    <cellStyle name="Superscript 2 8 10 6 2" xfId="28430" xr:uid="{00000000-0005-0000-0000-0000997A0000}"/>
    <cellStyle name="Superscript 2 8 10 7" xfId="28431" xr:uid="{00000000-0005-0000-0000-00009A7A0000}"/>
    <cellStyle name="Superscript 2 8 10 7 2" xfId="28432" xr:uid="{00000000-0005-0000-0000-00009B7A0000}"/>
    <cellStyle name="Superscript 2 8 10 8" xfId="28433" xr:uid="{00000000-0005-0000-0000-00009C7A0000}"/>
    <cellStyle name="Superscript 2 8 10 8 2" xfId="28434" xr:uid="{00000000-0005-0000-0000-00009D7A0000}"/>
    <cellStyle name="Superscript 2 8 10 9" xfId="28435" xr:uid="{00000000-0005-0000-0000-00009E7A0000}"/>
    <cellStyle name="Superscript 2 8 11" xfId="28436" xr:uid="{00000000-0005-0000-0000-00009F7A0000}"/>
    <cellStyle name="Superscript 2 8 11 2" xfId="28437" xr:uid="{00000000-0005-0000-0000-0000A07A0000}"/>
    <cellStyle name="Superscript 2 8 12" xfId="28438" xr:uid="{00000000-0005-0000-0000-0000A17A0000}"/>
    <cellStyle name="Superscript 2 8 12 2" xfId="28439" xr:uid="{00000000-0005-0000-0000-0000A27A0000}"/>
    <cellStyle name="Superscript 2 8 13" xfId="28440" xr:uid="{00000000-0005-0000-0000-0000A37A0000}"/>
    <cellStyle name="Superscript 2 8 13 2" xfId="28441" xr:uid="{00000000-0005-0000-0000-0000A47A0000}"/>
    <cellStyle name="Superscript 2 8 14" xfId="28442" xr:uid="{00000000-0005-0000-0000-0000A57A0000}"/>
    <cellStyle name="Superscript 2 8 14 2" xfId="28443" xr:uid="{00000000-0005-0000-0000-0000A67A0000}"/>
    <cellStyle name="Superscript 2 8 15" xfId="28444" xr:uid="{00000000-0005-0000-0000-0000A77A0000}"/>
    <cellStyle name="Superscript 2 8 15 2" xfId="28445" xr:uid="{00000000-0005-0000-0000-0000A87A0000}"/>
    <cellStyle name="Superscript 2 8 16" xfId="28446" xr:uid="{00000000-0005-0000-0000-0000A97A0000}"/>
    <cellStyle name="Superscript 2 8 16 2" xfId="28447" xr:uid="{00000000-0005-0000-0000-0000AA7A0000}"/>
    <cellStyle name="Superscript 2 8 17" xfId="28448" xr:uid="{00000000-0005-0000-0000-0000AB7A0000}"/>
    <cellStyle name="Superscript 2 8 17 2" xfId="28449" xr:uid="{00000000-0005-0000-0000-0000AC7A0000}"/>
    <cellStyle name="Superscript 2 8 18" xfId="28450" xr:uid="{00000000-0005-0000-0000-0000AD7A0000}"/>
    <cellStyle name="Superscript 2 8 2" xfId="28451" xr:uid="{00000000-0005-0000-0000-0000AE7A0000}"/>
    <cellStyle name="Superscript 2 8 2 10" xfId="28452" xr:uid="{00000000-0005-0000-0000-0000AF7A0000}"/>
    <cellStyle name="Superscript 2 8 2 2" xfId="28453" xr:uid="{00000000-0005-0000-0000-0000B07A0000}"/>
    <cellStyle name="Superscript 2 8 2 2 2" xfId="28454" xr:uid="{00000000-0005-0000-0000-0000B17A0000}"/>
    <cellStyle name="Superscript 2 8 2 3" xfId="28455" xr:uid="{00000000-0005-0000-0000-0000B27A0000}"/>
    <cellStyle name="Superscript 2 8 2 3 2" xfId="28456" xr:uid="{00000000-0005-0000-0000-0000B37A0000}"/>
    <cellStyle name="Superscript 2 8 2 4" xfId="28457" xr:uid="{00000000-0005-0000-0000-0000B47A0000}"/>
    <cellStyle name="Superscript 2 8 2 4 2" xfId="28458" xr:uid="{00000000-0005-0000-0000-0000B57A0000}"/>
    <cellStyle name="Superscript 2 8 2 5" xfId="28459" xr:uid="{00000000-0005-0000-0000-0000B67A0000}"/>
    <cellStyle name="Superscript 2 8 2 5 2" xfId="28460" xr:uid="{00000000-0005-0000-0000-0000B77A0000}"/>
    <cellStyle name="Superscript 2 8 2 6" xfId="28461" xr:uid="{00000000-0005-0000-0000-0000B87A0000}"/>
    <cellStyle name="Superscript 2 8 2 6 2" xfId="28462" xr:uid="{00000000-0005-0000-0000-0000B97A0000}"/>
    <cellStyle name="Superscript 2 8 2 7" xfId="28463" xr:uid="{00000000-0005-0000-0000-0000BA7A0000}"/>
    <cellStyle name="Superscript 2 8 2 7 2" xfId="28464" xr:uid="{00000000-0005-0000-0000-0000BB7A0000}"/>
    <cellStyle name="Superscript 2 8 2 8" xfId="28465" xr:uid="{00000000-0005-0000-0000-0000BC7A0000}"/>
    <cellStyle name="Superscript 2 8 2 8 2" xfId="28466" xr:uid="{00000000-0005-0000-0000-0000BD7A0000}"/>
    <cellStyle name="Superscript 2 8 2 9" xfId="28467" xr:uid="{00000000-0005-0000-0000-0000BE7A0000}"/>
    <cellStyle name="Superscript 2 8 2 9 2" xfId="28468" xr:uid="{00000000-0005-0000-0000-0000BF7A0000}"/>
    <cellStyle name="Superscript 2 8 3" xfId="28469" xr:uid="{00000000-0005-0000-0000-0000C07A0000}"/>
    <cellStyle name="Superscript 2 8 3 10" xfId="28470" xr:uid="{00000000-0005-0000-0000-0000C17A0000}"/>
    <cellStyle name="Superscript 2 8 3 2" xfId="28471" xr:uid="{00000000-0005-0000-0000-0000C27A0000}"/>
    <cellStyle name="Superscript 2 8 3 2 2" xfId="28472" xr:uid="{00000000-0005-0000-0000-0000C37A0000}"/>
    <cellStyle name="Superscript 2 8 3 3" xfId="28473" xr:uid="{00000000-0005-0000-0000-0000C47A0000}"/>
    <cellStyle name="Superscript 2 8 3 3 2" xfId="28474" xr:uid="{00000000-0005-0000-0000-0000C57A0000}"/>
    <cellStyle name="Superscript 2 8 3 4" xfId="28475" xr:uid="{00000000-0005-0000-0000-0000C67A0000}"/>
    <cellStyle name="Superscript 2 8 3 4 2" xfId="28476" xr:uid="{00000000-0005-0000-0000-0000C77A0000}"/>
    <cellStyle name="Superscript 2 8 3 5" xfId="28477" xr:uid="{00000000-0005-0000-0000-0000C87A0000}"/>
    <cellStyle name="Superscript 2 8 3 5 2" xfId="28478" xr:uid="{00000000-0005-0000-0000-0000C97A0000}"/>
    <cellStyle name="Superscript 2 8 3 6" xfId="28479" xr:uid="{00000000-0005-0000-0000-0000CA7A0000}"/>
    <cellStyle name="Superscript 2 8 3 6 2" xfId="28480" xr:uid="{00000000-0005-0000-0000-0000CB7A0000}"/>
    <cellStyle name="Superscript 2 8 3 7" xfId="28481" xr:uid="{00000000-0005-0000-0000-0000CC7A0000}"/>
    <cellStyle name="Superscript 2 8 3 7 2" xfId="28482" xr:uid="{00000000-0005-0000-0000-0000CD7A0000}"/>
    <cellStyle name="Superscript 2 8 3 8" xfId="28483" xr:uid="{00000000-0005-0000-0000-0000CE7A0000}"/>
    <cellStyle name="Superscript 2 8 3 8 2" xfId="28484" xr:uid="{00000000-0005-0000-0000-0000CF7A0000}"/>
    <cellStyle name="Superscript 2 8 3 9" xfId="28485" xr:uid="{00000000-0005-0000-0000-0000D07A0000}"/>
    <cellStyle name="Superscript 2 8 3 9 2" xfId="28486" xr:uid="{00000000-0005-0000-0000-0000D17A0000}"/>
    <cellStyle name="Superscript 2 8 4" xfId="28487" xr:uid="{00000000-0005-0000-0000-0000D27A0000}"/>
    <cellStyle name="Superscript 2 8 4 10" xfId="28488" xr:uid="{00000000-0005-0000-0000-0000D37A0000}"/>
    <cellStyle name="Superscript 2 8 4 2" xfId="28489" xr:uid="{00000000-0005-0000-0000-0000D47A0000}"/>
    <cellStyle name="Superscript 2 8 4 2 2" xfId="28490" xr:uid="{00000000-0005-0000-0000-0000D57A0000}"/>
    <cellStyle name="Superscript 2 8 4 3" xfId="28491" xr:uid="{00000000-0005-0000-0000-0000D67A0000}"/>
    <cellStyle name="Superscript 2 8 4 3 2" xfId="28492" xr:uid="{00000000-0005-0000-0000-0000D77A0000}"/>
    <cellStyle name="Superscript 2 8 4 4" xfId="28493" xr:uid="{00000000-0005-0000-0000-0000D87A0000}"/>
    <cellStyle name="Superscript 2 8 4 4 2" xfId="28494" xr:uid="{00000000-0005-0000-0000-0000D97A0000}"/>
    <cellStyle name="Superscript 2 8 4 5" xfId="28495" xr:uid="{00000000-0005-0000-0000-0000DA7A0000}"/>
    <cellStyle name="Superscript 2 8 4 5 2" xfId="28496" xr:uid="{00000000-0005-0000-0000-0000DB7A0000}"/>
    <cellStyle name="Superscript 2 8 4 6" xfId="28497" xr:uid="{00000000-0005-0000-0000-0000DC7A0000}"/>
    <cellStyle name="Superscript 2 8 4 6 2" xfId="28498" xr:uid="{00000000-0005-0000-0000-0000DD7A0000}"/>
    <cellStyle name="Superscript 2 8 4 7" xfId="28499" xr:uid="{00000000-0005-0000-0000-0000DE7A0000}"/>
    <cellStyle name="Superscript 2 8 4 7 2" xfId="28500" xr:uid="{00000000-0005-0000-0000-0000DF7A0000}"/>
    <cellStyle name="Superscript 2 8 4 8" xfId="28501" xr:uid="{00000000-0005-0000-0000-0000E07A0000}"/>
    <cellStyle name="Superscript 2 8 4 8 2" xfId="28502" xr:uid="{00000000-0005-0000-0000-0000E17A0000}"/>
    <cellStyle name="Superscript 2 8 4 9" xfId="28503" xr:uid="{00000000-0005-0000-0000-0000E27A0000}"/>
    <cellStyle name="Superscript 2 8 4 9 2" xfId="28504" xr:uid="{00000000-0005-0000-0000-0000E37A0000}"/>
    <cellStyle name="Superscript 2 8 5" xfId="28505" xr:uid="{00000000-0005-0000-0000-0000E47A0000}"/>
    <cellStyle name="Superscript 2 8 5 10" xfId="28506" xr:uid="{00000000-0005-0000-0000-0000E57A0000}"/>
    <cellStyle name="Superscript 2 8 5 2" xfId="28507" xr:uid="{00000000-0005-0000-0000-0000E67A0000}"/>
    <cellStyle name="Superscript 2 8 5 2 2" xfId="28508" xr:uid="{00000000-0005-0000-0000-0000E77A0000}"/>
    <cellStyle name="Superscript 2 8 5 3" xfId="28509" xr:uid="{00000000-0005-0000-0000-0000E87A0000}"/>
    <cellStyle name="Superscript 2 8 5 3 2" xfId="28510" xr:uid="{00000000-0005-0000-0000-0000E97A0000}"/>
    <cellStyle name="Superscript 2 8 5 4" xfId="28511" xr:uid="{00000000-0005-0000-0000-0000EA7A0000}"/>
    <cellStyle name="Superscript 2 8 5 4 2" xfId="28512" xr:uid="{00000000-0005-0000-0000-0000EB7A0000}"/>
    <cellStyle name="Superscript 2 8 5 5" xfId="28513" xr:uid="{00000000-0005-0000-0000-0000EC7A0000}"/>
    <cellStyle name="Superscript 2 8 5 5 2" xfId="28514" xr:uid="{00000000-0005-0000-0000-0000ED7A0000}"/>
    <cellStyle name="Superscript 2 8 5 6" xfId="28515" xr:uid="{00000000-0005-0000-0000-0000EE7A0000}"/>
    <cellStyle name="Superscript 2 8 5 6 2" xfId="28516" xr:uid="{00000000-0005-0000-0000-0000EF7A0000}"/>
    <cellStyle name="Superscript 2 8 5 7" xfId="28517" xr:uid="{00000000-0005-0000-0000-0000F07A0000}"/>
    <cellStyle name="Superscript 2 8 5 7 2" xfId="28518" xr:uid="{00000000-0005-0000-0000-0000F17A0000}"/>
    <cellStyle name="Superscript 2 8 5 8" xfId="28519" xr:uid="{00000000-0005-0000-0000-0000F27A0000}"/>
    <cellStyle name="Superscript 2 8 5 8 2" xfId="28520" xr:uid="{00000000-0005-0000-0000-0000F37A0000}"/>
    <cellStyle name="Superscript 2 8 5 9" xfId="28521" xr:uid="{00000000-0005-0000-0000-0000F47A0000}"/>
    <cellStyle name="Superscript 2 8 5 9 2" xfId="28522" xr:uid="{00000000-0005-0000-0000-0000F57A0000}"/>
    <cellStyle name="Superscript 2 8 6" xfId="28523" xr:uid="{00000000-0005-0000-0000-0000F67A0000}"/>
    <cellStyle name="Superscript 2 8 6 10" xfId="28524" xr:uid="{00000000-0005-0000-0000-0000F77A0000}"/>
    <cellStyle name="Superscript 2 8 6 2" xfId="28525" xr:uid="{00000000-0005-0000-0000-0000F87A0000}"/>
    <cellStyle name="Superscript 2 8 6 2 2" xfId="28526" xr:uid="{00000000-0005-0000-0000-0000F97A0000}"/>
    <cellStyle name="Superscript 2 8 6 3" xfId="28527" xr:uid="{00000000-0005-0000-0000-0000FA7A0000}"/>
    <cellStyle name="Superscript 2 8 6 3 2" xfId="28528" xr:uid="{00000000-0005-0000-0000-0000FB7A0000}"/>
    <cellStyle name="Superscript 2 8 6 4" xfId="28529" xr:uid="{00000000-0005-0000-0000-0000FC7A0000}"/>
    <cellStyle name="Superscript 2 8 6 4 2" xfId="28530" xr:uid="{00000000-0005-0000-0000-0000FD7A0000}"/>
    <cellStyle name="Superscript 2 8 6 5" xfId="28531" xr:uid="{00000000-0005-0000-0000-0000FE7A0000}"/>
    <cellStyle name="Superscript 2 8 6 5 2" xfId="28532" xr:uid="{00000000-0005-0000-0000-0000FF7A0000}"/>
    <cellStyle name="Superscript 2 8 6 6" xfId="28533" xr:uid="{00000000-0005-0000-0000-0000007B0000}"/>
    <cellStyle name="Superscript 2 8 6 6 2" xfId="28534" xr:uid="{00000000-0005-0000-0000-0000017B0000}"/>
    <cellStyle name="Superscript 2 8 6 7" xfId="28535" xr:uid="{00000000-0005-0000-0000-0000027B0000}"/>
    <cellStyle name="Superscript 2 8 6 7 2" xfId="28536" xr:uid="{00000000-0005-0000-0000-0000037B0000}"/>
    <cellStyle name="Superscript 2 8 6 8" xfId="28537" xr:uid="{00000000-0005-0000-0000-0000047B0000}"/>
    <cellStyle name="Superscript 2 8 6 8 2" xfId="28538" xr:uid="{00000000-0005-0000-0000-0000057B0000}"/>
    <cellStyle name="Superscript 2 8 6 9" xfId="28539" xr:uid="{00000000-0005-0000-0000-0000067B0000}"/>
    <cellStyle name="Superscript 2 8 6 9 2" xfId="28540" xr:uid="{00000000-0005-0000-0000-0000077B0000}"/>
    <cellStyle name="Superscript 2 8 7" xfId="28541" xr:uid="{00000000-0005-0000-0000-0000087B0000}"/>
    <cellStyle name="Superscript 2 8 7 10" xfId="28542" xr:uid="{00000000-0005-0000-0000-0000097B0000}"/>
    <cellStyle name="Superscript 2 8 7 2" xfId="28543" xr:uid="{00000000-0005-0000-0000-00000A7B0000}"/>
    <cellStyle name="Superscript 2 8 7 2 2" xfId="28544" xr:uid="{00000000-0005-0000-0000-00000B7B0000}"/>
    <cellStyle name="Superscript 2 8 7 3" xfId="28545" xr:uid="{00000000-0005-0000-0000-00000C7B0000}"/>
    <cellStyle name="Superscript 2 8 7 3 2" xfId="28546" xr:uid="{00000000-0005-0000-0000-00000D7B0000}"/>
    <cellStyle name="Superscript 2 8 7 4" xfId="28547" xr:uid="{00000000-0005-0000-0000-00000E7B0000}"/>
    <cellStyle name="Superscript 2 8 7 4 2" xfId="28548" xr:uid="{00000000-0005-0000-0000-00000F7B0000}"/>
    <cellStyle name="Superscript 2 8 7 5" xfId="28549" xr:uid="{00000000-0005-0000-0000-0000107B0000}"/>
    <cellStyle name="Superscript 2 8 7 5 2" xfId="28550" xr:uid="{00000000-0005-0000-0000-0000117B0000}"/>
    <cellStyle name="Superscript 2 8 7 6" xfId="28551" xr:uid="{00000000-0005-0000-0000-0000127B0000}"/>
    <cellStyle name="Superscript 2 8 7 6 2" xfId="28552" xr:uid="{00000000-0005-0000-0000-0000137B0000}"/>
    <cellStyle name="Superscript 2 8 7 7" xfId="28553" xr:uid="{00000000-0005-0000-0000-0000147B0000}"/>
    <cellStyle name="Superscript 2 8 7 7 2" xfId="28554" xr:uid="{00000000-0005-0000-0000-0000157B0000}"/>
    <cellStyle name="Superscript 2 8 7 8" xfId="28555" xr:uid="{00000000-0005-0000-0000-0000167B0000}"/>
    <cellStyle name="Superscript 2 8 7 8 2" xfId="28556" xr:uid="{00000000-0005-0000-0000-0000177B0000}"/>
    <cellStyle name="Superscript 2 8 7 9" xfId="28557" xr:uid="{00000000-0005-0000-0000-0000187B0000}"/>
    <cellStyle name="Superscript 2 8 7 9 2" xfId="28558" xr:uid="{00000000-0005-0000-0000-0000197B0000}"/>
    <cellStyle name="Superscript 2 8 8" xfId="28559" xr:uid="{00000000-0005-0000-0000-00001A7B0000}"/>
    <cellStyle name="Superscript 2 8 8 10" xfId="28560" xr:uid="{00000000-0005-0000-0000-00001B7B0000}"/>
    <cellStyle name="Superscript 2 8 8 2" xfId="28561" xr:uid="{00000000-0005-0000-0000-00001C7B0000}"/>
    <cellStyle name="Superscript 2 8 8 2 2" xfId="28562" xr:uid="{00000000-0005-0000-0000-00001D7B0000}"/>
    <cellStyle name="Superscript 2 8 8 3" xfId="28563" xr:uid="{00000000-0005-0000-0000-00001E7B0000}"/>
    <cellStyle name="Superscript 2 8 8 3 2" xfId="28564" xr:uid="{00000000-0005-0000-0000-00001F7B0000}"/>
    <cellStyle name="Superscript 2 8 8 4" xfId="28565" xr:uid="{00000000-0005-0000-0000-0000207B0000}"/>
    <cellStyle name="Superscript 2 8 8 4 2" xfId="28566" xr:uid="{00000000-0005-0000-0000-0000217B0000}"/>
    <cellStyle name="Superscript 2 8 8 5" xfId="28567" xr:uid="{00000000-0005-0000-0000-0000227B0000}"/>
    <cellStyle name="Superscript 2 8 8 5 2" xfId="28568" xr:uid="{00000000-0005-0000-0000-0000237B0000}"/>
    <cellStyle name="Superscript 2 8 8 6" xfId="28569" xr:uid="{00000000-0005-0000-0000-0000247B0000}"/>
    <cellStyle name="Superscript 2 8 8 6 2" xfId="28570" xr:uid="{00000000-0005-0000-0000-0000257B0000}"/>
    <cellStyle name="Superscript 2 8 8 7" xfId="28571" xr:uid="{00000000-0005-0000-0000-0000267B0000}"/>
    <cellStyle name="Superscript 2 8 8 7 2" xfId="28572" xr:uid="{00000000-0005-0000-0000-0000277B0000}"/>
    <cellStyle name="Superscript 2 8 8 8" xfId="28573" xr:uid="{00000000-0005-0000-0000-0000287B0000}"/>
    <cellStyle name="Superscript 2 8 8 8 2" xfId="28574" xr:uid="{00000000-0005-0000-0000-0000297B0000}"/>
    <cellStyle name="Superscript 2 8 8 9" xfId="28575" xr:uid="{00000000-0005-0000-0000-00002A7B0000}"/>
    <cellStyle name="Superscript 2 8 8 9 2" xfId="28576" xr:uid="{00000000-0005-0000-0000-00002B7B0000}"/>
    <cellStyle name="Superscript 2 8 9" xfId="28577" xr:uid="{00000000-0005-0000-0000-00002C7B0000}"/>
    <cellStyle name="Superscript 2 8 9 10" xfId="28578" xr:uid="{00000000-0005-0000-0000-00002D7B0000}"/>
    <cellStyle name="Superscript 2 8 9 2" xfId="28579" xr:uid="{00000000-0005-0000-0000-00002E7B0000}"/>
    <cellStyle name="Superscript 2 8 9 2 2" xfId="28580" xr:uid="{00000000-0005-0000-0000-00002F7B0000}"/>
    <cellStyle name="Superscript 2 8 9 3" xfId="28581" xr:uid="{00000000-0005-0000-0000-0000307B0000}"/>
    <cellStyle name="Superscript 2 8 9 3 2" xfId="28582" xr:uid="{00000000-0005-0000-0000-0000317B0000}"/>
    <cellStyle name="Superscript 2 8 9 4" xfId="28583" xr:uid="{00000000-0005-0000-0000-0000327B0000}"/>
    <cellStyle name="Superscript 2 8 9 4 2" xfId="28584" xr:uid="{00000000-0005-0000-0000-0000337B0000}"/>
    <cellStyle name="Superscript 2 8 9 5" xfId="28585" xr:uid="{00000000-0005-0000-0000-0000347B0000}"/>
    <cellStyle name="Superscript 2 8 9 5 2" xfId="28586" xr:uid="{00000000-0005-0000-0000-0000357B0000}"/>
    <cellStyle name="Superscript 2 8 9 6" xfId="28587" xr:uid="{00000000-0005-0000-0000-0000367B0000}"/>
    <cellStyle name="Superscript 2 8 9 6 2" xfId="28588" xr:uid="{00000000-0005-0000-0000-0000377B0000}"/>
    <cellStyle name="Superscript 2 8 9 7" xfId="28589" xr:uid="{00000000-0005-0000-0000-0000387B0000}"/>
    <cellStyle name="Superscript 2 8 9 7 2" xfId="28590" xr:uid="{00000000-0005-0000-0000-0000397B0000}"/>
    <cellStyle name="Superscript 2 8 9 8" xfId="28591" xr:uid="{00000000-0005-0000-0000-00003A7B0000}"/>
    <cellStyle name="Superscript 2 8 9 8 2" xfId="28592" xr:uid="{00000000-0005-0000-0000-00003B7B0000}"/>
    <cellStyle name="Superscript 2 8 9 9" xfId="28593" xr:uid="{00000000-0005-0000-0000-00003C7B0000}"/>
    <cellStyle name="Superscript 2 8 9 9 2" xfId="28594" xr:uid="{00000000-0005-0000-0000-00003D7B0000}"/>
    <cellStyle name="Superscript 3" xfId="202" xr:uid="{00000000-0005-0000-0000-00003E7B0000}"/>
    <cellStyle name="Superscript 3 2" xfId="28595" xr:uid="{00000000-0005-0000-0000-00003F7B0000}"/>
    <cellStyle name="Superscript 3 2 10" xfId="28596" xr:uid="{00000000-0005-0000-0000-0000407B0000}"/>
    <cellStyle name="Superscript 3 2 10 10" xfId="28597" xr:uid="{00000000-0005-0000-0000-0000417B0000}"/>
    <cellStyle name="Superscript 3 2 10 2" xfId="28598" xr:uid="{00000000-0005-0000-0000-0000427B0000}"/>
    <cellStyle name="Superscript 3 2 10 2 2" xfId="28599" xr:uid="{00000000-0005-0000-0000-0000437B0000}"/>
    <cellStyle name="Superscript 3 2 10 3" xfId="28600" xr:uid="{00000000-0005-0000-0000-0000447B0000}"/>
    <cellStyle name="Superscript 3 2 10 3 2" xfId="28601" xr:uid="{00000000-0005-0000-0000-0000457B0000}"/>
    <cellStyle name="Superscript 3 2 10 4" xfId="28602" xr:uid="{00000000-0005-0000-0000-0000467B0000}"/>
    <cellStyle name="Superscript 3 2 10 4 2" xfId="28603" xr:uid="{00000000-0005-0000-0000-0000477B0000}"/>
    <cellStyle name="Superscript 3 2 10 5" xfId="28604" xr:uid="{00000000-0005-0000-0000-0000487B0000}"/>
    <cellStyle name="Superscript 3 2 10 5 2" xfId="28605" xr:uid="{00000000-0005-0000-0000-0000497B0000}"/>
    <cellStyle name="Superscript 3 2 10 6" xfId="28606" xr:uid="{00000000-0005-0000-0000-00004A7B0000}"/>
    <cellStyle name="Superscript 3 2 10 6 2" xfId="28607" xr:uid="{00000000-0005-0000-0000-00004B7B0000}"/>
    <cellStyle name="Superscript 3 2 10 7" xfId="28608" xr:uid="{00000000-0005-0000-0000-00004C7B0000}"/>
    <cellStyle name="Superscript 3 2 10 7 2" xfId="28609" xr:uid="{00000000-0005-0000-0000-00004D7B0000}"/>
    <cellStyle name="Superscript 3 2 10 8" xfId="28610" xr:uid="{00000000-0005-0000-0000-00004E7B0000}"/>
    <cellStyle name="Superscript 3 2 10 8 2" xfId="28611" xr:uid="{00000000-0005-0000-0000-00004F7B0000}"/>
    <cellStyle name="Superscript 3 2 10 9" xfId="28612" xr:uid="{00000000-0005-0000-0000-0000507B0000}"/>
    <cellStyle name="Superscript 3 2 10 9 2" xfId="28613" xr:uid="{00000000-0005-0000-0000-0000517B0000}"/>
    <cellStyle name="Superscript 3 2 11" xfId="28614" xr:uid="{00000000-0005-0000-0000-0000527B0000}"/>
    <cellStyle name="Superscript 3 2 11 2" xfId="28615" xr:uid="{00000000-0005-0000-0000-0000537B0000}"/>
    <cellStyle name="Superscript 3 2 11 2 2" xfId="28616" xr:uid="{00000000-0005-0000-0000-0000547B0000}"/>
    <cellStyle name="Superscript 3 2 11 3" xfId="28617" xr:uid="{00000000-0005-0000-0000-0000557B0000}"/>
    <cellStyle name="Superscript 3 2 11 3 2" xfId="28618" xr:uid="{00000000-0005-0000-0000-0000567B0000}"/>
    <cellStyle name="Superscript 3 2 11 4" xfId="28619" xr:uid="{00000000-0005-0000-0000-0000577B0000}"/>
    <cellStyle name="Superscript 3 2 11 4 2" xfId="28620" xr:uid="{00000000-0005-0000-0000-0000587B0000}"/>
    <cellStyle name="Superscript 3 2 11 5" xfId="28621" xr:uid="{00000000-0005-0000-0000-0000597B0000}"/>
    <cellStyle name="Superscript 3 2 11 5 2" xfId="28622" xr:uid="{00000000-0005-0000-0000-00005A7B0000}"/>
    <cellStyle name="Superscript 3 2 11 6" xfId="28623" xr:uid="{00000000-0005-0000-0000-00005B7B0000}"/>
    <cellStyle name="Superscript 3 2 11 6 2" xfId="28624" xr:uid="{00000000-0005-0000-0000-00005C7B0000}"/>
    <cellStyle name="Superscript 3 2 11 7" xfId="28625" xr:uid="{00000000-0005-0000-0000-00005D7B0000}"/>
    <cellStyle name="Superscript 3 2 11 7 2" xfId="28626" xr:uid="{00000000-0005-0000-0000-00005E7B0000}"/>
    <cellStyle name="Superscript 3 2 11 8" xfId="28627" xr:uid="{00000000-0005-0000-0000-00005F7B0000}"/>
    <cellStyle name="Superscript 3 2 11 8 2" xfId="28628" xr:uid="{00000000-0005-0000-0000-0000607B0000}"/>
    <cellStyle name="Superscript 3 2 11 9" xfId="28629" xr:uid="{00000000-0005-0000-0000-0000617B0000}"/>
    <cellStyle name="Superscript 3 2 2" xfId="28630" xr:uid="{00000000-0005-0000-0000-0000627B0000}"/>
    <cellStyle name="Superscript 3 2 2 10" xfId="28631" xr:uid="{00000000-0005-0000-0000-0000637B0000}"/>
    <cellStyle name="Superscript 3 2 2 2" xfId="28632" xr:uid="{00000000-0005-0000-0000-0000647B0000}"/>
    <cellStyle name="Superscript 3 2 2 2 2" xfId="28633" xr:uid="{00000000-0005-0000-0000-0000657B0000}"/>
    <cellStyle name="Superscript 3 2 2 3" xfId="28634" xr:uid="{00000000-0005-0000-0000-0000667B0000}"/>
    <cellStyle name="Superscript 3 2 2 3 2" xfId="28635" xr:uid="{00000000-0005-0000-0000-0000677B0000}"/>
    <cellStyle name="Superscript 3 2 2 4" xfId="28636" xr:uid="{00000000-0005-0000-0000-0000687B0000}"/>
    <cellStyle name="Superscript 3 2 2 4 2" xfId="28637" xr:uid="{00000000-0005-0000-0000-0000697B0000}"/>
    <cellStyle name="Superscript 3 2 2 5" xfId="28638" xr:uid="{00000000-0005-0000-0000-00006A7B0000}"/>
    <cellStyle name="Superscript 3 2 2 5 2" xfId="28639" xr:uid="{00000000-0005-0000-0000-00006B7B0000}"/>
    <cellStyle name="Superscript 3 2 2 6" xfId="28640" xr:uid="{00000000-0005-0000-0000-00006C7B0000}"/>
    <cellStyle name="Superscript 3 2 2 6 2" xfId="28641" xr:uid="{00000000-0005-0000-0000-00006D7B0000}"/>
    <cellStyle name="Superscript 3 2 2 7" xfId="28642" xr:uid="{00000000-0005-0000-0000-00006E7B0000}"/>
    <cellStyle name="Superscript 3 2 2 7 2" xfId="28643" xr:uid="{00000000-0005-0000-0000-00006F7B0000}"/>
    <cellStyle name="Superscript 3 2 2 8" xfId="28644" xr:uid="{00000000-0005-0000-0000-0000707B0000}"/>
    <cellStyle name="Superscript 3 2 2 8 2" xfId="28645" xr:uid="{00000000-0005-0000-0000-0000717B0000}"/>
    <cellStyle name="Superscript 3 2 2 9" xfId="28646" xr:uid="{00000000-0005-0000-0000-0000727B0000}"/>
    <cellStyle name="Superscript 3 2 2 9 2" xfId="28647" xr:uid="{00000000-0005-0000-0000-0000737B0000}"/>
    <cellStyle name="Superscript 3 2 3" xfId="28648" xr:uid="{00000000-0005-0000-0000-0000747B0000}"/>
    <cellStyle name="Superscript 3 2 3 10" xfId="28649" xr:uid="{00000000-0005-0000-0000-0000757B0000}"/>
    <cellStyle name="Superscript 3 2 3 2" xfId="28650" xr:uid="{00000000-0005-0000-0000-0000767B0000}"/>
    <cellStyle name="Superscript 3 2 3 2 2" xfId="28651" xr:uid="{00000000-0005-0000-0000-0000777B0000}"/>
    <cellStyle name="Superscript 3 2 3 3" xfId="28652" xr:uid="{00000000-0005-0000-0000-0000787B0000}"/>
    <cellStyle name="Superscript 3 2 3 3 2" xfId="28653" xr:uid="{00000000-0005-0000-0000-0000797B0000}"/>
    <cellStyle name="Superscript 3 2 3 4" xfId="28654" xr:uid="{00000000-0005-0000-0000-00007A7B0000}"/>
    <cellStyle name="Superscript 3 2 3 4 2" xfId="28655" xr:uid="{00000000-0005-0000-0000-00007B7B0000}"/>
    <cellStyle name="Superscript 3 2 3 5" xfId="28656" xr:uid="{00000000-0005-0000-0000-00007C7B0000}"/>
    <cellStyle name="Superscript 3 2 3 5 2" xfId="28657" xr:uid="{00000000-0005-0000-0000-00007D7B0000}"/>
    <cellStyle name="Superscript 3 2 3 6" xfId="28658" xr:uid="{00000000-0005-0000-0000-00007E7B0000}"/>
    <cellStyle name="Superscript 3 2 3 6 2" xfId="28659" xr:uid="{00000000-0005-0000-0000-00007F7B0000}"/>
    <cellStyle name="Superscript 3 2 3 7" xfId="28660" xr:uid="{00000000-0005-0000-0000-0000807B0000}"/>
    <cellStyle name="Superscript 3 2 3 7 2" xfId="28661" xr:uid="{00000000-0005-0000-0000-0000817B0000}"/>
    <cellStyle name="Superscript 3 2 3 8" xfId="28662" xr:uid="{00000000-0005-0000-0000-0000827B0000}"/>
    <cellStyle name="Superscript 3 2 3 8 2" xfId="28663" xr:uid="{00000000-0005-0000-0000-0000837B0000}"/>
    <cellStyle name="Superscript 3 2 3 9" xfId="28664" xr:uid="{00000000-0005-0000-0000-0000847B0000}"/>
    <cellStyle name="Superscript 3 2 3 9 2" xfId="28665" xr:uid="{00000000-0005-0000-0000-0000857B0000}"/>
    <cellStyle name="Superscript 3 2 4" xfId="28666" xr:uid="{00000000-0005-0000-0000-0000867B0000}"/>
    <cellStyle name="Superscript 3 2 4 10" xfId="28667" xr:uid="{00000000-0005-0000-0000-0000877B0000}"/>
    <cellStyle name="Superscript 3 2 4 2" xfId="28668" xr:uid="{00000000-0005-0000-0000-0000887B0000}"/>
    <cellStyle name="Superscript 3 2 4 2 2" xfId="28669" xr:uid="{00000000-0005-0000-0000-0000897B0000}"/>
    <cellStyle name="Superscript 3 2 4 3" xfId="28670" xr:uid="{00000000-0005-0000-0000-00008A7B0000}"/>
    <cellStyle name="Superscript 3 2 4 3 2" xfId="28671" xr:uid="{00000000-0005-0000-0000-00008B7B0000}"/>
    <cellStyle name="Superscript 3 2 4 4" xfId="28672" xr:uid="{00000000-0005-0000-0000-00008C7B0000}"/>
    <cellStyle name="Superscript 3 2 4 4 2" xfId="28673" xr:uid="{00000000-0005-0000-0000-00008D7B0000}"/>
    <cellStyle name="Superscript 3 2 4 5" xfId="28674" xr:uid="{00000000-0005-0000-0000-00008E7B0000}"/>
    <cellStyle name="Superscript 3 2 4 5 2" xfId="28675" xr:uid="{00000000-0005-0000-0000-00008F7B0000}"/>
    <cellStyle name="Superscript 3 2 4 6" xfId="28676" xr:uid="{00000000-0005-0000-0000-0000907B0000}"/>
    <cellStyle name="Superscript 3 2 4 6 2" xfId="28677" xr:uid="{00000000-0005-0000-0000-0000917B0000}"/>
    <cellStyle name="Superscript 3 2 4 7" xfId="28678" xr:uid="{00000000-0005-0000-0000-0000927B0000}"/>
    <cellStyle name="Superscript 3 2 4 7 2" xfId="28679" xr:uid="{00000000-0005-0000-0000-0000937B0000}"/>
    <cellStyle name="Superscript 3 2 4 8" xfId="28680" xr:uid="{00000000-0005-0000-0000-0000947B0000}"/>
    <cellStyle name="Superscript 3 2 4 8 2" xfId="28681" xr:uid="{00000000-0005-0000-0000-0000957B0000}"/>
    <cellStyle name="Superscript 3 2 4 9" xfId="28682" xr:uid="{00000000-0005-0000-0000-0000967B0000}"/>
    <cellStyle name="Superscript 3 2 4 9 2" xfId="28683" xr:uid="{00000000-0005-0000-0000-0000977B0000}"/>
    <cellStyle name="Superscript 3 2 5" xfId="28684" xr:uid="{00000000-0005-0000-0000-0000987B0000}"/>
    <cellStyle name="Superscript 3 2 5 10" xfId="28685" xr:uid="{00000000-0005-0000-0000-0000997B0000}"/>
    <cellStyle name="Superscript 3 2 5 2" xfId="28686" xr:uid="{00000000-0005-0000-0000-00009A7B0000}"/>
    <cellStyle name="Superscript 3 2 5 2 2" xfId="28687" xr:uid="{00000000-0005-0000-0000-00009B7B0000}"/>
    <cellStyle name="Superscript 3 2 5 3" xfId="28688" xr:uid="{00000000-0005-0000-0000-00009C7B0000}"/>
    <cellStyle name="Superscript 3 2 5 3 2" xfId="28689" xr:uid="{00000000-0005-0000-0000-00009D7B0000}"/>
    <cellStyle name="Superscript 3 2 5 4" xfId="28690" xr:uid="{00000000-0005-0000-0000-00009E7B0000}"/>
    <cellStyle name="Superscript 3 2 5 4 2" xfId="28691" xr:uid="{00000000-0005-0000-0000-00009F7B0000}"/>
    <cellStyle name="Superscript 3 2 5 5" xfId="28692" xr:uid="{00000000-0005-0000-0000-0000A07B0000}"/>
    <cellStyle name="Superscript 3 2 5 5 2" xfId="28693" xr:uid="{00000000-0005-0000-0000-0000A17B0000}"/>
    <cellStyle name="Superscript 3 2 5 6" xfId="28694" xr:uid="{00000000-0005-0000-0000-0000A27B0000}"/>
    <cellStyle name="Superscript 3 2 5 6 2" xfId="28695" xr:uid="{00000000-0005-0000-0000-0000A37B0000}"/>
    <cellStyle name="Superscript 3 2 5 7" xfId="28696" xr:uid="{00000000-0005-0000-0000-0000A47B0000}"/>
    <cellStyle name="Superscript 3 2 5 7 2" xfId="28697" xr:uid="{00000000-0005-0000-0000-0000A57B0000}"/>
    <cellStyle name="Superscript 3 2 5 8" xfId="28698" xr:uid="{00000000-0005-0000-0000-0000A67B0000}"/>
    <cellStyle name="Superscript 3 2 5 8 2" xfId="28699" xr:uid="{00000000-0005-0000-0000-0000A77B0000}"/>
    <cellStyle name="Superscript 3 2 5 9" xfId="28700" xr:uid="{00000000-0005-0000-0000-0000A87B0000}"/>
    <cellStyle name="Superscript 3 2 5 9 2" xfId="28701" xr:uid="{00000000-0005-0000-0000-0000A97B0000}"/>
    <cellStyle name="Superscript 3 2 6" xfId="28702" xr:uid="{00000000-0005-0000-0000-0000AA7B0000}"/>
    <cellStyle name="Superscript 3 2 6 10" xfId="28703" xr:uid="{00000000-0005-0000-0000-0000AB7B0000}"/>
    <cellStyle name="Superscript 3 2 6 2" xfId="28704" xr:uid="{00000000-0005-0000-0000-0000AC7B0000}"/>
    <cellStyle name="Superscript 3 2 6 2 2" xfId="28705" xr:uid="{00000000-0005-0000-0000-0000AD7B0000}"/>
    <cellStyle name="Superscript 3 2 6 3" xfId="28706" xr:uid="{00000000-0005-0000-0000-0000AE7B0000}"/>
    <cellStyle name="Superscript 3 2 6 3 2" xfId="28707" xr:uid="{00000000-0005-0000-0000-0000AF7B0000}"/>
    <cellStyle name="Superscript 3 2 6 4" xfId="28708" xr:uid="{00000000-0005-0000-0000-0000B07B0000}"/>
    <cellStyle name="Superscript 3 2 6 4 2" xfId="28709" xr:uid="{00000000-0005-0000-0000-0000B17B0000}"/>
    <cellStyle name="Superscript 3 2 6 5" xfId="28710" xr:uid="{00000000-0005-0000-0000-0000B27B0000}"/>
    <cellStyle name="Superscript 3 2 6 5 2" xfId="28711" xr:uid="{00000000-0005-0000-0000-0000B37B0000}"/>
    <cellStyle name="Superscript 3 2 6 6" xfId="28712" xr:uid="{00000000-0005-0000-0000-0000B47B0000}"/>
    <cellStyle name="Superscript 3 2 6 6 2" xfId="28713" xr:uid="{00000000-0005-0000-0000-0000B57B0000}"/>
    <cellStyle name="Superscript 3 2 6 7" xfId="28714" xr:uid="{00000000-0005-0000-0000-0000B67B0000}"/>
    <cellStyle name="Superscript 3 2 6 7 2" xfId="28715" xr:uid="{00000000-0005-0000-0000-0000B77B0000}"/>
    <cellStyle name="Superscript 3 2 6 8" xfId="28716" xr:uid="{00000000-0005-0000-0000-0000B87B0000}"/>
    <cellStyle name="Superscript 3 2 6 8 2" xfId="28717" xr:uid="{00000000-0005-0000-0000-0000B97B0000}"/>
    <cellStyle name="Superscript 3 2 6 9" xfId="28718" xr:uid="{00000000-0005-0000-0000-0000BA7B0000}"/>
    <cellStyle name="Superscript 3 2 6 9 2" xfId="28719" xr:uid="{00000000-0005-0000-0000-0000BB7B0000}"/>
    <cellStyle name="Superscript 3 2 7" xfId="28720" xr:uid="{00000000-0005-0000-0000-0000BC7B0000}"/>
    <cellStyle name="Superscript 3 2 7 10" xfId="28721" xr:uid="{00000000-0005-0000-0000-0000BD7B0000}"/>
    <cellStyle name="Superscript 3 2 7 2" xfId="28722" xr:uid="{00000000-0005-0000-0000-0000BE7B0000}"/>
    <cellStyle name="Superscript 3 2 7 2 2" xfId="28723" xr:uid="{00000000-0005-0000-0000-0000BF7B0000}"/>
    <cellStyle name="Superscript 3 2 7 3" xfId="28724" xr:uid="{00000000-0005-0000-0000-0000C07B0000}"/>
    <cellStyle name="Superscript 3 2 7 3 2" xfId="28725" xr:uid="{00000000-0005-0000-0000-0000C17B0000}"/>
    <cellStyle name="Superscript 3 2 7 4" xfId="28726" xr:uid="{00000000-0005-0000-0000-0000C27B0000}"/>
    <cellStyle name="Superscript 3 2 7 4 2" xfId="28727" xr:uid="{00000000-0005-0000-0000-0000C37B0000}"/>
    <cellStyle name="Superscript 3 2 7 5" xfId="28728" xr:uid="{00000000-0005-0000-0000-0000C47B0000}"/>
    <cellStyle name="Superscript 3 2 7 5 2" xfId="28729" xr:uid="{00000000-0005-0000-0000-0000C57B0000}"/>
    <cellStyle name="Superscript 3 2 7 6" xfId="28730" xr:uid="{00000000-0005-0000-0000-0000C67B0000}"/>
    <cellStyle name="Superscript 3 2 7 6 2" xfId="28731" xr:uid="{00000000-0005-0000-0000-0000C77B0000}"/>
    <cellStyle name="Superscript 3 2 7 7" xfId="28732" xr:uid="{00000000-0005-0000-0000-0000C87B0000}"/>
    <cellStyle name="Superscript 3 2 7 7 2" xfId="28733" xr:uid="{00000000-0005-0000-0000-0000C97B0000}"/>
    <cellStyle name="Superscript 3 2 7 8" xfId="28734" xr:uid="{00000000-0005-0000-0000-0000CA7B0000}"/>
    <cellStyle name="Superscript 3 2 7 8 2" xfId="28735" xr:uid="{00000000-0005-0000-0000-0000CB7B0000}"/>
    <cellStyle name="Superscript 3 2 7 9" xfId="28736" xr:uid="{00000000-0005-0000-0000-0000CC7B0000}"/>
    <cellStyle name="Superscript 3 2 7 9 2" xfId="28737" xr:uid="{00000000-0005-0000-0000-0000CD7B0000}"/>
    <cellStyle name="Superscript 3 2 8" xfId="28738" xr:uid="{00000000-0005-0000-0000-0000CE7B0000}"/>
    <cellStyle name="Superscript 3 2 8 10" xfId="28739" xr:uid="{00000000-0005-0000-0000-0000CF7B0000}"/>
    <cellStyle name="Superscript 3 2 8 2" xfId="28740" xr:uid="{00000000-0005-0000-0000-0000D07B0000}"/>
    <cellStyle name="Superscript 3 2 8 2 2" xfId="28741" xr:uid="{00000000-0005-0000-0000-0000D17B0000}"/>
    <cellStyle name="Superscript 3 2 8 3" xfId="28742" xr:uid="{00000000-0005-0000-0000-0000D27B0000}"/>
    <cellStyle name="Superscript 3 2 8 3 2" xfId="28743" xr:uid="{00000000-0005-0000-0000-0000D37B0000}"/>
    <cellStyle name="Superscript 3 2 8 4" xfId="28744" xr:uid="{00000000-0005-0000-0000-0000D47B0000}"/>
    <cellStyle name="Superscript 3 2 8 4 2" xfId="28745" xr:uid="{00000000-0005-0000-0000-0000D57B0000}"/>
    <cellStyle name="Superscript 3 2 8 5" xfId="28746" xr:uid="{00000000-0005-0000-0000-0000D67B0000}"/>
    <cellStyle name="Superscript 3 2 8 5 2" xfId="28747" xr:uid="{00000000-0005-0000-0000-0000D77B0000}"/>
    <cellStyle name="Superscript 3 2 8 6" xfId="28748" xr:uid="{00000000-0005-0000-0000-0000D87B0000}"/>
    <cellStyle name="Superscript 3 2 8 6 2" xfId="28749" xr:uid="{00000000-0005-0000-0000-0000D97B0000}"/>
    <cellStyle name="Superscript 3 2 8 7" xfId="28750" xr:uid="{00000000-0005-0000-0000-0000DA7B0000}"/>
    <cellStyle name="Superscript 3 2 8 7 2" xfId="28751" xr:uid="{00000000-0005-0000-0000-0000DB7B0000}"/>
    <cellStyle name="Superscript 3 2 8 8" xfId="28752" xr:uid="{00000000-0005-0000-0000-0000DC7B0000}"/>
    <cellStyle name="Superscript 3 2 8 8 2" xfId="28753" xr:uid="{00000000-0005-0000-0000-0000DD7B0000}"/>
    <cellStyle name="Superscript 3 2 8 9" xfId="28754" xr:uid="{00000000-0005-0000-0000-0000DE7B0000}"/>
    <cellStyle name="Superscript 3 2 8 9 2" xfId="28755" xr:uid="{00000000-0005-0000-0000-0000DF7B0000}"/>
    <cellStyle name="Superscript 3 2 9" xfId="28756" xr:uid="{00000000-0005-0000-0000-0000E07B0000}"/>
    <cellStyle name="Superscript 3 2 9 10" xfId="28757" xr:uid="{00000000-0005-0000-0000-0000E17B0000}"/>
    <cellStyle name="Superscript 3 2 9 2" xfId="28758" xr:uid="{00000000-0005-0000-0000-0000E27B0000}"/>
    <cellStyle name="Superscript 3 2 9 2 2" xfId="28759" xr:uid="{00000000-0005-0000-0000-0000E37B0000}"/>
    <cellStyle name="Superscript 3 2 9 3" xfId="28760" xr:uid="{00000000-0005-0000-0000-0000E47B0000}"/>
    <cellStyle name="Superscript 3 2 9 3 2" xfId="28761" xr:uid="{00000000-0005-0000-0000-0000E57B0000}"/>
    <cellStyle name="Superscript 3 2 9 4" xfId="28762" xr:uid="{00000000-0005-0000-0000-0000E67B0000}"/>
    <cellStyle name="Superscript 3 2 9 4 2" xfId="28763" xr:uid="{00000000-0005-0000-0000-0000E77B0000}"/>
    <cellStyle name="Superscript 3 2 9 5" xfId="28764" xr:uid="{00000000-0005-0000-0000-0000E87B0000}"/>
    <cellStyle name="Superscript 3 2 9 5 2" xfId="28765" xr:uid="{00000000-0005-0000-0000-0000E97B0000}"/>
    <cellStyle name="Superscript 3 2 9 6" xfId="28766" xr:uid="{00000000-0005-0000-0000-0000EA7B0000}"/>
    <cellStyle name="Superscript 3 2 9 6 2" xfId="28767" xr:uid="{00000000-0005-0000-0000-0000EB7B0000}"/>
    <cellStyle name="Superscript 3 2 9 7" xfId="28768" xr:uid="{00000000-0005-0000-0000-0000EC7B0000}"/>
    <cellStyle name="Superscript 3 2 9 7 2" xfId="28769" xr:uid="{00000000-0005-0000-0000-0000ED7B0000}"/>
    <cellStyle name="Superscript 3 2 9 8" xfId="28770" xr:uid="{00000000-0005-0000-0000-0000EE7B0000}"/>
    <cellStyle name="Superscript 3 2 9 8 2" xfId="28771" xr:uid="{00000000-0005-0000-0000-0000EF7B0000}"/>
    <cellStyle name="Superscript 3 2 9 9" xfId="28772" xr:uid="{00000000-0005-0000-0000-0000F07B0000}"/>
    <cellStyle name="Superscript 3 2 9 9 2" xfId="28773" xr:uid="{00000000-0005-0000-0000-0000F17B0000}"/>
    <cellStyle name="Superscript 3 3" xfId="28774" xr:uid="{00000000-0005-0000-0000-0000F27B0000}"/>
    <cellStyle name="Superscript 3 3 10" xfId="28775" xr:uid="{00000000-0005-0000-0000-0000F37B0000}"/>
    <cellStyle name="Superscript 3 3 10 10" xfId="28776" xr:uid="{00000000-0005-0000-0000-0000F47B0000}"/>
    <cellStyle name="Superscript 3 3 10 2" xfId="28777" xr:uid="{00000000-0005-0000-0000-0000F57B0000}"/>
    <cellStyle name="Superscript 3 3 10 2 2" xfId="28778" xr:uid="{00000000-0005-0000-0000-0000F67B0000}"/>
    <cellStyle name="Superscript 3 3 10 3" xfId="28779" xr:uid="{00000000-0005-0000-0000-0000F77B0000}"/>
    <cellStyle name="Superscript 3 3 10 3 2" xfId="28780" xr:uid="{00000000-0005-0000-0000-0000F87B0000}"/>
    <cellStyle name="Superscript 3 3 10 4" xfId="28781" xr:uid="{00000000-0005-0000-0000-0000F97B0000}"/>
    <cellStyle name="Superscript 3 3 10 4 2" xfId="28782" xr:uid="{00000000-0005-0000-0000-0000FA7B0000}"/>
    <cellStyle name="Superscript 3 3 10 5" xfId="28783" xr:uid="{00000000-0005-0000-0000-0000FB7B0000}"/>
    <cellStyle name="Superscript 3 3 10 5 2" xfId="28784" xr:uid="{00000000-0005-0000-0000-0000FC7B0000}"/>
    <cellStyle name="Superscript 3 3 10 6" xfId="28785" xr:uid="{00000000-0005-0000-0000-0000FD7B0000}"/>
    <cellStyle name="Superscript 3 3 10 6 2" xfId="28786" xr:uid="{00000000-0005-0000-0000-0000FE7B0000}"/>
    <cellStyle name="Superscript 3 3 10 7" xfId="28787" xr:uid="{00000000-0005-0000-0000-0000FF7B0000}"/>
    <cellStyle name="Superscript 3 3 10 7 2" xfId="28788" xr:uid="{00000000-0005-0000-0000-0000007C0000}"/>
    <cellStyle name="Superscript 3 3 10 8" xfId="28789" xr:uid="{00000000-0005-0000-0000-0000017C0000}"/>
    <cellStyle name="Superscript 3 3 10 8 2" xfId="28790" xr:uid="{00000000-0005-0000-0000-0000027C0000}"/>
    <cellStyle name="Superscript 3 3 10 9" xfId="28791" xr:uid="{00000000-0005-0000-0000-0000037C0000}"/>
    <cellStyle name="Superscript 3 3 10 9 2" xfId="28792" xr:uid="{00000000-0005-0000-0000-0000047C0000}"/>
    <cellStyle name="Superscript 3 3 11" xfId="28793" xr:uid="{00000000-0005-0000-0000-0000057C0000}"/>
    <cellStyle name="Superscript 3 3 11 2" xfId="28794" xr:uid="{00000000-0005-0000-0000-0000067C0000}"/>
    <cellStyle name="Superscript 3 3 11 2 2" xfId="28795" xr:uid="{00000000-0005-0000-0000-0000077C0000}"/>
    <cellStyle name="Superscript 3 3 11 3" xfId="28796" xr:uid="{00000000-0005-0000-0000-0000087C0000}"/>
    <cellStyle name="Superscript 3 3 11 3 2" xfId="28797" xr:uid="{00000000-0005-0000-0000-0000097C0000}"/>
    <cellStyle name="Superscript 3 3 11 4" xfId="28798" xr:uid="{00000000-0005-0000-0000-00000A7C0000}"/>
    <cellStyle name="Superscript 3 3 11 4 2" xfId="28799" xr:uid="{00000000-0005-0000-0000-00000B7C0000}"/>
    <cellStyle name="Superscript 3 3 11 5" xfId="28800" xr:uid="{00000000-0005-0000-0000-00000C7C0000}"/>
    <cellStyle name="Superscript 3 3 11 5 2" xfId="28801" xr:uid="{00000000-0005-0000-0000-00000D7C0000}"/>
    <cellStyle name="Superscript 3 3 11 6" xfId="28802" xr:uid="{00000000-0005-0000-0000-00000E7C0000}"/>
    <cellStyle name="Superscript 3 3 11 6 2" xfId="28803" xr:uid="{00000000-0005-0000-0000-00000F7C0000}"/>
    <cellStyle name="Superscript 3 3 11 7" xfId="28804" xr:uid="{00000000-0005-0000-0000-0000107C0000}"/>
    <cellStyle name="Superscript 3 3 11 7 2" xfId="28805" xr:uid="{00000000-0005-0000-0000-0000117C0000}"/>
    <cellStyle name="Superscript 3 3 11 8" xfId="28806" xr:uid="{00000000-0005-0000-0000-0000127C0000}"/>
    <cellStyle name="Superscript 3 3 11 8 2" xfId="28807" xr:uid="{00000000-0005-0000-0000-0000137C0000}"/>
    <cellStyle name="Superscript 3 3 11 9" xfId="28808" xr:uid="{00000000-0005-0000-0000-0000147C0000}"/>
    <cellStyle name="Superscript 3 3 2" xfId="28809" xr:uid="{00000000-0005-0000-0000-0000157C0000}"/>
    <cellStyle name="Superscript 3 3 2 10" xfId="28810" xr:uid="{00000000-0005-0000-0000-0000167C0000}"/>
    <cellStyle name="Superscript 3 3 2 2" xfId="28811" xr:uid="{00000000-0005-0000-0000-0000177C0000}"/>
    <cellStyle name="Superscript 3 3 2 2 2" xfId="28812" xr:uid="{00000000-0005-0000-0000-0000187C0000}"/>
    <cellStyle name="Superscript 3 3 2 3" xfId="28813" xr:uid="{00000000-0005-0000-0000-0000197C0000}"/>
    <cellStyle name="Superscript 3 3 2 3 2" xfId="28814" xr:uid="{00000000-0005-0000-0000-00001A7C0000}"/>
    <cellStyle name="Superscript 3 3 2 4" xfId="28815" xr:uid="{00000000-0005-0000-0000-00001B7C0000}"/>
    <cellStyle name="Superscript 3 3 2 4 2" xfId="28816" xr:uid="{00000000-0005-0000-0000-00001C7C0000}"/>
    <cellStyle name="Superscript 3 3 2 5" xfId="28817" xr:uid="{00000000-0005-0000-0000-00001D7C0000}"/>
    <cellStyle name="Superscript 3 3 2 5 2" xfId="28818" xr:uid="{00000000-0005-0000-0000-00001E7C0000}"/>
    <cellStyle name="Superscript 3 3 2 6" xfId="28819" xr:uid="{00000000-0005-0000-0000-00001F7C0000}"/>
    <cellStyle name="Superscript 3 3 2 6 2" xfId="28820" xr:uid="{00000000-0005-0000-0000-0000207C0000}"/>
    <cellStyle name="Superscript 3 3 2 7" xfId="28821" xr:uid="{00000000-0005-0000-0000-0000217C0000}"/>
    <cellStyle name="Superscript 3 3 2 7 2" xfId="28822" xr:uid="{00000000-0005-0000-0000-0000227C0000}"/>
    <cellStyle name="Superscript 3 3 2 8" xfId="28823" xr:uid="{00000000-0005-0000-0000-0000237C0000}"/>
    <cellStyle name="Superscript 3 3 2 8 2" xfId="28824" xr:uid="{00000000-0005-0000-0000-0000247C0000}"/>
    <cellStyle name="Superscript 3 3 2 9" xfId="28825" xr:uid="{00000000-0005-0000-0000-0000257C0000}"/>
    <cellStyle name="Superscript 3 3 2 9 2" xfId="28826" xr:uid="{00000000-0005-0000-0000-0000267C0000}"/>
    <cellStyle name="Superscript 3 3 3" xfId="28827" xr:uid="{00000000-0005-0000-0000-0000277C0000}"/>
    <cellStyle name="Superscript 3 3 3 10" xfId="28828" xr:uid="{00000000-0005-0000-0000-0000287C0000}"/>
    <cellStyle name="Superscript 3 3 3 2" xfId="28829" xr:uid="{00000000-0005-0000-0000-0000297C0000}"/>
    <cellStyle name="Superscript 3 3 3 2 2" xfId="28830" xr:uid="{00000000-0005-0000-0000-00002A7C0000}"/>
    <cellStyle name="Superscript 3 3 3 3" xfId="28831" xr:uid="{00000000-0005-0000-0000-00002B7C0000}"/>
    <cellStyle name="Superscript 3 3 3 3 2" xfId="28832" xr:uid="{00000000-0005-0000-0000-00002C7C0000}"/>
    <cellStyle name="Superscript 3 3 3 4" xfId="28833" xr:uid="{00000000-0005-0000-0000-00002D7C0000}"/>
    <cellStyle name="Superscript 3 3 3 4 2" xfId="28834" xr:uid="{00000000-0005-0000-0000-00002E7C0000}"/>
    <cellStyle name="Superscript 3 3 3 5" xfId="28835" xr:uid="{00000000-0005-0000-0000-00002F7C0000}"/>
    <cellStyle name="Superscript 3 3 3 5 2" xfId="28836" xr:uid="{00000000-0005-0000-0000-0000307C0000}"/>
    <cellStyle name="Superscript 3 3 3 6" xfId="28837" xr:uid="{00000000-0005-0000-0000-0000317C0000}"/>
    <cellStyle name="Superscript 3 3 3 6 2" xfId="28838" xr:uid="{00000000-0005-0000-0000-0000327C0000}"/>
    <cellStyle name="Superscript 3 3 3 7" xfId="28839" xr:uid="{00000000-0005-0000-0000-0000337C0000}"/>
    <cellStyle name="Superscript 3 3 3 7 2" xfId="28840" xr:uid="{00000000-0005-0000-0000-0000347C0000}"/>
    <cellStyle name="Superscript 3 3 3 8" xfId="28841" xr:uid="{00000000-0005-0000-0000-0000357C0000}"/>
    <cellStyle name="Superscript 3 3 3 8 2" xfId="28842" xr:uid="{00000000-0005-0000-0000-0000367C0000}"/>
    <cellStyle name="Superscript 3 3 3 9" xfId="28843" xr:uid="{00000000-0005-0000-0000-0000377C0000}"/>
    <cellStyle name="Superscript 3 3 3 9 2" xfId="28844" xr:uid="{00000000-0005-0000-0000-0000387C0000}"/>
    <cellStyle name="Superscript 3 3 4" xfId="28845" xr:uid="{00000000-0005-0000-0000-0000397C0000}"/>
    <cellStyle name="Superscript 3 3 4 10" xfId="28846" xr:uid="{00000000-0005-0000-0000-00003A7C0000}"/>
    <cellStyle name="Superscript 3 3 4 2" xfId="28847" xr:uid="{00000000-0005-0000-0000-00003B7C0000}"/>
    <cellStyle name="Superscript 3 3 4 2 2" xfId="28848" xr:uid="{00000000-0005-0000-0000-00003C7C0000}"/>
    <cellStyle name="Superscript 3 3 4 3" xfId="28849" xr:uid="{00000000-0005-0000-0000-00003D7C0000}"/>
    <cellStyle name="Superscript 3 3 4 3 2" xfId="28850" xr:uid="{00000000-0005-0000-0000-00003E7C0000}"/>
    <cellStyle name="Superscript 3 3 4 4" xfId="28851" xr:uid="{00000000-0005-0000-0000-00003F7C0000}"/>
    <cellStyle name="Superscript 3 3 4 4 2" xfId="28852" xr:uid="{00000000-0005-0000-0000-0000407C0000}"/>
    <cellStyle name="Superscript 3 3 4 5" xfId="28853" xr:uid="{00000000-0005-0000-0000-0000417C0000}"/>
    <cellStyle name="Superscript 3 3 4 5 2" xfId="28854" xr:uid="{00000000-0005-0000-0000-0000427C0000}"/>
    <cellStyle name="Superscript 3 3 4 6" xfId="28855" xr:uid="{00000000-0005-0000-0000-0000437C0000}"/>
    <cellStyle name="Superscript 3 3 4 6 2" xfId="28856" xr:uid="{00000000-0005-0000-0000-0000447C0000}"/>
    <cellStyle name="Superscript 3 3 4 7" xfId="28857" xr:uid="{00000000-0005-0000-0000-0000457C0000}"/>
    <cellStyle name="Superscript 3 3 4 7 2" xfId="28858" xr:uid="{00000000-0005-0000-0000-0000467C0000}"/>
    <cellStyle name="Superscript 3 3 4 8" xfId="28859" xr:uid="{00000000-0005-0000-0000-0000477C0000}"/>
    <cellStyle name="Superscript 3 3 4 8 2" xfId="28860" xr:uid="{00000000-0005-0000-0000-0000487C0000}"/>
    <cellStyle name="Superscript 3 3 4 9" xfId="28861" xr:uid="{00000000-0005-0000-0000-0000497C0000}"/>
    <cellStyle name="Superscript 3 3 4 9 2" xfId="28862" xr:uid="{00000000-0005-0000-0000-00004A7C0000}"/>
    <cellStyle name="Superscript 3 3 5" xfId="28863" xr:uid="{00000000-0005-0000-0000-00004B7C0000}"/>
    <cellStyle name="Superscript 3 3 5 10" xfId="28864" xr:uid="{00000000-0005-0000-0000-00004C7C0000}"/>
    <cellStyle name="Superscript 3 3 5 2" xfId="28865" xr:uid="{00000000-0005-0000-0000-00004D7C0000}"/>
    <cellStyle name="Superscript 3 3 5 2 2" xfId="28866" xr:uid="{00000000-0005-0000-0000-00004E7C0000}"/>
    <cellStyle name="Superscript 3 3 5 3" xfId="28867" xr:uid="{00000000-0005-0000-0000-00004F7C0000}"/>
    <cellStyle name="Superscript 3 3 5 3 2" xfId="28868" xr:uid="{00000000-0005-0000-0000-0000507C0000}"/>
    <cellStyle name="Superscript 3 3 5 4" xfId="28869" xr:uid="{00000000-0005-0000-0000-0000517C0000}"/>
    <cellStyle name="Superscript 3 3 5 4 2" xfId="28870" xr:uid="{00000000-0005-0000-0000-0000527C0000}"/>
    <cellStyle name="Superscript 3 3 5 5" xfId="28871" xr:uid="{00000000-0005-0000-0000-0000537C0000}"/>
    <cellStyle name="Superscript 3 3 5 5 2" xfId="28872" xr:uid="{00000000-0005-0000-0000-0000547C0000}"/>
    <cellStyle name="Superscript 3 3 5 6" xfId="28873" xr:uid="{00000000-0005-0000-0000-0000557C0000}"/>
    <cellStyle name="Superscript 3 3 5 6 2" xfId="28874" xr:uid="{00000000-0005-0000-0000-0000567C0000}"/>
    <cellStyle name="Superscript 3 3 5 7" xfId="28875" xr:uid="{00000000-0005-0000-0000-0000577C0000}"/>
    <cellStyle name="Superscript 3 3 5 7 2" xfId="28876" xr:uid="{00000000-0005-0000-0000-0000587C0000}"/>
    <cellStyle name="Superscript 3 3 5 8" xfId="28877" xr:uid="{00000000-0005-0000-0000-0000597C0000}"/>
    <cellStyle name="Superscript 3 3 5 8 2" xfId="28878" xr:uid="{00000000-0005-0000-0000-00005A7C0000}"/>
    <cellStyle name="Superscript 3 3 5 9" xfId="28879" xr:uid="{00000000-0005-0000-0000-00005B7C0000}"/>
    <cellStyle name="Superscript 3 3 5 9 2" xfId="28880" xr:uid="{00000000-0005-0000-0000-00005C7C0000}"/>
    <cellStyle name="Superscript 3 3 6" xfId="28881" xr:uid="{00000000-0005-0000-0000-00005D7C0000}"/>
    <cellStyle name="Superscript 3 3 6 10" xfId="28882" xr:uid="{00000000-0005-0000-0000-00005E7C0000}"/>
    <cellStyle name="Superscript 3 3 6 2" xfId="28883" xr:uid="{00000000-0005-0000-0000-00005F7C0000}"/>
    <cellStyle name="Superscript 3 3 6 2 2" xfId="28884" xr:uid="{00000000-0005-0000-0000-0000607C0000}"/>
    <cellStyle name="Superscript 3 3 6 3" xfId="28885" xr:uid="{00000000-0005-0000-0000-0000617C0000}"/>
    <cellStyle name="Superscript 3 3 6 3 2" xfId="28886" xr:uid="{00000000-0005-0000-0000-0000627C0000}"/>
    <cellStyle name="Superscript 3 3 6 4" xfId="28887" xr:uid="{00000000-0005-0000-0000-0000637C0000}"/>
    <cellStyle name="Superscript 3 3 6 4 2" xfId="28888" xr:uid="{00000000-0005-0000-0000-0000647C0000}"/>
    <cellStyle name="Superscript 3 3 6 5" xfId="28889" xr:uid="{00000000-0005-0000-0000-0000657C0000}"/>
    <cellStyle name="Superscript 3 3 6 5 2" xfId="28890" xr:uid="{00000000-0005-0000-0000-0000667C0000}"/>
    <cellStyle name="Superscript 3 3 6 6" xfId="28891" xr:uid="{00000000-0005-0000-0000-0000677C0000}"/>
    <cellStyle name="Superscript 3 3 6 6 2" xfId="28892" xr:uid="{00000000-0005-0000-0000-0000687C0000}"/>
    <cellStyle name="Superscript 3 3 6 7" xfId="28893" xr:uid="{00000000-0005-0000-0000-0000697C0000}"/>
    <cellStyle name="Superscript 3 3 6 7 2" xfId="28894" xr:uid="{00000000-0005-0000-0000-00006A7C0000}"/>
    <cellStyle name="Superscript 3 3 6 8" xfId="28895" xr:uid="{00000000-0005-0000-0000-00006B7C0000}"/>
    <cellStyle name="Superscript 3 3 6 8 2" xfId="28896" xr:uid="{00000000-0005-0000-0000-00006C7C0000}"/>
    <cellStyle name="Superscript 3 3 6 9" xfId="28897" xr:uid="{00000000-0005-0000-0000-00006D7C0000}"/>
    <cellStyle name="Superscript 3 3 6 9 2" xfId="28898" xr:uid="{00000000-0005-0000-0000-00006E7C0000}"/>
    <cellStyle name="Superscript 3 3 7" xfId="28899" xr:uid="{00000000-0005-0000-0000-00006F7C0000}"/>
    <cellStyle name="Superscript 3 3 7 10" xfId="28900" xr:uid="{00000000-0005-0000-0000-0000707C0000}"/>
    <cellStyle name="Superscript 3 3 7 2" xfId="28901" xr:uid="{00000000-0005-0000-0000-0000717C0000}"/>
    <cellStyle name="Superscript 3 3 7 2 2" xfId="28902" xr:uid="{00000000-0005-0000-0000-0000727C0000}"/>
    <cellStyle name="Superscript 3 3 7 3" xfId="28903" xr:uid="{00000000-0005-0000-0000-0000737C0000}"/>
    <cellStyle name="Superscript 3 3 7 3 2" xfId="28904" xr:uid="{00000000-0005-0000-0000-0000747C0000}"/>
    <cellStyle name="Superscript 3 3 7 4" xfId="28905" xr:uid="{00000000-0005-0000-0000-0000757C0000}"/>
    <cellStyle name="Superscript 3 3 7 4 2" xfId="28906" xr:uid="{00000000-0005-0000-0000-0000767C0000}"/>
    <cellStyle name="Superscript 3 3 7 5" xfId="28907" xr:uid="{00000000-0005-0000-0000-0000777C0000}"/>
    <cellStyle name="Superscript 3 3 7 5 2" xfId="28908" xr:uid="{00000000-0005-0000-0000-0000787C0000}"/>
    <cellStyle name="Superscript 3 3 7 6" xfId="28909" xr:uid="{00000000-0005-0000-0000-0000797C0000}"/>
    <cellStyle name="Superscript 3 3 7 6 2" xfId="28910" xr:uid="{00000000-0005-0000-0000-00007A7C0000}"/>
    <cellStyle name="Superscript 3 3 7 7" xfId="28911" xr:uid="{00000000-0005-0000-0000-00007B7C0000}"/>
    <cellStyle name="Superscript 3 3 7 7 2" xfId="28912" xr:uid="{00000000-0005-0000-0000-00007C7C0000}"/>
    <cellStyle name="Superscript 3 3 7 8" xfId="28913" xr:uid="{00000000-0005-0000-0000-00007D7C0000}"/>
    <cellStyle name="Superscript 3 3 7 8 2" xfId="28914" xr:uid="{00000000-0005-0000-0000-00007E7C0000}"/>
    <cellStyle name="Superscript 3 3 7 9" xfId="28915" xr:uid="{00000000-0005-0000-0000-00007F7C0000}"/>
    <cellStyle name="Superscript 3 3 7 9 2" xfId="28916" xr:uid="{00000000-0005-0000-0000-0000807C0000}"/>
    <cellStyle name="Superscript 3 3 8" xfId="28917" xr:uid="{00000000-0005-0000-0000-0000817C0000}"/>
    <cellStyle name="Superscript 3 3 8 10" xfId="28918" xr:uid="{00000000-0005-0000-0000-0000827C0000}"/>
    <cellStyle name="Superscript 3 3 8 2" xfId="28919" xr:uid="{00000000-0005-0000-0000-0000837C0000}"/>
    <cellStyle name="Superscript 3 3 8 2 2" xfId="28920" xr:uid="{00000000-0005-0000-0000-0000847C0000}"/>
    <cellStyle name="Superscript 3 3 8 3" xfId="28921" xr:uid="{00000000-0005-0000-0000-0000857C0000}"/>
    <cellStyle name="Superscript 3 3 8 3 2" xfId="28922" xr:uid="{00000000-0005-0000-0000-0000867C0000}"/>
    <cellStyle name="Superscript 3 3 8 4" xfId="28923" xr:uid="{00000000-0005-0000-0000-0000877C0000}"/>
    <cellStyle name="Superscript 3 3 8 4 2" xfId="28924" xr:uid="{00000000-0005-0000-0000-0000887C0000}"/>
    <cellStyle name="Superscript 3 3 8 5" xfId="28925" xr:uid="{00000000-0005-0000-0000-0000897C0000}"/>
    <cellStyle name="Superscript 3 3 8 5 2" xfId="28926" xr:uid="{00000000-0005-0000-0000-00008A7C0000}"/>
    <cellStyle name="Superscript 3 3 8 6" xfId="28927" xr:uid="{00000000-0005-0000-0000-00008B7C0000}"/>
    <cellStyle name="Superscript 3 3 8 6 2" xfId="28928" xr:uid="{00000000-0005-0000-0000-00008C7C0000}"/>
    <cellStyle name="Superscript 3 3 8 7" xfId="28929" xr:uid="{00000000-0005-0000-0000-00008D7C0000}"/>
    <cellStyle name="Superscript 3 3 8 7 2" xfId="28930" xr:uid="{00000000-0005-0000-0000-00008E7C0000}"/>
    <cellStyle name="Superscript 3 3 8 8" xfId="28931" xr:uid="{00000000-0005-0000-0000-00008F7C0000}"/>
    <cellStyle name="Superscript 3 3 8 8 2" xfId="28932" xr:uid="{00000000-0005-0000-0000-0000907C0000}"/>
    <cellStyle name="Superscript 3 3 8 9" xfId="28933" xr:uid="{00000000-0005-0000-0000-0000917C0000}"/>
    <cellStyle name="Superscript 3 3 8 9 2" xfId="28934" xr:uid="{00000000-0005-0000-0000-0000927C0000}"/>
    <cellStyle name="Superscript 3 3 9" xfId="28935" xr:uid="{00000000-0005-0000-0000-0000937C0000}"/>
    <cellStyle name="Superscript 3 3 9 10" xfId="28936" xr:uid="{00000000-0005-0000-0000-0000947C0000}"/>
    <cellStyle name="Superscript 3 3 9 2" xfId="28937" xr:uid="{00000000-0005-0000-0000-0000957C0000}"/>
    <cellStyle name="Superscript 3 3 9 2 2" xfId="28938" xr:uid="{00000000-0005-0000-0000-0000967C0000}"/>
    <cellStyle name="Superscript 3 3 9 3" xfId="28939" xr:uid="{00000000-0005-0000-0000-0000977C0000}"/>
    <cellStyle name="Superscript 3 3 9 3 2" xfId="28940" xr:uid="{00000000-0005-0000-0000-0000987C0000}"/>
    <cellStyle name="Superscript 3 3 9 4" xfId="28941" xr:uid="{00000000-0005-0000-0000-0000997C0000}"/>
    <cellStyle name="Superscript 3 3 9 4 2" xfId="28942" xr:uid="{00000000-0005-0000-0000-00009A7C0000}"/>
    <cellStyle name="Superscript 3 3 9 5" xfId="28943" xr:uid="{00000000-0005-0000-0000-00009B7C0000}"/>
    <cellStyle name="Superscript 3 3 9 5 2" xfId="28944" xr:uid="{00000000-0005-0000-0000-00009C7C0000}"/>
    <cellStyle name="Superscript 3 3 9 6" xfId="28945" xr:uid="{00000000-0005-0000-0000-00009D7C0000}"/>
    <cellStyle name="Superscript 3 3 9 6 2" xfId="28946" xr:uid="{00000000-0005-0000-0000-00009E7C0000}"/>
    <cellStyle name="Superscript 3 3 9 7" xfId="28947" xr:uid="{00000000-0005-0000-0000-00009F7C0000}"/>
    <cellStyle name="Superscript 3 3 9 7 2" xfId="28948" xr:uid="{00000000-0005-0000-0000-0000A07C0000}"/>
    <cellStyle name="Superscript 3 3 9 8" xfId="28949" xr:uid="{00000000-0005-0000-0000-0000A17C0000}"/>
    <cellStyle name="Superscript 3 3 9 8 2" xfId="28950" xr:uid="{00000000-0005-0000-0000-0000A27C0000}"/>
    <cellStyle name="Superscript 3 3 9 9" xfId="28951" xr:uid="{00000000-0005-0000-0000-0000A37C0000}"/>
    <cellStyle name="Superscript 3 3 9 9 2" xfId="28952" xr:uid="{00000000-0005-0000-0000-0000A47C0000}"/>
    <cellStyle name="Superscript 3 4" xfId="28953" xr:uid="{00000000-0005-0000-0000-0000A57C0000}"/>
    <cellStyle name="Superscript 3 4 10" xfId="28954" xr:uid="{00000000-0005-0000-0000-0000A67C0000}"/>
    <cellStyle name="Superscript 3 4 10 2" xfId="28955" xr:uid="{00000000-0005-0000-0000-0000A77C0000}"/>
    <cellStyle name="Superscript 3 4 10 2 2" xfId="28956" xr:uid="{00000000-0005-0000-0000-0000A87C0000}"/>
    <cellStyle name="Superscript 3 4 10 3" xfId="28957" xr:uid="{00000000-0005-0000-0000-0000A97C0000}"/>
    <cellStyle name="Superscript 3 4 10 3 2" xfId="28958" xr:uid="{00000000-0005-0000-0000-0000AA7C0000}"/>
    <cellStyle name="Superscript 3 4 10 4" xfId="28959" xr:uid="{00000000-0005-0000-0000-0000AB7C0000}"/>
    <cellStyle name="Superscript 3 4 10 4 2" xfId="28960" xr:uid="{00000000-0005-0000-0000-0000AC7C0000}"/>
    <cellStyle name="Superscript 3 4 10 5" xfId="28961" xr:uid="{00000000-0005-0000-0000-0000AD7C0000}"/>
    <cellStyle name="Superscript 3 4 10 5 2" xfId="28962" xr:uid="{00000000-0005-0000-0000-0000AE7C0000}"/>
    <cellStyle name="Superscript 3 4 10 6" xfId="28963" xr:uid="{00000000-0005-0000-0000-0000AF7C0000}"/>
    <cellStyle name="Superscript 3 4 10 6 2" xfId="28964" xr:uid="{00000000-0005-0000-0000-0000B07C0000}"/>
    <cellStyle name="Superscript 3 4 10 7" xfId="28965" xr:uid="{00000000-0005-0000-0000-0000B17C0000}"/>
    <cellStyle name="Superscript 3 4 10 7 2" xfId="28966" xr:uid="{00000000-0005-0000-0000-0000B27C0000}"/>
    <cellStyle name="Superscript 3 4 10 8" xfId="28967" xr:uid="{00000000-0005-0000-0000-0000B37C0000}"/>
    <cellStyle name="Superscript 3 4 10 8 2" xfId="28968" xr:uid="{00000000-0005-0000-0000-0000B47C0000}"/>
    <cellStyle name="Superscript 3 4 10 9" xfId="28969" xr:uid="{00000000-0005-0000-0000-0000B57C0000}"/>
    <cellStyle name="Superscript 3 4 11" xfId="28970" xr:uid="{00000000-0005-0000-0000-0000B67C0000}"/>
    <cellStyle name="Superscript 3 4 11 2" xfId="28971" xr:uid="{00000000-0005-0000-0000-0000B77C0000}"/>
    <cellStyle name="Superscript 3 4 12" xfId="28972" xr:uid="{00000000-0005-0000-0000-0000B87C0000}"/>
    <cellStyle name="Superscript 3 4 12 2" xfId="28973" xr:uid="{00000000-0005-0000-0000-0000B97C0000}"/>
    <cellStyle name="Superscript 3 4 13" xfId="28974" xr:uid="{00000000-0005-0000-0000-0000BA7C0000}"/>
    <cellStyle name="Superscript 3 4 13 2" xfId="28975" xr:uid="{00000000-0005-0000-0000-0000BB7C0000}"/>
    <cellStyle name="Superscript 3 4 14" xfId="28976" xr:uid="{00000000-0005-0000-0000-0000BC7C0000}"/>
    <cellStyle name="Superscript 3 4 14 2" xfId="28977" xr:uid="{00000000-0005-0000-0000-0000BD7C0000}"/>
    <cellStyle name="Superscript 3 4 15" xfId="28978" xr:uid="{00000000-0005-0000-0000-0000BE7C0000}"/>
    <cellStyle name="Superscript 3 4 15 2" xfId="28979" xr:uid="{00000000-0005-0000-0000-0000BF7C0000}"/>
    <cellStyle name="Superscript 3 4 16" xfId="28980" xr:uid="{00000000-0005-0000-0000-0000C07C0000}"/>
    <cellStyle name="Superscript 3 4 16 2" xfId="28981" xr:uid="{00000000-0005-0000-0000-0000C17C0000}"/>
    <cellStyle name="Superscript 3 4 17" xfId="28982" xr:uid="{00000000-0005-0000-0000-0000C27C0000}"/>
    <cellStyle name="Superscript 3 4 17 2" xfId="28983" xr:uid="{00000000-0005-0000-0000-0000C37C0000}"/>
    <cellStyle name="Superscript 3 4 18" xfId="28984" xr:uid="{00000000-0005-0000-0000-0000C47C0000}"/>
    <cellStyle name="Superscript 3 4 2" xfId="28985" xr:uid="{00000000-0005-0000-0000-0000C57C0000}"/>
    <cellStyle name="Superscript 3 4 2 10" xfId="28986" xr:uid="{00000000-0005-0000-0000-0000C67C0000}"/>
    <cellStyle name="Superscript 3 4 2 2" xfId="28987" xr:uid="{00000000-0005-0000-0000-0000C77C0000}"/>
    <cellStyle name="Superscript 3 4 2 2 2" xfId="28988" xr:uid="{00000000-0005-0000-0000-0000C87C0000}"/>
    <cellStyle name="Superscript 3 4 2 3" xfId="28989" xr:uid="{00000000-0005-0000-0000-0000C97C0000}"/>
    <cellStyle name="Superscript 3 4 2 3 2" xfId="28990" xr:uid="{00000000-0005-0000-0000-0000CA7C0000}"/>
    <cellStyle name="Superscript 3 4 2 4" xfId="28991" xr:uid="{00000000-0005-0000-0000-0000CB7C0000}"/>
    <cellStyle name="Superscript 3 4 2 4 2" xfId="28992" xr:uid="{00000000-0005-0000-0000-0000CC7C0000}"/>
    <cellStyle name="Superscript 3 4 2 5" xfId="28993" xr:uid="{00000000-0005-0000-0000-0000CD7C0000}"/>
    <cellStyle name="Superscript 3 4 2 5 2" xfId="28994" xr:uid="{00000000-0005-0000-0000-0000CE7C0000}"/>
    <cellStyle name="Superscript 3 4 2 6" xfId="28995" xr:uid="{00000000-0005-0000-0000-0000CF7C0000}"/>
    <cellStyle name="Superscript 3 4 2 6 2" xfId="28996" xr:uid="{00000000-0005-0000-0000-0000D07C0000}"/>
    <cellStyle name="Superscript 3 4 2 7" xfId="28997" xr:uid="{00000000-0005-0000-0000-0000D17C0000}"/>
    <cellStyle name="Superscript 3 4 2 7 2" xfId="28998" xr:uid="{00000000-0005-0000-0000-0000D27C0000}"/>
    <cellStyle name="Superscript 3 4 2 8" xfId="28999" xr:uid="{00000000-0005-0000-0000-0000D37C0000}"/>
    <cellStyle name="Superscript 3 4 2 8 2" xfId="29000" xr:uid="{00000000-0005-0000-0000-0000D47C0000}"/>
    <cellStyle name="Superscript 3 4 2 9" xfId="29001" xr:uid="{00000000-0005-0000-0000-0000D57C0000}"/>
    <cellStyle name="Superscript 3 4 2 9 2" xfId="29002" xr:uid="{00000000-0005-0000-0000-0000D67C0000}"/>
    <cellStyle name="Superscript 3 4 3" xfId="29003" xr:uid="{00000000-0005-0000-0000-0000D77C0000}"/>
    <cellStyle name="Superscript 3 4 3 10" xfId="29004" xr:uid="{00000000-0005-0000-0000-0000D87C0000}"/>
    <cellStyle name="Superscript 3 4 3 2" xfId="29005" xr:uid="{00000000-0005-0000-0000-0000D97C0000}"/>
    <cellStyle name="Superscript 3 4 3 2 2" xfId="29006" xr:uid="{00000000-0005-0000-0000-0000DA7C0000}"/>
    <cellStyle name="Superscript 3 4 3 3" xfId="29007" xr:uid="{00000000-0005-0000-0000-0000DB7C0000}"/>
    <cellStyle name="Superscript 3 4 3 3 2" xfId="29008" xr:uid="{00000000-0005-0000-0000-0000DC7C0000}"/>
    <cellStyle name="Superscript 3 4 3 4" xfId="29009" xr:uid="{00000000-0005-0000-0000-0000DD7C0000}"/>
    <cellStyle name="Superscript 3 4 3 4 2" xfId="29010" xr:uid="{00000000-0005-0000-0000-0000DE7C0000}"/>
    <cellStyle name="Superscript 3 4 3 5" xfId="29011" xr:uid="{00000000-0005-0000-0000-0000DF7C0000}"/>
    <cellStyle name="Superscript 3 4 3 5 2" xfId="29012" xr:uid="{00000000-0005-0000-0000-0000E07C0000}"/>
    <cellStyle name="Superscript 3 4 3 6" xfId="29013" xr:uid="{00000000-0005-0000-0000-0000E17C0000}"/>
    <cellStyle name="Superscript 3 4 3 6 2" xfId="29014" xr:uid="{00000000-0005-0000-0000-0000E27C0000}"/>
    <cellStyle name="Superscript 3 4 3 7" xfId="29015" xr:uid="{00000000-0005-0000-0000-0000E37C0000}"/>
    <cellStyle name="Superscript 3 4 3 7 2" xfId="29016" xr:uid="{00000000-0005-0000-0000-0000E47C0000}"/>
    <cellStyle name="Superscript 3 4 3 8" xfId="29017" xr:uid="{00000000-0005-0000-0000-0000E57C0000}"/>
    <cellStyle name="Superscript 3 4 3 8 2" xfId="29018" xr:uid="{00000000-0005-0000-0000-0000E67C0000}"/>
    <cellStyle name="Superscript 3 4 3 9" xfId="29019" xr:uid="{00000000-0005-0000-0000-0000E77C0000}"/>
    <cellStyle name="Superscript 3 4 3 9 2" xfId="29020" xr:uid="{00000000-0005-0000-0000-0000E87C0000}"/>
    <cellStyle name="Superscript 3 4 4" xfId="29021" xr:uid="{00000000-0005-0000-0000-0000E97C0000}"/>
    <cellStyle name="Superscript 3 4 4 10" xfId="29022" xr:uid="{00000000-0005-0000-0000-0000EA7C0000}"/>
    <cellStyle name="Superscript 3 4 4 2" xfId="29023" xr:uid="{00000000-0005-0000-0000-0000EB7C0000}"/>
    <cellStyle name="Superscript 3 4 4 2 2" xfId="29024" xr:uid="{00000000-0005-0000-0000-0000EC7C0000}"/>
    <cellStyle name="Superscript 3 4 4 3" xfId="29025" xr:uid="{00000000-0005-0000-0000-0000ED7C0000}"/>
    <cellStyle name="Superscript 3 4 4 3 2" xfId="29026" xr:uid="{00000000-0005-0000-0000-0000EE7C0000}"/>
    <cellStyle name="Superscript 3 4 4 4" xfId="29027" xr:uid="{00000000-0005-0000-0000-0000EF7C0000}"/>
    <cellStyle name="Superscript 3 4 4 4 2" xfId="29028" xr:uid="{00000000-0005-0000-0000-0000F07C0000}"/>
    <cellStyle name="Superscript 3 4 4 5" xfId="29029" xr:uid="{00000000-0005-0000-0000-0000F17C0000}"/>
    <cellStyle name="Superscript 3 4 4 5 2" xfId="29030" xr:uid="{00000000-0005-0000-0000-0000F27C0000}"/>
    <cellStyle name="Superscript 3 4 4 6" xfId="29031" xr:uid="{00000000-0005-0000-0000-0000F37C0000}"/>
    <cellStyle name="Superscript 3 4 4 6 2" xfId="29032" xr:uid="{00000000-0005-0000-0000-0000F47C0000}"/>
    <cellStyle name="Superscript 3 4 4 7" xfId="29033" xr:uid="{00000000-0005-0000-0000-0000F57C0000}"/>
    <cellStyle name="Superscript 3 4 4 7 2" xfId="29034" xr:uid="{00000000-0005-0000-0000-0000F67C0000}"/>
    <cellStyle name="Superscript 3 4 4 8" xfId="29035" xr:uid="{00000000-0005-0000-0000-0000F77C0000}"/>
    <cellStyle name="Superscript 3 4 4 8 2" xfId="29036" xr:uid="{00000000-0005-0000-0000-0000F87C0000}"/>
    <cellStyle name="Superscript 3 4 4 9" xfId="29037" xr:uid="{00000000-0005-0000-0000-0000F97C0000}"/>
    <cellStyle name="Superscript 3 4 4 9 2" xfId="29038" xr:uid="{00000000-0005-0000-0000-0000FA7C0000}"/>
    <cellStyle name="Superscript 3 4 5" xfId="29039" xr:uid="{00000000-0005-0000-0000-0000FB7C0000}"/>
    <cellStyle name="Superscript 3 4 5 10" xfId="29040" xr:uid="{00000000-0005-0000-0000-0000FC7C0000}"/>
    <cellStyle name="Superscript 3 4 5 2" xfId="29041" xr:uid="{00000000-0005-0000-0000-0000FD7C0000}"/>
    <cellStyle name="Superscript 3 4 5 2 2" xfId="29042" xr:uid="{00000000-0005-0000-0000-0000FE7C0000}"/>
    <cellStyle name="Superscript 3 4 5 3" xfId="29043" xr:uid="{00000000-0005-0000-0000-0000FF7C0000}"/>
    <cellStyle name="Superscript 3 4 5 3 2" xfId="29044" xr:uid="{00000000-0005-0000-0000-0000007D0000}"/>
    <cellStyle name="Superscript 3 4 5 4" xfId="29045" xr:uid="{00000000-0005-0000-0000-0000017D0000}"/>
    <cellStyle name="Superscript 3 4 5 4 2" xfId="29046" xr:uid="{00000000-0005-0000-0000-0000027D0000}"/>
    <cellStyle name="Superscript 3 4 5 5" xfId="29047" xr:uid="{00000000-0005-0000-0000-0000037D0000}"/>
    <cellStyle name="Superscript 3 4 5 5 2" xfId="29048" xr:uid="{00000000-0005-0000-0000-0000047D0000}"/>
    <cellStyle name="Superscript 3 4 5 6" xfId="29049" xr:uid="{00000000-0005-0000-0000-0000057D0000}"/>
    <cellStyle name="Superscript 3 4 5 6 2" xfId="29050" xr:uid="{00000000-0005-0000-0000-0000067D0000}"/>
    <cellStyle name="Superscript 3 4 5 7" xfId="29051" xr:uid="{00000000-0005-0000-0000-0000077D0000}"/>
    <cellStyle name="Superscript 3 4 5 7 2" xfId="29052" xr:uid="{00000000-0005-0000-0000-0000087D0000}"/>
    <cellStyle name="Superscript 3 4 5 8" xfId="29053" xr:uid="{00000000-0005-0000-0000-0000097D0000}"/>
    <cellStyle name="Superscript 3 4 5 8 2" xfId="29054" xr:uid="{00000000-0005-0000-0000-00000A7D0000}"/>
    <cellStyle name="Superscript 3 4 5 9" xfId="29055" xr:uid="{00000000-0005-0000-0000-00000B7D0000}"/>
    <cellStyle name="Superscript 3 4 5 9 2" xfId="29056" xr:uid="{00000000-0005-0000-0000-00000C7D0000}"/>
    <cellStyle name="Superscript 3 4 6" xfId="29057" xr:uid="{00000000-0005-0000-0000-00000D7D0000}"/>
    <cellStyle name="Superscript 3 4 6 10" xfId="29058" xr:uid="{00000000-0005-0000-0000-00000E7D0000}"/>
    <cellStyle name="Superscript 3 4 6 2" xfId="29059" xr:uid="{00000000-0005-0000-0000-00000F7D0000}"/>
    <cellStyle name="Superscript 3 4 6 2 2" xfId="29060" xr:uid="{00000000-0005-0000-0000-0000107D0000}"/>
    <cellStyle name="Superscript 3 4 6 3" xfId="29061" xr:uid="{00000000-0005-0000-0000-0000117D0000}"/>
    <cellStyle name="Superscript 3 4 6 3 2" xfId="29062" xr:uid="{00000000-0005-0000-0000-0000127D0000}"/>
    <cellStyle name="Superscript 3 4 6 4" xfId="29063" xr:uid="{00000000-0005-0000-0000-0000137D0000}"/>
    <cellStyle name="Superscript 3 4 6 4 2" xfId="29064" xr:uid="{00000000-0005-0000-0000-0000147D0000}"/>
    <cellStyle name="Superscript 3 4 6 5" xfId="29065" xr:uid="{00000000-0005-0000-0000-0000157D0000}"/>
    <cellStyle name="Superscript 3 4 6 5 2" xfId="29066" xr:uid="{00000000-0005-0000-0000-0000167D0000}"/>
    <cellStyle name="Superscript 3 4 6 6" xfId="29067" xr:uid="{00000000-0005-0000-0000-0000177D0000}"/>
    <cellStyle name="Superscript 3 4 6 6 2" xfId="29068" xr:uid="{00000000-0005-0000-0000-0000187D0000}"/>
    <cellStyle name="Superscript 3 4 6 7" xfId="29069" xr:uid="{00000000-0005-0000-0000-0000197D0000}"/>
    <cellStyle name="Superscript 3 4 6 7 2" xfId="29070" xr:uid="{00000000-0005-0000-0000-00001A7D0000}"/>
    <cellStyle name="Superscript 3 4 6 8" xfId="29071" xr:uid="{00000000-0005-0000-0000-00001B7D0000}"/>
    <cellStyle name="Superscript 3 4 6 8 2" xfId="29072" xr:uid="{00000000-0005-0000-0000-00001C7D0000}"/>
    <cellStyle name="Superscript 3 4 6 9" xfId="29073" xr:uid="{00000000-0005-0000-0000-00001D7D0000}"/>
    <cellStyle name="Superscript 3 4 6 9 2" xfId="29074" xr:uid="{00000000-0005-0000-0000-00001E7D0000}"/>
    <cellStyle name="Superscript 3 4 7" xfId="29075" xr:uid="{00000000-0005-0000-0000-00001F7D0000}"/>
    <cellStyle name="Superscript 3 4 7 10" xfId="29076" xr:uid="{00000000-0005-0000-0000-0000207D0000}"/>
    <cellStyle name="Superscript 3 4 7 2" xfId="29077" xr:uid="{00000000-0005-0000-0000-0000217D0000}"/>
    <cellStyle name="Superscript 3 4 7 2 2" xfId="29078" xr:uid="{00000000-0005-0000-0000-0000227D0000}"/>
    <cellStyle name="Superscript 3 4 7 3" xfId="29079" xr:uid="{00000000-0005-0000-0000-0000237D0000}"/>
    <cellStyle name="Superscript 3 4 7 3 2" xfId="29080" xr:uid="{00000000-0005-0000-0000-0000247D0000}"/>
    <cellStyle name="Superscript 3 4 7 4" xfId="29081" xr:uid="{00000000-0005-0000-0000-0000257D0000}"/>
    <cellStyle name="Superscript 3 4 7 4 2" xfId="29082" xr:uid="{00000000-0005-0000-0000-0000267D0000}"/>
    <cellStyle name="Superscript 3 4 7 5" xfId="29083" xr:uid="{00000000-0005-0000-0000-0000277D0000}"/>
    <cellStyle name="Superscript 3 4 7 5 2" xfId="29084" xr:uid="{00000000-0005-0000-0000-0000287D0000}"/>
    <cellStyle name="Superscript 3 4 7 6" xfId="29085" xr:uid="{00000000-0005-0000-0000-0000297D0000}"/>
    <cellStyle name="Superscript 3 4 7 6 2" xfId="29086" xr:uid="{00000000-0005-0000-0000-00002A7D0000}"/>
    <cellStyle name="Superscript 3 4 7 7" xfId="29087" xr:uid="{00000000-0005-0000-0000-00002B7D0000}"/>
    <cellStyle name="Superscript 3 4 7 7 2" xfId="29088" xr:uid="{00000000-0005-0000-0000-00002C7D0000}"/>
    <cellStyle name="Superscript 3 4 7 8" xfId="29089" xr:uid="{00000000-0005-0000-0000-00002D7D0000}"/>
    <cellStyle name="Superscript 3 4 7 8 2" xfId="29090" xr:uid="{00000000-0005-0000-0000-00002E7D0000}"/>
    <cellStyle name="Superscript 3 4 7 9" xfId="29091" xr:uid="{00000000-0005-0000-0000-00002F7D0000}"/>
    <cellStyle name="Superscript 3 4 7 9 2" xfId="29092" xr:uid="{00000000-0005-0000-0000-0000307D0000}"/>
    <cellStyle name="Superscript 3 4 8" xfId="29093" xr:uid="{00000000-0005-0000-0000-0000317D0000}"/>
    <cellStyle name="Superscript 3 4 8 10" xfId="29094" xr:uid="{00000000-0005-0000-0000-0000327D0000}"/>
    <cellStyle name="Superscript 3 4 8 2" xfId="29095" xr:uid="{00000000-0005-0000-0000-0000337D0000}"/>
    <cellStyle name="Superscript 3 4 8 2 2" xfId="29096" xr:uid="{00000000-0005-0000-0000-0000347D0000}"/>
    <cellStyle name="Superscript 3 4 8 3" xfId="29097" xr:uid="{00000000-0005-0000-0000-0000357D0000}"/>
    <cellStyle name="Superscript 3 4 8 3 2" xfId="29098" xr:uid="{00000000-0005-0000-0000-0000367D0000}"/>
    <cellStyle name="Superscript 3 4 8 4" xfId="29099" xr:uid="{00000000-0005-0000-0000-0000377D0000}"/>
    <cellStyle name="Superscript 3 4 8 4 2" xfId="29100" xr:uid="{00000000-0005-0000-0000-0000387D0000}"/>
    <cellStyle name="Superscript 3 4 8 5" xfId="29101" xr:uid="{00000000-0005-0000-0000-0000397D0000}"/>
    <cellStyle name="Superscript 3 4 8 5 2" xfId="29102" xr:uid="{00000000-0005-0000-0000-00003A7D0000}"/>
    <cellStyle name="Superscript 3 4 8 6" xfId="29103" xr:uid="{00000000-0005-0000-0000-00003B7D0000}"/>
    <cellStyle name="Superscript 3 4 8 6 2" xfId="29104" xr:uid="{00000000-0005-0000-0000-00003C7D0000}"/>
    <cellStyle name="Superscript 3 4 8 7" xfId="29105" xr:uid="{00000000-0005-0000-0000-00003D7D0000}"/>
    <cellStyle name="Superscript 3 4 8 7 2" xfId="29106" xr:uid="{00000000-0005-0000-0000-00003E7D0000}"/>
    <cellStyle name="Superscript 3 4 8 8" xfId="29107" xr:uid="{00000000-0005-0000-0000-00003F7D0000}"/>
    <cellStyle name="Superscript 3 4 8 8 2" xfId="29108" xr:uid="{00000000-0005-0000-0000-0000407D0000}"/>
    <cellStyle name="Superscript 3 4 8 9" xfId="29109" xr:uid="{00000000-0005-0000-0000-0000417D0000}"/>
    <cellStyle name="Superscript 3 4 8 9 2" xfId="29110" xr:uid="{00000000-0005-0000-0000-0000427D0000}"/>
    <cellStyle name="Superscript 3 4 9" xfId="29111" xr:uid="{00000000-0005-0000-0000-0000437D0000}"/>
    <cellStyle name="Superscript 3 4 9 10" xfId="29112" xr:uid="{00000000-0005-0000-0000-0000447D0000}"/>
    <cellStyle name="Superscript 3 4 9 2" xfId="29113" xr:uid="{00000000-0005-0000-0000-0000457D0000}"/>
    <cellStyle name="Superscript 3 4 9 2 2" xfId="29114" xr:uid="{00000000-0005-0000-0000-0000467D0000}"/>
    <cellStyle name="Superscript 3 4 9 3" xfId="29115" xr:uid="{00000000-0005-0000-0000-0000477D0000}"/>
    <cellStyle name="Superscript 3 4 9 3 2" xfId="29116" xr:uid="{00000000-0005-0000-0000-0000487D0000}"/>
    <cellStyle name="Superscript 3 4 9 4" xfId="29117" xr:uid="{00000000-0005-0000-0000-0000497D0000}"/>
    <cellStyle name="Superscript 3 4 9 4 2" xfId="29118" xr:uid="{00000000-0005-0000-0000-00004A7D0000}"/>
    <cellStyle name="Superscript 3 4 9 5" xfId="29119" xr:uid="{00000000-0005-0000-0000-00004B7D0000}"/>
    <cellStyle name="Superscript 3 4 9 5 2" xfId="29120" xr:uid="{00000000-0005-0000-0000-00004C7D0000}"/>
    <cellStyle name="Superscript 3 4 9 6" xfId="29121" xr:uid="{00000000-0005-0000-0000-00004D7D0000}"/>
    <cellStyle name="Superscript 3 4 9 6 2" xfId="29122" xr:uid="{00000000-0005-0000-0000-00004E7D0000}"/>
    <cellStyle name="Superscript 3 4 9 7" xfId="29123" xr:uid="{00000000-0005-0000-0000-00004F7D0000}"/>
    <cellStyle name="Superscript 3 4 9 7 2" xfId="29124" xr:uid="{00000000-0005-0000-0000-0000507D0000}"/>
    <cellStyle name="Superscript 3 4 9 8" xfId="29125" xr:uid="{00000000-0005-0000-0000-0000517D0000}"/>
    <cellStyle name="Superscript 3 4 9 8 2" xfId="29126" xr:uid="{00000000-0005-0000-0000-0000527D0000}"/>
    <cellStyle name="Superscript 3 4 9 9" xfId="29127" xr:uid="{00000000-0005-0000-0000-0000537D0000}"/>
    <cellStyle name="Superscript 3 4 9 9 2" xfId="29128" xr:uid="{00000000-0005-0000-0000-0000547D0000}"/>
    <cellStyle name="Superscript 3 5" xfId="29129" xr:uid="{00000000-0005-0000-0000-0000557D0000}"/>
    <cellStyle name="Superscript 3 5 10" xfId="29130" xr:uid="{00000000-0005-0000-0000-0000567D0000}"/>
    <cellStyle name="Superscript 3 5 10 2" xfId="29131" xr:uid="{00000000-0005-0000-0000-0000577D0000}"/>
    <cellStyle name="Superscript 3 5 10 2 2" xfId="29132" xr:uid="{00000000-0005-0000-0000-0000587D0000}"/>
    <cellStyle name="Superscript 3 5 10 3" xfId="29133" xr:uid="{00000000-0005-0000-0000-0000597D0000}"/>
    <cellStyle name="Superscript 3 5 10 3 2" xfId="29134" xr:uid="{00000000-0005-0000-0000-00005A7D0000}"/>
    <cellStyle name="Superscript 3 5 10 4" xfId="29135" xr:uid="{00000000-0005-0000-0000-00005B7D0000}"/>
    <cellStyle name="Superscript 3 5 10 4 2" xfId="29136" xr:uid="{00000000-0005-0000-0000-00005C7D0000}"/>
    <cellStyle name="Superscript 3 5 10 5" xfId="29137" xr:uid="{00000000-0005-0000-0000-00005D7D0000}"/>
    <cellStyle name="Superscript 3 5 10 5 2" xfId="29138" xr:uid="{00000000-0005-0000-0000-00005E7D0000}"/>
    <cellStyle name="Superscript 3 5 10 6" xfId="29139" xr:uid="{00000000-0005-0000-0000-00005F7D0000}"/>
    <cellStyle name="Superscript 3 5 10 6 2" xfId="29140" xr:uid="{00000000-0005-0000-0000-0000607D0000}"/>
    <cellStyle name="Superscript 3 5 10 7" xfId="29141" xr:uid="{00000000-0005-0000-0000-0000617D0000}"/>
    <cellStyle name="Superscript 3 5 10 7 2" xfId="29142" xr:uid="{00000000-0005-0000-0000-0000627D0000}"/>
    <cellStyle name="Superscript 3 5 10 8" xfId="29143" xr:uid="{00000000-0005-0000-0000-0000637D0000}"/>
    <cellStyle name="Superscript 3 5 10 8 2" xfId="29144" xr:uid="{00000000-0005-0000-0000-0000647D0000}"/>
    <cellStyle name="Superscript 3 5 10 9" xfId="29145" xr:uid="{00000000-0005-0000-0000-0000657D0000}"/>
    <cellStyle name="Superscript 3 5 11" xfId="29146" xr:uid="{00000000-0005-0000-0000-0000667D0000}"/>
    <cellStyle name="Superscript 3 5 11 2" xfId="29147" xr:uid="{00000000-0005-0000-0000-0000677D0000}"/>
    <cellStyle name="Superscript 3 5 12" xfId="29148" xr:uid="{00000000-0005-0000-0000-0000687D0000}"/>
    <cellStyle name="Superscript 3 5 12 2" xfId="29149" xr:uid="{00000000-0005-0000-0000-0000697D0000}"/>
    <cellStyle name="Superscript 3 5 13" xfId="29150" xr:uid="{00000000-0005-0000-0000-00006A7D0000}"/>
    <cellStyle name="Superscript 3 5 13 2" xfId="29151" xr:uid="{00000000-0005-0000-0000-00006B7D0000}"/>
    <cellStyle name="Superscript 3 5 14" xfId="29152" xr:uid="{00000000-0005-0000-0000-00006C7D0000}"/>
    <cellStyle name="Superscript 3 5 14 2" xfId="29153" xr:uid="{00000000-0005-0000-0000-00006D7D0000}"/>
    <cellStyle name="Superscript 3 5 15" xfId="29154" xr:uid="{00000000-0005-0000-0000-00006E7D0000}"/>
    <cellStyle name="Superscript 3 5 15 2" xfId="29155" xr:uid="{00000000-0005-0000-0000-00006F7D0000}"/>
    <cellStyle name="Superscript 3 5 16" xfId="29156" xr:uid="{00000000-0005-0000-0000-0000707D0000}"/>
    <cellStyle name="Superscript 3 5 16 2" xfId="29157" xr:uid="{00000000-0005-0000-0000-0000717D0000}"/>
    <cellStyle name="Superscript 3 5 17" xfId="29158" xr:uid="{00000000-0005-0000-0000-0000727D0000}"/>
    <cellStyle name="Superscript 3 5 17 2" xfId="29159" xr:uid="{00000000-0005-0000-0000-0000737D0000}"/>
    <cellStyle name="Superscript 3 5 18" xfId="29160" xr:uid="{00000000-0005-0000-0000-0000747D0000}"/>
    <cellStyle name="Superscript 3 5 2" xfId="29161" xr:uid="{00000000-0005-0000-0000-0000757D0000}"/>
    <cellStyle name="Superscript 3 5 2 10" xfId="29162" xr:uid="{00000000-0005-0000-0000-0000767D0000}"/>
    <cellStyle name="Superscript 3 5 2 2" xfId="29163" xr:uid="{00000000-0005-0000-0000-0000777D0000}"/>
    <cellStyle name="Superscript 3 5 2 2 2" xfId="29164" xr:uid="{00000000-0005-0000-0000-0000787D0000}"/>
    <cellStyle name="Superscript 3 5 2 3" xfId="29165" xr:uid="{00000000-0005-0000-0000-0000797D0000}"/>
    <cellStyle name="Superscript 3 5 2 3 2" xfId="29166" xr:uid="{00000000-0005-0000-0000-00007A7D0000}"/>
    <cellStyle name="Superscript 3 5 2 4" xfId="29167" xr:uid="{00000000-0005-0000-0000-00007B7D0000}"/>
    <cellStyle name="Superscript 3 5 2 4 2" xfId="29168" xr:uid="{00000000-0005-0000-0000-00007C7D0000}"/>
    <cellStyle name="Superscript 3 5 2 5" xfId="29169" xr:uid="{00000000-0005-0000-0000-00007D7D0000}"/>
    <cellStyle name="Superscript 3 5 2 5 2" xfId="29170" xr:uid="{00000000-0005-0000-0000-00007E7D0000}"/>
    <cellStyle name="Superscript 3 5 2 6" xfId="29171" xr:uid="{00000000-0005-0000-0000-00007F7D0000}"/>
    <cellStyle name="Superscript 3 5 2 6 2" xfId="29172" xr:uid="{00000000-0005-0000-0000-0000807D0000}"/>
    <cellStyle name="Superscript 3 5 2 7" xfId="29173" xr:uid="{00000000-0005-0000-0000-0000817D0000}"/>
    <cellStyle name="Superscript 3 5 2 7 2" xfId="29174" xr:uid="{00000000-0005-0000-0000-0000827D0000}"/>
    <cellStyle name="Superscript 3 5 2 8" xfId="29175" xr:uid="{00000000-0005-0000-0000-0000837D0000}"/>
    <cellStyle name="Superscript 3 5 2 8 2" xfId="29176" xr:uid="{00000000-0005-0000-0000-0000847D0000}"/>
    <cellStyle name="Superscript 3 5 2 9" xfId="29177" xr:uid="{00000000-0005-0000-0000-0000857D0000}"/>
    <cellStyle name="Superscript 3 5 2 9 2" xfId="29178" xr:uid="{00000000-0005-0000-0000-0000867D0000}"/>
    <cellStyle name="Superscript 3 5 3" xfId="29179" xr:uid="{00000000-0005-0000-0000-0000877D0000}"/>
    <cellStyle name="Superscript 3 5 3 10" xfId="29180" xr:uid="{00000000-0005-0000-0000-0000887D0000}"/>
    <cellStyle name="Superscript 3 5 3 2" xfId="29181" xr:uid="{00000000-0005-0000-0000-0000897D0000}"/>
    <cellStyle name="Superscript 3 5 3 2 2" xfId="29182" xr:uid="{00000000-0005-0000-0000-00008A7D0000}"/>
    <cellStyle name="Superscript 3 5 3 3" xfId="29183" xr:uid="{00000000-0005-0000-0000-00008B7D0000}"/>
    <cellStyle name="Superscript 3 5 3 3 2" xfId="29184" xr:uid="{00000000-0005-0000-0000-00008C7D0000}"/>
    <cellStyle name="Superscript 3 5 3 4" xfId="29185" xr:uid="{00000000-0005-0000-0000-00008D7D0000}"/>
    <cellStyle name="Superscript 3 5 3 4 2" xfId="29186" xr:uid="{00000000-0005-0000-0000-00008E7D0000}"/>
    <cellStyle name="Superscript 3 5 3 5" xfId="29187" xr:uid="{00000000-0005-0000-0000-00008F7D0000}"/>
    <cellStyle name="Superscript 3 5 3 5 2" xfId="29188" xr:uid="{00000000-0005-0000-0000-0000907D0000}"/>
    <cellStyle name="Superscript 3 5 3 6" xfId="29189" xr:uid="{00000000-0005-0000-0000-0000917D0000}"/>
    <cellStyle name="Superscript 3 5 3 6 2" xfId="29190" xr:uid="{00000000-0005-0000-0000-0000927D0000}"/>
    <cellStyle name="Superscript 3 5 3 7" xfId="29191" xr:uid="{00000000-0005-0000-0000-0000937D0000}"/>
    <cellStyle name="Superscript 3 5 3 7 2" xfId="29192" xr:uid="{00000000-0005-0000-0000-0000947D0000}"/>
    <cellStyle name="Superscript 3 5 3 8" xfId="29193" xr:uid="{00000000-0005-0000-0000-0000957D0000}"/>
    <cellStyle name="Superscript 3 5 3 8 2" xfId="29194" xr:uid="{00000000-0005-0000-0000-0000967D0000}"/>
    <cellStyle name="Superscript 3 5 3 9" xfId="29195" xr:uid="{00000000-0005-0000-0000-0000977D0000}"/>
    <cellStyle name="Superscript 3 5 3 9 2" xfId="29196" xr:uid="{00000000-0005-0000-0000-0000987D0000}"/>
    <cellStyle name="Superscript 3 5 4" xfId="29197" xr:uid="{00000000-0005-0000-0000-0000997D0000}"/>
    <cellStyle name="Superscript 3 5 4 10" xfId="29198" xr:uid="{00000000-0005-0000-0000-00009A7D0000}"/>
    <cellStyle name="Superscript 3 5 4 2" xfId="29199" xr:uid="{00000000-0005-0000-0000-00009B7D0000}"/>
    <cellStyle name="Superscript 3 5 4 2 2" xfId="29200" xr:uid="{00000000-0005-0000-0000-00009C7D0000}"/>
    <cellStyle name="Superscript 3 5 4 3" xfId="29201" xr:uid="{00000000-0005-0000-0000-00009D7D0000}"/>
    <cellStyle name="Superscript 3 5 4 3 2" xfId="29202" xr:uid="{00000000-0005-0000-0000-00009E7D0000}"/>
    <cellStyle name="Superscript 3 5 4 4" xfId="29203" xr:uid="{00000000-0005-0000-0000-00009F7D0000}"/>
    <cellStyle name="Superscript 3 5 4 4 2" xfId="29204" xr:uid="{00000000-0005-0000-0000-0000A07D0000}"/>
    <cellStyle name="Superscript 3 5 4 5" xfId="29205" xr:uid="{00000000-0005-0000-0000-0000A17D0000}"/>
    <cellStyle name="Superscript 3 5 4 5 2" xfId="29206" xr:uid="{00000000-0005-0000-0000-0000A27D0000}"/>
    <cellStyle name="Superscript 3 5 4 6" xfId="29207" xr:uid="{00000000-0005-0000-0000-0000A37D0000}"/>
    <cellStyle name="Superscript 3 5 4 6 2" xfId="29208" xr:uid="{00000000-0005-0000-0000-0000A47D0000}"/>
    <cellStyle name="Superscript 3 5 4 7" xfId="29209" xr:uid="{00000000-0005-0000-0000-0000A57D0000}"/>
    <cellStyle name="Superscript 3 5 4 7 2" xfId="29210" xr:uid="{00000000-0005-0000-0000-0000A67D0000}"/>
    <cellStyle name="Superscript 3 5 4 8" xfId="29211" xr:uid="{00000000-0005-0000-0000-0000A77D0000}"/>
    <cellStyle name="Superscript 3 5 4 8 2" xfId="29212" xr:uid="{00000000-0005-0000-0000-0000A87D0000}"/>
    <cellStyle name="Superscript 3 5 4 9" xfId="29213" xr:uid="{00000000-0005-0000-0000-0000A97D0000}"/>
    <cellStyle name="Superscript 3 5 4 9 2" xfId="29214" xr:uid="{00000000-0005-0000-0000-0000AA7D0000}"/>
    <cellStyle name="Superscript 3 5 5" xfId="29215" xr:uid="{00000000-0005-0000-0000-0000AB7D0000}"/>
    <cellStyle name="Superscript 3 5 5 10" xfId="29216" xr:uid="{00000000-0005-0000-0000-0000AC7D0000}"/>
    <cellStyle name="Superscript 3 5 5 2" xfId="29217" xr:uid="{00000000-0005-0000-0000-0000AD7D0000}"/>
    <cellStyle name="Superscript 3 5 5 2 2" xfId="29218" xr:uid="{00000000-0005-0000-0000-0000AE7D0000}"/>
    <cellStyle name="Superscript 3 5 5 3" xfId="29219" xr:uid="{00000000-0005-0000-0000-0000AF7D0000}"/>
    <cellStyle name="Superscript 3 5 5 3 2" xfId="29220" xr:uid="{00000000-0005-0000-0000-0000B07D0000}"/>
    <cellStyle name="Superscript 3 5 5 4" xfId="29221" xr:uid="{00000000-0005-0000-0000-0000B17D0000}"/>
    <cellStyle name="Superscript 3 5 5 4 2" xfId="29222" xr:uid="{00000000-0005-0000-0000-0000B27D0000}"/>
    <cellStyle name="Superscript 3 5 5 5" xfId="29223" xr:uid="{00000000-0005-0000-0000-0000B37D0000}"/>
    <cellStyle name="Superscript 3 5 5 5 2" xfId="29224" xr:uid="{00000000-0005-0000-0000-0000B47D0000}"/>
    <cellStyle name="Superscript 3 5 5 6" xfId="29225" xr:uid="{00000000-0005-0000-0000-0000B57D0000}"/>
    <cellStyle name="Superscript 3 5 5 6 2" xfId="29226" xr:uid="{00000000-0005-0000-0000-0000B67D0000}"/>
    <cellStyle name="Superscript 3 5 5 7" xfId="29227" xr:uid="{00000000-0005-0000-0000-0000B77D0000}"/>
    <cellStyle name="Superscript 3 5 5 7 2" xfId="29228" xr:uid="{00000000-0005-0000-0000-0000B87D0000}"/>
    <cellStyle name="Superscript 3 5 5 8" xfId="29229" xr:uid="{00000000-0005-0000-0000-0000B97D0000}"/>
    <cellStyle name="Superscript 3 5 5 8 2" xfId="29230" xr:uid="{00000000-0005-0000-0000-0000BA7D0000}"/>
    <cellStyle name="Superscript 3 5 5 9" xfId="29231" xr:uid="{00000000-0005-0000-0000-0000BB7D0000}"/>
    <cellStyle name="Superscript 3 5 5 9 2" xfId="29232" xr:uid="{00000000-0005-0000-0000-0000BC7D0000}"/>
    <cellStyle name="Superscript 3 5 6" xfId="29233" xr:uid="{00000000-0005-0000-0000-0000BD7D0000}"/>
    <cellStyle name="Superscript 3 5 6 10" xfId="29234" xr:uid="{00000000-0005-0000-0000-0000BE7D0000}"/>
    <cellStyle name="Superscript 3 5 6 2" xfId="29235" xr:uid="{00000000-0005-0000-0000-0000BF7D0000}"/>
    <cellStyle name="Superscript 3 5 6 2 2" xfId="29236" xr:uid="{00000000-0005-0000-0000-0000C07D0000}"/>
    <cellStyle name="Superscript 3 5 6 3" xfId="29237" xr:uid="{00000000-0005-0000-0000-0000C17D0000}"/>
    <cellStyle name="Superscript 3 5 6 3 2" xfId="29238" xr:uid="{00000000-0005-0000-0000-0000C27D0000}"/>
    <cellStyle name="Superscript 3 5 6 4" xfId="29239" xr:uid="{00000000-0005-0000-0000-0000C37D0000}"/>
    <cellStyle name="Superscript 3 5 6 4 2" xfId="29240" xr:uid="{00000000-0005-0000-0000-0000C47D0000}"/>
    <cellStyle name="Superscript 3 5 6 5" xfId="29241" xr:uid="{00000000-0005-0000-0000-0000C57D0000}"/>
    <cellStyle name="Superscript 3 5 6 5 2" xfId="29242" xr:uid="{00000000-0005-0000-0000-0000C67D0000}"/>
    <cellStyle name="Superscript 3 5 6 6" xfId="29243" xr:uid="{00000000-0005-0000-0000-0000C77D0000}"/>
    <cellStyle name="Superscript 3 5 6 6 2" xfId="29244" xr:uid="{00000000-0005-0000-0000-0000C87D0000}"/>
    <cellStyle name="Superscript 3 5 6 7" xfId="29245" xr:uid="{00000000-0005-0000-0000-0000C97D0000}"/>
    <cellStyle name="Superscript 3 5 6 7 2" xfId="29246" xr:uid="{00000000-0005-0000-0000-0000CA7D0000}"/>
    <cellStyle name="Superscript 3 5 6 8" xfId="29247" xr:uid="{00000000-0005-0000-0000-0000CB7D0000}"/>
    <cellStyle name="Superscript 3 5 6 8 2" xfId="29248" xr:uid="{00000000-0005-0000-0000-0000CC7D0000}"/>
    <cellStyle name="Superscript 3 5 6 9" xfId="29249" xr:uid="{00000000-0005-0000-0000-0000CD7D0000}"/>
    <cellStyle name="Superscript 3 5 6 9 2" xfId="29250" xr:uid="{00000000-0005-0000-0000-0000CE7D0000}"/>
    <cellStyle name="Superscript 3 5 7" xfId="29251" xr:uid="{00000000-0005-0000-0000-0000CF7D0000}"/>
    <cellStyle name="Superscript 3 5 7 10" xfId="29252" xr:uid="{00000000-0005-0000-0000-0000D07D0000}"/>
    <cellStyle name="Superscript 3 5 7 2" xfId="29253" xr:uid="{00000000-0005-0000-0000-0000D17D0000}"/>
    <cellStyle name="Superscript 3 5 7 2 2" xfId="29254" xr:uid="{00000000-0005-0000-0000-0000D27D0000}"/>
    <cellStyle name="Superscript 3 5 7 3" xfId="29255" xr:uid="{00000000-0005-0000-0000-0000D37D0000}"/>
    <cellStyle name="Superscript 3 5 7 3 2" xfId="29256" xr:uid="{00000000-0005-0000-0000-0000D47D0000}"/>
    <cellStyle name="Superscript 3 5 7 4" xfId="29257" xr:uid="{00000000-0005-0000-0000-0000D57D0000}"/>
    <cellStyle name="Superscript 3 5 7 4 2" xfId="29258" xr:uid="{00000000-0005-0000-0000-0000D67D0000}"/>
    <cellStyle name="Superscript 3 5 7 5" xfId="29259" xr:uid="{00000000-0005-0000-0000-0000D77D0000}"/>
    <cellStyle name="Superscript 3 5 7 5 2" xfId="29260" xr:uid="{00000000-0005-0000-0000-0000D87D0000}"/>
    <cellStyle name="Superscript 3 5 7 6" xfId="29261" xr:uid="{00000000-0005-0000-0000-0000D97D0000}"/>
    <cellStyle name="Superscript 3 5 7 6 2" xfId="29262" xr:uid="{00000000-0005-0000-0000-0000DA7D0000}"/>
    <cellStyle name="Superscript 3 5 7 7" xfId="29263" xr:uid="{00000000-0005-0000-0000-0000DB7D0000}"/>
    <cellStyle name="Superscript 3 5 7 7 2" xfId="29264" xr:uid="{00000000-0005-0000-0000-0000DC7D0000}"/>
    <cellStyle name="Superscript 3 5 7 8" xfId="29265" xr:uid="{00000000-0005-0000-0000-0000DD7D0000}"/>
    <cellStyle name="Superscript 3 5 7 8 2" xfId="29266" xr:uid="{00000000-0005-0000-0000-0000DE7D0000}"/>
    <cellStyle name="Superscript 3 5 7 9" xfId="29267" xr:uid="{00000000-0005-0000-0000-0000DF7D0000}"/>
    <cellStyle name="Superscript 3 5 7 9 2" xfId="29268" xr:uid="{00000000-0005-0000-0000-0000E07D0000}"/>
    <cellStyle name="Superscript 3 5 8" xfId="29269" xr:uid="{00000000-0005-0000-0000-0000E17D0000}"/>
    <cellStyle name="Superscript 3 5 8 10" xfId="29270" xr:uid="{00000000-0005-0000-0000-0000E27D0000}"/>
    <cellStyle name="Superscript 3 5 8 2" xfId="29271" xr:uid="{00000000-0005-0000-0000-0000E37D0000}"/>
    <cellStyle name="Superscript 3 5 8 2 2" xfId="29272" xr:uid="{00000000-0005-0000-0000-0000E47D0000}"/>
    <cellStyle name="Superscript 3 5 8 3" xfId="29273" xr:uid="{00000000-0005-0000-0000-0000E57D0000}"/>
    <cellStyle name="Superscript 3 5 8 3 2" xfId="29274" xr:uid="{00000000-0005-0000-0000-0000E67D0000}"/>
    <cellStyle name="Superscript 3 5 8 4" xfId="29275" xr:uid="{00000000-0005-0000-0000-0000E77D0000}"/>
    <cellStyle name="Superscript 3 5 8 4 2" xfId="29276" xr:uid="{00000000-0005-0000-0000-0000E87D0000}"/>
    <cellStyle name="Superscript 3 5 8 5" xfId="29277" xr:uid="{00000000-0005-0000-0000-0000E97D0000}"/>
    <cellStyle name="Superscript 3 5 8 5 2" xfId="29278" xr:uid="{00000000-0005-0000-0000-0000EA7D0000}"/>
    <cellStyle name="Superscript 3 5 8 6" xfId="29279" xr:uid="{00000000-0005-0000-0000-0000EB7D0000}"/>
    <cellStyle name="Superscript 3 5 8 6 2" xfId="29280" xr:uid="{00000000-0005-0000-0000-0000EC7D0000}"/>
    <cellStyle name="Superscript 3 5 8 7" xfId="29281" xr:uid="{00000000-0005-0000-0000-0000ED7D0000}"/>
    <cellStyle name="Superscript 3 5 8 7 2" xfId="29282" xr:uid="{00000000-0005-0000-0000-0000EE7D0000}"/>
    <cellStyle name="Superscript 3 5 8 8" xfId="29283" xr:uid="{00000000-0005-0000-0000-0000EF7D0000}"/>
    <cellStyle name="Superscript 3 5 8 8 2" xfId="29284" xr:uid="{00000000-0005-0000-0000-0000F07D0000}"/>
    <cellStyle name="Superscript 3 5 8 9" xfId="29285" xr:uid="{00000000-0005-0000-0000-0000F17D0000}"/>
    <cellStyle name="Superscript 3 5 8 9 2" xfId="29286" xr:uid="{00000000-0005-0000-0000-0000F27D0000}"/>
    <cellStyle name="Superscript 3 5 9" xfId="29287" xr:uid="{00000000-0005-0000-0000-0000F37D0000}"/>
    <cellStyle name="Superscript 3 5 9 10" xfId="29288" xr:uid="{00000000-0005-0000-0000-0000F47D0000}"/>
    <cellStyle name="Superscript 3 5 9 2" xfId="29289" xr:uid="{00000000-0005-0000-0000-0000F57D0000}"/>
    <cellStyle name="Superscript 3 5 9 2 2" xfId="29290" xr:uid="{00000000-0005-0000-0000-0000F67D0000}"/>
    <cellStyle name="Superscript 3 5 9 3" xfId="29291" xr:uid="{00000000-0005-0000-0000-0000F77D0000}"/>
    <cellStyle name="Superscript 3 5 9 3 2" xfId="29292" xr:uid="{00000000-0005-0000-0000-0000F87D0000}"/>
    <cellStyle name="Superscript 3 5 9 4" xfId="29293" xr:uid="{00000000-0005-0000-0000-0000F97D0000}"/>
    <cellStyle name="Superscript 3 5 9 4 2" xfId="29294" xr:uid="{00000000-0005-0000-0000-0000FA7D0000}"/>
    <cellStyle name="Superscript 3 5 9 5" xfId="29295" xr:uid="{00000000-0005-0000-0000-0000FB7D0000}"/>
    <cellStyle name="Superscript 3 5 9 5 2" xfId="29296" xr:uid="{00000000-0005-0000-0000-0000FC7D0000}"/>
    <cellStyle name="Superscript 3 5 9 6" xfId="29297" xr:uid="{00000000-0005-0000-0000-0000FD7D0000}"/>
    <cellStyle name="Superscript 3 5 9 6 2" xfId="29298" xr:uid="{00000000-0005-0000-0000-0000FE7D0000}"/>
    <cellStyle name="Superscript 3 5 9 7" xfId="29299" xr:uid="{00000000-0005-0000-0000-0000FF7D0000}"/>
    <cellStyle name="Superscript 3 5 9 7 2" xfId="29300" xr:uid="{00000000-0005-0000-0000-0000007E0000}"/>
    <cellStyle name="Superscript 3 5 9 8" xfId="29301" xr:uid="{00000000-0005-0000-0000-0000017E0000}"/>
    <cellStyle name="Superscript 3 5 9 8 2" xfId="29302" xr:uid="{00000000-0005-0000-0000-0000027E0000}"/>
    <cellStyle name="Superscript 3 5 9 9" xfId="29303" xr:uid="{00000000-0005-0000-0000-0000037E0000}"/>
    <cellStyle name="Superscript 3 5 9 9 2" xfId="29304" xr:uid="{00000000-0005-0000-0000-0000047E0000}"/>
    <cellStyle name="Superscript 3 6" xfId="29305" xr:uid="{00000000-0005-0000-0000-0000057E0000}"/>
    <cellStyle name="Superscript 3 6 10" xfId="29306" xr:uid="{00000000-0005-0000-0000-0000067E0000}"/>
    <cellStyle name="Superscript 3 6 10 2" xfId="29307" xr:uid="{00000000-0005-0000-0000-0000077E0000}"/>
    <cellStyle name="Superscript 3 6 10 2 2" xfId="29308" xr:uid="{00000000-0005-0000-0000-0000087E0000}"/>
    <cellStyle name="Superscript 3 6 10 3" xfId="29309" xr:uid="{00000000-0005-0000-0000-0000097E0000}"/>
    <cellStyle name="Superscript 3 6 10 3 2" xfId="29310" xr:uid="{00000000-0005-0000-0000-00000A7E0000}"/>
    <cellStyle name="Superscript 3 6 10 4" xfId="29311" xr:uid="{00000000-0005-0000-0000-00000B7E0000}"/>
    <cellStyle name="Superscript 3 6 10 4 2" xfId="29312" xr:uid="{00000000-0005-0000-0000-00000C7E0000}"/>
    <cellStyle name="Superscript 3 6 10 5" xfId="29313" xr:uid="{00000000-0005-0000-0000-00000D7E0000}"/>
    <cellStyle name="Superscript 3 6 10 5 2" xfId="29314" xr:uid="{00000000-0005-0000-0000-00000E7E0000}"/>
    <cellStyle name="Superscript 3 6 10 6" xfId="29315" xr:uid="{00000000-0005-0000-0000-00000F7E0000}"/>
    <cellStyle name="Superscript 3 6 10 6 2" xfId="29316" xr:uid="{00000000-0005-0000-0000-0000107E0000}"/>
    <cellStyle name="Superscript 3 6 10 7" xfId="29317" xr:uid="{00000000-0005-0000-0000-0000117E0000}"/>
    <cellStyle name="Superscript 3 6 10 7 2" xfId="29318" xr:uid="{00000000-0005-0000-0000-0000127E0000}"/>
    <cellStyle name="Superscript 3 6 10 8" xfId="29319" xr:uid="{00000000-0005-0000-0000-0000137E0000}"/>
    <cellStyle name="Superscript 3 6 10 8 2" xfId="29320" xr:uid="{00000000-0005-0000-0000-0000147E0000}"/>
    <cellStyle name="Superscript 3 6 10 9" xfId="29321" xr:uid="{00000000-0005-0000-0000-0000157E0000}"/>
    <cellStyle name="Superscript 3 6 11" xfId="29322" xr:uid="{00000000-0005-0000-0000-0000167E0000}"/>
    <cellStyle name="Superscript 3 6 11 2" xfId="29323" xr:uid="{00000000-0005-0000-0000-0000177E0000}"/>
    <cellStyle name="Superscript 3 6 12" xfId="29324" xr:uid="{00000000-0005-0000-0000-0000187E0000}"/>
    <cellStyle name="Superscript 3 6 12 2" xfId="29325" xr:uid="{00000000-0005-0000-0000-0000197E0000}"/>
    <cellStyle name="Superscript 3 6 13" xfId="29326" xr:uid="{00000000-0005-0000-0000-00001A7E0000}"/>
    <cellStyle name="Superscript 3 6 13 2" xfId="29327" xr:uid="{00000000-0005-0000-0000-00001B7E0000}"/>
    <cellStyle name="Superscript 3 6 14" xfId="29328" xr:uid="{00000000-0005-0000-0000-00001C7E0000}"/>
    <cellStyle name="Superscript 3 6 14 2" xfId="29329" xr:uid="{00000000-0005-0000-0000-00001D7E0000}"/>
    <cellStyle name="Superscript 3 6 15" xfId="29330" xr:uid="{00000000-0005-0000-0000-00001E7E0000}"/>
    <cellStyle name="Superscript 3 6 15 2" xfId="29331" xr:uid="{00000000-0005-0000-0000-00001F7E0000}"/>
    <cellStyle name="Superscript 3 6 16" xfId="29332" xr:uid="{00000000-0005-0000-0000-0000207E0000}"/>
    <cellStyle name="Superscript 3 6 16 2" xfId="29333" xr:uid="{00000000-0005-0000-0000-0000217E0000}"/>
    <cellStyle name="Superscript 3 6 17" xfId="29334" xr:uid="{00000000-0005-0000-0000-0000227E0000}"/>
    <cellStyle name="Superscript 3 6 17 2" xfId="29335" xr:uid="{00000000-0005-0000-0000-0000237E0000}"/>
    <cellStyle name="Superscript 3 6 18" xfId="29336" xr:uid="{00000000-0005-0000-0000-0000247E0000}"/>
    <cellStyle name="Superscript 3 6 2" xfId="29337" xr:uid="{00000000-0005-0000-0000-0000257E0000}"/>
    <cellStyle name="Superscript 3 6 2 10" xfId="29338" xr:uid="{00000000-0005-0000-0000-0000267E0000}"/>
    <cellStyle name="Superscript 3 6 2 2" xfId="29339" xr:uid="{00000000-0005-0000-0000-0000277E0000}"/>
    <cellStyle name="Superscript 3 6 2 2 2" xfId="29340" xr:uid="{00000000-0005-0000-0000-0000287E0000}"/>
    <cellStyle name="Superscript 3 6 2 3" xfId="29341" xr:uid="{00000000-0005-0000-0000-0000297E0000}"/>
    <cellStyle name="Superscript 3 6 2 3 2" xfId="29342" xr:uid="{00000000-0005-0000-0000-00002A7E0000}"/>
    <cellStyle name="Superscript 3 6 2 4" xfId="29343" xr:uid="{00000000-0005-0000-0000-00002B7E0000}"/>
    <cellStyle name="Superscript 3 6 2 4 2" xfId="29344" xr:uid="{00000000-0005-0000-0000-00002C7E0000}"/>
    <cellStyle name="Superscript 3 6 2 5" xfId="29345" xr:uid="{00000000-0005-0000-0000-00002D7E0000}"/>
    <cellStyle name="Superscript 3 6 2 5 2" xfId="29346" xr:uid="{00000000-0005-0000-0000-00002E7E0000}"/>
    <cellStyle name="Superscript 3 6 2 6" xfId="29347" xr:uid="{00000000-0005-0000-0000-00002F7E0000}"/>
    <cellStyle name="Superscript 3 6 2 6 2" xfId="29348" xr:uid="{00000000-0005-0000-0000-0000307E0000}"/>
    <cellStyle name="Superscript 3 6 2 7" xfId="29349" xr:uid="{00000000-0005-0000-0000-0000317E0000}"/>
    <cellStyle name="Superscript 3 6 2 7 2" xfId="29350" xr:uid="{00000000-0005-0000-0000-0000327E0000}"/>
    <cellStyle name="Superscript 3 6 2 8" xfId="29351" xr:uid="{00000000-0005-0000-0000-0000337E0000}"/>
    <cellStyle name="Superscript 3 6 2 8 2" xfId="29352" xr:uid="{00000000-0005-0000-0000-0000347E0000}"/>
    <cellStyle name="Superscript 3 6 2 9" xfId="29353" xr:uid="{00000000-0005-0000-0000-0000357E0000}"/>
    <cellStyle name="Superscript 3 6 2 9 2" xfId="29354" xr:uid="{00000000-0005-0000-0000-0000367E0000}"/>
    <cellStyle name="Superscript 3 6 3" xfId="29355" xr:uid="{00000000-0005-0000-0000-0000377E0000}"/>
    <cellStyle name="Superscript 3 6 3 10" xfId="29356" xr:uid="{00000000-0005-0000-0000-0000387E0000}"/>
    <cellStyle name="Superscript 3 6 3 2" xfId="29357" xr:uid="{00000000-0005-0000-0000-0000397E0000}"/>
    <cellStyle name="Superscript 3 6 3 2 2" xfId="29358" xr:uid="{00000000-0005-0000-0000-00003A7E0000}"/>
    <cellStyle name="Superscript 3 6 3 3" xfId="29359" xr:uid="{00000000-0005-0000-0000-00003B7E0000}"/>
    <cellStyle name="Superscript 3 6 3 3 2" xfId="29360" xr:uid="{00000000-0005-0000-0000-00003C7E0000}"/>
    <cellStyle name="Superscript 3 6 3 4" xfId="29361" xr:uid="{00000000-0005-0000-0000-00003D7E0000}"/>
    <cellStyle name="Superscript 3 6 3 4 2" xfId="29362" xr:uid="{00000000-0005-0000-0000-00003E7E0000}"/>
    <cellStyle name="Superscript 3 6 3 5" xfId="29363" xr:uid="{00000000-0005-0000-0000-00003F7E0000}"/>
    <cellStyle name="Superscript 3 6 3 5 2" xfId="29364" xr:uid="{00000000-0005-0000-0000-0000407E0000}"/>
    <cellStyle name="Superscript 3 6 3 6" xfId="29365" xr:uid="{00000000-0005-0000-0000-0000417E0000}"/>
    <cellStyle name="Superscript 3 6 3 6 2" xfId="29366" xr:uid="{00000000-0005-0000-0000-0000427E0000}"/>
    <cellStyle name="Superscript 3 6 3 7" xfId="29367" xr:uid="{00000000-0005-0000-0000-0000437E0000}"/>
    <cellStyle name="Superscript 3 6 3 7 2" xfId="29368" xr:uid="{00000000-0005-0000-0000-0000447E0000}"/>
    <cellStyle name="Superscript 3 6 3 8" xfId="29369" xr:uid="{00000000-0005-0000-0000-0000457E0000}"/>
    <cellStyle name="Superscript 3 6 3 8 2" xfId="29370" xr:uid="{00000000-0005-0000-0000-0000467E0000}"/>
    <cellStyle name="Superscript 3 6 3 9" xfId="29371" xr:uid="{00000000-0005-0000-0000-0000477E0000}"/>
    <cellStyle name="Superscript 3 6 3 9 2" xfId="29372" xr:uid="{00000000-0005-0000-0000-0000487E0000}"/>
    <cellStyle name="Superscript 3 6 4" xfId="29373" xr:uid="{00000000-0005-0000-0000-0000497E0000}"/>
    <cellStyle name="Superscript 3 6 4 10" xfId="29374" xr:uid="{00000000-0005-0000-0000-00004A7E0000}"/>
    <cellStyle name="Superscript 3 6 4 2" xfId="29375" xr:uid="{00000000-0005-0000-0000-00004B7E0000}"/>
    <cellStyle name="Superscript 3 6 4 2 2" xfId="29376" xr:uid="{00000000-0005-0000-0000-00004C7E0000}"/>
    <cellStyle name="Superscript 3 6 4 3" xfId="29377" xr:uid="{00000000-0005-0000-0000-00004D7E0000}"/>
    <cellStyle name="Superscript 3 6 4 3 2" xfId="29378" xr:uid="{00000000-0005-0000-0000-00004E7E0000}"/>
    <cellStyle name="Superscript 3 6 4 4" xfId="29379" xr:uid="{00000000-0005-0000-0000-00004F7E0000}"/>
    <cellStyle name="Superscript 3 6 4 4 2" xfId="29380" xr:uid="{00000000-0005-0000-0000-0000507E0000}"/>
    <cellStyle name="Superscript 3 6 4 5" xfId="29381" xr:uid="{00000000-0005-0000-0000-0000517E0000}"/>
    <cellStyle name="Superscript 3 6 4 5 2" xfId="29382" xr:uid="{00000000-0005-0000-0000-0000527E0000}"/>
    <cellStyle name="Superscript 3 6 4 6" xfId="29383" xr:uid="{00000000-0005-0000-0000-0000537E0000}"/>
    <cellStyle name="Superscript 3 6 4 6 2" xfId="29384" xr:uid="{00000000-0005-0000-0000-0000547E0000}"/>
    <cellStyle name="Superscript 3 6 4 7" xfId="29385" xr:uid="{00000000-0005-0000-0000-0000557E0000}"/>
    <cellStyle name="Superscript 3 6 4 7 2" xfId="29386" xr:uid="{00000000-0005-0000-0000-0000567E0000}"/>
    <cellStyle name="Superscript 3 6 4 8" xfId="29387" xr:uid="{00000000-0005-0000-0000-0000577E0000}"/>
    <cellStyle name="Superscript 3 6 4 8 2" xfId="29388" xr:uid="{00000000-0005-0000-0000-0000587E0000}"/>
    <cellStyle name="Superscript 3 6 4 9" xfId="29389" xr:uid="{00000000-0005-0000-0000-0000597E0000}"/>
    <cellStyle name="Superscript 3 6 4 9 2" xfId="29390" xr:uid="{00000000-0005-0000-0000-00005A7E0000}"/>
    <cellStyle name="Superscript 3 6 5" xfId="29391" xr:uid="{00000000-0005-0000-0000-00005B7E0000}"/>
    <cellStyle name="Superscript 3 6 5 10" xfId="29392" xr:uid="{00000000-0005-0000-0000-00005C7E0000}"/>
    <cellStyle name="Superscript 3 6 5 2" xfId="29393" xr:uid="{00000000-0005-0000-0000-00005D7E0000}"/>
    <cellStyle name="Superscript 3 6 5 2 2" xfId="29394" xr:uid="{00000000-0005-0000-0000-00005E7E0000}"/>
    <cellStyle name="Superscript 3 6 5 3" xfId="29395" xr:uid="{00000000-0005-0000-0000-00005F7E0000}"/>
    <cellStyle name="Superscript 3 6 5 3 2" xfId="29396" xr:uid="{00000000-0005-0000-0000-0000607E0000}"/>
    <cellStyle name="Superscript 3 6 5 4" xfId="29397" xr:uid="{00000000-0005-0000-0000-0000617E0000}"/>
    <cellStyle name="Superscript 3 6 5 4 2" xfId="29398" xr:uid="{00000000-0005-0000-0000-0000627E0000}"/>
    <cellStyle name="Superscript 3 6 5 5" xfId="29399" xr:uid="{00000000-0005-0000-0000-0000637E0000}"/>
    <cellStyle name="Superscript 3 6 5 5 2" xfId="29400" xr:uid="{00000000-0005-0000-0000-0000647E0000}"/>
    <cellStyle name="Superscript 3 6 5 6" xfId="29401" xr:uid="{00000000-0005-0000-0000-0000657E0000}"/>
    <cellStyle name="Superscript 3 6 5 6 2" xfId="29402" xr:uid="{00000000-0005-0000-0000-0000667E0000}"/>
    <cellStyle name="Superscript 3 6 5 7" xfId="29403" xr:uid="{00000000-0005-0000-0000-0000677E0000}"/>
    <cellStyle name="Superscript 3 6 5 7 2" xfId="29404" xr:uid="{00000000-0005-0000-0000-0000687E0000}"/>
    <cellStyle name="Superscript 3 6 5 8" xfId="29405" xr:uid="{00000000-0005-0000-0000-0000697E0000}"/>
    <cellStyle name="Superscript 3 6 5 8 2" xfId="29406" xr:uid="{00000000-0005-0000-0000-00006A7E0000}"/>
    <cellStyle name="Superscript 3 6 5 9" xfId="29407" xr:uid="{00000000-0005-0000-0000-00006B7E0000}"/>
    <cellStyle name="Superscript 3 6 5 9 2" xfId="29408" xr:uid="{00000000-0005-0000-0000-00006C7E0000}"/>
    <cellStyle name="Superscript 3 6 6" xfId="29409" xr:uid="{00000000-0005-0000-0000-00006D7E0000}"/>
    <cellStyle name="Superscript 3 6 6 10" xfId="29410" xr:uid="{00000000-0005-0000-0000-00006E7E0000}"/>
    <cellStyle name="Superscript 3 6 6 2" xfId="29411" xr:uid="{00000000-0005-0000-0000-00006F7E0000}"/>
    <cellStyle name="Superscript 3 6 6 2 2" xfId="29412" xr:uid="{00000000-0005-0000-0000-0000707E0000}"/>
    <cellStyle name="Superscript 3 6 6 3" xfId="29413" xr:uid="{00000000-0005-0000-0000-0000717E0000}"/>
    <cellStyle name="Superscript 3 6 6 3 2" xfId="29414" xr:uid="{00000000-0005-0000-0000-0000727E0000}"/>
    <cellStyle name="Superscript 3 6 6 4" xfId="29415" xr:uid="{00000000-0005-0000-0000-0000737E0000}"/>
    <cellStyle name="Superscript 3 6 6 4 2" xfId="29416" xr:uid="{00000000-0005-0000-0000-0000747E0000}"/>
    <cellStyle name="Superscript 3 6 6 5" xfId="29417" xr:uid="{00000000-0005-0000-0000-0000757E0000}"/>
    <cellStyle name="Superscript 3 6 6 5 2" xfId="29418" xr:uid="{00000000-0005-0000-0000-0000767E0000}"/>
    <cellStyle name="Superscript 3 6 6 6" xfId="29419" xr:uid="{00000000-0005-0000-0000-0000777E0000}"/>
    <cellStyle name="Superscript 3 6 6 6 2" xfId="29420" xr:uid="{00000000-0005-0000-0000-0000787E0000}"/>
    <cellStyle name="Superscript 3 6 6 7" xfId="29421" xr:uid="{00000000-0005-0000-0000-0000797E0000}"/>
    <cellStyle name="Superscript 3 6 6 7 2" xfId="29422" xr:uid="{00000000-0005-0000-0000-00007A7E0000}"/>
    <cellStyle name="Superscript 3 6 6 8" xfId="29423" xr:uid="{00000000-0005-0000-0000-00007B7E0000}"/>
    <cellStyle name="Superscript 3 6 6 8 2" xfId="29424" xr:uid="{00000000-0005-0000-0000-00007C7E0000}"/>
    <cellStyle name="Superscript 3 6 6 9" xfId="29425" xr:uid="{00000000-0005-0000-0000-00007D7E0000}"/>
    <cellStyle name="Superscript 3 6 6 9 2" xfId="29426" xr:uid="{00000000-0005-0000-0000-00007E7E0000}"/>
    <cellStyle name="Superscript 3 6 7" xfId="29427" xr:uid="{00000000-0005-0000-0000-00007F7E0000}"/>
    <cellStyle name="Superscript 3 6 7 10" xfId="29428" xr:uid="{00000000-0005-0000-0000-0000807E0000}"/>
    <cellStyle name="Superscript 3 6 7 2" xfId="29429" xr:uid="{00000000-0005-0000-0000-0000817E0000}"/>
    <cellStyle name="Superscript 3 6 7 2 2" xfId="29430" xr:uid="{00000000-0005-0000-0000-0000827E0000}"/>
    <cellStyle name="Superscript 3 6 7 3" xfId="29431" xr:uid="{00000000-0005-0000-0000-0000837E0000}"/>
    <cellStyle name="Superscript 3 6 7 3 2" xfId="29432" xr:uid="{00000000-0005-0000-0000-0000847E0000}"/>
    <cellStyle name="Superscript 3 6 7 4" xfId="29433" xr:uid="{00000000-0005-0000-0000-0000857E0000}"/>
    <cellStyle name="Superscript 3 6 7 4 2" xfId="29434" xr:uid="{00000000-0005-0000-0000-0000867E0000}"/>
    <cellStyle name="Superscript 3 6 7 5" xfId="29435" xr:uid="{00000000-0005-0000-0000-0000877E0000}"/>
    <cellStyle name="Superscript 3 6 7 5 2" xfId="29436" xr:uid="{00000000-0005-0000-0000-0000887E0000}"/>
    <cellStyle name="Superscript 3 6 7 6" xfId="29437" xr:uid="{00000000-0005-0000-0000-0000897E0000}"/>
    <cellStyle name="Superscript 3 6 7 6 2" xfId="29438" xr:uid="{00000000-0005-0000-0000-00008A7E0000}"/>
    <cellStyle name="Superscript 3 6 7 7" xfId="29439" xr:uid="{00000000-0005-0000-0000-00008B7E0000}"/>
    <cellStyle name="Superscript 3 6 7 7 2" xfId="29440" xr:uid="{00000000-0005-0000-0000-00008C7E0000}"/>
    <cellStyle name="Superscript 3 6 7 8" xfId="29441" xr:uid="{00000000-0005-0000-0000-00008D7E0000}"/>
    <cellStyle name="Superscript 3 6 7 8 2" xfId="29442" xr:uid="{00000000-0005-0000-0000-00008E7E0000}"/>
    <cellStyle name="Superscript 3 6 7 9" xfId="29443" xr:uid="{00000000-0005-0000-0000-00008F7E0000}"/>
    <cellStyle name="Superscript 3 6 7 9 2" xfId="29444" xr:uid="{00000000-0005-0000-0000-0000907E0000}"/>
    <cellStyle name="Superscript 3 6 8" xfId="29445" xr:uid="{00000000-0005-0000-0000-0000917E0000}"/>
    <cellStyle name="Superscript 3 6 8 10" xfId="29446" xr:uid="{00000000-0005-0000-0000-0000927E0000}"/>
    <cellStyle name="Superscript 3 6 8 2" xfId="29447" xr:uid="{00000000-0005-0000-0000-0000937E0000}"/>
    <cellStyle name="Superscript 3 6 8 2 2" xfId="29448" xr:uid="{00000000-0005-0000-0000-0000947E0000}"/>
    <cellStyle name="Superscript 3 6 8 3" xfId="29449" xr:uid="{00000000-0005-0000-0000-0000957E0000}"/>
    <cellStyle name="Superscript 3 6 8 3 2" xfId="29450" xr:uid="{00000000-0005-0000-0000-0000967E0000}"/>
    <cellStyle name="Superscript 3 6 8 4" xfId="29451" xr:uid="{00000000-0005-0000-0000-0000977E0000}"/>
    <cellStyle name="Superscript 3 6 8 4 2" xfId="29452" xr:uid="{00000000-0005-0000-0000-0000987E0000}"/>
    <cellStyle name="Superscript 3 6 8 5" xfId="29453" xr:uid="{00000000-0005-0000-0000-0000997E0000}"/>
    <cellStyle name="Superscript 3 6 8 5 2" xfId="29454" xr:uid="{00000000-0005-0000-0000-00009A7E0000}"/>
    <cellStyle name="Superscript 3 6 8 6" xfId="29455" xr:uid="{00000000-0005-0000-0000-00009B7E0000}"/>
    <cellStyle name="Superscript 3 6 8 6 2" xfId="29456" xr:uid="{00000000-0005-0000-0000-00009C7E0000}"/>
    <cellStyle name="Superscript 3 6 8 7" xfId="29457" xr:uid="{00000000-0005-0000-0000-00009D7E0000}"/>
    <cellStyle name="Superscript 3 6 8 7 2" xfId="29458" xr:uid="{00000000-0005-0000-0000-00009E7E0000}"/>
    <cellStyle name="Superscript 3 6 8 8" xfId="29459" xr:uid="{00000000-0005-0000-0000-00009F7E0000}"/>
    <cellStyle name="Superscript 3 6 8 8 2" xfId="29460" xr:uid="{00000000-0005-0000-0000-0000A07E0000}"/>
    <cellStyle name="Superscript 3 6 8 9" xfId="29461" xr:uid="{00000000-0005-0000-0000-0000A17E0000}"/>
    <cellStyle name="Superscript 3 6 8 9 2" xfId="29462" xr:uid="{00000000-0005-0000-0000-0000A27E0000}"/>
    <cellStyle name="Superscript 3 6 9" xfId="29463" xr:uid="{00000000-0005-0000-0000-0000A37E0000}"/>
    <cellStyle name="Superscript 3 6 9 10" xfId="29464" xr:uid="{00000000-0005-0000-0000-0000A47E0000}"/>
    <cellStyle name="Superscript 3 6 9 2" xfId="29465" xr:uid="{00000000-0005-0000-0000-0000A57E0000}"/>
    <cellStyle name="Superscript 3 6 9 2 2" xfId="29466" xr:uid="{00000000-0005-0000-0000-0000A67E0000}"/>
    <cellStyle name="Superscript 3 6 9 3" xfId="29467" xr:uid="{00000000-0005-0000-0000-0000A77E0000}"/>
    <cellStyle name="Superscript 3 6 9 3 2" xfId="29468" xr:uid="{00000000-0005-0000-0000-0000A87E0000}"/>
    <cellStyle name="Superscript 3 6 9 4" xfId="29469" xr:uid="{00000000-0005-0000-0000-0000A97E0000}"/>
    <cellStyle name="Superscript 3 6 9 4 2" xfId="29470" xr:uid="{00000000-0005-0000-0000-0000AA7E0000}"/>
    <cellStyle name="Superscript 3 6 9 5" xfId="29471" xr:uid="{00000000-0005-0000-0000-0000AB7E0000}"/>
    <cellStyle name="Superscript 3 6 9 5 2" xfId="29472" xr:uid="{00000000-0005-0000-0000-0000AC7E0000}"/>
    <cellStyle name="Superscript 3 6 9 6" xfId="29473" xr:uid="{00000000-0005-0000-0000-0000AD7E0000}"/>
    <cellStyle name="Superscript 3 6 9 6 2" xfId="29474" xr:uid="{00000000-0005-0000-0000-0000AE7E0000}"/>
    <cellStyle name="Superscript 3 6 9 7" xfId="29475" xr:uid="{00000000-0005-0000-0000-0000AF7E0000}"/>
    <cellStyle name="Superscript 3 6 9 7 2" xfId="29476" xr:uid="{00000000-0005-0000-0000-0000B07E0000}"/>
    <cellStyle name="Superscript 3 6 9 8" xfId="29477" xr:uid="{00000000-0005-0000-0000-0000B17E0000}"/>
    <cellStyle name="Superscript 3 6 9 8 2" xfId="29478" xr:uid="{00000000-0005-0000-0000-0000B27E0000}"/>
    <cellStyle name="Superscript 3 6 9 9" xfId="29479" xr:uid="{00000000-0005-0000-0000-0000B37E0000}"/>
    <cellStyle name="Superscript 3 6 9 9 2" xfId="29480" xr:uid="{00000000-0005-0000-0000-0000B47E0000}"/>
    <cellStyle name="Superscript 3 7" xfId="29481" xr:uid="{00000000-0005-0000-0000-0000B57E0000}"/>
    <cellStyle name="Superscript 3 7 10" xfId="29482" xr:uid="{00000000-0005-0000-0000-0000B67E0000}"/>
    <cellStyle name="Superscript 3 7 10 2" xfId="29483" xr:uid="{00000000-0005-0000-0000-0000B77E0000}"/>
    <cellStyle name="Superscript 3 7 10 2 2" xfId="29484" xr:uid="{00000000-0005-0000-0000-0000B87E0000}"/>
    <cellStyle name="Superscript 3 7 10 3" xfId="29485" xr:uid="{00000000-0005-0000-0000-0000B97E0000}"/>
    <cellStyle name="Superscript 3 7 10 3 2" xfId="29486" xr:uid="{00000000-0005-0000-0000-0000BA7E0000}"/>
    <cellStyle name="Superscript 3 7 10 4" xfId="29487" xr:uid="{00000000-0005-0000-0000-0000BB7E0000}"/>
    <cellStyle name="Superscript 3 7 10 4 2" xfId="29488" xr:uid="{00000000-0005-0000-0000-0000BC7E0000}"/>
    <cellStyle name="Superscript 3 7 10 5" xfId="29489" xr:uid="{00000000-0005-0000-0000-0000BD7E0000}"/>
    <cellStyle name="Superscript 3 7 10 5 2" xfId="29490" xr:uid="{00000000-0005-0000-0000-0000BE7E0000}"/>
    <cellStyle name="Superscript 3 7 10 6" xfId="29491" xr:uid="{00000000-0005-0000-0000-0000BF7E0000}"/>
    <cellStyle name="Superscript 3 7 10 6 2" xfId="29492" xr:uid="{00000000-0005-0000-0000-0000C07E0000}"/>
    <cellStyle name="Superscript 3 7 10 7" xfId="29493" xr:uid="{00000000-0005-0000-0000-0000C17E0000}"/>
    <cellStyle name="Superscript 3 7 10 7 2" xfId="29494" xr:uid="{00000000-0005-0000-0000-0000C27E0000}"/>
    <cellStyle name="Superscript 3 7 10 8" xfId="29495" xr:uid="{00000000-0005-0000-0000-0000C37E0000}"/>
    <cellStyle name="Superscript 3 7 10 8 2" xfId="29496" xr:uid="{00000000-0005-0000-0000-0000C47E0000}"/>
    <cellStyle name="Superscript 3 7 10 9" xfId="29497" xr:uid="{00000000-0005-0000-0000-0000C57E0000}"/>
    <cellStyle name="Superscript 3 7 11" xfId="29498" xr:uid="{00000000-0005-0000-0000-0000C67E0000}"/>
    <cellStyle name="Superscript 3 7 11 2" xfId="29499" xr:uid="{00000000-0005-0000-0000-0000C77E0000}"/>
    <cellStyle name="Superscript 3 7 12" xfId="29500" xr:uid="{00000000-0005-0000-0000-0000C87E0000}"/>
    <cellStyle name="Superscript 3 7 12 2" xfId="29501" xr:uid="{00000000-0005-0000-0000-0000C97E0000}"/>
    <cellStyle name="Superscript 3 7 13" xfId="29502" xr:uid="{00000000-0005-0000-0000-0000CA7E0000}"/>
    <cellStyle name="Superscript 3 7 13 2" xfId="29503" xr:uid="{00000000-0005-0000-0000-0000CB7E0000}"/>
    <cellStyle name="Superscript 3 7 14" xfId="29504" xr:uid="{00000000-0005-0000-0000-0000CC7E0000}"/>
    <cellStyle name="Superscript 3 7 14 2" xfId="29505" xr:uid="{00000000-0005-0000-0000-0000CD7E0000}"/>
    <cellStyle name="Superscript 3 7 15" xfId="29506" xr:uid="{00000000-0005-0000-0000-0000CE7E0000}"/>
    <cellStyle name="Superscript 3 7 15 2" xfId="29507" xr:uid="{00000000-0005-0000-0000-0000CF7E0000}"/>
    <cellStyle name="Superscript 3 7 16" xfId="29508" xr:uid="{00000000-0005-0000-0000-0000D07E0000}"/>
    <cellStyle name="Superscript 3 7 16 2" xfId="29509" xr:uid="{00000000-0005-0000-0000-0000D17E0000}"/>
    <cellStyle name="Superscript 3 7 17" xfId="29510" xr:uid="{00000000-0005-0000-0000-0000D27E0000}"/>
    <cellStyle name="Superscript 3 7 17 2" xfId="29511" xr:uid="{00000000-0005-0000-0000-0000D37E0000}"/>
    <cellStyle name="Superscript 3 7 18" xfId="29512" xr:uid="{00000000-0005-0000-0000-0000D47E0000}"/>
    <cellStyle name="Superscript 3 7 2" xfId="29513" xr:uid="{00000000-0005-0000-0000-0000D57E0000}"/>
    <cellStyle name="Superscript 3 7 2 10" xfId="29514" xr:uid="{00000000-0005-0000-0000-0000D67E0000}"/>
    <cellStyle name="Superscript 3 7 2 2" xfId="29515" xr:uid="{00000000-0005-0000-0000-0000D77E0000}"/>
    <cellStyle name="Superscript 3 7 2 2 2" xfId="29516" xr:uid="{00000000-0005-0000-0000-0000D87E0000}"/>
    <cellStyle name="Superscript 3 7 2 3" xfId="29517" xr:uid="{00000000-0005-0000-0000-0000D97E0000}"/>
    <cellStyle name="Superscript 3 7 2 3 2" xfId="29518" xr:uid="{00000000-0005-0000-0000-0000DA7E0000}"/>
    <cellStyle name="Superscript 3 7 2 4" xfId="29519" xr:uid="{00000000-0005-0000-0000-0000DB7E0000}"/>
    <cellStyle name="Superscript 3 7 2 4 2" xfId="29520" xr:uid="{00000000-0005-0000-0000-0000DC7E0000}"/>
    <cellStyle name="Superscript 3 7 2 5" xfId="29521" xr:uid="{00000000-0005-0000-0000-0000DD7E0000}"/>
    <cellStyle name="Superscript 3 7 2 5 2" xfId="29522" xr:uid="{00000000-0005-0000-0000-0000DE7E0000}"/>
    <cellStyle name="Superscript 3 7 2 6" xfId="29523" xr:uid="{00000000-0005-0000-0000-0000DF7E0000}"/>
    <cellStyle name="Superscript 3 7 2 6 2" xfId="29524" xr:uid="{00000000-0005-0000-0000-0000E07E0000}"/>
    <cellStyle name="Superscript 3 7 2 7" xfId="29525" xr:uid="{00000000-0005-0000-0000-0000E17E0000}"/>
    <cellStyle name="Superscript 3 7 2 7 2" xfId="29526" xr:uid="{00000000-0005-0000-0000-0000E27E0000}"/>
    <cellStyle name="Superscript 3 7 2 8" xfId="29527" xr:uid="{00000000-0005-0000-0000-0000E37E0000}"/>
    <cellStyle name="Superscript 3 7 2 8 2" xfId="29528" xr:uid="{00000000-0005-0000-0000-0000E47E0000}"/>
    <cellStyle name="Superscript 3 7 2 9" xfId="29529" xr:uid="{00000000-0005-0000-0000-0000E57E0000}"/>
    <cellStyle name="Superscript 3 7 2 9 2" xfId="29530" xr:uid="{00000000-0005-0000-0000-0000E67E0000}"/>
    <cellStyle name="Superscript 3 7 3" xfId="29531" xr:uid="{00000000-0005-0000-0000-0000E77E0000}"/>
    <cellStyle name="Superscript 3 7 3 10" xfId="29532" xr:uid="{00000000-0005-0000-0000-0000E87E0000}"/>
    <cellStyle name="Superscript 3 7 3 2" xfId="29533" xr:uid="{00000000-0005-0000-0000-0000E97E0000}"/>
    <cellStyle name="Superscript 3 7 3 2 2" xfId="29534" xr:uid="{00000000-0005-0000-0000-0000EA7E0000}"/>
    <cellStyle name="Superscript 3 7 3 3" xfId="29535" xr:uid="{00000000-0005-0000-0000-0000EB7E0000}"/>
    <cellStyle name="Superscript 3 7 3 3 2" xfId="29536" xr:uid="{00000000-0005-0000-0000-0000EC7E0000}"/>
    <cellStyle name="Superscript 3 7 3 4" xfId="29537" xr:uid="{00000000-0005-0000-0000-0000ED7E0000}"/>
    <cellStyle name="Superscript 3 7 3 4 2" xfId="29538" xr:uid="{00000000-0005-0000-0000-0000EE7E0000}"/>
    <cellStyle name="Superscript 3 7 3 5" xfId="29539" xr:uid="{00000000-0005-0000-0000-0000EF7E0000}"/>
    <cellStyle name="Superscript 3 7 3 5 2" xfId="29540" xr:uid="{00000000-0005-0000-0000-0000F07E0000}"/>
    <cellStyle name="Superscript 3 7 3 6" xfId="29541" xr:uid="{00000000-0005-0000-0000-0000F17E0000}"/>
    <cellStyle name="Superscript 3 7 3 6 2" xfId="29542" xr:uid="{00000000-0005-0000-0000-0000F27E0000}"/>
    <cellStyle name="Superscript 3 7 3 7" xfId="29543" xr:uid="{00000000-0005-0000-0000-0000F37E0000}"/>
    <cellStyle name="Superscript 3 7 3 7 2" xfId="29544" xr:uid="{00000000-0005-0000-0000-0000F47E0000}"/>
    <cellStyle name="Superscript 3 7 3 8" xfId="29545" xr:uid="{00000000-0005-0000-0000-0000F57E0000}"/>
    <cellStyle name="Superscript 3 7 3 8 2" xfId="29546" xr:uid="{00000000-0005-0000-0000-0000F67E0000}"/>
    <cellStyle name="Superscript 3 7 3 9" xfId="29547" xr:uid="{00000000-0005-0000-0000-0000F77E0000}"/>
    <cellStyle name="Superscript 3 7 3 9 2" xfId="29548" xr:uid="{00000000-0005-0000-0000-0000F87E0000}"/>
    <cellStyle name="Superscript 3 7 4" xfId="29549" xr:uid="{00000000-0005-0000-0000-0000F97E0000}"/>
    <cellStyle name="Superscript 3 7 4 10" xfId="29550" xr:uid="{00000000-0005-0000-0000-0000FA7E0000}"/>
    <cellStyle name="Superscript 3 7 4 2" xfId="29551" xr:uid="{00000000-0005-0000-0000-0000FB7E0000}"/>
    <cellStyle name="Superscript 3 7 4 2 2" xfId="29552" xr:uid="{00000000-0005-0000-0000-0000FC7E0000}"/>
    <cellStyle name="Superscript 3 7 4 3" xfId="29553" xr:uid="{00000000-0005-0000-0000-0000FD7E0000}"/>
    <cellStyle name="Superscript 3 7 4 3 2" xfId="29554" xr:uid="{00000000-0005-0000-0000-0000FE7E0000}"/>
    <cellStyle name="Superscript 3 7 4 4" xfId="29555" xr:uid="{00000000-0005-0000-0000-0000FF7E0000}"/>
    <cellStyle name="Superscript 3 7 4 4 2" xfId="29556" xr:uid="{00000000-0005-0000-0000-0000007F0000}"/>
    <cellStyle name="Superscript 3 7 4 5" xfId="29557" xr:uid="{00000000-0005-0000-0000-0000017F0000}"/>
    <cellStyle name="Superscript 3 7 4 5 2" xfId="29558" xr:uid="{00000000-0005-0000-0000-0000027F0000}"/>
    <cellStyle name="Superscript 3 7 4 6" xfId="29559" xr:uid="{00000000-0005-0000-0000-0000037F0000}"/>
    <cellStyle name="Superscript 3 7 4 6 2" xfId="29560" xr:uid="{00000000-0005-0000-0000-0000047F0000}"/>
    <cellStyle name="Superscript 3 7 4 7" xfId="29561" xr:uid="{00000000-0005-0000-0000-0000057F0000}"/>
    <cellStyle name="Superscript 3 7 4 7 2" xfId="29562" xr:uid="{00000000-0005-0000-0000-0000067F0000}"/>
    <cellStyle name="Superscript 3 7 4 8" xfId="29563" xr:uid="{00000000-0005-0000-0000-0000077F0000}"/>
    <cellStyle name="Superscript 3 7 4 8 2" xfId="29564" xr:uid="{00000000-0005-0000-0000-0000087F0000}"/>
    <cellStyle name="Superscript 3 7 4 9" xfId="29565" xr:uid="{00000000-0005-0000-0000-0000097F0000}"/>
    <cellStyle name="Superscript 3 7 4 9 2" xfId="29566" xr:uid="{00000000-0005-0000-0000-00000A7F0000}"/>
    <cellStyle name="Superscript 3 7 5" xfId="29567" xr:uid="{00000000-0005-0000-0000-00000B7F0000}"/>
    <cellStyle name="Superscript 3 7 5 10" xfId="29568" xr:uid="{00000000-0005-0000-0000-00000C7F0000}"/>
    <cellStyle name="Superscript 3 7 5 2" xfId="29569" xr:uid="{00000000-0005-0000-0000-00000D7F0000}"/>
    <cellStyle name="Superscript 3 7 5 2 2" xfId="29570" xr:uid="{00000000-0005-0000-0000-00000E7F0000}"/>
    <cellStyle name="Superscript 3 7 5 3" xfId="29571" xr:uid="{00000000-0005-0000-0000-00000F7F0000}"/>
    <cellStyle name="Superscript 3 7 5 3 2" xfId="29572" xr:uid="{00000000-0005-0000-0000-0000107F0000}"/>
    <cellStyle name="Superscript 3 7 5 4" xfId="29573" xr:uid="{00000000-0005-0000-0000-0000117F0000}"/>
    <cellStyle name="Superscript 3 7 5 4 2" xfId="29574" xr:uid="{00000000-0005-0000-0000-0000127F0000}"/>
    <cellStyle name="Superscript 3 7 5 5" xfId="29575" xr:uid="{00000000-0005-0000-0000-0000137F0000}"/>
    <cellStyle name="Superscript 3 7 5 5 2" xfId="29576" xr:uid="{00000000-0005-0000-0000-0000147F0000}"/>
    <cellStyle name="Superscript 3 7 5 6" xfId="29577" xr:uid="{00000000-0005-0000-0000-0000157F0000}"/>
    <cellStyle name="Superscript 3 7 5 6 2" xfId="29578" xr:uid="{00000000-0005-0000-0000-0000167F0000}"/>
    <cellStyle name="Superscript 3 7 5 7" xfId="29579" xr:uid="{00000000-0005-0000-0000-0000177F0000}"/>
    <cellStyle name="Superscript 3 7 5 7 2" xfId="29580" xr:uid="{00000000-0005-0000-0000-0000187F0000}"/>
    <cellStyle name="Superscript 3 7 5 8" xfId="29581" xr:uid="{00000000-0005-0000-0000-0000197F0000}"/>
    <cellStyle name="Superscript 3 7 5 8 2" xfId="29582" xr:uid="{00000000-0005-0000-0000-00001A7F0000}"/>
    <cellStyle name="Superscript 3 7 5 9" xfId="29583" xr:uid="{00000000-0005-0000-0000-00001B7F0000}"/>
    <cellStyle name="Superscript 3 7 5 9 2" xfId="29584" xr:uid="{00000000-0005-0000-0000-00001C7F0000}"/>
    <cellStyle name="Superscript 3 7 6" xfId="29585" xr:uid="{00000000-0005-0000-0000-00001D7F0000}"/>
    <cellStyle name="Superscript 3 7 6 10" xfId="29586" xr:uid="{00000000-0005-0000-0000-00001E7F0000}"/>
    <cellStyle name="Superscript 3 7 6 2" xfId="29587" xr:uid="{00000000-0005-0000-0000-00001F7F0000}"/>
    <cellStyle name="Superscript 3 7 6 2 2" xfId="29588" xr:uid="{00000000-0005-0000-0000-0000207F0000}"/>
    <cellStyle name="Superscript 3 7 6 3" xfId="29589" xr:uid="{00000000-0005-0000-0000-0000217F0000}"/>
    <cellStyle name="Superscript 3 7 6 3 2" xfId="29590" xr:uid="{00000000-0005-0000-0000-0000227F0000}"/>
    <cellStyle name="Superscript 3 7 6 4" xfId="29591" xr:uid="{00000000-0005-0000-0000-0000237F0000}"/>
    <cellStyle name="Superscript 3 7 6 4 2" xfId="29592" xr:uid="{00000000-0005-0000-0000-0000247F0000}"/>
    <cellStyle name="Superscript 3 7 6 5" xfId="29593" xr:uid="{00000000-0005-0000-0000-0000257F0000}"/>
    <cellStyle name="Superscript 3 7 6 5 2" xfId="29594" xr:uid="{00000000-0005-0000-0000-0000267F0000}"/>
    <cellStyle name="Superscript 3 7 6 6" xfId="29595" xr:uid="{00000000-0005-0000-0000-0000277F0000}"/>
    <cellStyle name="Superscript 3 7 6 6 2" xfId="29596" xr:uid="{00000000-0005-0000-0000-0000287F0000}"/>
    <cellStyle name="Superscript 3 7 6 7" xfId="29597" xr:uid="{00000000-0005-0000-0000-0000297F0000}"/>
    <cellStyle name="Superscript 3 7 6 7 2" xfId="29598" xr:uid="{00000000-0005-0000-0000-00002A7F0000}"/>
    <cellStyle name="Superscript 3 7 6 8" xfId="29599" xr:uid="{00000000-0005-0000-0000-00002B7F0000}"/>
    <cellStyle name="Superscript 3 7 6 8 2" xfId="29600" xr:uid="{00000000-0005-0000-0000-00002C7F0000}"/>
    <cellStyle name="Superscript 3 7 6 9" xfId="29601" xr:uid="{00000000-0005-0000-0000-00002D7F0000}"/>
    <cellStyle name="Superscript 3 7 6 9 2" xfId="29602" xr:uid="{00000000-0005-0000-0000-00002E7F0000}"/>
    <cellStyle name="Superscript 3 7 7" xfId="29603" xr:uid="{00000000-0005-0000-0000-00002F7F0000}"/>
    <cellStyle name="Superscript 3 7 7 10" xfId="29604" xr:uid="{00000000-0005-0000-0000-0000307F0000}"/>
    <cellStyle name="Superscript 3 7 7 2" xfId="29605" xr:uid="{00000000-0005-0000-0000-0000317F0000}"/>
    <cellStyle name="Superscript 3 7 7 2 2" xfId="29606" xr:uid="{00000000-0005-0000-0000-0000327F0000}"/>
    <cellStyle name="Superscript 3 7 7 3" xfId="29607" xr:uid="{00000000-0005-0000-0000-0000337F0000}"/>
    <cellStyle name="Superscript 3 7 7 3 2" xfId="29608" xr:uid="{00000000-0005-0000-0000-0000347F0000}"/>
    <cellStyle name="Superscript 3 7 7 4" xfId="29609" xr:uid="{00000000-0005-0000-0000-0000357F0000}"/>
    <cellStyle name="Superscript 3 7 7 4 2" xfId="29610" xr:uid="{00000000-0005-0000-0000-0000367F0000}"/>
    <cellStyle name="Superscript 3 7 7 5" xfId="29611" xr:uid="{00000000-0005-0000-0000-0000377F0000}"/>
    <cellStyle name="Superscript 3 7 7 5 2" xfId="29612" xr:uid="{00000000-0005-0000-0000-0000387F0000}"/>
    <cellStyle name="Superscript 3 7 7 6" xfId="29613" xr:uid="{00000000-0005-0000-0000-0000397F0000}"/>
    <cellStyle name="Superscript 3 7 7 6 2" xfId="29614" xr:uid="{00000000-0005-0000-0000-00003A7F0000}"/>
    <cellStyle name="Superscript 3 7 7 7" xfId="29615" xr:uid="{00000000-0005-0000-0000-00003B7F0000}"/>
    <cellStyle name="Superscript 3 7 7 7 2" xfId="29616" xr:uid="{00000000-0005-0000-0000-00003C7F0000}"/>
    <cellStyle name="Superscript 3 7 7 8" xfId="29617" xr:uid="{00000000-0005-0000-0000-00003D7F0000}"/>
    <cellStyle name="Superscript 3 7 7 8 2" xfId="29618" xr:uid="{00000000-0005-0000-0000-00003E7F0000}"/>
    <cellStyle name="Superscript 3 7 7 9" xfId="29619" xr:uid="{00000000-0005-0000-0000-00003F7F0000}"/>
    <cellStyle name="Superscript 3 7 7 9 2" xfId="29620" xr:uid="{00000000-0005-0000-0000-0000407F0000}"/>
    <cellStyle name="Superscript 3 7 8" xfId="29621" xr:uid="{00000000-0005-0000-0000-0000417F0000}"/>
    <cellStyle name="Superscript 3 7 8 10" xfId="29622" xr:uid="{00000000-0005-0000-0000-0000427F0000}"/>
    <cellStyle name="Superscript 3 7 8 2" xfId="29623" xr:uid="{00000000-0005-0000-0000-0000437F0000}"/>
    <cellStyle name="Superscript 3 7 8 2 2" xfId="29624" xr:uid="{00000000-0005-0000-0000-0000447F0000}"/>
    <cellStyle name="Superscript 3 7 8 3" xfId="29625" xr:uid="{00000000-0005-0000-0000-0000457F0000}"/>
    <cellStyle name="Superscript 3 7 8 3 2" xfId="29626" xr:uid="{00000000-0005-0000-0000-0000467F0000}"/>
    <cellStyle name="Superscript 3 7 8 4" xfId="29627" xr:uid="{00000000-0005-0000-0000-0000477F0000}"/>
    <cellStyle name="Superscript 3 7 8 4 2" xfId="29628" xr:uid="{00000000-0005-0000-0000-0000487F0000}"/>
    <cellStyle name="Superscript 3 7 8 5" xfId="29629" xr:uid="{00000000-0005-0000-0000-0000497F0000}"/>
    <cellStyle name="Superscript 3 7 8 5 2" xfId="29630" xr:uid="{00000000-0005-0000-0000-00004A7F0000}"/>
    <cellStyle name="Superscript 3 7 8 6" xfId="29631" xr:uid="{00000000-0005-0000-0000-00004B7F0000}"/>
    <cellStyle name="Superscript 3 7 8 6 2" xfId="29632" xr:uid="{00000000-0005-0000-0000-00004C7F0000}"/>
    <cellStyle name="Superscript 3 7 8 7" xfId="29633" xr:uid="{00000000-0005-0000-0000-00004D7F0000}"/>
    <cellStyle name="Superscript 3 7 8 7 2" xfId="29634" xr:uid="{00000000-0005-0000-0000-00004E7F0000}"/>
    <cellStyle name="Superscript 3 7 8 8" xfId="29635" xr:uid="{00000000-0005-0000-0000-00004F7F0000}"/>
    <cellStyle name="Superscript 3 7 8 8 2" xfId="29636" xr:uid="{00000000-0005-0000-0000-0000507F0000}"/>
    <cellStyle name="Superscript 3 7 8 9" xfId="29637" xr:uid="{00000000-0005-0000-0000-0000517F0000}"/>
    <cellStyle name="Superscript 3 7 8 9 2" xfId="29638" xr:uid="{00000000-0005-0000-0000-0000527F0000}"/>
    <cellStyle name="Superscript 3 7 9" xfId="29639" xr:uid="{00000000-0005-0000-0000-0000537F0000}"/>
    <cellStyle name="Superscript 3 7 9 10" xfId="29640" xr:uid="{00000000-0005-0000-0000-0000547F0000}"/>
    <cellStyle name="Superscript 3 7 9 2" xfId="29641" xr:uid="{00000000-0005-0000-0000-0000557F0000}"/>
    <cellStyle name="Superscript 3 7 9 2 2" xfId="29642" xr:uid="{00000000-0005-0000-0000-0000567F0000}"/>
    <cellStyle name="Superscript 3 7 9 3" xfId="29643" xr:uid="{00000000-0005-0000-0000-0000577F0000}"/>
    <cellStyle name="Superscript 3 7 9 3 2" xfId="29644" xr:uid="{00000000-0005-0000-0000-0000587F0000}"/>
    <cellStyle name="Superscript 3 7 9 4" xfId="29645" xr:uid="{00000000-0005-0000-0000-0000597F0000}"/>
    <cellStyle name="Superscript 3 7 9 4 2" xfId="29646" xr:uid="{00000000-0005-0000-0000-00005A7F0000}"/>
    <cellStyle name="Superscript 3 7 9 5" xfId="29647" xr:uid="{00000000-0005-0000-0000-00005B7F0000}"/>
    <cellStyle name="Superscript 3 7 9 5 2" xfId="29648" xr:uid="{00000000-0005-0000-0000-00005C7F0000}"/>
    <cellStyle name="Superscript 3 7 9 6" xfId="29649" xr:uid="{00000000-0005-0000-0000-00005D7F0000}"/>
    <cellStyle name="Superscript 3 7 9 6 2" xfId="29650" xr:uid="{00000000-0005-0000-0000-00005E7F0000}"/>
    <cellStyle name="Superscript 3 7 9 7" xfId="29651" xr:uid="{00000000-0005-0000-0000-00005F7F0000}"/>
    <cellStyle name="Superscript 3 7 9 7 2" xfId="29652" xr:uid="{00000000-0005-0000-0000-0000607F0000}"/>
    <cellStyle name="Superscript 3 7 9 8" xfId="29653" xr:uid="{00000000-0005-0000-0000-0000617F0000}"/>
    <cellStyle name="Superscript 3 7 9 8 2" xfId="29654" xr:uid="{00000000-0005-0000-0000-0000627F0000}"/>
    <cellStyle name="Superscript 3 7 9 9" xfId="29655" xr:uid="{00000000-0005-0000-0000-0000637F0000}"/>
    <cellStyle name="Superscript 3 7 9 9 2" xfId="29656" xr:uid="{00000000-0005-0000-0000-0000647F0000}"/>
    <cellStyle name="Superscript 3 8" xfId="29657" xr:uid="{00000000-0005-0000-0000-0000657F0000}"/>
    <cellStyle name="Superscript 3 8 10" xfId="29658" xr:uid="{00000000-0005-0000-0000-0000667F0000}"/>
    <cellStyle name="Superscript 3 8 10 2" xfId="29659" xr:uid="{00000000-0005-0000-0000-0000677F0000}"/>
    <cellStyle name="Superscript 3 8 10 2 2" xfId="29660" xr:uid="{00000000-0005-0000-0000-0000687F0000}"/>
    <cellStyle name="Superscript 3 8 10 3" xfId="29661" xr:uid="{00000000-0005-0000-0000-0000697F0000}"/>
    <cellStyle name="Superscript 3 8 10 3 2" xfId="29662" xr:uid="{00000000-0005-0000-0000-00006A7F0000}"/>
    <cellStyle name="Superscript 3 8 10 4" xfId="29663" xr:uid="{00000000-0005-0000-0000-00006B7F0000}"/>
    <cellStyle name="Superscript 3 8 10 4 2" xfId="29664" xr:uid="{00000000-0005-0000-0000-00006C7F0000}"/>
    <cellStyle name="Superscript 3 8 10 5" xfId="29665" xr:uid="{00000000-0005-0000-0000-00006D7F0000}"/>
    <cellStyle name="Superscript 3 8 10 5 2" xfId="29666" xr:uid="{00000000-0005-0000-0000-00006E7F0000}"/>
    <cellStyle name="Superscript 3 8 10 6" xfId="29667" xr:uid="{00000000-0005-0000-0000-00006F7F0000}"/>
    <cellStyle name="Superscript 3 8 10 6 2" xfId="29668" xr:uid="{00000000-0005-0000-0000-0000707F0000}"/>
    <cellStyle name="Superscript 3 8 10 7" xfId="29669" xr:uid="{00000000-0005-0000-0000-0000717F0000}"/>
    <cellStyle name="Superscript 3 8 10 7 2" xfId="29670" xr:uid="{00000000-0005-0000-0000-0000727F0000}"/>
    <cellStyle name="Superscript 3 8 10 8" xfId="29671" xr:uid="{00000000-0005-0000-0000-0000737F0000}"/>
    <cellStyle name="Superscript 3 8 10 8 2" xfId="29672" xr:uid="{00000000-0005-0000-0000-0000747F0000}"/>
    <cellStyle name="Superscript 3 8 10 9" xfId="29673" xr:uid="{00000000-0005-0000-0000-0000757F0000}"/>
    <cellStyle name="Superscript 3 8 11" xfId="29674" xr:uid="{00000000-0005-0000-0000-0000767F0000}"/>
    <cellStyle name="Superscript 3 8 11 2" xfId="29675" xr:uid="{00000000-0005-0000-0000-0000777F0000}"/>
    <cellStyle name="Superscript 3 8 12" xfId="29676" xr:uid="{00000000-0005-0000-0000-0000787F0000}"/>
    <cellStyle name="Superscript 3 8 12 2" xfId="29677" xr:uid="{00000000-0005-0000-0000-0000797F0000}"/>
    <cellStyle name="Superscript 3 8 13" xfId="29678" xr:uid="{00000000-0005-0000-0000-00007A7F0000}"/>
    <cellStyle name="Superscript 3 8 13 2" xfId="29679" xr:uid="{00000000-0005-0000-0000-00007B7F0000}"/>
    <cellStyle name="Superscript 3 8 14" xfId="29680" xr:uid="{00000000-0005-0000-0000-00007C7F0000}"/>
    <cellStyle name="Superscript 3 8 14 2" xfId="29681" xr:uid="{00000000-0005-0000-0000-00007D7F0000}"/>
    <cellStyle name="Superscript 3 8 15" xfId="29682" xr:uid="{00000000-0005-0000-0000-00007E7F0000}"/>
    <cellStyle name="Superscript 3 8 15 2" xfId="29683" xr:uid="{00000000-0005-0000-0000-00007F7F0000}"/>
    <cellStyle name="Superscript 3 8 16" xfId="29684" xr:uid="{00000000-0005-0000-0000-0000807F0000}"/>
    <cellStyle name="Superscript 3 8 16 2" xfId="29685" xr:uid="{00000000-0005-0000-0000-0000817F0000}"/>
    <cellStyle name="Superscript 3 8 17" xfId="29686" xr:uid="{00000000-0005-0000-0000-0000827F0000}"/>
    <cellStyle name="Superscript 3 8 17 2" xfId="29687" xr:uid="{00000000-0005-0000-0000-0000837F0000}"/>
    <cellStyle name="Superscript 3 8 18" xfId="29688" xr:uid="{00000000-0005-0000-0000-0000847F0000}"/>
    <cellStyle name="Superscript 3 8 2" xfId="29689" xr:uid="{00000000-0005-0000-0000-0000857F0000}"/>
    <cellStyle name="Superscript 3 8 2 10" xfId="29690" xr:uid="{00000000-0005-0000-0000-0000867F0000}"/>
    <cellStyle name="Superscript 3 8 2 2" xfId="29691" xr:uid="{00000000-0005-0000-0000-0000877F0000}"/>
    <cellStyle name="Superscript 3 8 2 2 2" xfId="29692" xr:uid="{00000000-0005-0000-0000-0000887F0000}"/>
    <cellStyle name="Superscript 3 8 2 3" xfId="29693" xr:uid="{00000000-0005-0000-0000-0000897F0000}"/>
    <cellStyle name="Superscript 3 8 2 3 2" xfId="29694" xr:uid="{00000000-0005-0000-0000-00008A7F0000}"/>
    <cellStyle name="Superscript 3 8 2 4" xfId="29695" xr:uid="{00000000-0005-0000-0000-00008B7F0000}"/>
    <cellStyle name="Superscript 3 8 2 4 2" xfId="29696" xr:uid="{00000000-0005-0000-0000-00008C7F0000}"/>
    <cellStyle name="Superscript 3 8 2 5" xfId="29697" xr:uid="{00000000-0005-0000-0000-00008D7F0000}"/>
    <cellStyle name="Superscript 3 8 2 5 2" xfId="29698" xr:uid="{00000000-0005-0000-0000-00008E7F0000}"/>
    <cellStyle name="Superscript 3 8 2 6" xfId="29699" xr:uid="{00000000-0005-0000-0000-00008F7F0000}"/>
    <cellStyle name="Superscript 3 8 2 6 2" xfId="29700" xr:uid="{00000000-0005-0000-0000-0000907F0000}"/>
    <cellStyle name="Superscript 3 8 2 7" xfId="29701" xr:uid="{00000000-0005-0000-0000-0000917F0000}"/>
    <cellStyle name="Superscript 3 8 2 7 2" xfId="29702" xr:uid="{00000000-0005-0000-0000-0000927F0000}"/>
    <cellStyle name="Superscript 3 8 2 8" xfId="29703" xr:uid="{00000000-0005-0000-0000-0000937F0000}"/>
    <cellStyle name="Superscript 3 8 2 8 2" xfId="29704" xr:uid="{00000000-0005-0000-0000-0000947F0000}"/>
    <cellStyle name="Superscript 3 8 2 9" xfId="29705" xr:uid="{00000000-0005-0000-0000-0000957F0000}"/>
    <cellStyle name="Superscript 3 8 2 9 2" xfId="29706" xr:uid="{00000000-0005-0000-0000-0000967F0000}"/>
    <cellStyle name="Superscript 3 8 3" xfId="29707" xr:uid="{00000000-0005-0000-0000-0000977F0000}"/>
    <cellStyle name="Superscript 3 8 3 10" xfId="29708" xr:uid="{00000000-0005-0000-0000-0000987F0000}"/>
    <cellStyle name="Superscript 3 8 3 2" xfId="29709" xr:uid="{00000000-0005-0000-0000-0000997F0000}"/>
    <cellStyle name="Superscript 3 8 3 2 2" xfId="29710" xr:uid="{00000000-0005-0000-0000-00009A7F0000}"/>
    <cellStyle name="Superscript 3 8 3 3" xfId="29711" xr:uid="{00000000-0005-0000-0000-00009B7F0000}"/>
    <cellStyle name="Superscript 3 8 3 3 2" xfId="29712" xr:uid="{00000000-0005-0000-0000-00009C7F0000}"/>
    <cellStyle name="Superscript 3 8 3 4" xfId="29713" xr:uid="{00000000-0005-0000-0000-00009D7F0000}"/>
    <cellStyle name="Superscript 3 8 3 4 2" xfId="29714" xr:uid="{00000000-0005-0000-0000-00009E7F0000}"/>
    <cellStyle name="Superscript 3 8 3 5" xfId="29715" xr:uid="{00000000-0005-0000-0000-00009F7F0000}"/>
    <cellStyle name="Superscript 3 8 3 5 2" xfId="29716" xr:uid="{00000000-0005-0000-0000-0000A07F0000}"/>
    <cellStyle name="Superscript 3 8 3 6" xfId="29717" xr:uid="{00000000-0005-0000-0000-0000A17F0000}"/>
    <cellStyle name="Superscript 3 8 3 6 2" xfId="29718" xr:uid="{00000000-0005-0000-0000-0000A27F0000}"/>
    <cellStyle name="Superscript 3 8 3 7" xfId="29719" xr:uid="{00000000-0005-0000-0000-0000A37F0000}"/>
    <cellStyle name="Superscript 3 8 3 7 2" xfId="29720" xr:uid="{00000000-0005-0000-0000-0000A47F0000}"/>
    <cellStyle name="Superscript 3 8 3 8" xfId="29721" xr:uid="{00000000-0005-0000-0000-0000A57F0000}"/>
    <cellStyle name="Superscript 3 8 3 8 2" xfId="29722" xr:uid="{00000000-0005-0000-0000-0000A67F0000}"/>
    <cellStyle name="Superscript 3 8 3 9" xfId="29723" xr:uid="{00000000-0005-0000-0000-0000A77F0000}"/>
    <cellStyle name="Superscript 3 8 3 9 2" xfId="29724" xr:uid="{00000000-0005-0000-0000-0000A87F0000}"/>
    <cellStyle name="Superscript 3 8 4" xfId="29725" xr:uid="{00000000-0005-0000-0000-0000A97F0000}"/>
    <cellStyle name="Superscript 3 8 4 10" xfId="29726" xr:uid="{00000000-0005-0000-0000-0000AA7F0000}"/>
    <cellStyle name="Superscript 3 8 4 2" xfId="29727" xr:uid="{00000000-0005-0000-0000-0000AB7F0000}"/>
    <cellStyle name="Superscript 3 8 4 2 2" xfId="29728" xr:uid="{00000000-0005-0000-0000-0000AC7F0000}"/>
    <cellStyle name="Superscript 3 8 4 3" xfId="29729" xr:uid="{00000000-0005-0000-0000-0000AD7F0000}"/>
    <cellStyle name="Superscript 3 8 4 3 2" xfId="29730" xr:uid="{00000000-0005-0000-0000-0000AE7F0000}"/>
    <cellStyle name="Superscript 3 8 4 4" xfId="29731" xr:uid="{00000000-0005-0000-0000-0000AF7F0000}"/>
    <cellStyle name="Superscript 3 8 4 4 2" xfId="29732" xr:uid="{00000000-0005-0000-0000-0000B07F0000}"/>
    <cellStyle name="Superscript 3 8 4 5" xfId="29733" xr:uid="{00000000-0005-0000-0000-0000B17F0000}"/>
    <cellStyle name="Superscript 3 8 4 5 2" xfId="29734" xr:uid="{00000000-0005-0000-0000-0000B27F0000}"/>
    <cellStyle name="Superscript 3 8 4 6" xfId="29735" xr:uid="{00000000-0005-0000-0000-0000B37F0000}"/>
    <cellStyle name="Superscript 3 8 4 6 2" xfId="29736" xr:uid="{00000000-0005-0000-0000-0000B47F0000}"/>
    <cellStyle name="Superscript 3 8 4 7" xfId="29737" xr:uid="{00000000-0005-0000-0000-0000B57F0000}"/>
    <cellStyle name="Superscript 3 8 4 7 2" xfId="29738" xr:uid="{00000000-0005-0000-0000-0000B67F0000}"/>
    <cellStyle name="Superscript 3 8 4 8" xfId="29739" xr:uid="{00000000-0005-0000-0000-0000B77F0000}"/>
    <cellStyle name="Superscript 3 8 4 8 2" xfId="29740" xr:uid="{00000000-0005-0000-0000-0000B87F0000}"/>
    <cellStyle name="Superscript 3 8 4 9" xfId="29741" xr:uid="{00000000-0005-0000-0000-0000B97F0000}"/>
    <cellStyle name="Superscript 3 8 4 9 2" xfId="29742" xr:uid="{00000000-0005-0000-0000-0000BA7F0000}"/>
    <cellStyle name="Superscript 3 8 5" xfId="29743" xr:uid="{00000000-0005-0000-0000-0000BB7F0000}"/>
    <cellStyle name="Superscript 3 8 5 10" xfId="29744" xr:uid="{00000000-0005-0000-0000-0000BC7F0000}"/>
    <cellStyle name="Superscript 3 8 5 2" xfId="29745" xr:uid="{00000000-0005-0000-0000-0000BD7F0000}"/>
    <cellStyle name="Superscript 3 8 5 2 2" xfId="29746" xr:uid="{00000000-0005-0000-0000-0000BE7F0000}"/>
    <cellStyle name="Superscript 3 8 5 3" xfId="29747" xr:uid="{00000000-0005-0000-0000-0000BF7F0000}"/>
    <cellStyle name="Superscript 3 8 5 3 2" xfId="29748" xr:uid="{00000000-0005-0000-0000-0000C07F0000}"/>
    <cellStyle name="Superscript 3 8 5 4" xfId="29749" xr:uid="{00000000-0005-0000-0000-0000C17F0000}"/>
    <cellStyle name="Superscript 3 8 5 4 2" xfId="29750" xr:uid="{00000000-0005-0000-0000-0000C27F0000}"/>
    <cellStyle name="Superscript 3 8 5 5" xfId="29751" xr:uid="{00000000-0005-0000-0000-0000C37F0000}"/>
    <cellStyle name="Superscript 3 8 5 5 2" xfId="29752" xr:uid="{00000000-0005-0000-0000-0000C47F0000}"/>
    <cellStyle name="Superscript 3 8 5 6" xfId="29753" xr:uid="{00000000-0005-0000-0000-0000C57F0000}"/>
    <cellStyle name="Superscript 3 8 5 6 2" xfId="29754" xr:uid="{00000000-0005-0000-0000-0000C67F0000}"/>
    <cellStyle name="Superscript 3 8 5 7" xfId="29755" xr:uid="{00000000-0005-0000-0000-0000C77F0000}"/>
    <cellStyle name="Superscript 3 8 5 7 2" xfId="29756" xr:uid="{00000000-0005-0000-0000-0000C87F0000}"/>
    <cellStyle name="Superscript 3 8 5 8" xfId="29757" xr:uid="{00000000-0005-0000-0000-0000C97F0000}"/>
    <cellStyle name="Superscript 3 8 5 8 2" xfId="29758" xr:uid="{00000000-0005-0000-0000-0000CA7F0000}"/>
    <cellStyle name="Superscript 3 8 5 9" xfId="29759" xr:uid="{00000000-0005-0000-0000-0000CB7F0000}"/>
    <cellStyle name="Superscript 3 8 5 9 2" xfId="29760" xr:uid="{00000000-0005-0000-0000-0000CC7F0000}"/>
    <cellStyle name="Superscript 3 8 6" xfId="29761" xr:uid="{00000000-0005-0000-0000-0000CD7F0000}"/>
    <cellStyle name="Superscript 3 8 6 10" xfId="29762" xr:uid="{00000000-0005-0000-0000-0000CE7F0000}"/>
    <cellStyle name="Superscript 3 8 6 2" xfId="29763" xr:uid="{00000000-0005-0000-0000-0000CF7F0000}"/>
    <cellStyle name="Superscript 3 8 6 2 2" xfId="29764" xr:uid="{00000000-0005-0000-0000-0000D07F0000}"/>
    <cellStyle name="Superscript 3 8 6 3" xfId="29765" xr:uid="{00000000-0005-0000-0000-0000D17F0000}"/>
    <cellStyle name="Superscript 3 8 6 3 2" xfId="29766" xr:uid="{00000000-0005-0000-0000-0000D27F0000}"/>
    <cellStyle name="Superscript 3 8 6 4" xfId="29767" xr:uid="{00000000-0005-0000-0000-0000D37F0000}"/>
    <cellStyle name="Superscript 3 8 6 4 2" xfId="29768" xr:uid="{00000000-0005-0000-0000-0000D47F0000}"/>
    <cellStyle name="Superscript 3 8 6 5" xfId="29769" xr:uid="{00000000-0005-0000-0000-0000D57F0000}"/>
    <cellStyle name="Superscript 3 8 6 5 2" xfId="29770" xr:uid="{00000000-0005-0000-0000-0000D67F0000}"/>
    <cellStyle name="Superscript 3 8 6 6" xfId="29771" xr:uid="{00000000-0005-0000-0000-0000D77F0000}"/>
    <cellStyle name="Superscript 3 8 6 6 2" xfId="29772" xr:uid="{00000000-0005-0000-0000-0000D87F0000}"/>
    <cellStyle name="Superscript 3 8 6 7" xfId="29773" xr:uid="{00000000-0005-0000-0000-0000D97F0000}"/>
    <cellStyle name="Superscript 3 8 6 7 2" xfId="29774" xr:uid="{00000000-0005-0000-0000-0000DA7F0000}"/>
    <cellStyle name="Superscript 3 8 6 8" xfId="29775" xr:uid="{00000000-0005-0000-0000-0000DB7F0000}"/>
    <cellStyle name="Superscript 3 8 6 8 2" xfId="29776" xr:uid="{00000000-0005-0000-0000-0000DC7F0000}"/>
    <cellStyle name="Superscript 3 8 6 9" xfId="29777" xr:uid="{00000000-0005-0000-0000-0000DD7F0000}"/>
    <cellStyle name="Superscript 3 8 6 9 2" xfId="29778" xr:uid="{00000000-0005-0000-0000-0000DE7F0000}"/>
    <cellStyle name="Superscript 3 8 7" xfId="29779" xr:uid="{00000000-0005-0000-0000-0000DF7F0000}"/>
    <cellStyle name="Superscript 3 8 7 10" xfId="29780" xr:uid="{00000000-0005-0000-0000-0000E07F0000}"/>
    <cellStyle name="Superscript 3 8 7 2" xfId="29781" xr:uid="{00000000-0005-0000-0000-0000E17F0000}"/>
    <cellStyle name="Superscript 3 8 7 2 2" xfId="29782" xr:uid="{00000000-0005-0000-0000-0000E27F0000}"/>
    <cellStyle name="Superscript 3 8 7 3" xfId="29783" xr:uid="{00000000-0005-0000-0000-0000E37F0000}"/>
    <cellStyle name="Superscript 3 8 7 3 2" xfId="29784" xr:uid="{00000000-0005-0000-0000-0000E47F0000}"/>
    <cellStyle name="Superscript 3 8 7 4" xfId="29785" xr:uid="{00000000-0005-0000-0000-0000E57F0000}"/>
    <cellStyle name="Superscript 3 8 7 4 2" xfId="29786" xr:uid="{00000000-0005-0000-0000-0000E67F0000}"/>
    <cellStyle name="Superscript 3 8 7 5" xfId="29787" xr:uid="{00000000-0005-0000-0000-0000E77F0000}"/>
    <cellStyle name="Superscript 3 8 7 5 2" xfId="29788" xr:uid="{00000000-0005-0000-0000-0000E87F0000}"/>
    <cellStyle name="Superscript 3 8 7 6" xfId="29789" xr:uid="{00000000-0005-0000-0000-0000E97F0000}"/>
    <cellStyle name="Superscript 3 8 7 6 2" xfId="29790" xr:uid="{00000000-0005-0000-0000-0000EA7F0000}"/>
    <cellStyle name="Superscript 3 8 7 7" xfId="29791" xr:uid="{00000000-0005-0000-0000-0000EB7F0000}"/>
    <cellStyle name="Superscript 3 8 7 7 2" xfId="29792" xr:uid="{00000000-0005-0000-0000-0000EC7F0000}"/>
    <cellStyle name="Superscript 3 8 7 8" xfId="29793" xr:uid="{00000000-0005-0000-0000-0000ED7F0000}"/>
    <cellStyle name="Superscript 3 8 7 8 2" xfId="29794" xr:uid="{00000000-0005-0000-0000-0000EE7F0000}"/>
    <cellStyle name="Superscript 3 8 7 9" xfId="29795" xr:uid="{00000000-0005-0000-0000-0000EF7F0000}"/>
    <cellStyle name="Superscript 3 8 7 9 2" xfId="29796" xr:uid="{00000000-0005-0000-0000-0000F07F0000}"/>
    <cellStyle name="Superscript 3 8 8" xfId="29797" xr:uid="{00000000-0005-0000-0000-0000F17F0000}"/>
    <cellStyle name="Superscript 3 8 8 10" xfId="29798" xr:uid="{00000000-0005-0000-0000-0000F27F0000}"/>
    <cellStyle name="Superscript 3 8 8 2" xfId="29799" xr:uid="{00000000-0005-0000-0000-0000F37F0000}"/>
    <cellStyle name="Superscript 3 8 8 2 2" xfId="29800" xr:uid="{00000000-0005-0000-0000-0000F47F0000}"/>
    <cellStyle name="Superscript 3 8 8 3" xfId="29801" xr:uid="{00000000-0005-0000-0000-0000F57F0000}"/>
    <cellStyle name="Superscript 3 8 8 3 2" xfId="29802" xr:uid="{00000000-0005-0000-0000-0000F67F0000}"/>
    <cellStyle name="Superscript 3 8 8 4" xfId="29803" xr:uid="{00000000-0005-0000-0000-0000F77F0000}"/>
    <cellStyle name="Superscript 3 8 8 4 2" xfId="29804" xr:uid="{00000000-0005-0000-0000-0000F87F0000}"/>
    <cellStyle name="Superscript 3 8 8 5" xfId="29805" xr:uid="{00000000-0005-0000-0000-0000F97F0000}"/>
    <cellStyle name="Superscript 3 8 8 5 2" xfId="29806" xr:uid="{00000000-0005-0000-0000-0000FA7F0000}"/>
    <cellStyle name="Superscript 3 8 8 6" xfId="29807" xr:uid="{00000000-0005-0000-0000-0000FB7F0000}"/>
    <cellStyle name="Superscript 3 8 8 6 2" xfId="29808" xr:uid="{00000000-0005-0000-0000-0000FC7F0000}"/>
    <cellStyle name="Superscript 3 8 8 7" xfId="29809" xr:uid="{00000000-0005-0000-0000-0000FD7F0000}"/>
    <cellStyle name="Superscript 3 8 8 7 2" xfId="29810" xr:uid="{00000000-0005-0000-0000-0000FE7F0000}"/>
    <cellStyle name="Superscript 3 8 8 8" xfId="29811" xr:uid="{00000000-0005-0000-0000-0000FF7F0000}"/>
    <cellStyle name="Superscript 3 8 8 8 2" xfId="29812" xr:uid="{00000000-0005-0000-0000-000000800000}"/>
    <cellStyle name="Superscript 3 8 8 9" xfId="29813" xr:uid="{00000000-0005-0000-0000-000001800000}"/>
    <cellStyle name="Superscript 3 8 8 9 2" xfId="29814" xr:uid="{00000000-0005-0000-0000-000002800000}"/>
    <cellStyle name="Superscript 3 8 9" xfId="29815" xr:uid="{00000000-0005-0000-0000-000003800000}"/>
    <cellStyle name="Superscript 3 8 9 10" xfId="29816" xr:uid="{00000000-0005-0000-0000-000004800000}"/>
    <cellStyle name="Superscript 3 8 9 2" xfId="29817" xr:uid="{00000000-0005-0000-0000-000005800000}"/>
    <cellStyle name="Superscript 3 8 9 2 2" xfId="29818" xr:uid="{00000000-0005-0000-0000-000006800000}"/>
    <cellStyle name="Superscript 3 8 9 3" xfId="29819" xr:uid="{00000000-0005-0000-0000-000007800000}"/>
    <cellStyle name="Superscript 3 8 9 3 2" xfId="29820" xr:uid="{00000000-0005-0000-0000-000008800000}"/>
    <cellStyle name="Superscript 3 8 9 4" xfId="29821" xr:uid="{00000000-0005-0000-0000-000009800000}"/>
    <cellStyle name="Superscript 3 8 9 4 2" xfId="29822" xr:uid="{00000000-0005-0000-0000-00000A800000}"/>
    <cellStyle name="Superscript 3 8 9 5" xfId="29823" xr:uid="{00000000-0005-0000-0000-00000B800000}"/>
    <cellStyle name="Superscript 3 8 9 5 2" xfId="29824" xr:uid="{00000000-0005-0000-0000-00000C800000}"/>
    <cellStyle name="Superscript 3 8 9 6" xfId="29825" xr:uid="{00000000-0005-0000-0000-00000D800000}"/>
    <cellStyle name="Superscript 3 8 9 6 2" xfId="29826" xr:uid="{00000000-0005-0000-0000-00000E800000}"/>
    <cellStyle name="Superscript 3 8 9 7" xfId="29827" xr:uid="{00000000-0005-0000-0000-00000F800000}"/>
    <cellStyle name="Superscript 3 8 9 7 2" xfId="29828" xr:uid="{00000000-0005-0000-0000-000010800000}"/>
    <cellStyle name="Superscript 3 8 9 8" xfId="29829" xr:uid="{00000000-0005-0000-0000-000011800000}"/>
    <cellStyle name="Superscript 3 8 9 8 2" xfId="29830" xr:uid="{00000000-0005-0000-0000-000012800000}"/>
    <cellStyle name="Superscript 3 8 9 9" xfId="29831" xr:uid="{00000000-0005-0000-0000-000013800000}"/>
    <cellStyle name="Superscript 3 8 9 9 2" xfId="29832" xr:uid="{00000000-0005-0000-0000-000014800000}"/>
    <cellStyle name="Superscript 4" xfId="29833" xr:uid="{00000000-0005-0000-0000-000015800000}"/>
    <cellStyle name="Superscript 4 10" xfId="29834" xr:uid="{00000000-0005-0000-0000-000016800000}"/>
    <cellStyle name="Superscript 4 10 10" xfId="29835" xr:uid="{00000000-0005-0000-0000-000017800000}"/>
    <cellStyle name="Superscript 4 10 2" xfId="29836" xr:uid="{00000000-0005-0000-0000-000018800000}"/>
    <cellStyle name="Superscript 4 10 2 2" xfId="29837" xr:uid="{00000000-0005-0000-0000-000019800000}"/>
    <cellStyle name="Superscript 4 10 3" xfId="29838" xr:uid="{00000000-0005-0000-0000-00001A800000}"/>
    <cellStyle name="Superscript 4 10 3 2" xfId="29839" xr:uid="{00000000-0005-0000-0000-00001B800000}"/>
    <cellStyle name="Superscript 4 10 4" xfId="29840" xr:uid="{00000000-0005-0000-0000-00001C800000}"/>
    <cellStyle name="Superscript 4 10 4 2" xfId="29841" xr:uid="{00000000-0005-0000-0000-00001D800000}"/>
    <cellStyle name="Superscript 4 10 5" xfId="29842" xr:uid="{00000000-0005-0000-0000-00001E800000}"/>
    <cellStyle name="Superscript 4 10 5 2" xfId="29843" xr:uid="{00000000-0005-0000-0000-00001F800000}"/>
    <cellStyle name="Superscript 4 10 6" xfId="29844" xr:uid="{00000000-0005-0000-0000-000020800000}"/>
    <cellStyle name="Superscript 4 10 6 2" xfId="29845" xr:uid="{00000000-0005-0000-0000-000021800000}"/>
    <cellStyle name="Superscript 4 10 7" xfId="29846" xr:uid="{00000000-0005-0000-0000-000022800000}"/>
    <cellStyle name="Superscript 4 10 7 2" xfId="29847" xr:uid="{00000000-0005-0000-0000-000023800000}"/>
    <cellStyle name="Superscript 4 10 8" xfId="29848" xr:uid="{00000000-0005-0000-0000-000024800000}"/>
    <cellStyle name="Superscript 4 10 8 2" xfId="29849" xr:uid="{00000000-0005-0000-0000-000025800000}"/>
    <cellStyle name="Superscript 4 10 9" xfId="29850" xr:uid="{00000000-0005-0000-0000-000026800000}"/>
    <cellStyle name="Superscript 4 10 9 2" xfId="29851" xr:uid="{00000000-0005-0000-0000-000027800000}"/>
    <cellStyle name="Superscript 4 11" xfId="29852" xr:uid="{00000000-0005-0000-0000-000028800000}"/>
    <cellStyle name="Superscript 4 11 2" xfId="29853" xr:uid="{00000000-0005-0000-0000-000029800000}"/>
    <cellStyle name="Superscript 4 11 2 2" xfId="29854" xr:uid="{00000000-0005-0000-0000-00002A800000}"/>
    <cellStyle name="Superscript 4 11 3" xfId="29855" xr:uid="{00000000-0005-0000-0000-00002B800000}"/>
    <cellStyle name="Superscript 4 11 3 2" xfId="29856" xr:uid="{00000000-0005-0000-0000-00002C800000}"/>
    <cellStyle name="Superscript 4 11 4" xfId="29857" xr:uid="{00000000-0005-0000-0000-00002D800000}"/>
    <cellStyle name="Superscript 4 11 4 2" xfId="29858" xr:uid="{00000000-0005-0000-0000-00002E800000}"/>
    <cellStyle name="Superscript 4 11 5" xfId="29859" xr:uid="{00000000-0005-0000-0000-00002F800000}"/>
    <cellStyle name="Superscript 4 11 5 2" xfId="29860" xr:uid="{00000000-0005-0000-0000-000030800000}"/>
    <cellStyle name="Superscript 4 11 6" xfId="29861" xr:uid="{00000000-0005-0000-0000-000031800000}"/>
    <cellStyle name="Superscript 4 11 6 2" xfId="29862" xr:uid="{00000000-0005-0000-0000-000032800000}"/>
    <cellStyle name="Superscript 4 11 7" xfId="29863" xr:uid="{00000000-0005-0000-0000-000033800000}"/>
    <cellStyle name="Superscript 4 11 7 2" xfId="29864" xr:uid="{00000000-0005-0000-0000-000034800000}"/>
    <cellStyle name="Superscript 4 11 8" xfId="29865" xr:uid="{00000000-0005-0000-0000-000035800000}"/>
    <cellStyle name="Superscript 4 11 8 2" xfId="29866" xr:uid="{00000000-0005-0000-0000-000036800000}"/>
    <cellStyle name="Superscript 4 11 9" xfId="29867" xr:uid="{00000000-0005-0000-0000-000037800000}"/>
    <cellStyle name="Superscript 4 2" xfId="29868" xr:uid="{00000000-0005-0000-0000-000038800000}"/>
    <cellStyle name="Superscript 4 2 10" xfId="29869" xr:uid="{00000000-0005-0000-0000-000039800000}"/>
    <cellStyle name="Superscript 4 2 2" xfId="29870" xr:uid="{00000000-0005-0000-0000-00003A800000}"/>
    <cellStyle name="Superscript 4 2 2 2" xfId="29871" xr:uid="{00000000-0005-0000-0000-00003B800000}"/>
    <cellStyle name="Superscript 4 2 3" xfId="29872" xr:uid="{00000000-0005-0000-0000-00003C800000}"/>
    <cellStyle name="Superscript 4 2 3 2" xfId="29873" xr:uid="{00000000-0005-0000-0000-00003D800000}"/>
    <cellStyle name="Superscript 4 2 4" xfId="29874" xr:uid="{00000000-0005-0000-0000-00003E800000}"/>
    <cellStyle name="Superscript 4 2 4 2" xfId="29875" xr:uid="{00000000-0005-0000-0000-00003F800000}"/>
    <cellStyle name="Superscript 4 2 5" xfId="29876" xr:uid="{00000000-0005-0000-0000-000040800000}"/>
    <cellStyle name="Superscript 4 2 5 2" xfId="29877" xr:uid="{00000000-0005-0000-0000-000041800000}"/>
    <cellStyle name="Superscript 4 2 6" xfId="29878" xr:uid="{00000000-0005-0000-0000-000042800000}"/>
    <cellStyle name="Superscript 4 2 6 2" xfId="29879" xr:uid="{00000000-0005-0000-0000-000043800000}"/>
    <cellStyle name="Superscript 4 2 7" xfId="29880" xr:uid="{00000000-0005-0000-0000-000044800000}"/>
    <cellStyle name="Superscript 4 2 7 2" xfId="29881" xr:uid="{00000000-0005-0000-0000-000045800000}"/>
    <cellStyle name="Superscript 4 2 8" xfId="29882" xr:uid="{00000000-0005-0000-0000-000046800000}"/>
    <cellStyle name="Superscript 4 2 8 2" xfId="29883" xr:uid="{00000000-0005-0000-0000-000047800000}"/>
    <cellStyle name="Superscript 4 2 9" xfId="29884" xr:uid="{00000000-0005-0000-0000-000048800000}"/>
    <cellStyle name="Superscript 4 2 9 2" xfId="29885" xr:uid="{00000000-0005-0000-0000-000049800000}"/>
    <cellStyle name="Superscript 4 3" xfId="29886" xr:uid="{00000000-0005-0000-0000-00004A800000}"/>
    <cellStyle name="Superscript 4 3 10" xfId="29887" xr:uid="{00000000-0005-0000-0000-00004B800000}"/>
    <cellStyle name="Superscript 4 3 2" xfId="29888" xr:uid="{00000000-0005-0000-0000-00004C800000}"/>
    <cellStyle name="Superscript 4 3 2 2" xfId="29889" xr:uid="{00000000-0005-0000-0000-00004D800000}"/>
    <cellStyle name="Superscript 4 3 3" xfId="29890" xr:uid="{00000000-0005-0000-0000-00004E800000}"/>
    <cellStyle name="Superscript 4 3 3 2" xfId="29891" xr:uid="{00000000-0005-0000-0000-00004F800000}"/>
    <cellStyle name="Superscript 4 3 4" xfId="29892" xr:uid="{00000000-0005-0000-0000-000050800000}"/>
    <cellStyle name="Superscript 4 3 4 2" xfId="29893" xr:uid="{00000000-0005-0000-0000-000051800000}"/>
    <cellStyle name="Superscript 4 3 5" xfId="29894" xr:uid="{00000000-0005-0000-0000-000052800000}"/>
    <cellStyle name="Superscript 4 3 5 2" xfId="29895" xr:uid="{00000000-0005-0000-0000-000053800000}"/>
    <cellStyle name="Superscript 4 3 6" xfId="29896" xr:uid="{00000000-0005-0000-0000-000054800000}"/>
    <cellStyle name="Superscript 4 3 6 2" xfId="29897" xr:uid="{00000000-0005-0000-0000-000055800000}"/>
    <cellStyle name="Superscript 4 3 7" xfId="29898" xr:uid="{00000000-0005-0000-0000-000056800000}"/>
    <cellStyle name="Superscript 4 3 7 2" xfId="29899" xr:uid="{00000000-0005-0000-0000-000057800000}"/>
    <cellStyle name="Superscript 4 3 8" xfId="29900" xr:uid="{00000000-0005-0000-0000-000058800000}"/>
    <cellStyle name="Superscript 4 3 8 2" xfId="29901" xr:uid="{00000000-0005-0000-0000-000059800000}"/>
    <cellStyle name="Superscript 4 3 9" xfId="29902" xr:uid="{00000000-0005-0000-0000-00005A800000}"/>
    <cellStyle name="Superscript 4 3 9 2" xfId="29903" xr:uid="{00000000-0005-0000-0000-00005B800000}"/>
    <cellStyle name="Superscript 4 4" xfId="29904" xr:uid="{00000000-0005-0000-0000-00005C800000}"/>
    <cellStyle name="Superscript 4 4 10" xfId="29905" xr:uid="{00000000-0005-0000-0000-00005D800000}"/>
    <cellStyle name="Superscript 4 4 2" xfId="29906" xr:uid="{00000000-0005-0000-0000-00005E800000}"/>
    <cellStyle name="Superscript 4 4 2 2" xfId="29907" xr:uid="{00000000-0005-0000-0000-00005F800000}"/>
    <cellStyle name="Superscript 4 4 3" xfId="29908" xr:uid="{00000000-0005-0000-0000-000060800000}"/>
    <cellStyle name="Superscript 4 4 3 2" xfId="29909" xr:uid="{00000000-0005-0000-0000-000061800000}"/>
    <cellStyle name="Superscript 4 4 4" xfId="29910" xr:uid="{00000000-0005-0000-0000-000062800000}"/>
    <cellStyle name="Superscript 4 4 4 2" xfId="29911" xr:uid="{00000000-0005-0000-0000-000063800000}"/>
    <cellStyle name="Superscript 4 4 5" xfId="29912" xr:uid="{00000000-0005-0000-0000-000064800000}"/>
    <cellStyle name="Superscript 4 4 5 2" xfId="29913" xr:uid="{00000000-0005-0000-0000-000065800000}"/>
    <cellStyle name="Superscript 4 4 6" xfId="29914" xr:uid="{00000000-0005-0000-0000-000066800000}"/>
    <cellStyle name="Superscript 4 4 6 2" xfId="29915" xr:uid="{00000000-0005-0000-0000-000067800000}"/>
    <cellStyle name="Superscript 4 4 7" xfId="29916" xr:uid="{00000000-0005-0000-0000-000068800000}"/>
    <cellStyle name="Superscript 4 4 7 2" xfId="29917" xr:uid="{00000000-0005-0000-0000-000069800000}"/>
    <cellStyle name="Superscript 4 4 8" xfId="29918" xr:uid="{00000000-0005-0000-0000-00006A800000}"/>
    <cellStyle name="Superscript 4 4 8 2" xfId="29919" xr:uid="{00000000-0005-0000-0000-00006B800000}"/>
    <cellStyle name="Superscript 4 4 9" xfId="29920" xr:uid="{00000000-0005-0000-0000-00006C800000}"/>
    <cellStyle name="Superscript 4 4 9 2" xfId="29921" xr:uid="{00000000-0005-0000-0000-00006D800000}"/>
    <cellStyle name="Superscript 4 5" xfId="29922" xr:uid="{00000000-0005-0000-0000-00006E800000}"/>
    <cellStyle name="Superscript 4 5 10" xfId="29923" xr:uid="{00000000-0005-0000-0000-00006F800000}"/>
    <cellStyle name="Superscript 4 5 2" xfId="29924" xr:uid="{00000000-0005-0000-0000-000070800000}"/>
    <cellStyle name="Superscript 4 5 2 2" xfId="29925" xr:uid="{00000000-0005-0000-0000-000071800000}"/>
    <cellStyle name="Superscript 4 5 3" xfId="29926" xr:uid="{00000000-0005-0000-0000-000072800000}"/>
    <cellStyle name="Superscript 4 5 3 2" xfId="29927" xr:uid="{00000000-0005-0000-0000-000073800000}"/>
    <cellStyle name="Superscript 4 5 4" xfId="29928" xr:uid="{00000000-0005-0000-0000-000074800000}"/>
    <cellStyle name="Superscript 4 5 4 2" xfId="29929" xr:uid="{00000000-0005-0000-0000-000075800000}"/>
    <cellStyle name="Superscript 4 5 5" xfId="29930" xr:uid="{00000000-0005-0000-0000-000076800000}"/>
    <cellStyle name="Superscript 4 5 5 2" xfId="29931" xr:uid="{00000000-0005-0000-0000-000077800000}"/>
    <cellStyle name="Superscript 4 5 6" xfId="29932" xr:uid="{00000000-0005-0000-0000-000078800000}"/>
    <cellStyle name="Superscript 4 5 6 2" xfId="29933" xr:uid="{00000000-0005-0000-0000-000079800000}"/>
    <cellStyle name="Superscript 4 5 7" xfId="29934" xr:uid="{00000000-0005-0000-0000-00007A800000}"/>
    <cellStyle name="Superscript 4 5 7 2" xfId="29935" xr:uid="{00000000-0005-0000-0000-00007B800000}"/>
    <cellStyle name="Superscript 4 5 8" xfId="29936" xr:uid="{00000000-0005-0000-0000-00007C800000}"/>
    <cellStyle name="Superscript 4 5 8 2" xfId="29937" xr:uid="{00000000-0005-0000-0000-00007D800000}"/>
    <cellStyle name="Superscript 4 5 9" xfId="29938" xr:uid="{00000000-0005-0000-0000-00007E800000}"/>
    <cellStyle name="Superscript 4 5 9 2" xfId="29939" xr:uid="{00000000-0005-0000-0000-00007F800000}"/>
    <cellStyle name="Superscript 4 6" xfId="29940" xr:uid="{00000000-0005-0000-0000-000080800000}"/>
    <cellStyle name="Superscript 4 6 10" xfId="29941" xr:uid="{00000000-0005-0000-0000-000081800000}"/>
    <cellStyle name="Superscript 4 6 2" xfId="29942" xr:uid="{00000000-0005-0000-0000-000082800000}"/>
    <cellStyle name="Superscript 4 6 2 2" xfId="29943" xr:uid="{00000000-0005-0000-0000-000083800000}"/>
    <cellStyle name="Superscript 4 6 3" xfId="29944" xr:uid="{00000000-0005-0000-0000-000084800000}"/>
    <cellStyle name="Superscript 4 6 3 2" xfId="29945" xr:uid="{00000000-0005-0000-0000-000085800000}"/>
    <cellStyle name="Superscript 4 6 4" xfId="29946" xr:uid="{00000000-0005-0000-0000-000086800000}"/>
    <cellStyle name="Superscript 4 6 4 2" xfId="29947" xr:uid="{00000000-0005-0000-0000-000087800000}"/>
    <cellStyle name="Superscript 4 6 5" xfId="29948" xr:uid="{00000000-0005-0000-0000-000088800000}"/>
    <cellStyle name="Superscript 4 6 5 2" xfId="29949" xr:uid="{00000000-0005-0000-0000-000089800000}"/>
    <cellStyle name="Superscript 4 6 6" xfId="29950" xr:uid="{00000000-0005-0000-0000-00008A800000}"/>
    <cellStyle name="Superscript 4 6 6 2" xfId="29951" xr:uid="{00000000-0005-0000-0000-00008B800000}"/>
    <cellStyle name="Superscript 4 6 7" xfId="29952" xr:uid="{00000000-0005-0000-0000-00008C800000}"/>
    <cellStyle name="Superscript 4 6 7 2" xfId="29953" xr:uid="{00000000-0005-0000-0000-00008D800000}"/>
    <cellStyle name="Superscript 4 6 8" xfId="29954" xr:uid="{00000000-0005-0000-0000-00008E800000}"/>
    <cellStyle name="Superscript 4 6 8 2" xfId="29955" xr:uid="{00000000-0005-0000-0000-00008F800000}"/>
    <cellStyle name="Superscript 4 6 9" xfId="29956" xr:uid="{00000000-0005-0000-0000-000090800000}"/>
    <cellStyle name="Superscript 4 6 9 2" xfId="29957" xr:uid="{00000000-0005-0000-0000-000091800000}"/>
    <cellStyle name="Superscript 4 7" xfId="29958" xr:uid="{00000000-0005-0000-0000-000092800000}"/>
    <cellStyle name="Superscript 4 7 10" xfId="29959" xr:uid="{00000000-0005-0000-0000-000093800000}"/>
    <cellStyle name="Superscript 4 7 2" xfId="29960" xr:uid="{00000000-0005-0000-0000-000094800000}"/>
    <cellStyle name="Superscript 4 7 2 2" xfId="29961" xr:uid="{00000000-0005-0000-0000-000095800000}"/>
    <cellStyle name="Superscript 4 7 3" xfId="29962" xr:uid="{00000000-0005-0000-0000-000096800000}"/>
    <cellStyle name="Superscript 4 7 3 2" xfId="29963" xr:uid="{00000000-0005-0000-0000-000097800000}"/>
    <cellStyle name="Superscript 4 7 4" xfId="29964" xr:uid="{00000000-0005-0000-0000-000098800000}"/>
    <cellStyle name="Superscript 4 7 4 2" xfId="29965" xr:uid="{00000000-0005-0000-0000-000099800000}"/>
    <cellStyle name="Superscript 4 7 5" xfId="29966" xr:uid="{00000000-0005-0000-0000-00009A800000}"/>
    <cellStyle name="Superscript 4 7 5 2" xfId="29967" xr:uid="{00000000-0005-0000-0000-00009B800000}"/>
    <cellStyle name="Superscript 4 7 6" xfId="29968" xr:uid="{00000000-0005-0000-0000-00009C800000}"/>
    <cellStyle name="Superscript 4 7 6 2" xfId="29969" xr:uid="{00000000-0005-0000-0000-00009D800000}"/>
    <cellStyle name="Superscript 4 7 7" xfId="29970" xr:uid="{00000000-0005-0000-0000-00009E800000}"/>
    <cellStyle name="Superscript 4 7 7 2" xfId="29971" xr:uid="{00000000-0005-0000-0000-00009F800000}"/>
    <cellStyle name="Superscript 4 7 8" xfId="29972" xr:uid="{00000000-0005-0000-0000-0000A0800000}"/>
    <cellStyle name="Superscript 4 7 8 2" xfId="29973" xr:uid="{00000000-0005-0000-0000-0000A1800000}"/>
    <cellStyle name="Superscript 4 7 9" xfId="29974" xr:uid="{00000000-0005-0000-0000-0000A2800000}"/>
    <cellStyle name="Superscript 4 7 9 2" xfId="29975" xr:uid="{00000000-0005-0000-0000-0000A3800000}"/>
    <cellStyle name="Superscript 4 8" xfId="29976" xr:uid="{00000000-0005-0000-0000-0000A4800000}"/>
    <cellStyle name="Superscript 4 8 10" xfId="29977" xr:uid="{00000000-0005-0000-0000-0000A5800000}"/>
    <cellStyle name="Superscript 4 8 2" xfId="29978" xr:uid="{00000000-0005-0000-0000-0000A6800000}"/>
    <cellStyle name="Superscript 4 8 2 2" xfId="29979" xr:uid="{00000000-0005-0000-0000-0000A7800000}"/>
    <cellStyle name="Superscript 4 8 3" xfId="29980" xr:uid="{00000000-0005-0000-0000-0000A8800000}"/>
    <cellStyle name="Superscript 4 8 3 2" xfId="29981" xr:uid="{00000000-0005-0000-0000-0000A9800000}"/>
    <cellStyle name="Superscript 4 8 4" xfId="29982" xr:uid="{00000000-0005-0000-0000-0000AA800000}"/>
    <cellStyle name="Superscript 4 8 4 2" xfId="29983" xr:uid="{00000000-0005-0000-0000-0000AB800000}"/>
    <cellStyle name="Superscript 4 8 5" xfId="29984" xr:uid="{00000000-0005-0000-0000-0000AC800000}"/>
    <cellStyle name="Superscript 4 8 5 2" xfId="29985" xr:uid="{00000000-0005-0000-0000-0000AD800000}"/>
    <cellStyle name="Superscript 4 8 6" xfId="29986" xr:uid="{00000000-0005-0000-0000-0000AE800000}"/>
    <cellStyle name="Superscript 4 8 6 2" xfId="29987" xr:uid="{00000000-0005-0000-0000-0000AF800000}"/>
    <cellStyle name="Superscript 4 8 7" xfId="29988" xr:uid="{00000000-0005-0000-0000-0000B0800000}"/>
    <cellStyle name="Superscript 4 8 7 2" xfId="29989" xr:uid="{00000000-0005-0000-0000-0000B1800000}"/>
    <cellStyle name="Superscript 4 8 8" xfId="29990" xr:uid="{00000000-0005-0000-0000-0000B2800000}"/>
    <cellStyle name="Superscript 4 8 8 2" xfId="29991" xr:uid="{00000000-0005-0000-0000-0000B3800000}"/>
    <cellStyle name="Superscript 4 8 9" xfId="29992" xr:uid="{00000000-0005-0000-0000-0000B4800000}"/>
    <cellStyle name="Superscript 4 8 9 2" xfId="29993" xr:uid="{00000000-0005-0000-0000-0000B5800000}"/>
    <cellStyle name="Superscript 4 9" xfId="29994" xr:uid="{00000000-0005-0000-0000-0000B6800000}"/>
    <cellStyle name="Superscript 4 9 10" xfId="29995" xr:uid="{00000000-0005-0000-0000-0000B7800000}"/>
    <cellStyle name="Superscript 4 9 2" xfId="29996" xr:uid="{00000000-0005-0000-0000-0000B8800000}"/>
    <cellStyle name="Superscript 4 9 2 2" xfId="29997" xr:uid="{00000000-0005-0000-0000-0000B9800000}"/>
    <cellStyle name="Superscript 4 9 3" xfId="29998" xr:uid="{00000000-0005-0000-0000-0000BA800000}"/>
    <cellStyle name="Superscript 4 9 3 2" xfId="29999" xr:uid="{00000000-0005-0000-0000-0000BB800000}"/>
    <cellStyle name="Superscript 4 9 4" xfId="30000" xr:uid="{00000000-0005-0000-0000-0000BC800000}"/>
    <cellStyle name="Superscript 4 9 4 2" xfId="30001" xr:uid="{00000000-0005-0000-0000-0000BD800000}"/>
    <cellStyle name="Superscript 4 9 5" xfId="30002" xr:uid="{00000000-0005-0000-0000-0000BE800000}"/>
    <cellStyle name="Superscript 4 9 5 2" xfId="30003" xr:uid="{00000000-0005-0000-0000-0000BF800000}"/>
    <cellStyle name="Superscript 4 9 6" xfId="30004" xr:uid="{00000000-0005-0000-0000-0000C0800000}"/>
    <cellStyle name="Superscript 4 9 6 2" xfId="30005" xr:uid="{00000000-0005-0000-0000-0000C1800000}"/>
    <cellStyle name="Superscript 4 9 7" xfId="30006" xr:uid="{00000000-0005-0000-0000-0000C2800000}"/>
    <cellStyle name="Superscript 4 9 7 2" xfId="30007" xr:uid="{00000000-0005-0000-0000-0000C3800000}"/>
    <cellStyle name="Superscript 4 9 8" xfId="30008" xr:uid="{00000000-0005-0000-0000-0000C4800000}"/>
    <cellStyle name="Superscript 4 9 8 2" xfId="30009" xr:uid="{00000000-0005-0000-0000-0000C5800000}"/>
    <cellStyle name="Superscript 4 9 9" xfId="30010" xr:uid="{00000000-0005-0000-0000-0000C6800000}"/>
    <cellStyle name="Superscript 4 9 9 2" xfId="30011" xr:uid="{00000000-0005-0000-0000-0000C7800000}"/>
    <cellStyle name="Superscript 5" xfId="30012" xr:uid="{00000000-0005-0000-0000-0000C8800000}"/>
    <cellStyle name="Superscript 5 10" xfId="30013" xr:uid="{00000000-0005-0000-0000-0000C9800000}"/>
    <cellStyle name="Superscript 5 10 2" xfId="30014" xr:uid="{00000000-0005-0000-0000-0000CA800000}"/>
    <cellStyle name="Superscript 5 10 2 2" xfId="30015" xr:uid="{00000000-0005-0000-0000-0000CB800000}"/>
    <cellStyle name="Superscript 5 10 3" xfId="30016" xr:uid="{00000000-0005-0000-0000-0000CC800000}"/>
    <cellStyle name="Superscript 5 10 3 2" xfId="30017" xr:uid="{00000000-0005-0000-0000-0000CD800000}"/>
    <cellStyle name="Superscript 5 10 4" xfId="30018" xr:uid="{00000000-0005-0000-0000-0000CE800000}"/>
    <cellStyle name="Superscript 5 10 4 2" xfId="30019" xr:uid="{00000000-0005-0000-0000-0000CF800000}"/>
    <cellStyle name="Superscript 5 10 5" xfId="30020" xr:uid="{00000000-0005-0000-0000-0000D0800000}"/>
    <cellStyle name="Superscript 5 10 5 2" xfId="30021" xr:uid="{00000000-0005-0000-0000-0000D1800000}"/>
    <cellStyle name="Superscript 5 10 6" xfId="30022" xr:uid="{00000000-0005-0000-0000-0000D2800000}"/>
    <cellStyle name="Superscript 5 10 6 2" xfId="30023" xr:uid="{00000000-0005-0000-0000-0000D3800000}"/>
    <cellStyle name="Superscript 5 10 7" xfId="30024" xr:uid="{00000000-0005-0000-0000-0000D4800000}"/>
    <cellStyle name="Superscript 5 10 7 2" xfId="30025" xr:uid="{00000000-0005-0000-0000-0000D5800000}"/>
    <cellStyle name="Superscript 5 10 8" xfId="30026" xr:uid="{00000000-0005-0000-0000-0000D6800000}"/>
    <cellStyle name="Superscript 5 10 8 2" xfId="30027" xr:uid="{00000000-0005-0000-0000-0000D7800000}"/>
    <cellStyle name="Superscript 5 10 9" xfId="30028" xr:uid="{00000000-0005-0000-0000-0000D8800000}"/>
    <cellStyle name="Superscript 5 11" xfId="30029" xr:uid="{00000000-0005-0000-0000-0000D9800000}"/>
    <cellStyle name="Superscript 5 11 2" xfId="30030" xr:uid="{00000000-0005-0000-0000-0000DA800000}"/>
    <cellStyle name="Superscript 5 12" xfId="30031" xr:uid="{00000000-0005-0000-0000-0000DB800000}"/>
    <cellStyle name="Superscript 5 12 2" xfId="30032" xr:uid="{00000000-0005-0000-0000-0000DC800000}"/>
    <cellStyle name="Superscript 5 13" xfId="30033" xr:uid="{00000000-0005-0000-0000-0000DD800000}"/>
    <cellStyle name="Superscript 5 13 2" xfId="30034" xr:uid="{00000000-0005-0000-0000-0000DE800000}"/>
    <cellStyle name="Superscript 5 14" xfId="30035" xr:uid="{00000000-0005-0000-0000-0000DF800000}"/>
    <cellStyle name="Superscript 5 14 2" xfId="30036" xr:uid="{00000000-0005-0000-0000-0000E0800000}"/>
    <cellStyle name="Superscript 5 15" xfId="30037" xr:uid="{00000000-0005-0000-0000-0000E1800000}"/>
    <cellStyle name="Superscript 5 15 2" xfId="30038" xr:uid="{00000000-0005-0000-0000-0000E2800000}"/>
    <cellStyle name="Superscript 5 16" xfId="30039" xr:uid="{00000000-0005-0000-0000-0000E3800000}"/>
    <cellStyle name="Superscript 5 16 2" xfId="30040" xr:uid="{00000000-0005-0000-0000-0000E4800000}"/>
    <cellStyle name="Superscript 5 17" xfId="30041" xr:uid="{00000000-0005-0000-0000-0000E5800000}"/>
    <cellStyle name="Superscript 5 17 2" xfId="30042" xr:uid="{00000000-0005-0000-0000-0000E6800000}"/>
    <cellStyle name="Superscript 5 18" xfId="30043" xr:uid="{00000000-0005-0000-0000-0000E7800000}"/>
    <cellStyle name="Superscript 5 2" xfId="30044" xr:uid="{00000000-0005-0000-0000-0000E8800000}"/>
    <cellStyle name="Superscript 5 2 10" xfId="30045" xr:uid="{00000000-0005-0000-0000-0000E9800000}"/>
    <cellStyle name="Superscript 5 2 2" xfId="30046" xr:uid="{00000000-0005-0000-0000-0000EA800000}"/>
    <cellStyle name="Superscript 5 2 2 2" xfId="30047" xr:uid="{00000000-0005-0000-0000-0000EB800000}"/>
    <cellStyle name="Superscript 5 2 3" xfId="30048" xr:uid="{00000000-0005-0000-0000-0000EC800000}"/>
    <cellStyle name="Superscript 5 2 3 2" xfId="30049" xr:uid="{00000000-0005-0000-0000-0000ED800000}"/>
    <cellStyle name="Superscript 5 2 4" xfId="30050" xr:uid="{00000000-0005-0000-0000-0000EE800000}"/>
    <cellStyle name="Superscript 5 2 4 2" xfId="30051" xr:uid="{00000000-0005-0000-0000-0000EF800000}"/>
    <cellStyle name="Superscript 5 2 5" xfId="30052" xr:uid="{00000000-0005-0000-0000-0000F0800000}"/>
    <cellStyle name="Superscript 5 2 5 2" xfId="30053" xr:uid="{00000000-0005-0000-0000-0000F1800000}"/>
    <cellStyle name="Superscript 5 2 6" xfId="30054" xr:uid="{00000000-0005-0000-0000-0000F2800000}"/>
    <cellStyle name="Superscript 5 2 6 2" xfId="30055" xr:uid="{00000000-0005-0000-0000-0000F3800000}"/>
    <cellStyle name="Superscript 5 2 7" xfId="30056" xr:uid="{00000000-0005-0000-0000-0000F4800000}"/>
    <cellStyle name="Superscript 5 2 7 2" xfId="30057" xr:uid="{00000000-0005-0000-0000-0000F5800000}"/>
    <cellStyle name="Superscript 5 2 8" xfId="30058" xr:uid="{00000000-0005-0000-0000-0000F6800000}"/>
    <cellStyle name="Superscript 5 2 8 2" xfId="30059" xr:uid="{00000000-0005-0000-0000-0000F7800000}"/>
    <cellStyle name="Superscript 5 2 9" xfId="30060" xr:uid="{00000000-0005-0000-0000-0000F8800000}"/>
    <cellStyle name="Superscript 5 2 9 2" xfId="30061" xr:uid="{00000000-0005-0000-0000-0000F9800000}"/>
    <cellStyle name="Superscript 5 3" xfId="30062" xr:uid="{00000000-0005-0000-0000-0000FA800000}"/>
    <cellStyle name="Superscript 5 3 10" xfId="30063" xr:uid="{00000000-0005-0000-0000-0000FB800000}"/>
    <cellStyle name="Superscript 5 3 2" xfId="30064" xr:uid="{00000000-0005-0000-0000-0000FC800000}"/>
    <cellStyle name="Superscript 5 3 2 2" xfId="30065" xr:uid="{00000000-0005-0000-0000-0000FD800000}"/>
    <cellStyle name="Superscript 5 3 3" xfId="30066" xr:uid="{00000000-0005-0000-0000-0000FE800000}"/>
    <cellStyle name="Superscript 5 3 3 2" xfId="30067" xr:uid="{00000000-0005-0000-0000-0000FF800000}"/>
    <cellStyle name="Superscript 5 3 4" xfId="30068" xr:uid="{00000000-0005-0000-0000-000000810000}"/>
    <cellStyle name="Superscript 5 3 4 2" xfId="30069" xr:uid="{00000000-0005-0000-0000-000001810000}"/>
    <cellStyle name="Superscript 5 3 5" xfId="30070" xr:uid="{00000000-0005-0000-0000-000002810000}"/>
    <cellStyle name="Superscript 5 3 5 2" xfId="30071" xr:uid="{00000000-0005-0000-0000-000003810000}"/>
    <cellStyle name="Superscript 5 3 6" xfId="30072" xr:uid="{00000000-0005-0000-0000-000004810000}"/>
    <cellStyle name="Superscript 5 3 6 2" xfId="30073" xr:uid="{00000000-0005-0000-0000-000005810000}"/>
    <cellStyle name="Superscript 5 3 7" xfId="30074" xr:uid="{00000000-0005-0000-0000-000006810000}"/>
    <cellStyle name="Superscript 5 3 7 2" xfId="30075" xr:uid="{00000000-0005-0000-0000-000007810000}"/>
    <cellStyle name="Superscript 5 3 8" xfId="30076" xr:uid="{00000000-0005-0000-0000-000008810000}"/>
    <cellStyle name="Superscript 5 3 8 2" xfId="30077" xr:uid="{00000000-0005-0000-0000-000009810000}"/>
    <cellStyle name="Superscript 5 3 9" xfId="30078" xr:uid="{00000000-0005-0000-0000-00000A810000}"/>
    <cellStyle name="Superscript 5 3 9 2" xfId="30079" xr:uid="{00000000-0005-0000-0000-00000B810000}"/>
    <cellStyle name="Superscript 5 4" xfId="30080" xr:uid="{00000000-0005-0000-0000-00000C810000}"/>
    <cellStyle name="Superscript 5 4 10" xfId="30081" xr:uid="{00000000-0005-0000-0000-00000D810000}"/>
    <cellStyle name="Superscript 5 4 2" xfId="30082" xr:uid="{00000000-0005-0000-0000-00000E810000}"/>
    <cellStyle name="Superscript 5 4 2 2" xfId="30083" xr:uid="{00000000-0005-0000-0000-00000F810000}"/>
    <cellStyle name="Superscript 5 4 3" xfId="30084" xr:uid="{00000000-0005-0000-0000-000010810000}"/>
    <cellStyle name="Superscript 5 4 3 2" xfId="30085" xr:uid="{00000000-0005-0000-0000-000011810000}"/>
    <cellStyle name="Superscript 5 4 4" xfId="30086" xr:uid="{00000000-0005-0000-0000-000012810000}"/>
    <cellStyle name="Superscript 5 4 4 2" xfId="30087" xr:uid="{00000000-0005-0000-0000-000013810000}"/>
    <cellStyle name="Superscript 5 4 5" xfId="30088" xr:uid="{00000000-0005-0000-0000-000014810000}"/>
    <cellStyle name="Superscript 5 4 5 2" xfId="30089" xr:uid="{00000000-0005-0000-0000-000015810000}"/>
    <cellStyle name="Superscript 5 4 6" xfId="30090" xr:uid="{00000000-0005-0000-0000-000016810000}"/>
    <cellStyle name="Superscript 5 4 6 2" xfId="30091" xr:uid="{00000000-0005-0000-0000-000017810000}"/>
    <cellStyle name="Superscript 5 4 7" xfId="30092" xr:uid="{00000000-0005-0000-0000-000018810000}"/>
    <cellStyle name="Superscript 5 4 7 2" xfId="30093" xr:uid="{00000000-0005-0000-0000-000019810000}"/>
    <cellStyle name="Superscript 5 4 8" xfId="30094" xr:uid="{00000000-0005-0000-0000-00001A810000}"/>
    <cellStyle name="Superscript 5 4 8 2" xfId="30095" xr:uid="{00000000-0005-0000-0000-00001B810000}"/>
    <cellStyle name="Superscript 5 4 9" xfId="30096" xr:uid="{00000000-0005-0000-0000-00001C810000}"/>
    <cellStyle name="Superscript 5 4 9 2" xfId="30097" xr:uid="{00000000-0005-0000-0000-00001D810000}"/>
    <cellStyle name="Superscript 5 5" xfId="30098" xr:uid="{00000000-0005-0000-0000-00001E810000}"/>
    <cellStyle name="Superscript 5 5 10" xfId="30099" xr:uid="{00000000-0005-0000-0000-00001F810000}"/>
    <cellStyle name="Superscript 5 5 2" xfId="30100" xr:uid="{00000000-0005-0000-0000-000020810000}"/>
    <cellStyle name="Superscript 5 5 2 2" xfId="30101" xr:uid="{00000000-0005-0000-0000-000021810000}"/>
    <cellStyle name="Superscript 5 5 3" xfId="30102" xr:uid="{00000000-0005-0000-0000-000022810000}"/>
    <cellStyle name="Superscript 5 5 3 2" xfId="30103" xr:uid="{00000000-0005-0000-0000-000023810000}"/>
    <cellStyle name="Superscript 5 5 4" xfId="30104" xr:uid="{00000000-0005-0000-0000-000024810000}"/>
    <cellStyle name="Superscript 5 5 4 2" xfId="30105" xr:uid="{00000000-0005-0000-0000-000025810000}"/>
    <cellStyle name="Superscript 5 5 5" xfId="30106" xr:uid="{00000000-0005-0000-0000-000026810000}"/>
    <cellStyle name="Superscript 5 5 5 2" xfId="30107" xr:uid="{00000000-0005-0000-0000-000027810000}"/>
    <cellStyle name="Superscript 5 5 6" xfId="30108" xr:uid="{00000000-0005-0000-0000-000028810000}"/>
    <cellStyle name="Superscript 5 5 6 2" xfId="30109" xr:uid="{00000000-0005-0000-0000-000029810000}"/>
    <cellStyle name="Superscript 5 5 7" xfId="30110" xr:uid="{00000000-0005-0000-0000-00002A810000}"/>
    <cellStyle name="Superscript 5 5 7 2" xfId="30111" xr:uid="{00000000-0005-0000-0000-00002B810000}"/>
    <cellStyle name="Superscript 5 5 8" xfId="30112" xr:uid="{00000000-0005-0000-0000-00002C810000}"/>
    <cellStyle name="Superscript 5 5 8 2" xfId="30113" xr:uid="{00000000-0005-0000-0000-00002D810000}"/>
    <cellStyle name="Superscript 5 5 9" xfId="30114" xr:uid="{00000000-0005-0000-0000-00002E810000}"/>
    <cellStyle name="Superscript 5 5 9 2" xfId="30115" xr:uid="{00000000-0005-0000-0000-00002F810000}"/>
    <cellStyle name="Superscript 5 6" xfId="30116" xr:uid="{00000000-0005-0000-0000-000030810000}"/>
    <cellStyle name="Superscript 5 6 10" xfId="30117" xr:uid="{00000000-0005-0000-0000-000031810000}"/>
    <cellStyle name="Superscript 5 6 2" xfId="30118" xr:uid="{00000000-0005-0000-0000-000032810000}"/>
    <cellStyle name="Superscript 5 6 2 2" xfId="30119" xr:uid="{00000000-0005-0000-0000-000033810000}"/>
    <cellStyle name="Superscript 5 6 3" xfId="30120" xr:uid="{00000000-0005-0000-0000-000034810000}"/>
    <cellStyle name="Superscript 5 6 3 2" xfId="30121" xr:uid="{00000000-0005-0000-0000-000035810000}"/>
    <cellStyle name="Superscript 5 6 4" xfId="30122" xr:uid="{00000000-0005-0000-0000-000036810000}"/>
    <cellStyle name="Superscript 5 6 4 2" xfId="30123" xr:uid="{00000000-0005-0000-0000-000037810000}"/>
    <cellStyle name="Superscript 5 6 5" xfId="30124" xr:uid="{00000000-0005-0000-0000-000038810000}"/>
    <cellStyle name="Superscript 5 6 5 2" xfId="30125" xr:uid="{00000000-0005-0000-0000-000039810000}"/>
    <cellStyle name="Superscript 5 6 6" xfId="30126" xr:uid="{00000000-0005-0000-0000-00003A810000}"/>
    <cellStyle name="Superscript 5 6 6 2" xfId="30127" xr:uid="{00000000-0005-0000-0000-00003B810000}"/>
    <cellStyle name="Superscript 5 6 7" xfId="30128" xr:uid="{00000000-0005-0000-0000-00003C810000}"/>
    <cellStyle name="Superscript 5 6 7 2" xfId="30129" xr:uid="{00000000-0005-0000-0000-00003D810000}"/>
    <cellStyle name="Superscript 5 6 8" xfId="30130" xr:uid="{00000000-0005-0000-0000-00003E810000}"/>
    <cellStyle name="Superscript 5 6 8 2" xfId="30131" xr:uid="{00000000-0005-0000-0000-00003F810000}"/>
    <cellStyle name="Superscript 5 6 9" xfId="30132" xr:uid="{00000000-0005-0000-0000-000040810000}"/>
    <cellStyle name="Superscript 5 6 9 2" xfId="30133" xr:uid="{00000000-0005-0000-0000-000041810000}"/>
    <cellStyle name="Superscript 5 7" xfId="30134" xr:uid="{00000000-0005-0000-0000-000042810000}"/>
    <cellStyle name="Superscript 5 7 10" xfId="30135" xr:uid="{00000000-0005-0000-0000-000043810000}"/>
    <cellStyle name="Superscript 5 7 2" xfId="30136" xr:uid="{00000000-0005-0000-0000-000044810000}"/>
    <cellStyle name="Superscript 5 7 2 2" xfId="30137" xr:uid="{00000000-0005-0000-0000-000045810000}"/>
    <cellStyle name="Superscript 5 7 3" xfId="30138" xr:uid="{00000000-0005-0000-0000-000046810000}"/>
    <cellStyle name="Superscript 5 7 3 2" xfId="30139" xr:uid="{00000000-0005-0000-0000-000047810000}"/>
    <cellStyle name="Superscript 5 7 4" xfId="30140" xr:uid="{00000000-0005-0000-0000-000048810000}"/>
    <cellStyle name="Superscript 5 7 4 2" xfId="30141" xr:uid="{00000000-0005-0000-0000-000049810000}"/>
    <cellStyle name="Superscript 5 7 5" xfId="30142" xr:uid="{00000000-0005-0000-0000-00004A810000}"/>
    <cellStyle name="Superscript 5 7 5 2" xfId="30143" xr:uid="{00000000-0005-0000-0000-00004B810000}"/>
    <cellStyle name="Superscript 5 7 6" xfId="30144" xr:uid="{00000000-0005-0000-0000-00004C810000}"/>
    <cellStyle name="Superscript 5 7 6 2" xfId="30145" xr:uid="{00000000-0005-0000-0000-00004D810000}"/>
    <cellStyle name="Superscript 5 7 7" xfId="30146" xr:uid="{00000000-0005-0000-0000-00004E810000}"/>
    <cellStyle name="Superscript 5 7 7 2" xfId="30147" xr:uid="{00000000-0005-0000-0000-00004F810000}"/>
    <cellStyle name="Superscript 5 7 8" xfId="30148" xr:uid="{00000000-0005-0000-0000-000050810000}"/>
    <cellStyle name="Superscript 5 7 8 2" xfId="30149" xr:uid="{00000000-0005-0000-0000-000051810000}"/>
    <cellStyle name="Superscript 5 7 9" xfId="30150" xr:uid="{00000000-0005-0000-0000-000052810000}"/>
    <cellStyle name="Superscript 5 7 9 2" xfId="30151" xr:uid="{00000000-0005-0000-0000-000053810000}"/>
    <cellStyle name="Superscript 5 8" xfId="30152" xr:uid="{00000000-0005-0000-0000-000054810000}"/>
    <cellStyle name="Superscript 5 8 10" xfId="30153" xr:uid="{00000000-0005-0000-0000-000055810000}"/>
    <cellStyle name="Superscript 5 8 2" xfId="30154" xr:uid="{00000000-0005-0000-0000-000056810000}"/>
    <cellStyle name="Superscript 5 8 2 2" xfId="30155" xr:uid="{00000000-0005-0000-0000-000057810000}"/>
    <cellStyle name="Superscript 5 8 3" xfId="30156" xr:uid="{00000000-0005-0000-0000-000058810000}"/>
    <cellStyle name="Superscript 5 8 3 2" xfId="30157" xr:uid="{00000000-0005-0000-0000-000059810000}"/>
    <cellStyle name="Superscript 5 8 4" xfId="30158" xr:uid="{00000000-0005-0000-0000-00005A810000}"/>
    <cellStyle name="Superscript 5 8 4 2" xfId="30159" xr:uid="{00000000-0005-0000-0000-00005B810000}"/>
    <cellStyle name="Superscript 5 8 5" xfId="30160" xr:uid="{00000000-0005-0000-0000-00005C810000}"/>
    <cellStyle name="Superscript 5 8 5 2" xfId="30161" xr:uid="{00000000-0005-0000-0000-00005D810000}"/>
    <cellStyle name="Superscript 5 8 6" xfId="30162" xr:uid="{00000000-0005-0000-0000-00005E810000}"/>
    <cellStyle name="Superscript 5 8 6 2" xfId="30163" xr:uid="{00000000-0005-0000-0000-00005F810000}"/>
    <cellStyle name="Superscript 5 8 7" xfId="30164" xr:uid="{00000000-0005-0000-0000-000060810000}"/>
    <cellStyle name="Superscript 5 8 7 2" xfId="30165" xr:uid="{00000000-0005-0000-0000-000061810000}"/>
    <cellStyle name="Superscript 5 8 8" xfId="30166" xr:uid="{00000000-0005-0000-0000-000062810000}"/>
    <cellStyle name="Superscript 5 8 8 2" xfId="30167" xr:uid="{00000000-0005-0000-0000-000063810000}"/>
    <cellStyle name="Superscript 5 8 9" xfId="30168" xr:uid="{00000000-0005-0000-0000-000064810000}"/>
    <cellStyle name="Superscript 5 8 9 2" xfId="30169" xr:uid="{00000000-0005-0000-0000-000065810000}"/>
    <cellStyle name="Superscript 5 9" xfId="30170" xr:uid="{00000000-0005-0000-0000-000066810000}"/>
    <cellStyle name="Superscript 5 9 10" xfId="30171" xr:uid="{00000000-0005-0000-0000-000067810000}"/>
    <cellStyle name="Superscript 5 9 2" xfId="30172" xr:uid="{00000000-0005-0000-0000-000068810000}"/>
    <cellStyle name="Superscript 5 9 2 2" xfId="30173" xr:uid="{00000000-0005-0000-0000-000069810000}"/>
    <cellStyle name="Superscript 5 9 3" xfId="30174" xr:uid="{00000000-0005-0000-0000-00006A810000}"/>
    <cellStyle name="Superscript 5 9 3 2" xfId="30175" xr:uid="{00000000-0005-0000-0000-00006B810000}"/>
    <cellStyle name="Superscript 5 9 4" xfId="30176" xr:uid="{00000000-0005-0000-0000-00006C810000}"/>
    <cellStyle name="Superscript 5 9 4 2" xfId="30177" xr:uid="{00000000-0005-0000-0000-00006D810000}"/>
    <cellStyle name="Superscript 5 9 5" xfId="30178" xr:uid="{00000000-0005-0000-0000-00006E810000}"/>
    <cellStyle name="Superscript 5 9 5 2" xfId="30179" xr:uid="{00000000-0005-0000-0000-00006F810000}"/>
    <cellStyle name="Superscript 5 9 6" xfId="30180" xr:uid="{00000000-0005-0000-0000-000070810000}"/>
    <cellStyle name="Superscript 5 9 6 2" xfId="30181" xr:uid="{00000000-0005-0000-0000-000071810000}"/>
    <cellStyle name="Superscript 5 9 7" xfId="30182" xr:uid="{00000000-0005-0000-0000-000072810000}"/>
    <cellStyle name="Superscript 5 9 7 2" xfId="30183" xr:uid="{00000000-0005-0000-0000-000073810000}"/>
    <cellStyle name="Superscript 5 9 8" xfId="30184" xr:uid="{00000000-0005-0000-0000-000074810000}"/>
    <cellStyle name="Superscript 5 9 8 2" xfId="30185" xr:uid="{00000000-0005-0000-0000-000075810000}"/>
    <cellStyle name="Superscript 5 9 9" xfId="30186" xr:uid="{00000000-0005-0000-0000-000076810000}"/>
    <cellStyle name="Superscript 5 9 9 2" xfId="30187" xr:uid="{00000000-0005-0000-0000-000077810000}"/>
    <cellStyle name="Superscript 6" xfId="30188" xr:uid="{00000000-0005-0000-0000-000078810000}"/>
    <cellStyle name="Superscript 6 10" xfId="30189" xr:uid="{00000000-0005-0000-0000-000079810000}"/>
    <cellStyle name="Superscript 6 10 2" xfId="30190" xr:uid="{00000000-0005-0000-0000-00007A810000}"/>
    <cellStyle name="Superscript 6 10 2 2" xfId="30191" xr:uid="{00000000-0005-0000-0000-00007B810000}"/>
    <cellStyle name="Superscript 6 10 3" xfId="30192" xr:uid="{00000000-0005-0000-0000-00007C810000}"/>
    <cellStyle name="Superscript 6 10 3 2" xfId="30193" xr:uid="{00000000-0005-0000-0000-00007D810000}"/>
    <cellStyle name="Superscript 6 10 4" xfId="30194" xr:uid="{00000000-0005-0000-0000-00007E810000}"/>
    <cellStyle name="Superscript 6 10 4 2" xfId="30195" xr:uid="{00000000-0005-0000-0000-00007F810000}"/>
    <cellStyle name="Superscript 6 10 5" xfId="30196" xr:uid="{00000000-0005-0000-0000-000080810000}"/>
    <cellStyle name="Superscript 6 10 5 2" xfId="30197" xr:uid="{00000000-0005-0000-0000-000081810000}"/>
    <cellStyle name="Superscript 6 10 6" xfId="30198" xr:uid="{00000000-0005-0000-0000-000082810000}"/>
    <cellStyle name="Superscript 6 10 6 2" xfId="30199" xr:uid="{00000000-0005-0000-0000-000083810000}"/>
    <cellStyle name="Superscript 6 10 7" xfId="30200" xr:uid="{00000000-0005-0000-0000-000084810000}"/>
    <cellStyle name="Superscript 6 10 7 2" xfId="30201" xr:uid="{00000000-0005-0000-0000-000085810000}"/>
    <cellStyle name="Superscript 6 10 8" xfId="30202" xr:uid="{00000000-0005-0000-0000-000086810000}"/>
    <cellStyle name="Superscript 6 10 8 2" xfId="30203" xr:uid="{00000000-0005-0000-0000-000087810000}"/>
    <cellStyle name="Superscript 6 10 9" xfId="30204" xr:uid="{00000000-0005-0000-0000-000088810000}"/>
    <cellStyle name="Superscript 6 11" xfId="30205" xr:uid="{00000000-0005-0000-0000-000089810000}"/>
    <cellStyle name="Superscript 6 11 2" xfId="30206" xr:uid="{00000000-0005-0000-0000-00008A810000}"/>
    <cellStyle name="Superscript 6 12" xfId="30207" xr:uid="{00000000-0005-0000-0000-00008B810000}"/>
    <cellStyle name="Superscript 6 12 2" xfId="30208" xr:uid="{00000000-0005-0000-0000-00008C810000}"/>
    <cellStyle name="Superscript 6 13" xfId="30209" xr:uid="{00000000-0005-0000-0000-00008D810000}"/>
    <cellStyle name="Superscript 6 13 2" xfId="30210" xr:uid="{00000000-0005-0000-0000-00008E810000}"/>
    <cellStyle name="Superscript 6 14" xfId="30211" xr:uid="{00000000-0005-0000-0000-00008F810000}"/>
    <cellStyle name="Superscript 6 14 2" xfId="30212" xr:uid="{00000000-0005-0000-0000-000090810000}"/>
    <cellStyle name="Superscript 6 15" xfId="30213" xr:uid="{00000000-0005-0000-0000-000091810000}"/>
    <cellStyle name="Superscript 6 15 2" xfId="30214" xr:uid="{00000000-0005-0000-0000-000092810000}"/>
    <cellStyle name="Superscript 6 16" xfId="30215" xr:uid="{00000000-0005-0000-0000-000093810000}"/>
    <cellStyle name="Superscript 6 16 2" xfId="30216" xr:uid="{00000000-0005-0000-0000-000094810000}"/>
    <cellStyle name="Superscript 6 17" xfId="30217" xr:uid="{00000000-0005-0000-0000-000095810000}"/>
    <cellStyle name="Superscript 6 17 2" xfId="30218" xr:uid="{00000000-0005-0000-0000-000096810000}"/>
    <cellStyle name="Superscript 6 18" xfId="30219" xr:uid="{00000000-0005-0000-0000-000097810000}"/>
    <cellStyle name="Superscript 6 2" xfId="30220" xr:uid="{00000000-0005-0000-0000-000098810000}"/>
    <cellStyle name="Superscript 6 2 10" xfId="30221" xr:uid="{00000000-0005-0000-0000-000099810000}"/>
    <cellStyle name="Superscript 6 2 2" xfId="30222" xr:uid="{00000000-0005-0000-0000-00009A810000}"/>
    <cellStyle name="Superscript 6 2 2 2" xfId="30223" xr:uid="{00000000-0005-0000-0000-00009B810000}"/>
    <cellStyle name="Superscript 6 2 3" xfId="30224" xr:uid="{00000000-0005-0000-0000-00009C810000}"/>
    <cellStyle name="Superscript 6 2 3 2" xfId="30225" xr:uid="{00000000-0005-0000-0000-00009D810000}"/>
    <cellStyle name="Superscript 6 2 4" xfId="30226" xr:uid="{00000000-0005-0000-0000-00009E810000}"/>
    <cellStyle name="Superscript 6 2 4 2" xfId="30227" xr:uid="{00000000-0005-0000-0000-00009F810000}"/>
    <cellStyle name="Superscript 6 2 5" xfId="30228" xr:uid="{00000000-0005-0000-0000-0000A0810000}"/>
    <cellStyle name="Superscript 6 2 5 2" xfId="30229" xr:uid="{00000000-0005-0000-0000-0000A1810000}"/>
    <cellStyle name="Superscript 6 2 6" xfId="30230" xr:uid="{00000000-0005-0000-0000-0000A2810000}"/>
    <cellStyle name="Superscript 6 2 6 2" xfId="30231" xr:uid="{00000000-0005-0000-0000-0000A3810000}"/>
    <cellStyle name="Superscript 6 2 7" xfId="30232" xr:uid="{00000000-0005-0000-0000-0000A4810000}"/>
    <cellStyle name="Superscript 6 2 7 2" xfId="30233" xr:uid="{00000000-0005-0000-0000-0000A5810000}"/>
    <cellStyle name="Superscript 6 2 8" xfId="30234" xr:uid="{00000000-0005-0000-0000-0000A6810000}"/>
    <cellStyle name="Superscript 6 2 8 2" xfId="30235" xr:uid="{00000000-0005-0000-0000-0000A7810000}"/>
    <cellStyle name="Superscript 6 2 9" xfId="30236" xr:uid="{00000000-0005-0000-0000-0000A8810000}"/>
    <cellStyle name="Superscript 6 2 9 2" xfId="30237" xr:uid="{00000000-0005-0000-0000-0000A9810000}"/>
    <cellStyle name="Superscript 6 3" xfId="30238" xr:uid="{00000000-0005-0000-0000-0000AA810000}"/>
    <cellStyle name="Superscript 6 3 10" xfId="30239" xr:uid="{00000000-0005-0000-0000-0000AB810000}"/>
    <cellStyle name="Superscript 6 3 2" xfId="30240" xr:uid="{00000000-0005-0000-0000-0000AC810000}"/>
    <cellStyle name="Superscript 6 3 2 2" xfId="30241" xr:uid="{00000000-0005-0000-0000-0000AD810000}"/>
    <cellStyle name="Superscript 6 3 3" xfId="30242" xr:uid="{00000000-0005-0000-0000-0000AE810000}"/>
    <cellStyle name="Superscript 6 3 3 2" xfId="30243" xr:uid="{00000000-0005-0000-0000-0000AF810000}"/>
    <cellStyle name="Superscript 6 3 4" xfId="30244" xr:uid="{00000000-0005-0000-0000-0000B0810000}"/>
    <cellStyle name="Superscript 6 3 4 2" xfId="30245" xr:uid="{00000000-0005-0000-0000-0000B1810000}"/>
    <cellStyle name="Superscript 6 3 5" xfId="30246" xr:uid="{00000000-0005-0000-0000-0000B2810000}"/>
    <cellStyle name="Superscript 6 3 5 2" xfId="30247" xr:uid="{00000000-0005-0000-0000-0000B3810000}"/>
    <cellStyle name="Superscript 6 3 6" xfId="30248" xr:uid="{00000000-0005-0000-0000-0000B4810000}"/>
    <cellStyle name="Superscript 6 3 6 2" xfId="30249" xr:uid="{00000000-0005-0000-0000-0000B5810000}"/>
    <cellStyle name="Superscript 6 3 7" xfId="30250" xr:uid="{00000000-0005-0000-0000-0000B6810000}"/>
    <cellStyle name="Superscript 6 3 7 2" xfId="30251" xr:uid="{00000000-0005-0000-0000-0000B7810000}"/>
    <cellStyle name="Superscript 6 3 8" xfId="30252" xr:uid="{00000000-0005-0000-0000-0000B8810000}"/>
    <cellStyle name="Superscript 6 3 8 2" xfId="30253" xr:uid="{00000000-0005-0000-0000-0000B9810000}"/>
    <cellStyle name="Superscript 6 3 9" xfId="30254" xr:uid="{00000000-0005-0000-0000-0000BA810000}"/>
    <cellStyle name="Superscript 6 3 9 2" xfId="30255" xr:uid="{00000000-0005-0000-0000-0000BB810000}"/>
    <cellStyle name="Superscript 6 4" xfId="30256" xr:uid="{00000000-0005-0000-0000-0000BC810000}"/>
    <cellStyle name="Superscript 6 4 10" xfId="30257" xr:uid="{00000000-0005-0000-0000-0000BD810000}"/>
    <cellStyle name="Superscript 6 4 2" xfId="30258" xr:uid="{00000000-0005-0000-0000-0000BE810000}"/>
    <cellStyle name="Superscript 6 4 2 2" xfId="30259" xr:uid="{00000000-0005-0000-0000-0000BF810000}"/>
    <cellStyle name="Superscript 6 4 3" xfId="30260" xr:uid="{00000000-0005-0000-0000-0000C0810000}"/>
    <cellStyle name="Superscript 6 4 3 2" xfId="30261" xr:uid="{00000000-0005-0000-0000-0000C1810000}"/>
    <cellStyle name="Superscript 6 4 4" xfId="30262" xr:uid="{00000000-0005-0000-0000-0000C2810000}"/>
    <cellStyle name="Superscript 6 4 4 2" xfId="30263" xr:uid="{00000000-0005-0000-0000-0000C3810000}"/>
    <cellStyle name="Superscript 6 4 5" xfId="30264" xr:uid="{00000000-0005-0000-0000-0000C4810000}"/>
    <cellStyle name="Superscript 6 4 5 2" xfId="30265" xr:uid="{00000000-0005-0000-0000-0000C5810000}"/>
    <cellStyle name="Superscript 6 4 6" xfId="30266" xr:uid="{00000000-0005-0000-0000-0000C6810000}"/>
    <cellStyle name="Superscript 6 4 6 2" xfId="30267" xr:uid="{00000000-0005-0000-0000-0000C7810000}"/>
    <cellStyle name="Superscript 6 4 7" xfId="30268" xr:uid="{00000000-0005-0000-0000-0000C8810000}"/>
    <cellStyle name="Superscript 6 4 7 2" xfId="30269" xr:uid="{00000000-0005-0000-0000-0000C9810000}"/>
    <cellStyle name="Superscript 6 4 8" xfId="30270" xr:uid="{00000000-0005-0000-0000-0000CA810000}"/>
    <cellStyle name="Superscript 6 4 8 2" xfId="30271" xr:uid="{00000000-0005-0000-0000-0000CB810000}"/>
    <cellStyle name="Superscript 6 4 9" xfId="30272" xr:uid="{00000000-0005-0000-0000-0000CC810000}"/>
    <cellStyle name="Superscript 6 4 9 2" xfId="30273" xr:uid="{00000000-0005-0000-0000-0000CD810000}"/>
    <cellStyle name="Superscript 6 5" xfId="30274" xr:uid="{00000000-0005-0000-0000-0000CE810000}"/>
    <cellStyle name="Superscript 6 5 10" xfId="30275" xr:uid="{00000000-0005-0000-0000-0000CF810000}"/>
    <cellStyle name="Superscript 6 5 2" xfId="30276" xr:uid="{00000000-0005-0000-0000-0000D0810000}"/>
    <cellStyle name="Superscript 6 5 2 2" xfId="30277" xr:uid="{00000000-0005-0000-0000-0000D1810000}"/>
    <cellStyle name="Superscript 6 5 3" xfId="30278" xr:uid="{00000000-0005-0000-0000-0000D2810000}"/>
    <cellStyle name="Superscript 6 5 3 2" xfId="30279" xr:uid="{00000000-0005-0000-0000-0000D3810000}"/>
    <cellStyle name="Superscript 6 5 4" xfId="30280" xr:uid="{00000000-0005-0000-0000-0000D4810000}"/>
    <cellStyle name="Superscript 6 5 4 2" xfId="30281" xr:uid="{00000000-0005-0000-0000-0000D5810000}"/>
    <cellStyle name="Superscript 6 5 5" xfId="30282" xr:uid="{00000000-0005-0000-0000-0000D6810000}"/>
    <cellStyle name="Superscript 6 5 5 2" xfId="30283" xr:uid="{00000000-0005-0000-0000-0000D7810000}"/>
    <cellStyle name="Superscript 6 5 6" xfId="30284" xr:uid="{00000000-0005-0000-0000-0000D8810000}"/>
    <cellStyle name="Superscript 6 5 6 2" xfId="30285" xr:uid="{00000000-0005-0000-0000-0000D9810000}"/>
    <cellStyle name="Superscript 6 5 7" xfId="30286" xr:uid="{00000000-0005-0000-0000-0000DA810000}"/>
    <cellStyle name="Superscript 6 5 7 2" xfId="30287" xr:uid="{00000000-0005-0000-0000-0000DB810000}"/>
    <cellStyle name="Superscript 6 5 8" xfId="30288" xr:uid="{00000000-0005-0000-0000-0000DC810000}"/>
    <cellStyle name="Superscript 6 5 8 2" xfId="30289" xr:uid="{00000000-0005-0000-0000-0000DD810000}"/>
    <cellStyle name="Superscript 6 5 9" xfId="30290" xr:uid="{00000000-0005-0000-0000-0000DE810000}"/>
    <cellStyle name="Superscript 6 5 9 2" xfId="30291" xr:uid="{00000000-0005-0000-0000-0000DF810000}"/>
    <cellStyle name="Superscript 6 6" xfId="30292" xr:uid="{00000000-0005-0000-0000-0000E0810000}"/>
    <cellStyle name="Superscript 6 6 10" xfId="30293" xr:uid="{00000000-0005-0000-0000-0000E1810000}"/>
    <cellStyle name="Superscript 6 6 2" xfId="30294" xr:uid="{00000000-0005-0000-0000-0000E2810000}"/>
    <cellStyle name="Superscript 6 6 2 2" xfId="30295" xr:uid="{00000000-0005-0000-0000-0000E3810000}"/>
    <cellStyle name="Superscript 6 6 3" xfId="30296" xr:uid="{00000000-0005-0000-0000-0000E4810000}"/>
    <cellStyle name="Superscript 6 6 3 2" xfId="30297" xr:uid="{00000000-0005-0000-0000-0000E5810000}"/>
    <cellStyle name="Superscript 6 6 4" xfId="30298" xr:uid="{00000000-0005-0000-0000-0000E6810000}"/>
    <cellStyle name="Superscript 6 6 4 2" xfId="30299" xr:uid="{00000000-0005-0000-0000-0000E7810000}"/>
    <cellStyle name="Superscript 6 6 5" xfId="30300" xr:uid="{00000000-0005-0000-0000-0000E8810000}"/>
    <cellStyle name="Superscript 6 6 5 2" xfId="30301" xr:uid="{00000000-0005-0000-0000-0000E9810000}"/>
    <cellStyle name="Superscript 6 6 6" xfId="30302" xr:uid="{00000000-0005-0000-0000-0000EA810000}"/>
    <cellStyle name="Superscript 6 6 6 2" xfId="30303" xr:uid="{00000000-0005-0000-0000-0000EB810000}"/>
    <cellStyle name="Superscript 6 6 7" xfId="30304" xr:uid="{00000000-0005-0000-0000-0000EC810000}"/>
    <cellStyle name="Superscript 6 6 7 2" xfId="30305" xr:uid="{00000000-0005-0000-0000-0000ED810000}"/>
    <cellStyle name="Superscript 6 6 8" xfId="30306" xr:uid="{00000000-0005-0000-0000-0000EE810000}"/>
    <cellStyle name="Superscript 6 6 8 2" xfId="30307" xr:uid="{00000000-0005-0000-0000-0000EF810000}"/>
    <cellStyle name="Superscript 6 6 9" xfId="30308" xr:uid="{00000000-0005-0000-0000-0000F0810000}"/>
    <cellStyle name="Superscript 6 6 9 2" xfId="30309" xr:uid="{00000000-0005-0000-0000-0000F1810000}"/>
    <cellStyle name="Superscript 6 7" xfId="30310" xr:uid="{00000000-0005-0000-0000-0000F2810000}"/>
    <cellStyle name="Superscript 6 7 10" xfId="30311" xr:uid="{00000000-0005-0000-0000-0000F3810000}"/>
    <cellStyle name="Superscript 6 7 2" xfId="30312" xr:uid="{00000000-0005-0000-0000-0000F4810000}"/>
    <cellStyle name="Superscript 6 7 2 2" xfId="30313" xr:uid="{00000000-0005-0000-0000-0000F5810000}"/>
    <cellStyle name="Superscript 6 7 3" xfId="30314" xr:uid="{00000000-0005-0000-0000-0000F6810000}"/>
    <cellStyle name="Superscript 6 7 3 2" xfId="30315" xr:uid="{00000000-0005-0000-0000-0000F7810000}"/>
    <cellStyle name="Superscript 6 7 4" xfId="30316" xr:uid="{00000000-0005-0000-0000-0000F8810000}"/>
    <cellStyle name="Superscript 6 7 4 2" xfId="30317" xr:uid="{00000000-0005-0000-0000-0000F9810000}"/>
    <cellStyle name="Superscript 6 7 5" xfId="30318" xr:uid="{00000000-0005-0000-0000-0000FA810000}"/>
    <cellStyle name="Superscript 6 7 5 2" xfId="30319" xr:uid="{00000000-0005-0000-0000-0000FB810000}"/>
    <cellStyle name="Superscript 6 7 6" xfId="30320" xr:uid="{00000000-0005-0000-0000-0000FC810000}"/>
    <cellStyle name="Superscript 6 7 6 2" xfId="30321" xr:uid="{00000000-0005-0000-0000-0000FD810000}"/>
    <cellStyle name="Superscript 6 7 7" xfId="30322" xr:uid="{00000000-0005-0000-0000-0000FE810000}"/>
    <cellStyle name="Superscript 6 7 7 2" xfId="30323" xr:uid="{00000000-0005-0000-0000-0000FF810000}"/>
    <cellStyle name="Superscript 6 7 8" xfId="30324" xr:uid="{00000000-0005-0000-0000-000000820000}"/>
    <cellStyle name="Superscript 6 7 8 2" xfId="30325" xr:uid="{00000000-0005-0000-0000-000001820000}"/>
    <cellStyle name="Superscript 6 7 9" xfId="30326" xr:uid="{00000000-0005-0000-0000-000002820000}"/>
    <cellStyle name="Superscript 6 7 9 2" xfId="30327" xr:uid="{00000000-0005-0000-0000-000003820000}"/>
    <cellStyle name="Superscript 6 8" xfId="30328" xr:uid="{00000000-0005-0000-0000-000004820000}"/>
    <cellStyle name="Superscript 6 8 10" xfId="30329" xr:uid="{00000000-0005-0000-0000-000005820000}"/>
    <cellStyle name="Superscript 6 8 2" xfId="30330" xr:uid="{00000000-0005-0000-0000-000006820000}"/>
    <cellStyle name="Superscript 6 8 2 2" xfId="30331" xr:uid="{00000000-0005-0000-0000-000007820000}"/>
    <cellStyle name="Superscript 6 8 3" xfId="30332" xr:uid="{00000000-0005-0000-0000-000008820000}"/>
    <cellStyle name="Superscript 6 8 3 2" xfId="30333" xr:uid="{00000000-0005-0000-0000-000009820000}"/>
    <cellStyle name="Superscript 6 8 4" xfId="30334" xr:uid="{00000000-0005-0000-0000-00000A820000}"/>
    <cellStyle name="Superscript 6 8 4 2" xfId="30335" xr:uid="{00000000-0005-0000-0000-00000B820000}"/>
    <cellStyle name="Superscript 6 8 5" xfId="30336" xr:uid="{00000000-0005-0000-0000-00000C820000}"/>
    <cellStyle name="Superscript 6 8 5 2" xfId="30337" xr:uid="{00000000-0005-0000-0000-00000D820000}"/>
    <cellStyle name="Superscript 6 8 6" xfId="30338" xr:uid="{00000000-0005-0000-0000-00000E820000}"/>
    <cellStyle name="Superscript 6 8 6 2" xfId="30339" xr:uid="{00000000-0005-0000-0000-00000F820000}"/>
    <cellStyle name="Superscript 6 8 7" xfId="30340" xr:uid="{00000000-0005-0000-0000-000010820000}"/>
    <cellStyle name="Superscript 6 8 7 2" xfId="30341" xr:uid="{00000000-0005-0000-0000-000011820000}"/>
    <cellStyle name="Superscript 6 8 8" xfId="30342" xr:uid="{00000000-0005-0000-0000-000012820000}"/>
    <cellStyle name="Superscript 6 8 8 2" xfId="30343" xr:uid="{00000000-0005-0000-0000-000013820000}"/>
    <cellStyle name="Superscript 6 8 9" xfId="30344" xr:uid="{00000000-0005-0000-0000-000014820000}"/>
    <cellStyle name="Superscript 6 8 9 2" xfId="30345" xr:uid="{00000000-0005-0000-0000-000015820000}"/>
    <cellStyle name="Superscript 6 9" xfId="30346" xr:uid="{00000000-0005-0000-0000-000016820000}"/>
    <cellStyle name="Superscript 6 9 10" xfId="30347" xr:uid="{00000000-0005-0000-0000-000017820000}"/>
    <cellStyle name="Superscript 6 9 2" xfId="30348" xr:uid="{00000000-0005-0000-0000-000018820000}"/>
    <cellStyle name="Superscript 6 9 2 2" xfId="30349" xr:uid="{00000000-0005-0000-0000-000019820000}"/>
    <cellStyle name="Superscript 6 9 3" xfId="30350" xr:uid="{00000000-0005-0000-0000-00001A820000}"/>
    <cellStyle name="Superscript 6 9 3 2" xfId="30351" xr:uid="{00000000-0005-0000-0000-00001B820000}"/>
    <cellStyle name="Superscript 6 9 4" xfId="30352" xr:uid="{00000000-0005-0000-0000-00001C820000}"/>
    <cellStyle name="Superscript 6 9 4 2" xfId="30353" xr:uid="{00000000-0005-0000-0000-00001D820000}"/>
    <cellStyle name="Superscript 6 9 5" xfId="30354" xr:uid="{00000000-0005-0000-0000-00001E820000}"/>
    <cellStyle name="Superscript 6 9 5 2" xfId="30355" xr:uid="{00000000-0005-0000-0000-00001F820000}"/>
    <cellStyle name="Superscript 6 9 6" xfId="30356" xr:uid="{00000000-0005-0000-0000-000020820000}"/>
    <cellStyle name="Superscript 6 9 6 2" xfId="30357" xr:uid="{00000000-0005-0000-0000-000021820000}"/>
    <cellStyle name="Superscript 6 9 7" xfId="30358" xr:uid="{00000000-0005-0000-0000-000022820000}"/>
    <cellStyle name="Superscript 6 9 7 2" xfId="30359" xr:uid="{00000000-0005-0000-0000-000023820000}"/>
    <cellStyle name="Superscript 6 9 8" xfId="30360" xr:uid="{00000000-0005-0000-0000-000024820000}"/>
    <cellStyle name="Superscript 6 9 8 2" xfId="30361" xr:uid="{00000000-0005-0000-0000-000025820000}"/>
    <cellStyle name="Superscript 6 9 9" xfId="30362" xr:uid="{00000000-0005-0000-0000-000026820000}"/>
    <cellStyle name="Superscript 6 9 9 2" xfId="30363" xr:uid="{00000000-0005-0000-0000-000027820000}"/>
    <cellStyle name="Superscript- regular" xfId="110" xr:uid="{00000000-0005-0000-0000-000028820000}"/>
    <cellStyle name="Superscript- regular 2" xfId="30364" xr:uid="{00000000-0005-0000-0000-000029820000}"/>
    <cellStyle name="Superscript- regular 2 10" xfId="30365" xr:uid="{00000000-0005-0000-0000-00002A820000}"/>
    <cellStyle name="Superscript- regular 2 10 10" xfId="30366" xr:uid="{00000000-0005-0000-0000-00002B820000}"/>
    <cellStyle name="Superscript- regular 2 10 2" xfId="30367" xr:uid="{00000000-0005-0000-0000-00002C820000}"/>
    <cellStyle name="Superscript- regular 2 10 2 2" xfId="30368" xr:uid="{00000000-0005-0000-0000-00002D820000}"/>
    <cellStyle name="Superscript- regular 2 10 3" xfId="30369" xr:uid="{00000000-0005-0000-0000-00002E820000}"/>
    <cellStyle name="Superscript- regular 2 10 3 2" xfId="30370" xr:uid="{00000000-0005-0000-0000-00002F820000}"/>
    <cellStyle name="Superscript- regular 2 10 4" xfId="30371" xr:uid="{00000000-0005-0000-0000-000030820000}"/>
    <cellStyle name="Superscript- regular 2 10 4 2" xfId="30372" xr:uid="{00000000-0005-0000-0000-000031820000}"/>
    <cellStyle name="Superscript- regular 2 10 5" xfId="30373" xr:uid="{00000000-0005-0000-0000-000032820000}"/>
    <cellStyle name="Superscript- regular 2 10 5 2" xfId="30374" xr:uid="{00000000-0005-0000-0000-000033820000}"/>
    <cellStyle name="Superscript- regular 2 10 6" xfId="30375" xr:uid="{00000000-0005-0000-0000-000034820000}"/>
    <cellStyle name="Superscript- regular 2 10 6 2" xfId="30376" xr:uid="{00000000-0005-0000-0000-000035820000}"/>
    <cellStyle name="Superscript- regular 2 10 7" xfId="30377" xr:uid="{00000000-0005-0000-0000-000036820000}"/>
    <cellStyle name="Superscript- regular 2 10 7 2" xfId="30378" xr:uid="{00000000-0005-0000-0000-000037820000}"/>
    <cellStyle name="Superscript- regular 2 10 8" xfId="30379" xr:uid="{00000000-0005-0000-0000-000038820000}"/>
    <cellStyle name="Superscript- regular 2 10 8 2" xfId="30380" xr:uid="{00000000-0005-0000-0000-000039820000}"/>
    <cellStyle name="Superscript- regular 2 10 9" xfId="30381" xr:uid="{00000000-0005-0000-0000-00003A820000}"/>
    <cellStyle name="Superscript- regular 2 10 9 2" xfId="30382" xr:uid="{00000000-0005-0000-0000-00003B820000}"/>
    <cellStyle name="Superscript- regular 2 11" xfId="30383" xr:uid="{00000000-0005-0000-0000-00003C820000}"/>
    <cellStyle name="Superscript- regular 2 11 2" xfId="30384" xr:uid="{00000000-0005-0000-0000-00003D820000}"/>
    <cellStyle name="Superscript- regular 2 11 2 2" xfId="30385" xr:uid="{00000000-0005-0000-0000-00003E820000}"/>
    <cellStyle name="Superscript- regular 2 11 3" xfId="30386" xr:uid="{00000000-0005-0000-0000-00003F820000}"/>
    <cellStyle name="Superscript- regular 2 11 3 2" xfId="30387" xr:uid="{00000000-0005-0000-0000-000040820000}"/>
    <cellStyle name="Superscript- regular 2 11 4" xfId="30388" xr:uid="{00000000-0005-0000-0000-000041820000}"/>
    <cellStyle name="Superscript- regular 2 11 4 2" xfId="30389" xr:uid="{00000000-0005-0000-0000-000042820000}"/>
    <cellStyle name="Superscript- regular 2 11 5" xfId="30390" xr:uid="{00000000-0005-0000-0000-000043820000}"/>
    <cellStyle name="Superscript- regular 2 11 5 2" xfId="30391" xr:uid="{00000000-0005-0000-0000-000044820000}"/>
    <cellStyle name="Superscript- regular 2 11 6" xfId="30392" xr:uid="{00000000-0005-0000-0000-000045820000}"/>
    <cellStyle name="Superscript- regular 2 11 6 2" xfId="30393" xr:uid="{00000000-0005-0000-0000-000046820000}"/>
    <cellStyle name="Superscript- regular 2 11 7" xfId="30394" xr:uid="{00000000-0005-0000-0000-000047820000}"/>
    <cellStyle name="Superscript- regular 2 11 7 2" xfId="30395" xr:uid="{00000000-0005-0000-0000-000048820000}"/>
    <cellStyle name="Superscript- regular 2 11 8" xfId="30396" xr:uid="{00000000-0005-0000-0000-000049820000}"/>
    <cellStyle name="Superscript- regular 2 11 8 2" xfId="30397" xr:uid="{00000000-0005-0000-0000-00004A820000}"/>
    <cellStyle name="Superscript- regular 2 11 9" xfId="30398" xr:uid="{00000000-0005-0000-0000-00004B820000}"/>
    <cellStyle name="Superscript- regular 2 2" xfId="30399" xr:uid="{00000000-0005-0000-0000-00004C820000}"/>
    <cellStyle name="Superscript- regular 2 2 10" xfId="30400" xr:uid="{00000000-0005-0000-0000-00004D820000}"/>
    <cellStyle name="Superscript- regular 2 2 2" xfId="30401" xr:uid="{00000000-0005-0000-0000-00004E820000}"/>
    <cellStyle name="Superscript- regular 2 2 2 2" xfId="30402" xr:uid="{00000000-0005-0000-0000-00004F820000}"/>
    <cellStyle name="Superscript- regular 2 2 3" xfId="30403" xr:uid="{00000000-0005-0000-0000-000050820000}"/>
    <cellStyle name="Superscript- regular 2 2 3 2" xfId="30404" xr:uid="{00000000-0005-0000-0000-000051820000}"/>
    <cellStyle name="Superscript- regular 2 2 4" xfId="30405" xr:uid="{00000000-0005-0000-0000-000052820000}"/>
    <cellStyle name="Superscript- regular 2 2 4 2" xfId="30406" xr:uid="{00000000-0005-0000-0000-000053820000}"/>
    <cellStyle name="Superscript- regular 2 2 5" xfId="30407" xr:uid="{00000000-0005-0000-0000-000054820000}"/>
    <cellStyle name="Superscript- regular 2 2 5 2" xfId="30408" xr:uid="{00000000-0005-0000-0000-000055820000}"/>
    <cellStyle name="Superscript- regular 2 2 6" xfId="30409" xr:uid="{00000000-0005-0000-0000-000056820000}"/>
    <cellStyle name="Superscript- regular 2 2 6 2" xfId="30410" xr:uid="{00000000-0005-0000-0000-000057820000}"/>
    <cellStyle name="Superscript- regular 2 2 7" xfId="30411" xr:uid="{00000000-0005-0000-0000-000058820000}"/>
    <cellStyle name="Superscript- regular 2 2 7 2" xfId="30412" xr:uid="{00000000-0005-0000-0000-000059820000}"/>
    <cellStyle name="Superscript- regular 2 2 8" xfId="30413" xr:uid="{00000000-0005-0000-0000-00005A820000}"/>
    <cellStyle name="Superscript- regular 2 2 8 2" xfId="30414" xr:uid="{00000000-0005-0000-0000-00005B820000}"/>
    <cellStyle name="Superscript- regular 2 2 9" xfId="30415" xr:uid="{00000000-0005-0000-0000-00005C820000}"/>
    <cellStyle name="Superscript- regular 2 2 9 2" xfId="30416" xr:uid="{00000000-0005-0000-0000-00005D820000}"/>
    <cellStyle name="Superscript- regular 2 3" xfId="30417" xr:uid="{00000000-0005-0000-0000-00005E820000}"/>
    <cellStyle name="Superscript- regular 2 3 10" xfId="30418" xr:uid="{00000000-0005-0000-0000-00005F820000}"/>
    <cellStyle name="Superscript- regular 2 3 2" xfId="30419" xr:uid="{00000000-0005-0000-0000-000060820000}"/>
    <cellStyle name="Superscript- regular 2 3 2 2" xfId="30420" xr:uid="{00000000-0005-0000-0000-000061820000}"/>
    <cellStyle name="Superscript- regular 2 3 3" xfId="30421" xr:uid="{00000000-0005-0000-0000-000062820000}"/>
    <cellStyle name="Superscript- regular 2 3 3 2" xfId="30422" xr:uid="{00000000-0005-0000-0000-000063820000}"/>
    <cellStyle name="Superscript- regular 2 3 4" xfId="30423" xr:uid="{00000000-0005-0000-0000-000064820000}"/>
    <cellStyle name="Superscript- regular 2 3 4 2" xfId="30424" xr:uid="{00000000-0005-0000-0000-000065820000}"/>
    <cellStyle name="Superscript- regular 2 3 5" xfId="30425" xr:uid="{00000000-0005-0000-0000-000066820000}"/>
    <cellStyle name="Superscript- regular 2 3 5 2" xfId="30426" xr:uid="{00000000-0005-0000-0000-000067820000}"/>
    <cellStyle name="Superscript- regular 2 3 6" xfId="30427" xr:uid="{00000000-0005-0000-0000-000068820000}"/>
    <cellStyle name="Superscript- regular 2 3 6 2" xfId="30428" xr:uid="{00000000-0005-0000-0000-000069820000}"/>
    <cellStyle name="Superscript- regular 2 3 7" xfId="30429" xr:uid="{00000000-0005-0000-0000-00006A820000}"/>
    <cellStyle name="Superscript- regular 2 3 7 2" xfId="30430" xr:uid="{00000000-0005-0000-0000-00006B820000}"/>
    <cellStyle name="Superscript- regular 2 3 8" xfId="30431" xr:uid="{00000000-0005-0000-0000-00006C820000}"/>
    <cellStyle name="Superscript- regular 2 3 8 2" xfId="30432" xr:uid="{00000000-0005-0000-0000-00006D820000}"/>
    <cellStyle name="Superscript- regular 2 3 9" xfId="30433" xr:uid="{00000000-0005-0000-0000-00006E820000}"/>
    <cellStyle name="Superscript- regular 2 3 9 2" xfId="30434" xr:uid="{00000000-0005-0000-0000-00006F820000}"/>
    <cellStyle name="Superscript- regular 2 4" xfId="30435" xr:uid="{00000000-0005-0000-0000-000070820000}"/>
    <cellStyle name="Superscript- regular 2 4 10" xfId="30436" xr:uid="{00000000-0005-0000-0000-000071820000}"/>
    <cellStyle name="Superscript- regular 2 4 2" xfId="30437" xr:uid="{00000000-0005-0000-0000-000072820000}"/>
    <cellStyle name="Superscript- regular 2 4 2 2" xfId="30438" xr:uid="{00000000-0005-0000-0000-000073820000}"/>
    <cellStyle name="Superscript- regular 2 4 3" xfId="30439" xr:uid="{00000000-0005-0000-0000-000074820000}"/>
    <cellStyle name="Superscript- regular 2 4 3 2" xfId="30440" xr:uid="{00000000-0005-0000-0000-000075820000}"/>
    <cellStyle name="Superscript- regular 2 4 4" xfId="30441" xr:uid="{00000000-0005-0000-0000-000076820000}"/>
    <cellStyle name="Superscript- regular 2 4 4 2" xfId="30442" xr:uid="{00000000-0005-0000-0000-000077820000}"/>
    <cellStyle name="Superscript- regular 2 4 5" xfId="30443" xr:uid="{00000000-0005-0000-0000-000078820000}"/>
    <cellStyle name="Superscript- regular 2 4 5 2" xfId="30444" xr:uid="{00000000-0005-0000-0000-000079820000}"/>
    <cellStyle name="Superscript- regular 2 4 6" xfId="30445" xr:uid="{00000000-0005-0000-0000-00007A820000}"/>
    <cellStyle name="Superscript- regular 2 4 6 2" xfId="30446" xr:uid="{00000000-0005-0000-0000-00007B820000}"/>
    <cellStyle name="Superscript- regular 2 4 7" xfId="30447" xr:uid="{00000000-0005-0000-0000-00007C820000}"/>
    <cellStyle name="Superscript- regular 2 4 7 2" xfId="30448" xr:uid="{00000000-0005-0000-0000-00007D820000}"/>
    <cellStyle name="Superscript- regular 2 4 8" xfId="30449" xr:uid="{00000000-0005-0000-0000-00007E820000}"/>
    <cellStyle name="Superscript- regular 2 4 8 2" xfId="30450" xr:uid="{00000000-0005-0000-0000-00007F820000}"/>
    <cellStyle name="Superscript- regular 2 4 9" xfId="30451" xr:uid="{00000000-0005-0000-0000-000080820000}"/>
    <cellStyle name="Superscript- regular 2 4 9 2" xfId="30452" xr:uid="{00000000-0005-0000-0000-000081820000}"/>
    <cellStyle name="Superscript- regular 2 5" xfId="30453" xr:uid="{00000000-0005-0000-0000-000082820000}"/>
    <cellStyle name="Superscript- regular 2 5 10" xfId="30454" xr:uid="{00000000-0005-0000-0000-000083820000}"/>
    <cellStyle name="Superscript- regular 2 5 2" xfId="30455" xr:uid="{00000000-0005-0000-0000-000084820000}"/>
    <cellStyle name="Superscript- regular 2 5 2 2" xfId="30456" xr:uid="{00000000-0005-0000-0000-000085820000}"/>
    <cellStyle name="Superscript- regular 2 5 3" xfId="30457" xr:uid="{00000000-0005-0000-0000-000086820000}"/>
    <cellStyle name="Superscript- regular 2 5 3 2" xfId="30458" xr:uid="{00000000-0005-0000-0000-000087820000}"/>
    <cellStyle name="Superscript- regular 2 5 4" xfId="30459" xr:uid="{00000000-0005-0000-0000-000088820000}"/>
    <cellStyle name="Superscript- regular 2 5 4 2" xfId="30460" xr:uid="{00000000-0005-0000-0000-000089820000}"/>
    <cellStyle name="Superscript- regular 2 5 5" xfId="30461" xr:uid="{00000000-0005-0000-0000-00008A820000}"/>
    <cellStyle name="Superscript- regular 2 5 5 2" xfId="30462" xr:uid="{00000000-0005-0000-0000-00008B820000}"/>
    <cellStyle name="Superscript- regular 2 5 6" xfId="30463" xr:uid="{00000000-0005-0000-0000-00008C820000}"/>
    <cellStyle name="Superscript- regular 2 5 6 2" xfId="30464" xr:uid="{00000000-0005-0000-0000-00008D820000}"/>
    <cellStyle name="Superscript- regular 2 5 7" xfId="30465" xr:uid="{00000000-0005-0000-0000-00008E820000}"/>
    <cellStyle name="Superscript- regular 2 5 7 2" xfId="30466" xr:uid="{00000000-0005-0000-0000-00008F820000}"/>
    <cellStyle name="Superscript- regular 2 5 8" xfId="30467" xr:uid="{00000000-0005-0000-0000-000090820000}"/>
    <cellStyle name="Superscript- regular 2 5 8 2" xfId="30468" xr:uid="{00000000-0005-0000-0000-000091820000}"/>
    <cellStyle name="Superscript- regular 2 5 9" xfId="30469" xr:uid="{00000000-0005-0000-0000-000092820000}"/>
    <cellStyle name="Superscript- regular 2 5 9 2" xfId="30470" xr:uid="{00000000-0005-0000-0000-000093820000}"/>
    <cellStyle name="Superscript- regular 2 6" xfId="30471" xr:uid="{00000000-0005-0000-0000-000094820000}"/>
    <cellStyle name="Superscript- regular 2 6 10" xfId="30472" xr:uid="{00000000-0005-0000-0000-000095820000}"/>
    <cellStyle name="Superscript- regular 2 6 2" xfId="30473" xr:uid="{00000000-0005-0000-0000-000096820000}"/>
    <cellStyle name="Superscript- regular 2 6 2 2" xfId="30474" xr:uid="{00000000-0005-0000-0000-000097820000}"/>
    <cellStyle name="Superscript- regular 2 6 3" xfId="30475" xr:uid="{00000000-0005-0000-0000-000098820000}"/>
    <cellStyle name="Superscript- regular 2 6 3 2" xfId="30476" xr:uid="{00000000-0005-0000-0000-000099820000}"/>
    <cellStyle name="Superscript- regular 2 6 4" xfId="30477" xr:uid="{00000000-0005-0000-0000-00009A820000}"/>
    <cellStyle name="Superscript- regular 2 6 4 2" xfId="30478" xr:uid="{00000000-0005-0000-0000-00009B820000}"/>
    <cellStyle name="Superscript- regular 2 6 5" xfId="30479" xr:uid="{00000000-0005-0000-0000-00009C820000}"/>
    <cellStyle name="Superscript- regular 2 6 5 2" xfId="30480" xr:uid="{00000000-0005-0000-0000-00009D820000}"/>
    <cellStyle name="Superscript- regular 2 6 6" xfId="30481" xr:uid="{00000000-0005-0000-0000-00009E820000}"/>
    <cellStyle name="Superscript- regular 2 6 6 2" xfId="30482" xr:uid="{00000000-0005-0000-0000-00009F820000}"/>
    <cellStyle name="Superscript- regular 2 6 7" xfId="30483" xr:uid="{00000000-0005-0000-0000-0000A0820000}"/>
    <cellStyle name="Superscript- regular 2 6 7 2" xfId="30484" xr:uid="{00000000-0005-0000-0000-0000A1820000}"/>
    <cellStyle name="Superscript- regular 2 6 8" xfId="30485" xr:uid="{00000000-0005-0000-0000-0000A2820000}"/>
    <cellStyle name="Superscript- regular 2 6 8 2" xfId="30486" xr:uid="{00000000-0005-0000-0000-0000A3820000}"/>
    <cellStyle name="Superscript- regular 2 6 9" xfId="30487" xr:uid="{00000000-0005-0000-0000-0000A4820000}"/>
    <cellStyle name="Superscript- regular 2 6 9 2" xfId="30488" xr:uid="{00000000-0005-0000-0000-0000A5820000}"/>
    <cellStyle name="Superscript- regular 2 7" xfId="30489" xr:uid="{00000000-0005-0000-0000-0000A6820000}"/>
    <cellStyle name="Superscript- regular 2 7 10" xfId="30490" xr:uid="{00000000-0005-0000-0000-0000A7820000}"/>
    <cellStyle name="Superscript- regular 2 7 2" xfId="30491" xr:uid="{00000000-0005-0000-0000-0000A8820000}"/>
    <cellStyle name="Superscript- regular 2 7 2 2" xfId="30492" xr:uid="{00000000-0005-0000-0000-0000A9820000}"/>
    <cellStyle name="Superscript- regular 2 7 3" xfId="30493" xr:uid="{00000000-0005-0000-0000-0000AA820000}"/>
    <cellStyle name="Superscript- regular 2 7 3 2" xfId="30494" xr:uid="{00000000-0005-0000-0000-0000AB820000}"/>
    <cellStyle name="Superscript- regular 2 7 4" xfId="30495" xr:uid="{00000000-0005-0000-0000-0000AC820000}"/>
    <cellStyle name="Superscript- regular 2 7 4 2" xfId="30496" xr:uid="{00000000-0005-0000-0000-0000AD820000}"/>
    <cellStyle name="Superscript- regular 2 7 5" xfId="30497" xr:uid="{00000000-0005-0000-0000-0000AE820000}"/>
    <cellStyle name="Superscript- regular 2 7 5 2" xfId="30498" xr:uid="{00000000-0005-0000-0000-0000AF820000}"/>
    <cellStyle name="Superscript- regular 2 7 6" xfId="30499" xr:uid="{00000000-0005-0000-0000-0000B0820000}"/>
    <cellStyle name="Superscript- regular 2 7 6 2" xfId="30500" xr:uid="{00000000-0005-0000-0000-0000B1820000}"/>
    <cellStyle name="Superscript- regular 2 7 7" xfId="30501" xr:uid="{00000000-0005-0000-0000-0000B2820000}"/>
    <cellStyle name="Superscript- regular 2 7 7 2" xfId="30502" xr:uid="{00000000-0005-0000-0000-0000B3820000}"/>
    <cellStyle name="Superscript- regular 2 7 8" xfId="30503" xr:uid="{00000000-0005-0000-0000-0000B4820000}"/>
    <cellStyle name="Superscript- regular 2 7 8 2" xfId="30504" xr:uid="{00000000-0005-0000-0000-0000B5820000}"/>
    <cellStyle name="Superscript- regular 2 7 9" xfId="30505" xr:uid="{00000000-0005-0000-0000-0000B6820000}"/>
    <cellStyle name="Superscript- regular 2 7 9 2" xfId="30506" xr:uid="{00000000-0005-0000-0000-0000B7820000}"/>
    <cellStyle name="Superscript- regular 2 8" xfId="30507" xr:uid="{00000000-0005-0000-0000-0000B8820000}"/>
    <cellStyle name="Superscript- regular 2 8 10" xfId="30508" xr:uid="{00000000-0005-0000-0000-0000B9820000}"/>
    <cellStyle name="Superscript- regular 2 8 2" xfId="30509" xr:uid="{00000000-0005-0000-0000-0000BA820000}"/>
    <cellStyle name="Superscript- regular 2 8 2 2" xfId="30510" xr:uid="{00000000-0005-0000-0000-0000BB820000}"/>
    <cellStyle name="Superscript- regular 2 8 3" xfId="30511" xr:uid="{00000000-0005-0000-0000-0000BC820000}"/>
    <cellStyle name="Superscript- regular 2 8 3 2" xfId="30512" xr:uid="{00000000-0005-0000-0000-0000BD820000}"/>
    <cellStyle name="Superscript- regular 2 8 4" xfId="30513" xr:uid="{00000000-0005-0000-0000-0000BE820000}"/>
    <cellStyle name="Superscript- regular 2 8 4 2" xfId="30514" xr:uid="{00000000-0005-0000-0000-0000BF820000}"/>
    <cellStyle name="Superscript- regular 2 8 5" xfId="30515" xr:uid="{00000000-0005-0000-0000-0000C0820000}"/>
    <cellStyle name="Superscript- regular 2 8 5 2" xfId="30516" xr:uid="{00000000-0005-0000-0000-0000C1820000}"/>
    <cellStyle name="Superscript- regular 2 8 6" xfId="30517" xr:uid="{00000000-0005-0000-0000-0000C2820000}"/>
    <cellStyle name="Superscript- regular 2 8 6 2" xfId="30518" xr:uid="{00000000-0005-0000-0000-0000C3820000}"/>
    <cellStyle name="Superscript- regular 2 8 7" xfId="30519" xr:uid="{00000000-0005-0000-0000-0000C4820000}"/>
    <cellStyle name="Superscript- regular 2 8 7 2" xfId="30520" xr:uid="{00000000-0005-0000-0000-0000C5820000}"/>
    <cellStyle name="Superscript- regular 2 8 8" xfId="30521" xr:uid="{00000000-0005-0000-0000-0000C6820000}"/>
    <cellStyle name="Superscript- regular 2 8 8 2" xfId="30522" xr:uid="{00000000-0005-0000-0000-0000C7820000}"/>
    <cellStyle name="Superscript- regular 2 8 9" xfId="30523" xr:uid="{00000000-0005-0000-0000-0000C8820000}"/>
    <cellStyle name="Superscript- regular 2 8 9 2" xfId="30524" xr:uid="{00000000-0005-0000-0000-0000C9820000}"/>
    <cellStyle name="Superscript- regular 2 9" xfId="30525" xr:uid="{00000000-0005-0000-0000-0000CA820000}"/>
    <cellStyle name="Superscript- regular 2 9 10" xfId="30526" xr:uid="{00000000-0005-0000-0000-0000CB820000}"/>
    <cellStyle name="Superscript- regular 2 9 2" xfId="30527" xr:uid="{00000000-0005-0000-0000-0000CC820000}"/>
    <cellStyle name="Superscript- regular 2 9 2 2" xfId="30528" xr:uid="{00000000-0005-0000-0000-0000CD820000}"/>
    <cellStyle name="Superscript- regular 2 9 3" xfId="30529" xr:uid="{00000000-0005-0000-0000-0000CE820000}"/>
    <cellStyle name="Superscript- regular 2 9 3 2" xfId="30530" xr:uid="{00000000-0005-0000-0000-0000CF820000}"/>
    <cellStyle name="Superscript- regular 2 9 4" xfId="30531" xr:uid="{00000000-0005-0000-0000-0000D0820000}"/>
    <cellStyle name="Superscript- regular 2 9 4 2" xfId="30532" xr:uid="{00000000-0005-0000-0000-0000D1820000}"/>
    <cellStyle name="Superscript- regular 2 9 5" xfId="30533" xr:uid="{00000000-0005-0000-0000-0000D2820000}"/>
    <cellStyle name="Superscript- regular 2 9 5 2" xfId="30534" xr:uid="{00000000-0005-0000-0000-0000D3820000}"/>
    <cellStyle name="Superscript- regular 2 9 6" xfId="30535" xr:uid="{00000000-0005-0000-0000-0000D4820000}"/>
    <cellStyle name="Superscript- regular 2 9 6 2" xfId="30536" xr:uid="{00000000-0005-0000-0000-0000D5820000}"/>
    <cellStyle name="Superscript- regular 2 9 7" xfId="30537" xr:uid="{00000000-0005-0000-0000-0000D6820000}"/>
    <cellStyle name="Superscript- regular 2 9 7 2" xfId="30538" xr:uid="{00000000-0005-0000-0000-0000D7820000}"/>
    <cellStyle name="Superscript- regular 2 9 8" xfId="30539" xr:uid="{00000000-0005-0000-0000-0000D8820000}"/>
    <cellStyle name="Superscript- regular 2 9 8 2" xfId="30540" xr:uid="{00000000-0005-0000-0000-0000D9820000}"/>
    <cellStyle name="Superscript- regular 2 9 9" xfId="30541" xr:uid="{00000000-0005-0000-0000-0000DA820000}"/>
    <cellStyle name="Superscript- regular 2 9 9 2" xfId="30542" xr:uid="{00000000-0005-0000-0000-0000DB820000}"/>
    <cellStyle name="Superscript- regular 3" xfId="30543" xr:uid="{00000000-0005-0000-0000-0000DC820000}"/>
    <cellStyle name="Superscript- regular 3 10" xfId="30544" xr:uid="{00000000-0005-0000-0000-0000DD820000}"/>
    <cellStyle name="Superscript- regular 3 10 2" xfId="30545" xr:uid="{00000000-0005-0000-0000-0000DE820000}"/>
    <cellStyle name="Superscript- regular 3 10 2 2" xfId="30546" xr:uid="{00000000-0005-0000-0000-0000DF820000}"/>
    <cellStyle name="Superscript- regular 3 10 3" xfId="30547" xr:uid="{00000000-0005-0000-0000-0000E0820000}"/>
    <cellStyle name="Superscript- regular 3 10 3 2" xfId="30548" xr:uid="{00000000-0005-0000-0000-0000E1820000}"/>
    <cellStyle name="Superscript- regular 3 10 4" xfId="30549" xr:uid="{00000000-0005-0000-0000-0000E2820000}"/>
    <cellStyle name="Superscript- regular 3 10 4 2" xfId="30550" xr:uid="{00000000-0005-0000-0000-0000E3820000}"/>
    <cellStyle name="Superscript- regular 3 10 5" xfId="30551" xr:uid="{00000000-0005-0000-0000-0000E4820000}"/>
    <cellStyle name="Superscript- regular 3 10 5 2" xfId="30552" xr:uid="{00000000-0005-0000-0000-0000E5820000}"/>
    <cellStyle name="Superscript- regular 3 10 6" xfId="30553" xr:uid="{00000000-0005-0000-0000-0000E6820000}"/>
    <cellStyle name="Superscript- regular 3 10 6 2" xfId="30554" xr:uid="{00000000-0005-0000-0000-0000E7820000}"/>
    <cellStyle name="Superscript- regular 3 10 7" xfId="30555" xr:uid="{00000000-0005-0000-0000-0000E8820000}"/>
    <cellStyle name="Superscript- regular 3 10 7 2" xfId="30556" xr:uid="{00000000-0005-0000-0000-0000E9820000}"/>
    <cellStyle name="Superscript- regular 3 10 8" xfId="30557" xr:uid="{00000000-0005-0000-0000-0000EA820000}"/>
    <cellStyle name="Superscript- regular 3 10 8 2" xfId="30558" xr:uid="{00000000-0005-0000-0000-0000EB820000}"/>
    <cellStyle name="Superscript- regular 3 10 9" xfId="30559" xr:uid="{00000000-0005-0000-0000-0000EC820000}"/>
    <cellStyle name="Superscript- regular 3 11" xfId="30560" xr:uid="{00000000-0005-0000-0000-0000ED820000}"/>
    <cellStyle name="Superscript- regular 3 11 2" xfId="30561" xr:uid="{00000000-0005-0000-0000-0000EE820000}"/>
    <cellStyle name="Superscript- regular 3 12" xfId="30562" xr:uid="{00000000-0005-0000-0000-0000EF820000}"/>
    <cellStyle name="Superscript- regular 3 12 2" xfId="30563" xr:uid="{00000000-0005-0000-0000-0000F0820000}"/>
    <cellStyle name="Superscript- regular 3 13" xfId="30564" xr:uid="{00000000-0005-0000-0000-0000F1820000}"/>
    <cellStyle name="Superscript- regular 3 13 2" xfId="30565" xr:uid="{00000000-0005-0000-0000-0000F2820000}"/>
    <cellStyle name="Superscript- regular 3 14" xfId="30566" xr:uid="{00000000-0005-0000-0000-0000F3820000}"/>
    <cellStyle name="Superscript- regular 3 14 2" xfId="30567" xr:uid="{00000000-0005-0000-0000-0000F4820000}"/>
    <cellStyle name="Superscript- regular 3 15" xfId="30568" xr:uid="{00000000-0005-0000-0000-0000F5820000}"/>
    <cellStyle name="Superscript- regular 3 15 2" xfId="30569" xr:uid="{00000000-0005-0000-0000-0000F6820000}"/>
    <cellStyle name="Superscript- regular 3 16" xfId="30570" xr:uid="{00000000-0005-0000-0000-0000F7820000}"/>
    <cellStyle name="Superscript- regular 3 16 2" xfId="30571" xr:uid="{00000000-0005-0000-0000-0000F8820000}"/>
    <cellStyle name="Superscript- regular 3 17" xfId="30572" xr:uid="{00000000-0005-0000-0000-0000F9820000}"/>
    <cellStyle name="Superscript- regular 3 17 2" xfId="30573" xr:uid="{00000000-0005-0000-0000-0000FA820000}"/>
    <cellStyle name="Superscript- regular 3 18" xfId="30574" xr:uid="{00000000-0005-0000-0000-0000FB820000}"/>
    <cellStyle name="Superscript- regular 3 2" xfId="30575" xr:uid="{00000000-0005-0000-0000-0000FC820000}"/>
    <cellStyle name="Superscript- regular 3 2 10" xfId="30576" xr:uid="{00000000-0005-0000-0000-0000FD820000}"/>
    <cellStyle name="Superscript- regular 3 2 2" xfId="30577" xr:uid="{00000000-0005-0000-0000-0000FE820000}"/>
    <cellStyle name="Superscript- regular 3 2 2 2" xfId="30578" xr:uid="{00000000-0005-0000-0000-0000FF820000}"/>
    <cellStyle name="Superscript- regular 3 2 3" xfId="30579" xr:uid="{00000000-0005-0000-0000-000000830000}"/>
    <cellStyle name="Superscript- regular 3 2 3 2" xfId="30580" xr:uid="{00000000-0005-0000-0000-000001830000}"/>
    <cellStyle name="Superscript- regular 3 2 4" xfId="30581" xr:uid="{00000000-0005-0000-0000-000002830000}"/>
    <cellStyle name="Superscript- regular 3 2 4 2" xfId="30582" xr:uid="{00000000-0005-0000-0000-000003830000}"/>
    <cellStyle name="Superscript- regular 3 2 5" xfId="30583" xr:uid="{00000000-0005-0000-0000-000004830000}"/>
    <cellStyle name="Superscript- regular 3 2 5 2" xfId="30584" xr:uid="{00000000-0005-0000-0000-000005830000}"/>
    <cellStyle name="Superscript- regular 3 2 6" xfId="30585" xr:uid="{00000000-0005-0000-0000-000006830000}"/>
    <cellStyle name="Superscript- regular 3 2 6 2" xfId="30586" xr:uid="{00000000-0005-0000-0000-000007830000}"/>
    <cellStyle name="Superscript- regular 3 2 7" xfId="30587" xr:uid="{00000000-0005-0000-0000-000008830000}"/>
    <cellStyle name="Superscript- regular 3 2 7 2" xfId="30588" xr:uid="{00000000-0005-0000-0000-000009830000}"/>
    <cellStyle name="Superscript- regular 3 2 8" xfId="30589" xr:uid="{00000000-0005-0000-0000-00000A830000}"/>
    <cellStyle name="Superscript- regular 3 2 8 2" xfId="30590" xr:uid="{00000000-0005-0000-0000-00000B830000}"/>
    <cellStyle name="Superscript- regular 3 2 9" xfId="30591" xr:uid="{00000000-0005-0000-0000-00000C830000}"/>
    <cellStyle name="Superscript- regular 3 2 9 2" xfId="30592" xr:uid="{00000000-0005-0000-0000-00000D830000}"/>
    <cellStyle name="Superscript- regular 3 3" xfId="30593" xr:uid="{00000000-0005-0000-0000-00000E830000}"/>
    <cellStyle name="Superscript- regular 3 3 10" xfId="30594" xr:uid="{00000000-0005-0000-0000-00000F830000}"/>
    <cellStyle name="Superscript- regular 3 3 2" xfId="30595" xr:uid="{00000000-0005-0000-0000-000010830000}"/>
    <cellStyle name="Superscript- regular 3 3 2 2" xfId="30596" xr:uid="{00000000-0005-0000-0000-000011830000}"/>
    <cellStyle name="Superscript- regular 3 3 3" xfId="30597" xr:uid="{00000000-0005-0000-0000-000012830000}"/>
    <cellStyle name="Superscript- regular 3 3 3 2" xfId="30598" xr:uid="{00000000-0005-0000-0000-000013830000}"/>
    <cellStyle name="Superscript- regular 3 3 4" xfId="30599" xr:uid="{00000000-0005-0000-0000-000014830000}"/>
    <cellStyle name="Superscript- regular 3 3 4 2" xfId="30600" xr:uid="{00000000-0005-0000-0000-000015830000}"/>
    <cellStyle name="Superscript- regular 3 3 5" xfId="30601" xr:uid="{00000000-0005-0000-0000-000016830000}"/>
    <cellStyle name="Superscript- regular 3 3 5 2" xfId="30602" xr:uid="{00000000-0005-0000-0000-000017830000}"/>
    <cellStyle name="Superscript- regular 3 3 6" xfId="30603" xr:uid="{00000000-0005-0000-0000-000018830000}"/>
    <cellStyle name="Superscript- regular 3 3 6 2" xfId="30604" xr:uid="{00000000-0005-0000-0000-000019830000}"/>
    <cellStyle name="Superscript- regular 3 3 7" xfId="30605" xr:uid="{00000000-0005-0000-0000-00001A830000}"/>
    <cellStyle name="Superscript- regular 3 3 7 2" xfId="30606" xr:uid="{00000000-0005-0000-0000-00001B830000}"/>
    <cellStyle name="Superscript- regular 3 3 8" xfId="30607" xr:uid="{00000000-0005-0000-0000-00001C830000}"/>
    <cellStyle name="Superscript- regular 3 3 8 2" xfId="30608" xr:uid="{00000000-0005-0000-0000-00001D830000}"/>
    <cellStyle name="Superscript- regular 3 3 9" xfId="30609" xr:uid="{00000000-0005-0000-0000-00001E830000}"/>
    <cellStyle name="Superscript- regular 3 3 9 2" xfId="30610" xr:uid="{00000000-0005-0000-0000-00001F830000}"/>
    <cellStyle name="Superscript- regular 3 4" xfId="30611" xr:uid="{00000000-0005-0000-0000-000020830000}"/>
    <cellStyle name="Superscript- regular 3 4 10" xfId="30612" xr:uid="{00000000-0005-0000-0000-000021830000}"/>
    <cellStyle name="Superscript- regular 3 4 2" xfId="30613" xr:uid="{00000000-0005-0000-0000-000022830000}"/>
    <cellStyle name="Superscript- regular 3 4 2 2" xfId="30614" xr:uid="{00000000-0005-0000-0000-000023830000}"/>
    <cellStyle name="Superscript- regular 3 4 3" xfId="30615" xr:uid="{00000000-0005-0000-0000-000024830000}"/>
    <cellStyle name="Superscript- regular 3 4 3 2" xfId="30616" xr:uid="{00000000-0005-0000-0000-000025830000}"/>
    <cellStyle name="Superscript- regular 3 4 4" xfId="30617" xr:uid="{00000000-0005-0000-0000-000026830000}"/>
    <cellStyle name="Superscript- regular 3 4 4 2" xfId="30618" xr:uid="{00000000-0005-0000-0000-000027830000}"/>
    <cellStyle name="Superscript- regular 3 4 5" xfId="30619" xr:uid="{00000000-0005-0000-0000-000028830000}"/>
    <cellStyle name="Superscript- regular 3 4 5 2" xfId="30620" xr:uid="{00000000-0005-0000-0000-000029830000}"/>
    <cellStyle name="Superscript- regular 3 4 6" xfId="30621" xr:uid="{00000000-0005-0000-0000-00002A830000}"/>
    <cellStyle name="Superscript- regular 3 4 6 2" xfId="30622" xr:uid="{00000000-0005-0000-0000-00002B830000}"/>
    <cellStyle name="Superscript- regular 3 4 7" xfId="30623" xr:uid="{00000000-0005-0000-0000-00002C830000}"/>
    <cellStyle name="Superscript- regular 3 4 7 2" xfId="30624" xr:uid="{00000000-0005-0000-0000-00002D830000}"/>
    <cellStyle name="Superscript- regular 3 4 8" xfId="30625" xr:uid="{00000000-0005-0000-0000-00002E830000}"/>
    <cellStyle name="Superscript- regular 3 4 8 2" xfId="30626" xr:uid="{00000000-0005-0000-0000-00002F830000}"/>
    <cellStyle name="Superscript- regular 3 4 9" xfId="30627" xr:uid="{00000000-0005-0000-0000-000030830000}"/>
    <cellStyle name="Superscript- regular 3 4 9 2" xfId="30628" xr:uid="{00000000-0005-0000-0000-000031830000}"/>
    <cellStyle name="Superscript- regular 3 5" xfId="30629" xr:uid="{00000000-0005-0000-0000-000032830000}"/>
    <cellStyle name="Superscript- regular 3 5 10" xfId="30630" xr:uid="{00000000-0005-0000-0000-000033830000}"/>
    <cellStyle name="Superscript- regular 3 5 2" xfId="30631" xr:uid="{00000000-0005-0000-0000-000034830000}"/>
    <cellStyle name="Superscript- regular 3 5 2 2" xfId="30632" xr:uid="{00000000-0005-0000-0000-000035830000}"/>
    <cellStyle name="Superscript- regular 3 5 3" xfId="30633" xr:uid="{00000000-0005-0000-0000-000036830000}"/>
    <cellStyle name="Superscript- regular 3 5 3 2" xfId="30634" xr:uid="{00000000-0005-0000-0000-000037830000}"/>
    <cellStyle name="Superscript- regular 3 5 4" xfId="30635" xr:uid="{00000000-0005-0000-0000-000038830000}"/>
    <cellStyle name="Superscript- regular 3 5 4 2" xfId="30636" xr:uid="{00000000-0005-0000-0000-000039830000}"/>
    <cellStyle name="Superscript- regular 3 5 5" xfId="30637" xr:uid="{00000000-0005-0000-0000-00003A830000}"/>
    <cellStyle name="Superscript- regular 3 5 5 2" xfId="30638" xr:uid="{00000000-0005-0000-0000-00003B830000}"/>
    <cellStyle name="Superscript- regular 3 5 6" xfId="30639" xr:uid="{00000000-0005-0000-0000-00003C830000}"/>
    <cellStyle name="Superscript- regular 3 5 6 2" xfId="30640" xr:uid="{00000000-0005-0000-0000-00003D830000}"/>
    <cellStyle name="Superscript- regular 3 5 7" xfId="30641" xr:uid="{00000000-0005-0000-0000-00003E830000}"/>
    <cellStyle name="Superscript- regular 3 5 7 2" xfId="30642" xr:uid="{00000000-0005-0000-0000-00003F830000}"/>
    <cellStyle name="Superscript- regular 3 5 8" xfId="30643" xr:uid="{00000000-0005-0000-0000-000040830000}"/>
    <cellStyle name="Superscript- regular 3 5 8 2" xfId="30644" xr:uid="{00000000-0005-0000-0000-000041830000}"/>
    <cellStyle name="Superscript- regular 3 5 9" xfId="30645" xr:uid="{00000000-0005-0000-0000-000042830000}"/>
    <cellStyle name="Superscript- regular 3 5 9 2" xfId="30646" xr:uid="{00000000-0005-0000-0000-000043830000}"/>
    <cellStyle name="Superscript- regular 3 6" xfId="30647" xr:uid="{00000000-0005-0000-0000-000044830000}"/>
    <cellStyle name="Superscript- regular 3 6 10" xfId="30648" xr:uid="{00000000-0005-0000-0000-000045830000}"/>
    <cellStyle name="Superscript- regular 3 6 2" xfId="30649" xr:uid="{00000000-0005-0000-0000-000046830000}"/>
    <cellStyle name="Superscript- regular 3 6 2 2" xfId="30650" xr:uid="{00000000-0005-0000-0000-000047830000}"/>
    <cellStyle name="Superscript- regular 3 6 3" xfId="30651" xr:uid="{00000000-0005-0000-0000-000048830000}"/>
    <cellStyle name="Superscript- regular 3 6 3 2" xfId="30652" xr:uid="{00000000-0005-0000-0000-000049830000}"/>
    <cellStyle name="Superscript- regular 3 6 4" xfId="30653" xr:uid="{00000000-0005-0000-0000-00004A830000}"/>
    <cellStyle name="Superscript- regular 3 6 4 2" xfId="30654" xr:uid="{00000000-0005-0000-0000-00004B830000}"/>
    <cellStyle name="Superscript- regular 3 6 5" xfId="30655" xr:uid="{00000000-0005-0000-0000-00004C830000}"/>
    <cellStyle name="Superscript- regular 3 6 5 2" xfId="30656" xr:uid="{00000000-0005-0000-0000-00004D830000}"/>
    <cellStyle name="Superscript- regular 3 6 6" xfId="30657" xr:uid="{00000000-0005-0000-0000-00004E830000}"/>
    <cellStyle name="Superscript- regular 3 6 6 2" xfId="30658" xr:uid="{00000000-0005-0000-0000-00004F830000}"/>
    <cellStyle name="Superscript- regular 3 6 7" xfId="30659" xr:uid="{00000000-0005-0000-0000-000050830000}"/>
    <cellStyle name="Superscript- regular 3 6 7 2" xfId="30660" xr:uid="{00000000-0005-0000-0000-000051830000}"/>
    <cellStyle name="Superscript- regular 3 6 8" xfId="30661" xr:uid="{00000000-0005-0000-0000-000052830000}"/>
    <cellStyle name="Superscript- regular 3 6 8 2" xfId="30662" xr:uid="{00000000-0005-0000-0000-000053830000}"/>
    <cellStyle name="Superscript- regular 3 6 9" xfId="30663" xr:uid="{00000000-0005-0000-0000-000054830000}"/>
    <cellStyle name="Superscript- regular 3 6 9 2" xfId="30664" xr:uid="{00000000-0005-0000-0000-000055830000}"/>
    <cellStyle name="Superscript- regular 3 7" xfId="30665" xr:uid="{00000000-0005-0000-0000-000056830000}"/>
    <cellStyle name="Superscript- regular 3 7 10" xfId="30666" xr:uid="{00000000-0005-0000-0000-000057830000}"/>
    <cellStyle name="Superscript- regular 3 7 2" xfId="30667" xr:uid="{00000000-0005-0000-0000-000058830000}"/>
    <cellStyle name="Superscript- regular 3 7 2 2" xfId="30668" xr:uid="{00000000-0005-0000-0000-000059830000}"/>
    <cellStyle name="Superscript- regular 3 7 3" xfId="30669" xr:uid="{00000000-0005-0000-0000-00005A830000}"/>
    <cellStyle name="Superscript- regular 3 7 3 2" xfId="30670" xr:uid="{00000000-0005-0000-0000-00005B830000}"/>
    <cellStyle name="Superscript- regular 3 7 4" xfId="30671" xr:uid="{00000000-0005-0000-0000-00005C830000}"/>
    <cellStyle name="Superscript- regular 3 7 4 2" xfId="30672" xr:uid="{00000000-0005-0000-0000-00005D830000}"/>
    <cellStyle name="Superscript- regular 3 7 5" xfId="30673" xr:uid="{00000000-0005-0000-0000-00005E830000}"/>
    <cellStyle name="Superscript- regular 3 7 5 2" xfId="30674" xr:uid="{00000000-0005-0000-0000-00005F830000}"/>
    <cellStyle name="Superscript- regular 3 7 6" xfId="30675" xr:uid="{00000000-0005-0000-0000-000060830000}"/>
    <cellStyle name="Superscript- regular 3 7 6 2" xfId="30676" xr:uid="{00000000-0005-0000-0000-000061830000}"/>
    <cellStyle name="Superscript- regular 3 7 7" xfId="30677" xr:uid="{00000000-0005-0000-0000-000062830000}"/>
    <cellStyle name="Superscript- regular 3 7 7 2" xfId="30678" xr:uid="{00000000-0005-0000-0000-000063830000}"/>
    <cellStyle name="Superscript- regular 3 7 8" xfId="30679" xr:uid="{00000000-0005-0000-0000-000064830000}"/>
    <cellStyle name="Superscript- regular 3 7 8 2" xfId="30680" xr:uid="{00000000-0005-0000-0000-000065830000}"/>
    <cellStyle name="Superscript- regular 3 7 9" xfId="30681" xr:uid="{00000000-0005-0000-0000-000066830000}"/>
    <cellStyle name="Superscript- regular 3 7 9 2" xfId="30682" xr:uid="{00000000-0005-0000-0000-000067830000}"/>
    <cellStyle name="Superscript- regular 3 8" xfId="30683" xr:uid="{00000000-0005-0000-0000-000068830000}"/>
    <cellStyle name="Superscript- regular 3 8 10" xfId="30684" xr:uid="{00000000-0005-0000-0000-000069830000}"/>
    <cellStyle name="Superscript- regular 3 8 2" xfId="30685" xr:uid="{00000000-0005-0000-0000-00006A830000}"/>
    <cellStyle name="Superscript- regular 3 8 2 2" xfId="30686" xr:uid="{00000000-0005-0000-0000-00006B830000}"/>
    <cellStyle name="Superscript- regular 3 8 3" xfId="30687" xr:uid="{00000000-0005-0000-0000-00006C830000}"/>
    <cellStyle name="Superscript- regular 3 8 3 2" xfId="30688" xr:uid="{00000000-0005-0000-0000-00006D830000}"/>
    <cellStyle name="Superscript- regular 3 8 4" xfId="30689" xr:uid="{00000000-0005-0000-0000-00006E830000}"/>
    <cellStyle name="Superscript- regular 3 8 4 2" xfId="30690" xr:uid="{00000000-0005-0000-0000-00006F830000}"/>
    <cellStyle name="Superscript- regular 3 8 5" xfId="30691" xr:uid="{00000000-0005-0000-0000-000070830000}"/>
    <cellStyle name="Superscript- regular 3 8 5 2" xfId="30692" xr:uid="{00000000-0005-0000-0000-000071830000}"/>
    <cellStyle name="Superscript- regular 3 8 6" xfId="30693" xr:uid="{00000000-0005-0000-0000-000072830000}"/>
    <cellStyle name="Superscript- regular 3 8 6 2" xfId="30694" xr:uid="{00000000-0005-0000-0000-000073830000}"/>
    <cellStyle name="Superscript- regular 3 8 7" xfId="30695" xr:uid="{00000000-0005-0000-0000-000074830000}"/>
    <cellStyle name="Superscript- regular 3 8 7 2" xfId="30696" xr:uid="{00000000-0005-0000-0000-000075830000}"/>
    <cellStyle name="Superscript- regular 3 8 8" xfId="30697" xr:uid="{00000000-0005-0000-0000-000076830000}"/>
    <cellStyle name="Superscript- regular 3 8 8 2" xfId="30698" xr:uid="{00000000-0005-0000-0000-000077830000}"/>
    <cellStyle name="Superscript- regular 3 8 9" xfId="30699" xr:uid="{00000000-0005-0000-0000-000078830000}"/>
    <cellStyle name="Superscript- regular 3 8 9 2" xfId="30700" xr:uid="{00000000-0005-0000-0000-000079830000}"/>
    <cellStyle name="Superscript- regular 3 9" xfId="30701" xr:uid="{00000000-0005-0000-0000-00007A830000}"/>
    <cellStyle name="Superscript- regular 3 9 10" xfId="30702" xr:uid="{00000000-0005-0000-0000-00007B830000}"/>
    <cellStyle name="Superscript- regular 3 9 2" xfId="30703" xr:uid="{00000000-0005-0000-0000-00007C830000}"/>
    <cellStyle name="Superscript- regular 3 9 2 2" xfId="30704" xr:uid="{00000000-0005-0000-0000-00007D830000}"/>
    <cellStyle name="Superscript- regular 3 9 3" xfId="30705" xr:uid="{00000000-0005-0000-0000-00007E830000}"/>
    <cellStyle name="Superscript- regular 3 9 3 2" xfId="30706" xr:uid="{00000000-0005-0000-0000-00007F830000}"/>
    <cellStyle name="Superscript- regular 3 9 4" xfId="30707" xr:uid="{00000000-0005-0000-0000-000080830000}"/>
    <cellStyle name="Superscript- regular 3 9 4 2" xfId="30708" xr:uid="{00000000-0005-0000-0000-000081830000}"/>
    <cellStyle name="Superscript- regular 3 9 5" xfId="30709" xr:uid="{00000000-0005-0000-0000-000082830000}"/>
    <cellStyle name="Superscript- regular 3 9 5 2" xfId="30710" xr:uid="{00000000-0005-0000-0000-000083830000}"/>
    <cellStyle name="Superscript- regular 3 9 6" xfId="30711" xr:uid="{00000000-0005-0000-0000-000084830000}"/>
    <cellStyle name="Superscript- regular 3 9 6 2" xfId="30712" xr:uid="{00000000-0005-0000-0000-000085830000}"/>
    <cellStyle name="Superscript- regular 3 9 7" xfId="30713" xr:uid="{00000000-0005-0000-0000-000086830000}"/>
    <cellStyle name="Superscript- regular 3 9 7 2" xfId="30714" xr:uid="{00000000-0005-0000-0000-000087830000}"/>
    <cellStyle name="Superscript- regular 3 9 8" xfId="30715" xr:uid="{00000000-0005-0000-0000-000088830000}"/>
    <cellStyle name="Superscript- regular 3 9 8 2" xfId="30716" xr:uid="{00000000-0005-0000-0000-000089830000}"/>
    <cellStyle name="Superscript- regular 3 9 9" xfId="30717" xr:uid="{00000000-0005-0000-0000-00008A830000}"/>
    <cellStyle name="Superscript- regular 3 9 9 2" xfId="30718" xr:uid="{00000000-0005-0000-0000-00008B830000}"/>
    <cellStyle name="Superscript- regular 4" xfId="30719" xr:uid="{00000000-0005-0000-0000-00008C830000}"/>
    <cellStyle name="Superscript- regular 4 10" xfId="30720" xr:uid="{00000000-0005-0000-0000-00008D830000}"/>
    <cellStyle name="Superscript- regular 4 10 2" xfId="30721" xr:uid="{00000000-0005-0000-0000-00008E830000}"/>
    <cellStyle name="Superscript- regular 4 10 2 2" xfId="30722" xr:uid="{00000000-0005-0000-0000-00008F830000}"/>
    <cellStyle name="Superscript- regular 4 10 3" xfId="30723" xr:uid="{00000000-0005-0000-0000-000090830000}"/>
    <cellStyle name="Superscript- regular 4 10 3 2" xfId="30724" xr:uid="{00000000-0005-0000-0000-000091830000}"/>
    <cellStyle name="Superscript- regular 4 10 4" xfId="30725" xr:uid="{00000000-0005-0000-0000-000092830000}"/>
    <cellStyle name="Superscript- regular 4 10 4 2" xfId="30726" xr:uid="{00000000-0005-0000-0000-000093830000}"/>
    <cellStyle name="Superscript- regular 4 10 5" xfId="30727" xr:uid="{00000000-0005-0000-0000-000094830000}"/>
    <cellStyle name="Superscript- regular 4 10 5 2" xfId="30728" xr:uid="{00000000-0005-0000-0000-000095830000}"/>
    <cellStyle name="Superscript- regular 4 10 6" xfId="30729" xr:uid="{00000000-0005-0000-0000-000096830000}"/>
    <cellStyle name="Superscript- regular 4 10 6 2" xfId="30730" xr:uid="{00000000-0005-0000-0000-000097830000}"/>
    <cellStyle name="Superscript- regular 4 10 7" xfId="30731" xr:uid="{00000000-0005-0000-0000-000098830000}"/>
    <cellStyle name="Superscript- regular 4 10 7 2" xfId="30732" xr:uid="{00000000-0005-0000-0000-000099830000}"/>
    <cellStyle name="Superscript- regular 4 10 8" xfId="30733" xr:uid="{00000000-0005-0000-0000-00009A830000}"/>
    <cellStyle name="Superscript- regular 4 10 8 2" xfId="30734" xr:uid="{00000000-0005-0000-0000-00009B830000}"/>
    <cellStyle name="Superscript- regular 4 10 9" xfId="30735" xr:uid="{00000000-0005-0000-0000-00009C830000}"/>
    <cellStyle name="Superscript- regular 4 11" xfId="30736" xr:uid="{00000000-0005-0000-0000-00009D830000}"/>
    <cellStyle name="Superscript- regular 4 11 2" xfId="30737" xr:uid="{00000000-0005-0000-0000-00009E830000}"/>
    <cellStyle name="Superscript- regular 4 12" xfId="30738" xr:uid="{00000000-0005-0000-0000-00009F830000}"/>
    <cellStyle name="Superscript- regular 4 12 2" xfId="30739" xr:uid="{00000000-0005-0000-0000-0000A0830000}"/>
    <cellStyle name="Superscript- regular 4 13" xfId="30740" xr:uid="{00000000-0005-0000-0000-0000A1830000}"/>
    <cellStyle name="Superscript- regular 4 13 2" xfId="30741" xr:uid="{00000000-0005-0000-0000-0000A2830000}"/>
    <cellStyle name="Superscript- regular 4 14" xfId="30742" xr:uid="{00000000-0005-0000-0000-0000A3830000}"/>
    <cellStyle name="Superscript- regular 4 14 2" xfId="30743" xr:uid="{00000000-0005-0000-0000-0000A4830000}"/>
    <cellStyle name="Superscript- regular 4 15" xfId="30744" xr:uid="{00000000-0005-0000-0000-0000A5830000}"/>
    <cellStyle name="Superscript- regular 4 15 2" xfId="30745" xr:uid="{00000000-0005-0000-0000-0000A6830000}"/>
    <cellStyle name="Superscript- regular 4 16" xfId="30746" xr:uid="{00000000-0005-0000-0000-0000A7830000}"/>
    <cellStyle name="Superscript- regular 4 16 2" xfId="30747" xr:uid="{00000000-0005-0000-0000-0000A8830000}"/>
    <cellStyle name="Superscript- regular 4 17" xfId="30748" xr:uid="{00000000-0005-0000-0000-0000A9830000}"/>
    <cellStyle name="Superscript- regular 4 17 2" xfId="30749" xr:uid="{00000000-0005-0000-0000-0000AA830000}"/>
    <cellStyle name="Superscript- regular 4 18" xfId="30750" xr:uid="{00000000-0005-0000-0000-0000AB830000}"/>
    <cellStyle name="Superscript- regular 4 2" xfId="30751" xr:uid="{00000000-0005-0000-0000-0000AC830000}"/>
    <cellStyle name="Superscript- regular 4 2 10" xfId="30752" xr:uid="{00000000-0005-0000-0000-0000AD830000}"/>
    <cellStyle name="Superscript- regular 4 2 2" xfId="30753" xr:uid="{00000000-0005-0000-0000-0000AE830000}"/>
    <cellStyle name="Superscript- regular 4 2 2 2" xfId="30754" xr:uid="{00000000-0005-0000-0000-0000AF830000}"/>
    <cellStyle name="Superscript- regular 4 2 3" xfId="30755" xr:uid="{00000000-0005-0000-0000-0000B0830000}"/>
    <cellStyle name="Superscript- regular 4 2 3 2" xfId="30756" xr:uid="{00000000-0005-0000-0000-0000B1830000}"/>
    <cellStyle name="Superscript- regular 4 2 4" xfId="30757" xr:uid="{00000000-0005-0000-0000-0000B2830000}"/>
    <cellStyle name="Superscript- regular 4 2 4 2" xfId="30758" xr:uid="{00000000-0005-0000-0000-0000B3830000}"/>
    <cellStyle name="Superscript- regular 4 2 5" xfId="30759" xr:uid="{00000000-0005-0000-0000-0000B4830000}"/>
    <cellStyle name="Superscript- regular 4 2 5 2" xfId="30760" xr:uid="{00000000-0005-0000-0000-0000B5830000}"/>
    <cellStyle name="Superscript- regular 4 2 6" xfId="30761" xr:uid="{00000000-0005-0000-0000-0000B6830000}"/>
    <cellStyle name="Superscript- regular 4 2 6 2" xfId="30762" xr:uid="{00000000-0005-0000-0000-0000B7830000}"/>
    <cellStyle name="Superscript- regular 4 2 7" xfId="30763" xr:uid="{00000000-0005-0000-0000-0000B8830000}"/>
    <cellStyle name="Superscript- regular 4 2 7 2" xfId="30764" xr:uid="{00000000-0005-0000-0000-0000B9830000}"/>
    <cellStyle name="Superscript- regular 4 2 8" xfId="30765" xr:uid="{00000000-0005-0000-0000-0000BA830000}"/>
    <cellStyle name="Superscript- regular 4 2 8 2" xfId="30766" xr:uid="{00000000-0005-0000-0000-0000BB830000}"/>
    <cellStyle name="Superscript- regular 4 2 9" xfId="30767" xr:uid="{00000000-0005-0000-0000-0000BC830000}"/>
    <cellStyle name="Superscript- regular 4 2 9 2" xfId="30768" xr:uid="{00000000-0005-0000-0000-0000BD830000}"/>
    <cellStyle name="Superscript- regular 4 3" xfId="30769" xr:uid="{00000000-0005-0000-0000-0000BE830000}"/>
    <cellStyle name="Superscript- regular 4 3 10" xfId="30770" xr:uid="{00000000-0005-0000-0000-0000BF830000}"/>
    <cellStyle name="Superscript- regular 4 3 2" xfId="30771" xr:uid="{00000000-0005-0000-0000-0000C0830000}"/>
    <cellStyle name="Superscript- regular 4 3 2 2" xfId="30772" xr:uid="{00000000-0005-0000-0000-0000C1830000}"/>
    <cellStyle name="Superscript- regular 4 3 3" xfId="30773" xr:uid="{00000000-0005-0000-0000-0000C2830000}"/>
    <cellStyle name="Superscript- regular 4 3 3 2" xfId="30774" xr:uid="{00000000-0005-0000-0000-0000C3830000}"/>
    <cellStyle name="Superscript- regular 4 3 4" xfId="30775" xr:uid="{00000000-0005-0000-0000-0000C4830000}"/>
    <cellStyle name="Superscript- regular 4 3 4 2" xfId="30776" xr:uid="{00000000-0005-0000-0000-0000C5830000}"/>
    <cellStyle name="Superscript- regular 4 3 5" xfId="30777" xr:uid="{00000000-0005-0000-0000-0000C6830000}"/>
    <cellStyle name="Superscript- regular 4 3 5 2" xfId="30778" xr:uid="{00000000-0005-0000-0000-0000C7830000}"/>
    <cellStyle name="Superscript- regular 4 3 6" xfId="30779" xr:uid="{00000000-0005-0000-0000-0000C8830000}"/>
    <cellStyle name="Superscript- regular 4 3 6 2" xfId="30780" xr:uid="{00000000-0005-0000-0000-0000C9830000}"/>
    <cellStyle name="Superscript- regular 4 3 7" xfId="30781" xr:uid="{00000000-0005-0000-0000-0000CA830000}"/>
    <cellStyle name="Superscript- regular 4 3 7 2" xfId="30782" xr:uid="{00000000-0005-0000-0000-0000CB830000}"/>
    <cellStyle name="Superscript- regular 4 3 8" xfId="30783" xr:uid="{00000000-0005-0000-0000-0000CC830000}"/>
    <cellStyle name="Superscript- regular 4 3 8 2" xfId="30784" xr:uid="{00000000-0005-0000-0000-0000CD830000}"/>
    <cellStyle name="Superscript- regular 4 3 9" xfId="30785" xr:uid="{00000000-0005-0000-0000-0000CE830000}"/>
    <cellStyle name="Superscript- regular 4 3 9 2" xfId="30786" xr:uid="{00000000-0005-0000-0000-0000CF830000}"/>
    <cellStyle name="Superscript- regular 4 4" xfId="30787" xr:uid="{00000000-0005-0000-0000-0000D0830000}"/>
    <cellStyle name="Superscript- regular 4 4 10" xfId="30788" xr:uid="{00000000-0005-0000-0000-0000D1830000}"/>
    <cellStyle name="Superscript- regular 4 4 2" xfId="30789" xr:uid="{00000000-0005-0000-0000-0000D2830000}"/>
    <cellStyle name="Superscript- regular 4 4 2 2" xfId="30790" xr:uid="{00000000-0005-0000-0000-0000D3830000}"/>
    <cellStyle name="Superscript- regular 4 4 3" xfId="30791" xr:uid="{00000000-0005-0000-0000-0000D4830000}"/>
    <cellStyle name="Superscript- regular 4 4 3 2" xfId="30792" xr:uid="{00000000-0005-0000-0000-0000D5830000}"/>
    <cellStyle name="Superscript- regular 4 4 4" xfId="30793" xr:uid="{00000000-0005-0000-0000-0000D6830000}"/>
    <cellStyle name="Superscript- regular 4 4 4 2" xfId="30794" xr:uid="{00000000-0005-0000-0000-0000D7830000}"/>
    <cellStyle name="Superscript- regular 4 4 5" xfId="30795" xr:uid="{00000000-0005-0000-0000-0000D8830000}"/>
    <cellStyle name="Superscript- regular 4 4 5 2" xfId="30796" xr:uid="{00000000-0005-0000-0000-0000D9830000}"/>
    <cellStyle name="Superscript- regular 4 4 6" xfId="30797" xr:uid="{00000000-0005-0000-0000-0000DA830000}"/>
    <cellStyle name="Superscript- regular 4 4 6 2" xfId="30798" xr:uid="{00000000-0005-0000-0000-0000DB830000}"/>
    <cellStyle name="Superscript- regular 4 4 7" xfId="30799" xr:uid="{00000000-0005-0000-0000-0000DC830000}"/>
    <cellStyle name="Superscript- regular 4 4 7 2" xfId="30800" xr:uid="{00000000-0005-0000-0000-0000DD830000}"/>
    <cellStyle name="Superscript- regular 4 4 8" xfId="30801" xr:uid="{00000000-0005-0000-0000-0000DE830000}"/>
    <cellStyle name="Superscript- regular 4 4 8 2" xfId="30802" xr:uid="{00000000-0005-0000-0000-0000DF830000}"/>
    <cellStyle name="Superscript- regular 4 4 9" xfId="30803" xr:uid="{00000000-0005-0000-0000-0000E0830000}"/>
    <cellStyle name="Superscript- regular 4 4 9 2" xfId="30804" xr:uid="{00000000-0005-0000-0000-0000E1830000}"/>
    <cellStyle name="Superscript- regular 4 5" xfId="30805" xr:uid="{00000000-0005-0000-0000-0000E2830000}"/>
    <cellStyle name="Superscript- regular 4 5 10" xfId="30806" xr:uid="{00000000-0005-0000-0000-0000E3830000}"/>
    <cellStyle name="Superscript- regular 4 5 2" xfId="30807" xr:uid="{00000000-0005-0000-0000-0000E4830000}"/>
    <cellStyle name="Superscript- regular 4 5 2 2" xfId="30808" xr:uid="{00000000-0005-0000-0000-0000E5830000}"/>
    <cellStyle name="Superscript- regular 4 5 3" xfId="30809" xr:uid="{00000000-0005-0000-0000-0000E6830000}"/>
    <cellStyle name="Superscript- regular 4 5 3 2" xfId="30810" xr:uid="{00000000-0005-0000-0000-0000E7830000}"/>
    <cellStyle name="Superscript- regular 4 5 4" xfId="30811" xr:uid="{00000000-0005-0000-0000-0000E8830000}"/>
    <cellStyle name="Superscript- regular 4 5 4 2" xfId="30812" xr:uid="{00000000-0005-0000-0000-0000E9830000}"/>
    <cellStyle name="Superscript- regular 4 5 5" xfId="30813" xr:uid="{00000000-0005-0000-0000-0000EA830000}"/>
    <cellStyle name="Superscript- regular 4 5 5 2" xfId="30814" xr:uid="{00000000-0005-0000-0000-0000EB830000}"/>
    <cellStyle name="Superscript- regular 4 5 6" xfId="30815" xr:uid="{00000000-0005-0000-0000-0000EC830000}"/>
    <cellStyle name="Superscript- regular 4 5 6 2" xfId="30816" xr:uid="{00000000-0005-0000-0000-0000ED830000}"/>
    <cellStyle name="Superscript- regular 4 5 7" xfId="30817" xr:uid="{00000000-0005-0000-0000-0000EE830000}"/>
    <cellStyle name="Superscript- regular 4 5 7 2" xfId="30818" xr:uid="{00000000-0005-0000-0000-0000EF830000}"/>
    <cellStyle name="Superscript- regular 4 5 8" xfId="30819" xr:uid="{00000000-0005-0000-0000-0000F0830000}"/>
    <cellStyle name="Superscript- regular 4 5 8 2" xfId="30820" xr:uid="{00000000-0005-0000-0000-0000F1830000}"/>
    <cellStyle name="Superscript- regular 4 5 9" xfId="30821" xr:uid="{00000000-0005-0000-0000-0000F2830000}"/>
    <cellStyle name="Superscript- regular 4 5 9 2" xfId="30822" xr:uid="{00000000-0005-0000-0000-0000F3830000}"/>
    <cellStyle name="Superscript- regular 4 6" xfId="30823" xr:uid="{00000000-0005-0000-0000-0000F4830000}"/>
    <cellStyle name="Superscript- regular 4 6 10" xfId="30824" xr:uid="{00000000-0005-0000-0000-0000F5830000}"/>
    <cellStyle name="Superscript- regular 4 6 2" xfId="30825" xr:uid="{00000000-0005-0000-0000-0000F6830000}"/>
    <cellStyle name="Superscript- regular 4 6 2 2" xfId="30826" xr:uid="{00000000-0005-0000-0000-0000F7830000}"/>
    <cellStyle name="Superscript- regular 4 6 3" xfId="30827" xr:uid="{00000000-0005-0000-0000-0000F8830000}"/>
    <cellStyle name="Superscript- regular 4 6 3 2" xfId="30828" xr:uid="{00000000-0005-0000-0000-0000F9830000}"/>
    <cellStyle name="Superscript- regular 4 6 4" xfId="30829" xr:uid="{00000000-0005-0000-0000-0000FA830000}"/>
    <cellStyle name="Superscript- regular 4 6 4 2" xfId="30830" xr:uid="{00000000-0005-0000-0000-0000FB830000}"/>
    <cellStyle name="Superscript- regular 4 6 5" xfId="30831" xr:uid="{00000000-0005-0000-0000-0000FC830000}"/>
    <cellStyle name="Superscript- regular 4 6 5 2" xfId="30832" xr:uid="{00000000-0005-0000-0000-0000FD830000}"/>
    <cellStyle name="Superscript- regular 4 6 6" xfId="30833" xr:uid="{00000000-0005-0000-0000-0000FE830000}"/>
    <cellStyle name="Superscript- regular 4 6 6 2" xfId="30834" xr:uid="{00000000-0005-0000-0000-0000FF830000}"/>
    <cellStyle name="Superscript- regular 4 6 7" xfId="30835" xr:uid="{00000000-0005-0000-0000-000000840000}"/>
    <cellStyle name="Superscript- regular 4 6 7 2" xfId="30836" xr:uid="{00000000-0005-0000-0000-000001840000}"/>
    <cellStyle name="Superscript- regular 4 6 8" xfId="30837" xr:uid="{00000000-0005-0000-0000-000002840000}"/>
    <cellStyle name="Superscript- regular 4 6 8 2" xfId="30838" xr:uid="{00000000-0005-0000-0000-000003840000}"/>
    <cellStyle name="Superscript- regular 4 6 9" xfId="30839" xr:uid="{00000000-0005-0000-0000-000004840000}"/>
    <cellStyle name="Superscript- regular 4 6 9 2" xfId="30840" xr:uid="{00000000-0005-0000-0000-000005840000}"/>
    <cellStyle name="Superscript- regular 4 7" xfId="30841" xr:uid="{00000000-0005-0000-0000-000006840000}"/>
    <cellStyle name="Superscript- regular 4 7 10" xfId="30842" xr:uid="{00000000-0005-0000-0000-000007840000}"/>
    <cellStyle name="Superscript- regular 4 7 2" xfId="30843" xr:uid="{00000000-0005-0000-0000-000008840000}"/>
    <cellStyle name="Superscript- regular 4 7 2 2" xfId="30844" xr:uid="{00000000-0005-0000-0000-000009840000}"/>
    <cellStyle name="Superscript- regular 4 7 3" xfId="30845" xr:uid="{00000000-0005-0000-0000-00000A840000}"/>
    <cellStyle name="Superscript- regular 4 7 3 2" xfId="30846" xr:uid="{00000000-0005-0000-0000-00000B840000}"/>
    <cellStyle name="Superscript- regular 4 7 4" xfId="30847" xr:uid="{00000000-0005-0000-0000-00000C840000}"/>
    <cellStyle name="Superscript- regular 4 7 4 2" xfId="30848" xr:uid="{00000000-0005-0000-0000-00000D840000}"/>
    <cellStyle name="Superscript- regular 4 7 5" xfId="30849" xr:uid="{00000000-0005-0000-0000-00000E840000}"/>
    <cellStyle name="Superscript- regular 4 7 5 2" xfId="30850" xr:uid="{00000000-0005-0000-0000-00000F840000}"/>
    <cellStyle name="Superscript- regular 4 7 6" xfId="30851" xr:uid="{00000000-0005-0000-0000-000010840000}"/>
    <cellStyle name="Superscript- regular 4 7 6 2" xfId="30852" xr:uid="{00000000-0005-0000-0000-000011840000}"/>
    <cellStyle name="Superscript- regular 4 7 7" xfId="30853" xr:uid="{00000000-0005-0000-0000-000012840000}"/>
    <cellStyle name="Superscript- regular 4 7 7 2" xfId="30854" xr:uid="{00000000-0005-0000-0000-000013840000}"/>
    <cellStyle name="Superscript- regular 4 7 8" xfId="30855" xr:uid="{00000000-0005-0000-0000-000014840000}"/>
    <cellStyle name="Superscript- regular 4 7 8 2" xfId="30856" xr:uid="{00000000-0005-0000-0000-000015840000}"/>
    <cellStyle name="Superscript- regular 4 7 9" xfId="30857" xr:uid="{00000000-0005-0000-0000-000016840000}"/>
    <cellStyle name="Superscript- regular 4 7 9 2" xfId="30858" xr:uid="{00000000-0005-0000-0000-000017840000}"/>
    <cellStyle name="Superscript- regular 4 8" xfId="30859" xr:uid="{00000000-0005-0000-0000-000018840000}"/>
    <cellStyle name="Superscript- regular 4 8 10" xfId="30860" xr:uid="{00000000-0005-0000-0000-000019840000}"/>
    <cellStyle name="Superscript- regular 4 8 2" xfId="30861" xr:uid="{00000000-0005-0000-0000-00001A840000}"/>
    <cellStyle name="Superscript- regular 4 8 2 2" xfId="30862" xr:uid="{00000000-0005-0000-0000-00001B840000}"/>
    <cellStyle name="Superscript- regular 4 8 3" xfId="30863" xr:uid="{00000000-0005-0000-0000-00001C840000}"/>
    <cellStyle name="Superscript- regular 4 8 3 2" xfId="30864" xr:uid="{00000000-0005-0000-0000-00001D840000}"/>
    <cellStyle name="Superscript- regular 4 8 4" xfId="30865" xr:uid="{00000000-0005-0000-0000-00001E840000}"/>
    <cellStyle name="Superscript- regular 4 8 4 2" xfId="30866" xr:uid="{00000000-0005-0000-0000-00001F840000}"/>
    <cellStyle name="Superscript- regular 4 8 5" xfId="30867" xr:uid="{00000000-0005-0000-0000-000020840000}"/>
    <cellStyle name="Superscript- regular 4 8 5 2" xfId="30868" xr:uid="{00000000-0005-0000-0000-000021840000}"/>
    <cellStyle name="Superscript- regular 4 8 6" xfId="30869" xr:uid="{00000000-0005-0000-0000-000022840000}"/>
    <cellStyle name="Superscript- regular 4 8 6 2" xfId="30870" xr:uid="{00000000-0005-0000-0000-000023840000}"/>
    <cellStyle name="Superscript- regular 4 8 7" xfId="30871" xr:uid="{00000000-0005-0000-0000-000024840000}"/>
    <cellStyle name="Superscript- regular 4 8 7 2" xfId="30872" xr:uid="{00000000-0005-0000-0000-000025840000}"/>
    <cellStyle name="Superscript- regular 4 8 8" xfId="30873" xr:uid="{00000000-0005-0000-0000-000026840000}"/>
    <cellStyle name="Superscript- regular 4 8 8 2" xfId="30874" xr:uid="{00000000-0005-0000-0000-000027840000}"/>
    <cellStyle name="Superscript- regular 4 8 9" xfId="30875" xr:uid="{00000000-0005-0000-0000-000028840000}"/>
    <cellStyle name="Superscript- regular 4 8 9 2" xfId="30876" xr:uid="{00000000-0005-0000-0000-000029840000}"/>
    <cellStyle name="Superscript- regular 4 9" xfId="30877" xr:uid="{00000000-0005-0000-0000-00002A840000}"/>
    <cellStyle name="Superscript- regular 4 9 10" xfId="30878" xr:uid="{00000000-0005-0000-0000-00002B840000}"/>
    <cellStyle name="Superscript- regular 4 9 2" xfId="30879" xr:uid="{00000000-0005-0000-0000-00002C840000}"/>
    <cellStyle name="Superscript- regular 4 9 2 2" xfId="30880" xr:uid="{00000000-0005-0000-0000-00002D840000}"/>
    <cellStyle name="Superscript- regular 4 9 3" xfId="30881" xr:uid="{00000000-0005-0000-0000-00002E840000}"/>
    <cellStyle name="Superscript- regular 4 9 3 2" xfId="30882" xr:uid="{00000000-0005-0000-0000-00002F840000}"/>
    <cellStyle name="Superscript- regular 4 9 4" xfId="30883" xr:uid="{00000000-0005-0000-0000-000030840000}"/>
    <cellStyle name="Superscript- regular 4 9 4 2" xfId="30884" xr:uid="{00000000-0005-0000-0000-000031840000}"/>
    <cellStyle name="Superscript- regular 4 9 5" xfId="30885" xr:uid="{00000000-0005-0000-0000-000032840000}"/>
    <cellStyle name="Superscript- regular 4 9 5 2" xfId="30886" xr:uid="{00000000-0005-0000-0000-000033840000}"/>
    <cellStyle name="Superscript- regular 4 9 6" xfId="30887" xr:uid="{00000000-0005-0000-0000-000034840000}"/>
    <cellStyle name="Superscript- regular 4 9 6 2" xfId="30888" xr:uid="{00000000-0005-0000-0000-000035840000}"/>
    <cellStyle name="Superscript- regular 4 9 7" xfId="30889" xr:uid="{00000000-0005-0000-0000-000036840000}"/>
    <cellStyle name="Superscript- regular 4 9 7 2" xfId="30890" xr:uid="{00000000-0005-0000-0000-000037840000}"/>
    <cellStyle name="Superscript- regular 4 9 8" xfId="30891" xr:uid="{00000000-0005-0000-0000-000038840000}"/>
    <cellStyle name="Superscript- regular 4 9 8 2" xfId="30892" xr:uid="{00000000-0005-0000-0000-000039840000}"/>
    <cellStyle name="Superscript- regular 4 9 9" xfId="30893" xr:uid="{00000000-0005-0000-0000-00003A840000}"/>
    <cellStyle name="Superscript- regular 4 9 9 2" xfId="30894" xr:uid="{00000000-0005-0000-0000-00003B840000}"/>
    <cellStyle name="Superscript_1-1A-Regular" xfId="111" xr:uid="{00000000-0005-0000-0000-00003C840000}"/>
    <cellStyle name="Table Data" xfId="112" xr:uid="{00000000-0005-0000-0000-00003D840000}"/>
    <cellStyle name="Table Head Top" xfId="113" xr:uid="{00000000-0005-0000-0000-00003E840000}"/>
    <cellStyle name="Table Hed Side" xfId="114" xr:uid="{00000000-0005-0000-0000-00003F840000}"/>
    <cellStyle name="Table Title" xfId="115" xr:uid="{00000000-0005-0000-0000-000040840000}"/>
    <cellStyle name="Table title 2" xfId="13" xr:uid="{00000000-0005-0000-0000-000041840000}"/>
    <cellStyle name="Title 10" xfId="43781" xr:uid="{00000000-0005-0000-0000-000042840000}"/>
    <cellStyle name="Title 11" xfId="43782" xr:uid="{00000000-0005-0000-0000-000043840000}"/>
    <cellStyle name="Title 12" xfId="43783" xr:uid="{00000000-0005-0000-0000-000044840000}"/>
    <cellStyle name="Title 13" xfId="43784" xr:uid="{00000000-0005-0000-0000-000045840000}"/>
    <cellStyle name="Title 14" xfId="43785" xr:uid="{00000000-0005-0000-0000-000046840000}"/>
    <cellStyle name="Title 15" xfId="43786" xr:uid="{00000000-0005-0000-0000-000047840000}"/>
    <cellStyle name="Title 16" xfId="43787" xr:uid="{00000000-0005-0000-0000-000048840000}"/>
    <cellStyle name="Title 17" xfId="43788" xr:uid="{00000000-0005-0000-0000-000049840000}"/>
    <cellStyle name="Title 18" xfId="43789" xr:uid="{00000000-0005-0000-0000-00004A840000}"/>
    <cellStyle name="Title 19" xfId="43790" xr:uid="{00000000-0005-0000-0000-00004B840000}"/>
    <cellStyle name="Title 2" xfId="43791" xr:uid="{00000000-0005-0000-0000-00004C840000}"/>
    <cellStyle name="Title 2 2" xfId="43792" xr:uid="{00000000-0005-0000-0000-00004D840000}"/>
    <cellStyle name="Title 20" xfId="43793" xr:uid="{00000000-0005-0000-0000-00004E840000}"/>
    <cellStyle name="Title 21" xfId="43794" xr:uid="{00000000-0005-0000-0000-00004F840000}"/>
    <cellStyle name="Title 22" xfId="43795" xr:uid="{00000000-0005-0000-0000-000050840000}"/>
    <cellStyle name="Title 23" xfId="43796" xr:uid="{00000000-0005-0000-0000-000051840000}"/>
    <cellStyle name="Title 3" xfId="43797" xr:uid="{00000000-0005-0000-0000-000052840000}"/>
    <cellStyle name="Title 4" xfId="43798" xr:uid="{00000000-0005-0000-0000-000053840000}"/>
    <cellStyle name="Title 5" xfId="43799" xr:uid="{00000000-0005-0000-0000-000054840000}"/>
    <cellStyle name="Title 6" xfId="43800" xr:uid="{00000000-0005-0000-0000-000055840000}"/>
    <cellStyle name="Title 7" xfId="43801" xr:uid="{00000000-0005-0000-0000-000056840000}"/>
    <cellStyle name="Title 8" xfId="43802" xr:uid="{00000000-0005-0000-0000-000057840000}"/>
    <cellStyle name="Title 9" xfId="43803" xr:uid="{00000000-0005-0000-0000-000058840000}"/>
    <cellStyle name="Title Text" xfId="116" xr:uid="{00000000-0005-0000-0000-000059840000}"/>
    <cellStyle name="Title Text 1" xfId="117" xr:uid="{00000000-0005-0000-0000-00005A840000}"/>
    <cellStyle name="Title Text 2" xfId="118" xr:uid="{00000000-0005-0000-0000-00005B840000}"/>
    <cellStyle name="Title-1" xfId="119" xr:uid="{00000000-0005-0000-0000-00005C840000}"/>
    <cellStyle name="Title-2" xfId="10" xr:uid="{00000000-0005-0000-0000-00005D840000}"/>
    <cellStyle name="Title-3" xfId="120" xr:uid="{00000000-0005-0000-0000-00005E840000}"/>
    <cellStyle name="Total 10" xfId="43804" xr:uid="{00000000-0005-0000-0000-00005F840000}"/>
    <cellStyle name="Total 11" xfId="43805" xr:uid="{00000000-0005-0000-0000-000060840000}"/>
    <cellStyle name="Total 12" xfId="43806" xr:uid="{00000000-0005-0000-0000-000061840000}"/>
    <cellStyle name="Total 13" xfId="43807" xr:uid="{00000000-0005-0000-0000-000062840000}"/>
    <cellStyle name="Total 14" xfId="43808" xr:uid="{00000000-0005-0000-0000-000063840000}"/>
    <cellStyle name="Total 15" xfId="43809" xr:uid="{00000000-0005-0000-0000-000064840000}"/>
    <cellStyle name="Total 16" xfId="43810" xr:uid="{00000000-0005-0000-0000-000065840000}"/>
    <cellStyle name="Total 17" xfId="43811" xr:uid="{00000000-0005-0000-0000-000066840000}"/>
    <cellStyle name="Total 18" xfId="43812" xr:uid="{00000000-0005-0000-0000-000067840000}"/>
    <cellStyle name="Total 19" xfId="43813" xr:uid="{00000000-0005-0000-0000-000068840000}"/>
    <cellStyle name="Total 2" xfId="121" xr:uid="{00000000-0005-0000-0000-000069840000}"/>
    <cellStyle name="Total 2 2" xfId="43814" xr:uid="{00000000-0005-0000-0000-00006A840000}"/>
    <cellStyle name="Total 20" xfId="43815" xr:uid="{00000000-0005-0000-0000-00006B840000}"/>
    <cellStyle name="Total 21" xfId="43816" xr:uid="{00000000-0005-0000-0000-00006C840000}"/>
    <cellStyle name="Total 22" xfId="43817" xr:uid="{00000000-0005-0000-0000-00006D840000}"/>
    <cellStyle name="Total 23" xfId="43818" xr:uid="{00000000-0005-0000-0000-00006E840000}"/>
    <cellStyle name="Total 3" xfId="43819" xr:uid="{00000000-0005-0000-0000-00006F840000}"/>
    <cellStyle name="Total 4" xfId="43820" xr:uid="{00000000-0005-0000-0000-000070840000}"/>
    <cellStyle name="Total 5" xfId="43821" xr:uid="{00000000-0005-0000-0000-000071840000}"/>
    <cellStyle name="Total 6" xfId="43822" xr:uid="{00000000-0005-0000-0000-000072840000}"/>
    <cellStyle name="Total 7" xfId="43823" xr:uid="{00000000-0005-0000-0000-000073840000}"/>
    <cellStyle name="Total 8" xfId="43824" xr:uid="{00000000-0005-0000-0000-000074840000}"/>
    <cellStyle name="Total 9" xfId="43825" xr:uid="{00000000-0005-0000-0000-000075840000}"/>
    <cellStyle name="Warning Text 10" xfId="43826" xr:uid="{00000000-0005-0000-0000-000076840000}"/>
    <cellStyle name="Warning Text 11" xfId="43827" xr:uid="{00000000-0005-0000-0000-000077840000}"/>
    <cellStyle name="Warning Text 12" xfId="43828" xr:uid="{00000000-0005-0000-0000-000078840000}"/>
    <cellStyle name="Warning Text 13" xfId="43829" xr:uid="{00000000-0005-0000-0000-000079840000}"/>
    <cellStyle name="Warning Text 14" xfId="43830" xr:uid="{00000000-0005-0000-0000-00007A840000}"/>
    <cellStyle name="Warning Text 15" xfId="43831" xr:uid="{00000000-0005-0000-0000-00007B840000}"/>
    <cellStyle name="Warning Text 16" xfId="43832" xr:uid="{00000000-0005-0000-0000-00007C840000}"/>
    <cellStyle name="Warning Text 17" xfId="43833" xr:uid="{00000000-0005-0000-0000-00007D840000}"/>
    <cellStyle name="Warning Text 18" xfId="43834" xr:uid="{00000000-0005-0000-0000-00007E840000}"/>
    <cellStyle name="Warning Text 19" xfId="43835" xr:uid="{00000000-0005-0000-0000-00007F840000}"/>
    <cellStyle name="Warning Text 2" xfId="122" xr:uid="{00000000-0005-0000-0000-000080840000}"/>
    <cellStyle name="Warning Text 2 2" xfId="43836" xr:uid="{00000000-0005-0000-0000-000081840000}"/>
    <cellStyle name="Warning Text 20" xfId="43837" xr:uid="{00000000-0005-0000-0000-000082840000}"/>
    <cellStyle name="Warning Text 21" xfId="43838" xr:uid="{00000000-0005-0000-0000-000083840000}"/>
    <cellStyle name="Warning Text 22" xfId="43839" xr:uid="{00000000-0005-0000-0000-000084840000}"/>
    <cellStyle name="Warning Text 23" xfId="43840" xr:uid="{00000000-0005-0000-0000-000085840000}"/>
    <cellStyle name="Warning Text 3" xfId="43841" xr:uid="{00000000-0005-0000-0000-000086840000}"/>
    <cellStyle name="Warning Text 4" xfId="43842" xr:uid="{00000000-0005-0000-0000-000087840000}"/>
    <cellStyle name="Warning Text 5" xfId="43843" xr:uid="{00000000-0005-0000-0000-000088840000}"/>
    <cellStyle name="Warning Text 6" xfId="43844" xr:uid="{00000000-0005-0000-0000-000089840000}"/>
    <cellStyle name="Warning Text 7" xfId="43845" xr:uid="{00000000-0005-0000-0000-00008A840000}"/>
    <cellStyle name="Warning Text 8" xfId="43846" xr:uid="{00000000-0005-0000-0000-00008B840000}"/>
    <cellStyle name="Warning Text 9" xfId="43847" xr:uid="{00000000-0005-0000-0000-00008C840000}"/>
    <cellStyle name="Wrap" xfId="123" xr:uid="{00000000-0005-0000-0000-00008D840000}"/>
    <cellStyle name="Wrap 2" xfId="203" xr:uid="{00000000-0005-0000-0000-00008E840000}"/>
    <cellStyle name="Wrap 2 10" xfId="30895" xr:uid="{00000000-0005-0000-0000-00008F840000}"/>
    <cellStyle name="Wrap 2 10 10" xfId="30896" xr:uid="{00000000-0005-0000-0000-000090840000}"/>
    <cellStyle name="Wrap 2 10 10 2" xfId="30897" xr:uid="{00000000-0005-0000-0000-000091840000}"/>
    <cellStyle name="Wrap 2 10 10 2 2" xfId="30898" xr:uid="{00000000-0005-0000-0000-000092840000}"/>
    <cellStyle name="Wrap 2 10 10 3" xfId="30899" xr:uid="{00000000-0005-0000-0000-000093840000}"/>
    <cellStyle name="Wrap 2 10 10 3 2" xfId="30900" xr:uid="{00000000-0005-0000-0000-000094840000}"/>
    <cellStyle name="Wrap 2 10 10 4" xfId="30901" xr:uid="{00000000-0005-0000-0000-000095840000}"/>
    <cellStyle name="Wrap 2 10 10 4 2" xfId="30902" xr:uid="{00000000-0005-0000-0000-000096840000}"/>
    <cellStyle name="Wrap 2 10 10 5" xfId="30903" xr:uid="{00000000-0005-0000-0000-000097840000}"/>
    <cellStyle name="Wrap 2 10 10 5 2" xfId="30904" xr:uid="{00000000-0005-0000-0000-000098840000}"/>
    <cellStyle name="Wrap 2 10 10 6" xfId="30905" xr:uid="{00000000-0005-0000-0000-000099840000}"/>
    <cellStyle name="Wrap 2 10 10 6 2" xfId="30906" xr:uid="{00000000-0005-0000-0000-00009A840000}"/>
    <cellStyle name="Wrap 2 10 10 7" xfId="30907" xr:uid="{00000000-0005-0000-0000-00009B840000}"/>
    <cellStyle name="Wrap 2 10 10 7 2" xfId="30908" xr:uid="{00000000-0005-0000-0000-00009C840000}"/>
    <cellStyle name="Wrap 2 10 10 8" xfId="30909" xr:uid="{00000000-0005-0000-0000-00009D840000}"/>
    <cellStyle name="Wrap 2 10 10 8 2" xfId="30910" xr:uid="{00000000-0005-0000-0000-00009E840000}"/>
    <cellStyle name="Wrap 2 10 10 9" xfId="30911" xr:uid="{00000000-0005-0000-0000-00009F840000}"/>
    <cellStyle name="Wrap 2 10 11" xfId="30912" xr:uid="{00000000-0005-0000-0000-0000A0840000}"/>
    <cellStyle name="Wrap 2 10 11 2" xfId="30913" xr:uid="{00000000-0005-0000-0000-0000A1840000}"/>
    <cellStyle name="Wrap 2 10 12" xfId="30914" xr:uid="{00000000-0005-0000-0000-0000A2840000}"/>
    <cellStyle name="Wrap 2 10 12 2" xfId="30915" xr:uid="{00000000-0005-0000-0000-0000A3840000}"/>
    <cellStyle name="Wrap 2 10 13" xfId="30916" xr:uid="{00000000-0005-0000-0000-0000A4840000}"/>
    <cellStyle name="Wrap 2 10 13 2" xfId="30917" xr:uid="{00000000-0005-0000-0000-0000A5840000}"/>
    <cellStyle name="Wrap 2 10 14" xfId="30918" xr:uid="{00000000-0005-0000-0000-0000A6840000}"/>
    <cellStyle name="Wrap 2 10 14 2" xfId="30919" xr:uid="{00000000-0005-0000-0000-0000A7840000}"/>
    <cellStyle name="Wrap 2 10 15" xfId="30920" xr:uid="{00000000-0005-0000-0000-0000A8840000}"/>
    <cellStyle name="Wrap 2 10 15 2" xfId="30921" xr:uid="{00000000-0005-0000-0000-0000A9840000}"/>
    <cellStyle name="Wrap 2 10 16" xfId="30922" xr:uid="{00000000-0005-0000-0000-0000AA840000}"/>
    <cellStyle name="Wrap 2 10 16 2" xfId="30923" xr:uid="{00000000-0005-0000-0000-0000AB840000}"/>
    <cellStyle name="Wrap 2 10 17" xfId="30924" xr:uid="{00000000-0005-0000-0000-0000AC840000}"/>
    <cellStyle name="Wrap 2 10 17 2" xfId="30925" xr:uid="{00000000-0005-0000-0000-0000AD840000}"/>
    <cellStyle name="Wrap 2 10 18" xfId="30926" xr:uid="{00000000-0005-0000-0000-0000AE840000}"/>
    <cellStyle name="Wrap 2 10 2" xfId="30927" xr:uid="{00000000-0005-0000-0000-0000AF840000}"/>
    <cellStyle name="Wrap 2 10 2 10" xfId="30928" xr:uid="{00000000-0005-0000-0000-0000B0840000}"/>
    <cellStyle name="Wrap 2 10 2 2" xfId="30929" xr:uid="{00000000-0005-0000-0000-0000B1840000}"/>
    <cellStyle name="Wrap 2 10 2 2 2" xfId="30930" xr:uid="{00000000-0005-0000-0000-0000B2840000}"/>
    <cellStyle name="Wrap 2 10 2 3" xfId="30931" xr:uid="{00000000-0005-0000-0000-0000B3840000}"/>
    <cellStyle name="Wrap 2 10 2 3 2" xfId="30932" xr:uid="{00000000-0005-0000-0000-0000B4840000}"/>
    <cellStyle name="Wrap 2 10 2 4" xfId="30933" xr:uid="{00000000-0005-0000-0000-0000B5840000}"/>
    <cellStyle name="Wrap 2 10 2 4 2" xfId="30934" xr:uid="{00000000-0005-0000-0000-0000B6840000}"/>
    <cellStyle name="Wrap 2 10 2 5" xfId="30935" xr:uid="{00000000-0005-0000-0000-0000B7840000}"/>
    <cellStyle name="Wrap 2 10 2 5 2" xfId="30936" xr:uid="{00000000-0005-0000-0000-0000B8840000}"/>
    <cellStyle name="Wrap 2 10 2 6" xfId="30937" xr:uid="{00000000-0005-0000-0000-0000B9840000}"/>
    <cellStyle name="Wrap 2 10 2 6 2" xfId="30938" xr:uid="{00000000-0005-0000-0000-0000BA840000}"/>
    <cellStyle name="Wrap 2 10 2 7" xfId="30939" xr:uid="{00000000-0005-0000-0000-0000BB840000}"/>
    <cellStyle name="Wrap 2 10 2 7 2" xfId="30940" xr:uid="{00000000-0005-0000-0000-0000BC840000}"/>
    <cellStyle name="Wrap 2 10 2 8" xfId="30941" xr:uid="{00000000-0005-0000-0000-0000BD840000}"/>
    <cellStyle name="Wrap 2 10 2 8 2" xfId="30942" xr:uid="{00000000-0005-0000-0000-0000BE840000}"/>
    <cellStyle name="Wrap 2 10 2 9" xfId="30943" xr:uid="{00000000-0005-0000-0000-0000BF840000}"/>
    <cellStyle name="Wrap 2 10 2 9 2" xfId="30944" xr:uid="{00000000-0005-0000-0000-0000C0840000}"/>
    <cellStyle name="Wrap 2 10 3" xfId="30945" xr:uid="{00000000-0005-0000-0000-0000C1840000}"/>
    <cellStyle name="Wrap 2 10 3 10" xfId="30946" xr:uid="{00000000-0005-0000-0000-0000C2840000}"/>
    <cellStyle name="Wrap 2 10 3 2" xfId="30947" xr:uid="{00000000-0005-0000-0000-0000C3840000}"/>
    <cellStyle name="Wrap 2 10 3 2 2" xfId="30948" xr:uid="{00000000-0005-0000-0000-0000C4840000}"/>
    <cellStyle name="Wrap 2 10 3 3" xfId="30949" xr:uid="{00000000-0005-0000-0000-0000C5840000}"/>
    <cellStyle name="Wrap 2 10 3 3 2" xfId="30950" xr:uid="{00000000-0005-0000-0000-0000C6840000}"/>
    <cellStyle name="Wrap 2 10 3 4" xfId="30951" xr:uid="{00000000-0005-0000-0000-0000C7840000}"/>
    <cellStyle name="Wrap 2 10 3 4 2" xfId="30952" xr:uid="{00000000-0005-0000-0000-0000C8840000}"/>
    <cellStyle name="Wrap 2 10 3 5" xfId="30953" xr:uid="{00000000-0005-0000-0000-0000C9840000}"/>
    <cellStyle name="Wrap 2 10 3 5 2" xfId="30954" xr:uid="{00000000-0005-0000-0000-0000CA840000}"/>
    <cellStyle name="Wrap 2 10 3 6" xfId="30955" xr:uid="{00000000-0005-0000-0000-0000CB840000}"/>
    <cellStyle name="Wrap 2 10 3 6 2" xfId="30956" xr:uid="{00000000-0005-0000-0000-0000CC840000}"/>
    <cellStyle name="Wrap 2 10 3 7" xfId="30957" xr:uid="{00000000-0005-0000-0000-0000CD840000}"/>
    <cellStyle name="Wrap 2 10 3 7 2" xfId="30958" xr:uid="{00000000-0005-0000-0000-0000CE840000}"/>
    <cellStyle name="Wrap 2 10 3 8" xfId="30959" xr:uid="{00000000-0005-0000-0000-0000CF840000}"/>
    <cellStyle name="Wrap 2 10 3 8 2" xfId="30960" xr:uid="{00000000-0005-0000-0000-0000D0840000}"/>
    <cellStyle name="Wrap 2 10 3 9" xfId="30961" xr:uid="{00000000-0005-0000-0000-0000D1840000}"/>
    <cellStyle name="Wrap 2 10 3 9 2" xfId="30962" xr:uid="{00000000-0005-0000-0000-0000D2840000}"/>
    <cellStyle name="Wrap 2 10 4" xfId="30963" xr:uid="{00000000-0005-0000-0000-0000D3840000}"/>
    <cellStyle name="Wrap 2 10 4 10" xfId="30964" xr:uid="{00000000-0005-0000-0000-0000D4840000}"/>
    <cellStyle name="Wrap 2 10 4 2" xfId="30965" xr:uid="{00000000-0005-0000-0000-0000D5840000}"/>
    <cellStyle name="Wrap 2 10 4 2 2" xfId="30966" xr:uid="{00000000-0005-0000-0000-0000D6840000}"/>
    <cellStyle name="Wrap 2 10 4 3" xfId="30967" xr:uid="{00000000-0005-0000-0000-0000D7840000}"/>
    <cellStyle name="Wrap 2 10 4 3 2" xfId="30968" xr:uid="{00000000-0005-0000-0000-0000D8840000}"/>
    <cellStyle name="Wrap 2 10 4 4" xfId="30969" xr:uid="{00000000-0005-0000-0000-0000D9840000}"/>
    <cellStyle name="Wrap 2 10 4 4 2" xfId="30970" xr:uid="{00000000-0005-0000-0000-0000DA840000}"/>
    <cellStyle name="Wrap 2 10 4 5" xfId="30971" xr:uid="{00000000-0005-0000-0000-0000DB840000}"/>
    <cellStyle name="Wrap 2 10 4 5 2" xfId="30972" xr:uid="{00000000-0005-0000-0000-0000DC840000}"/>
    <cellStyle name="Wrap 2 10 4 6" xfId="30973" xr:uid="{00000000-0005-0000-0000-0000DD840000}"/>
    <cellStyle name="Wrap 2 10 4 6 2" xfId="30974" xr:uid="{00000000-0005-0000-0000-0000DE840000}"/>
    <cellStyle name="Wrap 2 10 4 7" xfId="30975" xr:uid="{00000000-0005-0000-0000-0000DF840000}"/>
    <cellStyle name="Wrap 2 10 4 7 2" xfId="30976" xr:uid="{00000000-0005-0000-0000-0000E0840000}"/>
    <cellStyle name="Wrap 2 10 4 8" xfId="30977" xr:uid="{00000000-0005-0000-0000-0000E1840000}"/>
    <cellStyle name="Wrap 2 10 4 8 2" xfId="30978" xr:uid="{00000000-0005-0000-0000-0000E2840000}"/>
    <cellStyle name="Wrap 2 10 4 9" xfId="30979" xr:uid="{00000000-0005-0000-0000-0000E3840000}"/>
    <cellStyle name="Wrap 2 10 4 9 2" xfId="30980" xr:uid="{00000000-0005-0000-0000-0000E4840000}"/>
    <cellStyle name="Wrap 2 10 5" xfId="30981" xr:uid="{00000000-0005-0000-0000-0000E5840000}"/>
    <cellStyle name="Wrap 2 10 5 10" xfId="30982" xr:uid="{00000000-0005-0000-0000-0000E6840000}"/>
    <cellStyle name="Wrap 2 10 5 2" xfId="30983" xr:uid="{00000000-0005-0000-0000-0000E7840000}"/>
    <cellStyle name="Wrap 2 10 5 2 2" xfId="30984" xr:uid="{00000000-0005-0000-0000-0000E8840000}"/>
    <cellStyle name="Wrap 2 10 5 3" xfId="30985" xr:uid="{00000000-0005-0000-0000-0000E9840000}"/>
    <cellStyle name="Wrap 2 10 5 3 2" xfId="30986" xr:uid="{00000000-0005-0000-0000-0000EA840000}"/>
    <cellStyle name="Wrap 2 10 5 4" xfId="30987" xr:uid="{00000000-0005-0000-0000-0000EB840000}"/>
    <cellStyle name="Wrap 2 10 5 4 2" xfId="30988" xr:uid="{00000000-0005-0000-0000-0000EC840000}"/>
    <cellStyle name="Wrap 2 10 5 5" xfId="30989" xr:uid="{00000000-0005-0000-0000-0000ED840000}"/>
    <cellStyle name="Wrap 2 10 5 5 2" xfId="30990" xr:uid="{00000000-0005-0000-0000-0000EE840000}"/>
    <cellStyle name="Wrap 2 10 5 6" xfId="30991" xr:uid="{00000000-0005-0000-0000-0000EF840000}"/>
    <cellStyle name="Wrap 2 10 5 6 2" xfId="30992" xr:uid="{00000000-0005-0000-0000-0000F0840000}"/>
    <cellStyle name="Wrap 2 10 5 7" xfId="30993" xr:uid="{00000000-0005-0000-0000-0000F1840000}"/>
    <cellStyle name="Wrap 2 10 5 7 2" xfId="30994" xr:uid="{00000000-0005-0000-0000-0000F2840000}"/>
    <cellStyle name="Wrap 2 10 5 8" xfId="30995" xr:uid="{00000000-0005-0000-0000-0000F3840000}"/>
    <cellStyle name="Wrap 2 10 5 8 2" xfId="30996" xr:uid="{00000000-0005-0000-0000-0000F4840000}"/>
    <cellStyle name="Wrap 2 10 5 9" xfId="30997" xr:uid="{00000000-0005-0000-0000-0000F5840000}"/>
    <cellStyle name="Wrap 2 10 5 9 2" xfId="30998" xr:uid="{00000000-0005-0000-0000-0000F6840000}"/>
    <cellStyle name="Wrap 2 10 6" xfId="30999" xr:uid="{00000000-0005-0000-0000-0000F7840000}"/>
    <cellStyle name="Wrap 2 10 6 10" xfId="31000" xr:uid="{00000000-0005-0000-0000-0000F8840000}"/>
    <cellStyle name="Wrap 2 10 6 2" xfId="31001" xr:uid="{00000000-0005-0000-0000-0000F9840000}"/>
    <cellStyle name="Wrap 2 10 6 2 2" xfId="31002" xr:uid="{00000000-0005-0000-0000-0000FA840000}"/>
    <cellStyle name="Wrap 2 10 6 3" xfId="31003" xr:uid="{00000000-0005-0000-0000-0000FB840000}"/>
    <cellStyle name="Wrap 2 10 6 3 2" xfId="31004" xr:uid="{00000000-0005-0000-0000-0000FC840000}"/>
    <cellStyle name="Wrap 2 10 6 4" xfId="31005" xr:uid="{00000000-0005-0000-0000-0000FD840000}"/>
    <cellStyle name="Wrap 2 10 6 4 2" xfId="31006" xr:uid="{00000000-0005-0000-0000-0000FE840000}"/>
    <cellStyle name="Wrap 2 10 6 5" xfId="31007" xr:uid="{00000000-0005-0000-0000-0000FF840000}"/>
    <cellStyle name="Wrap 2 10 6 5 2" xfId="31008" xr:uid="{00000000-0005-0000-0000-000000850000}"/>
    <cellStyle name="Wrap 2 10 6 6" xfId="31009" xr:uid="{00000000-0005-0000-0000-000001850000}"/>
    <cellStyle name="Wrap 2 10 6 6 2" xfId="31010" xr:uid="{00000000-0005-0000-0000-000002850000}"/>
    <cellStyle name="Wrap 2 10 6 7" xfId="31011" xr:uid="{00000000-0005-0000-0000-000003850000}"/>
    <cellStyle name="Wrap 2 10 6 7 2" xfId="31012" xr:uid="{00000000-0005-0000-0000-000004850000}"/>
    <cellStyle name="Wrap 2 10 6 8" xfId="31013" xr:uid="{00000000-0005-0000-0000-000005850000}"/>
    <cellStyle name="Wrap 2 10 6 8 2" xfId="31014" xr:uid="{00000000-0005-0000-0000-000006850000}"/>
    <cellStyle name="Wrap 2 10 6 9" xfId="31015" xr:uid="{00000000-0005-0000-0000-000007850000}"/>
    <cellStyle name="Wrap 2 10 6 9 2" xfId="31016" xr:uid="{00000000-0005-0000-0000-000008850000}"/>
    <cellStyle name="Wrap 2 10 7" xfId="31017" xr:uid="{00000000-0005-0000-0000-000009850000}"/>
    <cellStyle name="Wrap 2 10 7 10" xfId="31018" xr:uid="{00000000-0005-0000-0000-00000A850000}"/>
    <cellStyle name="Wrap 2 10 7 2" xfId="31019" xr:uid="{00000000-0005-0000-0000-00000B850000}"/>
    <cellStyle name="Wrap 2 10 7 2 2" xfId="31020" xr:uid="{00000000-0005-0000-0000-00000C850000}"/>
    <cellStyle name="Wrap 2 10 7 3" xfId="31021" xr:uid="{00000000-0005-0000-0000-00000D850000}"/>
    <cellStyle name="Wrap 2 10 7 3 2" xfId="31022" xr:uid="{00000000-0005-0000-0000-00000E850000}"/>
    <cellStyle name="Wrap 2 10 7 4" xfId="31023" xr:uid="{00000000-0005-0000-0000-00000F850000}"/>
    <cellStyle name="Wrap 2 10 7 4 2" xfId="31024" xr:uid="{00000000-0005-0000-0000-000010850000}"/>
    <cellStyle name="Wrap 2 10 7 5" xfId="31025" xr:uid="{00000000-0005-0000-0000-000011850000}"/>
    <cellStyle name="Wrap 2 10 7 5 2" xfId="31026" xr:uid="{00000000-0005-0000-0000-000012850000}"/>
    <cellStyle name="Wrap 2 10 7 6" xfId="31027" xr:uid="{00000000-0005-0000-0000-000013850000}"/>
    <cellStyle name="Wrap 2 10 7 6 2" xfId="31028" xr:uid="{00000000-0005-0000-0000-000014850000}"/>
    <cellStyle name="Wrap 2 10 7 7" xfId="31029" xr:uid="{00000000-0005-0000-0000-000015850000}"/>
    <cellStyle name="Wrap 2 10 7 7 2" xfId="31030" xr:uid="{00000000-0005-0000-0000-000016850000}"/>
    <cellStyle name="Wrap 2 10 7 8" xfId="31031" xr:uid="{00000000-0005-0000-0000-000017850000}"/>
    <cellStyle name="Wrap 2 10 7 8 2" xfId="31032" xr:uid="{00000000-0005-0000-0000-000018850000}"/>
    <cellStyle name="Wrap 2 10 7 9" xfId="31033" xr:uid="{00000000-0005-0000-0000-000019850000}"/>
    <cellStyle name="Wrap 2 10 7 9 2" xfId="31034" xr:uid="{00000000-0005-0000-0000-00001A850000}"/>
    <cellStyle name="Wrap 2 10 8" xfId="31035" xr:uid="{00000000-0005-0000-0000-00001B850000}"/>
    <cellStyle name="Wrap 2 10 8 10" xfId="31036" xr:uid="{00000000-0005-0000-0000-00001C850000}"/>
    <cellStyle name="Wrap 2 10 8 2" xfId="31037" xr:uid="{00000000-0005-0000-0000-00001D850000}"/>
    <cellStyle name="Wrap 2 10 8 2 2" xfId="31038" xr:uid="{00000000-0005-0000-0000-00001E850000}"/>
    <cellStyle name="Wrap 2 10 8 3" xfId="31039" xr:uid="{00000000-0005-0000-0000-00001F850000}"/>
    <cellStyle name="Wrap 2 10 8 3 2" xfId="31040" xr:uid="{00000000-0005-0000-0000-000020850000}"/>
    <cellStyle name="Wrap 2 10 8 4" xfId="31041" xr:uid="{00000000-0005-0000-0000-000021850000}"/>
    <cellStyle name="Wrap 2 10 8 4 2" xfId="31042" xr:uid="{00000000-0005-0000-0000-000022850000}"/>
    <cellStyle name="Wrap 2 10 8 5" xfId="31043" xr:uid="{00000000-0005-0000-0000-000023850000}"/>
    <cellStyle name="Wrap 2 10 8 5 2" xfId="31044" xr:uid="{00000000-0005-0000-0000-000024850000}"/>
    <cellStyle name="Wrap 2 10 8 6" xfId="31045" xr:uid="{00000000-0005-0000-0000-000025850000}"/>
    <cellStyle name="Wrap 2 10 8 6 2" xfId="31046" xr:uid="{00000000-0005-0000-0000-000026850000}"/>
    <cellStyle name="Wrap 2 10 8 7" xfId="31047" xr:uid="{00000000-0005-0000-0000-000027850000}"/>
    <cellStyle name="Wrap 2 10 8 7 2" xfId="31048" xr:uid="{00000000-0005-0000-0000-000028850000}"/>
    <cellStyle name="Wrap 2 10 8 8" xfId="31049" xr:uid="{00000000-0005-0000-0000-000029850000}"/>
    <cellStyle name="Wrap 2 10 8 8 2" xfId="31050" xr:uid="{00000000-0005-0000-0000-00002A850000}"/>
    <cellStyle name="Wrap 2 10 8 9" xfId="31051" xr:uid="{00000000-0005-0000-0000-00002B850000}"/>
    <cellStyle name="Wrap 2 10 8 9 2" xfId="31052" xr:uid="{00000000-0005-0000-0000-00002C850000}"/>
    <cellStyle name="Wrap 2 10 9" xfId="31053" xr:uid="{00000000-0005-0000-0000-00002D850000}"/>
    <cellStyle name="Wrap 2 10 9 10" xfId="31054" xr:uid="{00000000-0005-0000-0000-00002E850000}"/>
    <cellStyle name="Wrap 2 10 9 2" xfId="31055" xr:uid="{00000000-0005-0000-0000-00002F850000}"/>
    <cellStyle name="Wrap 2 10 9 2 2" xfId="31056" xr:uid="{00000000-0005-0000-0000-000030850000}"/>
    <cellStyle name="Wrap 2 10 9 3" xfId="31057" xr:uid="{00000000-0005-0000-0000-000031850000}"/>
    <cellStyle name="Wrap 2 10 9 3 2" xfId="31058" xr:uid="{00000000-0005-0000-0000-000032850000}"/>
    <cellStyle name="Wrap 2 10 9 4" xfId="31059" xr:uid="{00000000-0005-0000-0000-000033850000}"/>
    <cellStyle name="Wrap 2 10 9 4 2" xfId="31060" xr:uid="{00000000-0005-0000-0000-000034850000}"/>
    <cellStyle name="Wrap 2 10 9 5" xfId="31061" xr:uid="{00000000-0005-0000-0000-000035850000}"/>
    <cellStyle name="Wrap 2 10 9 5 2" xfId="31062" xr:uid="{00000000-0005-0000-0000-000036850000}"/>
    <cellStyle name="Wrap 2 10 9 6" xfId="31063" xr:uid="{00000000-0005-0000-0000-000037850000}"/>
    <cellStyle name="Wrap 2 10 9 6 2" xfId="31064" xr:uid="{00000000-0005-0000-0000-000038850000}"/>
    <cellStyle name="Wrap 2 10 9 7" xfId="31065" xr:uid="{00000000-0005-0000-0000-000039850000}"/>
    <cellStyle name="Wrap 2 10 9 7 2" xfId="31066" xr:uid="{00000000-0005-0000-0000-00003A850000}"/>
    <cellStyle name="Wrap 2 10 9 8" xfId="31067" xr:uid="{00000000-0005-0000-0000-00003B850000}"/>
    <cellStyle name="Wrap 2 10 9 8 2" xfId="31068" xr:uid="{00000000-0005-0000-0000-00003C850000}"/>
    <cellStyle name="Wrap 2 10 9 9" xfId="31069" xr:uid="{00000000-0005-0000-0000-00003D850000}"/>
    <cellStyle name="Wrap 2 10 9 9 2" xfId="31070" xr:uid="{00000000-0005-0000-0000-00003E850000}"/>
    <cellStyle name="Wrap 2 2" xfId="204" xr:uid="{00000000-0005-0000-0000-00003F850000}"/>
    <cellStyle name="Wrap 2 2 2" xfId="31071" xr:uid="{00000000-0005-0000-0000-000040850000}"/>
    <cellStyle name="Wrap 2 2 2 10" xfId="31072" xr:uid="{00000000-0005-0000-0000-000041850000}"/>
    <cellStyle name="Wrap 2 2 2 10 10" xfId="31073" xr:uid="{00000000-0005-0000-0000-000042850000}"/>
    <cellStyle name="Wrap 2 2 2 10 2" xfId="31074" xr:uid="{00000000-0005-0000-0000-000043850000}"/>
    <cellStyle name="Wrap 2 2 2 10 2 2" xfId="31075" xr:uid="{00000000-0005-0000-0000-000044850000}"/>
    <cellStyle name="Wrap 2 2 2 10 3" xfId="31076" xr:uid="{00000000-0005-0000-0000-000045850000}"/>
    <cellStyle name="Wrap 2 2 2 10 3 2" xfId="31077" xr:uid="{00000000-0005-0000-0000-000046850000}"/>
    <cellStyle name="Wrap 2 2 2 10 4" xfId="31078" xr:uid="{00000000-0005-0000-0000-000047850000}"/>
    <cellStyle name="Wrap 2 2 2 10 4 2" xfId="31079" xr:uid="{00000000-0005-0000-0000-000048850000}"/>
    <cellStyle name="Wrap 2 2 2 10 5" xfId="31080" xr:uid="{00000000-0005-0000-0000-000049850000}"/>
    <cellStyle name="Wrap 2 2 2 10 5 2" xfId="31081" xr:uid="{00000000-0005-0000-0000-00004A850000}"/>
    <cellStyle name="Wrap 2 2 2 10 6" xfId="31082" xr:uid="{00000000-0005-0000-0000-00004B850000}"/>
    <cellStyle name="Wrap 2 2 2 10 6 2" xfId="31083" xr:uid="{00000000-0005-0000-0000-00004C850000}"/>
    <cellStyle name="Wrap 2 2 2 10 7" xfId="31084" xr:uid="{00000000-0005-0000-0000-00004D850000}"/>
    <cellStyle name="Wrap 2 2 2 10 7 2" xfId="31085" xr:uid="{00000000-0005-0000-0000-00004E850000}"/>
    <cellStyle name="Wrap 2 2 2 10 8" xfId="31086" xr:uid="{00000000-0005-0000-0000-00004F850000}"/>
    <cellStyle name="Wrap 2 2 2 10 8 2" xfId="31087" xr:uid="{00000000-0005-0000-0000-000050850000}"/>
    <cellStyle name="Wrap 2 2 2 10 9" xfId="31088" xr:uid="{00000000-0005-0000-0000-000051850000}"/>
    <cellStyle name="Wrap 2 2 2 10 9 2" xfId="31089" xr:uid="{00000000-0005-0000-0000-000052850000}"/>
    <cellStyle name="Wrap 2 2 2 11" xfId="31090" xr:uid="{00000000-0005-0000-0000-000053850000}"/>
    <cellStyle name="Wrap 2 2 2 11 2" xfId="31091" xr:uid="{00000000-0005-0000-0000-000054850000}"/>
    <cellStyle name="Wrap 2 2 2 11 2 2" xfId="31092" xr:uid="{00000000-0005-0000-0000-000055850000}"/>
    <cellStyle name="Wrap 2 2 2 11 3" xfId="31093" xr:uid="{00000000-0005-0000-0000-000056850000}"/>
    <cellStyle name="Wrap 2 2 2 11 3 2" xfId="31094" xr:uid="{00000000-0005-0000-0000-000057850000}"/>
    <cellStyle name="Wrap 2 2 2 11 4" xfId="31095" xr:uid="{00000000-0005-0000-0000-000058850000}"/>
    <cellStyle name="Wrap 2 2 2 11 4 2" xfId="31096" xr:uid="{00000000-0005-0000-0000-000059850000}"/>
    <cellStyle name="Wrap 2 2 2 11 5" xfId="31097" xr:uid="{00000000-0005-0000-0000-00005A850000}"/>
    <cellStyle name="Wrap 2 2 2 11 5 2" xfId="31098" xr:uid="{00000000-0005-0000-0000-00005B850000}"/>
    <cellStyle name="Wrap 2 2 2 11 6" xfId="31099" xr:uid="{00000000-0005-0000-0000-00005C850000}"/>
    <cellStyle name="Wrap 2 2 2 11 6 2" xfId="31100" xr:uid="{00000000-0005-0000-0000-00005D850000}"/>
    <cellStyle name="Wrap 2 2 2 11 7" xfId="31101" xr:uid="{00000000-0005-0000-0000-00005E850000}"/>
    <cellStyle name="Wrap 2 2 2 11 7 2" xfId="31102" xr:uid="{00000000-0005-0000-0000-00005F850000}"/>
    <cellStyle name="Wrap 2 2 2 11 8" xfId="31103" xr:uid="{00000000-0005-0000-0000-000060850000}"/>
    <cellStyle name="Wrap 2 2 2 11 8 2" xfId="31104" xr:uid="{00000000-0005-0000-0000-000061850000}"/>
    <cellStyle name="Wrap 2 2 2 11 9" xfId="31105" xr:uid="{00000000-0005-0000-0000-000062850000}"/>
    <cellStyle name="Wrap 2 2 2 2" xfId="31106" xr:uid="{00000000-0005-0000-0000-000063850000}"/>
    <cellStyle name="Wrap 2 2 2 2 10" xfId="31107" xr:uid="{00000000-0005-0000-0000-000064850000}"/>
    <cellStyle name="Wrap 2 2 2 2 2" xfId="31108" xr:uid="{00000000-0005-0000-0000-000065850000}"/>
    <cellStyle name="Wrap 2 2 2 2 2 2" xfId="31109" xr:uid="{00000000-0005-0000-0000-000066850000}"/>
    <cellStyle name="Wrap 2 2 2 2 3" xfId="31110" xr:uid="{00000000-0005-0000-0000-000067850000}"/>
    <cellStyle name="Wrap 2 2 2 2 3 2" xfId="31111" xr:uid="{00000000-0005-0000-0000-000068850000}"/>
    <cellStyle name="Wrap 2 2 2 2 4" xfId="31112" xr:uid="{00000000-0005-0000-0000-000069850000}"/>
    <cellStyle name="Wrap 2 2 2 2 4 2" xfId="31113" xr:uid="{00000000-0005-0000-0000-00006A850000}"/>
    <cellStyle name="Wrap 2 2 2 2 5" xfId="31114" xr:uid="{00000000-0005-0000-0000-00006B850000}"/>
    <cellStyle name="Wrap 2 2 2 2 5 2" xfId="31115" xr:uid="{00000000-0005-0000-0000-00006C850000}"/>
    <cellStyle name="Wrap 2 2 2 2 6" xfId="31116" xr:uid="{00000000-0005-0000-0000-00006D850000}"/>
    <cellStyle name="Wrap 2 2 2 2 6 2" xfId="31117" xr:uid="{00000000-0005-0000-0000-00006E850000}"/>
    <cellStyle name="Wrap 2 2 2 2 7" xfId="31118" xr:uid="{00000000-0005-0000-0000-00006F850000}"/>
    <cellStyle name="Wrap 2 2 2 2 7 2" xfId="31119" xr:uid="{00000000-0005-0000-0000-000070850000}"/>
    <cellStyle name="Wrap 2 2 2 2 8" xfId="31120" xr:uid="{00000000-0005-0000-0000-000071850000}"/>
    <cellStyle name="Wrap 2 2 2 2 8 2" xfId="31121" xr:uid="{00000000-0005-0000-0000-000072850000}"/>
    <cellStyle name="Wrap 2 2 2 2 9" xfId="31122" xr:uid="{00000000-0005-0000-0000-000073850000}"/>
    <cellStyle name="Wrap 2 2 2 2 9 2" xfId="31123" xr:uid="{00000000-0005-0000-0000-000074850000}"/>
    <cellStyle name="Wrap 2 2 2 3" xfId="31124" xr:uid="{00000000-0005-0000-0000-000075850000}"/>
    <cellStyle name="Wrap 2 2 2 3 10" xfId="31125" xr:uid="{00000000-0005-0000-0000-000076850000}"/>
    <cellStyle name="Wrap 2 2 2 3 2" xfId="31126" xr:uid="{00000000-0005-0000-0000-000077850000}"/>
    <cellStyle name="Wrap 2 2 2 3 2 2" xfId="31127" xr:uid="{00000000-0005-0000-0000-000078850000}"/>
    <cellStyle name="Wrap 2 2 2 3 3" xfId="31128" xr:uid="{00000000-0005-0000-0000-000079850000}"/>
    <cellStyle name="Wrap 2 2 2 3 3 2" xfId="31129" xr:uid="{00000000-0005-0000-0000-00007A850000}"/>
    <cellStyle name="Wrap 2 2 2 3 4" xfId="31130" xr:uid="{00000000-0005-0000-0000-00007B850000}"/>
    <cellStyle name="Wrap 2 2 2 3 4 2" xfId="31131" xr:uid="{00000000-0005-0000-0000-00007C850000}"/>
    <cellStyle name="Wrap 2 2 2 3 5" xfId="31132" xr:uid="{00000000-0005-0000-0000-00007D850000}"/>
    <cellStyle name="Wrap 2 2 2 3 5 2" xfId="31133" xr:uid="{00000000-0005-0000-0000-00007E850000}"/>
    <cellStyle name="Wrap 2 2 2 3 6" xfId="31134" xr:uid="{00000000-0005-0000-0000-00007F850000}"/>
    <cellStyle name="Wrap 2 2 2 3 6 2" xfId="31135" xr:uid="{00000000-0005-0000-0000-000080850000}"/>
    <cellStyle name="Wrap 2 2 2 3 7" xfId="31136" xr:uid="{00000000-0005-0000-0000-000081850000}"/>
    <cellStyle name="Wrap 2 2 2 3 7 2" xfId="31137" xr:uid="{00000000-0005-0000-0000-000082850000}"/>
    <cellStyle name="Wrap 2 2 2 3 8" xfId="31138" xr:uid="{00000000-0005-0000-0000-000083850000}"/>
    <cellStyle name="Wrap 2 2 2 3 8 2" xfId="31139" xr:uid="{00000000-0005-0000-0000-000084850000}"/>
    <cellStyle name="Wrap 2 2 2 3 9" xfId="31140" xr:uid="{00000000-0005-0000-0000-000085850000}"/>
    <cellStyle name="Wrap 2 2 2 3 9 2" xfId="31141" xr:uid="{00000000-0005-0000-0000-000086850000}"/>
    <cellStyle name="Wrap 2 2 2 4" xfId="31142" xr:uid="{00000000-0005-0000-0000-000087850000}"/>
    <cellStyle name="Wrap 2 2 2 4 10" xfId="31143" xr:uid="{00000000-0005-0000-0000-000088850000}"/>
    <cellStyle name="Wrap 2 2 2 4 2" xfId="31144" xr:uid="{00000000-0005-0000-0000-000089850000}"/>
    <cellStyle name="Wrap 2 2 2 4 2 2" xfId="31145" xr:uid="{00000000-0005-0000-0000-00008A850000}"/>
    <cellStyle name="Wrap 2 2 2 4 3" xfId="31146" xr:uid="{00000000-0005-0000-0000-00008B850000}"/>
    <cellStyle name="Wrap 2 2 2 4 3 2" xfId="31147" xr:uid="{00000000-0005-0000-0000-00008C850000}"/>
    <cellStyle name="Wrap 2 2 2 4 4" xfId="31148" xr:uid="{00000000-0005-0000-0000-00008D850000}"/>
    <cellStyle name="Wrap 2 2 2 4 4 2" xfId="31149" xr:uid="{00000000-0005-0000-0000-00008E850000}"/>
    <cellStyle name="Wrap 2 2 2 4 5" xfId="31150" xr:uid="{00000000-0005-0000-0000-00008F850000}"/>
    <cellStyle name="Wrap 2 2 2 4 5 2" xfId="31151" xr:uid="{00000000-0005-0000-0000-000090850000}"/>
    <cellStyle name="Wrap 2 2 2 4 6" xfId="31152" xr:uid="{00000000-0005-0000-0000-000091850000}"/>
    <cellStyle name="Wrap 2 2 2 4 6 2" xfId="31153" xr:uid="{00000000-0005-0000-0000-000092850000}"/>
    <cellStyle name="Wrap 2 2 2 4 7" xfId="31154" xr:uid="{00000000-0005-0000-0000-000093850000}"/>
    <cellStyle name="Wrap 2 2 2 4 7 2" xfId="31155" xr:uid="{00000000-0005-0000-0000-000094850000}"/>
    <cellStyle name="Wrap 2 2 2 4 8" xfId="31156" xr:uid="{00000000-0005-0000-0000-000095850000}"/>
    <cellStyle name="Wrap 2 2 2 4 8 2" xfId="31157" xr:uid="{00000000-0005-0000-0000-000096850000}"/>
    <cellStyle name="Wrap 2 2 2 4 9" xfId="31158" xr:uid="{00000000-0005-0000-0000-000097850000}"/>
    <cellStyle name="Wrap 2 2 2 4 9 2" xfId="31159" xr:uid="{00000000-0005-0000-0000-000098850000}"/>
    <cellStyle name="Wrap 2 2 2 5" xfId="31160" xr:uid="{00000000-0005-0000-0000-000099850000}"/>
    <cellStyle name="Wrap 2 2 2 5 10" xfId="31161" xr:uid="{00000000-0005-0000-0000-00009A850000}"/>
    <cellStyle name="Wrap 2 2 2 5 2" xfId="31162" xr:uid="{00000000-0005-0000-0000-00009B850000}"/>
    <cellStyle name="Wrap 2 2 2 5 2 2" xfId="31163" xr:uid="{00000000-0005-0000-0000-00009C850000}"/>
    <cellStyle name="Wrap 2 2 2 5 3" xfId="31164" xr:uid="{00000000-0005-0000-0000-00009D850000}"/>
    <cellStyle name="Wrap 2 2 2 5 3 2" xfId="31165" xr:uid="{00000000-0005-0000-0000-00009E850000}"/>
    <cellStyle name="Wrap 2 2 2 5 4" xfId="31166" xr:uid="{00000000-0005-0000-0000-00009F850000}"/>
    <cellStyle name="Wrap 2 2 2 5 4 2" xfId="31167" xr:uid="{00000000-0005-0000-0000-0000A0850000}"/>
    <cellStyle name="Wrap 2 2 2 5 5" xfId="31168" xr:uid="{00000000-0005-0000-0000-0000A1850000}"/>
    <cellStyle name="Wrap 2 2 2 5 5 2" xfId="31169" xr:uid="{00000000-0005-0000-0000-0000A2850000}"/>
    <cellStyle name="Wrap 2 2 2 5 6" xfId="31170" xr:uid="{00000000-0005-0000-0000-0000A3850000}"/>
    <cellStyle name="Wrap 2 2 2 5 6 2" xfId="31171" xr:uid="{00000000-0005-0000-0000-0000A4850000}"/>
    <cellStyle name="Wrap 2 2 2 5 7" xfId="31172" xr:uid="{00000000-0005-0000-0000-0000A5850000}"/>
    <cellStyle name="Wrap 2 2 2 5 7 2" xfId="31173" xr:uid="{00000000-0005-0000-0000-0000A6850000}"/>
    <cellStyle name="Wrap 2 2 2 5 8" xfId="31174" xr:uid="{00000000-0005-0000-0000-0000A7850000}"/>
    <cellStyle name="Wrap 2 2 2 5 8 2" xfId="31175" xr:uid="{00000000-0005-0000-0000-0000A8850000}"/>
    <cellStyle name="Wrap 2 2 2 5 9" xfId="31176" xr:uid="{00000000-0005-0000-0000-0000A9850000}"/>
    <cellStyle name="Wrap 2 2 2 5 9 2" xfId="31177" xr:uid="{00000000-0005-0000-0000-0000AA850000}"/>
    <cellStyle name="Wrap 2 2 2 6" xfId="31178" xr:uid="{00000000-0005-0000-0000-0000AB850000}"/>
    <cellStyle name="Wrap 2 2 2 6 10" xfId="31179" xr:uid="{00000000-0005-0000-0000-0000AC850000}"/>
    <cellStyle name="Wrap 2 2 2 6 2" xfId="31180" xr:uid="{00000000-0005-0000-0000-0000AD850000}"/>
    <cellStyle name="Wrap 2 2 2 6 2 2" xfId="31181" xr:uid="{00000000-0005-0000-0000-0000AE850000}"/>
    <cellStyle name="Wrap 2 2 2 6 3" xfId="31182" xr:uid="{00000000-0005-0000-0000-0000AF850000}"/>
    <cellStyle name="Wrap 2 2 2 6 3 2" xfId="31183" xr:uid="{00000000-0005-0000-0000-0000B0850000}"/>
    <cellStyle name="Wrap 2 2 2 6 4" xfId="31184" xr:uid="{00000000-0005-0000-0000-0000B1850000}"/>
    <cellStyle name="Wrap 2 2 2 6 4 2" xfId="31185" xr:uid="{00000000-0005-0000-0000-0000B2850000}"/>
    <cellStyle name="Wrap 2 2 2 6 5" xfId="31186" xr:uid="{00000000-0005-0000-0000-0000B3850000}"/>
    <cellStyle name="Wrap 2 2 2 6 5 2" xfId="31187" xr:uid="{00000000-0005-0000-0000-0000B4850000}"/>
    <cellStyle name="Wrap 2 2 2 6 6" xfId="31188" xr:uid="{00000000-0005-0000-0000-0000B5850000}"/>
    <cellStyle name="Wrap 2 2 2 6 6 2" xfId="31189" xr:uid="{00000000-0005-0000-0000-0000B6850000}"/>
    <cellStyle name="Wrap 2 2 2 6 7" xfId="31190" xr:uid="{00000000-0005-0000-0000-0000B7850000}"/>
    <cellStyle name="Wrap 2 2 2 6 7 2" xfId="31191" xr:uid="{00000000-0005-0000-0000-0000B8850000}"/>
    <cellStyle name="Wrap 2 2 2 6 8" xfId="31192" xr:uid="{00000000-0005-0000-0000-0000B9850000}"/>
    <cellStyle name="Wrap 2 2 2 6 8 2" xfId="31193" xr:uid="{00000000-0005-0000-0000-0000BA850000}"/>
    <cellStyle name="Wrap 2 2 2 6 9" xfId="31194" xr:uid="{00000000-0005-0000-0000-0000BB850000}"/>
    <cellStyle name="Wrap 2 2 2 6 9 2" xfId="31195" xr:uid="{00000000-0005-0000-0000-0000BC850000}"/>
    <cellStyle name="Wrap 2 2 2 7" xfId="31196" xr:uid="{00000000-0005-0000-0000-0000BD850000}"/>
    <cellStyle name="Wrap 2 2 2 7 10" xfId="31197" xr:uid="{00000000-0005-0000-0000-0000BE850000}"/>
    <cellStyle name="Wrap 2 2 2 7 2" xfId="31198" xr:uid="{00000000-0005-0000-0000-0000BF850000}"/>
    <cellStyle name="Wrap 2 2 2 7 2 2" xfId="31199" xr:uid="{00000000-0005-0000-0000-0000C0850000}"/>
    <cellStyle name="Wrap 2 2 2 7 3" xfId="31200" xr:uid="{00000000-0005-0000-0000-0000C1850000}"/>
    <cellStyle name="Wrap 2 2 2 7 3 2" xfId="31201" xr:uid="{00000000-0005-0000-0000-0000C2850000}"/>
    <cellStyle name="Wrap 2 2 2 7 4" xfId="31202" xr:uid="{00000000-0005-0000-0000-0000C3850000}"/>
    <cellStyle name="Wrap 2 2 2 7 4 2" xfId="31203" xr:uid="{00000000-0005-0000-0000-0000C4850000}"/>
    <cellStyle name="Wrap 2 2 2 7 5" xfId="31204" xr:uid="{00000000-0005-0000-0000-0000C5850000}"/>
    <cellStyle name="Wrap 2 2 2 7 5 2" xfId="31205" xr:uid="{00000000-0005-0000-0000-0000C6850000}"/>
    <cellStyle name="Wrap 2 2 2 7 6" xfId="31206" xr:uid="{00000000-0005-0000-0000-0000C7850000}"/>
    <cellStyle name="Wrap 2 2 2 7 6 2" xfId="31207" xr:uid="{00000000-0005-0000-0000-0000C8850000}"/>
    <cellStyle name="Wrap 2 2 2 7 7" xfId="31208" xr:uid="{00000000-0005-0000-0000-0000C9850000}"/>
    <cellStyle name="Wrap 2 2 2 7 7 2" xfId="31209" xr:uid="{00000000-0005-0000-0000-0000CA850000}"/>
    <cellStyle name="Wrap 2 2 2 7 8" xfId="31210" xr:uid="{00000000-0005-0000-0000-0000CB850000}"/>
    <cellStyle name="Wrap 2 2 2 7 8 2" xfId="31211" xr:uid="{00000000-0005-0000-0000-0000CC850000}"/>
    <cellStyle name="Wrap 2 2 2 7 9" xfId="31212" xr:uid="{00000000-0005-0000-0000-0000CD850000}"/>
    <cellStyle name="Wrap 2 2 2 7 9 2" xfId="31213" xr:uid="{00000000-0005-0000-0000-0000CE850000}"/>
    <cellStyle name="Wrap 2 2 2 8" xfId="31214" xr:uid="{00000000-0005-0000-0000-0000CF850000}"/>
    <cellStyle name="Wrap 2 2 2 8 10" xfId="31215" xr:uid="{00000000-0005-0000-0000-0000D0850000}"/>
    <cellStyle name="Wrap 2 2 2 8 2" xfId="31216" xr:uid="{00000000-0005-0000-0000-0000D1850000}"/>
    <cellStyle name="Wrap 2 2 2 8 2 2" xfId="31217" xr:uid="{00000000-0005-0000-0000-0000D2850000}"/>
    <cellStyle name="Wrap 2 2 2 8 3" xfId="31218" xr:uid="{00000000-0005-0000-0000-0000D3850000}"/>
    <cellStyle name="Wrap 2 2 2 8 3 2" xfId="31219" xr:uid="{00000000-0005-0000-0000-0000D4850000}"/>
    <cellStyle name="Wrap 2 2 2 8 4" xfId="31220" xr:uid="{00000000-0005-0000-0000-0000D5850000}"/>
    <cellStyle name="Wrap 2 2 2 8 4 2" xfId="31221" xr:uid="{00000000-0005-0000-0000-0000D6850000}"/>
    <cellStyle name="Wrap 2 2 2 8 5" xfId="31222" xr:uid="{00000000-0005-0000-0000-0000D7850000}"/>
    <cellStyle name="Wrap 2 2 2 8 5 2" xfId="31223" xr:uid="{00000000-0005-0000-0000-0000D8850000}"/>
    <cellStyle name="Wrap 2 2 2 8 6" xfId="31224" xr:uid="{00000000-0005-0000-0000-0000D9850000}"/>
    <cellStyle name="Wrap 2 2 2 8 6 2" xfId="31225" xr:uid="{00000000-0005-0000-0000-0000DA850000}"/>
    <cellStyle name="Wrap 2 2 2 8 7" xfId="31226" xr:uid="{00000000-0005-0000-0000-0000DB850000}"/>
    <cellStyle name="Wrap 2 2 2 8 7 2" xfId="31227" xr:uid="{00000000-0005-0000-0000-0000DC850000}"/>
    <cellStyle name="Wrap 2 2 2 8 8" xfId="31228" xr:uid="{00000000-0005-0000-0000-0000DD850000}"/>
    <cellStyle name="Wrap 2 2 2 8 8 2" xfId="31229" xr:uid="{00000000-0005-0000-0000-0000DE850000}"/>
    <cellStyle name="Wrap 2 2 2 8 9" xfId="31230" xr:uid="{00000000-0005-0000-0000-0000DF850000}"/>
    <cellStyle name="Wrap 2 2 2 8 9 2" xfId="31231" xr:uid="{00000000-0005-0000-0000-0000E0850000}"/>
    <cellStyle name="Wrap 2 2 2 9" xfId="31232" xr:uid="{00000000-0005-0000-0000-0000E1850000}"/>
    <cellStyle name="Wrap 2 2 2 9 10" xfId="31233" xr:uid="{00000000-0005-0000-0000-0000E2850000}"/>
    <cellStyle name="Wrap 2 2 2 9 2" xfId="31234" xr:uid="{00000000-0005-0000-0000-0000E3850000}"/>
    <cellStyle name="Wrap 2 2 2 9 2 2" xfId="31235" xr:uid="{00000000-0005-0000-0000-0000E4850000}"/>
    <cellStyle name="Wrap 2 2 2 9 3" xfId="31236" xr:uid="{00000000-0005-0000-0000-0000E5850000}"/>
    <cellStyle name="Wrap 2 2 2 9 3 2" xfId="31237" xr:uid="{00000000-0005-0000-0000-0000E6850000}"/>
    <cellStyle name="Wrap 2 2 2 9 4" xfId="31238" xr:uid="{00000000-0005-0000-0000-0000E7850000}"/>
    <cellStyle name="Wrap 2 2 2 9 4 2" xfId="31239" xr:uid="{00000000-0005-0000-0000-0000E8850000}"/>
    <cellStyle name="Wrap 2 2 2 9 5" xfId="31240" xr:uid="{00000000-0005-0000-0000-0000E9850000}"/>
    <cellStyle name="Wrap 2 2 2 9 5 2" xfId="31241" xr:uid="{00000000-0005-0000-0000-0000EA850000}"/>
    <cellStyle name="Wrap 2 2 2 9 6" xfId="31242" xr:uid="{00000000-0005-0000-0000-0000EB850000}"/>
    <cellStyle name="Wrap 2 2 2 9 6 2" xfId="31243" xr:uid="{00000000-0005-0000-0000-0000EC850000}"/>
    <cellStyle name="Wrap 2 2 2 9 7" xfId="31244" xr:uid="{00000000-0005-0000-0000-0000ED850000}"/>
    <cellStyle name="Wrap 2 2 2 9 7 2" xfId="31245" xr:uid="{00000000-0005-0000-0000-0000EE850000}"/>
    <cellStyle name="Wrap 2 2 2 9 8" xfId="31246" xr:uid="{00000000-0005-0000-0000-0000EF850000}"/>
    <cellStyle name="Wrap 2 2 2 9 8 2" xfId="31247" xr:uid="{00000000-0005-0000-0000-0000F0850000}"/>
    <cellStyle name="Wrap 2 2 2 9 9" xfId="31248" xr:uid="{00000000-0005-0000-0000-0000F1850000}"/>
    <cellStyle name="Wrap 2 2 2 9 9 2" xfId="31249" xr:uid="{00000000-0005-0000-0000-0000F2850000}"/>
    <cellStyle name="Wrap 2 2 3" xfId="31250" xr:uid="{00000000-0005-0000-0000-0000F3850000}"/>
    <cellStyle name="Wrap 2 2 3 10" xfId="31251" xr:uid="{00000000-0005-0000-0000-0000F4850000}"/>
    <cellStyle name="Wrap 2 2 3 10 10" xfId="31252" xr:uid="{00000000-0005-0000-0000-0000F5850000}"/>
    <cellStyle name="Wrap 2 2 3 10 2" xfId="31253" xr:uid="{00000000-0005-0000-0000-0000F6850000}"/>
    <cellStyle name="Wrap 2 2 3 10 2 2" xfId="31254" xr:uid="{00000000-0005-0000-0000-0000F7850000}"/>
    <cellStyle name="Wrap 2 2 3 10 3" xfId="31255" xr:uid="{00000000-0005-0000-0000-0000F8850000}"/>
    <cellStyle name="Wrap 2 2 3 10 3 2" xfId="31256" xr:uid="{00000000-0005-0000-0000-0000F9850000}"/>
    <cellStyle name="Wrap 2 2 3 10 4" xfId="31257" xr:uid="{00000000-0005-0000-0000-0000FA850000}"/>
    <cellStyle name="Wrap 2 2 3 10 4 2" xfId="31258" xr:uid="{00000000-0005-0000-0000-0000FB850000}"/>
    <cellStyle name="Wrap 2 2 3 10 5" xfId="31259" xr:uid="{00000000-0005-0000-0000-0000FC850000}"/>
    <cellStyle name="Wrap 2 2 3 10 5 2" xfId="31260" xr:uid="{00000000-0005-0000-0000-0000FD850000}"/>
    <cellStyle name="Wrap 2 2 3 10 6" xfId="31261" xr:uid="{00000000-0005-0000-0000-0000FE850000}"/>
    <cellStyle name="Wrap 2 2 3 10 6 2" xfId="31262" xr:uid="{00000000-0005-0000-0000-0000FF850000}"/>
    <cellStyle name="Wrap 2 2 3 10 7" xfId="31263" xr:uid="{00000000-0005-0000-0000-000000860000}"/>
    <cellStyle name="Wrap 2 2 3 10 7 2" xfId="31264" xr:uid="{00000000-0005-0000-0000-000001860000}"/>
    <cellStyle name="Wrap 2 2 3 10 8" xfId="31265" xr:uid="{00000000-0005-0000-0000-000002860000}"/>
    <cellStyle name="Wrap 2 2 3 10 8 2" xfId="31266" xr:uid="{00000000-0005-0000-0000-000003860000}"/>
    <cellStyle name="Wrap 2 2 3 10 9" xfId="31267" xr:uid="{00000000-0005-0000-0000-000004860000}"/>
    <cellStyle name="Wrap 2 2 3 10 9 2" xfId="31268" xr:uid="{00000000-0005-0000-0000-000005860000}"/>
    <cellStyle name="Wrap 2 2 3 11" xfId="31269" xr:uid="{00000000-0005-0000-0000-000006860000}"/>
    <cellStyle name="Wrap 2 2 3 11 2" xfId="31270" xr:uid="{00000000-0005-0000-0000-000007860000}"/>
    <cellStyle name="Wrap 2 2 3 11 2 2" xfId="31271" xr:uid="{00000000-0005-0000-0000-000008860000}"/>
    <cellStyle name="Wrap 2 2 3 11 3" xfId="31272" xr:uid="{00000000-0005-0000-0000-000009860000}"/>
    <cellStyle name="Wrap 2 2 3 11 3 2" xfId="31273" xr:uid="{00000000-0005-0000-0000-00000A860000}"/>
    <cellStyle name="Wrap 2 2 3 11 4" xfId="31274" xr:uid="{00000000-0005-0000-0000-00000B860000}"/>
    <cellStyle name="Wrap 2 2 3 11 4 2" xfId="31275" xr:uid="{00000000-0005-0000-0000-00000C860000}"/>
    <cellStyle name="Wrap 2 2 3 11 5" xfId="31276" xr:uid="{00000000-0005-0000-0000-00000D860000}"/>
    <cellStyle name="Wrap 2 2 3 11 5 2" xfId="31277" xr:uid="{00000000-0005-0000-0000-00000E860000}"/>
    <cellStyle name="Wrap 2 2 3 11 6" xfId="31278" xr:uid="{00000000-0005-0000-0000-00000F860000}"/>
    <cellStyle name="Wrap 2 2 3 11 6 2" xfId="31279" xr:uid="{00000000-0005-0000-0000-000010860000}"/>
    <cellStyle name="Wrap 2 2 3 11 7" xfId="31280" xr:uid="{00000000-0005-0000-0000-000011860000}"/>
    <cellStyle name="Wrap 2 2 3 11 7 2" xfId="31281" xr:uid="{00000000-0005-0000-0000-000012860000}"/>
    <cellStyle name="Wrap 2 2 3 11 8" xfId="31282" xr:uid="{00000000-0005-0000-0000-000013860000}"/>
    <cellStyle name="Wrap 2 2 3 11 8 2" xfId="31283" xr:uid="{00000000-0005-0000-0000-000014860000}"/>
    <cellStyle name="Wrap 2 2 3 11 9" xfId="31284" xr:uid="{00000000-0005-0000-0000-000015860000}"/>
    <cellStyle name="Wrap 2 2 3 2" xfId="31285" xr:uid="{00000000-0005-0000-0000-000016860000}"/>
    <cellStyle name="Wrap 2 2 3 2 10" xfId="31286" xr:uid="{00000000-0005-0000-0000-000017860000}"/>
    <cellStyle name="Wrap 2 2 3 2 2" xfId="31287" xr:uid="{00000000-0005-0000-0000-000018860000}"/>
    <cellStyle name="Wrap 2 2 3 2 2 2" xfId="31288" xr:uid="{00000000-0005-0000-0000-000019860000}"/>
    <cellStyle name="Wrap 2 2 3 2 3" xfId="31289" xr:uid="{00000000-0005-0000-0000-00001A860000}"/>
    <cellStyle name="Wrap 2 2 3 2 3 2" xfId="31290" xr:uid="{00000000-0005-0000-0000-00001B860000}"/>
    <cellStyle name="Wrap 2 2 3 2 4" xfId="31291" xr:uid="{00000000-0005-0000-0000-00001C860000}"/>
    <cellStyle name="Wrap 2 2 3 2 4 2" xfId="31292" xr:uid="{00000000-0005-0000-0000-00001D860000}"/>
    <cellStyle name="Wrap 2 2 3 2 5" xfId="31293" xr:uid="{00000000-0005-0000-0000-00001E860000}"/>
    <cellStyle name="Wrap 2 2 3 2 5 2" xfId="31294" xr:uid="{00000000-0005-0000-0000-00001F860000}"/>
    <cellStyle name="Wrap 2 2 3 2 6" xfId="31295" xr:uid="{00000000-0005-0000-0000-000020860000}"/>
    <cellStyle name="Wrap 2 2 3 2 6 2" xfId="31296" xr:uid="{00000000-0005-0000-0000-000021860000}"/>
    <cellStyle name="Wrap 2 2 3 2 7" xfId="31297" xr:uid="{00000000-0005-0000-0000-000022860000}"/>
    <cellStyle name="Wrap 2 2 3 2 7 2" xfId="31298" xr:uid="{00000000-0005-0000-0000-000023860000}"/>
    <cellStyle name="Wrap 2 2 3 2 8" xfId="31299" xr:uid="{00000000-0005-0000-0000-000024860000}"/>
    <cellStyle name="Wrap 2 2 3 2 8 2" xfId="31300" xr:uid="{00000000-0005-0000-0000-000025860000}"/>
    <cellStyle name="Wrap 2 2 3 2 9" xfId="31301" xr:uid="{00000000-0005-0000-0000-000026860000}"/>
    <cellStyle name="Wrap 2 2 3 2 9 2" xfId="31302" xr:uid="{00000000-0005-0000-0000-000027860000}"/>
    <cellStyle name="Wrap 2 2 3 3" xfId="31303" xr:uid="{00000000-0005-0000-0000-000028860000}"/>
    <cellStyle name="Wrap 2 2 3 3 10" xfId="31304" xr:uid="{00000000-0005-0000-0000-000029860000}"/>
    <cellStyle name="Wrap 2 2 3 3 2" xfId="31305" xr:uid="{00000000-0005-0000-0000-00002A860000}"/>
    <cellStyle name="Wrap 2 2 3 3 2 2" xfId="31306" xr:uid="{00000000-0005-0000-0000-00002B860000}"/>
    <cellStyle name="Wrap 2 2 3 3 3" xfId="31307" xr:uid="{00000000-0005-0000-0000-00002C860000}"/>
    <cellStyle name="Wrap 2 2 3 3 3 2" xfId="31308" xr:uid="{00000000-0005-0000-0000-00002D860000}"/>
    <cellStyle name="Wrap 2 2 3 3 4" xfId="31309" xr:uid="{00000000-0005-0000-0000-00002E860000}"/>
    <cellStyle name="Wrap 2 2 3 3 4 2" xfId="31310" xr:uid="{00000000-0005-0000-0000-00002F860000}"/>
    <cellStyle name="Wrap 2 2 3 3 5" xfId="31311" xr:uid="{00000000-0005-0000-0000-000030860000}"/>
    <cellStyle name="Wrap 2 2 3 3 5 2" xfId="31312" xr:uid="{00000000-0005-0000-0000-000031860000}"/>
    <cellStyle name="Wrap 2 2 3 3 6" xfId="31313" xr:uid="{00000000-0005-0000-0000-000032860000}"/>
    <cellStyle name="Wrap 2 2 3 3 6 2" xfId="31314" xr:uid="{00000000-0005-0000-0000-000033860000}"/>
    <cellStyle name="Wrap 2 2 3 3 7" xfId="31315" xr:uid="{00000000-0005-0000-0000-000034860000}"/>
    <cellStyle name="Wrap 2 2 3 3 7 2" xfId="31316" xr:uid="{00000000-0005-0000-0000-000035860000}"/>
    <cellStyle name="Wrap 2 2 3 3 8" xfId="31317" xr:uid="{00000000-0005-0000-0000-000036860000}"/>
    <cellStyle name="Wrap 2 2 3 3 8 2" xfId="31318" xr:uid="{00000000-0005-0000-0000-000037860000}"/>
    <cellStyle name="Wrap 2 2 3 3 9" xfId="31319" xr:uid="{00000000-0005-0000-0000-000038860000}"/>
    <cellStyle name="Wrap 2 2 3 3 9 2" xfId="31320" xr:uid="{00000000-0005-0000-0000-000039860000}"/>
    <cellStyle name="Wrap 2 2 3 4" xfId="31321" xr:uid="{00000000-0005-0000-0000-00003A860000}"/>
    <cellStyle name="Wrap 2 2 3 4 10" xfId="31322" xr:uid="{00000000-0005-0000-0000-00003B860000}"/>
    <cellStyle name="Wrap 2 2 3 4 2" xfId="31323" xr:uid="{00000000-0005-0000-0000-00003C860000}"/>
    <cellStyle name="Wrap 2 2 3 4 2 2" xfId="31324" xr:uid="{00000000-0005-0000-0000-00003D860000}"/>
    <cellStyle name="Wrap 2 2 3 4 3" xfId="31325" xr:uid="{00000000-0005-0000-0000-00003E860000}"/>
    <cellStyle name="Wrap 2 2 3 4 3 2" xfId="31326" xr:uid="{00000000-0005-0000-0000-00003F860000}"/>
    <cellStyle name="Wrap 2 2 3 4 4" xfId="31327" xr:uid="{00000000-0005-0000-0000-000040860000}"/>
    <cellStyle name="Wrap 2 2 3 4 4 2" xfId="31328" xr:uid="{00000000-0005-0000-0000-000041860000}"/>
    <cellStyle name="Wrap 2 2 3 4 5" xfId="31329" xr:uid="{00000000-0005-0000-0000-000042860000}"/>
    <cellStyle name="Wrap 2 2 3 4 5 2" xfId="31330" xr:uid="{00000000-0005-0000-0000-000043860000}"/>
    <cellStyle name="Wrap 2 2 3 4 6" xfId="31331" xr:uid="{00000000-0005-0000-0000-000044860000}"/>
    <cellStyle name="Wrap 2 2 3 4 6 2" xfId="31332" xr:uid="{00000000-0005-0000-0000-000045860000}"/>
    <cellStyle name="Wrap 2 2 3 4 7" xfId="31333" xr:uid="{00000000-0005-0000-0000-000046860000}"/>
    <cellStyle name="Wrap 2 2 3 4 7 2" xfId="31334" xr:uid="{00000000-0005-0000-0000-000047860000}"/>
    <cellStyle name="Wrap 2 2 3 4 8" xfId="31335" xr:uid="{00000000-0005-0000-0000-000048860000}"/>
    <cellStyle name="Wrap 2 2 3 4 8 2" xfId="31336" xr:uid="{00000000-0005-0000-0000-000049860000}"/>
    <cellStyle name="Wrap 2 2 3 4 9" xfId="31337" xr:uid="{00000000-0005-0000-0000-00004A860000}"/>
    <cellStyle name="Wrap 2 2 3 4 9 2" xfId="31338" xr:uid="{00000000-0005-0000-0000-00004B860000}"/>
    <cellStyle name="Wrap 2 2 3 5" xfId="31339" xr:uid="{00000000-0005-0000-0000-00004C860000}"/>
    <cellStyle name="Wrap 2 2 3 5 10" xfId="31340" xr:uid="{00000000-0005-0000-0000-00004D860000}"/>
    <cellStyle name="Wrap 2 2 3 5 2" xfId="31341" xr:uid="{00000000-0005-0000-0000-00004E860000}"/>
    <cellStyle name="Wrap 2 2 3 5 2 2" xfId="31342" xr:uid="{00000000-0005-0000-0000-00004F860000}"/>
    <cellStyle name="Wrap 2 2 3 5 3" xfId="31343" xr:uid="{00000000-0005-0000-0000-000050860000}"/>
    <cellStyle name="Wrap 2 2 3 5 3 2" xfId="31344" xr:uid="{00000000-0005-0000-0000-000051860000}"/>
    <cellStyle name="Wrap 2 2 3 5 4" xfId="31345" xr:uid="{00000000-0005-0000-0000-000052860000}"/>
    <cellStyle name="Wrap 2 2 3 5 4 2" xfId="31346" xr:uid="{00000000-0005-0000-0000-000053860000}"/>
    <cellStyle name="Wrap 2 2 3 5 5" xfId="31347" xr:uid="{00000000-0005-0000-0000-000054860000}"/>
    <cellStyle name="Wrap 2 2 3 5 5 2" xfId="31348" xr:uid="{00000000-0005-0000-0000-000055860000}"/>
    <cellStyle name="Wrap 2 2 3 5 6" xfId="31349" xr:uid="{00000000-0005-0000-0000-000056860000}"/>
    <cellStyle name="Wrap 2 2 3 5 6 2" xfId="31350" xr:uid="{00000000-0005-0000-0000-000057860000}"/>
    <cellStyle name="Wrap 2 2 3 5 7" xfId="31351" xr:uid="{00000000-0005-0000-0000-000058860000}"/>
    <cellStyle name="Wrap 2 2 3 5 7 2" xfId="31352" xr:uid="{00000000-0005-0000-0000-000059860000}"/>
    <cellStyle name="Wrap 2 2 3 5 8" xfId="31353" xr:uid="{00000000-0005-0000-0000-00005A860000}"/>
    <cellStyle name="Wrap 2 2 3 5 8 2" xfId="31354" xr:uid="{00000000-0005-0000-0000-00005B860000}"/>
    <cellStyle name="Wrap 2 2 3 5 9" xfId="31355" xr:uid="{00000000-0005-0000-0000-00005C860000}"/>
    <cellStyle name="Wrap 2 2 3 5 9 2" xfId="31356" xr:uid="{00000000-0005-0000-0000-00005D860000}"/>
    <cellStyle name="Wrap 2 2 3 6" xfId="31357" xr:uid="{00000000-0005-0000-0000-00005E860000}"/>
    <cellStyle name="Wrap 2 2 3 6 10" xfId="31358" xr:uid="{00000000-0005-0000-0000-00005F860000}"/>
    <cellStyle name="Wrap 2 2 3 6 2" xfId="31359" xr:uid="{00000000-0005-0000-0000-000060860000}"/>
    <cellStyle name="Wrap 2 2 3 6 2 2" xfId="31360" xr:uid="{00000000-0005-0000-0000-000061860000}"/>
    <cellStyle name="Wrap 2 2 3 6 3" xfId="31361" xr:uid="{00000000-0005-0000-0000-000062860000}"/>
    <cellStyle name="Wrap 2 2 3 6 3 2" xfId="31362" xr:uid="{00000000-0005-0000-0000-000063860000}"/>
    <cellStyle name="Wrap 2 2 3 6 4" xfId="31363" xr:uid="{00000000-0005-0000-0000-000064860000}"/>
    <cellStyle name="Wrap 2 2 3 6 4 2" xfId="31364" xr:uid="{00000000-0005-0000-0000-000065860000}"/>
    <cellStyle name="Wrap 2 2 3 6 5" xfId="31365" xr:uid="{00000000-0005-0000-0000-000066860000}"/>
    <cellStyle name="Wrap 2 2 3 6 5 2" xfId="31366" xr:uid="{00000000-0005-0000-0000-000067860000}"/>
    <cellStyle name="Wrap 2 2 3 6 6" xfId="31367" xr:uid="{00000000-0005-0000-0000-000068860000}"/>
    <cellStyle name="Wrap 2 2 3 6 6 2" xfId="31368" xr:uid="{00000000-0005-0000-0000-000069860000}"/>
    <cellStyle name="Wrap 2 2 3 6 7" xfId="31369" xr:uid="{00000000-0005-0000-0000-00006A860000}"/>
    <cellStyle name="Wrap 2 2 3 6 7 2" xfId="31370" xr:uid="{00000000-0005-0000-0000-00006B860000}"/>
    <cellStyle name="Wrap 2 2 3 6 8" xfId="31371" xr:uid="{00000000-0005-0000-0000-00006C860000}"/>
    <cellStyle name="Wrap 2 2 3 6 8 2" xfId="31372" xr:uid="{00000000-0005-0000-0000-00006D860000}"/>
    <cellStyle name="Wrap 2 2 3 6 9" xfId="31373" xr:uid="{00000000-0005-0000-0000-00006E860000}"/>
    <cellStyle name="Wrap 2 2 3 6 9 2" xfId="31374" xr:uid="{00000000-0005-0000-0000-00006F860000}"/>
    <cellStyle name="Wrap 2 2 3 7" xfId="31375" xr:uid="{00000000-0005-0000-0000-000070860000}"/>
    <cellStyle name="Wrap 2 2 3 7 10" xfId="31376" xr:uid="{00000000-0005-0000-0000-000071860000}"/>
    <cellStyle name="Wrap 2 2 3 7 2" xfId="31377" xr:uid="{00000000-0005-0000-0000-000072860000}"/>
    <cellStyle name="Wrap 2 2 3 7 2 2" xfId="31378" xr:uid="{00000000-0005-0000-0000-000073860000}"/>
    <cellStyle name="Wrap 2 2 3 7 3" xfId="31379" xr:uid="{00000000-0005-0000-0000-000074860000}"/>
    <cellStyle name="Wrap 2 2 3 7 3 2" xfId="31380" xr:uid="{00000000-0005-0000-0000-000075860000}"/>
    <cellStyle name="Wrap 2 2 3 7 4" xfId="31381" xr:uid="{00000000-0005-0000-0000-000076860000}"/>
    <cellStyle name="Wrap 2 2 3 7 4 2" xfId="31382" xr:uid="{00000000-0005-0000-0000-000077860000}"/>
    <cellStyle name="Wrap 2 2 3 7 5" xfId="31383" xr:uid="{00000000-0005-0000-0000-000078860000}"/>
    <cellStyle name="Wrap 2 2 3 7 5 2" xfId="31384" xr:uid="{00000000-0005-0000-0000-000079860000}"/>
    <cellStyle name="Wrap 2 2 3 7 6" xfId="31385" xr:uid="{00000000-0005-0000-0000-00007A860000}"/>
    <cellStyle name="Wrap 2 2 3 7 6 2" xfId="31386" xr:uid="{00000000-0005-0000-0000-00007B860000}"/>
    <cellStyle name="Wrap 2 2 3 7 7" xfId="31387" xr:uid="{00000000-0005-0000-0000-00007C860000}"/>
    <cellStyle name="Wrap 2 2 3 7 7 2" xfId="31388" xr:uid="{00000000-0005-0000-0000-00007D860000}"/>
    <cellStyle name="Wrap 2 2 3 7 8" xfId="31389" xr:uid="{00000000-0005-0000-0000-00007E860000}"/>
    <cellStyle name="Wrap 2 2 3 7 8 2" xfId="31390" xr:uid="{00000000-0005-0000-0000-00007F860000}"/>
    <cellStyle name="Wrap 2 2 3 7 9" xfId="31391" xr:uid="{00000000-0005-0000-0000-000080860000}"/>
    <cellStyle name="Wrap 2 2 3 7 9 2" xfId="31392" xr:uid="{00000000-0005-0000-0000-000081860000}"/>
    <cellStyle name="Wrap 2 2 3 8" xfId="31393" xr:uid="{00000000-0005-0000-0000-000082860000}"/>
    <cellStyle name="Wrap 2 2 3 8 10" xfId="31394" xr:uid="{00000000-0005-0000-0000-000083860000}"/>
    <cellStyle name="Wrap 2 2 3 8 2" xfId="31395" xr:uid="{00000000-0005-0000-0000-000084860000}"/>
    <cellStyle name="Wrap 2 2 3 8 2 2" xfId="31396" xr:uid="{00000000-0005-0000-0000-000085860000}"/>
    <cellStyle name="Wrap 2 2 3 8 3" xfId="31397" xr:uid="{00000000-0005-0000-0000-000086860000}"/>
    <cellStyle name="Wrap 2 2 3 8 3 2" xfId="31398" xr:uid="{00000000-0005-0000-0000-000087860000}"/>
    <cellStyle name="Wrap 2 2 3 8 4" xfId="31399" xr:uid="{00000000-0005-0000-0000-000088860000}"/>
    <cellStyle name="Wrap 2 2 3 8 4 2" xfId="31400" xr:uid="{00000000-0005-0000-0000-000089860000}"/>
    <cellStyle name="Wrap 2 2 3 8 5" xfId="31401" xr:uid="{00000000-0005-0000-0000-00008A860000}"/>
    <cellStyle name="Wrap 2 2 3 8 5 2" xfId="31402" xr:uid="{00000000-0005-0000-0000-00008B860000}"/>
    <cellStyle name="Wrap 2 2 3 8 6" xfId="31403" xr:uid="{00000000-0005-0000-0000-00008C860000}"/>
    <cellStyle name="Wrap 2 2 3 8 6 2" xfId="31404" xr:uid="{00000000-0005-0000-0000-00008D860000}"/>
    <cellStyle name="Wrap 2 2 3 8 7" xfId="31405" xr:uid="{00000000-0005-0000-0000-00008E860000}"/>
    <cellStyle name="Wrap 2 2 3 8 7 2" xfId="31406" xr:uid="{00000000-0005-0000-0000-00008F860000}"/>
    <cellStyle name="Wrap 2 2 3 8 8" xfId="31407" xr:uid="{00000000-0005-0000-0000-000090860000}"/>
    <cellStyle name="Wrap 2 2 3 8 8 2" xfId="31408" xr:uid="{00000000-0005-0000-0000-000091860000}"/>
    <cellStyle name="Wrap 2 2 3 8 9" xfId="31409" xr:uid="{00000000-0005-0000-0000-000092860000}"/>
    <cellStyle name="Wrap 2 2 3 8 9 2" xfId="31410" xr:uid="{00000000-0005-0000-0000-000093860000}"/>
    <cellStyle name="Wrap 2 2 3 9" xfId="31411" xr:uid="{00000000-0005-0000-0000-000094860000}"/>
    <cellStyle name="Wrap 2 2 3 9 10" xfId="31412" xr:uid="{00000000-0005-0000-0000-000095860000}"/>
    <cellStyle name="Wrap 2 2 3 9 2" xfId="31413" xr:uid="{00000000-0005-0000-0000-000096860000}"/>
    <cellStyle name="Wrap 2 2 3 9 2 2" xfId="31414" xr:uid="{00000000-0005-0000-0000-000097860000}"/>
    <cellStyle name="Wrap 2 2 3 9 3" xfId="31415" xr:uid="{00000000-0005-0000-0000-000098860000}"/>
    <cellStyle name="Wrap 2 2 3 9 3 2" xfId="31416" xr:uid="{00000000-0005-0000-0000-000099860000}"/>
    <cellStyle name="Wrap 2 2 3 9 4" xfId="31417" xr:uid="{00000000-0005-0000-0000-00009A860000}"/>
    <cellStyle name="Wrap 2 2 3 9 4 2" xfId="31418" xr:uid="{00000000-0005-0000-0000-00009B860000}"/>
    <cellStyle name="Wrap 2 2 3 9 5" xfId="31419" xr:uid="{00000000-0005-0000-0000-00009C860000}"/>
    <cellStyle name="Wrap 2 2 3 9 5 2" xfId="31420" xr:uid="{00000000-0005-0000-0000-00009D860000}"/>
    <cellStyle name="Wrap 2 2 3 9 6" xfId="31421" xr:uid="{00000000-0005-0000-0000-00009E860000}"/>
    <cellStyle name="Wrap 2 2 3 9 6 2" xfId="31422" xr:uid="{00000000-0005-0000-0000-00009F860000}"/>
    <cellStyle name="Wrap 2 2 3 9 7" xfId="31423" xr:uid="{00000000-0005-0000-0000-0000A0860000}"/>
    <cellStyle name="Wrap 2 2 3 9 7 2" xfId="31424" xr:uid="{00000000-0005-0000-0000-0000A1860000}"/>
    <cellStyle name="Wrap 2 2 3 9 8" xfId="31425" xr:uid="{00000000-0005-0000-0000-0000A2860000}"/>
    <cellStyle name="Wrap 2 2 3 9 8 2" xfId="31426" xr:uid="{00000000-0005-0000-0000-0000A3860000}"/>
    <cellStyle name="Wrap 2 2 3 9 9" xfId="31427" xr:uid="{00000000-0005-0000-0000-0000A4860000}"/>
    <cellStyle name="Wrap 2 2 3 9 9 2" xfId="31428" xr:uid="{00000000-0005-0000-0000-0000A5860000}"/>
    <cellStyle name="Wrap 2 2 4" xfId="31429" xr:uid="{00000000-0005-0000-0000-0000A6860000}"/>
    <cellStyle name="Wrap 2 2 4 10" xfId="31430" xr:uid="{00000000-0005-0000-0000-0000A7860000}"/>
    <cellStyle name="Wrap 2 2 4 10 2" xfId="31431" xr:uid="{00000000-0005-0000-0000-0000A8860000}"/>
    <cellStyle name="Wrap 2 2 4 10 2 2" xfId="31432" xr:uid="{00000000-0005-0000-0000-0000A9860000}"/>
    <cellStyle name="Wrap 2 2 4 10 3" xfId="31433" xr:uid="{00000000-0005-0000-0000-0000AA860000}"/>
    <cellStyle name="Wrap 2 2 4 10 3 2" xfId="31434" xr:uid="{00000000-0005-0000-0000-0000AB860000}"/>
    <cellStyle name="Wrap 2 2 4 10 4" xfId="31435" xr:uid="{00000000-0005-0000-0000-0000AC860000}"/>
    <cellStyle name="Wrap 2 2 4 10 4 2" xfId="31436" xr:uid="{00000000-0005-0000-0000-0000AD860000}"/>
    <cellStyle name="Wrap 2 2 4 10 5" xfId="31437" xr:uid="{00000000-0005-0000-0000-0000AE860000}"/>
    <cellStyle name="Wrap 2 2 4 10 5 2" xfId="31438" xr:uid="{00000000-0005-0000-0000-0000AF860000}"/>
    <cellStyle name="Wrap 2 2 4 10 6" xfId="31439" xr:uid="{00000000-0005-0000-0000-0000B0860000}"/>
    <cellStyle name="Wrap 2 2 4 10 6 2" xfId="31440" xr:uid="{00000000-0005-0000-0000-0000B1860000}"/>
    <cellStyle name="Wrap 2 2 4 10 7" xfId="31441" xr:uid="{00000000-0005-0000-0000-0000B2860000}"/>
    <cellStyle name="Wrap 2 2 4 10 7 2" xfId="31442" xr:uid="{00000000-0005-0000-0000-0000B3860000}"/>
    <cellStyle name="Wrap 2 2 4 10 8" xfId="31443" xr:uid="{00000000-0005-0000-0000-0000B4860000}"/>
    <cellStyle name="Wrap 2 2 4 10 8 2" xfId="31444" xr:uid="{00000000-0005-0000-0000-0000B5860000}"/>
    <cellStyle name="Wrap 2 2 4 10 9" xfId="31445" xr:uid="{00000000-0005-0000-0000-0000B6860000}"/>
    <cellStyle name="Wrap 2 2 4 11" xfId="31446" xr:uid="{00000000-0005-0000-0000-0000B7860000}"/>
    <cellStyle name="Wrap 2 2 4 11 2" xfId="31447" xr:uid="{00000000-0005-0000-0000-0000B8860000}"/>
    <cellStyle name="Wrap 2 2 4 12" xfId="31448" xr:uid="{00000000-0005-0000-0000-0000B9860000}"/>
    <cellStyle name="Wrap 2 2 4 12 2" xfId="31449" xr:uid="{00000000-0005-0000-0000-0000BA860000}"/>
    <cellStyle name="Wrap 2 2 4 13" xfId="31450" xr:uid="{00000000-0005-0000-0000-0000BB860000}"/>
    <cellStyle name="Wrap 2 2 4 13 2" xfId="31451" xr:uid="{00000000-0005-0000-0000-0000BC860000}"/>
    <cellStyle name="Wrap 2 2 4 14" xfId="31452" xr:uid="{00000000-0005-0000-0000-0000BD860000}"/>
    <cellStyle name="Wrap 2 2 4 14 2" xfId="31453" xr:uid="{00000000-0005-0000-0000-0000BE860000}"/>
    <cellStyle name="Wrap 2 2 4 15" xfId="31454" xr:uid="{00000000-0005-0000-0000-0000BF860000}"/>
    <cellStyle name="Wrap 2 2 4 15 2" xfId="31455" xr:uid="{00000000-0005-0000-0000-0000C0860000}"/>
    <cellStyle name="Wrap 2 2 4 16" xfId="31456" xr:uid="{00000000-0005-0000-0000-0000C1860000}"/>
    <cellStyle name="Wrap 2 2 4 16 2" xfId="31457" xr:uid="{00000000-0005-0000-0000-0000C2860000}"/>
    <cellStyle name="Wrap 2 2 4 17" xfId="31458" xr:uid="{00000000-0005-0000-0000-0000C3860000}"/>
    <cellStyle name="Wrap 2 2 4 17 2" xfId="31459" xr:uid="{00000000-0005-0000-0000-0000C4860000}"/>
    <cellStyle name="Wrap 2 2 4 18" xfId="31460" xr:uid="{00000000-0005-0000-0000-0000C5860000}"/>
    <cellStyle name="Wrap 2 2 4 2" xfId="31461" xr:uid="{00000000-0005-0000-0000-0000C6860000}"/>
    <cellStyle name="Wrap 2 2 4 2 10" xfId="31462" xr:uid="{00000000-0005-0000-0000-0000C7860000}"/>
    <cellStyle name="Wrap 2 2 4 2 2" xfId="31463" xr:uid="{00000000-0005-0000-0000-0000C8860000}"/>
    <cellStyle name="Wrap 2 2 4 2 2 2" xfId="31464" xr:uid="{00000000-0005-0000-0000-0000C9860000}"/>
    <cellStyle name="Wrap 2 2 4 2 3" xfId="31465" xr:uid="{00000000-0005-0000-0000-0000CA860000}"/>
    <cellStyle name="Wrap 2 2 4 2 3 2" xfId="31466" xr:uid="{00000000-0005-0000-0000-0000CB860000}"/>
    <cellStyle name="Wrap 2 2 4 2 4" xfId="31467" xr:uid="{00000000-0005-0000-0000-0000CC860000}"/>
    <cellStyle name="Wrap 2 2 4 2 4 2" xfId="31468" xr:uid="{00000000-0005-0000-0000-0000CD860000}"/>
    <cellStyle name="Wrap 2 2 4 2 5" xfId="31469" xr:uid="{00000000-0005-0000-0000-0000CE860000}"/>
    <cellStyle name="Wrap 2 2 4 2 5 2" xfId="31470" xr:uid="{00000000-0005-0000-0000-0000CF860000}"/>
    <cellStyle name="Wrap 2 2 4 2 6" xfId="31471" xr:uid="{00000000-0005-0000-0000-0000D0860000}"/>
    <cellStyle name="Wrap 2 2 4 2 6 2" xfId="31472" xr:uid="{00000000-0005-0000-0000-0000D1860000}"/>
    <cellStyle name="Wrap 2 2 4 2 7" xfId="31473" xr:uid="{00000000-0005-0000-0000-0000D2860000}"/>
    <cellStyle name="Wrap 2 2 4 2 7 2" xfId="31474" xr:uid="{00000000-0005-0000-0000-0000D3860000}"/>
    <cellStyle name="Wrap 2 2 4 2 8" xfId="31475" xr:uid="{00000000-0005-0000-0000-0000D4860000}"/>
    <cellStyle name="Wrap 2 2 4 2 8 2" xfId="31476" xr:uid="{00000000-0005-0000-0000-0000D5860000}"/>
    <cellStyle name="Wrap 2 2 4 2 9" xfId="31477" xr:uid="{00000000-0005-0000-0000-0000D6860000}"/>
    <cellStyle name="Wrap 2 2 4 2 9 2" xfId="31478" xr:uid="{00000000-0005-0000-0000-0000D7860000}"/>
    <cellStyle name="Wrap 2 2 4 3" xfId="31479" xr:uid="{00000000-0005-0000-0000-0000D8860000}"/>
    <cellStyle name="Wrap 2 2 4 3 10" xfId="31480" xr:uid="{00000000-0005-0000-0000-0000D9860000}"/>
    <cellStyle name="Wrap 2 2 4 3 2" xfId="31481" xr:uid="{00000000-0005-0000-0000-0000DA860000}"/>
    <cellStyle name="Wrap 2 2 4 3 2 2" xfId="31482" xr:uid="{00000000-0005-0000-0000-0000DB860000}"/>
    <cellStyle name="Wrap 2 2 4 3 3" xfId="31483" xr:uid="{00000000-0005-0000-0000-0000DC860000}"/>
    <cellStyle name="Wrap 2 2 4 3 3 2" xfId="31484" xr:uid="{00000000-0005-0000-0000-0000DD860000}"/>
    <cellStyle name="Wrap 2 2 4 3 4" xfId="31485" xr:uid="{00000000-0005-0000-0000-0000DE860000}"/>
    <cellStyle name="Wrap 2 2 4 3 4 2" xfId="31486" xr:uid="{00000000-0005-0000-0000-0000DF860000}"/>
    <cellStyle name="Wrap 2 2 4 3 5" xfId="31487" xr:uid="{00000000-0005-0000-0000-0000E0860000}"/>
    <cellStyle name="Wrap 2 2 4 3 5 2" xfId="31488" xr:uid="{00000000-0005-0000-0000-0000E1860000}"/>
    <cellStyle name="Wrap 2 2 4 3 6" xfId="31489" xr:uid="{00000000-0005-0000-0000-0000E2860000}"/>
    <cellStyle name="Wrap 2 2 4 3 6 2" xfId="31490" xr:uid="{00000000-0005-0000-0000-0000E3860000}"/>
    <cellStyle name="Wrap 2 2 4 3 7" xfId="31491" xr:uid="{00000000-0005-0000-0000-0000E4860000}"/>
    <cellStyle name="Wrap 2 2 4 3 7 2" xfId="31492" xr:uid="{00000000-0005-0000-0000-0000E5860000}"/>
    <cellStyle name="Wrap 2 2 4 3 8" xfId="31493" xr:uid="{00000000-0005-0000-0000-0000E6860000}"/>
    <cellStyle name="Wrap 2 2 4 3 8 2" xfId="31494" xr:uid="{00000000-0005-0000-0000-0000E7860000}"/>
    <cellStyle name="Wrap 2 2 4 3 9" xfId="31495" xr:uid="{00000000-0005-0000-0000-0000E8860000}"/>
    <cellStyle name="Wrap 2 2 4 3 9 2" xfId="31496" xr:uid="{00000000-0005-0000-0000-0000E9860000}"/>
    <cellStyle name="Wrap 2 2 4 4" xfId="31497" xr:uid="{00000000-0005-0000-0000-0000EA860000}"/>
    <cellStyle name="Wrap 2 2 4 4 10" xfId="31498" xr:uid="{00000000-0005-0000-0000-0000EB860000}"/>
    <cellStyle name="Wrap 2 2 4 4 2" xfId="31499" xr:uid="{00000000-0005-0000-0000-0000EC860000}"/>
    <cellStyle name="Wrap 2 2 4 4 2 2" xfId="31500" xr:uid="{00000000-0005-0000-0000-0000ED860000}"/>
    <cellStyle name="Wrap 2 2 4 4 3" xfId="31501" xr:uid="{00000000-0005-0000-0000-0000EE860000}"/>
    <cellStyle name="Wrap 2 2 4 4 3 2" xfId="31502" xr:uid="{00000000-0005-0000-0000-0000EF860000}"/>
    <cellStyle name="Wrap 2 2 4 4 4" xfId="31503" xr:uid="{00000000-0005-0000-0000-0000F0860000}"/>
    <cellStyle name="Wrap 2 2 4 4 4 2" xfId="31504" xr:uid="{00000000-0005-0000-0000-0000F1860000}"/>
    <cellStyle name="Wrap 2 2 4 4 5" xfId="31505" xr:uid="{00000000-0005-0000-0000-0000F2860000}"/>
    <cellStyle name="Wrap 2 2 4 4 5 2" xfId="31506" xr:uid="{00000000-0005-0000-0000-0000F3860000}"/>
    <cellStyle name="Wrap 2 2 4 4 6" xfId="31507" xr:uid="{00000000-0005-0000-0000-0000F4860000}"/>
    <cellStyle name="Wrap 2 2 4 4 6 2" xfId="31508" xr:uid="{00000000-0005-0000-0000-0000F5860000}"/>
    <cellStyle name="Wrap 2 2 4 4 7" xfId="31509" xr:uid="{00000000-0005-0000-0000-0000F6860000}"/>
    <cellStyle name="Wrap 2 2 4 4 7 2" xfId="31510" xr:uid="{00000000-0005-0000-0000-0000F7860000}"/>
    <cellStyle name="Wrap 2 2 4 4 8" xfId="31511" xr:uid="{00000000-0005-0000-0000-0000F8860000}"/>
    <cellStyle name="Wrap 2 2 4 4 8 2" xfId="31512" xr:uid="{00000000-0005-0000-0000-0000F9860000}"/>
    <cellStyle name="Wrap 2 2 4 4 9" xfId="31513" xr:uid="{00000000-0005-0000-0000-0000FA860000}"/>
    <cellStyle name="Wrap 2 2 4 4 9 2" xfId="31514" xr:uid="{00000000-0005-0000-0000-0000FB860000}"/>
    <cellStyle name="Wrap 2 2 4 5" xfId="31515" xr:uid="{00000000-0005-0000-0000-0000FC860000}"/>
    <cellStyle name="Wrap 2 2 4 5 10" xfId="31516" xr:uid="{00000000-0005-0000-0000-0000FD860000}"/>
    <cellStyle name="Wrap 2 2 4 5 2" xfId="31517" xr:uid="{00000000-0005-0000-0000-0000FE860000}"/>
    <cellStyle name="Wrap 2 2 4 5 2 2" xfId="31518" xr:uid="{00000000-0005-0000-0000-0000FF860000}"/>
    <cellStyle name="Wrap 2 2 4 5 3" xfId="31519" xr:uid="{00000000-0005-0000-0000-000000870000}"/>
    <cellStyle name="Wrap 2 2 4 5 3 2" xfId="31520" xr:uid="{00000000-0005-0000-0000-000001870000}"/>
    <cellStyle name="Wrap 2 2 4 5 4" xfId="31521" xr:uid="{00000000-0005-0000-0000-000002870000}"/>
    <cellStyle name="Wrap 2 2 4 5 4 2" xfId="31522" xr:uid="{00000000-0005-0000-0000-000003870000}"/>
    <cellStyle name="Wrap 2 2 4 5 5" xfId="31523" xr:uid="{00000000-0005-0000-0000-000004870000}"/>
    <cellStyle name="Wrap 2 2 4 5 5 2" xfId="31524" xr:uid="{00000000-0005-0000-0000-000005870000}"/>
    <cellStyle name="Wrap 2 2 4 5 6" xfId="31525" xr:uid="{00000000-0005-0000-0000-000006870000}"/>
    <cellStyle name="Wrap 2 2 4 5 6 2" xfId="31526" xr:uid="{00000000-0005-0000-0000-000007870000}"/>
    <cellStyle name="Wrap 2 2 4 5 7" xfId="31527" xr:uid="{00000000-0005-0000-0000-000008870000}"/>
    <cellStyle name="Wrap 2 2 4 5 7 2" xfId="31528" xr:uid="{00000000-0005-0000-0000-000009870000}"/>
    <cellStyle name="Wrap 2 2 4 5 8" xfId="31529" xr:uid="{00000000-0005-0000-0000-00000A870000}"/>
    <cellStyle name="Wrap 2 2 4 5 8 2" xfId="31530" xr:uid="{00000000-0005-0000-0000-00000B870000}"/>
    <cellStyle name="Wrap 2 2 4 5 9" xfId="31531" xr:uid="{00000000-0005-0000-0000-00000C870000}"/>
    <cellStyle name="Wrap 2 2 4 5 9 2" xfId="31532" xr:uid="{00000000-0005-0000-0000-00000D870000}"/>
    <cellStyle name="Wrap 2 2 4 6" xfId="31533" xr:uid="{00000000-0005-0000-0000-00000E870000}"/>
    <cellStyle name="Wrap 2 2 4 6 10" xfId="31534" xr:uid="{00000000-0005-0000-0000-00000F870000}"/>
    <cellStyle name="Wrap 2 2 4 6 2" xfId="31535" xr:uid="{00000000-0005-0000-0000-000010870000}"/>
    <cellStyle name="Wrap 2 2 4 6 2 2" xfId="31536" xr:uid="{00000000-0005-0000-0000-000011870000}"/>
    <cellStyle name="Wrap 2 2 4 6 3" xfId="31537" xr:uid="{00000000-0005-0000-0000-000012870000}"/>
    <cellStyle name="Wrap 2 2 4 6 3 2" xfId="31538" xr:uid="{00000000-0005-0000-0000-000013870000}"/>
    <cellStyle name="Wrap 2 2 4 6 4" xfId="31539" xr:uid="{00000000-0005-0000-0000-000014870000}"/>
    <cellStyle name="Wrap 2 2 4 6 4 2" xfId="31540" xr:uid="{00000000-0005-0000-0000-000015870000}"/>
    <cellStyle name="Wrap 2 2 4 6 5" xfId="31541" xr:uid="{00000000-0005-0000-0000-000016870000}"/>
    <cellStyle name="Wrap 2 2 4 6 5 2" xfId="31542" xr:uid="{00000000-0005-0000-0000-000017870000}"/>
    <cellStyle name="Wrap 2 2 4 6 6" xfId="31543" xr:uid="{00000000-0005-0000-0000-000018870000}"/>
    <cellStyle name="Wrap 2 2 4 6 6 2" xfId="31544" xr:uid="{00000000-0005-0000-0000-000019870000}"/>
    <cellStyle name="Wrap 2 2 4 6 7" xfId="31545" xr:uid="{00000000-0005-0000-0000-00001A870000}"/>
    <cellStyle name="Wrap 2 2 4 6 7 2" xfId="31546" xr:uid="{00000000-0005-0000-0000-00001B870000}"/>
    <cellStyle name="Wrap 2 2 4 6 8" xfId="31547" xr:uid="{00000000-0005-0000-0000-00001C870000}"/>
    <cellStyle name="Wrap 2 2 4 6 8 2" xfId="31548" xr:uid="{00000000-0005-0000-0000-00001D870000}"/>
    <cellStyle name="Wrap 2 2 4 6 9" xfId="31549" xr:uid="{00000000-0005-0000-0000-00001E870000}"/>
    <cellStyle name="Wrap 2 2 4 6 9 2" xfId="31550" xr:uid="{00000000-0005-0000-0000-00001F870000}"/>
    <cellStyle name="Wrap 2 2 4 7" xfId="31551" xr:uid="{00000000-0005-0000-0000-000020870000}"/>
    <cellStyle name="Wrap 2 2 4 7 10" xfId="31552" xr:uid="{00000000-0005-0000-0000-000021870000}"/>
    <cellStyle name="Wrap 2 2 4 7 2" xfId="31553" xr:uid="{00000000-0005-0000-0000-000022870000}"/>
    <cellStyle name="Wrap 2 2 4 7 2 2" xfId="31554" xr:uid="{00000000-0005-0000-0000-000023870000}"/>
    <cellStyle name="Wrap 2 2 4 7 3" xfId="31555" xr:uid="{00000000-0005-0000-0000-000024870000}"/>
    <cellStyle name="Wrap 2 2 4 7 3 2" xfId="31556" xr:uid="{00000000-0005-0000-0000-000025870000}"/>
    <cellStyle name="Wrap 2 2 4 7 4" xfId="31557" xr:uid="{00000000-0005-0000-0000-000026870000}"/>
    <cellStyle name="Wrap 2 2 4 7 4 2" xfId="31558" xr:uid="{00000000-0005-0000-0000-000027870000}"/>
    <cellStyle name="Wrap 2 2 4 7 5" xfId="31559" xr:uid="{00000000-0005-0000-0000-000028870000}"/>
    <cellStyle name="Wrap 2 2 4 7 5 2" xfId="31560" xr:uid="{00000000-0005-0000-0000-000029870000}"/>
    <cellStyle name="Wrap 2 2 4 7 6" xfId="31561" xr:uid="{00000000-0005-0000-0000-00002A870000}"/>
    <cellStyle name="Wrap 2 2 4 7 6 2" xfId="31562" xr:uid="{00000000-0005-0000-0000-00002B870000}"/>
    <cellStyle name="Wrap 2 2 4 7 7" xfId="31563" xr:uid="{00000000-0005-0000-0000-00002C870000}"/>
    <cellStyle name="Wrap 2 2 4 7 7 2" xfId="31564" xr:uid="{00000000-0005-0000-0000-00002D870000}"/>
    <cellStyle name="Wrap 2 2 4 7 8" xfId="31565" xr:uid="{00000000-0005-0000-0000-00002E870000}"/>
    <cellStyle name="Wrap 2 2 4 7 8 2" xfId="31566" xr:uid="{00000000-0005-0000-0000-00002F870000}"/>
    <cellStyle name="Wrap 2 2 4 7 9" xfId="31567" xr:uid="{00000000-0005-0000-0000-000030870000}"/>
    <cellStyle name="Wrap 2 2 4 7 9 2" xfId="31568" xr:uid="{00000000-0005-0000-0000-000031870000}"/>
    <cellStyle name="Wrap 2 2 4 8" xfId="31569" xr:uid="{00000000-0005-0000-0000-000032870000}"/>
    <cellStyle name="Wrap 2 2 4 8 10" xfId="31570" xr:uid="{00000000-0005-0000-0000-000033870000}"/>
    <cellStyle name="Wrap 2 2 4 8 2" xfId="31571" xr:uid="{00000000-0005-0000-0000-000034870000}"/>
    <cellStyle name="Wrap 2 2 4 8 2 2" xfId="31572" xr:uid="{00000000-0005-0000-0000-000035870000}"/>
    <cellStyle name="Wrap 2 2 4 8 3" xfId="31573" xr:uid="{00000000-0005-0000-0000-000036870000}"/>
    <cellStyle name="Wrap 2 2 4 8 3 2" xfId="31574" xr:uid="{00000000-0005-0000-0000-000037870000}"/>
    <cellStyle name="Wrap 2 2 4 8 4" xfId="31575" xr:uid="{00000000-0005-0000-0000-000038870000}"/>
    <cellStyle name="Wrap 2 2 4 8 4 2" xfId="31576" xr:uid="{00000000-0005-0000-0000-000039870000}"/>
    <cellStyle name="Wrap 2 2 4 8 5" xfId="31577" xr:uid="{00000000-0005-0000-0000-00003A870000}"/>
    <cellStyle name="Wrap 2 2 4 8 5 2" xfId="31578" xr:uid="{00000000-0005-0000-0000-00003B870000}"/>
    <cellStyle name="Wrap 2 2 4 8 6" xfId="31579" xr:uid="{00000000-0005-0000-0000-00003C870000}"/>
    <cellStyle name="Wrap 2 2 4 8 6 2" xfId="31580" xr:uid="{00000000-0005-0000-0000-00003D870000}"/>
    <cellStyle name="Wrap 2 2 4 8 7" xfId="31581" xr:uid="{00000000-0005-0000-0000-00003E870000}"/>
    <cellStyle name="Wrap 2 2 4 8 7 2" xfId="31582" xr:uid="{00000000-0005-0000-0000-00003F870000}"/>
    <cellStyle name="Wrap 2 2 4 8 8" xfId="31583" xr:uid="{00000000-0005-0000-0000-000040870000}"/>
    <cellStyle name="Wrap 2 2 4 8 8 2" xfId="31584" xr:uid="{00000000-0005-0000-0000-000041870000}"/>
    <cellStyle name="Wrap 2 2 4 8 9" xfId="31585" xr:uid="{00000000-0005-0000-0000-000042870000}"/>
    <cellStyle name="Wrap 2 2 4 8 9 2" xfId="31586" xr:uid="{00000000-0005-0000-0000-000043870000}"/>
    <cellStyle name="Wrap 2 2 4 9" xfId="31587" xr:uid="{00000000-0005-0000-0000-000044870000}"/>
    <cellStyle name="Wrap 2 2 4 9 10" xfId="31588" xr:uid="{00000000-0005-0000-0000-000045870000}"/>
    <cellStyle name="Wrap 2 2 4 9 2" xfId="31589" xr:uid="{00000000-0005-0000-0000-000046870000}"/>
    <cellStyle name="Wrap 2 2 4 9 2 2" xfId="31590" xr:uid="{00000000-0005-0000-0000-000047870000}"/>
    <cellStyle name="Wrap 2 2 4 9 3" xfId="31591" xr:uid="{00000000-0005-0000-0000-000048870000}"/>
    <cellStyle name="Wrap 2 2 4 9 3 2" xfId="31592" xr:uid="{00000000-0005-0000-0000-000049870000}"/>
    <cellStyle name="Wrap 2 2 4 9 4" xfId="31593" xr:uid="{00000000-0005-0000-0000-00004A870000}"/>
    <cellStyle name="Wrap 2 2 4 9 4 2" xfId="31594" xr:uid="{00000000-0005-0000-0000-00004B870000}"/>
    <cellStyle name="Wrap 2 2 4 9 5" xfId="31595" xr:uid="{00000000-0005-0000-0000-00004C870000}"/>
    <cellStyle name="Wrap 2 2 4 9 5 2" xfId="31596" xr:uid="{00000000-0005-0000-0000-00004D870000}"/>
    <cellStyle name="Wrap 2 2 4 9 6" xfId="31597" xr:uid="{00000000-0005-0000-0000-00004E870000}"/>
    <cellStyle name="Wrap 2 2 4 9 6 2" xfId="31598" xr:uid="{00000000-0005-0000-0000-00004F870000}"/>
    <cellStyle name="Wrap 2 2 4 9 7" xfId="31599" xr:uid="{00000000-0005-0000-0000-000050870000}"/>
    <cellStyle name="Wrap 2 2 4 9 7 2" xfId="31600" xr:uid="{00000000-0005-0000-0000-000051870000}"/>
    <cellStyle name="Wrap 2 2 4 9 8" xfId="31601" xr:uid="{00000000-0005-0000-0000-000052870000}"/>
    <cellStyle name="Wrap 2 2 4 9 8 2" xfId="31602" xr:uid="{00000000-0005-0000-0000-000053870000}"/>
    <cellStyle name="Wrap 2 2 4 9 9" xfId="31603" xr:uid="{00000000-0005-0000-0000-000054870000}"/>
    <cellStyle name="Wrap 2 2 4 9 9 2" xfId="31604" xr:uid="{00000000-0005-0000-0000-000055870000}"/>
    <cellStyle name="Wrap 2 2 5" xfId="31605" xr:uid="{00000000-0005-0000-0000-000056870000}"/>
    <cellStyle name="Wrap 2 2 5 10" xfId="31606" xr:uid="{00000000-0005-0000-0000-000057870000}"/>
    <cellStyle name="Wrap 2 2 5 10 2" xfId="31607" xr:uid="{00000000-0005-0000-0000-000058870000}"/>
    <cellStyle name="Wrap 2 2 5 10 2 2" xfId="31608" xr:uid="{00000000-0005-0000-0000-000059870000}"/>
    <cellStyle name="Wrap 2 2 5 10 3" xfId="31609" xr:uid="{00000000-0005-0000-0000-00005A870000}"/>
    <cellStyle name="Wrap 2 2 5 10 3 2" xfId="31610" xr:uid="{00000000-0005-0000-0000-00005B870000}"/>
    <cellStyle name="Wrap 2 2 5 10 4" xfId="31611" xr:uid="{00000000-0005-0000-0000-00005C870000}"/>
    <cellStyle name="Wrap 2 2 5 10 4 2" xfId="31612" xr:uid="{00000000-0005-0000-0000-00005D870000}"/>
    <cellStyle name="Wrap 2 2 5 10 5" xfId="31613" xr:uid="{00000000-0005-0000-0000-00005E870000}"/>
    <cellStyle name="Wrap 2 2 5 10 5 2" xfId="31614" xr:uid="{00000000-0005-0000-0000-00005F870000}"/>
    <cellStyle name="Wrap 2 2 5 10 6" xfId="31615" xr:uid="{00000000-0005-0000-0000-000060870000}"/>
    <cellStyle name="Wrap 2 2 5 10 6 2" xfId="31616" xr:uid="{00000000-0005-0000-0000-000061870000}"/>
    <cellStyle name="Wrap 2 2 5 10 7" xfId="31617" xr:uid="{00000000-0005-0000-0000-000062870000}"/>
    <cellStyle name="Wrap 2 2 5 10 7 2" xfId="31618" xr:uid="{00000000-0005-0000-0000-000063870000}"/>
    <cellStyle name="Wrap 2 2 5 10 8" xfId="31619" xr:uid="{00000000-0005-0000-0000-000064870000}"/>
    <cellStyle name="Wrap 2 2 5 10 8 2" xfId="31620" xr:uid="{00000000-0005-0000-0000-000065870000}"/>
    <cellStyle name="Wrap 2 2 5 10 9" xfId="31621" xr:uid="{00000000-0005-0000-0000-000066870000}"/>
    <cellStyle name="Wrap 2 2 5 11" xfId="31622" xr:uid="{00000000-0005-0000-0000-000067870000}"/>
    <cellStyle name="Wrap 2 2 5 11 2" xfId="31623" xr:uid="{00000000-0005-0000-0000-000068870000}"/>
    <cellStyle name="Wrap 2 2 5 12" xfId="31624" xr:uid="{00000000-0005-0000-0000-000069870000}"/>
    <cellStyle name="Wrap 2 2 5 12 2" xfId="31625" xr:uid="{00000000-0005-0000-0000-00006A870000}"/>
    <cellStyle name="Wrap 2 2 5 13" xfId="31626" xr:uid="{00000000-0005-0000-0000-00006B870000}"/>
    <cellStyle name="Wrap 2 2 5 13 2" xfId="31627" xr:uid="{00000000-0005-0000-0000-00006C870000}"/>
    <cellStyle name="Wrap 2 2 5 14" xfId="31628" xr:uid="{00000000-0005-0000-0000-00006D870000}"/>
    <cellStyle name="Wrap 2 2 5 14 2" xfId="31629" xr:uid="{00000000-0005-0000-0000-00006E870000}"/>
    <cellStyle name="Wrap 2 2 5 15" xfId="31630" xr:uid="{00000000-0005-0000-0000-00006F870000}"/>
    <cellStyle name="Wrap 2 2 5 15 2" xfId="31631" xr:uid="{00000000-0005-0000-0000-000070870000}"/>
    <cellStyle name="Wrap 2 2 5 16" xfId="31632" xr:uid="{00000000-0005-0000-0000-000071870000}"/>
    <cellStyle name="Wrap 2 2 5 16 2" xfId="31633" xr:uid="{00000000-0005-0000-0000-000072870000}"/>
    <cellStyle name="Wrap 2 2 5 17" xfId="31634" xr:uid="{00000000-0005-0000-0000-000073870000}"/>
    <cellStyle name="Wrap 2 2 5 17 2" xfId="31635" xr:uid="{00000000-0005-0000-0000-000074870000}"/>
    <cellStyle name="Wrap 2 2 5 18" xfId="31636" xr:uid="{00000000-0005-0000-0000-000075870000}"/>
    <cellStyle name="Wrap 2 2 5 2" xfId="31637" xr:uid="{00000000-0005-0000-0000-000076870000}"/>
    <cellStyle name="Wrap 2 2 5 2 10" xfId="31638" xr:uid="{00000000-0005-0000-0000-000077870000}"/>
    <cellStyle name="Wrap 2 2 5 2 2" xfId="31639" xr:uid="{00000000-0005-0000-0000-000078870000}"/>
    <cellStyle name="Wrap 2 2 5 2 2 2" xfId="31640" xr:uid="{00000000-0005-0000-0000-000079870000}"/>
    <cellStyle name="Wrap 2 2 5 2 3" xfId="31641" xr:uid="{00000000-0005-0000-0000-00007A870000}"/>
    <cellStyle name="Wrap 2 2 5 2 3 2" xfId="31642" xr:uid="{00000000-0005-0000-0000-00007B870000}"/>
    <cellStyle name="Wrap 2 2 5 2 4" xfId="31643" xr:uid="{00000000-0005-0000-0000-00007C870000}"/>
    <cellStyle name="Wrap 2 2 5 2 4 2" xfId="31644" xr:uid="{00000000-0005-0000-0000-00007D870000}"/>
    <cellStyle name="Wrap 2 2 5 2 5" xfId="31645" xr:uid="{00000000-0005-0000-0000-00007E870000}"/>
    <cellStyle name="Wrap 2 2 5 2 5 2" xfId="31646" xr:uid="{00000000-0005-0000-0000-00007F870000}"/>
    <cellStyle name="Wrap 2 2 5 2 6" xfId="31647" xr:uid="{00000000-0005-0000-0000-000080870000}"/>
    <cellStyle name="Wrap 2 2 5 2 6 2" xfId="31648" xr:uid="{00000000-0005-0000-0000-000081870000}"/>
    <cellStyle name="Wrap 2 2 5 2 7" xfId="31649" xr:uid="{00000000-0005-0000-0000-000082870000}"/>
    <cellStyle name="Wrap 2 2 5 2 7 2" xfId="31650" xr:uid="{00000000-0005-0000-0000-000083870000}"/>
    <cellStyle name="Wrap 2 2 5 2 8" xfId="31651" xr:uid="{00000000-0005-0000-0000-000084870000}"/>
    <cellStyle name="Wrap 2 2 5 2 8 2" xfId="31652" xr:uid="{00000000-0005-0000-0000-000085870000}"/>
    <cellStyle name="Wrap 2 2 5 2 9" xfId="31653" xr:uid="{00000000-0005-0000-0000-000086870000}"/>
    <cellStyle name="Wrap 2 2 5 2 9 2" xfId="31654" xr:uid="{00000000-0005-0000-0000-000087870000}"/>
    <cellStyle name="Wrap 2 2 5 3" xfId="31655" xr:uid="{00000000-0005-0000-0000-000088870000}"/>
    <cellStyle name="Wrap 2 2 5 3 10" xfId="31656" xr:uid="{00000000-0005-0000-0000-000089870000}"/>
    <cellStyle name="Wrap 2 2 5 3 2" xfId="31657" xr:uid="{00000000-0005-0000-0000-00008A870000}"/>
    <cellStyle name="Wrap 2 2 5 3 2 2" xfId="31658" xr:uid="{00000000-0005-0000-0000-00008B870000}"/>
    <cellStyle name="Wrap 2 2 5 3 3" xfId="31659" xr:uid="{00000000-0005-0000-0000-00008C870000}"/>
    <cellStyle name="Wrap 2 2 5 3 3 2" xfId="31660" xr:uid="{00000000-0005-0000-0000-00008D870000}"/>
    <cellStyle name="Wrap 2 2 5 3 4" xfId="31661" xr:uid="{00000000-0005-0000-0000-00008E870000}"/>
    <cellStyle name="Wrap 2 2 5 3 4 2" xfId="31662" xr:uid="{00000000-0005-0000-0000-00008F870000}"/>
    <cellStyle name="Wrap 2 2 5 3 5" xfId="31663" xr:uid="{00000000-0005-0000-0000-000090870000}"/>
    <cellStyle name="Wrap 2 2 5 3 5 2" xfId="31664" xr:uid="{00000000-0005-0000-0000-000091870000}"/>
    <cellStyle name="Wrap 2 2 5 3 6" xfId="31665" xr:uid="{00000000-0005-0000-0000-000092870000}"/>
    <cellStyle name="Wrap 2 2 5 3 6 2" xfId="31666" xr:uid="{00000000-0005-0000-0000-000093870000}"/>
    <cellStyle name="Wrap 2 2 5 3 7" xfId="31667" xr:uid="{00000000-0005-0000-0000-000094870000}"/>
    <cellStyle name="Wrap 2 2 5 3 7 2" xfId="31668" xr:uid="{00000000-0005-0000-0000-000095870000}"/>
    <cellStyle name="Wrap 2 2 5 3 8" xfId="31669" xr:uid="{00000000-0005-0000-0000-000096870000}"/>
    <cellStyle name="Wrap 2 2 5 3 8 2" xfId="31670" xr:uid="{00000000-0005-0000-0000-000097870000}"/>
    <cellStyle name="Wrap 2 2 5 3 9" xfId="31671" xr:uid="{00000000-0005-0000-0000-000098870000}"/>
    <cellStyle name="Wrap 2 2 5 3 9 2" xfId="31672" xr:uid="{00000000-0005-0000-0000-000099870000}"/>
    <cellStyle name="Wrap 2 2 5 4" xfId="31673" xr:uid="{00000000-0005-0000-0000-00009A870000}"/>
    <cellStyle name="Wrap 2 2 5 4 10" xfId="31674" xr:uid="{00000000-0005-0000-0000-00009B870000}"/>
    <cellStyle name="Wrap 2 2 5 4 2" xfId="31675" xr:uid="{00000000-0005-0000-0000-00009C870000}"/>
    <cellStyle name="Wrap 2 2 5 4 2 2" xfId="31676" xr:uid="{00000000-0005-0000-0000-00009D870000}"/>
    <cellStyle name="Wrap 2 2 5 4 3" xfId="31677" xr:uid="{00000000-0005-0000-0000-00009E870000}"/>
    <cellStyle name="Wrap 2 2 5 4 3 2" xfId="31678" xr:uid="{00000000-0005-0000-0000-00009F870000}"/>
    <cellStyle name="Wrap 2 2 5 4 4" xfId="31679" xr:uid="{00000000-0005-0000-0000-0000A0870000}"/>
    <cellStyle name="Wrap 2 2 5 4 4 2" xfId="31680" xr:uid="{00000000-0005-0000-0000-0000A1870000}"/>
    <cellStyle name="Wrap 2 2 5 4 5" xfId="31681" xr:uid="{00000000-0005-0000-0000-0000A2870000}"/>
    <cellStyle name="Wrap 2 2 5 4 5 2" xfId="31682" xr:uid="{00000000-0005-0000-0000-0000A3870000}"/>
    <cellStyle name="Wrap 2 2 5 4 6" xfId="31683" xr:uid="{00000000-0005-0000-0000-0000A4870000}"/>
    <cellStyle name="Wrap 2 2 5 4 6 2" xfId="31684" xr:uid="{00000000-0005-0000-0000-0000A5870000}"/>
    <cellStyle name="Wrap 2 2 5 4 7" xfId="31685" xr:uid="{00000000-0005-0000-0000-0000A6870000}"/>
    <cellStyle name="Wrap 2 2 5 4 7 2" xfId="31686" xr:uid="{00000000-0005-0000-0000-0000A7870000}"/>
    <cellStyle name="Wrap 2 2 5 4 8" xfId="31687" xr:uid="{00000000-0005-0000-0000-0000A8870000}"/>
    <cellStyle name="Wrap 2 2 5 4 8 2" xfId="31688" xr:uid="{00000000-0005-0000-0000-0000A9870000}"/>
    <cellStyle name="Wrap 2 2 5 4 9" xfId="31689" xr:uid="{00000000-0005-0000-0000-0000AA870000}"/>
    <cellStyle name="Wrap 2 2 5 4 9 2" xfId="31690" xr:uid="{00000000-0005-0000-0000-0000AB870000}"/>
    <cellStyle name="Wrap 2 2 5 5" xfId="31691" xr:uid="{00000000-0005-0000-0000-0000AC870000}"/>
    <cellStyle name="Wrap 2 2 5 5 10" xfId="31692" xr:uid="{00000000-0005-0000-0000-0000AD870000}"/>
    <cellStyle name="Wrap 2 2 5 5 2" xfId="31693" xr:uid="{00000000-0005-0000-0000-0000AE870000}"/>
    <cellStyle name="Wrap 2 2 5 5 2 2" xfId="31694" xr:uid="{00000000-0005-0000-0000-0000AF870000}"/>
    <cellStyle name="Wrap 2 2 5 5 3" xfId="31695" xr:uid="{00000000-0005-0000-0000-0000B0870000}"/>
    <cellStyle name="Wrap 2 2 5 5 3 2" xfId="31696" xr:uid="{00000000-0005-0000-0000-0000B1870000}"/>
    <cellStyle name="Wrap 2 2 5 5 4" xfId="31697" xr:uid="{00000000-0005-0000-0000-0000B2870000}"/>
    <cellStyle name="Wrap 2 2 5 5 4 2" xfId="31698" xr:uid="{00000000-0005-0000-0000-0000B3870000}"/>
    <cellStyle name="Wrap 2 2 5 5 5" xfId="31699" xr:uid="{00000000-0005-0000-0000-0000B4870000}"/>
    <cellStyle name="Wrap 2 2 5 5 5 2" xfId="31700" xr:uid="{00000000-0005-0000-0000-0000B5870000}"/>
    <cellStyle name="Wrap 2 2 5 5 6" xfId="31701" xr:uid="{00000000-0005-0000-0000-0000B6870000}"/>
    <cellStyle name="Wrap 2 2 5 5 6 2" xfId="31702" xr:uid="{00000000-0005-0000-0000-0000B7870000}"/>
    <cellStyle name="Wrap 2 2 5 5 7" xfId="31703" xr:uid="{00000000-0005-0000-0000-0000B8870000}"/>
    <cellStyle name="Wrap 2 2 5 5 7 2" xfId="31704" xr:uid="{00000000-0005-0000-0000-0000B9870000}"/>
    <cellStyle name="Wrap 2 2 5 5 8" xfId="31705" xr:uid="{00000000-0005-0000-0000-0000BA870000}"/>
    <cellStyle name="Wrap 2 2 5 5 8 2" xfId="31706" xr:uid="{00000000-0005-0000-0000-0000BB870000}"/>
    <cellStyle name="Wrap 2 2 5 5 9" xfId="31707" xr:uid="{00000000-0005-0000-0000-0000BC870000}"/>
    <cellStyle name="Wrap 2 2 5 5 9 2" xfId="31708" xr:uid="{00000000-0005-0000-0000-0000BD870000}"/>
    <cellStyle name="Wrap 2 2 5 6" xfId="31709" xr:uid="{00000000-0005-0000-0000-0000BE870000}"/>
    <cellStyle name="Wrap 2 2 5 6 10" xfId="31710" xr:uid="{00000000-0005-0000-0000-0000BF870000}"/>
    <cellStyle name="Wrap 2 2 5 6 2" xfId="31711" xr:uid="{00000000-0005-0000-0000-0000C0870000}"/>
    <cellStyle name="Wrap 2 2 5 6 2 2" xfId="31712" xr:uid="{00000000-0005-0000-0000-0000C1870000}"/>
    <cellStyle name="Wrap 2 2 5 6 3" xfId="31713" xr:uid="{00000000-0005-0000-0000-0000C2870000}"/>
    <cellStyle name="Wrap 2 2 5 6 3 2" xfId="31714" xr:uid="{00000000-0005-0000-0000-0000C3870000}"/>
    <cellStyle name="Wrap 2 2 5 6 4" xfId="31715" xr:uid="{00000000-0005-0000-0000-0000C4870000}"/>
    <cellStyle name="Wrap 2 2 5 6 4 2" xfId="31716" xr:uid="{00000000-0005-0000-0000-0000C5870000}"/>
    <cellStyle name="Wrap 2 2 5 6 5" xfId="31717" xr:uid="{00000000-0005-0000-0000-0000C6870000}"/>
    <cellStyle name="Wrap 2 2 5 6 5 2" xfId="31718" xr:uid="{00000000-0005-0000-0000-0000C7870000}"/>
    <cellStyle name="Wrap 2 2 5 6 6" xfId="31719" xr:uid="{00000000-0005-0000-0000-0000C8870000}"/>
    <cellStyle name="Wrap 2 2 5 6 6 2" xfId="31720" xr:uid="{00000000-0005-0000-0000-0000C9870000}"/>
    <cellStyle name="Wrap 2 2 5 6 7" xfId="31721" xr:uid="{00000000-0005-0000-0000-0000CA870000}"/>
    <cellStyle name="Wrap 2 2 5 6 7 2" xfId="31722" xr:uid="{00000000-0005-0000-0000-0000CB870000}"/>
    <cellStyle name="Wrap 2 2 5 6 8" xfId="31723" xr:uid="{00000000-0005-0000-0000-0000CC870000}"/>
    <cellStyle name="Wrap 2 2 5 6 8 2" xfId="31724" xr:uid="{00000000-0005-0000-0000-0000CD870000}"/>
    <cellStyle name="Wrap 2 2 5 6 9" xfId="31725" xr:uid="{00000000-0005-0000-0000-0000CE870000}"/>
    <cellStyle name="Wrap 2 2 5 6 9 2" xfId="31726" xr:uid="{00000000-0005-0000-0000-0000CF870000}"/>
    <cellStyle name="Wrap 2 2 5 7" xfId="31727" xr:uid="{00000000-0005-0000-0000-0000D0870000}"/>
    <cellStyle name="Wrap 2 2 5 7 10" xfId="31728" xr:uid="{00000000-0005-0000-0000-0000D1870000}"/>
    <cellStyle name="Wrap 2 2 5 7 2" xfId="31729" xr:uid="{00000000-0005-0000-0000-0000D2870000}"/>
    <cellStyle name="Wrap 2 2 5 7 2 2" xfId="31730" xr:uid="{00000000-0005-0000-0000-0000D3870000}"/>
    <cellStyle name="Wrap 2 2 5 7 3" xfId="31731" xr:uid="{00000000-0005-0000-0000-0000D4870000}"/>
    <cellStyle name="Wrap 2 2 5 7 3 2" xfId="31732" xr:uid="{00000000-0005-0000-0000-0000D5870000}"/>
    <cellStyle name="Wrap 2 2 5 7 4" xfId="31733" xr:uid="{00000000-0005-0000-0000-0000D6870000}"/>
    <cellStyle name="Wrap 2 2 5 7 4 2" xfId="31734" xr:uid="{00000000-0005-0000-0000-0000D7870000}"/>
    <cellStyle name="Wrap 2 2 5 7 5" xfId="31735" xr:uid="{00000000-0005-0000-0000-0000D8870000}"/>
    <cellStyle name="Wrap 2 2 5 7 5 2" xfId="31736" xr:uid="{00000000-0005-0000-0000-0000D9870000}"/>
    <cellStyle name="Wrap 2 2 5 7 6" xfId="31737" xr:uid="{00000000-0005-0000-0000-0000DA870000}"/>
    <cellStyle name="Wrap 2 2 5 7 6 2" xfId="31738" xr:uid="{00000000-0005-0000-0000-0000DB870000}"/>
    <cellStyle name="Wrap 2 2 5 7 7" xfId="31739" xr:uid="{00000000-0005-0000-0000-0000DC870000}"/>
    <cellStyle name="Wrap 2 2 5 7 7 2" xfId="31740" xr:uid="{00000000-0005-0000-0000-0000DD870000}"/>
    <cellStyle name="Wrap 2 2 5 7 8" xfId="31741" xr:uid="{00000000-0005-0000-0000-0000DE870000}"/>
    <cellStyle name="Wrap 2 2 5 7 8 2" xfId="31742" xr:uid="{00000000-0005-0000-0000-0000DF870000}"/>
    <cellStyle name="Wrap 2 2 5 7 9" xfId="31743" xr:uid="{00000000-0005-0000-0000-0000E0870000}"/>
    <cellStyle name="Wrap 2 2 5 7 9 2" xfId="31744" xr:uid="{00000000-0005-0000-0000-0000E1870000}"/>
    <cellStyle name="Wrap 2 2 5 8" xfId="31745" xr:uid="{00000000-0005-0000-0000-0000E2870000}"/>
    <cellStyle name="Wrap 2 2 5 8 10" xfId="31746" xr:uid="{00000000-0005-0000-0000-0000E3870000}"/>
    <cellStyle name="Wrap 2 2 5 8 2" xfId="31747" xr:uid="{00000000-0005-0000-0000-0000E4870000}"/>
    <cellStyle name="Wrap 2 2 5 8 2 2" xfId="31748" xr:uid="{00000000-0005-0000-0000-0000E5870000}"/>
    <cellStyle name="Wrap 2 2 5 8 3" xfId="31749" xr:uid="{00000000-0005-0000-0000-0000E6870000}"/>
    <cellStyle name="Wrap 2 2 5 8 3 2" xfId="31750" xr:uid="{00000000-0005-0000-0000-0000E7870000}"/>
    <cellStyle name="Wrap 2 2 5 8 4" xfId="31751" xr:uid="{00000000-0005-0000-0000-0000E8870000}"/>
    <cellStyle name="Wrap 2 2 5 8 4 2" xfId="31752" xr:uid="{00000000-0005-0000-0000-0000E9870000}"/>
    <cellStyle name="Wrap 2 2 5 8 5" xfId="31753" xr:uid="{00000000-0005-0000-0000-0000EA870000}"/>
    <cellStyle name="Wrap 2 2 5 8 5 2" xfId="31754" xr:uid="{00000000-0005-0000-0000-0000EB870000}"/>
    <cellStyle name="Wrap 2 2 5 8 6" xfId="31755" xr:uid="{00000000-0005-0000-0000-0000EC870000}"/>
    <cellStyle name="Wrap 2 2 5 8 6 2" xfId="31756" xr:uid="{00000000-0005-0000-0000-0000ED870000}"/>
    <cellStyle name="Wrap 2 2 5 8 7" xfId="31757" xr:uid="{00000000-0005-0000-0000-0000EE870000}"/>
    <cellStyle name="Wrap 2 2 5 8 7 2" xfId="31758" xr:uid="{00000000-0005-0000-0000-0000EF870000}"/>
    <cellStyle name="Wrap 2 2 5 8 8" xfId="31759" xr:uid="{00000000-0005-0000-0000-0000F0870000}"/>
    <cellStyle name="Wrap 2 2 5 8 8 2" xfId="31760" xr:uid="{00000000-0005-0000-0000-0000F1870000}"/>
    <cellStyle name="Wrap 2 2 5 8 9" xfId="31761" xr:uid="{00000000-0005-0000-0000-0000F2870000}"/>
    <cellStyle name="Wrap 2 2 5 8 9 2" xfId="31762" xr:uid="{00000000-0005-0000-0000-0000F3870000}"/>
    <cellStyle name="Wrap 2 2 5 9" xfId="31763" xr:uid="{00000000-0005-0000-0000-0000F4870000}"/>
    <cellStyle name="Wrap 2 2 5 9 10" xfId="31764" xr:uid="{00000000-0005-0000-0000-0000F5870000}"/>
    <cellStyle name="Wrap 2 2 5 9 2" xfId="31765" xr:uid="{00000000-0005-0000-0000-0000F6870000}"/>
    <cellStyle name="Wrap 2 2 5 9 2 2" xfId="31766" xr:uid="{00000000-0005-0000-0000-0000F7870000}"/>
    <cellStyle name="Wrap 2 2 5 9 3" xfId="31767" xr:uid="{00000000-0005-0000-0000-0000F8870000}"/>
    <cellStyle name="Wrap 2 2 5 9 3 2" xfId="31768" xr:uid="{00000000-0005-0000-0000-0000F9870000}"/>
    <cellStyle name="Wrap 2 2 5 9 4" xfId="31769" xr:uid="{00000000-0005-0000-0000-0000FA870000}"/>
    <cellStyle name="Wrap 2 2 5 9 4 2" xfId="31770" xr:uid="{00000000-0005-0000-0000-0000FB870000}"/>
    <cellStyle name="Wrap 2 2 5 9 5" xfId="31771" xr:uid="{00000000-0005-0000-0000-0000FC870000}"/>
    <cellStyle name="Wrap 2 2 5 9 5 2" xfId="31772" xr:uid="{00000000-0005-0000-0000-0000FD870000}"/>
    <cellStyle name="Wrap 2 2 5 9 6" xfId="31773" xr:uid="{00000000-0005-0000-0000-0000FE870000}"/>
    <cellStyle name="Wrap 2 2 5 9 6 2" xfId="31774" xr:uid="{00000000-0005-0000-0000-0000FF870000}"/>
    <cellStyle name="Wrap 2 2 5 9 7" xfId="31775" xr:uid="{00000000-0005-0000-0000-000000880000}"/>
    <cellStyle name="Wrap 2 2 5 9 7 2" xfId="31776" xr:uid="{00000000-0005-0000-0000-000001880000}"/>
    <cellStyle name="Wrap 2 2 5 9 8" xfId="31777" xr:uid="{00000000-0005-0000-0000-000002880000}"/>
    <cellStyle name="Wrap 2 2 5 9 8 2" xfId="31778" xr:uid="{00000000-0005-0000-0000-000003880000}"/>
    <cellStyle name="Wrap 2 2 5 9 9" xfId="31779" xr:uid="{00000000-0005-0000-0000-000004880000}"/>
    <cellStyle name="Wrap 2 2 5 9 9 2" xfId="31780" xr:uid="{00000000-0005-0000-0000-000005880000}"/>
    <cellStyle name="Wrap 2 2 6" xfId="31781" xr:uid="{00000000-0005-0000-0000-000006880000}"/>
    <cellStyle name="Wrap 2 2 6 10" xfId="31782" xr:uid="{00000000-0005-0000-0000-000007880000}"/>
    <cellStyle name="Wrap 2 2 6 10 2" xfId="31783" xr:uid="{00000000-0005-0000-0000-000008880000}"/>
    <cellStyle name="Wrap 2 2 6 10 2 2" xfId="31784" xr:uid="{00000000-0005-0000-0000-000009880000}"/>
    <cellStyle name="Wrap 2 2 6 10 3" xfId="31785" xr:uid="{00000000-0005-0000-0000-00000A880000}"/>
    <cellStyle name="Wrap 2 2 6 10 3 2" xfId="31786" xr:uid="{00000000-0005-0000-0000-00000B880000}"/>
    <cellStyle name="Wrap 2 2 6 10 4" xfId="31787" xr:uid="{00000000-0005-0000-0000-00000C880000}"/>
    <cellStyle name="Wrap 2 2 6 10 4 2" xfId="31788" xr:uid="{00000000-0005-0000-0000-00000D880000}"/>
    <cellStyle name="Wrap 2 2 6 10 5" xfId="31789" xr:uid="{00000000-0005-0000-0000-00000E880000}"/>
    <cellStyle name="Wrap 2 2 6 10 5 2" xfId="31790" xr:uid="{00000000-0005-0000-0000-00000F880000}"/>
    <cellStyle name="Wrap 2 2 6 10 6" xfId="31791" xr:uid="{00000000-0005-0000-0000-000010880000}"/>
    <cellStyle name="Wrap 2 2 6 10 6 2" xfId="31792" xr:uid="{00000000-0005-0000-0000-000011880000}"/>
    <cellStyle name="Wrap 2 2 6 10 7" xfId="31793" xr:uid="{00000000-0005-0000-0000-000012880000}"/>
    <cellStyle name="Wrap 2 2 6 10 7 2" xfId="31794" xr:uid="{00000000-0005-0000-0000-000013880000}"/>
    <cellStyle name="Wrap 2 2 6 10 8" xfId="31795" xr:uid="{00000000-0005-0000-0000-000014880000}"/>
    <cellStyle name="Wrap 2 2 6 10 8 2" xfId="31796" xr:uid="{00000000-0005-0000-0000-000015880000}"/>
    <cellStyle name="Wrap 2 2 6 10 9" xfId="31797" xr:uid="{00000000-0005-0000-0000-000016880000}"/>
    <cellStyle name="Wrap 2 2 6 11" xfId="31798" xr:uid="{00000000-0005-0000-0000-000017880000}"/>
    <cellStyle name="Wrap 2 2 6 11 2" xfId="31799" xr:uid="{00000000-0005-0000-0000-000018880000}"/>
    <cellStyle name="Wrap 2 2 6 12" xfId="31800" xr:uid="{00000000-0005-0000-0000-000019880000}"/>
    <cellStyle name="Wrap 2 2 6 12 2" xfId="31801" xr:uid="{00000000-0005-0000-0000-00001A880000}"/>
    <cellStyle name="Wrap 2 2 6 13" xfId="31802" xr:uid="{00000000-0005-0000-0000-00001B880000}"/>
    <cellStyle name="Wrap 2 2 6 13 2" xfId="31803" xr:uid="{00000000-0005-0000-0000-00001C880000}"/>
    <cellStyle name="Wrap 2 2 6 14" xfId="31804" xr:uid="{00000000-0005-0000-0000-00001D880000}"/>
    <cellStyle name="Wrap 2 2 6 14 2" xfId="31805" xr:uid="{00000000-0005-0000-0000-00001E880000}"/>
    <cellStyle name="Wrap 2 2 6 15" xfId="31806" xr:uid="{00000000-0005-0000-0000-00001F880000}"/>
    <cellStyle name="Wrap 2 2 6 15 2" xfId="31807" xr:uid="{00000000-0005-0000-0000-000020880000}"/>
    <cellStyle name="Wrap 2 2 6 16" xfId="31808" xr:uid="{00000000-0005-0000-0000-000021880000}"/>
    <cellStyle name="Wrap 2 2 6 16 2" xfId="31809" xr:uid="{00000000-0005-0000-0000-000022880000}"/>
    <cellStyle name="Wrap 2 2 6 17" xfId="31810" xr:uid="{00000000-0005-0000-0000-000023880000}"/>
    <cellStyle name="Wrap 2 2 6 17 2" xfId="31811" xr:uid="{00000000-0005-0000-0000-000024880000}"/>
    <cellStyle name="Wrap 2 2 6 18" xfId="31812" xr:uid="{00000000-0005-0000-0000-000025880000}"/>
    <cellStyle name="Wrap 2 2 6 2" xfId="31813" xr:uid="{00000000-0005-0000-0000-000026880000}"/>
    <cellStyle name="Wrap 2 2 6 2 10" xfId="31814" xr:uid="{00000000-0005-0000-0000-000027880000}"/>
    <cellStyle name="Wrap 2 2 6 2 2" xfId="31815" xr:uid="{00000000-0005-0000-0000-000028880000}"/>
    <cellStyle name="Wrap 2 2 6 2 2 2" xfId="31816" xr:uid="{00000000-0005-0000-0000-000029880000}"/>
    <cellStyle name="Wrap 2 2 6 2 3" xfId="31817" xr:uid="{00000000-0005-0000-0000-00002A880000}"/>
    <cellStyle name="Wrap 2 2 6 2 3 2" xfId="31818" xr:uid="{00000000-0005-0000-0000-00002B880000}"/>
    <cellStyle name="Wrap 2 2 6 2 4" xfId="31819" xr:uid="{00000000-0005-0000-0000-00002C880000}"/>
    <cellStyle name="Wrap 2 2 6 2 4 2" xfId="31820" xr:uid="{00000000-0005-0000-0000-00002D880000}"/>
    <cellStyle name="Wrap 2 2 6 2 5" xfId="31821" xr:uid="{00000000-0005-0000-0000-00002E880000}"/>
    <cellStyle name="Wrap 2 2 6 2 5 2" xfId="31822" xr:uid="{00000000-0005-0000-0000-00002F880000}"/>
    <cellStyle name="Wrap 2 2 6 2 6" xfId="31823" xr:uid="{00000000-0005-0000-0000-000030880000}"/>
    <cellStyle name="Wrap 2 2 6 2 6 2" xfId="31824" xr:uid="{00000000-0005-0000-0000-000031880000}"/>
    <cellStyle name="Wrap 2 2 6 2 7" xfId="31825" xr:uid="{00000000-0005-0000-0000-000032880000}"/>
    <cellStyle name="Wrap 2 2 6 2 7 2" xfId="31826" xr:uid="{00000000-0005-0000-0000-000033880000}"/>
    <cellStyle name="Wrap 2 2 6 2 8" xfId="31827" xr:uid="{00000000-0005-0000-0000-000034880000}"/>
    <cellStyle name="Wrap 2 2 6 2 8 2" xfId="31828" xr:uid="{00000000-0005-0000-0000-000035880000}"/>
    <cellStyle name="Wrap 2 2 6 2 9" xfId="31829" xr:uid="{00000000-0005-0000-0000-000036880000}"/>
    <cellStyle name="Wrap 2 2 6 2 9 2" xfId="31830" xr:uid="{00000000-0005-0000-0000-000037880000}"/>
    <cellStyle name="Wrap 2 2 6 3" xfId="31831" xr:uid="{00000000-0005-0000-0000-000038880000}"/>
    <cellStyle name="Wrap 2 2 6 3 10" xfId="31832" xr:uid="{00000000-0005-0000-0000-000039880000}"/>
    <cellStyle name="Wrap 2 2 6 3 2" xfId="31833" xr:uid="{00000000-0005-0000-0000-00003A880000}"/>
    <cellStyle name="Wrap 2 2 6 3 2 2" xfId="31834" xr:uid="{00000000-0005-0000-0000-00003B880000}"/>
    <cellStyle name="Wrap 2 2 6 3 3" xfId="31835" xr:uid="{00000000-0005-0000-0000-00003C880000}"/>
    <cellStyle name="Wrap 2 2 6 3 3 2" xfId="31836" xr:uid="{00000000-0005-0000-0000-00003D880000}"/>
    <cellStyle name="Wrap 2 2 6 3 4" xfId="31837" xr:uid="{00000000-0005-0000-0000-00003E880000}"/>
    <cellStyle name="Wrap 2 2 6 3 4 2" xfId="31838" xr:uid="{00000000-0005-0000-0000-00003F880000}"/>
    <cellStyle name="Wrap 2 2 6 3 5" xfId="31839" xr:uid="{00000000-0005-0000-0000-000040880000}"/>
    <cellStyle name="Wrap 2 2 6 3 5 2" xfId="31840" xr:uid="{00000000-0005-0000-0000-000041880000}"/>
    <cellStyle name="Wrap 2 2 6 3 6" xfId="31841" xr:uid="{00000000-0005-0000-0000-000042880000}"/>
    <cellStyle name="Wrap 2 2 6 3 6 2" xfId="31842" xr:uid="{00000000-0005-0000-0000-000043880000}"/>
    <cellStyle name="Wrap 2 2 6 3 7" xfId="31843" xr:uid="{00000000-0005-0000-0000-000044880000}"/>
    <cellStyle name="Wrap 2 2 6 3 7 2" xfId="31844" xr:uid="{00000000-0005-0000-0000-000045880000}"/>
    <cellStyle name="Wrap 2 2 6 3 8" xfId="31845" xr:uid="{00000000-0005-0000-0000-000046880000}"/>
    <cellStyle name="Wrap 2 2 6 3 8 2" xfId="31846" xr:uid="{00000000-0005-0000-0000-000047880000}"/>
    <cellStyle name="Wrap 2 2 6 3 9" xfId="31847" xr:uid="{00000000-0005-0000-0000-000048880000}"/>
    <cellStyle name="Wrap 2 2 6 3 9 2" xfId="31848" xr:uid="{00000000-0005-0000-0000-000049880000}"/>
    <cellStyle name="Wrap 2 2 6 4" xfId="31849" xr:uid="{00000000-0005-0000-0000-00004A880000}"/>
    <cellStyle name="Wrap 2 2 6 4 10" xfId="31850" xr:uid="{00000000-0005-0000-0000-00004B880000}"/>
    <cellStyle name="Wrap 2 2 6 4 2" xfId="31851" xr:uid="{00000000-0005-0000-0000-00004C880000}"/>
    <cellStyle name="Wrap 2 2 6 4 2 2" xfId="31852" xr:uid="{00000000-0005-0000-0000-00004D880000}"/>
    <cellStyle name="Wrap 2 2 6 4 3" xfId="31853" xr:uid="{00000000-0005-0000-0000-00004E880000}"/>
    <cellStyle name="Wrap 2 2 6 4 3 2" xfId="31854" xr:uid="{00000000-0005-0000-0000-00004F880000}"/>
    <cellStyle name="Wrap 2 2 6 4 4" xfId="31855" xr:uid="{00000000-0005-0000-0000-000050880000}"/>
    <cellStyle name="Wrap 2 2 6 4 4 2" xfId="31856" xr:uid="{00000000-0005-0000-0000-000051880000}"/>
    <cellStyle name="Wrap 2 2 6 4 5" xfId="31857" xr:uid="{00000000-0005-0000-0000-000052880000}"/>
    <cellStyle name="Wrap 2 2 6 4 5 2" xfId="31858" xr:uid="{00000000-0005-0000-0000-000053880000}"/>
    <cellStyle name="Wrap 2 2 6 4 6" xfId="31859" xr:uid="{00000000-0005-0000-0000-000054880000}"/>
    <cellStyle name="Wrap 2 2 6 4 6 2" xfId="31860" xr:uid="{00000000-0005-0000-0000-000055880000}"/>
    <cellStyle name="Wrap 2 2 6 4 7" xfId="31861" xr:uid="{00000000-0005-0000-0000-000056880000}"/>
    <cellStyle name="Wrap 2 2 6 4 7 2" xfId="31862" xr:uid="{00000000-0005-0000-0000-000057880000}"/>
    <cellStyle name="Wrap 2 2 6 4 8" xfId="31863" xr:uid="{00000000-0005-0000-0000-000058880000}"/>
    <cellStyle name="Wrap 2 2 6 4 8 2" xfId="31864" xr:uid="{00000000-0005-0000-0000-000059880000}"/>
    <cellStyle name="Wrap 2 2 6 4 9" xfId="31865" xr:uid="{00000000-0005-0000-0000-00005A880000}"/>
    <cellStyle name="Wrap 2 2 6 4 9 2" xfId="31866" xr:uid="{00000000-0005-0000-0000-00005B880000}"/>
    <cellStyle name="Wrap 2 2 6 5" xfId="31867" xr:uid="{00000000-0005-0000-0000-00005C880000}"/>
    <cellStyle name="Wrap 2 2 6 5 10" xfId="31868" xr:uid="{00000000-0005-0000-0000-00005D880000}"/>
    <cellStyle name="Wrap 2 2 6 5 2" xfId="31869" xr:uid="{00000000-0005-0000-0000-00005E880000}"/>
    <cellStyle name="Wrap 2 2 6 5 2 2" xfId="31870" xr:uid="{00000000-0005-0000-0000-00005F880000}"/>
    <cellStyle name="Wrap 2 2 6 5 3" xfId="31871" xr:uid="{00000000-0005-0000-0000-000060880000}"/>
    <cellStyle name="Wrap 2 2 6 5 3 2" xfId="31872" xr:uid="{00000000-0005-0000-0000-000061880000}"/>
    <cellStyle name="Wrap 2 2 6 5 4" xfId="31873" xr:uid="{00000000-0005-0000-0000-000062880000}"/>
    <cellStyle name="Wrap 2 2 6 5 4 2" xfId="31874" xr:uid="{00000000-0005-0000-0000-000063880000}"/>
    <cellStyle name="Wrap 2 2 6 5 5" xfId="31875" xr:uid="{00000000-0005-0000-0000-000064880000}"/>
    <cellStyle name="Wrap 2 2 6 5 5 2" xfId="31876" xr:uid="{00000000-0005-0000-0000-000065880000}"/>
    <cellStyle name="Wrap 2 2 6 5 6" xfId="31877" xr:uid="{00000000-0005-0000-0000-000066880000}"/>
    <cellStyle name="Wrap 2 2 6 5 6 2" xfId="31878" xr:uid="{00000000-0005-0000-0000-000067880000}"/>
    <cellStyle name="Wrap 2 2 6 5 7" xfId="31879" xr:uid="{00000000-0005-0000-0000-000068880000}"/>
    <cellStyle name="Wrap 2 2 6 5 7 2" xfId="31880" xr:uid="{00000000-0005-0000-0000-000069880000}"/>
    <cellStyle name="Wrap 2 2 6 5 8" xfId="31881" xr:uid="{00000000-0005-0000-0000-00006A880000}"/>
    <cellStyle name="Wrap 2 2 6 5 8 2" xfId="31882" xr:uid="{00000000-0005-0000-0000-00006B880000}"/>
    <cellStyle name="Wrap 2 2 6 5 9" xfId="31883" xr:uid="{00000000-0005-0000-0000-00006C880000}"/>
    <cellStyle name="Wrap 2 2 6 5 9 2" xfId="31884" xr:uid="{00000000-0005-0000-0000-00006D880000}"/>
    <cellStyle name="Wrap 2 2 6 6" xfId="31885" xr:uid="{00000000-0005-0000-0000-00006E880000}"/>
    <cellStyle name="Wrap 2 2 6 6 10" xfId="31886" xr:uid="{00000000-0005-0000-0000-00006F880000}"/>
    <cellStyle name="Wrap 2 2 6 6 2" xfId="31887" xr:uid="{00000000-0005-0000-0000-000070880000}"/>
    <cellStyle name="Wrap 2 2 6 6 2 2" xfId="31888" xr:uid="{00000000-0005-0000-0000-000071880000}"/>
    <cellStyle name="Wrap 2 2 6 6 3" xfId="31889" xr:uid="{00000000-0005-0000-0000-000072880000}"/>
    <cellStyle name="Wrap 2 2 6 6 3 2" xfId="31890" xr:uid="{00000000-0005-0000-0000-000073880000}"/>
    <cellStyle name="Wrap 2 2 6 6 4" xfId="31891" xr:uid="{00000000-0005-0000-0000-000074880000}"/>
    <cellStyle name="Wrap 2 2 6 6 4 2" xfId="31892" xr:uid="{00000000-0005-0000-0000-000075880000}"/>
    <cellStyle name="Wrap 2 2 6 6 5" xfId="31893" xr:uid="{00000000-0005-0000-0000-000076880000}"/>
    <cellStyle name="Wrap 2 2 6 6 5 2" xfId="31894" xr:uid="{00000000-0005-0000-0000-000077880000}"/>
    <cellStyle name="Wrap 2 2 6 6 6" xfId="31895" xr:uid="{00000000-0005-0000-0000-000078880000}"/>
    <cellStyle name="Wrap 2 2 6 6 6 2" xfId="31896" xr:uid="{00000000-0005-0000-0000-000079880000}"/>
    <cellStyle name="Wrap 2 2 6 6 7" xfId="31897" xr:uid="{00000000-0005-0000-0000-00007A880000}"/>
    <cellStyle name="Wrap 2 2 6 6 7 2" xfId="31898" xr:uid="{00000000-0005-0000-0000-00007B880000}"/>
    <cellStyle name="Wrap 2 2 6 6 8" xfId="31899" xr:uid="{00000000-0005-0000-0000-00007C880000}"/>
    <cellStyle name="Wrap 2 2 6 6 8 2" xfId="31900" xr:uid="{00000000-0005-0000-0000-00007D880000}"/>
    <cellStyle name="Wrap 2 2 6 6 9" xfId="31901" xr:uid="{00000000-0005-0000-0000-00007E880000}"/>
    <cellStyle name="Wrap 2 2 6 6 9 2" xfId="31902" xr:uid="{00000000-0005-0000-0000-00007F880000}"/>
    <cellStyle name="Wrap 2 2 6 7" xfId="31903" xr:uid="{00000000-0005-0000-0000-000080880000}"/>
    <cellStyle name="Wrap 2 2 6 7 10" xfId="31904" xr:uid="{00000000-0005-0000-0000-000081880000}"/>
    <cellStyle name="Wrap 2 2 6 7 2" xfId="31905" xr:uid="{00000000-0005-0000-0000-000082880000}"/>
    <cellStyle name="Wrap 2 2 6 7 2 2" xfId="31906" xr:uid="{00000000-0005-0000-0000-000083880000}"/>
    <cellStyle name="Wrap 2 2 6 7 3" xfId="31907" xr:uid="{00000000-0005-0000-0000-000084880000}"/>
    <cellStyle name="Wrap 2 2 6 7 3 2" xfId="31908" xr:uid="{00000000-0005-0000-0000-000085880000}"/>
    <cellStyle name="Wrap 2 2 6 7 4" xfId="31909" xr:uid="{00000000-0005-0000-0000-000086880000}"/>
    <cellStyle name="Wrap 2 2 6 7 4 2" xfId="31910" xr:uid="{00000000-0005-0000-0000-000087880000}"/>
    <cellStyle name="Wrap 2 2 6 7 5" xfId="31911" xr:uid="{00000000-0005-0000-0000-000088880000}"/>
    <cellStyle name="Wrap 2 2 6 7 5 2" xfId="31912" xr:uid="{00000000-0005-0000-0000-000089880000}"/>
    <cellStyle name="Wrap 2 2 6 7 6" xfId="31913" xr:uid="{00000000-0005-0000-0000-00008A880000}"/>
    <cellStyle name="Wrap 2 2 6 7 6 2" xfId="31914" xr:uid="{00000000-0005-0000-0000-00008B880000}"/>
    <cellStyle name="Wrap 2 2 6 7 7" xfId="31915" xr:uid="{00000000-0005-0000-0000-00008C880000}"/>
    <cellStyle name="Wrap 2 2 6 7 7 2" xfId="31916" xr:uid="{00000000-0005-0000-0000-00008D880000}"/>
    <cellStyle name="Wrap 2 2 6 7 8" xfId="31917" xr:uid="{00000000-0005-0000-0000-00008E880000}"/>
    <cellStyle name="Wrap 2 2 6 7 8 2" xfId="31918" xr:uid="{00000000-0005-0000-0000-00008F880000}"/>
    <cellStyle name="Wrap 2 2 6 7 9" xfId="31919" xr:uid="{00000000-0005-0000-0000-000090880000}"/>
    <cellStyle name="Wrap 2 2 6 7 9 2" xfId="31920" xr:uid="{00000000-0005-0000-0000-000091880000}"/>
    <cellStyle name="Wrap 2 2 6 8" xfId="31921" xr:uid="{00000000-0005-0000-0000-000092880000}"/>
    <cellStyle name="Wrap 2 2 6 8 10" xfId="31922" xr:uid="{00000000-0005-0000-0000-000093880000}"/>
    <cellStyle name="Wrap 2 2 6 8 2" xfId="31923" xr:uid="{00000000-0005-0000-0000-000094880000}"/>
    <cellStyle name="Wrap 2 2 6 8 2 2" xfId="31924" xr:uid="{00000000-0005-0000-0000-000095880000}"/>
    <cellStyle name="Wrap 2 2 6 8 3" xfId="31925" xr:uid="{00000000-0005-0000-0000-000096880000}"/>
    <cellStyle name="Wrap 2 2 6 8 3 2" xfId="31926" xr:uid="{00000000-0005-0000-0000-000097880000}"/>
    <cellStyle name="Wrap 2 2 6 8 4" xfId="31927" xr:uid="{00000000-0005-0000-0000-000098880000}"/>
    <cellStyle name="Wrap 2 2 6 8 4 2" xfId="31928" xr:uid="{00000000-0005-0000-0000-000099880000}"/>
    <cellStyle name="Wrap 2 2 6 8 5" xfId="31929" xr:uid="{00000000-0005-0000-0000-00009A880000}"/>
    <cellStyle name="Wrap 2 2 6 8 5 2" xfId="31930" xr:uid="{00000000-0005-0000-0000-00009B880000}"/>
    <cellStyle name="Wrap 2 2 6 8 6" xfId="31931" xr:uid="{00000000-0005-0000-0000-00009C880000}"/>
    <cellStyle name="Wrap 2 2 6 8 6 2" xfId="31932" xr:uid="{00000000-0005-0000-0000-00009D880000}"/>
    <cellStyle name="Wrap 2 2 6 8 7" xfId="31933" xr:uid="{00000000-0005-0000-0000-00009E880000}"/>
    <cellStyle name="Wrap 2 2 6 8 7 2" xfId="31934" xr:uid="{00000000-0005-0000-0000-00009F880000}"/>
    <cellStyle name="Wrap 2 2 6 8 8" xfId="31935" xr:uid="{00000000-0005-0000-0000-0000A0880000}"/>
    <cellStyle name="Wrap 2 2 6 8 8 2" xfId="31936" xr:uid="{00000000-0005-0000-0000-0000A1880000}"/>
    <cellStyle name="Wrap 2 2 6 8 9" xfId="31937" xr:uid="{00000000-0005-0000-0000-0000A2880000}"/>
    <cellStyle name="Wrap 2 2 6 8 9 2" xfId="31938" xr:uid="{00000000-0005-0000-0000-0000A3880000}"/>
    <cellStyle name="Wrap 2 2 6 9" xfId="31939" xr:uid="{00000000-0005-0000-0000-0000A4880000}"/>
    <cellStyle name="Wrap 2 2 6 9 10" xfId="31940" xr:uid="{00000000-0005-0000-0000-0000A5880000}"/>
    <cellStyle name="Wrap 2 2 6 9 2" xfId="31941" xr:uid="{00000000-0005-0000-0000-0000A6880000}"/>
    <cellStyle name="Wrap 2 2 6 9 2 2" xfId="31942" xr:uid="{00000000-0005-0000-0000-0000A7880000}"/>
    <cellStyle name="Wrap 2 2 6 9 3" xfId="31943" xr:uid="{00000000-0005-0000-0000-0000A8880000}"/>
    <cellStyle name="Wrap 2 2 6 9 3 2" xfId="31944" xr:uid="{00000000-0005-0000-0000-0000A9880000}"/>
    <cellStyle name="Wrap 2 2 6 9 4" xfId="31945" xr:uid="{00000000-0005-0000-0000-0000AA880000}"/>
    <cellStyle name="Wrap 2 2 6 9 4 2" xfId="31946" xr:uid="{00000000-0005-0000-0000-0000AB880000}"/>
    <cellStyle name="Wrap 2 2 6 9 5" xfId="31947" xr:uid="{00000000-0005-0000-0000-0000AC880000}"/>
    <cellStyle name="Wrap 2 2 6 9 5 2" xfId="31948" xr:uid="{00000000-0005-0000-0000-0000AD880000}"/>
    <cellStyle name="Wrap 2 2 6 9 6" xfId="31949" xr:uid="{00000000-0005-0000-0000-0000AE880000}"/>
    <cellStyle name="Wrap 2 2 6 9 6 2" xfId="31950" xr:uid="{00000000-0005-0000-0000-0000AF880000}"/>
    <cellStyle name="Wrap 2 2 6 9 7" xfId="31951" xr:uid="{00000000-0005-0000-0000-0000B0880000}"/>
    <cellStyle name="Wrap 2 2 6 9 7 2" xfId="31952" xr:uid="{00000000-0005-0000-0000-0000B1880000}"/>
    <cellStyle name="Wrap 2 2 6 9 8" xfId="31953" xr:uid="{00000000-0005-0000-0000-0000B2880000}"/>
    <cellStyle name="Wrap 2 2 6 9 8 2" xfId="31954" xr:uid="{00000000-0005-0000-0000-0000B3880000}"/>
    <cellStyle name="Wrap 2 2 6 9 9" xfId="31955" xr:uid="{00000000-0005-0000-0000-0000B4880000}"/>
    <cellStyle name="Wrap 2 2 6 9 9 2" xfId="31956" xr:uid="{00000000-0005-0000-0000-0000B5880000}"/>
    <cellStyle name="Wrap 2 2 7" xfId="31957" xr:uid="{00000000-0005-0000-0000-0000B6880000}"/>
    <cellStyle name="Wrap 2 2 7 10" xfId="31958" xr:uid="{00000000-0005-0000-0000-0000B7880000}"/>
    <cellStyle name="Wrap 2 2 7 10 2" xfId="31959" xr:uid="{00000000-0005-0000-0000-0000B8880000}"/>
    <cellStyle name="Wrap 2 2 7 10 2 2" xfId="31960" xr:uid="{00000000-0005-0000-0000-0000B9880000}"/>
    <cellStyle name="Wrap 2 2 7 10 3" xfId="31961" xr:uid="{00000000-0005-0000-0000-0000BA880000}"/>
    <cellStyle name="Wrap 2 2 7 10 3 2" xfId="31962" xr:uid="{00000000-0005-0000-0000-0000BB880000}"/>
    <cellStyle name="Wrap 2 2 7 10 4" xfId="31963" xr:uid="{00000000-0005-0000-0000-0000BC880000}"/>
    <cellStyle name="Wrap 2 2 7 10 4 2" xfId="31964" xr:uid="{00000000-0005-0000-0000-0000BD880000}"/>
    <cellStyle name="Wrap 2 2 7 10 5" xfId="31965" xr:uid="{00000000-0005-0000-0000-0000BE880000}"/>
    <cellStyle name="Wrap 2 2 7 10 5 2" xfId="31966" xr:uid="{00000000-0005-0000-0000-0000BF880000}"/>
    <cellStyle name="Wrap 2 2 7 10 6" xfId="31967" xr:uid="{00000000-0005-0000-0000-0000C0880000}"/>
    <cellStyle name="Wrap 2 2 7 10 6 2" xfId="31968" xr:uid="{00000000-0005-0000-0000-0000C1880000}"/>
    <cellStyle name="Wrap 2 2 7 10 7" xfId="31969" xr:uid="{00000000-0005-0000-0000-0000C2880000}"/>
    <cellStyle name="Wrap 2 2 7 10 7 2" xfId="31970" xr:uid="{00000000-0005-0000-0000-0000C3880000}"/>
    <cellStyle name="Wrap 2 2 7 10 8" xfId="31971" xr:uid="{00000000-0005-0000-0000-0000C4880000}"/>
    <cellStyle name="Wrap 2 2 7 10 8 2" xfId="31972" xr:uid="{00000000-0005-0000-0000-0000C5880000}"/>
    <cellStyle name="Wrap 2 2 7 10 9" xfId="31973" xr:uid="{00000000-0005-0000-0000-0000C6880000}"/>
    <cellStyle name="Wrap 2 2 7 11" xfId="31974" xr:uid="{00000000-0005-0000-0000-0000C7880000}"/>
    <cellStyle name="Wrap 2 2 7 11 2" xfId="31975" xr:uid="{00000000-0005-0000-0000-0000C8880000}"/>
    <cellStyle name="Wrap 2 2 7 12" xfId="31976" xr:uid="{00000000-0005-0000-0000-0000C9880000}"/>
    <cellStyle name="Wrap 2 2 7 12 2" xfId="31977" xr:uid="{00000000-0005-0000-0000-0000CA880000}"/>
    <cellStyle name="Wrap 2 2 7 13" xfId="31978" xr:uid="{00000000-0005-0000-0000-0000CB880000}"/>
    <cellStyle name="Wrap 2 2 7 13 2" xfId="31979" xr:uid="{00000000-0005-0000-0000-0000CC880000}"/>
    <cellStyle name="Wrap 2 2 7 14" xfId="31980" xr:uid="{00000000-0005-0000-0000-0000CD880000}"/>
    <cellStyle name="Wrap 2 2 7 14 2" xfId="31981" xr:uid="{00000000-0005-0000-0000-0000CE880000}"/>
    <cellStyle name="Wrap 2 2 7 15" xfId="31982" xr:uid="{00000000-0005-0000-0000-0000CF880000}"/>
    <cellStyle name="Wrap 2 2 7 15 2" xfId="31983" xr:uid="{00000000-0005-0000-0000-0000D0880000}"/>
    <cellStyle name="Wrap 2 2 7 16" xfId="31984" xr:uid="{00000000-0005-0000-0000-0000D1880000}"/>
    <cellStyle name="Wrap 2 2 7 16 2" xfId="31985" xr:uid="{00000000-0005-0000-0000-0000D2880000}"/>
    <cellStyle name="Wrap 2 2 7 17" xfId="31986" xr:uid="{00000000-0005-0000-0000-0000D3880000}"/>
    <cellStyle name="Wrap 2 2 7 17 2" xfId="31987" xr:uid="{00000000-0005-0000-0000-0000D4880000}"/>
    <cellStyle name="Wrap 2 2 7 18" xfId="31988" xr:uid="{00000000-0005-0000-0000-0000D5880000}"/>
    <cellStyle name="Wrap 2 2 7 2" xfId="31989" xr:uid="{00000000-0005-0000-0000-0000D6880000}"/>
    <cellStyle name="Wrap 2 2 7 2 10" xfId="31990" xr:uid="{00000000-0005-0000-0000-0000D7880000}"/>
    <cellStyle name="Wrap 2 2 7 2 2" xfId="31991" xr:uid="{00000000-0005-0000-0000-0000D8880000}"/>
    <cellStyle name="Wrap 2 2 7 2 2 2" xfId="31992" xr:uid="{00000000-0005-0000-0000-0000D9880000}"/>
    <cellStyle name="Wrap 2 2 7 2 3" xfId="31993" xr:uid="{00000000-0005-0000-0000-0000DA880000}"/>
    <cellStyle name="Wrap 2 2 7 2 3 2" xfId="31994" xr:uid="{00000000-0005-0000-0000-0000DB880000}"/>
    <cellStyle name="Wrap 2 2 7 2 4" xfId="31995" xr:uid="{00000000-0005-0000-0000-0000DC880000}"/>
    <cellStyle name="Wrap 2 2 7 2 4 2" xfId="31996" xr:uid="{00000000-0005-0000-0000-0000DD880000}"/>
    <cellStyle name="Wrap 2 2 7 2 5" xfId="31997" xr:uid="{00000000-0005-0000-0000-0000DE880000}"/>
    <cellStyle name="Wrap 2 2 7 2 5 2" xfId="31998" xr:uid="{00000000-0005-0000-0000-0000DF880000}"/>
    <cellStyle name="Wrap 2 2 7 2 6" xfId="31999" xr:uid="{00000000-0005-0000-0000-0000E0880000}"/>
    <cellStyle name="Wrap 2 2 7 2 6 2" xfId="32000" xr:uid="{00000000-0005-0000-0000-0000E1880000}"/>
    <cellStyle name="Wrap 2 2 7 2 7" xfId="32001" xr:uid="{00000000-0005-0000-0000-0000E2880000}"/>
    <cellStyle name="Wrap 2 2 7 2 7 2" xfId="32002" xr:uid="{00000000-0005-0000-0000-0000E3880000}"/>
    <cellStyle name="Wrap 2 2 7 2 8" xfId="32003" xr:uid="{00000000-0005-0000-0000-0000E4880000}"/>
    <cellStyle name="Wrap 2 2 7 2 8 2" xfId="32004" xr:uid="{00000000-0005-0000-0000-0000E5880000}"/>
    <cellStyle name="Wrap 2 2 7 2 9" xfId="32005" xr:uid="{00000000-0005-0000-0000-0000E6880000}"/>
    <cellStyle name="Wrap 2 2 7 2 9 2" xfId="32006" xr:uid="{00000000-0005-0000-0000-0000E7880000}"/>
    <cellStyle name="Wrap 2 2 7 3" xfId="32007" xr:uid="{00000000-0005-0000-0000-0000E8880000}"/>
    <cellStyle name="Wrap 2 2 7 3 10" xfId="32008" xr:uid="{00000000-0005-0000-0000-0000E9880000}"/>
    <cellStyle name="Wrap 2 2 7 3 2" xfId="32009" xr:uid="{00000000-0005-0000-0000-0000EA880000}"/>
    <cellStyle name="Wrap 2 2 7 3 2 2" xfId="32010" xr:uid="{00000000-0005-0000-0000-0000EB880000}"/>
    <cellStyle name="Wrap 2 2 7 3 3" xfId="32011" xr:uid="{00000000-0005-0000-0000-0000EC880000}"/>
    <cellStyle name="Wrap 2 2 7 3 3 2" xfId="32012" xr:uid="{00000000-0005-0000-0000-0000ED880000}"/>
    <cellStyle name="Wrap 2 2 7 3 4" xfId="32013" xr:uid="{00000000-0005-0000-0000-0000EE880000}"/>
    <cellStyle name="Wrap 2 2 7 3 4 2" xfId="32014" xr:uid="{00000000-0005-0000-0000-0000EF880000}"/>
    <cellStyle name="Wrap 2 2 7 3 5" xfId="32015" xr:uid="{00000000-0005-0000-0000-0000F0880000}"/>
    <cellStyle name="Wrap 2 2 7 3 5 2" xfId="32016" xr:uid="{00000000-0005-0000-0000-0000F1880000}"/>
    <cellStyle name="Wrap 2 2 7 3 6" xfId="32017" xr:uid="{00000000-0005-0000-0000-0000F2880000}"/>
    <cellStyle name="Wrap 2 2 7 3 6 2" xfId="32018" xr:uid="{00000000-0005-0000-0000-0000F3880000}"/>
    <cellStyle name="Wrap 2 2 7 3 7" xfId="32019" xr:uid="{00000000-0005-0000-0000-0000F4880000}"/>
    <cellStyle name="Wrap 2 2 7 3 7 2" xfId="32020" xr:uid="{00000000-0005-0000-0000-0000F5880000}"/>
    <cellStyle name="Wrap 2 2 7 3 8" xfId="32021" xr:uid="{00000000-0005-0000-0000-0000F6880000}"/>
    <cellStyle name="Wrap 2 2 7 3 8 2" xfId="32022" xr:uid="{00000000-0005-0000-0000-0000F7880000}"/>
    <cellStyle name="Wrap 2 2 7 3 9" xfId="32023" xr:uid="{00000000-0005-0000-0000-0000F8880000}"/>
    <cellStyle name="Wrap 2 2 7 3 9 2" xfId="32024" xr:uid="{00000000-0005-0000-0000-0000F9880000}"/>
    <cellStyle name="Wrap 2 2 7 4" xfId="32025" xr:uid="{00000000-0005-0000-0000-0000FA880000}"/>
    <cellStyle name="Wrap 2 2 7 4 10" xfId="32026" xr:uid="{00000000-0005-0000-0000-0000FB880000}"/>
    <cellStyle name="Wrap 2 2 7 4 2" xfId="32027" xr:uid="{00000000-0005-0000-0000-0000FC880000}"/>
    <cellStyle name="Wrap 2 2 7 4 2 2" xfId="32028" xr:uid="{00000000-0005-0000-0000-0000FD880000}"/>
    <cellStyle name="Wrap 2 2 7 4 3" xfId="32029" xr:uid="{00000000-0005-0000-0000-0000FE880000}"/>
    <cellStyle name="Wrap 2 2 7 4 3 2" xfId="32030" xr:uid="{00000000-0005-0000-0000-0000FF880000}"/>
    <cellStyle name="Wrap 2 2 7 4 4" xfId="32031" xr:uid="{00000000-0005-0000-0000-000000890000}"/>
    <cellStyle name="Wrap 2 2 7 4 4 2" xfId="32032" xr:uid="{00000000-0005-0000-0000-000001890000}"/>
    <cellStyle name="Wrap 2 2 7 4 5" xfId="32033" xr:uid="{00000000-0005-0000-0000-000002890000}"/>
    <cellStyle name="Wrap 2 2 7 4 5 2" xfId="32034" xr:uid="{00000000-0005-0000-0000-000003890000}"/>
    <cellStyle name="Wrap 2 2 7 4 6" xfId="32035" xr:uid="{00000000-0005-0000-0000-000004890000}"/>
    <cellStyle name="Wrap 2 2 7 4 6 2" xfId="32036" xr:uid="{00000000-0005-0000-0000-000005890000}"/>
    <cellStyle name="Wrap 2 2 7 4 7" xfId="32037" xr:uid="{00000000-0005-0000-0000-000006890000}"/>
    <cellStyle name="Wrap 2 2 7 4 7 2" xfId="32038" xr:uid="{00000000-0005-0000-0000-000007890000}"/>
    <cellStyle name="Wrap 2 2 7 4 8" xfId="32039" xr:uid="{00000000-0005-0000-0000-000008890000}"/>
    <cellStyle name="Wrap 2 2 7 4 8 2" xfId="32040" xr:uid="{00000000-0005-0000-0000-000009890000}"/>
    <cellStyle name="Wrap 2 2 7 4 9" xfId="32041" xr:uid="{00000000-0005-0000-0000-00000A890000}"/>
    <cellStyle name="Wrap 2 2 7 4 9 2" xfId="32042" xr:uid="{00000000-0005-0000-0000-00000B890000}"/>
    <cellStyle name="Wrap 2 2 7 5" xfId="32043" xr:uid="{00000000-0005-0000-0000-00000C890000}"/>
    <cellStyle name="Wrap 2 2 7 5 10" xfId="32044" xr:uid="{00000000-0005-0000-0000-00000D890000}"/>
    <cellStyle name="Wrap 2 2 7 5 2" xfId="32045" xr:uid="{00000000-0005-0000-0000-00000E890000}"/>
    <cellStyle name="Wrap 2 2 7 5 2 2" xfId="32046" xr:uid="{00000000-0005-0000-0000-00000F890000}"/>
    <cellStyle name="Wrap 2 2 7 5 3" xfId="32047" xr:uid="{00000000-0005-0000-0000-000010890000}"/>
    <cellStyle name="Wrap 2 2 7 5 3 2" xfId="32048" xr:uid="{00000000-0005-0000-0000-000011890000}"/>
    <cellStyle name="Wrap 2 2 7 5 4" xfId="32049" xr:uid="{00000000-0005-0000-0000-000012890000}"/>
    <cellStyle name="Wrap 2 2 7 5 4 2" xfId="32050" xr:uid="{00000000-0005-0000-0000-000013890000}"/>
    <cellStyle name="Wrap 2 2 7 5 5" xfId="32051" xr:uid="{00000000-0005-0000-0000-000014890000}"/>
    <cellStyle name="Wrap 2 2 7 5 5 2" xfId="32052" xr:uid="{00000000-0005-0000-0000-000015890000}"/>
    <cellStyle name="Wrap 2 2 7 5 6" xfId="32053" xr:uid="{00000000-0005-0000-0000-000016890000}"/>
    <cellStyle name="Wrap 2 2 7 5 6 2" xfId="32054" xr:uid="{00000000-0005-0000-0000-000017890000}"/>
    <cellStyle name="Wrap 2 2 7 5 7" xfId="32055" xr:uid="{00000000-0005-0000-0000-000018890000}"/>
    <cellStyle name="Wrap 2 2 7 5 7 2" xfId="32056" xr:uid="{00000000-0005-0000-0000-000019890000}"/>
    <cellStyle name="Wrap 2 2 7 5 8" xfId="32057" xr:uid="{00000000-0005-0000-0000-00001A890000}"/>
    <cellStyle name="Wrap 2 2 7 5 8 2" xfId="32058" xr:uid="{00000000-0005-0000-0000-00001B890000}"/>
    <cellStyle name="Wrap 2 2 7 5 9" xfId="32059" xr:uid="{00000000-0005-0000-0000-00001C890000}"/>
    <cellStyle name="Wrap 2 2 7 5 9 2" xfId="32060" xr:uid="{00000000-0005-0000-0000-00001D890000}"/>
    <cellStyle name="Wrap 2 2 7 6" xfId="32061" xr:uid="{00000000-0005-0000-0000-00001E890000}"/>
    <cellStyle name="Wrap 2 2 7 6 10" xfId="32062" xr:uid="{00000000-0005-0000-0000-00001F890000}"/>
    <cellStyle name="Wrap 2 2 7 6 2" xfId="32063" xr:uid="{00000000-0005-0000-0000-000020890000}"/>
    <cellStyle name="Wrap 2 2 7 6 2 2" xfId="32064" xr:uid="{00000000-0005-0000-0000-000021890000}"/>
    <cellStyle name="Wrap 2 2 7 6 3" xfId="32065" xr:uid="{00000000-0005-0000-0000-000022890000}"/>
    <cellStyle name="Wrap 2 2 7 6 3 2" xfId="32066" xr:uid="{00000000-0005-0000-0000-000023890000}"/>
    <cellStyle name="Wrap 2 2 7 6 4" xfId="32067" xr:uid="{00000000-0005-0000-0000-000024890000}"/>
    <cellStyle name="Wrap 2 2 7 6 4 2" xfId="32068" xr:uid="{00000000-0005-0000-0000-000025890000}"/>
    <cellStyle name="Wrap 2 2 7 6 5" xfId="32069" xr:uid="{00000000-0005-0000-0000-000026890000}"/>
    <cellStyle name="Wrap 2 2 7 6 5 2" xfId="32070" xr:uid="{00000000-0005-0000-0000-000027890000}"/>
    <cellStyle name="Wrap 2 2 7 6 6" xfId="32071" xr:uid="{00000000-0005-0000-0000-000028890000}"/>
    <cellStyle name="Wrap 2 2 7 6 6 2" xfId="32072" xr:uid="{00000000-0005-0000-0000-000029890000}"/>
    <cellStyle name="Wrap 2 2 7 6 7" xfId="32073" xr:uid="{00000000-0005-0000-0000-00002A890000}"/>
    <cellStyle name="Wrap 2 2 7 6 7 2" xfId="32074" xr:uid="{00000000-0005-0000-0000-00002B890000}"/>
    <cellStyle name="Wrap 2 2 7 6 8" xfId="32075" xr:uid="{00000000-0005-0000-0000-00002C890000}"/>
    <cellStyle name="Wrap 2 2 7 6 8 2" xfId="32076" xr:uid="{00000000-0005-0000-0000-00002D890000}"/>
    <cellStyle name="Wrap 2 2 7 6 9" xfId="32077" xr:uid="{00000000-0005-0000-0000-00002E890000}"/>
    <cellStyle name="Wrap 2 2 7 6 9 2" xfId="32078" xr:uid="{00000000-0005-0000-0000-00002F890000}"/>
    <cellStyle name="Wrap 2 2 7 7" xfId="32079" xr:uid="{00000000-0005-0000-0000-000030890000}"/>
    <cellStyle name="Wrap 2 2 7 7 10" xfId="32080" xr:uid="{00000000-0005-0000-0000-000031890000}"/>
    <cellStyle name="Wrap 2 2 7 7 2" xfId="32081" xr:uid="{00000000-0005-0000-0000-000032890000}"/>
    <cellStyle name="Wrap 2 2 7 7 2 2" xfId="32082" xr:uid="{00000000-0005-0000-0000-000033890000}"/>
    <cellStyle name="Wrap 2 2 7 7 3" xfId="32083" xr:uid="{00000000-0005-0000-0000-000034890000}"/>
    <cellStyle name="Wrap 2 2 7 7 3 2" xfId="32084" xr:uid="{00000000-0005-0000-0000-000035890000}"/>
    <cellStyle name="Wrap 2 2 7 7 4" xfId="32085" xr:uid="{00000000-0005-0000-0000-000036890000}"/>
    <cellStyle name="Wrap 2 2 7 7 4 2" xfId="32086" xr:uid="{00000000-0005-0000-0000-000037890000}"/>
    <cellStyle name="Wrap 2 2 7 7 5" xfId="32087" xr:uid="{00000000-0005-0000-0000-000038890000}"/>
    <cellStyle name="Wrap 2 2 7 7 5 2" xfId="32088" xr:uid="{00000000-0005-0000-0000-000039890000}"/>
    <cellStyle name="Wrap 2 2 7 7 6" xfId="32089" xr:uid="{00000000-0005-0000-0000-00003A890000}"/>
    <cellStyle name="Wrap 2 2 7 7 6 2" xfId="32090" xr:uid="{00000000-0005-0000-0000-00003B890000}"/>
    <cellStyle name="Wrap 2 2 7 7 7" xfId="32091" xr:uid="{00000000-0005-0000-0000-00003C890000}"/>
    <cellStyle name="Wrap 2 2 7 7 7 2" xfId="32092" xr:uid="{00000000-0005-0000-0000-00003D890000}"/>
    <cellStyle name="Wrap 2 2 7 7 8" xfId="32093" xr:uid="{00000000-0005-0000-0000-00003E890000}"/>
    <cellStyle name="Wrap 2 2 7 7 8 2" xfId="32094" xr:uid="{00000000-0005-0000-0000-00003F890000}"/>
    <cellStyle name="Wrap 2 2 7 7 9" xfId="32095" xr:uid="{00000000-0005-0000-0000-000040890000}"/>
    <cellStyle name="Wrap 2 2 7 7 9 2" xfId="32096" xr:uid="{00000000-0005-0000-0000-000041890000}"/>
    <cellStyle name="Wrap 2 2 7 8" xfId="32097" xr:uid="{00000000-0005-0000-0000-000042890000}"/>
    <cellStyle name="Wrap 2 2 7 8 10" xfId="32098" xr:uid="{00000000-0005-0000-0000-000043890000}"/>
    <cellStyle name="Wrap 2 2 7 8 2" xfId="32099" xr:uid="{00000000-0005-0000-0000-000044890000}"/>
    <cellStyle name="Wrap 2 2 7 8 2 2" xfId="32100" xr:uid="{00000000-0005-0000-0000-000045890000}"/>
    <cellStyle name="Wrap 2 2 7 8 3" xfId="32101" xr:uid="{00000000-0005-0000-0000-000046890000}"/>
    <cellStyle name="Wrap 2 2 7 8 3 2" xfId="32102" xr:uid="{00000000-0005-0000-0000-000047890000}"/>
    <cellStyle name="Wrap 2 2 7 8 4" xfId="32103" xr:uid="{00000000-0005-0000-0000-000048890000}"/>
    <cellStyle name="Wrap 2 2 7 8 4 2" xfId="32104" xr:uid="{00000000-0005-0000-0000-000049890000}"/>
    <cellStyle name="Wrap 2 2 7 8 5" xfId="32105" xr:uid="{00000000-0005-0000-0000-00004A890000}"/>
    <cellStyle name="Wrap 2 2 7 8 5 2" xfId="32106" xr:uid="{00000000-0005-0000-0000-00004B890000}"/>
    <cellStyle name="Wrap 2 2 7 8 6" xfId="32107" xr:uid="{00000000-0005-0000-0000-00004C890000}"/>
    <cellStyle name="Wrap 2 2 7 8 6 2" xfId="32108" xr:uid="{00000000-0005-0000-0000-00004D890000}"/>
    <cellStyle name="Wrap 2 2 7 8 7" xfId="32109" xr:uid="{00000000-0005-0000-0000-00004E890000}"/>
    <cellStyle name="Wrap 2 2 7 8 7 2" xfId="32110" xr:uid="{00000000-0005-0000-0000-00004F890000}"/>
    <cellStyle name="Wrap 2 2 7 8 8" xfId="32111" xr:uid="{00000000-0005-0000-0000-000050890000}"/>
    <cellStyle name="Wrap 2 2 7 8 8 2" xfId="32112" xr:uid="{00000000-0005-0000-0000-000051890000}"/>
    <cellStyle name="Wrap 2 2 7 8 9" xfId="32113" xr:uid="{00000000-0005-0000-0000-000052890000}"/>
    <cellStyle name="Wrap 2 2 7 8 9 2" xfId="32114" xr:uid="{00000000-0005-0000-0000-000053890000}"/>
    <cellStyle name="Wrap 2 2 7 9" xfId="32115" xr:uid="{00000000-0005-0000-0000-000054890000}"/>
    <cellStyle name="Wrap 2 2 7 9 10" xfId="32116" xr:uid="{00000000-0005-0000-0000-000055890000}"/>
    <cellStyle name="Wrap 2 2 7 9 2" xfId="32117" xr:uid="{00000000-0005-0000-0000-000056890000}"/>
    <cellStyle name="Wrap 2 2 7 9 2 2" xfId="32118" xr:uid="{00000000-0005-0000-0000-000057890000}"/>
    <cellStyle name="Wrap 2 2 7 9 3" xfId="32119" xr:uid="{00000000-0005-0000-0000-000058890000}"/>
    <cellStyle name="Wrap 2 2 7 9 3 2" xfId="32120" xr:uid="{00000000-0005-0000-0000-000059890000}"/>
    <cellStyle name="Wrap 2 2 7 9 4" xfId="32121" xr:uid="{00000000-0005-0000-0000-00005A890000}"/>
    <cellStyle name="Wrap 2 2 7 9 4 2" xfId="32122" xr:uid="{00000000-0005-0000-0000-00005B890000}"/>
    <cellStyle name="Wrap 2 2 7 9 5" xfId="32123" xr:uid="{00000000-0005-0000-0000-00005C890000}"/>
    <cellStyle name="Wrap 2 2 7 9 5 2" xfId="32124" xr:uid="{00000000-0005-0000-0000-00005D890000}"/>
    <cellStyle name="Wrap 2 2 7 9 6" xfId="32125" xr:uid="{00000000-0005-0000-0000-00005E890000}"/>
    <cellStyle name="Wrap 2 2 7 9 6 2" xfId="32126" xr:uid="{00000000-0005-0000-0000-00005F890000}"/>
    <cellStyle name="Wrap 2 2 7 9 7" xfId="32127" xr:uid="{00000000-0005-0000-0000-000060890000}"/>
    <cellStyle name="Wrap 2 2 7 9 7 2" xfId="32128" xr:uid="{00000000-0005-0000-0000-000061890000}"/>
    <cellStyle name="Wrap 2 2 7 9 8" xfId="32129" xr:uid="{00000000-0005-0000-0000-000062890000}"/>
    <cellStyle name="Wrap 2 2 7 9 8 2" xfId="32130" xr:uid="{00000000-0005-0000-0000-000063890000}"/>
    <cellStyle name="Wrap 2 2 7 9 9" xfId="32131" xr:uid="{00000000-0005-0000-0000-000064890000}"/>
    <cellStyle name="Wrap 2 2 7 9 9 2" xfId="32132" xr:uid="{00000000-0005-0000-0000-000065890000}"/>
    <cellStyle name="Wrap 2 2 8" xfId="32133" xr:uid="{00000000-0005-0000-0000-000066890000}"/>
    <cellStyle name="Wrap 2 2 8 10" xfId="32134" xr:uid="{00000000-0005-0000-0000-000067890000}"/>
    <cellStyle name="Wrap 2 2 8 10 2" xfId="32135" xr:uid="{00000000-0005-0000-0000-000068890000}"/>
    <cellStyle name="Wrap 2 2 8 10 2 2" xfId="32136" xr:uid="{00000000-0005-0000-0000-000069890000}"/>
    <cellStyle name="Wrap 2 2 8 10 3" xfId="32137" xr:uid="{00000000-0005-0000-0000-00006A890000}"/>
    <cellStyle name="Wrap 2 2 8 10 3 2" xfId="32138" xr:uid="{00000000-0005-0000-0000-00006B890000}"/>
    <cellStyle name="Wrap 2 2 8 10 4" xfId="32139" xr:uid="{00000000-0005-0000-0000-00006C890000}"/>
    <cellStyle name="Wrap 2 2 8 10 4 2" xfId="32140" xr:uid="{00000000-0005-0000-0000-00006D890000}"/>
    <cellStyle name="Wrap 2 2 8 10 5" xfId="32141" xr:uid="{00000000-0005-0000-0000-00006E890000}"/>
    <cellStyle name="Wrap 2 2 8 10 5 2" xfId="32142" xr:uid="{00000000-0005-0000-0000-00006F890000}"/>
    <cellStyle name="Wrap 2 2 8 10 6" xfId="32143" xr:uid="{00000000-0005-0000-0000-000070890000}"/>
    <cellStyle name="Wrap 2 2 8 10 6 2" xfId="32144" xr:uid="{00000000-0005-0000-0000-000071890000}"/>
    <cellStyle name="Wrap 2 2 8 10 7" xfId="32145" xr:uid="{00000000-0005-0000-0000-000072890000}"/>
    <cellStyle name="Wrap 2 2 8 10 7 2" xfId="32146" xr:uid="{00000000-0005-0000-0000-000073890000}"/>
    <cellStyle name="Wrap 2 2 8 10 8" xfId="32147" xr:uid="{00000000-0005-0000-0000-000074890000}"/>
    <cellStyle name="Wrap 2 2 8 10 8 2" xfId="32148" xr:uid="{00000000-0005-0000-0000-000075890000}"/>
    <cellStyle name="Wrap 2 2 8 10 9" xfId="32149" xr:uid="{00000000-0005-0000-0000-000076890000}"/>
    <cellStyle name="Wrap 2 2 8 11" xfId="32150" xr:uid="{00000000-0005-0000-0000-000077890000}"/>
    <cellStyle name="Wrap 2 2 8 11 2" xfId="32151" xr:uid="{00000000-0005-0000-0000-000078890000}"/>
    <cellStyle name="Wrap 2 2 8 12" xfId="32152" xr:uid="{00000000-0005-0000-0000-000079890000}"/>
    <cellStyle name="Wrap 2 2 8 12 2" xfId="32153" xr:uid="{00000000-0005-0000-0000-00007A890000}"/>
    <cellStyle name="Wrap 2 2 8 13" xfId="32154" xr:uid="{00000000-0005-0000-0000-00007B890000}"/>
    <cellStyle name="Wrap 2 2 8 13 2" xfId="32155" xr:uid="{00000000-0005-0000-0000-00007C890000}"/>
    <cellStyle name="Wrap 2 2 8 14" xfId="32156" xr:uid="{00000000-0005-0000-0000-00007D890000}"/>
    <cellStyle name="Wrap 2 2 8 14 2" xfId="32157" xr:uid="{00000000-0005-0000-0000-00007E890000}"/>
    <cellStyle name="Wrap 2 2 8 15" xfId="32158" xr:uid="{00000000-0005-0000-0000-00007F890000}"/>
    <cellStyle name="Wrap 2 2 8 15 2" xfId="32159" xr:uid="{00000000-0005-0000-0000-000080890000}"/>
    <cellStyle name="Wrap 2 2 8 16" xfId="32160" xr:uid="{00000000-0005-0000-0000-000081890000}"/>
    <cellStyle name="Wrap 2 2 8 16 2" xfId="32161" xr:uid="{00000000-0005-0000-0000-000082890000}"/>
    <cellStyle name="Wrap 2 2 8 17" xfId="32162" xr:uid="{00000000-0005-0000-0000-000083890000}"/>
    <cellStyle name="Wrap 2 2 8 17 2" xfId="32163" xr:uid="{00000000-0005-0000-0000-000084890000}"/>
    <cellStyle name="Wrap 2 2 8 18" xfId="32164" xr:uid="{00000000-0005-0000-0000-000085890000}"/>
    <cellStyle name="Wrap 2 2 8 2" xfId="32165" xr:uid="{00000000-0005-0000-0000-000086890000}"/>
    <cellStyle name="Wrap 2 2 8 2 10" xfId="32166" xr:uid="{00000000-0005-0000-0000-000087890000}"/>
    <cellStyle name="Wrap 2 2 8 2 2" xfId="32167" xr:uid="{00000000-0005-0000-0000-000088890000}"/>
    <cellStyle name="Wrap 2 2 8 2 2 2" xfId="32168" xr:uid="{00000000-0005-0000-0000-000089890000}"/>
    <cellStyle name="Wrap 2 2 8 2 3" xfId="32169" xr:uid="{00000000-0005-0000-0000-00008A890000}"/>
    <cellStyle name="Wrap 2 2 8 2 3 2" xfId="32170" xr:uid="{00000000-0005-0000-0000-00008B890000}"/>
    <cellStyle name="Wrap 2 2 8 2 4" xfId="32171" xr:uid="{00000000-0005-0000-0000-00008C890000}"/>
    <cellStyle name="Wrap 2 2 8 2 4 2" xfId="32172" xr:uid="{00000000-0005-0000-0000-00008D890000}"/>
    <cellStyle name="Wrap 2 2 8 2 5" xfId="32173" xr:uid="{00000000-0005-0000-0000-00008E890000}"/>
    <cellStyle name="Wrap 2 2 8 2 5 2" xfId="32174" xr:uid="{00000000-0005-0000-0000-00008F890000}"/>
    <cellStyle name="Wrap 2 2 8 2 6" xfId="32175" xr:uid="{00000000-0005-0000-0000-000090890000}"/>
    <cellStyle name="Wrap 2 2 8 2 6 2" xfId="32176" xr:uid="{00000000-0005-0000-0000-000091890000}"/>
    <cellStyle name="Wrap 2 2 8 2 7" xfId="32177" xr:uid="{00000000-0005-0000-0000-000092890000}"/>
    <cellStyle name="Wrap 2 2 8 2 7 2" xfId="32178" xr:uid="{00000000-0005-0000-0000-000093890000}"/>
    <cellStyle name="Wrap 2 2 8 2 8" xfId="32179" xr:uid="{00000000-0005-0000-0000-000094890000}"/>
    <cellStyle name="Wrap 2 2 8 2 8 2" xfId="32180" xr:uid="{00000000-0005-0000-0000-000095890000}"/>
    <cellStyle name="Wrap 2 2 8 2 9" xfId="32181" xr:uid="{00000000-0005-0000-0000-000096890000}"/>
    <cellStyle name="Wrap 2 2 8 2 9 2" xfId="32182" xr:uid="{00000000-0005-0000-0000-000097890000}"/>
    <cellStyle name="Wrap 2 2 8 3" xfId="32183" xr:uid="{00000000-0005-0000-0000-000098890000}"/>
    <cellStyle name="Wrap 2 2 8 3 10" xfId="32184" xr:uid="{00000000-0005-0000-0000-000099890000}"/>
    <cellStyle name="Wrap 2 2 8 3 2" xfId="32185" xr:uid="{00000000-0005-0000-0000-00009A890000}"/>
    <cellStyle name="Wrap 2 2 8 3 2 2" xfId="32186" xr:uid="{00000000-0005-0000-0000-00009B890000}"/>
    <cellStyle name="Wrap 2 2 8 3 3" xfId="32187" xr:uid="{00000000-0005-0000-0000-00009C890000}"/>
    <cellStyle name="Wrap 2 2 8 3 3 2" xfId="32188" xr:uid="{00000000-0005-0000-0000-00009D890000}"/>
    <cellStyle name="Wrap 2 2 8 3 4" xfId="32189" xr:uid="{00000000-0005-0000-0000-00009E890000}"/>
    <cellStyle name="Wrap 2 2 8 3 4 2" xfId="32190" xr:uid="{00000000-0005-0000-0000-00009F890000}"/>
    <cellStyle name="Wrap 2 2 8 3 5" xfId="32191" xr:uid="{00000000-0005-0000-0000-0000A0890000}"/>
    <cellStyle name="Wrap 2 2 8 3 5 2" xfId="32192" xr:uid="{00000000-0005-0000-0000-0000A1890000}"/>
    <cellStyle name="Wrap 2 2 8 3 6" xfId="32193" xr:uid="{00000000-0005-0000-0000-0000A2890000}"/>
    <cellStyle name="Wrap 2 2 8 3 6 2" xfId="32194" xr:uid="{00000000-0005-0000-0000-0000A3890000}"/>
    <cellStyle name="Wrap 2 2 8 3 7" xfId="32195" xr:uid="{00000000-0005-0000-0000-0000A4890000}"/>
    <cellStyle name="Wrap 2 2 8 3 7 2" xfId="32196" xr:uid="{00000000-0005-0000-0000-0000A5890000}"/>
    <cellStyle name="Wrap 2 2 8 3 8" xfId="32197" xr:uid="{00000000-0005-0000-0000-0000A6890000}"/>
    <cellStyle name="Wrap 2 2 8 3 8 2" xfId="32198" xr:uid="{00000000-0005-0000-0000-0000A7890000}"/>
    <cellStyle name="Wrap 2 2 8 3 9" xfId="32199" xr:uid="{00000000-0005-0000-0000-0000A8890000}"/>
    <cellStyle name="Wrap 2 2 8 3 9 2" xfId="32200" xr:uid="{00000000-0005-0000-0000-0000A9890000}"/>
    <cellStyle name="Wrap 2 2 8 4" xfId="32201" xr:uid="{00000000-0005-0000-0000-0000AA890000}"/>
    <cellStyle name="Wrap 2 2 8 4 10" xfId="32202" xr:uid="{00000000-0005-0000-0000-0000AB890000}"/>
    <cellStyle name="Wrap 2 2 8 4 2" xfId="32203" xr:uid="{00000000-0005-0000-0000-0000AC890000}"/>
    <cellStyle name="Wrap 2 2 8 4 2 2" xfId="32204" xr:uid="{00000000-0005-0000-0000-0000AD890000}"/>
    <cellStyle name="Wrap 2 2 8 4 3" xfId="32205" xr:uid="{00000000-0005-0000-0000-0000AE890000}"/>
    <cellStyle name="Wrap 2 2 8 4 3 2" xfId="32206" xr:uid="{00000000-0005-0000-0000-0000AF890000}"/>
    <cellStyle name="Wrap 2 2 8 4 4" xfId="32207" xr:uid="{00000000-0005-0000-0000-0000B0890000}"/>
    <cellStyle name="Wrap 2 2 8 4 4 2" xfId="32208" xr:uid="{00000000-0005-0000-0000-0000B1890000}"/>
    <cellStyle name="Wrap 2 2 8 4 5" xfId="32209" xr:uid="{00000000-0005-0000-0000-0000B2890000}"/>
    <cellStyle name="Wrap 2 2 8 4 5 2" xfId="32210" xr:uid="{00000000-0005-0000-0000-0000B3890000}"/>
    <cellStyle name="Wrap 2 2 8 4 6" xfId="32211" xr:uid="{00000000-0005-0000-0000-0000B4890000}"/>
    <cellStyle name="Wrap 2 2 8 4 6 2" xfId="32212" xr:uid="{00000000-0005-0000-0000-0000B5890000}"/>
    <cellStyle name="Wrap 2 2 8 4 7" xfId="32213" xr:uid="{00000000-0005-0000-0000-0000B6890000}"/>
    <cellStyle name="Wrap 2 2 8 4 7 2" xfId="32214" xr:uid="{00000000-0005-0000-0000-0000B7890000}"/>
    <cellStyle name="Wrap 2 2 8 4 8" xfId="32215" xr:uid="{00000000-0005-0000-0000-0000B8890000}"/>
    <cellStyle name="Wrap 2 2 8 4 8 2" xfId="32216" xr:uid="{00000000-0005-0000-0000-0000B9890000}"/>
    <cellStyle name="Wrap 2 2 8 4 9" xfId="32217" xr:uid="{00000000-0005-0000-0000-0000BA890000}"/>
    <cellStyle name="Wrap 2 2 8 4 9 2" xfId="32218" xr:uid="{00000000-0005-0000-0000-0000BB890000}"/>
    <cellStyle name="Wrap 2 2 8 5" xfId="32219" xr:uid="{00000000-0005-0000-0000-0000BC890000}"/>
    <cellStyle name="Wrap 2 2 8 5 10" xfId="32220" xr:uid="{00000000-0005-0000-0000-0000BD890000}"/>
    <cellStyle name="Wrap 2 2 8 5 2" xfId="32221" xr:uid="{00000000-0005-0000-0000-0000BE890000}"/>
    <cellStyle name="Wrap 2 2 8 5 2 2" xfId="32222" xr:uid="{00000000-0005-0000-0000-0000BF890000}"/>
    <cellStyle name="Wrap 2 2 8 5 3" xfId="32223" xr:uid="{00000000-0005-0000-0000-0000C0890000}"/>
    <cellStyle name="Wrap 2 2 8 5 3 2" xfId="32224" xr:uid="{00000000-0005-0000-0000-0000C1890000}"/>
    <cellStyle name="Wrap 2 2 8 5 4" xfId="32225" xr:uid="{00000000-0005-0000-0000-0000C2890000}"/>
    <cellStyle name="Wrap 2 2 8 5 4 2" xfId="32226" xr:uid="{00000000-0005-0000-0000-0000C3890000}"/>
    <cellStyle name="Wrap 2 2 8 5 5" xfId="32227" xr:uid="{00000000-0005-0000-0000-0000C4890000}"/>
    <cellStyle name="Wrap 2 2 8 5 5 2" xfId="32228" xr:uid="{00000000-0005-0000-0000-0000C5890000}"/>
    <cellStyle name="Wrap 2 2 8 5 6" xfId="32229" xr:uid="{00000000-0005-0000-0000-0000C6890000}"/>
    <cellStyle name="Wrap 2 2 8 5 6 2" xfId="32230" xr:uid="{00000000-0005-0000-0000-0000C7890000}"/>
    <cellStyle name="Wrap 2 2 8 5 7" xfId="32231" xr:uid="{00000000-0005-0000-0000-0000C8890000}"/>
    <cellStyle name="Wrap 2 2 8 5 7 2" xfId="32232" xr:uid="{00000000-0005-0000-0000-0000C9890000}"/>
    <cellStyle name="Wrap 2 2 8 5 8" xfId="32233" xr:uid="{00000000-0005-0000-0000-0000CA890000}"/>
    <cellStyle name="Wrap 2 2 8 5 8 2" xfId="32234" xr:uid="{00000000-0005-0000-0000-0000CB890000}"/>
    <cellStyle name="Wrap 2 2 8 5 9" xfId="32235" xr:uid="{00000000-0005-0000-0000-0000CC890000}"/>
    <cellStyle name="Wrap 2 2 8 5 9 2" xfId="32236" xr:uid="{00000000-0005-0000-0000-0000CD890000}"/>
    <cellStyle name="Wrap 2 2 8 6" xfId="32237" xr:uid="{00000000-0005-0000-0000-0000CE890000}"/>
    <cellStyle name="Wrap 2 2 8 6 10" xfId="32238" xr:uid="{00000000-0005-0000-0000-0000CF890000}"/>
    <cellStyle name="Wrap 2 2 8 6 2" xfId="32239" xr:uid="{00000000-0005-0000-0000-0000D0890000}"/>
    <cellStyle name="Wrap 2 2 8 6 2 2" xfId="32240" xr:uid="{00000000-0005-0000-0000-0000D1890000}"/>
    <cellStyle name="Wrap 2 2 8 6 3" xfId="32241" xr:uid="{00000000-0005-0000-0000-0000D2890000}"/>
    <cellStyle name="Wrap 2 2 8 6 3 2" xfId="32242" xr:uid="{00000000-0005-0000-0000-0000D3890000}"/>
    <cellStyle name="Wrap 2 2 8 6 4" xfId="32243" xr:uid="{00000000-0005-0000-0000-0000D4890000}"/>
    <cellStyle name="Wrap 2 2 8 6 4 2" xfId="32244" xr:uid="{00000000-0005-0000-0000-0000D5890000}"/>
    <cellStyle name="Wrap 2 2 8 6 5" xfId="32245" xr:uid="{00000000-0005-0000-0000-0000D6890000}"/>
    <cellStyle name="Wrap 2 2 8 6 5 2" xfId="32246" xr:uid="{00000000-0005-0000-0000-0000D7890000}"/>
    <cellStyle name="Wrap 2 2 8 6 6" xfId="32247" xr:uid="{00000000-0005-0000-0000-0000D8890000}"/>
    <cellStyle name="Wrap 2 2 8 6 6 2" xfId="32248" xr:uid="{00000000-0005-0000-0000-0000D9890000}"/>
    <cellStyle name="Wrap 2 2 8 6 7" xfId="32249" xr:uid="{00000000-0005-0000-0000-0000DA890000}"/>
    <cellStyle name="Wrap 2 2 8 6 7 2" xfId="32250" xr:uid="{00000000-0005-0000-0000-0000DB890000}"/>
    <cellStyle name="Wrap 2 2 8 6 8" xfId="32251" xr:uid="{00000000-0005-0000-0000-0000DC890000}"/>
    <cellStyle name="Wrap 2 2 8 6 8 2" xfId="32252" xr:uid="{00000000-0005-0000-0000-0000DD890000}"/>
    <cellStyle name="Wrap 2 2 8 6 9" xfId="32253" xr:uid="{00000000-0005-0000-0000-0000DE890000}"/>
    <cellStyle name="Wrap 2 2 8 6 9 2" xfId="32254" xr:uid="{00000000-0005-0000-0000-0000DF890000}"/>
    <cellStyle name="Wrap 2 2 8 7" xfId="32255" xr:uid="{00000000-0005-0000-0000-0000E0890000}"/>
    <cellStyle name="Wrap 2 2 8 7 10" xfId="32256" xr:uid="{00000000-0005-0000-0000-0000E1890000}"/>
    <cellStyle name="Wrap 2 2 8 7 2" xfId="32257" xr:uid="{00000000-0005-0000-0000-0000E2890000}"/>
    <cellStyle name="Wrap 2 2 8 7 2 2" xfId="32258" xr:uid="{00000000-0005-0000-0000-0000E3890000}"/>
    <cellStyle name="Wrap 2 2 8 7 3" xfId="32259" xr:uid="{00000000-0005-0000-0000-0000E4890000}"/>
    <cellStyle name="Wrap 2 2 8 7 3 2" xfId="32260" xr:uid="{00000000-0005-0000-0000-0000E5890000}"/>
    <cellStyle name="Wrap 2 2 8 7 4" xfId="32261" xr:uid="{00000000-0005-0000-0000-0000E6890000}"/>
    <cellStyle name="Wrap 2 2 8 7 4 2" xfId="32262" xr:uid="{00000000-0005-0000-0000-0000E7890000}"/>
    <cellStyle name="Wrap 2 2 8 7 5" xfId="32263" xr:uid="{00000000-0005-0000-0000-0000E8890000}"/>
    <cellStyle name="Wrap 2 2 8 7 5 2" xfId="32264" xr:uid="{00000000-0005-0000-0000-0000E9890000}"/>
    <cellStyle name="Wrap 2 2 8 7 6" xfId="32265" xr:uid="{00000000-0005-0000-0000-0000EA890000}"/>
    <cellStyle name="Wrap 2 2 8 7 6 2" xfId="32266" xr:uid="{00000000-0005-0000-0000-0000EB890000}"/>
    <cellStyle name="Wrap 2 2 8 7 7" xfId="32267" xr:uid="{00000000-0005-0000-0000-0000EC890000}"/>
    <cellStyle name="Wrap 2 2 8 7 7 2" xfId="32268" xr:uid="{00000000-0005-0000-0000-0000ED890000}"/>
    <cellStyle name="Wrap 2 2 8 7 8" xfId="32269" xr:uid="{00000000-0005-0000-0000-0000EE890000}"/>
    <cellStyle name="Wrap 2 2 8 7 8 2" xfId="32270" xr:uid="{00000000-0005-0000-0000-0000EF890000}"/>
    <cellStyle name="Wrap 2 2 8 7 9" xfId="32271" xr:uid="{00000000-0005-0000-0000-0000F0890000}"/>
    <cellStyle name="Wrap 2 2 8 7 9 2" xfId="32272" xr:uid="{00000000-0005-0000-0000-0000F1890000}"/>
    <cellStyle name="Wrap 2 2 8 8" xfId="32273" xr:uid="{00000000-0005-0000-0000-0000F2890000}"/>
    <cellStyle name="Wrap 2 2 8 8 10" xfId="32274" xr:uid="{00000000-0005-0000-0000-0000F3890000}"/>
    <cellStyle name="Wrap 2 2 8 8 2" xfId="32275" xr:uid="{00000000-0005-0000-0000-0000F4890000}"/>
    <cellStyle name="Wrap 2 2 8 8 2 2" xfId="32276" xr:uid="{00000000-0005-0000-0000-0000F5890000}"/>
    <cellStyle name="Wrap 2 2 8 8 3" xfId="32277" xr:uid="{00000000-0005-0000-0000-0000F6890000}"/>
    <cellStyle name="Wrap 2 2 8 8 3 2" xfId="32278" xr:uid="{00000000-0005-0000-0000-0000F7890000}"/>
    <cellStyle name="Wrap 2 2 8 8 4" xfId="32279" xr:uid="{00000000-0005-0000-0000-0000F8890000}"/>
    <cellStyle name="Wrap 2 2 8 8 4 2" xfId="32280" xr:uid="{00000000-0005-0000-0000-0000F9890000}"/>
    <cellStyle name="Wrap 2 2 8 8 5" xfId="32281" xr:uid="{00000000-0005-0000-0000-0000FA890000}"/>
    <cellStyle name="Wrap 2 2 8 8 5 2" xfId="32282" xr:uid="{00000000-0005-0000-0000-0000FB890000}"/>
    <cellStyle name="Wrap 2 2 8 8 6" xfId="32283" xr:uid="{00000000-0005-0000-0000-0000FC890000}"/>
    <cellStyle name="Wrap 2 2 8 8 6 2" xfId="32284" xr:uid="{00000000-0005-0000-0000-0000FD890000}"/>
    <cellStyle name="Wrap 2 2 8 8 7" xfId="32285" xr:uid="{00000000-0005-0000-0000-0000FE890000}"/>
    <cellStyle name="Wrap 2 2 8 8 7 2" xfId="32286" xr:uid="{00000000-0005-0000-0000-0000FF890000}"/>
    <cellStyle name="Wrap 2 2 8 8 8" xfId="32287" xr:uid="{00000000-0005-0000-0000-0000008A0000}"/>
    <cellStyle name="Wrap 2 2 8 8 8 2" xfId="32288" xr:uid="{00000000-0005-0000-0000-0000018A0000}"/>
    <cellStyle name="Wrap 2 2 8 8 9" xfId="32289" xr:uid="{00000000-0005-0000-0000-0000028A0000}"/>
    <cellStyle name="Wrap 2 2 8 8 9 2" xfId="32290" xr:uid="{00000000-0005-0000-0000-0000038A0000}"/>
    <cellStyle name="Wrap 2 2 8 9" xfId="32291" xr:uid="{00000000-0005-0000-0000-0000048A0000}"/>
    <cellStyle name="Wrap 2 2 8 9 10" xfId="32292" xr:uid="{00000000-0005-0000-0000-0000058A0000}"/>
    <cellStyle name="Wrap 2 2 8 9 2" xfId="32293" xr:uid="{00000000-0005-0000-0000-0000068A0000}"/>
    <cellStyle name="Wrap 2 2 8 9 2 2" xfId="32294" xr:uid="{00000000-0005-0000-0000-0000078A0000}"/>
    <cellStyle name="Wrap 2 2 8 9 3" xfId="32295" xr:uid="{00000000-0005-0000-0000-0000088A0000}"/>
    <cellStyle name="Wrap 2 2 8 9 3 2" xfId="32296" xr:uid="{00000000-0005-0000-0000-0000098A0000}"/>
    <cellStyle name="Wrap 2 2 8 9 4" xfId="32297" xr:uid="{00000000-0005-0000-0000-00000A8A0000}"/>
    <cellStyle name="Wrap 2 2 8 9 4 2" xfId="32298" xr:uid="{00000000-0005-0000-0000-00000B8A0000}"/>
    <cellStyle name="Wrap 2 2 8 9 5" xfId="32299" xr:uid="{00000000-0005-0000-0000-00000C8A0000}"/>
    <cellStyle name="Wrap 2 2 8 9 5 2" xfId="32300" xr:uid="{00000000-0005-0000-0000-00000D8A0000}"/>
    <cellStyle name="Wrap 2 2 8 9 6" xfId="32301" xr:uid="{00000000-0005-0000-0000-00000E8A0000}"/>
    <cellStyle name="Wrap 2 2 8 9 6 2" xfId="32302" xr:uid="{00000000-0005-0000-0000-00000F8A0000}"/>
    <cellStyle name="Wrap 2 2 8 9 7" xfId="32303" xr:uid="{00000000-0005-0000-0000-0000108A0000}"/>
    <cellStyle name="Wrap 2 2 8 9 7 2" xfId="32304" xr:uid="{00000000-0005-0000-0000-0000118A0000}"/>
    <cellStyle name="Wrap 2 2 8 9 8" xfId="32305" xr:uid="{00000000-0005-0000-0000-0000128A0000}"/>
    <cellStyle name="Wrap 2 2 8 9 8 2" xfId="32306" xr:uid="{00000000-0005-0000-0000-0000138A0000}"/>
    <cellStyle name="Wrap 2 2 8 9 9" xfId="32307" xr:uid="{00000000-0005-0000-0000-0000148A0000}"/>
    <cellStyle name="Wrap 2 2 8 9 9 2" xfId="32308" xr:uid="{00000000-0005-0000-0000-0000158A0000}"/>
    <cellStyle name="Wrap 2 3" xfId="205" xr:uid="{00000000-0005-0000-0000-0000168A0000}"/>
    <cellStyle name="Wrap 2 3 2" xfId="32309" xr:uid="{00000000-0005-0000-0000-0000178A0000}"/>
    <cellStyle name="Wrap 2 3 2 10" xfId="32310" xr:uid="{00000000-0005-0000-0000-0000188A0000}"/>
    <cellStyle name="Wrap 2 3 2 10 10" xfId="32311" xr:uid="{00000000-0005-0000-0000-0000198A0000}"/>
    <cellStyle name="Wrap 2 3 2 10 2" xfId="32312" xr:uid="{00000000-0005-0000-0000-00001A8A0000}"/>
    <cellStyle name="Wrap 2 3 2 10 2 2" xfId="32313" xr:uid="{00000000-0005-0000-0000-00001B8A0000}"/>
    <cellStyle name="Wrap 2 3 2 10 3" xfId="32314" xr:uid="{00000000-0005-0000-0000-00001C8A0000}"/>
    <cellStyle name="Wrap 2 3 2 10 3 2" xfId="32315" xr:uid="{00000000-0005-0000-0000-00001D8A0000}"/>
    <cellStyle name="Wrap 2 3 2 10 4" xfId="32316" xr:uid="{00000000-0005-0000-0000-00001E8A0000}"/>
    <cellStyle name="Wrap 2 3 2 10 4 2" xfId="32317" xr:uid="{00000000-0005-0000-0000-00001F8A0000}"/>
    <cellStyle name="Wrap 2 3 2 10 5" xfId="32318" xr:uid="{00000000-0005-0000-0000-0000208A0000}"/>
    <cellStyle name="Wrap 2 3 2 10 5 2" xfId="32319" xr:uid="{00000000-0005-0000-0000-0000218A0000}"/>
    <cellStyle name="Wrap 2 3 2 10 6" xfId="32320" xr:uid="{00000000-0005-0000-0000-0000228A0000}"/>
    <cellStyle name="Wrap 2 3 2 10 6 2" xfId="32321" xr:uid="{00000000-0005-0000-0000-0000238A0000}"/>
    <cellStyle name="Wrap 2 3 2 10 7" xfId="32322" xr:uid="{00000000-0005-0000-0000-0000248A0000}"/>
    <cellStyle name="Wrap 2 3 2 10 7 2" xfId="32323" xr:uid="{00000000-0005-0000-0000-0000258A0000}"/>
    <cellStyle name="Wrap 2 3 2 10 8" xfId="32324" xr:uid="{00000000-0005-0000-0000-0000268A0000}"/>
    <cellStyle name="Wrap 2 3 2 10 8 2" xfId="32325" xr:uid="{00000000-0005-0000-0000-0000278A0000}"/>
    <cellStyle name="Wrap 2 3 2 10 9" xfId="32326" xr:uid="{00000000-0005-0000-0000-0000288A0000}"/>
    <cellStyle name="Wrap 2 3 2 10 9 2" xfId="32327" xr:uid="{00000000-0005-0000-0000-0000298A0000}"/>
    <cellStyle name="Wrap 2 3 2 11" xfId="32328" xr:uid="{00000000-0005-0000-0000-00002A8A0000}"/>
    <cellStyle name="Wrap 2 3 2 11 2" xfId="32329" xr:uid="{00000000-0005-0000-0000-00002B8A0000}"/>
    <cellStyle name="Wrap 2 3 2 11 2 2" xfId="32330" xr:uid="{00000000-0005-0000-0000-00002C8A0000}"/>
    <cellStyle name="Wrap 2 3 2 11 3" xfId="32331" xr:uid="{00000000-0005-0000-0000-00002D8A0000}"/>
    <cellStyle name="Wrap 2 3 2 11 3 2" xfId="32332" xr:uid="{00000000-0005-0000-0000-00002E8A0000}"/>
    <cellStyle name="Wrap 2 3 2 11 4" xfId="32333" xr:uid="{00000000-0005-0000-0000-00002F8A0000}"/>
    <cellStyle name="Wrap 2 3 2 11 4 2" xfId="32334" xr:uid="{00000000-0005-0000-0000-0000308A0000}"/>
    <cellStyle name="Wrap 2 3 2 11 5" xfId="32335" xr:uid="{00000000-0005-0000-0000-0000318A0000}"/>
    <cellStyle name="Wrap 2 3 2 11 5 2" xfId="32336" xr:uid="{00000000-0005-0000-0000-0000328A0000}"/>
    <cellStyle name="Wrap 2 3 2 11 6" xfId="32337" xr:uid="{00000000-0005-0000-0000-0000338A0000}"/>
    <cellStyle name="Wrap 2 3 2 11 6 2" xfId="32338" xr:uid="{00000000-0005-0000-0000-0000348A0000}"/>
    <cellStyle name="Wrap 2 3 2 11 7" xfId="32339" xr:uid="{00000000-0005-0000-0000-0000358A0000}"/>
    <cellStyle name="Wrap 2 3 2 11 7 2" xfId="32340" xr:uid="{00000000-0005-0000-0000-0000368A0000}"/>
    <cellStyle name="Wrap 2 3 2 11 8" xfId="32341" xr:uid="{00000000-0005-0000-0000-0000378A0000}"/>
    <cellStyle name="Wrap 2 3 2 11 8 2" xfId="32342" xr:uid="{00000000-0005-0000-0000-0000388A0000}"/>
    <cellStyle name="Wrap 2 3 2 11 9" xfId="32343" xr:uid="{00000000-0005-0000-0000-0000398A0000}"/>
    <cellStyle name="Wrap 2 3 2 2" xfId="32344" xr:uid="{00000000-0005-0000-0000-00003A8A0000}"/>
    <cellStyle name="Wrap 2 3 2 2 10" xfId="32345" xr:uid="{00000000-0005-0000-0000-00003B8A0000}"/>
    <cellStyle name="Wrap 2 3 2 2 2" xfId="32346" xr:uid="{00000000-0005-0000-0000-00003C8A0000}"/>
    <cellStyle name="Wrap 2 3 2 2 2 2" xfId="32347" xr:uid="{00000000-0005-0000-0000-00003D8A0000}"/>
    <cellStyle name="Wrap 2 3 2 2 3" xfId="32348" xr:uid="{00000000-0005-0000-0000-00003E8A0000}"/>
    <cellStyle name="Wrap 2 3 2 2 3 2" xfId="32349" xr:uid="{00000000-0005-0000-0000-00003F8A0000}"/>
    <cellStyle name="Wrap 2 3 2 2 4" xfId="32350" xr:uid="{00000000-0005-0000-0000-0000408A0000}"/>
    <cellStyle name="Wrap 2 3 2 2 4 2" xfId="32351" xr:uid="{00000000-0005-0000-0000-0000418A0000}"/>
    <cellStyle name="Wrap 2 3 2 2 5" xfId="32352" xr:uid="{00000000-0005-0000-0000-0000428A0000}"/>
    <cellStyle name="Wrap 2 3 2 2 5 2" xfId="32353" xr:uid="{00000000-0005-0000-0000-0000438A0000}"/>
    <cellStyle name="Wrap 2 3 2 2 6" xfId="32354" xr:uid="{00000000-0005-0000-0000-0000448A0000}"/>
    <cellStyle name="Wrap 2 3 2 2 6 2" xfId="32355" xr:uid="{00000000-0005-0000-0000-0000458A0000}"/>
    <cellStyle name="Wrap 2 3 2 2 7" xfId="32356" xr:uid="{00000000-0005-0000-0000-0000468A0000}"/>
    <cellStyle name="Wrap 2 3 2 2 7 2" xfId="32357" xr:uid="{00000000-0005-0000-0000-0000478A0000}"/>
    <cellStyle name="Wrap 2 3 2 2 8" xfId="32358" xr:uid="{00000000-0005-0000-0000-0000488A0000}"/>
    <cellStyle name="Wrap 2 3 2 2 8 2" xfId="32359" xr:uid="{00000000-0005-0000-0000-0000498A0000}"/>
    <cellStyle name="Wrap 2 3 2 2 9" xfId="32360" xr:uid="{00000000-0005-0000-0000-00004A8A0000}"/>
    <cellStyle name="Wrap 2 3 2 2 9 2" xfId="32361" xr:uid="{00000000-0005-0000-0000-00004B8A0000}"/>
    <cellStyle name="Wrap 2 3 2 3" xfId="32362" xr:uid="{00000000-0005-0000-0000-00004C8A0000}"/>
    <cellStyle name="Wrap 2 3 2 3 10" xfId="32363" xr:uid="{00000000-0005-0000-0000-00004D8A0000}"/>
    <cellStyle name="Wrap 2 3 2 3 2" xfId="32364" xr:uid="{00000000-0005-0000-0000-00004E8A0000}"/>
    <cellStyle name="Wrap 2 3 2 3 2 2" xfId="32365" xr:uid="{00000000-0005-0000-0000-00004F8A0000}"/>
    <cellStyle name="Wrap 2 3 2 3 3" xfId="32366" xr:uid="{00000000-0005-0000-0000-0000508A0000}"/>
    <cellStyle name="Wrap 2 3 2 3 3 2" xfId="32367" xr:uid="{00000000-0005-0000-0000-0000518A0000}"/>
    <cellStyle name="Wrap 2 3 2 3 4" xfId="32368" xr:uid="{00000000-0005-0000-0000-0000528A0000}"/>
    <cellStyle name="Wrap 2 3 2 3 4 2" xfId="32369" xr:uid="{00000000-0005-0000-0000-0000538A0000}"/>
    <cellStyle name="Wrap 2 3 2 3 5" xfId="32370" xr:uid="{00000000-0005-0000-0000-0000548A0000}"/>
    <cellStyle name="Wrap 2 3 2 3 5 2" xfId="32371" xr:uid="{00000000-0005-0000-0000-0000558A0000}"/>
    <cellStyle name="Wrap 2 3 2 3 6" xfId="32372" xr:uid="{00000000-0005-0000-0000-0000568A0000}"/>
    <cellStyle name="Wrap 2 3 2 3 6 2" xfId="32373" xr:uid="{00000000-0005-0000-0000-0000578A0000}"/>
    <cellStyle name="Wrap 2 3 2 3 7" xfId="32374" xr:uid="{00000000-0005-0000-0000-0000588A0000}"/>
    <cellStyle name="Wrap 2 3 2 3 7 2" xfId="32375" xr:uid="{00000000-0005-0000-0000-0000598A0000}"/>
    <cellStyle name="Wrap 2 3 2 3 8" xfId="32376" xr:uid="{00000000-0005-0000-0000-00005A8A0000}"/>
    <cellStyle name="Wrap 2 3 2 3 8 2" xfId="32377" xr:uid="{00000000-0005-0000-0000-00005B8A0000}"/>
    <cellStyle name="Wrap 2 3 2 3 9" xfId="32378" xr:uid="{00000000-0005-0000-0000-00005C8A0000}"/>
    <cellStyle name="Wrap 2 3 2 3 9 2" xfId="32379" xr:uid="{00000000-0005-0000-0000-00005D8A0000}"/>
    <cellStyle name="Wrap 2 3 2 4" xfId="32380" xr:uid="{00000000-0005-0000-0000-00005E8A0000}"/>
    <cellStyle name="Wrap 2 3 2 4 10" xfId="32381" xr:uid="{00000000-0005-0000-0000-00005F8A0000}"/>
    <cellStyle name="Wrap 2 3 2 4 2" xfId="32382" xr:uid="{00000000-0005-0000-0000-0000608A0000}"/>
    <cellStyle name="Wrap 2 3 2 4 2 2" xfId="32383" xr:uid="{00000000-0005-0000-0000-0000618A0000}"/>
    <cellStyle name="Wrap 2 3 2 4 3" xfId="32384" xr:uid="{00000000-0005-0000-0000-0000628A0000}"/>
    <cellStyle name="Wrap 2 3 2 4 3 2" xfId="32385" xr:uid="{00000000-0005-0000-0000-0000638A0000}"/>
    <cellStyle name="Wrap 2 3 2 4 4" xfId="32386" xr:uid="{00000000-0005-0000-0000-0000648A0000}"/>
    <cellStyle name="Wrap 2 3 2 4 4 2" xfId="32387" xr:uid="{00000000-0005-0000-0000-0000658A0000}"/>
    <cellStyle name="Wrap 2 3 2 4 5" xfId="32388" xr:uid="{00000000-0005-0000-0000-0000668A0000}"/>
    <cellStyle name="Wrap 2 3 2 4 5 2" xfId="32389" xr:uid="{00000000-0005-0000-0000-0000678A0000}"/>
    <cellStyle name="Wrap 2 3 2 4 6" xfId="32390" xr:uid="{00000000-0005-0000-0000-0000688A0000}"/>
    <cellStyle name="Wrap 2 3 2 4 6 2" xfId="32391" xr:uid="{00000000-0005-0000-0000-0000698A0000}"/>
    <cellStyle name="Wrap 2 3 2 4 7" xfId="32392" xr:uid="{00000000-0005-0000-0000-00006A8A0000}"/>
    <cellStyle name="Wrap 2 3 2 4 7 2" xfId="32393" xr:uid="{00000000-0005-0000-0000-00006B8A0000}"/>
    <cellStyle name="Wrap 2 3 2 4 8" xfId="32394" xr:uid="{00000000-0005-0000-0000-00006C8A0000}"/>
    <cellStyle name="Wrap 2 3 2 4 8 2" xfId="32395" xr:uid="{00000000-0005-0000-0000-00006D8A0000}"/>
    <cellStyle name="Wrap 2 3 2 4 9" xfId="32396" xr:uid="{00000000-0005-0000-0000-00006E8A0000}"/>
    <cellStyle name="Wrap 2 3 2 4 9 2" xfId="32397" xr:uid="{00000000-0005-0000-0000-00006F8A0000}"/>
    <cellStyle name="Wrap 2 3 2 5" xfId="32398" xr:uid="{00000000-0005-0000-0000-0000708A0000}"/>
    <cellStyle name="Wrap 2 3 2 5 10" xfId="32399" xr:uid="{00000000-0005-0000-0000-0000718A0000}"/>
    <cellStyle name="Wrap 2 3 2 5 2" xfId="32400" xr:uid="{00000000-0005-0000-0000-0000728A0000}"/>
    <cellStyle name="Wrap 2 3 2 5 2 2" xfId="32401" xr:uid="{00000000-0005-0000-0000-0000738A0000}"/>
    <cellStyle name="Wrap 2 3 2 5 3" xfId="32402" xr:uid="{00000000-0005-0000-0000-0000748A0000}"/>
    <cellStyle name="Wrap 2 3 2 5 3 2" xfId="32403" xr:uid="{00000000-0005-0000-0000-0000758A0000}"/>
    <cellStyle name="Wrap 2 3 2 5 4" xfId="32404" xr:uid="{00000000-0005-0000-0000-0000768A0000}"/>
    <cellStyle name="Wrap 2 3 2 5 4 2" xfId="32405" xr:uid="{00000000-0005-0000-0000-0000778A0000}"/>
    <cellStyle name="Wrap 2 3 2 5 5" xfId="32406" xr:uid="{00000000-0005-0000-0000-0000788A0000}"/>
    <cellStyle name="Wrap 2 3 2 5 5 2" xfId="32407" xr:uid="{00000000-0005-0000-0000-0000798A0000}"/>
    <cellStyle name="Wrap 2 3 2 5 6" xfId="32408" xr:uid="{00000000-0005-0000-0000-00007A8A0000}"/>
    <cellStyle name="Wrap 2 3 2 5 6 2" xfId="32409" xr:uid="{00000000-0005-0000-0000-00007B8A0000}"/>
    <cellStyle name="Wrap 2 3 2 5 7" xfId="32410" xr:uid="{00000000-0005-0000-0000-00007C8A0000}"/>
    <cellStyle name="Wrap 2 3 2 5 7 2" xfId="32411" xr:uid="{00000000-0005-0000-0000-00007D8A0000}"/>
    <cellStyle name="Wrap 2 3 2 5 8" xfId="32412" xr:uid="{00000000-0005-0000-0000-00007E8A0000}"/>
    <cellStyle name="Wrap 2 3 2 5 8 2" xfId="32413" xr:uid="{00000000-0005-0000-0000-00007F8A0000}"/>
    <cellStyle name="Wrap 2 3 2 5 9" xfId="32414" xr:uid="{00000000-0005-0000-0000-0000808A0000}"/>
    <cellStyle name="Wrap 2 3 2 5 9 2" xfId="32415" xr:uid="{00000000-0005-0000-0000-0000818A0000}"/>
    <cellStyle name="Wrap 2 3 2 6" xfId="32416" xr:uid="{00000000-0005-0000-0000-0000828A0000}"/>
    <cellStyle name="Wrap 2 3 2 6 10" xfId="32417" xr:uid="{00000000-0005-0000-0000-0000838A0000}"/>
    <cellStyle name="Wrap 2 3 2 6 2" xfId="32418" xr:uid="{00000000-0005-0000-0000-0000848A0000}"/>
    <cellStyle name="Wrap 2 3 2 6 2 2" xfId="32419" xr:uid="{00000000-0005-0000-0000-0000858A0000}"/>
    <cellStyle name="Wrap 2 3 2 6 3" xfId="32420" xr:uid="{00000000-0005-0000-0000-0000868A0000}"/>
    <cellStyle name="Wrap 2 3 2 6 3 2" xfId="32421" xr:uid="{00000000-0005-0000-0000-0000878A0000}"/>
    <cellStyle name="Wrap 2 3 2 6 4" xfId="32422" xr:uid="{00000000-0005-0000-0000-0000888A0000}"/>
    <cellStyle name="Wrap 2 3 2 6 4 2" xfId="32423" xr:uid="{00000000-0005-0000-0000-0000898A0000}"/>
    <cellStyle name="Wrap 2 3 2 6 5" xfId="32424" xr:uid="{00000000-0005-0000-0000-00008A8A0000}"/>
    <cellStyle name="Wrap 2 3 2 6 5 2" xfId="32425" xr:uid="{00000000-0005-0000-0000-00008B8A0000}"/>
    <cellStyle name="Wrap 2 3 2 6 6" xfId="32426" xr:uid="{00000000-0005-0000-0000-00008C8A0000}"/>
    <cellStyle name="Wrap 2 3 2 6 6 2" xfId="32427" xr:uid="{00000000-0005-0000-0000-00008D8A0000}"/>
    <cellStyle name="Wrap 2 3 2 6 7" xfId="32428" xr:uid="{00000000-0005-0000-0000-00008E8A0000}"/>
    <cellStyle name="Wrap 2 3 2 6 7 2" xfId="32429" xr:uid="{00000000-0005-0000-0000-00008F8A0000}"/>
    <cellStyle name="Wrap 2 3 2 6 8" xfId="32430" xr:uid="{00000000-0005-0000-0000-0000908A0000}"/>
    <cellStyle name="Wrap 2 3 2 6 8 2" xfId="32431" xr:uid="{00000000-0005-0000-0000-0000918A0000}"/>
    <cellStyle name="Wrap 2 3 2 6 9" xfId="32432" xr:uid="{00000000-0005-0000-0000-0000928A0000}"/>
    <cellStyle name="Wrap 2 3 2 6 9 2" xfId="32433" xr:uid="{00000000-0005-0000-0000-0000938A0000}"/>
    <cellStyle name="Wrap 2 3 2 7" xfId="32434" xr:uid="{00000000-0005-0000-0000-0000948A0000}"/>
    <cellStyle name="Wrap 2 3 2 7 10" xfId="32435" xr:uid="{00000000-0005-0000-0000-0000958A0000}"/>
    <cellStyle name="Wrap 2 3 2 7 2" xfId="32436" xr:uid="{00000000-0005-0000-0000-0000968A0000}"/>
    <cellStyle name="Wrap 2 3 2 7 2 2" xfId="32437" xr:uid="{00000000-0005-0000-0000-0000978A0000}"/>
    <cellStyle name="Wrap 2 3 2 7 3" xfId="32438" xr:uid="{00000000-0005-0000-0000-0000988A0000}"/>
    <cellStyle name="Wrap 2 3 2 7 3 2" xfId="32439" xr:uid="{00000000-0005-0000-0000-0000998A0000}"/>
    <cellStyle name="Wrap 2 3 2 7 4" xfId="32440" xr:uid="{00000000-0005-0000-0000-00009A8A0000}"/>
    <cellStyle name="Wrap 2 3 2 7 4 2" xfId="32441" xr:uid="{00000000-0005-0000-0000-00009B8A0000}"/>
    <cellStyle name="Wrap 2 3 2 7 5" xfId="32442" xr:uid="{00000000-0005-0000-0000-00009C8A0000}"/>
    <cellStyle name="Wrap 2 3 2 7 5 2" xfId="32443" xr:uid="{00000000-0005-0000-0000-00009D8A0000}"/>
    <cellStyle name="Wrap 2 3 2 7 6" xfId="32444" xr:uid="{00000000-0005-0000-0000-00009E8A0000}"/>
    <cellStyle name="Wrap 2 3 2 7 6 2" xfId="32445" xr:uid="{00000000-0005-0000-0000-00009F8A0000}"/>
    <cellStyle name="Wrap 2 3 2 7 7" xfId="32446" xr:uid="{00000000-0005-0000-0000-0000A08A0000}"/>
    <cellStyle name="Wrap 2 3 2 7 7 2" xfId="32447" xr:uid="{00000000-0005-0000-0000-0000A18A0000}"/>
    <cellStyle name="Wrap 2 3 2 7 8" xfId="32448" xr:uid="{00000000-0005-0000-0000-0000A28A0000}"/>
    <cellStyle name="Wrap 2 3 2 7 8 2" xfId="32449" xr:uid="{00000000-0005-0000-0000-0000A38A0000}"/>
    <cellStyle name="Wrap 2 3 2 7 9" xfId="32450" xr:uid="{00000000-0005-0000-0000-0000A48A0000}"/>
    <cellStyle name="Wrap 2 3 2 7 9 2" xfId="32451" xr:uid="{00000000-0005-0000-0000-0000A58A0000}"/>
    <cellStyle name="Wrap 2 3 2 8" xfId="32452" xr:uid="{00000000-0005-0000-0000-0000A68A0000}"/>
    <cellStyle name="Wrap 2 3 2 8 10" xfId="32453" xr:uid="{00000000-0005-0000-0000-0000A78A0000}"/>
    <cellStyle name="Wrap 2 3 2 8 2" xfId="32454" xr:uid="{00000000-0005-0000-0000-0000A88A0000}"/>
    <cellStyle name="Wrap 2 3 2 8 2 2" xfId="32455" xr:uid="{00000000-0005-0000-0000-0000A98A0000}"/>
    <cellStyle name="Wrap 2 3 2 8 3" xfId="32456" xr:uid="{00000000-0005-0000-0000-0000AA8A0000}"/>
    <cellStyle name="Wrap 2 3 2 8 3 2" xfId="32457" xr:uid="{00000000-0005-0000-0000-0000AB8A0000}"/>
    <cellStyle name="Wrap 2 3 2 8 4" xfId="32458" xr:uid="{00000000-0005-0000-0000-0000AC8A0000}"/>
    <cellStyle name="Wrap 2 3 2 8 4 2" xfId="32459" xr:uid="{00000000-0005-0000-0000-0000AD8A0000}"/>
    <cellStyle name="Wrap 2 3 2 8 5" xfId="32460" xr:uid="{00000000-0005-0000-0000-0000AE8A0000}"/>
    <cellStyle name="Wrap 2 3 2 8 5 2" xfId="32461" xr:uid="{00000000-0005-0000-0000-0000AF8A0000}"/>
    <cellStyle name="Wrap 2 3 2 8 6" xfId="32462" xr:uid="{00000000-0005-0000-0000-0000B08A0000}"/>
    <cellStyle name="Wrap 2 3 2 8 6 2" xfId="32463" xr:uid="{00000000-0005-0000-0000-0000B18A0000}"/>
    <cellStyle name="Wrap 2 3 2 8 7" xfId="32464" xr:uid="{00000000-0005-0000-0000-0000B28A0000}"/>
    <cellStyle name="Wrap 2 3 2 8 7 2" xfId="32465" xr:uid="{00000000-0005-0000-0000-0000B38A0000}"/>
    <cellStyle name="Wrap 2 3 2 8 8" xfId="32466" xr:uid="{00000000-0005-0000-0000-0000B48A0000}"/>
    <cellStyle name="Wrap 2 3 2 8 8 2" xfId="32467" xr:uid="{00000000-0005-0000-0000-0000B58A0000}"/>
    <cellStyle name="Wrap 2 3 2 8 9" xfId="32468" xr:uid="{00000000-0005-0000-0000-0000B68A0000}"/>
    <cellStyle name="Wrap 2 3 2 8 9 2" xfId="32469" xr:uid="{00000000-0005-0000-0000-0000B78A0000}"/>
    <cellStyle name="Wrap 2 3 2 9" xfId="32470" xr:uid="{00000000-0005-0000-0000-0000B88A0000}"/>
    <cellStyle name="Wrap 2 3 2 9 10" xfId="32471" xr:uid="{00000000-0005-0000-0000-0000B98A0000}"/>
    <cellStyle name="Wrap 2 3 2 9 2" xfId="32472" xr:uid="{00000000-0005-0000-0000-0000BA8A0000}"/>
    <cellStyle name="Wrap 2 3 2 9 2 2" xfId="32473" xr:uid="{00000000-0005-0000-0000-0000BB8A0000}"/>
    <cellStyle name="Wrap 2 3 2 9 3" xfId="32474" xr:uid="{00000000-0005-0000-0000-0000BC8A0000}"/>
    <cellStyle name="Wrap 2 3 2 9 3 2" xfId="32475" xr:uid="{00000000-0005-0000-0000-0000BD8A0000}"/>
    <cellStyle name="Wrap 2 3 2 9 4" xfId="32476" xr:uid="{00000000-0005-0000-0000-0000BE8A0000}"/>
    <cellStyle name="Wrap 2 3 2 9 4 2" xfId="32477" xr:uid="{00000000-0005-0000-0000-0000BF8A0000}"/>
    <cellStyle name="Wrap 2 3 2 9 5" xfId="32478" xr:uid="{00000000-0005-0000-0000-0000C08A0000}"/>
    <cellStyle name="Wrap 2 3 2 9 5 2" xfId="32479" xr:uid="{00000000-0005-0000-0000-0000C18A0000}"/>
    <cellStyle name="Wrap 2 3 2 9 6" xfId="32480" xr:uid="{00000000-0005-0000-0000-0000C28A0000}"/>
    <cellStyle name="Wrap 2 3 2 9 6 2" xfId="32481" xr:uid="{00000000-0005-0000-0000-0000C38A0000}"/>
    <cellStyle name="Wrap 2 3 2 9 7" xfId="32482" xr:uid="{00000000-0005-0000-0000-0000C48A0000}"/>
    <cellStyle name="Wrap 2 3 2 9 7 2" xfId="32483" xr:uid="{00000000-0005-0000-0000-0000C58A0000}"/>
    <cellStyle name="Wrap 2 3 2 9 8" xfId="32484" xr:uid="{00000000-0005-0000-0000-0000C68A0000}"/>
    <cellStyle name="Wrap 2 3 2 9 8 2" xfId="32485" xr:uid="{00000000-0005-0000-0000-0000C78A0000}"/>
    <cellStyle name="Wrap 2 3 2 9 9" xfId="32486" xr:uid="{00000000-0005-0000-0000-0000C88A0000}"/>
    <cellStyle name="Wrap 2 3 2 9 9 2" xfId="32487" xr:uid="{00000000-0005-0000-0000-0000C98A0000}"/>
    <cellStyle name="Wrap 2 3 3" xfId="32488" xr:uid="{00000000-0005-0000-0000-0000CA8A0000}"/>
    <cellStyle name="Wrap 2 3 3 10" xfId="32489" xr:uid="{00000000-0005-0000-0000-0000CB8A0000}"/>
    <cellStyle name="Wrap 2 3 3 10 10" xfId="32490" xr:uid="{00000000-0005-0000-0000-0000CC8A0000}"/>
    <cellStyle name="Wrap 2 3 3 10 2" xfId="32491" xr:uid="{00000000-0005-0000-0000-0000CD8A0000}"/>
    <cellStyle name="Wrap 2 3 3 10 2 2" xfId="32492" xr:uid="{00000000-0005-0000-0000-0000CE8A0000}"/>
    <cellStyle name="Wrap 2 3 3 10 3" xfId="32493" xr:uid="{00000000-0005-0000-0000-0000CF8A0000}"/>
    <cellStyle name="Wrap 2 3 3 10 3 2" xfId="32494" xr:uid="{00000000-0005-0000-0000-0000D08A0000}"/>
    <cellStyle name="Wrap 2 3 3 10 4" xfId="32495" xr:uid="{00000000-0005-0000-0000-0000D18A0000}"/>
    <cellStyle name="Wrap 2 3 3 10 4 2" xfId="32496" xr:uid="{00000000-0005-0000-0000-0000D28A0000}"/>
    <cellStyle name="Wrap 2 3 3 10 5" xfId="32497" xr:uid="{00000000-0005-0000-0000-0000D38A0000}"/>
    <cellStyle name="Wrap 2 3 3 10 5 2" xfId="32498" xr:uid="{00000000-0005-0000-0000-0000D48A0000}"/>
    <cellStyle name="Wrap 2 3 3 10 6" xfId="32499" xr:uid="{00000000-0005-0000-0000-0000D58A0000}"/>
    <cellStyle name="Wrap 2 3 3 10 6 2" xfId="32500" xr:uid="{00000000-0005-0000-0000-0000D68A0000}"/>
    <cellStyle name="Wrap 2 3 3 10 7" xfId="32501" xr:uid="{00000000-0005-0000-0000-0000D78A0000}"/>
    <cellStyle name="Wrap 2 3 3 10 7 2" xfId="32502" xr:uid="{00000000-0005-0000-0000-0000D88A0000}"/>
    <cellStyle name="Wrap 2 3 3 10 8" xfId="32503" xr:uid="{00000000-0005-0000-0000-0000D98A0000}"/>
    <cellStyle name="Wrap 2 3 3 10 8 2" xfId="32504" xr:uid="{00000000-0005-0000-0000-0000DA8A0000}"/>
    <cellStyle name="Wrap 2 3 3 10 9" xfId="32505" xr:uid="{00000000-0005-0000-0000-0000DB8A0000}"/>
    <cellStyle name="Wrap 2 3 3 10 9 2" xfId="32506" xr:uid="{00000000-0005-0000-0000-0000DC8A0000}"/>
    <cellStyle name="Wrap 2 3 3 11" xfId="32507" xr:uid="{00000000-0005-0000-0000-0000DD8A0000}"/>
    <cellStyle name="Wrap 2 3 3 11 2" xfId="32508" xr:uid="{00000000-0005-0000-0000-0000DE8A0000}"/>
    <cellStyle name="Wrap 2 3 3 11 2 2" xfId="32509" xr:uid="{00000000-0005-0000-0000-0000DF8A0000}"/>
    <cellStyle name="Wrap 2 3 3 11 3" xfId="32510" xr:uid="{00000000-0005-0000-0000-0000E08A0000}"/>
    <cellStyle name="Wrap 2 3 3 11 3 2" xfId="32511" xr:uid="{00000000-0005-0000-0000-0000E18A0000}"/>
    <cellStyle name="Wrap 2 3 3 11 4" xfId="32512" xr:uid="{00000000-0005-0000-0000-0000E28A0000}"/>
    <cellStyle name="Wrap 2 3 3 11 4 2" xfId="32513" xr:uid="{00000000-0005-0000-0000-0000E38A0000}"/>
    <cellStyle name="Wrap 2 3 3 11 5" xfId="32514" xr:uid="{00000000-0005-0000-0000-0000E48A0000}"/>
    <cellStyle name="Wrap 2 3 3 11 5 2" xfId="32515" xr:uid="{00000000-0005-0000-0000-0000E58A0000}"/>
    <cellStyle name="Wrap 2 3 3 11 6" xfId="32516" xr:uid="{00000000-0005-0000-0000-0000E68A0000}"/>
    <cellStyle name="Wrap 2 3 3 11 6 2" xfId="32517" xr:uid="{00000000-0005-0000-0000-0000E78A0000}"/>
    <cellStyle name="Wrap 2 3 3 11 7" xfId="32518" xr:uid="{00000000-0005-0000-0000-0000E88A0000}"/>
    <cellStyle name="Wrap 2 3 3 11 7 2" xfId="32519" xr:uid="{00000000-0005-0000-0000-0000E98A0000}"/>
    <cellStyle name="Wrap 2 3 3 11 8" xfId="32520" xr:uid="{00000000-0005-0000-0000-0000EA8A0000}"/>
    <cellStyle name="Wrap 2 3 3 11 8 2" xfId="32521" xr:uid="{00000000-0005-0000-0000-0000EB8A0000}"/>
    <cellStyle name="Wrap 2 3 3 11 9" xfId="32522" xr:uid="{00000000-0005-0000-0000-0000EC8A0000}"/>
    <cellStyle name="Wrap 2 3 3 2" xfId="32523" xr:uid="{00000000-0005-0000-0000-0000ED8A0000}"/>
    <cellStyle name="Wrap 2 3 3 2 10" xfId="32524" xr:uid="{00000000-0005-0000-0000-0000EE8A0000}"/>
    <cellStyle name="Wrap 2 3 3 2 2" xfId="32525" xr:uid="{00000000-0005-0000-0000-0000EF8A0000}"/>
    <cellStyle name="Wrap 2 3 3 2 2 2" xfId="32526" xr:uid="{00000000-0005-0000-0000-0000F08A0000}"/>
    <cellStyle name="Wrap 2 3 3 2 3" xfId="32527" xr:uid="{00000000-0005-0000-0000-0000F18A0000}"/>
    <cellStyle name="Wrap 2 3 3 2 3 2" xfId="32528" xr:uid="{00000000-0005-0000-0000-0000F28A0000}"/>
    <cellStyle name="Wrap 2 3 3 2 4" xfId="32529" xr:uid="{00000000-0005-0000-0000-0000F38A0000}"/>
    <cellStyle name="Wrap 2 3 3 2 4 2" xfId="32530" xr:uid="{00000000-0005-0000-0000-0000F48A0000}"/>
    <cellStyle name="Wrap 2 3 3 2 5" xfId="32531" xr:uid="{00000000-0005-0000-0000-0000F58A0000}"/>
    <cellStyle name="Wrap 2 3 3 2 5 2" xfId="32532" xr:uid="{00000000-0005-0000-0000-0000F68A0000}"/>
    <cellStyle name="Wrap 2 3 3 2 6" xfId="32533" xr:uid="{00000000-0005-0000-0000-0000F78A0000}"/>
    <cellStyle name="Wrap 2 3 3 2 6 2" xfId="32534" xr:uid="{00000000-0005-0000-0000-0000F88A0000}"/>
    <cellStyle name="Wrap 2 3 3 2 7" xfId="32535" xr:uid="{00000000-0005-0000-0000-0000F98A0000}"/>
    <cellStyle name="Wrap 2 3 3 2 7 2" xfId="32536" xr:uid="{00000000-0005-0000-0000-0000FA8A0000}"/>
    <cellStyle name="Wrap 2 3 3 2 8" xfId="32537" xr:uid="{00000000-0005-0000-0000-0000FB8A0000}"/>
    <cellStyle name="Wrap 2 3 3 2 8 2" xfId="32538" xr:uid="{00000000-0005-0000-0000-0000FC8A0000}"/>
    <cellStyle name="Wrap 2 3 3 2 9" xfId="32539" xr:uid="{00000000-0005-0000-0000-0000FD8A0000}"/>
    <cellStyle name="Wrap 2 3 3 2 9 2" xfId="32540" xr:uid="{00000000-0005-0000-0000-0000FE8A0000}"/>
    <cellStyle name="Wrap 2 3 3 3" xfId="32541" xr:uid="{00000000-0005-0000-0000-0000FF8A0000}"/>
    <cellStyle name="Wrap 2 3 3 3 10" xfId="32542" xr:uid="{00000000-0005-0000-0000-0000008B0000}"/>
    <cellStyle name="Wrap 2 3 3 3 2" xfId="32543" xr:uid="{00000000-0005-0000-0000-0000018B0000}"/>
    <cellStyle name="Wrap 2 3 3 3 2 2" xfId="32544" xr:uid="{00000000-0005-0000-0000-0000028B0000}"/>
    <cellStyle name="Wrap 2 3 3 3 3" xfId="32545" xr:uid="{00000000-0005-0000-0000-0000038B0000}"/>
    <cellStyle name="Wrap 2 3 3 3 3 2" xfId="32546" xr:uid="{00000000-0005-0000-0000-0000048B0000}"/>
    <cellStyle name="Wrap 2 3 3 3 4" xfId="32547" xr:uid="{00000000-0005-0000-0000-0000058B0000}"/>
    <cellStyle name="Wrap 2 3 3 3 4 2" xfId="32548" xr:uid="{00000000-0005-0000-0000-0000068B0000}"/>
    <cellStyle name="Wrap 2 3 3 3 5" xfId="32549" xr:uid="{00000000-0005-0000-0000-0000078B0000}"/>
    <cellStyle name="Wrap 2 3 3 3 5 2" xfId="32550" xr:uid="{00000000-0005-0000-0000-0000088B0000}"/>
    <cellStyle name="Wrap 2 3 3 3 6" xfId="32551" xr:uid="{00000000-0005-0000-0000-0000098B0000}"/>
    <cellStyle name="Wrap 2 3 3 3 6 2" xfId="32552" xr:uid="{00000000-0005-0000-0000-00000A8B0000}"/>
    <cellStyle name="Wrap 2 3 3 3 7" xfId="32553" xr:uid="{00000000-0005-0000-0000-00000B8B0000}"/>
    <cellStyle name="Wrap 2 3 3 3 7 2" xfId="32554" xr:uid="{00000000-0005-0000-0000-00000C8B0000}"/>
    <cellStyle name="Wrap 2 3 3 3 8" xfId="32555" xr:uid="{00000000-0005-0000-0000-00000D8B0000}"/>
    <cellStyle name="Wrap 2 3 3 3 8 2" xfId="32556" xr:uid="{00000000-0005-0000-0000-00000E8B0000}"/>
    <cellStyle name="Wrap 2 3 3 3 9" xfId="32557" xr:uid="{00000000-0005-0000-0000-00000F8B0000}"/>
    <cellStyle name="Wrap 2 3 3 3 9 2" xfId="32558" xr:uid="{00000000-0005-0000-0000-0000108B0000}"/>
    <cellStyle name="Wrap 2 3 3 4" xfId="32559" xr:uid="{00000000-0005-0000-0000-0000118B0000}"/>
    <cellStyle name="Wrap 2 3 3 4 10" xfId="32560" xr:uid="{00000000-0005-0000-0000-0000128B0000}"/>
    <cellStyle name="Wrap 2 3 3 4 2" xfId="32561" xr:uid="{00000000-0005-0000-0000-0000138B0000}"/>
    <cellStyle name="Wrap 2 3 3 4 2 2" xfId="32562" xr:uid="{00000000-0005-0000-0000-0000148B0000}"/>
    <cellStyle name="Wrap 2 3 3 4 3" xfId="32563" xr:uid="{00000000-0005-0000-0000-0000158B0000}"/>
    <cellStyle name="Wrap 2 3 3 4 3 2" xfId="32564" xr:uid="{00000000-0005-0000-0000-0000168B0000}"/>
    <cellStyle name="Wrap 2 3 3 4 4" xfId="32565" xr:uid="{00000000-0005-0000-0000-0000178B0000}"/>
    <cellStyle name="Wrap 2 3 3 4 4 2" xfId="32566" xr:uid="{00000000-0005-0000-0000-0000188B0000}"/>
    <cellStyle name="Wrap 2 3 3 4 5" xfId="32567" xr:uid="{00000000-0005-0000-0000-0000198B0000}"/>
    <cellStyle name="Wrap 2 3 3 4 5 2" xfId="32568" xr:uid="{00000000-0005-0000-0000-00001A8B0000}"/>
    <cellStyle name="Wrap 2 3 3 4 6" xfId="32569" xr:uid="{00000000-0005-0000-0000-00001B8B0000}"/>
    <cellStyle name="Wrap 2 3 3 4 6 2" xfId="32570" xr:uid="{00000000-0005-0000-0000-00001C8B0000}"/>
    <cellStyle name="Wrap 2 3 3 4 7" xfId="32571" xr:uid="{00000000-0005-0000-0000-00001D8B0000}"/>
    <cellStyle name="Wrap 2 3 3 4 7 2" xfId="32572" xr:uid="{00000000-0005-0000-0000-00001E8B0000}"/>
    <cellStyle name="Wrap 2 3 3 4 8" xfId="32573" xr:uid="{00000000-0005-0000-0000-00001F8B0000}"/>
    <cellStyle name="Wrap 2 3 3 4 8 2" xfId="32574" xr:uid="{00000000-0005-0000-0000-0000208B0000}"/>
    <cellStyle name="Wrap 2 3 3 4 9" xfId="32575" xr:uid="{00000000-0005-0000-0000-0000218B0000}"/>
    <cellStyle name="Wrap 2 3 3 4 9 2" xfId="32576" xr:uid="{00000000-0005-0000-0000-0000228B0000}"/>
    <cellStyle name="Wrap 2 3 3 5" xfId="32577" xr:uid="{00000000-0005-0000-0000-0000238B0000}"/>
    <cellStyle name="Wrap 2 3 3 5 10" xfId="32578" xr:uid="{00000000-0005-0000-0000-0000248B0000}"/>
    <cellStyle name="Wrap 2 3 3 5 2" xfId="32579" xr:uid="{00000000-0005-0000-0000-0000258B0000}"/>
    <cellStyle name="Wrap 2 3 3 5 2 2" xfId="32580" xr:uid="{00000000-0005-0000-0000-0000268B0000}"/>
    <cellStyle name="Wrap 2 3 3 5 3" xfId="32581" xr:uid="{00000000-0005-0000-0000-0000278B0000}"/>
    <cellStyle name="Wrap 2 3 3 5 3 2" xfId="32582" xr:uid="{00000000-0005-0000-0000-0000288B0000}"/>
    <cellStyle name="Wrap 2 3 3 5 4" xfId="32583" xr:uid="{00000000-0005-0000-0000-0000298B0000}"/>
    <cellStyle name="Wrap 2 3 3 5 4 2" xfId="32584" xr:uid="{00000000-0005-0000-0000-00002A8B0000}"/>
    <cellStyle name="Wrap 2 3 3 5 5" xfId="32585" xr:uid="{00000000-0005-0000-0000-00002B8B0000}"/>
    <cellStyle name="Wrap 2 3 3 5 5 2" xfId="32586" xr:uid="{00000000-0005-0000-0000-00002C8B0000}"/>
    <cellStyle name="Wrap 2 3 3 5 6" xfId="32587" xr:uid="{00000000-0005-0000-0000-00002D8B0000}"/>
    <cellStyle name="Wrap 2 3 3 5 6 2" xfId="32588" xr:uid="{00000000-0005-0000-0000-00002E8B0000}"/>
    <cellStyle name="Wrap 2 3 3 5 7" xfId="32589" xr:uid="{00000000-0005-0000-0000-00002F8B0000}"/>
    <cellStyle name="Wrap 2 3 3 5 7 2" xfId="32590" xr:uid="{00000000-0005-0000-0000-0000308B0000}"/>
    <cellStyle name="Wrap 2 3 3 5 8" xfId="32591" xr:uid="{00000000-0005-0000-0000-0000318B0000}"/>
    <cellStyle name="Wrap 2 3 3 5 8 2" xfId="32592" xr:uid="{00000000-0005-0000-0000-0000328B0000}"/>
    <cellStyle name="Wrap 2 3 3 5 9" xfId="32593" xr:uid="{00000000-0005-0000-0000-0000338B0000}"/>
    <cellStyle name="Wrap 2 3 3 5 9 2" xfId="32594" xr:uid="{00000000-0005-0000-0000-0000348B0000}"/>
    <cellStyle name="Wrap 2 3 3 6" xfId="32595" xr:uid="{00000000-0005-0000-0000-0000358B0000}"/>
    <cellStyle name="Wrap 2 3 3 6 10" xfId="32596" xr:uid="{00000000-0005-0000-0000-0000368B0000}"/>
    <cellStyle name="Wrap 2 3 3 6 2" xfId="32597" xr:uid="{00000000-0005-0000-0000-0000378B0000}"/>
    <cellStyle name="Wrap 2 3 3 6 2 2" xfId="32598" xr:uid="{00000000-0005-0000-0000-0000388B0000}"/>
    <cellStyle name="Wrap 2 3 3 6 3" xfId="32599" xr:uid="{00000000-0005-0000-0000-0000398B0000}"/>
    <cellStyle name="Wrap 2 3 3 6 3 2" xfId="32600" xr:uid="{00000000-0005-0000-0000-00003A8B0000}"/>
    <cellStyle name="Wrap 2 3 3 6 4" xfId="32601" xr:uid="{00000000-0005-0000-0000-00003B8B0000}"/>
    <cellStyle name="Wrap 2 3 3 6 4 2" xfId="32602" xr:uid="{00000000-0005-0000-0000-00003C8B0000}"/>
    <cellStyle name="Wrap 2 3 3 6 5" xfId="32603" xr:uid="{00000000-0005-0000-0000-00003D8B0000}"/>
    <cellStyle name="Wrap 2 3 3 6 5 2" xfId="32604" xr:uid="{00000000-0005-0000-0000-00003E8B0000}"/>
    <cellStyle name="Wrap 2 3 3 6 6" xfId="32605" xr:uid="{00000000-0005-0000-0000-00003F8B0000}"/>
    <cellStyle name="Wrap 2 3 3 6 6 2" xfId="32606" xr:uid="{00000000-0005-0000-0000-0000408B0000}"/>
    <cellStyle name="Wrap 2 3 3 6 7" xfId="32607" xr:uid="{00000000-0005-0000-0000-0000418B0000}"/>
    <cellStyle name="Wrap 2 3 3 6 7 2" xfId="32608" xr:uid="{00000000-0005-0000-0000-0000428B0000}"/>
    <cellStyle name="Wrap 2 3 3 6 8" xfId="32609" xr:uid="{00000000-0005-0000-0000-0000438B0000}"/>
    <cellStyle name="Wrap 2 3 3 6 8 2" xfId="32610" xr:uid="{00000000-0005-0000-0000-0000448B0000}"/>
    <cellStyle name="Wrap 2 3 3 6 9" xfId="32611" xr:uid="{00000000-0005-0000-0000-0000458B0000}"/>
    <cellStyle name="Wrap 2 3 3 6 9 2" xfId="32612" xr:uid="{00000000-0005-0000-0000-0000468B0000}"/>
    <cellStyle name="Wrap 2 3 3 7" xfId="32613" xr:uid="{00000000-0005-0000-0000-0000478B0000}"/>
    <cellStyle name="Wrap 2 3 3 7 10" xfId="32614" xr:uid="{00000000-0005-0000-0000-0000488B0000}"/>
    <cellStyle name="Wrap 2 3 3 7 2" xfId="32615" xr:uid="{00000000-0005-0000-0000-0000498B0000}"/>
    <cellStyle name="Wrap 2 3 3 7 2 2" xfId="32616" xr:uid="{00000000-0005-0000-0000-00004A8B0000}"/>
    <cellStyle name="Wrap 2 3 3 7 3" xfId="32617" xr:uid="{00000000-0005-0000-0000-00004B8B0000}"/>
    <cellStyle name="Wrap 2 3 3 7 3 2" xfId="32618" xr:uid="{00000000-0005-0000-0000-00004C8B0000}"/>
    <cellStyle name="Wrap 2 3 3 7 4" xfId="32619" xr:uid="{00000000-0005-0000-0000-00004D8B0000}"/>
    <cellStyle name="Wrap 2 3 3 7 4 2" xfId="32620" xr:uid="{00000000-0005-0000-0000-00004E8B0000}"/>
    <cellStyle name="Wrap 2 3 3 7 5" xfId="32621" xr:uid="{00000000-0005-0000-0000-00004F8B0000}"/>
    <cellStyle name="Wrap 2 3 3 7 5 2" xfId="32622" xr:uid="{00000000-0005-0000-0000-0000508B0000}"/>
    <cellStyle name="Wrap 2 3 3 7 6" xfId="32623" xr:uid="{00000000-0005-0000-0000-0000518B0000}"/>
    <cellStyle name="Wrap 2 3 3 7 6 2" xfId="32624" xr:uid="{00000000-0005-0000-0000-0000528B0000}"/>
    <cellStyle name="Wrap 2 3 3 7 7" xfId="32625" xr:uid="{00000000-0005-0000-0000-0000538B0000}"/>
    <cellStyle name="Wrap 2 3 3 7 7 2" xfId="32626" xr:uid="{00000000-0005-0000-0000-0000548B0000}"/>
    <cellStyle name="Wrap 2 3 3 7 8" xfId="32627" xr:uid="{00000000-0005-0000-0000-0000558B0000}"/>
    <cellStyle name="Wrap 2 3 3 7 8 2" xfId="32628" xr:uid="{00000000-0005-0000-0000-0000568B0000}"/>
    <cellStyle name="Wrap 2 3 3 7 9" xfId="32629" xr:uid="{00000000-0005-0000-0000-0000578B0000}"/>
    <cellStyle name="Wrap 2 3 3 7 9 2" xfId="32630" xr:uid="{00000000-0005-0000-0000-0000588B0000}"/>
    <cellStyle name="Wrap 2 3 3 8" xfId="32631" xr:uid="{00000000-0005-0000-0000-0000598B0000}"/>
    <cellStyle name="Wrap 2 3 3 8 10" xfId="32632" xr:uid="{00000000-0005-0000-0000-00005A8B0000}"/>
    <cellStyle name="Wrap 2 3 3 8 2" xfId="32633" xr:uid="{00000000-0005-0000-0000-00005B8B0000}"/>
    <cellStyle name="Wrap 2 3 3 8 2 2" xfId="32634" xr:uid="{00000000-0005-0000-0000-00005C8B0000}"/>
    <cellStyle name="Wrap 2 3 3 8 3" xfId="32635" xr:uid="{00000000-0005-0000-0000-00005D8B0000}"/>
    <cellStyle name="Wrap 2 3 3 8 3 2" xfId="32636" xr:uid="{00000000-0005-0000-0000-00005E8B0000}"/>
    <cellStyle name="Wrap 2 3 3 8 4" xfId="32637" xr:uid="{00000000-0005-0000-0000-00005F8B0000}"/>
    <cellStyle name="Wrap 2 3 3 8 4 2" xfId="32638" xr:uid="{00000000-0005-0000-0000-0000608B0000}"/>
    <cellStyle name="Wrap 2 3 3 8 5" xfId="32639" xr:uid="{00000000-0005-0000-0000-0000618B0000}"/>
    <cellStyle name="Wrap 2 3 3 8 5 2" xfId="32640" xr:uid="{00000000-0005-0000-0000-0000628B0000}"/>
    <cellStyle name="Wrap 2 3 3 8 6" xfId="32641" xr:uid="{00000000-0005-0000-0000-0000638B0000}"/>
    <cellStyle name="Wrap 2 3 3 8 6 2" xfId="32642" xr:uid="{00000000-0005-0000-0000-0000648B0000}"/>
    <cellStyle name="Wrap 2 3 3 8 7" xfId="32643" xr:uid="{00000000-0005-0000-0000-0000658B0000}"/>
    <cellStyle name="Wrap 2 3 3 8 7 2" xfId="32644" xr:uid="{00000000-0005-0000-0000-0000668B0000}"/>
    <cellStyle name="Wrap 2 3 3 8 8" xfId="32645" xr:uid="{00000000-0005-0000-0000-0000678B0000}"/>
    <cellStyle name="Wrap 2 3 3 8 8 2" xfId="32646" xr:uid="{00000000-0005-0000-0000-0000688B0000}"/>
    <cellStyle name="Wrap 2 3 3 8 9" xfId="32647" xr:uid="{00000000-0005-0000-0000-0000698B0000}"/>
    <cellStyle name="Wrap 2 3 3 8 9 2" xfId="32648" xr:uid="{00000000-0005-0000-0000-00006A8B0000}"/>
    <cellStyle name="Wrap 2 3 3 9" xfId="32649" xr:uid="{00000000-0005-0000-0000-00006B8B0000}"/>
    <cellStyle name="Wrap 2 3 3 9 10" xfId="32650" xr:uid="{00000000-0005-0000-0000-00006C8B0000}"/>
    <cellStyle name="Wrap 2 3 3 9 2" xfId="32651" xr:uid="{00000000-0005-0000-0000-00006D8B0000}"/>
    <cellStyle name="Wrap 2 3 3 9 2 2" xfId="32652" xr:uid="{00000000-0005-0000-0000-00006E8B0000}"/>
    <cellStyle name="Wrap 2 3 3 9 3" xfId="32653" xr:uid="{00000000-0005-0000-0000-00006F8B0000}"/>
    <cellStyle name="Wrap 2 3 3 9 3 2" xfId="32654" xr:uid="{00000000-0005-0000-0000-0000708B0000}"/>
    <cellStyle name="Wrap 2 3 3 9 4" xfId="32655" xr:uid="{00000000-0005-0000-0000-0000718B0000}"/>
    <cellStyle name="Wrap 2 3 3 9 4 2" xfId="32656" xr:uid="{00000000-0005-0000-0000-0000728B0000}"/>
    <cellStyle name="Wrap 2 3 3 9 5" xfId="32657" xr:uid="{00000000-0005-0000-0000-0000738B0000}"/>
    <cellStyle name="Wrap 2 3 3 9 5 2" xfId="32658" xr:uid="{00000000-0005-0000-0000-0000748B0000}"/>
    <cellStyle name="Wrap 2 3 3 9 6" xfId="32659" xr:uid="{00000000-0005-0000-0000-0000758B0000}"/>
    <cellStyle name="Wrap 2 3 3 9 6 2" xfId="32660" xr:uid="{00000000-0005-0000-0000-0000768B0000}"/>
    <cellStyle name="Wrap 2 3 3 9 7" xfId="32661" xr:uid="{00000000-0005-0000-0000-0000778B0000}"/>
    <cellStyle name="Wrap 2 3 3 9 7 2" xfId="32662" xr:uid="{00000000-0005-0000-0000-0000788B0000}"/>
    <cellStyle name="Wrap 2 3 3 9 8" xfId="32663" xr:uid="{00000000-0005-0000-0000-0000798B0000}"/>
    <cellStyle name="Wrap 2 3 3 9 8 2" xfId="32664" xr:uid="{00000000-0005-0000-0000-00007A8B0000}"/>
    <cellStyle name="Wrap 2 3 3 9 9" xfId="32665" xr:uid="{00000000-0005-0000-0000-00007B8B0000}"/>
    <cellStyle name="Wrap 2 3 3 9 9 2" xfId="32666" xr:uid="{00000000-0005-0000-0000-00007C8B0000}"/>
    <cellStyle name="Wrap 2 3 4" xfId="32667" xr:uid="{00000000-0005-0000-0000-00007D8B0000}"/>
    <cellStyle name="Wrap 2 3 4 10" xfId="32668" xr:uid="{00000000-0005-0000-0000-00007E8B0000}"/>
    <cellStyle name="Wrap 2 3 4 10 2" xfId="32669" xr:uid="{00000000-0005-0000-0000-00007F8B0000}"/>
    <cellStyle name="Wrap 2 3 4 10 2 2" xfId="32670" xr:uid="{00000000-0005-0000-0000-0000808B0000}"/>
    <cellStyle name="Wrap 2 3 4 10 3" xfId="32671" xr:uid="{00000000-0005-0000-0000-0000818B0000}"/>
    <cellStyle name="Wrap 2 3 4 10 3 2" xfId="32672" xr:uid="{00000000-0005-0000-0000-0000828B0000}"/>
    <cellStyle name="Wrap 2 3 4 10 4" xfId="32673" xr:uid="{00000000-0005-0000-0000-0000838B0000}"/>
    <cellStyle name="Wrap 2 3 4 10 4 2" xfId="32674" xr:uid="{00000000-0005-0000-0000-0000848B0000}"/>
    <cellStyle name="Wrap 2 3 4 10 5" xfId="32675" xr:uid="{00000000-0005-0000-0000-0000858B0000}"/>
    <cellStyle name="Wrap 2 3 4 10 5 2" xfId="32676" xr:uid="{00000000-0005-0000-0000-0000868B0000}"/>
    <cellStyle name="Wrap 2 3 4 10 6" xfId="32677" xr:uid="{00000000-0005-0000-0000-0000878B0000}"/>
    <cellStyle name="Wrap 2 3 4 10 6 2" xfId="32678" xr:uid="{00000000-0005-0000-0000-0000888B0000}"/>
    <cellStyle name="Wrap 2 3 4 10 7" xfId="32679" xr:uid="{00000000-0005-0000-0000-0000898B0000}"/>
    <cellStyle name="Wrap 2 3 4 10 7 2" xfId="32680" xr:uid="{00000000-0005-0000-0000-00008A8B0000}"/>
    <cellStyle name="Wrap 2 3 4 10 8" xfId="32681" xr:uid="{00000000-0005-0000-0000-00008B8B0000}"/>
    <cellStyle name="Wrap 2 3 4 10 8 2" xfId="32682" xr:uid="{00000000-0005-0000-0000-00008C8B0000}"/>
    <cellStyle name="Wrap 2 3 4 10 9" xfId="32683" xr:uid="{00000000-0005-0000-0000-00008D8B0000}"/>
    <cellStyle name="Wrap 2 3 4 11" xfId="32684" xr:uid="{00000000-0005-0000-0000-00008E8B0000}"/>
    <cellStyle name="Wrap 2 3 4 11 2" xfId="32685" xr:uid="{00000000-0005-0000-0000-00008F8B0000}"/>
    <cellStyle name="Wrap 2 3 4 12" xfId="32686" xr:uid="{00000000-0005-0000-0000-0000908B0000}"/>
    <cellStyle name="Wrap 2 3 4 12 2" xfId="32687" xr:uid="{00000000-0005-0000-0000-0000918B0000}"/>
    <cellStyle name="Wrap 2 3 4 13" xfId="32688" xr:uid="{00000000-0005-0000-0000-0000928B0000}"/>
    <cellStyle name="Wrap 2 3 4 13 2" xfId="32689" xr:uid="{00000000-0005-0000-0000-0000938B0000}"/>
    <cellStyle name="Wrap 2 3 4 14" xfId="32690" xr:uid="{00000000-0005-0000-0000-0000948B0000}"/>
    <cellStyle name="Wrap 2 3 4 14 2" xfId="32691" xr:uid="{00000000-0005-0000-0000-0000958B0000}"/>
    <cellStyle name="Wrap 2 3 4 15" xfId="32692" xr:uid="{00000000-0005-0000-0000-0000968B0000}"/>
    <cellStyle name="Wrap 2 3 4 15 2" xfId="32693" xr:uid="{00000000-0005-0000-0000-0000978B0000}"/>
    <cellStyle name="Wrap 2 3 4 16" xfId="32694" xr:uid="{00000000-0005-0000-0000-0000988B0000}"/>
    <cellStyle name="Wrap 2 3 4 16 2" xfId="32695" xr:uid="{00000000-0005-0000-0000-0000998B0000}"/>
    <cellStyle name="Wrap 2 3 4 17" xfId="32696" xr:uid="{00000000-0005-0000-0000-00009A8B0000}"/>
    <cellStyle name="Wrap 2 3 4 17 2" xfId="32697" xr:uid="{00000000-0005-0000-0000-00009B8B0000}"/>
    <cellStyle name="Wrap 2 3 4 18" xfId="32698" xr:uid="{00000000-0005-0000-0000-00009C8B0000}"/>
    <cellStyle name="Wrap 2 3 4 2" xfId="32699" xr:uid="{00000000-0005-0000-0000-00009D8B0000}"/>
    <cellStyle name="Wrap 2 3 4 2 10" xfId="32700" xr:uid="{00000000-0005-0000-0000-00009E8B0000}"/>
    <cellStyle name="Wrap 2 3 4 2 2" xfId="32701" xr:uid="{00000000-0005-0000-0000-00009F8B0000}"/>
    <cellStyle name="Wrap 2 3 4 2 2 2" xfId="32702" xr:uid="{00000000-0005-0000-0000-0000A08B0000}"/>
    <cellStyle name="Wrap 2 3 4 2 3" xfId="32703" xr:uid="{00000000-0005-0000-0000-0000A18B0000}"/>
    <cellStyle name="Wrap 2 3 4 2 3 2" xfId="32704" xr:uid="{00000000-0005-0000-0000-0000A28B0000}"/>
    <cellStyle name="Wrap 2 3 4 2 4" xfId="32705" xr:uid="{00000000-0005-0000-0000-0000A38B0000}"/>
    <cellStyle name="Wrap 2 3 4 2 4 2" xfId="32706" xr:uid="{00000000-0005-0000-0000-0000A48B0000}"/>
    <cellStyle name="Wrap 2 3 4 2 5" xfId="32707" xr:uid="{00000000-0005-0000-0000-0000A58B0000}"/>
    <cellStyle name="Wrap 2 3 4 2 5 2" xfId="32708" xr:uid="{00000000-0005-0000-0000-0000A68B0000}"/>
    <cellStyle name="Wrap 2 3 4 2 6" xfId="32709" xr:uid="{00000000-0005-0000-0000-0000A78B0000}"/>
    <cellStyle name="Wrap 2 3 4 2 6 2" xfId="32710" xr:uid="{00000000-0005-0000-0000-0000A88B0000}"/>
    <cellStyle name="Wrap 2 3 4 2 7" xfId="32711" xr:uid="{00000000-0005-0000-0000-0000A98B0000}"/>
    <cellStyle name="Wrap 2 3 4 2 7 2" xfId="32712" xr:uid="{00000000-0005-0000-0000-0000AA8B0000}"/>
    <cellStyle name="Wrap 2 3 4 2 8" xfId="32713" xr:uid="{00000000-0005-0000-0000-0000AB8B0000}"/>
    <cellStyle name="Wrap 2 3 4 2 8 2" xfId="32714" xr:uid="{00000000-0005-0000-0000-0000AC8B0000}"/>
    <cellStyle name="Wrap 2 3 4 2 9" xfId="32715" xr:uid="{00000000-0005-0000-0000-0000AD8B0000}"/>
    <cellStyle name="Wrap 2 3 4 2 9 2" xfId="32716" xr:uid="{00000000-0005-0000-0000-0000AE8B0000}"/>
    <cellStyle name="Wrap 2 3 4 3" xfId="32717" xr:uid="{00000000-0005-0000-0000-0000AF8B0000}"/>
    <cellStyle name="Wrap 2 3 4 3 10" xfId="32718" xr:uid="{00000000-0005-0000-0000-0000B08B0000}"/>
    <cellStyle name="Wrap 2 3 4 3 2" xfId="32719" xr:uid="{00000000-0005-0000-0000-0000B18B0000}"/>
    <cellStyle name="Wrap 2 3 4 3 2 2" xfId="32720" xr:uid="{00000000-0005-0000-0000-0000B28B0000}"/>
    <cellStyle name="Wrap 2 3 4 3 3" xfId="32721" xr:uid="{00000000-0005-0000-0000-0000B38B0000}"/>
    <cellStyle name="Wrap 2 3 4 3 3 2" xfId="32722" xr:uid="{00000000-0005-0000-0000-0000B48B0000}"/>
    <cellStyle name="Wrap 2 3 4 3 4" xfId="32723" xr:uid="{00000000-0005-0000-0000-0000B58B0000}"/>
    <cellStyle name="Wrap 2 3 4 3 4 2" xfId="32724" xr:uid="{00000000-0005-0000-0000-0000B68B0000}"/>
    <cellStyle name="Wrap 2 3 4 3 5" xfId="32725" xr:uid="{00000000-0005-0000-0000-0000B78B0000}"/>
    <cellStyle name="Wrap 2 3 4 3 5 2" xfId="32726" xr:uid="{00000000-0005-0000-0000-0000B88B0000}"/>
    <cellStyle name="Wrap 2 3 4 3 6" xfId="32727" xr:uid="{00000000-0005-0000-0000-0000B98B0000}"/>
    <cellStyle name="Wrap 2 3 4 3 6 2" xfId="32728" xr:uid="{00000000-0005-0000-0000-0000BA8B0000}"/>
    <cellStyle name="Wrap 2 3 4 3 7" xfId="32729" xr:uid="{00000000-0005-0000-0000-0000BB8B0000}"/>
    <cellStyle name="Wrap 2 3 4 3 7 2" xfId="32730" xr:uid="{00000000-0005-0000-0000-0000BC8B0000}"/>
    <cellStyle name="Wrap 2 3 4 3 8" xfId="32731" xr:uid="{00000000-0005-0000-0000-0000BD8B0000}"/>
    <cellStyle name="Wrap 2 3 4 3 8 2" xfId="32732" xr:uid="{00000000-0005-0000-0000-0000BE8B0000}"/>
    <cellStyle name="Wrap 2 3 4 3 9" xfId="32733" xr:uid="{00000000-0005-0000-0000-0000BF8B0000}"/>
    <cellStyle name="Wrap 2 3 4 3 9 2" xfId="32734" xr:uid="{00000000-0005-0000-0000-0000C08B0000}"/>
    <cellStyle name="Wrap 2 3 4 4" xfId="32735" xr:uid="{00000000-0005-0000-0000-0000C18B0000}"/>
    <cellStyle name="Wrap 2 3 4 4 10" xfId="32736" xr:uid="{00000000-0005-0000-0000-0000C28B0000}"/>
    <cellStyle name="Wrap 2 3 4 4 2" xfId="32737" xr:uid="{00000000-0005-0000-0000-0000C38B0000}"/>
    <cellStyle name="Wrap 2 3 4 4 2 2" xfId="32738" xr:uid="{00000000-0005-0000-0000-0000C48B0000}"/>
    <cellStyle name="Wrap 2 3 4 4 3" xfId="32739" xr:uid="{00000000-0005-0000-0000-0000C58B0000}"/>
    <cellStyle name="Wrap 2 3 4 4 3 2" xfId="32740" xr:uid="{00000000-0005-0000-0000-0000C68B0000}"/>
    <cellStyle name="Wrap 2 3 4 4 4" xfId="32741" xr:uid="{00000000-0005-0000-0000-0000C78B0000}"/>
    <cellStyle name="Wrap 2 3 4 4 4 2" xfId="32742" xr:uid="{00000000-0005-0000-0000-0000C88B0000}"/>
    <cellStyle name="Wrap 2 3 4 4 5" xfId="32743" xr:uid="{00000000-0005-0000-0000-0000C98B0000}"/>
    <cellStyle name="Wrap 2 3 4 4 5 2" xfId="32744" xr:uid="{00000000-0005-0000-0000-0000CA8B0000}"/>
    <cellStyle name="Wrap 2 3 4 4 6" xfId="32745" xr:uid="{00000000-0005-0000-0000-0000CB8B0000}"/>
    <cellStyle name="Wrap 2 3 4 4 6 2" xfId="32746" xr:uid="{00000000-0005-0000-0000-0000CC8B0000}"/>
    <cellStyle name="Wrap 2 3 4 4 7" xfId="32747" xr:uid="{00000000-0005-0000-0000-0000CD8B0000}"/>
    <cellStyle name="Wrap 2 3 4 4 7 2" xfId="32748" xr:uid="{00000000-0005-0000-0000-0000CE8B0000}"/>
    <cellStyle name="Wrap 2 3 4 4 8" xfId="32749" xr:uid="{00000000-0005-0000-0000-0000CF8B0000}"/>
    <cellStyle name="Wrap 2 3 4 4 8 2" xfId="32750" xr:uid="{00000000-0005-0000-0000-0000D08B0000}"/>
    <cellStyle name="Wrap 2 3 4 4 9" xfId="32751" xr:uid="{00000000-0005-0000-0000-0000D18B0000}"/>
    <cellStyle name="Wrap 2 3 4 4 9 2" xfId="32752" xr:uid="{00000000-0005-0000-0000-0000D28B0000}"/>
    <cellStyle name="Wrap 2 3 4 5" xfId="32753" xr:uid="{00000000-0005-0000-0000-0000D38B0000}"/>
    <cellStyle name="Wrap 2 3 4 5 10" xfId="32754" xr:uid="{00000000-0005-0000-0000-0000D48B0000}"/>
    <cellStyle name="Wrap 2 3 4 5 2" xfId="32755" xr:uid="{00000000-0005-0000-0000-0000D58B0000}"/>
    <cellStyle name="Wrap 2 3 4 5 2 2" xfId="32756" xr:uid="{00000000-0005-0000-0000-0000D68B0000}"/>
    <cellStyle name="Wrap 2 3 4 5 3" xfId="32757" xr:uid="{00000000-0005-0000-0000-0000D78B0000}"/>
    <cellStyle name="Wrap 2 3 4 5 3 2" xfId="32758" xr:uid="{00000000-0005-0000-0000-0000D88B0000}"/>
    <cellStyle name="Wrap 2 3 4 5 4" xfId="32759" xr:uid="{00000000-0005-0000-0000-0000D98B0000}"/>
    <cellStyle name="Wrap 2 3 4 5 4 2" xfId="32760" xr:uid="{00000000-0005-0000-0000-0000DA8B0000}"/>
    <cellStyle name="Wrap 2 3 4 5 5" xfId="32761" xr:uid="{00000000-0005-0000-0000-0000DB8B0000}"/>
    <cellStyle name="Wrap 2 3 4 5 5 2" xfId="32762" xr:uid="{00000000-0005-0000-0000-0000DC8B0000}"/>
    <cellStyle name="Wrap 2 3 4 5 6" xfId="32763" xr:uid="{00000000-0005-0000-0000-0000DD8B0000}"/>
    <cellStyle name="Wrap 2 3 4 5 6 2" xfId="32764" xr:uid="{00000000-0005-0000-0000-0000DE8B0000}"/>
    <cellStyle name="Wrap 2 3 4 5 7" xfId="32765" xr:uid="{00000000-0005-0000-0000-0000DF8B0000}"/>
    <cellStyle name="Wrap 2 3 4 5 7 2" xfId="32766" xr:uid="{00000000-0005-0000-0000-0000E08B0000}"/>
    <cellStyle name="Wrap 2 3 4 5 8" xfId="32767" xr:uid="{00000000-0005-0000-0000-0000E18B0000}"/>
    <cellStyle name="Wrap 2 3 4 5 8 2" xfId="32768" xr:uid="{00000000-0005-0000-0000-0000E28B0000}"/>
    <cellStyle name="Wrap 2 3 4 5 9" xfId="32769" xr:uid="{00000000-0005-0000-0000-0000E38B0000}"/>
    <cellStyle name="Wrap 2 3 4 5 9 2" xfId="32770" xr:uid="{00000000-0005-0000-0000-0000E48B0000}"/>
    <cellStyle name="Wrap 2 3 4 6" xfId="32771" xr:uid="{00000000-0005-0000-0000-0000E58B0000}"/>
    <cellStyle name="Wrap 2 3 4 6 10" xfId="32772" xr:uid="{00000000-0005-0000-0000-0000E68B0000}"/>
    <cellStyle name="Wrap 2 3 4 6 2" xfId="32773" xr:uid="{00000000-0005-0000-0000-0000E78B0000}"/>
    <cellStyle name="Wrap 2 3 4 6 2 2" xfId="32774" xr:uid="{00000000-0005-0000-0000-0000E88B0000}"/>
    <cellStyle name="Wrap 2 3 4 6 3" xfId="32775" xr:uid="{00000000-0005-0000-0000-0000E98B0000}"/>
    <cellStyle name="Wrap 2 3 4 6 3 2" xfId="32776" xr:uid="{00000000-0005-0000-0000-0000EA8B0000}"/>
    <cellStyle name="Wrap 2 3 4 6 4" xfId="32777" xr:uid="{00000000-0005-0000-0000-0000EB8B0000}"/>
    <cellStyle name="Wrap 2 3 4 6 4 2" xfId="32778" xr:uid="{00000000-0005-0000-0000-0000EC8B0000}"/>
    <cellStyle name="Wrap 2 3 4 6 5" xfId="32779" xr:uid="{00000000-0005-0000-0000-0000ED8B0000}"/>
    <cellStyle name="Wrap 2 3 4 6 5 2" xfId="32780" xr:uid="{00000000-0005-0000-0000-0000EE8B0000}"/>
    <cellStyle name="Wrap 2 3 4 6 6" xfId="32781" xr:uid="{00000000-0005-0000-0000-0000EF8B0000}"/>
    <cellStyle name="Wrap 2 3 4 6 6 2" xfId="32782" xr:uid="{00000000-0005-0000-0000-0000F08B0000}"/>
    <cellStyle name="Wrap 2 3 4 6 7" xfId="32783" xr:uid="{00000000-0005-0000-0000-0000F18B0000}"/>
    <cellStyle name="Wrap 2 3 4 6 7 2" xfId="32784" xr:uid="{00000000-0005-0000-0000-0000F28B0000}"/>
    <cellStyle name="Wrap 2 3 4 6 8" xfId="32785" xr:uid="{00000000-0005-0000-0000-0000F38B0000}"/>
    <cellStyle name="Wrap 2 3 4 6 8 2" xfId="32786" xr:uid="{00000000-0005-0000-0000-0000F48B0000}"/>
    <cellStyle name="Wrap 2 3 4 6 9" xfId="32787" xr:uid="{00000000-0005-0000-0000-0000F58B0000}"/>
    <cellStyle name="Wrap 2 3 4 6 9 2" xfId="32788" xr:uid="{00000000-0005-0000-0000-0000F68B0000}"/>
    <cellStyle name="Wrap 2 3 4 7" xfId="32789" xr:uid="{00000000-0005-0000-0000-0000F78B0000}"/>
    <cellStyle name="Wrap 2 3 4 7 10" xfId="32790" xr:uid="{00000000-0005-0000-0000-0000F88B0000}"/>
    <cellStyle name="Wrap 2 3 4 7 2" xfId="32791" xr:uid="{00000000-0005-0000-0000-0000F98B0000}"/>
    <cellStyle name="Wrap 2 3 4 7 2 2" xfId="32792" xr:uid="{00000000-0005-0000-0000-0000FA8B0000}"/>
    <cellStyle name="Wrap 2 3 4 7 3" xfId="32793" xr:uid="{00000000-0005-0000-0000-0000FB8B0000}"/>
    <cellStyle name="Wrap 2 3 4 7 3 2" xfId="32794" xr:uid="{00000000-0005-0000-0000-0000FC8B0000}"/>
    <cellStyle name="Wrap 2 3 4 7 4" xfId="32795" xr:uid="{00000000-0005-0000-0000-0000FD8B0000}"/>
    <cellStyle name="Wrap 2 3 4 7 4 2" xfId="32796" xr:uid="{00000000-0005-0000-0000-0000FE8B0000}"/>
    <cellStyle name="Wrap 2 3 4 7 5" xfId="32797" xr:uid="{00000000-0005-0000-0000-0000FF8B0000}"/>
    <cellStyle name="Wrap 2 3 4 7 5 2" xfId="32798" xr:uid="{00000000-0005-0000-0000-0000008C0000}"/>
    <cellStyle name="Wrap 2 3 4 7 6" xfId="32799" xr:uid="{00000000-0005-0000-0000-0000018C0000}"/>
    <cellStyle name="Wrap 2 3 4 7 6 2" xfId="32800" xr:uid="{00000000-0005-0000-0000-0000028C0000}"/>
    <cellStyle name="Wrap 2 3 4 7 7" xfId="32801" xr:uid="{00000000-0005-0000-0000-0000038C0000}"/>
    <cellStyle name="Wrap 2 3 4 7 7 2" xfId="32802" xr:uid="{00000000-0005-0000-0000-0000048C0000}"/>
    <cellStyle name="Wrap 2 3 4 7 8" xfId="32803" xr:uid="{00000000-0005-0000-0000-0000058C0000}"/>
    <cellStyle name="Wrap 2 3 4 7 8 2" xfId="32804" xr:uid="{00000000-0005-0000-0000-0000068C0000}"/>
    <cellStyle name="Wrap 2 3 4 7 9" xfId="32805" xr:uid="{00000000-0005-0000-0000-0000078C0000}"/>
    <cellStyle name="Wrap 2 3 4 7 9 2" xfId="32806" xr:uid="{00000000-0005-0000-0000-0000088C0000}"/>
    <cellStyle name="Wrap 2 3 4 8" xfId="32807" xr:uid="{00000000-0005-0000-0000-0000098C0000}"/>
    <cellStyle name="Wrap 2 3 4 8 10" xfId="32808" xr:uid="{00000000-0005-0000-0000-00000A8C0000}"/>
    <cellStyle name="Wrap 2 3 4 8 2" xfId="32809" xr:uid="{00000000-0005-0000-0000-00000B8C0000}"/>
    <cellStyle name="Wrap 2 3 4 8 2 2" xfId="32810" xr:uid="{00000000-0005-0000-0000-00000C8C0000}"/>
    <cellStyle name="Wrap 2 3 4 8 3" xfId="32811" xr:uid="{00000000-0005-0000-0000-00000D8C0000}"/>
    <cellStyle name="Wrap 2 3 4 8 3 2" xfId="32812" xr:uid="{00000000-0005-0000-0000-00000E8C0000}"/>
    <cellStyle name="Wrap 2 3 4 8 4" xfId="32813" xr:uid="{00000000-0005-0000-0000-00000F8C0000}"/>
    <cellStyle name="Wrap 2 3 4 8 4 2" xfId="32814" xr:uid="{00000000-0005-0000-0000-0000108C0000}"/>
    <cellStyle name="Wrap 2 3 4 8 5" xfId="32815" xr:uid="{00000000-0005-0000-0000-0000118C0000}"/>
    <cellStyle name="Wrap 2 3 4 8 5 2" xfId="32816" xr:uid="{00000000-0005-0000-0000-0000128C0000}"/>
    <cellStyle name="Wrap 2 3 4 8 6" xfId="32817" xr:uid="{00000000-0005-0000-0000-0000138C0000}"/>
    <cellStyle name="Wrap 2 3 4 8 6 2" xfId="32818" xr:uid="{00000000-0005-0000-0000-0000148C0000}"/>
    <cellStyle name="Wrap 2 3 4 8 7" xfId="32819" xr:uid="{00000000-0005-0000-0000-0000158C0000}"/>
    <cellStyle name="Wrap 2 3 4 8 7 2" xfId="32820" xr:uid="{00000000-0005-0000-0000-0000168C0000}"/>
    <cellStyle name="Wrap 2 3 4 8 8" xfId="32821" xr:uid="{00000000-0005-0000-0000-0000178C0000}"/>
    <cellStyle name="Wrap 2 3 4 8 8 2" xfId="32822" xr:uid="{00000000-0005-0000-0000-0000188C0000}"/>
    <cellStyle name="Wrap 2 3 4 8 9" xfId="32823" xr:uid="{00000000-0005-0000-0000-0000198C0000}"/>
    <cellStyle name="Wrap 2 3 4 8 9 2" xfId="32824" xr:uid="{00000000-0005-0000-0000-00001A8C0000}"/>
    <cellStyle name="Wrap 2 3 4 9" xfId="32825" xr:uid="{00000000-0005-0000-0000-00001B8C0000}"/>
    <cellStyle name="Wrap 2 3 4 9 10" xfId="32826" xr:uid="{00000000-0005-0000-0000-00001C8C0000}"/>
    <cellStyle name="Wrap 2 3 4 9 2" xfId="32827" xr:uid="{00000000-0005-0000-0000-00001D8C0000}"/>
    <cellStyle name="Wrap 2 3 4 9 2 2" xfId="32828" xr:uid="{00000000-0005-0000-0000-00001E8C0000}"/>
    <cellStyle name="Wrap 2 3 4 9 3" xfId="32829" xr:uid="{00000000-0005-0000-0000-00001F8C0000}"/>
    <cellStyle name="Wrap 2 3 4 9 3 2" xfId="32830" xr:uid="{00000000-0005-0000-0000-0000208C0000}"/>
    <cellStyle name="Wrap 2 3 4 9 4" xfId="32831" xr:uid="{00000000-0005-0000-0000-0000218C0000}"/>
    <cellStyle name="Wrap 2 3 4 9 4 2" xfId="32832" xr:uid="{00000000-0005-0000-0000-0000228C0000}"/>
    <cellStyle name="Wrap 2 3 4 9 5" xfId="32833" xr:uid="{00000000-0005-0000-0000-0000238C0000}"/>
    <cellStyle name="Wrap 2 3 4 9 5 2" xfId="32834" xr:uid="{00000000-0005-0000-0000-0000248C0000}"/>
    <cellStyle name="Wrap 2 3 4 9 6" xfId="32835" xr:uid="{00000000-0005-0000-0000-0000258C0000}"/>
    <cellStyle name="Wrap 2 3 4 9 6 2" xfId="32836" xr:uid="{00000000-0005-0000-0000-0000268C0000}"/>
    <cellStyle name="Wrap 2 3 4 9 7" xfId="32837" xr:uid="{00000000-0005-0000-0000-0000278C0000}"/>
    <cellStyle name="Wrap 2 3 4 9 7 2" xfId="32838" xr:uid="{00000000-0005-0000-0000-0000288C0000}"/>
    <cellStyle name="Wrap 2 3 4 9 8" xfId="32839" xr:uid="{00000000-0005-0000-0000-0000298C0000}"/>
    <cellStyle name="Wrap 2 3 4 9 8 2" xfId="32840" xr:uid="{00000000-0005-0000-0000-00002A8C0000}"/>
    <cellStyle name="Wrap 2 3 4 9 9" xfId="32841" xr:uid="{00000000-0005-0000-0000-00002B8C0000}"/>
    <cellStyle name="Wrap 2 3 4 9 9 2" xfId="32842" xr:uid="{00000000-0005-0000-0000-00002C8C0000}"/>
    <cellStyle name="Wrap 2 3 5" xfId="32843" xr:uid="{00000000-0005-0000-0000-00002D8C0000}"/>
    <cellStyle name="Wrap 2 3 5 10" xfId="32844" xr:uid="{00000000-0005-0000-0000-00002E8C0000}"/>
    <cellStyle name="Wrap 2 3 5 10 2" xfId="32845" xr:uid="{00000000-0005-0000-0000-00002F8C0000}"/>
    <cellStyle name="Wrap 2 3 5 10 2 2" xfId="32846" xr:uid="{00000000-0005-0000-0000-0000308C0000}"/>
    <cellStyle name="Wrap 2 3 5 10 3" xfId="32847" xr:uid="{00000000-0005-0000-0000-0000318C0000}"/>
    <cellStyle name="Wrap 2 3 5 10 3 2" xfId="32848" xr:uid="{00000000-0005-0000-0000-0000328C0000}"/>
    <cellStyle name="Wrap 2 3 5 10 4" xfId="32849" xr:uid="{00000000-0005-0000-0000-0000338C0000}"/>
    <cellStyle name="Wrap 2 3 5 10 4 2" xfId="32850" xr:uid="{00000000-0005-0000-0000-0000348C0000}"/>
    <cellStyle name="Wrap 2 3 5 10 5" xfId="32851" xr:uid="{00000000-0005-0000-0000-0000358C0000}"/>
    <cellStyle name="Wrap 2 3 5 10 5 2" xfId="32852" xr:uid="{00000000-0005-0000-0000-0000368C0000}"/>
    <cellStyle name="Wrap 2 3 5 10 6" xfId="32853" xr:uid="{00000000-0005-0000-0000-0000378C0000}"/>
    <cellStyle name="Wrap 2 3 5 10 6 2" xfId="32854" xr:uid="{00000000-0005-0000-0000-0000388C0000}"/>
    <cellStyle name="Wrap 2 3 5 10 7" xfId="32855" xr:uid="{00000000-0005-0000-0000-0000398C0000}"/>
    <cellStyle name="Wrap 2 3 5 10 7 2" xfId="32856" xr:uid="{00000000-0005-0000-0000-00003A8C0000}"/>
    <cellStyle name="Wrap 2 3 5 10 8" xfId="32857" xr:uid="{00000000-0005-0000-0000-00003B8C0000}"/>
    <cellStyle name="Wrap 2 3 5 10 8 2" xfId="32858" xr:uid="{00000000-0005-0000-0000-00003C8C0000}"/>
    <cellStyle name="Wrap 2 3 5 10 9" xfId="32859" xr:uid="{00000000-0005-0000-0000-00003D8C0000}"/>
    <cellStyle name="Wrap 2 3 5 11" xfId="32860" xr:uid="{00000000-0005-0000-0000-00003E8C0000}"/>
    <cellStyle name="Wrap 2 3 5 11 2" xfId="32861" xr:uid="{00000000-0005-0000-0000-00003F8C0000}"/>
    <cellStyle name="Wrap 2 3 5 12" xfId="32862" xr:uid="{00000000-0005-0000-0000-0000408C0000}"/>
    <cellStyle name="Wrap 2 3 5 12 2" xfId="32863" xr:uid="{00000000-0005-0000-0000-0000418C0000}"/>
    <cellStyle name="Wrap 2 3 5 13" xfId="32864" xr:uid="{00000000-0005-0000-0000-0000428C0000}"/>
    <cellStyle name="Wrap 2 3 5 13 2" xfId="32865" xr:uid="{00000000-0005-0000-0000-0000438C0000}"/>
    <cellStyle name="Wrap 2 3 5 14" xfId="32866" xr:uid="{00000000-0005-0000-0000-0000448C0000}"/>
    <cellStyle name="Wrap 2 3 5 14 2" xfId="32867" xr:uid="{00000000-0005-0000-0000-0000458C0000}"/>
    <cellStyle name="Wrap 2 3 5 15" xfId="32868" xr:uid="{00000000-0005-0000-0000-0000468C0000}"/>
    <cellStyle name="Wrap 2 3 5 15 2" xfId="32869" xr:uid="{00000000-0005-0000-0000-0000478C0000}"/>
    <cellStyle name="Wrap 2 3 5 16" xfId="32870" xr:uid="{00000000-0005-0000-0000-0000488C0000}"/>
    <cellStyle name="Wrap 2 3 5 16 2" xfId="32871" xr:uid="{00000000-0005-0000-0000-0000498C0000}"/>
    <cellStyle name="Wrap 2 3 5 17" xfId="32872" xr:uid="{00000000-0005-0000-0000-00004A8C0000}"/>
    <cellStyle name="Wrap 2 3 5 17 2" xfId="32873" xr:uid="{00000000-0005-0000-0000-00004B8C0000}"/>
    <cellStyle name="Wrap 2 3 5 18" xfId="32874" xr:uid="{00000000-0005-0000-0000-00004C8C0000}"/>
    <cellStyle name="Wrap 2 3 5 2" xfId="32875" xr:uid="{00000000-0005-0000-0000-00004D8C0000}"/>
    <cellStyle name="Wrap 2 3 5 2 10" xfId="32876" xr:uid="{00000000-0005-0000-0000-00004E8C0000}"/>
    <cellStyle name="Wrap 2 3 5 2 2" xfId="32877" xr:uid="{00000000-0005-0000-0000-00004F8C0000}"/>
    <cellStyle name="Wrap 2 3 5 2 2 2" xfId="32878" xr:uid="{00000000-0005-0000-0000-0000508C0000}"/>
    <cellStyle name="Wrap 2 3 5 2 3" xfId="32879" xr:uid="{00000000-0005-0000-0000-0000518C0000}"/>
    <cellStyle name="Wrap 2 3 5 2 3 2" xfId="32880" xr:uid="{00000000-0005-0000-0000-0000528C0000}"/>
    <cellStyle name="Wrap 2 3 5 2 4" xfId="32881" xr:uid="{00000000-0005-0000-0000-0000538C0000}"/>
    <cellStyle name="Wrap 2 3 5 2 4 2" xfId="32882" xr:uid="{00000000-0005-0000-0000-0000548C0000}"/>
    <cellStyle name="Wrap 2 3 5 2 5" xfId="32883" xr:uid="{00000000-0005-0000-0000-0000558C0000}"/>
    <cellStyle name="Wrap 2 3 5 2 5 2" xfId="32884" xr:uid="{00000000-0005-0000-0000-0000568C0000}"/>
    <cellStyle name="Wrap 2 3 5 2 6" xfId="32885" xr:uid="{00000000-0005-0000-0000-0000578C0000}"/>
    <cellStyle name="Wrap 2 3 5 2 6 2" xfId="32886" xr:uid="{00000000-0005-0000-0000-0000588C0000}"/>
    <cellStyle name="Wrap 2 3 5 2 7" xfId="32887" xr:uid="{00000000-0005-0000-0000-0000598C0000}"/>
    <cellStyle name="Wrap 2 3 5 2 7 2" xfId="32888" xr:uid="{00000000-0005-0000-0000-00005A8C0000}"/>
    <cellStyle name="Wrap 2 3 5 2 8" xfId="32889" xr:uid="{00000000-0005-0000-0000-00005B8C0000}"/>
    <cellStyle name="Wrap 2 3 5 2 8 2" xfId="32890" xr:uid="{00000000-0005-0000-0000-00005C8C0000}"/>
    <cellStyle name="Wrap 2 3 5 2 9" xfId="32891" xr:uid="{00000000-0005-0000-0000-00005D8C0000}"/>
    <cellStyle name="Wrap 2 3 5 2 9 2" xfId="32892" xr:uid="{00000000-0005-0000-0000-00005E8C0000}"/>
    <cellStyle name="Wrap 2 3 5 3" xfId="32893" xr:uid="{00000000-0005-0000-0000-00005F8C0000}"/>
    <cellStyle name="Wrap 2 3 5 3 10" xfId="32894" xr:uid="{00000000-0005-0000-0000-0000608C0000}"/>
    <cellStyle name="Wrap 2 3 5 3 2" xfId="32895" xr:uid="{00000000-0005-0000-0000-0000618C0000}"/>
    <cellStyle name="Wrap 2 3 5 3 2 2" xfId="32896" xr:uid="{00000000-0005-0000-0000-0000628C0000}"/>
    <cellStyle name="Wrap 2 3 5 3 3" xfId="32897" xr:uid="{00000000-0005-0000-0000-0000638C0000}"/>
    <cellStyle name="Wrap 2 3 5 3 3 2" xfId="32898" xr:uid="{00000000-0005-0000-0000-0000648C0000}"/>
    <cellStyle name="Wrap 2 3 5 3 4" xfId="32899" xr:uid="{00000000-0005-0000-0000-0000658C0000}"/>
    <cellStyle name="Wrap 2 3 5 3 4 2" xfId="32900" xr:uid="{00000000-0005-0000-0000-0000668C0000}"/>
    <cellStyle name="Wrap 2 3 5 3 5" xfId="32901" xr:uid="{00000000-0005-0000-0000-0000678C0000}"/>
    <cellStyle name="Wrap 2 3 5 3 5 2" xfId="32902" xr:uid="{00000000-0005-0000-0000-0000688C0000}"/>
    <cellStyle name="Wrap 2 3 5 3 6" xfId="32903" xr:uid="{00000000-0005-0000-0000-0000698C0000}"/>
    <cellStyle name="Wrap 2 3 5 3 6 2" xfId="32904" xr:uid="{00000000-0005-0000-0000-00006A8C0000}"/>
    <cellStyle name="Wrap 2 3 5 3 7" xfId="32905" xr:uid="{00000000-0005-0000-0000-00006B8C0000}"/>
    <cellStyle name="Wrap 2 3 5 3 7 2" xfId="32906" xr:uid="{00000000-0005-0000-0000-00006C8C0000}"/>
    <cellStyle name="Wrap 2 3 5 3 8" xfId="32907" xr:uid="{00000000-0005-0000-0000-00006D8C0000}"/>
    <cellStyle name="Wrap 2 3 5 3 8 2" xfId="32908" xr:uid="{00000000-0005-0000-0000-00006E8C0000}"/>
    <cellStyle name="Wrap 2 3 5 3 9" xfId="32909" xr:uid="{00000000-0005-0000-0000-00006F8C0000}"/>
    <cellStyle name="Wrap 2 3 5 3 9 2" xfId="32910" xr:uid="{00000000-0005-0000-0000-0000708C0000}"/>
    <cellStyle name="Wrap 2 3 5 4" xfId="32911" xr:uid="{00000000-0005-0000-0000-0000718C0000}"/>
    <cellStyle name="Wrap 2 3 5 4 10" xfId="32912" xr:uid="{00000000-0005-0000-0000-0000728C0000}"/>
    <cellStyle name="Wrap 2 3 5 4 2" xfId="32913" xr:uid="{00000000-0005-0000-0000-0000738C0000}"/>
    <cellStyle name="Wrap 2 3 5 4 2 2" xfId="32914" xr:uid="{00000000-0005-0000-0000-0000748C0000}"/>
    <cellStyle name="Wrap 2 3 5 4 3" xfId="32915" xr:uid="{00000000-0005-0000-0000-0000758C0000}"/>
    <cellStyle name="Wrap 2 3 5 4 3 2" xfId="32916" xr:uid="{00000000-0005-0000-0000-0000768C0000}"/>
    <cellStyle name="Wrap 2 3 5 4 4" xfId="32917" xr:uid="{00000000-0005-0000-0000-0000778C0000}"/>
    <cellStyle name="Wrap 2 3 5 4 4 2" xfId="32918" xr:uid="{00000000-0005-0000-0000-0000788C0000}"/>
    <cellStyle name="Wrap 2 3 5 4 5" xfId="32919" xr:uid="{00000000-0005-0000-0000-0000798C0000}"/>
    <cellStyle name="Wrap 2 3 5 4 5 2" xfId="32920" xr:uid="{00000000-0005-0000-0000-00007A8C0000}"/>
    <cellStyle name="Wrap 2 3 5 4 6" xfId="32921" xr:uid="{00000000-0005-0000-0000-00007B8C0000}"/>
    <cellStyle name="Wrap 2 3 5 4 6 2" xfId="32922" xr:uid="{00000000-0005-0000-0000-00007C8C0000}"/>
    <cellStyle name="Wrap 2 3 5 4 7" xfId="32923" xr:uid="{00000000-0005-0000-0000-00007D8C0000}"/>
    <cellStyle name="Wrap 2 3 5 4 7 2" xfId="32924" xr:uid="{00000000-0005-0000-0000-00007E8C0000}"/>
    <cellStyle name="Wrap 2 3 5 4 8" xfId="32925" xr:uid="{00000000-0005-0000-0000-00007F8C0000}"/>
    <cellStyle name="Wrap 2 3 5 4 8 2" xfId="32926" xr:uid="{00000000-0005-0000-0000-0000808C0000}"/>
    <cellStyle name="Wrap 2 3 5 4 9" xfId="32927" xr:uid="{00000000-0005-0000-0000-0000818C0000}"/>
    <cellStyle name="Wrap 2 3 5 4 9 2" xfId="32928" xr:uid="{00000000-0005-0000-0000-0000828C0000}"/>
    <cellStyle name="Wrap 2 3 5 5" xfId="32929" xr:uid="{00000000-0005-0000-0000-0000838C0000}"/>
    <cellStyle name="Wrap 2 3 5 5 10" xfId="32930" xr:uid="{00000000-0005-0000-0000-0000848C0000}"/>
    <cellStyle name="Wrap 2 3 5 5 2" xfId="32931" xr:uid="{00000000-0005-0000-0000-0000858C0000}"/>
    <cellStyle name="Wrap 2 3 5 5 2 2" xfId="32932" xr:uid="{00000000-0005-0000-0000-0000868C0000}"/>
    <cellStyle name="Wrap 2 3 5 5 3" xfId="32933" xr:uid="{00000000-0005-0000-0000-0000878C0000}"/>
    <cellStyle name="Wrap 2 3 5 5 3 2" xfId="32934" xr:uid="{00000000-0005-0000-0000-0000888C0000}"/>
    <cellStyle name="Wrap 2 3 5 5 4" xfId="32935" xr:uid="{00000000-0005-0000-0000-0000898C0000}"/>
    <cellStyle name="Wrap 2 3 5 5 4 2" xfId="32936" xr:uid="{00000000-0005-0000-0000-00008A8C0000}"/>
    <cellStyle name="Wrap 2 3 5 5 5" xfId="32937" xr:uid="{00000000-0005-0000-0000-00008B8C0000}"/>
    <cellStyle name="Wrap 2 3 5 5 5 2" xfId="32938" xr:uid="{00000000-0005-0000-0000-00008C8C0000}"/>
    <cellStyle name="Wrap 2 3 5 5 6" xfId="32939" xr:uid="{00000000-0005-0000-0000-00008D8C0000}"/>
    <cellStyle name="Wrap 2 3 5 5 6 2" xfId="32940" xr:uid="{00000000-0005-0000-0000-00008E8C0000}"/>
    <cellStyle name="Wrap 2 3 5 5 7" xfId="32941" xr:uid="{00000000-0005-0000-0000-00008F8C0000}"/>
    <cellStyle name="Wrap 2 3 5 5 7 2" xfId="32942" xr:uid="{00000000-0005-0000-0000-0000908C0000}"/>
    <cellStyle name="Wrap 2 3 5 5 8" xfId="32943" xr:uid="{00000000-0005-0000-0000-0000918C0000}"/>
    <cellStyle name="Wrap 2 3 5 5 8 2" xfId="32944" xr:uid="{00000000-0005-0000-0000-0000928C0000}"/>
    <cellStyle name="Wrap 2 3 5 5 9" xfId="32945" xr:uid="{00000000-0005-0000-0000-0000938C0000}"/>
    <cellStyle name="Wrap 2 3 5 5 9 2" xfId="32946" xr:uid="{00000000-0005-0000-0000-0000948C0000}"/>
    <cellStyle name="Wrap 2 3 5 6" xfId="32947" xr:uid="{00000000-0005-0000-0000-0000958C0000}"/>
    <cellStyle name="Wrap 2 3 5 6 10" xfId="32948" xr:uid="{00000000-0005-0000-0000-0000968C0000}"/>
    <cellStyle name="Wrap 2 3 5 6 2" xfId="32949" xr:uid="{00000000-0005-0000-0000-0000978C0000}"/>
    <cellStyle name="Wrap 2 3 5 6 2 2" xfId="32950" xr:uid="{00000000-0005-0000-0000-0000988C0000}"/>
    <cellStyle name="Wrap 2 3 5 6 3" xfId="32951" xr:uid="{00000000-0005-0000-0000-0000998C0000}"/>
    <cellStyle name="Wrap 2 3 5 6 3 2" xfId="32952" xr:uid="{00000000-0005-0000-0000-00009A8C0000}"/>
    <cellStyle name="Wrap 2 3 5 6 4" xfId="32953" xr:uid="{00000000-0005-0000-0000-00009B8C0000}"/>
    <cellStyle name="Wrap 2 3 5 6 4 2" xfId="32954" xr:uid="{00000000-0005-0000-0000-00009C8C0000}"/>
    <cellStyle name="Wrap 2 3 5 6 5" xfId="32955" xr:uid="{00000000-0005-0000-0000-00009D8C0000}"/>
    <cellStyle name="Wrap 2 3 5 6 5 2" xfId="32956" xr:uid="{00000000-0005-0000-0000-00009E8C0000}"/>
    <cellStyle name="Wrap 2 3 5 6 6" xfId="32957" xr:uid="{00000000-0005-0000-0000-00009F8C0000}"/>
    <cellStyle name="Wrap 2 3 5 6 6 2" xfId="32958" xr:uid="{00000000-0005-0000-0000-0000A08C0000}"/>
    <cellStyle name="Wrap 2 3 5 6 7" xfId="32959" xr:uid="{00000000-0005-0000-0000-0000A18C0000}"/>
    <cellStyle name="Wrap 2 3 5 6 7 2" xfId="32960" xr:uid="{00000000-0005-0000-0000-0000A28C0000}"/>
    <cellStyle name="Wrap 2 3 5 6 8" xfId="32961" xr:uid="{00000000-0005-0000-0000-0000A38C0000}"/>
    <cellStyle name="Wrap 2 3 5 6 8 2" xfId="32962" xr:uid="{00000000-0005-0000-0000-0000A48C0000}"/>
    <cellStyle name="Wrap 2 3 5 6 9" xfId="32963" xr:uid="{00000000-0005-0000-0000-0000A58C0000}"/>
    <cellStyle name="Wrap 2 3 5 6 9 2" xfId="32964" xr:uid="{00000000-0005-0000-0000-0000A68C0000}"/>
    <cellStyle name="Wrap 2 3 5 7" xfId="32965" xr:uid="{00000000-0005-0000-0000-0000A78C0000}"/>
    <cellStyle name="Wrap 2 3 5 7 10" xfId="32966" xr:uid="{00000000-0005-0000-0000-0000A88C0000}"/>
    <cellStyle name="Wrap 2 3 5 7 2" xfId="32967" xr:uid="{00000000-0005-0000-0000-0000A98C0000}"/>
    <cellStyle name="Wrap 2 3 5 7 2 2" xfId="32968" xr:uid="{00000000-0005-0000-0000-0000AA8C0000}"/>
    <cellStyle name="Wrap 2 3 5 7 3" xfId="32969" xr:uid="{00000000-0005-0000-0000-0000AB8C0000}"/>
    <cellStyle name="Wrap 2 3 5 7 3 2" xfId="32970" xr:uid="{00000000-0005-0000-0000-0000AC8C0000}"/>
    <cellStyle name="Wrap 2 3 5 7 4" xfId="32971" xr:uid="{00000000-0005-0000-0000-0000AD8C0000}"/>
    <cellStyle name="Wrap 2 3 5 7 4 2" xfId="32972" xr:uid="{00000000-0005-0000-0000-0000AE8C0000}"/>
    <cellStyle name="Wrap 2 3 5 7 5" xfId="32973" xr:uid="{00000000-0005-0000-0000-0000AF8C0000}"/>
    <cellStyle name="Wrap 2 3 5 7 5 2" xfId="32974" xr:uid="{00000000-0005-0000-0000-0000B08C0000}"/>
    <cellStyle name="Wrap 2 3 5 7 6" xfId="32975" xr:uid="{00000000-0005-0000-0000-0000B18C0000}"/>
    <cellStyle name="Wrap 2 3 5 7 6 2" xfId="32976" xr:uid="{00000000-0005-0000-0000-0000B28C0000}"/>
    <cellStyle name="Wrap 2 3 5 7 7" xfId="32977" xr:uid="{00000000-0005-0000-0000-0000B38C0000}"/>
    <cellStyle name="Wrap 2 3 5 7 7 2" xfId="32978" xr:uid="{00000000-0005-0000-0000-0000B48C0000}"/>
    <cellStyle name="Wrap 2 3 5 7 8" xfId="32979" xr:uid="{00000000-0005-0000-0000-0000B58C0000}"/>
    <cellStyle name="Wrap 2 3 5 7 8 2" xfId="32980" xr:uid="{00000000-0005-0000-0000-0000B68C0000}"/>
    <cellStyle name="Wrap 2 3 5 7 9" xfId="32981" xr:uid="{00000000-0005-0000-0000-0000B78C0000}"/>
    <cellStyle name="Wrap 2 3 5 7 9 2" xfId="32982" xr:uid="{00000000-0005-0000-0000-0000B88C0000}"/>
    <cellStyle name="Wrap 2 3 5 8" xfId="32983" xr:uid="{00000000-0005-0000-0000-0000B98C0000}"/>
    <cellStyle name="Wrap 2 3 5 8 10" xfId="32984" xr:uid="{00000000-0005-0000-0000-0000BA8C0000}"/>
    <cellStyle name="Wrap 2 3 5 8 2" xfId="32985" xr:uid="{00000000-0005-0000-0000-0000BB8C0000}"/>
    <cellStyle name="Wrap 2 3 5 8 2 2" xfId="32986" xr:uid="{00000000-0005-0000-0000-0000BC8C0000}"/>
    <cellStyle name="Wrap 2 3 5 8 3" xfId="32987" xr:uid="{00000000-0005-0000-0000-0000BD8C0000}"/>
    <cellStyle name="Wrap 2 3 5 8 3 2" xfId="32988" xr:uid="{00000000-0005-0000-0000-0000BE8C0000}"/>
    <cellStyle name="Wrap 2 3 5 8 4" xfId="32989" xr:uid="{00000000-0005-0000-0000-0000BF8C0000}"/>
    <cellStyle name="Wrap 2 3 5 8 4 2" xfId="32990" xr:uid="{00000000-0005-0000-0000-0000C08C0000}"/>
    <cellStyle name="Wrap 2 3 5 8 5" xfId="32991" xr:uid="{00000000-0005-0000-0000-0000C18C0000}"/>
    <cellStyle name="Wrap 2 3 5 8 5 2" xfId="32992" xr:uid="{00000000-0005-0000-0000-0000C28C0000}"/>
    <cellStyle name="Wrap 2 3 5 8 6" xfId="32993" xr:uid="{00000000-0005-0000-0000-0000C38C0000}"/>
    <cellStyle name="Wrap 2 3 5 8 6 2" xfId="32994" xr:uid="{00000000-0005-0000-0000-0000C48C0000}"/>
    <cellStyle name="Wrap 2 3 5 8 7" xfId="32995" xr:uid="{00000000-0005-0000-0000-0000C58C0000}"/>
    <cellStyle name="Wrap 2 3 5 8 7 2" xfId="32996" xr:uid="{00000000-0005-0000-0000-0000C68C0000}"/>
    <cellStyle name="Wrap 2 3 5 8 8" xfId="32997" xr:uid="{00000000-0005-0000-0000-0000C78C0000}"/>
    <cellStyle name="Wrap 2 3 5 8 8 2" xfId="32998" xr:uid="{00000000-0005-0000-0000-0000C88C0000}"/>
    <cellStyle name="Wrap 2 3 5 8 9" xfId="32999" xr:uid="{00000000-0005-0000-0000-0000C98C0000}"/>
    <cellStyle name="Wrap 2 3 5 8 9 2" xfId="33000" xr:uid="{00000000-0005-0000-0000-0000CA8C0000}"/>
    <cellStyle name="Wrap 2 3 5 9" xfId="33001" xr:uid="{00000000-0005-0000-0000-0000CB8C0000}"/>
    <cellStyle name="Wrap 2 3 5 9 10" xfId="33002" xr:uid="{00000000-0005-0000-0000-0000CC8C0000}"/>
    <cellStyle name="Wrap 2 3 5 9 2" xfId="33003" xr:uid="{00000000-0005-0000-0000-0000CD8C0000}"/>
    <cellStyle name="Wrap 2 3 5 9 2 2" xfId="33004" xr:uid="{00000000-0005-0000-0000-0000CE8C0000}"/>
    <cellStyle name="Wrap 2 3 5 9 3" xfId="33005" xr:uid="{00000000-0005-0000-0000-0000CF8C0000}"/>
    <cellStyle name="Wrap 2 3 5 9 3 2" xfId="33006" xr:uid="{00000000-0005-0000-0000-0000D08C0000}"/>
    <cellStyle name="Wrap 2 3 5 9 4" xfId="33007" xr:uid="{00000000-0005-0000-0000-0000D18C0000}"/>
    <cellStyle name="Wrap 2 3 5 9 4 2" xfId="33008" xr:uid="{00000000-0005-0000-0000-0000D28C0000}"/>
    <cellStyle name="Wrap 2 3 5 9 5" xfId="33009" xr:uid="{00000000-0005-0000-0000-0000D38C0000}"/>
    <cellStyle name="Wrap 2 3 5 9 5 2" xfId="33010" xr:uid="{00000000-0005-0000-0000-0000D48C0000}"/>
    <cellStyle name="Wrap 2 3 5 9 6" xfId="33011" xr:uid="{00000000-0005-0000-0000-0000D58C0000}"/>
    <cellStyle name="Wrap 2 3 5 9 6 2" xfId="33012" xr:uid="{00000000-0005-0000-0000-0000D68C0000}"/>
    <cellStyle name="Wrap 2 3 5 9 7" xfId="33013" xr:uid="{00000000-0005-0000-0000-0000D78C0000}"/>
    <cellStyle name="Wrap 2 3 5 9 7 2" xfId="33014" xr:uid="{00000000-0005-0000-0000-0000D88C0000}"/>
    <cellStyle name="Wrap 2 3 5 9 8" xfId="33015" xr:uid="{00000000-0005-0000-0000-0000D98C0000}"/>
    <cellStyle name="Wrap 2 3 5 9 8 2" xfId="33016" xr:uid="{00000000-0005-0000-0000-0000DA8C0000}"/>
    <cellStyle name="Wrap 2 3 5 9 9" xfId="33017" xr:uid="{00000000-0005-0000-0000-0000DB8C0000}"/>
    <cellStyle name="Wrap 2 3 5 9 9 2" xfId="33018" xr:uid="{00000000-0005-0000-0000-0000DC8C0000}"/>
    <cellStyle name="Wrap 2 3 6" xfId="33019" xr:uid="{00000000-0005-0000-0000-0000DD8C0000}"/>
    <cellStyle name="Wrap 2 3 6 10" xfId="33020" xr:uid="{00000000-0005-0000-0000-0000DE8C0000}"/>
    <cellStyle name="Wrap 2 3 6 10 2" xfId="33021" xr:uid="{00000000-0005-0000-0000-0000DF8C0000}"/>
    <cellStyle name="Wrap 2 3 6 10 2 2" xfId="33022" xr:uid="{00000000-0005-0000-0000-0000E08C0000}"/>
    <cellStyle name="Wrap 2 3 6 10 3" xfId="33023" xr:uid="{00000000-0005-0000-0000-0000E18C0000}"/>
    <cellStyle name="Wrap 2 3 6 10 3 2" xfId="33024" xr:uid="{00000000-0005-0000-0000-0000E28C0000}"/>
    <cellStyle name="Wrap 2 3 6 10 4" xfId="33025" xr:uid="{00000000-0005-0000-0000-0000E38C0000}"/>
    <cellStyle name="Wrap 2 3 6 10 4 2" xfId="33026" xr:uid="{00000000-0005-0000-0000-0000E48C0000}"/>
    <cellStyle name="Wrap 2 3 6 10 5" xfId="33027" xr:uid="{00000000-0005-0000-0000-0000E58C0000}"/>
    <cellStyle name="Wrap 2 3 6 10 5 2" xfId="33028" xr:uid="{00000000-0005-0000-0000-0000E68C0000}"/>
    <cellStyle name="Wrap 2 3 6 10 6" xfId="33029" xr:uid="{00000000-0005-0000-0000-0000E78C0000}"/>
    <cellStyle name="Wrap 2 3 6 10 6 2" xfId="33030" xr:uid="{00000000-0005-0000-0000-0000E88C0000}"/>
    <cellStyle name="Wrap 2 3 6 10 7" xfId="33031" xr:uid="{00000000-0005-0000-0000-0000E98C0000}"/>
    <cellStyle name="Wrap 2 3 6 10 7 2" xfId="33032" xr:uid="{00000000-0005-0000-0000-0000EA8C0000}"/>
    <cellStyle name="Wrap 2 3 6 10 8" xfId="33033" xr:uid="{00000000-0005-0000-0000-0000EB8C0000}"/>
    <cellStyle name="Wrap 2 3 6 10 8 2" xfId="33034" xr:uid="{00000000-0005-0000-0000-0000EC8C0000}"/>
    <cellStyle name="Wrap 2 3 6 10 9" xfId="33035" xr:uid="{00000000-0005-0000-0000-0000ED8C0000}"/>
    <cellStyle name="Wrap 2 3 6 11" xfId="33036" xr:uid="{00000000-0005-0000-0000-0000EE8C0000}"/>
    <cellStyle name="Wrap 2 3 6 11 2" xfId="33037" xr:uid="{00000000-0005-0000-0000-0000EF8C0000}"/>
    <cellStyle name="Wrap 2 3 6 12" xfId="33038" xr:uid="{00000000-0005-0000-0000-0000F08C0000}"/>
    <cellStyle name="Wrap 2 3 6 12 2" xfId="33039" xr:uid="{00000000-0005-0000-0000-0000F18C0000}"/>
    <cellStyle name="Wrap 2 3 6 13" xfId="33040" xr:uid="{00000000-0005-0000-0000-0000F28C0000}"/>
    <cellStyle name="Wrap 2 3 6 13 2" xfId="33041" xr:uid="{00000000-0005-0000-0000-0000F38C0000}"/>
    <cellStyle name="Wrap 2 3 6 14" xfId="33042" xr:uid="{00000000-0005-0000-0000-0000F48C0000}"/>
    <cellStyle name="Wrap 2 3 6 14 2" xfId="33043" xr:uid="{00000000-0005-0000-0000-0000F58C0000}"/>
    <cellStyle name="Wrap 2 3 6 15" xfId="33044" xr:uid="{00000000-0005-0000-0000-0000F68C0000}"/>
    <cellStyle name="Wrap 2 3 6 15 2" xfId="33045" xr:uid="{00000000-0005-0000-0000-0000F78C0000}"/>
    <cellStyle name="Wrap 2 3 6 16" xfId="33046" xr:uid="{00000000-0005-0000-0000-0000F88C0000}"/>
    <cellStyle name="Wrap 2 3 6 16 2" xfId="33047" xr:uid="{00000000-0005-0000-0000-0000F98C0000}"/>
    <cellStyle name="Wrap 2 3 6 17" xfId="33048" xr:uid="{00000000-0005-0000-0000-0000FA8C0000}"/>
    <cellStyle name="Wrap 2 3 6 17 2" xfId="33049" xr:uid="{00000000-0005-0000-0000-0000FB8C0000}"/>
    <cellStyle name="Wrap 2 3 6 18" xfId="33050" xr:uid="{00000000-0005-0000-0000-0000FC8C0000}"/>
    <cellStyle name="Wrap 2 3 6 2" xfId="33051" xr:uid="{00000000-0005-0000-0000-0000FD8C0000}"/>
    <cellStyle name="Wrap 2 3 6 2 10" xfId="33052" xr:uid="{00000000-0005-0000-0000-0000FE8C0000}"/>
    <cellStyle name="Wrap 2 3 6 2 2" xfId="33053" xr:uid="{00000000-0005-0000-0000-0000FF8C0000}"/>
    <cellStyle name="Wrap 2 3 6 2 2 2" xfId="33054" xr:uid="{00000000-0005-0000-0000-0000008D0000}"/>
    <cellStyle name="Wrap 2 3 6 2 3" xfId="33055" xr:uid="{00000000-0005-0000-0000-0000018D0000}"/>
    <cellStyle name="Wrap 2 3 6 2 3 2" xfId="33056" xr:uid="{00000000-0005-0000-0000-0000028D0000}"/>
    <cellStyle name="Wrap 2 3 6 2 4" xfId="33057" xr:uid="{00000000-0005-0000-0000-0000038D0000}"/>
    <cellStyle name="Wrap 2 3 6 2 4 2" xfId="33058" xr:uid="{00000000-0005-0000-0000-0000048D0000}"/>
    <cellStyle name="Wrap 2 3 6 2 5" xfId="33059" xr:uid="{00000000-0005-0000-0000-0000058D0000}"/>
    <cellStyle name="Wrap 2 3 6 2 5 2" xfId="33060" xr:uid="{00000000-0005-0000-0000-0000068D0000}"/>
    <cellStyle name="Wrap 2 3 6 2 6" xfId="33061" xr:uid="{00000000-0005-0000-0000-0000078D0000}"/>
    <cellStyle name="Wrap 2 3 6 2 6 2" xfId="33062" xr:uid="{00000000-0005-0000-0000-0000088D0000}"/>
    <cellStyle name="Wrap 2 3 6 2 7" xfId="33063" xr:uid="{00000000-0005-0000-0000-0000098D0000}"/>
    <cellStyle name="Wrap 2 3 6 2 7 2" xfId="33064" xr:uid="{00000000-0005-0000-0000-00000A8D0000}"/>
    <cellStyle name="Wrap 2 3 6 2 8" xfId="33065" xr:uid="{00000000-0005-0000-0000-00000B8D0000}"/>
    <cellStyle name="Wrap 2 3 6 2 8 2" xfId="33066" xr:uid="{00000000-0005-0000-0000-00000C8D0000}"/>
    <cellStyle name="Wrap 2 3 6 2 9" xfId="33067" xr:uid="{00000000-0005-0000-0000-00000D8D0000}"/>
    <cellStyle name="Wrap 2 3 6 2 9 2" xfId="33068" xr:uid="{00000000-0005-0000-0000-00000E8D0000}"/>
    <cellStyle name="Wrap 2 3 6 3" xfId="33069" xr:uid="{00000000-0005-0000-0000-00000F8D0000}"/>
    <cellStyle name="Wrap 2 3 6 3 10" xfId="33070" xr:uid="{00000000-0005-0000-0000-0000108D0000}"/>
    <cellStyle name="Wrap 2 3 6 3 2" xfId="33071" xr:uid="{00000000-0005-0000-0000-0000118D0000}"/>
    <cellStyle name="Wrap 2 3 6 3 2 2" xfId="33072" xr:uid="{00000000-0005-0000-0000-0000128D0000}"/>
    <cellStyle name="Wrap 2 3 6 3 3" xfId="33073" xr:uid="{00000000-0005-0000-0000-0000138D0000}"/>
    <cellStyle name="Wrap 2 3 6 3 3 2" xfId="33074" xr:uid="{00000000-0005-0000-0000-0000148D0000}"/>
    <cellStyle name="Wrap 2 3 6 3 4" xfId="33075" xr:uid="{00000000-0005-0000-0000-0000158D0000}"/>
    <cellStyle name="Wrap 2 3 6 3 4 2" xfId="33076" xr:uid="{00000000-0005-0000-0000-0000168D0000}"/>
    <cellStyle name="Wrap 2 3 6 3 5" xfId="33077" xr:uid="{00000000-0005-0000-0000-0000178D0000}"/>
    <cellStyle name="Wrap 2 3 6 3 5 2" xfId="33078" xr:uid="{00000000-0005-0000-0000-0000188D0000}"/>
    <cellStyle name="Wrap 2 3 6 3 6" xfId="33079" xr:uid="{00000000-0005-0000-0000-0000198D0000}"/>
    <cellStyle name="Wrap 2 3 6 3 6 2" xfId="33080" xr:uid="{00000000-0005-0000-0000-00001A8D0000}"/>
    <cellStyle name="Wrap 2 3 6 3 7" xfId="33081" xr:uid="{00000000-0005-0000-0000-00001B8D0000}"/>
    <cellStyle name="Wrap 2 3 6 3 7 2" xfId="33082" xr:uid="{00000000-0005-0000-0000-00001C8D0000}"/>
    <cellStyle name="Wrap 2 3 6 3 8" xfId="33083" xr:uid="{00000000-0005-0000-0000-00001D8D0000}"/>
    <cellStyle name="Wrap 2 3 6 3 8 2" xfId="33084" xr:uid="{00000000-0005-0000-0000-00001E8D0000}"/>
    <cellStyle name="Wrap 2 3 6 3 9" xfId="33085" xr:uid="{00000000-0005-0000-0000-00001F8D0000}"/>
    <cellStyle name="Wrap 2 3 6 3 9 2" xfId="33086" xr:uid="{00000000-0005-0000-0000-0000208D0000}"/>
    <cellStyle name="Wrap 2 3 6 4" xfId="33087" xr:uid="{00000000-0005-0000-0000-0000218D0000}"/>
    <cellStyle name="Wrap 2 3 6 4 10" xfId="33088" xr:uid="{00000000-0005-0000-0000-0000228D0000}"/>
    <cellStyle name="Wrap 2 3 6 4 2" xfId="33089" xr:uid="{00000000-0005-0000-0000-0000238D0000}"/>
    <cellStyle name="Wrap 2 3 6 4 2 2" xfId="33090" xr:uid="{00000000-0005-0000-0000-0000248D0000}"/>
    <cellStyle name="Wrap 2 3 6 4 3" xfId="33091" xr:uid="{00000000-0005-0000-0000-0000258D0000}"/>
    <cellStyle name="Wrap 2 3 6 4 3 2" xfId="33092" xr:uid="{00000000-0005-0000-0000-0000268D0000}"/>
    <cellStyle name="Wrap 2 3 6 4 4" xfId="33093" xr:uid="{00000000-0005-0000-0000-0000278D0000}"/>
    <cellStyle name="Wrap 2 3 6 4 4 2" xfId="33094" xr:uid="{00000000-0005-0000-0000-0000288D0000}"/>
    <cellStyle name="Wrap 2 3 6 4 5" xfId="33095" xr:uid="{00000000-0005-0000-0000-0000298D0000}"/>
    <cellStyle name="Wrap 2 3 6 4 5 2" xfId="33096" xr:uid="{00000000-0005-0000-0000-00002A8D0000}"/>
    <cellStyle name="Wrap 2 3 6 4 6" xfId="33097" xr:uid="{00000000-0005-0000-0000-00002B8D0000}"/>
    <cellStyle name="Wrap 2 3 6 4 6 2" xfId="33098" xr:uid="{00000000-0005-0000-0000-00002C8D0000}"/>
    <cellStyle name="Wrap 2 3 6 4 7" xfId="33099" xr:uid="{00000000-0005-0000-0000-00002D8D0000}"/>
    <cellStyle name="Wrap 2 3 6 4 7 2" xfId="33100" xr:uid="{00000000-0005-0000-0000-00002E8D0000}"/>
    <cellStyle name="Wrap 2 3 6 4 8" xfId="33101" xr:uid="{00000000-0005-0000-0000-00002F8D0000}"/>
    <cellStyle name="Wrap 2 3 6 4 8 2" xfId="33102" xr:uid="{00000000-0005-0000-0000-0000308D0000}"/>
    <cellStyle name="Wrap 2 3 6 4 9" xfId="33103" xr:uid="{00000000-0005-0000-0000-0000318D0000}"/>
    <cellStyle name="Wrap 2 3 6 4 9 2" xfId="33104" xr:uid="{00000000-0005-0000-0000-0000328D0000}"/>
    <cellStyle name="Wrap 2 3 6 5" xfId="33105" xr:uid="{00000000-0005-0000-0000-0000338D0000}"/>
    <cellStyle name="Wrap 2 3 6 5 10" xfId="33106" xr:uid="{00000000-0005-0000-0000-0000348D0000}"/>
    <cellStyle name="Wrap 2 3 6 5 2" xfId="33107" xr:uid="{00000000-0005-0000-0000-0000358D0000}"/>
    <cellStyle name="Wrap 2 3 6 5 2 2" xfId="33108" xr:uid="{00000000-0005-0000-0000-0000368D0000}"/>
    <cellStyle name="Wrap 2 3 6 5 3" xfId="33109" xr:uid="{00000000-0005-0000-0000-0000378D0000}"/>
    <cellStyle name="Wrap 2 3 6 5 3 2" xfId="33110" xr:uid="{00000000-0005-0000-0000-0000388D0000}"/>
    <cellStyle name="Wrap 2 3 6 5 4" xfId="33111" xr:uid="{00000000-0005-0000-0000-0000398D0000}"/>
    <cellStyle name="Wrap 2 3 6 5 4 2" xfId="33112" xr:uid="{00000000-0005-0000-0000-00003A8D0000}"/>
    <cellStyle name="Wrap 2 3 6 5 5" xfId="33113" xr:uid="{00000000-0005-0000-0000-00003B8D0000}"/>
    <cellStyle name="Wrap 2 3 6 5 5 2" xfId="33114" xr:uid="{00000000-0005-0000-0000-00003C8D0000}"/>
    <cellStyle name="Wrap 2 3 6 5 6" xfId="33115" xr:uid="{00000000-0005-0000-0000-00003D8D0000}"/>
    <cellStyle name="Wrap 2 3 6 5 6 2" xfId="33116" xr:uid="{00000000-0005-0000-0000-00003E8D0000}"/>
    <cellStyle name="Wrap 2 3 6 5 7" xfId="33117" xr:uid="{00000000-0005-0000-0000-00003F8D0000}"/>
    <cellStyle name="Wrap 2 3 6 5 7 2" xfId="33118" xr:uid="{00000000-0005-0000-0000-0000408D0000}"/>
    <cellStyle name="Wrap 2 3 6 5 8" xfId="33119" xr:uid="{00000000-0005-0000-0000-0000418D0000}"/>
    <cellStyle name="Wrap 2 3 6 5 8 2" xfId="33120" xr:uid="{00000000-0005-0000-0000-0000428D0000}"/>
    <cellStyle name="Wrap 2 3 6 5 9" xfId="33121" xr:uid="{00000000-0005-0000-0000-0000438D0000}"/>
    <cellStyle name="Wrap 2 3 6 5 9 2" xfId="33122" xr:uid="{00000000-0005-0000-0000-0000448D0000}"/>
    <cellStyle name="Wrap 2 3 6 6" xfId="33123" xr:uid="{00000000-0005-0000-0000-0000458D0000}"/>
    <cellStyle name="Wrap 2 3 6 6 10" xfId="33124" xr:uid="{00000000-0005-0000-0000-0000468D0000}"/>
    <cellStyle name="Wrap 2 3 6 6 2" xfId="33125" xr:uid="{00000000-0005-0000-0000-0000478D0000}"/>
    <cellStyle name="Wrap 2 3 6 6 2 2" xfId="33126" xr:uid="{00000000-0005-0000-0000-0000488D0000}"/>
    <cellStyle name="Wrap 2 3 6 6 3" xfId="33127" xr:uid="{00000000-0005-0000-0000-0000498D0000}"/>
    <cellStyle name="Wrap 2 3 6 6 3 2" xfId="33128" xr:uid="{00000000-0005-0000-0000-00004A8D0000}"/>
    <cellStyle name="Wrap 2 3 6 6 4" xfId="33129" xr:uid="{00000000-0005-0000-0000-00004B8D0000}"/>
    <cellStyle name="Wrap 2 3 6 6 4 2" xfId="33130" xr:uid="{00000000-0005-0000-0000-00004C8D0000}"/>
    <cellStyle name="Wrap 2 3 6 6 5" xfId="33131" xr:uid="{00000000-0005-0000-0000-00004D8D0000}"/>
    <cellStyle name="Wrap 2 3 6 6 5 2" xfId="33132" xr:uid="{00000000-0005-0000-0000-00004E8D0000}"/>
    <cellStyle name="Wrap 2 3 6 6 6" xfId="33133" xr:uid="{00000000-0005-0000-0000-00004F8D0000}"/>
    <cellStyle name="Wrap 2 3 6 6 6 2" xfId="33134" xr:uid="{00000000-0005-0000-0000-0000508D0000}"/>
    <cellStyle name="Wrap 2 3 6 6 7" xfId="33135" xr:uid="{00000000-0005-0000-0000-0000518D0000}"/>
    <cellStyle name="Wrap 2 3 6 6 7 2" xfId="33136" xr:uid="{00000000-0005-0000-0000-0000528D0000}"/>
    <cellStyle name="Wrap 2 3 6 6 8" xfId="33137" xr:uid="{00000000-0005-0000-0000-0000538D0000}"/>
    <cellStyle name="Wrap 2 3 6 6 8 2" xfId="33138" xr:uid="{00000000-0005-0000-0000-0000548D0000}"/>
    <cellStyle name="Wrap 2 3 6 6 9" xfId="33139" xr:uid="{00000000-0005-0000-0000-0000558D0000}"/>
    <cellStyle name="Wrap 2 3 6 6 9 2" xfId="33140" xr:uid="{00000000-0005-0000-0000-0000568D0000}"/>
    <cellStyle name="Wrap 2 3 6 7" xfId="33141" xr:uid="{00000000-0005-0000-0000-0000578D0000}"/>
    <cellStyle name="Wrap 2 3 6 7 10" xfId="33142" xr:uid="{00000000-0005-0000-0000-0000588D0000}"/>
    <cellStyle name="Wrap 2 3 6 7 2" xfId="33143" xr:uid="{00000000-0005-0000-0000-0000598D0000}"/>
    <cellStyle name="Wrap 2 3 6 7 2 2" xfId="33144" xr:uid="{00000000-0005-0000-0000-00005A8D0000}"/>
    <cellStyle name="Wrap 2 3 6 7 3" xfId="33145" xr:uid="{00000000-0005-0000-0000-00005B8D0000}"/>
    <cellStyle name="Wrap 2 3 6 7 3 2" xfId="33146" xr:uid="{00000000-0005-0000-0000-00005C8D0000}"/>
    <cellStyle name="Wrap 2 3 6 7 4" xfId="33147" xr:uid="{00000000-0005-0000-0000-00005D8D0000}"/>
    <cellStyle name="Wrap 2 3 6 7 4 2" xfId="33148" xr:uid="{00000000-0005-0000-0000-00005E8D0000}"/>
    <cellStyle name="Wrap 2 3 6 7 5" xfId="33149" xr:uid="{00000000-0005-0000-0000-00005F8D0000}"/>
    <cellStyle name="Wrap 2 3 6 7 5 2" xfId="33150" xr:uid="{00000000-0005-0000-0000-0000608D0000}"/>
    <cellStyle name="Wrap 2 3 6 7 6" xfId="33151" xr:uid="{00000000-0005-0000-0000-0000618D0000}"/>
    <cellStyle name="Wrap 2 3 6 7 6 2" xfId="33152" xr:uid="{00000000-0005-0000-0000-0000628D0000}"/>
    <cellStyle name="Wrap 2 3 6 7 7" xfId="33153" xr:uid="{00000000-0005-0000-0000-0000638D0000}"/>
    <cellStyle name="Wrap 2 3 6 7 7 2" xfId="33154" xr:uid="{00000000-0005-0000-0000-0000648D0000}"/>
    <cellStyle name="Wrap 2 3 6 7 8" xfId="33155" xr:uid="{00000000-0005-0000-0000-0000658D0000}"/>
    <cellStyle name="Wrap 2 3 6 7 8 2" xfId="33156" xr:uid="{00000000-0005-0000-0000-0000668D0000}"/>
    <cellStyle name="Wrap 2 3 6 7 9" xfId="33157" xr:uid="{00000000-0005-0000-0000-0000678D0000}"/>
    <cellStyle name="Wrap 2 3 6 7 9 2" xfId="33158" xr:uid="{00000000-0005-0000-0000-0000688D0000}"/>
    <cellStyle name="Wrap 2 3 6 8" xfId="33159" xr:uid="{00000000-0005-0000-0000-0000698D0000}"/>
    <cellStyle name="Wrap 2 3 6 8 10" xfId="33160" xr:uid="{00000000-0005-0000-0000-00006A8D0000}"/>
    <cellStyle name="Wrap 2 3 6 8 2" xfId="33161" xr:uid="{00000000-0005-0000-0000-00006B8D0000}"/>
    <cellStyle name="Wrap 2 3 6 8 2 2" xfId="33162" xr:uid="{00000000-0005-0000-0000-00006C8D0000}"/>
    <cellStyle name="Wrap 2 3 6 8 3" xfId="33163" xr:uid="{00000000-0005-0000-0000-00006D8D0000}"/>
    <cellStyle name="Wrap 2 3 6 8 3 2" xfId="33164" xr:uid="{00000000-0005-0000-0000-00006E8D0000}"/>
    <cellStyle name="Wrap 2 3 6 8 4" xfId="33165" xr:uid="{00000000-0005-0000-0000-00006F8D0000}"/>
    <cellStyle name="Wrap 2 3 6 8 4 2" xfId="33166" xr:uid="{00000000-0005-0000-0000-0000708D0000}"/>
    <cellStyle name="Wrap 2 3 6 8 5" xfId="33167" xr:uid="{00000000-0005-0000-0000-0000718D0000}"/>
    <cellStyle name="Wrap 2 3 6 8 5 2" xfId="33168" xr:uid="{00000000-0005-0000-0000-0000728D0000}"/>
    <cellStyle name="Wrap 2 3 6 8 6" xfId="33169" xr:uid="{00000000-0005-0000-0000-0000738D0000}"/>
    <cellStyle name="Wrap 2 3 6 8 6 2" xfId="33170" xr:uid="{00000000-0005-0000-0000-0000748D0000}"/>
    <cellStyle name="Wrap 2 3 6 8 7" xfId="33171" xr:uid="{00000000-0005-0000-0000-0000758D0000}"/>
    <cellStyle name="Wrap 2 3 6 8 7 2" xfId="33172" xr:uid="{00000000-0005-0000-0000-0000768D0000}"/>
    <cellStyle name="Wrap 2 3 6 8 8" xfId="33173" xr:uid="{00000000-0005-0000-0000-0000778D0000}"/>
    <cellStyle name="Wrap 2 3 6 8 8 2" xfId="33174" xr:uid="{00000000-0005-0000-0000-0000788D0000}"/>
    <cellStyle name="Wrap 2 3 6 8 9" xfId="33175" xr:uid="{00000000-0005-0000-0000-0000798D0000}"/>
    <cellStyle name="Wrap 2 3 6 8 9 2" xfId="33176" xr:uid="{00000000-0005-0000-0000-00007A8D0000}"/>
    <cellStyle name="Wrap 2 3 6 9" xfId="33177" xr:uid="{00000000-0005-0000-0000-00007B8D0000}"/>
    <cellStyle name="Wrap 2 3 6 9 10" xfId="33178" xr:uid="{00000000-0005-0000-0000-00007C8D0000}"/>
    <cellStyle name="Wrap 2 3 6 9 2" xfId="33179" xr:uid="{00000000-0005-0000-0000-00007D8D0000}"/>
    <cellStyle name="Wrap 2 3 6 9 2 2" xfId="33180" xr:uid="{00000000-0005-0000-0000-00007E8D0000}"/>
    <cellStyle name="Wrap 2 3 6 9 3" xfId="33181" xr:uid="{00000000-0005-0000-0000-00007F8D0000}"/>
    <cellStyle name="Wrap 2 3 6 9 3 2" xfId="33182" xr:uid="{00000000-0005-0000-0000-0000808D0000}"/>
    <cellStyle name="Wrap 2 3 6 9 4" xfId="33183" xr:uid="{00000000-0005-0000-0000-0000818D0000}"/>
    <cellStyle name="Wrap 2 3 6 9 4 2" xfId="33184" xr:uid="{00000000-0005-0000-0000-0000828D0000}"/>
    <cellStyle name="Wrap 2 3 6 9 5" xfId="33185" xr:uid="{00000000-0005-0000-0000-0000838D0000}"/>
    <cellStyle name="Wrap 2 3 6 9 5 2" xfId="33186" xr:uid="{00000000-0005-0000-0000-0000848D0000}"/>
    <cellStyle name="Wrap 2 3 6 9 6" xfId="33187" xr:uid="{00000000-0005-0000-0000-0000858D0000}"/>
    <cellStyle name="Wrap 2 3 6 9 6 2" xfId="33188" xr:uid="{00000000-0005-0000-0000-0000868D0000}"/>
    <cellStyle name="Wrap 2 3 6 9 7" xfId="33189" xr:uid="{00000000-0005-0000-0000-0000878D0000}"/>
    <cellStyle name="Wrap 2 3 6 9 7 2" xfId="33190" xr:uid="{00000000-0005-0000-0000-0000888D0000}"/>
    <cellStyle name="Wrap 2 3 6 9 8" xfId="33191" xr:uid="{00000000-0005-0000-0000-0000898D0000}"/>
    <cellStyle name="Wrap 2 3 6 9 8 2" xfId="33192" xr:uid="{00000000-0005-0000-0000-00008A8D0000}"/>
    <cellStyle name="Wrap 2 3 6 9 9" xfId="33193" xr:uid="{00000000-0005-0000-0000-00008B8D0000}"/>
    <cellStyle name="Wrap 2 3 6 9 9 2" xfId="33194" xr:uid="{00000000-0005-0000-0000-00008C8D0000}"/>
    <cellStyle name="Wrap 2 3 7" xfId="33195" xr:uid="{00000000-0005-0000-0000-00008D8D0000}"/>
    <cellStyle name="Wrap 2 3 7 10" xfId="33196" xr:uid="{00000000-0005-0000-0000-00008E8D0000}"/>
    <cellStyle name="Wrap 2 3 7 10 2" xfId="33197" xr:uid="{00000000-0005-0000-0000-00008F8D0000}"/>
    <cellStyle name="Wrap 2 3 7 10 2 2" xfId="33198" xr:uid="{00000000-0005-0000-0000-0000908D0000}"/>
    <cellStyle name="Wrap 2 3 7 10 3" xfId="33199" xr:uid="{00000000-0005-0000-0000-0000918D0000}"/>
    <cellStyle name="Wrap 2 3 7 10 3 2" xfId="33200" xr:uid="{00000000-0005-0000-0000-0000928D0000}"/>
    <cellStyle name="Wrap 2 3 7 10 4" xfId="33201" xr:uid="{00000000-0005-0000-0000-0000938D0000}"/>
    <cellStyle name="Wrap 2 3 7 10 4 2" xfId="33202" xr:uid="{00000000-0005-0000-0000-0000948D0000}"/>
    <cellStyle name="Wrap 2 3 7 10 5" xfId="33203" xr:uid="{00000000-0005-0000-0000-0000958D0000}"/>
    <cellStyle name="Wrap 2 3 7 10 5 2" xfId="33204" xr:uid="{00000000-0005-0000-0000-0000968D0000}"/>
    <cellStyle name="Wrap 2 3 7 10 6" xfId="33205" xr:uid="{00000000-0005-0000-0000-0000978D0000}"/>
    <cellStyle name="Wrap 2 3 7 10 6 2" xfId="33206" xr:uid="{00000000-0005-0000-0000-0000988D0000}"/>
    <cellStyle name="Wrap 2 3 7 10 7" xfId="33207" xr:uid="{00000000-0005-0000-0000-0000998D0000}"/>
    <cellStyle name="Wrap 2 3 7 10 7 2" xfId="33208" xr:uid="{00000000-0005-0000-0000-00009A8D0000}"/>
    <cellStyle name="Wrap 2 3 7 10 8" xfId="33209" xr:uid="{00000000-0005-0000-0000-00009B8D0000}"/>
    <cellStyle name="Wrap 2 3 7 10 8 2" xfId="33210" xr:uid="{00000000-0005-0000-0000-00009C8D0000}"/>
    <cellStyle name="Wrap 2 3 7 10 9" xfId="33211" xr:uid="{00000000-0005-0000-0000-00009D8D0000}"/>
    <cellStyle name="Wrap 2 3 7 11" xfId="33212" xr:uid="{00000000-0005-0000-0000-00009E8D0000}"/>
    <cellStyle name="Wrap 2 3 7 11 2" xfId="33213" xr:uid="{00000000-0005-0000-0000-00009F8D0000}"/>
    <cellStyle name="Wrap 2 3 7 12" xfId="33214" xr:uid="{00000000-0005-0000-0000-0000A08D0000}"/>
    <cellStyle name="Wrap 2 3 7 12 2" xfId="33215" xr:uid="{00000000-0005-0000-0000-0000A18D0000}"/>
    <cellStyle name="Wrap 2 3 7 13" xfId="33216" xr:uid="{00000000-0005-0000-0000-0000A28D0000}"/>
    <cellStyle name="Wrap 2 3 7 13 2" xfId="33217" xr:uid="{00000000-0005-0000-0000-0000A38D0000}"/>
    <cellStyle name="Wrap 2 3 7 14" xfId="33218" xr:uid="{00000000-0005-0000-0000-0000A48D0000}"/>
    <cellStyle name="Wrap 2 3 7 14 2" xfId="33219" xr:uid="{00000000-0005-0000-0000-0000A58D0000}"/>
    <cellStyle name="Wrap 2 3 7 15" xfId="33220" xr:uid="{00000000-0005-0000-0000-0000A68D0000}"/>
    <cellStyle name="Wrap 2 3 7 15 2" xfId="33221" xr:uid="{00000000-0005-0000-0000-0000A78D0000}"/>
    <cellStyle name="Wrap 2 3 7 16" xfId="33222" xr:uid="{00000000-0005-0000-0000-0000A88D0000}"/>
    <cellStyle name="Wrap 2 3 7 16 2" xfId="33223" xr:uid="{00000000-0005-0000-0000-0000A98D0000}"/>
    <cellStyle name="Wrap 2 3 7 17" xfId="33224" xr:uid="{00000000-0005-0000-0000-0000AA8D0000}"/>
    <cellStyle name="Wrap 2 3 7 17 2" xfId="33225" xr:uid="{00000000-0005-0000-0000-0000AB8D0000}"/>
    <cellStyle name="Wrap 2 3 7 18" xfId="33226" xr:uid="{00000000-0005-0000-0000-0000AC8D0000}"/>
    <cellStyle name="Wrap 2 3 7 2" xfId="33227" xr:uid="{00000000-0005-0000-0000-0000AD8D0000}"/>
    <cellStyle name="Wrap 2 3 7 2 10" xfId="33228" xr:uid="{00000000-0005-0000-0000-0000AE8D0000}"/>
    <cellStyle name="Wrap 2 3 7 2 2" xfId="33229" xr:uid="{00000000-0005-0000-0000-0000AF8D0000}"/>
    <cellStyle name="Wrap 2 3 7 2 2 2" xfId="33230" xr:uid="{00000000-0005-0000-0000-0000B08D0000}"/>
    <cellStyle name="Wrap 2 3 7 2 3" xfId="33231" xr:uid="{00000000-0005-0000-0000-0000B18D0000}"/>
    <cellStyle name="Wrap 2 3 7 2 3 2" xfId="33232" xr:uid="{00000000-0005-0000-0000-0000B28D0000}"/>
    <cellStyle name="Wrap 2 3 7 2 4" xfId="33233" xr:uid="{00000000-0005-0000-0000-0000B38D0000}"/>
    <cellStyle name="Wrap 2 3 7 2 4 2" xfId="33234" xr:uid="{00000000-0005-0000-0000-0000B48D0000}"/>
    <cellStyle name="Wrap 2 3 7 2 5" xfId="33235" xr:uid="{00000000-0005-0000-0000-0000B58D0000}"/>
    <cellStyle name="Wrap 2 3 7 2 5 2" xfId="33236" xr:uid="{00000000-0005-0000-0000-0000B68D0000}"/>
    <cellStyle name="Wrap 2 3 7 2 6" xfId="33237" xr:uid="{00000000-0005-0000-0000-0000B78D0000}"/>
    <cellStyle name="Wrap 2 3 7 2 6 2" xfId="33238" xr:uid="{00000000-0005-0000-0000-0000B88D0000}"/>
    <cellStyle name="Wrap 2 3 7 2 7" xfId="33239" xr:uid="{00000000-0005-0000-0000-0000B98D0000}"/>
    <cellStyle name="Wrap 2 3 7 2 7 2" xfId="33240" xr:uid="{00000000-0005-0000-0000-0000BA8D0000}"/>
    <cellStyle name="Wrap 2 3 7 2 8" xfId="33241" xr:uid="{00000000-0005-0000-0000-0000BB8D0000}"/>
    <cellStyle name="Wrap 2 3 7 2 8 2" xfId="33242" xr:uid="{00000000-0005-0000-0000-0000BC8D0000}"/>
    <cellStyle name="Wrap 2 3 7 2 9" xfId="33243" xr:uid="{00000000-0005-0000-0000-0000BD8D0000}"/>
    <cellStyle name="Wrap 2 3 7 2 9 2" xfId="33244" xr:uid="{00000000-0005-0000-0000-0000BE8D0000}"/>
    <cellStyle name="Wrap 2 3 7 3" xfId="33245" xr:uid="{00000000-0005-0000-0000-0000BF8D0000}"/>
    <cellStyle name="Wrap 2 3 7 3 10" xfId="33246" xr:uid="{00000000-0005-0000-0000-0000C08D0000}"/>
    <cellStyle name="Wrap 2 3 7 3 2" xfId="33247" xr:uid="{00000000-0005-0000-0000-0000C18D0000}"/>
    <cellStyle name="Wrap 2 3 7 3 2 2" xfId="33248" xr:uid="{00000000-0005-0000-0000-0000C28D0000}"/>
    <cellStyle name="Wrap 2 3 7 3 3" xfId="33249" xr:uid="{00000000-0005-0000-0000-0000C38D0000}"/>
    <cellStyle name="Wrap 2 3 7 3 3 2" xfId="33250" xr:uid="{00000000-0005-0000-0000-0000C48D0000}"/>
    <cellStyle name="Wrap 2 3 7 3 4" xfId="33251" xr:uid="{00000000-0005-0000-0000-0000C58D0000}"/>
    <cellStyle name="Wrap 2 3 7 3 4 2" xfId="33252" xr:uid="{00000000-0005-0000-0000-0000C68D0000}"/>
    <cellStyle name="Wrap 2 3 7 3 5" xfId="33253" xr:uid="{00000000-0005-0000-0000-0000C78D0000}"/>
    <cellStyle name="Wrap 2 3 7 3 5 2" xfId="33254" xr:uid="{00000000-0005-0000-0000-0000C88D0000}"/>
    <cellStyle name="Wrap 2 3 7 3 6" xfId="33255" xr:uid="{00000000-0005-0000-0000-0000C98D0000}"/>
    <cellStyle name="Wrap 2 3 7 3 6 2" xfId="33256" xr:uid="{00000000-0005-0000-0000-0000CA8D0000}"/>
    <cellStyle name="Wrap 2 3 7 3 7" xfId="33257" xr:uid="{00000000-0005-0000-0000-0000CB8D0000}"/>
    <cellStyle name="Wrap 2 3 7 3 7 2" xfId="33258" xr:uid="{00000000-0005-0000-0000-0000CC8D0000}"/>
    <cellStyle name="Wrap 2 3 7 3 8" xfId="33259" xr:uid="{00000000-0005-0000-0000-0000CD8D0000}"/>
    <cellStyle name="Wrap 2 3 7 3 8 2" xfId="33260" xr:uid="{00000000-0005-0000-0000-0000CE8D0000}"/>
    <cellStyle name="Wrap 2 3 7 3 9" xfId="33261" xr:uid="{00000000-0005-0000-0000-0000CF8D0000}"/>
    <cellStyle name="Wrap 2 3 7 3 9 2" xfId="33262" xr:uid="{00000000-0005-0000-0000-0000D08D0000}"/>
    <cellStyle name="Wrap 2 3 7 4" xfId="33263" xr:uid="{00000000-0005-0000-0000-0000D18D0000}"/>
    <cellStyle name="Wrap 2 3 7 4 10" xfId="33264" xr:uid="{00000000-0005-0000-0000-0000D28D0000}"/>
    <cellStyle name="Wrap 2 3 7 4 2" xfId="33265" xr:uid="{00000000-0005-0000-0000-0000D38D0000}"/>
    <cellStyle name="Wrap 2 3 7 4 2 2" xfId="33266" xr:uid="{00000000-0005-0000-0000-0000D48D0000}"/>
    <cellStyle name="Wrap 2 3 7 4 3" xfId="33267" xr:uid="{00000000-0005-0000-0000-0000D58D0000}"/>
    <cellStyle name="Wrap 2 3 7 4 3 2" xfId="33268" xr:uid="{00000000-0005-0000-0000-0000D68D0000}"/>
    <cellStyle name="Wrap 2 3 7 4 4" xfId="33269" xr:uid="{00000000-0005-0000-0000-0000D78D0000}"/>
    <cellStyle name="Wrap 2 3 7 4 4 2" xfId="33270" xr:uid="{00000000-0005-0000-0000-0000D88D0000}"/>
    <cellStyle name="Wrap 2 3 7 4 5" xfId="33271" xr:uid="{00000000-0005-0000-0000-0000D98D0000}"/>
    <cellStyle name="Wrap 2 3 7 4 5 2" xfId="33272" xr:uid="{00000000-0005-0000-0000-0000DA8D0000}"/>
    <cellStyle name="Wrap 2 3 7 4 6" xfId="33273" xr:uid="{00000000-0005-0000-0000-0000DB8D0000}"/>
    <cellStyle name="Wrap 2 3 7 4 6 2" xfId="33274" xr:uid="{00000000-0005-0000-0000-0000DC8D0000}"/>
    <cellStyle name="Wrap 2 3 7 4 7" xfId="33275" xr:uid="{00000000-0005-0000-0000-0000DD8D0000}"/>
    <cellStyle name="Wrap 2 3 7 4 7 2" xfId="33276" xr:uid="{00000000-0005-0000-0000-0000DE8D0000}"/>
    <cellStyle name="Wrap 2 3 7 4 8" xfId="33277" xr:uid="{00000000-0005-0000-0000-0000DF8D0000}"/>
    <cellStyle name="Wrap 2 3 7 4 8 2" xfId="33278" xr:uid="{00000000-0005-0000-0000-0000E08D0000}"/>
    <cellStyle name="Wrap 2 3 7 4 9" xfId="33279" xr:uid="{00000000-0005-0000-0000-0000E18D0000}"/>
    <cellStyle name="Wrap 2 3 7 4 9 2" xfId="33280" xr:uid="{00000000-0005-0000-0000-0000E28D0000}"/>
    <cellStyle name="Wrap 2 3 7 5" xfId="33281" xr:uid="{00000000-0005-0000-0000-0000E38D0000}"/>
    <cellStyle name="Wrap 2 3 7 5 10" xfId="33282" xr:uid="{00000000-0005-0000-0000-0000E48D0000}"/>
    <cellStyle name="Wrap 2 3 7 5 2" xfId="33283" xr:uid="{00000000-0005-0000-0000-0000E58D0000}"/>
    <cellStyle name="Wrap 2 3 7 5 2 2" xfId="33284" xr:uid="{00000000-0005-0000-0000-0000E68D0000}"/>
    <cellStyle name="Wrap 2 3 7 5 3" xfId="33285" xr:uid="{00000000-0005-0000-0000-0000E78D0000}"/>
    <cellStyle name="Wrap 2 3 7 5 3 2" xfId="33286" xr:uid="{00000000-0005-0000-0000-0000E88D0000}"/>
    <cellStyle name="Wrap 2 3 7 5 4" xfId="33287" xr:uid="{00000000-0005-0000-0000-0000E98D0000}"/>
    <cellStyle name="Wrap 2 3 7 5 4 2" xfId="33288" xr:uid="{00000000-0005-0000-0000-0000EA8D0000}"/>
    <cellStyle name="Wrap 2 3 7 5 5" xfId="33289" xr:uid="{00000000-0005-0000-0000-0000EB8D0000}"/>
    <cellStyle name="Wrap 2 3 7 5 5 2" xfId="33290" xr:uid="{00000000-0005-0000-0000-0000EC8D0000}"/>
    <cellStyle name="Wrap 2 3 7 5 6" xfId="33291" xr:uid="{00000000-0005-0000-0000-0000ED8D0000}"/>
    <cellStyle name="Wrap 2 3 7 5 6 2" xfId="33292" xr:uid="{00000000-0005-0000-0000-0000EE8D0000}"/>
    <cellStyle name="Wrap 2 3 7 5 7" xfId="33293" xr:uid="{00000000-0005-0000-0000-0000EF8D0000}"/>
    <cellStyle name="Wrap 2 3 7 5 7 2" xfId="33294" xr:uid="{00000000-0005-0000-0000-0000F08D0000}"/>
    <cellStyle name="Wrap 2 3 7 5 8" xfId="33295" xr:uid="{00000000-0005-0000-0000-0000F18D0000}"/>
    <cellStyle name="Wrap 2 3 7 5 8 2" xfId="33296" xr:uid="{00000000-0005-0000-0000-0000F28D0000}"/>
    <cellStyle name="Wrap 2 3 7 5 9" xfId="33297" xr:uid="{00000000-0005-0000-0000-0000F38D0000}"/>
    <cellStyle name="Wrap 2 3 7 5 9 2" xfId="33298" xr:uid="{00000000-0005-0000-0000-0000F48D0000}"/>
    <cellStyle name="Wrap 2 3 7 6" xfId="33299" xr:uid="{00000000-0005-0000-0000-0000F58D0000}"/>
    <cellStyle name="Wrap 2 3 7 6 10" xfId="33300" xr:uid="{00000000-0005-0000-0000-0000F68D0000}"/>
    <cellStyle name="Wrap 2 3 7 6 2" xfId="33301" xr:uid="{00000000-0005-0000-0000-0000F78D0000}"/>
    <cellStyle name="Wrap 2 3 7 6 2 2" xfId="33302" xr:uid="{00000000-0005-0000-0000-0000F88D0000}"/>
    <cellStyle name="Wrap 2 3 7 6 3" xfId="33303" xr:uid="{00000000-0005-0000-0000-0000F98D0000}"/>
    <cellStyle name="Wrap 2 3 7 6 3 2" xfId="33304" xr:uid="{00000000-0005-0000-0000-0000FA8D0000}"/>
    <cellStyle name="Wrap 2 3 7 6 4" xfId="33305" xr:uid="{00000000-0005-0000-0000-0000FB8D0000}"/>
    <cellStyle name="Wrap 2 3 7 6 4 2" xfId="33306" xr:uid="{00000000-0005-0000-0000-0000FC8D0000}"/>
    <cellStyle name="Wrap 2 3 7 6 5" xfId="33307" xr:uid="{00000000-0005-0000-0000-0000FD8D0000}"/>
    <cellStyle name="Wrap 2 3 7 6 5 2" xfId="33308" xr:uid="{00000000-0005-0000-0000-0000FE8D0000}"/>
    <cellStyle name="Wrap 2 3 7 6 6" xfId="33309" xr:uid="{00000000-0005-0000-0000-0000FF8D0000}"/>
    <cellStyle name="Wrap 2 3 7 6 6 2" xfId="33310" xr:uid="{00000000-0005-0000-0000-0000008E0000}"/>
    <cellStyle name="Wrap 2 3 7 6 7" xfId="33311" xr:uid="{00000000-0005-0000-0000-0000018E0000}"/>
    <cellStyle name="Wrap 2 3 7 6 7 2" xfId="33312" xr:uid="{00000000-0005-0000-0000-0000028E0000}"/>
    <cellStyle name="Wrap 2 3 7 6 8" xfId="33313" xr:uid="{00000000-0005-0000-0000-0000038E0000}"/>
    <cellStyle name="Wrap 2 3 7 6 8 2" xfId="33314" xr:uid="{00000000-0005-0000-0000-0000048E0000}"/>
    <cellStyle name="Wrap 2 3 7 6 9" xfId="33315" xr:uid="{00000000-0005-0000-0000-0000058E0000}"/>
    <cellStyle name="Wrap 2 3 7 6 9 2" xfId="33316" xr:uid="{00000000-0005-0000-0000-0000068E0000}"/>
    <cellStyle name="Wrap 2 3 7 7" xfId="33317" xr:uid="{00000000-0005-0000-0000-0000078E0000}"/>
    <cellStyle name="Wrap 2 3 7 7 10" xfId="33318" xr:uid="{00000000-0005-0000-0000-0000088E0000}"/>
    <cellStyle name="Wrap 2 3 7 7 2" xfId="33319" xr:uid="{00000000-0005-0000-0000-0000098E0000}"/>
    <cellStyle name="Wrap 2 3 7 7 2 2" xfId="33320" xr:uid="{00000000-0005-0000-0000-00000A8E0000}"/>
    <cellStyle name="Wrap 2 3 7 7 3" xfId="33321" xr:uid="{00000000-0005-0000-0000-00000B8E0000}"/>
    <cellStyle name="Wrap 2 3 7 7 3 2" xfId="33322" xr:uid="{00000000-0005-0000-0000-00000C8E0000}"/>
    <cellStyle name="Wrap 2 3 7 7 4" xfId="33323" xr:uid="{00000000-0005-0000-0000-00000D8E0000}"/>
    <cellStyle name="Wrap 2 3 7 7 4 2" xfId="33324" xr:uid="{00000000-0005-0000-0000-00000E8E0000}"/>
    <cellStyle name="Wrap 2 3 7 7 5" xfId="33325" xr:uid="{00000000-0005-0000-0000-00000F8E0000}"/>
    <cellStyle name="Wrap 2 3 7 7 5 2" xfId="33326" xr:uid="{00000000-0005-0000-0000-0000108E0000}"/>
    <cellStyle name="Wrap 2 3 7 7 6" xfId="33327" xr:uid="{00000000-0005-0000-0000-0000118E0000}"/>
    <cellStyle name="Wrap 2 3 7 7 6 2" xfId="33328" xr:uid="{00000000-0005-0000-0000-0000128E0000}"/>
    <cellStyle name="Wrap 2 3 7 7 7" xfId="33329" xr:uid="{00000000-0005-0000-0000-0000138E0000}"/>
    <cellStyle name="Wrap 2 3 7 7 7 2" xfId="33330" xr:uid="{00000000-0005-0000-0000-0000148E0000}"/>
    <cellStyle name="Wrap 2 3 7 7 8" xfId="33331" xr:uid="{00000000-0005-0000-0000-0000158E0000}"/>
    <cellStyle name="Wrap 2 3 7 7 8 2" xfId="33332" xr:uid="{00000000-0005-0000-0000-0000168E0000}"/>
    <cellStyle name="Wrap 2 3 7 7 9" xfId="33333" xr:uid="{00000000-0005-0000-0000-0000178E0000}"/>
    <cellStyle name="Wrap 2 3 7 7 9 2" xfId="33334" xr:uid="{00000000-0005-0000-0000-0000188E0000}"/>
    <cellStyle name="Wrap 2 3 7 8" xfId="33335" xr:uid="{00000000-0005-0000-0000-0000198E0000}"/>
    <cellStyle name="Wrap 2 3 7 8 10" xfId="33336" xr:uid="{00000000-0005-0000-0000-00001A8E0000}"/>
    <cellStyle name="Wrap 2 3 7 8 2" xfId="33337" xr:uid="{00000000-0005-0000-0000-00001B8E0000}"/>
    <cellStyle name="Wrap 2 3 7 8 2 2" xfId="33338" xr:uid="{00000000-0005-0000-0000-00001C8E0000}"/>
    <cellStyle name="Wrap 2 3 7 8 3" xfId="33339" xr:uid="{00000000-0005-0000-0000-00001D8E0000}"/>
    <cellStyle name="Wrap 2 3 7 8 3 2" xfId="33340" xr:uid="{00000000-0005-0000-0000-00001E8E0000}"/>
    <cellStyle name="Wrap 2 3 7 8 4" xfId="33341" xr:uid="{00000000-0005-0000-0000-00001F8E0000}"/>
    <cellStyle name="Wrap 2 3 7 8 4 2" xfId="33342" xr:uid="{00000000-0005-0000-0000-0000208E0000}"/>
    <cellStyle name="Wrap 2 3 7 8 5" xfId="33343" xr:uid="{00000000-0005-0000-0000-0000218E0000}"/>
    <cellStyle name="Wrap 2 3 7 8 5 2" xfId="33344" xr:uid="{00000000-0005-0000-0000-0000228E0000}"/>
    <cellStyle name="Wrap 2 3 7 8 6" xfId="33345" xr:uid="{00000000-0005-0000-0000-0000238E0000}"/>
    <cellStyle name="Wrap 2 3 7 8 6 2" xfId="33346" xr:uid="{00000000-0005-0000-0000-0000248E0000}"/>
    <cellStyle name="Wrap 2 3 7 8 7" xfId="33347" xr:uid="{00000000-0005-0000-0000-0000258E0000}"/>
    <cellStyle name="Wrap 2 3 7 8 7 2" xfId="33348" xr:uid="{00000000-0005-0000-0000-0000268E0000}"/>
    <cellStyle name="Wrap 2 3 7 8 8" xfId="33349" xr:uid="{00000000-0005-0000-0000-0000278E0000}"/>
    <cellStyle name="Wrap 2 3 7 8 8 2" xfId="33350" xr:uid="{00000000-0005-0000-0000-0000288E0000}"/>
    <cellStyle name="Wrap 2 3 7 8 9" xfId="33351" xr:uid="{00000000-0005-0000-0000-0000298E0000}"/>
    <cellStyle name="Wrap 2 3 7 8 9 2" xfId="33352" xr:uid="{00000000-0005-0000-0000-00002A8E0000}"/>
    <cellStyle name="Wrap 2 3 7 9" xfId="33353" xr:uid="{00000000-0005-0000-0000-00002B8E0000}"/>
    <cellStyle name="Wrap 2 3 7 9 10" xfId="33354" xr:uid="{00000000-0005-0000-0000-00002C8E0000}"/>
    <cellStyle name="Wrap 2 3 7 9 2" xfId="33355" xr:uid="{00000000-0005-0000-0000-00002D8E0000}"/>
    <cellStyle name="Wrap 2 3 7 9 2 2" xfId="33356" xr:uid="{00000000-0005-0000-0000-00002E8E0000}"/>
    <cellStyle name="Wrap 2 3 7 9 3" xfId="33357" xr:uid="{00000000-0005-0000-0000-00002F8E0000}"/>
    <cellStyle name="Wrap 2 3 7 9 3 2" xfId="33358" xr:uid="{00000000-0005-0000-0000-0000308E0000}"/>
    <cellStyle name="Wrap 2 3 7 9 4" xfId="33359" xr:uid="{00000000-0005-0000-0000-0000318E0000}"/>
    <cellStyle name="Wrap 2 3 7 9 4 2" xfId="33360" xr:uid="{00000000-0005-0000-0000-0000328E0000}"/>
    <cellStyle name="Wrap 2 3 7 9 5" xfId="33361" xr:uid="{00000000-0005-0000-0000-0000338E0000}"/>
    <cellStyle name="Wrap 2 3 7 9 5 2" xfId="33362" xr:uid="{00000000-0005-0000-0000-0000348E0000}"/>
    <cellStyle name="Wrap 2 3 7 9 6" xfId="33363" xr:uid="{00000000-0005-0000-0000-0000358E0000}"/>
    <cellStyle name="Wrap 2 3 7 9 6 2" xfId="33364" xr:uid="{00000000-0005-0000-0000-0000368E0000}"/>
    <cellStyle name="Wrap 2 3 7 9 7" xfId="33365" xr:uid="{00000000-0005-0000-0000-0000378E0000}"/>
    <cellStyle name="Wrap 2 3 7 9 7 2" xfId="33366" xr:uid="{00000000-0005-0000-0000-0000388E0000}"/>
    <cellStyle name="Wrap 2 3 7 9 8" xfId="33367" xr:uid="{00000000-0005-0000-0000-0000398E0000}"/>
    <cellStyle name="Wrap 2 3 7 9 8 2" xfId="33368" xr:uid="{00000000-0005-0000-0000-00003A8E0000}"/>
    <cellStyle name="Wrap 2 3 7 9 9" xfId="33369" xr:uid="{00000000-0005-0000-0000-00003B8E0000}"/>
    <cellStyle name="Wrap 2 3 7 9 9 2" xfId="33370" xr:uid="{00000000-0005-0000-0000-00003C8E0000}"/>
    <cellStyle name="Wrap 2 3 8" xfId="33371" xr:uid="{00000000-0005-0000-0000-00003D8E0000}"/>
    <cellStyle name="Wrap 2 3 8 10" xfId="33372" xr:uid="{00000000-0005-0000-0000-00003E8E0000}"/>
    <cellStyle name="Wrap 2 3 8 10 2" xfId="33373" xr:uid="{00000000-0005-0000-0000-00003F8E0000}"/>
    <cellStyle name="Wrap 2 3 8 10 2 2" xfId="33374" xr:uid="{00000000-0005-0000-0000-0000408E0000}"/>
    <cellStyle name="Wrap 2 3 8 10 3" xfId="33375" xr:uid="{00000000-0005-0000-0000-0000418E0000}"/>
    <cellStyle name="Wrap 2 3 8 10 3 2" xfId="33376" xr:uid="{00000000-0005-0000-0000-0000428E0000}"/>
    <cellStyle name="Wrap 2 3 8 10 4" xfId="33377" xr:uid="{00000000-0005-0000-0000-0000438E0000}"/>
    <cellStyle name="Wrap 2 3 8 10 4 2" xfId="33378" xr:uid="{00000000-0005-0000-0000-0000448E0000}"/>
    <cellStyle name="Wrap 2 3 8 10 5" xfId="33379" xr:uid="{00000000-0005-0000-0000-0000458E0000}"/>
    <cellStyle name="Wrap 2 3 8 10 5 2" xfId="33380" xr:uid="{00000000-0005-0000-0000-0000468E0000}"/>
    <cellStyle name="Wrap 2 3 8 10 6" xfId="33381" xr:uid="{00000000-0005-0000-0000-0000478E0000}"/>
    <cellStyle name="Wrap 2 3 8 10 6 2" xfId="33382" xr:uid="{00000000-0005-0000-0000-0000488E0000}"/>
    <cellStyle name="Wrap 2 3 8 10 7" xfId="33383" xr:uid="{00000000-0005-0000-0000-0000498E0000}"/>
    <cellStyle name="Wrap 2 3 8 10 7 2" xfId="33384" xr:uid="{00000000-0005-0000-0000-00004A8E0000}"/>
    <cellStyle name="Wrap 2 3 8 10 8" xfId="33385" xr:uid="{00000000-0005-0000-0000-00004B8E0000}"/>
    <cellStyle name="Wrap 2 3 8 10 8 2" xfId="33386" xr:uid="{00000000-0005-0000-0000-00004C8E0000}"/>
    <cellStyle name="Wrap 2 3 8 10 9" xfId="33387" xr:uid="{00000000-0005-0000-0000-00004D8E0000}"/>
    <cellStyle name="Wrap 2 3 8 11" xfId="33388" xr:uid="{00000000-0005-0000-0000-00004E8E0000}"/>
    <cellStyle name="Wrap 2 3 8 11 2" xfId="33389" xr:uid="{00000000-0005-0000-0000-00004F8E0000}"/>
    <cellStyle name="Wrap 2 3 8 12" xfId="33390" xr:uid="{00000000-0005-0000-0000-0000508E0000}"/>
    <cellStyle name="Wrap 2 3 8 12 2" xfId="33391" xr:uid="{00000000-0005-0000-0000-0000518E0000}"/>
    <cellStyle name="Wrap 2 3 8 13" xfId="33392" xr:uid="{00000000-0005-0000-0000-0000528E0000}"/>
    <cellStyle name="Wrap 2 3 8 13 2" xfId="33393" xr:uid="{00000000-0005-0000-0000-0000538E0000}"/>
    <cellStyle name="Wrap 2 3 8 14" xfId="33394" xr:uid="{00000000-0005-0000-0000-0000548E0000}"/>
    <cellStyle name="Wrap 2 3 8 14 2" xfId="33395" xr:uid="{00000000-0005-0000-0000-0000558E0000}"/>
    <cellStyle name="Wrap 2 3 8 15" xfId="33396" xr:uid="{00000000-0005-0000-0000-0000568E0000}"/>
    <cellStyle name="Wrap 2 3 8 15 2" xfId="33397" xr:uid="{00000000-0005-0000-0000-0000578E0000}"/>
    <cellStyle name="Wrap 2 3 8 16" xfId="33398" xr:uid="{00000000-0005-0000-0000-0000588E0000}"/>
    <cellStyle name="Wrap 2 3 8 16 2" xfId="33399" xr:uid="{00000000-0005-0000-0000-0000598E0000}"/>
    <cellStyle name="Wrap 2 3 8 17" xfId="33400" xr:uid="{00000000-0005-0000-0000-00005A8E0000}"/>
    <cellStyle name="Wrap 2 3 8 17 2" xfId="33401" xr:uid="{00000000-0005-0000-0000-00005B8E0000}"/>
    <cellStyle name="Wrap 2 3 8 18" xfId="33402" xr:uid="{00000000-0005-0000-0000-00005C8E0000}"/>
    <cellStyle name="Wrap 2 3 8 2" xfId="33403" xr:uid="{00000000-0005-0000-0000-00005D8E0000}"/>
    <cellStyle name="Wrap 2 3 8 2 10" xfId="33404" xr:uid="{00000000-0005-0000-0000-00005E8E0000}"/>
    <cellStyle name="Wrap 2 3 8 2 2" xfId="33405" xr:uid="{00000000-0005-0000-0000-00005F8E0000}"/>
    <cellStyle name="Wrap 2 3 8 2 2 2" xfId="33406" xr:uid="{00000000-0005-0000-0000-0000608E0000}"/>
    <cellStyle name="Wrap 2 3 8 2 3" xfId="33407" xr:uid="{00000000-0005-0000-0000-0000618E0000}"/>
    <cellStyle name="Wrap 2 3 8 2 3 2" xfId="33408" xr:uid="{00000000-0005-0000-0000-0000628E0000}"/>
    <cellStyle name="Wrap 2 3 8 2 4" xfId="33409" xr:uid="{00000000-0005-0000-0000-0000638E0000}"/>
    <cellStyle name="Wrap 2 3 8 2 4 2" xfId="33410" xr:uid="{00000000-0005-0000-0000-0000648E0000}"/>
    <cellStyle name="Wrap 2 3 8 2 5" xfId="33411" xr:uid="{00000000-0005-0000-0000-0000658E0000}"/>
    <cellStyle name="Wrap 2 3 8 2 5 2" xfId="33412" xr:uid="{00000000-0005-0000-0000-0000668E0000}"/>
    <cellStyle name="Wrap 2 3 8 2 6" xfId="33413" xr:uid="{00000000-0005-0000-0000-0000678E0000}"/>
    <cellStyle name="Wrap 2 3 8 2 6 2" xfId="33414" xr:uid="{00000000-0005-0000-0000-0000688E0000}"/>
    <cellStyle name="Wrap 2 3 8 2 7" xfId="33415" xr:uid="{00000000-0005-0000-0000-0000698E0000}"/>
    <cellStyle name="Wrap 2 3 8 2 7 2" xfId="33416" xr:uid="{00000000-0005-0000-0000-00006A8E0000}"/>
    <cellStyle name="Wrap 2 3 8 2 8" xfId="33417" xr:uid="{00000000-0005-0000-0000-00006B8E0000}"/>
    <cellStyle name="Wrap 2 3 8 2 8 2" xfId="33418" xr:uid="{00000000-0005-0000-0000-00006C8E0000}"/>
    <cellStyle name="Wrap 2 3 8 2 9" xfId="33419" xr:uid="{00000000-0005-0000-0000-00006D8E0000}"/>
    <cellStyle name="Wrap 2 3 8 2 9 2" xfId="33420" xr:uid="{00000000-0005-0000-0000-00006E8E0000}"/>
    <cellStyle name="Wrap 2 3 8 3" xfId="33421" xr:uid="{00000000-0005-0000-0000-00006F8E0000}"/>
    <cellStyle name="Wrap 2 3 8 3 10" xfId="33422" xr:uid="{00000000-0005-0000-0000-0000708E0000}"/>
    <cellStyle name="Wrap 2 3 8 3 2" xfId="33423" xr:uid="{00000000-0005-0000-0000-0000718E0000}"/>
    <cellStyle name="Wrap 2 3 8 3 2 2" xfId="33424" xr:uid="{00000000-0005-0000-0000-0000728E0000}"/>
    <cellStyle name="Wrap 2 3 8 3 3" xfId="33425" xr:uid="{00000000-0005-0000-0000-0000738E0000}"/>
    <cellStyle name="Wrap 2 3 8 3 3 2" xfId="33426" xr:uid="{00000000-0005-0000-0000-0000748E0000}"/>
    <cellStyle name="Wrap 2 3 8 3 4" xfId="33427" xr:uid="{00000000-0005-0000-0000-0000758E0000}"/>
    <cellStyle name="Wrap 2 3 8 3 4 2" xfId="33428" xr:uid="{00000000-0005-0000-0000-0000768E0000}"/>
    <cellStyle name="Wrap 2 3 8 3 5" xfId="33429" xr:uid="{00000000-0005-0000-0000-0000778E0000}"/>
    <cellStyle name="Wrap 2 3 8 3 5 2" xfId="33430" xr:uid="{00000000-0005-0000-0000-0000788E0000}"/>
    <cellStyle name="Wrap 2 3 8 3 6" xfId="33431" xr:uid="{00000000-0005-0000-0000-0000798E0000}"/>
    <cellStyle name="Wrap 2 3 8 3 6 2" xfId="33432" xr:uid="{00000000-0005-0000-0000-00007A8E0000}"/>
    <cellStyle name="Wrap 2 3 8 3 7" xfId="33433" xr:uid="{00000000-0005-0000-0000-00007B8E0000}"/>
    <cellStyle name="Wrap 2 3 8 3 7 2" xfId="33434" xr:uid="{00000000-0005-0000-0000-00007C8E0000}"/>
    <cellStyle name="Wrap 2 3 8 3 8" xfId="33435" xr:uid="{00000000-0005-0000-0000-00007D8E0000}"/>
    <cellStyle name="Wrap 2 3 8 3 8 2" xfId="33436" xr:uid="{00000000-0005-0000-0000-00007E8E0000}"/>
    <cellStyle name="Wrap 2 3 8 3 9" xfId="33437" xr:uid="{00000000-0005-0000-0000-00007F8E0000}"/>
    <cellStyle name="Wrap 2 3 8 3 9 2" xfId="33438" xr:uid="{00000000-0005-0000-0000-0000808E0000}"/>
    <cellStyle name="Wrap 2 3 8 4" xfId="33439" xr:uid="{00000000-0005-0000-0000-0000818E0000}"/>
    <cellStyle name="Wrap 2 3 8 4 10" xfId="33440" xr:uid="{00000000-0005-0000-0000-0000828E0000}"/>
    <cellStyle name="Wrap 2 3 8 4 2" xfId="33441" xr:uid="{00000000-0005-0000-0000-0000838E0000}"/>
    <cellStyle name="Wrap 2 3 8 4 2 2" xfId="33442" xr:uid="{00000000-0005-0000-0000-0000848E0000}"/>
    <cellStyle name="Wrap 2 3 8 4 3" xfId="33443" xr:uid="{00000000-0005-0000-0000-0000858E0000}"/>
    <cellStyle name="Wrap 2 3 8 4 3 2" xfId="33444" xr:uid="{00000000-0005-0000-0000-0000868E0000}"/>
    <cellStyle name="Wrap 2 3 8 4 4" xfId="33445" xr:uid="{00000000-0005-0000-0000-0000878E0000}"/>
    <cellStyle name="Wrap 2 3 8 4 4 2" xfId="33446" xr:uid="{00000000-0005-0000-0000-0000888E0000}"/>
    <cellStyle name="Wrap 2 3 8 4 5" xfId="33447" xr:uid="{00000000-0005-0000-0000-0000898E0000}"/>
    <cellStyle name="Wrap 2 3 8 4 5 2" xfId="33448" xr:uid="{00000000-0005-0000-0000-00008A8E0000}"/>
    <cellStyle name="Wrap 2 3 8 4 6" xfId="33449" xr:uid="{00000000-0005-0000-0000-00008B8E0000}"/>
    <cellStyle name="Wrap 2 3 8 4 6 2" xfId="33450" xr:uid="{00000000-0005-0000-0000-00008C8E0000}"/>
    <cellStyle name="Wrap 2 3 8 4 7" xfId="33451" xr:uid="{00000000-0005-0000-0000-00008D8E0000}"/>
    <cellStyle name="Wrap 2 3 8 4 7 2" xfId="33452" xr:uid="{00000000-0005-0000-0000-00008E8E0000}"/>
    <cellStyle name="Wrap 2 3 8 4 8" xfId="33453" xr:uid="{00000000-0005-0000-0000-00008F8E0000}"/>
    <cellStyle name="Wrap 2 3 8 4 8 2" xfId="33454" xr:uid="{00000000-0005-0000-0000-0000908E0000}"/>
    <cellStyle name="Wrap 2 3 8 4 9" xfId="33455" xr:uid="{00000000-0005-0000-0000-0000918E0000}"/>
    <cellStyle name="Wrap 2 3 8 4 9 2" xfId="33456" xr:uid="{00000000-0005-0000-0000-0000928E0000}"/>
    <cellStyle name="Wrap 2 3 8 5" xfId="33457" xr:uid="{00000000-0005-0000-0000-0000938E0000}"/>
    <cellStyle name="Wrap 2 3 8 5 10" xfId="33458" xr:uid="{00000000-0005-0000-0000-0000948E0000}"/>
    <cellStyle name="Wrap 2 3 8 5 2" xfId="33459" xr:uid="{00000000-0005-0000-0000-0000958E0000}"/>
    <cellStyle name="Wrap 2 3 8 5 2 2" xfId="33460" xr:uid="{00000000-0005-0000-0000-0000968E0000}"/>
    <cellStyle name="Wrap 2 3 8 5 3" xfId="33461" xr:uid="{00000000-0005-0000-0000-0000978E0000}"/>
    <cellStyle name="Wrap 2 3 8 5 3 2" xfId="33462" xr:uid="{00000000-0005-0000-0000-0000988E0000}"/>
    <cellStyle name="Wrap 2 3 8 5 4" xfId="33463" xr:uid="{00000000-0005-0000-0000-0000998E0000}"/>
    <cellStyle name="Wrap 2 3 8 5 4 2" xfId="33464" xr:uid="{00000000-0005-0000-0000-00009A8E0000}"/>
    <cellStyle name="Wrap 2 3 8 5 5" xfId="33465" xr:uid="{00000000-0005-0000-0000-00009B8E0000}"/>
    <cellStyle name="Wrap 2 3 8 5 5 2" xfId="33466" xr:uid="{00000000-0005-0000-0000-00009C8E0000}"/>
    <cellStyle name="Wrap 2 3 8 5 6" xfId="33467" xr:uid="{00000000-0005-0000-0000-00009D8E0000}"/>
    <cellStyle name="Wrap 2 3 8 5 6 2" xfId="33468" xr:uid="{00000000-0005-0000-0000-00009E8E0000}"/>
    <cellStyle name="Wrap 2 3 8 5 7" xfId="33469" xr:uid="{00000000-0005-0000-0000-00009F8E0000}"/>
    <cellStyle name="Wrap 2 3 8 5 7 2" xfId="33470" xr:uid="{00000000-0005-0000-0000-0000A08E0000}"/>
    <cellStyle name="Wrap 2 3 8 5 8" xfId="33471" xr:uid="{00000000-0005-0000-0000-0000A18E0000}"/>
    <cellStyle name="Wrap 2 3 8 5 8 2" xfId="33472" xr:uid="{00000000-0005-0000-0000-0000A28E0000}"/>
    <cellStyle name="Wrap 2 3 8 5 9" xfId="33473" xr:uid="{00000000-0005-0000-0000-0000A38E0000}"/>
    <cellStyle name="Wrap 2 3 8 5 9 2" xfId="33474" xr:uid="{00000000-0005-0000-0000-0000A48E0000}"/>
    <cellStyle name="Wrap 2 3 8 6" xfId="33475" xr:uid="{00000000-0005-0000-0000-0000A58E0000}"/>
    <cellStyle name="Wrap 2 3 8 6 10" xfId="33476" xr:uid="{00000000-0005-0000-0000-0000A68E0000}"/>
    <cellStyle name="Wrap 2 3 8 6 2" xfId="33477" xr:uid="{00000000-0005-0000-0000-0000A78E0000}"/>
    <cellStyle name="Wrap 2 3 8 6 2 2" xfId="33478" xr:uid="{00000000-0005-0000-0000-0000A88E0000}"/>
    <cellStyle name="Wrap 2 3 8 6 3" xfId="33479" xr:uid="{00000000-0005-0000-0000-0000A98E0000}"/>
    <cellStyle name="Wrap 2 3 8 6 3 2" xfId="33480" xr:uid="{00000000-0005-0000-0000-0000AA8E0000}"/>
    <cellStyle name="Wrap 2 3 8 6 4" xfId="33481" xr:uid="{00000000-0005-0000-0000-0000AB8E0000}"/>
    <cellStyle name="Wrap 2 3 8 6 4 2" xfId="33482" xr:uid="{00000000-0005-0000-0000-0000AC8E0000}"/>
    <cellStyle name="Wrap 2 3 8 6 5" xfId="33483" xr:uid="{00000000-0005-0000-0000-0000AD8E0000}"/>
    <cellStyle name="Wrap 2 3 8 6 5 2" xfId="33484" xr:uid="{00000000-0005-0000-0000-0000AE8E0000}"/>
    <cellStyle name="Wrap 2 3 8 6 6" xfId="33485" xr:uid="{00000000-0005-0000-0000-0000AF8E0000}"/>
    <cellStyle name="Wrap 2 3 8 6 6 2" xfId="33486" xr:uid="{00000000-0005-0000-0000-0000B08E0000}"/>
    <cellStyle name="Wrap 2 3 8 6 7" xfId="33487" xr:uid="{00000000-0005-0000-0000-0000B18E0000}"/>
    <cellStyle name="Wrap 2 3 8 6 7 2" xfId="33488" xr:uid="{00000000-0005-0000-0000-0000B28E0000}"/>
    <cellStyle name="Wrap 2 3 8 6 8" xfId="33489" xr:uid="{00000000-0005-0000-0000-0000B38E0000}"/>
    <cellStyle name="Wrap 2 3 8 6 8 2" xfId="33490" xr:uid="{00000000-0005-0000-0000-0000B48E0000}"/>
    <cellStyle name="Wrap 2 3 8 6 9" xfId="33491" xr:uid="{00000000-0005-0000-0000-0000B58E0000}"/>
    <cellStyle name="Wrap 2 3 8 6 9 2" xfId="33492" xr:uid="{00000000-0005-0000-0000-0000B68E0000}"/>
    <cellStyle name="Wrap 2 3 8 7" xfId="33493" xr:uid="{00000000-0005-0000-0000-0000B78E0000}"/>
    <cellStyle name="Wrap 2 3 8 7 10" xfId="33494" xr:uid="{00000000-0005-0000-0000-0000B88E0000}"/>
    <cellStyle name="Wrap 2 3 8 7 2" xfId="33495" xr:uid="{00000000-0005-0000-0000-0000B98E0000}"/>
    <cellStyle name="Wrap 2 3 8 7 2 2" xfId="33496" xr:uid="{00000000-0005-0000-0000-0000BA8E0000}"/>
    <cellStyle name="Wrap 2 3 8 7 3" xfId="33497" xr:uid="{00000000-0005-0000-0000-0000BB8E0000}"/>
    <cellStyle name="Wrap 2 3 8 7 3 2" xfId="33498" xr:uid="{00000000-0005-0000-0000-0000BC8E0000}"/>
    <cellStyle name="Wrap 2 3 8 7 4" xfId="33499" xr:uid="{00000000-0005-0000-0000-0000BD8E0000}"/>
    <cellStyle name="Wrap 2 3 8 7 4 2" xfId="33500" xr:uid="{00000000-0005-0000-0000-0000BE8E0000}"/>
    <cellStyle name="Wrap 2 3 8 7 5" xfId="33501" xr:uid="{00000000-0005-0000-0000-0000BF8E0000}"/>
    <cellStyle name="Wrap 2 3 8 7 5 2" xfId="33502" xr:uid="{00000000-0005-0000-0000-0000C08E0000}"/>
    <cellStyle name="Wrap 2 3 8 7 6" xfId="33503" xr:uid="{00000000-0005-0000-0000-0000C18E0000}"/>
    <cellStyle name="Wrap 2 3 8 7 6 2" xfId="33504" xr:uid="{00000000-0005-0000-0000-0000C28E0000}"/>
    <cellStyle name="Wrap 2 3 8 7 7" xfId="33505" xr:uid="{00000000-0005-0000-0000-0000C38E0000}"/>
    <cellStyle name="Wrap 2 3 8 7 7 2" xfId="33506" xr:uid="{00000000-0005-0000-0000-0000C48E0000}"/>
    <cellStyle name="Wrap 2 3 8 7 8" xfId="33507" xr:uid="{00000000-0005-0000-0000-0000C58E0000}"/>
    <cellStyle name="Wrap 2 3 8 7 8 2" xfId="33508" xr:uid="{00000000-0005-0000-0000-0000C68E0000}"/>
    <cellStyle name="Wrap 2 3 8 7 9" xfId="33509" xr:uid="{00000000-0005-0000-0000-0000C78E0000}"/>
    <cellStyle name="Wrap 2 3 8 7 9 2" xfId="33510" xr:uid="{00000000-0005-0000-0000-0000C88E0000}"/>
    <cellStyle name="Wrap 2 3 8 8" xfId="33511" xr:uid="{00000000-0005-0000-0000-0000C98E0000}"/>
    <cellStyle name="Wrap 2 3 8 8 10" xfId="33512" xr:uid="{00000000-0005-0000-0000-0000CA8E0000}"/>
    <cellStyle name="Wrap 2 3 8 8 2" xfId="33513" xr:uid="{00000000-0005-0000-0000-0000CB8E0000}"/>
    <cellStyle name="Wrap 2 3 8 8 2 2" xfId="33514" xr:uid="{00000000-0005-0000-0000-0000CC8E0000}"/>
    <cellStyle name="Wrap 2 3 8 8 3" xfId="33515" xr:uid="{00000000-0005-0000-0000-0000CD8E0000}"/>
    <cellStyle name="Wrap 2 3 8 8 3 2" xfId="33516" xr:uid="{00000000-0005-0000-0000-0000CE8E0000}"/>
    <cellStyle name="Wrap 2 3 8 8 4" xfId="33517" xr:uid="{00000000-0005-0000-0000-0000CF8E0000}"/>
    <cellStyle name="Wrap 2 3 8 8 4 2" xfId="33518" xr:uid="{00000000-0005-0000-0000-0000D08E0000}"/>
    <cellStyle name="Wrap 2 3 8 8 5" xfId="33519" xr:uid="{00000000-0005-0000-0000-0000D18E0000}"/>
    <cellStyle name="Wrap 2 3 8 8 5 2" xfId="33520" xr:uid="{00000000-0005-0000-0000-0000D28E0000}"/>
    <cellStyle name="Wrap 2 3 8 8 6" xfId="33521" xr:uid="{00000000-0005-0000-0000-0000D38E0000}"/>
    <cellStyle name="Wrap 2 3 8 8 6 2" xfId="33522" xr:uid="{00000000-0005-0000-0000-0000D48E0000}"/>
    <cellStyle name="Wrap 2 3 8 8 7" xfId="33523" xr:uid="{00000000-0005-0000-0000-0000D58E0000}"/>
    <cellStyle name="Wrap 2 3 8 8 7 2" xfId="33524" xr:uid="{00000000-0005-0000-0000-0000D68E0000}"/>
    <cellStyle name="Wrap 2 3 8 8 8" xfId="33525" xr:uid="{00000000-0005-0000-0000-0000D78E0000}"/>
    <cellStyle name="Wrap 2 3 8 8 8 2" xfId="33526" xr:uid="{00000000-0005-0000-0000-0000D88E0000}"/>
    <cellStyle name="Wrap 2 3 8 8 9" xfId="33527" xr:uid="{00000000-0005-0000-0000-0000D98E0000}"/>
    <cellStyle name="Wrap 2 3 8 8 9 2" xfId="33528" xr:uid="{00000000-0005-0000-0000-0000DA8E0000}"/>
    <cellStyle name="Wrap 2 3 8 9" xfId="33529" xr:uid="{00000000-0005-0000-0000-0000DB8E0000}"/>
    <cellStyle name="Wrap 2 3 8 9 10" xfId="33530" xr:uid="{00000000-0005-0000-0000-0000DC8E0000}"/>
    <cellStyle name="Wrap 2 3 8 9 2" xfId="33531" xr:uid="{00000000-0005-0000-0000-0000DD8E0000}"/>
    <cellStyle name="Wrap 2 3 8 9 2 2" xfId="33532" xr:uid="{00000000-0005-0000-0000-0000DE8E0000}"/>
    <cellStyle name="Wrap 2 3 8 9 3" xfId="33533" xr:uid="{00000000-0005-0000-0000-0000DF8E0000}"/>
    <cellStyle name="Wrap 2 3 8 9 3 2" xfId="33534" xr:uid="{00000000-0005-0000-0000-0000E08E0000}"/>
    <cellStyle name="Wrap 2 3 8 9 4" xfId="33535" xr:uid="{00000000-0005-0000-0000-0000E18E0000}"/>
    <cellStyle name="Wrap 2 3 8 9 4 2" xfId="33536" xr:uid="{00000000-0005-0000-0000-0000E28E0000}"/>
    <cellStyle name="Wrap 2 3 8 9 5" xfId="33537" xr:uid="{00000000-0005-0000-0000-0000E38E0000}"/>
    <cellStyle name="Wrap 2 3 8 9 5 2" xfId="33538" xr:uid="{00000000-0005-0000-0000-0000E48E0000}"/>
    <cellStyle name="Wrap 2 3 8 9 6" xfId="33539" xr:uid="{00000000-0005-0000-0000-0000E58E0000}"/>
    <cellStyle name="Wrap 2 3 8 9 6 2" xfId="33540" xr:uid="{00000000-0005-0000-0000-0000E68E0000}"/>
    <cellStyle name="Wrap 2 3 8 9 7" xfId="33541" xr:uid="{00000000-0005-0000-0000-0000E78E0000}"/>
    <cellStyle name="Wrap 2 3 8 9 7 2" xfId="33542" xr:uid="{00000000-0005-0000-0000-0000E88E0000}"/>
    <cellStyle name="Wrap 2 3 8 9 8" xfId="33543" xr:uid="{00000000-0005-0000-0000-0000E98E0000}"/>
    <cellStyle name="Wrap 2 3 8 9 8 2" xfId="33544" xr:uid="{00000000-0005-0000-0000-0000EA8E0000}"/>
    <cellStyle name="Wrap 2 3 8 9 9" xfId="33545" xr:uid="{00000000-0005-0000-0000-0000EB8E0000}"/>
    <cellStyle name="Wrap 2 3 8 9 9 2" xfId="33546" xr:uid="{00000000-0005-0000-0000-0000EC8E0000}"/>
    <cellStyle name="Wrap 2 4" xfId="33547" xr:uid="{00000000-0005-0000-0000-0000ED8E0000}"/>
    <cellStyle name="Wrap 2 4 10" xfId="33548" xr:uid="{00000000-0005-0000-0000-0000EE8E0000}"/>
    <cellStyle name="Wrap 2 4 10 10" xfId="33549" xr:uid="{00000000-0005-0000-0000-0000EF8E0000}"/>
    <cellStyle name="Wrap 2 4 10 2" xfId="33550" xr:uid="{00000000-0005-0000-0000-0000F08E0000}"/>
    <cellStyle name="Wrap 2 4 10 2 2" xfId="33551" xr:uid="{00000000-0005-0000-0000-0000F18E0000}"/>
    <cellStyle name="Wrap 2 4 10 3" xfId="33552" xr:uid="{00000000-0005-0000-0000-0000F28E0000}"/>
    <cellStyle name="Wrap 2 4 10 3 2" xfId="33553" xr:uid="{00000000-0005-0000-0000-0000F38E0000}"/>
    <cellStyle name="Wrap 2 4 10 4" xfId="33554" xr:uid="{00000000-0005-0000-0000-0000F48E0000}"/>
    <cellStyle name="Wrap 2 4 10 4 2" xfId="33555" xr:uid="{00000000-0005-0000-0000-0000F58E0000}"/>
    <cellStyle name="Wrap 2 4 10 5" xfId="33556" xr:uid="{00000000-0005-0000-0000-0000F68E0000}"/>
    <cellStyle name="Wrap 2 4 10 5 2" xfId="33557" xr:uid="{00000000-0005-0000-0000-0000F78E0000}"/>
    <cellStyle name="Wrap 2 4 10 6" xfId="33558" xr:uid="{00000000-0005-0000-0000-0000F88E0000}"/>
    <cellStyle name="Wrap 2 4 10 6 2" xfId="33559" xr:uid="{00000000-0005-0000-0000-0000F98E0000}"/>
    <cellStyle name="Wrap 2 4 10 7" xfId="33560" xr:uid="{00000000-0005-0000-0000-0000FA8E0000}"/>
    <cellStyle name="Wrap 2 4 10 7 2" xfId="33561" xr:uid="{00000000-0005-0000-0000-0000FB8E0000}"/>
    <cellStyle name="Wrap 2 4 10 8" xfId="33562" xr:uid="{00000000-0005-0000-0000-0000FC8E0000}"/>
    <cellStyle name="Wrap 2 4 10 8 2" xfId="33563" xr:uid="{00000000-0005-0000-0000-0000FD8E0000}"/>
    <cellStyle name="Wrap 2 4 10 9" xfId="33564" xr:uid="{00000000-0005-0000-0000-0000FE8E0000}"/>
    <cellStyle name="Wrap 2 4 10 9 2" xfId="33565" xr:uid="{00000000-0005-0000-0000-0000FF8E0000}"/>
    <cellStyle name="Wrap 2 4 11" xfId="33566" xr:uid="{00000000-0005-0000-0000-0000008F0000}"/>
    <cellStyle name="Wrap 2 4 11 2" xfId="33567" xr:uid="{00000000-0005-0000-0000-0000018F0000}"/>
    <cellStyle name="Wrap 2 4 11 2 2" xfId="33568" xr:uid="{00000000-0005-0000-0000-0000028F0000}"/>
    <cellStyle name="Wrap 2 4 11 3" xfId="33569" xr:uid="{00000000-0005-0000-0000-0000038F0000}"/>
    <cellStyle name="Wrap 2 4 11 3 2" xfId="33570" xr:uid="{00000000-0005-0000-0000-0000048F0000}"/>
    <cellStyle name="Wrap 2 4 11 4" xfId="33571" xr:uid="{00000000-0005-0000-0000-0000058F0000}"/>
    <cellStyle name="Wrap 2 4 11 4 2" xfId="33572" xr:uid="{00000000-0005-0000-0000-0000068F0000}"/>
    <cellStyle name="Wrap 2 4 11 5" xfId="33573" xr:uid="{00000000-0005-0000-0000-0000078F0000}"/>
    <cellStyle name="Wrap 2 4 11 5 2" xfId="33574" xr:uid="{00000000-0005-0000-0000-0000088F0000}"/>
    <cellStyle name="Wrap 2 4 11 6" xfId="33575" xr:uid="{00000000-0005-0000-0000-0000098F0000}"/>
    <cellStyle name="Wrap 2 4 11 6 2" xfId="33576" xr:uid="{00000000-0005-0000-0000-00000A8F0000}"/>
    <cellStyle name="Wrap 2 4 11 7" xfId="33577" xr:uid="{00000000-0005-0000-0000-00000B8F0000}"/>
    <cellStyle name="Wrap 2 4 11 7 2" xfId="33578" xr:uid="{00000000-0005-0000-0000-00000C8F0000}"/>
    <cellStyle name="Wrap 2 4 11 8" xfId="33579" xr:uid="{00000000-0005-0000-0000-00000D8F0000}"/>
    <cellStyle name="Wrap 2 4 11 8 2" xfId="33580" xr:uid="{00000000-0005-0000-0000-00000E8F0000}"/>
    <cellStyle name="Wrap 2 4 11 9" xfId="33581" xr:uid="{00000000-0005-0000-0000-00000F8F0000}"/>
    <cellStyle name="Wrap 2 4 2" xfId="33582" xr:uid="{00000000-0005-0000-0000-0000108F0000}"/>
    <cellStyle name="Wrap 2 4 2 10" xfId="33583" xr:uid="{00000000-0005-0000-0000-0000118F0000}"/>
    <cellStyle name="Wrap 2 4 2 2" xfId="33584" xr:uid="{00000000-0005-0000-0000-0000128F0000}"/>
    <cellStyle name="Wrap 2 4 2 2 2" xfId="33585" xr:uid="{00000000-0005-0000-0000-0000138F0000}"/>
    <cellStyle name="Wrap 2 4 2 3" xfId="33586" xr:uid="{00000000-0005-0000-0000-0000148F0000}"/>
    <cellStyle name="Wrap 2 4 2 3 2" xfId="33587" xr:uid="{00000000-0005-0000-0000-0000158F0000}"/>
    <cellStyle name="Wrap 2 4 2 4" xfId="33588" xr:uid="{00000000-0005-0000-0000-0000168F0000}"/>
    <cellStyle name="Wrap 2 4 2 4 2" xfId="33589" xr:uid="{00000000-0005-0000-0000-0000178F0000}"/>
    <cellStyle name="Wrap 2 4 2 5" xfId="33590" xr:uid="{00000000-0005-0000-0000-0000188F0000}"/>
    <cellStyle name="Wrap 2 4 2 5 2" xfId="33591" xr:uid="{00000000-0005-0000-0000-0000198F0000}"/>
    <cellStyle name="Wrap 2 4 2 6" xfId="33592" xr:uid="{00000000-0005-0000-0000-00001A8F0000}"/>
    <cellStyle name="Wrap 2 4 2 6 2" xfId="33593" xr:uid="{00000000-0005-0000-0000-00001B8F0000}"/>
    <cellStyle name="Wrap 2 4 2 7" xfId="33594" xr:uid="{00000000-0005-0000-0000-00001C8F0000}"/>
    <cellStyle name="Wrap 2 4 2 7 2" xfId="33595" xr:uid="{00000000-0005-0000-0000-00001D8F0000}"/>
    <cellStyle name="Wrap 2 4 2 8" xfId="33596" xr:uid="{00000000-0005-0000-0000-00001E8F0000}"/>
    <cellStyle name="Wrap 2 4 2 8 2" xfId="33597" xr:uid="{00000000-0005-0000-0000-00001F8F0000}"/>
    <cellStyle name="Wrap 2 4 2 9" xfId="33598" xr:uid="{00000000-0005-0000-0000-0000208F0000}"/>
    <cellStyle name="Wrap 2 4 2 9 2" xfId="33599" xr:uid="{00000000-0005-0000-0000-0000218F0000}"/>
    <cellStyle name="Wrap 2 4 3" xfId="33600" xr:uid="{00000000-0005-0000-0000-0000228F0000}"/>
    <cellStyle name="Wrap 2 4 3 10" xfId="33601" xr:uid="{00000000-0005-0000-0000-0000238F0000}"/>
    <cellStyle name="Wrap 2 4 3 2" xfId="33602" xr:uid="{00000000-0005-0000-0000-0000248F0000}"/>
    <cellStyle name="Wrap 2 4 3 2 2" xfId="33603" xr:uid="{00000000-0005-0000-0000-0000258F0000}"/>
    <cellStyle name="Wrap 2 4 3 3" xfId="33604" xr:uid="{00000000-0005-0000-0000-0000268F0000}"/>
    <cellStyle name="Wrap 2 4 3 3 2" xfId="33605" xr:uid="{00000000-0005-0000-0000-0000278F0000}"/>
    <cellStyle name="Wrap 2 4 3 4" xfId="33606" xr:uid="{00000000-0005-0000-0000-0000288F0000}"/>
    <cellStyle name="Wrap 2 4 3 4 2" xfId="33607" xr:uid="{00000000-0005-0000-0000-0000298F0000}"/>
    <cellStyle name="Wrap 2 4 3 5" xfId="33608" xr:uid="{00000000-0005-0000-0000-00002A8F0000}"/>
    <cellStyle name="Wrap 2 4 3 5 2" xfId="33609" xr:uid="{00000000-0005-0000-0000-00002B8F0000}"/>
    <cellStyle name="Wrap 2 4 3 6" xfId="33610" xr:uid="{00000000-0005-0000-0000-00002C8F0000}"/>
    <cellStyle name="Wrap 2 4 3 6 2" xfId="33611" xr:uid="{00000000-0005-0000-0000-00002D8F0000}"/>
    <cellStyle name="Wrap 2 4 3 7" xfId="33612" xr:uid="{00000000-0005-0000-0000-00002E8F0000}"/>
    <cellStyle name="Wrap 2 4 3 7 2" xfId="33613" xr:uid="{00000000-0005-0000-0000-00002F8F0000}"/>
    <cellStyle name="Wrap 2 4 3 8" xfId="33614" xr:uid="{00000000-0005-0000-0000-0000308F0000}"/>
    <cellStyle name="Wrap 2 4 3 8 2" xfId="33615" xr:uid="{00000000-0005-0000-0000-0000318F0000}"/>
    <cellStyle name="Wrap 2 4 3 9" xfId="33616" xr:uid="{00000000-0005-0000-0000-0000328F0000}"/>
    <cellStyle name="Wrap 2 4 3 9 2" xfId="33617" xr:uid="{00000000-0005-0000-0000-0000338F0000}"/>
    <cellStyle name="Wrap 2 4 4" xfId="33618" xr:uid="{00000000-0005-0000-0000-0000348F0000}"/>
    <cellStyle name="Wrap 2 4 4 10" xfId="33619" xr:uid="{00000000-0005-0000-0000-0000358F0000}"/>
    <cellStyle name="Wrap 2 4 4 2" xfId="33620" xr:uid="{00000000-0005-0000-0000-0000368F0000}"/>
    <cellStyle name="Wrap 2 4 4 2 2" xfId="33621" xr:uid="{00000000-0005-0000-0000-0000378F0000}"/>
    <cellStyle name="Wrap 2 4 4 3" xfId="33622" xr:uid="{00000000-0005-0000-0000-0000388F0000}"/>
    <cellStyle name="Wrap 2 4 4 3 2" xfId="33623" xr:uid="{00000000-0005-0000-0000-0000398F0000}"/>
    <cellStyle name="Wrap 2 4 4 4" xfId="33624" xr:uid="{00000000-0005-0000-0000-00003A8F0000}"/>
    <cellStyle name="Wrap 2 4 4 4 2" xfId="33625" xr:uid="{00000000-0005-0000-0000-00003B8F0000}"/>
    <cellStyle name="Wrap 2 4 4 5" xfId="33626" xr:uid="{00000000-0005-0000-0000-00003C8F0000}"/>
    <cellStyle name="Wrap 2 4 4 5 2" xfId="33627" xr:uid="{00000000-0005-0000-0000-00003D8F0000}"/>
    <cellStyle name="Wrap 2 4 4 6" xfId="33628" xr:uid="{00000000-0005-0000-0000-00003E8F0000}"/>
    <cellStyle name="Wrap 2 4 4 6 2" xfId="33629" xr:uid="{00000000-0005-0000-0000-00003F8F0000}"/>
    <cellStyle name="Wrap 2 4 4 7" xfId="33630" xr:uid="{00000000-0005-0000-0000-0000408F0000}"/>
    <cellStyle name="Wrap 2 4 4 7 2" xfId="33631" xr:uid="{00000000-0005-0000-0000-0000418F0000}"/>
    <cellStyle name="Wrap 2 4 4 8" xfId="33632" xr:uid="{00000000-0005-0000-0000-0000428F0000}"/>
    <cellStyle name="Wrap 2 4 4 8 2" xfId="33633" xr:uid="{00000000-0005-0000-0000-0000438F0000}"/>
    <cellStyle name="Wrap 2 4 4 9" xfId="33634" xr:uid="{00000000-0005-0000-0000-0000448F0000}"/>
    <cellStyle name="Wrap 2 4 4 9 2" xfId="33635" xr:uid="{00000000-0005-0000-0000-0000458F0000}"/>
    <cellStyle name="Wrap 2 4 5" xfId="33636" xr:uid="{00000000-0005-0000-0000-0000468F0000}"/>
    <cellStyle name="Wrap 2 4 5 10" xfId="33637" xr:uid="{00000000-0005-0000-0000-0000478F0000}"/>
    <cellStyle name="Wrap 2 4 5 2" xfId="33638" xr:uid="{00000000-0005-0000-0000-0000488F0000}"/>
    <cellStyle name="Wrap 2 4 5 2 2" xfId="33639" xr:uid="{00000000-0005-0000-0000-0000498F0000}"/>
    <cellStyle name="Wrap 2 4 5 3" xfId="33640" xr:uid="{00000000-0005-0000-0000-00004A8F0000}"/>
    <cellStyle name="Wrap 2 4 5 3 2" xfId="33641" xr:uid="{00000000-0005-0000-0000-00004B8F0000}"/>
    <cellStyle name="Wrap 2 4 5 4" xfId="33642" xr:uid="{00000000-0005-0000-0000-00004C8F0000}"/>
    <cellStyle name="Wrap 2 4 5 4 2" xfId="33643" xr:uid="{00000000-0005-0000-0000-00004D8F0000}"/>
    <cellStyle name="Wrap 2 4 5 5" xfId="33644" xr:uid="{00000000-0005-0000-0000-00004E8F0000}"/>
    <cellStyle name="Wrap 2 4 5 5 2" xfId="33645" xr:uid="{00000000-0005-0000-0000-00004F8F0000}"/>
    <cellStyle name="Wrap 2 4 5 6" xfId="33646" xr:uid="{00000000-0005-0000-0000-0000508F0000}"/>
    <cellStyle name="Wrap 2 4 5 6 2" xfId="33647" xr:uid="{00000000-0005-0000-0000-0000518F0000}"/>
    <cellStyle name="Wrap 2 4 5 7" xfId="33648" xr:uid="{00000000-0005-0000-0000-0000528F0000}"/>
    <cellStyle name="Wrap 2 4 5 7 2" xfId="33649" xr:uid="{00000000-0005-0000-0000-0000538F0000}"/>
    <cellStyle name="Wrap 2 4 5 8" xfId="33650" xr:uid="{00000000-0005-0000-0000-0000548F0000}"/>
    <cellStyle name="Wrap 2 4 5 8 2" xfId="33651" xr:uid="{00000000-0005-0000-0000-0000558F0000}"/>
    <cellStyle name="Wrap 2 4 5 9" xfId="33652" xr:uid="{00000000-0005-0000-0000-0000568F0000}"/>
    <cellStyle name="Wrap 2 4 5 9 2" xfId="33653" xr:uid="{00000000-0005-0000-0000-0000578F0000}"/>
    <cellStyle name="Wrap 2 4 6" xfId="33654" xr:uid="{00000000-0005-0000-0000-0000588F0000}"/>
    <cellStyle name="Wrap 2 4 6 10" xfId="33655" xr:uid="{00000000-0005-0000-0000-0000598F0000}"/>
    <cellStyle name="Wrap 2 4 6 2" xfId="33656" xr:uid="{00000000-0005-0000-0000-00005A8F0000}"/>
    <cellStyle name="Wrap 2 4 6 2 2" xfId="33657" xr:uid="{00000000-0005-0000-0000-00005B8F0000}"/>
    <cellStyle name="Wrap 2 4 6 3" xfId="33658" xr:uid="{00000000-0005-0000-0000-00005C8F0000}"/>
    <cellStyle name="Wrap 2 4 6 3 2" xfId="33659" xr:uid="{00000000-0005-0000-0000-00005D8F0000}"/>
    <cellStyle name="Wrap 2 4 6 4" xfId="33660" xr:uid="{00000000-0005-0000-0000-00005E8F0000}"/>
    <cellStyle name="Wrap 2 4 6 4 2" xfId="33661" xr:uid="{00000000-0005-0000-0000-00005F8F0000}"/>
    <cellStyle name="Wrap 2 4 6 5" xfId="33662" xr:uid="{00000000-0005-0000-0000-0000608F0000}"/>
    <cellStyle name="Wrap 2 4 6 5 2" xfId="33663" xr:uid="{00000000-0005-0000-0000-0000618F0000}"/>
    <cellStyle name="Wrap 2 4 6 6" xfId="33664" xr:uid="{00000000-0005-0000-0000-0000628F0000}"/>
    <cellStyle name="Wrap 2 4 6 6 2" xfId="33665" xr:uid="{00000000-0005-0000-0000-0000638F0000}"/>
    <cellStyle name="Wrap 2 4 6 7" xfId="33666" xr:uid="{00000000-0005-0000-0000-0000648F0000}"/>
    <cellStyle name="Wrap 2 4 6 7 2" xfId="33667" xr:uid="{00000000-0005-0000-0000-0000658F0000}"/>
    <cellStyle name="Wrap 2 4 6 8" xfId="33668" xr:uid="{00000000-0005-0000-0000-0000668F0000}"/>
    <cellStyle name="Wrap 2 4 6 8 2" xfId="33669" xr:uid="{00000000-0005-0000-0000-0000678F0000}"/>
    <cellStyle name="Wrap 2 4 6 9" xfId="33670" xr:uid="{00000000-0005-0000-0000-0000688F0000}"/>
    <cellStyle name="Wrap 2 4 6 9 2" xfId="33671" xr:uid="{00000000-0005-0000-0000-0000698F0000}"/>
    <cellStyle name="Wrap 2 4 7" xfId="33672" xr:uid="{00000000-0005-0000-0000-00006A8F0000}"/>
    <cellStyle name="Wrap 2 4 7 10" xfId="33673" xr:uid="{00000000-0005-0000-0000-00006B8F0000}"/>
    <cellStyle name="Wrap 2 4 7 2" xfId="33674" xr:uid="{00000000-0005-0000-0000-00006C8F0000}"/>
    <cellStyle name="Wrap 2 4 7 2 2" xfId="33675" xr:uid="{00000000-0005-0000-0000-00006D8F0000}"/>
    <cellStyle name="Wrap 2 4 7 3" xfId="33676" xr:uid="{00000000-0005-0000-0000-00006E8F0000}"/>
    <cellStyle name="Wrap 2 4 7 3 2" xfId="33677" xr:uid="{00000000-0005-0000-0000-00006F8F0000}"/>
    <cellStyle name="Wrap 2 4 7 4" xfId="33678" xr:uid="{00000000-0005-0000-0000-0000708F0000}"/>
    <cellStyle name="Wrap 2 4 7 4 2" xfId="33679" xr:uid="{00000000-0005-0000-0000-0000718F0000}"/>
    <cellStyle name="Wrap 2 4 7 5" xfId="33680" xr:uid="{00000000-0005-0000-0000-0000728F0000}"/>
    <cellStyle name="Wrap 2 4 7 5 2" xfId="33681" xr:uid="{00000000-0005-0000-0000-0000738F0000}"/>
    <cellStyle name="Wrap 2 4 7 6" xfId="33682" xr:uid="{00000000-0005-0000-0000-0000748F0000}"/>
    <cellStyle name="Wrap 2 4 7 6 2" xfId="33683" xr:uid="{00000000-0005-0000-0000-0000758F0000}"/>
    <cellStyle name="Wrap 2 4 7 7" xfId="33684" xr:uid="{00000000-0005-0000-0000-0000768F0000}"/>
    <cellStyle name="Wrap 2 4 7 7 2" xfId="33685" xr:uid="{00000000-0005-0000-0000-0000778F0000}"/>
    <cellStyle name="Wrap 2 4 7 8" xfId="33686" xr:uid="{00000000-0005-0000-0000-0000788F0000}"/>
    <cellStyle name="Wrap 2 4 7 8 2" xfId="33687" xr:uid="{00000000-0005-0000-0000-0000798F0000}"/>
    <cellStyle name="Wrap 2 4 7 9" xfId="33688" xr:uid="{00000000-0005-0000-0000-00007A8F0000}"/>
    <cellStyle name="Wrap 2 4 7 9 2" xfId="33689" xr:uid="{00000000-0005-0000-0000-00007B8F0000}"/>
    <cellStyle name="Wrap 2 4 8" xfId="33690" xr:uid="{00000000-0005-0000-0000-00007C8F0000}"/>
    <cellStyle name="Wrap 2 4 8 10" xfId="33691" xr:uid="{00000000-0005-0000-0000-00007D8F0000}"/>
    <cellStyle name="Wrap 2 4 8 2" xfId="33692" xr:uid="{00000000-0005-0000-0000-00007E8F0000}"/>
    <cellStyle name="Wrap 2 4 8 2 2" xfId="33693" xr:uid="{00000000-0005-0000-0000-00007F8F0000}"/>
    <cellStyle name="Wrap 2 4 8 3" xfId="33694" xr:uid="{00000000-0005-0000-0000-0000808F0000}"/>
    <cellStyle name="Wrap 2 4 8 3 2" xfId="33695" xr:uid="{00000000-0005-0000-0000-0000818F0000}"/>
    <cellStyle name="Wrap 2 4 8 4" xfId="33696" xr:uid="{00000000-0005-0000-0000-0000828F0000}"/>
    <cellStyle name="Wrap 2 4 8 4 2" xfId="33697" xr:uid="{00000000-0005-0000-0000-0000838F0000}"/>
    <cellStyle name="Wrap 2 4 8 5" xfId="33698" xr:uid="{00000000-0005-0000-0000-0000848F0000}"/>
    <cellStyle name="Wrap 2 4 8 5 2" xfId="33699" xr:uid="{00000000-0005-0000-0000-0000858F0000}"/>
    <cellStyle name="Wrap 2 4 8 6" xfId="33700" xr:uid="{00000000-0005-0000-0000-0000868F0000}"/>
    <cellStyle name="Wrap 2 4 8 6 2" xfId="33701" xr:uid="{00000000-0005-0000-0000-0000878F0000}"/>
    <cellStyle name="Wrap 2 4 8 7" xfId="33702" xr:uid="{00000000-0005-0000-0000-0000888F0000}"/>
    <cellStyle name="Wrap 2 4 8 7 2" xfId="33703" xr:uid="{00000000-0005-0000-0000-0000898F0000}"/>
    <cellStyle name="Wrap 2 4 8 8" xfId="33704" xr:uid="{00000000-0005-0000-0000-00008A8F0000}"/>
    <cellStyle name="Wrap 2 4 8 8 2" xfId="33705" xr:uid="{00000000-0005-0000-0000-00008B8F0000}"/>
    <cellStyle name="Wrap 2 4 8 9" xfId="33706" xr:uid="{00000000-0005-0000-0000-00008C8F0000}"/>
    <cellStyle name="Wrap 2 4 8 9 2" xfId="33707" xr:uid="{00000000-0005-0000-0000-00008D8F0000}"/>
    <cellStyle name="Wrap 2 4 9" xfId="33708" xr:uid="{00000000-0005-0000-0000-00008E8F0000}"/>
    <cellStyle name="Wrap 2 4 9 10" xfId="33709" xr:uid="{00000000-0005-0000-0000-00008F8F0000}"/>
    <cellStyle name="Wrap 2 4 9 2" xfId="33710" xr:uid="{00000000-0005-0000-0000-0000908F0000}"/>
    <cellStyle name="Wrap 2 4 9 2 2" xfId="33711" xr:uid="{00000000-0005-0000-0000-0000918F0000}"/>
    <cellStyle name="Wrap 2 4 9 3" xfId="33712" xr:uid="{00000000-0005-0000-0000-0000928F0000}"/>
    <cellStyle name="Wrap 2 4 9 3 2" xfId="33713" xr:uid="{00000000-0005-0000-0000-0000938F0000}"/>
    <cellStyle name="Wrap 2 4 9 4" xfId="33714" xr:uid="{00000000-0005-0000-0000-0000948F0000}"/>
    <cellStyle name="Wrap 2 4 9 4 2" xfId="33715" xr:uid="{00000000-0005-0000-0000-0000958F0000}"/>
    <cellStyle name="Wrap 2 4 9 5" xfId="33716" xr:uid="{00000000-0005-0000-0000-0000968F0000}"/>
    <cellStyle name="Wrap 2 4 9 5 2" xfId="33717" xr:uid="{00000000-0005-0000-0000-0000978F0000}"/>
    <cellStyle name="Wrap 2 4 9 6" xfId="33718" xr:uid="{00000000-0005-0000-0000-0000988F0000}"/>
    <cellStyle name="Wrap 2 4 9 6 2" xfId="33719" xr:uid="{00000000-0005-0000-0000-0000998F0000}"/>
    <cellStyle name="Wrap 2 4 9 7" xfId="33720" xr:uid="{00000000-0005-0000-0000-00009A8F0000}"/>
    <cellStyle name="Wrap 2 4 9 7 2" xfId="33721" xr:uid="{00000000-0005-0000-0000-00009B8F0000}"/>
    <cellStyle name="Wrap 2 4 9 8" xfId="33722" xr:uid="{00000000-0005-0000-0000-00009C8F0000}"/>
    <cellStyle name="Wrap 2 4 9 8 2" xfId="33723" xr:uid="{00000000-0005-0000-0000-00009D8F0000}"/>
    <cellStyle name="Wrap 2 4 9 9" xfId="33724" xr:uid="{00000000-0005-0000-0000-00009E8F0000}"/>
    <cellStyle name="Wrap 2 4 9 9 2" xfId="33725" xr:uid="{00000000-0005-0000-0000-00009F8F0000}"/>
    <cellStyle name="Wrap 2 5" xfId="33726" xr:uid="{00000000-0005-0000-0000-0000A08F0000}"/>
    <cellStyle name="Wrap 2 5 10" xfId="33727" xr:uid="{00000000-0005-0000-0000-0000A18F0000}"/>
    <cellStyle name="Wrap 2 5 10 10" xfId="33728" xr:uid="{00000000-0005-0000-0000-0000A28F0000}"/>
    <cellStyle name="Wrap 2 5 10 2" xfId="33729" xr:uid="{00000000-0005-0000-0000-0000A38F0000}"/>
    <cellStyle name="Wrap 2 5 10 2 2" xfId="33730" xr:uid="{00000000-0005-0000-0000-0000A48F0000}"/>
    <cellStyle name="Wrap 2 5 10 3" xfId="33731" xr:uid="{00000000-0005-0000-0000-0000A58F0000}"/>
    <cellStyle name="Wrap 2 5 10 3 2" xfId="33732" xr:uid="{00000000-0005-0000-0000-0000A68F0000}"/>
    <cellStyle name="Wrap 2 5 10 4" xfId="33733" xr:uid="{00000000-0005-0000-0000-0000A78F0000}"/>
    <cellStyle name="Wrap 2 5 10 4 2" xfId="33734" xr:uid="{00000000-0005-0000-0000-0000A88F0000}"/>
    <cellStyle name="Wrap 2 5 10 5" xfId="33735" xr:uid="{00000000-0005-0000-0000-0000A98F0000}"/>
    <cellStyle name="Wrap 2 5 10 5 2" xfId="33736" xr:uid="{00000000-0005-0000-0000-0000AA8F0000}"/>
    <cellStyle name="Wrap 2 5 10 6" xfId="33737" xr:uid="{00000000-0005-0000-0000-0000AB8F0000}"/>
    <cellStyle name="Wrap 2 5 10 6 2" xfId="33738" xr:uid="{00000000-0005-0000-0000-0000AC8F0000}"/>
    <cellStyle name="Wrap 2 5 10 7" xfId="33739" xr:uid="{00000000-0005-0000-0000-0000AD8F0000}"/>
    <cellStyle name="Wrap 2 5 10 7 2" xfId="33740" xr:uid="{00000000-0005-0000-0000-0000AE8F0000}"/>
    <cellStyle name="Wrap 2 5 10 8" xfId="33741" xr:uid="{00000000-0005-0000-0000-0000AF8F0000}"/>
    <cellStyle name="Wrap 2 5 10 8 2" xfId="33742" xr:uid="{00000000-0005-0000-0000-0000B08F0000}"/>
    <cellStyle name="Wrap 2 5 10 9" xfId="33743" xr:uid="{00000000-0005-0000-0000-0000B18F0000}"/>
    <cellStyle name="Wrap 2 5 10 9 2" xfId="33744" xr:uid="{00000000-0005-0000-0000-0000B28F0000}"/>
    <cellStyle name="Wrap 2 5 11" xfId="33745" xr:uid="{00000000-0005-0000-0000-0000B38F0000}"/>
    <cellStyle name="Wrap 2 5 11 2" xfId="33746" xr:uid="{00000000-0005-0000-0000-0000B48F0000}"/>
    <cellStyle name="Wrap 2 5 11 2 2" xfId="33747" xr:uid="{00000000-0005-0000-0000-0000B58F0000}"/>
    <cellStyle name="Wrap 2 5 11 3" xfId="33748" xr:uid="{00000000-0005-0000-0000-0000B68F0000}"/>
    <cellStyle name="Wrap 2 5 11 3 2" xfId="33749" xr:uid="{00000000-0005-0000-0000-0000B78F0000}"/>
    <cellStyle name="Wrap 2 5 11 4" xfId="33750" xr:uid="{00000000-0005-0000-0000-0000B88F0000}"/>
    <cellStyle name="Wrap 2 5 11 4 2" xfId="33751" xr:uid="{00000000-0005-0000-0000-0000B98F0000}"/>
    <cellStyle name="Wrap 2 5 11 5" xfId="33752" xr:uid="{00000000-0005-0000-0000-0000BA8F0000}"/>
    <cellStyle name="Wrap 2 5 11 5 2" xfId="33753" xr:uid="{00000000-0005-0000-0000-0000BB8F0000}"/>
    <cellStyle name="Wrap 2 5 11 6" xfId="33754" xr:uid="{00000000-0005-0000-0000-0000BC8F0000}"/>
    <cellStyle name="Wrap 2 5 11 6 2" xfId="33755" xr:uid="{00000000-0005-0000-0000-0000BD8F0000}"/>
    <cellStyle name="Wrap 2 5 11 7" xfId="33756" xr:uid="{00000000-0005-0000-0000-0000BE8F0000}"/>
    <cellStyle name="Wrap 2 5 11 7 2" xfId="33757" xr:uid="{00000000-0005-0000-0000-0000BF8F0000}"/>
    <cellStyle name="Wrap 2 5 11 8" xfId="33758" xr:uid="{00000000-0005-0000-0000-0000C08F0000}"/>
    <cellStyle name="Wrap 2 5 11 8 2" xfId="33759" xr:uid="{00000000-0005-0000-0000-0000C18F0000}"/>
    <cellStyle name="Wrap 2 5 11 9" xfId="33760" xr:uid="{00000000-0005-0000-0000-0000C28F0000}"/>
    <cellStyle name="Wrap 2 5 2" xfId="33761" xr:uid="{00000000-0005-0000-0000-0000C38F0000}"/>
    <cellStyle name="Wrap 2 5 2 10" xfId="33762" xr:uid="{00000000-0005-0000-0000-0000C48F0000}"/>
    <cellStyle name="Wrap 2 5 2 2" xfId="33763" xr:uid="{00000000-0005-0000-0000-0000C58F0000}"/>
    <cellStyle name="Wrap 2 5 2 2 2" xfId="33764" xr:uid="{00000000-0005-0000-0000-0000C68F0000}"/>
    <cellStyle name="Wrap 2 5 2 3" xfId="33765" xr:uid="{00000000-0005-0000-0000-0000C78F0000}"/>
    <cellStyle name="Wrap 2 5 2 3 2" xfId="33766" xr:uid="{00000000-0005-0000-0000-0000C88F0000}"/>
    <cellStyle name="Wrap 2 5 2 4" xfId="33767" xr:uid="{00000000-0005-0000-0000-0000C98F0000}"/>
    <cellStyle name="Wrap 2 5 2 4 2" xfId="33768" xr:uid="{00000000-0005-0000-0000-0000CA8F0000}"/>
    <cellStyle name="Wrap 2 5 2 5" xfId="33769" xr:uid="{00000000-0005-0000-0000-0000CB8F0000}"/>
    <cellStyle name="Wrap 2 5 2 5 2" xfId="33770" xr:uid="{00000000-0005-0000-0000-0000CC8F0000}"/>
    <cellStyle name="Wrap 2 5 2 6" xfId="33771" xr:uid="{00000000-0005-0000-0000-0000CD8F0000}"/>
    <cellStyle name="Wrap 2 5 2 6 2" xfId="33772" xr:uid="{00000000-0005-0000-0000-0000CE8F0000}"/>
    <cellStyle name="Wrap 2 5 2 7" xfId="33773" xr:uid="{00000000-0005-0000-0000-0000CF8F0000}"/>
    <cellStyle name="Wrap 2 5 2 7 2" xfId="33774" xr:uid="{00000000-0005-0000-0000-0000D08F0000}"/>
    <cellStyle name="Wrap 2 5 2 8" xfId="33775" xr:uid="{00000000-0005-0000-0000-0000D18F0000}"/>
    <cellStyle name="Wrap 2 5 2 8 2" xfId="33776" xr:uid="{00000000-0005-0000-0000-0000D28F0000}"/>
    <cellStyle name="Wrap 2 5 2 9" xfId="33777" xr:uid="{00000000-0005-0000-0000-0000D38F0000}"/>
    <cellStyle name="Wrap 2 5 2 9 2" xfId="33778" xr:uid="{00000000-0005-0000-0000-0000D48F0000}"/>
    <cellStyle name="Wrap 2 5 3" xfId="33779" xr:uid="{00000000-0005-0000-0000-0000D58F0000}"/>
    <cellStyle name="Wrap 2 5 3 10" xfId="33780" xr:uid="{00000000-0005-0000-0000-0000D68F0000}"/>
    <cellStyle name="Wrap 2 5 3 2" xfId="33781" xr:uid="{00000000-0005-0000-0000-0000D78F0000}"/>
    <cellStyle name="Wrap 2 5 3 2 2" xfId="33782" xr:uid="{00000000-0005-0000-0000-0000D88F0000}"/>
    <cellStyle name="Wrap 2 5 3 3" xfId="33783" xr:uid="{00000000-0005-0000-0000-0000D98F0000}"/>
    <cellStyle name="Wrap 2 5 3 3 2" xfId="33784" xr:uid="{00000000-0005-0000-0000-0000DA8F0000}"/>
    <cellStyle name="Wrap 2 5 3 4" xfId="33785" xr:uid="{00000000-0005-0000-0000-0000DB8F0000}"/>
    <cellStyle name="Wrap 2 5 3 4 2" xfId="33786" xr:uid="{00000000-0005-0000-0000-0000DC8F0000}"/>
    <cellStyle name="Wrap 2 5 3 5" xfId="33787" xr:uid="{00000000-0005-0000-0000-0000DD8F0000}"/>
    <cellStyle name="Wrap 2 5 3 5 2" xfId="33788" xr:uid="{00000000-0005-0000-0000-0000DE8F0000}"/>
    <cellStyle name="Wrap 2 5 3 6" xfId="33789" xr:uid="{00000000-0005-0000-0000-0000DF8F0000}"/>
    <cellStyle name="Wrap 2 5 3 6 2" xfId="33790" xr:uid="{00000000-0005-0000-0000-0000E08F0000}"/>
    <cellStyle name="Wrap 2 5 3 7" xfId="33791" xr:uid="{00000000-0005-0000-0000-0000E18F0000}"/>
    <cellStyle name="Wrap 2 5 3 7 2" xfId="33792" xr:uid="{00000000-0005-0000-0000-0000E28F0000}"/>
    <cellStyle name="Wrap 2 5 3 8" xfId="33793" xr:uid="{00000000-0005-0000-0000-0000E38F0000}"/>
    <cellStyle name="Wrap 2 5 3 8 2" xfId="33794" xr:uid="{00000000-0005-0000-0000-0000E48F0000}"/>
    <cellStyle name="Wrap 2 5 3 9" xfId="33795" xr:uid="{00000000-0005-0000-0000-0000E58F0000}"/>
    <cellStyle name="Wrap 2 5 3 9 2" xfId="33796" xr:uid="{00000000-0005-0000-0000-0000E68F0000}"/>
    <cellStyle name="Wrap 2 5 4" xfId="33797" xr:uid="{00000000-0005-0000-0000-0000E78F0000}"/>
    <cellStyle name="Wrap 2 5 4 10" xfId="33798" xr:uid="{00000000-0005-0000-0000-0000E88F0000}"/>
    <cellStyle name="Wrap 2 5 4 2" xfId="33799" xr:uid="{00000000-0005-0000-0000-0000E98F0000}"/>
    <cellStyle name="Wrap 2 5 4 2 2" xfId="33800" xr:uid="{00000000-0005-0000-0000-0000EA8F0000}"/>
    <cellStyle name="Wrap 2 5 4 3" xfId="33801" xr:uid="{00000000-0005-0000-0000-0000EB8F0000}"/>
    <cellStyle name="Wrap 2 5 4 3 2" xfId="33802" xr:uid="{00000000-0005-0000-0000-0000EC8F0000}"/>
    <cellStyle name="Wrap 2 5 4 4" xfId="33803" xr:uid="{00000000-0005-0000-0000-0000ED8F0000}"/>
    <cellStyle name="Wrap 2 5 4 4 2" xfId="33804" xr:uid="{00000000-0005-0000-0000-0000EE8F0000}"/>
    <cellStyle name="Wrap 2 5 4 5" xfId="33805" xr:uid="{00000000-0005-0000-0000-0000EF8F0000}"/>
    <cellStyle name="Wrap 2 5 4 5 2" xfId="33806" xr:uid="{00000000-0005-0000-0000-0000F08F0000}"/>
    <cellStyle name="Wrap 2 5 4 6" xfId="33807" xr:uid="{00000000-0005-0000-0000-0000F18F0000}"/>
    <cellStyle name="Wrap 2 5 4 6 2" xfId="33808" xr:uid="{00000000-0005-0000-0000-0000F28F0000}"/>
    <cellStyle name="Wrap 2 5 4 7" xfId="33809" xr:uid="{00000000-0005-0000-0000-0000F38F0000}"/>
    <cellStyle name="Wrap 2 5 4 7 2" xfId="33810" xr:uid="{00000000-0005-0000-0000-0000F48F0000}"/>
    <cellStyle name="Wrap 2 5 4 8" xfId="33811" xr:uid="{00000000-0005-0000-0000-0000F58F0000}"/>
    <cellStyle name="Wrap 2 5 4 8 2" xfId="33812" xr:uid="{00000000-0005-0000-0000-0000F68F0000}"/>
    <cellStyle name="Wrap 2 5 4 9" xfId="33813" xr:uid="{00000000-0005-0000-0000-0000F78F0000}"/>
    <cellStyle name="Wrap 2 5 4 9 2" xfId="33814" xr:uid="{00000000-0005-0000-0000-0000F88F0000}"/>
    <cellStyle name="Wrap 2 5 5" xfId="33815" xr:uid="{00000000-0005-0000-0000-0000F98F0000}"/>
    <cellStyle name="Wrap 2 5 5 10" xfId="33816" xr:uid="{00000000-0005-0000-0000-0000FA8F0000}"/>
    <cellStyle name="Wrap 2 5 5 2" xfId="33817" xr:uid="{00000000-0005-0000-0000-0000FB8F0000}"/>
    <cellStyle name="Wrap 2 5 5 2 2" xfId="33818" xr:uid="{00000000-0005-0000-0000-0000FC8F0000}"/>
    <cellStyle name="Wrap 2 5 5 3" xfId="33819" xr:uid="{00000000-0005-0000-0000-0000FD8F0000}"/>
    <cellStyle name="Wrap 2 5 5 3 2" xfId="33820" xr:uid="{00000000-0005-0000-0000-0000FE8F0000}"/>
    <cellStyle name="Wrap 2 5 5 4" xfId="33821" xr:uid="{00000000-0005-0000-0000-0000FF8F0000}"/>
    <cellStyle name="Wrap 2 5 5 4 2" xfId="33822" xr:uid="{00000000-0005-0000-0000-000000900000}"/>
    <cellStyle name="Wrap 2 5 5 5" xfId="33823" xr:uid="{00000000-0005-0000-0000-000001900000}"/>
    <cellStyle name="Wrap 2 5 5 5 2" xfId="33824" xr:uid="{00000000-0005-0000-0000-000002900000}"/>
    <cellStyle name="Wrap 2 5 5 6" xfId="33825" xr:uid="{00000000-0005-0000-0000-000003900000}"/>
    <cellStyle name="Wrap 2 5 5 6 2" xfId="33826" xr:uid="{00000000-0005-0000-0000-000004900000}"/>
    <cellStyle name="Wrap 2 5 5 7" xfId="33827" xr:uid="{00000000-0005-0000-0000-000005900000}"/>
    <cellStyle name="Wrap 2 5 5 7 2" xfId="33828" xr:uid="{00000000-0005-0000-0000-000006900000}"/>
    <cellStyle name="Wrap 2 5 5 8" xfId="33829" xr:uid="{00000000-0005-0000-0000-000007900000}"/>
    <cellStyle name="Wrap 2 5 5 8 2" xfId="33830" xr:uid="{00000000-0005-0000-0000-000008900000}"/>
    <cellStyle name="Wrap 2 5 5 9" xfId="33831" xr:uid="{00000000-0005-0000-0000-000009900000}"/>
    <cellStyle name="Wrap 2 5 5 9 2" xfId="33832" xr:uid="{00000000-0005-0000-0000-00000A900000}"/>
    <cellStyle name="Wrap 2 5 6" xfId="33833" xr:uid="{00000000-0005-0000-0000-00000B900000}"/>
    <cellStyle name="Wrap 2 5 6 10" xfId="33834" xr:uid="{00000000-0005-0000-0000-00000C900000}"/>
    <cellStyle name="Wrap 2 5 6 2" xfId="33835" xr:uid="{00000000-0005-0000-0000-00000D900000}"/>
    <cellStyle name="Wrap 2 5 6 2 2" xfId="33836" xr:uid="{00000000-0005-0000-0000-00000E900000}"/>
    <cellStyle name="Wrap 2 5 6 3" xfId="33837" xr:uid="{00000000-0005-0000-0000-00000F900000}"/>
    <cellStyle name="Wrap 2 5 6 3 2" xfId="33838" xr:uid="{00000000-0005-0000-0000-000010900000}"/>
    <cellStyle name="Wrap 2 5 6 4" xfId="33839" xr:uid="{00000000-0005-0000-0000-000011900000}"/>
    <cellStyle name="Wrap 2 5 6 4 2" xfId="33840" xr:uid="{00000000-0005-0000-0000-000012900000}"/>
    <cellStyle name="Wrap 2 5 6 5" xfId="33841" xr:uid="{00000000-0005-0000-0000-000013900000}"/>
    <cellStyle name="Wrap 2 5 6 5 2" xfId="33842" xr:uid="{00000000-0005-0000-0000-000014900000}"/>
    <cellStyle name="Wrap 2 5 6 6" xfId="33843" xr:uid="{00000000-0005-0000-0000-000015900000}"/>
    <cellStyle name="Wrap 2 5 6 6 2" xfId="33844" xr:uid="{00000000-0005-0000-0000-000016900000}"/>
    <cellStyle name="Wrap 2 5 6 7" xfId="33845" xr:uid="{00000000-0005-0000-0000-000017900000}"/>
    <cellStyle name="Wrap 2 5 6 7 2" xfId="33846" xr:uid="{00000000-0005-0000-0000-000018900000}"/>
    <cellStyle name="Wrap 2 5 6 8" xfId="33847" xr:uid="{00000000-0005-0000-0000-000019900000}"/>
    <cellStyle name="Wrap 2 5 6 8 2" xfId="33848" xr:uid="{00000000-0005-0000-0000-00001A900000}"/>
    <cellStyle name="Wrap 2 5 6 9" xfId="33849" xr:uid="{00000000-0005-0000-0000-00001B900000}"/>
    <cellStyle name="Wrap 2 5 6 9 2" xfId="33850" xr:uid="{00000000-0005-0000-0000-00001C900000}"/>
    <cellStyle name="Wrap 2 5 7" xfId="33851" xr:uid="{00000000-0005-0000-0000-00001D900000}"/>
    <cellStyle name="Wrap 2 5 7 10" xfId="33852" xr:uid="{00000000-0005-0000-0000-00001E900000}"/>
    <cellStyle name="Wrap 2 5 7 2" xfId="33853" xr:uid="{00000000-0005-0000-0000-00001F900000}"/>
    <cellStyle name="Wrap 2 5 7 2 2" xfId="33854" xr:uid="{00000000-0005-0000-0000-000020900000}"/>
    <cellStyle name="Wrap 2 5 7 3" xfId="33855" xr:uid="{00000000-0005-0000-0000-000021900000}"/>
    <cellStyle name="Wrap 2 5 7 3 2" xfId="33856" xr:uid="{00000000-0005-0000-0000-000022900000}"/>
    <cellStyle name="Wrap 2 5 7 4" xfId="33857" xr:uid="{00000000-0005-0000-0000-000023900000}"/>
    <cellStyle name="Wrap 2 5 7 4 2" xfId="33858" xr:uid="{00000000-0005-0000-0000-000024900000}"/>
    <cellStyle name="Wrap 2 5 7 5" xfId="33859" xr:uid="{00000000-0005-0000-0000-000025900000}"/>
    <cellStyle name="Wrap 2 5 7 5 2" xfId="33860" xr:uid="{00000000-0005-0000-0000-000026900000}"/>
    <cellStyle name="Wrap 2 5 7 6" xfId="33861" xr:uid="{00000000-0005-0000-0000-000027900000}"/>
    <cellStyle name="Wrap 2 5 7 6 2" xfId="33862" xr:uid="{00000000-0005-0000-0000-000028900000}"/>
    <cellStyle name="Wrap 2 5 7 7" xfId="33863" xr:uid="{00000000-0005-0000-0000-000029900000}"/>
    <cellStyle name="Wrap 2 5 7 7 2" xfId="33864" xr:uid="{00000000-0005-0000-0000-00002A900000}"/>
    <cellStyle name="Wrap 2 5 7 8" xfId="33865" xr:uid="{00000000-0005-0000-0000-00002B900000}"/>
    <cellStyle name="Wrap 2 5 7 8 2" xfId="33866" xr:uid="{00000000-0005-0000-0000-00002C900000}"/>
    <cellStyle name="Wrap 2 5 7 9" xfId="33867" xr:uid="{00000000-0005-0000-0000-00002D900000}"/>
    <cellStyle name="Wrap 2 5 7 9 2" xfId="33868" xr:uid="{00000000-0005-0000-0000-00002E900000}"/>
    <cellStyle name="Wrap 2 5 8" xfId="33869" xr:uid="{00000000-0005-0000-0000-00002F900000}"/>
    <cellStyle name="Wrap 2 5 8 10" xfId="33870" xr:uid="{00000000-0005-0000-0000-000030900000}"/>
    <cellStyle name="Wrap 2 5 8 2" xfId="33871" xr:uid="{00000000-0005-0000-0000-000031900000}"/>
    <cellStyle name="Wrap 2 5 8 2 2" xfId="33872" xr:uid="{00000000-0005-0000-0000-000032900000}"/>
    <cellStyle name="Wrap 2 5 8 3" xfId="33873" xr:uid="{00000000-0005-0000-0000-000033900000}"/>
    <cellStyle name="Wrap 2 5 8 3 2" xfId="33874" xr:uid="{00000000-0005-0000-0000-000034900000}"/>
    <cellStyle name="Wrap 2 5 8 4" xfId="33875" xr:uid="{00000000-0005-0000-0000-000035900000}"/>
    <cellStyle name="Wrap 2 5 8 4 2" xfId="33876" xr:uid="{00000000-0005-0000-0000-000036900000}"/>
    <cellStyle name="Wrap 2 5 8 5" xfId="33877" xr:uid="{00000000-0005-0000-0000-000037900000}"/>
    <cellStyle name="Wrap 2 5 8 5 2" xfId="33878" xr:uid="{00000000-0005-0000-0000-000038900000}"/>
    <cellStyle name="Wrap 2 5 8 6" xfId="33879" xr:uid="{00000000-0005-0000-0000-000039900000}"/>
    <cellStyle name="Wrap 2 5 8 6 2" xfId="33880" xr:uid="{00000000-0005-0000-0000-00003A900000}"/>
    <cellStyle name="Wrap 2 5 8 7" xfId="33881" xr:uid="{00000000-0005-0000-0000-00003B900000}"/>
    <cellStyle name="Wrap 2 5 8 7 2" xfId="33882" xr:uid="{00000000-0005-0000-0000-00003C900000}"/>
    <cellStyle name="Wrap 2 5 8 8" xfId="33883" xr:uid="{00000000-0005-0000-0000-00003D900000}"/>
    <cellStyle name="Wrap 2 5 8 8 2" xfId="33884" xr:uid="{00000000-0005-0000-0000-00003E900000}"/>
    <cellStyle name="Wrap 2 5 8 9" xfId="33885" xr:uid="{00000000-0005-0000-0000-00003F900000}"/>
    <cellStyle name="Wrap 2 5 8 9 2" xfId="33886" xr:uid="{00000000-0005-0000-0000-000040900000}"/>
    <cellStyle name="Wrap 2 5 9" xfId="33887" xr:uid="{00000000-0005-0000-0000-000041900000}"/>
    <cellStyle name="Wrap 2 5 9 10" xfId="33888" xr:uid="{00000000-0005-0000-0000-000042900000}"/>
    <cellStyle name="Wrap 2 5 9 2" xfId="33889" xr:uid="{00000000-0005-0000-0000-000043900000}"/>
    <cellStyle name="Wrap 2 5 9 2 2" xfId="33890" xr:uid="{00000000-0005-0000-0000-000044900000}"/>
    <cellStyle name="Wrap 2 5 9 3" xfId="33891" xr:uid="{00000000-0005-0000-0000-000045900000}"/>
    <cellStyle name="Wrap 2 5 9 3 2" xfId="33892" xr:uid="{00000000-0005-0000-0000-000046900000}"/>
    <cellStyle name="Wrap 2 5 9 4" xfId="33893" xr:uid="{00000000-0005-0000-0000-000047900000}"/>
    <cellStyle name="Wrap 2 5 9 4 2" xfId="33894" xr:uid="{00000000-0005-0000-0000-000048900000}"/>
    <cellStyle name="Wrap 2 5 9 5" xfId="33895" xr:uid="{00000000-0005-0000-0000-000049900000}"/>
    <cellStyle name="Wrap 2 5 9 5 2" xfId="33896" xr:uid="{00000000-0005-0000-0000-00004A900000}"/>
    <cellStyle name="Wrap 2 5 9 6" xfId="33897" xr:uid="{00000000-0005-0000-0000-00004B900000}"/>
    <cellStyle name="Wrap 2 5 9 6 2" xfId="33898" xr:uid="{00000000-0005-0000-0000-00004C900000}"/>
    <cellStyle name="Wrap 2 5 9 7" xfId="33899" xr:uid="{00000000-0005-0000-0000-00004D900000}"/>
    <cellStyle name="Wrap 2 5 9 7 2" xfId="33900" xr:uid="{00000000-0005-0000-0000-00004E900000}"/>
    <cellStyle name="Wrap 2 5 9 8" xfId="33901" xr:uid="{00000000-0005-0000-0000-00004F900000}"/>
    <cellStyle name="Wrap 2 5 9 8 2" xfId="33902" xr:uid="{00000000-0005-0000-0000-000050900000}"/>
    <cellStyle name="Wrap 2 5 9 9" xfId="33903" xr:uid="{00000000-0005-0000-0000-000051900000}"/>
    <cellStyle name="Wrap 2 5 9 9 2" xfId="33904" xr:uid="{00000000-0005-0000-0000-000052900000}"/>
    <cellStyle name="Wrap 2 6" xfId="33905" xr:uid="{00000000-0005-0000-0000-000053900000}"/>
    <cellStyle name="Wrap 2 6 10" xfId="33906" xr:uid="{00000000-0005-0000-0000-000054900000}"/>
    <cellStyle name="Wrap 2 6 10 2" xfId="33907" xr:uid="{00000000-0005-0000-0000-000055900000}"/>
    <cellStyle name="Wrap 2 6 10 2 2" xfId="33908" xr:uid="{00000000-0005-0000-0000-000056900000}"/>
    <cellStyle name="Wrap 2 6 10 3" xfId="33909" xr:uid="{00000000-0005-0000-0000-000057900000}"/>
    <cellStyle name="Wrap 2 6 10 3 2" xfId="33910" xr:uid="{00000000-0005-0000-0000-000058900000}"/>
    <cellStyle name="Wrap 2 6 10 4" xfId="33911" xr:uid="{00000000-0005-0000-0000-000059900000}"/>
    <cellStyle name="Wrap 2 6 10 4 2" xfId="33912" xr:uid="{00000000-0005-0000-0000-00005A900000}"/>
    <cellStyle name="Wrap 2 6 10 5" xfId="33913" xr:uid="{00000000-0005-0000-0000-00005B900000}"/>
    <cellStyle name="Wrap 2 6 10 5 2" xfId="33914" xr:uid="{00000000-0005-0000-0000-00005C900000}"/>
    <cellStyle name="Wrap 2 6 10 6" xfId="33915" xr:uid="{00000000-0005-0000-0000-00005D900000}"/>
    <cellStyle name="Wrap 2 6 10 6 2" xfId="33916" xr:uid="{00000000-0005-0000-0000-00005E900000}"/>
    <cellStyle name="Wrap 2 6 10 7" xfId="33917" xr:uid="{00000000-0005-0000-0000-00005F900000}"/>
    <cellStyle name="Wrap 2 6 10 7 2" xfId="33918" xr:uid="{00000000-0005-0000-0000-000060900000}"/>
    <cellStyle name="Wrap 2 6 10 8" xfId="33919" xr:uid="{00000000-0005-0000-0000-000061900000}"/>
    <cellStyle name="Wrap 2 6 10 8 2" xfId="33920" xr:uid="{00000000-0005-0000-0000-000062900000}"/>
    <cellStyle name="Wrap 2 6 10 9" xfId="33921" xr:uid="{00000000-0005-0000-0000-000063900000}"/>
    <cellStyle name="Wrap 2 6 11" xfId="33922" xr:uid="{00000000-0005-0000-0000-000064900000}"/>
    <cellStyle name="Wrap 2 6 11 2" xfId="33923" xr:uid="{00000000-0005-0000-0000-000065900000}"/>
    <cellStyle name="Wrap 2 6 12" xfId="33924" xr:uid="{00000000-0005-0000-0000-000066900000}"/>
    <cellStyle name="Wrap 2 6 12 2" xfId="33925" xr:uid="{00000000-0005-0000-0000-000067900000}"/>
    <cellStyle name="Wrap 2 6 13" xfId="33926" xr:uid="{00000000-0005-0000-0000-000068900000}"/>
    <cellStyle name="Wrap 2 6 13 2" xfId="33927" xr:uid="{00000000-0005-0000-0000-000069900000}"/>
    <cellStyle name="Wrap 2 6 14" xfId="33928" xr:uid="{00000000-0005-0000-0000-00006A900000}"/>
    <cellStyle name="Wrap 2 6 14 2" xfId="33929" xr:uid="{00000000-0005-0000-0000-00006B900000}"/>
    <cellStyle name="Wrap 2 6 15" xfId="33930" xr:uid="{00000000-0005-0000-0000-00006C900000}"/>
    <cellStyle name="Wrap 2 6 15 2" xfId="33931" xr:uid="{00000000-0005-0000-0000-00006D900000}"/>
    <cellStyle name="Wrap 2 6 16" xfId="33932" xr:uid="{00000000-0005-0000-0000-00006E900000}"/>
    <cellStyle name="Wrap 2 6 16 2" xfId="33933" xr:uid="{00000000-0005-0000-0000-00006F900000}"/>
    <cellStyle name="Wrap 2 6 17" xfId="33934" xr:uid="{00000000-0005-0000-0000-000070900000}"/>
    <cellStyle name="Wrap 2 6 17 2" xfId="33935" xr:uid="{00000000-0005-0000-0000-000071900000}"/>
    <cellStyle name="Wrap 2 6 18" xfId="33936" xr:uid="{00000000-0005-0000-0000-000072900000}"/>
    <cellStyle name="Wrap 2 6 2" xfId="33937" xr:uid="{00000000-0005-0000-0000-000073900000}"/>
    <cellStyle name="Wrap 2 6 2 10" xfId="33938" xr:uid="{00000000-0005-0000-0000-000074900000}"/>
    <cellStyle name="Wrap 2 6 2 2" xfId="33939" xr:uid="{00000000-0005-0000-0000-000075900000}"/>
    <cellStyle name="Wrap 2 6 2 2 2" xfId="33940" xr:uid="{00000000-0005-0000-0000-000076900000}"/>
    <cellStyle name="Wrap 2 6 2 3" xfId="33941" xr:uid="{00000000-0005-0000-0000-000077900000}"/>
    <cellStyle name="Wrap 2 6 2 3 2" xfId="33942" xr:uid="{00000000-0005-0000-0000-000078900000}"/>
    <cellStyle name="Wrap 2 6 2 4" xfId="33943" xr:uid="{00000000-0005-0000-0000-000079900000}"/>
    <cellStyle name="Wrap 2 6 2 4 2" xfId="33944" xr:uid="{00000000-0005-0000-0000-00007A900000}"/>
    <cellStyle name="Wrap 2 6 2 5" xfId="33945" xr:uid="{00000000-0005-0000-0000-00007B900000}"/>
    <cellStyle name="Wrap 2 6 2 5 2" xfId="33946" xr:uid="{00000000-0005-0000-0000-00007C900000}"/>
    <cellStyle name="Wrap 2 6 2 6" xfId="33947" xr:uid="{00000000-0005-0000-0000-00007D900000}"/>
    <cellStyle name="Wrap 2 6 2 6 2" xfId="33948" xr:uid="{00000000-0005-0000-0000-00007E900000}"/>
    <cellStyle name="Wrap 2 6 2 7" xfId="33949" xr:uid="{00000000-0005-0000-0000-00007F900000}"/>
    <cellStyle name="Wrap 2 6 2 7 2" xfId="33950" xr:uid="{00000000-0005-0000-0000-000080900000}"/>
    <cellStyle name="Wrap 2 6 2 8" xfId="33951" xr:uid="{00000000-0005-0000-0000-000081900000}"/>
    <cellStyle name="Wrap 2 6 2 8 2" xfId="33952" xr:uid="{00000000-0005-0000-0000-000082900000}"/>
    <cellStyle name="Wrap 2 6 2 9" xfId="33953" xr:uid="{00000000-0005-0000-0000-000083900000}"/>
    <cellStyle name="Wrap 2 6 2 9 2" xfId="33954" xr:uid="{00000000-0005-0000-0000-000084900000}"/>
    <cellStyle name="Wrap 2 6 3" xfId="33955" xr:uid="{00000000-0005-0000-0000-000085900000}"/>
    <cellStyle name="Wrap 2 6 3 10" xfId="33956" xr:uid="{00000000-0005-0000-0000-000086900000}"/>
    <cellStyle name="Wrap 2 6 3 2" xfId="33957" xr:uid="{00000000-0005-0000-0000-000087900000}"/>
    <cellStyle name="Wrap 2 6 3 2 2" xfId="33958" xr:uid="{00000000-0005-0000-0000-000088900000}"/>
    <cellStyle name="Wrap 2 6 3 3" xfId="33959" xr:uid="{00000000-0005-0000-0000-000089900000}"/>
    <cellStyle name="Wrap 2 6 3 3 2" xfId="33960" xr:uid="{00000000-0005-0000-0000-00008A900000}"/>
    <cellStyle name="Wrap 2 6 3 4" xfId="33961" xr:uid="{00000000-0005-0000-0000-00008B900000}"/>
    <cellStyle name="Wrap 2 6 3 4 2" xfId="33962" xr:uid="{00000000-0005-0000-0000-00008C900000}"/>
    <cellStyle name="Wrap 2 6 3 5" xfId="33963" xr:uid="{00000000-0005-0000-0000-00008D900000}"/>
    <cellStyle name="Wrap 2 6 3 5 2" xfId="33964" xr:uid="{00000000-0005-0000-0000-00008E900000}"/>
    <cellStyle name="Wrap 2 6 3 6" xfId="33965" xr:uid="{00000000-0005-0000-0000-00008F900000}"/>
    <cellStyle name="Wrap 2 6 3 6 2" xfId="33966" xr:uid="{00000000-0005-0000-0000-000090900000}"/>
    <cellStyle name="Wrap 2 6 3 7" xfId="33967" xr:uid="{00000000-0005-0000-0000-000091900000}"/>
    <cellStyle name="Wrap 2 6 3 7 2" xfId="33968" xr:uid="{00000000-0005-0000-0000-000092900000}"/>
    <cellStyle name="Wrap 2 6 3 8" xfId="33969" xr:uid="{00000000-0005-0000-0000-000093900000}"/>
    <cellStyle name="Wrap 2 6 3 8 2" xfId="33970" xr:uid="{00000000-0005-0000-0000-000094900000}"/>
    <cellStyle name="Wrap 2 6 3 9" xfId="33971" xr:uid="{00000000-0005-0000-0000-000095900000}"/>
    <cellStyle name="Wrap 2 6 3 9 2" xfId="33972" xr:uid="{00000000-0005-0000-0000-000096900000}"/>
    <cellStyle name="Wrap 2 6 4" xfId="33973" xr:uid="{00000000-0005-0000-0000-000097900000}"/>
    <cellStyle name="Wrap 2 6 4 10" xfId="33974" xr:uid="{00000000-0005-0000-0000-000098900000}"/>
    <cellStyle name="Wrap 2 6 4 2" xfId="33975" xr:uid="{00000000-0005-0000-0000-000099900000}"/>
    <cellStyle name="Wrap 2 6 4 2 2" xfId="33976" xr:uid="{00000000-0005-0000-0000-00009A900000}"/>
    <cellStyle name="Wrap 2 6 4 3" xfId="33977" xr:uid="{00000000-0005-0000-0000-00009B900000}"/>
    <cellStyle name="Wrap 2 6 4 3 2" xfId="33978" xr:uid="{00000000-0005-0000-0000-00009C900000}"/>
    <cellStyle name="Wrap 2 6 4 4" xfId="33979" xr:uid="{00000000-0005-0000-0000-00009D900000}"/>
    <cellStyle name="Wrap 2 6 4 4 2" xfId="33980" xr:uid="{00000000-0005-0000-0000-00009E900000}"/>
    <cellStyle name="Wrap 2 6 4 5" xfId="33981" xr:uid="{00000000-0005-0000-0000-00009F900000}"/>
    <cellStyle name="Wrap 2 6 4 5 2" xfId="33982" xr:uid="{00000000-0005-0000-0000-0000A0900000}"/>
    <cellStyle name="Wrap 2 6 4 6" xfId="33983" xr:uid="{00000000-0005-0000-0000-0000A1900000}"/>
    <cellStyle name="Wrap 2 6 4 6 2" xfId="33984" xr:uid="{00000000-0005-0000-0000-0000A2900000}"/>
    <cellStyle name="Wrap 2 6 4 7" xfId="33985" xr:uid="{00000000-0005-0000-0000-0000A3900000}"/>
    <cellStyle name="Wrap 2 6 4 7 2" xfId="33986" xr:uid="{00000000-0005-0000-0000-0000A4900000}"/>
    <cellStyle name="Wrap 2 6 4 8" xfId="33987" xr:uid="{00000000-0005-0000-0000-0000A5900000}"/>
    <cellStyle name="Wrap 2 6 4 8 2" xfId="33988" xr:uid="{00000000-0005-0000-0000-0000A6900000}"/>
    <cellStyle name="Wrap 2 6 4 9" xfId="33989" xr:uid="{00000000-0005-0000-0000-0000A7900000}"/>
    <cellStyle name="Wrap 2 6 4 9 2" xfId="33990" xr:uid="{00000000-0005-0000-0000-0000A8900000}"/>
    <cellStyle name="Wrap 2 6 5" xfId="33991" xr:uid="{00000000-0005-0000-0000-0000A9900000}"/>
    <cellStyle name="Wrap 2 6 5 10" xfId="33992" xr:uid="{00000000-0005-0000-0000-0000AA900000}"/>
    <cellStyle name="Wrap 2 6 5 2" xfId="33993" xr:uid="{00000000-0005-0000-0000-0000AB900000}"/>
    <cellStyle name="Wrap 2 6 5 2 2" xfId="33994" xr:uid="{00000000-0005-0000-0000-0000AC900000}"/>
    <cellStyle name="Wrap 2 6 5 3" xfId="33995" xr:uid="{00000000-0005-0000-0000-0000AD900000}"/>
    <cellStyle name="Wrap 2 6 5 3 2" xfId="33996" xr:uid="{00000000-0005-0000-0000-0000AE900000}"/>
    <cellStyle name="Wrap 2 6 5 4" xfId="33997" xr:uid="{00000000-0005-0000-0000-0000AF900000}"/>
    <cellStyle name="Wrap 2 6 5 4 2" xfId="33998" xr:uid="{00000000-0005-0000-0000-0000B0900000}"/>
    <cellStyle name="Wrap 2 6 5 5" xfId="33999" xr:uid="{00000000-0005-0000-0000-0000B1900000}"/>
    <cellStyle name="Wrap 2 6 5 5 2" xfId="34000" xr:uid="{00000000-0005-0000-0000-0000B2900000}"/>
    <cellStyle name="Wrap 2 6 5 6" xfId="34001" xr:uid="{00000000-0005-0000-0000-0000B3900000}"/>
    <cellStyle name="Wrap 2 6 5 6 2" xfId="34002" xr:uid="{00000000-0005-0000-0000-0000B4900000}"/>
    <cellStyle name="Wrap 2 6 5 7" xfId="34003" xr:uid="{00000000-0005-0000-0000-0000B5900000}"/>
    <cellStyle name="Wrap 2 6 5 7 2" xfId="34004" xr:uid="{00000000-0005-0000-0000-0000B6900000}"/>
    <cellStyle name="Wrap 2 6 5 8" xfId="34005" xr:uid="{00000000-0005-0000-0000-0000B7900000}"/>
    <cellStyle name="Wrap 2 6 5 8 2" xfId="34006" xr:uid="{00000000-0005-0000-0000-0000B8900000}"/>
    <cellStyle name="Wrap 2 6 5 9" xfId="34007" xr:uid="{00000000-0005-0000-0000-0000B9900000}"/>
    <cellStyle name="Wrap 2 6 5 9 2" xfId="34008" xr:uid="{00000000-0005-0000-0000-0000BA900000}"/>
    <cellStyle name="Wrap 2 6 6" xfId="34009" xr:uid="{00000000-0005-0000-0000-0000BB900000}"/>
    <cellStyle name="Wrap 2 6 6 10" xfId="34010" xr:uid="{00000000-0005-0000-0000-0000BC900000}"/>
    <cellStyle name="Wrap 2 6 6 2" xfId="34011" xr:uid="{00000000-0005-0000-0000-0000BD900000}"/>
    <cellStyle name="Wrap 2 6 6 2 2" xfId="34012" xr:uid="{00000000-0005-0000-0000-0000BE900000}"/>
    <cellStyle name="Wrap 2 6 6 3" xfId="34013" xr:uid="{00000000-0005-0000-0000-0000BF900000}"/>
    <cellStyle name="Wrap 2 6 6 3 2" xfId="34014" xr:uid="{00000000-0005-0000-0000-0000C0900000}"/>
    <cellStyle name="Wrap 2 6 6 4" xfId="34015" xr:uid="{00000000-0005-0000-0000-0000C1900000}"/>
    <cellStyle name="Wrap 2 6 6 4 2" xfId="34016" xr:uid="{00000000-0005-0000-0000-0000C2900000}"/>
    <cellStyle name="Wrap 2 6 6 5" xfId="34017" xr:uid="{00000000-0005-0000-0000-0000C3900000}"/>
    <cellStyle name="Wrap 2 6 6 5 2" xfId="34018" xr:uid="{00000000-0005-0000-0000-0000C4900000}"/>
    <cellStyle name="Wrap 2 6 6 6" xfId="34019" xr:uid="{00000000-0005-0000-0000-0000C5900000}"/>
    <cellStyle name="Wrap 2 6 6 6 2" xfId="34020" xr:uid="{00000000-0005-0000-0000-0000C6900000}"/>
    <cellStyle name="Wrap 2 6 6 7" xfId="34021" xr:uid="{00000000-0005-0000-0000-0000C7900000}"/>
    <cellStyle name="Wrap 2 6 6 7 2" xfId="34022" xr:uid="{00000000-0005-0000-0000-0000C8900000}"/>
    <cellStyle name="Wrap 2 6 6 8" xfId="34023" xr:uid="{00000000-0005-0000-0000-0000C9900000}"/>
    <cellStyle name="Wrap 2 6 6 8 2" xfId="34024" xr:uid="{00000000-0005-0000-0000-0000CA900000}"/>
    <cellStyle name="Wrap 2 6 6 9" xfId="34025" xr:uid="{00000000-0005-0000-0000-0000CB900000}"/>
    <cellStyle name="Wrap 2 6 6 9 2" xfId="34026" xr:uid="{00000000-0005-0000-0000-0000CC900000}"/>
    <cellStyle name="Wrap 2 6 7" xfId="34027" xr:uid="{00000000-0005-0000-0000-0000CD900000}"/>
    <cellStyle name="Wrap 2 6 7 10" xfId="34028" xr:uid="{00000000-0005-0000-0000-0000CE900000}"/>
    <cellStyle name="Wrap 2 6 7 2" xfId="34029" xr:uid="{00000000-0005-0000-0000-0000CF900000}"/>
    <cellStyle name="Wrap 2 6 7 2 2" xfId="34030" xr:uid="{00000000-0005-0000-0000-0000D0900000}"/>
    <cellStyle name="Wrap 2 6 7 3" xfId="34031" xr:uid="{00000000-0005-0000-0000-0000D1900000}"/>
    <cellStyle name="Wrap 2 6 7 3 2" xfId="34032" xr:uid="{00000000-0005-0000-0000-0000D2900000}"/>
    <cellStyle name="Wrap 2 6 7 4" xfId="34033" xr:uid="{00000000-0005-0000-0000-0000D3900000}"/>
    <cellStyle name="Wrap 2 6 7 4 2" xfId="34034" xr:uid="{00000000-0005-0000-0000-0000D4900000}"/>
    <cellStyle name="Wrap 2 6 7 5" xfId="34035" xr:uid="{00000000-0005-0000-0000-0000D5900000}"/>
    <cellStyle name="Wrap 2 6 7 5 2" xfId="34036" xr:uid="{00000000-0005-0000-0000-0000D6900000}"/>
    <cellStyle name="Wrap 2 6 7 6" xfId="34037" xr:uid="{00000000-0005-0000-0000-0000D7900000}"/>
    <cellStyle name="Wrap 2 6 7 6 2" xfId="34038" xr:uid="{00000000-0005-0000-0000-0000D8900000}"/>
    <cellStyle name="Wrap 2 6 7 7" xfId="34039" xr:uid="{00000000-0005-0000-0000-0000D9900000}"/>
    <cellStyle name="Wrap 2 6 7 7 2" xfId="34040" xr:uid="{00000000-0005-0000-0000-0000DA900000}"/>
    <cellStyle name="Wrap 2 6 7 8" xfId="34041" xr:uid="{00000000-0005-0000-0000-0000DB900000}"/>
    <cellStyle name="Wrap 2 6 7 8 2" xfId="34042" xr:uid="{00000000-0005-0000-0000-0000DC900000}"/>
    <cellStyle name="Wrap 2 6 7 9" xfId="34043" xr:uid="{00000000-0005-0000-0000-0000DD900000}"/>
    <cellStyle name="Wrap 2 6 7 9 2" xfId="34044" xr:uid="{00000000-0005-0000-0000-0000DE900000}"/>
    <cellStyle name="Wrap 2 6 8" xfId="34045" xr:uid="{00000000-0005-0000-0000-0000DF900000}"/>
    <cellStyle name="Wrap 2 6 8 10" xfId="34046" xr:uid="{00000000-0005-0000-0000-0000E0900000}"/>
    <cellStyle name="Wrap 2 6 8 2" xfId="34047" xr:uid="{00000000-0005-0000-0000-0000E1900000}"/>
    <cellStyle name="Wrap 2 6 8 2 2" xfId="34048" xr:uid="{00000000-0005-0000-0000-0000E2900000}"/>
    <cellStyle name="Wrap 2 6 8 3" xfId="34049" xr:uid="{00000000-0005-0000-0000-0000E3900000}"/>
    <cellStyle name="Wrap 2 6 8 3 2" xfId="34050" xr:uid="{00000000-0005-0000-0000-0000E4900000}"/>
    <cellStyle name="Wrap 2 6 8 4" xfId="34051" xr:uid="{00000000-0005-0000-0000-0000E5900000}"/>
    <cellStyle name="Wrap 2 6 8 4 2" xfId="34052" xr:uid="{00000000-0005-0000-0000-0000E6900000}"/>
    <cellStyle name="Wrap 2 6 8 5" xfId="34053" xr:uid="{00000000-0005-0000-0000-0000E7900000}"/>
    <cellStyle name="Wrap 2 6 8 5 2" xfId="34054" xr:uid="{00000000-0005-0000-0000-0000E8900000}"/>
    <cellStyle name="Wrap 2 6 8 6" xfId="34055" xr:uid="{00000000-0005-0000-0000-0000E9900000}"/>
    <cellStyle name="Wrap 2 6 8 6 2" xfId="34056" xr:uid="{00000000-0005-0000-0000-0000EA900000}"/>
    <cellStyle name="Wrap 2 6 8 7" xfId="34057" xr:uid="{00000000-0005-0000-0000-0000EB900000}"/>
    <cellStyle name="Wrap 2 6 8 7 2" xfId="34058" xr:uid="{00000000-0005-0000-0000-0000EC900000}"/>
    <cellStyle name="Wrap 2 6 8 8" xfId="34059" xr:uid="{00000000-0005-0000-0000-0000ED900000}"/>
    <cellStyle name="Wrap 2 6 8 8 2" xfId="34060" xr:uid="{00000000-0005-0000-0000-0000EE900000}"/>
    <cellStyle name="Wrap 2 6 8 9" xfId="34061" xr:uid="{00000000-0005-0000-0000-0000EF900000}"/>
    <cellStyle name="Wrap 2 6 8 9 2" xfId="34062" xr:uid="{00000000-0005-0000-0000-0000F0900000}"/>
    <cellStyle name="Wrap 2 6 9" xfId="34063" xr:uid="{00000000-0005-0000-0000-0000F1900000}"/>
    <cellStyle name="Wrap 2 6 9 10" xfId="34064" xr:uid="{00000000-0005-0000-0000-0000F2900000}"/>
    <cellStyle name="Wrap 2 6 9 2" xfId="34065" xr:uid="{00000000-0005-0000-0000-0000F3900000}"/>
    <cellStyle name="Wrap 2 6 9 2 2" xfId="34066" xr:uid="{00000000-0005-0000-0000-0000F4900000}"/>
    <cellStyle name="Wrap 2 6 9 3" xfId="34067" xr:uid="{00000000-0005-0000-0000-0000F5900000}"/>
    <cellStyle name="Wrap 2 6 9 3 2" xfId="34068" xr:uid="{00000000-0005-0000-0000-0000F6900000}"/>
    <cellStyle name="Wrap 2 6 9 4" xfId="34069" xr:uid="{00000000-0005-0000-0000-0000F7900000}"/>
    <cellStyle name="Wrap 2 6 9 4 2" xfId="34070" xr:uid="{00000000-0005-0000-0000-0000F8900000}"/>
    <cellStyle name="Wrap 2 6 9 5" xfId="34071" xr:uid="{00000000-0005-0000-0000-0000F9900000}"/>
    <cellStyle name="Wrap 2 6 9 5 2" xfId="34072" xr:uid="{00000000-0005-0000-0000-0000FA900000}"/>
    <cellStyle name="Wrap 2 6 9 6" xfId="34073" xr:uid="{00000000-0005-0000-0000-0000FB900000}"/>
    <cellStyle name="Wrap 2 6 9 6 2" xfId="34074" xr:uid="{00000000-0005-0000-0000-0000FC900000}"/>
    <cellStyle name="Wrap 2 6 9 7" xfId="34075" xr:uid="{00000000-0005-0000-0000-0000FD900000}"/>
    <cellStyle name="Wrap 2 6 9 7 2" xfId="34076" xr:uid="{00000000-0005-0000-0000-0000FE900000}"/>
    <cellStyle name="Wrap 2 6 9 8" xfId="34077" xr:uid="{00000000-0005-0000-0000-0000FF900000}"/>
    <cellStyle name="Wrap 2 6 9 8 2" xfId="34078" xr:uid="{00000000-0005-0000-0000-000000910000}"/>
    <cellStyle name="Wrap 2 6 9 9" xfId="34079" xr:uid="{00000000-0005-0000-0000-000001910000}"/>
    <cellStyle name="Wrap 2 6 9 9 2" xfId="34080" xr:uid="{00000000-0005-0000-0000-000002910000}"/>
    <cellStyle name="Wrap 2 7" xfId="34081" xr:uid="{00000000-0005-0000-0000-000003910000}"/>
    <cellStyle name="Wrap 2 7 10" xfId="34082" xr:uid="{00000000-0005-0000-0000-000004910000}"/>
    <cellStyle name="Wrap 2 7 10 2" xfId="34083" xr:uid="{00000000-0005-0000-0000-000005910000}"/>
    <cellStyle name="Wrap 2 7 10 2 2" xfId="34084" xr:uid="{00000000-0005-0000-0000-000006910000}"/>
    <cellStyle name="Wrap 2 7 10 3" xfId="34085" xr:uid="{00000000-0005-0000-0000-000007910000}"/>
    <cellStyle name="Wrap 2 7 10 3 2" xfId="34086" xr:uid="{00000000-0005-0000-0000-000008910000}"/>
    <cellStyle name="Wrap 2 7 10 4" xfId="34087" xr:uid="{00000000-0005-0000-0000-000009910000}"/>
    <cellStyle name="Wrap 2 7 10 4 2" xfId="34088" xr:uid="{00000000-0005-0000-0000-00000A910000}"/>
    <cellStyle name="Wrap 2 7 10 5" xfId="34089" xr:uid="{00000000-0005-0000-0000-00000B910000}"/>
    <cellStyle name="Wrap 2 7 10 5 2" xfId="34090" xr:uid="{00000000-0005-0000-0000-00000C910000}"/>
    <cellStyle name="Wrap 2 7 10 6" xfId="34091" xr:uid="{00000000-0005-0000-0000-00000D910000}"/>
    <cellStyle name="Wrap 2 7 10 6 2" xfId="34092" xr:uid="{00000000-0005-0000-0000-00000E910000}"/>
    <cellStyle name="Wrap 2 7 10 7" xfId="34093" xr:uid="{00000000-0005-0000-0000-00000F910000}"/>
    <cellStyle name="Wrap 2 7 10 7 2" xfId="34094" xr:uid="{00000000-0005-0000-0000-000010910000}"/>
    <cellStyle name="Wrap 2 7 10 8" xfId="34095" xr:uid="{00000000-0005-0000-0000-000011910000}"/>
    <cellStyle name="Wrap 2 7 10 8 2" xfId="34096" xr:uid="{00000000-0005-0000-0000-000012910000}"/>
    <cellStyle name="Wrap 2 7 10 9" xfId="34097" xr:uid="{00000000-0005-0000-0000-000013910000}"/>
    <cellStyle name="Wrap 2 7 11" xfId="34098" xr:uid="{00000000-0005-0000-0000-000014910000}"/>
    <cellStyle name="Wrap 2 7 11 2" xfId="34099" xr:uid="{00000000-0005-0000-0000-000015910000}"/>
    <cellStyle name="Wrap 2 7 12" xfId="34100" xr:uid="{00000000-0005-0000-0000-000016910000}"/>
    <cellStyle name="Wrap 2 7 12 2" xfId="34101" xr:uid="{00000000-0005-0000-0000-000017910000}"/>
    <cellStyle name="Wrap 2 7 13" xfId="34102" xr:uid="{00000000-0005-0000-0000-000018910000}"/>
    <cellStyle name="Wrap 2 7 13 2" xfId="34103" xr:uid="{00000000-0005-0000-0000-000019910000}"/>
    <cellStyle name="Wrap 2 7 14" xfId="34104" xr:uid="{00000000-0005-0000-0000-00001A910000}"/>
    <cellStyle name="Wrap 2 7 14 2" xfId="34105" xr:uid="{00000000-0005-0000-0000-00001B910000}"/>
    <cellStyle name="Wrap 2 7 15" xfId="34106" xr:uid="{00000000-0005-0000-0000-00001C910000}"/>
    <cellStyle name="Wrap 2 7 15 2" xfId="34107" xr:uid="{00000000-0005-0000-0000-00001D910000}"/>
    <cellStyle name="Wrap 2 7 16" xfId="34108" xr:uid="{00000000-0005-0000-0000-00001E910000}"/>
    <cellStyle name="Wrap 2 7 16 2" xfId="34109" xr:uid="{00000000-0005-0000-0000-00001F910000}"/>
    <cellStyle name="Wrap 2 7 17" xfId="34110" xr:uid="{00000000-0005-0000-0000-000020910000}"/>
    <cellStyle name="Wrap 2 7 17 2" xfId="34111" xr:uid="{00000000-0005-0000-0000-000021910000}"/>
    <cellStyle name="Wrap 2 7 18" xfId="34112" xr:uid="{00000000-0005-0000-0000-000022910000}"/>
    <cellStyle name="Wrap 2 7 2" xfId="34113" xr:uid="{00000000-0005-0000-0000-000023910000}"/>
    <cellStyle name="Wrap 2 7 2 10" xfId="34114" xr:uid="{00000000-0005-0000-0000-000024910000}"/>
    <cellStyle name="Wrap 2 7 2 2" xfId="34115" xr:uid="{00000000-0005-0000-0000-000025910000}"/>
    <cellStyle name="Wrap 2 7 2 2 2" xfId="34116" xr:uid="{00000000-0005-0000-0000-000026910000}"/>
    <cellStyle name="Wrap 2 7 2 3" xfId="34117" xr:uid="{00000000-0005-0000-0000-000027910000}"/>
    <cellStyle name="Wrap 2 7 2 3 2" xfId="34118" xr:uid="{00000000-0005-0000-0000-000028910000}"/>
    <cellStyle name="Wrap 2 7 2 4" xfId="34119" xr:uid="{00000000-0005-0000-0000-000029910000}"/>
    <cellStyle name="Wrap 2 7 2 4 2" xfId="34120" xr:uid="{00000000-0005-0000-0000-00002A910000}"/>
    <cellStyle name="Wrap 2 7 2 5" xfId="34121" xr:uid="{00000000-0005-0000-0000-00002B910000}"/>
    <cellStyle name="Wrap 2 7 2 5 2" xfId="34122" xr:uid="{00000000-0005-0000-0000-00002C910000}"/>
    <cellStyle name="Wrap 2 7 2 6" xfId="34123" xr:uid="{00000000-0005-0000-0000-00002D910000}"/>
    <cellStyle name="Wrap 2 7 2 6 2" xfId="34124" xr:uid="{00000000-0005-0000-0000-00002E910000}"/>
    <cellStyle name="Wrap 2 7 2 7" xfId="34125" xr:uid="{00000000-0005-0000-0000-00002F910000}"/>
    <cellStyle name="Wrap 2 7 2 7 2" xfId="34126" xr:uid="{00000000-0005-0000-0000-000030910000}"/>
    <cellStyle name="Wrap 2 7 2 8" xfId="34127" xr:uid="{00000000-0005-0000-0000-000031910000}"/>
    <cellStyle name="Wrap 2 7 2 8 2" xfId="34128" xr:uid="{00000000-0005-0000-0000-000032910000}"/>
    <cellStyle name="Wrap 2 7 2 9" xfId="34129" xr:uid="{00000000-0005-0000-0000-000033910000}"/>
    <cellStyle name="Wrap 2 7 2 9 2" xfId="34130" xr:uid="{00000000-0005-0000-0000-000034910000}"/>
    <cellStyle name="Wrap 2 7 3" xfId="34131" xr:uid="{00000000-0005-0000-0000-000035910000}"/>
    <cellStyle name="Wrap 2 7 3 10" xfId="34132" xr:uid="{00000000-0005-0000-0000-000036910000}"/>
    <cellStyle name="Wrap 2 7 3 2" xfId="34133" xr:uid="{00000000-0005-0000-0000-000037910000}"/>
    <cellStyle name="Wrap 2 7 3 2 2" xfId="34134" xr:uid="{00000000-0005-0000-0000-000038910000}"/>
    <cellStyle name="Wrap 2 7 3 3" xfId="34135" xr:uid="{00000000-0005-0000-0000-000039910000}"/>
    <cellStyle name="Wrap 2 7 3 3 2" xfId="34136" xr:uid="{00000000-0005-0000-0000-00003A910000}"/>
    <cellStyle name="Wrap 2 7 3 4" xfId="34137" xr:uid="{00000000-0005-0000-0000-00003B910000}"/>
    <cellStyle name="Wrap 2 7 3 4 2" xfId="34138" xr:uid="{00000000-0005-0000-0000-00003C910000}"/>
    <cellStyle name="Wrap 2 7 3 5" xfId="34139" xr:uid="{00000000-0005-0000-0000-00003D910000}"/>
    <cellStyle name="Wrap 2 7 3 5 2" xfId="34140" xr:uid="{00000000-0005-0000-0000-00003E910000}"/>
    <cellStyle name="Wrap 2 7 3 6" xfId="34141" xr:uid="{00000000-0005-0000-0000-00003F910000}"/>
    <cellStyle name="Wrap 2 7 3 6 2" xfId="34142" xr:uid="{00000000-0005-0000-0000-000040910000}"/>
    <cellStyle name="Wrap 2 7 3 7" xfId="34143" xr:uid="{00000000-0005-0000-0000-000041910000}"/>
    <cellStyle name="Wrap 2 7 3 7 2" xfId="34144" xr:uid="{00000000-0005-0000-0000-000042910000}"/>
    <cellStyle name="Wrap 2 7 3 8" xfId="34145" xr:uid="{00000000-0005-0000-0000-000043910000}"/>
    <cellStyle name="Wrap 2 7 3 8 2" xfId="34146" xr:uid="{00000000-0005-0000-0000-000044910000}"/>
    <cellStyle name="Wrap 2 7 3 9" xfId="34147" xr:uid="{00000000-0005-0000-0000-000045910000}"/>
    <cellStyle name="Wrap 2 7 3 9 2" xfId="34148" xr:uid="{00000000-0005-0000-0000-000046910000}"/>
    <cellStyle name="Wrap 2 7 4" xfId="34149" xr:uid="{00000000-0005-0000-0000-000047910000}"/>
    <cellStyle name="Wrap 2 7 4 10" xfId="34150" xr:uid="{00000000-0005-0000-0000-000048910000}"/>
    <cellStyle name="Wrap 2 7 4 2" xfId="34151" xr:uid="{00000000-0005-0000-0000-000049910000}"/>
    <cellStyle name="Wrap 2 7 4 2 2" xfId="34152" xr:uid="{00000000-0005-0000-0000-00004A910000}"/>
    <cellStyle name="Wrap 2 7 4 3" xfId="34153" xr:uid="{00000000-0005-0000-0000-00004B910000}"/>
    <cellStyle name="Wrap 2 7 4 3 2" xfId="34154" xr:uid="{00000000-0005-0000-0000-00004C910000}"/>
    <cellStyle name="Wrap 2 7 4 4" xfId="34155" xr:uid="{00000000-0005-0000-0000-00004D910000}"/>
    <cellStyle name="Wrap 2 7 4 4 2" xfId="34156" xr:uid="{00000000-0005-0000-0000-00004E910000}"/>
    <cellStyle name="Wrap 2 7 4 5" xfId="34157" xr:uid="{00000000-0005-0000-0000-00004F910000}"/>
    <cellStyle name="Wrap 2 7 4 5 2" xfId="34158" xr:uid="{00000000-0005-0000-0000-000050910000}"/>
    <cellStyle name="Wrap 2 7 4 6" xfId="34159" xr:uid="{00000000-0005-0000-0000-000051910000}"/>
    <cellStyle name="Wrap 2 7 4 6 2" xfId="34160" xr:uid="{00000000-0005-0000-0000-000052910000}"/>
    <cellStyle name="Wrap 2 7 4 7" xfId="34161" xr:uid="{00000000-0005-0000-0000-000053910000}"/>
    <cellStyle name="Wrap 2 7 4 7 2" xfId="34162" xr:uid="{00000000-0005-0000-0000-000054910000}"/>
    <cellStyle name="Wrap 2 7 4 8" xfId="34163" xr:uid="{00000000-0005-0000-0000-000055910000}"/>
    <cellStyle name="Wrap 2 7 4 8 2" xfId="34164" xr:uid="{00000000-0005-0000-0000-000056910000}"/>
    <cellStyle name="Wrap 2 7 4 9" xfId="34165" xr:uid="{00000000-0005-0000-0000-000057910000}"/>
    <cellStyle name="Wrap 2 7 4 9 2" xfId="34166" xr:uid="{00000000-0005-0000-0000-000058910000}"/>
    <cellStyle name="Wrap 2 7 5" xfId="34167" xr:uid="{00000000-0005-0000-0000-000059910000}"/>
    <cellStyle name="Wrap 2 7 5 10" xfId="34168" xr:uid="{00000000-0005-0000-0000-00005A910000}"/>
    <cellStyle name="Wrap 2 7 5 2" xfId="34169" xr:uid="{00000000-0005-0000-0000-00005B910000}"/>
    <cellStyle name="Wrap 2 7 5 2 2" xfId="34170" xr:uid="{00000000-0005-0000-0000-00005C910000}"/>
    <cellStyle name="Wrap 2 7 5 3" xfId="34171" xr:uid="{00000000-0005-0000-0000-00005D910000}"/>
    <cellStyle name="Wrap 2 7 5 3 2" xfId="34172" xr:uid="{00000000-0005-0000-0000-00005E910000}"/>
    <cellStyle name="Wrap 2 7 5 4" xfId="34173" xr:uid="{00000000-0005-0000-0000-00005F910000}"/>
    <cellStyle name="Wrap 2 7 5 4 2" xfId="34174" xr:uid="{00000000-0005-0000-0000-000060910000}"/>
    <cellStyle name="Wrap 2 7 5 5" xfId="34175" xr:uid="{00000000-0005-0000-0000-000061910000}"/>
    <cellStyle name="Wrap 2 7 5 5 2" xfId="34176" xr:uid="{00000000-0005-0000-0000-000062910000}"/>
    <cellStyle name="Wrap 2 7 5 6" xfId="34177" xr:uid="{00000000-0005-0000-0000-000063910000}"/>
    <cellStyle name="Wrap 2 7 5 6 2" xfId="34178" xr:uid="{00000000-0005-0000-0000-000064910000}"/>
    <cellStyle name="Wrap 2 7 5 7" xfId="34179" xr:uid="{00000000-0005-0000-0000-000065910000}"/>
    <cellStyle name="Wrap 2 7 5 7 2" xfId="34180" xr:uid="{00000000-0005-0000-0000-000066910000}"/>
    <cellStyle name="Wrap 2 7 5 8" xfId="34181" xr:uid="{00000000-0005-0000-0000-000067910000}"/>
    <cellStyle name="Wrap 2 7 5 8 2" xfId="34182" xr:uid="{00000000-0005-0000-0000-000068910000}"/>
    <cellStyle name="Wrap 2 7 5 9" xfId="34183" xr:uid="{00000000-0005-0000-0000-000069910000}"/>
    <cellStyle name="Wrap 2 7 5 9 2" xfId="34184" xr:uid="{00000000-0005-0000-0000-00006A910000}"/>
    <cellStyle name="Wrap 2 7 6" xfId="34185" xr:uid="{00000000-0005-0000-0000-00006B910000}"/>
    <cellStyle name="Wrap 2 7 6 10" xfId="34186" xr:uid="{00000000-0005-0000-0000-00006C910000}"/>
    <cellStyle name="Wrap 2 7 6 2" xfId="34187" xr:uid="{00000000-0005-0000-0000-00006D910000}"/>
    <cellStyle name="Wrap 2 7 6 2 2" xfId="34188" xr:uid="{00000000-0005-0000-0000-00006E910000}"/>
    <cellStyle name="Wrap 2 7 6 3" xfId="34189" xr:uid="{00000000-0005-0000-0000-00006F910000}"/>
    <cellStyle name="Wrap 2 7 6 3 2" xfId="34190" xr:uid="{00000000-0005-0000-0000-000070910000}"/>
    <cellStyle name="Wrap 2 7 6 4" xfId="34191" xr:uid="{00000000-0005-0000-0000-000071910000}"/>
    <cellStyle name="Wrap 2 7 6 4 2" xfId="34192" xr:uid="{00000000-0005-0000-0000-000072910000}"/>
    <cellStyle name="Wrap 2 7 6 5" xfId="34193" xr:uid="{00000000-0005-0000-0000-000073910000}"/>
    <cellStyle name="Wrap 2 7 6 5 2" xfId="34194" xr:uid="{00000000-0005-0000-0000-000074910000}"/>
    <cellStyle name="Wrap 2 7 6 6" xfId="34195" xr:uid="{00000000-0005-0000-0000-000075910000}"/>
    <cellStyle name="Wrap 2 7 6 6 2" xfId="34196" xr:uid="{00000000-0005-0000-0000-000076910000}"/>
    <cellStyle name="Wrap 2 7 6 7" xfId="34197" xr:uid="{00000000-0005-0000-0000-000077910000}"/>
    <cellStyle name="Wrap 2 7 6 7 2" xfId="34198" xr:uid="{00000000-0005-0000-0000-000078910000}"/>
    <cellStyle name="Wrap 2 7 6 8" xfId="34199" xr:uid="{00000000-0005-0000-0000-000079910000}"/>
    <cellStyle name="Wrap 2 7 6 8 2" xfId="34200" xr:uid="{00000000-0005-0000-0000-00007A910000}"/>
    <cellStyle name="Wrap 2 7 6 9" xfId="34201" xr:uid="{00000000-0005-0000-0000-00007B910000}"/>
    <cellStyle name="Wrap 2 7 6 9 2" xfId="34202" xr:uid="{00000000-0005-0000-0000-00007C910000}"/>
    <cellStyle name="Wrap 2 7 7" xfId="34203" xr:uid="{00000000-0005-0000-0000-00007D910000}"/>
    <cellStyle name="Wrap 2 7 7 10" xfId="34204" xr:uid="{00000000-0005-0000-0000-00007E910000}"/>
    <cellStyle name="Wrap 2 7 7 2" xfId="34205" xr:uid="{00000000-0005-0000-0000-00007F910000}"/>
    <cellStyle name="Wrap 2 7 7 2 2" xfId="34206" xr:uid="{00000000-0005-0000-0000-000080910000}"/>
    <cellStyle name="Wrap 2 7 7 3" xfId="34207" xr:uid="{00000000-0005-0000-0000-000081910000}"/>
    <cellStyle name="Wrap 2 7 7 3 2" xfId="34208" xr:uid="{00000000-0005-0000-0000-000082910000}"/>
    <cellStyle name="Wrap 2 7 7 4" xfId="34209" xr:uid="{00000000-0005-0000-0000-000083910000}"/>
    <cellStyle name="Wrap 2 7 7 4 2" xfId="34210" xr:uid="{00000000-0005-0000-0000-000084910000}"/>
    <cellStyle name="Wrap 2 7 7 5" xfId="34211" xr:uid="{00000000-0005-0000-0000-000085910000}"/>
    <cellStyle name="Wrap 2 7 7 5 2" xfId="34212" xr:uid="{00000000-0005-0000-0000-000086910000}"/>
    <cellStyle name="Wrap 2 7 7 6" xfId="34213" xr:uid="{00000000-0005-0000-0000-000087910000}"/>
    <cellStyle name="Wrap 2 7 7 6 2" xfId="34214" xr:uid="{00000000-0005-0000-0000-000088910000}"/>
    <cellStyle name="Wrap 2 7 7 7" xfId="34215" xr:uid="{00000000-0005-0000-0000-000089910000}"/>
    <cellStyle name="Wrap 2 7 7 7 2" xfId="34216" xr:uid="{00000000-0005-0000-0000-00008A910000}"/>
    <cellStyle name="Wrap 2 7 7 8" xfId="34217" xr:uid="{00000000-0005-0000-0000-00008B910000}"/>
    <cellStyle name="Wrap 2 7 7 8 2" xfId="34218" xr:uid="{00000000-0005-0000-0000-00008C910000}"/>
    <cellStyle name="Wrap 2 7 7 9" xfId="34219" xr:uid="{00000000-0005-0000-0000-00008D910000}"/>
    <cellStyle name="Wrap 2 7 7 9 2" xfId="34220" xr:uid="{00000000-0005-0000-0000-00008E910000}"/>
    <cellStyle name="Wrap 2 7 8" xfId="34221" xr:uid="{00000000-0005-0000-0000-00008F910000}"/>
    <cellStyle name="Wrap 2 7 8 10" xfId="34222" xr:uid="{00000000-0005-0000-0000-000090910000}"/>
    <cellStyle name="Wrap 2 7 8 2" xfId="34223" xr:uid="{00000000-0005-0000-0000-000091910000}"/>
    <cellStyle name="Wrap 2 7 8 2 2" xfId="34224" xr:uid="{00000000-0005-0000-0000-000092910000}"/>
    <cellStyle name="Wrap 2 7 8 3" xfId="34225" xr:uid="{00000000-0005-0000-0000-000093910000}"/>
    <cellStyle name="Wrap 2 7 8 3 2" xfId="34226" xr:uid="{00000000-0005-0000-0000-000094910000}"/>
    <cellStyle name="Wrap 2 7 8 4" xfId="34227" xr:uid="{00000000-0005-0000-0000-000095910000}"/>
    <cellStyle name="Wrap 2 7 8 4 2" xfId="34228" xr:uid="{00000000-0005-0000-0000-000096910000}"/>
    <cellStyle name="Wrap 2 7 8 5" xfId="34229" xr:uid="{00000000-0005-0000-0000-000097910000}"/>
    <cellStyle name="Wrap 2 7 8 5 2" xfId="34230" xr:uid="{00000000-0005-0000-0000-000098910000}"/>
    <cellStyle name="Wrap 2 7 8 6" xfId="34231" xr:uid="{00000000-0005-0000-0000-000099910000}"/>
    <cellStyle name="Wrap 2 7 8 6 2" xfId="34232" xr:uid="{00000000-0005-0000-0000-00009A910000}"/>
    <cellStyle name="Wrap 2 7 8 7" xfId="34233" xr:uid="{00000000-0005-0000-0000-00009B910000}"/>
    <cellStyle name="Wrap 2 7 8 7 2" xfId="34234" xr:uid="{00000000-0005-0000-0000-00009C910000}"/>
    <cellStyle name="Wrap 2 7 8 8" xfId="34235" xr:uid="{00000000-0005-0000-0000-00009D910000}"/>
    <cellStyle name="Wrap 2 7 8 8 2" xfId="34236" xr:uid="{00000000-0005-0000-0000-00009E910000}"/>
    <cellStyle name="Wrap 2 7 8 9" xfId="34237" xr:uid="{00000000-0005-0000-0000-00009F910000}"/>
    <cellStyle name="Wrap 2 7 8 9 2" xfId="34238" xr:uid="{00000000-0005-0000-0000-0000A0910000}"/>
    <cellStyle name="Wrap 2 7 9" xfId="34239" xr:uid="{00000000-0005-0000-0000-0000A1910000}"/>
    <cellStyle name="Wrap 2 7 9 10" xfId="34240" xr:uid="{00000000-0005-0000-0000-0000A2910000}"/>
    <cellStyle name="Wrap 2 7 9 2" xfId="34241" xr:uid="{00000000-0005-0000-0000-0000A3910000}"/>
    <cellStyle name="Wrap 2 7 9 2 2" xfId="34242" xr:uid="{00000000-0005-0000-0000-0000A4910000}"/>
    <cellStyle name="Wrap 2 7 9 3" xfId="34243" xr:uid="{00000000-0005-0000-0000-0000A5910000}"/>
    <cellStyle name="Wrap 2 7 9 3 2" xfId="34244" xr:uid="{00000000-0005-0000-0000-0000A6910000}"/>
    <cellStyle name="Wrap 2 7 9 4" xfId="34245" xr:uid="{00000000-0005-0000-0000-0000A7910000}"/>
    <cellStyle name="Wrap 2 7 9 4 2" xfId="34246" xr:uid="{00000000-0005-0000-0000-0000A8910000}"/>
    <cellStyle name="Wrap 2 7 9 5" xfId="34247" xr:uid="{00000000-0005-0000-0000-0000A9910000}"/>
    <cellStyle name="Wrap 2 7 9 5 2" xfId="34248" xr:uid="{00000000-0005-0000-0000-0000AA910000}"/>
    <cellStyle name="Wrap 2 7 9 6" xfId="34249" xr:uid="{00000000-0005-0000-0000-0000AB910000}"/>
    <cellStyle name="Wrap 2 7 9 6 2" xfId="34250" xr:uid="{00000000-0005-0000-0000-0000AC910000}"/>
    <cellStyle name="Wrap 2 7 9 7" xfId="34251" xr:uid="{00000000-0005-0000-0000-0000AD910000}"/>
    <cellStyle name="Wrap 2 7 9 7 2" xfId="34252" xr:uid="{00000000-0005-0000-0000-0000AE910000}"/>
    <cellStyle name="Wrap 2 7 9 8" xfId="34253" xr:uid="{00000000-0005-0000-0000-0000AF910000}"/>
    <cellStyle name="Wrap 2 7 9 8 2" xfId="34254" xr:uid="{00000000-0005-0000-0000-0000B0910000}"/>
    <cellStyle name="Wrap 2 7 9 9" xfId="34255" xr:uid="{00000000-0005-0000-0000-0000B1910000}"/>
    <cellStyle name="Wrap 2 7 9 9 2" xfId="34256" xr:uid="{00000000-0005-0000-0000-0000B2910000}"/>
    <cellStyle name="Wrap 2 8" xfId="34257" xr:uid="{00000000-0005-0000-0000-0000B3910000}"/>
    <cellStyle name="Wrap 2 8 10" xfId="34258" xr:uid="{00000000-0005-0000-0000-0000B4910000}"/>
    <cellStyle name="Wrap 2 8 10 2" xfId="34259" xr:uid="{00000000-0005-0000-0000-0000B5910000}"/>
    <cellStyle name="Wrap 2 8 10 2 2" xfId="34260" xr:uid="{00000000-0005-0000-0000-0000B6910000}"/>
    <cellStyle name="Wrap 2 8 10 3" xfId="34261" xr:uid="{00000000-0005-0000-0000-0000B7910000}"/>
    <cellStyle name="Wrap 2 8 10 3 2" xfId="34262" xr:uid="{00000000-0005-0000-0000-0000B8910000}"/>
    <cellStyle name="Wrap 2 8 10 4" xfId="34263" xr:uid="{00000000-0005-0000-0000-0000B9910000}"/>
    <cellStyle name="Wrap 2 8 10 4 2" xfId="34264" xr:uid="{00000000-0005-0000-0000-0000BA910000}"/>
    <cellStyle name="Wrap 2 8 10 5" xfId="34265" xr:uid="{00000000-0005-0000-0000-0000BB910000}"/>
    <cellStyle name="Wrap 2 8 10 5 2" xfId="34266" xr:uid="{00000000-0005-0000-0000-0000BC910000}"/>
    <cellStyle name="Wrap 2 8 10 6" xfId="34267" xr:uid="{00000000-0005-0000-0000-0000BD910000}"/>
    <cellStyle name="Wrap 2 8 10 6 2" xfId="34268" xr:uid="{00000000-0005-0000-0000-0000BE910000}"/>
    <cellStyle name="Wrap 2 8 10 7" xfId="34269" xr:uid="{00000000-0005-0000-0000-0000BF910000}"/>
    <cellStyle name="Wrap 2 8 10 7 2" xfId="34270" xr:uid="{00000000-0005-0000-0000-0000C0910000}"/>
    <cellStyle name="Wrap 2 8 10 8" xfId="34271" xr:uid="{00000000-0005-0000-0000-0000C1910000}"/>
    <cellStyle name="Wrap 2 8 10 8 2" xfId="34272" xr:uid="{00000000-0005-0000-0000-0000C2910000}"/>
    <cellStyle name="Wrap 2 8 10 9" xfId="34273" xr:uid="{00000000-0005-0000-0000-0000C3910000}"/>
    <cellStyle name="Wrap 2 8 11" xfId="34274" xr:uid="{00000000-0005-0000-0000-0000C4910000}"/>
    <cellStyle name="Wrap 2 8 11 2" xfId="34275" xr:uid="{00000000-0005-0000-0000-0000C5910000}"/>
    <cellStyle name="Wrap 2 8 12" xfId="34276" xr:uid="{00000000-0005-0000-0000-0000C6910000}"/>
    <cellStyle name="Wrap 2 8 12 2" xfId="34277" xr:uid="{00000000-0005-0000-0000-0000C7910000}"/>
    <cellStyle name="Wrap 2 8 13" xfId="34278" xr:uid="{00000000-0005-0000-0000-0000C8910000}"/>
    <cellStyle name="Wrap 2 8 13 2" xfId="34279" xr:uid="{00000000-0005-0000-0000-0000C9910000}"/>
    <cellStyle name="Wrap 2 8 14" xfId="34280" xr:uid="{00000000-0005-0000-0000-0000CA910000}"/>
    <cellStyle name="Wrap 2 8 14 2" xfId="34281" xr:uid="{00000000-0005-0000-0000-0000CB910000}"/>
    <cellStyle name="Wrap 2 8 15" xfId="34282" xr:uid="{00000000-0005-0000-0000-0000CC910000}"/>
    <cellStyle name="Wrap 2 8 15 2" xfId="34283" xr:uid="{00000000-0005-0000-0000-0000CD910000}"/>
    <cellStyle name="Wrap 2 8 16" xfId="34284" xr:uid="{00000000-0005-0000-0000-0000CE910000}"/>
    <cellStyle name="Wrap 2 8 16 2" xfId="34285" xr:uid="{00000000-0005-0000-0000-0000CF910000}"/>
    <cellStyle name="Wrap 2 8 17" xfId="34286" xr:uid="{00000000-0005-0000-0000-0000D0910000}"/>
    <cellStyle name="Wrap 2 8 17 2" xfId="34287" xr:uid="{00000000-0005-0000-0000-0000D1910000}"/>
    <cellStyle name="Wrap 2 8 18" xfId="34288" xr:uid="{00000000-0005-0000-0000-0000D2910000}"/>
    <cellStyle name="Wrap 2 8 2" xfId="34289" xr:uid="{00000000-0005-0000-0000-0000D3910000}"/>
    <cellStyle name="Wrap 2 8 2 10" xfId="34290" xr:uid="{00000000-0005-0000-0000-0000D4910000}"/>
    <cellStyle name="Wrap 2 8 2 2" xfId="34291" xr:uid="{00000000-0005-0000-0000-0000D5910000}"/>
    <cellStyle name="Wrap 2 8 2 2 2" xfId="34292" xr:uid="{00000000-0005-0000-0000-0000D6910000}"/>
    <cellStyle name="Wrap 2 8 2 3" xfId="34293" xr:uid="{00000000-0005-0000-0000-0000D7910000}"/>
    <cellStyle name="Wrap 2 8 2 3 2" xfId="34294" xr:uid="{00000000-0005-0000-0000-0000D8910000}"/>
    <cellStyle name="Wrap 2 8 2 4" xfId="34295" xr:uid="{00000000-0005-0000-0000-0000D9910000}"/>
    <cellStyle name="Wrap 2 8 2 4 2" xfId="34296" xr:uid="{00000000-0005-0000-0000-0000DA910000}"/>
    <cellStyle name="Wrap 2 8 2 5" xfId="34297" xr:uid="{00000000-0005-0000-0000-0000DB910000}"/>
    <cellStyle name="Wrap 2 8 2 5 2" xfId="34298" xr:uid="{00000000-0005-0000-0000-0000DC910000}"/>
    <cellStyle name="Wrap 2 8 2 6" xfId="34299" xr:uid="{00000000-0005-0000-0000-0000DD910000}"/>
    <cellStyle name="Wrap 2 8 2 6 2" xfId="34300" xr:uid="{00000000-0005-0000-0000-0000DE910000}"/>
    <cellStyle name="Wrap 2 8 2 7" xfId="34301" xr:uid="{00000000-0005-0000-0000-0000DF910000}"/>
    <cellStyle name="Wrap 2 8 2 7 2" xfId="34302" xr:uid="{00000000-0005-0000-0000-0000E0910000}"/>
    <cellStyle name="Wrap 2 8 2 8" xfId="34303" xr:uid="{00000000-0005-0000-0000-0000E1910000}"/>
    <cellStyle name="Wrap 2 8 2 8 2" xfId="34304" xr:uid="{00000000-0005-0000-0000-0000E2910000}"/>
    <cellStyle name="Wrap 2 8 2 9" xfId="34305" xr:uid="{00000000-0005-0000-0000-0000E3910000}"/>
    <cellStyle name="Wrap 2 8 2 9 2" xfId="34306" xr:uid="{00000000-0005-0000-0000-0000E4910000}"/>
    <cellStyle name="Wrap 2 8 3" xfId="34307" xr:uid="{00000000-0005-0000-0000-0000E5910000}"/>
    <cellStyle name="Wrap 2 8 3 10" xfId="34308" xr:uid="{00000000-0005-0000-0000-0000E6910000}"/>
    <cellStyle name="Wrap 2 8 3 2" xfId="34309" xr:uid="{00000000-0005-0000-0000-0000E7910000}"/>
    <cellStyle name="Wrap 2 8 3 2 2" xfId="34310" xr:uid="{00000000-0005-0000-0000-0000E8910000}"/>
    <cellStyle name="Wrap 2 8 3 3" xfId="34311" xr:uid="{00000000-0005-0000-0000-0000E9910000}"/>
    <cellStyle name="Wrap 2 8 3 3 2" xfId="34312" xr:uid="{00000000-0005-0000-0000-0000EA910000}"/>
    <cellStyle name="Wrap 2 8 3 4" xfId="34313" xr:uid="{00000000-0005-0000-0000-0000EB910000}"/>
    <cellStyle name="Wrap 2 8 3 4 2" xfId="34314" xr:uid="{00000000-0005-0000-0000-0000EC910000}"/>
    <cellStyle name="Wrap 2 8 3 5" xfId="34315" xr:uid="{00000000-0005-0000-0000-0000ED910000}"/>
    <cellStyle name="Wrap 2 8 3 5 2" xfId="34316" xr:uid="{00000000-0005-0000-0000-0000EE910000}"/>
    <cellStyle name="Wrap 2 8 3 6" xfId="34317" xr:uid="{00000000-0005-0000-0000-0000EF910000}"/>
    <cellStyle name="Wrap 2 8 3 6 2" xfId="34318" xr:uid="{00000000-0005-0000-0000-0000F0910000}"/>
    <cellStyle name="Wrap 2 8 3 7" xfId="34319" xr:uid="{00000000-0005-0000-0000-0000F1910000}"/>
    <cellStyle name="Wrap 2 8 3 7 2" xfId="34320" xr:uid="{00000000-0005-0000-0000-0000F2910000}"/>
    <cellStyle name="Wrap 2 8 3 8" xfId="34321" xr:uid="{00000000-0005-0000-0000-0000F3910000}"/>
    <cellStyle name="Wrap 2 8 3 8 2" xfId="34322" xr:uid="{00000000-0005-0000-0000-0000F4910000}"/>
    <cellStyle name="Wrap 2 8 3 9" xfId="34323" xr:uid="{00000000-0005-0000-0000-0000F5910000}"/>
    <cellStyle name="Wrap 2 8 3 9 2" xfId="34324" xr:uid="{00000000-0005-0000-0000-0000F6910000}"/>
    <cellStyle name="Wrap 2 8 4" xfId="34325" xr:uid="{00000000-0005-0000-0000-0000F7910000}"/>
    <cellStyle name="Wrap 2 8 4 10" xfId="34326" xr:uid="{00000000-0005-0000-0000-0000F8910000}"/>
    <cellStyle name="Wrap 2 8 4 2" xfId="34327" xr:uid="{00000000-0005-0000-0000-0000F9910000}"/>
    <cellStyle name="Wrap 2 8 4 2 2" xfId="34328" xr:uid="{00000000-0005-0000-0000-0000FA910000}"/>
    <cellStyle name="Wrap 2 8 4 3" xfId="34329" xr:uid="{00000000-0005-0000-0000-0000FB910000}"/>
    <cellStyle name="Wrap 2 8 4 3 2" xfId="34330" xr:uid="{00000000-0005-0000-0000-0000FC910000}"/>
    <cellStyle name="Wrap 2 8 4 4" xfId="34331" xr:uid="{00000000-0005-0000-0000-0000FD910000}"/>
    <cellStyle name="Wrap 2 8 4 4 2" xfId="34332" xr:uid="{00000000-0005-0000-0000-0000FE910000}"/>
    <cellStyle name="Wrap 2 8 4 5" xfId="34333" xr:uid="{00000000-0005-0000-0000-0000FF910000}"/>
    <cellStyle name="Wrap 2 8 4 5 2" xfId="34334" xr:uid="{00000000-0005-0000-0000-000000920000}"/>
    <cellStyle name="Wrap 2 8 4 6" xfId="34335" xr:uid="{00000000-0005-0000-0000-000001920000}"/>
    <cellStyle name="Wrap 2 8 4 6 2" xfId="34336" xr:uid="{00000000-0005-0000-0000-000002920000}"/>
    <cellStyle name="Wrap 2 8 4 7" xfId="34337" xr:uid="{00000000-0005-0000-0000-000003920000}"/>
    <cellStyle name="Wrap 2 8 4 7 2" xfId="34338" xr:uid="{00000000-0005-0000-0000-000004920000}"/>
    <cellStyle name="Wrap 2 8 4 8" xfId="34339" xr:uid="{00000000-0005-0000-0000-000005920000}"/>
    <cellStyle name="Wrap 2 8 4 8 2" xfId="34340" xr:uid="{00000000-0005-0000-0000-000006920000}"/>
    <cellStyle name="Wrap 2 8 4 9" xfId="34341" xr:uid="{00000000-0005-0000-0000-000007920000}"/>
    <cellStyle name="Wrap 2 8 4 9 2" xfId="34342" xr:uid="{00000000-0005-0000-0000-000008920000}"/>
    <cellStyle name="Wrap 2 8 5" xfId="34343" xr:uid="{00000000-0005-0000-0000-000009920000}"/>
    <cellStyle name="Wrap 2 8 5 10" xfId="34344" xr:uid="{00000000-0005-0000-0000-00000A920000}"/>
    <cellStyle name="Wrap 2 8 5 2" xfId="34345" xr:uid="{00000000-0005-0000-0000-00000B920000}"/>
    <cellStyle name="Wrap 2 8 5 2 2" xfId="34346" xr:uid="{00000000-0005-0000-0000-00000C920000}"/>
    <cellStyle name="Wrap 2 8 5 3" xfId="34347" xr:uid="{00000000-0005-0000-0000-00000D920000}"/>
    <cellStyle name="Wrap 2 8 5 3 2" xfId="34348" xr:uid="{00000000-0005-0000-0000-00000E920000}"/>
    <cellStyle name="Wrap 2 8 5 4" xfId="34349" xr:uid="{00000000-0005-0000-0000-00000F920000}"/>
    <cellStyle name="Wrap 2 8 5 4 2" xfId="34350" xr:uid="{00000000-0005-0000-0000-000010920000}"/>
    <cellStyle name="Wrap 2 8 5 5" xfId="34351" xr:uid="{00000000-0005-0000-0000-000011920000}"/>
    <cellStyle name="Wrap 2 8 5 5 2" xfId="34352" xr:uid="{00000000-0005-0000-0000-000012920000}"/>
    <cellStyle name="Wrap 2 8 5 6" xfId="34353" xr:uid="{00000000-0005-0000-0000-000013920000}"/>
    <cellStyle name="Wrap 2 8 5 6 2" xfId="34354" xr:uid="{00000000-0005-0000-0000-000014920000}"/>
    <cellStyle name="Wrap 2 8 5 7" xfId="34355" xr:uid="{00000000-0005-0000-0000-000015920000}"/>
    <cellStyle name="Wrap 2 8 5 7 2" xfId="34356" xr:uid="{00000000-0005-0000-0000-000016920000}"/>
    <cellStyle name="Wrap 2 8 5 8" xfId="34357" xr:uid="{00000000-0005-0000-0000-000017920000}"/>
    <cellStyle name="Wrap 2 8 5 8 2" xfId="34358" xr:uid="{00000000-0005-0000-0000-000018920000}"/>
    <cellStyle name="Wrap 2 8 5 9" xfId="34359" xr:uid="{00000000-0005-0000-0000-000019920000}"/>
    <cellStyle name="Wrap 2 8 5 9 2" xfId="34360" xr:uid="{00000000-0005-0000-0000-00001A920000}"/>
    <cellStyle name="Wrap 2 8 6" xfId="34361" xr:uid="{00000000-0005-0000-0000-00001B920000}"/>
    <cellStyle name="Wrap 2 8 6 10" xfId="34362" xr:uid="{00000000-0005-0000-0000-00001C920000}"/>
    <cellStyle name="Wrap 2 8 6 2" xfId="34363" xr:uid="{00000000-0005-0000-0000-00001D920000}"/>
    <cellStyle name="Wrap 2 8 6 2 2" xfId="34364" xr:uid="{00000000-0005-0000-0000-00001E920000}"/>
    <cellStyle name="Wrap 2 8 6 3" xfId="34365" xr:uid="{00000000-0005-0000-0000-00001F920000}"/>
    <cellStyle name="Wrap 2 8 6 3 2" xfId="34366" xr:uid="{00000000-0005-0000-0000-000020920000}"/>
    <cellStyle name="Wrap 2 8 6 4" xfId="34367" xr:uid="{00000000-0005-0000-0000-000021920000}"/>
    <cellStyle name="Wrap 2 8 6 4 2" xfId="34368" xr:uid="{00000000-0005-0000-0000-000022920000}"/>
    <cellStyle name="Wrap 2 8 6 5" xfId="34369" xr:uid="{00000000-0005-0000-0000-000023920000}"/>
    <cellStyle name="Wrap 2 8 6 5 2" xfId="34370" xr:uid="{00000000-0005-0000-0000-000024920000}"/>
    <cellStyle name="Wrap 2 8 6 6" xfId="34371" xr:uid="{00000000-0005-0000-0000-000025920000}"/>
    <cellStyle name="Wrap 2 8 6 6 2" xfId="34372" xr:uid="{00000000-0005-0000-0000-000026920000}"/>
    <cellStyle name="Wrap 2 8 6 7" xfId="34373" xr:uid="{00000000-0005-0000-0000-000027920000}"/>
    <cellStyle name="Wrap 2 8 6 7 2" xfId="34374" xr:uid="{00000000-0005-0000-0000-000028920000}"/>
    <cellStyle name="Wrap 2 8 6 8" xfId="34375" xr:uid="{00000000-0005-0000-0000-000029920000}"/>
    <cellStyle name="Wrap 2 8 6 8 2" xfId="34376" xr:uid="{00000000-0005-0000-0000-00002A920000}"/>
    <cellStyle name="Wrap 2 8 6 9" xfId="34377" xr:uid="{00000000-0005-0000-0000-00002B920000}"/>
    <cellStyle name="Wrap 2 8 6 9 2" xfId="34378" xr:uid="{00000000-0005-0000-0000-00002C920000}"/>
    <cellStyle name="Wrap 2 8 7" xfId="34379" xr:uid="{00000000-0005-0000-0000-00002D920000}"/>
    <cellStyle name="Wrap 2 8 7 10" xfId="34380" xr:uid="{00000000-0005-0000-0000-00002E920000}"/>
    <cellStyle name="Wrap 2 8 7 2" xfId="34381" xr:uid="{00000000-0005-0000-0000-00002F920000}"/>
    <cellStyle name="Wrap 2 8 7 2 2" xfId="34382" xr:uid="{00000000-0005-0000-0000-000030920000}"/>
    <cellStyle name="Wrap 2 8 7 3" xfId="34383" xr:uid="{00000000-0005-0000-0000-000031920000}"/>
    <cellStyle name="Wrap 2 8 7 3 2" xfId="34384" xr:uid="{00000000-0005-0000-0000-000032920000}"/>
    <cellStyle name="Wrap 2 8 7 4" xfId="34385" xr:uid="{00000000-0005-0000-0000-000033920000}"/>
    <cellStyle name="Wrap 2 8 7 4 2" xfId="34386" xr:uid="{00000000-0005-0000-0000-000034920000}"/>
    <cellStyle name="Wrap 2 8 7 5" xfId="34387" xr:uid="{00000000-0005-0000-0000-000035920000}"/>
    <cellStyle name="Wrap 2 8 7 5 2" xfId="34388" xr:uid="{00000000-0005-0000-0000-000036920000}"/>
    <cellStyle name="Wrap 2 8 7 6" xfId="34389" xr:uid="{00000000-0005-0000-0000-000037920000}"/>
    <cellStyle name="Wrap 2 8 7 6 2" xfId="34390" xr:uid="{00000000-0005-0000-0000-000038920000}"/>
    <cellStyle name="Wrap 2 8 7 7" xfId="34391" xr:uid="{00000000-0005-0000-0000-000039920000}"/>
    <cellStyle name="Wrap 2 8 7 7 2" xfId="34392" xr:uid="{00000000-0005-0000-0000-00003A920000}"/>
    <cellStyle name="Wrap 2 8 7 8" xfId="34393" xr:uid="{00000000-0005-0000-0000-00003B920000}"/>
    <cellStyle name="Wrap 2 8 7 8 2" xfId="34394" xr:uid="{00000000-0005-0000-0000-00003C920000}"/>
    <cellStyle name="Wrap 2 8 7 9" xfId="34395" xr:uid="{00000000-0005-0000-0000-00003D920000}"/>
    <cellStyle name="Wrap 2 8 7 9 2" xfId="34396" xr:uid="{00000000-0005-0000-0000-00003E920000}"/>
    <cellStyle name="Wrap 2 8 8" xfId="34397" xr:uid="{00000000-0005-0000-0000-00003F920000}"/>
    <cellStyle name="Wrap 2 8 8 10" xfId="34398" xr:uid="{00000000-0005-0000-0000-000040920000}"/>
    <cellStyle name="Wrap 2 8 8 2" xfId="34399" xr:uid="{00000000-0005-0000-0000-000041920000}"/>
    <cellStyle name="Wrap 2 8 8 2 2" xfId="34400" xr:uid="{00000000-0005-0000-0000-000042920000}"/>
    <cellStyle name="Wrap 2 8 8 3" xfId="34401" xr:uid="{00000000-0005-0000-0000-000043920000}"/>
    <cellStyle name="Wrap 2 8 8 3 2" xfId="34402" xr:uid="{00000000-0005-0000-0000-000044920000}"/>
    <cellStyle name="Wrap 2 8 8 4" xfId="34403" xr:uid="{00000000-0005-0000-0000-000045920000}"/>
    <cellStyle name="Wrap 2 8 8 4 2" xfId="34404" xr:uid="{00000000-0005-0000-0000-000046920000}"/>
    <cellStyle name="Wrap 2 8 8 5" xfId="34405" xr:uid="{00000000-0005-0000-0000-000047920000}"/>
    <cellStyle name="Wrap 2 8 8 5 2" xfId="34406" xr:uid="{00000000-0005-0000-0000-000048920000}"/>
    <cellStyle name="Wrap 2 8 8 6" xfId="34407" xr:uid="{00000000-0005-0000-0000-000049920000}"/>
    <cellStyle name="Wrap 2 8 8 6 2" xfId="34408" xr:uid="{00000000-0005-0000-0000-00004A920000}"/>
    <cellStyle name="Wrap 2 8 8 7" xfId="34409" xr:uid="{00000000-0005-0000-0000-00004B920000}"/>
    <cellStyle name="Wrap 2 8 8 7 2" xfId="34410" xr:uid="{00000000-0005-0000-0000-00004C920000}"/>
    <cellStyle name="Wrap 2 8 8 8" xfId="34411" xr:uid="{00000000-0005-0000-0000-00004D920000}"/>
    <cellStyle name="Wrap 2 8 8 8 2" xfId="34412" xr:uid="{00000000-0005-0000-0000-00004E920000}"/>
    <cellStyle name="Wrap 2 8 8 9" xfId="34413" xr:uid="{00000000-0005-0000-0000-00004F920000}"/>
    <cellStyle name="Wrap 2 8 8 9 2" xfId="34414" xr:uid="{00000000-0005-0000-0000-000050920000}"/>
    <cellStyle name="Wrap 2 8 9" xfId="34415" xr:uid="{00000000-0005-0000-0000-000051920000}"/>
    <cellStyle name="Wrap 2 8 9 10" xfId="34416" xr:uid="{00000000-0005-0000-0000-000052920000}"/>
    <cellStyle name="Wrap 2 8 9 2" xfId="34417" xr:uid="{00000000-0005-0000-0000-000053920000}"/>
    <cellStyle name="Wrap 2 8 9 2 2" xfId="34418" xr:uid="{00000000-0005-0000-0000-000054920000}"/>
    <cellStyle name="Wrap 2 8 9 3" xfId="34419" xr:uid="{00000000-0005-0000-0000-000055920000}"/>
    <cellStyle name="Wrap 2 8 9 3 2" xfId="34420" xr:uid="{00000000-0005-0000-0000-000056920000}"/>
    <cellStyle name="Wrap 2 8 9 4" xfId="34421" xr:uid="{00000000-0005-0000-0000-000057920000}"/>
    <cellStyle name="Wrap 2 8 9 4 2" xfId="34422" xr:uid="{00000000-0005-0000-0000-000058920000}"/>
    <cellStyle name="Wrap 2 8 9 5" xfId="34423" xr:uid="{00000000-0005-0000-0000-000059920000}"/>
    <cellStyle name="Wrap 2 8 9 5 2" xfId="34424" xr:uid="{00000000-0005-0000-0000-00005A920000}"/>
    <cellStyle name="Wrap 2 8 9 6" xfId="34425" xr:uid="{00000000-0005-0000-0000-00005B920000}"/>
    <cellStyle name="Wrap 2 8 9 6 2" xfId="34426" xr:uid="{00000000-0005-0000-0000-00005C920000}"/>
    <cellStyle name="Wrap 2 8 9 7" xfId="34427" xr:uid="{00000000-0005-0000-0000-00005D920000}"/>
    <cellStyle name="Wrap 2 8 9 7 2" xfId="34428" xr:uid="{00000000-0005-0000-0000-00005E920000}"/>
    <cellStyle name="Wrap 2 8 9 8" xfId="34429" xr:uid="{00000000-0005-0000-0000-00005F920000}"/>
    <cellStyle name="Wrap 2 8 9 8 2" xfId="34430" xr:uid="{00000000-0005-0000-0000-000060920000}"/>
    <cellStyle name="Wrap 2 8 9 9" xfId="34431" xr:uid="{00000000-0005-0000-0000-000061920000}"/>
    <cellStyle name="Wrap 2 8 9 9 2" xfId="34432" xr:uid="{00000000-0005-0000-0000-000062920000}"/>
    <cellStyle name="Wrap 2 9" xfId="34433" xr:uid="{00000000-0005-0000-0000-000063920000}"/>
    <cellStyle name="Wrap 2 9 10" xfId="34434" xr:uid="{00000000-0005-0000-0000-000064920000}"/>
    <cellStyle name="Wrap 2 9 10 2" xfId="34435" xr:uid="{00000000-0005-0000-0000-000065920000}"/>
    <cellStyle name="Wrap 2 9 10 2 2" xfId="34436" xr:uid="{00000000-0005-0000-0000-000066920000}"/>
    <cellStyle name="Wrap 2 9 10 3" xfId="34437" xr:uid="{00000000-0005-0000-0000-000067920000}"/>
    <cellStyle name="Wrap 2 9 10 3 2" xfId="34438" xr:uid="{00000000-0005-0000-0000-000068920000}"/>
    <cellStyle name="Wrap 2 9 10 4" xfId="34439" xr:uid="{00000000-0005-0000-0000-000069920000}"/>
    <cellStyle name="Wrap 2 9 10 4 2" xfId="34440" xr:uid="{00000000-0005-0000-0000-00006A920000}"/>
    <cellStyle name="Wrap 2 9 10 5" xfId="34441" xr:uid="{00000000-0005-0000-0000-00006B920000}"/>
    <cellStyle name="Wrap 2 9 10 5 2" xfId="34442" xr:uid="{00000000-0005-0000-0000-00006C920000}"/>
    <cellStyle name="Wrap 2 9 10 6" xfId="34443" xr:uid="{00000000-0005-0000-0000-00006D920000}"/>
    <cellStyle name="Wrap 2 9 10 6 2" xfId="34444" xr:uid="{00000000-0005-0000-0000-00006E920000}"/>
    <cellStyle name="Wrap 2 9 10 7" xfId="34445" xr:uid="{00000000-0005-0000-0000-00006F920000}"/>
    <cellStyle name="Wrap 2 9 10 7 2" xfId="34446" xr:uid="{00000000-0005-0000-0000-000070920000}"/>
    <cellStyle name="Wrap 2 9 10 8" xfId="34447" xr:uid="{00000000-0005-0000-0000-000071920000}"/>
    <cellStyle name="Wrap 2 9 10 8 2" xfId="34448" xr:uid="{00000000-0005-0000-0000-000072920000}"/>
    <cellStyle name="Wrap 2 9 10 9" xfId="34449" xr:uid="{00000000-0005-0000-0000-000073920000}"/>
    <cellStyle name="Wrap 2 9 11" xfId="34450" xr:uid="{00000000-0005-0000-0000-000074920000}"/>
    <cellStyle name="Wrap 2 9 11 2" xfId="34451" xr:uid="{00000000-0005-0000-0000-000075920000}"/>
    <cellStyle name="Wrap 2 9 12" xfId="34452" xr:uid="{00000000-0005-0000-0000-000076920000}"/>
    <cellStyle name="Wrap 2 9 12 2" xfId="34453" xr:uid="{00000000-0005-0000-0000-000077920000}"/>
    <cellStyle name="Wrap 2 9 13" xfId="34454" xr:uid="{00000000-0005-0000-0000-000078920000}"/>
    <cellStyle name="Wrap 2 9 13 2" xfId="34455" xr:uid="{00000000-0005-0000-0000-000079920000}"/>
    <cellStyle name="Wrap 2 9 14" xfId="34456" xr:uid="{00000000-0005-0000-0000-00007A920000}"/>
    <cellStyle name="Wrap 2 9 14 2" xfId="34457" xr:uid="{00000000-0005-0000-0000-00007B920000}"/>
    <cellStyle name="Wrap 2 9 15" xfId="34458" xr:uid="{00000000-0005-0000-0000-00007C920000}"/>
    <cellStyle name="Wrap 2 9 15 2" xfId="34459" xr:uid="{00000000-0005-0000-0000-00007D920000}"/>
    <cellStyle name="Wrap 2 9 16" xfId="34460" xr:uid="{00000000-0005-0000-0000-00007E920000}"/>
    <cellStyle name="Wrap 2 9 16 2" xfId="34461" xr:uid="{00000000-0005-0000-0000-00007F920000}"/>
    <cellStyle name="Wrap 2 9 17" xfId="34462" xr:uid="{00000000-0005-0000-0000-000080920000}"/>
    <cellStyle name="Wrap 2 9 17 2" xfId="34463" xr:uid="{00000000-0005-0000-0000-000081920000}"/>
    <cellStyle name="Wrap 2 9 18" xfId="34464" xr:uid="{00000000-0005-0000-0000-000082920000}"/>
    <cellStyle name="Wrap 2 9 2" xfId="34465" xr:uid="{00000000-0005-0000-0000-000083920000}"/>
    <cellStyle name="Wrap 2 9 2 10" xfId="34466" xr:uid="{00000000-0005-0000-0000-000084920000}"/>
    <cellStyle name="Wrap 2 9 2 2" xfId="34467" xr:uid="{00000000-0005-0000-0000-000085920000}"/>
    <cellStyle name="Wrap 2 9 2 2 2" xfId="34468" xr:uid="{00000000-0005-0000-0000-000086920000}"/>
    <cellStyle name="Wrap 2 9 2 3" xfId="34469" xr:uid="{00000000-0005-0000-0000-000087920000}"/>
    <cellStyle name="Wrap 2 9 2 3 2" xfId="34470" xr:uid="{00000000-0005-0000-0000-000088920000}"/>
    <cellStyle name="Wrap 2 9 2 4" xfId="34471" xr:uid="{00000000-0005-0000-0000-000089920000}"/>
    <cellStyle name="Wrap 2 9 2 4 2" xfId="34472" xr:uid="{00000000-0005-0000-0000-00008A920000}"/>
    <cellStyle name="Wrap 2 9 2 5" xfId="34473" xr:uid="{00000000-0005-0000-0000-00008B920000}"/>
    <cellStyle name="Wrap 2 9 2 5 2" xfId="34474" xr:uid="{00000000-0005-0000-0000-00008C920000}"/>
    <cellStyle name="Wrap 2 9 2 6" xfId="34475" xr:uid="{00000000-0005-0000-0000-00008D920000}"/>
    <cellStyle name="Wrap 2 9 2 6 2" xfId="34476" xr:uid="{00000000-0005-0000-0000-00008E920000}"/>
    <cellStyle name="Wrap 2 9 2 7" xfId="34477" xr:uid="{00000000-0005-0000-0000-00008F920000}"/>
    <cellStyle name="Wrap 2 9 2 7 2" xfId="34478" xr:uid="{00000000-0005-0000-0000-000090920000}"/>
    <cellStyle name="Wrap 2 9 2 8" xfId="34479" xr:uid="{00000000-0005-0000-0000-000091920000}"/>
    <cellStyle name="Wrap 2 9 2 8 2" xfId="34480" xr:uid="{00000000-0005-0000-0000-000092920000}"/>
    <cellStyle name="Wrap 2 9 2 9" xfId="34481" xr:uid="{00000000-0005-0000-0000-000093920000}"/>
    <cellStyle name="Wrap 2 9 2 9 2" xfId="34482" xr:uid="{00000000-0005-0000-0000-000094920000}"/>
    <cellStyle name="Wrap 2 9 3" xfId="34483" xr:uid="{00000000-0005-0000-0000-000095920000}"/>
    <cellStyle name="Wrap 2 9 3 10" xfId="34484" xr:uid="{00000000-0005-0000-0000-000096920000}"/>
    <cellStyle name="Wrap 2 9 3 2" xfId="34485" xr:uid="{00000000-0005-0000-0000-000097920000}"/>
    <cellStyle name="Wrap 2 9 3 2 2" xfId="34486" xr:uid="{00000000-0005-0000-0000-000098920000}"/>
    <cellStyle name="Wrap 2 9 3 3" xfId="34487" xr:uid="{00000000-0005-0000-0000-000099920000}"/>
    <cellStyle name="Wrap 2 9 3 3 2" xfId="34488" xr:uid="{00000000-0005-0000-0000-00009A920000}"/>
    <cellStyle name="Wrap 2 9 3 4" xfId="34489" xr:uid="{00000000-0005-0000-0000-00009B920000}"/>
    <cellStyle name="Wrap 2 9 3 4 2" xfId="34490" xr:uid="{00000000-0005-0000-0000-00009C920000}"/>
    <cellStyle name="Wrap 2 9 3 5" xfId="34491" xr:uid="{00000000-0005-0000-0000-00009D920000}"/>
    <cellStyle name="Wrap 2 9 3 5 2" xfId="34492" xr:uid="{00000000-0005-0000-0000-00009E920000}"/>
    <cellStyle name="Wrap 2 9 3 6" xfId="34493" xr:uid="{00000000-0005-0000-0000-00009F920000}"/>
    <cellStyle name="Wrap 2 9 3 6 2" xfId="34494" xr:uid="{00000000-0005-0000-0000-0000A0920000}"/>
    <cellStyle name="Wrap 2 9 3 7" xfId="34495" xr:uid="{00000000-0005-0000-0000-0000A1920000}"/>
    <cellStyle name="Wrap 2 9 3 7 2" xfId="34496" xr:uid="{00000000-0005-0000-0000-0000A2920000}"/>
    <cellStyle name="Wrap 2 9 3 8" xfId="34497" xr:uid="{00000000-0005-0000-0000-0000A3920000}"/>
    <cellStyle name="Wrap 2 9 3 8 2" xfId="34498" xr:uid="{00000000-0005-0000-0000-0000A4920000}"/>
    <cellStyle name="Wrap 2 9 3 9" xfId="34499" xr:uid="{00000000-0005-0000-0000-0000A5920000}"/>
    <cellStyle name="Wrap 2 9 3 9 2" xfId="34500" xr:uid="{00000000-0005-0000-0000-0000A6920000}"/>
    <cellStyle name="Wrap 2 9 4" xfId="34501" xr:uid="{00000000-0005-0000-0000-0000A7920000}"/>
    <cellStyle name="Wrap 2 9 4 10" xfId="34502" xr:uid="{00000000-0005-0000-0000-0000A8920000}"/>
    <cellStyle name="Wrap 2 9 4 2" xfId="34503" xr:uid="{00000000-0005-0000-0000-0000A9920000}"/>
    <cellStyle name="Wrap 2 9 4 2 2" xfId="34504" xr:uid="{00000000-0005-0000-0000-0000AA920000}"/>
    <cellStyle name="Wrap 2 9 4 3" xfId="34505" xr:uid="{00000000-0005-0000-0000-0000AB920000}"/>
    <cellStyle name="Wrap 2 9 4 3 2" xfId="34506" xr:uid="{00000000-0005-0000-0000-0000AC920000}"/>
    <cellStyle name="Wrap 2 9 4 4" xfId="34507" xr:uid="{00000000-0005-0000-0000-0000AD920000}"/>
    <cellStyle name="Wrap 2 9 4 4 2" xfId="34508" xr:uid="{00000000-0005-0000-0000-0000AE920000}"/>
    <cellStyle name="Wrap 2 9 4 5" xfId="34509" xr:uid="{00000000-0005-0000-0000-0000AF920000}"/>
    <cellStyle name="Wrap 2 9 4 5 2" xfId="34510" xr:uid="{00000000-0005-0000-0000-0000B0920000}"/>
    <cellStyle name="Wrap 2 9 4 6" xfId="34511" xr:uid="{00000000-0005-0000-0000-0000B1920000}"/>
    <cellStyle name="Wrap 2 9 4 6 2" xfId="34512" xr:uid="{00000000-0005-0000-0000-0000B2920000}"/>
    <cellStyle name="Wrap 2 9 4 7" xfId="34513" xr:uid="{00000000-0005-0000-0000-0000B3920000}"/>
    <cellStyle name="Wrap 2 9 4 7 2" xfId="34514" xr:uid="{00000000-0005-0000-0000-0000B4920000}"/>
    <cellStyle name="Wrap 2 9 4 8" xfId="34515" xr:uid="{00000000-0005-0000-0000-0000B5920000}"/>
    <cellStyle name="Wrap 2 9 4 8 2" xfId="34516" xr:uid="{00000000-0005-0000-0000-0000B6920000}"/>
    <cellStyle name="Wrap 2 9 4 9" xfId="34517" xr:uid="{00000000-0005-0000-0000-0000B7920000}"/>
    <cellStyle name="Wrap 2 9 4 9 2" xfId="34518" xr:uid="{00000000-0005-0000-0000-0000B8920000}"/>
    <cellStyle name="Wrap 2 9 5" xfId="34519" xr:uid="{00000000-0005-0000-0000-0000B9920000}"/>
    <cellStyle name="Wrap 2 9 5 10" xfId="34520" xr:uid="{00000000-0005-0000-0000-0000BA920000}"/>
    <cellStyle name="Wrap 2 9 5 2" xfId="34521" xr:uid="{00000000-0005-0000-0000-0000BB920000}"/>
    <cellStyle name="Wrap 2 9 5 2 2" xfId="34522" xr:uid="{00000000-0005-0000-0000-0000BC920000}"/>
    <cellStyle name="Wrap 2 9 5 3" xfId="34523" xr:uid="{00000000-0005-0000-0000-0000BD920000}"/>
    <cellStyle name="Wrap 2 9 5 3 2" xfId="34524" xr:uid="{00000000-0005-0000-0000-0000BE920000}"/>
    <cellStyle name="Wrap 2 9 5 4" xfId="34525" xr:uid="{00000000-0005-0000-0000-0000BF920000}"/>
    <cellStyle name="Wrap 2 9 5 4 2" xfId="34526" xr:uid="{00000000-0005-0000-0000-0000C0920000}"/>
    <cellStyle name="Wrap 2 9 5 5" xfId="34527" xr:uid="{00000000-0005-0000-0000-0000C1920000}"/>
    <cellStyle name="Wrap 2 9 5 5 2" xfId="34528" xr:uid="{00000000-0005-0000-0000-0000C2920000}"/>
    <cellStyle name="Wrap 2 9 5 6" xfId="34529" xr:uid="{00000000-0005-0000-0000-0000C3920000}"/>
    <cellStyle name="Wrap 2 9 5 6 2" xfId="34530" xr:uid="{00000000-0005-0000-0000-0000C4920000}"/>
    <cellStyle name="Wrap 2 9 5 7" xfId="34531" xr:uid="{00000000-0005-0000-0000-0000C5920000}"/>
    <cellStyle name="Wrap 2 9 5 7 2" xfId="34532" xr:uid="{00000000-0005-0000-0000-0000C6920000}"/>
    <cellStyle name="Wrap 2 9 5 8" xfId="34533" xr:uid="{00000000-0005-0000-0000-0000C7920000}"/>
    <cellStyle name="Wrap 2 9 5 8 2" xfId="34534" xr:uid="{00000000-0005-0000-0000-0000C8920000}"/>
    <cellStyle name="Wrap 2 9 5 9" xfId="34535" xr:uid="{00000000-0005-0000-0000-0000C9920000}"/>
    <cellStyle name="Wrap 2 9 5 9 2" xfId="34536" xr:uid="{00000000-0005-0000-0000-0000CA920000}"/>
    <cellStyle name="Wrap 2 9 6" xfId="34537" xr:uid="{00000000-0005-0000-0000-0000CB920000}"/>
    <cellStyle name="Wrap 2 9 6 10" xfId="34538" xr:uid="{00000000-0005-0000-0000-0000CC920000}"/>
    <cellStyle name="Wrap 2 9 6 2" xfId="34539" xr:uid="{00000000-0005-0000-0000-0000CD920000}"/>
    <cellStyle name="Wrap 2 9 6 2 2" xfId="34540" xr:uid="{00000000-0005-0000-0000-0000CE920000}"/>
    <cellStyle name="Wrap 2 9 6 3" xfId="34541" xr:uid="{00000000-0005-0000-0000-0000CF920000}"/>
    <cellStyle name="Wrap 2 9 6 3 2" xfId="34542" xr:uid="{00000000-0005-0000-0000-0000D0920000}"/>
    <cellStyle name="Wrap 2 9 6 4" xfId="34543" xr:uid="{00000000-0005-0000-0000-0000D1920000}"/>
    <cellStyle name="Wrap 2 9 6 4 2" xfId="34544" xr:uid="{00000000-0005-0000-0000-0000D2920000}"/>
    <cellStyle name="Wrap 2 9 6 5" xfId="34545" xr:uid="{00000000-0005-0000-0000-0000D3920000}"/>
    <cellStyle name="Wrap 2 9 6 5 2" xfId="34546" xr:uid="{00000000-0005-0000-0000-0000D4920000}"/>
    <cellStyle name="Wrap 2 9 6 6" xfId="34547" xr:uid="{00000000-0005-0000-0000-0000D5920000}"/>
    <cellStyle name="Wrap 2 9 6 6 2" xfId="34548" xr:uid="{00000000-0005-0000-0000-0000D6920000}"/>
    <cellStyle name="Wrap 2 9 6 7" xfId="34549" xr:uid="{00000000-0005-0000-0000-0000D7920000}"/>
    <cellStyle name="Wrap 2 9 6 7 2" xfId="34550" xr:uid="{00000000-0005-0000-0000-0000D8920000}"/>
    <cellStyle name="Wrap 2 9 6 8" xfId="34551" xr:uid="{00000000-0005-0000-0000-0000D9920000}"/>
    <cellStyle name="Wrap 2 9 6 8 2" xfId="34552" xr:uid="{00000000-0005-0000-0000-0000DA920000}"/>
    <cellStyle name="Wrap 2 9 6 9" xfId="34553" xr:uid="{00000000-0005-0000-0000-0000DB920000}"/>
    <cellStyle name="Wrap 2 9 6 9 2" xfId="34554" xr:uid="{00000000-0005-0000-0000-0000DC920000}"/>
    <cellStyle name="Wrap 2 9 7" xfId="34555" xr:uid="{00000000-0005-0000-0000-0000DD920000}"/>
    <cellStyle name="Wrap 2 9 7 10" xfId="34556" xr:uid="{00000000-0005-0000-0000-0000DE920000}"/>
    <cellStyle name="Wrap 2 9 7 2" xfId="34557" xr:uid="{00000000-0005-0000-0000-0000DF920000}"/>
    <cellStyle name="Wrap 2 9 7 2 2" xfId="34558" xr:uid="{00000000-0005-0000-0000-0000E0920000}"/>
    <cellStyle name="Wrap 2 9 7 3" xfId="34559" xr:uid="{00000000-0005-0000-0000-0000E1920000}"/>
    <cellStyle name="Wrap 2 9 7 3 2" xfId="34560" xr:uid="{00000000-0005-0000-0000-0000E2920000}"/>
    <cellStyle name="Wrap 2 9 7 4" xfId="34561" xr:uid="{00000000-0005-0000-0000-0000E3920000}"/>
    <cellStyle name="Wrap 2 9 7 4 2" xfId="34562" xr:uid="{00000000-0005-0000-0000-0000E4920000}"/>
    <cellStyle name="Wrap 2 9 7 5" xfId="34563" xr:uid="{00000000-0005-0000-0000-0000E5920000}"/>
    <cellStyle name="Wrap 2 9 7 5 2" xfId="34564" xr:uid="{00000000-0005-0000-0000-0000E6920000}"/>
    <cellStyle name="Wrap 2 9 7 6" xfId="34565" xr:uid="{00000000-0005-0000-0000-0000E7920000}"/>
    <cellStyle name="Wrap 2 9 7 6 2" xfId="34566" xr:uid="{00000000-0005-0000-0000-0000E8920000}"/>
    <cellStyle name="Wrap 2 9 7 7" xfId="34567" xr:uid="{00000000-0005-0000-0000-0000E9920000}"/>
    <cellStyle name="Wrap 2 9 7 7 2" xfId="34568" xr:uid="{00000000-0005-0000-0000-0000EA920000}"/>
    <cellStyle name="Wrap 2 9 7 8" xfId="34569" xr:uid="{00000000-0005-0000-0000-0000EB920000}"/>
    <cellStyle name="Wrap 2 9 7 8 2" xfId="34570" xr:uid="{00000000-0005-0000-0000-0000EC920000}"/>
    <cellStyle name="Wrap 2 9 7 9" xfId="34571" xr:uid="{00000000-0005-0000-0000-0000ED920000}"/>
    <cellStyle name="Wrap 2 9 7 9 2" xfId="34572" xr:uid="{00000000-0005-0000-0000-0000EE920000}"/>
    <cellStyle name="Wrap 2 9 8" xfId="34573" xr:uid="{00000000-0005-0000-0000-0000EF920000}"/>
    <cellStyle name="Wrap 2 9 8 10" xfId="34574" xr:uid="{00000000-0005-0000-0000-0000F0920000}"/>
    <cellStyle name="Wrap 2 9 8 2" xfId="34575" xr:uid="{00000000-0005-0000-0000-0000F1920000}"/>
    <cellStyle name="Wrap 2 9 8 2 2" xfId="34576" xr:uid="{00000000-0005-0000-0000-0000F2920000}"/>
    <cellStyle name="Wrap 2 9 8 3" xfId="34577" xr:uid="{00000000-0005-0000-0000-0000F3920000}"/>
    <cellStyle name="Wrap 2 9 8 3 2" xfId="34578" xr:uid="{00000000-0005-0000-0000-0000F4920000}"/>
    <cellStyle name="Wrap 2 9 8 4" xfId="34579" xr:uid="{00000000-0005-0000-0000-0000F5920000}"/>
    <cellStyle name="Wrap 2 9 8 4 2" xfId="34580" xr:uid="{00000000-0005-0000-0000-0000F6920000}"/>
    <cellStyle name="Wrap 2 9 8 5" xfId="34581" xr:uid="{00000000-0005-0000-0000-0000F7920000}"/>
    <cellStyle name="Wrap 2 9 8 5 2" xfId="34582" xr:uid="{00000000-0005-0000-0000-0000F8920000}"/>
    <cellStyle name="Wrap 2 9 8 6" xfId="34583" xr:uid="{00000000-0005-0000-0000-0000F9920000}"/>
    <cellStyle name="Wrap 2 9 8 6 2" xfId="34584" xr:uid="{00000000-0005-0000-0000-0000FA920000}"/>
    <cellStyle name="Wrap 2 9 8 7" xfId="34585" xr:uid="{00000000-0005-0000-0000-0000FB920000}"/>
    <cellStyle name="Wrap 2 9 8 7 2" xfId="34586" xr:uid="{00000000-0005-0000-0000-0000FC920000}"/>
    <cellStyle name="Wrap 2 9 8 8" xfId="34587" xr:uid="{00000000-0005-0000-0000-0000FD920000}"/>
    <cellStyle name="Wrap 2 9 8 8 2" xfId="34588" xr:uid="{00000000-0005-0000-0000-0000FE920000}"/>
    <cellStyle name="Wrap 2 9 8 9" xfId="34589" xr:uid="{00000000-0005-0000-0000-0000FF920000}"/>
    <cellStyle name="Wrap 2 9 8 9 2" xfId="34590" xr:uid="{00000000-0005-0000-0000-000000930000}"/>
    <cellStyle name="Wrap 2 9 9" xfId="34591" xr:uid="{00000000-0005-0000-0000-000001930000}"/>
    <cellStyle name="Wrap 2 9 9 10" xfId="34592" xr:uid="{00000000-0005-0000-0000-000002930000}"/>
    <cellStyle name="Wrap 2 9 9 2" xfId="34593" xr:uid="{00000000-0005-0000-0000-000003930000}"/>
    <cellStyle name="Wrap 2 9 9 2 2" xfId="34594" xr:uid="{00000000-0005-0000-0000-000004930000}"/>
    <cellStyle name="Wrap 2 9 9 3" xfId="34595" xr:uid="{00000000-0005-0000-0000-000005930000}"/>
    <cellStyle name="Wrap 2 9 9 3 2" xfId="34596" xr:uid="{00000000-0005-0000-0000-000006930000}"/>
    <cellStyle name="Wrap 2 9 9 4" xfId="34597" xr:uid="{00000000-0005-0000-0000-000007930000}"/>
    <cellStyle name="Wrap 2 9 9 4 2" xfId="34598" xr:uid="{00000000-0005-0000-0000-000008930000}"/>
    <cellStyle name="Wrap 2 9 9 5" xfId="34599" xr:uid="{00000000-0005-0000-0000-000009930000}"/>
    <cellStyle name="Wrap 2 9 9 5 2" xfId="34600" xr:uid="{00000000-0005-0000-0000-00000A930000}"/>
    <cellStyle name="Wrap 2 9 9 6" xfId="34601" xr:uid="{00000000-0005-0000-0000-00000B930000}"/>
    <cellStyle name="Wrap 2 9 9 6 2" xfId="34602" xr:uid="{00000000-0005-0000-0000-00000C930000}"/>
    <cellStyle name="Wrap 2 9 9 7" xfId="34603" xr:uid="{00000000-0005-0000-0000-00000D930000}"/>
    <cellStyle name="Wrap 2 9 9 7 2" xfId="34604" xr:uid="{00000000-0005-0000-0000-00000E930000}"/>
    <cellStyle name="Wrap 2 9 9 8" xfId="34605" xr:uid="{00000000-0005-0000-0000-00000F930000}"/>
    <cellStyle name="Wrap 2 9 9 8 2" xfId="34606" xr:uid="{00000000-0005-0000-0000-000010930000}"/>
    <cellStyle name="Wrap 2 9 9 9" xfId="34607" xr:uid="{00000000-0005-0000-0000-000011930000}"/>
    <cellStyle name="Wrap 2 9 9 9 2" xfId="34608" xr:uid="{00000000-0005-0000-0000-000012930000}"/>
    <cellStyle name="Wrap 3" xfId="206" xr:uid="{00000000-0005-0000-0000-000013930000}"/>
    <cellStyle name="Wrap 3 2" xfId="34609" xr:uid="{00000000-0005-0000-0000-000014930000}"/>
    <cellStyle name="Wrap 3 2 10" xfId="34610" xr:uid="{00000000-0005-0000-0000-000015930000}"/>
    <cellStyle name="Wrap 3 2 10 10" xfId="34611" xr:uid="{00000000-0005-0000-0000-000016930000}"/>
    <cellStyle name="Wrap 3 2 10 2" xfId="34612" xr:uid="{00000000-0005-0000-0000-000017930000}"/>
    <cellStyle name="Wrap 3 2 10 2 2" xfId="34613" xr:uid="{00000000-0005-0000-0000-000018930000}"/>
    <cellStyle name="Wrap 3 2 10 3" xfId="34614" xr:uid="{00000000-0005-0000-0000-000019930000}"/>
    <cellStyle name="Wrap 3 2 10 3 2" xfId="34615" xr:uid="{00000000-0005-0000-0000-00001A930000}"/>
    <cellStyle name="Wrap 3 2 10 4" xfId="34616" xr:uid="{00000000-0005-0000-0000-00001B930000}"/>
    <cellStyle name="Wrap 3 2 10 4 2" xfId="34617" xr:uid="{00000000-0005-0000-0000-00001C930000}"/>
    <cellStyle name="Wrap 3 2 10 5" xfId="34618" xr:uid="{00000000-0005-0000-0000-00001D930000}"/>
    <cellStyle name="Wrap 3 2 10 5 2" xfId="34619" xr:uid="{00000000-0005-0000-0000-00001E930000}"/>
    <cellStyle name="Wrap 3 2 10 6" xfId="34620" xr:uid="{00000000-0005-0000-0000-00001F930000}"/>
    <cellStyle name="Wrap 3 2 10 6 2" xfId="34621" xr:uid="{00000000-0005-0000-0000-000020930000}"/>
    <cellStyle name="Wrap 3 2 10 7" xfId="34622" xr:uid="{00000000-0005-0000-0000-000021930000}"/>
    <cellStyle name="Wrap 3 2 10 7 2" xfId="34623" xr:uid="{00000000-0005-0000-0000-000022930000}"/>
    <cellStyle name="Wrap 3 2 10 8" xfId="34624" xr:uid="{00000000-0005-0000-0000-000023930000}"/>
    <cellStyle name="Wrap 3 2 10 8 2" xfId="34625" xr:uid="{00000000-0005-0000-0000-000024930000}"/>
    <cellStyle name="Wrap 3 2 10 9" xfId="34626" xr:uid="{00000000-0005-0000-0000-000025930000}"/>
    <cellStyle name="Wrap 3 2 10 9 2" xfId="34627" xr:uid="{00000000-0005-0000-0000-000026930000}"/>
    <cellStyle name="Wrap 3 2 11" xfId="34628" xr:uid="{00000000-0005-0000-0000-000027930000}"/>
    <cellStyle name="Wrap 3 2 11 2" xfId="34629" xr:uid="{00000000-0005-0000-0000-000028930000}"/>
    <cellStyle name="Wrap 3 2 11 2 2" xfId="34630" xr:uid="{00000000-0005-0000-0000-000029930000}"/>
    <cellStyle name="Wrap 3 2 11 3" xfId="34631" xr:uid="{00000000-0005-0000-0000-00002A930000}"/>
    <cellStyle name="Wrap 3 2 11 3 2" xfId="34632" xr:uid="{00000000-0005-0000-0000-00002B930000}"/>
    <cellStyle name="Wrap 3 2 11 4" xfId="34633" xr:uid="{00000000-0005-0000-0000-00002C930000}"/>
    <cellStyle name="Wrap 3 2 11 4 2" xfId="34634" xr:uid="{00000000-0005-0000-0000-00002D930000}"/>
    <cellStyle name="Wrap 3 2 11 5" xfId="34635" xr:uid="{00000000-0005-0000-0000-00002E930000}"/>
    <cellStyle name="Wrap 3 2 11 5 2" xfId="34636" xr:uid="{00000000-0005-0000-0000-00002F930000}"/>
    <cellStyle name="Wrap 3 2 11 6" xfId="34637" xr:uid="{00000000-0005-0000-0000-000030930000}"/>
    <cellStyle name="Wrap 3 2 11 6 2" xfId="34638" xr:uid="{00000000-0005-0000-0000-000031930000}"/>
    <cellStyle name="Wrap 3 2 11 7" xfId="34639" xr:uid="{00000000-0005-0000-0000-000032930000}"/>
    <cellStyle name="Wrap 3 2 11 7 2" xfId="34640" xr:uid="{00000000-0005-0000-0000-000033930000}"/>
    <cellStyle name="Wrap 3 2 11 8" xfId="34641" xr:uid="{00000000-0005-0000-0000-000034930000}"/>
    <cellStyle name="Wrap 3 2 11 8 2" xfId="34642" xr:uid="{00000000-0005-0000-0000-000035930000}"/>
    <cellStyle name="Wrap 3 2 11 9" xfId="34643" xr:uid="{00000000-0005-0000-0000-000036930000}"/>
    <cellStyle name="Wrap 3 2 2" xfId="34644" xr:uid="{00000000-0005-0000-0000-000037930000}"/>
    <cellStyle name="Wrap 3 2 2 10" xfId="34645" xr:uid="{00000000-0005-0000-0000-000038930000}"/>
    <cellStyle name="Wrap 3 2 2 2" xfId="34646" xr:uid="{00000000-0005-0000-0000-000039930000}"/>
    <cellStyle name="Wrap 3 2 2 2 2" xfId="34647" xr:uid="{00000000-0005-0000-0000-00003A930000}"/>
    <cellStyle name="Wrap 3 2 2 3" xfId="34648" xr:uid="{00000000-0005-0000-0000-00003B930000}"/>
    <cellStyle name="Wrap 3 2 2 3 2" xfId="34649" xr:uid="{00000000-0005-0000-0000-00003C930000}"/>
    <cellStyle name="Wrap 3 2 2 4" xfId="34650" xr:uid="{00000000-0005-0000-0000-00003D930000}"/>
    <cellStyle name="Wrap 3 2 2 4 2" xfId="34651" xr:uid="{00000000-0005-0000-0000-00003E930000}"/>
    <cellStyle name="Wrap 3 2 2 5" xfId="34652" xr:uid="{00000000-0005-0000-0000-00003F930000}"/>
    <cellStyle name="Wrap 3 2 2 5 2" xfId="34653" xr:uid="{00000000-0005-0000-0000-000040930000}"/>
    <cellStyle name="Wrap 3 2 2 6" xfId="34654" xr:uid="{00000000-0005-0000-0000-000041930000}"/>
    <cellStyle name="Wrap 3 2 2 6 2" xfId="34655" xr:uid="{00000000-0005-0000-0000-000042930000}"/>
    <cellStyle name="Wrap 3 2 2 7" xfId="34656" xr:uid="{00000000-0005-0000-0000-000043930000}"/>
    <cellStyle name="Wrap 3 2 2 7 2" xfId="34657" xr:uid="{00000000-0005-0000-0000-000044930000}"/>
    <cellStyle name="Wrap 3 2 2 8" xfId="34658" xr:uid="{00000000-0005-0000-0000-000045930000}"/>
    <cellStyle name="Wrap 3 2 2 8 2" xfId="34659" xr:uid="{00000000-0005-0000-0000-000046930000}"/>
    <cellStyle name="Wrap 3 2 2 9" xfId="34660" xr:uid="{00000000-0005-0000-0000-000047930000}"/>
    <cellStyle name="Wrap 3 2 2 9 2" xfId="34661" xr:uid="{00000000-0005-0000-0000-000048930000}"/>
    <cellStyle name="Wrap 3 2 3" xfId="34662" xr:uid="{00000000-0005-0000-0000-000049930000}"/>
    <cellStyle name="Wrap 3 2 3 10" xfId="34663" xr:uid="{00000000-0005-0000-0000-00004A930000}"/>
    <cellStyle name="Wrap 3 2 3 2" xfId="34664" xr:uid="{00000000-0005-0000-0000-00004B930000}"/>
    <cellStyle name="Wrap 3 2 3 2 2" xfId="34665" xr:uid="{00000000-0005-0000-0000-00004C930000}"/>
    <cellStyle name="Wrap 3 2 3 3" xfId="34666" xr:uid="{00000000-0005-0000-0000-00004D930000}"/>
    <cellStyle name="Wrap 3 2 3 3 2" xfId="34667" xr:uid="{00000000-0005-0000-0000-00004E930000}"/>
    <cellStyle name="Wrap 3 2 3 4" xfId="34668" xr:uid="{00000000-0005-0000-0000-00004F930000}"/>
    <cellStyle name="Wrap 3 2 3 4 2" xfId="34669" xr:uid="{00000000-0005-0000-0000-000050930000}"/>
    <cellStyle name="Wrap 3 2 3 5" xfId="34670" xr:uid="{00000000-0005-0000-0000-000051930000}"/>
    <cellStyle name="Wrap 3 2 3 5 2" xfId="34671" xr:uid="{00000000-0005-0000-0000-000052930000}"/>
    <cellStyle name="Wrap 3 2 3 6" xfId="34672" xr:uid="{00000000-0005-0000-0000-000053930000}"/>
    <cellStyle name="Wrap 3 2 3 6 2" xfId="34673" xr:uid="{00000000-0005-0000-0000-000054930000}"/>
    <cellStyle name="Wrap 3 2 3 7" xfId="34674" xr:uid="{00000000-0005-0000-0000-000055930000}"/>
    <cellStyle name="Wrap 3 2 3 7 2" xfId="34675" xr:uid="{00000000-0005-0000-0000-000056930000}"/>
    <cellStyle name="Wrap 3 2 3 8" xfId="34676" xr:uid="{00000000-0005-0000-0000-000057930000}"/>
    <cellStyle name="Wrap 3 2 3 8 2" xfId="34677" xr:uid="{00000000-0005-0000-0000-000058930000}"/>
    <cellStyle name="Wrap 3 2 3 9" xfId="34678" xr:uid="{00000000-0005-0000-0000-000059930000}"/>
    <cellStyle name="Wrap 3 2 3 9 2" xfId="34679" xr:uid="{00000000-0005-0000-0000-00005A930000}"/>
    <cellStyle name="Wrap 3 2 4" xfId="34680" xr:uid="{00000000-0005-0000-0000-00005B930000}"/>
    <cellStyle name="Wrap 3 2 4 10" xfId="34681" xr:uid="{00000000-0005-0000-0000-00005C930000}"/>
    <cellStyle name="Wrap 3 2 4 2" xfId="34682" xr:uid="{00000000-0005-0000-0000-00005D930000}"/>
    <cellStyle name="Wrap 3 2 4 2 2" xfId="34683" xr:uid="{00000000-0005-0000-0000-00005E930000}"/>
    <cellStyle name="Wrap 3 2 4 3" xfId="34684" xr:uid="{00000000-0005-0000-0000-00005F930000}"/>
    <cellStyle name="Wrap 3 2 4 3 2" xfId="34685" xr:uid="{00000000-0005-0000-0000-000060930000}"/>
    <cellStyle name="Wrap 3 2 4 4" xfId="34686" xr:uid="{00000000-0005-0000-0000-000061930000}"/>
    <cellStyle name="Wrap 3 2 4 4 2" xfId="34687" xr:uid="{00000000-0005-0000-0000-000062930000}"/>
    <cellStyle name="Wrap 3 2 4 5" xfId="34688" xr:uid="{00000000-0005-0000-0000-000063930000}"/>
    <cellStyle name="Wrap 3 2 4 5 2" xfId="34689" xr:uid="{00000000-0005-0000-0000-000064930000}"/>
    <cellStyle name="Wrap 3 2 4 6" xfId="34690" xr:uid="{00000000-0005-0000-0000-000065930000}"/>
    <cellStyle name="Wrap 3 2 4 6 2" xfId="34691" xr:uid="{00000000-0005-0000-0000-000066930000}"/>
    <cellStyle name="Wrap 3 2 4 7" xfId="34692" xr:uid="{00000000-0005-0000-0000-000067930000}"/>
    <cellStyle name="Wrap 3 2 4 7 2" xfId="34693" xr:uid="{00000000-0005-0000-0000-000068930000}"/>
    <cellStyle name="Wrap 3 2 4 8" xfId="34694" xr:uid="{00000000-0005-0000-0000-000069930000}"/>
    <cellStyle name="Wrap 3 2 4 8 2" xfId="34695" xr:uid="{00000000-0005-0000-0000-00006A930000}"/>
    <cellStyle name="Wrap 3 2 4 9" xfId="34696" xr:uid="{00000000-0005-0000-0000-00006B930000}"/>
    <cellStyle name="Wrap 3 2 4 9 2" xfId="34697" xr:uid="{00000000-0005-0000-0000-00006C930000}"/>
    <cellStyle name="Wrap 3 2 5" xfId="34698" xr:uid="{00000000-0005-0000-0000-00006D930000}"/>
    <cellStyle name="Wrap 3 2 5 10" xfId="34699" xr:uid="{00000000-0005-0000-0000-00006E930000}"/>
    <cellStyle name="Wrap 3 2 5 2" xfId="34700" xr:uid="{00000000-0005-0000-0000-00006F930000}"/>
    <cellStyle name="Wrap 3 2 5 2 2" xfId="34701" xr:uid="{00000000-0005-0000-0000-000070930000}"/>
    <cellStyle name="Wrap 3 2 5 3" xfId="34702" xr:uid="{00000000-0005-0000-0000-000071930000}"/>
    <cellStyle name="Wrap 3 2 5 3 2" xfId="34703" xr:uid="{00000000-0005-0000-0000-000072930000}"/>
    <cellStyle name="Wrap 3 2 5 4" xfId="34704" xr:uid="{00000000-0005-0000-0000-000073930000}"/>
    <cellStyle name="Wrap 3 2 5 4 2" xfId="34705" xr:uid="{00000000-0005-0000-0000-000074930000}"/>
    <cellStyle name="Wrap 3 2 5 5" xfId="34706" xr:uid="{00000000-0005-0000-0000-000075930000}"/>
    <cellStyle name="Wrap 3 2 5 5 2" xfId="34707" xr:uid="{00000000-0005-0000-0000-000076930000}"/>
    <cellStyle name="Wrap 3 2 5 6" xfId="34708" xr:uid="{00000000-0005-0000-0000-000077930000}"/>
    <cellStyle name="Wrap 3 2 5 6 2" xfId="34709" xr:uid="{00000000-0005-0000-0000-000078930000}"/>
    <cellStyle name="Wrap 3 2 5 7" xfId="34710" xr:uid="{00000000-0005-0000-0000-000079930000}"/>
    <cellStyle name="Wrap 3 2 5 7 2" xfId="34711" xr:uid="{00000000-0005-0000-0000-00007A930000}"/>
    <cellStyle name="Wrap 3 2 5 8" xfId="34712" xr:uid="{00000000-0005-0000-0000-00007B930000}"/>
    <cellStyle name="Wrap 3 2 5 8 2" xfId="34713" xr:uid="{00000000-0005-0000-0000-00007C930000}"/>
    <cellStyle name="Wrap 3 2 5 9" xfId="34714" xr:uid="{00000000-0005-0000-0000-00007D930000}"/>
    <cellStyle name="Wrap 3 2 5 9 2" xfId="34715" xr:uid="{00000000-0005-0000-0000-00007E930000}"/>
    <cellStyle name="Wrap 3 2 6" xfId="34716" xr:uid="{00000000-0005-0000-0000-00007F930000}"/>
    <cellStyle name="Wrap 3 2 6 10" xfId="34717" xr:uid="{00000000-0005-0000-0000-000080930000}"/>
    <cellStyle name="Wrap 3 2 6 2" xfId="34718" xr:uid="{00000000-0005-0000-0000-000081930000}"/>
    <cellStyle name="Wrap 3 2 6 2 2" xfId="34719" xr:uid="{00000000-0005-0000-0000-000082930000}"/>
    <cellStyle name="Wrap 3 2 6 3" xfId="34720" xr:uid="{00000000-0005-0000-0000-000083930000}"/>
    <cellStyle name="Wrap 3 2 6 3 2" xfId="34721" xr:uid="{00000000-0005-0000-0000-000084930000}"/>
    <cellStyle name="Wrap 3 2 6 4" xfId="34722" xr:uid="{00000000-0005-0000-0000-000085930000}"/>
    <cellStyle name="Wrap 3 2 6 4 2" xfId="34723" xr:uid="{00000000-0005-0000-0000-000086930000}"/>
    <cellStyle name="Wrap 3 2 6 5" xfId="34724" xr:uid="{00000000-0005-0000-0000-000087930000}"/>
    <cellStyle name="Wrap 3 2 6 5 2" xfId="34725" xr:uid="{00000000-0005-0000-0000-000088930000}"/>
    <cellStyle name="Wrap 3 2 6 6" xfId="34726" xr:uid="{00000000-0005-0000-0000-000089930000}"/>
    <cellStyle name="Wrap 3 2 6 6 2" xfId="34727" xr:uid="{00000000-0005-0000-0000-00008A930000}"/>
    <cellStyle name="Wrap 3 2 6 7" xfId="34728" xr:uid="{00000000-0005-0000-0000-00008B930000}"/>
    <cellStyle name="Wrap 3 2 6 7 2" xfId="34729" xr:uid="{00000000-0005-0000-0000-00008C930000}"/>
    <cellStyle name="Wrap 3 2 6 8" xfId="34730" xr:uid="{00000000-0005-0000-0000-00008D930000}"/>
    <cellStyle name="Wrap 3 2 6 8 2" xfId="34731" xr:uid="{00000000-0005-0000-0000-00008E930000}"/>
    <cellStyle name="Wrap 3 2 6 9" xfId="34732" xr:uid="{00000000-0005-0000-0000-00008F930000}"/>
    <cellStyle name="Wrap 3 2 6 9 2" xfId="34733" xr:uid="{00000000-0005-0000-0000-000090930000}"/>
    <cellStyle name="Wrap 3 2 7" xfId="34734" xr:uid="{00000000-0005-0000-0000-000091930000}"/>
    <cellStyle name="Wrap 3 2 7 10" xfId="34735" xr:uid="{00000000-0005-0000-0000-000092930000}"/>
    <cellStyle name="Wrap 3 2 7 2" xfId="34736" xr:uid="{00000000-0005-0000-0000-000093930000}"/>
    <cellStyle name="Wrap 3 2 7 2 2" xfId="34737" xr:uid="{00000000-0005-0000-0000-000094930000}"/>
    <cellStyle name="Wrap 3 2 7 3" xfId="34738" xr:uid="{00000000-0005-0000-0000-000095930000}"/>
    <cellStyle name="Wrap 3 2 7 3 2" xfId="34739" xr:uid="{00000000-0005-0000-0000-000096930000}"/>
    <cellStyle name="Wrap 3 2 7 4" xfId="34740" xr:uid="{00000000-0005-0000-0000-000097930000}"/>
    <cellStyle name="Wrap 3 2 7 4 2" xfId="34741" xr:uid="{00000000-0005-0000-0000-000098930000}"/>
    <cellStyle name="Wrap 3 2 7 5" xfId="34742" xr:uid="{00000000-0005-0000-0000-000099930000}"/>
    <cellStyle name="Wrap 3 2 7 5 2" xfId="34743" xr:uid="{00000000-0005-0000-0000-00009A930000}"/>
    <cellStyle name="Wrap 3 2 7 6" xfId="34744" xr:uid="{00000000-0005-0000-0000-00009B930000}"/>
    <cellStyle name="Wrap 3 2 7 6 2" xfId="34745" xr:uid="{00000000-0005-0000-0000-00009C930000}"/>
    <cellStyle name="Wrap 3 2 7 7" xfId="34746" xr:uid="{00000000-0005-0000-0000-00009D930000}"/>
    <cellStyle name="Wrap 3 2 7 7 2" xfId="34747" xr:uid="{00000000-0005-0000-0000-00009E930000}"/>
    <cellStyle name="Wrap 3 2 7 8" xfId="34748" xr:uid="{00000000-0005-0000-0000-00009F930000}"/>
    <cellStyle name="Wrap 3 2 7 8 2" xfId="34749" xr:uid="{00000000-0005-0000-0000-0000A0930000}"/>
    <cellStyle name="Wrap 3 2 7 9" xfId="34750" xr:uid="{00000000-0005-0000-0000-0000A1930000}"/>
    <cellStyle name="Wrap 3 2 7 9 2" xfId="34751" xr:uid="{00000000-0005-0000-0000-0000A2930000}"/>
    <cellStyle name="Wrap 3 2 8" xfId="34752" xr:uid="{00000000-0005-0000-0000-0000A3930000}"/>
    <cellStyle name="Wrap 3 2 8 10" xfId="34753" xr:uid="{00000000-0005-0000-0000-0000A4930000}"/>
    <cellStyle name="Wrap 3 2 8 2" xfId="34754" xr:uid="{00000000-0005-0000-0000-0000A5930000}"/>
    <cellStyle name="Wrap 3 2 8 2 2" xfId="34755" xr:uid="{00000000-0005-0000-0000-0000A6930000}"/>
    <cellStyle name="Wrap 3 2 8 3" xfId="34756" xr:uid="{00000000-0005-0000-0000-0000A7930000}"/>
    <cellStyle name="Wrap 3 2 8 3 2" xfId="34757" xr:uid="{00000000-0005-0000-0000-0000A8930000}"/>
    <cellStyle name="Wrap 3 2 8 4" xfId="34758" xr:uid="{00000000-0005-0000-0000-0000A9930000}"/>
    <cellStyle name="Wrap 3 2 8 4 2" xfId="34759" xr:uid="{00000000-0005-0000-0000-0000AA930000}"/>
    <cellStyle name="Wrap 3 2 8 5" xfId="34760" xr:uid="{00000000-0005-0000-0000-0000AB930000}"/>
    <cellStyle name="Wrap 3 2 8 5 2" xfId="34761" xr:uid="{00000000-0005-0000-0000-0000AC930000}"/>
    <cellStyle name="Wrap 3 2 8 6" xfId="34762" xr:uid="{00000000-0005-0000-0000-0000AD930000}"/>
    <cellStyle name="Wrap 3 2 8 6 2" xfId="34763" xr:uid="{00000000-0005-0000-0000-0000AE930000}"/>
    <cellStyle name="Wrap 3 2 8 7" xfId="34764" xr:uid="{00000000-0005-0000-0000-0000AF930000}"/>
    <cellStyle name="Wrap 3 2 8 7 2" xfId="34765" xr:uid="{00000000-0005-0000-0000-0000B0930000}"/>
    <cellStyle name="Wrap 3 2 8 8" xfId="34766" xr:uid="{00000000-0005-0000-0000-0000B1930000}"/>
    <cellStyle name="Wrap 3 2 8 8 2" xfId="34767" xr:uid="{00000000-0005-0000-0000-0000B2930000}"/>
    <cellStyle name="Wrap 3 2 8 9" xfId="34768" xr:uid="{00000000-0005-0000-0000-0000B3930000}"/>
    <cellStyle name="Wrap 3 2 8 9 2" xfId="34769" xr:uid="{00000000-0005-0000-0000-0000B4930000}"/>
    <cellStyle name="Wrap 3 2 9" xfId="34770" xr:uid="{00000000-0005-0000-0000-0000B5930000}"/>
    <cellStyle name="Wrap 3 2 9 10" xfId="34771" xr:uid="{00000000-0005-0000-0000-0000B6930000}"/>
    <cellStyle name="Wrap 3 2 9 2" xfId="34772" xr:uid="{00000000-0005-0000-0000-0000B7930000}"/>
    <cellStyle name="Wrap 3 2 9 2 2" xfId="34773" xr:uid="{00000000-0005-0000-0000-0000B8930000}"/>
    <cellStyle name="Wrap 3 2 9 3" xfId="34774" xr:uid="{00000000-0005-0000-0000-0000B9930000}"/>
    <cellStyle name="Wrap 3 2 9 3 2" xfId="34775" xr:uid="{00000000-0005-0000-0000-0000BA930000}"/>
    <cellStyle name="Wrap 3 2 9 4" xfId="34776" xr:uid="{00000000-0005-0000-0000-0000BB930000}"/>
    <cellStyle name="Wrap 3 2 9 4 2" xfId="34777" xr:uid="{00000000-0005-0000-0000-0000BC930000}"/>
    <cellStyle name="Wrap 3 2 9 5" xfId="34778" xr:uid="{00000000-0005-0000-0000-0000BD930000}"/>
    <cellStyle name="Wrap 3 2 9 5 2" xfId="34779" xr:uid="{00000000-0005-0000-0000-0000BE930000}"/>
    <cellStyle name="Wrap 3 2 9 6" xfId="34780" xr:uid="{00000000-0005-0000-0000-0000BF930000}"/>
    <cellStyle name="Wrap 3 2 9 6 2" xfId="34781" xr:uid="{00000000-0005-0000-0000-0000C0930000}"/>
    <cellStyle name="Wrap 3 2 9 7" xfId="34782" xr:uid="{00000000-0005-0000-0000-0000C1930000}"/>
    <cellStyle name="Wrap 3 2 9 7 2" xfId="34783" xr:uid="{00000000-0005-0000-0000-0000C2930000}"/>
    <cellStyle name="Wrap 3 2 9 8" xfId="34784" xr:uid="{00000000-0005-0000-0000-0000C3930000}"/>
    <cellStyle name="Wrap 3 2 9 8 2" xfId="34785" xr:uid="{00000000-0005-0000-0000-0000C4930000}"/>
    <cellStyle name="Wrap 3 2 9 9" xfId="34786" xr:uid="{00000000-0005-0000-0000-0000C5930000}"/>
    <cellStyle name="Wrap 3 2 9 9 2" xfId="34787" xr:uid="{00000000-0005-0000-0000-0000C6930000}"/>
    <cellStyle name="Wrap 3 3" xfId="34788" xr:uid="{00000000-0005-0000-0000-0000C7930000}"/>
    <cellStyle name="Wrap 3 3 10" xfId="34789" xr:uid="{00000000-0005-0000-0000-0000C8930000}"/>
    <cellStyle name="Wrap 3 3 10 10" xfId="34790" xr:uid="{00000000-0005-0000-0000-0000C9930000}"/>
    <cellStyle name="Wrap 3 3 10 2" xfId="34791" xr:uid="{00000000-0005-0000-0000-0000CA930000}"/>
    <cellStyle name="Wrap 3 3 10 2 2" xfId="34792" xr:uid="{00000000-0005-0000-0000-0000CB930000}"/>
    <cellStyle name="Wrap 3 3 10 3" xfId="34793" xr:uid="{00000000-0005-0000-0000-0000CC930000}"/>
    <cellStyle name="Wrap 3 3 10 3 2" xfId="34794" xr:uid="{00000000-0005-0000-0000-0000CD930000}"/>
    <cellStyle name="Wrap 3 3 10 4" xfId="34795" xr:uid="{00000000-0005-0000-0000-0000CE930000}"/>
    <cellStyle name="Wrap 3 3 10 4 2" xfId="34796" xr:uid="{00000000-0005-0000-0000-0000CF930000}"/>
    <cellStyle name="Wrap 3 3 10 5" xfId="34797" xr:uid="{00000000-0005-0000-0000-0000D0930000}"/>
    <cellStyle name="Wrap 3 3 10 5 2" xfId="34798" xr:uid="{00000000-0005-0000-0000-0000D1930000}"/>
    <cellStyle name="Wrap 3 3 10 6" xfId="34799" xr:uid="{00000000-0005-0000-0000-0000D2930000}"/>
    <cellStyle name="Wrap 3 3 10 6 2" xfId="34800" xr:uid="{00000000-0005-0000-0000-0000D3930000}"/>
    <cellStyle name="Wrap 3 3 10 7" xfId="34801" xr:uid="{00000000-0005-0000-0000-0000D4930000}"/>
    <cellStyle name="Wrap 3 3 10 7 2" xfId="34802" xr:uid="{00000000-0005-0000-0000-0000D5930000}"/>
    <cellStyle name="Wrap 3 3 10 8" xfId="34803" xr:uid="{00000000-0005-0000-0000-0000D6930000}"/>
    <cellStyle name="Wrap 3 3 10 8 2" xfId="34804" xr:uid="{00000000-0005-0000-0000-0000D7930000}"/>
    <cellStyle name="Wrap 3 3 10 9" xfId="34805" xr:uid="{00000000-0005-0000-0000-0000D8930000}"/>
    <cellStyle name="Wrap 3 3 10 9 2" xfId="34806" xr:uid="{00000000-0005-0000-0000-0000D9930000}"/>
    <cellStyle name="Wrap 3 3 11" xfId="34807" xr:uid="{00000000-0005-0000-0000-0000DA930000}"/>
    <cellStyle name="Wrap 3 3 11 2" xfId="34808" xr:uid="{00000000-0005-0000-0000-0000DB930000}"/>
    <cellStyle name="Wrap 3 3 11 2 2" xfId="34809" xr:uid="{00000000-0005-0000-0000-0000DC930000}"/>
    <cellStyle name="Wrap 3 3 11 3" xfId="34810" xr:uid="{00000000-0005-0000-0000-0000DD930000}"/>
    <cellStyle name="Wrap 3 3 11 3 2" xfId="34811" xr:uid="{00000000-0005-0000-0000-0000DE930000}"/>
    <cellStyle name="Wrap 3 3 11 4" xfId="34812" xr:uid="{00000000-0005-0000-0000-0000DF930000}"/>
    <cellStyle name="Wrap 3 3 11 4 2" xfId="34813" xr:uid="{00000000-0005-0000-0000-0000E0930000}"/>
    <cellStyle name="Wrap 3 3 11 5" xfId="34814" xr:uid="{00000000-0005-0000-0000-0000E1930000}"/>
    <cellStyle name="Wrap 3 3 11 5 2" xfId="34815" xr:uid="{00000000-0005-0000-0000-0000E2930000}"/>
    <cellStyle name="Wrap 3 3 11 6" xfId="34816" xr:uid="{00000000-0005-0000-0000-0000E3930000}"/>
    <cellStyle name="Wrap 3 3 11 6 2" xfId="34817" xr:uid="{00000000-0005-0000-0000-0000E4930000}"/>
    <cellStyle name="Wrap 3 3 11 7" xfId="34818" xr:uid="{00000000-0005-0000-0000-0000E5930000}"/>
    <cellStyle name="Wrap 3 3 11 7 2" xfId="34819" xr:uid="{00000000-0005-0000-0000-0000E6930000}"/>
    <cellStyle name="Wrap 3 3 11 8" xfId="34820" xr:uid="{00000000-0005-0000-0000-0000E7930000}"/>
    <cellStyle name="Wrap 3 3 11 8 2" xfId="34821" xr:uid="{00000000-0005-0000-0000-0000E8930000}"/>
    <cellStyle name="Wrap 3 3 11 9" xfId="34822" xr:uid="{00000000-0005-0000-0000-0000E9930000}"/>
    <cellStyle name="Wrap 3 3 2" xfId="34823" xr:uid="{00000000-0005-0000-0000-0000EA930000}"/>
    <cellStyle name="Wrap 3 3 2 10" xfId="34824" xr:uid="{00000000-0005-0000-0000-0000EB930000}"/>
    <cellStyle name="Wrap 3 3 2 2" xfId="34825" xr:uid="{00000000-0005-0000-0000-0000EC930000}"/>
    <cellStyle name="Wrap 3 3 2 2 2" xfId="34826" xr:uid="{00000000-0005-0000-0000-0000ED930000}"/>
    <cellStyle name="Wrap 3 3 2 3" xfId="34827" xr:uid="{00000000-0005-0000-0000-0000EE930000}"/>
    <cellStyle name="Wrap 3 3 2 3 2" xfId="34828" xr:uid="{00000000-0005-0000-0000-0000EF930000}"/>
    <cellStyle name="Wrap 3 3 2 4" xfId="34829" xr:uid="{00000000-0005-0000-0000-0000F0930000}"/>
    <cellStyle name="Wrap 3 3 2 4 2" xfId="34830" xr:uid="{00000000-0005-0000-0000-0000F1930000}"/>
    <cellStyle name="Wrap 3 3 2 5" xfId="34831" xr:uid="{00000000-0005-0000-0000-0000F2930000}"/>
    <cellStyle name="Wrap 3 3 2 5 2" xfId="34832" xr:uid="{00000000-0005-0000-0000-0000F3930000}"/>
    <cellStyle name="Wrap 3 3 2 6" xfId="34833" xr:uid="{00000000-0005-0000-0000-0000F4930000}"/>
    <cellStyle name="Wrap 3 3 2 6 2" xfId="34834" xr:uid="{00000000-0005-0000-0000-0000F5930000}"/>
    <cellStyle name="Wrap 3 3 2 7" xfId="34835" xr:uid="{00000000-0005-0000-0000-0000F6930000}"/>
    <cellStyle name="Wrap 3 3 2 7 2" xfId="34836" xr:uid="{00000000-0005-0000-0000-0000F7930000}"/>
    <cellStyle name="Wrap 3 3 2 8" xfId="34837" xr:uid="{00000000-0005-0000-0000-0000F8930000}"/>
    <cellStyle name="Wrap 3 3 2 8 2" xfId="34838" xr:uid="{00000000-0005-0000-0000-0000F9930000}"/>
    <cellStyle name="Wrap 3 3 2 9" xfId="34839" xr:uid="{00000000-0005-0000-0000-0000FA930000}"/>
    <cellStyle name="Wrap 3 3 2 9 2" xfId="34840" xr:uid="{00000000-0005-0000-0000-0000FB930000}"/>
    <cellStyle name="Wrap 3 3 3" xfId="34841" xr:uid="{00000000-0005-0000-0000-0000FC930000}"/>
    <cellStyle name="Wrap 3 3 3 10" xfId="34842" xr:uid="{00000000-0005-0000-0000-0000FD930000}"/>
    <cellStyle name="Wrap 3 3 3 2" xfId="34843" xr:uid="{00000000-0005-0000-0000-0000FE930000}"/>
    <cellStyle name="Wrap 3 3 3 2 2" xfId="34844" xr:uid="{00000000-0005-0000-0000-0000FF930000}"/>
    <cellStyle name="Wrap 3 3 3 3" xfId="34845" xr:uid="{00000000-0005-0000-0000-000000940000}"/>
    <cellStyle name="Wrap 3 3 3 3 2" xfId="34846" xr:uid="{00000000-0005-0000-0000-000001940000}"/>
    <cellStyle name="Wrap 3 3 3 4" xfId="34847" xr:uid="{00000000-0005-0000-0000-000002940000}"/>
    <cellStyle name="Wrap 3 3 3 4 2" xfId="34848" xr:uid="{00000000-0005-0000-0000-000003940000}"/>
    <cellStyle name="Wrap 3 3 3 5" xfId="34849" xr:uid="{00000000-0005-0000-0000-000004940000}"/>
    <cellStyle name="Wrap 3 3 3 5 2" xfId="34850" xr:uid="{00000000-0005-0000-0000-000005940000}"/>
    <cellStyle name="Wrap 3 3 3 6" xfId="34851" xr:uid="{00000000-0005-0000-0000-000006940000}"/>
    <cellStyle name="Wrap 3 3 3 6 2" xfId="34852" xr:uid="{00000000-0005-0000-0000-000007940000}"/>
    <cellStyle name="Wrap 3 3 3 7" xfId="34853" xr:uid="{00000000-0005-0000-0000-000008940000}"/>
    <cellStyle name="Wrap 3 3 3 7 2" xfId="34854" xr:uid="{00000000-0005-0000-0000-000009940000}"/>
    <cellStyle name="Wrap 3 3 3 8" xfId="34855" xr:uid="{00000000-0005-0000-0000-00000A940000}"/>
    <cellStyle name="Wrap 3 3 3 8 2" xfId="34856" xr:uid="{00000000-0005-0000-0000-00000B940000}"/>
    <cellStyle name="Wrap 3 3 3 9" xfId="34857" xr:uid="{00000000-0005-0000-0000-00000C940000}"/>
    <cellStyle name="Wrap 3 3 3 9 2" xfId="34858" xr:uid="{00000000-0005-0000-0000-00000D940000}"/>
    <cellStyle name="Wrap 3 3 4" xfId="34859" xr:uid="{00000000-0005-0000-0000-00000E940000}"/>
    <cellStyle name="Wrap 3 3 4 10" xfId="34860" xr:uid="{00000000-0005-0000-0000-00000F940000}"/>
    <cellStyle name="Wrap 3 3 4 2" xfId="34861" xr:uid="{00000000-0005-0000-0000-000010940000}"/>
    <cellStyle name="Wrap 3 3 4 2 2" xfId="34862" xr:uid="{00000000-0005-0000-0000-000011940000}"/>
    <cellStyle name="Wrap 3 3 4 3" xfId="34863" xr:uid="{00000000-0005-0000-0000-000012940000}"/>
    <cellStyle name="Wrap 3 3 4 3 2" xfId="34864" xr:uid="{00000000-0005-0000-0000-000013940000}"/>
    <cellStyle name="Wrap 3 3 4 4" xfId="34865" xr:uid="{00000000-0005-0000-0000-000014940000}"/>
    <cellStyle name="Wrap 3 3 4 4 2" xfId="34866" xr:uid="{00000000-0005-0000-0000-000015940000}"/>
    <cellStyle name="Wrap 3 3 4 5" xfId="34867" xr:uid="{00000000-0005-0000-0000-000016940000}"/>
    <cellStyle name="Wrap 3 3 4 5 2" xfId="34868" xr:uid="{00000000-0005-0000-0000-000017940000}"/>
    <cellStyle name="Wrap 3 3 4 6" xfId="34869" xr:uid="{00000000-0005-0000-0000-000018940000}"/>
    <cellStyle name="Wrap 3 3 4 6 2" xfId="34870" xr:uid="{00000000-0005-0000-0000-000019940000}"/>
    <cellStyle name="Wrap 3 3 4 7" xfId="34871" xr:uid="{00000000-0005-0000-0000-00001A940000}"/>
    <cellStyle name="Wrap 3 3 4 7 2" xfId="34872" xr:uid="{00000000-0005-0000-0000-00001B940000}"/>
    <cellStyle name="Wrap 3 3 4 8" xfId="34873" xr:uid="{00000000-0005-0000-0000-00001C940000}"/>
    <cellStyle name="Wrap 3 3 4 8 2" xfId="34874" xr:uid="{00000000-0005-0000-0000-00001D940000}"/>
    <cellStyle name="Wrap 3 3 4 9" xfId="34875" xr:uid="{00000000-0005-0000-0000-00001E940000}"/>
    <cellStyle name="Wrap 3 3 4 9 2" xfId="34876" xr:uid="{00000000-0005-0000-0000-00001F940000}"/>
    <cellStyle name="Wrap 3 3 5" xfId="34877" xr:uid="{00000000-0005-0000-0000-000020940000}"/>
    <cellStyle name="Wrap 3 3 5 10" xfId="34878" xr:uid="{00000000-0005-0000-0000-000021940000}"/>
    <cellStyle name="Wrap 3 3 5 2" xfId="34879" xr:uid="{00000000-0005-0000-0000-000022940000}"/>
    <cellStyle name="Wrap 3 3 5 2 2" xfId="34880" xr:uid="{00000000-0005-0000-0000-000023940000}"/>
    <cellStyle name="Wrap 3 3 5 3" xfId="34881" xr:uid="{00000000-0005-0000-0000-000024940000}"/>
    <cellStyle name="Wrap 3 3 5 3 2" xfId="34882" xr:uid="{00000000-0005-0000-0000-000025940000}"/>
    <cellStyle name="Wrap 3 3 5 4" xfId="34883" xr:uid="{00000000-0005-0000-0000-000026940000}"/>
    <cellStyle name="Wrap 3 3 5 4 2" xfId="34884" xr:uid="{00000000-0005-0000-0000-000027940000}"/>
    <cellStyle name="Wrap 3 3 5 5" xfId="34885" xr:uid="{00000000-0005-0000-0000-000028940000}"/>
    <cellStyle name="Wrap 3 3 5 5 2" xfId="34886" xr:uid="{00000000-0005-0000-0000-000029940000}"/>
    <cellStyle name="Wrap 3 3 5 6" xfId="34887" xr:uid="{00000000-0005-0000-0000-00002A940000}"/>
    <cellStyle name="Wrap 3 3 5 6 2" xfId="34888" xr:uid="{00000000-0005-0000-0000-00002B940000}"/>
    <cellStyle name="Wrap 3 3 5 7" xfId="34889" xr:uid="{00000000-0005-0000-0000-00002C940000}"/>
    <cellStyle name="Wrap 3 3 5 7 2" xfId="34890" xr:uid="{00000000-0005-0000-0000-00002D940000}"/>
    <cellStyle name="Wrap 3 3 5 8" xfId="34891" xr:uid="{00000000-0005-0000-0000-00002E940000}"/>
    <cellStyle name="Wrap 3 3 5 8 2" xfId="34892" xr:uid="{00000000-0005-0000-0000-00002F940000}"/>
    <cellStyle name="Wrap 3 3 5 9" xfId="34893" xr:uid="{00000000-0005-0000-0000-000030940000}"/>
    <cellStyle name="Wrap 3 3 5 9 2" xfId="34894" xr:uid="{00000000-0005-0000-0000-000031940000}"/>
    <cellStyle name="Wrap 3 3 6" xfId="34895" xr:uid="{00000000-0005-0000-0000-000032940000}"/>
    <cellStyle name="Wrap 3 3 6 10" xfId="34896" xr:uid="{00000000-0005-0000-0000-000033940000}"/>
    <cellStyle name="Wrap 3 3 6 2" xfId="34897" xr:uid="{00000000-0005-0000-0000-000034940000}"/>
    <cellStyle name="Wrap 3 3 6 2 2" xfId="34898" xr:uid="{00000000-0005-0000-0000-000035940000}"/>
    <cellStyle name="Wrap 3 3 6 3" xfId="34899" xr:uid="{00000000-0005-0000-0000-000036940000}"/>
    <cellStyle name="Wrap 3 3 6 3 2" xfId="34900" xr:uid="{00000000-0005-0000-0000-000037940000}"/>
    <cellStyle name="Wrap 3 3 6 4" xfId="34901" xr:uid="{00000000-0005-0000-0000-000038940000}"/>
    <cellStyle name="Wrap 3 3 6 4 2" xfId="34902" xr:uid="{00000000-0005-0000-0000-000039940000}"/>
    <cellStyle name="Wrap 3 3 6 5" xfId="34903" xr:uid="{00000000-0005-0000-0000-00003A940000}"/>
    <cellStyle name="Wrap 3 3 6 5 2" xfId="34904" xr:uid="{00000000-0005-0000-0000-00003B940000}"/>
    <cellStyle name="Wrap 3 3 6 6" xfId="34905" xr:uid="{00000000-0005-0000-0000-00003C940000}"/>
    <cellStyle name="Wrap 3 3 6 6 2" xfId="34906" xr:uid="{00000000-0005-0000-0000-00003D940000}"/>
    <cellStyle name="Wrap 3 3 6 7" xfId="34907" xr:uid="{00000000-0005-0000-0000-00003E940000}"/>
    <cellStyle name="Wrap 3 3 6 7 2" xfId="34908" xr:uid="{00000000-0005-0000-0000-00003F940000}"/>
    <cellStyle name="Wrap 3 3 6 8" xfId="34909" xr:uid="{00000000-0005-0000-0000-000040940000}"/>
    <cellStyle name="Wrap 3 3 6 8 2" xfId="34910" xr:uid="{00000000-0005-0000-0000-000041940000}"/>
    <cellStyle name="Wrap 3 3 6 9" xfId="34911" xr:uid="{00000000-0005-0000-0000-000042940000}"/>
    <cellStyle name="Wrap 3 3 6 9 2" xfId="34912" xr:uid="{00000000-0005-0000-0000-000043940000}"/>
    <cellStyle name="Wrap 3 3 7" xfId="34913" xr:uid="{00000000-0005-0000-0000-000044940000}"/>
    <cellStyle name="Wrap 3 3 7 10" xfId="34914" xr:uid="{00000000-0005-0000-0000-000045940000}"/>
    <cellStyle name="Wrap 3 3 7 2" xfId="34915" xr:uid="{00000000-0005-0000-0000-000046940000}"/>
    <cellStyle name="Wrap 3 3 7 2 2" xfId="34916" xr:uid="{00000000-0005-0000-0000-000047940000}"/>
    <cellStyle name="Wrap 3 3 7 3" xfId="34917" xr:uid="{00000000-0005-0000-0000-000048940000}"/>
    <cellStyle name="Wrap 3 3 7 3 2" xfId="34918" xr:uid="{00000000-0005-0000-0000-000049940000}"/>
    <cellStyle name="Wrap 3 3 7 4" xfId="34919" xr:uid="{00000000-0005-0000-0000-00004A940000}"/>
    <cellStyle name="Wrap 3 3 7 4 2" xfId="34920" xr:uid="{00000000-0005-0000-0000-00004B940000}"/>
    <cellStyle name="Wrap 3 3 7 5" xfId="34921" xr:uid="{00000000-0005-0000-0000-00004C940000}"/>
    <cellStyle name="Wrap 3 3 7 5 2" xfId="34922" xr:uid="{00000000-0005-0000-0000-00004D940000}"/>
    <cellStyle name="Wrap 3 3 7 6" xfId="34923" xr:uid="{00000000-0005-0000-0000-00004E940000}"/>
    <cellStyle name="Wrap 3 3 7 6 2" xfId="34924" xr:uid="{00000000-0005-0000-0000-00004F940000}"/>
    <cellStyle name="Wrap 3 3 7 7" xfId="34925" xr:uid="{00000000-0005-0000-0000-000050940000}"/>
    <cellStyle name="Wrap 3 3 7 7 2" xfId="34926" xr:uid="{00000000-0005-0000-0000-000051940000}"/>
    <cellStyle name="Wrap 3 3 7 8" xfId="34927" xr:uid="{00000000-0005-0000-0000-000052940000}"/>
    <cellStyle name="Wrap 3 3 7 8 2" xfId="34928" xr:uid="{00000000-0005-0000-0000-000053940000}"/>
    <cellStyle name="Wrap 3 3 7 9" xfId="34929" xr:uid="{00000000-0005-0000-0000-000054940000}"/>
    <cellStyle name="Wrap 3 3 7 9 2" xfId="34930" xr:uid="{00000000-0005-0000-0000-000055940000}"/>
    <cellStyle name="Wrap 3 3 8" xfId="34931" xr:uid="{00000000-0005-0000-0000-000056940000}"/>
    <cellStyle name="Wrap 3 3 8 10" xfId="34932" xr:uid="{00000000-0005-0000-0000-000057940000}"/>
    <cellStyle name="Wrap 3 3 8 2" xfId="34933" xr:uid="{00000000-0005-0000-0000-000058940000}"/>
    <cellStyle name="Wrap 3 3 8 2 2" xfId="34934" xr:uid="{00000000-0005-0000-0000-000059940000}"/>
    <cellStyle name="Wrap 3 3 8 3" xfId="34935" xr:uid="{00000000-0005-0000-0000-00005A940000}"/>
    <cellStyle name="Wrap 3 3 8 3 2" xfId="34936" xr:uid="{00000000-0005-0000-0000-00005B940000}"/>
    <cellStyle name="Wrap 3 3 8 4" xfId="34937" xr:uid="{00000000-0005-0000-0000-00005C940000}"/>
    <cellStyle name="Wrap 3 3 8 4 2" xfId="34938" xr:uid="{00000000-0005-0000-0000-00005D940000}"/>
    <cellStyle name="Wrap 3 3 8 5" xfId="34939" xr:uid="{00000000-0005-0000-0000-00005E940000}"/>
    <cellStyle name="Wrap 3 3 8 5 2" xfId="34940" xr:uid="{00000000-0005-0000-0000-00005F940000}"/>
    <cellStyle name="Wrap 3 3 8 6" xfId="34941" xr:uid="{00000000-0005-0000-0000-000060940000}"/>
    <cellStyle name="Wrap 3 3 8 6 2" xfId="34942" xr:uid="{00000000-0005-0000-0000-000061940000}"/>
    <cellStyle name="Wrap 3 3 8 7" xfId="34943" xr:uid="{00000000-0005-0000-0000-000062940000}"/>
    <cellStyle name="Wrap 3 3 8 7 2" xfId="34944" xr:uid="{00000000-0005-0000-0000-000063940000}"/>
    <cellStyle name="Wrap 3 3 8 8" xfId="34945" xr:uid="{00000000-0005-0000-0000-000064940000}"/>
    <cellStyle name="Wrap 3 3 8 8 2" xfId="34946" xr:uid="{00000000-0005-0000-0000-000065940000}"/>
    <cellStyle name="Wrap 3 3 8 9" xfId="34947" xr:uid="{00000000-0005-0000-0000-000066940000}"/>
    <cellStyle name="Wrap 3 3 8 9 2" xfId="34948" xr:uid="{00000000-0005-0000-0000-000067940000}"/>
    <cellStyle name="Wrap 3 3 9" xfId="34949" xr:uid="{00000000-0005-0000-0000-000068940000}"/>
    <cellStyle name="Wrap 3 3 9 10" xfId="34950" xr:uid="{00000000-0005-0000-0000-000069940000}"/>
    <cellStyle name="Wrap 3 3 9 2" xfId="34951" xr:uid="{00000000-0005-0000-0000-00006A940000}"/>
    <cellStyle name="Wrap 3 3 9 2 2" xfId="34952" xr:uid="{00000000-0005-0000-0000-00006B940000}"/>
    <cellStyle name="Wrap 3 3 9 3" xfId="34953" xr:uid="{00000000-0005-0000-0000-00006C940000}"/>
    <cellStyle name="Wrap 3 3 9 3 2" xfId="34954" xr:uid="{00000000-0005-0000-0000-00006D940000}"/>
    <cellStyle name="Wrap 3 3 9 4" xfId="34955" xr:uid="{00000000-0005-0000-0000-00006E940000}"/>
    <cellStyle name="Wrap 3 3 9 4 2" xfId="34956" xr:uid="{00000000-0005-0000-0000-00006F940000}"/>
    <cellStyle name="Wrap 3 3 9 5" xfId="34957" xr:uid="{00000000-0005-0000-0000-000070940000}"/>
    <cellStyle name="Wrap 3 3 9 5 2" xfId="34958" xr:uid="{00000000-0005-0000-0000-000071940000}"/>
    <cellStyle name="Wrap 3 3 9 6" xfId="34959" xr:uid="{00000000-0005-0000-0000-000072940000}"/>
    <cellStyle name="Wrap 3 3 9 6 2" xfId="34960" xr:uid="{00000000-0005-0000-0000-000073940000}"/>
    <cellStyle name="Wrap 3 3 9 7" xfId="34961" xr:uid="{00000000-0005-0000-0000-000074940000}"/>
    <cellStyle name="Wrap 3 3 9 7 2" xfId="34962" xr:uid="{00000000-0005-0000-0000-000075940000}"/>
    <cellStyle name="Wrap 3 3 9 8" xfId="34963" xr:uid="{00000000-0005-0000-0000-000076940000}"/>
    <cellStyle name="Wrap 3 3 9 8 2" xfId="34964" xr:uid="{00000000-0005-0000-0000-000077940000}"/>
    <cellStyle name="Wrap 3 3 9 9" xfId="34965" xr:uid="{00000000-0005-0000-0000-000078940000}"/>
    <cellStyle name="Wrap 3 3 9 9 2" xfId="34966" xr:uid="{00000000-0005-0000-0000-000079940000}"/>
    <cellStyle name="Wrap 3 4" xfId="34967" xr:uid="{00000000-0005-0000-0000-00007A940000}"/>
    <cellStyle name="Wrap 3 4 10" xfId="34968" xr:uid="{00000000-0005-0000-0000-00007B940000}"/>
    <cellStyle name="Wrap 3 4 10 2" xfId="34969" xr:uid="{00000000-0005-0000-0000-00007C940000}"/>
    <cellStyle name="Wrap 3 4 10 2 2" xfId="34970" xr:uid="{00000000-0005-0000-0000-00007D940000}"/>
    <cellStyle name="Wrap 3 4 10 3" xfId="34971" xr:uid="{00000000-0005-0000-0000-00007E940000}"/>
    <cellStyle name="Wrap 3 4 10 3 2" xfId="34972" xr:uid="{00000000-0005-0000-0000-00007F940000}"/>
    <cellStyle name="Wrap 3 4 10 4" xfId="34973" xr:uid="{00000000-0005-0000-0000-000080940000}"/>
    <cellStyle name="Wrap 3 4 10 4 2" xfId="34974" xr:uid="{00000000-0005-0000-0000-000081940000}"/>
    <cellStyle name="Wrap 3 4 10 5" xfId="34975" xr:uid="{00000000-0005-0000-0000-000082940000}"/>
    <cellStyle name="Wrap 3 4 10 5 2" xfId="34976" xr:uid="{00000000-0005-0000-0000-000083940000}"/>
    <cellStyle name="Wrap 3 4 10 6" xfId="34977" xr:uid="{00000000-0005-0000-0000-000084940000}"/>
    <cellStyle name="Wrap 3 4 10 6 2" xfId="34978" xr:uid="{00000000-0005-0000-0000-000085940000}"/>
    <cellStyle name="Wrap 3 4 10 7" xfId="34979" xr:uid="{00000000-0005-0000-0000-000086940000}"/>
    <cellStyle name="Wrap 3 4 10 7 2" xfId="34980" xr:uid="{00000000-0005-0000-0000-000087940000}"/>
    <cellStyle name="Wrap 3 4 10 8" xfId="34981" xr:uid="{00000000-0005-0000-0000-000088940000}"/>
    <cellStyle name="Wrap 3 4 10 8 2" xfId="34982" xr:uid="{00000000-0005-0000-0000-000089940000}"/>
    <cellStyle name="Wrap 3 4 10 9" xfId="34983" xr:uid="{00000000-0005-0000-0000-00008A940000}"/>
    <cellStyle name="Wrap 3 4 11" xfId="34984" xr:uid="{00000000-0005-0000-0000-00008B940000}"/>
    <cellStyle name="Wrap 3 4 11 2" xfId="34985" xr:uid="{00000000-0005-0000-0000-00008C940000}"/>
    <cellStyle name="Wrap 3 4 12" xfId="34986" xr:uid="{00000000-0005-0000-0000-00008D940000}"/>
    <cellStyle name="Wrap 3 4 12 2" xfId="34987" xr:uid="{00000000-0005-0000-0000-00008E940000}"/>
    <cellStyle name="Wrap 3 4 13" xfId="34988" xr:uid="{00000000-0005-0000-0000-00008F940000}"/>
    <cellStyle name="Wrap 3 4 13 2" xfId="34989" xr:uid="{00000000-0005-0000-0000-000090940000}"/>
    <cellStyle name="Wrap 3 4 14" xfId="34990" xr:uid="{00000000-0005-0000-0000-000091940000}"/>
    <cellStyle name="Wrap 3 4 14 2" xfId="34991" xr:uid="{00000000-0005-0000-0000-000092940000}"/>
    <cellStyle name="Wrap 3 4 15" xfId="34992" xr:uid="{00000000-0005-0000-0000-000093940000}"/>
    <cellStyle name="Wrap 3 4 15 2" xfId="34993" xr:uid="{00000000-0005-0000-0000-000094940000}"/>
    <cellStyle name="Wrap 3 4 16" xfId="34994" xr:uid="{00000000-0005-0000-0000-000095940000}"/>
    <cellStyle name="Wrap 3 4 16 2" xfId="34995" xr:uid="{00000000-0005-0000-0000-000096940000}"/>
    <cellStyle name="Wrap 3 4 17" xfId="34996" xr:uid="{00000000-0005-0000-0000-000097940000}"/>
    <cellStyle name="Wrap 3 4 17 2" xfId="34997" xr:uid="{00000000-0005-0000-0000-000098940000}"/>
    <cellStyle name="Wrap 3 4 18" xfId="34998" xr:uid="{00000000-0005-0000-0000-000099940000}"/>
    <cellStyle name="Wrap 3 4 2" xfId="34999" xr:uid="{00000000-0005-0000-0000-00009A940000}"/>
    <cellStyle name="Wrap 3 4 2 10" xfId="35000" xr:uid="{00000000-0005-0000-0000-00009B940000}"/>
    <cellStyle name="Wrap 3 4 2 2" xfId="35001" xr:uid="{00000000-0005-0000-0000-00009C940000}"/>
    <cellStyle name="Wrap 3 4 2 2 2" xfId="35002" xr:uid="{00000000-0005-0000-0000-00009D940000}"/>
    <cellStyle name="Wrap 3 4 2 3" xfId="35003" xr:uid="{00000000-0005-0000-0000-00009E940000}"/>
    <cellStyle name="Wrap 3 4 2 3 2" xfId="35004" xr:uid="{00000000-0005-0000-0000-00009F940000}"/>
    <cellStyle name="Wrap 3 4 2 4" xfId="35005" xr:uid="{00000000-0005-0000-0000-0000A0940000}"/>
    <cellStyle name="Wrap 3 4 2 4 2" xfId="35006" xr:uid="{00000000-0005-0000-0000-0000A1940000}"/>
    <cellStyle name="Wrap 3 4 2 5" xfId="35007" xr:uid="{00000000-0005-0000-0000-0000A2940000}"/>
    <cellStyle name="Wrap 3 4 2 5 2" xfId="35008" xr:uid="{00000000-0005-0000-0000-0000A3940000}"/>
    <cellStyle name="Wrap 3 4 2 6" xfId="35009" xr:uid="{00000000-0005-0000-0000-0000A4940000}"/>
    <cellStyle name="Wrap 3 4 2 6 2" xfId="35010" xr:uid="{00000000-0005-0000-0000-0000A5940000}"/>
    <cellStyle name="Wrap 3 4 2 7" xfId="35011" xr:uid="{00000000-0005-0000-0000-0000A6940000}"/>
    <cellStyle name="Wrap 3 4 2 7 2" xfId="35012" xr:uid="{00000000-0005-0000-0000-0000A7940000}"/>
    <cellStyle name="Wrap 3 4 2 8" xfId="35013" xr:uid="{00000000-0005-0000-0000-0000A8940000}"/>
    <cellStyle name="Wrap 3 4 2 8 2" xfId="35014" xr:uid="{00000000-0005-0000-0000-0000A9940000}"/>
    <cellStyle name="Wrap 3 4 2 9" xfId="35015" xr:uid="{00000000-0005-0000-0000-0000AA940000}"/>
    <cellStyle name="Wrap 3 4 2 9 2" xfId="35016" xr:uid="{00000000-0005-0000-0000-0000AB940000}"/>
    <cellStyle name="Wrap 3 4 3" xfId="35017" xr:uid="{00000000-0005-0000-0000-0000AC940000}"/>
    <cellStyle name="Wrap 3 4 3 10" xfId="35018" xr:uid="{00000000-0005-0000-0000-0000AD940000}"/>
    <cellStyle name="Wrap 3 4 3 2" xfId="35019" xr:uid="{00000000-0005-0000-0000-0000AE940000}"/>
    <cellStyle name="Wrap 3 4 3 2 2" xfId="35020" xr:uid="{00000000-0005-0000-0000-0000AF940000}"/>
    <cellStyle name="Wrap 3 4 3 3" xfId="35021" xr:uid="{00000000-0005-0000-0000-0000B0940000}"/>
    <cellStyle name="Wrap 3 4 3 3 2" xfId="35022" xr:uid="{00000000-0005-0000-0000-0000B1940000}"/>
    <cellStyle name="Wrap 3 4 3 4" xfId="35023" xr:uid="{00000000-0005-0000-0000-0000B2940000}"/>
    <cellStyle name="Wrap 3 4 3 4 2" xfId="35024" xr:uid="{00000000-0005-0000-0000-0000B3940000}"/>
    <cellStyle name="Wrap 3 4 3 5" xfId="35025" xr:uid="{00000000-0005-0000-0000-0000B4940000}"/>
    <cellStyle name="Wrap 3 4 3 5 2" xfId="35026" xr:uid="{00000000-0005-0000-0000-0000B5940000}"/>
    <cellStyle name="Wrap 3 4 3 6" xfId="35027" xr:uid="{00000000-0005-0000-0000-0000B6940000}"/>
    <cellStyle name="Wrap 3 4 3 6 2" xfId="35028" xr:uid="{00000000-0005-0000-0000-0000B7940000}"/>
    <cellStyle name="Wrap 3 4 3 7" xfId="35029" xr:uid="{00000000-0005-0000-0000-0000B8940000}"/>
    <cellStyle name="Wrap 3 4 3 7 2" xfId="35030" xr:uid="{00000000-0005-0000-0000-0000B9940000}"/>
    <cellStyle name="Wrap 3 4 3 8" xfId="35031" xr:uid="{00000000-0005-0000-0000-0000BA940000}"/>
    <cellStyle name="Wrap 3 4 3 8 2" xfId="35032" xr:uid="{00000000-0005-0000-0000-0000BB940000}"/>
    <cellStyle name="Wrap 3 4 3 9" xfId="35033" xr:uid="{00000000-0005-0000-0000-0000BC940000}"/>
    <cellStyle name="Wrap 3 4 3 9 2" xfId="35034" xr:uid="{00000000-0005-0000-0000-0000BD940000}"/>
    <cellStyle name="Wrap 3 4 4" xfId="35035" xr:uid="{00000000-0005-0000-0000-0000BE940000}"/>
    <cellStyle name="Wrap 3 4 4 10" xfId="35036" xr:uid="{00000000-0005-0000-0000-0000BF940000}"/>
    <cellStyle name="Wrap 3 4 4 2" xfId="35037" xr:uid="{00000000-0005-0000-0000-0000C0940000}"/>
    <cellStyle name="Wrap 3 4 4 2 2" xfId="35038" xr:uid="{00000000-0005-0000-0000-0000C1940000}"/>
    <cellStyle name="Wrap 3 4 4 3" xfId="35039" xr:uid="{00000000-0005-0000-0000-0000C2940000}"/>
    <cellStyle name="Wrap 3 4 4 3 2" xfId="35040" xr:uid="{00000000-0005-0000-0000-0000C3940000}"/>
    <cellStyle name="Wrap 3 4 4 4" xfId="35041" xr:uid="{00000000-0005-0000-0000-0000C4940000}"/>
    <cellStyle name="Wrap 3 4 4 4 2" xfId="35042" xr:uid="{00000000-0005-0000-0000-0000C5940000}"/>
    <cellStyle name="Wrap 3 4 4 5" xfId="35043" xr:uid="{00000000-0005-0000-0000-0000C6940000}"/>
    <cellStyle name="Wrap 3 4 4 5 2" xfId="35044" xr:uid="{00000000-0005-0000-0000-0000C7940000}"/>
    <cellStyle name="Wrap 3 4 4 6" xfId="35045" xr:uid="{00000000-0005-0000-0000-0000C8940000}"/>
    <cellStyle name="Wrap 3 4 4 6 2" xfId="35046" xr:uid="{00000000-0005-0000-0000-0000C9940000}"/>
    <cellStyle name="Wrap 3 4 4 7" xfId="35047" xr:uid="{00000000-0005-0000-0000-0000CA940000}"/>
    <cellStyle name="Wrap 3 4 4 7 2" xfId="35048" xr:uid="{00000000-0005-0000-0000-0000CB940000}"/>
    <cellStyle name="Wrap 3 4 4 8" xfId="35049" xr:uid="{00000000-0005-0000-0000-0000CC940000}"/>
    <cellStyle name="Wrap 3 4 4 8 2" xfId="35050" xr:uid="{00000000-0005-0000-0000-0000CD940000}"/>
    <cellStyle name="Wrap 3 4 4 9" xfId="35051" xr:uid="{00000000-0005-0000-0000-0000CE940000}"/>
    <cellStyle name="Wrap 3 4 4 9 2" xfId="35052" xr:uid="{00000000-0005-0000-0000-0000CF940000}"/>
    <cellStyle name="Wrap 3 4 5" xfId="35053" xr:uid="{00000000-0005-0000-0000-0000D0940000}"/>
    <cellStyle name="Wrap 3 4 5 10" xfId="35054" xr:uid="{00000000-0005-0000-0000-0000D1940000}"/>
    <cellStyle name="Wrap 3 4 5 2" xfId="35055" xr:uid="{00000000-0005-0000-0000-0000D2940000}"/>
    <cellStyle name="Wrap 3 4 5 2 2" xfId="35056" xr:uid="{00000000-0005-0000-0000-0000D3940000}"/>
    <cellStyle name="Wrap 3 4 5 3" xfId="35057" xr:uid="{00000000-0005-0000-0000-0000D4940000}"/>
    <cellStyle name="Wrap 3 4 5 3 2" xfId="35058" xr:uid="{00000000-0005-0000-0000-0000D5940000}"/>
    <cellStyle name="Wrap 3 4 5 4" xfId="35059" xr:uid="{00000000-0005-0000-0000-0000D6940000}"/>
    <cellStyle name="Wrap 3 4 5 4 2" xfId="35060" xr:uid="{00000000-0005-0000-0000-0000D7940000}"/>
    <cellStyle name="Wrap 3 4 5 5" xfId="35061" xr:uid="{00000000-0005-0000-0000-0000D8940000}"/>
    <cellStyle name="Wrap 3 4 5 5 2" xfId="35062" xr:uid="{00000000-0005-0000-0000-0000D9940000}"/>
    <cellStyle name="Wrap 3 4 5 6" xfId="35063" xr:uid="{00000000-0005-0000-0000-0000DA940000}"/>
    <cellStyle name="Wrap 3 4 5 6 2" xfId="35064" xr:uid="{00000000-0005-0000-0000-0000DB940000}"/>
    <cellStyle name="Wrap 3 4 5 7" xfId="35065" xr:uid="{00000000-0005-0000-0000-0000DC940000}"/>
    <cellStyle name="Wrap 3 4 5 7 2" xfId="35066" xr:uid="{00000000-0005-0000-0000-0000DD940000}"/>
    <cellStyle name="Wrap 3 4 5 8" xfId="35067" xr:uid="{00000000-0005-0000-0000-0000DE940000}"/>
    <cellStyle name="Wrap 3 4 5 8 2" xfId="35068" xr:uid="{00000000-0005-0000-0000-0000DF940000}"/>
    <cellStyle name="Wrap 3 4 5 9" xfId="35069" xr:uid="{00000000-0005-0000-0000-0000E0940000}"/>
    <cellStyle name="Wrap 3 4 5 9 2" xfId="35070" xr:uid="{00000000-0005-0000-0000-0000E1940000}"/>
    <cellStyle name="Wrap 3 4 6" xfId="35071" xr:uid="{00000000-0005-0000-0000-0000E2940000}"/>
    <cellStyle name="Wrap 3 4 6 10" xfId="35072" xr:uid="{00000000-0005-0000-0000-0000E3940000}"/>
    <cellStyle name="Wrap 3 4 6 2" xfId="35073" xr:uid="{00000000-0005-0000-0000-0000E4940000}"/>
    <cellStyle name="Wrap 3 4 6 2 2" xfId="35074" xr:uid="{00000000-0005-0000-0000-0000E5940000}"/>
    <cellStyle name="Wrap 3 4 6 3" xfId="35075" xr:uid="{00000000-0005-0000-0000-0000E6940000}"/>
    <cellStyle name="Wrap 3 4 6 3 2" xfId="35076" xr:uid="{00000000-0005-0000-0000-0000E7940000}"/>
    <cellStyle name="Wrap 3 4 6 4" xfId="35077" xr:uid="{00000000-0005-0000-0000-0000E8940000}"/>
    <cellStyle name="Wrap 3 4 6 4 2" xfId="35078" xr:uid="{00000000-0005-0000-0000-0000E9940000}"/>
    <cellStyle name="Wrap 3 4 6 5" xfId="35079" xr:uid="{00000000-0005-0000-0000-0000EA940000}"/>
    <cellStyle name="Wrap 3 4 6 5 2" xfId="35080" xr:uid="{00000000-0005-0000-0000-0000EB940000}"/>
    <cellStyle name="Wrap 3 4 6 6" xfId="35081" xr:uid="{00000000-0005-0000-0000-0000EC940000}"/>
    <cellStyle name="Wrap 3 4 6 6 2" xfId="35082" xr:uid="{00000000-0005-0000-0000-0000ED940000}"/>
    <cellStyle name="Wrap 3 4 6 7" xfId="35083" xr:uid="{00000000-0005-0000-0000-0000EE940000}"/>
    <cellStyle name="Wrap 3 4 6 7 2" xfId="35084" xr:uid="{00000000-0005-0000-0000-0000EF940000}"/>
    <cellStyle name="Wrap 3 4 6 8" xfId="35085" xr:uid="{00000000-0005-0000-0000-0000F0940000}"/>
    <cellStyle name="Wrap 3 4 6 8 2" xfId="35086" xr:uid="{00000000-0005-0000-0000-0000F1940000}"/>
    <cellStyle name="Wrap 3 4 6 9" xfId="35087" xr:uid="{00000000-0005-0000-0000-0000F2940000}"/>
    <cellStyle name="Wrap 3 4 6 9 2" xfId="35088" xr:uid="{00000000-0005-0000-0000-0000F3940000}"/>
    <cellStyle name="Wrap 3 4 7" xfId="35089" xr:uid="{00000000-0005-0000-0000-0000F4940000}"/>
    <cellStyle name="Wrap 3 4 7 10" xfId="35090" xr:uid="{00000000-0005-0000-0000-0000F5940000}"/>
    <cellStyle name="Wrap 3 4 7 2" xfId="35091" xr:uid="{00000000-0005-0000-0000-0000F6940000}"/>
    <cellStyle name="Wrap 3 4 7 2 2" xfId="35092" xr:uid="{00000000-0005-0000-0000-0000F7940000}"/>
    <cellStyle name="Wrap 3 4 7 3" xfId="35093" xr:uid="{00000000-0005-0000-0000-0000F8940000}"/>
    <cellStyle name="Wrap 3 4 7 3 2" xfId="35094" xr:uid="{00000000-0005-0000-0000-0000F9940000}"/>
    <cellStyle name="Wrap 3 4 7 4" xfId="35095" xr:uid="{00000000-0005-0000-0000-0000FA940000}"/>
    <cellStyle name="Wrap 3 4 7 4 2" xfId="35096" xr:uid="{00000000-0005-0000-0000-0000FB940000}"/>
    <cellStyle name="Wrap 3 4 7 5" xfId="35097" xr:uid="{00000000-0005-0000-0000-0000FC940000}"/>
    <cellStyle name="Wrap 3 4 7 5 2" xfId="35098" xr:uid="{00000000-0005-0000-0000-0000FD940000}"/>
    <cellStyle name="Wrap 3 4 7 6" xfId="35099" xr:uid="{00000000-0005-0000-0000-0000FE940000}"/>
    <cellStyle name="Wrap 3 4 7 6 2" xfId="35100" xr:uid="{00000000-0005-0000-0000-0000FF940000}"/>
    <cellStyle name="Wrap 3 4 7 7" xfId="35101" xr:uid="{00000000-0005-0000-0000-000000950000}"/>
    <cellStyle name="Wrap 3 4 7 7 2" xfId="35102" xr:uid="{00000000-0005-0000-0000-000001950000}"/>
    <cellStyle name="Wrap 3 4 7 8" xfId="35103" xr:uid="{00000000-0005-0000-0000-000002950000}"/>
    <cellStyle name="Wrap 3 4 7 8 2" xfId="35104" xr:uid="{00000000-0005-0000-0000-000003950000}"/>
    <cellStyle name="Wrap 3 4 7 9" xfId="35105" xr:uid="{00000000-0005-0000-0000-000004950000}"/>
    <cellStyle name="Wrap 3 4 7 9 2" xfId="35106" xr:uid="{00000000-0005-0000-0000-000005950000}"/>
    <cellStyle name="Wrap 3 4 8" xfId="35107" xr:uid="{00000000-0005-0000-0000-000006950000}"/>
    <cellStyle name="Wrap 3 4 8 10" xfId="35108" xr:uid="{00000000-0005-0000-0000-000007950000}"/>
    <cellStyle name="Wrap 3 4 8 2" xfId="35109" xr:uid="{00000000-0005-0000-0000-000008950000}"/>
    <cellStyle name="Wrap 3 4 8 2 2" xfId="35110" xr:uid="{00000000-0005-0000-0000-000009950000}"/>
    <cellStyle name="Wrap 3 4 8 3" xfId="35111" xr:uid="{00000000-0005-0000-0000-00000A950000}"/>
    <cellStyle name="Wrap 3 4 8 3 2" xfId="35112" xr:uid="{00000000-0005-0000-0000-00000B950000}"/>
    <cellStyle name="Wrap 3 4 8 4" xfId="35113" xr:uid="{00000000-0005-0000-0000-00000C950000}"/>
    <cellStyle name="Wrap 3 4 8 4 2" xfId="35114" xr:uid="{00000000-0005-0000-0000-00000D950000}"/>
    <cellStyle name="Wrap 3 4 8 5" xfId="35115" xr:uid="{00000000-0005-0000-0000-00000E950000}"/>
    <cellStyle name="Wrap 3 4 8 5 2" xfId="35116" xr:uid="{00000000-0005-0000-0000-00000F950000}"/>
    <cellStyle name="Wrap 3 4 8 6" xfId="35117" xr:uid="{00000000-0005-0000-0000-000010950000}"/>
    <cellStyle name="Wrap 3 4 8 6 2" xfId="35118" xr:uid="{00000000-0005-0000-0000-000011950000}"/>
    <cellStyle name="Wrap 3 4 8 7" xfId="35119" xr:uid="{00000000-0005-0000-0000-000012950000}"/>
    <cellStyle name="Wrap 3 4 8 7 2" xfId="35120" xr:uid="{00000000-0005-0000-0000-000013950000}"/>
    <cellStyle name="Wrap 3 4 8 8" xfId="35121" xr:uid="{00000000-0005-0000-0000-000014950000}"/>
    <cellStyle name="Wrap 3 4 8 8 2" xfId="35122" xr:uid="{00000000-0005-0000-0000-000015950000}"/>
    <cellStyle name="Wrap 3 4 8 9" xfId="35123" xr:uid="{00000000-0005-0000-0000-000016950000}"/>
    <cellStyle name="Wrap 3 4 8 9 2" xfId="35124" xr:uid="{00000000-0005-0000-0000-000017950000}"/>
    <cellStyle name="Wrap 3 4 9" xfId="35125" xr:uid="{00000000-0005-0000-0000-000018950000}"/>
    <cellStyle name="Wrap 3 4 9 10" xfId="35126" xr:uid="{00000000-0005-0000-0000-000019950000}"/>
    <cellStyle name="Wrap 3 4 9 2" xfId="35127" xr:uid="{00000000-0005-0000-0000-00001A950000}"/>
    <cellStyle name="Wrap 3 4 9 2 2" xfId="35128" xr:uid="{00000000-0005-0000-0000-00001B950000}"/>
    <cellStyle name="Wrap 3 4 9 3" xfId="35129" xr:uid="{00000000-0005-0000-0000-00001C950000}"/>
    <cellStyle name="Wrap 3 4 9 3 2" xfId="35130" xr:uid="{00000000-0005-0000-0000-00001D950000}"/>
    <cellStyle name="Wrap 3 4 9 4" xfId="35131" xr:uid="{00000000-0005-0000-0000-00001E950000}"/>
    <cellStyle name="Wrap 3 4 9 4 2" xfId="35132" xr:uid="{00000000-0005-0000-0000-00001F950000}"/>
    <cellStyle name="Wrap 3 4 9 5" xfId="35133" xr:uid="{00000000-0005-0000-0000-000020950000}"/>
    <cellStyle name="Wrap 3 4 9 5 2" xfId="35134" xr:uid="{00000000-0005-0000-0000-000021950000}"/>
    <cellStyle name="Wrap 3 4 9 6" xfId="35135" xr:uid="{00000000-0005-0000-0000-000022950000}"/>
    <cellStyle name="Wrap 3 4 9 6 2" xfId="35136" xr:uid="{00000000-0005-0000-0000-000023950000}"/>
    <cellStyle name="Wrap 3 4 9 7" xfId="35137" xr:uid="{00000000-0005-0000-0000-000024950000}"/>
    <cellStyle name="Wrap 3 4 9 7 2" xfId="35138" xr:uid="{00000000-0005-0000-0000-000025950000}"/>
    <cellStyle name="Wrap 3 4 9 8" xfId="35139" xr:uid="{00000000-0005-0000-0000-000026950000}"/>
    <cellStyle name="Wrap 3 4 9 8 2" xfId="35140" xr:uid="{00000000-0005-0000-0000-000027950000}"/>
    <cellStyle name="Wrap 3 4 9 9" xfId="35141" xr:uid="{00000000-0005-0000-0000-000028950000}"/>
    <cellStyle name="Wrap 3 4 9 9 2" xfId="35142" xr:uid="{00000000-0005-0000-0000-000029950000}"/>
    <cellStyle name="Wrap 3 5" xfId="35143" xr:uid="{00000000-0005-0000-0000-00002A950000}"/>
    <cellStyle name="Wrap 3 5 10" xfId="35144" xr:uid="{00000000-0005-0000-0000-00002B950000}"/>
    <cellStyle name="Wrap 3 5 10 2" xfId="35145" xr:uid="{00000000-0005-0000-0000-00002C950000}"/>
    <cellStyle name="Wrap 3 5 10 2 2" xfId="35146" xr:uid="{00000000-0005-0000-0000-00002D950000}"/>
    <cellStyle name="Wrap 3 5 10 3" xfId="35147" xr:uid="{00000000-0005-0000-0000-00002E950000}"/>
    <cellStyle name="Wrap 3 5 10 3 2" xfId="35148" xr:uid="{00000000-0005-0000-0000-00002F950000}"/>
    <cellStyle name="Wrap 3 5 10 4" xfId="35149" xr:uid="{00000000-0005-0000-0000-000030950000}"/>
    <cellStyle name="Wrap 3 5 10 4 2" xfId="35150" xr:uid="{00000000-0005-0000-0000-000031950000}"/>
    <cellStyle name="Wrap 3 5 10 5" xfId="35151" xr:uid="{00000000-0005-0000-0000-000032950000}"/>
    <cellStyle name="Wrap 3 5 10 5 2" xfId="35152" xr:uid="{00000000-0005-0000-0000-000033950000}"/>
    <cellStyle name="Wrap 3 5 10 6" xfId="35153" xr:uid="{00000000-0005-0000-0000-000034950000}"/>
    <cellStyle name="Wrap 3 5 10 6 2" xfId="35154" xr:uid="{00000000-0005-0000-0000-000035950000}"/>
    <cellStyle name="Wrap 3 5 10 7" xfId="35155" xr:uid="{00000000-0005-0000-0000-000036950000}"/>
    <cellStyle name="Wrap 3 5 10 7 2" xfId="35156" xr:uid="{00000000-0005-0000-0000-000037950000}"/>
    <cellStyle name="Wrap 3 5 10 8" xfId="35157" xr:uid="{00000000-0005-0000-0000-000038950000}"/>
    <cellStyle name="Wrap 3 5 10 8 2" xfId="35158" xr:uid="{00000000-0005-0000-0000-000039950000}"/>
    <cellStyle name="Wrap 3 5 10 9" xfId="35159" xr:uid="{00000000-0005-0000-0000-00003A950000}"/>
    <cellStyle name="Wrap 3 5 11" xfId="35160" xr:uid="{00000000-0005-0000-0000-00003B950000}"/>
    <cellStyle name="Wrap 3 5 11 2" xfId="35161" xr:uid="{00000000-0005-0000-0000-00003C950000}"/>
    <cellStyle name="Wrap 3 5 12" xfId="35162" xr:uid="{00000000-0005-0000-0000-00003D950000}"/>
    <cellStyle name="Wrap 3 5 12 2" xfId="35163" xr:uid="{00000000-0005-0000-0000-00003E950000}"/>
    <cellStyle name="Wrap 3 5 13" xfId="35164" xr:uid="{00000000-0005-0000-0000-00003F950000}"/>
    <cellStyle name="Wrap 3 5 13 2" xfId="35165" xr:uid="{00000000-0005-0000-0000-000040950000}"/>
    <cellStyle name="Wrap 3 5 14" xfId="35166" xr:uid="{00000000-0005-0000-0000-000041950000}"/>
    <cellStyle name="Wrap 3 5 14 2" xfId="35167" xr:uid="{00000000-0005-0000-0000-000042950000}"/>
    <cellStyle name="Wrap 3 5 15" xfId="35168" xr:uid="{00000000-0005-0000-0000-000043950000}"/>
    <cellStyle name="Wrap 3 5 15 2" xfId="35169" xr:uid="{00000000-0005-0000-0000-000044950000}"/>
    <cellStyle name="Wrap 3 5 16" xfId="35170" xr:uid="{00000000-0005-0000-0000-000045950000}"/>
    <cellStyle name="Wrap 3 5 16 2" xfId="35171" xr:uid="{00000000-0005-0000-0000-000046950000}"/>
    <cellStyle name="Wrap 3 5 17" xfId="35172" xr:uid="{00000000-0005-0000-0000-000047950000}"/>
    <cellStyle name="Wrap 3 5 17 2" xfId="35173" xr:uid="{00000000-0005-0000-0000-000048950000}"/>
    <cellStyle name="Wrap 3 5 18" xfId="35174" xr:uid="{00000000-0005-0000-0000-000049950000}"/>
    <cellStyle name="Wrap 3 5 2" xfId="35175" xr:uid="{00000000-0005-0000-0000-00004A950000}"/>
    <cellStyle name="Wrap 3 5 2 10" xfId="35176" xr:uid="{00000000-0005-0000-0000-00004B950000}"/>
    <cellStyle name="Wrap 3 5 2 2" xfId="35177" xr:uid="{00000000-0005-0000-0000-00004C950000}"/>
    <cellStyle name="Wrap 3 5 2 2 2" xfId="35178" xr:uid="{00000000-0005-0000-0000-00004D950000}"/>
    <cellStyle name="Wrap 3 5 2 3" xfId="35179" xr:uid="{00000000-0005-0000-0000-00004E950000}"/>
    <cellStyle name="Wrap 3 5 2 3 2" xfId="35180" xr:uid="{00000000-0005-0000-0000-00004F950000}"/>
    <cellStyle name="Wrap 3 5 2 4" xfId="35181" xr:uid="{00000000-0005-0000-0000-000050950000}"/>
    <cellStyle name="Wrap 3 5 2 4 2" xfId="35182" xr:uid="{00000000-0005-0000-0000-000051950000}"/>
    <cellStyle name="Wrap 3 5 2 5" xfId="35183" xr:uid="{00000000-0005-0000-0000-000052950000}"/>
    <cellStyle name="Wrap 3 5 2 5 2" xfId="35184" xr:uid="{00000000-0005-0000-0000-000053950000}"/>
    <cellStyle name="Wrap 3 5 2 6" xfId="35185" xr:uid="{00000000-0005-0000-0000-000054950000}"/>
    <cellStyle name="Wrap 3 5 2 6 2" xfId="35186" xr:uid="{00000000-0005-0000-0000-000055950000}"/>
    <cellStyle name="Wrap 3 5 2 7" xfId="35187" xr:uid="{00000000-0005-0000-0000-000056950000}"/>
    <cellStyle name="Wrap 3 5 2 7 2" xfId="35188" xr:uid="{00000000-0005-0000-0000-000057950000}"/>
    <cellStyle name="Wrap 3 5 2 8" xfId="35189" xr:uid="{00000000-0005-0000-0000-000058950000}"/>
    <cellStyle name="Wrap 3 5 2 8 2" xfId="35190" xr:uid="{00000000-0005-0000-0000-000059950000}"/>
    <cellStyle name="Wrap 3 5 2 9" xfId="35191" xr:uid="{00000000-0005-0000-0000-00005A950000}"/>
    <cellStyle name="Wrap 3 5 2 9 2" xfId="35192" xr:uid="{00000000-0005-0000-0000-00005B950000}"/>
    <cellStyle name="Wrap 3 5 3" xfId="35193" xr:uid="{00000000-0005-0000-0000-00005C950000}"/>
    <cellStyle name="Wrap 3 5 3 10" xfId="35194" xr:uid="{00000000-0005-0000-0000-00005D950000}"/>
    <cellStyle name="Wrap 3 5 3 2" xfId="35195" xr:uid="{00000000-0005-0000-0000-00005E950000}"/>
    <cellStyle name="Wrap 3 5 3 2 2" xfId="35196" xr:uid="{00000000-0005-0000-0000-00005F950000}"/>
    <cellStyle name="Wrap 3 5 3 3" xfId="35197" xr:uid="{00000000-0005-0000-0000-000060950000}"/>
    <cellStyle name="Wrap 3 5 3 3 2" xfId="35198" xr:uid="{00000000-0005-0000-0000-000061950000}"/>
    <cellStyle name="Wrap 3 5 3 4" xfId="35199" xr:uid="{00000000-0005-0000-0000-000062950000}"/>
    <cellStyle name="Wrap 3 5 3 4 2" xfId="35200" xr:uid="{00000000-0005-0000-0000-000063950000}"/>
    <cellStyle name="Wrap 3 5 3 5" xfId="35201" xr:uid="{00000000-0005-0000-0000-000064950000}"/>
    <cellStyle name="Wrap 3 5 3 5 2" xfId="35202" xr:uid="{00000000-0005-0000-0000-000065950000}"/>
    <cellStyle name="Wrap 3 5 3 6" xfId="35203" xr:uid="{00000000-0005-0000-0000-000066950000}"/>
    <cellStyle name="Wrap 3 5 3 6 2" xfId="35204" xr:uid="{00000000-0005-0000-0000-000067950000}"/>
    <cellStyle name="Wrap 3 5 3 7" xfId="35205" xr:uid="{00000000-0005-0000-0000-000068950000}"/>
    <cellStyle name="Wrap 3 5 3 7 2" xfId="35206" xr:uid="{00000000-0005-0000-0000-000069950000}"/>
    <cellStyle name="Wrap 3 5 3 8" xfId="35207" xr:uid="{00000000-0005-0000-0000-00006A950000}"/>
    <cellStyle name="Wrap 3 5 3 8 2" xfId="35208" xr:uid="{00000000-0005-0000-0000-00006B950000}"/>
    <cellStyle name="Wrap 3 5 3 9" xfId="35209" xr:uid="{00000000-0005-0000-0000-00006C950000}"/>
    <cellStyle name="Wrap 3 5 3 9 2" xfId="35210" xr:uid="{00000000-0005-0000-0000-00006D950000}"/>
    <cellStyle name="Wrap 3 5 4" xfId="35211" xr:uid="{00000000-0005-0000-0000-00006E950000}"/>
    <cellStyle name="Wrap 3 5 4 10" xfId="35212" xr:uid="{00000000-0005-0000-0000-00006F950000}"/>
    <cellStyle name="Wrap 3 5 4 2" xfId="35213" xr:uid="{00000000-0005-0000-0000-000070950000}"/>
    <cellStyle name="Wrap 3 5 4 2 2" xfId="35214" xr:uid="{00000000-0005-0000-0000-000071950000}"/>
    <cellStyle name="Wrap 3 5 4 3" xfId="35215" xr:uid="{00000000-0005-0000-0000-000072950000}"/>
    <cellStyle name="Wrap 3 5 4 3 2" xfId="35216" xr:uid="{00000000-0005-0000-0000-000073950000}"/>
    <cellStyle name="Wrap 3 5 4 4" xfId="35217" xr:uid="{00000000-0005-0000-0000-000074950000}"/>
    <cellStyle name="Wrap 3 5 4 4 2" xfId="35218" xr:uid="{00000000-0005-0000-0000-000075950000}"/>
    <cellStyle name="Wrap 3 5 4 5" xfId="35219" xr:uid="{00000000-0005-0000-0000-000076950000}"/>
    <cellStyle name="Wrap 3 5 4 5 2" xfId="35220" xr:uid="{00000000-0005-0000-0000-000077950000}"/>
    <cellStyle name="Wrap 3 5 4 6" xfId="35221" xr:uid="{00000000-0005-0000-0000-000078950000}"/>
    <cellStyle name="Wrap 3 5 4 6 2" xfId="35222" xr:uid="{00000000-0005-0000-0000-000079950000}"/>
    <cellStyle name="Wrap 3 5 4 7" xfId="35223" xr:uid="{00000000-0005-0000-0000-00007A950000}"/>
    <cellStyle name="Wrap 3 5 4 7 2" xfId="35224" xr:uid="{00000000-0005-0000-0000-00007B950000}"/>
    <cellStyle name="Wrap 3 5 4 8" xfId="35225" xr:uid="{00000000-0005-0000-0000-00007C950000}"/>
    <cellStyle name="Wrap 3 5 4 8 2" xfId="35226" xr:uid="{00000000-0005-0000-0000-00007D950000}"/>
    <cellStyle name="Wrap 3 5 4 9" xfId="35227" xr:uid="{00000000-0005-0000-0000-00007E950000}"/>
    <cellStyle name="Wrap 3 5 4 9 2" xfId="35228" xr:uid="{00000000-0005-0000-0000-00007F950000}"/>
    <cellStyle name="Wrap 3 5 5" xfId="35229" xr:uid="{00000000-0005-0000-0000-000080950000}"/>
    <cellStyle name="Wrap 3 5 5 10" xfId="35230" xr:uid="{00000000-0005-0000-0000-000081950000}"/>
    <cellStyle name="Wrap 3 5 5 2" xfId="35231" xr:uid="{00000000-0005-0000-0000-000082950000}"/>
    <cellStyle name="Wrap 3 5 5 2 2" xfId="35232" xr:uid="{00000000-0005-0000-0000-000083950000}"/>
    <cellStyle name="Wrap 3 5 5 3" xfId="35233" xr:uid="{00000000-0005-0000-0000-000084950000}"/>
    <cellStyle name="Wrap 3 5 5 3 2" xfId="35234" xr:uid="{00000000-0005-0000-0000-000085950000}"/>
    <cellStyle name="Wrap 3 5 5 4" xfId="35235" xr:uid="{00000000-0005-0000-0000-000086950000}"/>
    <cellStyle name="Wrap 3 5 5 4 2" xfId="35236" xr:uid="{00000000-0005-0000-0000-000087950000}"/>
    <cellStyle name="Wrap 3 5 5 5" xfId="35237" xr:uid="{00000000-0005-0000-0000-000088950000}"/>
    <cellStyle name="Wrap 3 5 5 5 2" xfId="35238" xr:uid="{00000000-0005-0000-0000-000089950000}"/>
    <cellStyle name="Wrap 3 5 5 6" xfId="35239" xr:uid="{00000000-0005-0000-0000-00008A950000}"/>
    <cellStyle name="Wrap 3 5 5 6 2" xfId="35240" xr:uid="{00000000-0005-0000-0000-00008B950000}"/>
    <cellStyle name="Wrap 3 5 5 7" xfId="35241" xr:uid="{00000000-0005-0000-0000-00008C950000}"/>
    <cellStyle name="Wrap 3 5 5 7 2" xfId="35242" xr:uid="{00000000-0005-0000-0000-00008D950000}"/>
    <cellStyle name="Wrap 3 5 5 8" xfId="35243" xr:uid="{00000000-0005-0000-0000-00008E950000}"/>
    <cellStyle name="Wrap 3 5 5 8 2" xfId="35244" xr:uid="{00000000-0005-0000-0000-00008F950000}"/>
    <cellStyle name="Wrap 3 5 5 9" xfId="35245" xr:uid="{00000000-0005-0000-0000-000090950000}"/>
    <cellStyle name="Wrap 3 5 5 9 2" xfId="35246" xr:uid="{00000000-0005-0000-0000-000091950000}"/>
    <cellStyle name="Wrap 3 5 6" xfId="35247" xr:uid="{00000000-0005-0000-0000-000092950000}"/>
    <cellStyle name="Wrap 3 5 6 10" xfId="35248" xr:uid="{00000000-0005-0000-0000-000093950000}"/>
    <cellStyle name="Wrap 3 5 6 2" xfId="35249" xr:uid="{00000000-0005-0000-0000-000094950000}"/>
    <cellStyle name="Wrap 3 5 6 2 2" xfId="35250" xr:uid="{00000000-0005-0000-0000-000095950000}"/>
    <cellStyle name="Wrap 3 5 6 3" xfId="35251" xr:uid="{00000000-0005-0000-0000-000096950000}"/>
    <cellStyle name="Wrap 3 5 6 3 2" xfId="35252" xr:uid="{00000000-0005-0000-0000-000097950000}"/>
    <cellStyle name="Wrap 3 5 6 4" xfId="35253" xr:uid="{00000000-0005-0000-0000-000098950000}"/>
    <cellStyle name="Wrap 3 5 6 4 2" xfId="35254" xr:uid="{00000000-0005-0000-0000-000099950000}"/>
    <cellStyle name="Wrap 3 5 6 5" xfId="35255" xr:uid="{00000000-0005-0000-0000-00009A950000}"/>
    <cellStyle name="Wrap 3 5 6 5 2" xfId="35256" xr:uid="{00000000-0005-0000-0000-00009B950000}"/>
    <cellStyle name="Wrap 3 5 6 6" xfId="35257" xr:uid="{00000000-0005-0000-0000-00009C950000}"/>
    <cellStyle name="Wrap 3 5 6 6 2" xfId="35258" xr:uid="{00000000-0005-0000-0000-00009D950000}"/>
    <cellStyle name="Wrap 3 5 6 7" xfId="35259" xr:uid="{00000000-0005-0000-0000-00009E950000}"/>
    <cellStyle name="Wrap 3 5 6 7 2" xfId="35260" xr:uid="{00000000-0005-0000-0000-00009F950000}"/>
    <cellStyle name="Wrap 3 5 6 8" xfId="35261" xr:uid="{00000000-0005-0000-0000-0000A0950000}"/>
    <cellStyle name="Wrap 3 5 6 8 2" xfId="35262" xr:uid="{00000000-0005-0000-0000-0000A1950000}"/>
    <cellStyle name="Wrap 3 5 6 9" xfId="35263" xr:uid="{00000000-0005-0000-0000-0000A2950000}"/>
    <cellStyle name="Wrap 3 5 6 9 2" xfId="35264" xr:uid="{00000000-0005-0000-0000-0000A3950000}"/>
    <cellStyle name="Wrap 3 5 7" xfId="35265" xr:uid="{00000000-0005-0000-0000-0000A4950000}"/>
    <cellStyle name="Wrap 3 5 7 10" xfId="35266" xr:uid="{00000000-0005-0000-0000-0000A5950000}"/>
    <cellStyle name="Wrap 3 5 7 2" xfId="35267" xr:uid="{00000000-0005-0000-0000-0000A6950000}"/>
    <cellStyle name="Wrap 3 5 7 2 2" xfId="35268" xr:uid="{00000000-0005-0000-0000-0000A7950000}"/>
    <cellStyle name="Wrap 3 5 7 3" xfId="35269" xr:uid="{00000000-0005-0000-0000-0000A8950000}"/>
    <cellStyle name="Wrap 3 5 7 3 2" xfId="35270" xr:uid="{00000000-0005-0000-0000-0000A9950000}"/>
    <cellStyle name="Wrap 3 5 7 4" xfId="35271" xr:uid="{00000000-0005-0000-0000-0000AA950000}"/>
    <cellStyle name="Wrap 3 5 7 4 2" xfId="35272" xr:uid="{00000000-0005-0000-0000-0000AB950000}"/>
    <cellStyle name="Wrap 3 5 7 5" xfId="35273" xr:uid="{00000000-0005-0000-0000-0000AC950000}"/>
    <cellStyle name="Wrap 3 5 7 5 2" xfId="35274" xr:uid="{00000000-0005-0000-0000-0000AD950000}"/>
    <cellStyle name="Wrap 3 5 7 6" xfId="35275" xr:uid="{00000000-0005-0000-0000-0000AE950000}"/>
    <cellStyle name="Wrap 3 5 7 6 2" xfId="35276" xr:uid="{00000000-0005-0000-0000-0000AF950000}"/>
    <cellStyle name="Wrap 3 5 7 7" xfId="35277" xr:uid="{00000000-0005-0000-0000-0000B0950000}"/>
    <cellStyle name="Wrap 3 5 7 7 2" xfId="35278" xr:uid="{00000000-0005-0000-0000-0000B1950000}"/>
    <cellStyle name="Wrap 3 5 7 8" xfId="35279" xr:uid="{00000000-0005-0000-0000-0000B2950000}"/>
    <cellStyle name="Wrap 3 5 7 8 2" xfId="35280" xr:uid="{00000000-0005-0000-0000-0000B3950000}"/>
    <cellStyle name="Wrap 3 5 7 9" xfId="35281" xr:uid="{00000000-0005-0000-0000-0000B4950000}"/>
    <cellStyle name="Wrap 3 5 7 9 2" xfId="35282" xr:uid="{00000000-0005-0000-0000-0000B5950000}"/>
    <cellStyle name="Wrap 3 5 8" xfId="35283" xr:uid="{00000000-0005-0000-0000-0000B6950000}"/>
    <cellStyle name="Wrap 3 5 8 10" xfId="35284" xr:uid="{00000000-0005-0000-0000-0000B7950000}"/>
    <cellStyle name="Wrap 3 5 8 2" xfId="35285" xr:uid="{00000000-0005-0000-0000-0000B8950000}"/>
    <cellStyle name="Wrap 3 5 8 2 2" xfId="35286" xr:uid="{00000000-0005-0000-0000-0000B9950000}"/>
    <cellStyle name="Wrap 3 5 8 3" xfId="35287" xr:uid="{00000000-0005-0000-0000-0000BA950000}"/>
    <cellStyle name="Wrap 3 5 8 3 2" xfId="35288" xr:uid="{00000000-0005-0000-0000-0000BB950000}"/>
    <cellStyle name="Wrap 3 5 8 4" xfId="35289" xr:uid="{00000000-0005-0000-0000-0000BC950000}"/>
    <cellStyle name="Wrap 3 5 8 4 2" xfId="35290" xr:uid="{00000000-0005-0000-0000-0000BD950000}"/>
    <cellStyle name="Wrap 3 5 8 5" xfId="35291" xr:uid="{00000000-0005-0000-0000-0000BE950000}"/>
    <cellStyle name="Wrap 3 5 8 5 2" xfId="35292" xr:uid="{00000000-0005-0000-0000-0000BF950000}"/>
    <cellStyle name="Wrap 3 5 8 6" xfId="35293" xr:uid="{00000000-0005-0000-0000-0000C0950000}"/>
    <cellStyle name="Wrap 3 5 8 6 2" xfId="35294" xr:uid="{00000000-0005-0000-0000-0000C1950000}"/>
    <cellStyle name="Wrap 3 5 8 7" xfId="35295" xr:uid="{00000000-0005-0000-0000-0000C2950000}"/>
    <cellStyle name="Wrap 3 5 8 7 2" xfId="35296" xr:uid="{00000000-0005-0000-0000-0000C3950000}"/>
    <cellStyle name="Wrap 3 5 8 8" xfId="35297" xr:uid="{00000000-0005-0000-0000-0000C4950000}"/>
    <cellStyle name="Wrap 3 5 8 8 2" xfId="35298" xr:uid="{00000000-0005-0000-0000-0000C5950000}"/>
    <cellStyle name="Wrap 3 5 8 9" xfId="35299" xr:uid="{00000000-0005-0000-0000-0000C6950000}"/>
    <cellStyle name="Wrap 3 5 8 9 2" xfId="35300" xr:uid="{00000000-0005-0000-0000-0000C7950000}"/>
    <cellStyle name="Wrap 3 5 9" xfId="35301" xr:uid="{00000000-0005-0000-0000-0000C8950000}"/>
    <cellStyle name="Wrap 3 5 9 10" xfId="35302" xr:uid="{00000000-0005-0000-0000-0000C9950000}"/>
    <cellStyle name="Wrap 3 5 9 2" xfId="35303" xr:uid="{00000000-0005-0000-0000-0000CA950000}"/>
    <cellStyle name="Wrap 3 5 9 2 2" xfId="35304" xr:uid="{00000000-0005-0000-0000-0000CB950000}"/>
    <cellStyle name="Wrap 3 5 9 3" xfId="35305" xr:uid="{00000000-0005-0000-0000-0000CC950000}"/>
    <cellStyle name="Wrap 3 5 9 3 2" xfId="35306" xr:uid="{00000000-0005-0000-0000-0000CD950000}"/>
    <cellStyle name="Wrap 3 5 9 4" xfId="35307" xr:uid="{00000000-0005-0000-0000-0000CE950000}"/>
    <cellStyle name="Wrap 3 5 9 4 2" xfId="35308" xr:uid="{00000000-0005-0000-0000-0000CF950000}"/>
    <cellStyle name="Wrap 3 5 9 5" xfId="35309" xr:uid="{00000000-0005-0000-0000-0000D0950000}"/>
    <cellStyle name="Wrap 3 5 9 5 2" xfId="35310" xr:uid="{00000000-0005-0000-0000-0000D1950000}"/>
    <cellStyle name="Wrap 3 5 9 6" xfId="35311" xr:uid="{00000000-0005-0000-0000-0000D2950000}"/>
    <cellStyle name="Wrap 3 5 9 6 2" xfId="35312" xr:uid="{00000000-0005-0000-0000-0000D3950000}"/>
    <cellStyle name="Wrap 3 5 9 7" xfId="35313" xr:uid="{00000000-0005-0000-0000-0000D4950000}"/>
    <cellStyle name="Wrap 3 5 9 7 2" xfId="35314" xr:uid="{00000000-0005-0000-0000-0000D5950000}"/>
    <cellStyle name="Wrap 3 5 9 8" xfId="35315" xr:uid="{00000000-0005-0000-0000-0000D6950000}"/>
    <cellStyle name="Wrap 3 5 9 8 2" xfId="35316" xr:uid="{00000000-0005-0000-0000-0000D7950000}"/>
    <cellStyle name="Wrap 3 5 9 9" xfId="35317" xr:uid="{00000000-0005-0000-0000-0000D8950000}"/>
    <cellStyle name="Wrap 3 5 9 9 2" xfId="35318" xr:uid="{00000000-0005-0000-0000-0000D9950000}"/>
    <cellStyle name="Wrap 3 6" xfId="35319" xr:uid="{00000000-0005-0000-0000-0000DA950000}"/>
    <cellStyle name="Wrap 3 6 10" xfId="35320" xr:uid="{00000000-0005-0000-0000-0000DB950000}"/>
    <cellStyle name="Wrap 3 6 10 2" xfId="35321" xr:uid="{00000000-0005-0000-0000-0000DC950000}"/>
    <cellStyle name="Wrap 3 6 10 2 2" xfId="35322" xr:uid="{00000000-0005-0000-0000-0000DD950000}"/>
    <cellStyle name="Wrap 3 6 10 3" xfId="35323" xr:uid="{00000000-0005-0000-0000-0000DE950000}"/>
    <cellStyle name="Wrap 3 6 10 3 2" xfId="35324" xr:uid="{00000000-0005-0000-0000-0000DF950000}"/>
    <cellStyle name="Wrap 3 6 10 4" xfId="35325" xr:uid="{00000000-0005-0000-0000-0000E0950000}"/>
    <cellStyle name="Wrap 3 6 10 4 2" xfId="35326" xr:uid="{00000000-0005-0000-0000-0000E1950000}"/>
    <cellStyle name="Wrap 3 6 10 5" xfId="35327" xr:uid="{00000000-0005-0000-0000-0000E2950000}"/>
    <cellStyle name="Wrap 3 6 10 5 2" xfId="35328" xr:uid="{00000000-0005-0000-0000-0000E3950000}"/>
    <cellStyle name="Wrap 3 6 10 6" xfId="35329" xr:uid="{00000000-0005-0000-0000-0000E4950000}"/>
    <cellStyle name="Wrap 3 6 10 6 2" xfId="35330" xr:uid="{00000000-0005-0000-0000-0000E5950000}"/>
    <cellStyle name="Wrap 3 6 10 7" xfId="35331" xr:uid="{00000000-0005-0000-0000-0000E6950000}"/>
    <cellStyle name="Wrap 3 6 10 7 2" xfId="35332" xr:uid="{00000000-0005-0000-0000-0000E7950000}"/>
    <cellStyle name="Wrap 3 6 10 8" xfId="35333" xr:uid="{00000000-0005-0000-0000-0000E8950000}"/>
    <cellStyle name="Wrap 3 6 10 8 2" xfId="35334" xr:uid="{00000000-0005-0000-0000-0000E9950000}"/>
    <cellStyle name="Wrap 3 6 10 9" xfId="35335" xr:uid="{00000000-0005-0000-0000-0000EA950000}"/>
    <cellStyle name="Wrap 3 6 11" xfId="35336" xr:uid="{00000000-0005-0000-0000-0000EB950000}"/>
    <cellStyle name="Wrap 3 6 11 2" xfId="35337" xr:uid="{00000000-0005-0000-0000-0000EC950000}"/>
    <cellStyle name="Wrap 3 6 12" xfId="35338" xr:uid="{00000000-0005-0000-0000-0000ED950000}"/>
    <cellStyle name="Wrap 3 6 12 2" xfId="35339" xr:uid="{00000000-0005-0000-0000-0000EE950000}"/>
    <cellStyle name="Wrap 3 6 13" xfId="35340" xr:uid="{00000000-0005-0000-0000-0000EF950000}"/>
    <cellStyle name="Wrap 3 6 13 2" xfId="35341" xr:uid="{00000000-0005-0000-0000-0000F0950000}"/>
    <cellStyle name="Wrap 3 6 14" xfId="35342" xr:uid="{00000000-0005-0000-0000-0000F1950000}"/>
    <cellStyle name="Wrap 3 6 14 2" xfId="35343" xr:uid="{00000000-0005-0000-0000-0000F2950000}"/>
    <cellStyle name="Wrap 3 6 15" xfId="35344" xr:uid="{00000000-0005-0000-0000-0000F3950000}"/>
    <cellStyle name="Wrap 3 6 15 2" xfId="35345" xr:uid="{00000000-0005-0000-0000-0000F4950000}"/>
    <cellStyle name="Wrap 3 6 16" xfId="35346" xr:uid="{00000000-0005-0000-0000-0000F5950000}"/>
    <cellStyle name="Wrap 3 6 16 2" xfId="35347" xr:uid="{00000000-0005-0000-0000-0000F6950000}"/>
    <cellStyle name="Wrap 3 6 17" xfId="35348" xr:uid="{00000000-0005-0000-0000-0000F7950000}"/>
    <cellStyle name="Wrap 3 6 17 2" xfId="35349" xr:uid="{00000000-0005-0000-0000-0000F8950000}"/>
    <cellStyle name="Wrap 3 6 18" xfId="35350" xr:uid="{00000000-0005-0000-0000-0000F9950000}"/>
    <cellStyle name="Wrap 3 6 2" xfId="35351" xr:uid="{00000000-0005-0000-0000-0000FA950000}"/>
    <cellStyle name="Wrap 3 6 2 10" xfId="35352" xr:uid="{00000000-0005-0000-0000-0000FB950000}"/>
    <cellStyle name="Wrap 3 6 2 2" xfId="35353" xr:uid="{00000000-0005-0000-0000-0000FC950000}"/>
    <cellStyle name="Wrap 3 6 2 2 2" xfId="35354" xr:uid="{00000000-0005-0000-0000-0000FD950000}"/>
    <cellStyle name="Wrap 3 6 2 3" xfId="35355" xr:uid="{00000000-0005-0000-0000-0000FE950000}"/>
    <cellStyle name="Wrap 3 6 2 3 2" xfId="35356" xr:uid="{00000000-0005-0000-0000-0000FF950000}"/>
    <cellStyle name="Wrap 3 6 2 4" xfId="35357" xr:uid="{00000000-0005-0000-0000-000000960000}"/>
    <cellStyle name="Wrap 3 6 2 4 2" xfId="35358" xr:uid="{00000000-0005-0000-0000-000001960000}"/>
    <cellStyle name="Wrap 3 6 2 5" xfId="35359" xr:uid="{00000000-0005-0000-0000-000002960000}"/>
    <cellStyle name="Wrap 3 6 2 5 2" xfId="35360" xr:uid="{00000000-0005-0000-0000-000003960000}"/>
    <cellStyle name="Wrap 3 6 2 6" xfId="35361" xr:uid="{00000000-0005-0000-0000-000004960000}"/>
    <cellStyle name="Wrap 3 6 2 6 2" xfId="35362" xr:uid="{00000000-0005-0000-0000-000005960000}"/>
    <cellStyle name="Wrap 3 6 2 7" xfId="35363" xr:uid="{00000000-0005-0000-0000-000006960000}"/>
    <cellStyle name="Wrap 3 6 2 7 2" xfId="35364" xr:uid="{00000000-0005-0000-0000-000007960000}"/>
    <cellStyle name="Wrap 3 6 2 8" xfId="35365" xr:uid="{00000000-0005-0000-0000-000008960000}"/>
    <cellStyle name="Wrap 3 6 2 8 2" xfId="35366" xr:uid="{00000000-0005-0000-0000-000009960000}"/>
    <cellStyle name="Wrap 3 6 2 9" xfId="35367" xr:uid="{00000000-0005-0000-0000-00000A960000}"/>
    <cellStyle name="Wrap 3 6 2 9 2" xfId="35368" xr:uid="{00000000-0005-0000-0000-00000B960000}"/>
    <cellStyle name="Wrap 3 6 3" xfId="35369" xr:uid="{00000000-0005-0000-0000-00000C960000}"/>
    <cellStyle name="Wrap 3 6 3 10" xfId="35370" xr:uid="{00000000-0005-0000-0000-00000D960000}"/>
    <cellStyle name="Wrap 3 6 3 2" xfId="35371" xr:uid="{00000000-0005-0000-0000-00000E960000}"/>
    <cellStyle name="Wrap 3 6 3 2 2" xfId="35372" xr:uid="{00000000-0005-0000-0000-00000F960000}"/>
    <cellStyle name="Wrap 3 6 3 3" xfId="35373" xr:uid="{00000000-0005-0000-0000-000010960000}"/>
    <cellStyle name="Wrap 3 6 3 3 2" xfId="35374" xr:uid="{00000000-0005-0000-0000-000011960000}"/>
    <cellStyle name="Wrap 3 6 3 4" xfId="35375" xr:uid="{00000000-0005-0000-0000-000012960000}"/>
    <cellStyle name="Wrap 3 6 3 4 2" xfId="35376" xr:uid="{00000000-0005-0000-0000-000013960000}"/>
    <cellStyle name="Wrap 3 6 3 5" xfId="35377" xr:uid="{00000000-0005-0000-0000-000014960000}"/>
    <cellStyle name="Wrap 3 6 3 5 2" xfId="35378" xr:uid="{00000000-0005-0000-0000-000015960000}"/>
    <cellStyle name="Wrap 3 6 3 6" xfId="35379" xr:uid="{00000000-0005-0000-0000-000016960000}"/>
    <cellStyle name="Wrap 3 6 3 6 2" xfId="35380" xr:uid="{00000000-0005-0000-0000-000017960000}"/>
    <cellStyle name="Wrap 3 6 3 7" xfId="35381" xr:uid="{00000000-0005-0000-0000-000018960000}"/>
    <cellStyle name="Wrap 3 6 3 7 2" xfId="35382" xr:uid="{00000000-0005-0000-0000-000019960000}"/>
    <cellStyle name="Wrap 3 6 3 8" xfId="35383" xr:uid="{00000000-0005-0000-0000-00001A960000}"/>
    <cellStyle name="Wrap 3 6 3 8 2" xfId="35384" xr:uid="{00000000-0005-0000-0000-00001B960000}"/>
    <cellStyle name="Wrap 3 6 3 9" xfId="35385" xr:uid="{00000000-0005-0000-0000-00001C960000}"/>
    <cellStyle name="Wrap 3 6 3 9 2" xfId="35386" xr:uid="{00000000-0005-0000-0000-00001D960000}"/>
    <cellStyle name="Wrap 3 6 4" xfId="35387" xr:uid="{00000000-0005-0000-0000-00001E960000}"/>
    <cellStyle name="Wrap 3 6 4 10" xfId="35388" xr:uid="{00000000-0005-0000-0000-00001F960000}"/>
    <cellStyle name="Wrap 3 6 4 2" xfId="35389" xr:uid="{00000000-0005-0000-0000-000020960000}"/>
    <cellStyle name="Wrap 3 6 4 2 2" xfId="35390" xr:uid="{00000000-0005-0000-0000-000021960000}"/>
    <cellStyle name="Wrap 3 6 4 3" xfId="35391" xr:uid="{00000000-0005-0000-0000-000022960000}"/>
    <cellStyle name="Wrap 3 6 4 3 2" xfId="35392" xr:uid="{00000000-0005-0000-0000-000023960000}"/>
    <cellStyle name="Wrap 3 6 4 4" xfId="35393" xr:uid="{00000000-0005-0000-0000-000024960000}"/>
    <cellStyle name="Wrap 3 6 4 4 2" xfId="35394" xr:uid="{00000000-0005-0000-0000-000025960000}"/>
    <cellStyle name="Wrap 3 6 4 5" xfId="35395" xr:uid="{00000000-0005-0000-0000-000026960000}"/>
    <cellStyle name="Wrap 3 6 4 5 2" xfId="35396" xr:uid="{00000000-0005-0000-0000-000027960000}"/>
    <cellStyle name="Wrap 3 6 4 6" xfId="35397" xr:uid="{00000000-0005-0000-0000-000028960000}"/>
    <cellStyle name="Wrap 3 6 4 6 2" xfId="35398" xr:uid="{00000000-0005-0000-0000-000029960000}"/>
    <cellStyle name="Wrap 3 6 4 7" xfId="35399" xr:uid="{00000000-0005-0000-0000-00002A960000}"/>
    <cellStyle name="Wrap 3 6 4 7 2" xfId="35400" xr:uid="{00000000-0005-0000-0000-00002B960000}"/>
    <cellStyle name="Wrap 3 6 4 8" xfId="35401" xr:uid="{00000000-0005-0000-0000-00002C960000}"/>
    <cellStyle name="Wrap 3 6 4 8 2" xfId="35402" xr:uid="{00000000-0005-0000-0000-00002D960000}"/>
    <cellStyle name="Wrap 3 6 4 9" xfId="35403" xr:uid="{00000000-0005-0000-0000-00002E960000}"/>
    <cellStyle name="Wrap 3 6 4 9 2" xfId="35404" xr:uid="{00000000-0005-0000-0000-00002F960000}"/>
    <cellStyle name="Wrap 3 6 5" xfId="35405" xr:uid="{00000000-0005-0000-0000-000030960000}"/>
    <cellStyle name="Wrap 3 6 5 10" xfId="35406" xr:uid="{00000000-0005-0000-0000-000031960000}"/>
    <cellStyle name="Wrap 3 6 5 2" xfId="35407" xr:uid="{00000000-0005-0000-0000-000032960000}"/>
    <cellStyle name="Wrap 3 6 5 2 2" xfId="35408" xr:uid="{00000000-0005-0000-0000-000033960000}"/>
    <cellStyle name="Wrap 3 6 5 3" xfId="35409" xr:uid="{00000000-0005-0000-0000-000034960000}"/>
    <cellStyle name="Wrap 3 6 5 3 2" xfId="35410" xr:uid="{00000000-0005-0000-0000-000035960000}"/>
    <cellStyle name="Wrap 3 6 5 4" xfId="35411" xr:uid="{00000000-0005-0000-0000-000036960000}"/>
    <cellStyle name="Wrap 3 6 5 4 2" xfId="35412" xr:uid="{00000000-0005-0000-0000-000037960000}"/>
    <cellStyle name="Wrap 3 6 5 5" xfId="35413" xr:uid="{00000000-0005-0000-0000-000038960000}"/>
    <cellStyle name="Wrap 3 6 5 5 2" xfId="35414" xr:uid="{00000000-0005-0000-0000-000039960000}"/>
    <cellStyle name="Wrap 3 6 5 6" xfId="35415" xr:uid="{00000000-0005-0000-0000-00003A960000}"/>
    <cellStyle name="Wrap 3 6 5 6 2" xfId="35416" xr:uid="{00000000-0005-0000-0000-00003B960000}"/>
    <cellStyle name="Wrap 3 6 5 7" xfId="35417" xr:uid="{00000000-0005-0000-0000-00003C960000}"/>
    <cellStyle name="Wrap 3 6 5 7 2" xfId="35418" xr:uid="{00000000-0005-0000-0000-00003D960000}"/>
    <cellStyle name="Wrap 3 6 5 8" xfId="35419" xr:uid="{00000000-0005-0000-0000-00003E960000}"/>
    <cellStyle name="Wrap 3 6 5 8 2" xfId="35420" xr:uid="{00000000-0005-0000-0000-00003F960000}"/>
    <cellStyle name="Wrap 3 6 5 9" xfId="35421" xr:uid="{00000000-0005-0000-0000-000040960000}"/>
    <cellStyle name="Wrap 3 6 5 9 2" xfId="35422" xr:uid="{00000000-0005-0000-0000-000041960000}"/>
    <cellStyle name="Wrap 3 6 6" xfId="35423" xr:uid="{00000000-0005-0000-0000-000042960000}"/>
    <cellStyle name="Wrap 3 6 6 10" xfId="35424" xr:uid="{00000000-0005-0000-0000-000043960000}"/>
    <cellStyle name="Wrap 3 6 6 2" xfId="35425" xr:uid="{00000000-0005-0000-0000-000044960000}"/>
    <cellStyle name="Wrap 3 6 6 2 2" xfId="35426" xr:uid="{00000000-0005-0000-0000-000045960000}"/>
    <cellStyle name="Wrap 3 6 6 3" xfId="35427" xr:uid="{00000000-0005-0000-0000-000046960000}"/>
    <cellStyle name="Wrap 3 6 6 3 2" xfId="35428" xr:uid="{00000000-0005-0000-0000-000047960000}"/>
    <cellStyle name="Wrap 3 6 6 4" xfId="35429" xr:uid="{00000000-0005-0000-0000-000048960000}"/>
    <cellStyle name="Wrap 3 6 6 4 2" xfId="35430" xr:uid="{00000000-0005-0000-0000-000049960000}"/>
    <cellStyle name="Wrap 3 6 6 5" xfId="35431" xr:uid="{00000000-0005-0000-0000-00004A960000}"/>
    <cellStyle name="Wrap 3 6 6 5 2" xfId="35432" xr:uid="{00000000-0005-0000-0000-00004B960000}"/>
    <cellStyle name="Wrap 3 6 6 6" xfId="35433" xr:uid="{00000000-0005-0000-0000-00004C960000}"/>
    <cellStyle name="Wrap 3 6 6 6 2" xfId="35434" xr:uid="{00000000-0005-0000-0000-00004D960000}"/>
    <cellStyle name="Wrap 3 6 6 7" xfId="35435" xr:uid="{00000000-0005-0000-0000-00004E960000}"/>
    <cellStyle name="Wrap 3 6 6 7 2" xfId="35436" xr:uid="{00000000-0005-0000-0000-00004F960000}"/>
    <cellStyle name="Wrap 3 6 6 8" xfId="35437" xr:uid="{00000000-0005-0000-0000-000050960000}"/>
    <cellStyle name="Wrap 3 6 6 8 2" xfId="35438" xr:uid="{00000000-0005-0000-0000-000051960000}"/>
    <cellStyle name="Wrap 3 6 6 9" xfId="35439" xr:uid="{00000000-0005-0000-0000-000052960000}"/>
    <cellStyle name="Wrap 3 6 6 9 2" xfId="35440" xr:uid="{00000000-0005-0000-0000-000053960000}"/>
    <cellStyle name="Wrap 3 6 7" xfId="35441" xr:uid="{00000000-0005-0000-0000-000054960000}"/>
    <cellStyle name="Wrap 3 6 7 10" xfId="35442" xr:uid="{00000000-0005-0000-0000-000055960000}"/>
    <cellStyle name="Wrap 3 6 7 2" xfId="35443" xr:uid="{00000000-0005-0000-0000-000056960000}"/>
    <cellStyle name="Wrap 3 6 7 2 2" xfId="35444" xr:uid="{00000000-0005-0000-0000-000057960000}"/>
    <cellStyle name="Wrap 3 6 7 3" xfId="35445" xr:uid="{00000000-0005-0000-0000-000058960000}"/>
    <cellStyle name="Wrap 3 6 7 3 2" xfId="35446" xr:uid="{00000000-0005-0000-0000-000059960000}"/>
    <cellStyle name="Wrap 3 6 7 4" xfId="35447" xr:uid="{00000000-0005-0000-0000-00005A960000}"/>
    <cellStyle name="Wrap 3 6 7 4 2" xfId="35448" xr:uid="{00000000-0005-0000-0000-00005B960000}"/>
    <cellStyle name="Wrap 3 6 7 5" xfId="35449" xr:uid="{00000000-0005-0000-0000-00005C960000}"/>
    <cellStyle name="Wrap 3 6 7 5 2" xfId="35450" xr:uid="{00000000-0005-0000-0000-00005D960000}"/>
    <cellStyle name="Wrap 3 6 7 6" xfId="35451" xr:uid="{00000000-0005-0000-0000-00005E960000}"/>
    <cellStyle name="Wrap 3 6 7 6 2" xfId="35452" xr:uid="{00000000-0005-0000-0000-00005F960000}"/>
    <cellStyle name="Wrap 3 6 7 7" xfId="35453" xr:uid="{00000000-0005-0000-0000-000060960000}"/>
    <cellStyle name="Wrap 3 6 7 7 2" xfId="35454" xr:uid="{00000000-0005-0000-0000-000061960000}"/>
    <cellStyle name="Wrap 3 6 7 8" xfId="35455" xr:uid="{00000000-0005-0000-0000-000062960000}"/>
    <cellStyle name="Wrap 3 6 7 8 2" xfId="35456" xr:uid="{00000000-0005-0000-0000-000063960000}"/>
    <cellStyle name="Wrap 3 6 7 9" xfId="35457" xr:uid="{00000000-0005-0000-0000-000064960000}"/>
    <cellStyle name="Wrap 3 6 7 9 2" xfId="35458" xr:uid="{00000000-0005-0000-0000-000065960000}"/>
    <cellStyle name="Wrap 3 6 8" xfId="35459" xr:uid="{00000000-0005-0000-0000-000066960000}"/>
    <cellStyle name="Wrap 3 6 8 10" xfId="35460" xr:uid="{00000000-0005-0000-0000-000067960000}"/>
    <cellStyle name="Wrap 3 6 8 2" xfId="35461" xr:uid="{00000000-0005-0000-0000-000068960000}"/>
    <cellStyle name="Wrap 3 6 8 2 2" xfId="35462" xr:uid="{00000000-0005-0000-0000-000069960000}"/>
    <cellStyle name="Wrap 3 6 8 3" xfId="35463" xr:uid="{00000000-0005-0000-0000-00006A960000}"/>
    <cellStyle name="Wrap 3 6 8 3 2" xfId="35464" xr:uid="{00000000-0005-0000-0000-00006B960000}"/>
    <cellStyle name="Wrap 3 6 8 4" xfId="35465" xr:uid="{00000000-0005-0000-0000-00006C960000}"/>
    <cellStyle name="Wrap 3 6 8 4 2" xfId="35466" xr:uid="{00000000-0005-0000-0000-00006D960000}"/>
    <cellStyle name="Wrap 3 6 8 5" xfId="35467" xr:uid="{00000000-0005-0000-0000-00006E960000}"/>
    <cellStyle name="Wrap 3 6 8 5 2" xfId="35468" xr:uid="{00000000-0005-0000-0000-00006F960000}"/>
    <cellStyle name="Wrap 3 6 8 6" xfId="35469" xr:uid="{00000000-0005-0000-0000-000070960000}"/>
    <cellStyle name="Wrap 3 6 8 6 2" xfId="35470" xr:uid="{00000000-0005-0000-0000-000071960000}"/>
    <cellStyle name="Wrap 3 6 8 7" xfId="35471" xr:uid="{00000000-0005-0000-0000-000072960000}"/>
    <cellStyle name="Wrap 3 6 8 7 2" xfId="35472" xr:uid="{00000000-0005-0000-0000-000073960000}"/>
    <cellStyle name="Wrap 3 6 8 8" xfId="35473" xr:uid="{00000000-0005-0000-0000-000074960000}"/>
    <cellStyle name="Wrap 3 6 8 8 2" xfId="35474" xr:uid="{00000000-0005-0000-0000-000075960000}"/>
    <cellStyle name="Wrap 3 6 8 9" xfId="35475" xr:uid="{00000000-0005-0000-0000-000076960000}"/>
    <cellStyle name="Wrap 3 6 8 9 2" xfId="35476" xr:uid="{00000000-0005-0000-0000-000077960000}"/>
    <cellStyle name="Wrap 3 6 9" xfId="35477" xr:uid="{00000000-0005-0000-0000-000078960000}"/>
    <cellStyle name="Wrap 3 6 9 10" xfId="35478" xr:uid="{00000000-0005-0000-0000-000079960000}"/>
    <cellStyle name="Wrap 3 6 9 2" xfId="35479" xr:uid="{00000000-0005-0000-0000-00007A960000}"/>
    <cellStyle name="Wrap 3 6 9 2 2" xfId="35480" xr:uid="{00000000-0005-0000-0000-00007B960000}"/>
    <cellStyle name="Wrap 3 6 9 3" xfId="35481" xr:uid="{00000000-0005-0000-0000-00007C960000}"/>
    <cellStyle name="Wrap 3 6 9 3 2" xfId="35482" xr:uid="{00000000-0005-0000-0000-00007D960000}"/>
    <cellStyle name="Wrap 3 6 9 4" xfId="35483" xr:uid="{00000000-0005-0000-0000-00007E960000}"/>
    <cellStyle name="Wrap 3 6 9 4 2" xfId="35484" xr:uid="{00000000-0005-0000-0000-00007F960000}"/>
    <cellStyle name="Wrap 3 6 9 5" xfId="35485" xr:uid="{00000000-0005-0000-0000-000080960000}"/>
    <cellStyle name="Wrap 3 6 9 5 2" xfId="35486" xr:uid="{00000000-0005-0000-0000-000081960000}"/>
    <cellStyle name="Wrap 3 6 9 6" xfId="35487" xr:uid="{00000000-0005-0000-0000-000082960000}"/>
    <cellStyle name="Wrap 3 6 9 6 2" xfId="35488" xr:uid="{00000000-0005-0000-0000-000083960000}"/>
    <cellStyle name="Wrap 3 6 9 7" xfId="35489" xr:uid="{00000000-0005-0000-0000-000084960000}"/>
    <cellStyle name="Wrap 3 6 9 7 2" xfId="35490" xr:uid="{00000000-0005-0000-0000-000085960000}"/>
    <cellStyle name="Wrap 3 6 9 8" xfId="35491" xr:uid="{00000000-0005-0000-0000-000086960000}"/>
    <cellStyle name="Wrap 3 6 9 8 2" xfId="35492" xr:uid="{00000000-0005-0000-0000-000087960000}"/>
    <cellStyle name="Wrap 3 6 9 9" xfId="35493" xr:uid="{00000000-0005-0000-0000-000088960000}"/>
    <cellStyle name="Wrap 3 6 9 9 2" xfId="35494" xr:uid="{00000000-0005-0000-0000-000089960000}"/>
    <cellStyle name="Wrap 3 7" xfId="35495" xr:uid="{00000000-0005-0000-0000-00008A960000}"/>
    <cellStyle name="Wrap 3 7 10" xfId="35496" xr:uid="{00000000-0005-0000-0000-00008B960000}"/>
    <cellStyle name="Wrap 3 7 10 2" xfId="35497" xr:uid="{00000000-0005-0000-0000-00008C960000}"/>
    <cellStyle name="Wrap 3 7 10 2 2" xfId="35498" xr:uid="{00000000-0005-0000-0000-00008D960000}"/>
    <cellStyle name="Wrap 3 7 10 3" xfId="35499" xr:uid="{00000000-0005-0000-0000-00008E960000}"/>
    <cellStyle name="Wrap 3 7 10 3 2" xfId="35500" xr:uid="{00000000-0005-0000-0000-00008F960000}"/>
    <cellStyle name="Wrap 3 7 10 4" xfId="35501" xr:uid="{00000000-0005-0000-0000-000090960000}"/>
    <cellStyle name="Wrap 3 7 10 4 2" xfId="35502" xr:uid="{00000000-0005-0000-0000-000091960000}"/>
    <cellStyle name="Wrap 3 7 10 5" xfId="35503" xr:uid="{00000000-0005-0000-0000-000092960000}"/>
    <cellStyle name="Wrap 3 7 10 5 2" xfId="35504" xr:uid="{00000000-0005-0000-0000-000093960000}"/>
    <cellStyle name="Wrap 3 7 10 6" xfId="35505" xr:uid="{00000000-0005-0000-0000-000094960000}"/>
    <cellStyle name="Wrap 3 7 10 6 2" xfId="35506" xr:uid="{00000000-0005-0000-0000-000095960000}"/>
    <cellStyle name="Wrap 3 7 10 7" xfId="35507" xr:uid="{00000000-0005-0000-0000-000096960000}"/>
    <cellStyle name="Wrap 3 7 10 7 2" xfId="35508" xr:uid="{00000000-0005-0000-0000-000097960000}"/>
    <cellStyle name="Wrap 3 7 10 8" xfId="35509" xr:uid="{00000000-0005-0000-0000-000098960000}"/>
    <cellStyle name="Wrap 3 7 10 8 2" xfId="35510" xr:uid="{00000000-0005-0000-0000-000099960000}"/>
    <cellStyle name="Wrap 3 7 10 9" xfId="35511" xr:uid="{00000000-0005-0000-0000-00009A960000}"/>
    <cellStyle name="Wrap 3 7 11" xfId="35512" xr:uid="{00000000-0005-0000-0000-00009B960000}"/>
    <cellStyle name="Wrap 3 7 11 2" xfId="35513" xr:uid="{00000000-0005-0000-0000-00009C960000}"/>
    <cellStyle name="Wrap 3 7 12" xfId="35514" xr:uid="{00000000-0005-0000-0000-00009D960000}"/>
    <cellStyle name="Wrap 3 7 12 2" xfId="35515" xr:uid="{00000000-0005-0000-0000-00009E960000}"/>
    <cellStyle name="Wrap 3 7 13" xfId="35516" xr:uid="{00000000-0005-0000-0000-00009F960000}"/>
    <cellStyle name="Wrap 3 7 13 2" xfId="35517" xr:uid="{00000000-0005-0000-0000-0000A0960000}"/>
    <cellStyle name="Wrap 3 7 14" xfId="35518" xr:uid="{00000000-0005-0000-0000-0000A1960000}"/>
    <cellStyle name="Wrap 3 7 14 2" xfId="35519" xr:uid="{00000000-0005-0000-0000-0000A2960000}"/>
    <cellStyle name="Wrap 3 7 15" xfId="35520" xr:uid="{00000000-0005-0000-0000-0000A3960000}"/>
    <cellStyle name="Wrap 3 7 15 2" xfId="35521" xr:uid="{00000000-0005-0000-0000-0000A4960000}"/>
    <cellStyle name="Wrap 3 7 16" xfId="35522" xr:uid="{00000000-0005-0000-0000-0000A5960000}"/>
    <cellStyle name="Wrap 3 7 16 2" xfId="35523" xr:uid="{00000000-0005-0000-0000-0000A6960000}"/>
    <cellStyle name="Wrap 3 7 17" xfId="35524" xr:uid="{00000000-0005-0000-0000-0000A7960000}"/>
    <cellStyle name="Wrap 3 7 17 2" xfId="35525" xr:uid="{00000000-0005-0000-0000-0000A8960000}"/>
    <cellStyle name="Wrap 3 7 18" xfId="35526" xr:uid="{00000000-0005-0000-0000-0000A9960000}"/>
    <cellStyle name="Wrap 3 7 2" xfId="35527" xr:uid="{00000000-0005-0000-0000-0000AA960000}"/>
    <cellStyle name="Wrap 3 7 2 10" xfId="35528" xr:uid="{00000000-0005-0000-0000-0000AB960000}"/>
    <cellStyle name="Wrap 3 7 2 2" xfId="35529" xr:uid="{00000000-0005-0000-0000-0000AC960000}"/>
    <cellStyle name="Wrap 3 7 2 2 2" xfId="35530" xr:uid="{00000000-0005-0000-0000-0000AD960000}"/>
    <cellStyle name="Wrap 3 7 2 3" xfId="35531" xr:uid="{00000000-0005-0000-0000-0000AE960000}"/>
    <cellStyle name="Wrap 3 7 2 3 2" xfId="35532" xr:uid="{00000000-0005-0000-0000-0000AF960000}"/>
    <cellStyle name="Wrap 3 7 2 4" xfId="35533" xr:uid="{00000000-0005-0000-0000-0000B0960000}"/>
    <cellStyle name="Wrap 3 7 2 4 2" xfId="35534" xr:uid="{00000000-0005-0000-0000-0000B1960000}"/>
    <cellStyle name="Wrap 3 7 2 5" xfId="35535" xr:uid="{00000000-0005-0000-0000-0000B2960000}"/>
    <cellStyle name="Wrap 3 7 2 5 2" xfId="35536" xr:uid="{00000000-0005-0000-0000-0000B3960000}"/>
    <cellStyle name="Wrap 3 7 2 6" xfId="35537" xr:uid="{00000000-0005-0000-0000-0000B4960000}"/>
    <cellStyle name="Wrap 3 7 2 6 2" xfId="35538" xr:uid="{00000000-0005-0000-0000-0000B5960000}"/>
    <cellStyle name="Wrap 3 7 2 7" xfId="35539" xr:uid="{00000000-0005-0000-0000-0000B6960000}"/>
    <cellStyle name="Wrap 3 7 2 7 2" xfId="35540" xr:uid="{00000000-0005-0000-0000-0000B7960000}"/>
    <cellStyle name="Wrap 3 7 2 8" xfId="35541" xr:uid="{00000000-0005-0000-0000-0000B8960000}"/>
    <cellStyle name="Wrap 3 7 2 8 2" xfId="35542" xr:uid="{00000000-0005-0000-0000-0000B9960000}"/>
    <cellStyle name="Wrap 3 7 2 9" xfId="35543" xr:uid="{00000000-0005-0000-0000-0000BA960000}"/>
    <cellStyle name="Wrap 3 7 2 9 2" xfId="35544" xr:uid="{00000000-0005-0000-0000-0000BB960000}"/>
    <cellStyle name="Wrap 3 7 3" xfId="35545" xr:uid="{00000000-0005-0000-0000-0000BC960000}"/>
    <cellStyle name="Wrap 3 7 3 10" xfId="35546" xr:uid="{00000000-0005-0000-0000-0000BD960000}"/>
    <cellStyle name="Wrap 3 7 3 2" xfId="35547" xr:uid="{00000000-0005-0000-0000-0000BE960000}"/>
    <cellStyle name="Wrap 3 7 3 2 2" xfId="35548" xr:uid="{00000000-0005-0000-0000-0000BF960000}"/>
    <cellStyle name="Wrap 3 7 3 3" xfId="35549" xr:uid="{00000000-0005-0000-0000-0000C0960000}"/>
    <cellStyle name="Wrap 3 7 3 3 2" xfId="35550" xr:uid="{00000000-0005-0000-0000-0000C1960000}"/>
    <cellStyle name="Wrap 3 7 3 4" xfId="35551" xr:uid="{00000000-0005-0000-0000-0000C2960000}"/>
    <cellStyle name="Wrap 3 7 3 4 2" xfId="35552" xr:uid="{00000000-0005-0000-0000-0000C3960000}"/>
    <cellStyle name="Wrap 3 7 3 5" xfId="35553" xr:uid="{00000000-0005-0000-0000-0000C4960000}"/>
    <cellStyle name="Wrap 3 7 3 5 2" xfId="35554" xr:uid="{00000000-0005-0000-0000-0000C5960000}"/>
    <cellStyle name="Wrap 3 7 3 6" xfId="35555" xr:uid="{00000000-0005-0000-0000-0000C6960000}"/>
    <cellStyle name="Wrap 3 7 3 6 2" xfId="35556" xr:uid="{00000000-0005-0000-0000-0000C7960000}"/>
    <cellStyle name="Wrap 3 7 3 7" xfId="35557" xr:uid="{00000000-0005-0000-0000-0000C8960000}"/>
    <cellStyle name="Wrap 3 7 3 7 2" xfId="35558" xr:uid="{00000000-0005-0000-0000-0000C9960000}"/>
    <cellStyle name="Wrap 3 7 3 8" xfId="35559" xr:uid="{00000000-0005-0000-0000-0000CA960000}"/>
    <cellStyle name="Wrap 3 7 3 8 2" xfId="35560" xr:uid="{00000000-0005-0000-0000-0000CB960000}"/>
    <cellStyle name="Wrap 3 7 3 9" xfId="35561" xr:uid="{00000000-0005-0000-0000-0000CC960000}"/>
    <cellStyle name="Wrap 3 7 3 9 2" xfId="35562" xr:uid="{00000000-0005-0000-0000-0000CD960000}"/>
    <cellStyle name="Wrap 3 7 4" xfId="35563" xr:uid="{00000000-0005-0000-0000-0000CE960000}"/>
    <cellStyle name="Wrap 3 7 4 10" xfId="35564" xr:uid="{00000000-0005-0000-0000-0000CF960000}"/>
    <cellStyle name="Wrap 3 7 4 2" xfId="35565" xr:uid="{00000000-0005-0000-0000-0000D0960000}"/>
    <cellStyle name="Wrap 3 7 4 2 2" xfId="35566" xr:uid="{00000000-0005-0000-0000-0000D1960000}"/>
    <cellStyle name="Wrap 3 7 4 3" xfId="35567" xr:uid="{00000000-0005-0000-0000-0000D2960000}"/>
    <cellStyle name="Wrap 3 7 4 3 2" xfId="35568" xr:uid="{00000000-0005-0000-0000-0000D3960000}"/>
    <cellStyle name="Wrap 3 7 4 4" xfId="35569" xr:uid="{00000000-0005-0000-0000-0000D4960000}"/>
    <cellStyle name="Wrap 3 7 4 4 2" xfId="35570" xr:uid="{00000000-0005-0000-0000-0000D5960000}"/>
    <cellStyle name="Wrap 3 7 4 5" xfId="35571" xr:uid="{00000000-0005-0000-0000-0000D6960000}"/>
    <cellStyle name="Wrap 3 7 4 5 2" xfId="35572" xr:uid="{00000000-0005-0000-0000-0000D7960000}"/>
    <cellStyle name="Wrap 3 7 4 6" xfId="35573" xr:uid="{00000000-0005-0000-0000-0000D8960000}"/>
    <cellStyle name="Wrap 3 7 4 6 2" xfId="35574" xr:uid="{00000000-0005-0000-0000-0000D9960000}"/>
    <cellStyle name="Wrap 3 7 4 7" xfId="35575" xr:uid="{00000000-0005-0000-0000-0000DA960000}"/>
    <cellStyle name="Wrap 3 7 4 7 2" xfId="35576" xr:uid="{00000000-0005-0000-0000-0000DB960000}"/>
    <cellStyle name="Wrap 3 7 4 8" xfId="35577" xr:uid="{00000000-0005-0000-0000-0000DC960000}"/>
    <cellStyle name="Wrap 3 7 4 8 2" xfId="35578" xr:uid="{00000000-0005-0000-0000-0000DD960000}"/>
    <cellStyle name="Wrap 3 7 4 9" xfId="35579" xr:uid="{00000000-0005-0000-0000-0000DE960000}"/>
    <cellStyle name="Wrap 3 7 4 9 2" xfId="35580" xr:uid="{00000000-0005-0000-0000-0000DF960000}"/>
    <cellStyle name="Wrap 3 7 5" xfId="35581" xr:uid="{00000000-0005-0000-0000-0000E0960000}"/>
    <cellStyle name="Wrap 3 7 5 10" xfId="35582" xr:uid="{00000000-0005-0000-0000-0000E1960000}"/>
    <cellStyle name="Wrap 3 7 5 2" xfId="35583" xr:uid="{00000000-0005-0000-0000-0000E2960000}"/>
    <cellStyle name="Wrap 3 7 5 2 2" xfId="35584" xr:uid="{00000000-0005-0000-0000-0000E3960000}"/>
    <cellStyle name="Wrap 3 7 5 3" xfId="35585" xr:uid="{00000000-0005-0000-0000-0000E4960000}"/>
    <cellStyle name="Wrap 3 7 5 3 2" xfId="35586" xr:uid="{00000000-0005-0000-0000-0000E5960000}"/>
    <cellStyle name="Wrap 3 7 5 4" xfId="35587" xr:uid="{00000000-0005-0000-0000-0000E6960000}"/>
    <cellStyle name="Wrap 3 7 5 4 2" xfId="35588" xr:uid="{00000000-0005-0000-0000-0000E7960000}"/>
    <cellStyle name="Wrap 3 7 5 5" xfId="35589" xr:uid="{00000000-0005-0000-0000-0000E8960000}"/>
    <cellStyle name="Wrap 3 7 5 5 2" xfId="35590" xr:uid="{00000000-0005-0000-0000-0000E9960000}"/>
    <cellStyle name="Wrap 3 7 5 6" xfId="35591" xr:uid="{00000000-0005-0000-0000-0000EA960000}"/>
    <cellStyle name="Wrap 3 7 5 6 2" xfId="35592" xr:uid="{00000000-0005-0000-0000-0000EB960000}"/>
    <cellStyle name="Wrap 3 7 5 7" xfId="35593" xr:uid="{00000000-0005-0000-0000-0000EC960000}"/>
    <cellStyle name="Wrap 3 7 5 7 2" xfId="35594" xr:uid="{00000000-0005-0000-0000-0000ED960000}"/>
    <cellStyle name="Wrap 3 7 5 8" xfId="35595" xr:uid="{00000000-0005-0000-0000-0000EE960000}"/>
    <cellStyle name="Wrap 3 7 5 8 2" xfId="35596" xr:uid="{00000000-0005-0000-0000-0000EF960000}"/>
    <cellStyle name="Wrap 3 7 5 9" xfId="35597" xr:uid="{00000000-0005-0000-0000-0000F0960000}"/>
    <cellStyle name="Wrap 3 7 5 9 2" xfId="35598" xr:uid="{00000000-0005-0000-0000-0000F1960000}"/>
    <cellStyle name="Wrap 3 7 6" xfId="35599" xr:uid="{00000000-0005-0000-0000-0000F2960000}"/>
    <cellStyle name="Wrap 3 7 6 10" xfId="35600" xr:uid="{00000000-0005-0000-0000-0000F3960000}"/>
    <cellStyle name="Wrap 3 7 6 2" xfId="35601" xr:uid="{00000000-0005-0000-0000-0000F4960000}"/>
    <cellStyle name="Wrap 3 7 6 2 2" xfId="35602" xr:uid="{00000000-0005-0000-0000-0000F5960000}"/>
    <cellStyle name="Wrap 3 7 6 3" xfId="35603" xr:uid="{00000000-0005-0000-0000-0000F6960000}"/>
    <cellStyle name="Wrap 3 7 6 3 2" xfId="35604" xr:uid="{00000000-0005-0000-0000-0000F7960000}"/>
    <cellStyle name="Wrap 3 7 6 4" xfId="35605" xr:uid="{00000000-0005-0000-0000-0000F8960000}"/>
    <cellStyle name="Wrap 3 7 6 4 2" xfId="35606" xr:uid="{00000000-0005-0000-0000-0000F9960000}"/>
    <cellStyle name="Wrap 3 7 6 5" xfId="35607" xr:uid="{00000000-0005-0000-0000-0000FA960000}"/>
    <cellStyle name="Wrap 3 7 6 5 2" xfId="35608" xr:uid="{00000000-0005-0000-0000-0000FB960000}"/>
    <cellStyle name="Wrap 3 7 6 6" xfId="35609" xr:uid="{00000000-0005-0000-0000-0000FC960000}"/>
    <cellStyle name="Wrap 3 7 6 6 2" xfId="35610" xr:uid="{00000000-0005-0000-0000-0000FD960000}"/>
    <cellStyle name="Wrap 3 7 6 7" xfId="35611" xr:uid="{00000000-0005-0000-0000-0000FE960000}"/>
    <cellStyle name="Wrap 3 7 6 7 2" xfId="35612" xr:uid="{00000000-0005-0000-0000-0000FF960000}"/>
    <cellStyle name="Wrap 3 7 6 8" xfId="35613" xr:uid="{00000000-0005-0000-0000-000000970000}"/>
    <cellStyle name="Wrap 3 7 6 8 2" xfId="35614" xr:uid="{00000000-0005-0000-0000-000001970000}"/>
    <cellStyle name="Wrap 3 7 6 9" xfId="35615" xr:uid="{00000000-0005-0000-0000-000002970000}"/>
    <cellStyle name="Wrap 3 7 6 9 2" xfId="35616" xr:uid="{00000000-0005-0000-0000-000003970000}"/>
    <cellStyle name="Wrap 3 7 7" xfId="35617" xr:uid="{00000000-0005-0000-0000-000004970000}"/>
    <cellStyle name="Wrap 3 7 7 10" xfId="35618" xr:uid="{00000000-0005-0000-0000-000005970000}"/>
    <cellStyle name="Wrap 3 7 7 2" xfId="35619" xr:uid="{00000000-0005-0000-0000-000006970000}"/>
    <cellStyle name="Wrap 3 7 7 2 2" xfId="35620" xr:uid="{00000000-0005-0000-0000-000007970000}"/>
    <cellStyle name="Wrap 3 7 7 3" xfId="35621" xr:uid="{00000000-0005-0000-0000-000008970000}"/>
    <cellStyle name="Wrap 3 7 7 3 2" xfId="35622" xr:uid="{00000000-0005-0000-0000-000009970000}"/>
    <cellStyle name="Wrap 3 7 7 4" xfId="35623" xr:uid="{00000000-0005-0000-0000-00000A970000}"/>
    <cellStyle name="Wrap 3 7 7 4 2" xfId="35624" xr:uid="{00000000-0005-0000-0000-00000B970000}"/>
    <cellStyle name="Wrap 3 7 7 5" xfId="35625" xr:uid="{00000000-0005-0000-0000-00000C970000}"/>
    <cellStyle name="Wrap 3 7 7 5 2" xfId="35626" xr:uid="{00000000-0005-0000-0000-00000D970000}"/>
    <cellStyle name="Wrap 3 7 7 6" xfId="35627" xr:uid="{00000000-0005-0000-0000-00000E970000}"/>
    <cellStyle name="Wrap 3 7 7 6 2" xfId="35628" xr:uid="{00000000-0005-0000-0000-00000F970000}"/>
    <cellStyle name="Wrap 3 7 7 7" xfId="35629" xr:uid="{00000000-0005-0000-0000-000010970000}"/>
    <cellStyle name="Wrap 3 7 7 7 2" xfId="35630" xr:uid="{00000000-0005-0000-0000-000011970000}"/>
    <cellStyle name="Wrap 3 7 7 8" xfId="35631" xr:uid="{00000000-0005-0000-0000-000012970000}"/>
    <cellStyle name="Wrap 3 7 7 8 2" xfId="35632" xr:uid="{00000000-0005-0000-0000-000013970000}"/>
    <cellStyle name="Wrap 3 7 7 9" xfId="35633" xr:uid="{00000000-0005-0000-0000-000014970000}"/>
    <cellStyle name="Wrap 3 7 7 9 2" xfId="35634" xr:uid="{00000000-0005-0000-0000-000015970000}"/>
    <cellStyle name="Wrap 3 7 8" xfId="35635" xr:uid="{00000000-0005-0000-0000-000016970000}"/>
    <cellStyle name="Wrap 3 7 8 10" xfId="35636" xr:uid="{00000000-0005-0000-0000-000017970000}"/>
    <cellStyle name="Wrap 3 7 8 2" xfId="35637" xr:uid="{00000000-0005-0000-0000-000018970000}"/>
    <cellStyle name="Wrap 3 7 8 2 2" xfId="35638" xr:uid="{00000000-0005-0000-0000-000019970000}"/>
    <cellStyle name="Wrap 3 7 8 3" xfId="35639" xr:uid="{00000000-0005-0000-0000-00001A970000}"/>
    <cellStyle name="Wrap 3 7 8 3 2" xfId="35640" xr:uid="{00000000-0005-0000-0000-00001B970000}"/>
    <cellStyle name="Wrap 3 7 8 4" xfId="35641" xr:uid="{00000000-0005-0000-0000-00001C970000}"/>
    <cellStyle name="Wrap 3 7 8 4 2" xfId="35642" xr:uid="{00000000-0005-0000-0000-00001D970000}"/>
    <cellStyle name="Wrap 3 7 8 5" xfId="35643" xr:uid="{00000000-0005-0000-0000-00001E970000}"/>
    <cellStyle name="Wrap 3 7 8 5 2" xfId="35644" xr:uid="{00000000-0005-0000-0000-00001F970000}"/>
    <cellStyle name="Wrap 3 7 8 6" xfId="35645" xr:uid="{00000000-0005-0000-0000-000020970000}"/>
    <cellStyle name="Wrap 3 7 8 6 2" xfId="35646" xr:uid="{00000000-0005-0000-0000-000021970000}"/>
    <cellStyle name="Wrap 3 7 8 7" xfId="35647" xr:uid="{00000000-0005-0000-0000-000022970000}"/>
    <cellStyle name="Wrap 3 7 8 7 2" xfId="35648" xr:uid="{00000000-0005-0000-0000-000023970000}"/>
    <cellStyle name="Wrap 3 7 8 8" xfId="35649" xr:uid="{00000000-0005-0000-0000-000024970000}"/>
    <cellStyle name="Wrap 3 7 8 8 2" xfId="35650" xr:uid="{00000000-0005-0000-0000-000025970000}"/>
    <cellStyle name="Wrap 3 7 8 9" xfId="35651" xr:uid="{00000000-0005-0000-0000-000026970000}"/>
    <cellStyle name="Wrap 3 7 8 9 2" xfId="35652" xr:uid="{00000000-0005-0000-0000-000027970000}"/>
    <cellStyle name="Wrap 3 7 9" xfId="35653" xr:uid="{00000000-0005-0000-0000-000028970000}"/>
    <cellStyle name="Wrap 3 7 9 10" xfId="35654" xr:uid="{00000000-0005-0000-0000-000029970000}"/>
    <cellStyle name="Wrap 3 7 9 2" xfId="35655" xr:uid="{00000000-0005-0000-0000-00002A970000}"/>
    <cellStyle name="Wrap 3 7 9 2 2" xfId="35656" xr:uid="{00000000-0005-0000-0000-00002B970000}"/>
    <cellStyle name="Wrap 3 7 9 3" xfId="35657" xr:uid="{00000000-0005-0000-0000-00002C970000}"/>
    <cellStyle name="Wrap 3 7 9 3 2" xfId="35658" xr:uid="{00000000-0005-0000-0000-00002D970000}"/>
    <cellStyle name="Wrap 3 7 9 4" xfId="35659" xr:uid="{00000000-0005-0000-0000-00002E970000}"/>
    <cellStyle name="Wrap 3 7 9 4 2" xfId="35660" xr:uid="{00000000-0005-0000-0000-00002F970000}"/>
    <cellStyle name="Wrap 3 7 9 5" xfId="35661" xr:uid="{00000000-0005-0000-0000-000030970000}"/>
    <cellStyle name="Wrap 3 7 9 5 2" xfId="35662" xr:uid="{00000000-0005-0000-0000-000031970000}"/>
    <cellStyle name="Wrap 3 7 9 6" xfId="35663" xr:uid="{00000000-0005-0000-0000-000032970000}"/>
    <cellStyle name="Wrap 3 7 9 6 2" xfId="35664" xr:uid="{00000000-0005-0000-0000-000033970000}"/>
    <cellStyle name="Wrap 3 7 9 7" xfId="35665" xr:uid="{00000000-0005-0000-0000-000034970000}"/>
    <cellStyle name="Wrap 3 7 9 7 2" xfId="35666" xr:uid="{00000000-0005-0000-0000-000035970000}"/>
    <cellStyle name="Wrap 3 7 9 8" xfId="35667" xr:uid="{00000000-0005-0000-0000-000036970000}"/>
    <cellStyle name="Wrap 3 7 9 8 2" xfId="35668" xr:uid="{00000000-0005-0000-0000-000037970000}"/>
    <cellStyle name="Wrap 3 7 9 9" xfId="35669" xr:uid="{00000000-0005-0000-0000-000038970000}"/>
    <cellStyle name="Wrap 3 7 9 9 2" xfId="35670" xr:uid="{00000000-0005-0000-0000-000039970000}"/>
    <cellStyle name="Wrap 3 8" xfId="35671" xr:uid="{00000000-0005-0000-0000-00003A970000}"/>
    <cellStyle name="Wrap 3 8 10" xfId="35672" xr:uid="{00000000-0005-0000-0000-00003B970000}"/>
    <cellStyle name="Wrap 3 8 10 2" xfId="35673" xr:uid="{00000000-0005-0000-0000-00003C970000}"/>
    <cellStyle name="Wrap 3 8 10 2 2" xfId="35674" xr:uid="{00000000-0005-0000-0000-00003D970000}"/>
    <cellStyle name="Wrap 3 8 10 3" xfId="35675" xr:uid="{00000000-0005-0000-0000-00003E970000}"/>
    <cellStyle name="Wrap 3 8 10 3 2" xfId="35676" xr:uid="{00000000-0005-0000-0000-00003F970000}"/>
    <cellStyle name="Wrap 3 8 10 4" xfId="35677" xr:uid="{00000000-0005-0000-0000-000040970000}"/>
    <cellStyle name="Wrap 3 8 10 4 2" xfId="35678" xr:uid="{00000000-0005-0000-0000-000041970000}"/>
    <cellStyle name="Wrap 3 8 10 5" xfId="35679" xr:uid="{00000000-0005-0000-0000-000042970000}"/>
    <cellStyle name="Wrap 3 8 10 5 2" xfId="35680" xr:uid="{00000000-0005-0000-0000-000043970000}"/>
    <cellStyle name="Wrap 3 8 10 6" xfId="35681" xr:uid="{00000000-0005-0000-0000-000044970000}"/>
    <cellStyle name="Wrap 3 8 10 6 2" xfId="35682" xr:uid="{00000000-0005-0000-0000-000045970000}"/>
    <cellStyle name="Wrap 3 8 10 7" xfId="35683" xr:uid="{00000000-0005-0000-0000-000046970000}"/>
    <cellStyle name="Wrap 3 8 10 7 2" xfId="35684" xr:uid="{00000000-0005-0000-0000-000047970000}"/>
    <cellStyle name="Wrap 3 8 10 8" xfId="35685" xr:uid="{00000000-0005-0000-0000-000048970000}"/>
    <cellStyle name="Wrap 3 8 10 8 2" xfId="35686" xr:uid="{00000000-0005-0000-0000-000049970000}"/>
    <cellStyle name="Wrap 3 8 10 9" xfId="35687" xr:uid="{00000000-0005-0000-0000-00004A970000}"/>
    <cellStyle name="Wrap 3 8 11" xfId="35688" xr:uid="{00000000-0005-0000-0000-00004B970000}"/>
    <cellStyle name="Wrap 3 8 11 2" xfId="35689" xr:uid="{00000000-0005-0000-0000-00004C970000}"/>
    <cellStyle name="Wrap 3 8 12" xfId="35690" xr:uid="{00000000-0005-0000-0000-00004D970000}"/>
    <cellStyle name="Wrap 3 8 12 2" xfId="35691" xr:uid="{00000000-0005-0000-0000-00004E970000}"/>
    <cellStyle name="Wrap 3 8 13" xfId="35692" xr:uid="{00000000-0005-0000-0000-00004F970000}"/>
    <cellStyle name="Wrap 3 8 13 2" xfId="35693" xr:uid="{00000000-0005-0000-0000-000050970000}"/>
    <cellStyle name="Wrap 3 8 14" xfId="35694" xr:uid="{00000000-0005-0000-0000-000051970000}"/>
    <cellStyle name="Wrap 3 8 14 2" xfId="35695" xr:uid="{00000000-0005-0000-0000-000052970000}"/>
    <cellStyle name="Wrap 3 8 15" xfId="35696" xr:uid="{00000000-0005-0000-0000-000053970000}"/>
    <cellStyle name="Wrap 3 8 15 2" xfId="35697" xr:uid="{00000000-0005-0000-0000-000054970000}"/>
    <cellStyle name="Wrap 3 8 16" xfId="35698" xr:uid="{00000000-0005-0000-0000-000055970000}"/>
    <cellStyle name="Wrap 3 8 16 2" xfId="35699" xr:uid="{00000000-0005-0000-0000-000056970000}"/>
    <cellStyle name="Wrap 3 8 17" xfId="35700" xr:uid="{00000000-0005-0000-0000-000057970000}"/>
    <cellStyle name="Wrap 3 8 17 2" xfId="35701" xr:uid="{00000000-0005-0000-0000-000058970000}"/>
    <cellStyle name="Wrap 3 8 18" xfId="35702" xr:uid="{00000000-0005-0000-0000-000059970000}"/>
    <cellStyle name="Wrap 3 8 2" xfId="35703" xr:uid="{00000000-0005-0000-0000-00005A970000}"/>
    <cellStyle name="Wrap 3 8 2 10" xfId="35704" xr:uid="{00000000-0005-0000-0000-00005B970000}"/>
    <cellStyle name="Wrap 3 8 2 2" xfId="35705" xr:uid="{00000000-0005-0000-0000-00005C970000}"/>
    <cellStyle name="Wrap 3 8 2 2 2" xfId="35706" xr:uid="{00000000-0005-0000-0000-00005D970000}"/>
    <cellStyle name="Wrap 3 8 2 3" xfId="35707" xr:uid="{00000000-0005-0000-0000-00005E970000}"/>
    <cellStyle name="Wrap 3 8 2 3 2" xfId="35708" xr:uid="{00000000-0005-0000-0000-00005F970000}"/>
    <cellStyle name="Wrap 3 8 2 4" xfId="35709" xr:uid="{00000000-0005-0000-0000-000060970000}"/>
    <cellStyle name="Wrap 3 8 2 4 2" xfId="35710" xr:uid="{00000000-0005-0000-0000-000061970000}"/>
    <cellStyle name="Wrap 3 8 2 5" xfId="35711" xr:uid="{00000000-0005-0000-0000-000062970000}"/>
    <cellStyle name="Wrap 3 8 2 5 2" xfId="35712" xr:uid="{00000000-0005-0000-0000-000063970000}"/>
    <cellStyle name="Wrap 3 8 2 6" xfId="35713" xr:uid="{00000000-0005-0000-0000-000064970000}"/>
    <cellStyle name="Wrap 3 8 2 6 2" xfId="35714" xr:uid="{00000000-0005-0000-0000-000065970000}"/>
    <cellStyle name="Wrap 3 8 2 7" xfId="35715" xr:uid="{00000000-0005-0000-0000-000066970000}"/>
    <cellStyle name="Wrap 3 8 2 7 2" xfId="35716" xr:uid="{00000000-0005-0000-0000-000067970000}"/>
    <cellStyle name="Wrap 3 8 2 8" xfId="35717" xr:uid="{00000000-0005-0000-0000-000068970000}"/>
    <cellStyle name="Wrap 3 8 2 8 2" xfId="35718" xr:uid="{00000000-0005-0000-0000-000069970000}"/>
    <cellStyle name="Wrap 3 8 2 9" xfId="35719" xr:uid="{00000000-0005-0000-0000-00006A970000}"/>
    <cellStyle name="Wrap 3 8 2 9 2" xfId="35720" xr:uid="{00000000-0005-0000-0000-00006B970000}"/>
    <cellStyle name="Wrap 3 8 3" xfId="35721" xr:uid="{00000000-0005-0000-0000-00006C970000}"/>
    <cellStyle name="Wrap 3 8 3 10" xfId="35722" xr:uid="{00000000-0005-0000-0000-00006D970000}"/>
    <cellStyle name="Wrap 3 8 3 2" xfId="35723" xr:uid="{00000000-0005-0000-0000-00006E970000}"/>
    <cellStyle name="Wrap 3 8 3 2 2" xfId="35724" xr:uid="{00000000-0005-0000-0000-00006F970000}"/>
    <cellStyle name="Wrap 3 8 3 3" xfId="35725" xr:uid="{00000000-0005-0000-0000-000070970000}"/>
    <cellStyle name="Wrap 3 8 3 3 2" xfId="35726" xr:uid="{00000000-0005-0000-0000-000071970000}"/>
    <cellStyle name="Wrap 3 8 3 4" xfId="35727" xr:uid="{00000000-0005-0000-0000-000072970000}"/>
    <cellStyle name="Wrap 3 8 3 4 2" xfId="35728" xr:uid="{00000000-0005-0000-0000-000073970000}"/>
    <cellStyle name="Wrap 3 8 3 5" xfId="35729" xr:uid="{00000000-0005-0000-0000-000074970000}"/>
    <cellStyle name="Wrap 3 8 3 5 2" xfId="35730" xr:uid="{00000000-0005-0000-0000-000075970000}"/>
    <cellStyle name="Wrap 3 8 3 6" xfId="35731" xr:uid="{00000000-0005-0000-0000-000076970000}"/>
    <cellStyle name="Wrap 3 8 3 6 2" xfId="35732" xr:uid="{00000000-0005-0000-0000-000077970000}"/>
    <cellStyle name="Wrap 3 8 3 7" xfId="35733" xr:uid="{00000000-0005-0000-0000-000078970000}"/>
    <cellStyle name="Wrap 3 8 3 7 2" xfId="35734" xr:uid="{00000000-0005-0000-0000-000079970000}"/>
    <cellStyle name="Wrap 3 8 3 8" xfId="35735" xr:uid="{00000000-0005-0000-0000-00007A970000}"/>
    <cellStyle name="Wrap 3 8 3 8 2" xfId="35736" xr:uid="{00000000-0005-0000-0000-00007B970000}"/>
    <cellStyle name="Wrap 3 8 3 9" xfId="35737" xr:uid="{00000000-0005-0000-0000-00007C970000}"/>
    <cellStyle name="Wrap 3 8 3 9 2" xfId="35738" xr:uid="{00000000-0005-0000-0000-00007D970000}"/>
    <cellStyle name="Wrap 3 8 4" xfId="35739" xr:uid="{00000000-0005-0000-0000-00007E970000}"/>
    <cellStyle name="Wrap 3 8 4 10" xfId="35740" xr:uid="{00000000-0005-0000-0000-00007F970000}"/>
    <cellStyle name="Wrap 3 8 4 2" xfId="35741" xr:uid="{00000000-0005-0000-0000-000080970000}"/>
    <cellStyle name="Wrap 3 8 4 2 2" xfId="35742" xr:uid="{00000000-0005-0000-0000-000081970000}"/>
    <cellStyle name="Wrap 3 8 4 3" xfId="35743" xr:uid="{00000000-0005-0000-0000-000082970000}"/>
    <cellStyle name="Wrap 3 8 4 3 2" xfId="35744" xr:uid="{00000000-0005-0000-0000-000083970000}"/>
    <cellStyle name="Wrap 3 8 4 4" xfId="35745" xr:uid="{00000000-0005-0000-0000-000084970000}"/>
    <cellStyle name="Wrap 3 8 4 4 2" xfId="35746" xr:uid="{00000000-0005-0000-0000-000085970000}"/>
    <cellStyle name="Wrap 3 8 4 5" xfId="35747" xr:uid="{00000000-0005-0000-0000-000086970000}"/>
    <cellStyle name="Wrap 3 8 4 5 2" xfId="35748" xr:uid="{00000000-0005-0000-0000-000087970000}"/>
    <cellStyle name="Wrap 3 8 4 6" xfId="35749" xr:uid="{00000000-0005-0000-0000-000088970000}"/>
    <cellStyle name="Wrap 3 8 4 6 2" xfId="35750" xr:uid="{00000000-0005-0000-0000-000089970000}"/>
    <cellStyle name="Wrap 3 8 4 7" xfId="35751" xr:uid="{00000000-0005-0000-0000-00008A970000}"/>
    <cellStyle name="Wrap 3 8 4 7 2" xfId="35752" xr:uid="{00000000-0005-0000-0000-00008B970000}"/>
    <cellStyle name="Wrap 3 8 4 8" xfId="35753" xr:uid="{00000000-0005-0000-0000-00008C970000}"/>
    <cellStyle name="Wrap 3 8 4 8 2" xfId="35754" xr:uid="{00000000-0005-0000-0000-00008D970000}"/>
    <cellStyle name="Wrap 3 8 4 9" xfId="35755" xr:uid="{00000000-0005-0000-0000-00008E970000}"/>
    <cellStyle name="Wrap 3 8 4 9 2" xfId="35756" xr:uid="{00000000-0005-0000-0000-00008F970000}"/>
    <cellStyle name="Wrap 3 8 5" xfId="35757" xr:uid="{00000000-0005-0000-0000-000090970000}"/>
    <cellStyle name="Wrap 3 8 5 10" xfId="35758" xr:uid="{00000000-0005-0000-0000-000091970000}"/>
    <cellStyle name="Wrap 3 8 5 2" xfId="35759" xr:uid="{00000000-0005-0000-0000-000092970000}"/>
    <cellStyle name="Wrap 3 8 5 2 2" xfId="35760" xr:uid="{00000000-0005-0000-0000-000093970000}"/>
    <cellStyle name="Wrap 3 8 5 3" xfId="35761" xr:uid="{00000000-0005-0000-0000-000094970000}"/>
    <cellStyle name="Wrap 3 8 5 3 2" xfId="35762" xr:uid="{00000000-0005-0000-0000-000095970000}"/>
    <cellStyle name="Wrap 3 8 5 4" xfId="35763" xr:uid="{00000000-0005-0000-0000-000096970000}"/>
    <cellStyle name="Wrap 3 8 5 4 2" xfId="35764" xr:uid="{00000000-0005-0000-0000-000097970000}"/>
    <cellStyle name="Wrap 3 8 5 5" xfId="35765" xr:uid="{00000000-0005-0000-0000-000098970000}"/>
    <cellStyle name="Wrap 3 8 5 5 2" xfId="35766" xr:uid="{00000000-0005-0000-0000-000099970000}"/>
    <cellStyle name="Wrap 3 8 5 6" xfId="35767" xr:uid="{00000000-0005-0000-0000-00009A970000}"/>
    <cellStyle name="Wrap 3 8 5 6 2" xfId="35768" xr:uid="{00000000-0005-0000-0000-00009B970000}"/>
    <cellStyle name="Wrap 3 8 5 7" xfId="35769" xr:uid="{00000000-0005-0000-0000-00009C970000}"/>
    <cellStyle name="Wrap 3 8 5 7 2" xfId="35770" xr:uid="{00000000-0005-0000-0000-00009D970000}"/>
    <cellStyle name="Wrap 3 8 5 8" xfId="35771" xr:uid="{00000000-0005-0000-0000-00009E970000}"/>
    <cellStyle name="Wrap 3 8 5 8 2" xfId="35772" xr:uid="{00000000-0005-0000-0000-00009F970000}"/>
    <cellStyle name="Wrap 3 8 5 9" xfId="35773" xr:uid="{00000000-0005-0000-0000-0000A0970000}"/>
    <cellStyle name="Wrap 3 8 5 9 2" xfId="35774" xr:uid="{00000000-0005-0000-0000-0000A1970000}"/>
    <cellStyle name="Wrap 3 8 6" xfId="35775" xr:uid="{00000000-0005-0000-0000-0000A2970000}"/>
    <cellStyle name="Wrap 3 8 6 10" xfId="35776" xr:uid="{00000000-0005-0000-0000-0000A3970000}"/>
    <cellStyle name="Wrap 3 8 6 2" xfId="35777" xr:uid="{00000000-0005-0000-0000-0000A4970000}"/>
    <cellStyle name="Wrap 3 8 6 2 2" xfId="35778" xr:uid="{00000000-0005-0000-0000-0000A5970000}"/>
    <cellStyle name="Wrap 3 8 6 3" xfId="35779" xr:uid="{00000000-0005-0000-0000-0000A6970000}"/>
    <cellStyle name="Wrap 3 8 6 3 2" xfId="35780" xr:uid="{00000000-0005-0000-0000-0000A7970000}"/>
    <cellStyle name="Wrap 3 8 6 4" xfId="35781" xr:uid="{00000000-0005-0000-0000-0000A8970000}"/>
    <cellStyle name="Wrap 3 8 6 4 2" xfId="35782" xr:uid="{00000000-0005-0000-0000-0000A9970000}"/>
    <cellStyle name="Wrap 3 8 6 5" xfId="35783" xr:uid="{00000000-0005-0000-0000-0000AA970000}"/>
    <cellStyle name="Wrap 3 8 6 5 2" xfId="35784" xr:uid="{00000000-0005-0000-0000-0000AB970000}"/>
    <cellStyle name="Wrap 3 8 6 6" xfId="35785" xr:uid="{00000000-0005-0000-0000-0000AC970000}"/>
    <cellStyle name="Wrap 3 8 6 6 2" xfId="35786" xr:uid="{00000000-0005-0000-0000-0000AD970000}"/>
    <cellStyle name="Wrap 3 8 6 7" xfId="35787" xr:uid="{00000000-0005-0000-0000-0000AE970000}"/>
    <cellStyle name="Wrap 3 8 6 7 2" xfId="35788" xr:uid="{00000000-0005-0000-0000-0000AF970000}"/>
    <cellStyle name="Wrap 3 8 6 8" xfId="35789" xr:uid="{00000000-0005-0000-0000-0000B0970000}"/>
    <cellStyle name="Wrap 3 8 6 8 2" xfId="35790" xr:uid="{00000000-0005-0000-0000-0000B1970000}"/>
    <cellStyle name="Wrap 3 8 6 9" xfId="35791" xr:uid="{00000000-0005-0000-0000-0000B2970000}"/>
    <cellStyle name="Wrap 3 8 6 9 2" xfId="35792" xr:uid="{00000000-0005-0000-0000-0000B3970000}"/>
    <cellStyle name="Wrap 3 8 7" xfId="35793" xr:uid="{00000000-0005-0000-0000-0000B4970000}"/>
    <cellStyle name="Wrap 3 8 7 10" xfId="35794" xr:uid="{00000000-0005-0000-0000-0000B5970000}"/>
    <cellStyle name="Wrap 3 8 7 2" xfId="35795" xr:uid="{00000000-0005-0000-0000-0000B6970000}"/>
    <cellStyle name="Wrap 3 8 7 2 2" xfId="35796" xr:uid="{00000000-0005-0000-0000-0000B7970000}"/>
    <cellStyle name="Wrap 3 8 7 3" xfId="35797" xr:uid="{00000000-0005-0000-0000-0000B8970000}"/>
    <cellStyle name="Wrap 3 8 7 3 2" xfId="35798" xr:uid="{00000000-0005-0000-0000-0000B9970000}"/>
    <cellStyle name="Wrap 3 8 7 4" xfId="35799" xr:uid="{00000000-0005-0000-0000-0000BA970000}"/>
    <cellStyle name="Wrap 3 8 7 4 2" xfId="35800" xr:uid="{00000000-0005-0000-0000-0000BB970000}"/>
    <cellStyle name="Wrap 3 8 7 5" xfId="35801" xr:uid="{00000000-0005-0000-0000-0000BC970000}"/>
    <cellStyle name="Wrap 3 8 7 5 2" xfId="35802" xr:uid="{00000000-0005-0000-0000-0000BD970000}"/>
    <cellStyle name="Wrap 3 8 7 6" xfId="35803" xr:uid="{00000000-0005-0000-0000-0000BE970000}"/>
    <cellStyle name="Wrap 3 8 7 6 2" xfId="35804" xr:uid="{00000000-0005-0000-0000-0000BF970000}"/>
    <cellStyle name="Wrap 3 8 7 7" xfId="35805" xr:uid="{00000000-0005-0000-0000-0000C0970000}"/>
    <cellStyle name="Wrap 3 8 7 7 2" xfId="35806" xr:uid="{00000000-0005-0000-0000-0000C1970000}"/>
    <cellStyle name="Wrap 3 8 7 8" xfId="35807" xr:uid="{00000000-0005-0000-0000-0000C2970000}"/>
    <cellStyle name="Wrap 3 8 7 8 2" xfId="35808" xr:uid="{00000000-0005-0000-0000-0000C3970000}"/>
    <cellStyle name="Wrap 3 8 7 9" xfId="35809" xr:uid="{00000000-0005-0000-0000-0000C4970000}"/>
    <cellStyle name="Wrap 3 8 7 9 2" xfId="35810" xr:uid="{00000000-0005-0000-0000-0000C5970000}"/>
    <cellStyle name="Wrap 3 8 8" xfId="35811" xr:uid="{00000000-0005-0000-0000-0000C6970000}"/>
    <cellStyle name="Wrap 3 8 8 10" xfId="35812" xr:uid="{00000000-0005-0000-0000-0000C7970000}"/>
    <cellStyle name="Wrap 3 8 8 2" xfId="35813" xr:uid="{00000000-0005-0000-0000-0000C8970000}"/>
    <cellStyle name="Wrap 3 8 8 2 2" xfId="35814" xr:uid="{00000000-0005-0000-0000-0000C9970000}"/>
    <cellStyle name="Wrap 3 8 8 3" xfId="35815" xr:uid="{00000000-0005-0000-0000-0000CA970000}"/>
    <cellStyle name="Wrap 3 8 8 3 2" xfId="35816" xr:uid="{00000000-0005-0000-0000-0000CB970000}"/>
    <cellStyle name="Wrap 3 8 8 4" xfId="35817" xr:uid="{00000000-0005-0000-0000-0000CC970000}"/>
    <cellStyle name="Wrap 3 8 8 4 2" xfId="35818" xr:uid="{00000000-0005-0000-0000-0000CD970000}"/>
    <cellStyle name="Wrap 3 8 8 5" xfId="35819" xr:uid="{00000000-0005-0000-0000-0000CE970000}"/>
    <cellStyle name="Wrap 3 8 8 5 2" xfId="35820" xr:uid="{00000000-0005-0000-0000-0000CF970000}"/>
    <cellStyle name="Wrap 3 8 8 6" xfId="35821" xr:uid="{00000000-0005-0000-0000-0000D0970000}"/>
    <cellStyle name="Wrap 3 8 8 6 2" xfId="35822" xr:uid="{00000000-0005-0000-0000-0000D1970000}"/>
    <cellStyle name="Wrap 3 8 8 7" xfId="35823" xr:uid="{00000000-0005-0000-0000-0000D2970000}"/>
    <cellStyle name="Wrap 3 8 8 7 2" xfId="35824" xr:uid="{00000000-0005-0000-0000-0000D3970000}"/>
    <cellStyle name="Wrap 3 8 8 8" xfId="35825" xr:uid="{00000000-0005-0000-0000-0000D4970000}"/>
    <cellStyle name="Wrap 3 8 8 8 2" xfId="35826" xr:uid="{00000000-0005-0000-0000-0000D5970000}"/>
    <cellStyle name="Wrap 3 8 8 9" xfId="35827" xr:uid="{00000000-0005-0000-0000-0000D6970000}"/>
    <cellStyle name="Wrap 3 8 8 9 2" xfId="35828" xr:uid="{00000000-0005-0000-0000-0000D7970000}"/>
    <cellStyle name="Wrap 3 8 9" xfId="35829" xr:uid="{00000000-0005-0000-0000-0000D8970000}"/>
    <cellStyle name="Wrap 3 8 9 10" xfId="35830" xr:uid="{00000000-0005-0000-0000-0000D9970000}"/>
    <cellStyle name="Wrap 3 8 9 2" xfId="35831" xr:uid="{00000000-0005-0000-0000-0000DA970000}"/>
    <cellStyle name="Wrap 3 8 9 2 2" xfId="35832" xr:uid="{00000000-0005-0000-0000-0000DB970000}"/>
    <cellStyle name="Wrap 3 8 9 3" xfId="35833" xr:uid="{00000000-0005-0000-0000-0000DC970000}"/>
    <cellStyle name="Wrap 3 8 9 3 2" xfId="35834" xr:uid="{00000000-0005-0000-0000-0000DD970000}"/>
    <cellStyle name="Wrap 3 8 9 4" xfId="35835" xr:uid="{00000000-0005-0000-0000-0000DE970000}"/>
    <cellStyle name="Wrap 3 8 9 4 2" xfId="35836" xr:uid="{00000000-0005-0000-0000-0000DF970000}"/>
    <cellStyle name="Wrap 3 8 9 5" xfId="35837" xr:uid="{00000000-0005-0000-0000-0000E0970000}"/>
    <cellStyle name="Wrap 3 8 9 5 2" xfId="35838" xr:uid="{00000000-0005-0000-0000-0000E1970000}"/>
    <cellStyle name="Wrap 3 8 9 6" xfId="35839" xr:uid="{00000000-0005-0000-0000-0000E2970000}"/>
    <cellStyle name="Wrap 3 8 9 6 2" xfId="35840" xr:uid="{00000000-0005-0000-0000-0000E3970000}"/>
    <cellStyle name="Wrap 3 8 9 7" xfId="35841" xr:uid="{00000000-0005-0000-0000-0000E4970000}"/>
    <cellStyle name="Wrap 3 8 9 7 2" xfId="35842" xr:uid="{00000000-0005-0000-0000-0000E5970000}"/>
    <cellStyle name="Wrap 3 8 9 8" xfId="35843" xr:uid="{00000000-0005-0000-0000-0000E6970000}"/>
    <cellStyle name="Wrap 3 8 9 8 2" xfId="35844" xr:uid="{00000000-0005-0000-0000-0000E7970000}"/>
    <cellStyle name="Wrap 3 8 9 9" xfId="35845" xr:uid="{00000000-0005-0000-0000-0000E8970000}"/>
    <cellStyle name="Wrap 3 8 9 9 2" xfId="35846" xr:uid="{00000000-0005-0000-0000-0000E9970000}"/>
    <cellStyle name="Wrap 4" xfId="207" xr:uid="{00000000-0005-0000-0000-0000EA970000}"/>
    <cellStyle name="Wrap 4 2" xfId="35847" xr:uid="{00000000-0005-0000-0000-0000EB970000}"/>
    <cellStyle name="Wrap 4 2 10" xfId="35848" xr:uid="{00000000-0005-0000-0000-0000EC970000}"/>
    <cellStyle name="Wrap 4 2 10 10" xfId="35849" xr:uid="{00000000-0005-0000-0000-0000ED970000}"/>
    <cellStyle name="Wrap 4 2 10 2" xfId="35850" xr:uid="{00000000-0005-0000-0000-0000EE970000}"/>
    <cellStyle name="Wrap 4 2 10 2 2" xfId="35851" xr:uid="{00000000-0005-0000-0000-0000EF970000}"/>
    <cellStyle name="Wrap 4 2 10 3" xfId="35852" xr:uid="{00000000-0005-0000-0000-0000F0970000}"/>
    <cellStyle name="Wrap 4 2 10 3 2" xfId="35853" xr:uid="{00000000-0005-0000-0000-0000F1970000}"/>
    <cellStyle name="Wrap 4 2 10 4" xfId="35854" xr:uid="{00000000-0005-0000-0000-0000F2970000}"/>
    <cellStyle name="Wrap 4 2 10 4 2" xfId="35855" xr:uid="{00000000-0005-0000-0000-0000F3970000}"/>
    <cellStyle name="Wrap 4 2 10 5" xfId="35856" xr:uid="{00000000-0005-0000-0000-0000F4970000}"/>
    <cellStyle name="Wrap 4 2 10 5 2" xfId="35857" xr:uid="{00000000-0005-0000-0000-0000F5970000}"/>
    <cellStyle name="Wrap 4 2 10 6" xfId="35858" xr:uid="{00000000-0005-0000-0000-0000F6970000}"/>
    <cellStyle name="Wrap 4 2 10 6 2" xfId="35859" xr:uid="{00000000-0005-0000-0000-0000F7970000}"/>
    <cellStyle name="Wrap 4 2 10 7" xfId="35860" xr:uid="{00000000-0005-0000-0000-0000F8970000}"/>
    <cellStyle name="Wrap 4 2 10 7 2" xfId="35861" xr:uid="{00000000-0005-0000-0000-0000F9970000}"/>
    <cellStyle name="Wrap 4 2 10 8" xfId="35862" xr:uid="{00000000-0005-0000-0000-0000FA970000}"/>
    <cellStyle name="Wrap 4 2 10 8 2" xfId="35863" xr:uid="{00000000-0005-0000-0000-0000FB970000}"/>
    <cellStyle name="Wrap 4 2 10 9" xfId="35864" xr:uid="{00000000-0005-0000-0000-0000FC970000}"/>
    <cellStyle name="Wrap 4 2 10 9 2" xfId="35865" xr:uid="{00000000-0005-0000-0000-0000FD970000}"/>
    <cellStyle name="Wrap 4 2 11" xfId="35866" xr:uid="{00000000-0005-0000-0000-0000FE970000}"/>
    <cellStyle name="Wrap 4 2 11 2" xfId="35867" xr:uid="{00000000-0005-0000-0000-0000FF970000}"/>
    <cellStyle name="Wrap 4 2 11 2 2" xfId="35868" xr:uid="{00000000-0005-0000-0000-000000980000}"/>
    <cellStyle name="Wrap 4 2 11 3" xfId="35869" xr:uid="{00000000-0005-0000-0000-000001980000}"/>
    <cellStyle name="Wrap 4 2 11 3 2" xfId="35870" xr:uid="{00000000-0005-0000-0000-000002980000}"/>
    <cellStyle name="Wrap 4 2 11 4" xfId="35871" xr:uid="{00000000-0005-0000-0000-000003980000}"/>
    <cellStyle name="Wrap 4 2 11 4 2" xfId="35872" xr:uid="{00000000-0005-0000-0000-000004980000}"/>
    <cellStyle name="Wrap 4 2 11 5" xfId="35873" xr:uid="{00000000-0005-0000-0000-000005980000}"/>
    <cellStyle name="Wrap 4 2 11 5 2" xfId="35874" xr:uid="{00000000-0005-0000-0000-000006980000}"/>
    <cellStyle name="Wrap 4 2 11 6" xfId="35875" xr:uid="{00000000-0005-0000-0000-000007980000}"/>
    <cellStyle name="Wrap 4 2 11 6 2" xfId="35876" xr:uid="{00000000-0005-0000-0000-000008980000}"/>
    <cellStyle name="Wrap 4 2 11 7" xfId="35877" xr:uid="{00000000-0005-0000-0000-000009980000}"/>
    <cellStyle name="Wrap 4 2 11 7 2" xfId="35878" xr:uid="{00000000-0005-0000-0000-00000A980000}"/>
    <cellStyle name="Wrap 4 2 11 8" xfId="35879" xr:uid="{00000000-0005-0000-0000-00000B980000}"/>
    <cellStyle name="Wrap 4 2 11 8 2" xfId="35880" xr:uid="{00000000-0005-0000-0000-00000C980000}"/>
    <cellStyle name="Wrap 4 2 11 9" xfId="35881" xr:uid="{00000000-0005-0000-0000-00000D980000}"/>
    <cellStyle name="Wrap 4 2 2" xfId="35882" xr:uid="{00000000-0005-0000-0000-00000E980000}"/>
    <cellStyle name="Wrap 4 2 2 10" xfId="35883" xr:uid="{00000000-0005-0000-0000-00000F980000}"/>
    <cellStyle name="Wrap 4 2 2 2" xfId="35884" xr:uid="{00000000-0005-0000-0000-000010980000}"/>
    <cellStyle name="Wrap 4 2 2 2 2" xfId="35885" xr:uid="{00000000-0005-0000-0000-000011980000}"/>
    <cellStyle name="Wrap 4 2 2 3" xfId="35886" xr:uid="{00000000-0005-0000-0000-000012980000}"/>
    <cellStyle name="Wrap 4 2 2 3 2" xfId="35887" xr:uid="{00000000-0005-0000-0000-000013980000}"/>
    <cellStyle name="Wrap 4 2 2 4" xfId="35888" xr:uid="{00000000-0005-0000-0000-000014980000}"/>
    <cellStyle name="Wrap 4 2 2 4 2" xfId="35889" xr:uid="{00000000-0005-0000-0000-000015980000}"/>
    <cellStyle name="Wrap 4 2 2 5" xfId="35890" xr:uid="{00000000-0005-0000-0000-000016980000}"/>
    <cellStyle name="Wrap 4 2 2 5 2" xfId="35891" xr:uid="{00000000-0005-0000-0000-000017980000}"/>
    <cellStyle name="Wrap 4 2 2 6" xfId="35892" xr:uid="{00000000-0005-0000-0000-000018980000}"/>
    <cellStyle name="Wrap 4 2 2 6 2" xfId="35893" xr:uid="{00000000-0005-0000-0000-000019980000}"/>
    <cellStyle name="Wrap 4 2 2 7" xfId="35894" xr:uid="{00000000-0005-0000-0000-00001A980000}"/>
    <cellStyle name="Wrap 4 2 2 7 2" xfId="35895" xr:uid="{00000000-0005-0000-0000-00001B980000}"/>
    <cellStyle name="Wrap 4 2 2 8" xfId="35896" xr:uid="{00000000-0005-0000-0000-00001C980000}"/>
    <cellStyle name="Wrap 4 2 2 8 2" xfId="35897" xr:uid="{00000000-0005-0000-0000-00001D980000}"/>
    <cellStyle name="Wrap 4 2 2 9" xfId="35898" xr:uid="{00000000-0005-0000-0000-00001E980000}"/>
    <cellStyle name="Wrap 4 2 2 9 2" xfId="35899" xr:uid="{00000000-0005-0000-0000-00001F980000}"/>
    <cellStyle name="Wrap 4 2 3" xfId="35900" xr:uid="{00000000-0005-0000-0000-000020980000}"/>
    <cellStyle name="Wrap 4 2 3 10" xfId="35901" xr:uid="{00000000-0005-0000-0000-000021980000}"/>
    <cellStyle name="Wrap 4 2 3 2" xfId="35902" xr:uid="{00000000-0005-0000-0000-000022980000}"/>
    <cellStyle name="Wrap 4 2 3 2 2" xfId="35903" xr:uid="{00000000-0005-0000-0000-000023980000}"/>
    <cellStyle name="Wrap 4 2 3 3" xfId="35904" xr:uid="{00000000-0005-0000-0000-000024980000}"/>
    <cellStyle name="Wrap 4 2 3 3 2" xfId="35905" xr:uid="{00000000-0005-0000-0000-000025980000}"/>
    <cellStyle name="Wrap 4 2 3 4" xfId="35906" xr:uid="{00000000-0005-0000-0000-000026980000}"/>
    <cellStyle name="Wrap 4 2 3 4 2" xfId="35907" xr:uid="{00000000-0005-0000-0000-000027980000}"/>
    <cellStyle name="Wrap 4 2 3 5" xfId="35908" xr:uid="{00000000-0005-0000-0000-000028980000}"/>
    <cellStyle name="Wrap 4 2 3 5 2" xfId="35909" xr:uid="{00000000-0005-0000-0000-000029980000}"/>
    <cellStyle name="Wrap 4 2 3 6" xfId="35910" xr:uid="{00000000-0005-0000-0000-00002A980000}"/>
    <cellStyle name="Wrap 4 2 3 6 2" xfId="35911" xr:uid="{00000000-0005-0000-0000-00002B980000}"/>
    <cellStyle name="Wrap 4 2 3 7" xfId="35912" xr:uid="{00000000-0005-0000-0000-00002C980000}"/>
    <cellStyle name="Wrap 4 2 3 7 2" xfId="35913" xr:uid="{00000000-0005-0000-0000-00002D980000}"/>
    <cellStyle name="Wrap 4 2 3 8" xfId="35914" xr:uid="{00000000-0005-0000-0000-00002E980000}"/>
    <cellStyle name="Wrap 4 2 3 8 2" xfId="35915" xr:uid="{00000000-0005-0000-0000-00002F980000}"/>
    <cellStyle name="Wrap 4 2 3 9" xfId="35916" xr:uid="{00000000-0005-0000-0000-000030980000}"/>
    <cellStyle name="Wrap 4 2 3 9 2" xfId="35917" xr:uid="{00000000-0005-0000-0000-000031980000}"/>
    <cellStyle name="Wrap 4 2 4" xfId="35918" xr:uid="{00000000-0005-0000-0000-000032980000}"/>
    <cellStyle name="Wrap 4 2 4 10" xfId="35919" xr:uid="{00000000-0005-0000-0000-000033980000}"/>
    <cellStyle name="Wrap 4 2 4 2" xfId="35920" xr:uid="{00000000-0005-0000-0000-000034980000}"/>
    <cellStyle name="Wrap 4 2 4 2 2" xfId="35921" xr:uid="{00000000-0005-0000-0000-000035980000}"/>
    <cellStyle name="Wrap 4 2 4 3" xfId="35922" xr:uid="{00000000-0005-0000-0000-000036980000}"/>
    <cellStyle name="Wrap 4 2 4 3 2" xfId="35923" xr:uid="{00000000-0005-0000-0000-000037980000}"/>
    <cellStyle name="Wrap 4 2 4 4" xfId="35924" xr:uid="{00000000-0005-0000-0000-000038980000}"/>
    <cellStyle name="Wrap 4 2 4 4 2" xfId="35925" xr:uid="{00000000-0005-0000-0000-000039980000}"/>
    <cellStyle name="Wrap 4 2 4 5" xfId="35926" xr:uid="{00000000-0005-0000-0000-00003A980000}"/>
    <cellStyle name="Wrap 4 2 4 5 2" xfId="35927" xr:uid="{00000000-0005-0000-0000-00003B980000}"/>
    <cellStyle name="Wrap 4 2 4 6" xfId="35928" xr:uid="{00000000-0005-0000-0000-00003C980000}"/>
    <cellStyle name="Wrap 4 2 4 6 2" xfId="35929" xr:uid="{00000000-0005-0000-0000-00003D980000}"/>
    <cellStyle name="Wrap 4 2 4 7" xfId="35930" xr:uid="{00000000-0005-0000-0000-00003E980000}"/>
    <cellStyle name="Wrap 4 2 4 7 2" xfId="35931" xr:uid="{00000000-0005-0000-0000-00003F980000}"/>
    <cellStyle name="Wrap 4 2 4 8" xfId="35932" xr:uid="{00000000-0005-0000-0000-000040980000}"/>
    <cellStyle name="Wrap 4 2 4 8 2" xfId="35933" xr:uid="{00000000-0005-0000-0000-000041980000}"/>
    <cellStyle name="Wrap 4 2 4 9" xfId="35934" xr:uid="{00000000-0005-0000-0000-000042980000}"/>
    <cellStyle name="Wrap 4 2 4 9 2" xfId="35935" xr:uid="{00000000-0005-0000-0000-000043980000}"/>
    <cellStyle name="Wrap 4 2 5" xfId="35936" xr:uid="{00000000-0005-0000-0000-000044980000}"/>
    <cellStyle name="Wrap 4 2 5 10" xfId="35937" xr:uid="{00000000-0005-0000-0000-000045980000}"/>
    <cellStyle name="Wrap 4 2 5 2" xfId="35938" xr:uid="{00000000-0005-0000-0000-000046980000}"/>
    <cellStyle name="Wrap 4 2 5 2 2" xfId="35939" xr:uid="{00000000-0005-0000-0000-000047980000}"/>
    <cellStyle name="Wrap 4 2 5 3" xfId="35940" xr:uid="{00000000-0005-0000-0000-000048980000}"/>
    <cellStyle name="Wrap 4 2 5 3 2" xfId="35941" xr:uid="{00000000-0005-0000-0000-000049980000}"/>
    <cellStyle name="Wrap 4 2 5 4" xfId="35942" xr:uid="{00000000-0005-0000-0000-00004A980000}"/>
    <cellStyle name="Wrap 4 2 5 4 2" xfId="35943" xr:uid="{00000000-0005-0000-0000-00004B980000}"/>
    <cellStyle name="Wrap 4 2 5 5" xfId="35944" xr:uid="{00000000-0005-0000-0000-00004C980000}"/>
    <cellStyle name="Wrap 4 2 5 5 2" xfId="35945" xr:uid="{00000000-0005-0000-0000-00004D980000}"/>
    <cellStyle name="Wrap 4 2 5 6" xfId="35946" xr:uid="{00000000-0005-0000-0000-00004E980000}"/>
    <cellStyle name="Wrap 4 2 5 6 2" xfId="35947" xr:uid="{00000000-0005-0000-0000-00004F980000}"/>
    <cellStyle name="Wrap 4 2 5 7" xfId="35948" xr:uid="{00000000-0005-0000-0000-000050980000}"/>
    <cellStyle name="Wrap 4 2 5 7 2" xfId="35949" xr:uid="{00000000-0005-0000-0000-000051980000}"/>
    <cellStyle name="Wrap 4 2 5 8" xfId="35950" xr:uid="{00000000-0005-0000-0000-000052980000}"/>
    <cellStyle name="Wrap 4 2 5 8 2" xfId="35951" xr:uid="{00000000-0005-0000-0000-000053980000}"/>
    <cellStyle name="Wrap 4 2 5 9" xfId="35952" xr:uid="{00000000-0005-0000-0000-000054980000}"/>
    <cellStyle name="Wrap 4 2 5 9 2" xfId="35953" xr:uid="{00000000-0005-0000-0000-000055980000}"/>
    <cellStyle name="Wrap 4 2 6" xfId="35954" xr:uid="{00000000-0005-0000-0000-000056980000}"/>
    <cellStyle name="Wrap 4 2 6 10" xfId="35955" xr:uid="{00000000-0005-0000-0000-000057980000}"/>
    <cellStyle name="Wrap 4 2 6 2" xfId="35956" xr:uid="{00000000-0005-0000-0000-000058980000}"/>
    <cellStyle name="Wrap 4 2 6 2 2" xfId="35957" xr:uid="{00000000-0005-0000-0000-000059980000}"/>
    <cellStyle name="Wrap 4 2 6 3" xfId="35958" xr:uid="{00000000-0005-0000-0000-00005A980000}"/>
    <cellStyle name="Wrap 4 2 6 3 2" xfId="35959" xr:uid="{00000000-0005-0000-0000-00005B980000}"/>
    <cellStyle name="Wrap 4 2 6 4" xfId="35960" xr:uid="{00000000-0005-0000-0000-00005C980000}"/>
    <cellStyle name="Wrap 4 2 6 4 2" xfId="35961" xr:uid="{00000000-0005-0000-0000-00005D980000}"/>
    <cellStyle name="Wrap 4 2 6 5" xfId="35962" xr:uid="{00000000-0005-0000-0000-00005E980000}"/>
    <cellStyle name="Wrap 4 2 6 5 2" xfId="35963" xr:uid="{00000000-0005-0000-0000-00005F980000}"/>
    <cellStyle name="Wrap 4 2 6 6" xfId="35964" xr:uid="{00000000-0005-0000-0000-000060980000}"/>
    <cellStyle name="Wrap 4 2 6 6 2" xfId="35965" xr:uid="{00000000-0005-0000-0000-000061980000}"/>
    <cellStyle name="Wrap 4 2 6 7" xfId="35966" xr:uid="{00000000-0005-0000-0000-000062980000}"/>
    <cellStyle name="Wrap 4 2 6 7 2" xfId="35967" xr:uid="{00000000-0005-0000-0000-000063980000}"/>
    <cellStyle name="Wrap 4 2 6 8" xfId="35968" xr:uid="{00000000-0005-0000-0000-000064980000}"/>
    <cellStyle name="Wrap 4 2 6 8 2" xfId="35969" xr:uid="{00000000-0005-0000-0000-000065980000}"/>
    <cellStyle name="Wrap 4 2 6 9" xfId="35970" xr:uid="{00000000-0005-0000-0000-000066980000}"/>
    <cellStyle name="Wrap 4 2 6 9 2" xfId="35971" xr:uid="{00000000-0005-0000-0000-000067980000}"/>
    <cellStyle name="Wrap 4 2 7" xfId="35972" xr:uid="{00000000-0005-0000-0000-000068980000}"/>
    <cellStyle name="Wrap 4 2 7 10" xfId="35973" xr:uid="{00000000-0005-0000-0000-000069980000}"/>
    <cellStyle name="Wrap 4 2 7 2" xfId="35974" xr:uid="{00000000-0005-0000-0000-00006A980000}"/>
    <cellStyle name="Wrap 4 2 7 2 2" xfId="35975" xr:uid="{00000000-0005-0000-0000-00006B980000}"/>
    <cellStyle name="Wrap 4 2 7 3" xfId="35976" xr:uid="{00000000-0005-0000-0000-00006C980000}"/>
    <cellStyle name="Wrap 4 2 7 3 2" xfId="35977" xr:uid="{00000000-0005-0000-0000-00006D980000}"/>
    <cellStyle name="Wrap 4 2 7 4" xfId="35978" xr:uid="{00000000-0005-0000-0000-00006E980000}"/>
    <cellStyle name="Wrap 4 2 7 4 2" xfId="35979" xr:uid="{00000000-0005-0000-0000-00006F980000}"/>
    <cellStyle name="Wrap 4 2 7 5" xfId="35980" xr:uid="{00000000-0005-0000-0000-000070980000}"/>
    <cellStyle name="Wrap 4 2 7 5 2" xfId="35981" xr:uid="{00000000-0005-0000-0000-000071980000}"/>
    <cellStyle name="Wrap 4 2 7 6" xfId="35982" xr:uid="{00000000-0005-0000-0000-000072980000}"/>
    <cellStyle name="Wrap 4 2 7 6 2" xfId="35983" xr:uid="{00000000-0005-0000-0000-000073980000}"/>
    <cellStyle name="Wrap 4 2 7 7" xfId="35984" xr:uid="{00000000-0005-0000-0000-000074980000}"/>
    <cellStyle name="Wrap 4 2 7 7 2" xfId="35985" xr:uid="{00000000-0005-0000-0000-000075980000}"/>
    <cellStyle name="Wrap 4 2 7 8" xfId="35986" xr:uid="{00000000-0005-0000-0000-000076980000}"/>
    <cellStyle name="Wrap 4 2 7 8 2" xfId="35987" xr:uid="{00000000-0005-0000-0000-000077980000}"/>
    <cellStyle name="Wrap 4 2 7 9" xfId="35988" xr:uid="{00000000-0005-0000-0000-000078980000}"/>
    <cellStyle name="Wrap 4 2 7 9 2" xfId="35989" xr:uid="{00000000-0005-0000-0000-000079980000}"/>
    <cellStyle name="Wrap 4 2 8" xfId="35990" xr:uid="{00000000-0005-0000-0000-00007A980000}"/>
    <cellStyle name="Wrap 4 2 8 10" xfId="35991" xr:uid="{00000000-0005-0000-0000-00007B980000}"/>
    <cellStyle name="Wrap 4 2 8 2" xfId="35992" xr:uid="{00000000-0005-0000-0000-00007C980000}"/>
    <cellStyle name="Wrap 4 2 8 2 2" xfId="35993" xr:uid="{00000000-0005-0000-0000-00007D980000}"/>
    <cellStyle name="Wrap 4 2 8 3" xfId="35994" xr:uid="{00000000-0005-0000-0000-00007E980000}"/>
    <cellStyle name="Wrap 4 2 8 3 2" xfId="35995" xr:uid="{00000000-0005-0000-0000-00007F980000}"/>
    <cellStyle name="Wrap 4 2 8 4" xfId="35996" xr:uid="{00000000-0005-0000-0000-000080980000}"/>
    <cellStyle name="Wrap 4 2 8 4 2" xfId="35997" xr:uid="{00000000-0005-0000-0000-000081980000}"/>
    <cellStyle name="Wrap 4 2 8 5" xfId="35998" xr:uid="{00000000-0005-0000-0000-000082980000}"/>
    <cellStyle name="Wrap 4 2 8 5 2" xfId="35999" xr:uid="{00000000-0005-0000-0000-000083980000}"/>
    <cellStyle name="Wrap 4 2 8 6" xfId="36000" xr:uid="{00000000-0005-0000-0000-000084980000}"/>
    <cellStyle name="Wrap 4 2 8 6 2" xfId="36001" xr:uid="{00000000-0005-0000-0000-000085980000}"/>
    <cellStyle name="Wrap 4 2 8 7" xfId="36002" xr:uid="{00000000-0005-0000-0000-000086980000}"/>
    <cellStyle name="Wrap 4 2 8 7 2" xfId="36003" xr:uid="{00000000-0005-0000-0000-000087980000}"/>
    <cellStyle name="Wrap 4 2 8 8" xfId="36004" xr:uid="{00000000-0005-0000-0000-000088980000}"/>
    <cellStyle name="Wrap 4 2 8 8 2" xfId="36005" xr:uid="{00000000-0005-0000-0000-000089980000}"/>
    <cellStyle name="Wrap 4 2 8 9" xfId="36006" xr:uid="{00000000-0005-0000-0000-00008A980000}"/>
    <cellStyle name="Wrap 4 2 8 9 2" xfId="36007" xr:uid="{00000000-0005-0000-0000-00008B980000}"/>
    <cellStyle name="Wrap 4 2 9" xfId="36008" xr:uid="{00000000-0005-0000-0000-00008C980000}"/>
    <cellStyle name="Wrap 4 2 9 10" xfId="36009" xr:uid="{00000000-0005-0000-0000-00008D980000}"/>
    <cellStyle name="Wrap 4 2 9 2" xfId="36010" xr:uid="{00000000-0005-0000-0000-00008E980000}"/>
    <cellStyle name="Wrap 4 2 9 2 2" xfId="36011" xr:uid="{00000000-0005-0000-0000-00008F980000}"/>
    <cellStyle name="Wrap 4 2 9 3" xfId="36012" xr:uid="{00000000-0005-0000-0000-000090980000}"/>
    <cellStyle name="Wrap 4 2 9 3 2" xfId="36013" xr:uid="{00000000-0005-0000-0000-000091980000}"/>
    <cellStyle name="Wrap 4 2 9 4" xfId="36014" xr:uid="{00000000-0005-0000-0000-000092980000}"/>
    <cellStyle name="Wrap 4 2 9 4 2" xfId="36015" xr:uid="{00000000-0005-0000-0000-000093980000}"/>
    <cellStyle name="Wrap 4 2 9 5" xfId="36016" xr:uid="{00000000-0005-0000-0000-000094980000}"/>
    <cellStyle name="Wrap 4 2 9 5 2" xfId="36017" xr:uid="{00000000-0005-0000-0000-000095980000}"/>
    <cellStyle name="Wrap 4 2 9 6" xfId="36018" xr:uid="{00000000-0005-0000-0000-000096980000}"/>
    <cellStyle name="Wrap 4 2 9 6 2" xfId="36019" xr:uid="{00000000-0005-0000-0000-000097980000}"/>
    <cellStyle name="Wrap 4 2 9 7" xfId="36020" xr:uid="{00000000-0005-0000-0000-000098980000}"/>
    <cellStyle name="Wrap 4 2 9 7 2" xfId="36021" xr:uid="{00000000-0005-0000-0000-000099980000}"/>
    <cellStyle name="Wrap 4 2 9 8" xfId="36022" xr:uid="{00000000-0005-0000-0000-00009A980000}"/>
    <cellStyle name="Wrap 4 2 9 8 2" xfId="36023" xr:uid="{00000000-0005-0000-0000-00009B980000}"/>
    <cellStyle name="Wrap 4 2 9 9" xfId="36024" xr:uid="{00000000-0005-0000-0000-00009C980000}"/>
    <cellStyle name="Wrap 4 2 9 9 2" xfId="36025" xr:uid="{00000000-0005-0000-0000-00009D980000}"/>
    <cellStyle name="Wrap 4 3" xfId="36026" xr:uid="{00000000-0005-0000-0000-00009E980000}"/>
    <cellStyle name="Wrap 4 3 10" xfId="36027" xr:uid="{00000000-0005-0000-0000-00009F980000}"/>
    <cellStyle name="Wrap 4 3 10 10" xfId="36028" xr:uid="{00000000-0005-0000-0000-0000A0980000}"/>
    <cellStyle name="Wrap 4 3 10 2" xfId="36029" xr:uid="{00000000-0005-0000-0000-0000A1980000}"/>
    <cellStyle name="Wrap 4 3 10 2 2" xfId="36030" xr:uid="{00000000-0005-0000-0000-0000A2980000}"/>
    <cellStyle name="Wrap 4 3 10 3" xfId="36031" xr:uid="{00000000-0005-0000-0000-0000A3980000}"/>
    <cellStyle name="Wrap 4 3 10 3 2" xfId="36032" xr:uid="{00000000-0005-0000-0000-0000A4980000}"/>
    <cellStyle name="Wrap 4 3 10 4" xfId="36033" xr:uid="{00000000-0005-0000-0000-0000A5980000}"/>
    <cellStyle name="Wrap 4 3 10 4 2" xfId="36034" xr:uid="{00000000-0005-0000-0000-0000A6980000}"/>
    <cellStyle name="Wrap 4 3 10 5" xfId="36035" xr:uid="{00000000-0005-0000-0000-0000A7980000}"/>
    <cellStyle name="Wrap 4 3 10 5 2" xfId="36036" xr:uid="{00000000-0005-0000-0000-0000A8980000}"/>
    <cellStyle name="Wrap 4 3 10 6" xfId="36037" xr:uid="{00000000-0005-0000-0000-0000A9980000}"/>
    <cellStyle name="Wrap 4 3 10 6 2" xfId="36038" xr:uid="{00000000-0005-0000-0000-0000AA980000}"/>
    <cellStyle name="Wrap 4 3 10 7" xfId="36039" xr:uid="{00000000-0005-0000-0000-0000AB980000}"/>
    <cellStyle name="Wrap 4 3 10 7 2" xfId="36040" xr:uid="{00000000-0005-0000-0000-0000AC980000}"/>
    <cellStyle name="Wrap 4 3 10 8" xfId="36041" xr:uid="{00000000-0005-0000-0000-0000AD980000}"/>
    <cellStyle name="Wrap 4 3 10 8 2" xfId="36042" xr:uid="{00000000-0005-0000-0000-0000AE980000}"/>
    <cellStyle name="Wrap 4 3 10 9" xfId="36043" xr:uid="{00000000-0005-0000-0000-0000AF980000}"/>
    <cellStyle name="Wrap 4 3 10 9 2" xfId="36044" xr:uid="{00000000-0005-0000-0000-0000B0980000}"/>
    <cellStyle name="Wrap 4 3 11" xfId="36045" xr:uid="{00000000-0005-0000-0000-0000B1980000}"/>
    <cellStyle name="Wrap 4 3 11 2" xfId="36046" xr:uid="{00000000-0005-0000-0000-0000B2980000}"/>
    <cellStyle name="Wrap 4 3 11 2 2" xfId="36047" xr:uid="{00000000-0005-0000-0000-0000B3980000}"/>
    <cellStyle name="Wrap 4 3 11 3" xfId="36048" xr:uid="{00000000-0005-0000-0000-0000B4980000}"/>
    <cellStyle name="Wrap 4 3 11 3 2" xfId="36049" xr:uid="{00000000-0005-0000-0000-0000B5980000}"/>
    <cellStyle name="Wrap 4 3 11 4" xfId="36050" xr:uid="{00000000-0005-0000-0000-0000B6980000}"/>
    <cellStyle name="Wrap 4 3 11 4 2" xfId="36051" xr:uid="{00000000-0005-0000-0000-0000B7980000}"/>
    <cellStyle name="Wrap 4 3 11 5" xfId="36052" xr:uid="{00000000-0005-0000-0000-0000B8980000}"/>
    <cellStyle name="Wrap 4 3 11 5 2" xfId="36053" xr:uid="{00000000-0005-0000-0000-0000B9980000}"/>
    <cellStyle name="Wrap 4 3 11 6" xfId="36054" xr:uid="{00000000-0005-0000-0000-0000BA980000}"/>
    <cellStyle name="Wrap 4 3 11 6 2" xfId="36055" xr:uid="{00000000-0005-0000-0000-0000BB980000}"/>
    <cellStyle name="Wrap 4 3 11 7" xfId="36056" xr:uid="{00000000-0005-0000-0000-0000BC980000}"/>
    <cellStyle name="Wrap 4 3 11 7 2" xfId="36057" xr:uid="{00000000-0005-0000-0000-0000BD980000}"/>
    <cellStyle name="Wrap 4 3 11 8" xfId="36058" xr:uid="{00000000-0005-0000-0000-0000BE980000}"/>
    <cellStyle name="Wrap 4 3 11 8 2" xfId="36059" xr:uid="{00000000-0005-0000-0000-0000BF980000}"/>
    <cellStyle name="Wrap 4 3 11 9" xfId="36060" xr:uid="{00000000-0005-0000-0000-0000C0980000}"/>
    <cellStyle name="Wrap 4 3 2" xfId="36061" xr:uid="{00000000-0005-0000-0000-0000C1980000}"/>
    <cellStyle name="Wrap 4 3 2 10" xfId="36062" xr:uid="{00000000-0005-0000-0000-0000C2980000}"/>
    <cellStyle name="Wrap 4 3 2 2" xfId="36063" xr:uid="{00000000-0005-0000-0000-0000C3980000}"/>
    <cellStyle name="Wrap 4 3 2 2 2" xfId="36064" xr:uid="{00000000-0005-0000-0000-0000C4980000}"/>
    <cellStyle name="Wrap 4 3 2 3" xfId="36065" xr:uid="{00000000-0005-0000-0000-0000C5980000}"/>
    <cellStyle name="Wrap 4 3 2 3 2" xfId="36066" xr:uid="{00000000-0005-0000-0000-0000C6980000}"/>
    <cellStyle name="Wrap 4 3 2 4" xfId="36067" xr:uid="{00000000-0005-0000-0000-0000C7980000}"/>
    <cellStyle name="Wrap 4 3 2 4 2" xfId="36068" xr:uid="{00000000-0005-0000-0000-0000C8980000}"/>
    <cellStyle name="Wrap 4 3 2 5" xfId="36069" xr:uid="{00000000-0005-0000-0000-0000C9980000}"/>
    <cellStyle name="Wrap 4 3 2 5 2" xfId="36070" xr:uid="{00000000-0005-0000-0000-0000CA980000}"/>
    <cellStyle name="Wrap 4 3 2 6" xfId="36071" xr:uid="{00000000-0005-0000-0000-0000CB980000}"/>
    <cellStyle name="Wrap 4 3 2 6 2" xfId="36072" xr:uid="{00000000-0005-0000-0000-0000CC980000}"/>
    <cellStyle name="Wrap 4 3 2 7" xfId="36073" xr:uid="{00000000-0005-0000-0000-0000CD980000}"/>
    <cellStyle name="Wrap 4 3 2 7 2" xfId="36074" xr:uid="{00000000-0005-0000-0000-0000CE980000}"/>
    <cellStyle name="Wrap 4 3 2 8" xfId="36075" xr:uid="{00000000-0005-0000-0000-0000CF980000}"/>
    <cellStyle name="Wrap 4 3 2 8 2" xfId="36076" xr:uid="{00000000-0005-0000-0000-0000D0980000}"/>
    <cellStyle name="Wrap 4 3 2 9" xfId="36077" xr:uid="{00000000-0005-0000-0000-0000D1980000}"/>
    <cellStyle name="Wrap 4 3 2 9 2" xfId="36078" xr:uid="{00000000-0005-0000-0000-0000D2980000}"/>
    <cellStyle name="Wrap 4 3 3" xfId="36079" xr:uid="{00000000-0005-0000-0000-0000D3980000}"/>
    <cellStyle name="Wrap 4 3 3 10" xfId="36080" xr:uid="{00000000-0005-0000-0000-0000D4980000}"/>
    <cellStyle name="Wrap 4 3 3 2" xfId="36081" xr:uid="{00000000-0005-0000-0000-0000D5980000}"/>
    <cellStyle name="Wrap 4 3 3 2 2" xfId="36082" xr:uid="{00000000-0005-0000-0000-0000D6980000}"/>
    <cellStyle name="Wrap 4 3 3 3" xfId="36083" xr:uid="{00000000-0005-0000-0000-0000D7980000}"/>
    <cellStyle name="Wrap 4 3 3 3 2" xfId="36084" xr:uid="{00000000-0005-0000-0000-0000D8980000}"/>
    <cellStyle name="Wrap 4 3 3 4" xfId="36085" xr:uid="{00000000-0005-0000-0000-0000D9980000}"/>
    <cellStyle name="Wrap 4 3 3 4 2" xfId="36086" xr:uid="{00000000-0005-0000-0000-0000DA980000}"/>
    <cellStyle name="Wrap 4 3 3 5" xfId="36087" xr:uid="{00000000-0005-0000-0000-0000DB980000}"/>
    <cellStyle name="Wrap 4 3 3 5 2" xfId="36088" xr:uid="{00000000-0005-0000-0000-0000DC980000}"/>
    <cellStyle name="Wrap 4 3 3 6" xfId="36089" xr:uid="{00000000-0005-0000-0000-0000DD980000}"/>
    <cellStyle name="Wrap 4 3 3 6 2" xfId="36090" xr:uid="{00000000-0005-0000-0000-0000DE980000}"/>
    <cellStyle name="Wrap 4 3 3 7" xfId="36091" xr:uid="{00000000-0005-0000-0000-0000DF980000}"/>
    <cellStyle name="Wrap 4 3 3 7 2" xfId="36092" xr:uid="{00000000-0005-0000-0000-0000E0980000}"/>
    <cellStyle name="Wrap 4 3 3 8" xfId="36093" xr:uid="{00000000-0005-0000-0000-0000E1980000}"/>
    <cellStyle name="Wrap 4 3 3 8 2" xfId="36094" xr:uid="{00000000-0005-0000-0000-0000E2980000}"/>
    <cellStyle name="Wrap 4 3 3 9" xfId="36095" xr:uid="{00000000-0005-0000-0000-0000E3980000}"/>
    <cellStyle name="Wrap 4 3 3 9 2" xfId="36096" xr:uid="{00000000-0005-0000-0000-0000E4980000}"/>
    <cellStyle name="Wrap 4 3 4" xfId="36097" xr:uid="{00000000-0005-0000-0000-0000E5980000}"/>
    <cellStyle name="Wrap 4 3 4 10" xfId="36098" xr:uid="{00000000-0005-0000-0000-0000E6980000}"/>
    <cellStyle name="Wrap 4 3 4 2" xfId="36099" xr:uid="{00000000-0005-0000-0000-0000E7980000}"/>
    <cellStyle name="Wrap 4 3 4 2 2" xfId="36100" xr:uid="{00000000-0005-0000-0000-0000E8980000}"/>
    <cellStyle name="Wrap 4 3 4 3" xfId="36101" xr:uid="{00000000-0005-0000-0000-0000E9980000}"/>
    <cellStyle name="Wrap 4 3 4 3 2" xfId="36102" xr:uid="{00000000-0005-0000-0000-0000EA980000}"/>
    <cellStyle name="Wrap 4 3 4 4" xfId="36103" xr:uid="{00000000-0005-0000-0000-0000EB980000}"/>
    <cellStyle name="Wrap 4 3 4 4 2" xfId="36104" xr:uid="{00000000-0005-0000-0000-0000EC980000}"/>
    <cellStyle name="Wrap 4 3 4 5" xfId="36105" xr:uid="{00000000-0005-0000-0000-0000ED980000}"/>
    <cellStyle name="Wrap 4 3 4 5 2" xfId="36106" xr:uid="{00000000-0005-0000-0000-0000EE980000}"/>
    <cellStyle name="Wrap 4 3 4 6" xfId="36107" xr:uid="{00000000-0005-0000-0000-0000EF980000}"/>
    <cellStyle name="Wrap 4 3 4 6 2" xfId="36108" xr:uid="{00000000-0005-0000-0000-0000F0980000}"/>
    <cellStyle name="Wrap 4 3 4 7" xfId="36109" xr:uid="{00000000-0005-0000-0000-0000F1980000}"/>
    <cellStyle name="Wrap 4 3 4 7 2" xfId="36110" xr:uid="{00000000-0005-0000-0000-0000F2980000}"/>
    <cellStyle name="Wrap 4 3 4 8" xfId="36111" xr:uid="{00000000-0005-0000-0000-0000F3980000}"/>
    <cellStyle name="Wrap 4 3 4 8 2" xfId="36112" xr:uid="{00000000-0005-0000-0000-0000F4980000}"/>
    <cellStyle name="Wrap 4 3 4 9" xfId="36113" xr:uid="{00000000-0005-0000-0000-0000F5980000}"/>
    <cellStyle name="Wrap 4 3 4 9 2" xfId="36114" xr:uid="{00000000-0005-0000-0000-0000F6980000}"/>
    <cellStyle name="Wrap 4 3 5" xfId="36115" xr:uid="{00000000-0005-0000-0000-0000F7980000}"/>
    <cellStyle name="Wrap 4 3 5 10" xfId="36116" xr:uid="{00000000-0005-0000-0000-0000F8980000}"/>
    <cellStyle name="Wrap 4 3 5 2" xfId="36117" xr:uid="{00000000-0005-0000-0000-0000F9980000}"/>
    <cellStyle name="Wrap 4 3 5 2 2" xfId="36118" xr:uid="{00000000-0005-0000-0000-0000FA980000}"/>
    <cellStyle name="Wrap 4 3 5 3" xfId="36119" xr:uid="{00000000-0005-0000-0000-0000FB980000}"/>
    <cellStyle name="Wrap 4 3 5 3 2" xfId="36120" xr:uid="{00000000-0005-0000-0000-0000FC980000}"/>
    <cellStyle name="Wrap 4 3 5 4" xfId="36121" xr:uid="{00000000-0005-0000-0000-0000FD980000}"/>
    <cellStyle name="Wrap 4 3 5 4 2" xfId="36122" xr:uid="{00000000-0005-0000-0000-0000FE980000}"/>
    <cellStyle name="Wrap 4 3 5 5" xfId="36123" xr:uid="{00000000-0005-0000-0000-0000FF980000}"/>
    <cellStyle name="Wrap 4 3 5 5 2" xfId="36124" xr:uid="{00000000-0005-0000-0000-000000990000}"/>
    <cellStyle name="Wrap 4 3 5 6" xfId="36125" xr:uid="{00000000-0005-0000-0000-000001990000}"/>
    <cellStyle name="Wrap 4 3 5 6 2" xfId="36126" xr:uid="{00000000-0005-0000-0000-000002990000}"/>
    <cellStyle name="Wrap 4 3 5 7" xfId="36127" xr:uid="{00000000-0005-0000-0000-000003990000}"/>
    <cellStyle name="Wrap 4 3 5 7 2" xfId="36128" xr:uid="{00000000-0005-0000-0000-000004990000}"/>
    <cellStyle name="Wrap 4 3 5 8" xfId="36129" xr:uid="{00000000-0005-0000-0000-000005990000}"/>
    <cellStyle name="Wrap 4 3 5 8 2" xfId="36130" xr:uid="{00000000-0005-0000-0000-000006990000}"/>
    <cellStyle name="Wrap 4 3 5 9" xfId="36131" xr:uid="{00000000-0005-0000-0000-000007990000}"/>
    <cellStyle name="Wrap 4 3 5 9 2" xfId="36132" xr:uid="{00000000-0005-0000-0000-000008990000}"/>
    <cellStyle name="Wrap 4 3 6" xfId="36133" xr:uid="{00000000-0005-0000-0000-000009990000}"/>
    <cellStyle name="Wrap 4 3 6 10" xfId="36134" xr:uid="{00000000-0005-0000-0000-00000A990000}"/>
    <cellStyle name="Wrap 4 3 6 2" xfId="36135" xr:uid="{00000000-0005-0000-0000-00000B990000}"/>
    <cellStyle name="Wrap 4 3 6 2 2" xfId="36136" xr:uid="{00000000-0005-0000-0000-00000C990000}"/>
    <cellStyle name="Wrap 4 3 6 3" xfId="36137" xr:uid="{00000000-0005-0000-0000-00000D990000}"/>
    <cellStyle name="Wrap 4 3 6 3 2" xfId="36138" xr:uid="{00000000-0005-0000-0000-00000E990000}"/>
    <cellStyle name="Wrap 4 3 6 4" xfId="36139" xr:uid="{00000000-0005-0000-0000-00000F990000}"/>
    <cellStyle name="Wrap 4 3 6 4 2" xfId="36140" xr:uid="{00000000-0005-0000-0000-000010990000}"/>
    <cellStyle name="Wrap 4 3 6 5" xfId="36141" xr:uid="{00000000-0005-0000-0000-000011990000}"/>
    <cellStyle name="Wrap 4 3 6 5 2" xfId="36142" xr:uid="{00000000-0005-0000-0000-000012990000}"/>
    <cellStyle name="Wrap 4 3 6 6" xfId="36143" xr:uid="{00000000-0005-0000-0000-000013990000}"/>
    <cellStyle name="Wrap 4 3 6 6 2" xfId="36144" xr:uid="{00000000-0005-0000-0000-000014990000}"/>
    <cellStyle name="Wrap 4 3 6 7" xfId="36145" xr:uid="{00000000-0005-0000-0000-000015990000}"/>
    <cellStyle name="Wrap 4 3 6 7 2" xfId="36146" xr:uid="{00000000-0005-0000-0000-000016990000}"/>
    <cellStyle name="Wrap 4 3 6 8" xfId="36147" xr:uid="{00000000-0005-0000-0000-000017990000}"/>
    <cellStyle name="Wrap 4 3 6 8 2" xfId="36148" xr:uid="{00000000-0005-0000-0000-000018990000}"/>
    <cellStyle name="Wrap 4 3 6 9" xfId="36149" xr:uid="{00000000-0005-0000-0000-000019990000}"/>
    <cellStyle name="Wrap 4 3 6 9 2" xfId="36150" xr:uid="{00000000-0005-0000-0000-00001A990000}"/>
    <cellStyle name="Wrap 4 3 7" xfId="36151" xr:uid="{00000000-0005-0000-0000-00001B990000}"/>
    <cellStyle name="Wrap 4 3 7 10" xfId="36152" xr:uid="{00000000-0005-0000-0000-00001C990000}"/>
    <cellStyle name="Wrap 4 3 7 2" xfId="36153" xr:uid="{00000000-0005-0000-0000-00001D990000}"/>
    <cellStyle name="Wrap 4 3 7 2 2" xfId="36154" xr:uid="{00000000-0005-0000-0000-00001E990000}"/>
    <cellStyle name="Wrap 4 3 7 3" xfId="36155" xr:uid="{00000000-0005-0000-0000-00001F990000}"/>
    <cellStyle name="Wrap 4 3 7 3 2" xfId="36156" xr:uid="{00000000-0005-0000-0000-000020990000}"/>
    <cellStyle name="Wrap 4 3 7 4" xfId="36157" xr:uid="{00000000-0005-0000-0000-000021990000}"/>
    <cellStyle name="Wrap 4 3 7 4 2" xfId="36158" xr:uid="{00000000-0005-0000-0000-000022990000}"/>
    <cellStyle name="Wrap 4 3 7 5" xfId="36159" xr:uid="{00000000-0005-0000-0000-000023990000}"/>
    <cellStyle name="Wrap 4 3 7 5 2" xfId="36160" xr:uid="{00000000-0005-0000-0000-000024990000}"/>
    <cellStyle name="Wrap 4 3 7 6" xfId="36161" xr:uid="{00000000-0005-0000-0000-000025990000}"/>
    <cellStyle name="Wrap 4 3 7 6 2" xfId="36162" xr:uid="{00000000-0005-0000-0000-000026990000}"/>
    <cellStyle name="Wrap 4 3 7 7" xfId="36163" xr:uid="{00000000-0005-0000-0000-000027990000}"/>
    <cellStyle name="Wrap 4 3 7 7 2" xfId="36164" xr:uid="{00000000-0005-0000-0000-000028990000}"/>
    <cellStyle name="Wrap 4 3 7 8" xfId="36165" xr:uid="{00000000-0005-0000-0000-000029990000}"/>
    <cellStyle name="Wrap 4 3 7 8 2" xfId="36166" xr:uid="{00000000-0005-0000-0000-00002A990000}"/>
    <cellStyle name="Wrap 4 3 7 9" xfId="36167" xr:uid="{00000000-0005-0000-0000-00002B990000}"/>
    <cellStyle name="Wrap 4 3 7 9 2" xfId="36168" xr:uid="{00000000-0005-0000-0000-00002C990000}"/>
    <cellStyle name="Wrap 4 3 8" xfId="36169" xr:uid="{00000000-0005-0000-0000-00002D990000}"/>
    <cellStyle name="Wrap 4 3 8 10" xfId="36170" xr:uid="{00000000-0005-0000-0000-00002E990000}"/>
    <cellStyle name="Wrap 4 3 8 2" xfId="36171" xr:uid="{00000000-0005-0000-0000-00002F990000}"/>
    <cellStyle name="Wrap 4 3 8 2 2" xfId="36172" xr:uid="{00000000-0005-0000-0000-000030990000}"/>
    <cellStyle name="Wrap 4 3 8 3" xfId="36173" xr:uid="{00000000-0005-0000-0000-000031990000}"/>
    <cellStyle name="Wrap 4 3 8 3 2" xfId="36174" xr:uid="{00000000-0005-0000-0000-000032990000}"/>
    <cellStyle name="Wrap 4 3 8 4" xfId="36175" xr:uid="{00000000-0005-0000-0000-000033990000}"/>
    <cellStyle name="Wrap 4 3 8 4 2" xfId="36176" xr:uid="{00000000-0005-0000-0000-000034990000}"/>
    <cellStyle name="Wrap 4 3 8 5" xfId="36177" xr:uid="{00000000-0005-0000-0000-000035990000}"/>
    <cellStyle name="Wrap 4 3 8 5 2" xfId="36178" xr:uid="{00000000-0005-0000-0000-000036990000}"/>
    <cellStyle name="Wrap 4 3 8 6" xfId="36179" xr:uid="{00000000-0005-0000-0000-000037990000}"/>
    <cellStyle name="Wrap 4 3 8 6 2" xfId="36180" xr:uid="{00000000-0005-0000-0000-000038990000}"/>
    <cellStyle name="Wrap 4 3 8 7" xfId="36181" xr:uid="{00000000-0005-0000-0000-000039990000}"/>
    <cellStyle name="Wrap 4 3 8 7 2" xfId="36182" xr:uid="{00000000-0005-0000-0000-00003A990000}"/>
    <cellStyle name="Wrap 4 3 8 8" xfId="36183" xr:uid="{00000000-0005-0000-0000-00003B990000}"/>
    <cellStyle name="Wrap 4 3 8 8 2" xfId="36184" xr:uid="{00000000-0005-0000-0000-00003C990000}"/>
    <cellStyle name="Wrap 4 3 8 9" xfId="36185" xr:uid="{00000000-0005-0000-0000-00003D990000}"/>
    <cellStyle name="Wrap 4 3 8 9 2" xfId="36186" xr:uid="{00000000-0005-0000-0000-00003E990000}"/>
    <cellStyle name="Wrap 4 3 9" xfId="36187" xr:uid="{00000000-0005-0000-0000-00003F990000}"/>
    <cellStyle name="Wrap 4 3 9 10" xfId="36188" xr:uid="{00000000-0005-0000-0000-000040990000}"/>
    <cellStyle name="Wrap 4 3 9 2" xfId="36189" xr:uid="{00000000-0005-0000-0000-000041990000}"/>
    <cellStyle name="Wrap 4 3 9 2 2" xfId="36190" xr:uid="{00000000-0005-0000-0000-000042990000}"/>
    <cellStyle name="Wrap 4 3 9 3" xfId="36191" xr:uid="{00000000-0005-0000-0000-000043990000}"/>
    <cellStyle name="Wrap 4 3 9 3 2" xfId="36192" xr:uid="{00000000-0005-0000-0000-000044990000}"/>
    <cellStyle name="Wrap 4 3 9 4" xfId="36193" xr:uid="{00000000-0005-0000-0000-000045990000}"/>
    <cellStyle name="Wrap 4 3 9 4 2" xfId="36194" xr:uid="{00000000-0005-0000-0000-000046990000}"/>
    <cellStyle name="Wrap 4 3 9 5" xfId="36195" xr:uid="{00000000-0005-0000-0000-000047990000}"/>
    <cellStyle name="Wrap 4 3 9 5 2" xfId="36196" xr:uid="{00000000-0005-0000-0000-000048990000}"/>
    <cellStyle name="Wrap 4 3 9 6" xfId="36197" xr:uid="{00000000-0005-0000-0000-000049990000}"/>
    <cellStyle name="Wrap 4 3 9 6 2" xfId="36198" xr:uid="{00000000-0005-0000-0000-00004A990000}"/>
    <cellStyle name="Wrap 4 3 9 7" xfId="36199" xr:uid="{00000000-0005-0000-0000-00004B990000}"/>
    <cellStyle name="Wrap 4 3 9 7 2" xfId="36200" xr:uid="{00000000-0005-0000-0000-00004C990000}"/>
    <cellStyle name="Wrap 4 3 9 8" xfId="36201" xr:uid="{00000000-0005-0000-0000-00004D990000}"/>
    <cellStyle name="Wrap 4 3 9 8 2" xfId="36202" xr:uid="{00000000-0005-0000-0000-00004E990000}"/>
    <cellStyle name="Wrap 4 3 9 9" xfId="36203" xr:uid="{00000000-0005-0000-0000-00004F990000}"/>
    <cellStyle name="Wrap 4 3 9 9 2" xfId="36204" xr:uid="{00000000-0005-0000-0000-000050990000}"/>
    <cellStyle name="Wrap 4 4" xfId="36205" xr:uid="{00000000-0005-0000-0000-000051990000}"/>
    <cellStyle name="Wrap 4 4 10" xfId="36206" xr:uid="{00000000-0005-0000-0000-000052990000}"/>
    <cellStyle name="Wrap 4 4 10 2" xfId="36207" xr:uid="{00000000-0005-0000-0000-000053990000}"/>
    <cellStyle name="Wrap 4 4 10 2 2" xfId="36208" xr:uid="{00000000-0005-0000-0000-000054990000}"/>
    <cellStyle name="Wrap 4 4 10 3" xfId="36209" xr:uid="{00000000-0005-0000-0000-000055990000}"/>
    <cellStyle name="Wrap 4 4 10 3 2" xfId="36210" xr:uid="{00000000-0005-0000-0000-000056990000}"/>
    <cellStyle name="Wrap 4 4 10 4" xfId="36211" xr:uid="{00000000-0005-0000-0000-000057990000}"/>
    <cellStyle name="Wrap 4 4 10 4 2" xfId="36212" xr:uid="{00000000-0005-0000-0000-000058990000}"/>
    <cellStyle name="Wrap 4 4 10 5" xfId="36213" xr:uid="{00000000-0005-0000-0000-000059990000}"/>
    <cellStyle name="Wrap 4 4 10 5 2" xfId="36214" xr:uid="{00000000-0005-0000-0000-00005A990000}"/>
    <cellStyle name="Wrap 4 4 10 6" xfId="36215" xr:uid="{00000000-0005-0000-0000-00005B990000}"/>
    <cellStyle name="Wrap 4 4 10 6 2" xfId="36216" xr:uid="{00000000-0005-0000-0000-00005C990000}"/>
    <cellStyle name="Wrap 4 4 10 7" xfId="36217" xr:uid="{00000000-0005-0000-0000-00005D990000}"/>
    <cellStyle name="Wrap 4 4 10 7 2" xfId="36218" xr:uid="{00000000-0005-0000-0000-00005E990000}"/>
    <cellStyle name="Wrap 4 4 10 8" xfId="36219" xr:uid="{00000000-0005-0000-0000-00005F990000}"/>
    <cellStyle name="Wrap 4 4 10 8 2" xfId="36220" xr:uid="{00000000-0005-0000-0000-000060990000}"/>
    <cellStyle name="Wrap 4 4 10 9" xfId="36221" xr:uid="{00000000-0005-0000-0000-000061990000}"/>
    <cellStyle name="Wrap 4 4 11" xfId="36222" xr:uid="{00000000-0005-0000-0000-000062990000}"/>
    <cellStyle name="Wrap 4 4 11 2" xfId="36223" xr:uid="{00000000-0005-0000-0000-000063990000}"/>
    <cellStyle name="Wrap 4 4 12" xfId="36224" xr:uid="{00000000-0005-0000-0000-000064990000}"/>
    <cellStyle name="Wrap 4 4 12 2" xfId="36225" xr:uid="{00000000-0005-0000-0000-000065990000}"/>
    <cellStyle name="Wrap 4 4 13" xfId="36226" xr:uid="{00000000-0005-0000-0000-000066990000}"/>
    <cellStyle name="Wrap 4 4 13 2" xfId="36227" xr:uid="{00000000-0005-0000-0000-000067990000}"/>
    <cellStyle name="Wrap 4 4 14" xfId="36228" xr:uid="{00000000-0005-0000-0000-000068990000}"/>
    <cellStyle name="Wrap 4 4 14 2" xfId="36229" xr:uid="{00000000-0005-0000-0000-000069990000}"/>
    <cellStyle name="Wrap 4 4 15" xfId="36230" xr:uid="{00000000-0005-0000-0000-00006A990000}"/>
    <cellStyle name="Wrap 4 4 15 2" xfId="36231" xr:uid="{00000000-0005-0000-0000-00006B990000}"/>
    <cellStyle name="Wrap 4 4 16" xfId="36232" xr:uid="{00000000-0005-0000-0000-00006C990000}"/>
    <cellStyle name="Wrap 4 4 16 2" xfId="36233" xr:uid="{00000000-0005-0000-0000-00006D990000}"/>
    <cellStyle name="Wrap 4 4 17" xfId="36234" xr:uid="{00000000-0005-0000-0000-00006E990000}"/>
    <cellStyle name="Wrap 4 4 17 2" xfId="36235" xr:uid="{00000000-0005-0000-0000-00006F990000}"/>
    <cellStyle name="Wrap 4 4 18" xfId="36236" xr:uid="{00000000-0005-0000-0000-000070990000}"/>
    <cellStyle name="Wrap 4 4 2" xfId="36237" xr:uid="{00000000-0005-0000-0000-000071990000}"/>
    <cellStyle name="Wrap 4 4 2 10" xfId="36238" xr:uid="{00000000-0005-0000-0000-000072990000}"/>
    <cellStyle name="Wrap 4 4 2 2" xfId="36239" xr:uid="{00000000-0005-0000-0000-000073990000}"/>
    <cellStyle name="Wrap 4 4 2 2 2" xfId="36240" xr:uid="{00000000-0005-0000-0000-000074990000}"/>
    <cellStyle name="Wrap 4 4 2 3" xfId="36241" xr:uid="{00000000-0005-0000-0000-000075990000}"/>
    <cellStyle name="Wrap 4 4 2 3 2" xfId="36242" xr:uid="{00000000-0005-0000-0000-000076990000}"/>
    <cellStyle name="Wrap 4 4 2 4" xfId="36243" xr:uid="{00000000-0005-0000-0000-000077990000}"/>
    <cellStyle name="Wrap 4 4 2 4 2" xfId="36244" xr:uid="{00000000-0005-0000-0000-000078990000}"/>
    <cellStyle name="Wrap 4 4 2 5" xfId="36245" xr:uid="{00000000-0005-0000-0000-000079990000}"/>
    <cellStyle name="Wrap 4 4 2 5 2" xfId="36246" xr:uid="{00000000-0005-0000-0000-00007A990000}"/>
    <cellStyle name="Wrap 4 4 2 6" xfId="36247" xr:uid="{00000000-0005-0000-0000-00007B990000}"/>
    <cellStyle name="Wrap 4 4 2 6 2" xfId="36248" xr:uid="{00000000-0005-0000-0000-00007C990000}"/>
    <cellStyle name="Wrap 4 4 2 7" xfId="36249" xr:uid="{00000000-0005-0000-0000-00007D990000}"/>
    <cellStyle name="Wrap 4 4 2 7 2" xfId="36250" xr:uid="{00000000-0005-0000-0000-00007E990000}"/>
    <cellStyle name="Wrap 4 4 2 8" xfId="36251" xr:uid="{00000000-0005-0000-0000-00007F990000}"/>
    <cellStyle name="Wrap 4 4 2 8 2" xfId="36252" xr:uid="{00000000-0005-0000-0000-000080990000}"/>
    <cellStyle name="Wrap 4 4 2 9" xfId="36253" xr:uid="{00000000-0005-0000-0000-000081990000}"/>
    <cellStyle name="Wrap 4 4 2 9 2" xfId="36254" xr:uid="{00000000-0005-0000-0000-000082990000}"/>
    <cellStyle name="Wrap 4 4 3" xfId="36255" xr:uid="{00000000-0005-0000-0000-000083990000}"/>
    <cellStyle name="Wrap 4 4 3 10" xfId="36256" xr:uid="{00000000-0005-0000-0000-000084990000}"/>
    <cellStyle name="Wrap 4 4 3 2" xfId="36257" xr:uid="{00000000-0005-0000-0000-000085990000}"/>
    <cellStyle name="Wrap 4 4 3 2 2" xfId="36258" xr:uid="{00000000-0005-0000-0000-000086990000}"/>
    <cellStyle name="Wrap 4 4 3 3" xfId="36259" xr:uid="{00000000-0005-0000-0000-000087990000}"/>
    <cellStyle name="Wrap 4 4 3 3 2" xfId="36260" xr:uid="{00000000-0005-0000-0000-000088990000}"/>
    <cellStyle name="Wrap 4 4 3 4" xfId="36261" xr:uid="{00000000-0005-0000-0000-000089990000}"/>
    <cellStyle name="Wrap 4 4 3 4 2" xfId="36262" xr:uid="{00000000-0005-0000-0000-00008A990000}"/>
    <cellStyle name="Wrap 4 4 3 5" xfId="36263" xr:uid="{00000000-0005-0000-0000-00008B990000}"/>
    <cellStyle name="Wrap 4 4 3 5 2" xfId="36264" xr:uid="{00000000-0005-0000-0000-00008C990000}"/>
    <cellStyle name="Wrap 4 4 3 6" xfId="36265" xr:uid="{00000000-0005-0000-0000-00008D990000}"/>
    <cellStyle name="Wrap 4 4 3 6 2" xfId="36266" xr:uid="{00000000-0005-0000-0000-00008E990000}"/>
    <cellStyle name="Wrap 4 4 3 7" xfId="36267" xr:uid="{00000000-0005-0000-0000-00008F990000}"/>
    <cellStyle name="Wrap 4 4 3 7 2" xfId="36268" xr:uid="{00000000-0005-0000-0000-000090990000}"/>
    <cellStyle name="Wrap 4 4 3 8" xfId="36269" xr:uid="{00000000-0005-0000-0000-000091990000}"/>
    <cellStyle name="Wrap 4 4 3 8 2" xfId="36270" xr:uid="{00000000-0005-0000-0000-000092990000}"/>
    <cellStyle name="Wrap 4 4 3 9" xfId="36271" xr:uid="{00000000-0005-0000-0000-000093990000}"/>
    <cellStyle name="Wrap 4 4 3 9 2" xfId="36272" xr:uid="{00000000-0005-0000-0000-000094990000}"/>
    <cellStyle name="Wrap 4 4 4" xfId="36273" xr:uid="{00000000-0005-0000-0000-000095990000}"/>
    <cellStyle name="Wrap 4 4 4 10" xfId="36274" xr:uid="{00000000-0005-0000-0000-000096990000}"/>
    <cellStyle name="Wrap 4 4 4 2" xfId="36275" xr:uid="{00000000-0005-0000-0000-000097990000}"/>
    <cellStyle name="Wrap 4 4 4 2 2" xfId="36276" xr:uid="{00000000-0005-0000-0000-000098990000}"/>
    <cellStyle name="Wrap 4 4 4 3" xfId="36277" xr:uid="{00000000-0005-0000-0000-000099990000}"/>
    <cellStyle name="Wrap 4 4 4 3 2" xfId="36278" xr:uid="{00000000-0005-0000-0000-00009A990000}"/>
    <cellStyle name="Wrap 4 4 4 4" xfId="36279" xr:uid="{00000000-0005-0000-0000-00009B990000}"/>
    <cellStyle name="Wrap 4 4 4 4 2" xfId="36280" xr:uid="{00000000-0005-0000-0000-00009C990000}"/>
    <cellStyle name="Wrap 4 4 4 5" xfId="36281" xr:uid="{00000000-0005-0000-0000-00009D990000}"/>
    <cellStyle name="Wrap 4 4 4 5 2" xfId="36282" xr:uid="{00000000-0005-0000-0000-00009E990000}"/>
    <cellStyle name="Wrap 4 4 4 6" xfId="36283" xr:uid="{00000000-0005-0000-0000-00009F990000}"/>
    <cellStyle name="Wrap 4 4 4 6 2" xfId="36284" xr:uid="{00000000-0005-0000-0000-0000A0990000}"/>
    <cellStyle name="Wrap 4 4 4 7" xfId="36285" xr:uid="{00000000-0005-0000-0000-0000A1990000}"/>
    <cellStyle name="Wrap 4 4 4 7 2" xfId="36286" xr:uid="{00000000-0005-0000-0000-0000A2990000}"/>
    <cellStyle name="Wrap 4 4 4 8" xfId="36287" xr:uid="{00000000-0005-0000-0000-0000A3990000}"/>
    <cellStyle name="Wrap 4 4 4 8 2" xfId="36288" xr:uid="{00000000-0005-0000-0000-0000A4990000}"/>
    <cellStyle name="Wrap 4 4 4 9" xfId="36289" xr:uid="{00000000-0005-0000-0000-0000A5990000}"/>
    <cellStyle name="Wrap 4 4 4 9 2" xfId="36290" xr:uid="{00000000-0005-0000-0000-0000A6990000}"/>
    <cellStyle name="Wrap 4 4 5" xfId="36291" xr:uid="{00000000-0005-0000-0000-0000A7990000}"/>
    <cellStyle name="Wrap 4 4 5 10" xfId="36292" xr:uid="{00000000-0005-0000-0000-0000A8990000}"/>
    <cellStyle name="Wrap 4 4 5 2" xfId="36293" xr:uid="{00000000-0005-0000-0000-0000A9990000}"/>
    <cellStyle name="Wrap 4 4 5 2 2" xfId="36294" xr:uid="{00000000-0005-0000-0000-0000AA990000}"/>
    <cellStyle name="Wrap 4 4 5 3" xfId="36295" xr:uid="{00000000-0005-0000-0000-0000AB990000}"/>
    <cellStyle name="Wrap 4 4 5 3 2" xfId="36296" xr:uid="{00000000-0005-0000-0000-0000AC990000}"/>
    <cellStyle name="Wrap 4 4 5 4" xfId="36297" xr:uid="{00000000-0005-0000-0000-0000AD990000}"/>
    <cellStyle name="Wrap 4 4 5 4 2" xfId="36298" xr:uid="{00000000-0005-0000-0000-0000AE990000}"/>
    <cellStyle name="Wrap 4 4 5 5" xfId="36299" xr:uid="{00000000-0005-0000-0000-0000AF990000}"/>
    <cellStyle name="Wrap 4 4 5 5 2" xfId="36300" xr:uid="{00000000-0005-0000-0000-0000B0990000}"/>
    <cellStyle name="Wrap 4 4 5 6" xfId="36301" xr:uid="{00000000-0005-0000-0000-0000B1990000}"/>
    <cellStyle name="Wrap 4 4 5 6 2" xfId="36302" xr:uid="{00000000-0005-0000-0000-0000B2990000}"/>
    <cellStyle name="Wrap 4 4 5 7" xfId="36303" xr:uid="{00000000-0005-0000-0000-0000B3990000}"/>
    <cellStyle name="Wrap 4 4 5 7 2" xfId="36304" xr:uid="{00000000-0005-0000-0000-0000B4990000}"/>
    <cellStyle name="Wrap 4 4 5 8" xfId="36305" xr:uid="{00000000-0005-0000-0000-0000B5990000}"/>
    <cellStyle name="Wrap 4 4 5 8 2" xfId="36306" xr:uid="{00000000-0005-0000-0000-0000B6990000}"/>
    <cellStyle name="Wrap 4 4 5 9" xfId="36307" xr:uid="{00000000-0005-0000-0000-0000B7990000}"/>
    <cellStyle name="Wrap 4 4 5 9 2" xfId="36308" xr:uid="{00000000-0005-0000-0000-0000B8990000}"/>
    <cellStyle name="Wrap 4 4 6" xfId="36309" xr:uid="{00000000-0005-0000-0000-0000B9990000}"/>
    <cellStyle name="Wrap 4 4 6 10" xfId="36310" xr:uid="{00000000-0005-0000-0000-0000BA990000}"/>
    <cellStyle name="Wrap 4 4 6 2" xfId="36311" xr:uid="{00000000-0005-0000-0000-0000BB990000}"/>
    <cellStyle name="Wrap 4 4 6 2 2" xfId="36312" xr:uid="{00000000-0005-0000-0000-0000BC990000}"/>
    <cellStyle name="Wrap 4 4 6 3" xfId="36313" xr:uid="{00000000-0005-0000-0000-0000BD990000}"/>
    <cellStyle name="Wrap 4 4 6 3 2" xfId="36314" xr:uid="{00000000-0005-0000-0000-0000BE990000}"/>
    <cellStyle name="Wrap 4 4 6 4" xfId="36315" xr:uid="{00000000-0005-0000-0000-0000BF990000}"/>
    <cellStyle name="Wrap 4 4 6 4 2" xfId="36316" xr:uid="{00000000-0005-0000-0000-0000C0990000}"/>
    <cellStyle name="Wrap 4 4 6 5" xfId="36317" xr:uid="{00000000-0005-0000-0000-0000C1990000}"/>
    <cellStyle name="Wrap 4 4 6 5 2" xfId="36318" xr:uid="{00000000-0005-0000-0000-0000C2990000}"/>
    <cellStyle name="Wrap 4 4 6 6" xfId="36319" xr:uid="{00000000-0005-0000-0000-0000C3990000}"/>
    <cellStyle name="Wrap 4 4 6 6 2" xfId="36320" xr:uid="{00000000-0005-0000-0000-0000C4990000}"/>
    <cellStyle name="Wrap 4 4 6 7" xfId="36321" xr:uid="{00000000-0005-0000-0000-0000C5990000}"/>
    <cellStyle name="Wrap 4 4 6 7 2" xfId="36322" xr:uid="{00000000-0005-0000-0000-0000C6990000}"/>
    <cellStyle name="Wrap 4 4 6 8" xfId="36323" xr:uid="{00000000-0005-0000-0000-0000C7990000}"/>
    <cellStyle name="Wrap 4 4 6 8 2" xfId="36324" xr:uid="{00000000-0005-0000-0000-0000C8990000}"/>
    <cellStyle name="Wrap 4 4 6 9" xfId="36325" xr:uid="{00000000-0005-0000-0000-0000C9990000}"/>
    <cellStyle name="Wrap 4 4 6 9 2" xfId="36326" xr:uid="{00000000-0005-0000-0000-0000CA990000}"/>
    <cellStyle name="Wrap 4 4 7" xfId="36327" xr:uid="{00000000-0005-0000-0000-0000CB990000}"/>
    <cellStyle name="Wrap 4 4 7 10" xfId="36328" xr:uid="{00000000-0005-0000-0000-0000CC990000}"/>
    <cellStyle name="Wrap 4 4 7 2" xfId="36329" xr:uid="{00000000-0005-0000-0000-0000CD990000}"/>
    <cellStyle name="Wrap 4 4 7 2 2" xfId="36330" xr:uid="{00000000-0005-0000-0000-0000CE990000}"/>
    <cellStyle name="Wrap 4 4 7 3" xfId="36331" xr:uid="{00000000-0005-0000-0000-0000CF990000}"/>
    <cellStyle name="Wrap 4 4 7 3 2" xfId="36332" xr:uid="{00000000-0005-0000-0000-0000D0990000}"/>
    <cellStyle name="Wrap 4 4 7 4" xfId="36333" xr:uid="{00000000-0005-0000-0000-0000D1990000}"/>
    <cellStyle name="Wrap 4 4 7 4 2" xfId="36334" xr:uid="{00000000-0005-0000-0000-0000D2990000}"/>
    <cellStyle name="Wrap 4 4 7 5" xfId="36335" xr:uid="{00000000-0005-0000-0000-0000D3990000}"/>
    <cellStyle name="Wrap 4 4 7 5 2" xfId="36336" xr:uid="{00000000-0005-0000-0000-0000D4990000}"/>
    <cellStyle name="Wrap 4 4 7 6" xfId="36337" xr:uid="{00000000-0005-0000-0000-0000D5990000}"/>
    <cellStyle name="Wrap 4 4 7 6 2" xfId="36338" xr:uid="{00000000-0005-0000-0000-0000D6990000}"/>
    <cellStyle name="Wrap 4 4 7 7" xfId="36339" xr:uid="{00000000-0005-0000-0000-0000D7990000}"/>
    <cellStyle name="Wrap 4 4 7 7 2" xfId="36340" xr:uid="{00000000-0005-0000-0000-0000D8990000}"/>
    <cellStyle name="Wrap 4 4 7 8" xfId="36341" xr:uid="{00000000-0005-0000-0000-0000D9990000}"/>
    <cellStyle name="Wrap 4 4 7 8 2" xfId="36342" xr:uid="{00000000-0005-0000-0000-0000DA990000}"/>
    <cellStyle name="Wrap 4 4 7 9" xfId="36343" xr:uid="{00000000-0005-0000-0000-0000DB990000}"/>
    <cellStyle name="Wrap 4 4 7 9 2" xfId="36344" xr:uid="{00000000-0005-0000-0000-0000DC990000}"/>
    <cellStyle name="Wrap 4 4 8" xfId="36345" xr:uid="{00000000-0005-0000-0000-0000DD990000}"/>
    <cellStyle name="Wrap 4 4 8 10" xfId="36346" xr:uid="{00000000-0005-0000-0000-0000DE990000}"/>
    <cellStyle name="Wrap 4 4 8 2" xfId="36347" xr:uid="{00000000-0005-0000-0000-0000DF990000}"/>
    <cellStyle name="Wrap 4 4 8 2 2" xfId="36348" xr:uid="{00000000-0005-0000-0000-0000E0990000}"/>
    <cellStyle name="Wrap 4 4 8 3" xfId="36349" xr:uid="{00000000-0005-0000-0000-0000E1990000}"/>
    <cellStyle name="Wrap 4 4 8 3 2" xfId="36350" xr:uid="{00000000-0005-0000-0000-0000E2990000}"/>
    <cellStyle name="Wrap 4 4 8 4" xfId="36351" xr:uid="{00000000-0005-0000-0000-0000E3990000}"/>
    <cellStyle name="Wrap 4 4 8 4 2" xfId="36352" xr:uid="{00000000-0005-0000-0000-0000E4990000}"/>
    <cellStyle name="Wrap 4 4 8 5" xfId="36353" xr:uid="{00000000-0005-0000-0000-0000E5990000}"/>
    <cellStyle name="Wrap 4 4 8 5 2" xfId="36354" xr:uid="{00000000-0005-0000-0000-0000E6990000}"/>
    <cellStyle name="Wrap 4 4 8 6" xfId="36355" xr:uid="{00000000-0005-0000-0000-0000E7990000}"/>
    <cellStyle name="Wrap 4 4 8 6 2" xfId="36356" xr:uid="{00000000-0005-0000-0000-0000E8990000}"/>
    <cellStyle name="Wrap 4 4 8 7" xfId="36357" xr:uid="{00000000-0005-0000-0000-0000E9990000}"/>
    <cellStyle name="Wrap 4 4 8 7 2" xfId="36358" xr:uid="{00000000-0005-0000-0000-0000EA990000}"/>
    <cellStyle name="Wrap 4 4 8 8" xfId="36359" xr:uid="{00000000-0005-0000-0000-0000EB990000}"/>
    <cellStyle name="Wrap 4 4 8 8 2" xfId="36360" xr:uid="{00000000-0005-0000-0000-0000EC990000}"/>
    <cellStyle name="Wrap 4 4 8 9" xfId="36361" xr:uid="{00000000-0005-0000-0000-0000ED990000}"/>
    <cellStyle name="Wrap 4 4 8 9 2" xfId="36362" xr:uid="{00000000-0005-0000-0000-0000EE990000}"/>
    <cellStyle name="Wrap 4 4 9" xfId="36363" xr:uid="{00000000-0005-0000-0000-0000EF990000}"/>
    <cellStyle name="Wrap 4 4 9 10" xfId="36364" xr:uid="{00000000-0005-0000-0000-0000F0990000}"/>
    <cellStyle name="Wrap 4 4 9 2" xfId="36365" xr:uid="{00000000-0005-0000-0000-0000F1990000}"/>
    <cellStyle name="Wrap 4 4 9 2 2" xfId="36366" xr:uid="{00000000-0005-0000-0000-0000F2990000}"/>
    <cellStyle name="Wrap 4 4 9 3" xfId="36367" xr:uid="{00000000-0005-0000-0000-0000F3990000}"/>
    <cellStyle name="Wrap 4 4 9 3 2" xfId="36368" xr:uid="{00000000-0005-0000-0000-0000F4990000}"/>
    <cellStyle name="Wrap 4 4 9 4" xfId="36369" xr:uid="{00000000-0005-0000-0000-0000F5990000}"/>
    <cellStyle name="Wrap 4 4 9 4 2" xfId="36370" xr:uid="{00000000-0005-0000-0000-0000F6990000}"/>
    <cellStyle name="Wrap 4 4 9 5" xfId="36371" xr:uid="{00000000-0005-0000-0000-0000F7990000}"/>
    <cellStyle name="Wrap 4 4 9 5 2" xfId="36372" xr:uid="{00000000-0005-0000-0000-0000F8990000}"/>
    <cellStyle name="Wrap 4 4 9 6" xfId="36373" xr:uid="{00000000-0005-0000-0000-0000F9990000}"/>
    <cellStyle name="Wrap 4 4 9 6 2" xfId="36374" xr:uid="{00000000-0005-0000-0000-0000FA990000}"/>
    <cellStyle name="Wrap 4 4 9 7" xfId="36375" xr:uid="{00000000-0005-0000-0000-0000FB990000}"/>
    <cellStyle name="Wrap 4 4 9 7 2" xfId="36376" xr:uid="{00000000-0005-0000-0000-0000FC990000}"/>
    <cellStyle name="Wrap 4 4 9 8" xfId="36377" xr:uid="{00000000-0005-0000-0000-0000FD990000}"/>
    <cellStyle name="Wrap 4 4 9 8 2" xfId="36378" xr:uid="{00000000-0005-0000-0000-0000FE990000}"/>
    <cellStyle name="Wrap 4 4 9 9" xfId="36379" xr:uid="{00000000-0005-0000-0000-0000FF990000}"/>
    <cellStyle name="Wrap 4 4 9 9 2" xfId="36380" xr:uid="{00000000-0005-0000-0000-0000009A0000}"/>
    <cellStyle name="Wrap 4 5" xfId="36381" xr:uid="{00000000-0005-0000-0000-0000019A0000}"/>
    <cellStyle name="Wrap 4 5 10" xfId="36382" xr:uid="{00000000-0005-0000-0000-0000029A0000}"/>
    <cellStyle name="Wrap 4 5 10 2" xfId="36383" xr:uid="{00000000-0005-0000-0000-0000039A0000}"/>
    <cellStyle name="Wrap 4 5 10 2 2" xfId="36384" xr:uid="{00000000-0005-0000-0000-0000049A0000}"/>
    <cellStyle name="Wrap 4 5 10 3" xfId="36385" xr:uid="{00000000-0005-0000-0000-0000059A0000}"/>
    <cellStyle name="Wrap 4 5 10 3 2" xfId="36386" xr:uid="{00000000-0005-0000-0000-0000069A0000}"/>
    <cellStyle name="Wrap 4 5 10 4" xfId="36387" xr:uid="{00000000-0005-0000-0000-0000079A0000}"/>
    <cellStyle name="Wrap 4 5 10 4 2" xfId="36388" xr:uid="{00000000-0005-0000-0000-0000089A0000}"/>
    <cellStyle name="Wrap 4 5 10 5" xfId="36389" xr:uid="{00000000-0005-0000-0000-0000099A0000}"/>
    <cellStyle name="Wrap 4 5 10 5 2" xfId="36390" xr:uid="{00000000-0005-0000-0000-00000A9A0000}"/>
    <cellStyle name="Wrap 4 5 10 6" xfId="36391" xr:uid="{00000000-0005-0000-0000-00000B9A0000}"/>
    <cellStyle name="Wrap 4 5 10 6 2" xfId="36392" xr:uid="{00000000-0005-0000-0000-00000C9A0000}"/>
    <cellStyle name="Wrap 4 5 10 7" xfId="36393" xr:uid="{00000000-0005-0000-0000-00000D9A0000}"/>
    <cellStyle name="Wrap 4 5 10 7 2" xfId="36394" xr:uid="{00000000-0005-0000-0000-00000E9A0000}"/>
    <cellStyle name="Wrap 4 5 10 8" xfId="36395" xr:uid="{00000000-0005-0000-0000-00000F9A0000}"/>
    <cellStyle name="Wrap 4 5 10 8 2" xfId="36396" xr:uid="{00000000-0005-0000-0000-0000109A0000}"/>
    <cellStyle name="Wrap 4 5 10 9" xfId="36397" xr:uid="{00000000-0005-0000-0000-0000119A0000}"/>
    <cellStyle name="Wrap 4 5 11" xfId="36398" xr:uid="{00000000-0005-0000-0000-0000129A0000}"/>
    <cellStyle name="Wrap 4 5 11 2" xfId="36399" xr:uid="{00000000-0005-0000-0000-0000139A0000}"/>
    <cellStyle name="Wrap 4 5 12" xfId="36400" xr:uid="{00000000-0005-0000-0000-0000149A0000}"/>
    <cellStyle name="Wrap 4 5 12 2" xfId="36401" xr:uid="{00000000-0005-0000-0000-0000159A0000}"/>
    <cellStyle name="Wrap 4 5 13" xfId="36402" xr:uid="{00000000-0005-0000-0000-0000169A0000}"/>
    <cellStyle name="Wrap 4 5 13 2" xfId="36403" xr:uid="{00000000-0005-0000-0000-0000179A0000}"/>
    <cellStyle name="Wrap 4 5 14" xfId="36404" xr:uid="{00000000-0005-0000-0000-0000189A0000}"/>
    <cellStyle name="Wrap 4 5 14 2" xfId="36405" xr:uid="{00000000-0005-0000-0000-0000199A0000}"/>
    <cellStyle name="Wrap 4 5 15" xfId="36406" xr:uid="{00000000-0005-0000-0000-00001A9A0000}"/>
    <cellStyle name="Wrap 4 5 15 2" xfId="36407" xr:uid="{00000000-0005-0000-0000-00001B9A0000}"/>
    <cellStyle name="Wrap 4 5 16" xfId="36408" xr:uid="{00000000-0005-0000-0000-00001C9A0000}"/>
    <cellStyle name="Wrap 4 5 16 2" xfId="36409" xr:uid="{00000000-0005-0000-0000-00001D9A0000}"/>
    <cellStyle name="Wrap 4 5 17" xfId="36410" xr:uid="{00000000-0005-0000-0000-00001E9A0000}"/>
    <cellStyle name="Wrap 4 5 17 2" xfId="36411" xr:uid="{00000000-0005-0000-0000-00001F9A0000}"/>
    <cellStyle name="Wrap 4 5 18" xfId="36412" xr:uid="{00000000-0005-0000-0000-0000209A0000}"/>
    <cellStyle name="Wrap 4 5 2" xfId="36413" xr:uid="{00000000-0005-0000-0000-0000219A0000}"/>
    <cellStyle name="Wrap 4 5 2 10" xfId="36414" xr:uid="{00000000-0005-0000-0000-0000229A0000}"/>
    <cellStyle name="Wrap 4 5 2 2" xfId="36415" xr:uid="{00000000-0005-0000-0000-0000239A0000}"/>
    <cellStyle name="Wrap 4 5 2 2 2" xfId="36416" xr:uid="{00000000-0005-0000-0000-0000249A0000}"/>
    <cellStyle name="Wrap 4 5 2 3" xfId="36417" xr:uid="{00000000-0005-0000-0000-0000259A0000}"/>
    <cellStyle name="Wrap 4 5 2 3 2" xfId="36418" xr:uid="{00000000-0005-0000-0000-0000269A0000}"/>
    <cellStyle name="Wrap 4 5 2 4" xfId="36419" xr:uid="{00000000-0005-0000-0000-0000279A0000}"/>
    <cellStyle name="Wrap 4 5 2 4 2" xfId="36420" xr:uid="{00000000-0005-0000-0000-0000289A0000}"/>
    <cellStyle name="Wrap 4 5 2 5" xfId="36421" xr:uid="{00000000-0005-0000-0000-0000299A0000}"/>
    <cellStyle name="Wrap 4 5 2 5 2" xfId="36422" xr:uid="{00000000-0005-0000-0000-00002A9A0000}"/>
    <cellStyle name="Wrap 4 5 2 6" xfId="36423" xr:uid="{00000000-0005-0000-0000-00002B9A0000}"/>
    <cellStyle name="Wrap 4 5 2 6 2" xfId="36424" xr:uid="{00000000-0005-0000-0000-00002C9A0000}"/>
    <cellStyle name="Wrap 4 5 2 7" xfId="36425" xr:uid="{00000000-0005-0000-0000-00002D9A0000}"/>
    <cellStyle name="Wrap 4 5 2 7 2" xfId="36426" xr:uid="{00000000-0005-0000-0000-00002E9A0000}"/>
    <cellStyle name="Wrap 4 5 2 8" xfId="36427" xr:uid="{00000000-0005-0000-0000-00002F9A0000}"/>
    <cellStyle name="Wrap 4 5 2 8 2" xfId="36428" xr:uid="{00000000-0005-0000-0000-0000309A0000}"/>
    <cellStyle name="Wrap 4 5 2 9" xfId="36429" xr:uid="{00000000-0005-0000-0000-0000319A0000}"/>
    <cellStyle name="Wrap 4 5 2 9 2" xfId="36430" xr:uid="{00000000-0005-0000-0000-0000329A0000}"/>
    <cellStyle name="Wrap 4 5 3" xfId="36431" xr:uid="{00000000-0005-0000-0000-0000339A0000}"/>
    <cellStyle name="Wrap 4 5 3 10" xfId="36432" xr:uid="{00000000-0005-0000-0000-0000349A0000}"/>
    <cellStyle name="Wrap 4 5 3 2" xfId="36433" xr:uid="{00000000-0005-0000-0000-0000359A0000}"/>
    <cellStyle name="Wrap 4 5 3 2 2" xfId="36434" xr:uid="{00000000-0005-0000-0000-0000369A0000}"/>
    <cellStyle name="Wrap 4 5 3 3" xfId="36435" xr:uid="{00000000-0005-0000-0000-0000379A0000}"/>
    <cellStyle name="Wrap 4 5 3 3 2" xfId="36436" xr:uid="{00000000-0005-0000-0000-0000389A0000}"/>
    <cellStyle name="Wrap 4 5 3 4" xfId="36437" xr:uid="{00000000-0005-0000-0000-0000399A0000}"/>
    <cellStyle name="Wrap 4 5 3 4 2" xfId="36438" xr:uid="{00000000-0005-0000-0000-00003A9A0000}"/>
    <cellStyle name="Wrap 4 5 3 5" xfId="36439" xr:uid="{00000000-0005-0000-0000-00003B9A0000}"/>
    <cellStyle name="Wrap 4 5 3 5 2" xfId="36440" xr:uid="{00000000-0005-0000-0000-00003C9A0000}"/>
    <cellStyle name="Wrap 4 5 3 6" xfId="36441" xr:uid="{00000000-0005-0000-0000-00003D9A0000}"/>
    <cellStyle name="Wrap 4 5 3 6 2" xfId="36442" xr:uid="{00000000-0005-0000-0000-00003E9A0000}"/>
    <cellStyle name="Wrap 4 5 3 7" xfId="36443" xr:uid="{00000000-0005-0000-0000-00003F9A0000}"/>
    <cellStyle name="Wrap 4 5 3 7 2" xfId="36444" xr:uid="{00000000-0005-0000-0000-0000409A0000}"/>
    <cellStyle name="Wrap 4 5 3 8" xfId="36445" xr:uid="{00000000-0005-0000-0000-0000419A0000}"/>
    <cellStyle name="Wrap 4 5 3 8 2" xfId="36446" xr:uid="{00000000-0005-0000-0000-0000429A0000}"/>
    <cellStyle name="Wrap 4 5 3 9" xfId="36447" xr:uid="{00000000-0005-0000-0000-0000439A0000}"/>
    <cellStyle name="Wrap 4 5 3 9 2" xfId="36448" xr:uid="{00000000-0005-0000-0000-0000449A0000}"/>
    <cellStyle name="Wrap 4 5 4" xfId="36449" xr:uid="{00000000-0005-0000-0000-0000459A0000}"/>
    <cellStyle name="Wrap 4 5 4 10" xfId="36450" xr:uid="{00000000-0005-0000-0000-0000469A0000}"/>
    <cellStyle name="Wrap 4 5 4 2" xfId="36451" xr:uid="{00000000-0005-0000-0000-0000479A0000}"/>
    <cellStyle name="Wrap 4 5 4 2 2" xfId="36452" xr:uid="{00000000-0005-0000-0000-0000489A0000}"/>
    <cellStyle name="Wrap 4 5 4 3" xfId="36453" xr:uid="{00000000-0005-0000-0000-0000499A0000}"/>
    <cellStyle name="Wrap 4 5 4 3 2" xfId="36454" xr:uid="{00000000-0005-0000-0000-00004A9A0000}"/>
    <cellStyle name="Wrap 4 5 4 4" xfId="36455" xr:uid="{00000000-0005-0000-0000-00004B9A0000}"/>
    <cellStyle name="Wrap 4 5 4 4 2" xfId="36456" xr:uid="{00000000-0005-0000-0000-00004C9A0000}"/>
    <cellStyle name="Wrap 4 5 4 5" xfId="36457" xr:uid="{00000000-0005-0000-0000-00004D9A0000}"/>
    <cellStyle name="Wrap 4 5 4 5 2" xfId="36458" xr:uid="{00000000-0005-0000-0000-00004E9A0000}"/>
    <cellStyle name="Wrap 4 5 4 6" xfId="36459" xr:uid="{00000000-0005-0000-0000-00004F9A0000}"/>
    <cellStyle name="Wrap 4 5 4 6 2" xfId="36460" xr:uid="{00000000-0005-0000-0000-0000509A0000}"/>
    <cellStyle name="Wrap 4 5 4 7" xfId="36461" xr:uid="{00000000-0005-0000-0000-0000519A0000}"/>
    <cellStyle name="Wrap 4 5 4 7 2" xfId="36462" xr:uid="{00000000-0005-0000-0000-0000529A0000}"/>
    <cellStyle name="Wrap 4 5 4 8" xfId="36463" xr:uid="{00000000-0005-0000-0000-0000539A0000}"/>
    <cellStyle name="Wrap 4 5 4 8 2" xfId="36464" xr:uid="{00000000-0005-0000-0000-0000549A0000}"/>
    <cellStyle name="Wrap 4 5 4 9" xfId="36465" xr:uid="{00000000-0005-0000-0000-0000559A0000}"/>
    <cellStyle name="Wrap 4 5 4 9 2" xfId="36466" xr:uid="{00000000-0005-0000-0000-0000569A0000}"/>
    <cellStyle name="Wrap 4 5 5" xfId="36467" xr:uid="{00000000-0005-0000-0000-0000579A0000}"/>
    <cellStyle name="Wrap 4 5 5 10" xfId="36468" xr:uid="{00000000-0005-0000-0000-0000589A0000}"/>
    <cellStyle name="Wrap 4 5 5 2" xfId="36469" xr:uid="{00000000-0005-0000-0000-0000599A0000}"/>
    <cellStyle name="Wrap 4 5 5 2 2" xfId="36470" xr:uid="{00000000-0005-0000-0000-00005A9A0000}"/>
    <cellStyle name="Wrap 4 5 5 3" xfId="36471" xr:uid="{00000000-0005-0000-0000-00005B9A0000}"/>
    <cellStyle name="Wrap 4 5 5 3 2" xfId="36472" xr:uid="{00000000-0005-0000-0000-00005C9A0000}"/>
    <cellStyle name="Wrap 4 5 5 4" xfId="36473" xr:uid="{00000000-0005-0000-0000-00005D9A0000}"/>
    <cellStyle name="Wrap 4 5 5 4 2" xfId="36474" xr:uid="{00000000-0005-0000-0000-00005E9A0000}"/>
    <cellStyle name="Wrap 4 5 5 5" xfId="36475" xr:uid="{00000000-0005-0000-0000-00005F9A0000}"/>
    <cellStyle name="Wrap 4 5 5 5 2" xfId="36476" xr:uid="{00000000-0005-0000-0000-0000609A0000}"/>
    <cellStyle name="Wrap 4 5 5 6" xfId="36477" xr:uid="{00000000-0005-0000-0000-0000619A0000}"/>
    <cellStyle name="Wrap 4 5 5 6 2" xfId="36478" xr:uid="{00000000-0005-0000-0000-0000629A0000}"/>
    <cellStyle name="Wrap 4 5 5 7" xfId="36479" xr:uid="{00000000-0005-0000-0000-0000639A0000}"/>
    <cellStyle name="Wrap 4 5 5 7 2" xfId="36480" xr:uid="{00000000-0005-0000-0000-0000649A0000}"/>
    <cellStyle name="Wrap 4 5 5 8" xfId="36481" xr:uid="{00000000-0005-0000-0000-0000659A0000}"/>
    <cellStyle name="Wrap 4 5 5 8 2" xfId="36482" xr:uid="{00000000-0005-0000-0000-0000669A0000}"/>
    <cellStyle name="Wrap 4 5 5 9" xfId="36483" xr:uid="{00000000-0005-0000-0000-0000679A0000}"/>
    <cellStyle name="Wrap 4 5 5 9 2" xfId="36484" xr:uid="{00000000-0005-0000-0000-0000689A0000}"/>
    <cellStyle name="Wrap 4 5 6" xfId="36485" xr:uid="{00000000-0005-0000-0000-0000699A0000}"/>
    <cellStyle name="Wrap 4 5 6 10" xfId="36486" xr:uid="{00000000-0005-0000-0000-00006A9A0000}"/>
    <cellStyle name="Wrap 4 5 6 2" xfId="36487" xr:uid="{00000000-0005-0000-0000-00006B9A0000}"/>
    <cellStyle name="Wrap 4 5 6 2 2" xfId="36488" xr:uid="{00000000-0005-0000-0000-00006C9A0000}"/>
    <cellStyle name="Wrap 4 5 6 3" xfId="36489" xr:uid="{00000000-0005-0000-0000-00006D9A0000}"/>
    <cellStyle name="Wrap 4 5 6 3 2" xfId="36490" xr:uid="{00000000-0005-0000-0000-00006E9A0000}"/>
    <cellStyle name="Wrap 4 5 6 4" xfId="36491" xr:uid="{00000000-0005-0000-0000-00006F9A0000}"/>
    <cellStyle name="Wrap 4 5 6 4 2" xfId="36492" xr:uid="{00000000-0005-0000-0000-0000709A0000}"/>
    <cellStyle name="Wrap 4 5 6 5" xfId="36493" xr:uid="{00000000-0005-0000-0000-0000719A0000}"/>
    <cellStyle name="Wrap 4 5 6 5 2" xfId="36494" xr:uid="{00000000-0005-0000-0000-0000729A0000}"/>
    <cellStyle name="Wrap 4 5 6 6" xfId="36495" xr:uid="{00000000-0005-0000-0000-0000739A0000}"/>
    <cellStyle name="Wrap 4 5 6 6 2" xfId="36496" xr:uid="{00000000-0005-0000-0000-0000749A0000}"/>
    <cellStyle name="Wrap 4 5 6 7" xfId="36497" xr:uid="{00000000-0005-0000-0000-0000759A0000}"/>
    <cellStyle name="Wrap 4 5 6 7 2" xfId="36498" xr:uid="{00000000-0005-0000-0000-0000769A0000}"/>
    <cellStyle name="Wrap 4 5 6 8" xfId="36499" xr:uid="{00000000-0005-0000-0000-0000779A0000}"/>
    <cellStyle name="Wrap 4 5 6 8 2" xfId="36500" xr:uid="{00000000-0005-0000-0000-0000789A0000}"/>
    <cellStyle name="Wrap 4 5 6 9" xfId="36501" xr:uid="{00000000-0005-0000-0000-0000799A0000}"/>
    <cellStyle name="Wrap 4 5 6 9 2" xfId="36502" xr:uid="{00000000-0005-0000-0000-00007A9A0000}"/>
    <cellStyle name="Wrap 4 5 7" xfId="36503" xr:uid="{00000000-0005-0000-0000-00007B9A0000}"/>
    <cellStyle name="Wrap 4 5 7 10" xfId="36504" xr:uid="{00000000-0005-0000-0000-00007C9A0000}"/>
    <cellStyle name="Wrap 4 5 7 2" xfId="36505" xr:uid="{00000000-0005-0000-0000-00007D9A0000}"/>
    <cellStyle name="Wrap 4 5 7 2 2" xfId="36506" xr:uid="{00000000-0005-0000-0000-00007E9A0000}"/>
    <cellStyle name="Wrap 4 5 7 3" xfId="36507" xr:uid="{00000000-0005-0000-0000-00007F9A0000}"/>
    <cellStyle name="Wrap 4 5 7 3 2" xfId="36508" xr:uid="{00000000-0005-0000-0000-0000809A0000}"/>
    <cellStyle name="Wrap 4 5 7 4" xfId="36509" xr:uid="{00000000-0005-0000-0000-0000819A0000}"/>
    <cellStyle name="Wrap 4 5 7 4 2" xfId="36510" xr:uid="{00000000-0005-0000-0000-0000829A0000}"/>
    <cellStyle name="Wrap 4 5 7 5" xfId="36511" xr:uid="{00000000-0005-0000-0000-0000839A0000}"/>
    <cellStyle name="Wrap 4 5 7 5 2" xfId="36512" xr:uid="{00000000-0005-0000-0000-0000849A0000}"/>
    <cellStyle name="Wrap 4 5 7 6" xfId="36513" xr:uid="{00000000-0005-0000-0000-0000859A0000}"/>
    <cellStyle name="Wrap 4 5 7 6 2" xfId="36514" xr:uid="{00000000-0005-0000-0000-0000869A0000}"/>
    <cellStyle name="Wrap 4 5 7 7" xfId="36515" xr:uid="{00000000-0005-0000-0000-0000879A0000}"/>
    <cellStyle name="Wrap 4 5 7 7 2" xfId="36516" xr:uid="{00000000-0005-0000-0000-0000889A0000}"/>
    <cellStyle name="Wrap 4 5 7 8" xfId="36517" xr:uid="{00000000-0005-0000-0000-0000899A0000}"/>
    <cellStyle name="Wrap 4 5 7 8 2" xfId="36518" xr:uid="{00000000-0005-0000-0000-00008A9A0000}"/>
    <cellStyle name="Wrap 4 5 7 9" xfId="36519" xr:uid="{00000000-0005-0000-0000-00008B9A0000}"/>
    <cellStyle name="Wrap 4 5 7 9 2" xfId="36520" xr:uid="{00000000-0005-0000-0000-00008C9A0000}"/>
    <cellStyle name="Wrap 4 5 8" xfId="36521" xr:uid="{00000000-0005-0000-0000-00008D9A0000}"/>
    <cellStyle name="Wrap 4 5 8 10" xfId="36522" xr:uid="{00000000-0005-0000-0000-00008E9A0000}"/>
    <cellStyle name="Wrap 4 5 8 2" xfId="36523" xr:uid="{00000000-0005-0000-0000-00008F9A0000}"/>
    <cellStyle name="Wrap 4 5 8 2 2" xfId="36524" xr:uid="{00000000-0005-0000-0000-0000909A0000}"/>
    <cellStyle name="Wrap 4 5 8 3" xfId="36525" xr:uid="{00000000-0005-0000-0000-0000919A0000}"/>
    <cellStyle name="Wrap 4 5 8 3 2" xfId="36526" xr:uid="{00000000-0005-0000-0000-0000929A0000}"/>
    <cellStyle name="Wrap 4 5 8 4" xfId="36527" xr:uid="{00000000-0005-0000-0000-0000939A0000}"/>
    <cellStyle name="Wrap 4 5 8 4 2" xfId="36528" xr:uid="{00000000-0005-0000-0000-0000949A0000}"/>
    <cellStyle name="Wrap 4 5 8 5" xfId="36529" xr:uid="{00000000-0005-0000-0000-0000959A0000}"/>
    <cellStyle name="Wrap 4 5 8 5 2" xfId="36530" xr:uid="{00000000-0005-0000-0000-0000969A0000}"/>
    <cellStyle name="Wrap 4 5 8 6" xfId="36531" xr:uid="{00000000-0005-0000-0000-0000979A0000}"/>
    <cellStyle name="Wrap 4 5 8 6 2" xfId="36532" xr:uid="{00000000-0005-0000-0000-0000989A0000}"/>
    <cellStyle name="Wrap 4 5 8 7" xfId="36533" xr:uid="{00000000-0005-0000-0000-0000999A0000}"/>
    <cellStyle name="Wrap 4 5 8 7 2" xfId="36534" xr:uid="{00000000-0005-0000-0000-00009A9A0000}"/>
    <cellStyle name="Wrap 4 5 8 8" xfId="36535" xr:uid="{00000000-0005-0000-0000-00009B9A0000}"/>
    <cellStyle name="Wrap 4 5 8 8 2" xfId="36536" xr:uid="{00000000-0005-0000-0000-00009C9A0000}"/>
    <cellStyle name="Wrap 4 5 8 9" xfId="36537" xr:uid="{00000000-0005-0000-0000-00009D9A0000}"/>
    <cellStyle name="Wrap 4 5 8 9 2" xfId="36538" xr:uid="{00000000-0005-0000-0000-00009E9A0000}"/>
    <cellStyle name="Wrap 4 5 9" xfId="36539" xr:uid="{00000000-0005-0000-0000-00009F9A0000}"/>
    <cellStyle name="Wrap 4 5 9 10" xfId="36540" xr:uid="{00000000-0005-0000-0000-0000A09A0000}"/>
    <cellStyle name="Wrap 4 5 9 2" xfId="36541" xr:uid="{00000000-0005-0000-0000-0000A19A0000}"/>
    <cellStyle name="Wrap 4 5 9 2 2" xfId="36542" xr:uid="{00000000-0005-0000-0000-0000A29A0000}"/>
    <cellStyle name="Wrap 4 5 9 3" xfId="36543" xr:uid="{00000000-0005-0000-0000-0000A39A0000}"/>
    <cellStyle name="Wrap 4 5 9 3 2" xfId="36544" xr:uid="{00000000-0005-0000-0000-0000A49A0000}"/>
    <cellStyle name="Wrap 4 5 9 4" xfId="36545" xr:uid="{00000000-0005-0000-0000-0000A59A0000}"/>
    <cellStyle name="Wrap 4 5 9 4 2" xfId="36546" xr:uid="{00000000-0005-0000-0000-0000A69A0000}"/>
    <cellStyle name="Wrap 4 5 9 5" xfId="36547" xr:uid="{00000000-0005-0000-0000-0000A79A0000}"/>
    <cellStyle name="Wrap 4 5 9 5 2" xfId="36548" xr:uid="{00000000-0005-0000-0000-0000A89A0000}"/>
    <cellStyle name="Wrap 4 5 9 6" xfId="36549" xr:uid="{00000000-0005-0000-0000-0000A99A0000}"/>
    <cellStyle name="Wrap 4 5 9 6 2" xfId="36550" xr:uid="{00000000-0005-0000-0000-0000AA9A0000}"/>
    <cellStyle name="Wrap 4 5 9 7" xfId="36551" xr:uid="{00000000-0005-0000-0000-0000AB9A0000}"/>
    <cellStyle name="Wrap 4 5 9 7 2" xfId="36552" xr:uid="{00000000-0005-0000-0000-0000AC9A0000}"/>
    <cellStyle name="Wrap 4 5 9 8" xfId="36553" xr:uid="{00000000-0005-0000-0000-0000AD9A0000}"/>
    <cellStyle name="Wrap 4 5 9 8 2" xfId="36554" xr:uid="{00000000-0005-0000-0000-0000AE9A0000}"/>
    <cellStyle name="Wrap 4 5 9 9" xfId="36555" xr:uid="{00000000-0005-0000-0000-0000AF9A0000}"/>
    <cellStyle name="Wrap 4 5 9 9 2" xfId="36556" xr:uid="{00000000-0005-0000-0000-0000B09A0000}"/>
    <cellStyle name="Wrap 4 6" xfId="36557" xr:uid="{00000000-0005-0000-0000-0000B19A0000}"/>
    <cellStyle name="Wrap 4 6 10" xfId="36558" xr:uid="{00000000-0005-0000-0000-0000B29A0000}"/>
    <cellStyle name="Wrap 4 6 10 2" xfId="36559" xr:uid="{00000000-0005-0000-0000-0000B39A0000}"/>
    <cellStyle name="Wrap 4 6 10 2 2" xfId="36560" xr:uid="{00000000-0005-0000-0000-0000B49A0000}"/>
    <cellStyle name="Wrap 4 6 10 3" xfId="36561" xr:uid="{00000000-0005-0000-0000-0000B59A0000}"/>
    <cellStyle name="Wrap 4 6 10 3 2" xfId="36562" xr:uid="{00000000-0005-0000-0000-0000B69A0000}"/>
    <cellStyle name="Wrap 4 6 10 4" xfId="36563" xr:uid="{00000000-0005-0000-0000-0000B79A0000}"/>
    <cellStyle name="Wrap 4 6 10 4 2" xfId="36564" xr:uid="{00000000-0005-0000-0000-0000B89A0000}"/>
    <cellStyle name="Wrap 4 6 10 5" xfId="36565" xr:uid="{00000000-0005-0000-0000-0000B99A0000}"/>
    <cellStyle name="Wrap 4 6 10 5 2" xfId="36566" xr:uid="{00000000-0005-0000-0000-0000BA9A0000}"/>
    <cellStyle name="Wrap 4 6 10 6" xfId="36567" xr:uid="{00000000-0005-0000-0000-0000BB9A0000}"/>
    <cellStyle name="Wrap 4 6 10 6 2" xfId="36568" xr:uid="{00000000-0005-0000-0000-0000BC9A0000}"/>
    <cellStyle name="Wrap 4 6 10 7" xfId="36569" xr:uid="{00000000-0005-0000-0000-0000BD9A0000}"/>
    <cellStyle name="Wrap 4 6 10 7 2" xfId="36570" xr:uid="{00000000-0005-0000-0000-0000BE9A0000}"/>
    <cellStyle name="Wrap 4 6 10 8" xfId="36571" xr:uid="{00000000-0005-0000-0000-0000BF9A0000}"/>
    <cellStyle name="Wrap 4 6 10 8 2" xfId="36572" xr:uid="{00000000-0005-0000-0000-0000C09A0000}"/>
    <cellStyle name="Wrap 4 6 10 9" xfId="36573" xr:uid="{00000000-0005-0000-0000-0000C19A0000}"/>
    <cellStyle name="Wrap 4 6 11" xfId="36574" xr:uid="{00000000-0005-0000-0000-0000C29A0000}"/>
    <cellStyle name="Wrap 4 6 11 2" xfId="36575" xr:uid="{00000000-0005-0000-0000-0000C39A0000}"/>
    <cellStyle name="Wrap 4 6 12" xfId="36576" xr:uid="{00000000-0005-0000-0000-0000C49A0000}"/>
    <cellStyle name="Wrap 4 6 12 2" xfId="36577" xr:uid="{00000000-0005-0000-0000-0000C59A0000}"/>
    <cellStyle name="Wrap 4 6 13" xfId="36578" xr:uid="{00000000-0005-0000-0000-0000C69A0000}"/>
    <cellStyle name="Wrap 4 6 13 2" xfId="36579" xr:uid="{00000000-0005-0000-0000-0000C79A0000}"/>
    <cellStyle name="Wrap 4 6 14" xfId="36580" xr:uid="{00000000-0005-0000-0000-0000C89A0000}"/>
    <cellStyle name="Wrap 4 6 14 2" xfId="36581" xr:uid="{00000000-0005-0000-0000-0000C99A0000}"/>
    <cellStyle name="Wrap 4 6 15" xfId="36582" xr:uid="{00000000-0005-0000-0000-0000CA9A0000}"/>
    <cellStyle name="Wrap 4 6 15 2" xfId="36583" xr:uid="{00000000-0005-0000-0000-0000CB9A0000}"/>
    <cellStyle name="Wrap 4 6 16" xfId="36584" xr:uid="{00000000-0005-0000-0000-0000CC9A0000}"/>
    <cellStyle name="Wrap 4 6 16 2" xfId="36585" xr:uid="{00000000-0005-0000-0000-0000CD9A0000}"/>
    <cellStyle name="Wrap 4 6 17" xfId="36586" xr:uid="{00000000-0005-0000-0000-0000CE9A0000}"/>
    <cellStyle name="Wrap 4 6 17 2" xfId="36587" xr:uid="{00000000-0005-0000-0000-0000CF9A0000}"/>
    <cellStyle name="Wrap 4 6 18" xfId="36588" xr:uid="{00000000-0005-0000-0000-0000D09A0000}"/>
    <cellStyle name="Wrap 4 6 2" xfId="36589" xr:uid="{00000000-0005-0000-0000-0000D19A0000}"/>
    <cellStyle name="Wrap 4 6 2 10" xfId="36590" xr:uid="{00000000-0005-0000-0000-0000D29A0000}"/>
    <cellStyle name="Wrap 4 6 2 2" xfId="36591" xr:uid="{00000000-0005-0000-0000-0000D39A0000}"/>
    <cellStyle name="Wrap 4 6 2 2 2" xfId="36592" xr:uid="{00000000-0005-0000-0000-0000D49A0000}"/>
    <cellStyle name="Wrap 4 6 2 3" xfId="36593" xr:uid="{00000000-0005-0000-0000-0000D59A0000}"/>
    <cellStyle name="Wrap 4 6 2 3 2" xfId="36594" xr:uid="{00000000-0005-0000-0000-0000D69A0000}"/>
    <cellStyle name="Wrap 4 6 2 4" xfId="36595" xr:uid="{00000000-0005-0000-0000-0000D79A0000}"/>
    <cellStyle name="Wrap 4 6 2 4 2" xfId="36596" xr:uid="{00000000-0005-0000-0000-0000D89A0000}"/>
    <cellStyle name="Wrap 4 6 2 5" xfId="36597" xr:uid="{00000000-0005-0000-0000-0000D99A0000}"/>
    <cellStyle name="Wrap 4 6 2 5 2" xfId="36598" xr:uid="{00000000-0005-0000-0000-0000DA9A0000}"/>
    <cellStyle name="Wrap 4 6 2 6" xfId="36599" xr:uid="{00000000-0005-0000-0000-0000DB9A0000}"/>
    <cellStyle name="Wrap 4 6 2 6 2" xfId="36600" xr:uid="{00000000-0005-0000-0000-0000DC9A0000}"/>
    <cellStyle name="Wrap 4 6 2 7" xfId="36601" xr:uid="{00000000-0005-0000-0000-0000DD9A0000}"/>
    <cellStyle name="Wrap 4 6 2 7 2" xfId="36602" xr:uid="{00000000-0005-0000-0000-0000DE9A0000}"/>
    <cellStyle name="Wrap 4 6 2 8" xfId="36603" xr:uid="{00000000-0005-0000-0000-0000DF9A0000}"/>
    <cellStyle name="Wrap 4 6 2 8 2" xfId="36604" xr:uid="{00000000-0005-0000-0000-0000E09A0000}"/>
    <cellStyle name="Wrap 4 6 2 9" xfId="36605" xr:uid="{00000000-0005-0000-0000-0000E19A0000}"/>
    <cellStyle name="Wrap 4 6 2 9 2" xfId="36606" xr:uid="{00000000-0005-0000-0000-0000E29A0000}"/>
    <cellStyle name="Wrap 4 6 3" xfId="36607" xr:uid="{00000000-0005-0000-0000-0000E39A0000}"/>
    <cellStyle name="Wrap 4 6 3 10" xfId="36608" xr:uid="{00000000-0005-0000-0000-0000E49A0000}"/>
    <cellStyle name="Wrap 4 6 3 2" xfId="36609" xr:uid="{00000000-0005-0000-0000-0000E59A0000}"/>
    <cellStyle name="Wrap 4 6 3 2 2" xfId="36610" xr:uid="{00000000-0005-0000-0000-0000E69A0000}"/>
    <cellStyle name="Wrap 4 6 3 3" xfId="36611" xr:uid="{00000000-0005-0000-0000-0000E79A0000}"/>
    <cellStyle name="Wrap 4 6 3 3 2" xfId="36612" xr:uid="{00000000-0005-0000-0000-0000E89A0000}"/>
    <cellStyle name="Wrap 4 6 3 4" xfId="36613" xr:uid="{00000000-0005-0000-0000-0000E99A0000}"/>
    <cellStyle name="Wrap 4 6 3 4 2" xfId="36614" xr:uid="{00000000-0005-0000-0000-0000EA9A0000}"/>
    <cellStyle name="Wrap 4 6 3 5" xfId="36615" xr:uid="{00000000-0005-0000-0000-0000EB9A0000}"/>
    <cellStyle name="Wrap 4 6 3 5 2" xfId="36616" xr:uid="{00000000-0005-0000-0000-0000EC9A0000}"/>
    <cellStyle name="Wrap 4 6 3 6" xfId="36617" xr:uid="{00000000-0005-0000-0000-0000ED9A0000}"/>
    <cellStyle name="Wrap 4 6 3 6 2" xfId="36618" xr:uid="{00000000-0005-0000-0000-0000EE9A0000}"/>
    <cellStyle name="Wrap 4 6 3 7" xfId="36619" xr:uid="{00000000-0005-0000-0000-0000EF9A0000}"/>
    <cellStyle name="Wrap 4 6 3 7 2" xfId="36620" xr:uid="{00000000-0005-0000-0000-0000F09A0000}"/>
    <cellStyle name="Wrap 4 6 3 8" xfId="36621" xr:uid="{00000000-0005-0000-0000-0000F19A0000}"/>
    <cellStyle name="Wrap 4 6 3 8 2" xfId="36622" xr:uid="{00000000-0005-0000-0000-0000F29A0000}"/>
    <cellStyle name="Wrap 4 6 3 9" xfId="36623" xr:uid="{00000000-0005-0000-0000-0000F39A0000}"/>
    <cellStyle name="Wrap 4 6 3 9 2" xfId="36624" xr:uid="{00000000-0005-0000-0000-0000F49A0000}"/>
    <cellStyle name="Wrap 4 6 4" xfId="36625" xr:uid="{00000000-0005-0000-0000-0000F59A0000}"/>
    <cellStyle name="Wrap 4 6 4 10" xfId="36626" xr:uid="{00000000-0005-0000-0000-0000F69A0000}"/>
    <cellStyle name="Wrap 4 6 4 2" xfId="36627" xr:uid="{00000000-0005-0000-0000-0000F79A0000}"/>
    <cellStyle name="Wrap 4 6 4 2 2" xfId="36628" xr:uid="{00000000-0005-0000-0000-0000F89A0000}"/>
    <cellStyle name="Wrap 4 6 4 3" xfId="36629" xr:uid="{00000000-0005-0000-0000-0000F99A0000}"/>
    <cellStyle name="Wrap 4 6 4 3 2" xfId="36630" xr:uid="{00000000-0005-0000-0000-0000FA9A0000}"/>
    <cellStyle name="Wrap 4 6 4 4" xfId="36631" xr:uid="{00000000-0005-0000-0000-0000FB9A0000}"/>
    <cellStyle name="Wrap 4 6 4 4 2" xfId="36632" xr:uid="{00000000-0005-0000-0000-0000FC9A0000}"/>
    <cellStyle name="Wrap 4 6 4 5" xfId="36633" xr:uid="{00000000-0005-0000-0000-0000FD9A0000}"/>
    <cellStyle name="Wrap 4 6 4 5 2" xfId="36634" xr:uid="{00000000-0005-0000-0000-0000FE9A0000}"/>
    <cellStyle name="Wrap 4 6 4 6" xfId="36635" xr:uid="{00000000-0005-0000-0000-0000FF9A0000}"/>
    <cellStyle name="Wrap 4 6 4 6 2" xfId="36636" xr:uid="{00000000-0005-0000-0000-0000009B0000}"/>
    <cellStyle name="Wrap 4 6 4 7" xfId="36637" xr:uid="{00000000-0005-0000-0000-0000019B0000}"/>
    <cellStyle name="Wrap 4 6 4 7 2" xfId="36638" xr:uid="{00000000-0005-0000-0000-0000029B0000}"/>
    <cellStyle name="Wrap 4 6 4 8" xfId="36639" xr:uid="{00000000-0005-0000-0000-0000039B0000}"/>
    <cellStyle name="Wrap 4 6 4 8 2" xfId="36640" xr:uid="{00000000-0005-0000-0000-0000049B0000}"/>
    <cellStyle name="Wrap 4 6 4 9" xfId="36641" xr:uid="{00000000-0005-0000-0000-0000059B0000}"/>
    <cellStyle name="Wrap 4 6 4 9 2" xfId="36642" xr:uid="{00000000-0005-0000-0000-0000069B0000}"/>
    <cellStyle name="Wrap 4 6 5" xfId="36643" xr:uid="{00000000-0005-0000-0000-0000079B0000}"/>
    <cellStyle name="Wrap 4 6 5 10" xfId="36644" xr:uid="{00000000-0005-0000-0000-0000089B0000}"/>
    <cellStyle name="Wrap 4 6 5 2" xfId="36645" xr:uid="{00000000-0005-0000-0000-0000099B0000}"/>
    <cellStyle name="Wrap 4 6 5 2 2" xfId="36646" xr:uid="{00000000-0005-0000-0000-00000A9B0000}"/>
    <cellStyle name="Wrap 4 6 5 3" xfId="36647" xr:uid="{00000000-0005-0000-0000-00000B9B0000}"/>
    <cellStyle name="Wrap 4 6 5 3 2" xfId="36648" xr:uid="{00000000-0005-0000-0000-00000C9B0000}"/>
    <cellStyle name="Wrap 4 6 5 4" xfId="36649" xr:uid="{00000000-0005-0000-0000-00000D9B0000}"/>
    <cellStyle name="Wrap 4 6 5 4 2" xfId="36650" xr:uid="{00000000-0005-0000-0000-00000E9B0000}"/>
    <cellStyle name="Wrap 4 6 5 5" xfId="36651" xr:uid="{00000000-0005-0000-0000-00000F9B0000}"/>
    <cellStyle name="Wrap 4 6 5 5 2" xfId="36652" xr:uid="{00000000-0005-0000-0000-0000109B0000}"/>
    <cellStyle name="Wrap 4 6 5 6" xfId="36653" xr:uid="{00000000-0005-0000-0000-0000119B0000}"/>
    <cellStyle name="Wrap 4 6 5 6 2" xfId="36654" xr:uid="{00000000-0005-0000-0000-0000129B0000}"/>
    <cellStyle name="Wrap 4 6 5 7" xfId="36655" xr:uid="{00000000-0005-0000-0000-0000139B0000}"/>
    <cellStyle name="Wrap 4 6 5 7 2" xfId="36656" xr:uid="{00000000-0005-0000-0000-0000149B0000}"/>
    <cellStyle name="Wrap 4 6 5 8" xfId="36657" xr:uid="{00000000-0005-0000-0000-0000159B0000}"/>
    <cellStyle name="Wrap 4 6 5 8 2" xfId="36658" xr:uid="{00000000-0005-0000-0000-0000169B0000}"/>
    <cellStyle name="Wrap 4 6 5 9" xfId="36659" xr:uid="{00000000-0005-0000-0000-0000179B0000}"/>
    <cellStyle name="Wrap 4 6 5 9 2" xfId="36660" xr:uid="{00000000-0005-0000-0000-0000189B0000}"/>
    <cellStyle name="Wrap 4 6 6" xfId="36661" xr:uid="{00000000-0005-0000-0000-0000199B0000}"/>
    <cellStyle name="Wrap 4 6 6 10" xfId="36662" xr:uid="{00000000-0005-0000-0000-00001A9B0000}"/>
    <cellStyle name="Wrap 4 6 6 2" xfId="36663" xr:uid="{00000000-0005-0000-0000-00001B9B0000}"/>
    <cellStyle name="Wrap 4 6 6 2 2" xfId="36664" xr:uid="{00000000-0005-0000-0000-00001C9B0000}"/>
    <cellStyle name="Wrap 4 6 6 3" xfId="36665" xr:uid="{00000000-0005-0000-0000-00001D9B0000}"/>
    <cellStyle name="Wrap 4 6 6 3 2" xfId="36666" xr:uid="{00000000-0005-0000-0000-00001E9B0000}"/>
    <cellStyle name="Wrap 4 6 6 4" xfId="36667" xr:uid="{00000000-0005-0000-0000-00001F9B0000}"/>
    <cellStyle name="Wrap 4 6 6 4 2" xfId="36668" xr:uid="{00000000-0005-0000-0000-0000209B0000}"/>
    <cellStyle name="Wrap 4 6 6 5" xfId="36669" xr:uid="{00000000-0005-0000-0000-0000219B0000}"/>
    <cellStyle name="Wrap 4 6 6 5 2" xfId="36670" xr:uid="{00000000-0005-0000-0000-0000229B0000}"/>
    <cellStyle name="Wrap 4 6 6 6" xfId="36671" xr:uid="{00000000-0005-0000-0000-0000239B0000}"/>
    <cellStyle name="Wrap 4 6 6 6 2" xfId="36672" xr:uid="{00000000-0005-0000-0000-0000249B0000}"/>
    <cellStyle name="Wrap 4 6 6 7" xfId="36673" xr:uid="{00000000-0005-0000-0000-0000259B0000}"/>
    <cellStyle name="Wrap 4 6 6 7 2" xfId="36674" xr:uid="{00000000-0005-0000-0000-0000269B0000}"/>
    <cellStyle name="Wrap 4 6 6 8" xfId="36675" xr:uid="{00000000-0005-0000-0000-0000279B0000}"/>
    <cellStyle name="Wrap 4 6 6 8 2" xfId="36676" xr:uid="{00000000-0005-0000-0000-0000289B0000}"/>
    <cellStyle name="Wrap 4 6 6 9" xfId="36677" xr:uid="{00000000-0005-0000-0000-0000299B0000}"/>
    <cellStyle name="Wrap 4 6 6 9 2" xfId="36678" xr:uid="{00000000-0005-0000-0000-00002A9B0000}"/>
    <cellStyle name="Wrap 4 6 7" xfId="36679" xr:uid="{00000000-0005-0000-0000-00002B9B0000}"/>
    <cellStyle name="Wrap 4 6 7 10" xfId="36680" xr:uid="{00000000-0005-0000-0000-00002C9B0000}"/>
    <cellStyle name="Wrap 4 6 7 2" xfId="36681" xr:uid="{00000000-0005-0000-0000-00002D9B0000}"/>
    <cellStyle name="Wrap 4 6 7 2 2" xfId="36682" xr:uid="{00000000-0005-0000-0000-00002E9B0000}"/>
    <cellStyle name="Wrap 4 6 7 3" xfId="36683" xr:uid="{00000000-0005-0000-0000-00002F9B0000}"/>
    <cellStyle name="Wrap 4 6 7 3 2" xfId="36684" xr:uid="{00000000-0005-0000-0000-0000309B0000}"/>
    <cellStyle name="Wrap 4 6 7 4" xfId="36685" xr:uid="{00000000-0005-0000-0000-0000319B0000}"/>
    <cellStyle name="Wrap 4 6 7 4 2" xfId="36686" xr:uid="{00000000-0005-0000-0000-0000329B0000}"/>
    <cellStyle name="Wrap 4 6 7 5" xfId="36687" xr:uid="{00000000-0005-0000-0000-0000339B0000}"/>
    <cellStyle name="Wrap 4 6 7 5 2" xfId="36688" xr:uid="{00000000-0005-0000-0000-0000349B0000}"/>
    <cellStyle name="Wrap 4 6 7 6" xfId="36689" xr:uid="{00000000-0005-0000-0000-0000359B0000}"/>
    <cellStyle name="Wrap 4 6 7 6 2" xfId="36690" xr:uid="{00000000-0005-0000-0000-0000369B0000}"/>
    <cellStyle name="Wrap 4 6 7 7" xfId="36691" xr:uid="{00000000-0005-0000-0000-0000379B0000}"/>
    <cellStyle name="Wrap 4 6 7 7 2" xfId="36692" xr:uid="{00000000-0005-0000-0000-0000389B0000}"/>
    <cellStyle name="Wrap 4 6 7 8" xfId="36693" xr:uid="{00000000-0005-0000-0000-0000399B0000}"/>
    <cellStyle name="Wrap 4 6 7 8 2" xfId="36694" xr:uid="{00000000-0005-0000-0000-00003A9B0000}"/>
    <cellStyle name="Wrap 4 6 7 9" xfId="36695" xr:uid="{00000000-0005-0000-0000-00003B9B0000}"/>
    <cellStyle name="Wrap 4 6 7 9 2" xfId="36696" xr:uid="{00000000-0005-0000-0000-00003C9B0000}"/>
    <cellStyle name="Wrap 4 6 8" xfId="36697" xr:uid="{00000000-0005-0000-0000-00003D9B0000}"/>
    <cellStyle name="Wrap 4 6 8 10" xfId="36698" xr:uid="{00000000-0005-0000-0000-00003E9B0000}"/>
    <cellStyle name="Wrap 4 6 8 2" xfId="36699" xr:uid="{00000000-0005-0000-0000-00003F9B0000}"/>
    <cellStyle name="Wrap 4 6 8 2 2" xfId="36700" xr:uid="{00000000-0005-0000-0000-0000409B0000}"/>
    <cellStyle name="Wrap 4 6 8 3" xfId="36701" xr:uid="{00000000-0005-0000-0000-0000419B0000}"/>
    <cellStyle name="Wrap 4 6 8 3 2" xfId="36702" xr:uid="{00000000-0005-0000-0000-0000429B0000}"/>
    <cellStyle name="Wrap 4 6 8 4" xfId="36703" xr:uid="{00000000-0005-0000-0000-0000439B0000}"/>
    <cellStyle name="Wrap 4 6 8 4 2" xfId="36704" xr:uid="{00000000-0005-0000-0000-0000449B0000}"/>
    <cellStyle name="Wrap 4 6 8 5" xfId="36705" xr:uid="{00000000-0005-0000-0000-0000459B0000}"/>
    <cellStyle name="Wrap 4 6 8 5 2" xfId="36706" xr:uid="{00000000-0005-0000-0000-0000469B0000}"/>
    <cellStyle name="Wrap 4 6 8 6" xfId="36707" xr:uid="{00000000-0005-0000-0000-0000479B0000}"/>
    <cellStyle name="Wrap 4 6 8 6 2" xfId="36708" xr:uid="{00000000-0005-0000-0000-0000489B0000}"/>
    <cellStyle name="Wrap 4 6 8 7" xfId="36709" xr:uid="{00000000-0005-0000-0000-0000499B0000}"/>
    <cellStyle name="Wrap 4 6 8 7 2" xfId="36710" xr:uid="{00000000-0005-0000-0000-00004A9B0000}"/>
    <cellStyle name="Wrap 4 6 8 8" xfId="36711" xr:uid="{00000000-0005-0000-0000-00004B9B0000}"/>
    <cellStyle name="Wrap 4 6 8 8 2" xfId="36712" xr:uid="{00000000-0005-0000-0000-00004C9B0000}"/>
    <cellStyle name="Wrap 4 6 8 9" xfId="36713" xr:uid="{00000000-0005-0000-0000-00004D9B0000}"/>
    <cellStyle name="Wrap 4 6 8 9 2" xfId="36714" xr:uid="{00000000-0005-0000-0000-00004E9B0000}"/>
    <cellStyle name="Wrap 4 6 9" xfId="36715" xr:uid="{00000000-0005-0000-0000-00004F9B0000}"/>
    <cellStyle name="Wrap 4 6 9 10" xfId="36716" xr:uid="{00000000-0005-0000-0000-0000509B0000}"/>
    <cellStyle name="Wrap 4 6 9 2" xfId="36717" xr:uid="{00000000-0005-0000-0000-0000519B0000}"/>
    <cellStyle name="Wrap 4 6 9 2 2" xfId="36718" xr:uid="{00000000-0005-0000-0000-0000529B0000}"/>
    <cellStyle name="Wrap 4 6 9 3" xfId="36719" xr:uid="{00000000-0005-0000-0000-0000539B0000}"/>
    <cellStyle name="Wrap 4 6 9 3 2" xfId="36720" xr:uid="{00000000-0005-0000-0000-0000549B0000}"/>
    <cellStyle name="Wrap 4 6 9 4" xfId="36721" xr:uid="{00000000-0005-0000-0000-0000559B0000}"/>
    <cellStyle name="Wrap 4 6 9 4 2" xfId="36722" xr:uid="{00000000-0005-0000-0000-0000569B0000}"/>
    <cellStyle name="Wrap 4 6 9 5" xfId="36723" xr:uid="{00000000-0005-0000-0000-0000579B0000}"/>
    <cellStyle name="Wrap 4 6 9 5 2" xfId="36724" xr:uid="{00000000-0005-0000-0000-0000589B0000}"/>
    <cellStyle name="Wrap 4 6 9 6" xfId="36725" xr:uid="{00000000-0005-0000-0000-0000599B0000}"/>
    <cellStyle name="Wrap 4 6 9 6 2" xfId="36726" xr:uid="{00000000-0005-0000-0000-00005A9B0000}"/>
    <cellStyle name="Wrap 4 6 9 7" xfId="36727" xr:uid="{00000000-0005-0000-0000-00005B9B0000}"/>
    <cellStyle name="Wrap 4 6 9 7 2" xfId="36728" xr:uid="{00000000-0005-0000-0000-00005C9B0000}"/>
    <cellStyle name="Wrap 4 6 9 8" xfId="36729" xr:uid="{00000000-0005-0000-0000-00005D9B0000}"/>
    <cellStyle name="Wrap 4 6 9 8 2" xfId="36730" xr:uid="{00000000-0005-0000-0000-00005E9B0000}"/>
    <cellStyle name="Wrap 4 6 9 9" xfId="36731" xr:uid="{00000000-0005-0000-0000-00005F9B0000}"/>
    <cellStyle name="Wrap 4 6 9 9 2" xfId="36732" xr:uid="{00000000-0005-0000-0000-0000609B0000}"/>
    <cellStyle name="Wrap 4 7" xfId="36733" xr:uid="{00000000-0005-0000-0000-0000619B0000}"/>
    <cellStyle name="Wrap 4 7 10" xfId="36734" xr:uid="{00000000-0005-0000-0000-0000629B0000}"/>
    <cellStyle name="Wrap 4 7 10 2" xfId="36735" xr:uid="{00000000-0005-0000-0000-0000639B0000}"/>
    <cellStyle name="Wrap 4 7 10 2 2" xfId="36736" xr:uid="{00000000-0005-0000-0000-0000649B0000}"/>
    <cellStyle name="Wrap 4 7 10 3" xfId="36737" xr:uid="{00000000-0005-0000-0000-0000659B0000}"/>
    <cellStyle name="Wrap 4 7 10 3 2" xfId="36738" xr:uid="{00000000-0005-0000-0000-0000669B0000}"/>
    <cellStyle name="Wrap 4 7 10 4" xfId="36739" xr:uid="{00000000-0005-0000-0000-0000679B0000}"/>
    <cellStyle name="Wrap 4 7 10 4 2" xfId="36740" xr:uid="{00000000-0005-0000-0000-0000689B0000}"/>
    <cellStyle name="Wrap 4 7 10 5" xfId="36741" xr:uid="{00000000-0005-0000-0000-0000699B0000}"/>
    <cellStyle name="Wrap 4 7 10 5 2" xfId="36742" xr:uid="{00000000-0005-0000-0000-00006A9B0000}"/>
    <cellStyle name="Wrap 4 7 10 6" xfId="36743" xr:uid="{00000000-0005-0000-0000-00006B9B0000}"/>
    <cellStyle name="Wrap 4 7 10 6 2" xfId="36744" xr:uid="{00000000-0005-0000-0000-00006C9B0000}"/>
    <cellStyle name="Wrap 4 7 10 7" xfId="36745" xr:uid="{00000000-0005-0000-0000-00006D9B0000}"/>
    <cellStyle name="Wrap 4 7 10 7 2" xfId="36746" xr:uid="{00000000-0005-0000-0000-00006E9B0000}"/>
    <cellStyle name="Wrap 4 7 10 8" xfId="36747" xr:uid="{00000000-0005-0000-0000-00006F9B0000}"/>
    <cellStyle name="Wrap 4 7 10 8 2" xfId="36748" xr:uid="{00000000-0005-0000-0000-0000709B0000}"/>
    <cellStyle name="Wrap 4 7 10 9" xfId="36749" xr:uid="{00000000-0005-0000-0000-0000719B0000}"/>
    <cellStyle name="Wrap 4 7 11" xfId="36750" xr:uid="{00000000-0005-0000-0000-0000729B0000}"/>
    <cellStyle name="Wrap 4 7 11 2" xfId="36751" xr:uid="{00000000-0005-0000-0000-0000739B0000}"/>
    <cellStyle name="Wrap 4 7 12" xfId="36752" xr:uid="{00000000-0005-0000-0000-0000749B0000}"/>
    <cellStyle name="Wrap 4 7 12 2" xfId="36753" xr:uid="{00000000-0005-0000-0000-0000759B0000}"/>
    <cellStyle name="Wrap 4 7 13" xfId="36754" xr:uid="{00000000-0005-0000-0000-0000769B0000}"/>
    <cellStyle name="Wrap 4 7 13 2" xfId="36755" xr:uid="{00000000-0005-0000-0000-0000779B0000}"/>
    <cellStyle name="Wrap 4 7 14" xfId="36756" xr:uid="{00000000-0005-0000-0000-0000789B0000}"/>
    <cellStyle name="Wrap 4 7 14 2" xfId="36757" xr:uid="{00000000-0005-0000-0000-0000799B0000}"/>
    <cellStyle name="Wrap 4 7 15" xfId="36758" xr:uid="{00000000-0005-0000-0000-00007A9B0000}"/>
    <cellStyle name="Wrap 4 7 15 2" xfId="36759" xr:uid="{00000000-0005-0000-0000-00007B9B0000}"/>
    <cellStyle name="Wrap 4 7 16" xfId="36760" xr:uid="{00000000-0005-0000-0000-00007C9B0000}"/>
    <cellStyle name="Wrap 4 7 16 2" xfId="36761" xr:uid="{00000000-0005-0000-0000-00007D9B0000}"/>
    <cellStyle name="Wrap 4 7 17" xfId="36762" xr:uid="{00000000-0005-0000-0000-00007E9B0000}"/>
    <cellStyle name="Wrap 4 7 17 2" xfId="36763" xr:uid="{00000000-0005-0000-0000-00007F9B0000}"/>
    <cellStyle name="Wrap 4 7 18" xfId="36764" xr:uid="{00000000-0005-0000-0000-0000809B0000}"/>
    <cellStyle name="Wrap 4 7 2" xfId="36765" xr:uid="{00000000-0005-0000-0000-0000819B0000}"/>
    <cellStyle name="Wrap 4 7 2 10" xfId="36766" xr:uid="{00000000-0005-0000-0000-0000829B0000}"/>
    <cellStyle name="Wrap 4 7 2 2" xfId="36767" xr:uid="{00000000-0005-0000-0000-0000839B0000}"/>
    <cellStyle name="Wrap 4 7 2 2 2" xfId="36768" xr:uid="{00000000-0005-0000-0000-0000849B0000}"/>
    <cellStyle name="Wrap 4 7 2 3" xfId="36769" xr:uid="{00000000-0005-0000-0000-0000859B0000}"/>
    <cellStyle name="Wrap 4 7 2 3 2" xfId="36770" xr:uid="{00000000-0005-0000-0000-0000869B0000}"/>
    <cellStyle name="Wrap 4 7 2 4" xfId="36771" xr:uid="{00000000-0005-0000-0000-0000879B0000}"/>
    <cellStyle name="Wrap 4 7 2 4 2" xfId="36772" xr:uid="{00000000-0005-0000-0000-0000889B0000}"/>
    <cellStyle name="Wrap 4 7 2 5" xfId="36773" xr:uid="{00000000-0005-0000-0000-0000899B0000}"/>
    <cellStyle name="Wrap 4 7 2 5 2" xfId="36774" xr:uid="{00000000-0005-0000-0000-00008A9B0000}"/>
    <cellStyle name="Wrap 4 7 2 6" xfId="36775" xr:uid="{00000000-0005-0000-0000-00008B9B0000}"/>
    <cellStyle name="Wrap 4 7 2 6 2" xfId="36776" xr:uid="{00000000-0005-0000-0000-00008C9B0000}"/>
    <cellStyle name="Wrap 4 7 2 7" xfId="36777" xr:uid="{00000000-0005-0000-0000-00008D9B0000}"/>
    <cellStyle name="Wrap 4 7 2 7 2" xfId="36778" xr:uid="{00000000-0005-0000-0000-00008E9B0000}"/>
    <cellStyle name="Wrap 4 7 2 8" xfId="36779" xr:uid="{00000000-0005-0000-0000-00008F9B0000}"/>
    <cellStyle name="Wrap 4 7 2 8 2" xfId="36780" xr:uid="{00000000-0005-0000-0000-0000909B0000}"/>
    <cellStyle name="Wrap 4 7 2 9" xfId="36781" xr:uid="{00000000-0005-0000-0000-0000919B0000}"/>
    <cellStyle name="Wrap 4 7 2 9 2" xfId="36782" xr:uid="{00000000-0005-0000-0000-0000929B0000}"/>
    <cellStyle name="Wrap 4 7 3" xfId="36783" xr:uid="{00000000-0005-0000-0000-0000939B0000}"/>
    <cellStyle name="Wrap 4 7 3 10" xfId="36784" xr:uid="{00000000-0005-0000-0000-0000949B0000}"/>
    <cellStyle name="Wrap 4 7 3 2" xfId="36785" xr:uid="{00000000-0005-0000-0000-0000959B0000}"/>
    <cellStyle name="Wrap 4 7 3 2 2" xfId="36786" xr:uid="{00000000-0005-0000-0000-0000969B0000}"/>
    <cellStyle name="Wrap 4 7 3 3" xfId="36787" xr:uid="{00000000-0005-0000-0000-0000979B0000}"/>
    <cellStyle name="Wrap 4 7 3 3 2" xfId="36788" xr:uid="{00000000-0005-0000-0000-0000989B0000}"/>
    <cellStyle name="Wrap 4 7 3 4" xfId="36789" xr:uid="{00000000-0005-0000-0000-0000999B0000}"/>
    <cellStyle name="Wrap 4 7 3 4 2" xfId="36790" xr:uid="{00000000-0005-0000-0000-00009A9B0000}"/>
    <cellStyle name="Wrap 4 7 3 5" xfId="36791" xr:uid="{00000000-0005-0000-0000-00009B9B0000}"/>
    <cellStyle name="Wrap 4 7 3 5 2" xfId="36792" xr:uid="{00000000-0005-0000-0000-00009C9B0000}"/>
    <cellStyle name="Wrap 4 7 3 6" xfId="36793" xr:uid="{00000000-0005-0000-0000-00009D9B0000}"/>
    <cellStyle name="Wrap 4 7 3 6 2" xfId="36794" xr:uid="{00000000-0005-0000-0000-00009E9B0000}"/>
    <cellStyle name="Wrap 4 7 3 7" xfId="36795" xr:uid="{00000000-0005-0000-0000-00009F9B0000}"/>
    <cellStyle name="Wrap 4 7 3 7 2" xfId="36796" xr:uid="{00000000-0005-0000-0000-0000A09B0000}"/>
    <cellStyle name="Wrap 4 7 3 8" xfId="36797" xr:uid="{00000000-0005-0000-0000-0000A19B0000}"/>
    <cellStyle name="Wrap 4 7 3 8 2" xfId="36798" xr:uid="{00000000-0005-0000-0000-0000A29B0000}"/>
    <cellStyle name="Wrap 4 7 3 9" xfId="36799" xr:uid="{00000000-0005-0000-0000-0000A39B0000}"/>
    <cellStyle name="Wrap 4 7 3 9 2" xfId="36800" xr:uid="{00000000-0005-0000-0000-0000A49B0000}"/>
    <cellStyle name="Wrap 4 7 4" xfId="36801" xr:uid="{00000000-0005-0000-0000-0000A59B0000}"/>
    <cellStyle name="Wrap 4 7 4 10" xfId="36802" xr:uid="{00000000-0005-0000-0000-0000A69B0000}"/>
    <cellStyle name="Wrap 4 7 4 2" xfId="36803" xr:uid="{00000000-0005-0000-0000-0000A79B0000}"/>
    <cellStyle name="Wrap 4 7 4 2 2" xfId="36804" xr:uid="{00000000-0005-0000-0000-0000A89B0000}"/>
    <cellStyle name="Wrap 4 7 4 3" xfId="36805" xr:uid="{00000000-0005-0000-0000-0000A99B0000}"/>
    <cellStyle name="Wrap 4 7 4 3 2" xfId="36806" xr:uid="{00000000-0005-0000-0000-0000AA9B0000}"/>
    <cellStyle name="Wrap 4 7 4 4" xfId="36807" xr:uid="{00000000-0005-0000-0000-0000AB9B0000}"/>
    <cellStyle name="Wrap 4 7 4 4 2" xfId="36808" xr:uid="{00000000-0005-0000-0000-0000AC9B0000}"/>
    <cellStyle name="Wrap 4 7 4 5" xfId="36809" xr:uid="{00000000-0005-0000-0000-0000AD9B0000}"/>
    <cellStyle name="Wrap 4 7 4 5 2" xfId="36810" xr:uid="{00000000-0005-0000-0000-0000AE9B0000}"/>
    <cellStyle name="Wrap 4 7 4 6" xfId="36811" xr:uid="{00000000-0005-0000-0000-0000AF9B0000}"/>
    <cellStyle name="Wrap 4 7 4 6 2" xfId="36812" xr:uid="{00000000-0005-0000-0000-0000B09B0000}"/>
    <cellStyle name="Wrap 4 7 4 7" xfId="36813" xr:uid="{00000000-0005-0000-0000-0000B19B0000}"/>
    <cellStyle name="Wrap 4 7 4 7 2" xfId="36814" xr:uid="{00000000-0005-0000-0000-0000B29B0000}"/>
    <cellStyle name="Wrap 4 7 4 8" xfId="36815" xr:uid="{00000000-0005-0000-0000-0000B39B0000}"/>
    <cellStyle name="Wrap 4 7 4 8 2" xfId="36816" xr:uid="{00000000-0005-0000-0000-0000B49B0000}"/>
    <cellStyle name="Wrap 4 7 4 9" xfId="36817" xr:uid="{00000000-0005-0000-0000-0000B59B0000}"/>
    <cellStyle name="Wrap 4 7 4 9 2" xfId="36818" xr:uid="{00000000-0005-0000-0000-0000B69B0000}"/>
    <cellStyle name="Wrap 4 7 5" xfId="36819" xr:uid="{00000000-0005-0000-0000-0000B79B0000}"/>
    <cellStyle name="Wrap 4 7 5 10" xfId="36820" xr:uid="{00000000-0005-0000-0000-0000B89B0000}"/>
    <cellStyle name="Wrap 4 7 5 2" xfId="36821" xr:uid="{00000000-0005-0000-0000-0000B99B0000}"/>
    <cellStyle name="Wrap 4 7 5 2 2" xfId="36822" xr:uid="{00000000-0005-0000-0000-0000BA9B0000}"/>
    <cellStyle name="Wrap 4 7 5 3" xfId="36823" xr:uid="{00000000-0005-0000-0000-0000BB9B0000}"/>
    <cellStyle name="Wrap 4 7 5 3 2" xfId="36824" xr:uid="{00000000-0005-0000-0000-0000BC9B0000}"/>
    <cellStyle name="Wrap 4 7 5 4" xfId="36825" xr:uid="{00000000-0005-0000-0000-0000BD9B0000}"/>
    <cellStyle name="Wrap 4 7 5 4 2" xfId="36826" xr:uid="{00000000-0005-0000-0000-0000BE9B0000}"/>
    <cellStyle name="Wrap 4 7 5 5" xfId="36827" xr:uid="{00000000-0005-0000-0000-0000BF9B0000}"/>
    <cellStyle name="Wrap 4 7 5 5 2" xfId="36828" xr:uid="{00000000-0005-0000-0000-0000C09B0000}"/>
    <cellStyle name="Wrap 4 7 5 6" xfId="36829" xr:uid="{00000000-0005-0000-0000-0000C19B0000}"/>
    <cellStyle name="Wrap 4 7 5 6 2" xfId="36830" xr:uid="{00000000-0005-0000-0000-0000C29B0000}"/>
    <cellStyle name="Wrap 4 7 5 7" xfId="36831" xr:uid="{00000000-0005-0000-0000-0000C39B0000}"/>
    <cellStyle name="Wrap 4 7 5 7 2" xfId="36832" xr:uid="{00000000-0005-0000-0000-0000C49B0000}"/>
    <cellStyle name="Wrap 4 7 5 8" xfId="36833" xr:uid="{00000000-0005-0000-0000-0000C59B0000}"/>
    <cellStyle name="Wrap 4 7 5 8 2" xfId="36834" xr:uid="{00000000-0005-0000-0000-0000C69B0000}"/>
    <cellStyle name="Wrap 4 7 5 9" xfId="36835" xr:uid="{00000000-0005-0000-0000-0000C79B0000}"/>
    <cellStyle name="Wrap 4 7 5 9 2" xfId="36836" xr:uid="{00000000-0005-0000-0000-0000C89B0000}"/>
    <cellStyle name="Wrap 4 7 6" xfId="36837" xr:uid="{00000000-0005-0000-0000-0000C99B0000}"/>
    <cellStyle name="Wrap 4 7 6 10" xfId="36838" xr:uid="{00000000-0005-0000-0000-0000CA9B0000}"/>
    <cellStyle name="Wrap 4 7 6 2" xfId="36839" xr:uid="{00000000-0005-0000-0000-0000CB9B0000}"/>
    <cellStyle name="Wrap 4 7 6 2 2" xfId="36840" xr:uid="{00000000-0005-0000-0000-0000CC9B0000}"/>
    <cellStyle name="Wrap 4 7 6 3" xfId="36841" xr:uid="{00000000-0005-0000-0000-0000CD9B0000}"/>
    <cellStyle name="Wrap 4 7 6 3 2" xfId="36842" xr:uid="{00000000-0005-0000-0000-0000CE9B0000}"/>
    <cellStyle name="Wrap 4 7 6 4" xfId="36843" xr:uid="{00000000-0005-0000-0000-0000CF9B0000}"/>
    <cellStyle name="Wrap 4 7 6 4 2" xfId="36844" xr:uid="{00000000-0005-0000-0000-0000D09B0000}"/>
    <cellStyle name="Wrap 4 7 6 5" xfId="36845" xr:uid="{00000000-0005-0000-0000-0000D19B0000}"/>
    <cellStyle name="Wrap 4 7 6 5 2" xfId="36846" xr:uid="{00000000-0005-0000-0000-0000D29B0000}"/>
    <cellStyle name="Wrap 4 7 6 6" xfId="36847" xr:uid="{00000000-0005-0000-0000-0000D39B0000}"/>
    <cellStyle name="Wrap 4 7 6 6 2" xfId="36848" xr:uid="{00000000-0005-0000-0000-0000D49B0000}"/>
    <cellStyle name="Wrap 4 7 6 7" xfId="36849" xr:uid="{00000000-0005-0000-0000-0000D59B0000}"/>
    <cellStyle name="Wrap 4 7 6 7 2" xfId="36850" xr:uid="{00000000-0005-0000-0000-0000D69B0000}"/>
    <cellStyle name="Wrap 4 7 6 8" xfId="36851" xr:uid="{00000000-0005-0000-0000-0000D79B0000}"/>
    <cellStyle name="Wrap 4 7 6 8 2" xfId="36852" xr:uid="{00000000-0005-0000-0000-0000D89B0000}"/>
    <cellStyle name="Wrap 4 7 6 9" xfId="36853" xr:uid="{00000000-0005-0000-0000-0000D99B0000}"/>
    <cellStyle name="Wrap 4 7 6 9 2" xfId="36854" xr:uid="{00000000-0005-0000-0000-0000DA9B0000}"/>
    <cellStyle name="Wrap 4 7 7" xfId="36855" xr:uid="{00000000-0005-0000-0000-0000DB9B0000}"/>
    <cellStyle name="Wrap 4 7 7 10" xfId="36856" xr:uid="{00000000-0005-0000-0000-0000DC9B0000}"/>
    <cellStyle name="Wrap 4 7 7 2" xfId="36857" xr:uid="{00000000-0005-0000-0000-0000DD9B0000}"/>
    <cellStyle name="Wrap 4 7 7 2 2" xfId="36858" xr:uid="{00000000-0005-0000-0000-0000DE9B0000}"/>
    <cellStyle name="Wrap 4 7 7 3" xfId="36859" xr:uid="{00000000-0005-0000-0000-0000DF9B0000}"/>
    <cellStyle name="Wrap 4 7 7 3 2" xfId="36860" xr:uid="{00000000-0005-0000-0000-0000E09B0000}"/>
    <cellStyle name="Wrap 4 7 7 4" xfId="36861" xr:uid="{00000000-0005-0000-0000-0000E19B0000}"/>
    <cellStyle name="Wrap 4 7 7 4 2" xfId="36862" xr:uid="{00000000-0005-0000-0000-0000E29B0000}"/>
    <cellStyle name="Wrap 4 7 7 5" xfId="36863" xr:uid="{00000000-0005-0000-0000-0000E39B0000}"/>
    <cellStyle name="Wrap 4 7 7 5 2" xfId="36864" xr:uid="{00000000-0005-0000-0000-0000E49B0000}"/>
    <cellStyle name="Wrap 4 7 7 6" xfId="36865" xr:uid="{00000000-0005-0000-0000-0000E59B0000}"/>
    <cellStyle name="Wrap 4 7 7 6 2" xfId="36866" xr:uid="{00000000-0005-0000-0000-0000E69B0000}"/>
    <cellStyle name="Wrap 4 7 7 7" xfId="36867" xr:uid="{00000000-0005-0000-0000-0000E79B0000}"/>
    <cellStyle name="Wrap 4 7 7 7 2" xfId="36868" xr:uid="{00000000-0005-0000-0000-0000E89B0000}"/>
    <cellStyle name="Wrap 4 7 7 8" xfId="36869" xr:uid="{00000000-0005-0000-0000-0000E99B0000}"/>
    <cellStyle name="Wrap 4 7 7 8 2" xfId="36870" xr:uid="{00000000-0005-0000-0000-0000EA9B0000}"/>
    <cellStyle name="Wrap 4 7 7 9" xfId="36871" xr:uid="{00000000-0005-0000-0000-0000EB9B0000}"/>
    <cellStyle name="Wrap 4 7 7 9 2" xfId="36872" xr:uid="{00000000-0005-0000-0000-0000EC9B0000}"/>
    <cellStyle name="Wrap 4 7 8" xfId="36873" xr:uid="{00000000-0005-0000-0000-0000ED9B0000}"/>
    <cellStyle name="Wrap 4 7 8 10" xfId="36874" xr:uid="{00000000-0005-0000-0000-0000EE9B0000}"/>
    <cellStyle name="Wrap 4 7 8 2" xfId="36875" xr:uid="{00000000-0005-0000-0000-0000EF9B0000}"/>
    <cellStyle name="Wrap 4 7 8 2 2" xfId="36876" xr:uid="{00000000-0005-0000-0000-0000F09B0000}"/>
    <cellStyle name="Wrap 4 7 8 3" xfId="36877" xr:uid="{00000000-0005-0000-0000-0000F19B0000}"/>
    <cellStyle name="Wrap 4 7 8 3 2" xfId="36878" xr:uid="{00000000-0005-0000-0000-0000F29B0000}"/>
    <cellStyle name="Wrap 4 7 8 4" xfId="36879" xr:uid="{00000000-0005-0000-0000-0000F39B0000}"/>
    <cellStyle name="Wrap 4 7 8 4 2" xfId="36880" xr:uid="{00000000-0005-0000-0000-0000F49B0000}"/>
    <cellStyle name="Wrap 4 7 8 5" xfId="36881" xr:uid="{00000000-0005-0000-0000-0000F59B0000}"/>
    <cellStyle name="Wrap 4 7 8 5 2" xfId="36882" xr:uid="{00000000-0005-0000-0000-0000F69B0000}"/>
    <cellStyle name="Wrap 4 7 8 6" xfId="36883" xr:uid="{00000000-0005-0000-0000-0000F79B0000}"/>
    <cellStyle name="Wrap 4 7 8 6 2" xfId="36884" xr:uid="{00000000-0005-0000-0000-0000F89B0000}"/>
    <cellStyle name="Wrap 4 7 8 7" xfId="36885" xr:uid="{00000000-0005-0000-0000-0000F99B0000}"/>
    <cellStyle name="Wrap 4 7 8 7 2" xfId="36886" xr:uid="{00000000-0005-0000-0000-0000FA9B0000}"/>
    <cellStyle name="Wrap 4 7 8 8" xfId="36887" xr:uid="{00000000-0005-0000-0000-0000FB9B0000}"/>
    <cellStyle name="Wrap 4 7 8 8 2" xfId="36888" xr:uid="{00000000-0005-0000-0000-0000FC9B0000}"/>
    <cellStyle name="Wrap 4 7 8 9" xfId="36889" xr:uid="{00000000-0005-0000-0000-0000FD9B0000}"/>
    <cellStyle name="Wrap 4 7 8 9 2" xfId="36890" xr:uid="{00000000-0005-0000-0000-0000FE9B0000}"/>
    <cellStyle name="Wrap 4 7 9" xfId="36891" xr:uid="{00000000-0005-0000-0000-0000FF9B0000}"/>
    <cellStyle name="Wrap 4 7 9 10" xfId="36892" xr:uid="{00000000-0005-0000-0000-0000009C0000}"/>
    <cellStyle name="Wrap 4 7 9 2" xfId="36893" xr:uid="{00000000-0005-0000-0000-0000019C0000}"/>
    <cellStyle name="Wrap 4 7 9 2 2" xfId="36894" xr:uid="{00000000-0005-0000-0000-0000029C0000}"/>
    <cellStyle name="Wrap 4 7 9 3" xfId="36895" xr:uid="{00000000-0005-0000-0000-0000039C0000}"/>
    <cellStyle name="Wrap 4 7 9 3 2" xfId="36896" xr:uid="{00000000-0005-0000-0000-0000049C0000}"/>
    <cellStyle name="Wrap 4 7 9 4" xfId="36897" xr:uid="{00000000-0005-0000-0000-0000059C0000}"/>
    <cellStyle name="Wrap 4 7 9 4 2" xfId="36898" xr:uid="{00000000-0005-0000-0000-0000069C0000}"/>
    <cellStyle name="Wrap 4 7 9 5" xfId="36899" xr:uid="{00000000-0005-0000-0000-0000079C0000}"/>
    <cellStyle name="Wrap 4 7 9 5 2" xfId="36900" xr:uid="{00000000-0005-0000-0000-0000089C0000}"/>
    <cellStyle name="Wrap 4 7 9 6" xfId="36901" xr:uid="{00000000-0005-0000-0000-0000099C0000}"/>
    <cellStyle name="Wrap 4 7 9 6 2" xfId="36902" xr:uid="{00000000-0005-0000-0000-00000A9C0000}"/>
    <cellStyle name="Wrap 4 7 9 7" xfId="36903" xr:uid="{00000000-0005-0000-0000-00000B9C0000}"/>
    <cellStyle name="Wrap 4 7 9 7 2" xfId="36904" xr:uid="{00000000-0005-0000-0000-00000C9C0000}"/>
    <cellStyle name="Wrap 4 7 9 8" xfId="36905" xr:uid="{00000000-0005-0000-0000-00000D9C0000}"/>
    <cellStyle name="Wrap 4 7 9 8 2" xfId="36906" xr:uid="{00000000-0005-0000-0000-00000E9C0000}"/>
    <cellStyle name="Wrap 4 7 9 9" xfId="36907" xr:uid="{00000000-0005-0000-0000-00000F9C0000}"/>
    <cellStyle name="Wrap 4 7 9 9 2" xfId="36908" xr:uid="{00000000-0005-0000-0000-0000109C0000}"/>
    <cellStyle name="Wrap 4 8" xfId="36909" xr:uid="{00000000-0005-0000-0000-0000119C0000}"/>
    <cellStyle name="Wrap 4 8 10" xfId="36910" xr:uid="{00000000-0005-0000-0000-0000129C0000}"/>
    <cellStyle name="Wrap 4 8 10 2" xfId="36911" xr:uid="{00000000-0005-0000-0000-0000139C0000}"/>
    <cellStyle name="Wrap 4 8 10 2 2" xfId="36912" xr:uid="{00000000-0005-0000-0000-0000149C0000}"/>
    <cellStyle name="Wrap 4 8 10 3" xfId="36913" xr:uid="{00000000-0005-0000-0000-0000159C0000}"/>
    <cellStyle name="Wrap 4 8 10 3 2" xfId="36914" xr:uid="{00000000-0005-0000-0000-0000169C0000}"/>
    <cellStyle name="Wrap 4 8 10 4" xfId="36915" xr:uid="{00000000-0005-0000-0000-0000179C0000}"/>
    <cellStyle name="Wrap 4 8 10 4 2" xfId="36916" xr:uid="{00000000-0005-0000-0000-0000189C0000}"/>
    <cellStyle name="Wrap 4 8 10 5" xfId="36917" xr:uid="{00000000-0005-0000-0000-0000199C0000}"/>
    <cellStyle name="Wrap 4 8 10 5 2" xfId="36918" xr:uid="{00000000-0005-0000-0000-00001A9C0000}"/>
    <cellStyle name="Wrap 4 8 10 6" xfId="36919" xr:uid="{00000000-0005-0000-0000-00001B9C0000}"/>
    <cellStyle name="Wrap 4 8 10 6 2" xfId="36920" xr:uid="{00000000-0005-0000-0000-00001C9C0000}"/>
    <cellStyle name="Wrap 4 8 10 7" xfId="36921" xr:uid="{00000000-0005-0000-0000-00001D9C0000}"/>
    <cellStyle name="Wrap 4 8 10 7 2" xfId="36922" xr:uid="{00000000-0005-0000-0000-00001E9C0000}"/>
    <cellStyle name="Wrap 4 8 10 8" xfId="36923" xr:uid="{00000000-0005-0000-0000-00001F9C0000}"/>
    <cellStyle name="Wrap 4 8 10 8 2" xfId="36924" xr:uid="{00000000-0005-0000-0000-0000209C0000}"/>
    <cellStyle name="Wrap 4 8 10 9" xfId="36925" xr:uid="{00000000-0005-0000-0000-0000219C0000}"/>
    <cellStyle name="Wrap 4 8 11" xfId="36926" xr:uid="{00000000-0005-0000-0000-0000229C0000}"/>
    <cellStyle name="Wrap 4 8 11 2" xfId="36927" xr:uid="{00000000-0005-0000-0000-0000239C0000}"/>
    <cellStyle name="Wrap 4 8 12" xfId="36928" xr:uid="{00000000-0005-0000-0000-0000249C0000}"/>
    <cellStyle name="Wrap 4 8 12 2" xfId="36929" xr:uid="{00000000-0005-0000-0000-0000259C0000}"/>
    <cellStyle name="Wrap 4 8 13" xfId="36930" xr:uid="{00000000-0005-0000-0000-0000269C0000}"/>
    <cellStyle name="Wrap 4 8 13 2" xfId="36931" xr:uid="{00000000-0005-0000-0000-0000279C0000}"/>
    <cellStyle name="Wrap 4 8 14" xfId="36932" xr:uid="{00000000-0005-0000-0000-0000289C0000}"/>
    <cellStyle name="Wrap 4 8 14 2" xfId="36933" xr:uid="{00000000-0005-0000-0000-0000299C0000}"/>
    <cellStyle name="Wrap 4 8 15" xfId="36934" xr:uid="{00000000-0005-0000-0000-00002A9C0000}"/>
    <cellStyle name="Wrap 4 8 15 2" xfId="36935" xr:uid="{00000000-0005-0000-0000-00002B9C0000}"/>
    <cellStyle name="Wrap 4 8 16" xfId="36936" xr:uid="{00000000-0005-0000-0000-00002C9C0000}"/>
    <cellStyle name="Wrap 4 8 16 2" xfId="36937" xr:uid="{00000000-0005-0000-0000-00002D9C0000}"/>
    <cellStyle name="Wrap 4 8 17" xfId="36938" xr:uid="{00000000-0005-0000-0000-00002E9C0000}"/>
    <cellStyle name="Wrap 4 8 17 2" xfId="36939" xr:uid="{00000000-0005-0000-0000-00002F9C0000}"/>
    <cellStyle name="Wrap 4 8 18" xfId="36940" xr:uid="{00000000-0005-0000-0000-0000309C0000}"/>
    <cellStyle name="Wrap 4 8 2" xfId="36941" xr:uid="{00000000-0005-0000-0000-0000319C0000}"/>
    <cellStyle name="Wrap 4 8 2 10" xfId="36942" xr:uid="{00000000-0005-0000-0000-0000329C0000}"/>
    <cellStyle name="Wrap 4 8 2 2" xfId="36943" xr:uid="{00000000-0005-0000-0000-0000339C0000}"/>
    <cellStyle name="Wrap 4 8 2 2 2" xfId="36944" xr:uid="{00000000-0005-0000-0000-0000349C0000}"/>
    <cellStyle name="Wrap 4 8 2 3" xfId="36945" xr:uid="{00000000-0005-0000-0000-0000359C0000}"/>
    <cellStyle name="Wrap 4 8 2 3 2" xfId="36946" xr:uid="{00000000-0005-0000-0000-0000369C0000}"/>
    <cellStyle name="Wrap 4 8 2 4" xfId="36947" xr:uid="{00000000-0005-0000-0000-0000379C0000}"/>
    <cellStyle name="Wrap 4 8 2 4 2" xfId="36948" xr:uid="{00000000-0005-0000-0000-0000389C0000}"/>
    <cellStyle name="Wrap 4 8 2 5" xfId="36949" xr:uid="{00000000-0005-0000-0000-0000399C0000}"/>
    <cellStyle name="Wrap 4 8 2 5 2" xfId="36950" xr:uid="{00000000-0005-0000-0000-00003A9C0000}"/>
    <cellStyle name="Wrap 4 8 2 6" xfId="36951" xr:uid="{00000000-0005-0000-0000-00003B9C0000}"/>
    <cellStyle name="Wrap 4 8 2 6 2" xfId="36952" xr:uid="{00000000-0005-0000-0000-00003C9C0000}"/>
    <cellStyle name="Wrap 4 8 2 7" xfId="36953" xr:uid="{00000000-0005-0000-0000-00003D9C0000}"/>
    <cellStyle name="Wrap 4 8 2 7 2" xfId="36954" xr:uid="{00000000-0005-0000-0000-00003E9C0000}"/>
    <cellStyle name="Wrap 4 8 2 8" xfId="36955" xr:uid="{00000000-0005-0000-0000-00003F9C0000}"/>
    <cellStyle name="Wrap 4 8 2 8 2" xfId="36956" xr:uid="{00000000-0005-0000-0000-0000409C0000}"/>
    <cellStyle name="Wrap 4 8 2 9" xfId="36957" xr:uid="{00000000-0005-0000-0000-0000419C0000}"/>
    <cellStyle name="Wrap 4 8 2 9 2" xfId="36958" xr:uid="{00000000-0005-0000-0000-0000429C0000}"/>
    <cellStyle name="Wrap 4 8 3" xfId="36959" xr:uid="{00000000-0005-0000-0000-0000439C0000}"/>
    <cellStyle name="Wrap 4 8 3 10" xfId="36960" xr:uid="{00000000-0005-0000-0000-0000449C0000}"/>
    <cellStyle name="Wrap 4 8 3 2" xfId="36961" xr:uid="{00000000-0005-0000-0000-0000459C0000}"/>
    <cellStyle name="Wrap 4 8 3 2 2" xfId="36962" xr:uid="{00000000-0005-0000-0000-0000469C0000}"/>
    <cellStyle name="Wrap 4 8 3 3" xfId="36963" xr:uid="{00000000-0005-0000-0000-0000479C0000}"/>
    <cellStyle name="Wrap 4 8 3 3 2" xfId="36964" xr:uid="{00000000-0005-0000-0000-0000489C0000}"/>
    <cellStyle name="Wrap 4 8 3 4" xfId="36965" xr:uid="{00000000-0005-0000-0000-0000499C0000}"/>
    <cellStyle name="Wrap 4 8 3 4 2" xfId="36966" xr:uid="{00000000-0005-0000-0000-00004A9C0000}"/>
    <cellStyle name="Wrap 4 8 3 5" xfId="36967" xr:uid="{00000000-0005-0000-0000-00004B9C0000}"/>
    <cellStyle name="Wrap 4 8 3 5 2" xfId="36968" xr:uid="{00000000-0005-0000-0000-00004C9C0000}"/>
    <cellStyle name="Wrap 4 8 3 6" xfId="36969" xr:uid="{00000000-0005-0000-0000-00004D9C0000}"/>
    <cellStyle name="Wrap 4 8 3 6 2" xfId="36970" xr:uid="{00000000-0005-0000-0000-00004E9C0000}"/>
    <cellStyle name="Wrap 4 8 3 7" xfId="36971" xr:uid="{00000000-0005-0000-0000-00004F9C0000}"/>
    <cellStyle name="Wrap 4 8 3 7 2" xfId="36972" xr:uid="{00000000-0005-0000-0000-0000509C0000}"/>
    <cellStyle name="Wrap 4 8 3 8" xfId="36973" xr:uid="{00000000-0005-0000-0000-0000519C0000}"/>
    <cellStyle name="Wrap 4 8 3 8 2" xfId="36974" xr:uid="{00000000-0005-0000-0000-0000529C0000}"/>
    <cellStyle name="Wrap 4 8 3 9" xfId="36975" xr:uid="{00000000-0005-0000-0000-0000539C0000}"/>
    <cellStyle name="Wrap 4 8 3 9 2" xfId="36976" xr:uid="{00000000-0005-0000-0000-0000549C0000}"/>
    <cellStyle name="Wrap 4 8 4" xfId="36977" xr:uid="{00000000-0005-0000-0000-0000559C0000}"/>
    <cellStyle name="Wrap 4 8 4 10" xfId="36978" xr:uid="{00000000-0005-0000-0000-0000569C0000}"/>
    <cellStyle name="Wrap 4 8 4 2" xfId="36979" xr:uid="{00000000-0005-0000-0000-0000579C0000}"/>
    <cellStyle name="Wrap 4 8 4 2 2" xfId="36980" xr:uid="{00000000-0005-0000-0000-0000589C0000}"/>
    <cellStyle name="Wrap 4 8 4 3" xfId="36981" xr:uid="{00000000-0005-0000-0000-0000599C0000}"/>
    <cellStyle name="Wrap 4 8 4 3 2" xfId="36982" xr:uid="{00000000-0005-0000-0000-00005A9C0000}"/>
    <cellStyle name="Wrap 4 8 4 4" xfId="36983" xr:uid="{00000000-0005-0000-0000-00005B9C0000}"/>
    <cellStyle name="Wrap 4 8 4 4 2" xfId="36984" xr:uid="{00000000-0005-0000-0000-00005C9C0000}"/>
    <cellStyle name="Wrap 4 8 4 5" xfId="36985" xr:uid="{00000000-0005-0000-0000-00005D9C0000}"/>
    <cellStyle name="Wrap 4 8 4 5 2" xfId="36986" xr:uid="{00000000-0005-0000-0000-00005E9C0000}"/>
    <cellStyle name="Wrap 4 8 4 6" xfId="36987" xr:uid="{00000000-0005-0000-0000-00005F9C0000}"/>
    <cellStyle name="Wrap 4 8 4 6 2" xfId="36988" xr:uid="{00000000-0005-0000-0000-0000609C0000}"/>
    <cellStyle name="Wrap 4 8 4 7" xfId="36989" xr:uid="{00000000-0005-0000-0000-0000619C0000}"/>
    <cellStyle name="Wrap 4 8 4 7 2" xfId="36990" xr:uid="{00000000-0005-0000-0000-0000629C0000}"/>
    <cellStyle name="Wrap 4 8 4 8" xfId="36991" xr:uid="{00000000-0005-0000-0000-0000639C0000}"/>
    <cellStyle name="Wrap 4 8 4 8 2" xfId="36992" xr:uid="{00000000-0005-0000-0000-0000649C0000}"/>
    <cellStyle name="Wrap 4 8 4 9" xfId="36993" xr:uid="{00000000-0005-0000-0000-0000659C0000}"/>
    <cellStyle name="Wrap 4 8 4 9 2" xfId="36994" xr:uid="{00000000-0005-0000-0000-0000669C0000}"/>
    <cellStyle name="Wrap 4 8 5" xfId="36995" xr:uid="{00000000-0005-0000-0000-0000679C0000}"/>
    <cellStyle name="Wrap 4 8 5 10" xfId="36996" xr:uid="{00000000-0005-0000-0000-0000689C0000}"/>
    <cellStyle name="Wrap 4 8 5 2" xfId="36997" xr:uid="{00000000-0005-0000-0000-0000699C0000}"/>
    <cellStyle name="Wrap 4 8 5 2 2" xfId="36998" xr:uid="{00000000-0005-0000-0000-00006A9C0000}"/>
    <cellStyle name="Wrap 4 8 5 3" xfId="36999" xr:uid="{00000000-0005-0000-0000-00006B9C0000}"/>
    <cellStyle name="Wrap 4 8 5 3 2" xfId="37000" xr:uid="{00000000-0005-0000-0000-00006C9C0000}"/>
    <cellStyle name="Wrap 4 8 5 4" xfId="37001" xr:uid="{00000000-0005-0000-0000-00006D9C0000}"/>
    <cellStyle name="Wrap 4 8 5 4 2" xfId="37002" xr:uid="{00000000-0005-0000-0000-00006E9C0000}"/>
    <cellStyle name="Wrap 4 8 5 5" xfId="37003" xr:uid="{00000000-0005-0000-0000-00006F9C0000}"/>
    <cellStyle name="Wrap 4 8 5 5 2" xfId="37004" xr:uid="{00000000-0005-0000-0000-0000709C0000}"/>
    <cellStyle name="Wrap 4 8 5 6" xfId="37005" xr:uid="{00000000-0005-0000-0000-0000719C0000}"/>
    <cellStyle name="Wrap 4 8 5 6 2" xfId="37006" xr:uid="{00000000-0005-0000-0000-0000729C0000}"/>
    <cellStyle name="Wrap 4 8 5 7" xfId="37007" xr:uid="{00000000-0005-0000-0000-0000739C0000}"/>
    <cellStyle name="Wrap 4 8 5 7 2" xfId="37008" xr:uid="{00000000-0005-0000-0000-0000749C0000}"/>
    <cellStyle name="Wrap 4 8 5 8" xfId="37009" xr:uid="{00000000-0005-0000-0000-0000759C0000}"/>
    <cellStyle name="Wrap 4 8 5 8 2" xfId="37010" xr:uid="{00000000-0005-0000-0000-0000769C0000}"/>
    <cellStyle name="Wrap 4 8 5 9" xfId="37011" xr:uid="{00000000-0005-0000-0000-0000779C0000}"/>
    <cellStyle name="Wrap 4 8 5 9 2" xfId="37012" xr:uid="{00000000-0005-0000-0000-0000789C0000}"/>
    <cellStyle name="Wrap 4 8 6" xfId="37013" xr:uid="{00000000-0005-0000-0000-0000799C0000}"/>
    <cellStyle name="Wrap 4 8 6 10" xfId="37014" xr:uid="{00000000-0005-0000-0000-00007A9C0000}"/>
    <cellStyle name="Wrap 4 8 6 2" xfId="37015" xr:uid="{00000000-0005-0000-0000-00007B9C0000}"/>
    <cellStyle name="Wrap 4 8 6 2 2" xfId="37016" xr:uid="{00000000-0005-0000-0000-00007C9C0000}"/>
    <cellStyle name="Wrap 4 8 6 3" xfId="37017" xr:uid="{00000000-0005-0000-0000-00007D9C0000}"/>
    <cellStyle name="Wrap 4 8 6 3 2" xfId="37018" xr:uid="{00000000-0005-0000-0000-00007E9C0000}"/>
    <cellStyle name="Wrap 4 8 6 4" xfId="37019" xr:uid="{00000000-0005-0000-0000-00007F9C0000}"/>
    <cellStyle name="Wrap 4 8 6 4 2" xfId="37020" xr:uid="{00000000-0005-0000-0000-0000809C0000}"/>
    <cellStyle name="Wrap 4 8 6 5" xfId="37021" xr:uid="{00000000-0005-0000-0000-0000819C0000}"/>
    <cellStyle name="Wrap 4 8 6 5 2" xfId="37022" xr:uid="{00000000-0005-0000-0000-0000829C0000}"/>
    <cellStyle name="Wrap 4 8 6 6" xfId="37023" xr:uid="{00000000-0005-0000-0000-0000839C0000}"/>
    <cellStyle name="Wrap 4 8 6 6 2" xfId="37024" xr:uid="{00000000-0005-0000-0000-0000849C0000}"/>
    <cellStyle name="Wrap 4 8 6 7" xfId="37025" xr:uid="{00000000-0005-0000-0000-0000859C0000}"/>
    <cellStyle name="Wrap 4 8 6 7 2" xfId="37026" xr:uid="{00000000-0005-0000-0000-0000869C0000}"/>
    <cellStyle name="Wrap 4 8 6 8" xfId="37027" xr:uid="{00000000-0005-0000-0000-0000879C0000}"/>
    <cellStyle name="Wrap 4 8 6 8 2" xfId="37028" xr:uid="{00000000-0005-0000-0000-0000889C0000}"/>
    <cellStyle name="Wrap 4 8 6 9" xfId="37029" xr:uid="{00000000-0005-0000-0000-0000899C0000}"/>
    <cellStyle name="Wrap 4 8 6 9 2" xfId="37030" xr:uid="{00000000-0005-0000-0000-00008A9C0000}"/>
    <cellStyle name="Wrap 4 8 7" xfId="37031" xr:uid="{00000000-0005-0000-0000-00008B9C0000}"/>
    <cellStyle name="Wrap 4 8 7 10" xfId="37032" xr:uid="{00000000-0005-0000-0000-00008C9C0000}"/>
    <cellStyle name="Wrap 4 8 7 2" xfId="37033" xr:uid="{00000000-0005-0000-0000-00008D9C0000}"/>
    <cellStyle name="Wrap 4 8 7 2 2" xfId="37034" xr:uid="{00000000-0005-0000-0000-00008E9C0000}"/>
    <cellStyle name="Wrap 4 8 7 3" xfId="37035" xr:uid="{00000000-0005-0000-0000-00008F9C0000}"/>
    <cellStyle name="Wrap 4 8 7 3 2" xfId="37036" xr:uid="{00000000-0005-0000-0000-0000909C0000}"/>
    <cellStyle name="Wrap 4 8 7 4" xfId="37037" xr:uid="{00000000-0005-0000-0000-0000919C0000}"/>
    <cellStyle name="Wrap 4 8 7 4 2" xfId="37038" xr:uid="{00000000-0005-0000-0000-0000929C0000}"/>
    <cellStyle name="Wrap 4 8 7 5" xfId="37039" xr:uid="{00000000-0005-0000-0000-0000939C0000}"/>
    <cellStyle name="Wrap 4 8 7 5 2" xfId="37040" xr:uid="{00000000-0005-0000-0000-0000949C0000}"/>
    <cellStyle name="Wrap 4 8 7 6" xfId="37041" xr:uid="{00000000-0005-0000-0000-0000959C0000}"/>
    <cellStyle name="Wrap 4 8 7 6 2" xfId="37042" xr:uid="{00000000-0005-0000-0000-0000969C0000}"/>
    <cellStyle name="Wrap 4 8 7 7" xfId="37043" xr:uid="{00000000-0005-0000-0000-0000979C0000}"/>
    <cellStyle name="Wrap 4 8 7 7 2" xfId="37044" xr:uid="{00000000-0005-0000-0000-0000989C0000}"/>
    <cellStyle name="Wrap 4 8 7 8" xfId="37045" xr:uid="{00000000-0005-0000-0000-0000999C0000}"/>
    <cellStyle name="Wrap 4 8 7 8 2" xfId="37046" xr:uid="{00000000-0005-0000-0000-00009A9C0000}"/>
    <cellStyle name="Wrap 4 8 7 9" xfId="37047" xr:uid="{00000000-0005-0000-0000-00009B9C0000}"/>
    <cellStyle name="Wrap 4 8 7 9 2" xfId="37048" xr:uid="{00000000-0005-0000-0000-00009C9C0000}"/>
    <cellStyle name="Wrap 4 8 8" xfId="37049" xr:uid="{00000000-0005-0000-0000-00009D9C0000}"/>
    <cellStyle name="Wrap 4 8 8 10" xfId="37050" xr:uid="{00000000-0005-0000-0000-00009E9C0000}"/>
    <cellStyle name="Wrap 4 8 8 2" xfId="37051" xr:uid="{00000000-0005-0000-0000-00009F9C0000}"/>
    <cellStyle name="Wrap 4 8 8 2 2" xfId="37052" xr:uid="{00000000-0005-0000-0000-0000A09C0000}"/>
    <cellStyle name="Wrap 4 8 8 3" xfId="37053" xr:uid="{00000000-0005-0000-0000-0000A19C0000}"/>
    <cellStyle name="Wrap 4 8 8 3 2" xfId="37054" xr:uid="{00000000-0005-0000-0000-0000A29C0000}"/>
    <cellStyle name="Wrap 4 8 8 4" xfId="37055" xr:uid="{00000000-0005-0000-0000-0000A39C0000}"/>
    <cellStyle name="Wrap 4 8 8 4 2" xfId="37056" xr:uid="{00000000-0005-0000-0000-0000A49C0000}"/>
    <cellStyle name="Wrap 4 8 8 5" xfId="37057" xr:uid="{00000000-0005-0000-0000-0000A59C0000}"/>
    <cellStyle name="Wrap 4 8 8 5 2" xfId="37058" xr:uid="{00000000-0005-0000-0000-0000A69C0000}"/>
    <cellStyle name="Wrap 4 8 8 6" xfId="37059" xr:uid="{00000000-0005-0000-0000-0000A79C0000}"/>
    <cellStyle name="Wrap 4 8 8 6 2" xfId="37060" xr:uid="{00000000-0005-0000-0000-0000A89C0000}"/>
    <cellStyle name="Wrap 4 8 8 7" xfId="37061" xr:uid="{00000000-0005-0000-0000-0000A99C0000}"/>
    <cellStyle name="Wrap 4 8 8 7 2" xfId="37062" xr:uid="{00000000-0005-0000-0000-0000AA9C0000}"/>
    <cellStyle name="Wrap 4 8 8 8" xfId="37063" xr:uid="{00000000-0005-0000-0000-0000AB9C0000}"/>
    <cellStyle name="Wrap 4 8 8 8 2" xfId="37064" xr:uid="{00000000-0005-0000-0000-0000AC9C0000}"/>
    <cellStyle name="Wrap 4 8 8 9" xfId="37065" xr:uid="{00000000-0005-0000-0000-0000AD9C0000}"/>
    <cellStyle name="Wrap 4 8 8 9 2" xfId="37066" xr:uid="{00000000-0005-0000-0000-0000AE9C0000}"/>
    <cellStyle name="Wrap 4 8 9" xfId="37067" xr:uid="{00000000-0005-0000-0000-0000AF9C0000}"/>
    <cellStyle name="Wrap 4 8 9 10" xfId="37068" xr:uid="{00000000-0005-0000-0000-0000B09C0000}"/>
    <cellStyle name="Wrap 4 8 9 2" xfId="37069" xr:uid="{00000000-0005-0000-0000-0000B19C0000}"/>
    <cellStyle name="Wrap 4 8 9 2 2" xfId="37070" xr:uid="{00000000-0005-0000-0000-0000B29C0000}"/>
    <cellStyle name="Wrap 4 8 9 3" xfId="37071" xr:uid="{00000000-0005-0000-0000-0000B39C0000}"/>
    <cellStyle name="Wrap 4 8 9 3 2" xfId="37072" xr:uid="{00000000-0005-0000-0000-0000B49C0000}"/>
    <cellStyle name="Wrap 4 8 9 4" xfId="37073" xr:uid="{00000000-0005-0000-0000-0000B59C0000}"/>
    <cellStyle name="Wrap 4 8 9 4 2" xfId="37074" xr:uid="{00000000-0005-0000-0000-0000B69C0000}"/>
    <cellStyle name="Wrap 4 8 9 5" xfId="37075" xr:uid="{00000000-0005-0000-0000-0000B79C0000}"/>
    <cellStyle name="Wrap 4 8 9 5 2" xfId="37076" xr:uid="{00000000-0005-0000-0000-0000B89C0000}"/>
    <cellStyle name="Wrap 4 8 9 6" xfId="37077" xr:uid="{00000000-0005-0000-0000-0000B99C0000}"/>
    <cellStyle name="Wrap 4 8 9 6 2" xfId="37078" xr:uid="{00000000-0005-0000-0000-0000BA9C0000}"/>
    <cellStyle name="Wrap 4 8 9 7" xfId="37079" xr:uid="{00000000-0005-0000-0000-0000BB9C0000}"/>
    <cellStyle name="Wrap 4 8 9 7 2" xfId="37080" xr:uid="{00000000-0005-0000-0000-0000BC9C0000}"/>
    <cellStyle name="Wrap 4 8 9 8" xfId="37081" xr:uid="{00000000-0005-0000-0000-0000BD9C0000}"/>
    <cellStyle name="Wrap 4 8 9 8 2" xfId="37082" xr:uid="{00000000-0005-0000-0000-0000BE9C0000}"/>
    <cellStyle name="Wrap 4 8 9 9" xfId="37083" xr:uid="{00000000-0005-0000-0000-0000BF9C0000}"/>
    <cellStyle name="Wrap 4 8 9 9 2" xfId="37084" xr:uid="{00000000-0005-0000-0000-0000C09C0000}"/>
    <cellStyle name="Wrap Bold" xfId="124" xr:uid="{00000000-0005-0000-0000-0000C19C0000}"/>
    <cellStyle name="Wrap Bold 2" xfId="208" xr:uid="{00000000-0005-0000-0000-0000C29C0000}"/>
    <cellStyle name="Wrap Bold 2 10" xfId="37085" xr:uid="{00000000-0005-0000-0000-0000C39C0000}"/>
    <cellStyle name="Wrap Bold 2 10 10" xfId="37086" xr:uid="{00000000-0005-0000-0000-0000C49C0000}"/>
    <cellStyle name="Wrap Bold 2 10 10 2" xfId="37087" xr:uid="{00000000-0005-0000-0000-0000C59C0000}"/>
    <cellStyle name="Wrap Bold 2 10 10 2 2" xfId="37088" xr:uid="{00000000-0005-0000-0000-0000C69C0000}"/>
    <cellStyle name="Wrap Bold 2 10 10 3" xfId="37089" xr:uid="{00000000-0005-0000-0000-0000C79C0000}"/>
    <cellStyle name="Wrap Bold 2 10 10 3 2" xfId="37090" xr:uid="{00000000-0005-0000-0000-0000C89C0000}"/>
    <cellStyle name="Wrap Bold 2 10 10 4" xfId="37091" xr:uid="{00000000-0005-0000-0000-0000C99C0000}"/>
    <cellStyle name="Wrap Bold 2 10 10 4 2" xfId="37092" xr:uid="{00000000-0005-0000-0000-0000CA9C0000}"/>
    <cellStyle name="Wrap Bold 2 10 10 5" xfId="37093" xr:uid="{00000000-0005-0000-0000-0000CB9C0000}"/>
    <cellStyle name="Wrap Bold 2 10 10 5 2" xfId="37094" xr:uid="{00000000-0005-0000-0000-0000CC9C0000}"/>
    <cellStyle name="Wrap Bold 2 10 10 6" xfId="37095" xr:uid="{00000000-0005-0000-0000-0000CD9C0000}"/>
    <cellStyle name="Wrap Bold 2 10 10 6 2" xfId="37096" xr:uid="{00000000-0005-0000-0000-0000CE9C0000}"/>
    <cellStyle name="Wrap Bold 2 10 10 7" xfId="37097" xr:uid="{00000000-0005-0000-0000-0000CF9C0000}"/>
    <cellStyle name="Wrap Bold 2 10 10 7 2" xfId="37098" xr:uid="{00000000-0005-0000-0000-0000D09C0000}"/>
    <cellStyle name="Wrap Bold 2 10 10 8" xfId="37099" xr:uid="{00000000-0005-0000-0000-0000D19C0000}"/>
    <cellStyle name="Wrap Bold 2 10 10 8 2" xfId="37100" xr:uid="{00000000-0005-0000-0000-0000D29C0000}"/>
    <cellStyle name="Wrap Bold 2 10 10 9" xfId="37101" xr:uid="{00000000-0005-0000-0000-0000D39C0000}"/>
    <cellStyle name="Wrap Bold 2 10 11" xfId="37102" xr:uid="{00000000-0005-0000-0000-0000D49C0000}"/>
    <cellStyle name="Wrap Bold 2 10 11 2" xfId="37103" xr:uid="{00000000-0005-0000-0000-0000D59C0000}"/>
    <cellStyle name="Wrap Bold 2 10 12" xfId="37104" xr:uid="{00000000-0005-0000-0000-0000D69C0000}"/>
    <cellStyle name="Wrap Bold 2 10 12 2" xfId="37105" xr:uid="{00000000-0005-0000-0000-0000D79C0000}"/>
    <cellStyle name="Wrap Bold 2 10 13" xfId="37106" xr:uid="{00000000-0005-0000-0000-0000D89C0000}"/>
    <cellStyle name="Wrap Bold 2 10 13 2" xfId="37107" xr:uid="{00000000-0005-0000-0000-0000D99C0000}"/>
    <cellStyle name="Wrap Bold 2 10 14" xfId="37108" xr:uid="{00000000-0005-0000-0000-0000DA9C0000}"/>
    <cellStyle name="Wrap Bold 2 10 14 2" xfId="37109" xr:uid="{00000000-0005-0000-0000-0000DB9C0000}"/>
    <cellStyle name="Wrap Bold 2 10 15" xfId="37110" xr:uid="{00000000-0005-0000-0000-0000DC9C0000}"/>
    <cellStyle name="Wrap Bold 2 10 15 2" xfId="37111" xr:uid="{00000000-0005-0000-0000-0000DD9C0000}"/>
    <cellStyle name="Wrap Bold 2 10 16" xfId="37112" xr:uid="{00000000-0005-0000-0000-0000DE9C0000}"/>
    <cellStyle name="Wrap Bold 2 10 16 2" xfId="37113" xr:uid="{00000000-0005-0000-0000-0000DF9C0000}"/>
    <cellStyle name="Wrap Bold 2 10 17" xfId="37114" xr:uid="{00000000-0005-0000-0000-0000E09C0000}"/>
    <cellStyle name="Wrap Bold 2 10 17 2" xfId="37115" xr:uid="{00000000-0005-0000-0000-0000E19C0000}"/>
    <cellStyle name="Wrap Bold 2 10 18" xfId="37116" xr:uid="{00000000-0005-0000-0000-0000E29C0000}"/>
    <cellStyle name="Wrap Bold 2 10 2" xfId="37117" xr:uid="{00000000-0005-0000-0000-0000E39C0000}"/>
    <cellStyle name="Wrap Bold 2 10 2 10" xfId="37118" xr:uid="{00000000-0005-0000-0000-0000E49C0000}"/>
    <cellStyle name="Wrap Bold 2 10 2 2" xfId="37119" xr:uid="{00000000-0005-0000-0000-0000E59C0000}"/>
    <cellStyle name="Wrap Bold 2 10 2 2 2" xfId="37120" xr:uid="{00000000-0005-0000-0000-0000E69C0000}"/>
    <cellStyle name="Wrap Bold 2 10 2 3" xfId="37121" xr:uid="{00000000-0005-0000-0000-0000E79C0000}"/>
    <cellStyle name="Wrap Bold 2 10 2 3 2" xfId="37122" xr:uid="{00000000-0005-0000-0000-0000E89C0000}"/>
    <cellStyle name="Wrap Bold 2 10 2 4" xfId="37123" xr:uid="{00000000-0005-0000-0000-0000E99C0000}"/>
    <cellStyle name="Wrap Bold 2 10 2 4 2" xfId="37124" xr:uid="{00000000-0005-0000-0000-0000EA9C0000}"/>
    <cellStyle name="Wrap Bold 2 10 2 5" xfId="37125" xr:uid="{00000000-0005-0000-0000-0000EB9C0000}"/>
    <cellStyle name="Wrap Bold 2 10 2 5 2" xfId="37126" xr:uid="{00000000-0005-0000-0000-0000EC9C0000}"/>
    <cellStyle name="Wrap Bold 2 10 2 6" xfId="37127" xr:uid="{00000000-0005-0000-0000-0000ED9C0000}"/>
    <cellStyle name="Wrap Bold 2 10 2 6 2" xfId="37128" xr:uid="{00000000-0005-0000-0000-0000EE9C0000}"/>
    <cellStyle name="Wrap Bold 2 10 2 7" xfId="37129" xr:uid="{00000000-0005-0000-0000-0000EF9C0000}"/>
    <cellStyle name="Wrap Bold 2 10 2 7 2" xfId="37130" xr:uid="{00000000-0005-0000-0000-0000F09C0000}"/>
    <cellStyle name="Wrap Bold 2 10 2 8" xfId="37131" xr:uid="{00000000-0005-0000-0000-0000F19C0000}"/>
    <cellStyle name="Wrap Bold 2 10 2 8 2" xfId="37132" xr:uid="{00000000-0005-0000-0000-0000F29C0000}"/>
    <cellStyle name="Wrap Bold 2 10 2 9" xfId="37133" xr:uid="{00000000-0005-0000-0000-0000F39C0000}"/>
    <cellStyle name="Wrap Bold 2 10 2 9 2" xfId="37134" xr:uid="{00000000-0005-0000-0000-0000F49C0000}"/>
    <cellStyle name="Wrap Bold 2 10 3" xfId="37135" xr:uid="{00000000-0005-0000-0000-0000F59C0000}"/>
    <cellStyle name="Wrap Bold 2 10 3 10" xfId="37136" xr:uid="{00000000-0005-0000-0000-0000F69C0000}"/>
    <cellStyle name="Wrap Bold 2 10 3 2" xfId="37137" xr:uid="{00000000-0005-0000-0000-0000F79C0000}"/>
    <cellStyle name="Wrap Bold 2 10 3 2 2" xfId="37138" xr:uid="{00000000-0005-0000-0000-0000F89C0000}"/>
    <cellStyle name="Wrap Bold 2 10 3 3" xfId="37139" xr:uid="{00000000-0005-0000-0000-0000F99C0000}"/>
    <cellStyle name="Wrap Bold 2 10 3 3 2" xfId="37140" xr:uid="{00000000-0005-0000-0000-0000FA9C0000}"/>
    <cellStyle name="Wrap Bold 2 10 3 4" xfId="37141" xr:uid="{00000000-0005-0000-0000-0000FB9C0000}"/>
    <cellStyle name="Wrap Bold 2 10 3 4 2" xfId="37142" xr:uid="{00000000-0005-0000-0000-0000FC9C0000}"/>
    <cellStyle name="Wrap Bold 2 10 3 5" xfId="37143" xr:uid="{00000000-0005-0000-0000-0000FD9C0000}"/>
    <cellStyle name="Wrap Bold 2 10 3 5 2" xfId="37144" xr:uid="{00000000-0005-0000-0000-0000FE9C0000}"/>
    <cellStyle name="Wrap Bold 2 10 3 6" xfId="37145" xr:uid="{00000000-0005-0000-0000-0000FF9C0000}"/>
    <cellStyle name="Wrap Bold 2 10 3 6 2" xfId="37146" xr:uid="{00000000-0005-0000-0000-0000009D0000}"/>
    <cellStyle name="Wrap Bold 2 10 3 7" xfId="37147" xr:uid="{00000000-0005-0000-0000-0000019D0000}"/>
    <cellStyle name="Wrap Bold 2 10 3 7 2" xfId="37148" xr:uid="{00000000-0005-0000-0000-0000029D0000}"/>
    <cellStyle name="Wrap Bold 2 10 3 8" xfId="37149" xr:uid="{00000000-0005-0000-0000-0000039D0000}"/>
    <cellStyle name="Wrap Bold 2 10 3 8 2" xfId="37150" xr:uid="{00000000-0005-0000-0000-0000049D0000}"/>
    <cellStyle name="Wrap Bold 2 10 3 9" xfId="37151" xr:uid="{00000000-0005-0000-0000-0000059D0000}"/>
    <cellStyle name="Wrap Bold 2 10 3 9 2" xfId="37152" xr:uid="{00000000-0005-0000-0000-0000069D0000}"/>
    <cellStyle name="Wrap Bold 2 10 4" xfId="37153" xr:uid="{00000000-0005-0000-0000-0000079D0000}"/>
    <cellStyle name="Wrap Bold 2 10 4 10" xfId="37154" xr:uid="{00000000-0005-0000-0000-0000089D0000}"/>
    <cellStyle name="Wrap Bold 2 10 4 2" xfId="37155" xr:uid="{00000000-0005-0000-0000-0000099D0000}"/>
    <cellStyle name="Wrap Bold 2 10 4 2 2" xfId="37156" xr:uid="{00000000-0005-0000-0000-00000A9D0000}"/>
    <cellStyle name="Wrap Bold 2 10 4 3" xfId="37157" xr:uid="{00000000-0005-0000-0000-00000B9D0000}"/>
    <cellStyle name="Wrap Bold 2 10 4 3 2" xfId="37158" xr:uid="{00000000-0005-0000-0000-00000C9D0000}"/>
    <cellStyle name="Wrap Bold 2 10 4 4" xfId="37159" xr:uid="{00000000-0005-0000-0000-00000D9D0000}"/>
    <cellStyle name="Wrap Bold 2 10 4 4 2" xfId="37160" xr:uid="{00000000-0005-0000-0000-00000E9D0000}"/>
    <cellStyle name="Wrap Bold 2 10 4 5" xfId="37161" xr:uid="{00000000-0005-0000-0000-00000F9D0000}"/>
    <cellStyle name="Wrap Bold 2 10 4 5 2" xfId="37162" xr:uid="{00000000-0005-0000-0000-0000109D0000}"/>
    <cellStyle name="Wrap Bold 2 10 4 6" xfId="37163" xr:uid="{00000000-0005-0000-0000-0000119D0000}"/>
    <cellStyle name="Wrap Bold 2 10 4 6 2" xfId="37164" xr:uid="{00000000-0005-0000-0000-0000129D0000}"/>
    <cellStyle name="Wrap Bold 2 10 4 7" xfId="37165" xr:uid="{00000000-0005-0000-0000-0000139D0000}"/>
    <cellStyle name="Wrap Bold 2 10 4 7 2" xfId="37166" xr:uid="{00000000-0005-0000-0000-0000149D0000}"/>
    <cellStyle name="Wrap Bold 2 10 4 8" xfId="37167" xr:uid="{00000000-0005-0000-0000-0000159D0000}"/>
    <cellStyle name="Wrap Bold 2 10 4 8 2" xfId="37168" xr:uid="{00000000-0005-0000-0000-0000169D0000}"/>
    <cellStyle name="Wrap Bold 2 10 4 9" xfId="37169" xr:uid="{00000000-0005-0000-0000-0000179D0000}"/>
    <cellStyle name="Wrap Bold 2 10 4 9 2" xfId="37170" xr:uid="{00000000-0005-0000-0000-0000189D0000}"/>
    <cellStyle name="Wrap Bold 2 10 5" xfId="37171" xr:uid="{00000000-0005-0000-0000-0000199D0000}"/>
    <cellStyle name="Wrap Bold 2 10 5 10" xfId="37172" xr:uid="{00000000-0005-0000-0000-00001A9D0000}"/>
    <cellStyle name="Wrap Bold 2 10 5 2" xfId="37173" xr:uid="{00000000-0005-0000-0000-00001B9D0000}"/>
    <cellStyle name="Wrap Bold 2 10 5 2 2" xfId="37174" xr:uid="{00000000-0005-0000-0000-00001C9D0000}"/>
    <cellStyle name="Wrap Bold 2 10 5 3" xfId="37175" xr:uid="{00000000-0005-0000-0000-00001D9D0000}"/>
    <cellStyle name="Wrap Bold 2 10 5 3 2" xfId="37176" xr:uid="{00000000-0005-0000-0000-00001E9D0000}"/>
    <cellStyle name="Wrap Bold 2 10 5 4" xfId="37177" xr:uid="{00000000-0005-0000-0000-00001F9D0000}"/>
    <cellStyle name="Wrap Bold 2 10 5 4 2" xfId="37178" xr:uid="{00000000-0005-0000-0000-0000209D0000}"/>
    <cellStyle name="Wrap Bold 2 10 5 5" xfId="37179" xr:uid="{00000000-0005-0000-0000-0000219D0000}"/>
    <cellStyle name="Wrap Bold 2 10 5 5 2" xfId="37180" xr:uid="{00000000-0005-0000-0000-0000229D0000}"/>
    <cellStyle name="Wrap Bold 2 10 5 6" xfId="37181" xr:uid="{00000000-0005-0000-0000-0000239D0000}"/>
    <cellStyle name="Wrap Bold 2 10 5 6 2" xfId="37182" xr:uid="{00000000-0005-0000-0000-0000249D0000}"/>
    <cellStyle name="Wrap Bold 2 10 5 7" xfId="37183" xr:uid="{00000000-0005-0000-0000-0000259D0000}"/>
    <cellStyle name="Wrap Bold 2 10 5 7 2" xfId="37184" xr:uid="{00000000-0005-0000-0000-0000269D0000}"/>
    <cellStyle name="Wrap Bold 2 10 5 8" xfId="37185" xr:uid="{00000000-0005-0000-0000-0000279D0000}"/>
    <cellStyle name="Wrap Bold 2 10 5 8 2" xfId="37186" xr:uid="{00000000-0005-0000-0000-0000289D0000}"/>
    <cellStyle name="Wrap Bold 2 10 5 9" xfId="37187" xr:uid="{00000000-0005-0000-0000-0000299D0000}"/>
    <cellStyle name="Wrap Bold 2 10 5 9 2" xfId="37188" xr:uid="{00000000-0005-0000-0000-00002A9D0000}"/>
    <cellStyle name="Wrap Bold 2 10 6" xfId="37189" xr:uid="{00000000-0005-0000-0000-00002B9D0000}"/>
    <cellStyle name="Wrap Bold 2 10 6 10" xfId="37190" xr:uid="{00000000-0005-0000-0000-00002C9D0000}"/>
    <cellStyle name="Wrap Bold 2 10 6 2" xfId="37191" xr:uid="{00000000-0005-0000-0000-00002D9D0000}"/>
    <cellStyle name="Wrap Bold 2 10 6 2 2" xfId="37192" xr:uid="{00000000-0005-0000-0000-00002E9D0000}"/>
    <cellStyle name="Wrap Bold 2 10 6 3" xfId="37193" xr:uid="{00000000-0005-0000-0000-00002F9D0000}"/>
    <cellStyle name="Wrap Bold 2 10 6 3 2" xfId="37194" xr:uid="{00000000-0005-0000-0000-0000309D0000}"/>
    <cellStyle name="Wrap Bold 2 10 6 4" xfId="37195" xr:uid="{00000000-0005-0000-0000-0000319D0000}"/>
    <cellStyle name="Wrap Bold 2 10 6 4 2" xfId="37196" xr:uid="{00000000-0005-0000-0000-0000329D0000}"/>
    <cellStyle name="Wrap Bold 2 10 6 5" xfId="37197" xr:uid="{00000000-0005-0000-0000-0000339D0000}"/>
    <cellStyle name="Wrap Bold 2 10 6 5 2" xfId="37198" xr:uid="{00000000-0005-0000-0000-0000349D0000}"/>
    <cellStyle name="Wrap Bold 2 10 6 6" xfId="37199" xr:uid="{00000000-0005-0000-0000-0000359D0000}"/>
    <cellStyle name="Wrap Bold 2 10 6 6 2" xfId="37200" xr:uid="{00000000-0005-0000-0000-0000369D0000}"/>
    <cellStyle name="Wrap Bold 2 10 6 7" xfId="37201" xr:uid="{00000000-0005-0000-0000-0000379D0000}"/>
    <cellStyle name="Wrap Bold 2 10 6 7 2" xfId="37202" xr:uid="{00000000-0005-0000-0000-0000389D0000}"/>
    <cellStyle name="Wrap Bold 2 10 6 8" xfId="37203" xr:uid="{00000000-0005-0000-0000-0000399D0000}"/>
    <cellStyle name="Wrap Bold 2 10 6 8 2" xfId="37204" xr:uid="{00000000-0005-0000-0000-00003A9D0000}"/>
    <cellStyle name="Wrap Bold 2 10 6 9" xfId="37205" xr:uid="{00000000-0005-0000-0000-00003B9D0000}"/>
    <cellStyle name="Wrap Bold 2 10 6 9 2" xfId="37206" xr:uid="{00000000-0005-0000-0000-00003C9D0000}"/>
    <cellStyle name="Wrap Bold 2 10 7" xfId="37207" xr:uid="{00000000-0005-0000-0000-00003D9D0000}"/>
    <cellStyle name="Wrap Bold 2 10 7 10" xfId="37208" xr:uid="{00000000-0005-0000-0000-00003E9D0000}"/>
    <cellStyle name="Wrap Bold 2 10 7 2" xfId="37209" xr:uid="{00000000-0005-0000-0000-00003F9D0000}"/>
    <cellStyle name="Wrap Bold 2 10 7 2 2" xfId="37210" xr:uid="{00000000-0005-0000-0000-0000409D0000}"/>
    <cellStyle name="Wrap Bold 2 10 7 3" xfId="37211" xr:uid="{00000000-0005-0000-0000-0000419D0000}"/>
    <cellStyle name="Wrap Bold 2 10 7 3 2" xfId="37212" xr:uid="{00000000-0005-0000-0000-0000429D0000}"/>
    <cellStyle name="Wrap Bold 2 10 7 4" xfId="37213" xr:uid="{00000000-0005-0000-0000-0000439D0000}"/>
    <cellStyle name="Wrap Bold 2 10 7 4 2" xfId="37214" xr:uid="{00000000-0005-0000-0000-0000449D0000}"/>
    <cellStyle name="Wrap Bold 2 10 7 5" xfId="37215" xr:uid="{00000000-0005-0000-0000-0000459D0000}"/>
    <cellStyle name="Wrap Bold 2 10 7 5 2" xfId="37216" xr:uid="{00000000-0005-0000-0000-0000469D0000}"/>
    <cellStyle name="Wrap Bold 2 10 7 6" xfId="37217" xr:uid="{00000000-0005-0000-0000-0000479D0000}"/>
    <cellStyle name="Wrap Bold 2 10 7 6 2" xfId="37218" xr:uid="{00000000-0005-0000-0000-0000489D0000}"/>
    <cellStyle name="Wrap Bold 2 10 7 7" xfId="37219" xr:uid="{00000000-0005-0000-0000-0000499D0000}"/>
    <cellStyle name="Wrap Bold 2 10 7 7 2" xfId="37220" xr:uid="{00000000-0005-0000-0000-00004A9D0000}"/>
    <cellStyle name="Wrap Bold 2 10 7 8" xfId="37221" xr:uid="{00000000-0005-0000-0000-00004B9D0000}"/>
    <cellStyle name="Wrap Bold 2 10 7 8 2" xfId="37222" xr:uid="{00000000-0005-0000-0000-00004C9D0000}"/>
    <cellStyle name="Wrap Bold 2 10 7 9" xfId="37223" xr:uid="{00000000-0005-0000-0000-00004D9D0000}"/>
    <cellStyle name="Wrap Bold 2 10 7 9 2" xfId="37224" xr:uid="{00000000-0005-0000-0000-00004E9D0000}"/>
    <cellStyle name="Wrap Bold 2 10 8" xfId="37225" xr:uid="{00000000-0005-0000-0000-00004F9D0000}"/>
    <cellStyle name="Wrap Bold 2 10 8 10" xfId="37226" xr:uid="{00000000-0005-0000-0000-0000509D0000}"/>
    <cellStyle name="Wrap Bold 2 10 8 2" xfId="37227" xr:uid="{00000000-0005-0000-0000-0000519D0000}"/>
    <cellStyle name="Wrap Bold 2 10 8 2 2" xfId="37228" xr:uid="{00000000-0005-0000-0000-0000529D0000}"/>
    <cellStyle name="Wrap Bold 2 10 8 3" xfId="37229" xr:uid="{00000000-0005-0000-0000-0000539D0000}"/>
    <cellStyle name="Wrap Bold 2 10 8 3 2" xfId="37230" xr:uid="{00000000-0005-0000-0000-0000549D0000}"/>
    <cellStyle name="Wrap Bold 2 10 8 4" xfId="37231" xr:uid="{00000000-0005-0000-0000-0000559D0000}"/>
    <cellStyle name="Wrap Bold 2 10 8 4 2" xfId="37232" xr:uid="{00000000-0005-0000-0000-0000569D0000}"/>
    <cellStyle name="Wrap Bold 2 10 8 5" xfId="37233" xr:uid="{00000000-0005-0000-0000-0000579D0000}"/>
    <cellStyle name="Wrap Bold 2 10 8 5 2" xfId="37234" xr:uid="{00000000-0005-0000-0000-0000589D0000}"/>
    <cellStyle name="Wrap Bold 2 10 8 6" xfId="37235" xr:uid="{00000000-0005-0000-0000-0000599D0000}"/>
    <cellStyle name="Wrap Bold 2 10 8 6 2" xfId="37236" xr:uid="{00000000-0005-0000-0000-00005A9D0000}"/>
    <cellStyle name="Wrap Bold 2 10 8 7" xfId="37237" xr:uid="{00000000-0005-0000-0000-00005B9D0000}"/>
    <cellStyle name="Wrap Bold 2 10 8 7 2" xfId="37238" xr:uid="{00000000-0005-0000-0000-00005C9D0000}"/>
    <cellStyle name="Wrap Bold 2 10 8 8" xfId="37239" xr:uid="{00000000-0005-0000-0000-00005D9D0000}"/>
    <cellStyle name="Wrap Bold 2 10 8 8 2" xfId="37240" xr:uid="{00000000-0005-0000-0000-00005E9D0000}"/>
    <cellStyle name="Wrap Bold 2 10 8 9" xfId="37241" xr:uid="{00000000-0005-0000-0000-00005F9D0000}"/>
    <cellStyle name="Wrap Bold 2 10 8 9 2" xfId="37242" xr:uid="{00000000-0005-0000-0000-0000609D0000}"/>
    <cellStyle name="Wrap Bold 2 10 9" xfId="37243" xr:uid="{00000000-0005-0000-0000-0000619D0000}"/>
    <cellStyle name="Wrap Bold 2 10 9 10" xfId="37244" xr:uid="{00000000-0005-0000-0000-0000629D0000}"/>
    <cellStyle name="Wrap Bold 2 10 9 2" xfId="37245" xr:uid="{00000000-0005-0000-0000-0000639D0000}"/>
    <cellStyle name="Wrap Bold 2 10 9 2 2" xfId="37246" xr:uid="{00000000-0005-0000-0000-0000649D0000}"/>
    <cellStyle name="Wrap Bold 2 10 9 3" xfId="37247" xr:uid="{00000000-0005-0000-0000-0000659D0000}"/>
    <cellStyle name="Wrap Bold 2 10 9 3 2" xfId="37248" xr:uid="{00000000-0005-0000-0000-0000669D0000}"/>
    <cellStyle name="Wrap Bold 2 10 9 4" xfId="37249" xr:uid="{00000000-0005-0000-0000-0000679D0000}"/>
    <cellStyle name="Wrap Bold 2 10 9 4 2" xfId="37250" xr:uid="{00000000-0005-0000-0000-0000689D0000}"/>
    <cellStyle name="Wrap Bold 2 10 9 5" xfId="37251" xr:uid="{00000000-0005-0000-0000-0000699D0000}"/>
    <cellStyle name="Wrap Bold 2 10 9 5 2" xfId="37252" xr:uid="{00000000-0005-0000-0000-00006A9D0000}"/>
    <cellStyle name="Wrap Bold 2 10 9 6" xfId="37253" xr:uid="{00000000-0005-0000-0000-00006B9D0000}"/>
    <cellStyle name="Wrap Bold 2 10 9 6 2" xfId="37254" xr:uid="{00000000-0005-0000-0000-00006C9D0000}"/>
    <cellStyle name="Wrap Bold 2 10 9 7" xfId="37255" xr:uid="{00000000-0005-0000-0000-00006D9D0000}"/>
    <cellStyle name="Wrap Bold 2 10 9 7 2" xfId="37256" xr:uid="{00000000-0005-0000-0000-00006E9D0000}"/>
    <cellStyle name="Wrap Bold 2 10 9 8" xfId="37257" xr:uid="{00000000-0005-0000-0000-00006F9D0000}"/>
    <cellStyle name="Wrap Bold 2 10 9 8 2" xfId="37258" xr:uid="{00000000-0005-0000-0000-0000709D0000}"/>
    <cellStyle name="Wrap Bold 2 10 9 9" xfId="37259" xr:uid="{00000000-0005-0000-0000-0000719D0000}"/>
    <cellStyle name="Wrap Bold 2 10 9 9 2" xfId="37260" xr:uid="{00000000-0005-0000-0000-0000729D0000}"/>
    <cellStyle name="Wrap Bold 2 2" xfId="209" xr:uid="{00000000-0005-0000-0000-0000739D0000}"/>
    <cellStyle name="Wrap Bold 2 2 2" xfId="37261" xr:uid="{00000000-0005-0000-0000-0000749D0000}"/>
    <cellStyle name="Wrap Bold 2 2 2 10" xfId="37262" xr:uid="{00000000-0005-0000-0000-0000759D0000}"/>
    <cellStyle name="Wrap Bold 2 2 2 10 10" xfId="37263" xr:uid="{00000000-0005-0000-0000-0000769D0000}"/>
    <cellStyle name="Wrap Bold 2 2 2 10 2" xfId="37264" xr:uid="{00000000-0005-0000-0000-0000779D0000}"/>
    <cellStyle name="Wrap Bold 2 2 2 10 2 2" xfId="37265" xr:uid="{00000000-0005-0000-0000-0000789D0000}"/>
    <cellStyle name="Wrap Bold 2 2 2 10 3" xfId="37266" xr:uid="{00000000-0005-0000-0000-0000799D0000}"/>
    <cellStyle name="Wrap Bold 2 2 2 10 3 2" xfId="37267" xr:uid="{00000000-0005-0000-0000-00007A9D0000}"/>
    <cellStyle name="Wrap Bold 2 2 2 10 4" xfId="37268" xr:uid="{00000000-0005-0000-0000-00007B9D0000}"/>
    <cellStyle name="Wrap Bold 2 2 2 10 4 2" xfId="37269" xr:uid="{00000000-0005-0000-0000-00007C9D0000}"/>
    <cellStyle name="Wrap Bold 2 2 2 10 5" xfId="37270" xr:uid="{00000000-0005-0000-0000-00007D9D0000}"/>
    <cellStyle name="Wrap Bold 2 2 2 10 5 2" xfId="37271" xr:uid="{00000000-0005-0000-0000-00007E9D0000}"/>
    <cellStyle name="Wrap Bold 2 2 2 10 6" xfId="37272" xr:uid="{00000000-0005-0000-0000-00007F9D0000}"/>
    <cellStyle name="Wrap Bold 2 2 2 10 6 2" xfId="37273" xr:uid="{00000000-0005-0000-0000-0000809D0000}"/>
    <cellStyle name="Wrap Bold 2 2 2 10 7" xfId="37274" xr:uid="{00000000-0005-0000-0000-0000819D0000}"/>
    <cellStyle name="Wrap Bold 2 2 2 10 7 2" xfId="37275" xr:uid="{00000000-0005-0000-0000-0000829D0000}"/>
    <cellStyle name="Wrap Bold 2 2 2 10 8" xfId="37276" xr:uid="{00000000-0005-0000-0000-0000839D0000}"/>
    <cellStyle name="Wrap Bold 2 2 2 10 8 2" xfId="37277" xr:uid="{00000000-0005-0000-0000-0000849D0000}"/>
    <cellStyle name="Wrap Bold 2 2 2 10 9" xfId="37278" xr:uid="{00000000-0005-0000-0000-0000859D0000}"/>
    <cellStyle name="Wrap Bold 2 2 2 10 9 2" xfId="37279" xr:uid="{00000000-0005-0000-0000-0000869D0000}"/>
    <cellStyle name="Wrap Bold 2 2 2 11" xfId="37280" xr:uid="{00000000-0005-0000-0000-0000879D0000}"/>
    <cellStyle name="Wrap Bold 2 2 2 11 2" xfId="37281" xr:uid="{00000000-0005-0000-0000-0000889D0000}"/>
    <cellStyle name="Wrap Bold 2 2 2 11 2 2" xfId="37282" xr:uid="{00000000-0005-0000-0000-0000899D0000}"/>
    <cellStyle name="Wrap Bold 2 2 2 11 3" xfId="37283" xr:uid="{00000000-0005-0000-0000-00008A9D0000}"/>
    <cellStyle name="Wrap Bold 2 2 2 11 3 2" xfId="37284" xr:uid="{00000000-0005-0000-0000-00008B9D0000}"/>
    <cellStyle name="Wrap Bold 2 2 2 11 4" xfId="37285" xr:uid="{00000000-0005-0000-0000-00008C9D0000}"/>
    <cellStyle name="Wrap Bold 2 2 2 11 4 2" xfId="37286" xr:uid="{00000000-0005-0000-0000-00008D9D0000}"/>
    <cellStyle name="Wrap Bold 2 2 2 11 5" xfId="37287" xr:uid="{00000000-0005-0000-0000-00008E9D0000}"/>
    <cellStyle name="Wrap Bold 2 2 2 11 5 2" xfId="37288" xr:uid="{00000000-0005-0000-0000-00008F9D0000}"/>
    <cellStyle name="Wrap Bold 2 2 2 11 6" xfId="37289" xr:uid="{00000000-0005-0000-0000-0000909D0000}"/>
    <cellStyle name="Wrap Bold 2 2 2 11 6 2" xfId="37290" xr:uid="{00000000-0005-0000-0000-0000919D0000}"/>
    <cellStyle name="Wrap Bold 2 2 2 11 7" xfId="37291" xr:uid="{00000000-0005-0000-0000-0000929D0000}"/>
    <cellStyle name="Wrap Bold 2 2 2 11 7 2" xfId="37292" xr:uid="{00000000-0005-0000-0000-0000939D0000}"/>
    <cellStyle name="Wrap Bold 2 2 2 11 8" xfId="37293" xr:uid="{00000000-0005-0000-0000-0000949D0000}"/>
    <cellStyle name="Wrap Bold 2 2 2 11 8 2" xfId="37294" xr:uid="{00000000-0005-0000-0000-0000959D0000}"/>
    <cellStyle name="Wrap Bold 2 2 2 11 9" xfId="37295" xr:uid="{00000000-0005-0000-0000-0000969D0000}"/>
    <cellStyle name="Wrap Bold 2 2 2 2" xfId="37296" xr:uid="{00000000-0005-0000-0000-0000979D0000}"/>
    <cellStyle name="Wrap Bold 2 2 2 2 10" xfId="37297" xr:uid="{00000000-0005-0000-0000-0000989D0000}"/>
    <cellStyle name="Wrap Bold 2 2 2 2 2" xfId="37298" xr:uid="{00000000-0005-0000-0000-0000999D0000}"/>
    <cellStyle name="Wrap Bold 2 2 2 2 2 2" xfId="37299" xr:uid="{00000000-0005-0000-0000-00009A9D0000}"/>
    <cellStyle name="Wrap Bold 2 2 2 2 3" xfId="37300" xr:uid="{00000000-0005-0000-0000-00009B9D0000}"/>
    <cellStyle name="Wrap Bold 2 2 2 2 3 2" xfId="37301" xr:uid="{00000000-0005-0000-0000-00009C9D0000}"/>
    <cellStyle name="Wrap Bold 2 2 2 2 4" xfId="37302" xr:uid="{00000000-0005-0000-0000-00009D9D0000}"/>
    <cellStyle name="Wrap Bold 2 2 2 2 4 2" xfId="37303" xr:uid="{00000000-0005-0000-0000-00009E9D0000}"/>
    <cellStyle name="Wrap Bold 2 2 2 2 5" xfId="37304" xr:uid="{00000000-0005-0000-0000-00009F9D0000}"/>
    <cellStyle name="Wrap Bold 2 2 2 2 5 2" xfId="37305" xr:uid="{00000000-0005-0000-0000-0000A09D0000}"/>
    <cellStyle name="Wrap Bold 2 2 2 2 6" xfId="37306" xr:uid="{00000000-0005-0000-0000-0000A19D0000}"/>
    <cellStyle name="Wrap Bold 2 2 2 2 6 2" xfId="37307" xr:uid="{00000000-0005-0000-0000-0000A29D0000}"/>
    <cellStyle name="Wrap Bold 2 2 2 2 7" xfId="37308" xr:uid="{00000000-0005-0000-0000-0000A39D0000}"/>
    <cellStyle name="Wrap Bold 2 2 2 2 7 2" xfId="37309" xr:uid="{00000000-0005-0000-0000-0000A49D0000}"/>
    <cellStyle name="Wrap Bold 2 2 2 2 8" xfId="37310" xr:uid="{00000000-0005-0000-0000-0000A59D0000}"/>
    <cellStyle name="Wrap Bold 2 2 2 2 8 2" xfId="37311" xr:uid="{00000000-0005-0000-0000-0000A69D0000}"/>
    <cellStyle name="Wrap Bold 2 2 2 2 9" xfId="37312" xr:uid="{00000000-0005-0000-0000-0000A79D0000}"/>
    <cellStyle name="Wrap Bold 2 2 2 2 9 2" xfId="37313" xr:uid="{00000000-0005-0000-0000-0000A89D0000}"/>
    <cellStyle name="Wrap Bold 2 2 2 3" xfId="37314" xr:uid="{00000000-0005-0000-0000-0000A99D0000}"/>
    <cellStyle name="Wrap Bold 2 2 2 3 10" xfId="37315" xr:uid="{00000000-0005-0000-0000-0000AA9D0000}"/>
    <cellStyle name="Wrap Bold 2 2 2 3 2" xfId="37316" xr:uid="{00000000-0005-0000-0000-0000AB9D0000}"/>
    <cellStyle name="Wrap Bold 2 2 2 3 2 2" xfId="37317" xr:uid="{00000000-0005-0000-0000-0000AC9D0000}"/>
    <cellStyle name="Wrap Bold 2 2 2 3 3" xfId="37318" xr:uid="{00000000-0005-0000-0000-0000AD9D0000}"/>
    <cellStyle name="Wrap Bold 2 2 2 3 3 2" xfId="37319" xr:uid="{00000000-0005-0000-0000-0000AE9D0000}"/>
    <cellStyle name="Wrap Bold 2 2 2 3 4" xfId="37320" xr:uid="{00000000-0005-0000-0000-0000AF9D0000}"/>
    <cellStyle name="Wrap Bold 2 2 2 3 4 2" xfId="37321" xr:uid="{00000000-0005-0000-0000-0000B09D0000}"/>
    <cellStyle name="Wrap Bold 2 2 2 3 5" xfId="37322" xr:uid="{00000000-0005-0000-0000-0000B19D0000}"/>
    <cellStyle name="Wrap Bold 2 2 2 3 5 2" xfId="37323" xr:uid="{00000000-0005-0000-0000-0000B29D0000}"/>
    <cellStyle name="Wrap Bold 2 2 2 3 6" xfId="37324" xr:uid="{00000000-0005-0000-0000-0000B39D0000}"/>
    <cellStyle name="Wrap Bold 2 2 2 3 6 2" xfId="37325" xr:uid="{00000000-0005-0000-0000-0000B49D0000}"/>
    <cellStyle name="Wrap Bold 2 2 2 3 7" xfId="37326" xr:uid="{00000000-0005-0000-0000-0000B59D0000}"/>
    <cellStyle name="Wrap Bold 2 2 2 3 7 2" xfId="37327" xr:uid="{00000000-0005-0000-0000-0000B69D0000}"/>
    <cellStyle name="Wrap Bold 2 2 2 3 8" xfId="37328" xr:uid="{00000000-0005-0000-0000-0000B79D0000}"/>
    <cellStyle name="Wrap Bold 2 2 2 3 8 2" xfId="37329" xr:uid="{00000000-0005-0000-0000-0000B89D0000}"/>
    <cellStyle name="Wrap Bold 2 2 2 3 9" xfId="37330" xr:uid="{00000000-0005-0000-0000-0000B99D0000}"/>
    <cellStyle name="Wrap Bold 2 2 2 3 9 2" xfId="37331" xr:uid="{00000000-0005-0000-0000-0000BA9D0000}"/>
    <cellStyle name="Wrap Bold 2 2 2 4" xfId="37332" xr:uid="{00000000-0005-0000-0000-0000BB9D0000}"/>
    <cellStyle name="Wrap Bold 2 2 2 4 10" xfId="37333" xr:uid="{00000000-0005-0000-0000-0000BC9D0000}"/>
    <cellStyle name="Wrap Bold 2 2 2 4 2" xfId="37334" xr:uid="{00000000-0005-0000-0000-0000BD9D0000}"/>
    <cellStyle name="Wrap Bold 2 2 2 4 2 2" xfId="37335" xr:uid="{00000000-0005-0000-0000-0000BE9D0000}"/>
    <cellStyle name="Wrap Bold 2 2 2 4 3" xfId="37336" xr:uid="{00000000-0005-0000-0000-0000BF9D0000}"/>
    <cellStyle name="Wrap Bold 2 2 2 4 3 2" xfId="37337" xr:uid="{00000000-0005-0000-0000-0000C09D0000}"/>
    <cellStyle name="Wrap Bold 2 2 2 4 4" xfId="37338" xr:uid="{00000000-0005-0000-0000-0000C19D0000}"/>
    <cellStyle name="Wrap Bold 2 2 2 4 4 2" xfId="37339" xr:uid="{00000000-0005-0000-0000-0000C29D0000}"/>
    <cellStyle name="Wrap Bold 2 2 2 4 5" xfId="37340" xr:uid="{00000000-0005-0000-0000-0000C39D0000}"/>
    <cellStyle name="Wrap Bold 2 2 2 4 5 2" xfId="37341" xr:uid="{00000000-0005-0000-0000-0000C49D0000}"/>
    <cellStyle name="Wrap Bold 2 2 2 4 6" xfId="37342" xr:uid="{00000000-0005-0000-0000-0000C59D0000}"/>
    <cellStyle name="Wrap Bold 2 2 2 4 6 2" xfId="37343" xr:uid="{00000000-0005-0000-0000-0000C69D0000}"/>
    <cellStyle name="Wrap Bold 2 2 2 4 7" xfId="37344" xr:uid="{00000000-0005-0000-0000-0000C79D0000}"/>
    <cellStyle name="Wrap Bold 2 2 2 4 7 2" xfId="37345" xr:uid="{00000000-0005-0000-0000-0000C89D0000}"/>
    <cellStyle name="Wrap Bold 2 2 2 4 8" xfId="37346" xr:uid="{00000000-0005-0000-0000-0000C99D0000}"/>
    <cellStyle name="Wrap Bold 2 2 2 4 8 2" xfId="37347" xr:uid="{00000000-0005-0000-0000-0000CA9D0000}"/>
    <cellStyle name="Wrap Bold 2 2 2 4 9" xfId="37348" xr:uid="{00000000-0005-0000-0000-0000CB9D0000}"/>
    <cellStyle name="Wrap Bold 2 2 2 4 9 2" xfId="37349" xr:uid="{00000000-0005-0000-0000-0000CC9D0000}"/>
    <cellStyle name="Wrap Bold 2 2 2 5" xfId="37350" xr:uid="{00000000-0005-0000-0000-0000CD9D0000}"/>
    <cellStyle name="Wrap Bold 2 2 2 5 10" xfId="37351" xr:uid="{00000000-0005-0000-0000-0000CE9D0000}"/>
    <cellStyle name="Wrap Bold 2 2 2 5 2" xfId="37352" xr:uid="{00000000-0005-0000-0000-0000CF9D0000}"/>
    <cellStyle name="Wrap Bold 2 2 2 5 2 2" xfId="37353" xr:uid="{00000000-0005-0000-0000-0000D09D0000}"/>
    <cellStyle name="Wrap Bold 2 2 2 5 3" xfId="37354" xr:uid="{00000000-0005-0000-0000-0000D19D0000}"/>
    <cellStyle name="Wrap Bold 2 2 2 5 3 2" xfId="37355" xr:uid="{00000000-0005-0000-0000-0000D29D0000}"/>
    <cellStyle name="Wrap Bold 2 2 2 5 4" xfId="37356" xr:uid="{00000000-0005-0000-0000-0000D39D0000}"/>
    <cellStyle name="Wrap Bold 2 2 2 5 4 2" xfId="37357" xr:uid="{00000000-0005-0000-0000-0000D49D0000}"/>
    <cellStyle name="Wrap Bold 2 2 2 5 5" xfId="37358" xr:uid="{00000000-0005-0000-0000-0000D59D0000}"/>
    <cellStyle name="Wrap Bold 2 2 2 5 5 2" xfId="37359" xr:uid="{00000000-0005-0000-0000-0000D69D0000}"/>
    <cellStyle name="Wrap Bold 2 2 2 5 6" xfId="37360" xr:uid="{00000000-0005-0000-0000-0000D79D0000}"/>
    <cellStyle name="Wrap Bold 2 2 2 5 6 2" xfId="37361" xr:uid="{00000000-0005-0000-0000-0000D89D0000}"/>
    <cellStyle name="Wrap Bold 2 2 2 5 7" xfId="37362" xr:uid="{00000000-0005-0000-0000-0000D99D0000}"/>
    <cellStyle name="Wrap Bold 2 2 2 5 7 2" xfId="37363" xr:uid="{00000000-0005-0000-0000-0000DA9D0000}"/>
    <cellStyle name="Wrap Bold 2 2 2 5 8" xfId="37364" xr:uid="{00000000-0005-0000-0000-0000DB9D0000}"/>
    <cellStyle name="Wrap Bold 2 2 2 5 8 2" xfId="37365" xr:uid="{00000000-0005-0000-0000-0000DC9D0000}"/>
    <cellStyle name="Wrap Bold 2 2 2 5 9" xfId="37366" xr:uid="{00000000-0005-0000-0000-0000DD9D0000}"/>
    <cellStyle name="Wrap Bold 2 2 2 5 9 2" xfId="37367" xr:uid="{00000000-0005-0000-0000-0000DE9D0000}"/>
    <cellStyle name="Wrap Bold 2 2 2 6" xfId="37368" xr:uid="{00000000-0005-0000-0000-0000DF9D0000}"/>
    <cellStyle name="Wrap Bold 2 2 2 6 10" xfId="37369" xr:uid="{00000000-0005-0000-0000-0000E09D0000}"/>
    <cellStyle name="Wrap Bold 2 2 2 6 2" xfId="37370" xr:uid="{00000000-0005-0000-0000-0000E19D0000}"/>
    <cellStyle name="Wrap Bold 2 2 2 6 2 2" xfId="37371" xr:uid="{00000000-0005-0000-0000-0000E29D0000}"/>
    <cellStyle name="Wrap Bold 2 2 2 6 3" xfId="37372" xr:uid="{00000000-0005-0000-0000-0000E39D0000}"/>
    <cellStyle name="Wrap Bold 2 2 2 6 3 2" xfId="37373" xr:uid="{00000000-0005-0000-0000-0000E49D0000}"/>
    <cellStyle name="Wrap Bold 2 2 2 6 4" xfId="37374" xr:uid="{00000000-0005-0000-0000-0000E59D0000}"/>
    <cellStyle name="Wrap Bold 2 2 2 6 4 2" xfId="37375" xr:uid="{00000000-0005-0000-0000-0000E69D0000}"/>
    <cellStyle name="Wrap Bold 2 2 2 6 5" xfId="37376" xr:uid="{00000000-0005-0000-0000-0000E79D0000}"/>
    <cellStyle name="Wrap Bold 2 2 2 6 5 2" xfId="37377" xr:uid="{00000000-0005-0000-0000-0000E89D0000}"/>
    <cellStyle name="Wrap Bold 2 2 2 6 6" xfId="37378" xr:uid="{00000000-0005-0000-0000-0000E99D0000}"/>
    <cellStyle name="Wrap Bold 2 2 2 6 6 2" xfId="37379" xr:uid="{00000000-0005-0000-0000-0000EA9D0000}"/>
    <cellStyle name="Wrap Bold 2 2 2 6 7" xfId="37380" xr:uid="{00000000-0005-0000-0000-0000EB9D0000}"/>
    <cellStyle name="Wrap Bold 2 2 2 6 7 2" xfId="37381" xr:uid="{00000000-0005-0000-0000-0000EC9D0000}"/>
    <cellStyle name="Wrap Bold 2 2 2 6 8" xfId="37382" xr:uid="{00000000-0005-0000-0000-0000ED9D0000}"/>
    <cellStyle name="Wrap Bold 2 2 2 6 8 2" xfId="37383" xr:uid="{00000000-0005-0000-0000-0000EE9D0000}"/>
    <cellStyle name="Wrap Bold 2 2 2 6 9" xfId="37384" xr:uid="{00000000-0005-0000-0000-0000EF9D0000}"/>
    <cellStyle name="Wrap Bold 2 2 2 6 9 2" xfId="37385" xr:uid="{00000000-0005-0000-0000-0000F09D0000}"/>
    <cellStyle name="Wrap Bold 2 2 2 7" xfId="37386" xr:uid="{00000000-0005-0000-0000-0000F19D0000}"/>
    <cellStyle name="Wrap Bold 2 2 2 7 10" xfId="37387" xr:uid="{00000000-0005-0000-0000-0000F29D0000}"/>
    <cellStyle name="Wrap Bold 2 2 2 7 2" xfId="37388" xr:uid="{00000000-0005-0000-0000-0000F39D0000}"/>
    <cellStyle name="Wrap Bold 2 2 2 7 2 2" xfId="37389" xr:uid="{00000000-0005-0000-0000-0000F49D0000}"/>
    <cellStyle name="Wrap Bold 2 2 2 7 3" xfId="37390" xr:uid="{00000000-0005-0000-0000-0000F59D0000}"/>
    <cellStyle name="Wrap Bold 2 2 2 7 3 2" xfId="37391" xr:uid="{00000000-0005-0000-0000-0000F69D0000}"/>
    <cellStyle name="Wrap Bold 2 2 2 7 4" xfId="37392" xr:uid="{00000000-0005-0000-0000-0000F79D0000}"/>
    <cellStyle name="Wrap Bold 2 2 2 7 4 2" xfId="37393" xr:uid="{00000000-0005-0000-0000-0000F89D0000}"/>
    <cellStyle name="Wrap Bold 2 2 2 7 5" xfId="37394" xr:uid="{00000000-0005-0000-0000-0000F99D0000}"/>
    <cellStyle name="Wrap Bold 2 2 2 7 5 2" xfId="37395" xr:uid="{00000000-0005-0000-0000-0000FA9D0000}"/>
    <cellStyle name="Wrap Bold 2 2 2 7 6" xfId="37396" xr:uid="{00000000-0005-0000-0000-0000FB9D0000}"/>
    <cellStyle name="Wrap Bold 2 2 2 7 6 2" xfId="37397" xr:uid="{00000000-0005-0000-0000-0000FC9D0000}"/>
    <cellStyle name="Wrap Bold 2 2 2 7 7" xfId="37398" xr:uid="{00000000-0005-0000-0000-0000FD9D0000}"/>
    <cellStyle name="Wrap Bold 2 2 2 7 7 2" xfId="37399" xr:uid="{00000000-0005-0000-0000-0000FE9D0000}"/>
    <cellStyle name="Wrap Bold 2 2 2 7 8" xfId="37400" xr:uid="{00000000-0005-0000-0000-0000FF9D0000}"/>
    <cellStyle name="Wrap Bold 2 2 2 7 8 2" xfId="37401" xr:uid="{00000000-0005-0000-0000-0000009E0000}"/>
    <cellStyle name="Wrap Bold 2 2 2 7 9" xfId="37402" xr:uid="{00000000-0005-0000-0000-0000019E0000}"/>
    <cellStyle name="Wrap Bold 2 2 2 7 9 2" xfId="37403" xr:uid="{00000000-0005-0000-0000-0000029E0000}"/>
    <cellStyle name="Wrap Bold 2 2 2 8" xfId="37404" xr:uid="{00000000-0005-0000-0000-0000039E0000}"/>
    <cellStyle name="Wrap Bold 2 2 2 8 10" xfId="37405" xr:uid="{00000000-0005-0000-0000-0000049E0000}"/>
    <cellStyle name="Wrap Bold 2 2 2 8 2" xfId="37406" xr:uid="{00000000-0005-0000-0000-0000059E0000}"/>
    <cellStyle name="Wrap Bold 2 2 2 8 2 2" xfId="37407" xr:uid="{00000000-0005-0000-0000-0000069E0000}"/>
    <cellStyle name="Wrap Bold 2 2 2 8 3" xfId="37408" xr:uid="{00000000-0005-0000-0000-0000079E0000}"/>
    <cellStyle name="Wrap Bold 2 2 2 8 3 2" xfId="37409" xr:uid="{00000000-0005-0000-0000-0000089E0000}"/>
    <cellStyle name="Wrap Bold 2 2 2 8 4" xfId="37410" xr:uid="{00000000-0005-0000-0000-0000099E0000}"/>
    <cellStyle name="Wrap Bold 2 2 2 8 4 2" xfId="37411" xr:uid="{00000000-0005-0000-0000-00000A9E0000}"/>
    <cellStyle name="Wrap Bold 2 2 2 8 5" xfId="37412" xr:uid="{00000000-0005-0000-0000-00000B9E0000}"/>
    <cellStyle name="Wrap Bold 2 2 2 8 5 2" xfId="37413" xr:uid="{00000000-0005-0000-0000-00000C9E0000}"/>
    <cellStyle name="Wrap Bold 2 2 2 8 6" xfId="37414" xr:uid="{00000000-0005-0000-0000-00000D9E0000}"/>
    <cellStyle name="Wrap Bold 2 2 2 8 6 2" xfId="37415" xr:uid="{00000000-0005-0000-0000-00000E9E0000}"/>
    <cellStyle name="Wrap Bold 2 2 2 8 7" xfId="37416" xr:uid="{00000000-0005-0000-0000-00000F9E0000}"/>
    <cellStyle name="Wrap Bold 2 2 2 8 7 2" xfId="37417" xr:uid="{00000000-0005-0000-0000-0000109E0000}"/>
    <cellStyle name="Wrap Bold 2 2 2 8 8" xfId="37418" xr:uid="{00000000-0005-0000-0000-0000119E0000}"/>
    <cellStyle name="Wrap Bold 2 2 2 8 8 2" xfId="37419" xr:uid="{00000000-0005-0000-0000-0000129E0000}"/>
    <cellStyle name="Wrap Bold 2 2 2 8 9" xfId="37420" xr:uid="{00000000-0005-0000-0000-0000139E0000}"/>
    <cellStyle name="Wrap Bold 2 2 2 8 9 2" xfId="37421" xr:uid="{00000000-0005-0000-0000-0000149E0000}"/>
    <cellStyle name="Wrap Bold 2 2 2 9" xfId="37422" xr:uid="{00000000-0005-0000-0000-0000159E0000}"/>
    <cellStyle name="Wrap Bold 2 2 2 9 10" xfId="37423" xr:uid="{00000000-0005-0000-0000-0000169E0000}"/>
    <cellStyle name="Wrap Bold 2 2 2 9 2" xfId="37424" xr:uid="{00000000-0005-0000-0000-0000179E0000}"/>
    <cellStyle name="Wrap Bold 2 2 2 9 2 2" xfId="37425" xr:uid="{00000000-0005-0000-0000-0000189E0000}"/>
    <cellStyle name="Wrap Bold 2 2 2 9 3" xfId="37426" xr:uid="{00000000-0005-0000-0000-0000199E0000}"/>
    <cellStyle name="Wrap Bold 2 2 2 9 3 2" xfId="37427" xr:uid="{00000000-0005-0000-0000-00001A9E0000}"/>
    <cellStyle name="Wrap Bold 2 2 2 9 4" xfId="37428" xr:uid="{00000000-0005-0000-0000-00001B9E0000}"/>
    <cellStyle name="Wrap Bold 2 2 2 9 4 2" xfId="37429" xr:uid="{00000000-0005-0000-0000-00001C9E0000}"/>
    <cellStyle name="Wrap Bold 2 2 2 9 5" xfId="37430" xr:uid="{00000000-0005-0000-0000-00001D9E0000}"/>
    <cellStyle name="Wrap Bold 2 2 2 9 5 2" xfId="37431" xr:uid="{00000000-0005-0000-0000-00001E9E0000}"/>
    <cellStyle name="Wrap Bold 2 2 2 9 6" xfId="37432" xr:uid="{00000000-0005-0000-0000-00001F9E0000}"/>
    <cellStyle name="Wrap Bold 2 2 2 9 6 2" xfId="37433" xr:uid="{00000000-0005-0000-0000-0000209E0000}"/>
    <cellStyle name="Wrap Bold 2 2 2 9 7" xfId="37434" xr:uid="{00000000-0005-0000-0000-0000219E0000}"/>
    <cellStyle name="Wrap Bold 2 2 2 9 7 2" xfId="37435" xr:uid="{00000000-0005-0000-0000-0000229E0000}"/>
    <cellStyle name="Wrap Bold 2 2 2 9 8" xfId="37436" xr:uid="{00000000-0005-0000-0000-0000239E0000}"/>
    <cellStyle name="Wrap Bold 2 2 2 9 8 2" xfId="37437" xr:uid="{00000000-0005-0000-0000-0000249E0000}"/>
    <cellStyle name="Wrap Bold 2 2 2 9 9" xfId="37438" xr:uid="{00000000-0005-0000-0000-0000259E0000}"/>
    <cellStyle name="Wrap Bold 2 2 2 9 9 2" xfId="37439" xr:uid="{00000000-0005-0000-0000-0000269E0000}"/>
    <cellStyle name="Wrap Bold 2 2 3" xfId="37440" xr:uid="{00000000-0005-0000-0000-0000279E0000}"/>
    <cellStyle name="Wrap Bold 2 2 3 10" xfId="37441" xr:uid="{00000000-0005-0000-0000-0000289E0000}"/>
    <cellStyle name="Wrap Bold 2 2 3 10 10" xfId="37442" xr:uid="{00000000-0005-0000-0000-0000299E0000}"/>
    <cellStyle name="Wrap Bold 2 2 3 10 2" xfId="37443" xr:uid="{00000000-0005-0000-0000-00002A9E0000}"/>
    <cellStyle name="Wrap Bold 2 2 3 10 2 2" xfId="37444" xr:uid="{00000000-0005-0000-0000-00002B9E0000}"/>
    <cellStyle name="Wrap Bold 2 2 3 10 3" xfId="37445" xr:uid="{00000000-0005-0000-0000-00002C9E0000}"/>
    <cellStyle name="Wrap Bold 2 2 3 10 3 2" xfId="37446" xr:uid="{00000000-0005-0000-0000-00002D9E0000}"/>
    <cellStyle name="Wrap Bold 2 2 3 10 4" xfId="37447" xr:uid="{00000000-0005-0000-0000-00002E9E0000}"/>
    <cellStyle name="Wrap Bold 2 2 3 10 4 2" xfId="37448" xr:uid="{00000000-0005-0000-0000-00002F9E0000}"/>
    <cellStyle name="Wrap Bold 2 2 3 10 5" xfId="37449" xr:uid="{00000000-0005-0000-0000-0000309E0000}"/>
    <cellStyle name="Wrap Bold 2 2 3 10 5 2" xfId="37450" xr:uid="{00000000-0005-0000-0000-0000319E0000}"/>
    <cellStyle name="Wrap Bold 2 2 3 10 6" xfId="37451" xr:uid="{00000000-0005-0000-0000-0000329E0000}"/>
    <cellStyle name="Wrap Bold 2 2 3 10 6 2" xfId="37452" xr:uid="{00000000-0005-0000-0000-0000339E0000}"/>
    <cellStyle name="Wrap Bold 2 2 3 10 7" xfId="37453" xr:uid="{00000000-0005-0000-0000-0000349E0000}"/>
    <cellStyle name="Wrap Bold 2 2 3 10 7 2" xfId="37454" xr:uid="{00000000-0005-0000-0000-0000359E0000}"/>
    <cellStyle name="Wrap Bold 2 2 3 10 8" xfId="37455" xr:uid="{00000000-0005-0000-0000-0000369E0000}"/>
    <cellStyle name="Wrap Bold 2 2 3 10 8 2" xfId="37456" xr:uid="{00000000-0005-0000-0000-0000379E0000}"/>
    <cellStyle name="Wrap Bold 2 2 3 10 9" xfId="37457" xr:uid="{00000000-0005-0000-0000-0000389E0000}"/>
    <cellStyle name="Wrap Bold 2 2 3 10 9 2" xfId="37458" xr:uid="{00000000-0005-0000-0000-0000399E0000}"/>
    <cellStyle name="Wrap Bold 2 2 3 11" xfId="37459" xr:uid="{00000000-0005-0000-0000-00003A9E0000}"/>
    <cellStyle name="Wrap Bold 2 2 3 11 2" xfId="37460" xr:uid="{00000000-0005-0000-0000-00003B9E0000}"/>
    <cellStyle name="Wrap Bold 2 2 3 11 2 2" xfId="37461" xr:uid="{00000000-0005-0000-0000-00003C9E0000}"/>
    <cellStyle name="Wrap Bold 2 2 3 11 3" xfId="37462" xr:uid="{00000000-0005-0000-0000-00003D9E0000}"/>
    <cellStyle name="Wrap Bold 2 2 3 11 3 2" xfId="37463" xr:uid="{00000000-0005-0000-0000-00003E9E0000}"/>
    <cellStyle name="Wrap Bold 2 2 3 11 4" xfId="37464" xr:uid="{00000000-0005-0000-0000-00003F9E0000}"/>
    <cellStyle name="Wrap Bold 2 2 3 11 4 2" xfId="37465" xr:uid="{00000000-0005-0000-0000-0000409E0000}"/>
    <cellStyle name="Wrap Bold 2 2 3 11 5" xfId="37466" xr:uid="{00000000-0005-0000-0000-0000419E0000}"/>
    <cellStyle name="Wrap Bold 2 2 3 11 5 2" xfId="37467" xr:uid="{00000000-0005-0000-0000-0000429E0000}"/>
    <cellStyle name="Wrap Bold 2 2 3 11 6" xfId="37468" xr:uid="{00000000-0005-0000-0000-0000439E0000}"/>
    <cellStyle name="Wrap Bold 2 2 3 11 6 2" xfId="37469" xr:uid="{00000000-0005-0000-0000-0000449E0000}"/>
    <cellStyle name="Wrap Bold 2 2 3 11 7" xfId="37470" xr:uid="{00000000-0005-0000-0000-0000459E0000}"/>
    <cellStyle name="Wrap Bold 2 2 3 11 7 2" xfId="37471" xr:uid="{00000000-0005-0000-0000-0000469E0000}"/>
    <cellStyle name="Wrap Bold 2 2 3 11 8" xfId="37472" xr:uid="{00000000-0005-0000-0000-0000479E0000}"/>
    <cellStyle name="Wrap Bold 2 2 3 11 8 2" xfId="37473" xr:uid="{00000000-0005-0000-0000-0000489E0000}"/>
    <cellStyle name="Wrap Bold 2 2 3 11 9" xfId="37474" xr:uid="{00000000-0005-0000-0000-0000499E0000}"/>
    <cellStyle name="Wrap Bold 2 2 3 2" xfId="37475" xr:uid="{00000000-0005-0000-0000-00004A9E0000}"/>
    <cellStyle name="Wrap Bold 2 2 3 2 10" xfId="37476" xr:uid="{00000000-0005-0000-0000-00004B9E0000}"/>
    <cellStyle name="Wrap Bold 2 2 3 2 2" xfId="37477" xr:uid="{00000000-0005-0000-0000-00004C9E0000}"/>
    <cellStyle name="Wrap Bold 2 2 3 2 2 2" xfId="37478" xr:uid="{00000000-0005-0000-0000-00004D9E0000}"/>
    <cellStyle name="Wrap Bold 2 2 3 2 3" xfId="37479" xr:uid="{00000000-0005-0000-0000-00004E9E0000}"/>
    <cellStyle name="Wrap Bold 2 2 3 2 3 2" xfId="37480" xr:uid="{00000000-0005-0000-0000-00004F9E0000}"/>
    <cellStyle name="Wrap Bold 2 2 3 2 4" xfId="37481" xr:uid="{00000000-0005-0000-0000-0000509E0000}"/>
    <cellStyle name="Wrap Bold 2 2 3 2 4 2" xfId="37482" xr:uid="{00000000-0005-0000-0000-0000519E0000}"/>
    <cellStyle name="Wrap Bold 2 2 3 2 5" xfId="37483" xr:uid="{00000000-0005-0000-0000-0000529E0000}"/>
    <cellStyle name="Wrap Bold 2 2 3 2 5 2" xfId="37484" xr:uid="{00000000-0005-0000-0000-0000539E0000}"/>
    <cellStyle name="Wrap Bold 2 2 3 2 6" xfId="37485" xr:uid="{00000000-0005-0000-0000-0000549E0000}"/>
    <cellStyle name="Wrap Bold 2 2 3 2 6 2" xfId="37486" xr:uid="{00000000-0005-0000-0000-0000559E0000}"/>
    <cellStyle name="Wrap Bold 2 2 3 2 7" xfId="37487" xr:uid="{00000000-0005-0000-0000-0000569E0000}"/>
    <cellStyle name="Wrap Bold 2 2 3 2 7 2" xfId="37488" xr:uid="{00000000-0005-0000-0000-0000579E0000}"/>
    <cellStyle name="Wrap Bold 2 2 3 2 8" xfId="37489" xr:uid="{00000000-0005-0000-0000-0000589E0000}"/>
    <cellStyle name="Wrap Bold 2 2 3 2 8 2" xfId="37490" xr:uid="{00000000-0005-0000-0000-0000599E0000}"/>
    <cellStyle name="Wrap Bold 2 2 3 2 9" xfId="37491" xr:uid="{00000000-0005-0000-0000-00005A9E0000}"/>
    <cellStyle name="Wrap Bold 2 2 3 2 9 2" xfId="37492" xr:uid="{00000000-0005-0000-0000-00005B9E0000}"/>
    <cellStyle name="Wrap Bold 2 2 3 3" xfId="37493" xr:uid="{00000000-0005-0000-0000-00005C9E0000}"/>
    <cellStyle name="Wrap Bold 2 2 3 3 10" xfId="37494" xr:uid="{00000000-0005-0000-0000-00005D9E0000}"/>
    <cellStyle name="Wrap Bold 2 2 3 3 2" xfId="37495" xr:uid="{00000000-0005-0000-0000-00005E9E0000}"/>
    <cellStyle name="Wrap Bold 2 2 3 3 2 2" xfId="37496" xr:uid="{00000000-0005-0000-0000-00005F9E0000}"/>
    <cellStyle name="Wrap Bold 2 2 3 3 3" xfId="37497" xr:uid="{00000000-0005-0000-0000-0000609E0000}"/>
    <cellStyle name="Wrap Bold 2 2 3 3 3 2" xfId="37498" xr:uid="{00000000-0005-0000-0000-0000619E0000}"/>
    <cellStyle name="Wrap Bold 2 2 3 3 4" xfId="37499" xr:uid="{00000000-0005-0000-0000-0000629E0000}"/>
    <cellStyle name="Wrap Bold 2 2 3 3 4 2" xfId="37500" xr:uid="{00000000-0005-0000-0000-0000639E0000}"/>
    <cellStyle name="Wrap Bold 2 2 3 3 5" xfId="37501" xr:uid="{00000000-0005-0000-0000-0000649E0000}"/>
    <cellStyle name="Wrap Bold 2 2 3 3 5 2" xfId="37502" xr:uid="{00000000-0005-0000-0000-0000659E0000}"/>
    <cellStyle name="Wrap Bold 2 2 3 3 6" xfId="37503" xr:uid="{00000000-0005-0000-0000-0000669E0000}"/>
    <cellStyle name="Wrap Bold 2 2 3 3 6 2" xfId="37504" xr:uid="{00000000-0005-0000-0000-0000679E0000}"/>
    <cellStyle name="Wrap Bold 2 2 3 3 7" xfId="37505" xr:uid="{00000000-0005-0000-0000-0000689E0000}"/>
    <cellStyle name="Wrap Bold 2 2 3 3 7 2" xfId="37506" xr:uid="{00000000-0005-0000-0000-0000699E0000}"/>
    <cellStyle name="Wrap Bold 2 2 3 3 8" xfId="37507" xr:uid="{00000000-0005-0000-0000-00006A9E0000}"/>
    <cellStyle name="Wrap Bold 2 2 3 3 8 2" xfId="37508" xr:uid="{00000000-0005-0000-0000-00006B9E0000}"/>
    <cellStyle name="Wrap Bold 2 2 3 3 9" xfId="37509" xr:uid="{00000000-0005-0000-0000-00006C9E0000}"/>
    <cellStyle name="Wrap Bold 2 2 3 3 9 2" xfId="37510" xr:uid="{00000000-0005-0000-0000-00006D9E0000}"/>
    <cellStyle name="Wrap Bold 2 2 3 4" xfId="37511" xr:uid="{00000000-0005-0000-0000-00006E9E0000}"/>
    <cellStyle name="Wrap Bold 2 2 3 4 10" xfId="37512" xr:uid="{00000000-0005-0000-0000-00006F9E0000}"/>
    <cellStyle name="Wrap Bold 2 2 3 4 2" xfId="37513" xr:uid="{00000000-0005-0000-0000-0000709E0000}"/>
    <cellStyle name="Wrap Bold 2 2 3 4 2 2" xfId="37514" xr:uid="{00000000-0005-0000-0000-0000719E0000}"/>
    <cellStyle name="Wrap Bold 2 2 3 4 3" xfId="37515" xr:uid="{00000000-0005-0000-0000-0000729E0000}"/>
    <cellStyle name="Wrap Bold 2 2 3 4 3 2" xfId="37516" xr:uid="{00000000-0005-0000-0000-0000739E0000}"/>
    <cellStyle name="Wrap Bold 2 2 3 4 4" xfId="37517" xr:uid="{00000000-0005-0000-0000-0000749E0000}"/>
    <cellStyle name="Wrap Bold 2 2 3 4 4 2" xfId="37518" xr:uid="{00000000-0005-0000-0000-0000759E0000}"/>
    <cellStyle name="Wrap Bold 2 2 3 4 5" xfId="37519" xr:uid="{00000000-0005-0000-0000-0000769E0000}"/>
    <cellStyle name="Wrap Bold 2 2 3 4 5 2" xfId="37520" xr:uid="{00000000-0005-0000-0000-0000779E0000}"/>
    <cellStyle name="Wrap Bold 2 2 3 4 6" xfId="37521" xr:uid="{00000000-0005-0000-0000-0000789E0000}"/>
    <cellStyle name="Wrap Bold 2 2 3 4 6 2" xfId="37522" xr:uid="{00000000-0005-0000-0000-0000799E0000}"/>
    <cellStyle name="Wrap Bold 2 2 3 4 7" xfId="37523" xr:uid="{00000000-0005-0000-0000-00007A9E0000}"/>
    <cellStyle name="Wrap Bold 2 2 3 4 7 2" xfId="37524" xr:uid="{00000000-0005-0000-0000-00007B9E0000}"/>
    <cellStyle name="Wrap Bold 2 2 3 4 8" xfId="37525" xr:uid="{00000000-0005-0000-0000-00007C9E0000}"/>
    <cellStyle name="Wrap Bold 2 2 3 4 8 2" xfId="37526" xr:uid="{00000000-0005-0000-0000-00007D9E0000}"/>
    <cellStyle name="Wrap Bold 2 2 3 4 9" xfId="37527" xr:uid="{00000000-0005-0000-0000-00007E9E0000}"/>
    <cellStyle name="Wrap Bold 2 2 3 4 9 2" xfId="37528" xr:uid="{00000000-0005-0000-0000-00007F9E0000}"/>
    <cellStyle name="Wrap Bold 2 2 3 5" xfId="37529" xr:uid="{00000000-0005-0000-0000-0000809E0000}"/>
    <cellStyle name="Wrap Bold 2 2 3 5 10" xfId="37530" xr:uid="{00000000-0005-0000-0000-0000819E0000}"/>
    <cellStyle name="Wrap Bold 2 2 3 5 2" xfId="37531" xr:uid="{00000000-0005-0000-0000-0000829E0000}"/>
    <cellStyle name="Wrap Bold 2 2 3 5 2 2" xfId="37532" xr:uid="{00000000-0005-0000-0000-0000839E0000}"/>
    <cellStyle name="Wrap Bold 2 2 3 5 3" xfId="37533" xr:uid="{00000000-0005-0000-0000-0000849E0000}"/>
    <cellStyle name="Wrap Bold 2 2 3 5 3 2" xfId="37534" xr:uid="{00000000-0005-0000-0000-0000859E0000}"/>
    <cellStyle name="Wrap Bold 2 2 3 5 4" xfId="37535" xr:uid="{00000000-0005-0000-0000-0000869E0000}"/>
    <cellStyle name="Wrap Bold 2 2 3 5 4 2" xfId="37536" xr:uid="{00000000-0005-0000-0000-0000879E0000}"/>
    <cellStyle name="Wrap Bold 2 2 3 5 5" xfId="37537" xr:uid="{00000000-0005-0000-0000-0000889E0000}"/>
    <cellStyle name="Wrap Bold 2 2 3 5 5 2" xfId="37538" xr:uid="{00000000-0005-0000-0000-0000899E0000}"/>
    <cellStyle name="Wrap Bold 2 2 3 5 6" xfId="37539" xr:uid="{00000000-0005-0000-0000-00008A9E0000}"/>
    <cellStyle name="Wrap Bold 2 2 3 5 6 2" xfId="37540" xr:uid="{00000000-0005-0000-0000-00008B9E0000}"/>
    <cellStyle name="Wrap Bold 2 2 3 5 7" xfId="37541" xr:uid="{00000000-0005-0000-0000-00008C9E0000}"/>
    <cellStyle name="Wrap Bold 2 2 3 5 7 2" xfId="37542" xr:uid="{00000000-0005-0000-0000-00008D9E0000}"/>
    <cellStyle name="Wrap Bold 2 2 3 5 8" xfId="37543" xr:uid="{00000000-0005-0000-0000-00008E9E0000}"/>
    <cellStyle name="Wrap Bold 2 2 3 5 8 2" xfId="37544" xr:uid="{00000000-0005-0000-0000-00008F9E0000}"/>
    <cellStyle name="Wrap Bold 2 2 3 5 9" xfId="37545" xr:uid="{00000000-0005-0000-0000-0000909E0000}"/>
    <cellStyle name="Wrap Bold 2 2 3 5 9 2" xfId="37546" xr:uid="{00000000-0005-0000-0000-0000919E0000}"/>
    <cellStyle name="Wrap Bold 2 2 3 6" xfId="37547" xr:uid="{00000000-0005-0000-0000-0000929E0000}"/>
    <cellStyle name="Wrap Bold 2 2 3 6 10" xfId="37548" xr:uid="{00000000-0005-0000-0000-0000939E0000}"/>
    <cellStyle name="Wrap Bold 2 2 3 6 2" xfId="37549" xr:uid="{00000000-0005-0000-0000-0000949E0000}"/>
    <cellStyle name="Wrap Bold 2 2 3 6 2 2" xfId="37550" xr:uid="{00000000-0005-0000-0000-0000959E0000}"/>
    <cellStyle name="Wrap Bold 2 2 3 6 3" xfId="37551" xr:uid="{00000000-0005-0000-0000-0000969E0000}"/>
    <cellStyle name="Wrap Bold 2 2 3 6 3 2" xfId="37552" xr:uid="{00000000-0005-0000-0000-0000979E0000}"/>
    <cellStyle name="Wrap Bold 2 2 3 6 4" xfId="37553" xr:uid="{00000000-0005-0000-0000-0000989E0000}"/>
    <cellStyle name="Wrap Bold 2 2 3 6 4 2" xfId="37554" xr:uid="{00000000-0005-0000-0000-0000999E0000}"/>
    <cellStyle name="Wrap Bold 2 2 3 6 5" xfId="37555" xr:uid="{00000000-0005-0000-0000-00009A9E0000}"/>
    <cellStyle name="Wrap Bold 2 2 3 6 5 2" xfId="37556" xr:uid="{00000000-0005-0000-0000-00009B9E0000}"/>
    <cellStyle name="Wrap Bold 2 2 3 6 6" xfId="37557" xr:uid="{00000000-0005-0000-0000-00009C9E0000}"/>
    <cellStyle name="Wrap Bold 2 2 3 6 6 2" xfId="37558" xr:uid="{00000000-0005-0000-0000-00009D9E0000}"/>
    <cellStyle name="Wrap Bold 2 2 3 6 7" xfId="37559" xr:uid="{00000000-0005-0000-0000-00009E9E0000}"/>
    <cellStyle name="Wrap Bold 2 2 3 6 7 2" xfId="37560" xr:uid="{00000000-0005-0000-0000-00009F9E0000}"/>
    <cellStyle name="Wrap Bold 2 2 3 6 8" xfId="37561" xr:uid="{00000000-0005-0000-0000-0000A09E0000}"/>
    <cellStyle name="Wrap Bold 2 2 3 6 8 2" xfId="37562" xr:uid="{00000000-0005-0000-0000-0000A19E0000}"/>
    <cellStyle name="Wrap Bold 2 2 3 6 9" xfId="37563" xr:uid="{00000000-0005-0000-0000-0000A29E0000}"/>
    <cellStyle name="Wrap Bold 2 2 3 6 9 2" xfId="37564" xr:uid="{00000000-0005-0000-0000-0000A39E0000}"/>
    <cellStyle name="Wrap Bold 2 2 3 7" xfId="37565" xr:uid="{00000000-0005-0000-0000-0000A49E0000}"/>
    <cellStyle name="Wrap Bold 2 2 3 7 10" xfId="37566" xr:uid="{00000000-0005-0000-0000-0000A59E0000}"/>
    <cellStyle name="Wrap Bold 2 2 3 7 2" xfId="37567" xr:uid="{00000000-0005-0000-0000-0000A69E0000}"/>
    <cellStyle name="Wrap Bold 2 2 3 7 2 2" xfId="37568" xr:uid="{00000000-0005-0000-0000-0000A79E0000}"/>
    <cellStyle name="Wrap Bold 2 2 3 7 3" xfId="37569" xr:uid="{00000000-0005-0000-0000-0000A89E0000}"/>
    <cellStyle name="Wrap Bold 2 2 3 7 3 2" xfId="37570" xr:uid="{00000000-0005-0000-0000-0000A99E0000}"/>
    <cellStyle name="Wrap Bold 2 2 3 7 4" xfId="37571" xr:uid="{00000000-0005-0000-0000-0000AA9E0000}"/>
    <cellStyle name="Wrap Bold 2 2 3 7 4 2" xfId="37572" xr:uid="{00000000-0005-0000-0000-0000AB9E0000}"/>
    <cellStyle name="Wrap Bold 2 2 3 7 5" xfId="37573" xr:uid="{00000000-0005-0000-0000-0000AC9E0000}"/>
    <cellStyle name="Wrap Bold 2 2 3 7 5 2" xfId="37574" xr:uid="{00000000-0005-0000-0000-0000AD9E0000}"/>
    <cellStyle name="Wrap Bold 2 2 3 7 6" xfId="37575" xr:uid="{00000000-0005-0000-0000-0000AE9E0000}"/>
    <cellStyle name="Wrap Bold 2 2 3 7 6 2" xfId="37576" xr:uid="{00000000-0005-0000-0000-0000AF9E0000}"/>
    <cellStyle name="Wrap Bold 2 2 3 7 7" xfId="37577" xr:uid="{00000000-0005-0000-0000-0000B09E0000}"/>
    <cellStyle name="Wrap Bold 2 2 3 7 7 2" xfId="37578" xr:uid="{00000000-0005-0000-0000-0000B19E0000}"/>
    <cellStyle name="Wrap Bold 2 2 3 7 8" xfId="37579" xr:uid="{00000000-0005-0000-0000-0000B29E0000}"/>
    <cellStyle name="Wrap Bold 2 2 3 7 8 2" xfId="37580" xr:uid="{00000000-0005-0000-0000-0000B39E0000}"/>
    <cellStyle name="Wrap Bold 2 2 3 7 9" xfId="37581" xr:uid="{00000000-0005-0000-0000-0000B49E0000}"/>
    <cellStyle name="Wrap Bold 2 2 3 7 9 2" xfId="37582" xr:uid="{00000000-0005-0000-0000-0000B59E0000}"/>
    <cellStyle name="Wrap Bold 2 2 3 8" xfId="37583" xr:uid="{00000000-0005-0000-0000-0000B69E0000}"/>
    <cellStyle name="Wrap Bold 2 2 3 8 10" xfId="37584" xr:uid="{00000000-0005-0000-0000-0000B79E0000}"/>
    <cellStyle name="Wrap Bold 2 2 3 8 2" xfId="37585" xr:uid="{00000000-0005-0000-0000-0000B89E0000}"/>
    <cellStyle name="Wrap Bold 2 2 3 8 2 2" xfId="37586" xr:uid="{00000000-0005-0000-0000-0000B99E0000}"/>
    <cellStyle name="Wrap Bold 2 2 3 8 3" xfId="37587" xr:uid="{00000000-0005-0000-0000-0000BA9E0000}"/>
    <cellStyle name="Wrap Bold 2 2 3 8 3 2" xfId="37588" xr:uid="{00000000-0005-0000-0000-0000BB9E0000}"/>
    <cellStyle name="Wrap Bold 2 2 3 8 4" xfId="37589" xr:uid="{00000000-0005-0000-0000-0000BC9E0000}"/>
    <cellStyle name="Wrap Bold 2 2 3 8 4 2" xfId="37590" xr:uid="{00000000-0005-0000-0000-0000BD9E0000}"/>
    <cellStyle name="Wrap Bold 2 2 3 8 5" xfId="37591" xr:uid="{00000000-0005-0000-0000-0000BE9E0000}"/>
    <cellStyle name="Wrap Bold 2 2 3 8 5 2" xfId="37592" xr:uid="{00000000-0005-0000-0000-0000BF9E0000}"/>
    <cellStyle name="Wrap Bold 2 2 3 8 6" xfId="37593" xr:uid="{00000000-0005-0000-0000-0000C09E0000}"/>
    <cellStyle name="Wrap Bold 2 2 3 8 6 2" xfId="37594" xr:uid="{00000000-0005-0000-0000-0000C19E0000}"/>
    <cellStyle name="Wrap Bold 2 2 3 8 7" xfId="37595" xr:uid="{00000000-0005-0000-0000-0000C29E0000}"/>
    <cellStyle name="Wrap Bold 2 2 3 8 7 2" xfId="37596" xr:uid="{00000000-0005-0000-0000-0000C39E0000}"/>
    <cellStyle name="Wrap Bold 2 2 3 8 8" xfId="37597" xr:uid="{00000000-0005-0000-0000-0000C49E0000}"/>
    <cellStyle name="Wrap Bold 2 2 3 8 8 2" xfId="37598" xr:uid="{00000000-0005-0000-0000-0000C59E0000}"/>
    <cellStyle name="Wrap Bold 2 2 3 8 9" xfId="37599" xr:uid="{00000000-0005-0000-0000-0000C69E0000}"/>
    <cellStyle name="Wrap Bold 2 2 3 8 9 2" xfId="37600" xr:uid="{00000000-0005-0000-0000-0000C79E0000}"/>
    <cellStyle name="Wrap Bold 2 2 3 9" xfId="37601" xr:uid="{00000000-0005-0000-0000-0000C89E0000}"/>
    <cellStyle name="Wrap Bold 2 2 3 9 10" xfId="37602" xr:uid="{00000000-0005-0000-0000-0000C99E0000}"/>
    <cellStyle name="Wrap Bold 2 2 3 9 2" xfId="37603" xr:uid="{00000000-0005-0000-0000-0000CA9E0000}"/>
    <cellStyle name="Wrap Bold 2 2 3 9 2 2" xfId="37604" xr:uid="{00000000-0005-0000-0000-0000CB9E0000}"/>
    <cellStyle name="Wrap Bold 2 2 3 9 3" xfId="37605" xr:uid="{00000000-0005-0000-0000-0000CC9E0000}"/>
    <cellStyle name="Wrap Bold 2 2 3 9 3 2" xfId="37606" xr:uid="{00000000-0005-0000-0000-0000CD9E0000}"/>
    <cellStyle name="Wrap Bold 2 2 3 9 4" xfId="37607" xr:uid="{00000000-0005-0000-0000-0000CE9E0000}"/>
    <cellStyle name="Wrap Bold 2 2 3 9 4 2" xfId="37608" xr:uid="{00000000-0005-0000-0000-0000CF9E0000}"/>
    <cellStyle name="Wrap Bold 2 2 3 9 5" xfId="37609" xr:uid="{00000000-0005-0000-0000-0000D09E0000}"/>
    <cellStyle name="Wrap Bold 2 2 3 9 5 2" xfId="37610" xr:uid="{00000000-0005-0000-0000-0000D19E0000}"/>
    <cellStyle name="Wrap Bold 2 2 3 9 6" xfId="37611" xr:uid="{00000000-0005-0000-0000-0000D29E0000}"/>
    <cellStyle name="Wrap Bold 2 2 3 9 6 2" xfId="37612" xr:uid="{00000000-0005-0000-0000-0000D39E0000}"/>
    <cellStyle name="Wrap Bold 2 2 3 9 7" xfId="37613" xr:uid="{00000000-0005-0000-0000-0000D49E0000}"/>
    <cellStyle name="Wrap Bold 2 2 3 9 7 2" xfId="37614" xr:uid="{00000000-0005-0000-0000-0000D59E0000}"/>
    <cellStyle name="Wrap Bold 2 2 3 9 8" xfId="37615" xr:uid="{00000000-0005-0000-0000-0000D69E0000}"/>
    <cellStyle name="Wrap Bold 2 2 3 9 8 2" xfId="37616" xr:uid="{00000000-0005-0000-0000-0000D79E0000}"/>
    <cellStyle name="Wrap Bold 2 2 3 9 9" xfId="37617" xr:uid="{00000000-0005-0000-0000-0000D89E0000}"/>
    <cellStyle name="Wrap Bold 2 2 3 9 9 2" xfId="37618" xr:uid="{00000000-0005-0000-0000-0000D99E0000}"/>
    <cellStyle name="Wrap Bold 2 2 4" xfId="37619" xr:uid="{00000000-0005-0000-0000-0000DA9E0000}"/>
    <cellStyle name="Wrap Bold 2 2 4 10" xfId="37620" xr:uid="{00000000-0005-0000-0000-0000DB9E0000}"/>
    <cellStyle name="Wrap Bold 2 2 4 10 2" xfId="37621" xr:uid="{00000000-0005-0000-0000-0000DC9E0000}"/>
    <cellStyle name="Wrap Bold 2 2 4 10 2 2" xfId="37622" xr:uid="{00000000-0005-0000-0000-0000DD9E0000}"/>
    <cellStyle name="Wrap Bold 2 2 4 10 3" xfId="37623" xr:uid="{00000000-0005-0000-0000-0000DE9E0000}"/>
    <cellStyle name="Wrap Bold 2 2 4 10 3 2" xfId="37624" xr:uid="{00000000-0005-0000-0000-0000DF9E0000}"/>
    <cellStyle name="Wrap Bold 2 2 4 10 4" xfId="37625" xr:uid="{00000000-0005-0000-0000-0000E09E0000}"/>
    <cellStyle name="Wrap Bold 2 2 4 10 4 2" xfId="37626" xr:uid="{00000000-0005-0000-0000-0000E19E0000}"/>
    <cellStyle name="Wrap Bold 2 2 4 10 5" xfId="37627" xr:uid="{00000000-0005-0000-0000-0000E29E0000}"/>
    <cellStyle name="Wrap Bold 2 2 4 10 5 2" xfId="37628" xr:uid="{00000000-0005-0000-0000-0000E39E0000}"/>
    <cellStyle name="Wrap Bold 2 2 4 10 6" xfId="37629" xr:uid="{00000000-0005-0000-0000-0000E49E0000}"/>
    <cellStyle name="Wrap Bold 2 2 4 10 6 2" xfId="37630" xr:uid="{00000000-0005-0000-0000-0000E59E0000}"/>
    <cellStyle name="Wrap Bold 2 2 4 10 7" xfId="37631" xr:uid="{00000000-0005-0000-0000-0000E69E0000}"/>
    <cellStyle name="Wrap Bold 2 2 4 10 7 2" xfId="37632" xr:uid="{00000000-0005-0000-0000-0000E79E0000}"/>
    <cellStyle name="Wrap Bold 2 2 4 10 8" xfId="37633" xr:uid="{00000000-0005-0000-0000-0000E89E0000}"/>
    <cellStyle name="Wrap Bold 2 2 4 10 8 2" xfId="37634" xr:uid="{00000000-0005-0000-0000-0000E99E0000}"/>
    <cellStyle name="Wrap Bold 2 2 4 10 9" xfId="37635" xr:uid="{00000000-0005-0000-0000-0000EA9E0000}"/>
    <cellStyle name="Wrap Bold 2 2 4 11" xfId="37636" xr:uid="{00000000-0005-0000-0000-0000EB9E0000}"/>
    <cellStyle name="Wrap Bold 2 2 4 11 2" xfId="37637" xr:uid="{00000000-0005-0000-0000-0000EC9E0000}"/>
    <cellStyle name="Wrap Bold 2 2 4 12" xfId="37638" xr:uid="{00000000-0005-0000-0000-0000ED9E0000}"/>
    <cellStyle name="Wrap Bold 2 2 4 12 2" xfId="37639" xr:uid="{00000000-0005-0000-0000-0000EE9E0000}"/>
    <cellStyle name="Wrap Bold 2 2 4 13" xfId="37640" xr:uid="{00000000-0005-0000-0000-0000EF9E0000}"/>
    <cellStyle name="Wrap Bold 2 2 4 13 2" xfId="37641" xr:uid="{00000000-0005-0000-0000-0000F09E0000}"/>
    <cellStyle name="Wrap Bold 2 2 4 14" xfId="37642" xr:uid="{00000000-0005-0000-0000-0000F19E0000}"/>
    <cellStyle name="Wrap Bold 2 2 4 14 2" xfId="37643" xr:uid="{00000000-0005-0000-0000-0000F29E0000}"/>
    <cellStyle name="Wrap Bold 2 2 4 15" xfId="37644" xr:uid="{00000000-0005-0000-0000-0000F39E0000}"/>
    <cellStyle name="Wrap Bold 2 2 4 15 2" xfId="37645" xr:uid="{00000000-0005-0000-0000-0000F49E0000}"/>
    <cellStyle name="Wrap Bold 2 2 4 16" xfId="37646" xr:uid="{00000000-0005-0000-0000-0000F59E0000}"/>
    <cellStyle name="Wrap Bold 2 2 4 16 2" xfId="37647" xr:uid="{00000000-0005-0000-0000-0000F69E0000}"/>
    <cellStyle name="Wrap Bold 2 2 4 17" xfId="37648" xr:uid="{00000000-0005-0000-0000-0000F79E0000}"/>
    <cellStyle name="Wrap Bold 2 2 4 17 2" xfId="37649" xr:uid="{00000000-0005-0000-0000-0000F89E0000}"/>
    <cellStyle name="Wrap Bold 2 2 4 18" xfId="37650" xr:uid="{00000000-0005-0000-0000-0000F99E0000}"/>
    <cellStyle name="Wrap Bold 2 2 4 2" xfId="37651" xr:uid="{00000000-0005-0000-0000-0000FA9E0000}"/>
    <cellStyle name="Wrap Bold 2 2 4 2 10" xfId="37652" xr:uid="{00000000-0005-0000-0000-0000FB9E0000}"/>
    <cellStyle name="Wrap Bold 2 2 4 2 2" xfId="37653" xr:uid="{00000000-0005-0000-0000-0000FC9E0000}"/>
    <cellStyle name="Wrap Bold 2 2 4 2 2 2" xfId="37654" xr:uid="{00000000-0005-0000-0000-0000FD9E0000}"/>
    <cellStyle name="Wrap Bold 2 2 4 2 3" xfId="37655" xr:uid="{00000000-0005-0000-0000-0000FE9E0000}"/>
    <cellStyle name="Wrap Bold 2 2 4 2 3 2" xfId="37656" xr:uid="{00000000-0005-0000-0000-0000FF9E0000}"/>
    <cellStyle name="Wrap Bold 2 2 4 2 4" xfId="37657" xr:uid="{00000000-0005-0000-0000-0000009F0000}"/>
    <cellStyle name="Wrap Bold 2 2 4 2 4 2" xfId="37658" xr:uid="{00000000-0005-0000-0000-0000019F0000}"/>
    <cellStyle name="Wrap Bold 2 2 4 2 5" xfId="37659" xr:uid="{00000000-0005-0000-0000-0000029F0000}"/>
    <cellStyle name="Wrap Bold 2 2 4 2 5 2" xfId="37660" xr:uid="{00000000-0005-0000-0000-0000039F0000}"/>
    <cellStyle name="Wrap Bold 2 2 4 2 6" xfId="37661" xr:uid="{00000000-0005-0000-0000-0000049F0000}"/>
    <cellStyle name="Wrap Bold 2 2 4 2 6 2" xfId="37662" xr:uid="{00000000-0005-0000-0000-0000059F0000}"/>
    <cellStyle name="Wrap Bold 2 2 4 2 7" xfId="37663" xr:uid="{00000000-0005-0000-0000-0000069F0000}"/>
    <cellStyle name="Wrap Bold 2 2 4 2 7 2" xfId="37664" xr:uid="{00000000-0005-0000-0000-0000079F0000}"/>
    <cellStyle name="Wrap Bold 2 2 4 2 8" xfId="37665" xr:uid="{00000000-0005-0000-0000-0000089F0000}"/>
    <cellStyle name="Wrap Bold 2 2 4 2 8 2" xfId="37666" xr:uid="{00000000-0005-0000-0000-0000099F0000}"/>
    <cellStyle name="Wrap Bold 2 2 4 2 9" xfId="37667" xr:uid="{00000000-0005-0000-0000-00000A9F0000}"/>
    <cellStyle name="Wrap Bold 2 2 4 2 9 2" xfId="37668" xr:uid="{00000000-0005-0000-0000-00000B9F0000}"/>
    <cellStyle name="Wrap Bold 2 2 4 3" xfId="37669" xr:uid="{00000000-0005-0000-0000-00000C9F0000}"/>
    <cellStyle name="Wrap Bold 2 2 4 3 10" xfId="37670" xr:uid="{00000000-0005-0000-0000-00000D9F0000}"/>
    <cellStyle name="Wrap Bold 2 2 4 3 2" xfId="37671" xr:uid="{00000000-0005-0000-0000-00000E9F0000}"/>
    <cellStyle name="Wrap Bold 2 2 4 3 2 2" xfId="37672" xr:uid="{00000000-0005-0000-0000-00000F9F0000}"/>
    <cellStyle name="Wrap Bold 2 2 4 3 3" xfId="37673" xr:uid="{00000000-0005-0000-0000-0000109F0000}"/>
    <cellStyle name="Wrap Bold 2 2 4 3 3 2" xfId="37674" xr:uid="{00000000-0005-0000-0000-0000119F0000}"/>
    <cellStyle name="Wrap Bold 2 2 4 3 4" xfId="37675" xr:uid="{00000000-0005-0000-0000-0000129F0000}"/>
    <cellStyle name="Wrap Bold 2 2 4 3 4 2" xfId="37676" xr:uid="{00000000-0005-0000-0000-0000139F0000}"/>
    <cellStyle name="Wrap Bold 2 2 4 3 5" xfId="37677" xr:uid="{00000000-0005-0000-0000-0000149F0000}"/>
    <cellStyle name="Wrap Bold 2 2 4 3 5 2" xfId="37678" xr:uid="{00000000-0005-0000-0000-0000159F0000}"/>
    <cellStyle name="Wrap Bold 2 2 4 3 6" xfId="37679" xr:uid="{00000000-0005-0000-0000-0000169F0000}"/>
    <cellStyle name="Wrap Bold 2 2 4 3 6 2" xfId="37680" xr:uid="{00000000-0005-0000-0000-0000179F0000}"/>
    <cellStyle name="Wrap Bold 2 2 4 3 7" xfId="37681" xr:uid="{00000000-0005-0000-0000-0000189F0000}"/>
    <cellStyle name="Wrap Bold 2 2 4 3 7 2" xfId="37682" xr:uid="{00000000-0005-0000-0000-0000199F0000}"/>
    <cellStyle name="Wrap Bold 2 2 4 3 8" xfId="37683" xr:uid="{00000000-0005-0000-0000-00001A9F0000}"/>
    <cellStyle name="Wrap Bold 2 2 4 3 8 2" xfId="37684" xr:uid="{00000000-0005-0000-0000-00001B9F0000}"/>
    <cellStyle name="Wrap Bold 2 2 4 3 9" xfId="37685" xr:uid="{00000000-0005-0000-0000-00001C9F0000}"/>
    <cellStyle name="Wrap Bold 2 2 4 3 9 2" xfId="37686" xr:uid="{00000000-0005-0000-0000-00001D9F0000}"/>
    <cellStyle name="Wrap Bold 2 2 4 4" xfId="37687" xr:uid="{00000000-0005-0000-0000-00001E9F0000}"/>
    <cellStyle name="Wrap Bold 2 2 4 4 10" xfId="37688" xr:uid="{00000000-0005-0000-0000-00001F9F0000}"/>
    <cellStyle name="Wrap Bold 2 2 4 4 2" xfId="37689" xr:uid="{00000000-0005-0000-0000-0000209F0000}"/>
    <cellStyle name="Wrap Bold 2 2 4 4 2 2" xfId="37690" xr:uid="{00000000-0005-0000-0000-0000219F0000}"/>
    <cellStyle name="Wrap Bold 2 2 4 4 3" xfId="37691" xr:uid="{00000000-0005-0000-0000-0000229F0000}"/>
    <cellStyle name="Wrap Bold 2 2 4 4 3 2" xfId="37692" xr:uid="{00000000-0005-0000-0000-0000239F0000}"/>
    <cellStyle name="Wrap Bold 2 2 4 4 4" xfId="37693" xr:uid="{00000000-0005-0000-0000-0000249F0000}"/>
    <cellStyle name="Wrap Bold 2 2 4 4 4 2" xfId="37694" xr:uid="{00000000-0005-0000-0000-0000259F0000}"/>
    <cellStyle name="Wrap Bold 2 2 4 4 5" xfId="37695" xr:uid="{00000000-0005-0000-0000-0000269F0000}"/>
    <cellStyle name="Wrap Bold 2 2 4 4 5 2" xfId="37696" xr:uid="{00000000-0005-0000-0000-0000279F0000}"/>
    <cellStyle name="Wrap Bold 2 2 4 4 6" xfId="37697" xr:uid="{00000000-0005-0000-0000-0000289F0000}"/>
    <cellStyle name="Wrap Bold 2 2 4 4 6 2" xfId="37698" xr:uid="{00000000-0005-0000-0000-0000299F0000}"/>
    <cellStyle name="Wrap Bold 2 2 4 4 7" xfId="37699" xr:uid="{00000000-0005-0000-0000-00002A9F0000}"/>
    <cellStyle name="Wrap Bold 2 2 4 4 7 2" xfId="37700" xr:uid="{00000000-0005-0000-0000-00002B9F0000}"/>
    <cellStyle name="Wrap Bold 2 2 4 4 8" xfId="37701" xr:uid="{00000000-0005-0000-0000-00002C9F0000}"/>
    <cellStyle name="Wrap Bold 2 2 4 4 8 2" xfId="37702" xr:uid="{00000000-0005-0000-0000-00002D9F0000}"/>
    <cellStyle name="Wrap Bold 2 2 4 4 9" xfId="37703" xr:uid="{00000000-0005-0000-0000-00002E9F0000}"/>
    <cellStyle name="Wrap Bold 2 2 4 4 9 2" xfId="37704" xr:uid="{00000000-0005-0000-0000-00002F9F0000}"/>
    <cellStyle name="Wrap Bold 2 2 4 5" xfId="37705" xr:uid="{00000000-0005-0000-0000-0000309F0000}"/>
    <cellStyle name="Wrap Bold 2 2 4 5 10" xfId="37706" xr:uid="{00000000-0005-0000-0000-0000319F0000}"/>
    <cellStyle name="Wrap Bold 2 2 4 5 2" xfId="37707" xr:uid="{00000000-0005-0000-0000-0000329F0000}"/>
    <cellStyle name="Wrap Bold 2 2 4 5 2 2" xfId="37708" xr:uid="{00000000-0005-0000-0000-0000339F0000}"/>
    <cellStyle name="Wrap Bold 2 2 4 5 3" xfId="37709" xr:uid="{00000000-0005-0000-0000-0000349F0000}"/>
    <cellStyle name="Wrap Bold 2 2 4 5 3 2" xfId="37710" xr:uid="{00000000-0005-0000-0000-0000359F0000}"/>
    <cellStyle name="Wrap Bold 2 2 4 5 4" xfId="37711" xr:uid="{00000000-0005-0000-0000-0000369F0000}"/>
    <cellStyle name="Wrap Bold 2 2 4 5 4 2" xfId="37712" xr:uid="{00000000-0005-0000-0000-0000379F0000}"/>
    <cellStyle name="Wrap Bold 2 2 4 5 5" xfId="37713" xr:uid="{00000000-0005-0000-0000-0000389F0000}"/>
    <cellStyle name="Wrap Bold 2 2 4 5 5 2" xfId="37714" xr:uid="{00000000-0005-0000-0000-0000399F0000}"/>
    <cellStyle name="Wrap Bold 2 2 4 5 6" xfId="37715" xr:uid="{00000000-0005-0000-0000-00003A9F0000}"/>
    <cellStyle name="Wrap Bold 2 2 4 5 6 2" xfId="37716" xr:uid="{00000000-0005-0000-0000-00003B9F0000}"/>
    <cellStyle name="Wrap Bold 2 2 4 5 7" xfId="37717" xr:uid="{00000000-0005-0000-0000-00003C9F0000}"/>
    <cellStyle name="Wrap Bold 2 2 4 5 7 2" xfId="37718" xr:uid="{00000000-0005-0000-0000-00003D9F0000}"/>
    <cellStyle name="Wrap Bold 2 2 4 5 8" xfId="37719" xr:uid="{00000000-0005-0000-0000-00003E9F0000}"/>
    <cellStyle name="Wrap Bold 2 2 4 5 8 2" xfId="37720" xr:uid="{00000000-0005-0000-0000-00003F9F0000}"/>
    <cellStyle name="Wrap Bold 2 2 4 5 9" xfId="37721" xr:uid="{00000000-0005-0000-0000-0000409F0000}"/>
    <cellStyle name="Wrap Bold 2 2 4 5 9 2" xfId="37722" xr:uid="{00000000-0005-0000-0000-0000419F0000}"/>
    <cellStyle name="Wrap Bold 2 2 4 6" xfId="37723" xr:uid="{00000000-0005-0000-0000-0000429F0000}"/>
    <cellStyle name="Wrap Bold 2 2 4 6 10" xfId="37724" xr:uid="{00000000-0005-0000-0000-0000439F0000}"/>
    <cellStyle name="Wrap Bold 2 2 4 6 2" xfId="37725" xr:uid="{00000000-0005-0000-0000-0000449F0000}"/>
    <cellStyle name="Wrap Bold 2 2 4 6 2 2" xfId="37726" xr:uid="{00000000-0005-0000-0000-0000459F0000}"/>
    <cellStyle name="Wrap Bold 2 2 4 6 3" xfId="37727" xr:uid="{00000000-0005-0000-0000-0000469F0000}"/>
    <cellStyle name="Wrap Bold 2 2 4 6 3 2" xfId="37728" xr:uid="{00000000-0005-0000-0000-0000479F0000}"/>
    <cellStyle name="Wrap Bold 2 2 4 6 4" xfId="37729" xr:uid="{00000000-0005-0000-0000-0000489F0000}"/>
    <cellStyle name="Wrap Bold 2 2 4 6 4 2" xfId="37730" xr:uid="{00000000-0005-0000-0000-0000499F0000}"/>
    <cellStyle name="Wrap Bold 2 2 4 6 5" xfId="37731" xr:uid="{00000000-0005-0000-0000-00004A9F0000}"/>
    <cellStyle name="Wrap Bold 2 2 4 6 5 2" xfId="37732" xr:uid="{00000000-0005-0000-0000-00004B9F0000}"/>
    <cellStyle name="Wrap Bold 2 2 4 6 6" xfId="37733" xr:uid="{00000000-0005-0000-0000-00004C9F0000}"/>
    <cellStyle name="Wrap Bold 2 2 4 6 6 2" xfId="37734" xr:uid="{00000000-0005-0000-0000-00004D9F0000}"/>
    <cellStyle name="Wrap Bold 2 2 4 6 7" xfId="37735" xr:uid="{00000000-0005-0000-0000-00004E9F0000}"/>
    <cellStyle name="Wrap Bold 2 2 4 6 7 2" xfId="37736" xr:uid="{00000000-0005-0000-0000-00004F9F0000}"/>
    <cellStyle name="Wrap Bold 2 2 4 6 8" xfId="37737" xr:uid="{00000000-0005-0000-0000-0000509F0000}"/>
    <cellStyle name="Wrap Bold 2 2 4 6 8 2" xfId="37738" xr:uid="{00000000-0005-0000-0000-0000519F0000}"/>
    <cellStyle name="Wrap Bold 2 2 4 6 9" xfId="37739" xr:uid="{00000000-0005-0000-0000-0000529F0000}"/>
    <cellStyle name="Wrap Bold 2 2 4 6 9 2" xfId="37740" xr:uid="{00000000-0005-0000-0000-0000539F0000}"/>
    <cellStyle name="Wrap Bold 2 2 4 7" xfId="37741" xr:uid="{00000000-0005-0000-0000-0000549F0000}"/>
    <cellStyle name="Wrap Bold 2 2 4 7 10" xfId="37742" xr:uid="{00000000-0005-0000-0000-0000559F0000}"/>
    <cellStyle name="Wrap Bold 2 2 4 7 2" xfId="37743" xr:uid="{00000000-0005-0000-0000-0000569F0000}"/>
    <cellStyle name="Wrap Bold 2 2 4 7 2 2" xfId="37744" xr:uid="{00000000-0005-0000-0000-0000579F0000}"/>
    <cellStyle name="Wrap Bold 2 2 4 7 3" xfId="37745" xr:uid="{00000000-0005-0000-0000-0000589F0000}"/>
    <cellStyle name="Wrap Bold 2 2 4 7 3 2" xfId="37746" xr:uid="{00000000-0005-0000-0000-0000599F0000}"/>
    <cellStyle name="Wrap Bold 2 2 4 7 4" xfId="37747" xr:uid="{00000000-0005-0000-0000-00005A9F0000}"/>
    <cellStyle name="Wrap Bold 2 2 4 7 4 2" xfId="37748" xr:uid="{00000000-0005-0000-0000-00005B9F0000}"/>
    <cellStyle name="Wrap Bold 2 2 4 7 5" xfId="37749" xr:uid="{00000000-0005-0000-0000-00005C9F0000}"/>
    <cellStyle name="Wrap Bold 2 2 4 7 5 2" xfId="37750" xr:uid="{00000000-0005-0000-0000-00005D9F0000}"/>
    <cellStyle name="Wrap Bold 2 2 4 7 6" xfId="37751" xr:uid="{00000000-0005-0000-0000-00005E9F0000}"/>
    <cellStyle name="Wrap Bold 2 2 4 7 6 2" xfId="37752" xr:uid="{00000000-0005-0000-0000-00005F9F0000}"/>
    <cellStyle name="Wrap Bold 2 2 4 7 7" xfId="37753" xr:uid="{00000000-0005-0000-0000-0000609F0000}"/>
    <cellStyle name="Wrap Bold 2 2 4 7 7 2" xfId="37754" xr:uid="{00000000-0005-0000-0000-0000619F0000}"/>
    <cellStyle name="Wrap Bold 2 2 4 7 8" xfId="37755" xr:uid="{00000000-0005-0000-0000-0000629F0000}"/>
    <cellStyle name="Wrap Bold 2 2 4 7 8 2" xfId="37756" xr:uid="{00000000-0005-0000-0000-0000639F0000}"/>
    <cellStyle name="Wrap Bold 2 2 4 7 9" xfId="37757" xr:uid="{00000000-0005-0000-0000-0000649F0000}"/>
    <cellStyle name="Wrap Bold 2 2 4 7 9 2" xfId="37758" xr:uid="{00000000-0005-0000-0000-0000659F0000}"/>
    <cellStyle name="Wrap Bold 2 2 4 8" xfId="37759" xr:uid="{00000000-0005-0000-0000-0000669F0000}"/>
    <cellStyle name="Wrap Bold 2 2 4 8 10" xfId="37760" xr:uid="{00000000-0005-0000-0000-0000679F0000}"/>
    <cellStyle name="Wrap Bold 2 2 4 8 2" xfId="37761" xr:uid="{00000000-0005-0000-0000-0000689F0000}"/>
    <cellStyle name="Wrap Bold 2 2 4 8 2 2" xfId="37762" xr:uid="{00000000-0005-0000-0000-0000699F0000}"/>
    <cellStyle name="Wrap Bold 2 2 4 8 3" xfId="37763" xr:uid="{00000000-0005-0000-0000-00006A9F0000}"/>
    <cellStyle name="Wrap Bold 2 2 4 8 3 2" xfId="37764" xr:uid="{00000000-0005-0000-0000-00006B9F0000}"/>
    <cellStyle name="Wrap Bold 2 2 4 8 4" xfId="37765" xr:uid="{00000000-0005-0000-0000-00006C9F0000}"/>
    <cellStyle name="Wrap Bold 2 2 4 8 4 2" xfId="37766" xr:uid="{00000000-0005-0000-0000-00006D9F0000}"/>
    <cellStyle name="Wrap Bold 2 2 4 8 5" xfId="37767" xr:uid="{00000000-0005-0000-0000-00006E9F0000}"/>
    <cellStyle name="Wrap Bold 2 2 4 8 5 2" xfId="37768" xr:uid="{00000000-0005-0000-0000-00006F9F0000}"/>
    <cellStyle name="Wrap Bold 2 2 4 8 6" xfId="37769" xr:uid="{00000000-0005-0000-0000-0000709F0000}"/>
    <cellStyle name="Wrap Bold 2 2 4 8 6 2" xfId="37770" xr:uid="{00000000-0005-0000-0000-0000719F0000}"/>
    <cellStyle name="Wrap Bold 2 2 4 8 7" xfId="37771" xr:uid="{00000000-0005-0000-0000-0000729F0000}"/>
    <cellStyle name="Wrap Bold 2 2 4 8 7 2" xfId="37772" xr:uid="{00000000-0005-0000-0000-0000739F0000}"/>
    <cellStyle name="Wrap Bold 2 2 4 8 8" xfId="37773" xr:uid="{00000000-0005-0000-0000-0000749F0000}"/>
    <cellStyle name="Wrap Bold 2 2 4 8 8 2" xfId="37774" xr:uid="{00000000-0005-0000-0000-0000759F0000}"/>
    <cellStyle name="Wrap Bold 2 2 4 8 9" xfId="37775" xr:uid="{00000000-0005-0000-0000-0000769F0000}"/>
    <cellStyle name="Wrap Bold 2 2 4 8 9 2" xfId="37776" xr:uid="{00000000-0005-0000-0000-0000779F0000}"/>
    <cellStyle name="Wrap Bold 2 2 4 9" xfId="37777" xr:uid="{00000000-0005-0000-0000-0000789F0000}"/>
    <cellStyle name="Wrap Bold 2 2 4 9 10" xfId="37778" xr:uid="{00000000-0005-0000-0000-0000799F0000}"/>
    <cellStyle name="Wrap Bold 2 2 4 9 2" xfId="37779" xr:uid="{00000000-0005-0000-0000-00007A9F0000}"/>
    <cellStyle name="Wrap Bold 2 2 4 9 2 2" xfId="37780" xr:uid="{00000000-0005-0000-0000-00007B9F0000}"/>
    <cellStyle name="Wrap Bold 2 2 4 9 3" xfId="37781" xr:uid="{00000000-0005-0000-0000-00007C9F0000}"/>
    <cellStyle name="Wrap Bold 2 2 4 9 3 2" xfId="37782" xr:uid="{00000000-0005-0000-0000-00007D9F0000}"/>
    <cellStyle name="Wrap Bold 2 2 4 9 4" xfId="37783" xr:uid="{00000000-0005-0000-0000-00007E9F0000}"/>
    <cellStyle name="Wrap Bold 2 2 4 9 4 2" xfId="37784" xr:uid="{00000000-0005-0000-0000-00007F9F0000}"/>
    <cellStyle name="Wrap Bold 2 2 4 9 5" xfId="37785" xr:uid="{00000000-0005-0000-0000-0000809F0000}"/>
    <cellStyle name="Wrap Bold 2 2 4 9 5 2" xfId="37786" xr:uid="{00000000-0005-0000-0000-0000819F0000}"/>
    <cellStyle name="Wrap Bold 2 2 4 9 6" xfId="37787" xr:uid="{00000000-0005-0000-0000-0000829F0000}"/>
    <cellStyle name="Wrap Bold 2 2 4 9 6 2" xfId="37788" xr:uid="{00000000-0005-0000-0000-0000839F0000}"/>
    <cellStyle name="Wrap Bold 2 2 4 9 7" xfId="37789" xr:uid="{00000000-0005-0000-0000-0000849F0000}"/>
    <cellStyle name="Wrap Bold 2 2 4 9 7 2" xfId="37790" xr:uid="{00000000-0005-0000-0000-0000859F0000}"/>
    <cellStyle name="Wrap Bold 2 2 4 9 8" xfId="37791" xr:uid="{00000000-0005-0000-0000-0000869F0000}"/>
    <cellStyle name="Wrap Bold 2 2 4 9 8 2" xfId="37792" xr:uid="{00000000-0005-0000-0000-0000879F0000}"/>
    <cellStyle name="Wrap Bold 2 2 4 9 9" xfId="37793" xr:uid="{00000000-0005-0000-0000-0000889F0000}"/>
    <cellStyle name="Wrap Bold 2 2 4 9 9 2" xfId="37794" xr:uid="{00000000-0005-0000-0000-0000899F0000}"/>
    <cellStyle name="Wrap Bold 2 2 5" xfId="37795" xr:uid="{00000000-0005-0000-0000-00008A9F0000}"/>
    <cellStyle name="Wrap Bold 2 2 5 10" xfId="37796" xr:uid="{00000000-0005-0000-0000-00008B9F0000}"/>
    <cellStyle name="Wrap Bold 2 2 5 10 2" xfId="37797" xr:uid="{00000000-0005-0000-0000-00008C9F0000}"/>
    <cellStyle name="Wrap Bold 2 2 5 10 2 2" xfId="37798" xr:uid="{00000000-0005-0000-0000-00008D9F0000}"/>
    <cellStyle name="Wrap Bold 2 2 5 10 3" xfId="37799" xr:uid="{00000000-0005-0000-0000-00008E9F0000}"/>
    <cellStyle name="Wrap Bold 2 2 5 10 3 2" xfId="37800" xr:uid="{00000000-0005-0000-0000-00008F9F0000}"/>
    <cellStyle name="Wrap Bold 2 2 5 10 4" xfId="37801" xr:uid="{00000000-0005-0000-0000-0000909F0000}"/>
    <cellStyle name="Wrap Bold 2 2 5 10 4 2" xfId="37802" xr:uid="{00000000-0005-0000-0000-0000919F0000}"/>
    <cellStyle name="Wrap Bold 2 2 5 10 5" xfId="37803" xr:uid="{00000000-0005-0000-0000-0000929F0000}"/>
    <cellStyle name="Wrap Bold 2 2 5 10 5 2" xfId="37804" xr:uid="{00000000-0005-0000-0000-0000939F0000}"/>
    <cellStyle name="Wrap Bold 2 2 5 10 6" xfId="37805" xr:uid="{00000000-0005-0000-0000-0000949F0000}"/>
    <cellStyle name="Wrap Bold 2 2 5 10 6 2" xfId="37806" xr:uid="{00000000-0005-0000-0000-0000959F0000}"/>
    <cellStyle name="Wrap Bold 2 2 5 10 7" xfId="37807" xr:uid="{00000000-0005-0000-0000-0000969F0000}"/>
    <cellStyle name="Wrap Bold 2 2 5 10 7 2" xfId="37808" xr:uid="{00000000-0005-0000-0000-0000979F0000}"/>
    <cellStyle name="Wrap Bold 2 2 5 10 8" xfId="37809" xr:uid="{00000000-0005-0000-0000-0000989F0000}"/>
    <cellStyle name="Wrap Bold 2 2 5 10 8 2" xfId="37810" xr:uid="{00000000-0005-0000-0000-0000999F0000}"/>
    <cellStyle name="Wrap Bold 2 2 5 10 9" xfId="37811" xr:uid="{00000000-0005-0000-0000-00009A9F0000}"/>
    <cellStyle name="Wrap Bold 2 2 5 11" xfId="37812" xr:uid="{00000000-0005-0000-0000-00009B9F0000}"/>
    <cellStyle name="Wrap Bold 2 2 5 11 2" xfId="37813" xr:uid="{00000000-0005-0000-0000-00009C9F0000}"/>
    <cellStyle name="Wrap Bold 2 2 5 12" xfId="37814" xr:uid="{00000000-0005-0000-0000-00009D9F0000}"/>
    <cellStyle name="Wrap Bold 2 2 5 12 2" xfId="37815" xr:uid="{00000000-0005-0000-0000-00009E9F0000}"/>
    <cellStyle name="Wrap Bold 2 2 5 13" xfId="37816" xr:uid="{00000000-0005-0000-0000-00009F9F0000}"/>
    <cellStyle name="Wrap Bold 2 2 5 13 2" xfId="37817" xr:uid="{00000000-0005-0000-0000-0000A09F0000}"/>
    <cellStyle name="Wrap Bold 2 2 5 14" xfId="37818" xr:uid="{00000000-0005-0000-0000-0000A19F0000}"/>
    <cellStyle name="Wrap Bold 2 2 5 14 2" xfId="37819" xr:uid="{00000000-0005-0000-0000-0000A29F0000}"/>
    <cellStyle name="Wrap Bold 2 2 5 15" xfId="37820" xr:uid="{00000000-0005-0000-0000-0000A39F0000}"/>
    <cellStyle name="Wrap Bold 2 2 5 15 2" xfId="37821" xr:uid="{00000000-0005-0000-0000-0000A49F0000}"/>
    <cellStyle name="Wrap Bold 2 2 5 16" xfId="37822" xr:uid="{00000000-0005-0000-0000-0000A59F0000}"/>
    <cellStyle name="Wrap Bold 2 2 5 16 2" xfId="37823" xr:uid="{00000000-0005-0000-0000-0000A69F0000}"/>
    <cellStyle name="Wrap Bold 2 2 5 17" xfId="37824" xr:uid="{00000000-0005-0000-0000-0000A79F0000}"/>
    <cellStyle name="Wrap Bold 2 2 5 17 2" xfId="37825" xr:uid="{00000000-0005-0000-0000-0000A89F0000}"/>
    <cellStyle name="Wrap Bold 2 2 5 18" xfId="37826" xr:uid="{00000000-0005-0000-0000-0000A99F0000}"/>
    <cellStyle name="Wrap Bold 2 2 5 2" xfId="37827" xr:uid="{00000000-0005-0000-0000-0000AA9F0000}"/>
    <cellStyle name="Wrap Bold 2 2 5 2 10" xfId="37828" xr:uid="{00000000-0005-0000-0000-0000AB9F0000}"/>
    <cellStyle name="Wrap Bold 2 2 5 2 2" xfId="37829" xr:uid="{00000000-0005-0000-0000-0000AC9F0000}"/>
    <cellStyle name="Wrap Bold 2 2 5 2 2 2" xfId="37830" xr:uid="{00000000-0005-0000-0000-0000AD9F0000}"/>
    <cellStyle name="Wrap Bold 2 2 5 2 3" xfId="37831" xr:uid="{00000000-0005-0000-0000-0000AE9F0000}"/>
    <cellStyle name="Wrap Bold 2 2 5 2 3 2" xfId="37832" xr:uid="{00000000-0005-0000-0000-0000AF9F0000}"/>
    <cellStyle name="Wrap Bold 2 2 5 2 4" xfId="37833" xr:uid="{00000000-0005-0000-0000-0000B09F0000}"/>
    <cellStyle name="Wrap Bold 2 2 5 2 4 2" xfId="37834" xr:uid="{00000000-0005-0000-0000-0000B19F0000}"/>
    <cellStyle name="Wrap Bold 2 2 5 2 5" xfId="37835" xr:uid="{00000000-0005-0000-0000-0000B29F0000}"/>
    <cellStyle name="Wrap Bold 2 2 5 2 5 2" xfId="37836" xr:uid="{00000000-0005-0000-0000-0000B39F0000}"/>
    <cellStyle name="Wrap Bold 2 2 5 2 6" xfId="37837" xr:uid="{00000000-0005-0000-0000-0000B49F0000}"/>
    <cellStyle name="Wrap Bold 2 2 5 2 6 2" xfId="37838" xr:uid="{00000000-0005-0000-0000-0000B59F0000}"/>
    <cellStyle name="Wrap Bold 2 2 5 2 7" xfId="37839" xr:uid="{00000000-0005-0000-0000-0000B69F0000}"/>
    <cellStyle name="Wrap Bold 2 2 5 2 7 2" xfId="37840" xr:uid="{00000000-0005-0000-0000-0000B79F0000}"/>
    <cellStyle name="Wrap Bold 2 2 5 2 8" xfId="37841" xr:uid="{00000000-0005-0000-0000-0000B89F0000}"/>
    <cellStyle name="Wrap Bold 2 2 5 2 8 2" xfId="37842" xr:uid="{00000000-0005-0000-0000-0000B99F0000}"/>
    <cellStyle name="Wrap Bold 2 2 5 2 9" xfId="37843" xr:uid="{00000000-0005-0000-0000-0000BA9F0000}"/>
    <cellStyle name="Wrap Bold 2 2 5 2 9 2" xfId="37844" xr:uid="{00000000-0005-0000-0000-0000BB9F0000}"/>
    <cellStyle name="Wrap Bold 2 2 5 3" xfId="37845" xr:uid="{00000000-0005-0000-0000-0000BC9F0000}"/>
    <cellStyle name="Wrap Bold 2 2 5 3 10" xfId="37846" xr:uid="{00000000-0005-0000-0000-0000BD9F0000}"/>
    <cellStyle name="Wrap Bold 2 2 5 3 2" xfId="37847" xr:uid="{00000000-0005-0000-0000-0000BE9F0000}"/>
    <cellStyle name="Wrap Bold 2 2 5 3 2 2" xfId="37848" xr:uid="{00000000-0005-0000-0000-0000BF9F0000}"/>
    <cellStyle name="Wrap Bold 2 2 5 3 3" xfId="37849" xr:uid="{00000000-0005-0000-0000-0000C09F0000}"/>
    <cellStyle name="Wrap Bold 2 2 5 3 3 2" xfId="37850" xr:uid="{00000000-0005-0000-0000-0000C19F0000}"/>
    <cellStyle name="Wrap Bold 2 2 5 3 4" xfId="37851" xr:uid="{00000000-0005-0000-0000-0000C29F0000}"/>
    <cellStyle name="Wrap Bold 2 2 5 3 4 2" xfId="37852" xr:uid="{00000000-0005-0000-0000-0000C39F0000}"/>
    <cellStyle name="Wrap Bold 2 2 5 3 5" xfId="37853" xr:uid="{00000000-0005-0000-0000-0000C49F0000}"/>
    <cellStyle name="Wrap Bold 2 2 5 3 5 2" xfId="37854" xr:uid="{00000000-0005-0000-0000-0000C59F0000}"/>
    <cellStyle name="Wrap Bold 2 2 5 3 6" xfId="37855" xr:uid="{00000000-0005-0000-0000-0000C69F0000}"/>
    <cellStyle name="Wrap Bold 2 2 5 3 6 2" xfId="37856" xr:uid="{00000000-0005-0000-0000-0000C79F0000}"/>
    <cellStyle name="Wrap Bold 2 2 5 3 7" xfId="37857" xr:uid="{00000000-0005-0000-0000-0000C89F0000}"/>
    <cellStyle name="Wrap Bold 2 2 5 3 7 2" xfId="37858" xr:uid="{00000000-0005-0000-0000-0000C99F0000}"/>
    <cellStyle name="Wrap Bold 2 2 5 3 8" xfId="37859" xr:uid="{00000000-0005-0000-0000-0000CA9F0000}"/>
    <cellStyle name="Wrap Bold 2 2 5 3 8 2" xfId="37860" xr:uid="{00000000-0005-0000-0000-0000CB9F0000}"/>
    <cellStyle name="Wrap Bold 2 2 5 3 9" xfId="37861" xr:uid="{00000000-0005-0000-0000-0000CC9F0000}"/>
    <cellStyle name="Wrap Bold 2 2 5 3 9 2" xfId="37862" xr:uid="{00000000-0005-0000-0000-0000CD9F0000}"/>
    <cellStyle name="Wrap Bold 2 2 5 4" xfId="37863" xr:uid="{00000000-0005-0000-0000-0000CE9F0000}"/>
    <cellStyle name="Wrap Bold 2 2 5 4 10" xfId="37864" xr:uid="{00000000-0005-0000-0000-0000CF9F0000}"/>
    <cellStyle name="Wrap Bold 2 2 5 4 2" xfId="37865" xr:uid="{00000000-0005-0000-0000-0000D09F0000}"/>
    <cellStyle name="Wrap Bold 2 2 5 4 2 2" xfId="37866" xr:uid="{00000000-0005-0000-0000-0000D19F0000}"/>
    <cellStyle name="Wrap Bold 2 2 5 4 3" xfId="37867" xr:uid="{00000000-0005-0000-0000-0000D29F0000}"/>
    <cellStyle name="Wrap Bold 2 2 5 4 3 2" xfId="37868" xr:uid="{00000000-0005-0000-0000-0000D39F0000}"/>
    <cellStyle name="Wrap Bold 2 2 5 4 4" xfId="37869" xr:uid="{00000000-0005-0000-0000-0000D49F0000}"/>
    <cellStyle name="Wrap Bold 2 2 5 4 4 2" xfId="37870" xr:uid="{00000000-0005-0000-0000-0000D59F0000}"/>
    <cellStyle name="Wrap Bold 2 2 5 4 5" xfId="37871" xr:uid="{00000000-0005-0000-0000-0000D69F0000}"/>
    <cellStyle name="Wrap Bold 2 2 5 4 5 2" xfId="37872" xr:uid="{00000000-0005-0000-0000-0000D79F0000}"/>
    <cellStyle name="Wrap Bold 2 2 5 4 6" xfId="37873" xr:uid="{00000000-0005-0000-0000-0000D89F0000}"/>
    <cellStyle name="Wrap Bold 2 2 5 4 6 2" xfId="37874" xr:uid="{00000000-0005-0000-0000-0000D99F0000}"/>
    <cellStyle name="Wrap Bold 2 2 5 4 7" xfId="37875" xr:uid="{00000000-0005-0000-0000-0000DA9F0000}"/>
    <cellStyle name="Wrap Bold 2 2 5 4 7 2" xfId="37876" xr:uid="{00000000-0005-0000-0000-0000DB9F0000}"/>
    <cellStyle name="Wrap Bold 2 2 5 4 8" xfId="37877" xr:uid="{00000000-0005-0000-0000-0000DC9F0000}"/>
    <cellStyle name="Wrap Bold 2 2 5 4 8 2" xfId="37878" xr:uid="{00000000-0005-0000-0000-0000DD9F0000}"/>
    <cellStyle name="Wrap Bold 2 2 5 4 9" xfId="37879" xr:uid="{00000000-0005-0000-0000-0000DE9F0000}"/>
    <cellStyle name="Wrap Bold 2 2 5 4 9 2" xfId="37880" xr:uid="{00000000-0005-0000-0000-0000DF9F0000}"/>
    <cellStyle name="Wrap Bold 2 2 5 5" xfId="37881" xr:uid="{00000000-0005-0000-0000-0000E09F0000}"/>
    <cellStyle name="Wrap Bold 2 2 5 5 10" xfId="37882" xr:uid="{00000000-0005-0000-0000-0000E19F0000}"/>
    <cellStyle name="Wrap Bold 2 2 5 5 2" xfId="37883" xr:uid="{00000000-0005-0000-0000-0000E29F0000}"/>
    <cellStyle name="Wrap Bold 2 2 5 5 2 2" xfId="37884" xr:uid="{00000000-0005-0000-0000-0000E39F0000}"/>
    <cellStyle name="Wrap Bold 2 2 5 5 3" xfId="37885" xr:uid="{00000000-0005-0000-0000-0000E49F0000}"/>
    <cellStyle name="Wrap Bold 2 2 5 5 3 2" xfId="37886" xr:uid="{00000000-0005-0000-0000-0000E59F0000}"/>
    <cellStyle name="Wrap Bold 2 2 5 5 4" xfId="37887" xr:uid="{00000000-0005-0000-0000-0000E69F0000}"/>
    <cellStyle name="Wrap Bold 2 2 5 5 4 2" xfId="37888" xr:uid="{00000000-0005-0000-0000-0000E79F0000}"/>
    <cellStyle name="Wrap Bold 2 2 5 5 5" xfId="37889" xr:uid="{00000000-0005-0000-0000-0000E89F0000}"/>
    <cellStyle name="Wrap Bold 2 2 5 5 5 2" xfId="37890" xr:uid="{00000000-0005-0000-0000-0000E99F0000}"/>
    <cellStyle name="Wrap Bold 2 2 5 5 6" xfId="37891" xr:uid="{00000000-0005-0000-0000-0000EA9F0000}"/>
    <cellStyle name="Wrap Bold 2 2 5 5 6 2" xfId="37892" xr:uid="{00000000-0005-0000-0000-0000EB9F0000}"/>
    <cellStyle name="Wrap Bold 2 2 5 5 7" xfId="37893" xr:uid="{00000000-0005-0000-0000-0000EC9F0000}"/>
    <cellStyle name="Wrap Bold 2 2 5 5 7 2" xfId="37894" xr:uid="{00000000-0005-0000-0000-0000ED9F0000}"/>
    <cellStyle name="Wrap Bold 2 2 5 5 8" xfId="37895" xr:uid="{00000000-0005-0000-0000-0000EE9F0000}"/>
    <cellStyle name="Wrap Bold 2 2 5 5 8 2" xfId="37896" xr:uid="{00000000-0005-0000-0000-0000EF9F0000}"/>
    <cellStyle name="Wrap Bold 2 2 5 5 9" xfId="37897" xr:uid="{00000000-0005-0000-0000-0000F09F0000}"/>
    <cellStyle name="Wrap Bold 2 2 5 5 9 2" xfId="37898" xr:uid="{00000000-0005-0000-0000-0000F19F0000}"/>
    <cellStyle name="Wrap Bold 2 2 5 6" xfId="37899" xr:uid="{00000000-0005-0000-0000-0000F29F0000}"/>
    <cellStyle name="Wrap Bold 2 2 5 6 10" xfId="37900" xr:uid="{00000000-0005-0000-0000-0000F39F0000}"/>
    <cellStyle name="Wrap Bold 2 2 5 6 2" xfId="37901" xr:uid="{00000000-0005-0000-0000-0000F49F0000}"/>
    <cellStyle name="Wrap Bold 2 2 5 6 2 2" xfId="37902" xr:uid="{00000000-0005-0000-0000-0000F59F0000}"/>
    <cellStyle name="Wrap Bold 2 2 5 6 3" xfId="37903" xr:uid="{00000000-0005-0000-0000-0000F69F0000}"/>
    <cellStyle name="Wrap Bold 2 2 5 6 3 2" xfId="37904" xr:uid="{00000000-0005-0000-0000-0000F79F0000}"/>
    <cellStyle name="Wrap Bold 2 2 5 6 4" xfId="37905" xr:uid="{00000000-0005-0000-0000-0000F89F0000}"/>
    <cellStyle name="Wrap Bold 2 2 5 6 4 2" xfId="37906" xr:uid="{00000000-0005-0000-0000-0000F99F0000}"/>
    <cellStyle name="Wrap Bold 2 2 5 6 5" xfId="37907" xr:uid="{00000000-0005-0000-0000-0000FA9F0000}"/>
    <cellStyle name="Wrap Bold 2 2 5 6 5 2" xfId="37908" xr:uid="{00000000-0005-0000-0000-0000FB9F0000}"/>
    <cellStyle name="Wrap Bold 2 2 5 6 6" xfId="37909" xr:uid="{00000000-0005-0000-0000-0000FC9F0000}"/>
    <cellStyle name="Wrap Bold 2 2 5 6 6 2" xfId="37910" xr:uid="{00000000-0005-0000-0000-0000FD9F0000}"/>
    <cellStyle name="Wrap Bold 2 2 5 6 7" xfId="37911" xr:uid="{00000000-0005-0000-0000-0000FE9F0000}"/>
    <cellStyle name="Wrap Bold 2 2 5 6 7 2" xfId="37912" xr:uid="{00000000-0005-0000-0000-0000FF9F0000}"/>
    <cellStyle name="Wrap Bold 2 2 5 6 8" xfId="37913" xr:uid="{00000000-0005-0000-0000-000000A00000}"/>
    <cellStyle name="Wrap Bold 2 2 5 6 8 2" xfId="37914" xr:uid="{00000000-0005-0000-0000-000001A00000}"/>
    <cellStyle name="Wrap Bold 2 2 5 6 9" xfId="37915" xr:uid="{00000000-0005-0000-0000-000002A00000}"/>
    <cellStyle name="Wrap Bold 2 2 5 6 9 2" xfId="37916" xr:uid="{00000000-0005-0000-0000-000003A00000}"/>
    <cellStyle name="Wrap Bold 2 2 5 7" xfId="37917" xr:uid="{00000000-0005-0000-0000-000004A00000}"/>
    <cellStyle name="Wrap Bold 2 2 5 7 10" xfId="37918" xr:uid="{00000000-0005-0000-0000-000005A00000}"/>
    <cellStyle name="Wrap Bold 2 2 5 7 2" xfId="37919" xr:uid="{00000000-0005-0000-0000-000006A00000}"/>
    <cellStyle name="Wrap Bold 2 2 5 7 2 2" xfId="37920" xr:uid="{00000000-0005-0000-0000-000007A00000}"/>
    <cellStyle name="Wrap Bold 2 2 5 7 3" xfId="37921" xr:uid="{00000000-0005-0000-0000-000008A00000}"/>
    <cellStyle name="Wrap Bold 2 2 5 7 3 2" xfId="37922" xr:uid="{00000000-0005-0000-0000-000009A00000}"/>
    <cellStyle name="Wrap Bold 2 2 5 7 4" xfId="37923" xr:uid="{00000000-0005-0000-0000-00000AA00000}"/>
    <cellStyle name="Wrap Bold 2 2 5 7 4 2" xfId="37924" xr:uid="{00000000-0005-0000-0000-00000BA00000}"/>
    <cellStyle name="Wrap Bold 2 2 5 7 5" xfId="37925" xr:uid="{00000000-0005-0000-0000-00000CA00000}"/>
    <cellStyle name="Wrap Bold 2 2 5 7 5 2" xfId="37926" xr:uid="{00000000-0005-0000-0000-00000DA00000}"/>
    <cellStyle name="Wrap Bold 2 2 5 7 6" xfId="37927" xr:uid="{00000000-0005-0000-0000-00000EA00000}"/>
    <cellStyle name="Wrap Bold 2 2 5 7 6 2" xfId="37928" xr:uid="{00000000-0005-0000-0000-00000FA00000}"/>
    <cellStyle name="Wrap Bold 2 2 5 7 7" xfId="37929" xr:uid="{00000000-0005-0000-0000-000010A00000}"/>
    <cellStyle name="Wrap Bold 2 2 5 7 7 2" xfId="37930" xr:uid="{00000000-0005-0000-0000-000011A00000}"/>
    <cellStyle name="Wrap Bold 2 2 5 7 8" xfId="37931" xr:uid="{00000000-0005-0000-0000-000012A00000}"/>
    <cellStyle name="Wrap Bold 2 2 5 7 8 2" xfId="37932" xr:uid="{00000000-0005-0000-0000-000013A00000}"/>
    <cellStyle name="Wrap Bold 2 2 5 7 9" xfId="37933" xr:uid="{00000000-0005-0000-0000-000014A00000}"/>
    <cellStyle name="Wrap Bold 2 2 5 7 9 2" xfId="37934" xr:uid="{00000000-0005-0000-0000-000015A00000}"/>
    <cellStyle name="Wrap Bold 2 2 5 8" xfId="37935" xr:uid="{00000000-0005-0000-0000-000016A00000}"/>
    <cellStyle name="Wrap Bold 2 2 5 8 10" xfId="37936" xr:uid="{00000000-0005-0000-0000-000017A00000}"/>
    <cellStyle name="Wrap Bold 2 2 5 8 2" xfId="37937" xr:uid="{00000000-0005-0000-0000-000018A00000}"/>
    <cellStyle name="Wrap Bold 2 2 5 8 2 2" xfId="37938" xr:uid="{00000000-0005-0000-0000-000019A00000}"/>
    <cellStyle name="Wrap Bold 2 2 5 8 3" xfId="37939" xr:uid="{00000000-0005-0000-0000-00001AA00000}"/>
    <cellStyle name="Wrap Bold 2 2 5 8 3 2" xfId="37940" xr:uid="{00000000-0005-0000-0000-00001BA00000}"/>
    <cellStyle name="Wrap Bold 2 2 5 8 4" xfId="37941" xr:uid="{00000000-0005-0000-0000-00001CA00000}"/>
    <cellStyle name="Wrap Bold 2 2 5 8 4 2" xfId="37942" xr:uid="{00000000-0005-0000-0000-00001DA00000}"/>
    <cellStyle name="Wrap Bold 2 2 5 8 5" xfId="37943" xr:uid="{00000000-0005-0000-0000-00001EA00000}"/>
    <cellStyle name="Wrap Bold 2 2 5 8 5 2" xfId="37944" xr:uid="{00000000-0005-0000-0000-00001FA00000}"/>
    <cellStyle name="Wrap Bold 2 2 5 8 6" xfId="37945" xr:uid="{00000000-0005-0000-0000-000020A00000}"/>
    <cellStyle name="Wrap Bold 2 2 5 8 6 2" xfId="37946" xr:uid="{00000000-0005-0000-0000-000021A00000}"/>
    <cellStyle name="Wrap Bold 2 2 5 8 7" xfId="37947" xr:uid="{00000000-0005-0000-0000-000022A00000}"/>
    <cellStyle name="Wrap Bold 2 2 5 8 7 2" xfId="37948" xr:uid="{00000000-0005-0000-0000-000023A00000}"/>
    <cellStyle name="Wrap Bold 2 2 5 8 8" xfId="37949" xr:uid="{00000000-0005-0000-0000-000024A00000}"/>
    <cellStyle name="Wrap Bold 2 2 5 8 8 2" xfId="37950" xr:uid="{00000000-0005-0000-0000-000025A00000}"/>
    <cellStyle name="Wrap Bold 2 2 5 8 9" xfId="37951" xr:uid="{00000000-0005-0000-0000-000026A00000}"/>
    <cellStyle name="Wrap Bold 2 2 5 8 9 2" xfId="37952" xr:uid="{00000000-0005-0000-0000-000027A00000}"/>
    <cellStyle name="Wrap Bold 2 2 5 9" xfId="37953" xr:uid="{00000000-0005-0000-0000-000028A00000}"/>
    <cellStyle name="Wrap Bold 2 2 5 9 10" xfId="37954" xr:uid="{00000000-0005-0000-0000-000029A00000}"/>
    <cellStyle name="Wrap Bold 2 2 5 9 2" xfId="37955" xr:uid="{00000000-0005-0000-0000-00002AA00000}"/>
    <cellStyle name="Wrap Bold 2 2 5 9 2 2" xfId="37956" xr:uid="{00000000-0005-0000-0000-00002BA00000}"/>
    <cellStyle name="Wrap Bold 2 2 5 9 3" xfId="37957" xr:uid="{00000000-0005-0000-0000-00002CA00000}"/>
    <cellStyle name="Wrap Bold 2 2 5 9 3 2" xfId="37958" xr:uid="{00000000-0005-0000-0000-00002DA00000}"/>
    <cellStyle name="Wrap Bold 2 2 5 9 4" xfId="37959" xr:uid="{00000000-0005-0000-0000-00002EA00000}"/>
    <cellStyle name="Wrap Bold 2 2 5 9 4 2" xfId="37960" xr:uid="{00000000-0005-0000-0000-00002FA00000}"/>
    <cellStyle name="Wrap Bold 2 2 5 9 5" xfId="37961" xr:uid="{00000000-0005-0000-0000-000030A00000}"/>
    <cellStyle name="Wrap Bold 2 2 5 9 5 2" xfId="37962" xr:uid="{00000000-0005-0000-0000-000031A00000}"/>
    <cellStyle name="Wrap Bold 2 2 5 9 6" xfId="37963" xr:uid="{00000000-0005-0000-0000-000032A00000}"/>
    <cellStyle name="Wrap Bold 2 2 5 9 6 2" xfId="37964" xr:uid="{00000000-0005-0000-0000-000033A00000}"/>
    <cellStyle name="Wrap Bold 2 2 5 9 7" xfId="37965" xr:uid="{00000000-0005-0000-0000-000034A00000}"/>
    <cellStyle name="Wrap Bold 2 2 5 9 7 2" xfId="37966" xr:uid="{00000000-0005-0000-0000-000035A00000}"/>
    <cellStyle name="Wrap Bold 2 2 5 9 8" xfId="37967" xr:uid="{00000000-0005-0000-0000-000036A00000}"/>
    <cellStyle name="Wrap Bold 2 2 5 9 8 2" xfId="37968" xr:uid="{00000000-0005-0000-0000-000037A00000}"/>
    <cellStyle name="Wrap Bold 2 2 5 9 9" xfId="37969" xr:uid="{00000000-0005-0000-0000-000038A00000}"/>
    <cellStyle name="Wrap Bold 2 2 5 9 9 2" xfId="37970" xr:uid="{00000000-0005-0000-0000-000039A00000}"/>
    <cellStyle name="Wrap Bold 2 2 6" xfId="37971" xr:uid="{00000000-0005-0000-0000-00003AA00000}"/>
    <cellStyle name="Wrap Bold 2 2 6 10" xfId="37972" xr:uid="{00000000-0005-0000-0000-00003BA00000}"/>
    <cellStyle name="Wrap Bold 2 2 6 10 2" xfId="37973" xr:uid="{00000000-0005-0000-0000-00003CA00000}"/>
    <cellStyle name="Wrap Bold 2 2 6 10 2 2" xfId="37974" xr:uid="{00000000-0005-0000-0000-00003DA00000}"/>
    <cellStyle name="Wrap Bold 2 2 6 10 3" xfId="37975" xr:uid="{00000000-0005-0000-0000-00003EA00000}"/>
    <cellStyle name="Wrap Bold 2 2 6 10 3 2" xfId="37976" xr:uid="{00000000-0005-0000-0000-00003FA00000}"/>
    <cellStyle name="Wrap Bold 2 2 6 10 4" xfId="37977" xr:uid="{00000000-0005-0000-0000-000040A00000}"/>
    <cellStyle name="Wrap Bold 2 2 6 10 4 2" xfId="37978" xr:uid="{00000000-0005-0000-0000-000041A00000}"/>
    <cellStyle name="Wrap Bold 2 2 6 10 5" xfId="37979" xr:uid="{00000000-0005-0000-0000-000042A00000}"/>
    <cellStyle name="Wrap Bold 2 2 6 10 5 2" xfId="37980" xr:uid="{00000000-0005-0000-0000-000043A00000}"/>
    <cellStyle name="Wrap Bold 2 2 6 10 6" xfId="37981" xr:uid="{00000000-0005-0000-0000-000044A00000}"/>
    <cellStyle name="Wrap Bold 2 2 6 10 6 2" xfId="37982" xr:uid="{00000000-0005-0000-0000-000045A00000}"/>
    <cellStyle name="Wrap Bold 2 2 6 10 7" xfId="37983" xr:uid="{00000000-0005-0000-0000-000046A00000}"/>
    <cellStyle name="Wrap Bold 2 2 6 10 7 2" xfId="37984" xr:uid="{00000000-0005-0000-0000-000047A00000}"/>
    <cellStyle name="Wrap Bold 2 2 6 10 8" xfId="37985" xr:uid="{00000000-0005-0000-0000-000048A00000}"/>
    <cellStyle name="Wrap Bold 2 2 6 10 8 2" xfId="37986" xr:uid="{00000000-0005-0000-0000-000049A00000}"/>
    <cellStyle name="Wrap Bold 2 2 6 10 9" xfId="37987" xr:uid="{00000000-0005-0000-0000-00004AA00000}"/>
    <cellStyle name="Wrap Bold 2 2 6 11" xfId="37988" xr:uid="{00000000-0005-0000-0000-00004BA00000}"/>
    <cellStyle name="Wrap Bold 2 2 6 11 2" xfId="37989" xr:uid="{00000000-0005-0000-0000-00004CA00000}"/>
    <cellStyle name="Wrap Bold 2 2 6 12" xfId="37990" xr:uid="{00000000-0005-0000-0000-00004DA00000}"/>
    <cellStyle name="Wrap Bold 2 2 6 12 2" xfId="37991" xr:uid="{00000000-0005-0000-0000-00004EA00000}"/>
    <cellStyle name="Wrap Bold 2 2 6 13" xfId="37992" xr:uid="{00000000-0005-0000-0000-00004FA00000}"/>
    <cellStyle name="Wrap Bold 2 2 6 13 2" xfId="37993" xr:uid="{00000000-0005-0000-0000-000050A00000}"/>
    <cellStyle name="Wrap Bold 2 2 6 14" xfId="37994" xr:uid="{00000000-0005-0000-0000-000051A00000}"/>
    <cellStyle name="Wrap Bold 2 2 6 14 2" xfId="37995" xr:uid="{00000000-0005-0000-0000-000052A00000}"/>
    <cellStyle name="Wrap Bold 2 2 6 15" xfId="37996" xr:uid="{00000000-0005-0000-0000-000053A00000}"/>
    <cellStyle name="Wrap Bold 2 2 6 15 2" xfId="37997" xr:uid="{00000000-0005-0000-0000-000054A00000}"/>
    <cellStyle name="Wrap Bold 2 2 6 16" xfId="37998" xr:uid="{00000000-0005-0000-0000-000055A00000}"/>
    <cellStyle name="Wrap Bold 2 2 6 16 2" xfId="37999" xr:uid="{00000000-0005-0000-0000-000056A00000}"/>
    <cellStyle name="Wrap Bold 2 2 6 17" xfId="38000" xr:uid="{00000000-0005-0000-0000-000057A00000}"/>
    <cellStyle name="Wrap Bold 2 2 6 17 2" xfId="38001" xr:uid="{00000000-0005-0000-0000-000058A00000}"/>
    <cellStyle name="Wrap Bold 2 2 6 18" xfId="38002" xr:uid="{00000000-0005-0000-0000-000059A00000}"/>
    <cellStyle name="Wrap Bold 2 2 6 2" xfId="38003" xr:uid="{00000000-0005-0000-0000-00005AA00000}"/>
    <cellStyle name="Wrap Bold 2 2 6 2 10" xfId="38004" xr:uid="{00000000-0005-0000-0000-00005BA00000}"/>
    <cellStyle name="Wrap Bold 2 2 6 2 2" xfId="38005" xr:uid="{00000000-0005-0000-0000-00005CA00000}"/>
    <cellStyle name="Wrap Bold 2 2 6 2 2 2" xfId="38006" xr:uid="{00000000-0005-0000-0000-00005DA00000}"/>
    <cellStyle name="Wrap Bold 2 2 6 2 3" xfId="38007" xr:uid="{00000000-0005-0000-0000-00005EA00000}"/>
    <cellStyle name="Wrap Bold 2 2 6 2 3 2" xfId="38008" xr:uid="{00000000-0005-0000-0000-00005FA00000}"/>
    <cellStyle name="Wrap Bold 2 2 6 2 4" xfId="38009" xr:uid="{00000000-0005-0000-0000-000060A00000}"/>
    <cellStyle name="Wrap Bold 2 2 6 2 4 2" xfId="38010" xr:uid="{00000000-0005-0000-0000-000061A00000}"/>
    <cellStyle name="Wrap Bold 2 2 6 2 5" xfId="38011" xr:uid="{00000000-0005-0000-0000-000062A00000}"/>
    <cellStyle name="Wrap Bold 2 2 6 2 5 2" xfId="38012" xr:uid="{00000000-0005-0000-0000-000063A00000}"/>
    <cellStyle name="Wrap Bold 2 2 6 2 6" xfId="38013" xr:uid="{00000000-0005-0000-0000-000064A00000}"/>
    <cellStyle name="Wrap Bold 2 2 6 2 6 2" xfId="38014" xr:uid="{00000000-0005-0000-0000-000065A00000}"/>
    <cellStyle name="Wrap Bold 2 2 6 2 7" xfId="38015" xr:uid="{00000000-0005-0000-0000-000066A00000}"/>
    <cellStyle name="Wrap Bold 2 2 6 2 7 2" xfId="38016" xr:uid="{00000000-0005-0000-0000-000067A00000}"/>
    <cellStyle name="Wrap Bold 2 2 6 2 8" xfId="38017" xr:uid="{00000000-0005-0000-0000-000068A00000}"/>
    <cellStyle name="Wrap Bold 2 2 6 2 8 2" xfId="38018" xr:uid="{00000000-0005-0000-0000-000069A00000}"/>
    <cellStyle name="Wrap Bold 2 2 6 2 9" xfId="38019" xr:uid="{00000000-0005-0000-0000-00006AA00000}"/>
    <cellStyle name="Wrap Bold 2 2 6 2 9 2" xfId="38020" xr:uid="{00000000-0005-0000-0000-00006BA00000}"/>
    <cellStyle name="Wrap Bold 2 2 6 3" xfId="38021" xr:uid="{00000000-0005-0000-0000-00006CA00000}"/>
    <cellStyle name="Wrap Bold 2 2 6 3 10" xfId="38022" xr:uid="{00000000-0005-0000-0000-00006DA00000}"/>
    <cellStyle name="Wrap Bold 2 2 6 3 2" xfId="38023" xr:uid="{00000000-0005-0000-0000-00006EA00000}"/>
    <cellStyle name="Wrap Bold 2 2 6 3 2 2" xfId="38024" xr:uid="{00000000-0005-0000-0000-00006FA00000}"/>
    <cellStyle name="Wrap Bold 2 2 6 3 3" xfId="38025" xr:uid="{00000000-0005-0000-0000-000070A00000}"/>
    <cellStyle name="Wrap Bold 2 2 6 3 3 2" xfId="38026" xr:uid="{00000000-0005-0000-0000-000071A00000}"/>
    <cellStyle name="Wrap Bold 2 2 6 3 4" xfId="38027" xr:uid="{00000000-0005-0000-0000-000072A00000}"/>
    <cellStyle name="Wrap Bold 2 2 6 3 4 2" xfId="38028" xr:uid="{00000000-0005-0000-0000-000073A00000}"/>
    <cellStyle name="Wrap Bold 2 2 6 3 5" xfId="38029" xr:uid="{00000000-0005-0000-0000-000074A00000}"/>
    <cellStyle name="Wrap Bold 2 2 6 3 5 2" xfId="38030" xr:uid="{00000000-0005-0000-0000-000075A00000}"/>
    <cellStyle name="Wrap Bold 2 2 6 3 6" xfId="38031" xr:uid="{00000000-0005-0000-0000-000076A00000}"/>
    <cellStyle name="Wrap Bold 2 2 6 3 6 2" xfId="38032" xr:uid="{00000000-0005-0000-0000-000077A00000}"/>
    <cellStyle name="Wrap Bold 2 2 6 3 7" xfId="38033" xr:uid="{00000000-0005-0000-0000-000078A00000}"/>
    <cellStyle name="Wrap Bold 2 2 6 3 7 2" xfId="38034" xr:uid="{00000000-0005-0000-0000-000079A00000}"/>
    <cellStyle name="Wrap Bold 2 2 6 3 8" xfId="38035" xr:uid="{00000000-0005-0000-0000-00007AA00000}"/>
    <cellStyle name="Wrap Bold 2 2 6 3 8 2" xfId="38036" xr:uid="{00000000-0005-0000-0000-00007BA00000}"/>
    <cellStyle name="Wrap Bold 2 2 6 3 9" xfId="38037" xr:uid="{00000000-0005-0000-0000-00007CA00000}"/>
    <cellStyle name="Wrap Bold 2 2 6 3 9 2" xfId="38038" xr:uid="{00000000-0005-0000-0000-00007DA00000}"/>
    <cellStyle name="Wrap Bold 2 2 6 4" xfId="38039" xr:uid="{00000000-0005-0000-0000-00007EA00000}"/>
    <cellStyle name="Wrap Bold 2 2 6 4 10" xfId="38040" xr:uid="{00000000-0005-0000-0000-00007FA00000}"/>
    <cellStyle name="Wrap Bold 2 2 6 4 2" xfId="38041" xr:uid="{00000000-0005-0000-0000-000080A00000}"/>
    <cellStyle name="Wrap Bold 2 2 6 4 2 2" xfId="38042" xr:uid="{00000000-0005-0000-0000-000081A00000}"/>
    <cellStyle name="Wrap Bold 2 2 6 4 3" xfId="38043" xr:uid="{00000000-0005-0000-0000-000082A00000}"/>
    <cellStyle name="Wrap Bold 2 2 6 4 3 2" xfId="38044" xr:uid="{00000000-0005-0000-0000-000083A00000}"/>
    <cellStyle name="Wrap Bold 2 2 6 4 4" xfId="38045" xr:uid="{00000000-0005-0000-0000-000084A00000}"/>
    <cellStyle name="Wrap Bold 2 2 6 4 4 2" xfId="38046" xr:uid="{00000000-0005-0000-0000-000085A00000}"/>
    <cellStyle name="Wrap Bold 2 2 6 4 5" xfId="38047" xr:uid="{00000000-0005-0000-0000-000086A00000}"/>
    <cellStyle name="Wrap Bold 2 2 6 4 5 2" xfId="38048" xr:uid="{00000000-0005-0000-0000-000087A00000}"/>
    <cellStyle name="Wrap Bold 2 2 6 4 6" xfId="38049" xr:uid="{00000000-0005-0000-0000-000088A00000}"/>
    <cellStyle name="Wrap Bold 2 2 6 4 6 2" xfId="38050" xr:uid="{00000000-0005-0000-0000-000089A00000}"/>
    <cellStyle name="Wrap Bold 2 2 6 4 7" xfId="38051" xr:uid="{00000000-0005-0000-0000-00008AA00000}"/>
    <cellStyle name="Wrap Bold 2 2 6 4 7 2" xfId="38052" xr:uid="{00000000-0005-0000-0000-00008BA00000}"/>
    <cellStyle name="Wrap Bold 2 2 6 4 8" xfId="38053" xr:uid="{00000000-0005-0000-0000-00008CA00000}"/>
    <cellStyle name="Wrap Bold 2 2 6 4 8 2" xfId="38054" xr:uid="{00000000-0005-0000-0000-00008DA00000}"/>
    <cellStyle name="Wrap Bold 2 2 6 4 9" xfId="38055" xr:uid="{00000000-0005-0000-0000-00008EA00000}"/>
    <cellStyle name="Wrap Bold 2 2 6 4 9 2" xfId="38056" xr:uid="{00000000-0005-0000-0000-00008FA00000}"/>
    <cellStyle name="Wrap Bold 2 2 6 5" xfId="38057" xr:uid="{00000000-0005-0000-0000-000090A00000}"/>
    <cellStyle name="Wrap Bold 2 2 6 5 10" xfId="38058" xr:uid="{00000000-0005-0000-0000-000091A00000}"/>
    <cellStyle name="Wrap Bold 2 2 6 5 2" xfId="38059" xr:uid="{00000000-0005-0000-0000-000092A00000}"/>
    <cellStyle name="Wrap Bold 2 2 6 5 2 2" xfId="38060" xr:uid="{00000000-0005-0000-0000-000093A00000}"/>
    <cellStyle name="Wrap Bold 2 2 6 5 3" xfId="38061" xr:uid="{00000000-0005-0000-0000-000094A00000}"/>
    <cellStyle name="Wrap Bold 2 2 6 5 3 2" xfId="38062" xr:uid="{00000000-0005-0000-0000-000095A00000}"/>
    <cellStyle name="Wrap Bold 2 2 6 5 4" xfId="38063" xr:uid="{00000000-0005-0000-0000-000096A00000}"/>
    <cellStyle name="Wrap Bold 2 2 6 5 4 2" xfId="38064" xr:uid="{00000000-0005-0000-0000-000097A00000}"/>
    <cellStyle name="Wrap Bold 2 2 6 5 5" xfId="38065" xr:uid="{00000000-0005-0000-0000-000098A00000}"/>
    <cellStyle name="Wrap Bold 2 2 6 5 5 2" xfId="38066" xr:uid="{00000000-0005-0000-0000-000099A00000}"/>
    <cellStyle name="Wrap Bold 2 2 6 5 6" xfId="38067" xr:uid="{00000000-0005-0000-0000-00009AA00000}"/>
    <cellStyle name="Wrap Bold 2 2 6 5 6 2" xfId="38068" xr:uid="{00000000-0005-0000-0000-00009BA00000}"/>
    <cellStyle name="Wrap Bold 2 2 6 5 7" xfId="38069" xr:uid="{00000000-0005-0000-0000-00009CA00000}"/>
    <cellStyle name="Wrap Bold 2 2 6 5 7 2" xfId="38070" xr:uid="{00000000-0005-0000-0000-00009DA00000}"/>
    <cellStyle name="Wrap Bold 2 2 6 5 8" xfId="38071" xr:uid="{00000000-0005-0000-0000-00009EA00000}"/>
    <cellStyle name="Wrap Bold 2 2 6 5 8 2" xfId="38072" xr:uid="{00000000-0005-0000-0000-00009FA00000}"/>
    <cellStyle name="Wrap Bold 2 2 6 5 9" xfId="38073" xr:uid="{00000000-0005-0000-0000-0000A0A00000}"/>
    <cellStyle name="Wrap Bold 2 2 6 5 9 2" xfId="38074" xr:uid="{00000000-0005-0000-0000-0000A1A00000}"/>
    <cellStyle name="Wrap Bold 2 2 6 6" xfId="38075" xr:uid="{00000000-0005-0000-0000-0000A2A00000}"/>
    <cellStyle name="Wrap Bold 2 2 6 6 10" xfId="38076" xr:uid="{00000000-0005-0000-0000-0000A3A00000}"/>
    <cellStyle name="Wrap Bold 2 2 6 6 2" xfId="38077" xr:uid="{00000000-0005-0000-0000-0000A4A00000}"/>
    <cellStyle name="Wrap Bold 2 2 6 6 2 2" xfId="38078" xr:uid="{00000000-0005-0000-0000-0000A5A00000}"/>
    <cellStyle name="Wrap Bold 2 2 6 6 3" xfId="38079" xr:uid="{00000000-0005-0000-0000-0000A6A00000}"/>
    <cellStyle name="Wrap Bold 2 2 6 6 3 2" xfId="38080" xr:uid="{00000000-0005-0000-0000-0000A7A00000}"/>
    <cellStyle name="Wrap Bold 2 2 6 6 4" xfId="38081" xr:uid="{00000000-0005-0000-0000-0000A8A00000}"/>
    <cellStyle name="Wrap Bold 2 2 6 6 4 2" xfId="38082" xr:uid="{00000000-0005-0000-0000-0000A9A00000}"/>
    <cellStyle name="Wrap Bold 2 2 6 6 5" xfId="38083" xr:uid="{00000000-0005-0000-0000-0000AAA00000}"/>
    <cellStyle name="Wrap Bold 2 2 6 6 5 2" xfId="38084" xr:uid="{00000000-0005-0000-0000-0000ABA00000}"/>
    <cellStyle name="Wrap Bold 2 2 6 6 6" xfId="38085" xr:uid="{00000000-0005-0000-0000-0000ACA00000}"/>
    <cellStyle name="Wrap Bold 2 2 6 6 6 2" xfId="38086" xr:uid="{00000000-0005-0000-0000-0000ADA00000}"/>
    <cellStyle name="Wrap Bold 2 2 6 6 7" xfId="38087" xr:uid="{00000000-0005-0000-0000-0000AEA00000}"/>
    <cellStyle name="Wrap Bold 2 2 6 6 7 2" xfId="38088" xr:uid="{00000000-0005-0000-0000-0000AFA00000}"/>
    <cellStyle name="Wrap Bold 2 2 6 6 8" xfId="38089" xr:uid="{00000000-0005-0000-0000-0000B0A00000}"/>
    <cellStyle name="Wrap Bold 2 2 6 6 8 2" xfId="38090" xr:uid="{00000000-0005-0000-0000-0000B1A00000}"/>
    <cellStyle name="Wrap Bold 2 2 6 6 9" xfId="38091" xr:uid="{00000000-0005-0000-0000-0000B2A00000}"/>
    <cellStyle name="Wrap Bold 2 2 6 6 9 2" xfId="38092" xr:uid="{00000000-0005-0000-0000-0000B3A00000}"/>
    <cellStyle name="Wrap Bold 2 2 6 7" xfId="38093" xr:uid="{00000000-0005-0000-0000-0000B4A00000}"/>
    <cellStyle name="Wrap Bold 2 2 6 7 10" xfId="38094" xr:uid="{00000000-0005-0000-0000-0000B5A00000}"/>
    <cellStyle name="Wrap Bold 2 2 6 7 2" xfId="38095" xr:uid="{00000000-0005-0000-0000-0000B6A00000}"/>
    <cellStyle name="Wrap Bold 2 2 6 7 2 2" xfId="38096" xr:uid="{00000000-0005-0000-0000-0000B7A00000}"/>
    <cellStyle name="Wrap Bold 2 2 6 7 3" xfId="38097" xr:uid="{00000000-0005-0000-0000-0000B8A00000}"/>
    <cellStyle name="Wrap Bold 2 2 6 7 3 2" xfId="38098" xr:uid="{00000000-0005-0000-0000-0000B9A00000}"/>
    <cellStyle name="Wrap Bold 2 2 6 7 4" xfId="38099" xr:uid="{00000000-0005-0000-0000-0000BAA00000}"/>
    <cellStyle name="Wrap Bold 2 2 6 7 4 2" xfId="38100" xr:uid="{00000000-0005-0000-0000-0000BBA00000}"/>
    <cellStyle name="Wrap Bold 2 2 6 7 5" xfId="38101" xr:uid="{00000000-0005-0000-0000-0000BCA00000}"/>
    <cellStyle name="Wrap Bold 2 2 6 7 5 2" xfId="38102" xr:uid="{00000000-0005-0000-0000-0000BDA00000}"/>
    <cellStyle name="Wrap Bold 2 2 6 7 6" xfId="38103" xr:uid="{00000000-0005-0000-0000-0000BEA00000}"/>
    <cellStyle name="Wrap Bold 2 2 6 7 6 2" xfId="38104" xr:uid="{00000000-0005-0000-0000-0000BFA00000}"/>
    <cellStyle name="Wrap Bold 2 2 6 7 7" xfId="38105" xr:uid="{00000000-0005-0000-0000-0000C0A00000}"/>
    <cellStyle name="Wrap Bold 2 2 6 7 7 2" xfId="38106" xr:uid="{00000000-0005-0000-0000-0000C1A00000}"/>
    <cellStyle name="Wrap Bold 2 2 6 7 8" xfId="38107" xr:uid="{00000000-0005-0000-0000-0000C2A00000}"/>
    <cellStyle name="Wrap Bold 2 2 6 7 8 2" xfId="38108" xr:uid="{00000000-0005-0000-0000-0000C3A00000}"/>
    <cellStyle name="Wrap Bold 2 2 6 7 9" xfId="38109" xr:uid="{00000000-0005-0000-0000-0000C4A00000}"/>
    <cellStyle name="Wrap Bold 2 2 6 7 9 2" xfId="38110" xr:uid="{00000000-0005-0000-0000-0000C5A00000}"/>
    <cellStyle name="Wrap Bold 2 2 6 8" xfId="38111" xr:uid="{00000000-0005-0000-0000-0000C6A00000}"/>
    <cellStyle name="Wrap Bold 2 2 6 8 10" xfId="38112" xr:uid="{00000000-0005-0000-0000-0000C7A00000}"/>
    <cellStyle name="Wrap Bold 2 2 6 8 2" xfId="38113" xr:uid="{00000000-0005-0000-0000-0000C8A00000}"/>
    <cellStyle name="Wrap Bold 2 2 6 8 2 2" xfId="38114" xr:uid="{00000000-0005-0000-0000-0000C9A00000}"/>
    <cellStyle name="Wrap Bold 2 2 6 8 3" xfId="38115" xr:uid="{00000000-0005-0000-0000-0000CAA00000}"/>
    <cellStyle name="Wrap Bold 2 2 6 8 3 2" xfId="38116" xr:uid="{00000000-0005-0000-0000-0000CBA00000}"/>
    <cellStyle name="Wrap Bold 2 2 6 8 4" xfId="38117" xr:uid="{00000000-0005-0000-0000-0000CCA00000}"/>
    <cellStyle name="Wrap Bold 2 2 6 8 4 2" xfId="38118" xr:uid="{00000000-0005-0000-0000-0000CDA00000}"/>
    <cellStyle name="Wrap Bold 2 2 6 8 5" xfId="38119" xr:uid="{00000000-0005-0000-0000-0000CEA00000}"/>
    <cellStyle name="Wrap Bold 2 2 6 8 5 2" xfId="38120" xr:uid="{00000000-0005-0000-0000-0000CFA00000}"/>
    <cellStyle name="Wrap Bold 2 2 6 8 6" xfId="38121" xr:uid="{00000000-0005-0000-0000-0000D0A00000}"/>
    <cellStyle name="Wrap Bold 2 2 6 8 6 2" xfId="38122" xr:uid="{00000000-0005-0000-0000-0000D1A00000}"/>
    <cellStyle name="Wrap Bold 2 2 6 8 7" xfId="38123" xr:uid="{00000000-0005-0000-0000-0000D2A00000}"/>
    <cellStyle name="Wrap Bold 2 2 6 8 7 2" xfId="38124" xr:uid="{00000000-0005-0000-0000-0000D3A00000}"/>
    <cellStyle name="Wrap Bold 2 2 6 8 8" xfId="38125" xr:uid="{00000000-0005-0000-0000-0000D4A00000}"/>
    <cellStyle name="Wrap Bold 2 2 6 8 8 2" xfId="38126" xr:uid="{00000000-0005-0000-0000-0000D5A00000}"/>
    <cellStyle name="Wrap Bold 2 2 6 8 9" xfId="38127" xr:uid="{00000000-0005-0000-0000-0000D6A00000}"/>
    <cellStyle name="Wrap Bold 2 2 6 8 9 2" xfId="38128" xr:uid="{00000000-0005-0000-0000-0000D7A00000}"/>
    <cellStyle name="Wrap Bold 2 2 6 9" xfId="38129" xr:uid="{00000000-0005-0000-0000-0000D8A00000}"/>
    <cellStyle name="Wrap Bold 2 2 6 9 10" xfId="38130" xr:uid="{00000000-0005-0000-0000-0000D9A00000}"/>
    <cellStyle name="Wrap Bold 2 2 6 9 2" xfId="38131" xr:uid="{00000000-0005-0000-0000-0000DAA00000}"/>
    <cellStyle name="Wrap Bold 2 2 6 9 2 2" xfId="38132" xr:uid="{00000000-0005-0000-0000-0000DBA00000}"/>
    <cellStyle name="Wrap Bold 2 2 6 9 3" xfId="38133" xr:uid="{00000000-0005-0000-0000-0000DCA00000}"/>
    <cellStyle name="Wrap Bold 2 2 6 9 3 2" xfId="38134" xr:uid="{00000000-0005-0000-0000-0000DDA00000}"/>
    <cellStyle name="Wrap Bold 2 2 6 9 4" xfId="38135" xr:uid="{00000000-0005-0000-0000-0000DEA00000}"/>
    <cellStyle name="Wrap Bold 2 2 6 9 4 2" xfId="38136" xr:uid="{00000000-0005-0000-0000-0000DFA00000}"/>
    <cellStyle name="Wrap Bold 2 2 6 9 5" xfId="38137" xr:uid="{00000000-0005-0000-0000-0000E0A00000}"/>
    <cellStyle name="Wrap Bold 2 2 6 9 5 2" xfId="38138" xr:uid="{00000000-0005-0000-0000-0000E1A00000}"/>
    <cellStyle name="Wrap Bold 2 2 6 9 6" xfId="38139" xr:uid="{00000000-0005-0000-0000-0000E2A00000}"/>
    <cellStyle name="Wrap Bold 2 2 6 9 6 2" xfId="38140" xr:uid="{00000000-0005-0000-0000-0000E3A00000}"/>
    <cellStyle name="Wrap Bold 2 2 6 9 7" xfId="38141" xr:uid="{00000000-0005-0000-0000-0000E4A00000}"/>
    <cellStyle name="Wrap Bold 2 2 6 9 7 2" xfId="38142" xr:uid="{00000000-0005-0000-0000-0000E5A00000}"/>
    <cellStyle name="Wrap Bold 2 2 6 9 8" xfId="38143" xr:uid="{00000000-0005-0000-0000-0000E6A00000}"/>
    <cellStyle name="Wrap Bold 2 2 6 9 8 2" xfId="38144" xr:uid="{00000000-0005-0000-0000-0000E7A00000}"/>
    <cellStyle name="Wrap Bold 2 2 6 9 9" xfId="38145" xr:uid="{00000000-0005-0000-0000-0000E8A00000}"/>
    <cellStyle name="Wrap Bold 2 2 6 9 9 2" xfId="38146" xr:uid="{00000000-0005-0000-0000-0000E9A00000}"/>
    <cellStyle name="Wrap Bold 2 2 7" xfId="38147" xr:uid="{00000000-0005-0000-0000-0000EAA00000}"/>
    <cellStyle name="Wrap Bold 2 2 7 10" xfId="38148" xr:uid="{00000000-0005-0000-0000-0000EBA00000}"/>
    <cellStyle name="Wrap Bold 2 2 7 10 2" xfId="38149" xr:uid="{00000000-0005-0000-0000-0000ECA00000}"/>
    <cellStyle name="Wrap Bold 2 2 7 10 2 2" xfId="38150" xr:uid="{00000000-0005-0000-0000-0000EDA00000}"/>
    <cellStyle name="Wrap Bold 2 2 7 10 3" xfId="38151" xr:uid="{00000000-0005-0000-0000-0000EEA00000}"/>
    <cellStyle name="Wrap Bold 2 2 7 10 3 2" xfId="38152" xr:uid="{00000000-0005-0000-0000-0000EFA00000}"/>
    <cellStyle name="Wrap Bold 2 2 7 10 4" xfId="38153" xr:uid="{00000000-0005-0000-0000-0000F0A00000}"/>
    <cellStyle name="Wrap Bold 2 2 7 10 4 2" xfId="38154" xr:uid="{00000000-0005-0000-0000-0000F1A00000}"/>
    <cellStyle name="Wrap Bold 2 2 7 10 5" xfId="38155" xr:uid="{00000000-0005-0000-0000-0000F2A00000}"/>
    <cellStyle name="Wrap Bold 2 2 7 10 5 2" xfId="38156" xr:uid="{00000000-0005-0000-0000-0000F3A00000}"/>
    <cellStyle name="Wrap Bold 2 2 7 10 6" xfId="38157" xr:uid="{00000000-0005-0000-0000-0000F4A00000}"/>
    <cellStyle name="Wrap Bold 2 2 7 10 6 2" xfId="38158" xr:uid="{00000000-0005-0000-0000-0000F5A00000}"/>
    <cellStyle name="Wrap Bold 2 2 7 10 7" xfId="38159" xr:uid="{00000000-0005-0000-0000-0000F6A00000}"/>
    <cellStyle name="Wrap Bold 2 2 7 10 7 2" xfId="38160" xr:uid="{00000000-0005-0000-0000-0000F7A00000}"/>
    <cellStyle name="Wrap Bold 2 2 7 10 8" xfId="38161" xr:uid="{00000000-0005-0000-0000-0000F8A00000}"/>
    <cellStyle name="Wrap Bold 2 2 7 10 8 2" xfId="38162" xr:uid="{00000000-0005-0000-0000-0000F9A00000}"/>
    <cellStyle name="Wrap Bold 2 2 7 10 9" xfId="38163" xr:uid="{00000000-0005-0000-0000-0000FAA00000}"/>
    <cellStyle name="Wrap Bold 2 2 7 11" xfId="38164" xr:uid="{00000000-0005-0000-0000-0000FBA00000}"/>
    <cellStyle name="Wrap Bold 2 2 7 11 2" xfId="38165" xr:uid="{00000000-0005-0000-0000-0000FCA00000}"/>
    <cellStyle name="Wrap Bold 2 2 7 12" xfId="38166" xr:uid="{00000000-0005-0000-0000-0000FDA00000}"/>
    <cellStyle name="Wrap Bold 2 2 7 12 2" xfId="38167" xr:uid="{00000000-0005-0000-0000-0000FEA00000}"/>
    <cellStyle name="Wrap Bold 2 2 7 13" xfId="38168" xr:uid="{00000000-0005-0000-0000-0000FFA00000}"/>
    <cellStyle name="Wrap Bold 2 2 7 13 2" xfId="38169" xr:uid="{00000000-0005-0000-0000-000000A10000}"/>
    <cellStyle name="Wrap Bold 2 2 7 14" xfId="38170" xr:uid="{00000000-0005-0000-0000-000001A10000}"/>
    <cellStyle name="Wrap Bold 2 2 7 14 2" xfId="38171" xr:uid="{00000000-0005-0000-0000-000002A10000}"/>
    <cellStyle name="Wrap Bold 2 2 7 15" xfId="38172" xr:uid="{00000000-0005-0000-0000-000003A10000}"/>
    <cellStyle name="Wrap Bold 2 2 7 15 2" xfId="38173" xr:uid="{00000000-0005-0000-0000-000004A10000}"/>
    <cellStyle name="Wrap Bold 2 2 7 16" xfId="38174" xr:uid="{00000000-0005-0000-0000-000005A10000}"/>
    <cellStyle name="Wrap Bold 2 2 7 16 2" xfId="38175" xr:uid="{00000000-0005-0000-0000-000006A10000}"/>
    <cellStyle name="Wrap Bold 2 2 7 17" xfId="38176" xr:uid="{00000000-0005-0000-0000-000007A10000}"/>
    <cellStyle name="Wrap Bold 2 2 7 17 2" xfId="38177" xr:uid="{00000000-0005-0000-0000-000008A10000}"/>
    <cellStyle name="Wrap Bold 2 2 7 18" xfId="38178" xr:uid="{00000000-0005-0000-0000-000009A10000}"/>
    <cellStyle name="Wrap Bold 2 2 7 2" xfId="38179" xr:uid="{00000000-0005-0000-0000-00000AA10000}"/>
    <cellStyle name="Wrap Bold 2 2 7 2 10" xfId="38180" xr:uid="{00000000-0005-0000-0000-00000BA10000}"/>
    <cellStyle name="Wrap Bold 2 2 7 2 2" xfId="38181" xr:uid="{00000000-0005-0000-0000-00000CA10000}"/>
    <cellStyle name="Wrap Bold 2 2 7 2 2 2" xfId="38182" xr:uid="{00000000-0005-0000-0000-00000DA10000}"/>
    <cellStyle name="Wrap Bold 2 2 7 2 3" xfId="38183" xr:uid="{00000000-0005-0000-0000-00000EA10000}"/>
    <cellStyle name="Wrap Bold 2 2 7 2 3 2" xfId="38184" xr:uid="{00000000-0005-0000-0000-00000FA10000}"/>
    <cellStyle name="Wrap Bold 2 2 7 2 4" xfId="38185" xr:uid="{00000000-0005-0000-0000-000010A10000}"/>
    <cellStyle name="Wrap Bold 2 2 7 2 4 2" xfId="38186" xr:uid="{00000000-0005-0000-0000-000011A10000}"/>
    <cellStyle name="Wrap Bold 2 2 7 2 5" xfId="38187" xr:uid="{00000000-0005-0000-0000-000012A10000}"/>
    <cellStyle name="Wrap Bold 2 2 7 2 5 2" xfId="38188" xr:uid="{00000000-0005-0000-0000-000013A10000}"/>
    <cellStyle name="Wrap Bold 2 2 7 2 6" xfId="38189" xr:uid="{00000000-0005-0000-0000-000014A10000}"/>
    <cellStyle name="Wrap Bold 2 2 7 2 6 2" xfId="38190" xr:uid="{00000000-0005-0000-0000-000015A10000}"/>
    <cellStyle name="Wrap Bold 2 2 7 2 7" xfId="38191" xr:uid="{00000000-0005-0000-0000-000016A10000}"/>
    <cellStyle name="Wrap Bold 2 2 7 2 7 2" xfId="38192" xr:uid="{00000000-0005-0000-0000-000017A10000}"/>
    <cellStyle name="Wrap Bold 2 2 7 2 8" xfId="38193" xr:uid="{00000000-0005-0000-0000-000018A10000}"/>
    <cellStyle name="Wrap Bold 2 2 7 2 8 2" xfId="38194" xr:uid="{00000000-0005-0000-0000-000019A10000}"/>
    <cellStyle name="Wrap Bold 2 2 7 2 9" xfId="38195" xr:uid="{00000000-0005-0000-0000-00001AA10000}"/>
    <cellStyle name="Wrap Bold 2 2 7 2 9 2" xfId="38196" xr:uid="{00000000-0005-0000-0000-00001BA10000}"/>
    <cellStyle name="Wrap Bold 2 2 7 3" xfId="38197" xr:uid="{00000000-0005-0000-0000-00001CA10000}"/>
    <cellStyle name="Wrap Bold 2 2 7 3 10" xfId="38198" xr:uid="{00000000-0005-0000-0000-00001DA10000}"/>
    <cellStyle name="Wrap Bold 2 2 7 3 2" xfId="38199" xr:uid="{00000000-0005-0000-0000-00001EA10000}"/>
    <cellStyle name="Wrap Bold 2 2 7 3 2 2" xfId="38200" xr:uid="{00000000-0005-0000-0000-00001FA10000}"/>
    <cellStyle name="Wrap Bold 2 2 7 3 3" xfId="38201" xr:uid="{00000000-0005-0000-0000-000020A10000}"/>
    <cellStyle name="Wrap Bold 2 2 7 3 3 2" xfId="38202" xr:uid="{00000000-0005-0000-0000-000021A10000}"/>
    <cellStyle name="Wrap Bold 2 2 7 3 4" xfId="38203" xr:uid="{00000000-0005-0000-0000-000022A10000}"/>
    <cellStyle name="Wrap Bold 2 2 7 3 4 2" xfId="38204" xr:uid="{00000000-0005-0000-0000-000023A10000}"/>
    <cellStyle name="Wrap Bold 2 2 7 3 5" xfId="38205" xr:uid="{00000000-0005-0000-0000-000024A10000}"/>
    <cellStyle name="Wrap Bold 2 2 7 3 5 2" xfId="38206" xr:uid="{00000000-0005-0000-0000-000025A10000}"/>
    <cellStyle name="Wrap Bold 2 2 7 3 6" xfId="38207" xr:uid="{00000000-0005-0000-0000-000026A10000}"/>
    <cellStyle name="Wrap Bold 2 2 7 3 6 2" xfId="38208" xr:uid="{00000000-0005-0000-0000-000027A10000}"/>
    <cellStyle name="Wrap Bold 2 2 7 3 7" xfId="38209" xr:uid="{00000000-0005-0000-0000-000028A10000}"/>
    <cellStyle name="Wrap Bold 2 2 7 3 7 2" xfId="38210" xr:uid="{00000000-0005-0000-0000-000029A10000}"/>
    <cellStyle name="Wrap Bold 2 2 7 3 8" xfId="38211" xr:uid="{00000000-0005-0000-0000-00002AA10000}"/>
    <cellStyle name="Wrap Bold 2 2 7 3 8 2" xfId="38212" xr:uid="{00000000-0005-0000-0000-00002BA10000}"/>
    <cellStyle name="Wrap Bold 2 2 7 3 9" xfId="38213" xr:uid="{00000000-0005-0000-0000-00002CA10000}"/>
    <cellStyle name="Wrap Bold 2 2 7 3 9 2" xfId="38214" xr:uid="{00000000-0005-0000-0000-00002DA10000}"/>
    <cellStyle name="Wrap Bold 2 2 7 4" xfId="38215" xr:uid="{00000000-0005-0000-0000-00002EA10000}"/>
    <cellStyle name="Wrap Bold 2 2 7 4 10" xfId="38216" xr:uid="{00000000-0005-0000-0000-00002FA10000}"/>
    <cellStyle name="Wrap Bold 2 2 7 4 2" xfId="38217" xr:uid="{00000000-0005-0000-0000-000030A10000}"/>
    <cellStyle name="Wrap Bold 2 2 7 4 2 2" xfId="38218" xr:uid="{00000000-0005-0000-0000-000031A10000}"/>
    <cellStyle name="Wrap Bold 2 2 7 4 3" xfId="38219" xr:uid="{00000000-0005-0000-0000-000032A10000}"/>
    <cellStyle name="Wrap Bold 2 2 7 4 3 2" xfId="38220" xr:uid="{00000000-0005-0000-0000-000033A10000}"/>
    <cellStyle name="Wrap Bold 2 2 7 4 4" xfId="38221" xr:uid="{00000000-0005-0000-0000-000034A10000}"/>
    <cellStyle name="Wrap Bold 2 2 7 4 4 2" xfId="38222" xr:uid="{00000000-0005-0000-0000-000035A10000}"/>
    <cellStyle name="Wrap Bold 2 2 7 4 5" xfId="38223" xr:uid="{00000000-0005-0000-0000-000036A10000}"/>
    <cellStyle name="Wrap Bold 2 2 7 4 5 2" xfId="38224" xr:uid="{00000000-0005-0000-0000-000037A10000}"/>
    <cellStyle name="Wrap Bold 2 2 7 4 6" xfId="38225" xr:uid="{00000000-0005-0000-0000-000038A10000}"/>
    <cellStyle name="Wrap Bold 2 2 7 4 6 2" xfId="38226" xr:uid="{00000000-0005-0000-0000-000039A10000}"/>
    <cellStyle name="Wrap Bold 2 2 7 4 7" xfId="38227" xr:uid="{00000000-0005-0000-0000-00003AA10000}"/>
    <cellStyle name="Wrap Bold 2 2 7 4 7 2" xfId="38228" xr:uid="{00000000-0005-0000-0000-00003BA10000}"/>
    <cellStyle name="Wrap Bold 2 2 7 4 8" xfId="38229" xr:uid="{00000000-0005-0000-0000-00003CA10000}"/>
    <cellStyle name="Wrap Bold 2 2 7 4 8 2" xfId="38230" xr:uid="{00000000-0005-0000-0000-00003DA10000}"/>
    <cellStyle name="Wrap Bold 2 2 7 4 9" xfId="38231" xr:uid="{00000000-0005-0000-0000-00003EA10000}"/>
    <cellStyle name="Wrap Bold 2 2 7 4 9 2" xfId="38232" xr:uid="{00000000-0005-0000-0000-00003FA10000}"/>
    <cellStyle name="Wrap Bold 2 2 7 5" xfId="38233" xr:uid="{00000000-0005-0000-0000-000040A10000}"/>
    <cellStyle name="Wrap Bold 2 2 7 5 10" xfId="38234" xr:uid="{00000000-0005-0000-0000-000041A10000}"/>
    <cellStyle name="Wrap Bold 2 2 7 5 2" xfId="38235" xr:uid="{00000000-0005-0000-0000-000042A10000}"/>
    <cellStyle name="Wrap Bold 2 2 7 5 2 2" xfId="38236" xr:uid="{00000000-0005-0000-0000-000043A10000}"/>
    <cellStyle name="Wrap Bold 2 2 7 5 3" xfId="38237" xr:uid="{00000000-0005-0000-0000-000044A10000}"/>
    <cellStyle name="Wrap Bold 2 2 7 5 3 2" xfId="38238" xr:uid="{00000000-0005-0000-0000-000045A10000}"/>
    <cellStyle name="Wrap Bold 2 2 7 5 4" xfId="38239" xr:uid="{00000000-0005-0000-0000-000046A10000}"/>
    <cellStyle name="Wrap Bold 2 2 7 5 4 2" xfId="38240" xr:uid="{00000000-0005-0000-0000-000047A10000}"/>
    <cellStyle name="Wrap Bold 2 2 7 5 5" xfId="38241" xr:uid="{00000000-0005-0000-0000-000048A10000}"/>
    <cellStyle name="Wrap Bold 2 2 7 5 5 2" xfId="38242" xr:uid="{00000000-0005-0000-0000-000049A10000}"/>
    <cellStyle name="Wrap Bold 2 2 7 5 6" xfId="38243" xr:uid="{00000000-0005-0000-0000-00004AA10000}"/>
    <cellStyle name="Wrap Bold 2 2 7 5 6 2" xfId="38244" xr:uid="{00000000-0005-0000-0000-00004BA10000}"/>
    <cellStyle name="Wrap Bold 2 2 7 5 7" xfId="38245" xr:uid="{00000000-0005-0000-0000-00004CA10000}"/>
    <cellStyle name="Wrap Bold 2 2 7 5 7 2" xfId="38246" xr:uid="{00000000-0005-0000-0000-00004DA10000}"/>
    <cellStyle name="Wrap Bold 2 2 7 5 8" xfId="38247" xr:uid="{00000000-0005-0000-0000-00004EA10000}"/>
    <cellStyle name="Wrap Bold 2 2 7 5 8 2" xfId="38248" xr:uid="{00000000-0005-0000-0000-00004FA10000}"/>
    <cellStyle name="Wrap Bold 2 2 7 5 9" xfId="38249" xr:uid="{00000000-0005-0000-0000-000050A10000}"/>
    <cellStyle name="Wrap Bold 2 2 7 5 9 2" xfId="38250" xr:uid="{00000000-0005-0000-0000-000051A10000}"/>
    <cellStyle name="Wrap Bold 2 2 7 6" xfId="38251" xr:uid="{00000000-0005-0000-0000-000052A10000}"/>
    <cellStyle name="Wrap Bold 2 2 7 6 10" xfId="38252" xr:uid="{00000000-0005-0000-0000-000053A10000}"/>
    <cellStyle name="Wrap Bold 2 2 7 6 2" xfId="38253" xr:uid="{00000000-0005-0000-0000-000054A10000}"/>
    <cellStyle name="Wrap Bold 2 2 7 6 2 2" xfId="38254" xr:uid="{00000000-0005-0000-0000-000055A10000}"/>
    <cellStyle name="Wrap Bold 2 2 7 6 3" xfId="38255" xr:uid="{00000000-0005-0000-0000-000056A10000}"/>
    <cellStyle name="Wrap Bold 2 2 7 6 3 2" xfId="38256" xr:uid="{00000000-0005-0000-0000-000057A10000}"/>
    <cellStyle name="Wrap Bold 2 2 7 6 4" xfId="38257" xr:uid="{00000000-0005-0000-0000-000058A10000}"/>
    <cellStyle name="Wrap Bold 2 2 7 6 4 2" xfId="38258" xr:uid="{00000000-0005-0000-0000-000059A10000}"/>
    <cellStyle name="Wrap Bold 2 2 7 6 5" xfId="38259" xr:uid="{00000000-0005-0000-0000-00005AA10000}"/>
    <cellStyle name="Wrap Bold 2 2 7 6 5 2" xfId="38260" xr:uid="{00000000-0005-0000-0000-00005BA10000}"/>
    <cellStyle name="Wrap Bold 2 2 7 6 6" xfId="38261" xr:uid="{00000000-0005-0000-0000-00005CA10000}"/>
    <cellStyle name="Wrap Bold 2 2 7 6 6 2" xfId="38262" xr:uid="{00000000-0005-0000-0000-00005DA10000}"/>
    <cellStyle name="Wrap Bold 2 2 7 6 7" xfId="38263" xr:uid="{00000000-0005-0000-0000-00005EA10000}"/>
    <cellStyle name="Wrap Bold 2 2 7 6 7 2" xfId="38264" xr:uid="{00000000-0005-0000-0000-00005FA10000}"/>
    <cellStyle name="Wrap Bold 2 2 7 6 8" xfId="38265" xr:uid="{00000000-0005-0000-0000-000060A10000}"/>
    <cellStyle name="Wrap Bold 2 2 7 6 8 2" xfId="38266" xr:uid="{00000000-0005-0000-0000-000061A10000}"/>
    <cellStyle name="Wrap Bold 2 2 7 6 9" xfId="38267" xr:uid="{00000000-0005-0000-0000-000062A10000}"/>
    <cellStyle name="Wrap Bold 2 2 7 6 9 2" xfId="38268" xr:uid="{00000000-0005-0000-0000-000063A10000}"/>
    <cellStyle name="Wrap Bold 2 2 7 7" xfId="38269" xr:uid="{00000000-0005-0000-0000-000064A10000}"/>
    <cellStyle name="Wrap Bold 2 2 7 7 10" xfId="38270" xr:uid="{00000000-0005-0000-0000-000065A10000}"/>
    <cellStyle name="Wrap Bold 2 2 7 7 2" xfId="38271" xr:uid="{00000000-0005-0000-0000-000066A10000}"/>
    <cellStyle name="Wrap Bold 2 2 7 7 2 2" xfId="38272" xr:uid="{00000000-0005-0000-0000-000067A10000}"/>
    <cellStyle name="Wrap Bold 2 2 7 7 3" xfId="38273" xr:uid="{00000000-0005-0000-0000-000068A10000}"/>
    <cellStyle name="Wrap Bold 2 2 7 7 3 2" xfId="38274" xr:uid="{00000000-0005-0000-0000-000069A10000}"/>
    <cellStyle name="Wrap Bold 2 2 7 7 4" xfId="38275" xr:uid="{00000000-0005-0000-0000-00006AA10000}"/>
    <cellStyle name="Wrap Bold 2 2 7 7 4 2" xfId="38276" xr:uid="{00000000-0005-0000-0000-00006BA10000}"/>
    <cellStyle name="Wrap Bold 2 2 7 7 5" xfId="38277" xr:uid="{00000000-0005-0000-0000-00006CA10000}"/>
    <cellStyle name="Wrap Bold 2 2 7 7 5 2" xfId="38278" xr:uid="{00000000-0005-0000-0000-00006DA10000}"/>
    <cellStyle name="Wrap Bold 2 2 7 7 6" xfId="38279" xr:uid="{00000000-0005-0000-0000-00006EA10000}"/>
    <cellStyle name="Wrap Bold 2 2 7 7 6 2" xfId="38280" xr:uid="{00000000-0005-0000-0000-00006FA10000}"/>
    <cellStyle name="Wrap Bold 2 2 7 7 7" xfId="38281" xr:uid="{00000000-0005-0000-0000-000070A10000}"/>
    <cellStyle name="Wrap Bold 2 2 7 7 7 2" xfId="38282" xr:uid="{00000000-0005-0000-0000-000071A10000}"/>
    <cellStyle name="Wrap Bold 2 2 7 7 8" xfId="38283" xr:uid="{00000000-0005-0000-0000-000072A10000}"/>
    <cellStyle name="Wrap Bold 2 2 7 7 8 2" xfId="38284" xr:uid="{00000000-0005-0000-0000-000073A10000}"/>
    <cellStyle name="Wrap Bold 2 2 7 7 9" xfId="38285" xr:uid="{00000000-0005-0000-0000-000074A10000}"/>
    <cellStyle name="Wrap Bold 2 2 7 7 9 2" xfId="38286" xr:uid="{00000000-0005-0000-0000-000075A10000}"/>
    <cellStyle name="Wrap Bold 2 2 7 8" xfId="38287" xr:uid="{00000000-0005-0000-0000-000076A10000}"/>
    <cellStyle name="Wrap Bold 2 2 7 8 10" xfId="38288" xr:uid="{00000000-0005-0000-0000-000077A10000}"/>
    <cellStyle name="Wrap Bold 2 2 7 8 2" xfId="38289" xr:uid="{00000000-0005-0000-0000-000078A10000}"/>
    <cellStyle name="Wrap Bold 2 2 7 8 2 2" xfId="38290" xr:uid="{00000000-0005-0000-0000-000079A10000}"/>
    <cellStyle name="Wrap Bold 2 2 7 8 3" xfId="38291" xr:uid="{00000000-0005-0000-0000-00007AA10000}"/>
    <cellStyle name="Wrap Bold 2 2 7 8 3 2" xfId="38292" xr:uid="{00000000-0005-0000-0000-00007BA10000}"/>
    <cellStyle name="Wrap Bold 2 2 7 8 4" xfId="38293" xr:uid="{00000000-0005-0000-0000-00007CA10000}"/>
    <cellStyle name="Wrap Bold 2 2 7 8 4 2" xfId="38294" xr:uid="{00000000-0005-0000-0000-00007DA10000}"/>
    <cellStyle name="Wrap Bold 2 2 7 8 5" xfId="38295" xr:uid="{00000000-0005-0000-0000-00007EA10000}"/>
    <cellStyle name="Wrap Bold 2 2 7 8 5 2" xfId="38296" xr:uid="{00000000-0005-0000-0000-00007FA10000}"/>
    <cellStyle name="Wrap Bold 2 2 7 8 6" xfId="38297" xr:uid="{00000000-0005-0000-0000-000080A10000}"/>
    <cellStyle name="Wrap Bold 2 2 7 8 6 2" xfId="38298" xr:uid="{00000000-0005-0000-0000-000081A10000}"/>
    <cellStyle name="Wrap Bold 2 2 7 8 7" xfId="38299" xr:uid="{00000000-0005-0000-0000-000082A10000}"/>
    <cellStyle name="Wrap Bold 2 2 7 8 7 2" xfId="38300" xr:uid="{00000000-0005-0000-0000-000083A10000}"/>
    <cellStyle name="Wrap Bold 2 2 7 8 8" xfId="38301" xr:uid="{00000000-0005-0000-0000-000084A10000}"/>
    <cellStyle name="Wrap Bold 2 2 7 8 8 2" xfId="38302" xr:uid="{00000000-0005-0000-0000-000085A10000}"/>
    <cellStyle name="Wrap Bold 2 2 7 8 9" xfId="38303" xr:uid="{00000000-0005-0000-0000-000086A10000}"/>
    <cellStyle name="Wrap Bold 2 2 7 8 9 2" xfId="38304" xr:uid="{00000000-0005-0000-0000-000087A10000}"/>
    <cellStyle name="Wrap Bold 2 2 7 9" xfId="38305" xr:uid="{00000000-0005-0000-0000-000088A10000}"/>
    <cellStyle name="Wrap Bold 2 2 7 9 10" xfId="38306" xr:uid="{00000000-0005-0000-0000-000089A10000}"/>
    <cellStyle name="Wrap Bold 2 2 7 9 2" xfId="38307" xr:uid="{00000000-0005-0000-0000-00008AA10000}"/>
    <cellStyle name="Wrap Bold 2 2 7 9 2 2" xfId="38308" xr:uid="{00000000-0005-0000-0000-00008BA10000}"/>
    <cellStyle name="Wrap Bold 2 2 7 9 3" xfId="38309" xr:uid="{00000000-0005-0000-0000-00008CA10000}"/>
    <cellStyle name="Wrap Bold 2 2 7 9 3 2" xfId="38310" xr:uid="{00000000-0005-0000-0000-00008DA10000}"/>
    <cellStyle name="Wrap Bold 2 2 7 9 4" xfId="38311" xr:uid="{00000000-0005-0000-0000-00008EA10000}"/>
    <cellStyle name="Wrap Bold 2 2 7 9 4 2" xfId="38312" xr:uid="{00000000-0005-0000-0000-00008FA10000}"/>
    <cellStyle name="Wrap Bold 2 2 7 9 5" xfId="38313" xr:uid="{00000000-0005-0000-0000-000090A10000}"/>
    <cellStyle name="Wrap Bold 2 2 7 9 5 2" xfId="38314" xr:uid="{00000000-0005-0000-0000-000091A10000}"/>
    <cellStyle name="Wrap Bold 2 2 7 9 6" xfId="38315" xr:uid="{00000000-0005-0000-0000-000092A10000}"/>
    <cellStyle name="Wrap Bold 2 2 7 9 6 2" xfId="38316" xr:uid="{00000000-0005-0000-0000-000093A10000}"/>
    <cellStyle name="Wrap Bold 2 2 7 9 7" xfId="38317" xr:uid="{00000000-0005-0000-0000-000094A10000}"/>
    <cellStyle name="Wrap Bold 2 2 7 9 7 2" xfId="38318" xr:uid="{00000000-0005-0000-0000-000095A10000}"/>
    <cellStyle name="Wrap Bold 2 2 7 9 8" xfId="38319" xr:uid="{00000000-0005-0000-0000-000096A10000}"/>
    <cellStyle name="Wrap Bold 2 2 7 9 8 2" xfId="38320" xr:uid="{00000000-0005-0000-0000-000097A10000}"/>
    <cellStyle name="Wrap Bold 2 2 7 9 9" xfId="38321" xr:uid="{00000000-0005-0000-0000-000098A10000}"/>
    <cellStyle name="Wrap Bold 2 2 7 9 9 2" xfId="38322" xr:uid="{00000000-0005-0000-0000-000099A10000}"/>
    <cellStyle name="Wrap Bold 2 2 8" xfId="38323" xr:uid="{00000000-0005-0000-0000-00009AA10000}"/>
    <cellStyle name="Wrap Bold 2 2 8 10" xfId="38324" xr:uid="{00000000-0005-0000-0000-00009BA10000}"/>
    <cellStyle name="Wrap Bold 2 2 8 10 2" xfId="38325" xr:uid="{00000000-0005-0000-0000-00009CA10000}"/>
    <cellStyle name="Wrap Bold 2 2 8 10 2 2" xfId="38326" xr:uid="{00000000-0005-0000-0000-00009DA10000}"/>
    <cellStyle name="Wrap Bold 2 2 8 10 3" xfId="38327" xr:uid="{00000000-0005-0000-0000-00009EA10000}"/>
    <cellStyle name="Wrap Bold 2 2 8 10 3 2" xfId="38328" xr:uid="{00000000-0005-0000-0000-00009FA10000}"/>
    <cellStyle name="Wrap Bold 2 2 8 10 4" xfId="38329" xr:uid="{00000000-0005-0000-0000-0000A0A10000}"/>
    <cellStyle name="Wrap Bold 2 2 8 10 4 2" xfId="38330" xr:uid="{00000000-0005-0000-0000-0000A1A10000}"/>
    <cellStyle name="Wrap Bold 2 2 8 10 5" xfId="38331" xr:uid="{00000000-0005-0000-0000-0000A2A10000}"/>
    <cellStyle name="Wrap Bold 2 2 8 10 5 2" xfId="38332" xr:uid="{00000000-0005-0000-0000-0000A3A10000}"/>
    <cellStyle name="Wrap Bold 2 2 8 10 6" xfId="38333" xr:uid="{00000000-0005-0000-0000-0000A4A10000}"/>
    <cellStyle name="Wrap Bold 2 2 8 10 6 2" xfId="38334" xr:uid="{00000000-0005-0000-0000-0000A5A10000}"/>
    <cellStyle name="Wrap Bold 2 2 8 10 7" xfId="38335" xr:uid="{00000000-0005-0000-0000-0000A6A10000}"/>
    <cellStyle name="Wrap Bold 2 2 8 10 7 2" xfId="38336" xr:uid="{00000000-0005-0000-0000-0000A7A10000}"/>
    <cellStyle name="Wrap Bold 2 2 8 10 8" xfId="38337" xr:uid="{00000000-0005-0000-0000-0000A8A10000}"/>
    <cellStyle name="Wrap Bold 2 2 8 10 8 2" xfId="38338" xr:uid="{00000000-0005-0000-0000-0000A9A10000}"/>
    <cellStyle name="Wrap Bold 2 2 8 10 9" xfId="38339" xr:uid="{00000000-0005-0000-0000-0000AAA10000}"/>
    <cellStyle name="Wrap Bold 2 2 8 11" xfId="38340" xr:uid="{00000000-0005-0000-0000-0000ABA10000}"/>
    <cellStyle name="Wrap Bold 2 2 8 11 2" xfId="38341" xr:uid="{00000000-0005-0000-0000-0000ACA10000}"/>
    <cellStyle name="Wrap Bold 2 2 8 12" xfId="38342" xr:uid="{00000000-0005-0000-0000-0000ADA10000}"/>
    <cellStyle name="Wrap Bold 2 2 8 12 2" xfId="38343" xr:uid="{00000000-0005-0000-0000-0000AEA10000}"/>
    <cellStyle name="Wrap Bold 2 2 8 13" xfId="38344" xr:uid="{00000000-0005-0000-0000-0000AFA10000}"/>
    <cellStyle name="Wrap Bold 2 2 8 13 2" xfId="38345" xr:uid="{00000000-0005-0000-0000-0000B0A10000}"/>
    <cellStyle name="Wrap Bold 2 2 8 14" xfId="38346" xr:uid="{00000000-0005-0000-0000-0000B1A10000}"/>
    <cellStyle name="Wrap Bold 2 2 8 14 2" xfId="38347" xr:uid="{00000000-0005-0000-0000-0000B2A10000}"/>
    <cellStyle name="Wrap Bold 2 2 8 15" xfId="38348" xr:uid="{00000000-0005-0000-0000-0000B3A10000}"/>
    <cellStyle name="Wrap Bold 2 2 8 15 2" xfId="38349" xr:uid="{00000000-0005-0000-0000-0000B4A10000}"/>
    <cellStyle name="Wrap Bold 2 2 8 16" xfId="38350" xr:uid="{00000000-0005-0000-0000-0000B5A10000}"/>
    <cellStyle name="Wrap Bold 2 2 8 16 2" xfId="38351" xr:uid="{00000000-0005-0000-0000-0000B6A10000}"/>
    <cellStyle name="Wrap Bold 2 2 8 17" xfId="38352" xr:uid="{00000000-0005-0000-0000-0000B7A10000}"/>
    <cellStyle name="Wrap Bold 2 2 8 17 2" xfId="38353" xr:uid="{00000000-0005-0000-0000-0000B8A10000}"/>
    <cellStyle name="Wrap Bold 2 2 8 18" xfId="38354" xr:uid="{00000000-0005-0000-0000-0000B9A10000}"/>
    <cellStyle name="Wrap Bold 2 2 8 2" xfId="38355" xr:uid="{00000000-0005-0000-0000-0000BAA10000}"/>
    <cellStyle name="Wrap Bold 2 2 8 2 10" xfId="38356" xr:uid="{00000000-0005-0000-0000-0000BBA10000}"/>
    <cellStyle name="Wrap Bold 2 2 8 2 2" xfId="38357" xr:uid="{00000000-0005-0000-0000-0000BCA10000}"/>
    <cellStyle name="Wrap Bold 2 2 8 2 2 2" xfId="38358" xr:uid="{00000000-0005-0000-0000-0000BDA10000}"/>
    <cellStyle name="Wrap Bold 2 2 8 2 3" xfId="38359" xr:uid="{00000000-0005-0000-0000-0000BEA10000}"/>
    <cellStyle name="Wrap Bold 2 2 8 2 3 2" xfId="38360" xr:uid="{00000000-0005-0000-0000-0000BFA10000}"/>
    <cellStyle name="Wrap Bold 2 2 8 2 4" xfId="38361" xr:uid="{00000000-0005-0000-0000-0000C0A10000}"/>
    <cellStyle name="Wrap Bold 2 2 8 2 4 2" xfId="38362" xr:uid="{00000000-0005-0000-0000-0000C1A10000}"/>
    <cellStyle name="Wrap Bold 2 2 8 2 5" xfId="38363" xr:uid="{00000000-0005-0000-0000-0000C2A10000}"/>
    <cellStyle name="Wrap Bold 2 2 8 2 5 2" xfId="38364" xr:uid="{00000000-0005-0000-0000-0000C3A10000}"/>
    <cellStyle name="Wrap Bold 2 2 8 2 6" xfId="38365" xr:uid="{00000000-0005-0000-0000-0000C4A10000}"/>
    <cellStyle name="Wrap Bold 2 2 8 2 6 2" xfId="38366" xr:uid="{00000000-0005-0000-0000-0000C5A10000}"/>
    <cellStyle name="Wrap Bold 2 2 8 2 7" xfId="38367" xr:uid="{00000000-0005-0000-0000-0000C6A10000}"/>
    <cellStyle name="Wrap Bold 2 2 8 2 7 2" xfId="38368" xr:uid="{00000000-0005-0000-0000-0000C7A10000}"/>
    <cellStyle name="Wrap Bold 2 2 8 2 8" xfId="38369" xr:uid="{00000000-0005-0000-0000-0000C8A10000}"/>
    <cellStyle name="Wrap Bold 2 2 8 2 8 2" xfId="38370" xr:uid="{00000000-0005-0000-0000-0000C9A10000}"/>
    <cellStyle name="Wrap Bold 2 2 8 2 9" xfId="38371" xr:uid="{00000000-0005-0000-0000-0000CAA10000}"/>
    <cellStyle name="Wrap Bold 2 2 8 2 9 2" xfId="38372" xr:uid="{00000000-0005-0000-0000-0000CBA10000}"/>
    <cellStyle name="Wrap Bold 2 2 8 3" xfId="38373" xr:uid="{00000000-0005-0000-0000-0000CCA10000}"/>
    <cellStyle name="Wrap Bold 2 2 8 3 10" xfId="38374" xr:uid="{00000000-0005-0000-0000-0000CDA10000}"/>
    <cellStyle name="Wrap Bold 2 2 8 3 2" xfId="38375" xr:uid="{00000000-0005-0000-0000-0000CEA10000}"/>
    <cellStyle name="Wrap Bold 2 2 8 3 2 2" xfId="38376" xr:uid="{00000000-0005-0000-0000-0000CFA10000}"/>
    <cellStyle name="Wrap Bold 2 2 8 3 3" xfId="38377" xr:uid="{00000000-0005-0000-0000-0000D0A10000}"/>
    <cellStyle name="Wrap Bold 2 2 8 3 3 2" xfId="38378" xr:uid="{00000000-0005-0000-0000-0000D1A10000}"/>
    <cellStyle name="Wrap Bold 2 2 8 3 4" xfId="38379" xr:uid="{00000000-0005-0000-0000-0000D2A10000}"/>
    <cellStyle name="Wrap Bold 2 2 8 3 4 2" xfId="38380" xr:uid="{00000000-0005-0000-0000-0000D3A10000}"/>
    <cellStyle name="Wrap Bold 2 2 8 3 5" xfId="38381" xr:uid="{00000000-0005-0000-0000-0000D4A10000}"/>
    <cellStyle name="Wrap Bold 2 2 8 3 5 2" xfId="38382" xr:uid="{00000000-0005-0000-0000-0000D5A10000}"/>
    <cellStyle name="Wrap Bold 2 2 8 3 6" xfId="38383" xr:uid="{00000000-0005-0000-0000-0000D6A10000}"/>
    <cellStyle name="Wrap Bold 2 2 8 3 6 2" xfId="38384" xr:uid="{00000000-0005-0000-0000-0000D7A10000}"/>
    <cellStyle name="Wrap Bold 2 2 8 3 7" xfId="38385" xr:uid="{00000000-0005-0000-0000-0000D8A10000}"/>
    <cellStyle name="Wrap Bold 2 2 8 3 7 2" xfId="38386" xr:uid="{00000000-0005-0000-0000-0000D9A10000}"/>
    <cellStyle name="Wrap Bold 2 2 8 3 8" xfId="38387" xr:uid="{00000000-0005-0000-0000-0000DAA10000}"/>
    <cellStyle name="Wrap Bold 2 2 8 3 8 2" xfId="38388" xr:uid="{00000000-0005-0000-0000-0000DBA10000}"/>
    <cellStyle name="Wrap Bold 2 2 8 3 9" xfId="38389" xr:uid="{00000000-0005-0000-0000-0000DCA10000}"/>
    <cellStyle name="Wrap Bold 2 2 8 3 9 2" xfId="38390" xr:uid="{00000000-0005-0000-0000-0000DDA10000}"/>
    <cellStyle name="Wrap Bold 2 2 8 4" xfId="38391" xr:uid="{00000000-0005-0000-0000-0000DEA10000}"/>
    <cellStyle name="Wrap Bold 2 2 8 4 10" xfId="38392" xr:uid="{00000000-0005-0000-0000-0000DFA10000}"/>
    <cellStyle name="Wrap Bold 2 2 8 4 2" xfId="38393" xr:uid="{00000000-0005-0000-0000-0000E0A10000}"/>
    <cellStyle name="Wrap Bold 2 2 8 4 2 2" xfId="38394" xr:uid="{00000000-0005-0000-0000-0000E1A10000}"/>
    <cellStyle name="Wrap Bold 2 2 8 4 3" xfId="38395" xr:uid="{00000000-0005-0000-0000-0000E2A10000}"/>
    <cellStyle name="Wrap Bold 2 2 8 4 3 2" xfId="38396" xr:uid="{00000000-0005-0000-0000-0000E3A10000}"/>
    <cellStyle name="Wrap Bold 2 2 8 4 4" xfId="38397" xr:uid="{00000000-0005-0000-0000-0000E4A10000}"/>
    <cellStyle name="Wrap Bold 2 2 8 4 4 2" xfId="38398" xr:uid="{00000000-0005-0000-0000-0000E5A10000}"/>
    <cellStyle name="Wrap Bold 2 2 8 4 5" xfId="38399" xr:uid="{00000000-0005-0000-0000-0000E6A10000}"/>
    <cellStyle name="Wrap Bold 2 2 8 4 5 2" xfId="38400" xr:uid="{00000000-0005-0000-0000-0000E7A10000}"/>
    <cellStyle name="Wrap Bold 2 2 8 4 6" xfId="38401" xr:uid="{00000000-0005-0000-0000-0000E8A10000}"/>
    <cellStyle name="Wrap Bold 2 2 8 4 6 2" xfId="38402" xr:uid="{00000000-0005-0000-0000-0000E9A10000}"/>
    <cellStyle name="Wrap Bold 2 2 8 4 7" xfId="38403" xr:uid="{00000000-0005-0000-0000-0000EAA10000}"/>
    <cellStyle name="Wrap Bold 2 2 8 4 7 2" xfId="38404" xr:uid="{00000000-0005-0000-0000-0000EBA10000}"/>
    <cellStyle name="Wrap Bold 2 2 8 4 8" xfId="38405" xr:uid="{00000000-0005-0000-0000-0000ECA10000}"/>
    <cellStyle name="Wrap Bold 2 2 8 4 8 2" xfId="38406" xr:uid="{00000000-0005-0000-0000-0000EDA10000}"/>
    <cellStyle name="Wrap Bold 2 2 8 4 9" xfId="38407" xr:uid="{00000000-0005-0000-0000-0000EEA10000}"/>
    <cellStyle name="Wrap Bold 2 2 8 4 9 2" xfId="38408" xr:uid="{00000000-0005-0000-0000-0000EFA10000}"/>
    <cellStyle name="Wrap Bold 2 2 8 5" xfId="38409" xr:uid="{00000000-0005-0000-0000-0000F0A10000}"/>
    <cellStyle name="Wrap Bold 2 2 8 5 10" xfId="38410" xr:uid="{00000000-0005-0000-0000-0000F1A10000}"/>
    <cellStyle name="Wrap Bold 2 2 8 5 2" xfId="38411" xr:uid="{00000000-0005-0000-0000-0000F2A10000}"/>
    <cellStyle name="Wrap Bold 2 2 8 5 2 2" xfId="38412" xr:uid="{00000000-0005-0000-0000-0000F3A10000}"/>
    <cellStyle name="Wrap Bold 2 2 8 5 3" xfId="38413" xr:uid="{00000000-0005-0000-0000-0000F4A10000}"/>
    <cellStyle name="Wrap Bold 2 2 8 5 3 2" xfId="38414" xr:uid="{00000000-0005-0000-0000-0000F5A10000}"/>
    <cellStyle name="Wrap Bold 2 2 8 5 4" xfId="38415" xr:uid="{00000000-0005-0000-0000-0000F6A10000}"/>
    <cellStyle name="Wrap Bold 2 2 8 5 4 2" xfId="38416" xr:uid="{00000000-0005-0000-0000-0000F7A10000}"/>
    <cellStyle name="Wrap Bold 2 2 8 5 5" xfId="38417" xr:uid="{00000000-0005-0000-0000-0000F8A10000}"/>
    <cellStyle name="Wrap Bold 2 2 8 5 5 2" xfId="38418" xr:uid="{00000000-0005-0000-0000-0000F9A10000}"/>
    <cellStyle name="Wrap Bold 2 2 8 5 6" xfId="38419" xr:uid="{00000000-0005-0000-0000-0000FAA10000}"/>
    <cellStyle name="Wrap Bold 2 2 8 5 6 2" xfId="38420" xr:uid="{00000000-0005-0000-0000-0000FBA10000}"/>
    <cellStyle name="Wrap Bold 2 2 8 5 7" xfId="38421" xr:uid="{00000000-0005-0000-0000-0000FCA10000}"/>
    <cellStyle name="Wrap Bold 2 2 8 5 7 2" xfId="38422" xr:uid="{00000000-0005-0000-0000-0000FDA10000}"/>
    <cellStyle name="Wrap Bold 2 2 8 5 8" xfId="38423" xr:uid="{00000000-0005-0000-0000-0000FEA10000}"/>
    <cellStyle name="Wrap Bold 2 2 8 5 8 2" xfId="38424" xr:uid="{00000000-0005-0000-0000-0000FFA10000}"/>
    <cellStyle name="Wrap Bold 2 2 8 5 9" xfId="38425" xr:uid="{00000000-0005-0000-0000-000000A20000}"/>
    <cellStyle name="Wrap Bold 2 2 8 5 9 2" xfId="38426" xr:uid="{00000000-0005-0000-0000-000001A20000}"/>
    <cellStyle name="Wrap Bold 2 2 8 6" xfId="38427" xr:uid="{00000000-0005-0000-0000-000002A20000}"/>
    <cellStyle name="Wrap Bold 2 2 8 6 10" xfId="38428" xr:uid="{00000000-0005-0000-0000-000003A20000}"/>
    <cellStyle name="Wrap Bold 2 2 8 6 2" xfId="38429" xr:uid="{00000000-0005-0000-0000-000004A20000}"/>
    <cellStyle name="Wrap Bold 2 2 8 6 2 2" xfId="38430" xr:uid="{00000000-0005-0000-0000-000005A20000}"/>
    <cellStyle name="Wrap Bold 2 2 8 6 3" xfId="38431" xr:uid="{00000000-0005-0000-0000-000006A20000}"/>
    <cellStyle name="Wrap Bold 2 2 8 6 3 2" xfId="38432" xr:uid="{00000000-0005-0000-0000-000007A20000}"/>
    <cellStyle name="Wrap Bold 2 2 8 6 4" xfId="38433" xr:uid="{00000000-0005-0000-0000-000008A20000}"/>
    <cellStyle name="Wrap Bold 2 2 8 6 4 2" xfId="38434" xr:uid="{00000000-0005-0000-0000-000009A20000}"/>
    <cellStyle name="Wrap Bold 2 2 8 6 5" xfId="38435" xr:uid="{00000000-0005-0000-0000-00000AA20000}"/>
    <cellStyle name="Wrap Bold 2 2 8 6 5 2" xfId="38436" xr:uid="{00000000-0005-0000-0000-00000BA20000}"/>
    <cellStyle name="Wrap Bold 2 2 8 6 6" xfId="38437" xr:uid="{00000000-0005-0000-0000-00000CA20000}"/>
    <cellStyle name="Wrap Bold 2 2 8 6 6 2" xfId="38438" xr:uid="{00000000-0005-0000-0000-00000DA20000}"/>
    <cellStyle name="Wrap Bold 2 2 8 6 7" xfId="38439" xr:uid="{00000000-0005-0000-0000-00000EA20000}"/>
    <cellStyle name="Wrap Bold 2 2 8 6 7 2" xfId="38440" xr:uid="{00000000-0005-0000-0000-00000FA20000}"/>
    <cellStyle name="Wrap Bold 2 2 8 6 8" xfId="38441" xr:uid="{00000000-0005-0000-0000-000010A20000}"/>
    <cellStyle name="Wrap Bold 2 2 8 6 8 2" xfId="38442" xr:uid="{00000000-0005-0000-0000-000011A20000}"/>
    <cellStyle name="Wrap Bold 2 2 8 6 9" xfId="38443" xr:uid="{00000000-0005-0000-0000-000012A20000}"/>
    <cellStyle name="Wrap Bold 2 2 8 6 9 2" xfId="38444" xr:uid="{00000000-0005-0000-0000-000013A20000}"/>
    <cellStyle name="Wrap Bold 2 2 8 7" xfId="38445" xr:uid="{00000000-0005-0000-0000-000014A20000}"/>
    <cellStyle name="Wrap Bold 2 2 8 7 10" xfId="38446" xr:uid="{00000000-0005-0000-0000-000015A20000}"/>
    <cellStyle name="Wrap Bold 2 2 8 7 2" xfId="38447" xr:uid="{00000000-0005-0000-0000-000016A20000}"/>
    <cellStyle name="Wrap Bold 2 2 8 7 2 2" xfId="38448" xr:uid="{00000000-0005-0000-0000-000017A20000}"/>
    <cellStyle name="Wrap Bold 2 2 8 7 3" xfId="38449" xr:uid="{00000000-0005-0000-0000-000018A20000}"/>
    <cellStyle name="Wrap Bold 2 2 8 7 3 2" xfId="38450" xr:uid="{00000000-0005-0000-0000-000019A20000}"/>
    <cellStyle name="Wrap Bold 2 2 8 7 4" xfId="38451" xr:uid="{00000000-0005-0000-0000-00001AA20000}"/>
    <cellStyle name="Wrap Bold 2 2 8 7 4 2" xfId="38452" xr:uid="{00000000-0005-0000-0000-00001BA20000}"/>
    <cellStyle name="Wrap Bold 2 2 8 7 5" xfId="38453" xr:uid="{00000000-0005-0000-0000-00001CA20000}"/>
    <cellStyle name="Wrap Bold 2 2 8 7 5 2" xfId="38454" xr:uid="{00000000-0005-0000-0000-00001DA20000}"/>
    <cellStyle name="Wrap Bold 2 2 8 7 6" xfId="38455" xr:uid="{00000000-0005-0000-0000-00001EA20000}"/>
    <cellStyle name="Wrap Bold 2 2 8 7 6 2" xfId="38456" xr:uid="{00000000-0005-0000-0000-00001FA20000}"/>
    <cellStyle name="Wrap Bold 2 2 8 7 7" xfId="38457" xr:uid="{00000000-0005-0000-0000-000020A20000}"/>
    <cellStyle name="Wrap Bold 2 2 8 7 7 2" xfId="38458" xr:uid="{00000000-0005-0000-0000-000021A20000}"/>
    <cellStyle name="Wrap Bold 2 2 8 7 8" xfId="38459" xr:uid="{00000000-0005-0000-0000-000022A20000}"/>
    <cellStyle name="Wrap Bold 2 2 8 7 8 2" xfId="38460" xr:uid="{00000000-0005-0000-0000-000023A20000}"/>
    <cellStyle name="Wrap Bold 2 2 8 7 9" xfId="38461" xr:uid="{00000000-0005-0000-0000-000024A20000}"/>
    <cellStyle name="Wrap Bold 2 2 8 7 9 2" xfId="38462" xr:uid="{00000000-0005-0000-0000-000025A20000}"/>
    <cellStyle name="Wrap Bold 2 2 8 8" xfId="38463" xr:uid="{00000000-0005-0000-0000-000026A20000}"/>
    <cellStyle name="Wrap Bold 2 2 8 8 10" xfId="38464" xr:uid="{00000000-0005-0000-0000-000027A20000}"/>
    <cellStyle name="Wrap Bold 2 2 8 8 2" xfId="38465" xr:uid="{00000000-0005-0000-0000-000028A20000}"/>
    <cellStyle name="Wrap Bold 2 2 8 8 2 2" xfId="38466" xr:uid="{00000000-0005-0000-0000-000029A20000}"/>
    <cellStyle name="Wrap Bold 2 2 8 8 3" xfId="38467" xr:uid="{00000000-0005-0000-0000-00002AA20000}"/>
    <cellStyle name="Wrap Bold 2 2 8 8 3 2" xfId="38468" xr:uid="{00000000-0005-0000-0000-00002BA20000}"/>
    <cellStyle name="Wrap Bold 2 2 8 8 4" xfId="38469" xr:uid="{00000000-0005-0000-0000-00002CA20000}"/>
    <cellStyle name="Wrap Bold 2 2 8 8 4 2" xfId="38470" xr:uid="{00000000-0005-0000-0000-00002DA20000}"/>
    <cellStyle name="Wrap Bold 2 2 8 8 5" xfId="38471" xr:uid="{00000000-0005-0000-0000-00002EA20000}"/>
    <cellStyle name="Wrap Bold 2 2 8 8 5 2" xfId="38472" xr:uid="{00000000-0005-0000-0000-00002FA20000}"/>
    <cellStyle name="Wrap Bold 2 2 8 8 6" xfId="38473" xr:uid="{00000000-0005-0000-0000-000030A20000}"/>
    <cellStyle name="Wrap Bold 2 2 8 8 6 2" xfId="38474" xr:uid="{00000000-0005-0000-0000-000031A20000}"/>
    <cellStyle name="Wrap Bold 2 2 8 8 7" xfId="38475" xr:uid="{00000000-0005-0000-0000-000032A20000}"/>
    <cellStyle name="Wrap Bold 2 2 8 8 7 2" xfId="38476" xr:uid="{00000000-0005-0000-0000-000033A20000}"/>
    <cellStyle name="Wrap Bold 2 2 8 8 8" xfId="38477" xr:uid="{00000000-0005-0000-0000-000034A20000}"/>
    <cellStyle name="Wrap Bold 2 2 8 8 8 2" xfId="38478" xr:uid="{00000000-0005-0000-0000-000035A20000}"/>
    <cellStyle name="Wrap Bold 2 2 8 8 9" xfId="38479" xr:uid="{00000000-0005-0000-0000-000036A20000}"/>
    <cellStyle name="Wrap Bold 2 2 8 8 9 2" xfId="38480" xr:uid="{00000000-0005-0000-0000-000037A20000}"/>
    <cellStyle name="Wrap Bold 2 2 8 9" xfId="38481" xr:uid="{00000000-0005-0000-0000-000038A20000}"/>
    <cellStyle name="Wrap Bold 2 2 8 9 10" xfId="38482" xr:uid="{00000000-0005-0000-0000-000039A20000}"/>
    <cellStyle name="Wrap Bold 2 2 8 9 2" xfId="38483" xr:uid="{00000000-0005-0000-0000-00003AA20000}"/>
    <cellStyle name="Wrap Bold 2 2 8 9 2 2" xfId="38484" xr:uid="{00000000-0005-0000-0000-00003BA20000}"/>
    <cellStyle name="Wrap Bold 2 2 8 9 3" xfId="38485" xr:uid="{00000000-0005-0000-0000-00003CA20000}"/>
    <cellStyle name="Wrap Bold 2 2 8 9 3 2" xfId="38486" xr:uid="{00000000-0005-0000-0000-00003DA20000}"/>
    <cellStyle name="Wrap Bold 2 2 8 9 4" xfId="38487" xr:uid="{00000000-0005-0000-0000-00003EA20000}"/>
    <cellStyle name="Wrap Bold 2 2 8 9 4 2" xfId="38488" xr:uid="{00000000-0005-0000-0000-00003FA20000}"/>
    <cellStyle name="Wrap Bold 2 2 8 9 5" xfId="38489" xr:uid="{00000000-0005-0000-0000-000040A20000}"/>
    <cellStyle name="Wrap Bold 2 2 8 9 5 2" xfId="38490" xr:uid="{00000000-0005-0000-0000-000041A20000}"/>
    <cellStyle name="Wrap Bold 2 2 8 9 6" xfId="38491" xr:uid="{00000000-0005-0000-0000-000042A20000}"/>
    <cellStyle name="Wrap Bold 2 2 8 9 6 2" xfId="38492" xr:uid="{00000000-0005-0000-0000-000043A20000}"/>
    <cellStyle name="Wrap Bold 2 2 8 9 7" xfId="38493" xr:uid="{00000000-0005-0000-0000-000044A20000}"/>
    <cellStyle name="Wrap Bold 2 2 8 9 7 2" xfId="38494" xr:uid="{00000000-0005-0000-0000-000045A20000}"/>
    <cellStyle name="Wrap Bold 2 2 8 9 8" xfId="38495" xr:uid="{00000000-0005-0000-0000-000046A20000}"/>
    <cellStyle name="Wrap Bold 2 2 8 9 8 2" xfId="38496" xr:uid="{00000000-0005-0000-0000-000047A20000}"/>
    <cellStyle name="Wrap Bold 2 2 8 9 9" xfId="38497" xr:uid="{00000000-0005-0000-0000-000048A20000}"/>
    <cellStyle name="Wrap Bold 2 2 8 9 9 2" xfId="38498" xr:uid="{00000000-0005-0000-0000-000049A20000}"/>
    <cellStyle name="Wrap Bold 2 3" xfId="210" xr:uid="{00000000-0005-0000-0000-00004AA20000}"/>
    <cellStyle name="Wrap Bold 2 3 2" xfId="38499" xr:uid="{00000000-0005-0000-0000-00004BA20000}"/>
    <cellStyle name="Wrap Bold 2 3 2 10" xfId="38500" xr:uid="{00000000-0005-0000-0000-00004CA20000}"/>
    <cellStyle name="Wrap Bold 2 3 2 10 10" xfId="38501" xr:uid="{00000000-0005-0000-0000-00004DA20000}"/>
    <cellStyle name="Wrap Bold 2 3 2 10 2" xfId="38502" xr:uid="{00000000-0005-0000-0000-00004EA20000}"/>
    <cellStyle name="Wrap Bold 2 3 2 10 2 2" xfId="38503" xr:uid="{00000000-0005-0000-0000-00004FA20000}"/>
    <cellStyle name="Wrap Bold 2 3 2 10 3" xfId="38504" xr:uid="{00000000-0005-0000-0000-000050A20000}"/>
    <cellStyle name="Wrap Bold 2 3 2 10 3 2" xfId="38505" xr:uid="{00000000-0005-0000-0000-000051A20000}"/>
    <cellStyle name="Wrap Bold 2 3 2 10 4" xfId="38506" xr:uid="{00000000-0005-0000-0000-000052A20000}"/>
    <cellStyle name="Wrap Bold 2 3 2 10 4 2" xfId="38507" xr:uid="{00000000-0005-0000-0000-000053A20000}"/>
    <cellStyle name="Wrap Bold 2 3 2 10 5" xfId="38508" xr:uid="{00000000-0005-0000-0000-000054A20000}"/>
    <cellStyle name="Wrap Bold 2 3 2 10 5 2" xfId="38509" xr:uid="{00000000-0005-0000-0000-000055A20000}"/>
    <cellStyle name="Wrap Bold 2 3 2 10 6" xfId="38510" xr:uid="{00000000-0005-0000-0000-000056A20000}"/>
    <cellStyle name="Wrap Bold 2 3 2 10 6 2" xfId="38511" xr:uid="{00000000-0005-0000-0000-000057A20000}"/>
    <cellStyle name="Wrap Bold 2 3 2 10 7" xfId="38512" xr:uid="{00000000-0005-0000-0000-000058A20000}"/>
    <cellStyle name="Wrap Bold 2 3 2 10 7 2" xfId="38513" xr:uid="{00000000-0005-0000-0000-000059A20000}"/>
    <cellStyle name="Wrap Bold 2 3 2 10 8" xfId="38514" xr:uid="{00000000-0005-0000-0000-00005AA20000}"/>
    <cellStyle name="Wrap Bold 2 3 2 10 8 2" xfId="38515" xr:uid="{00000000-0005-0000-0000-00005BA20000}"/>
    <cellStyle name="Wrap Bold 2 3 2 10 9" xfId="38516" xr:uid="{00000000-0005-0000-0000-00005CA20000}"/>
    <cellStyle name="Wrap Bold 2 3 2 10 9 2" xfId="38517" xr:uid="{00000000-0005-0000-0000-00005DA20000}"/>
    <cellStyle name="Wrap Bold 2 3 2 11" xfId="38518" xr:uid="{00000000-0005-0000-0000-00005EA20000}"/>
    <cellStyle name="Wrap Bold 2 3 2 11 2" xfId="38519" xr:uid="{00000000-0005-0000-0000-00005FA20000}"/>
    <cellStyle name="Wrap Bold 2 3 2 11 2 2" xfId="38520" xr:uid="{00000000-0005-0000-0000-000060A20000}"/>
    <cellStyle name="Wrap Bold 2 3 2 11 3" xfId="38521" xr:uid="{00000000-0005-0000-0000-000061A20000}"/>
    <cellStyle name="Wrap Bold 2 3 2 11 3 2" xfId="38522" xr:uid="{00000000-0005-0000-0000-000062A20000}"/>
    <cellStyle name="Wrap Bold 2 3 2 11 4" xfId="38523" xr:uid="{00000000-0005-0000-0000-000063A20000}"/>
    <cellStyle name="Wrap Bold 2 3 2 11 4 2" xfId="38524" xr:uid="{00000000-0005-0000-0000-000064A20000}"/>
    <cellStyle name="Wrap Bold 2 3 2 11 5" xfId="38525" xr:uid="{00000000-0005-0000-0000-000065A20000}"/>
    <cellStyle name="Wrap Bold 2 3 2 11 5 2" xfId="38526" xr:uid="{00000000-0005-0000-0000-000066A20000}"/>
    <cellStyle name="Wrap Bold 2 3 2 11 6" xfId="38527" xr:uid="{00000000-0005-0000-0000-000067A20000}"/>
    <cellStyle name="Wrap Bold 2 3 2 11 6 2" xfId="38528" xr:uid="{00000000-0005-0000-0000-000068A20000}"/>
    <cellStyle name="Wrap Bold 2 3 2 11 7" xfId="38529" xr:uid="{00000000-0005-0000-0000-000069A20000}"/>
    <cellStyle name="Wrap Bold 2 3 2 11 7 2" xfId="38530" xr:uid="{00000000-0005-0000-0000-00006AA20000}"/>
    <cellStyle name="Wrap Bold 2 3 2 11 8" xfId="38531" xr:uid="{00000000-0005-0000-0000-00006BA20000}"/>
    <cellStyle name="Wrap Bold 2 3 2 11 8 2" xfId="38532" xr:uid="{00000000-0005-0000-0000-00006CA20000}"/>
    <cellStyle name="Wrap Bold 2 3 2 11 9" xfId="38533" xr:uid="{00000000-0005-0000-0000-00006DA20000}"/>
    <cellStyle name="Wrap Bold 2 3 2 2" xfId="38534" xr:uid="{00000000-0005-0000-0000-00006EA20000}"/>
    <cellStyle name="Wrap Bold 2 3 2 2 10" xfId="38535" xr:uid="{00000000-0005-0000-0000-00006FA20000}"/>
    <cellStyle name="Wrap Bold 2 3 2 2 2" xfId="38536" xr:uid="{00000000-0005-0000-0000-000070A20000}"/>
    <cellStyle name="Wrap Bold 2 3 2 2 2 2" xfId="38537" xr:uid="{00000000-0005-0000-0000-000071A20000}"/>
    <cellStyle name="Wrap Bold 2 3 2 2 3" xfId="38538" xr:uid="{00000000-0005-0000-0000-000072A20000}"/>
    <cellStyle name="Wrap Bold 2 3 2 2 3 2" xfId="38539" xr:uid="{00000000-0005-0000-0000-000073A20000}"/>
    <cellStyle name="Wrap Bold 2 3 2 2 4" xfId="38540" xr:uid="{00000000-0005-0000-0000-000074A20000}"/>
    <cellStyle name="Wrap Bold 2 3 2 2 4 2" xfId="38541" xr:uid="{00000000-0005-0000-0000-000075A20000}"/>
    <cellStyle name="Wrap Bold 2 3 2 2 5" xfId="38542" xr:uid="{00000000-0005-0000-0000-000076A20000}"/>
    <cellStyle name="Wrap Bold 2 3 2 2 5 2" xfId="38543" xr:uid="{00000000-0005-0000-0000-000077A20000}"/>
    <cellStyle name="Wrap Bold 2 3 2 2 6" xfId="38544" xr:uid="{00000000-0005-0000-0000-000078A20000}"/>
    <cellStyle name="Wrap Bold 2 3 2 2 6 2" xfId="38545" xr:uid="{00000000-0005-0000-0000-000079A20000}"/>
    <cellStyle name="Wrap Bold 2 3 2 2 7" xfId="38546" xr:uid="{00000000-0005-0000-0000-00007AA20000}"/>
    <cellStyle name="Wrap Bold 2 3 2 2 7 2" xfId="38547" xr:uid="{00000000-0005-0000-0000-00007BA20000}"/>
    <cellStyle name="Wrap Bold 2 3 2 2 8" xfId="38548" xr:uid="{00000000-0005-0000-0000-00007CA20000}"/>
    <cellStyle name="Wrap Bold 2 3 2 2 8 2" xfId="38549" xr:uid="{00000000-0005-0000-0000-00007DA20000}"/>
    <cellStyle name="Wrap Bold 2 3 2 2 9" xfId="38550" xr:uid="{00000000-0005-0000-0000-00007EA20000}"/>
    <cellStyle name="Wrap Bold 2 3 2 2 9 2" xfId="38551" xr:uid="{00000000-0005-0000-0000-00007FA20000}"/>
    <cellStyle name="Wrap Bold 2 3 2 3" xfId="38552" xr:uid="{00000000-0005-0000-0000-000080A20000}"/>
    <cellStyle name="Wrap Bold 2 3 2 3 10" xfId="38553" xr:uid="{00000000-0005-0000-0000-000081A20000}"/>
    <cellStyle name="Wrap Bold 2 3 2 3 2" xfId="38554" xr:uid="{00000000-0005-0000-0000-000082A20000}"/>
    <cellStyle name="Wrap Bold 2 3 2 3 2 2" xfId="38555" xr:uid="{00000000-0005-0000-0000-000083A20000}"/>
    <cellStyle name="Wrap Bold 2 3 2 3 3" xfId="38556" xr:uid="{00000000-0005-0000-0000-000084A20000}"/>
    <cellStyle name="Wrap Bold 2 3 2 3 3 2" xfId="38557" xr:uid="{00000000-0005-0000-0000-000085A20000}"/>
    <cellStyle name="Wrap Bold 2 3 2 3 4" xfId="38558" xr:uid="{00000000-0005-0000-0000-000086A20000}"/>
    <cellStyle name="Wrap Bold 2 3 2 3 4 2" xfId="38559" xr:uid="{00000000-0005-0000-0000-000087A20000}"/>
    <cellStyle name="Wrap Bold 2 3 2 3 5" xfId="38560" xr:uid="{00000000-0005-0000-0000-000088A20000}"/>
    <cellStyle name="Wrap Bold 2 3 2 3 5 2" xfId="38561" xr:uid="{00000000-0005-0000-0000-000089A20000}"/>
    <cellStyle name="Wrap Bold 2 3 2 3 6" xfId="38562" xr:uid="{00000000-0005-0000-0000-00008AA20000}"/>
    <cellStyle name="Wrap Bold 2 3 2 3 6 2" xfId="38563" xr:uid="{00000000-0005-0000-0000-00008BA20000}"/>
    <cellStyle name="Wrap Bold 2 3 2 3 7" xfId="38564" xr:uid="{00000000-0005-0000-0000-00008CA20000}"/>
    <cellStyle name="Wrap Bold 2 3 2 3 7 2" xfId="38565" xr:uid="{00000000-0005-0000-0000-00008DA20000}"/>
    <cellStyle name="Wrap Bold 2 3 2 3 8" xfId="38566" xr:uid="{00000000-0005-0000-0000-00008EA20000}"/>
    <cellStyle name="Wrap Bold 2 3 2 3 8 2" xfId="38567" xr:uid="{00000000-0005-0000-0000-00008FA20000}"/>
    <cellStyle name="Wrap Bold 2 3 2 3 9" xfId="38568" xr:uid="{00000000-0005-0000-0000-000090A20000}"/>
    <cellStyle name="Wrap Bold 2 3 2 3 9 2" xfId="38569" xr:uid="{00000000-0005-0000-0000-000091A20000}"/>
    <cellStyle name="Wrap Bold 2 3 2 4" xfId="38570" xr:uid="{00000000-0005-0000-0000-000092A20000}"/>
    <cellStyle name="Wrap Bold 2 3 2 4 10" xfId="38571" xr:uid="{00000000-0005-0000-0000-000093A20000}"/>
    <cellStyle name="Wrap Bold 2 3 2 4 2" xfId="38572" xr:uid="{00000000-0005-0000-0000-000094A20000}"/>
    <cellStyle name="Wrap Bold 2 3 2 4 2 2" xfId="38573" xr:uid="{00000000-0005-0000-0000-000095A20000}"/>
    <cellStyle name="Wrap Bold 2 3 2 4 3" xfId="38574" xr:uid="{00000000-0005-0000-0000-000096A20000}"/>
    <cellStyle name="Wrap Bold 2 3 2 4 3 2" xfId="38575" xr:uid="{00000000-0005-0000-0000-000097A20000}"/>
    <cellStyle name="Wrap Bold 2 3 2 4 4" xfId="38576" xr:uid="{00000000-0005-0000-0000-000098A20000}"/>
    <cellStyle name="Wrap Bold 2 3 2 4 4 2" xfId="38577" xr:uid="{00000000-0005-0000-0000-000099A20000}"/>
    <cellStyle name="Wrap Bold 2 3 2 4 5" xfId="38578" xr:uid="{00000000-0005-0000-0000-00009AA20000}"/>
    <cellStyle name="Wrap Bold 2 3 2 4 5 2" xfId="38579" xr:uid="{00000000-0005-0000-0000-00009BA20000}"/>
    <cellStyle name="Wrap Bold 2 3 2 4 6" xfId="38580" xr:uid="{00000000-0005-0000-0000-00009CA20000}"/>
    <cellStyle name="Wrap Bold 2 3 2 4 6 2" xfId="38581" xr:uid="{00000000-0005-0000-0000-00009DA20000}"/>
    <cellStyle name="Wrap Bold 2 3 2 4 7" xfId="38582" xr:uid="{00000000-0005-0000-0000-00009EA20000}"/>
    <cellStyle name="Wrap Bold 2 3 2 4 7 2" xfId="38583" xr:uid="{00000000-0005-0000-0000-00009FA20000}"/>
    <cellStyle name="Wrap Bold 2 3 2 4 8" xfId="38584" xr:uid="{00000000-0005-0000-0000-0000A0A20000}"/>
    <cellStyle name="Wrap Bold 2 3 2 4 8 2" xfId="38585" xr:uid="{00000000-0005-0000-0000-0000A1A20000}"/>
    <cellStyle name="Wrap Bold 2 3 2 4 9" xfId="38586" xr:uid="{00000000-0005-0000-0000-0000A2A20000}"/>
    <cellStyle name="Wrap Bold 2 3 2 4 9 2" xfId="38587" xr:uid="{00000000-0005-0000-0000-0000A3A20000}"/>
    <cellStyle name="Wrap Bold 2 3 2 5" xfId="38588" xr:uid="{00000000-0005-0000-0000-0000A4A20000}"/>
    <cellStyle name="Wrap Bold 2 3 2 5 10" xfId="38589" xr:uid="{00000000-0005-0000-0000-0000A5A20000}"/>
    <cellStyle name="Wrap Bold 2 3 2 5 2" xfId="38590" xr:uid="{00000000-0005-0000-0000-0000A6A20000}"/>
    <cellStyle name="Wrap Bold 2 3 2 5 2 2" xfId="38591" xr:uid="{00000000-0005-0000-0000-0000A7A20000}"/>
    <cellStyle name="Wrap Bold 2 3 2 5 3" xfId="38592" xr:uid="{00000000-0005-0000-0000-0000A8A20000}"/>
    <cellStyle name="Wrap Bold 2 3 2 5 3 2" xfId="38593" xr:uid="{00000000-0005-0000-0000-0000A9A20000}"/>
    <cellStyle name="Wrap Bold 2 3 2 5 4" xfId="38594" xr:uid="{00000000-0005-0000-0000-0000AAA20000}"/>
    <cellStyle name="Wrap Bold 2 3 2 5 4 2" xfId="38595" xr:uid="{00000000-0005-0000-0000-0000ABA20000}"/>
    <cellStyle name="Wrap Bold 2 3 2 5 5" xfId="38596" xr:uid="{00000000-0005-0000-0000-0000ACA20000}"/>
    <cellStyle name="Wrap Bold 2 3 2 5 5 2" xfId="38597" xr:uid="{00000000-0005-0000-0000-0000ADA20000}"/>
    <cellStyle name="Wrap Bold 2 3 2 5 6" xfId="38598" xr:uid="{00000000-0005-0000-0000-0000AEA20000}"/>
    <cellStyle name="Wrap Bold 2 3 2 5 6 2" xfId="38599" xr:uid="{00000000-0005-0000-0000-0000AFA20000}"/>
    <cellStyle name="Wrap Bold 2 3 2 5 7" xfId="38600" xr:uid="{00000000-0005-0000-0000-0000B0A20000}"/>
    <cellStyle name="Wrap Bold 2 3 2 5 7 2" xfId="38601" xr:uid="{00000000-0005-0000-0000-0000B1A20000}"/>
    <cellStyle name="Wrap Bold 2 3 2 5 8" xfId="38602" xr:uid="{00000000-0005-0000-0000-0000B2A20000}"/>
    <cellStyle name="Wrap Bold 2 3 2 5 8 2" xfId="38603" xr:uid="{00000000-0005-0000-0000-0000B3A20000}"/>
    <cellStyle name="Wrap Bold 2 3 2 5 9" xfId="38604" xr:uid="{00000000-0005-0000-0000-0000B4A20000}"/>
    <cellStyle name="Wrap Bold 2 3 2 5 9 2" xfId="38605" xr:uid="{00000000-0005-0000-0000-0000B5A20000}"/>
    <cellStyle name="Wrap Bold 2 3 2 6" xfId="38606" xr:uid="{00000000-0005-0000-0000-0000B6A20000}"/>
    <cellStyle name="Wrap Bold 2 3 2 6 10" xfId="38607" xr:uid="{00000000-0005-0000-0000-0000B7A20000}"/>
    <cellStyle name="Wrap Bold 2 3 2 6 2" xfId="38608" xr:uid="{00000000-0005-0000-0000-0000B8A20000}"/>
    <cellStyle name="Wrap Bold 2 3 2 6 2 2" xfId="38609" xr:uid="{00000000-0005-0000-0000-0000B9A20000}"/>
    <cellStyle name="Wrap Bold 2 3 2 6 3" xfId="38610" xr:uid="{00000000-0005-0000-0000-0000BAA20000}"/>
    <cellStyle name="Wrap Bold 2 3 2 6 3 2" xfId="38611" xr:uid="{00000000-0005-0000-0000-0000BBA20000}"/>
    <cellStyle name="Wrap Bold 2 3 2 6 4" xfId="38612" xr:uid="{00000000-0005-0000-0000-0000BCA20000}"/>
    <cellStyle name="Wrap Bold 2 3 2 6 4 2" xfId="38613" xr:uid="{00000000-0005-0000-0000-0000BDA20000}"/>
    <cellStyle name="Wrap Bold 2 3 2 6 5" xfId="38614" xr:uid="{00000000-0005-0000-0000-0000BEA20000}"/>
    <cellStyle name="Wrap Bold 2 3 2 6 5 2" xfId="38615" xr:uid="{00000000-0005-0000-0000-0000BFA20000}"/>
    <cellStyle name="Wrap Bold 2 3 2 6 6" xfId="38616" xr:uid="{00000000-0005-0000-0000-0000C0A20000}"/>
    <cellStyle name="Wrap Bold 2 3 2 6 6 2" xfId="38617" xr:uid="{00000000-0005-0000-0000-0000C1A20000}"/>
    <cellStyle name="Wrap Bold 2 3 2 6 7" xfId="38618" xr:uid="{00000000-0005-0000-0000-0000C2A20000}"/>
    <cellStyle name="Wrap Bold 2 3 2 6 7 2" xfId="38619" xr:uid="{00000000-0005-0000-0000-0000C3A20000}"/>
    <cellStyle name="Wrap Bold 2 3 2 6 8" xfId="38620" xr:uid="{00000000-0005-0000-0000-0000C4A20000}"/>
    <cellStyle name="Wrap Bold 2 3 2 6 8 2" xfId="38621" xr:uid="{00000000-0005-0000-0000-0000C5A20000}"/>
    <cellStyle name="Wrap Bold 2 3 2 6 9" xfId="38622" xr:uid="{00000000-0005-0000-0000-0000C6A20000}"/>
    <cellStyle name="Wrap Bold 2 3 2 6 9 2" xfId="38623" xr:uid="{00000000-0005-0000-0000-0000C7A20000}"/>
    <cellStyle name="Wrap Bold 2 3 2 7" xfId="38624" xr:uid="{00000000-0005-0000-0000-0000C8A20000}"/>
    <cellStyle name="Wrap Bold 2 3 2 7 10" xfId="38625" xr:uid="{00000000-0005-0000-0000-0000C9A20000}"/>
    <cellStyle name="Wrap Bold 2 3 2 7 2" xfId="38626" xr:uid="{00000000-0005-0000-0000-0000CAA20000}"/>
    <cellStyle name="Wrap Bold 2 3 2 7 2 2" xfId="38627" xr:uid="{00000000-0005-0000-0000-0000CBA20000}"/>
    <cellStyle name="Wrap Bold 2 3 2 7 3" xfId="38628" xr:uid="{00000000-0005-0000-0000-0000CCA20000}"/>
    <cellStyle name="Wrap Bold 2 3 2 7 3 2" xfId="38629" xr:uid="{00000000-0005-0000-0000-0000CDA20000}"/>
    <cellStyle name="Wrap Bold 2 3 2 7 4" xfId="38630" xr:uid="{00000000-0005-0000-0000-0000CEA20000}"/>
    <cellStyle name="Wrap Bold 2 3 2 7 4 2" xfId="38631" xr:uid="{00000000-0005-0000-0000-0000CFA20000}"/>
    <cellStyle name="Wrap Bold 2 3 2 7 5" xfId="38632" xr:uid="{00000000-0005-0000-0000-0000D0A20000}"/>
    <cellStyle name="Wrap Bold 2 3 2 7 5 2" xfId="38633" xr:uid="{00000000-0005-0000-0000-0000D1A20000}"/>
    <cellStyle name="Wrap Bold 2 3 2 7 6" xfId="38634" xr:uid="{00000000-0005-0000-0000-0000D2A20000}"/>
    <cellStyle name="Wrap Bold 2 3 2 7 6 2" xfId="38635" xr:uid="{00000000-0005-0000-0000-0000D3A20000}"/>
    <cellStyle name="Wrap Bold 2 3 2 7 7" xfId="38636" xr:uid="{00000000-0005-0000-0000-0000D4A20000}"/>
    <cellStyle name="Wrap Bold 2 3 2 7 7 2" xfId="38637" xr:uid="{00000000-0005-0000-0000-0000D5A20000}"/>
    <cellStyle name="Wrap Bold 2 3 2 7 8" xfId="38638" xr:uid="{00000000-0005-0000-0000-0000D6A20000}"/>
    <cellStyle name="Wrap Bold 2 3 2 7 8 2" xfId="38639" xr:uid="{00000000-0005-0000-0000-0000D7A20000}"/>
    <cellStyle name="Wrap Bold 2 3 2 7 9" xfId="38640" xr:uid="{00000000-0005-0000-0000-0000D8A20000}"/>
    <cellStyle name="Wrap Bold 2 3 2 7 9 2" xfId="38641" xr:uid="{00000000-0005-0000-0000-0000D9A20000}"/>
    <cellStyle name="Wrap Bold 2 3 2 8" xfId="38642" xr:uid="{00000000-0005-0000-0000-0000DAA20000}"/>
    <cellStyle name="Wrap Bold 2 3 2 8 10" xfId="38643" xr:uid="{00000000-0005-0000-0000-0000DBA20000}"/>
    <cellStyle name="Wrap Bold 2 3 2 8 2" xfId="38644" xr:uid="{00000000-0005-0000-0000-0000DCA20000}"/>
    <cellStyle name="Wrap Bold 2 3 2 8 2 2" xfId="38645" xr:uid="{00000000-0005-0000-0000-0000DDA20000}"/>
    <cellStyle name="Wrap Bold 2 3 2 8 3" xfId="38646" xr:uid="{00000000-0005-0000-0000-0000DEA20000}"/>
    <cellStyle name="Wrap Bold 2 3 2 8 3 2" xfId="38647" xr:uid="{00000000-0005-0000-0000-0000DFA20000}"/>
    <cellStyle name="Wrap Bold 2 3 2 8 4" xfId="38648" xr:uid="{00000000-0005-0000-0000-0000E0A20000}"/>
    <cellStyle name="Wrap Bold 2 3 2 8 4 2" xfId="38649" xr:uid="{00000000-0005-0000-0000-0000E1A20000}"/>
    <cellStyle name="Wrap Bold 2 3 2 8 5" xfId="38650" xr:uid="{00000000-0005-0000-0000-0000E2A20000}"/>
    <cellStyle name="Wrap Bold 2 3 2 8 5 2" xfId="38651" xr:uid="{00000000-0005-0000-0000-0000E3A20000}"/>
    <cellStyle name="Wrap Bold 2 3 2 8 6" xfId="38652" xr:uid="{00000000-0005-0000-0000-0000E4A20000}"/>
    <cellStyle name="Wrap Bold 2 3 2 8 6 2" xfId="38653" xr:uid="{00000000-0005-0000-0000-0000E5A20000}"/>
    <cellStyle name="Wrap Bold 2 3 2 8 7" xfId="38654" xr:uid="{00000000-0005-0000-0000-0000E6A20000}"/>
    <cellStyle name="Wrap Bold 2 3 2 8 7 2" xfId="38655" xr:uid="{00000000-0005-0000-0000-0000E7A20000}"/>
    <cellStyle name="Wrap Bold 2 3 2 8 8" xfId="38656" xr:uid="{00000000-0005-0000-0000-0000E8A20000}"/>
    <cellStyle name="Wrap Bold 2 3 2 8 8 2" xfId="38657" xr:uid="{00000000-0005-0000-0000-0000E9A20000}"/>
    <cellStyle name="Wrap Bold 2 3 2 8 9" xfId="38658" xr:uid="{00000000-0005-0000-0000-0000EAA20000}"/>
    <cellStyle name="Wrap Bold 2 3 2 8 9 2" xfId="38659" xr:uid="{00000000-0005-0000-0000-0000EBA20000}"/>
    <cellStyle name="Wrap Bold 2 3 2 9" xfId="38660" xr:uid="{00000000-0005-0000-0000-0000ECA20000}"/>
    <cellStyle name="Wrap Bold 2 3 2 9 10" xfId="38661" xr:uid="{00000000-0005-0000-0000-0000EDA20000}"/>
    <cellStyle name="Wrap Bold 2 3 2 9 2" xfId="38662" xr:uid="{00000000-0005-0000-0000-0000EEA20000}"/>
    <cellStyle name="Wrap Bold 2 3 2 9 2 2" xfId="38663" xr:uid="{00000000-0005-0000-0000-0000EFA20000}"/>
    <cellStyle name="Wrap Bold 2 3 2 9 3" xfId="38664" xr:uid="{00000000-0005-0000-0000-0000F0A20000}"/>
    <cellStyle name="Wrap Bold 2 3 2 9 3 2" xfId="38665" xr:uid="{00000000-0005-0000-0000-0000F1A20000}"/>
    <cellStyle name="Wrap Bold 2 3 2 9 4" xfId="38666" xr:uid="{00000000-0005-0000-0000-0000F2A20000}"/>
    <cellStyle name="Wrap Bold 2 3 2 9 4 2" xfId="38667" xr:uid="{00000000-0005-0000-0000-0000F3A20000}"/>
    <cellStyle name="Wrap Bold 2 3 2 9 5" xfId="38668" xr:uid="{00000000-0005-0000-0000-0000F4A20000}"/>
    <cellStyle name="Wrap Bold 2 3 2 9 5 2" xfId="38669" xr:uid="{00000000-0005-0000-0000-0000F5A20000}"/>
    <cellStyle name="Wrap Bold 2 3 2 9 6" xfId="38670" xr:uid="{00000000-0005-0000-0000-0000F6A20000}"/>
    <cellStyle name="Wrap Bold 2 3 2 9 6 2" xfId="38671" xr:uid="{00000000-0005-0000-0000-0000F7A20000}"/>
    <cellStyle name="Wrap Bold 2 3 2 9 7" xfId="38672" xr:uid="{00000000-0005-0000-0000-0000F8A20000}"/>
    <cellStyle name="Wrap Bold 2 3 2 9 7 2" xfId="38673" xr:uid="{00000000-0005-0000-0000-0000F9A20000}"/>
    <cellStyle name="Wrap Bold 2 3 2 9 8" xfId="38674" xr:uid="{00000000-0005-0000-0000-0000FAA20000}"/>
    <cellStyle name="Wrap Bold 2 3 2 9 8 2" xfId="38675" xr:uid="{00000000-0005-0000-0000-0000FBA20000}"/>
    <cellStyle name="Wrap Bold 2 3 2 9 9" xfId="38676" xr:uid="{00000000-0005-0000-0000-0000FCA20000}"/>
    <cellStyle name="Wrap Bold 2 3 2 9 9 2" xfId="38677" xr:uid="{00000000-0005-0000-0000-0000FDA20000}"/>
    <cellStyle name="Wrap Bold 2 3 3" xfId="38678" xr:uid="{00000000-0005-0000-0000-0000FEA20000}"/>
    <cellStyle name="Wrap Bold 2 3 3 10" xfId="38679" xr:uid="{00000000-0005-0000-0000-0000FFA20000}"/>
    <cellStyle name="Wrap Bold 2 3 3 10 10" xfId="38680" xr:uid="{00000000-0005-0000-0000-000000A30000}"/>
    <cellStyle name="Wrap Bold 2 3 3 10 2" xfId="38681" xr:uid="{00000000-0005-0000-0000-000001A30000}"/>
    <cellStyle name="Wrap Bold 2 3 3 10 2 2" xfId="38682" xr:uid="{00000000-0005-0000-0000-000002A30000}"/>
    <cellStyle name="Wrap Bold 2 3 3 10 3" xfId="38683" xr:uid="{00000000-0005-0000-0000-000003A30000}"/>
    <cellStyle name="Wrap Bold 2 3 3 10 3 2" xfId="38684" xr:uid="{00000000-0005-0000-0000-000004A30000}"/>
    <cellStyle name="Wrap Bold 2 3 3 10 4" xfId="38685" xr:uid="{00000000-0005-0000-0000-000005A30000}"/>
    <cellStyle name="Wrap Bold 2 3 3 10 4 2" xfId="38686" xr:uid="{00000000-0005-0000-0000-000006A30000}"/>
    <cellStyle name="Wrap Bold 2 3 3 10 5" xfId="38687" xr:uid="{00000000-0005-0000-0000-000007A30000}"/>
    <cellStyle name="Wrap Bold 2 3 3 10 5 2" xfId="38688" xr:uid="{00000000-0005-0000-0000-000008A30000}"/>
    <cellStyle name="Wrap Bold 2 3 3 10 6" xfId="38689" xr:uid="{00000000-0005-0000-0000-000009A30000}"/>
    <cellStyle name="Wrap Bold 2 3 3 10 6 2" xfId="38690" xr:uid="{00000000-0005-0000-0000-00000AA30000}"/>
    <cellStyle name="Wrap Bold 2 3 3 10 7" xfId="38691" xr:uid="{00000000-0005-0000-0000-00000BA30000}"/>
    <cellStyle name="Wrap Bold 2 3 3 10 7 2" xfId="38692" xr:uid="{00000000-0005-0000-0000-00000CA30000}"/>
    <cellStyle name="Wrap Bold 2 3 3 10 8" xfId="38693" xr:uid="{00000000-0005-0000-0000-00000DA30000}"/>
    <cellStyle name="Wrap Bold 2 3 3 10 8 2" xfId="38694" xr:uid="{00000000-0005-0000-0000-00000EA30000}"/>
    <cellStyle name="Wrap Bold 2 3 3 10 9" xfId="38695" xr:uid="{00000000-0005-0000-0000-00000FA30000}"/>
    <cellStyle name="Wrap Bold 2 3 3 10 9 2" xfId="38696" xr:uid="{00000000-0005-0000-0000-000010A30000}"/>
    <cellStyle name="Wrap Bold 2 3 3 11" xfId="38697" xr:uid="{00000000-0005-0000-0000-000011A30000}"/>
    <cellStyle name="Wrap Bold 2 3 3 11 2" xfId="38698" xr:uid="{00000000-0005-0000-0000-000012A30000}"/>
    <cellStyle name="Wrap Bold 2 3 3 11 2 2" xfId="38699" xr:uid="{00000000-0005-0000-0000-000013A30000}"/>
    <cellStyle name="Wrap Bold 2 3 3 11 3" xfId="38700" xr:uid="{00000000-0005-0000-0000-000014A30000}"/>
    <cellStyle name="Wrap Bold 2 3 3 11 3 2" xfId="38701" xr:uid="{00000000-0005-0000-0000-000015A30000}"/>
    <cellStyle name="Wrap Bold 2 3 3 11 4" xfId="38702" xr:uid="{00000000-0005-0000-0000-000016A30000}"/>
    <cellStyle name="Wrap Bold 2 3 3 11 4 2" xfId="38703" xr:uid="{00000000-0005-0000-0000-000017A30000}"/>
    <cellStyle name="Wrap Bold 2 3 3 11 5" xfId="38704" xr:uid="{00000000-0005-0000-0000-000018A30000}"/>
    <cellStyle name="Wrap Bold 2 3 3 11 5 2" xfId="38705" xr:uid="{00000000-0005-0000-0000-000019A30000}"/>
    <cellStyle name="Wrap Bold 2 3 3 11 6" xfId="38706" xr:uid="{00000000-0005-0000-0000-00001AA30000}"/>
    <cellStyle name="Wrap Bold 2 3 3 11 6 2" xfId="38707" xr:uid="{00000000-0005-0000-0000-00001BA30000}"/>
    <cellStyle name="Wrap Bold 2 3 3 11 7" xfId="38708" xr:uid="{00000000-0005-0000-0000-00001CA30000}"/>
    <cellStyle name="Wrap Bold 2 3 3 11 7 2" xfId="38709" xr:uid="{00000000-0005-0000-0000-00001DA30000}"/>
    <cellStyle name="Wrap Bold 2 3 3 11 8" xfId="38710" xr:uid="{00000000-0005-0000-0000-00001EA30000}"/>
    <cellStyle name="Wrap Bold 2 3 3 11 8 2" xfId="38711" xr:uid="{00000000-0005-0000-0000-00001FA30000}"/>
    <cellStyle name="Wrap Bold 2 3 3 11 9" xfId="38712" xr:uid="{00000000-0005-0000-0000-000020A30000}"/>
    <cellStyle name="Wrap Bold 2 3 3 2" xfId="38713" xr:uid="{00000000-0005-0000-0000-000021A30000}"/>
    <cellStyle name="Wrap Bold 2 3 3 2 10" xfId="38714" xr:uid="{00000000-0005-0000-0000-000022A30000}"/>
    <cellStyle name="Wrap Bold 2 3 3 2 2" xfId="38715" xr:uid="{00000000-0005-0000-0000-000023A30000}"/>
    <cellStyle name="Wrap Bold 2 3 3 2 2 2" xfId="38716" xr:uid="{00000000-0005-0000-0000-000024A30000}"/>
    <cellStyle name="Wrap Bold 2 3 3 2 3" xfId="38717" xr:uid="{00000000-0005-0000-0000-000025A30000}"/>
    <cellStyle name="Wrap Bold 2 3 3 2 3 2" xfId="38718" xr:uid="{00000000-0005-0000-0000-000026A30000}"/>
    <cellStyle name="Wrap Bold 2 3 3 2 4" xfId="38719" xr:uid="{00000000-0005-0000-0000-000027A30000}"/>
    <cellStyle name="Wrap Bold 2 3 3 2 4 2" xfId="38720" xr:uid="{00000000-0005-0000-0000-000028A30000}"/>
    <cellStyle name="Wrap Bold 2 3 3 2 5" xfId="38721" xr:uid="{00000000-0005-0000-0000-000029A30000}"/>
    <cellStyle name="Wrap Bold 2 3 3 2 5 2" xfId="38722" xr:uid="{00000000-0005-0000-0000-00002AA30000}"/>
    <cellStyle name="Wrap Bold 2 3 3 2 6" xfId="38723" xr:uid="{00000000-0005-0000-0000-00002BA30000}"/>
    <cellStyle name="Wrap Bold 2 3 3 2 6 2" xfId="38724" xr:uid="{00000000-0005-0000-0000-00002CA30000}"/>
    <cellStyle name="Wrap Bold 2 3 3 2 7" xfId="38725" xr:uid="{00000000-0005-0000-0000-00002DA30000}"/>
    <cellStyle name="Wrap Bold 2 3 3 2 7 2" xfId="38726" xr:uid="{00000000-0005-0000-0000-00002EA30000}"/>
    <cellStyle name="Wrap Bold 2 3 3 2 8" xfId="38727" xr:uid="{00000000-0005-0000-0000-00002FA30000}"/>
    <cellStyle name="Wrap Bold 2 3 3 2 8 2" xfId="38728" xr:uid="{00000000-0005-0000-0000-000030A30000}"/>
    <cellStyle name="Wrap Bold 2 3 3 2 9" xfId="38729" xr:uid="{00000000-0005-0000-0000-000031A30000}"/>
    <cellStyle name="Wrap Bold 2 3 3 2 9 2" xfId="38730" xr:uid="{00000000-0005-0000-0000-000032A30000}"/>
    <cellStyle name="Wrap Bold 2 3 3 3" xfId="38731" xr:uid="{00000000-0005-0000-0000-000033A30000}"/>
    <cellStyle name="Wrap Bold 2 3 3 3 10" xfId="38732" xr:uid="{00000000-0005-0000-0000-000034A30000}"/>
    <cellStyle name="Wrap Bold 2 3 3 3 2" xfId="38733" xr:uid="{00000000-0005-0000-0000-000035A30000}"/>
    <cellStyle name="Wrap Bold 2 3 3 3 2 2" xfId="38734" xr:uid="{00000000-0005-0000-0000-000036A30000}"/>
    <cellStyle name="Wrap Bold 2 3 3 3 3" xfId="38735" xr:uid="{00000000-0005-0000-0000-000037A30000}"/>
    <cellStyle name="Wrap Bold 2 3 3 3 3 2" xfId="38736" xr:uid="{00000000-0005-0000-0000-000038A30000}"/>
    <cellStyle name="Wrap Bold 2 3 3 3 4" xfId="38737" xr:uid="{00000000-0005-0000-0000-000039A30000}"/>
    <cellStyle name="Wrap Bold 2 3 3 3 4 2" xfId="38738" xr:uid="{00000000-0005-0000-0000-00003AA30000}"/>
    <cellStyle name="Wrap Bold 2 3 3 3 5" xfId="38739" xr:uid="{00000000-0005-0000-0000-00003BA30000}"/>
    <cellStyle name="Wrap Bold 2 3 3 3 5 2" xfId="38740" xr:uid="{00000000-0005-0000-0000-00003CA30000}"/>
    <cellStyle name="Wrap Bold 2 3 3 3 6" xfId="38741" xr:uid="{00000000-0005-0000-0000-00003DA30000}"/>
    <cellStyle name="Wrap Bold 2 3 3 3 6 2" xfId="38742" xr:uid="{00000000-0005-0000-0000-00003EA30000}"/>
    <cellStyle name="Wrap Bold 2 3 3 3 7" xfId="38743" xr:uid="{00000000-0005-0000-0000-00003FA30000}"/>
    <cellStyle name="Wrap Bold 2 3 3 3 7 2" xfId="38744" xr:uid="{00000000-0005-0000-0000-000040A30000}"/>
    <cellStyle name="Wrap Bold 2 3 3 3 8" xfId="38745" xr:uid="{00000000-0005-0000-0000-000041A30000}"/>
    <cellStyle name="Wrap Bold 2 3 3 3 8 2" xfId="38746" xr:uid="{00000000-0005-0000-0000-000042A30000}"/>
    <cellStyle name="Wrap Bold 2 3 3 3 9" xfId="38747" xr:uid="{00000000-0005-0000-0000-000043A30000}"/>
    <cellStyle name="Wrap Bold 2 3 3 3 9 2" xfId="38748" xr:uid="{00000000-0005-0000-0000-000044A30000}"/>
    <cellStyle name="Wrap Bold 2 3 3 4" xfId="38749" xr:uid="{00000000-0005-0000-0000-000045A30000}"/>
    <cellStyle name="Wrap Bold 2 3 3 4 10" xfId="38750" xr:uid="{00000000-0005-0000-0000-000046A30000}"/>
    <cellStyle name="Wrap Bold 2 3 3 4 2" xfId="38751" xr:uid="{00000000-0005-0000-0000-000047A30000}"/>
    <cellStyle name="Wrap Bold 2 3 3 4 2 2" xfId="38752" xr:uid="{00000000-0005-0000-0000-000048A30000}"/>
    <cellStyle name="Wrap Bold 2 3 3 4 3" xfId="38753" xr:uid="{00000000-0005-0000-0000-000049A30000}"/>
    <cellStyle name="Wrap Bold 2 3 3 4 3 2" xfId="38754" xr:uid="{00000000-0005-0000-0000-00004AA30000}"/>
    <cellStyle name="Wrap Bold 2 3 3 4 4" xfId="38755" xr:uid="{00000000-0005-0000-0000-00004BA30000}"/>
    <cellStyle name="Wrap Bold 2 3 3 4 4 2" xfId="38756" xr:uid="{00000000-0005-0000-0000-00004CA30000}"/>
    <cellStyle name="Wrap Bold 2 3 3 4 5" xfId="38757" xr:uid="{00000000-0005-0000-0000-00004DA30000}"/>
    <cellStyle name="Wrap Bold 2 3 3 4 5 2" xfId="38758" xr:uid="{00000000-0005-0000-0000-00004EA30000}"/>
    <cellStyle name="Wrap Bold 2 3 3 4 6" xfId="38759" xr:uid="{00000000-0005-0000-0000-00004FA30000}"/>
    <cellStyle name="Wrap Bold 2 3 3 4 6 2" xfId="38760" xr:uid="{00000000-0005-0000-0000-000050A30000}"/>
    <cellStyle name="Wrap Bold 2 3 3 4 7" xfId="38761" xr:uid="{00000000-0005-0000-0000-000051A30000}"/>
    <cellStyle name="Wrap Bold 2 3 3 4 7 2" xfId="38762" xr:uid="{00000000-0005-0000-0000-000052A30000}"/>
    <cellStyle name="Wrap Bold 2 3 3 4 8" xfId="38763" xr:uid="{00000000-0005-0000-0000-000053A30000}"/>
    <cellStyle name="Wrap Bold 2 3 3 4 8 2" xfId="38764" xr:uid="{00000000-0005-0000-0000-000054A30000}"/>
    <cellStyle name="Wrap Bold 2 3 3 4 9" xfId="38765" xr:uid="{00000000-0005-0000-0000-000055A30000}"/>
    <cellStyle name="Wrap Bold 2 3 3 4 9 2" xfId="38766" xr:uid="{00000000-0005-0000-0000-000056A30000}"/>
    <cellStyle name="Wrap Bold 2 3 3 5" xfId="38767" xr:uid="{00000000-0005-0000-0000-000057A30000}"/>
    <cellStyle name="Wrap Bold 2 3 3 5 10" xfId="38768" xr:uid="{00000000-0005-0000-0000-000058A30000}"/>
    <cellStyle name="Wrap Bold 2 3 3 5 2" xfId="38769" xr:uid="{00000000-0005-0000-0000-000059A30000}"/>
    <cellStyle name="Wrap Bold 2 3 3 5 2 2" xfId="38770" xr:uid="{00000000-0005-0000-0000-00005AA30000}"/>
    <cellStyle name="Wrap Bold 2 3 3 5 3" xfId="38771" xr:uid="{00000000-0005-0000-0000-00005BA30000}"/>
    <cellStyle name="Wrap Bold 2 3 3 5 3 2" xfId="38772" xr:uid="{00000000-0005-0000-0000-00005CA30000}"/>
    <cellStyle name="Wrap Bold 2 3 3 5 4" xfId="38773" xr:uid="{00000000-0005-0000-0000-00005DA30000}"/>
    <cellStyle name="Wrap Bold 2 3 3 5 4 2" xfId="38774" xr:uid="{00000000-0005-0000-0000-00005EA30000}"/>
    <cellStyle name="Wrap Bold 2 3 3 5 5" xfId="38775" xr:uid="{00000000-0005-0000-0000-00005FA30000}"/>
    <cellStyle name="Wrap Bold 2 3 3 5 5 2" xfId="38776" xr:uid="{00000000-0005-0000-0000-000060A30000}"/>
    <cellStyle name="Wrap Bold 2 3 3 5 6" xfId="38777" xr:uid="{00000000-0005-0000-0000-000061A30000}"/>
    <cellStyle name="Wrap Bold 2 3 3 5 6 2" xfId="38778" xr:uid="{00000000-0005-0000-0000-000062A30000}"/>
    <cellStyle name="Wrap Bold 2 3 3 5 7" xfId="38779" xr:uid="{00000000-0005-0000-0000-000063A30000}"/>
    <cellStyle name="Wrap Bold 2 3 3 5 7 2" xfId="38780" xr:uid="{00000000-0005-0000-0000-000064A30000}"/>
    <cellStyle name="Wrap Bold 2 3 3 5 8" xfId="38781" xr:uid="{00000000-0005-0000-0000-000065A30000}"/>
    <cellStyle name="Wrap Bold 2 3 3 5 8 2" xfId="38782" xr:uid="{00000000-0005-0000-0000-000066A30000}"/>
    <cellStyle name="Wrap Bold 2 3 3 5 9" xfId="38783" xr:uid="{00000000-0005-0000-0000-000067A30000}"/>
    <cellStyle name="Wrap Bold 2 3 3 5 9 2" xfId="38784" xr:uid="{00000000-0005-0000-0000-000068A30000}"/>
    <cellStyle name="Wrap Bold 2 3 3 6" xfId="38785" xr:uid="{00000000-0005-0000-0000-000069A30000}"/>
    <cellStyle name="Wrap Bold 2 3 3 6 10" xfId="38786" xr:uid="{00000000-0005-0000-0000-00006AA30000}"/>
    <cellStyle name="Wrap Bold 2 3 3 6 2" xfId="38787" xr:uid="{00000000-0005-0000-0000-00006BA30000}"/>
    <cellStyle name="Wrap Bold 2 3 3 6 2 2" xfId="38788" xr:uid="{00000000-0005-0000-0000-00006CA30000}"/>
    <cellStyle name="Wrap Bold 2 3 3 6 3" xfId="38789" xr:uid="{00000000-0005-0000-0000-00006DA30000}"/>
    <cellStyle name="Wrap Bold 2 3 3 6 3 2" xfId="38790" xr:uid="{00000000-0005-0000-0000-00006EA30000}"/>
    <cellStyle name="Wrap Bold 2 3 3 6 4" xfId="38791" xr:uid="{00000000-0005-0000-0000-00006FA30000}"/>
    <cellStyle name="Wrap Bold 2 3 3 6 4 2" xfId="38792" xr:uid="{00000000-0005-0000-0000-000070A30000}"/>
    <cellStyle name="Wrap Bold 2 3 3 6 5" xfId="38793" xr:uid="{00000000-0005-0000-0000-000071A30000}"/>
    <cellStyle name="Wrap Bold 2 3 3 6 5 2" xfId="38794" xr:uid="{00000000-0005-0000-0000-000072A30000}"/>
    <cellStyle name="Wrap Bold 2 3 3 6 6" xfId="38795" xr:uid="{00000000-0005-0000-0000-000073A30000}"/>
    <cellStyle name="Wrap Bold 2 3 3 6 6 2" xfId="38796" xr:uid="{00000000-0005-0000-0000-000074A30000}"/>
    <cellStyle name="Wrap Bold 2 3 3 6 7" xfId="38797" xr:uid="{00000000-0005-0000-0000-000075A30000}"/>
    <cellStyle name="Wrap Bold 2 3 3 6 7 2" xfId="38798" xr:uid="{00000000-0005-0000-0000-000076A30000}"/>
    <cellStyle name="Wrap Bold 2 3 3 6 8" xfId="38799" xr:uid="{00000000-0005-0000-0000-000077A30000}"/>
    <cellStyle name="Wrap Bold 2 3 3 6 8 2" xfId="38800" xr:uid="{00000000-0005-0000-0000-000078A30000}"/>
    <cellStyle name="Wrap Bold 2 3 3 6 9" xfId="38801" xr:uid="{00000000-0005-0000-0000-000079A30000}"/>
    <cellStyle name="Wrap Bold 2 3 3 6 9 2" xfId="38802" xr:uid="{00000000-0005-0000-0000-00007AA30000}"/>
    <cellStyle name="Wrap Bold 2 3 3 7" xfId="38803" xr:uid="{00000000-0005-0000-0000-00007BA30000}"/>
    <cellStyle name="Wrap Bold 2 3 3 7 10" xfId="38804" xr:uid="{00000000-0005-0000-0000-00007CA30000}"/>
    <cellStyle name="Wrap Bold 2 3 3 7 2" xfId="38805" xr:uid="{00000000-0005-0000-0000-00007DA30000}"/>
    <cellStyle name="Wrap Bold 2 3 3 7 2 2" xfId="38806" xr:uid="{00000000-0005-0000-0000-00007EA30000}"/>
    <cellStyle name="Wrap Bold 2 3 3 7 3" xfId="38807" xr:uid="{00000000-0005-0000-0000-00007FA30000}"/>
    <cellStyle name="Wrap Bold 2 3 3 7 3 2" xfId="38808" xr:uid="{00000000-0005-0000-0000-000080A30000}"/>
    <cellStyle name="Wrap Bold 2 3 3 7 4" xfId="38809" xr:uid="{00000000-0005-0000-0000-000081A30000}"/>
    <cellStyle name="Wrap Bold 2 3 3 7 4 2" xfId="38810" xr:uid="{00000000-0005-0000-0000-000082A30000}"/>
    <cellStyle name="Wrap Bold 2 3 3 7 5" xfId="38811" xr:uid="{00000000-0005-0000-0000-000083A30000}"/>
    <cellStyle name="Wrap Bold 2 3 3 7 5 2" xfId="38812" xr:uid="{00000000-0005-0000-0000-000084A30000}"/>
    <cellStyle name="Wrap Bold 2 3 3 7 6" xfId="38813" xr:uid="{00000000-0005-0000-0000-000085A30000}"/>
    <cellStyle name="Wrap Bold 2 3 3 7 6 2" xfId="38814" xr:uid="{00000000-0005-0000-0000-000086A30000}"/>
    <cellStyle name="Wrap Bold 2 3 3 7 7" xfId="38815" xr:uid="{00000000-0005-0000-0000-000087A30000}"/>
    <cellStyle name="Wrap Bold 2 3 3 7 7 2" xfId="38816" xr:uid="{00000000-0005-0000-0000-000088A30000}"/>
    <cellStyle name="Wrap Bold 2 3 3 7 8" xfId="38817" xr:uid="{00000000-0005-0000-0000-000089A30000}"/>
    <cellStyle name="Wrap Bold 2 3 3 7 8 2" xfId="38818" xr:uid="{00000000-0005-0000-0000-00008AA30000}"/>
    <cellStyle name="Wrap Bold 2 3 3 7 9" xfId="38819" xr:uid="{00000000-0005-0000-0000-00008BA30000}"/>
    <cellStyle name="Wrap Bold 2 3 3 7 9 2" xfId="38820" xr:uid="{00000000-0005-0000-0000-00008CA30000}"/>
    <cellStyle name="Wrap Bold 2 3 3 8" xfId="38821" xr:uid="{00000000-0005-0000-0000-00008DA30000}"/>
    <cellStyle name="Wrap Bold 2 3 3 8 10" xfId="38822" xr:uid="{00000000-0005-0000-0000-00008EA30000}"/>
    <cellStyle name="Wrap Bold 2 3 3 8 2" xfId="38823" xr:uid="{00000000-0005-0000-0000-00008FA30000}"/>
    <cellStyle name="Wrap Bold 2 3 3 8 2 2" xfId="38824" xr:uid="{00000000-0005-0000-0000-000090A30000}"/>
    <cellStyle name="Wrap Bold 2 3 3 8 3" xfId="38825" xr:uid="{00000000-0005-0000-0000-000091A30000}"/>
    <cellStyle name="Wrap Bold 2 3 3 8 3 2" xfId="38826" xr:uid="{00000000-0005-0000-0000-000092A30000}"/>
    <cellStyle name="Wrap Bold 2 3 3 8 4" xfId="38827" xr:uid="{00000000-0005-0000-0000-000093A30000}"/>
    <cellStyle name="Wrap Bold 2 3 3 8 4 2" xfId="38828" xr:uid="{00000000-0005-0000-0000-000094A30000}"/>
    <cellStyle name="Wrap Bold 2 3 3 8 5" xfId="38829" xr:uid="{00000000-0005-0000-0000-000095A30000}"/>
    <cellStyle name="Wrap Bold 2 3 3 8 5 2" xfId="38830" xr:uid="{00000000-0005-0000-0000-000096A30000}"/>
    <cellStyle name="Wrap Bold 2 3 3 8 6" xfId="38831" xr:uid="{00000000-0005-0000-0000-000097A30000}"/>
    <cellStyle name="Wrap Bold 2 3 3 8 6 2" xfId="38832" xr:uid="{00000000-0005-0000-0000-000098A30000}"/>
    <cellStyle name="Wrap Bold 2 3 3 8 7" xfId="38833" xr:uid="{00000000-0005-0000-0000-000099A30000}"/>
    <cellStyle name="Wrap Bold 2 3 3 8 7 2" xfId="38834" xr:uid="{00000000-0005-0000-0000-00009AA30000}"/>
    <cellStyle name="Wrap Bold 2 3 3 8 8" xfId="38835" xr:uid="{00000000-0005-0000-0000-00009BA30000}"/>
    <cellStyle name="Wrap Bold 2 3 3 8 8 2" xfId="38836" xr:uid="{00000000-0005-0000-0000-00009CA30000}"/>
    <cellStyle name="Wrap Bold 2 3 3 8 9" xfId="38837" xr:uid="{00000000-0005-0000-0000-00009DA30000}"/>
    <cellStyle name="Wrap Bold 2 3 3 8 9 2" xfId="38838" xr:uid="{00000000-0005-0000-0000-00009EA30000}"/>
    <cellStyle name="Wrap Bold 2 3 3 9" xfId="38839" xr:uid="{00000000-0005-0000-0000-00009FA30000}"/>
    <cellStyle name="Wrap Bold 2 3 3 9 10" xfId="38840" xr:uid="{00000000-0005-0000-0000-0000A0A30000}"/>
    <cellStyle name="Wrap Bold 2 3 3 9 2" xfId="38841" xr:uid="{00000000-0005-0000-0000-0000A1A30000}"/>
    <cellStyle name="Wrap Bold 2 3 3 9 2 2" xfId="38842" xr:uid="{00000000-0005-0000-0000-0000A2A30000}"/>
    <cellStyle name="Wrap Bold 2 3 3 9 3" xfId="38843" xr:uid="{00000000-0005-0000-0000-0000A3A30000}"/>
    <cellStyle name="Wrap Bold 2 3 3 9 3 2" xfId="38844" xr:uid="{00000000-0005-0000-0000-0000A4A30000}"/>
    <cellStyle name="Wrap Bold 2 3 3 9 4" xfId="38845" xr:uid="{00000000-0005-0000-0000-0000A5A30000}"/>
    <cellStyle name="Wrap Bold 2 3 3 9 4 2" xfId="38846" xr:uid="{00000000-0005-0000-0000-0000A6A30000}"/>
    <cellStyle name="Wrap Bold 2 3 3 9 5" xfId="38847" xr:uid="{00000000-0005-0000-0000-0000A7A30000}"/>
    <cellStyle name="Wrap Bold 2 3 3 9 5 2" xfId="38848" xr:uid="{00000000-0005-0000-0000-0000A8A30000}"/>
    <cellStyle name="Wrap Bold 2 3 3 9 6" xfId="38849" xr:uid="{00000000-0005-0000-0000-0000A9A30000}"/>
    <cellStyle name="Wrap Bold 2 3 3 9 6 2" xfId="38850" xr:uid="{00000000-0005-0000-0000-0000AAA30000}"/>
    <cellStyle name="Wrap Bold 2 3 3 9 7" xfId="38851" xr:uid="{00000000-0005-0000-0000-0000ABA30000}"/>
    <cellStyle name="Wrap Bold 2 3 3 9 7 2" xfId="38852" xr:uid="{00000000-0005-0000-0000-0000ACA30000}"/>
    <cellStyle name="Wrap Bold 2 3 3 9 8" xfId="38853" xr:uid="{00000000-0005-0000-0000-0000ADA30000}"/>
    <cellStyle name="Wrap Bold 2 3 3 9 8 2" xfId="38854" xr:uid="{00000000-0005-0000-0000-0000AEA30000}"/>
    <cellStyle name="Wrap Bold 2 3 3 9 9" xfId="38855" xr:uid="{00000000-0005-0000-0000-0000AFA30000}"/>
    <cellStyle name="Wrap Bold 2 3 3 9 9 2" xfId="38856" xr:uid="{00000000-0005-0000-0000-0000B0A30000}"/>
    <cellStyle name="Wrap Bold 2 3 4" xfId="38857" xr:uid="{00000000-0005-0000-0000-0000B1A30000}"/>
    <cellStyle name="Wrap Bold 2 3 4 10" xfId="38858" xr:uid="{00000000-0005-0000-0000-0000B2A30000}"/>
    <cellStyle name="Wrap Bold 2 3 4 10 2" xfId="38859" xr:uid="{00000000-0005-0000-0000-0000B3A30000}"/>
    <cellStyle name="Wrap Bold 2 3 4 10 2 2" xfId="38860" xr:uid="{00000000-0005-0000-0000-0000B4A30000}"/>
    <cellStyle name="Wrap Bold 2 3 4 10 3" xfId="38861" xr:uid="{00000000-0005-0000-0000-0000B5A30000}"/>
    <cellStyle name="Wrap Bold 2 3 4 10 3 2" xfId="38862" xr:uid="{00000000-0005-0000-0000-0000B6A30000}"/>
    <cellStyle name="Wrap Bold 2 3 4 10 4" xfId="38863" xr:uid="{00000000-0005-0000-0000-0000B7A30000}"/>
    <cellStyle name="Wrap Bold 2 3 4 10 4 2" xfId="38864" xr:uid="{00000000-0005-0000-0000-0000B8A30000}"/>
    <cellStyle name="Wrap Bold 2 3 4 10 5" xfId="38865" xr:uid="{00000000-0005-0000-0000-0000B9A30000}"/>
    <cellStyle name="Wrap Bold 2 3 4 10 5 2" xfId="38866" xr:uid="{00000000-0005-0000-0000-0000BAA30000}"/>
    <cellStyle name="Wrap Bold 2 3 4 10 6" xfId="38867" xr:uid="{00000000-0005-0000-0000-0000BBA30000}"/>
    <cellStyle name="Wrap Bold 2 3 4 10 6 2" xfId="38868" xr:uid="{00000000-0005-0000-0000-0000BCA30000}"/>
    <cellStyle name="Wrap Bold 2 3 4 10 7" xfId="38869" xr:uid="{00000000-0005-0000-0000-0000BDA30000}"/>
    <cellStyle name="Wrap Bold 2 3 4 10 7 2" xfId="38870" xr:uid="{00000000-0005-0000-0000-0000BEA30000}"/>
    <cellStyle name="Wrap Bold 2 3 4 10 8" xfId="38871" xr:uid="{00000000-0005-0000-0000-0000BFA30000}"/>
    <cellStyle name="Wrap Bold 2 3 4 10 8 2" xfId="38872" xr:uid="{00000000-0005-0000-0000-0000C0A30000}"/>
    <cellStyle name="Wrap Bold 2 3 4 10 9" xfId="38873" xr:uid="{00000000-0005-0000-0000-0000C1A30000}"/>
    <cellStyle name="Wrap Bold 2 3 4 11" xfId="38874" xr:uid="{00000000-0005-0000-0000-0000C2A30000}"/>
    <cellStyle name="Wrap Bold 2 3 4 11 2" xfId="38875" xr:uid="{00000000-0005-0000-0000-0000C3A30000}"/>
    <cellStyle name="Wrap Bold 2 3 4 12" xfId="38876" xr:uid="{00000000-0005-0000-0000-0000C4A30000}"/>
    <cellStyle name="Wrap Bold 2 3 4 12 2" xfId="38877" xr:uid="{00000000-0005-0000-0000-0000C5A30000}"/>
    <cellStyle name="Wrap Bold 2 3 4 13" xfId="38878" xr:uid="{00000000-0005-0000-0000-0000C6A30000}"/>
    <cellStyle name="Wrap Bold 2 3 4 13 2" xfId="38879" xr:uid="{00000000-0005-0000-0000-0000C7A30000}"/>
    <cellStyle name="Wrap Bold 2 3 4 14" xfId="38880" xr:uid="{00000000-0005-0000-0000-0000C8A30000}"/>
    <cellStyle name="Wrap Bold 2 3 4 14 2" xfId="38881" xr:uid="{00000000-0005-0000-0000-0000C9A30000}"/>
    <cellStyle name="Wrap Bold 2 3 4 15" xfId="38882" xr:uid="{00000000-0005-0000-0000-0000CAA30000}"/>
    <cellStyle name="Wrap Bold 2 3 4 15 2" xfId="38883" xr:uid="{00000000-0005-0000-0000-0000CBA30000}"/>
    <cellStyle name="Wrap Bold 2 3 4 16" xfId="38884" xr:uid="{00000000-0005-0000-0000-0000CCA30000}"/>
    <cellStyle name="Wrap Bold 2 3 4 16 2" xfId="38885" xr:uid="{00000000-0005-0000-0000-0000CDA30000}"/>
    <cellStyle name="Wrap Bold 2 3 4 17" xfId="38886" xr:uid="{00000000-0005-0000-0000-0000CEA30000}"/>
    <cellStyle name="Wrap Bold 2 3 4 17 2" xfId="38887" xr:uid="{00000000-0005-0000-0000-0000CFA30000}"/>
    <cellStyle name="Wrap Bold 2 3 4 18" xfId="38888" xr:uid="{00000000-0005-0000-0000-0000D0A30000}"/>
    <cellStyle name="Wrap Bold 2 3 4 2" xfId="38889" xr:uid="{00000000-0005-0000-0000-0000D1A30000}"/>
    <cellStyle name="Wrap Bold 2 3 4 2 10" xfId="38890" xr:uid="{00000000-0005-0000-0000-0000D2A30000}"/>
    <cellStyle name="Wrap Bold 2 3 4 2 2" xfId="38891" xr:uid="{00000000-0005-0000-0000-0000D3A30000}"/>
    <cellStyle name="Wrap Bold 2 3 4 2 2 2" xfId="38892" xr:uid="{00000000-0005-0000-0000-0000D4A30000}"/>
    <cellStyle name="Wrap Bold 2 3 4 2 3" xfId="38893" xr:uid="{00000000-0005-0000-0000-0000D5A30000}"/>
    <cellStyle name="Wrap Bold 2 3 4 2 3 2" xfId="38894" xr:uid="{00000000-0005-0000-0000-0000D6A30000}"/>
    <cellStyle name="Wrap Bold 2 3 4 2 4" xfId="38895" xr:uid="{00000000-0005-0000-0000-0000D7A30000}"/>
    <cellStyle name="Wrap Bold 2 3 4 2 4 2" xfId="38896" xr:uid="{00000000-0005-0000-0000-0000D8A30000}"/>
    <cellStyle name="Wrap Bold 2 3 4 2 5" xfId="38897" xr:uid="{00000000-0005-0000-0000-0000D9A30000}"/>
    <cellStyle name="Wrap Bold 2 3 4 2 5 2" xfId="38898" xr:uid="{00000000-0005-0000-0000-0000DAA30000}"/>
    <cellStyle name="Wrap Bold 2 3 4 2 6" xfId="38899" xr:uid="{00000000-0005-0000-0000-0000DBA30000}"/>
    <cellStyle name="Wrap Bold 2 3 4 2 6 2" xfId="38900" xr:uid="{00000000-0005-0000-0000-0000DCA30000}"/>
    <cellStyle name="Wrap Bold 2 3 4 2 7" xfId="38901" xr:uid="{00000000-0005-0000-0000-0000DDA30000}"/>
    <cellStyle name="Wrap Bold 2 3 4 2 7 2" xfId="38902" xr:uid="{00000000-0005-0000-0000-0000DEA30000}"/>
    <cellStyle name="Wrap Bold 2 3 4 2 8" xfId="38903" xr:uid="{00000000-0005-0000-0000-0000DFA30000}"/>
    <cellStyle name="Wrap Bold 2 3 4 2 8 2" xfId="38904" xr:uid="{00000000-0005-0000-0000-0000E0A30000}"/>
    <cellStyle name="Wrap Bold 2 3 4 2 9" xfId="38905" xr:uid="{00000000-0005-0000-0000-0000E1A30000}"/>
    <cellStyle name="Wrap Bold 2 3 4 2 9 2" xfId="38906" xr:uid="{00000000-0005-0000-0000-0000E2A30000}"/>
    <cellStyle name="Wrap Bold 2 3 4 3" xfId="38907" xr:uid="{00000000-0005-0000-0000-0000E3A30000}"/>
    <cellStyle name="Wrap Bold 2 3 4 3 10" xfId="38908" xr:uid="{00000000-0005-0000-0000-0000E4A30000}"/>
    <cellStyle name="Wrap Bold 2 3 4 3 2" xfId="38909" xr:uid="{00000000-0005-0000-0000-0000E5A30000}"/>
    <cellStyle name="Wrap Bold 2 3 4 3 2 2" xfId="38910" xr:uid="{00000000-0005-0000-0000-0000E6A30000}"/>
    <cellStyle name="Wrap Bold 2 3 4 3 3" xfId="38911" xr:uid="{00000000-0005-0000-0000-0000E7A30000}"/>
    <cellStyle name="Wrap Bold 2 3 4 3 3 2" xfId="38912" xr:uid="{00000000-0005-0000-0000-0000E8A30000}"/>
    <cellStyle name="Wrap Bold 2 3 4 3 4" xfId="38913" xr:uid="{00000000-0005-0000-0000-0000E9A30000}"/>
    <cellStyle name="Wrap Bold 2 3 4 3 4 2" xfId="38914" xr:uid="{00000000-0005-0000-0000-0000EAA30000}"/>
    <cellStyle name="Wrap Bold 2 3 4 3 5" xfId="38915" xr:uid="{00000000-0005-0000-0000-0000EBA30000}"/>
    <cellStyle name="Wrap Bold 2 3 4 3 5 2" xfId="38916" xr:uid="{00000000-0005-0000-0000-0000ECA30000}"/>
    <cellStyle name="Wrap Bold 2 3 4 3 6" xfId="38917" xr:uid="{00000000-0005-0000-0000-0000EDA30000}"/>
    <cellStyle name="Wrap Bold 2 3 4 3 6 2" xfId="38918" xr:uid="{00000000-0005-0000-0000-0000EEA30000}"/>
    <cellStyle name="Wrap Bold 2 3 4 3 7" xfId="38919" xr:uid="{00000000-0005-0000-0000-0000EFA30000}"/>
    <cellStyle name="Wrap Bold 2 3 4 3 7 2" xfId="38920" xr:uid="{00000000-0005-0000-0000-0000F0A30000}"/>
    <cellStyle name="Wrap Bold 2 3 4 3 8" xfId="38921" xr:uid="{00000000-0005-0000-0000-0000F1A30000}"/>
    <cellStyle name="Wrap Bold 2 3 4 3 8 2" xfId="38922" xr:uid="{00000000-0005-0000-0000-0000F2A30000}"/>
    <cellStyle name="Wrap Bold 2 3 4 3 9" xfId="38923" xr:uid="{00000000-0005-0000-0000-0000F3A30000}"/>
    <cellStyle name="Wrap Bold 2 3 4 3 9 2" xfId="38924" xr:uid="{00000000-0005-0000-0000-0000F4A30000}"/>
    <cellStyle name="Wrap Bold 2 3 4 4" xfId="38925" xr:uid="{00000000-0005-0000-0000-0000F5A30000}"/>
    <cellStyle name="Wrap Bold 2 3 4 4 10" xfId="38926" xr:uid="{00000000-0005-0000-0000-0000F6A30000}"/>
    <cellStyle name="Wrap Bold 2 3 4 4 2" xfId="38927" xr:uid="{00000000-0005-0000-0000-0000F7A30000}"/>
    <cellStyle name="Wrap Bold 2 3 4 4 2 2" xfId="38928" xr:uid="{00000000-0005-0000-0000-0000F8A30000}"/>
    <cellStyle name="Wrap Bold 2 3 4 4 3" xfId="38929" xr:uid="{00000000-0005-0000-0000-0000F9A30000}"/>
    <cellStyle name="Wrap Bold 2 3 4 4 3 2" xfId="38930" xr:uid="{00000000-0005-0000-0000-0000FAA30000}"/>
    <cellStyle name="Wrap Bold 2 3 4 4 4" xfId="38931" xr:uid="{00000000-0005-0000-0000-0000FBA30000}"/>
    <cellStyle name="Wrap Bold 2 3 4 4 4 2" xfId="38932" xr:uid="{00000000-0005-0000-0000-0000FCA30000}"/>
    <cellStyle name="Wrap Bold 2 3 4 4 5" xfId="38933" xr:uid="{00000000-0005-0000-0000-0000FDA30000}"/>
    <cellStyle name="Wrap Bold 2 3 4 4 5 2" xfId="38934" xr:uid="{00000000-0005-0000-0000-0000FEA30000}"/>
    <cellStyle name="Wrap Bold 2 3 4 4 6" xfId="38935" xr:uid="{00000000-0005-0000-0000-0000FFA30000}"/>
    <cellStyle name="Wrap Bold 2 3 4 4 6 2" xfId="38936" xr:uid="{00000000-0005-0000-0000-000000A40000}"/>
    <cellStyle name="Wrap Bold 2 3 4 4 7" xfId="38937" xr:uid="{00000000-0005-0000-0000-000001A40000}"/>
    <cellStyle name="Wrap Bold 2 3 4 4 7 2" xfId="38938" xr:uid="{00000000-0005-0000-0000-000002A40000}"/>
    <cellStyle name="Wrap Bold 2 3 4 4 8" xfId="38939" xr:uid="{00000000-0005-0000-0000-000003A40000}"/>
    <cellStyle name="Wrap Bold 2 3 4 4 8 2" xfId="38940" xr:uid="{00000000-0005-0000-0000-000004A40000}"/>
    <cellStyle name="Wrap Bold 2 3 4 4 9" xfId="38941" xr:uid="{00000000-0005-0000-0000-000005A40000}"/>
    <cellStyle name="Wrap Bold 2 3 4 4 9 2" xfId="38942" xr:uid="{00000000-0005-0000-0000-000006A40000}"/>
    <cellStyle name="Wrap Bold 2 3 4 5" xfId="38943" xr:uid="{00000000-0005-0000-0000-000007A40000}"/>
    <cellStyle name="Wrap Bold 2 3 4 5 10" xfId="38944" xr:uid="{00000000-0005-0000-0000-000008A40000}"/>
    <cellStyle name="Wrap Bold 2 3 4 5 2" xfId="38945" xr:uid="{00000000-0005-0000-0000-000009A40000}"/>
    <cellStyle name="Wrap Bold 2 3 4 5 2 2" xfId="38946" xr:uid="{00000000-0005-0000-0000-00000AA40000}"/>
    <cellStyle name="Wrap Bold 2 3 4 5 3" xfId="38947" xr:uid="{00000000-0005-0000-0000-00000BA40000}"/>
    <cellStyle name="Wrap Bold 2 3 4 5 3 2" xfId="38948" xr:uid="{00000000-0005-0000-0000-00000CA40000}"/>
    <cellStyle name="Wrap Bold 2 3 4 5 4" xfId="38949" xr:uid="{00000000-0005-0000-0000-00000DA40000}"/>
    <cellStyle name="Wrap Bold 2 3 4 5 4 2" xfId="38950" xr:uid="{00000000-0005-0000-0000-00000EA40000}"/>
    <cellStyle name="Wrap Bold 2 3 4 5 5" xfId="38951" xr:uid="{00000000-0005-0000-0000-00000FA40000}"/>
    <cellStyle name="Wrap Bold 2 3 4 5 5 2" xfId="38952" xr:uid="{00000000-0005-0000-0000-000010A40000}"/>
    <cellStyle name="Wrap Bold 2 3 4 5 6" xfId="38953" xr:uid="{00000000-0005-0000-0000-000011A40000}"/>
    <cellStyle name="Wrap Bold 2 3 4 5 6 2" xfId="38954" xr:uid="{00000000-0005-0000-0000-000012A40000}"/>
    <cellStyle name="Wrap Bold 2 3 4 5 7" xfId="38955" xr:uid="{00000000-0005-0000-0000-000013A40000}"/>
    <cellStyle name="Wrap Bold 2 3 4 5 7 2" xfId="38956" xr:uid="{00000000-0005-0000-0000-000014A40000}"/>
    <cellStyle name="Wrap Bold 2 3 4 5 8" xfId="38957" xr:uid="{00000000-0005-0000-0000-000015A40000}"/>
    <cellStyle name="Wrap Bold 2 3 4 5 8 2" xfId="38958" xr:uid="{00000000-0005-0000-0000-000016A40000}"/>
    <cellStyle name="Wrap Bold 2 3 4 5 9" xfId="38959" xr:uid="{00000000-0005-0000-0000-000017A40000}"/>
    <cellStyle name="Wrap Bold 2 3 4 5 9 2" xfId="38960" xr:uid="{00000000-0005-0000-0000-000018A40000}"/>
    <cellStyle name="Wrap Bold 2 3 4 6" xfId="38961" xr:uid="{00000000-0005-0000-0000-000019A40000}"/>
    <cellStyle name="Wrap Bold 2 3 4 6 10" xfId="38962" xr:uid="{00000000-0005-0000-0000-00001AA40000}"/>
    <cellStyle name="Wrap Bold 2 3 4 6 2" xfId="38963" xr:uid="{00000000-0005-0000-0000-00001BA40000}"/>
    <cellStyle name="Wrap Bold 2 3 4 6 2 2" xfId="38964" xr:uid="{00000000-0005-0000-0000-00001CA40000}"/>
    <cellStyle name="Wrap Bold 2 3 4 6 3" xfId="38965" xr:uid="{00000000-0005-0000-0000-00001DA40000}"/>
    <cellStyle name="Wrap Bold 2 3 4 6 3 2" xfId="38966" xr:uid="{00000000-0005-0000-0000-00001EA40000}"/>
    <cellStyle name="Wrap Bold 2 3 4 6 4" xfId="38967" xr:uid="{00000000-0005-0000-0000-00001FA40000}"/>
    <cellStyle name="Wrap Bold 2 3 4 6 4 2" xfId="38968" xr:uid="{00000000-0005-0000-0000-000020A40000}"/>
    <cellStyle name="Wrap Bold 2 3 4 6 5" xfId="38969" xr:uid="{00000000-0005-0000-0000-000021A40000}"/>
    <cellStyle name="Wrap Bold 2 3 4 6 5 2" xfId="38970" xr:uid="{00000000-0005-0000-0000-000022A40000}"/>
    <cellStyle name="Wrap Bold 2 3 4 6 6" xfId="38971" xr:uid="{00000000-0005-0000-0000-000023A40000}"/>
    <cellStyle name="Wrap Bold 2 3 4 6 6 2" xfId="38972" xr:uid="{00000000-0005-0000-0000-000024A40000}"/>
    <cellStyle name="Wrap Bold 2 3 4 6 7" xfId="38973" xr:uid="{00000000-0005-0000-0000-000025A40000}"/>
    <cellStyle name="Wrap Bold 2 3 4 6 7 2" xfId="38974" xr:uid="{00000000-0005-0000-0000-000026A40000}"/>
    <cellStyle name="Wrap Bold 2 3 4 6 8" xfId="38975" xr:uid="{00000000-0005-0000-0000-000027A40000}"/>
    <cellStyle name="Wrap Bold 2 3 4 6 8 2" xfId="38976" xr:uid="{00000000-0005-0000-0000-000028A40000}"/>
    <cellStyle name="Wrap Bold 2 3 4 6 9" xfId="38977" xr:uid="{00000000-0005-0000-0000-000029A40000}"/>
    <cellStyle name="Wrap Bold 2 3 4 6 9 2" xfId="38978" xr:uid="{00000000-0005-0000-0000-00002AA40000}"/>
    <cellStyle name="Wrap Bold 2 3 4 7" xfId="38979" xr:uid="{00000000-0005-0000-0000-00002BA40000}"/>
    <cellStyle name="Wrap Bold 2 3 4 7 10" xfId="38980" xr:uid="{00000000-0005-0000-0000-00002CA40000}"/>
    <cellStyle name="Wrap Bold 2 3 4 7 2" xfId="38981" xr:uid="{00000000-0005-0000-0000-00002DA40000}"/>
    <cellStyle name="Wrap Bold 2 3 4 7 2 2" xfId="38982" xr:uid="{00000000-0005-0000-0000-00002EA40000}"/>
    <cellStyle name="Wrap Bold 2 3 4 7 3" xfId="38983" xr:uid="{00000000-0005-0000-0000-00002FA40000}"/>
    <cellStyle name="Wrap Bold 2 3 4 7 3 2" xfId="38984" xr:uid="{00000000-0005-0000-0000-000030A40000}"/>
    <cellStyle name="Wrap Bold 2 3 4 7 4" xfId="38985" xr:uid="{00000000-0005-0000-0000-000031A40000}"/>
    <cellStyle name="Wrap Bold 2 3 4 7 4 2" xfId="38986" xr:uid="{00000000-0005-0000-0000-000032A40000}"/>
    <cellStyle name="Wrap Bold 2 3 4 7 5" xfId="38987" xr:uid="{00000000-0005-0000-0000-000033A40000}"/>
    <cellStyle name="Wrap Bold 2 3 4 7 5 2" xfId="38988" xr:uid="{00000000-0005-0000-0000-000034A40000}"/>
    <cellStyle name="Wrap Bold 2 3 4 7 6" xfId="38989" xr:uid="{00000000-0005-0000-0000-000035A40000}"/>
    <cellStyle name="Wrap Bold 2 3 4 7 6 2" xfId="38990" xr:uid="{00000000-0005-0000-0000-000036A40000}"/>
    <cellStyle name="Wrap Bold 2 3 4 7 7" xfId="38991" xr:uid="{00000000-0005-0000-0000-000037A40000}"/>
    <cellStyle name="Wrap Bold 2 3 4 7 7 2" xfId="38992" xr:uid="{00000000-0005-0000-0000-000038A40000}"/>
    <cellStyle name="Wrap Bold 2 3 4 7 8" xfId="38993" xr:uid="{00000000-0005-0000-0000-000039A40000}"/>
    <cellStyle name="Wrap Bold 2 3 4 7 8 2" xfId="38994" xr:uid="{00000000-0005-0000-0000-00003AA40000}"/>
    <cellStyle name="Wrap Bold 2 3 4 7 9" xfId="38995" xr:uid="{00000000-0005-0000-0000-00003BA40000}"/>
    <cellStyle name="Wrap Bold 2 3 4 7 9 2" xfId="38996" xr:uid="{00000000-0005-0000-0000-00003CA40000}"/>
    <cellStyle name="Wrap Bold 2 3 4 8" xfId="38997" xr:uid="{00000000-0005-0000-0000-00003DA40000}"/>
    <cellStyle name="Wrap Bold 2 3 4 8 10" xfId="38998" xr:uid="{00000000-0005-0000-0000-00003EA40000}"/>
    <cellStyle name="Wrap Bold 2 3 4 8 2" xfId="38999" xr:uid="{00000000-0005-0000-0000-00003FA40000}"/>
    <cellStyle name="Wrap Bold 2 3 4 8 2 2" xfId="39000" xr:uid="{00000000-0005-0000-0000-000040A40000}"/>
    <cellStyle name="Wrap Bold 2 3 4 8 3" xfId="39001" xr:uid="{00000000-0005-0000-0000-000041A40000}"/>
    <cellStyle name="Wrap Bold 2 3 4 8 3 2" xfId="39002" xr:uid="{00000000-0005-0000-0000-000042A40000}"/>
    <cellStyle name="Wrap Bold 2 3 4 8 4" xfId="39003" xr:uid="{00000000-0005-0000-0000-000043A40000}"/>
    <cellStyle name="Wrap Bold 2 3 4 8 4 2" xfId="39004" xr:uid="{00000000-0005-0000-0000-000044A40000}"/>
    <cellStyle name="Wrap Bold 2 3 4 8 5" xfId="39005" xr:uid="{00000000-0005-0000-0000-000045A40000}"/>
    <cellStyle name="Wrap Bold 2 3 4 8 5 2" xfId="39006" xr:uid="{00000000-0005-0000-0000-000046A40000}"/>
    <cellStyle name="Wrap Bold 2 3 4 8 6" xfId="39007" xr:uid="{00000000-0005-0000-0000-000047A40000}"/>
    <cellStyle name="Wrap Bold 2 3 4 8 6 2" xfId="39008" xr:uid="{00000000-0005-0000-0000-000048A40000}"/>
    <cellStyle name="Wrap Bold 2 3 4 8 7" xfId="39009" xr:uid="{00000000-0005-0000-0000-000049A40000}"/>
    <cellStyle name="Wrap Bold 2 3 4 8 7 2" xfId="39010" xr:uid="{00000000-0005-0000-0000-00004AA40000}"/>
    <cellStyle name="Wrap Bold 2 3 4 8 8" xfId="39011" xr:uid="{00000000-0005-0000-0000-00004BA40000}"/>
    <cellStyle name="Wrap Bold 2 3 4 8 8 2" xfId="39012" xr:uid="{00000000-0005-0000-0000-00004CA40000}"/>
    <cellStyle name="Wrap Bold 2 3 4 8 9" xfId="39013" xr:uid="{00000000-0005-0000-0000-00004DA40000}"/>
    <cellStyle name="Wrap Bold 2 3 4 8 9 2" xfId="39014" xr:uid="{00000000-0005-0000-0000-00004EA40000}"/>
    <cellStyle name="Wrap Bold 2 3 4 9" xfId="39015" xr:uid="{00000000-0005-0000-0000-00004FA40000}"/>
    <cellStyle name="Wrap Bold 2 3 4 9 10" xfId="39016" xr:uid="{00000000-0005-0000-0000-000050A40000}"/>
    <cellStyle name="Wrap Bold 2 3 4 9 2" xfId="39017" xr:uid="{00000000-0005-0000-0000-000051A40000}"/>
    <cellStyle name="Wrap Bold 2 3 4 9 2 2" xfId="39018" xr:uid="{00000000-0005-0000-0000-000052A40000}"/>
    <cellStyle name="Wrap Bold 2 3 4 9 3" xfId="39019" xr:uid="{00000000-0005-0000-0000-000053A40000}"/>
    <cellStyle name="Wrap Bold 2 3 4 9 3 2" xfId="39020" xr:uid="{00000000-0005-0000-0000-000054A40000}"/>
    <cellStyle name="Wrap Bold 2 3 4 9 4" xfId="39021" xr:uid="{00000000-0005-0000-0000-000055A40000}"/>
    <cellStyle name="Wrap Bold 2 3 4 9 4 2" xfId="39022" xr:uid="{00000000-0005-0000-0000-000056A40000}"/>
    <cellStyle name="Wrap Bold 2 3 4 9 5" xfId="39023" xr:uid="{00000000-0005-0000-0000-000057A40000}"/>
    <cellStyle name="Wrap Bold 2 3 4 9 5 2" xfId="39024" xr:uid="{00000000-0005-0000-0000-000058A40000}"/>
    <cellStyle name="Wrap Bold 2 3 4 9 6" xfId="39025" xr:uid="{00000000-0005-0000-0000-000059A40000}"/>
    <cellStyle name="Wrap Bold 2 3 4 9 6 2" xfId="39026" xr:uid="{00000000-0005-0000-0000-00005AA40000}"/>
    <cellStyle name="Wrap Bold 2 3 4 9 7" xfId="39027" xr:uid="{00000000-0005-0000-0000-00005BA40000}"/>
    <cellStyle name="Wrap Bold 2 3 4 9 7 2" xfId="39028" xr:uid="{00000000-0005-0000-0000-00005CA40000}"/>
    <cellStyle name="Wrap Bold 2 3 4 9 8" xfId="39029" xr:uid="{00000000-0005-0000-0000-00005DA40000}"/>
    <cellStyle name="Wrap Bold 2 3 4 9 8 2" xfId="39030" xr:uid="{00000000-0005-0000-0000-00005EA40000}"/>
    <cellStyle name="Wrap Bold 2 3 4 9 9" xfId="39031" xr:uid="{00000000-0005-0000-0000-00005FA40000}"/>
    <cellStyle name="Wrap Bold 2 3 4 9 9 2" xfId="39032" xr:uid="{00000000-0005-0000-0000-000060A40000}"/>
    <cellStyle name="Wrap Bold 2 3 5" xfId="39033" xr:uid="{00000000-0005-0000-0000-000061A40000}"/>
    <cellStyle name="Wrap Bold 2 3 5 10" xfId="39034" xr:uid="{00000000-0005-0000-0000-000062A40000}"/>
    <cellStyle name="Wrap Bold 2 3 5 10 2" xfId="39035" xr:uid="{00000000-0005-0000-0000-000063A40000}"/>
    <cellStyle name="Wrap Bold 2 3 5 10 2 2" xfId="39036" xr:uid="{00000000-0005-0000-0000-000064A40000}"/>
    <cellStyle name="Wrap Bold 2 3 5 10 3" xfId="39037" xr:uid="{00000000-0005-0000-0000-000065A40000}"/>
    <cellStyle name="Wrap Bold 2 3 5 10 3 2" xfId="39038" xr:uid="{00000000-0005-0000-0000-000066A40000}"/>
    <cellStyle name="Wrap Bold 2 3 5 10 4" xfId="39039" xr:uid="{00000000-0005-0000-0000-000067A40000}"/>
    <cellStyle name="Wrap Bold 2 3 5 10 4 2" xfId="39040" xr:uid="{00000000-0005-0000-0000-000068A40000}"/>
    <cellStyle name="Wrap Bold 2 3 5 10 5" xfId="39041" xr:uid="{00000000-0005-0000-0000-000069A40000}"/>
    <cellStyle name="Wrap Bold 2 3 5 10 5 2" xfId="39042" xr:uid="{00000000-0005-0000-0000-00006AA40000}"/>
    <cellStyle name="Wrap Bold 2 3 5 10 6" xfId="39043" xr:uid="{00000000-0005-0000-0000-00006BA40000}"/>
    <cellStyle name="Wrap Bold 2 3 5 10 6 2" xfId="39044" xr:uid="{00000000-0005-0000-0000-00006CA40000}"/>
    <cellStyle name="Wrap Bold 2 3 5 10 7" xfId="39045" xr:uid="{00000000-0005-0000-0000-00006DA40000}"/>
    <cellStyle name="Wrap Bold 2 3 5 10 7 2" xfId="39046" xr:uid="{00000000-0005-0000-0000-00006EA40000}"/>
    <cellStyle name="Wrap Bold 2 3 5 10 8" xfId="39047" xr:uid="{00000000-0005-0000-0000-00006FA40000}"/>
    <cellStyle name="Wrap Bold 2 3 5 10 8 2" xfId="39048" xr:uid="{00000000-0005-0000-0000-000070A40000}"/>
    <cellStyle name="Wrap Bold 2 3 5 10 9" xfId="39049" xr:uid="{00000000-0005-0000-0000-000071A40000}"/>
    <cellStyle name="Wrap Bold 2 3 5 11" xfId="39050" xr:uid="{00000000-0005-0000-0000-000072A40000}"/>
    <cellStyle name="Wrap Bold 2 3 5 11 2" xfId="39051" xr:uid="{00000000-0005-0000-0000-000073A40000}"/>
    <cellStyle name="Wrap Bold 2 3 5 12" xfId="39052" xr:uid="{00000000-0005-0000-0000-000074A40000}"/>
    <cellStyle name="Wrap Bold 2 3 5 12 2" xfId="39053" xr:uid="{00000000-0005-0000-0000-000075A40000}"/>
    <cellStyle name="Wrap Bold 2 3 5 13" xfId="39054" xr:uid="{00000000-0005-0000-0000-000076A40000}"/>
    <cellStyle name="Wrap Bold 2 3 5 13 2" xfId="39055" xr:uid="{00000000-0005-0000-0000-000077A40000}"/>
    <cellStyle name="Wrap Bold 2 3 5 14" xfId="39056" xr:uid="{00000000-0005-0000-0000-000078A40000}"/>
    <cellStyle name="Wrap Bold 2 3 5 14 2" xfId="39057" xr:uid="{00000000-0005-0000-0000-000079A40000}"/>
    <cellStyle name="Wrap Bold 2 3 5 15" xfId="39058" xr:uid="{00000000-0005-0000-0000-00007AA40000}"/>
    <cellStyle name="Wrap Bold 2 3 5 15 2" xfId="39059" xr:uid="{00000000-0005-0000-0000-00007BA40000}"/>
    <cellStyle name="Wrap Bold 2 3 5 16" xfId="39060" xr:uid="{00000000-0005-0000-0000-00007CA40000}"/>
    <cellStyle name="Wrap Bold 2 3 5 16 2" xfId="39061" xr:uid="{00000000-0005-0000-0000-00007DA40000}"/>
    <cellStyle name="Wrap Bold 2 3 5 17" xfId="39062" xr:uid="{00000000-0005-0000-0000-00007EA40000}"/>
    <cellStyle name="Wrap Bold 2 3 5 17 2" xfId="39063" xr:uid="{00000000-0005-0000-0000-00007FA40000}"/>
    <cellStyle name="Wrap Bold 2 3 5 18" xfId="39064" xr:uid="{00000000-0005-0000-0000-000080A40000}"/>
    <cellStyle name="Wrap Bold 2 3 5 2" xfId="39065" xr:uid="{00000000-0005-0000-0000-000081A40000}"/>
    <cellStyle name="Wrap Bold 2 3 5 2 10" xfId="39066" xr:uid="{00000000-0005-0000-0000-000082A40000}"/>
    <cellStyle name="Wrap Bold 2 3 5 2 2" xfId="39067" xr:uid="{00000000-0005-0000-0000-000083A40000}"/>
    <cellStyle name="Wrap Bold 2 3 5 2 2 2" xfId="39068" xr:uid="{00000000-0005-0000-0000-000084A40000}"/>
    <cellStyle name="Wrap Bold 2 3 5 2 3" xfId="39069" xr:uid="{00000000-0005-0000-0000-000085A40000}"/>
    <cellStyle name="Wrap Bold 2 3 5 2 3 2" xfId="39070" xr:uid="{00000000-0005-0000-0000-000086A40000}"/>
    <cellStyle name="Wrap Bold 2 3 5 2 4" xfId="39071" xr:uid="{00000000-0005-0000-0000-000087A40000}"/>
    <cellStyle name="Wrap Bold 2 3 5 2 4 2" xfId="39072" xr:uid="{00000000-0005-0000-0000-000088A40000}"/>
    <cellStyle name="Wrap Bold 2 3 5 2 5" xfId="39073" xr:uid="{00000000-0005-0000-0000-000089A40000}"/>
    <cellStyle name="Wrap Bold 2 3 5 2 5 2" xfId="39074" xr:uid="{00000000-0005-0000-0000-00008AA40000}"/>
    <cellStyle name="Wrap Bold 2 3 5 2 6" xfId="39075" xr:uid="{00000000-0005-0000-0000-00008BA40000}"/>
    <cellStyle name="Wrap Bold 2 3 5 2 6 2" xfId="39076" xr:uid="{00000000-0005-0000-0000-00008CA40000}"/>
    <cellStyle name="Wrap Bold 2 3 5 2 7" xfId="39077" xr:uid="{00000000-0005-0000-0000-00008DA40000}"/>
    <cellStyle name="Wrap Bold 2 3 5 2 7 2" xfId="39078" xr:uid="{00000000-0005-0000-0000-00008EA40000}"/>
    <cellStyle name="Wrap Bold 2 3 5 2 8" xfId="39079" xr:uid="{00000000-0005-0000-0000-00008FA40000}"/>
    <cellStyle name="Wrap Bold 2 3 5 2 8 2" xfId="39080" xr:uid="{00000000-0005-0000-0000-000090A40000}"/>
    <cellStyle name="Wrap Bold 2 3 5 2 9" xfId="39081" xr:uid="{00000000-0005-0000-0000-000091A40000}"/>
    <cellStyle name="Wrap Bold 2 3 5 2 9 2" xfId="39082" xr:uid="{00000000-0005-0000-0000-000092A40000}"/>
    <cellStyle name="Wrap Bold 2 3 5 3" xfId="39083" xr:uid="{00000000-0005-0000-0000-000093A40000}"/>
    <cellStyle name="Wrap Bold 2 3 5 3 10" xfId="39084" xr:uid="{00000000-0005-0000-0000-000094A40000}"/>
    <cellStyle name="Wrap Bold 2 3 5 3 2" xfId="39085" xr:uid="{00000000-0005-0000-0000-000095A40000}"/>
    <cellStyle name="Wrap Bold 2 3 5 3 2 2" xfId="39086" xr:uid="{00000000-0005-0000-0000-000096A40000}"/>
    <cellStyle name="Wrap Bold 2 3 5 3 3" xfId="39087" xr:uid="{00000000-0005-0000-0000-000097A40000}"/>
    <cellStyle name="Wrap Bold 2 3 5 3 3 2" xfId="39088" xr:uid="{00000000-0005-0000-0000-000098A40000}"/>
    <cellStyle name="Wrap Bold 2 3 5 3 4" xfId="39089" xr:uid="{00000000-0005-0000-0000-000099A40000}"/>
    <cellStyle name="Wrap Bold 2 3 5 3 4 2" xfId="39090" xr:uid="{00000000-0005-0000-0000-00009AA40000}"/>
    <cellStyle name="Wrap Bold 2 3 5 3 5" xfId="39091" xr:uid="{00000000-0005-0000-0000-00009BA40000}"/>
    <cellStyle name="Wrap Bold 2 3 5 3 5 2" xfId="39092" xr:uid="{00000000-0005-0000-0000-00009CA40000}"/>
    <cellStyle name="Wrap Bold 2 3 5 3 6" xfId="39093" xr:uid="{00000000-0005-0000-0000-00009DA40000}"/>
    <cellStyle name="Wrap Bold 2 3 5 3 6 2" xfId="39094" xr:uid="{00000000-0005-0000-0000-00009EA40000}"/>
    <cellStyle name="Wrap Bold 2 3 5 3 7" xfId="39095" xr:uid="{00000000-0005-0000-0000-00009FA40000}"/>
    <cellStyle name="Wrap Bold 2 3 5 3 7 2" xfId="39096" xr:uid="{00000000-0005-0000-0000-0000A0A40000}"/>
    <cellStyle name="Wrap Bold 2 3 5 3 8" xfId="39097" xr:uid="{00000000-0005-0000-0000-0000A1A40000}"/>
    <cellStyle name="Wrap Bold 2 3 5 3 8 2" xfId="39098" xr:uid="{00000000-0005-0000-0000-0000A2A40000}"/>
    <cellStyle name="Wrap Bold 2 3 5 3 9" xfId="39099" xr:uid="{00000000-0005-0000-0000-0000A3A40000}"/>
    <cellStyle name="Wrap Bold 2 3 5 3 9 2" xfId="39100" xr:uid="{00000000-0005-0000-0000-0000A4A40000}"/>
    <cellStyle name="Wrap Bold 2 3 5 4" xfId="39101" xr:uid="{00000000-0005-0000-0000-0000A5A40000}"/>
    <cellStyle name="Wrap Bold 2 3 5 4 10" xfId="39102" xr:uid="{00000000-0005-0000-0000-0000A6A40000}"/>
    <cellStyle name="Wrap Bold 2 3 5 4 2" xfId="39103" xr:uid="{00000000-0005-0000-0000-0000A7A40000}"/>
    <cellStyle name="Wrap Bold 2 3 5 4 2 2" xfId="39104" xr:uid="{00000000-0005-0000-0000-0000A8A40000}"/>
    <cellStyle name="Wrap Bold 2 3 5 4 3" xfId="39105" xr:uid="{00000000-0005-0000-0000-0000A9A40000}"/>
    <cellStyle name="Wrap Bold 2 3 5 4 3 2" xfId="39106" xr:uid="{00000000-0005-0000-0000-0000AAA40000}"/>
    <cellStyle name="Wrap Bold 2 3 5 4 4" xfId="39107" xr:uid="{00000000-0005-0000-0000-0000ABA40000}"/>
    <cellStyle name="Wrap Bold 2 3 5 4 4 2" xfId="39108" xr:uid="{00000000-0005-0000-0000-0000ACA40000}"/>
    <cellStyle name="Wrap Bold 2 3 5 4 5" xfId="39109" xr:uid="{00000000-0005-0000-0000-0000ADA40000}"/>
    <cellStyle name="Wrap Bold 2 3 5 4 5 2" xfId="39110" xr:uid="{00000000-0005-0000-0000-0000AEA40000}"/>
    <cellStyle name="Wrap Bold 2 3 5 4 6" xfId="39111" xr:uid="{00000000-0005-0000-0000-0000AFA40000}"/>
    <cellStyle name="Wrap Bold 2 3 5 4 6 2" xfId="39112" xr:uid="{00000000-0005-0000-0000-0000B0A40000}"/>
    <cellStyle name="Wrap Bold 2 3 5 4 7" xfId="39113" xr:uid="{00000000-0005-0000-0000-0000B1A40000}"/>
    <cellStyle name="Wrap Bold 2 3 5 4 7 2" xfId="39114" xr:uid="{00000000-0005-0000-0000-0000B2A40000}"/>
    <cellStyle name="Wrap Bold 2 3 5 4 8" xfId="39115" xr:uid="{00000000-0005-0000-0000-0000B3A40000}"/>
    <cellStyle name="Wrap Bold 2 3 5 4 8 2" xfId="39116" xr:uid="{00000000-0005-0000-0000-0000B4A40000}"/>
    <cellStyle name="Wrap Bold 2 3 5 4 9" xfId="39117" xr:uid="{00000000-0005-0000-0000-0000B5A40000}"/>
    <cellStyle name="Wrap Bold 2 3 5 4 9 2" xfId="39118" xr:uid="{00000000-0005-0000-0000-0000B6A40000}"/>
    <cellStyle name="Wrap Bold 2 3 5 5" xfId="39119" xr:uid="{00000000-0005-0000-0000-0000B7A40000}"/>
    <cellStyle name="Wrap Bold 2 3 5 5 10" xfId="39120" xr:uid="{00000000-0005-0000-0000-0000B8A40000}"/>
    <cellStyle name="Wrap Bold 2 3 5 5 2" xfId="39121" xr:uid="{00000000-0005-0000-0000-0000B9A40000}"/>
    <cellStyle name="Wrap Bold 2 3 5 5 2 2" xfId="39122" xr:uid="{00000000-0005-0000-0000-0000BAA40000}"/>
    <cellStyle name="Wrap Bold 2 3 5 5 3" xfId="39123" xr:uid="{00000000-0005-0000-0000-0000BBA40000}"/>
    <cellStyle name="Wrap Bold 2 3 5 5 3 2" xfId="39124" xr:uid="{00000000-0005-0000-0000-0000BCA40000}"/>
    <cellStyle name="Wrap Bold 2 3 5 5 4" xfId="39125" xr:uid="{00000000-0005-0000-0000-0000BDA40000}"/>
    <cellStyle name="Wrap Bold 2 3 5 5 4 2" xfId="39126" xr:uid="{00000000-0005-0000-0000-0000BEA40000}"/>
    <cellStyle name="Wrap Bold 2 3 5 5 5" xfId="39127" xr:uid="{00000000-0005-0000-0000-0000BFA40000}"/>
    <cellStyle name="Wrap Bold 2 3 5 5 5 2" xfId="39128" xr:uid="{00000000-0005-0000-0000-0000C0A40000}"/>
    <cellStyle name="Wrap Bold 2 3 5 5 6" xfId="39129" xr:uid="{00000000-0005-0000-0000-0000C1A40000}"/>
    <cellStyle name="Wrap Bold 2 3 5 5 6 2" xfId="39130" xr:uid="{00000000-0005-0000-0000-0000C2A40000}"/>
    <cellStyle name="Wrap Bold 2 3 5 5 7" xfId="39131" xr:uid="{00000000-0005-0000-0000-0000C3A40000}"/>
    <cellStyle name="Wrap Bold 2 3 5 5 7 2" xfId="39132" xr:uid="{00000000-0005-0000-0000-0000C4A40000}"/>
    <cellStyle name="Wrap Bold 2 3 5 5 8" xfId="39133" xr:uid="{00000000-0005-0000-0000-0000C5A40000}"/>
    <cellStyle name="Wrap Bold 2 3 5 5 8 2" xfId="39134" xr:uid="{00000000-0005-0000-0000-0000C6A40000}"/>
    <cellStyle name="Wrap Bold 2 3 5 5 9" xfId="39135" xr:uid="{00000000-0005-0000-0000-0000C7A40000}"/>
    <cellStyle name="Wrap Bold 2 3 5 5 9 2" xfId="39136" xr:uid="{00000000-0005-0000-0000-0000C8A40000}"/>
    <cellStyle name="Wrap Bold 2 3 5 6" xfId="39137" xr:uid="{00000000-0005-0000-0000-0000C9A40000}"/>
    <cellStyle name="Wrap Bold 2 3 5 6 10" xfId="39138" xr:uid="{00000000-0005-0000-0000-0000CAA40000}"/>
    <cellStyle name="Wrap Bold 2 3 5 6 2" xfId="39139" xr:uid="{00000000-0005-0000-0000-0000CBA40000}"/>
    <cellStyle name="Wrap Bold 2 3 5 6 2 2" xfId="39140" xr:uid="{00000000-0005-0000-0000-0000CCA40000}"/>
    <cellStyle name="Wrap Bold 2 3 5 6 3" xfId="39141" xr:uid="{00000000-0005-0000-0000-0000CDA40000}"/>
    <cellStyle name="Wrap Bold 2 3 5 6 3 2" xfId="39142" xr:uid="{00000000-0005-0000-0000-0000CEA40000}"/>
    <cellStyle name="Wrap Bold 2 3 5 6 4" xfId="39143" xr:uid="{00000000-0005-0000-0000-0000CFA40000}"/>
    <cellStyle name="Wrap Bold 2 3 5 6 4 2" xfId="39144" xr:uid="{00000000-0005-0000-0000-0000D0A40000}"/>
    <cellStyle name="Wrap Bold 2 3 5 6 5" xfId="39145" xr:uid="{00000000-0005-0000-0000-0000D1A40000}"/>
    <cellStyle name="Wrap Bold 2 3 5 6 5 2" xfId="39146" xr:uid="{00000000-0005-0000-0000-0000D2A40000}"/>
    <cellStyle name="Wrap Bold 2 3 5 6 6" xfId="39147" xr:uid="{00000000-0005-0000-0000-0000D3A40000}"/>
    <cellStyle name="Wrap Bold 2 3 5 6 6 2" xfId="39148" xr:uid="{00000000-0005-0000-0000-0000D4A40000}"/>
    <cellStyle name="Wrap Bold 2 3 5 6 7" xfId="39149" xr:uid="{00000000-0005-0000-0000-0000D5A40000}"/>
    <cellStyle name="Wrap Bold 2 3 5 6 7 2" xfId="39150" xr:uid="{00000000-0005-0000-0000-0000D6A40000}"/>
    <cellStyle name="Wrap Bold 2 3 5 6 8" xfId="39151" xr:uid="{00000000-0005-0000-0000-0000D7A40000}"/>
    <cellStyle name="Wrap Bold 2 3 5 6 8 2" xfId="39152" xr:uid="{00000000-0005-0000-0000-0000D8A40000}"/>
    <cellStyle name="Wrap Bold 2 3 5 6 9" xfId="39153" xr:uid="{00000000-0005-0000-0000-0000D9A40000}"/>
    <cellStyle name="Wrap Bold 2 3 5 6 9 2" xfId="39154" xr:uid="{00000000-0005-0000-0000-0000DAA40000}"/>
    <cellStyle name="Wrap Bold 2 3 5 7" xfId="39155" xr:uid="{00000000-0005-0000-0000-0000DBA40000}"/>
    <cellStyle name="Wrap Bold 2 3 5 7 10" xfId="39156" xr:uid="{00000000-0005-0000-0000-0000DCA40000}"/>
    <cellStyle name="Wrap Bold 2 3 5 7 2" xfId="39157" xr:uid="{00000000-0005-0000-0000-0000DDA40000}"/>
    <cellStyle name="Wrap Bold 2 3 5 7 2 2" xfId="39158" xr:uid="{00000000-0005-0000-0000-0000DEA40000}"/>
    <cellStyle name="Wrap Bold 2 3 5 7 3" xfId="39159" xr:uid="{00000000-0005-0000-0000-0000DFA40000}"/>
    <cellStyle name="Wrap Bold 2 3 5 7 3 2" xfId="39160" xr:uid="{00000000-0005-0000-0000-0000E0A40000}"/>
    <cellStyle name="Wrap Bold 2 3 5 7 4" xfId="39161" xr:uid="{00000000-0005-0000-0000-0000E1A40000}"/>
    <cellStyle name="Wrap Bold 2 3 5 7 4 2" xfId="39162" xr:uid="{00000000-0005-0000-0000-0000E2A40000}"/>
    <cellStyle name="Wrap Bold 2 3 5 7 5" xfId="39163" xr:uid="{00000000-0005-0000-0000-0000E3A40000}"/>
    <cellStyle name="Wrap Bold 2 3 5 7 5 2" xfId="39164" xr:uid="{00000000-0005-0000-0000-0000E4A40000}"/>
    <cellStyle name="Wrap Bold 2 3 5 7 6" xfId="39165" xr:uid="{00000000-0005-0000-0000-0000E5A40000}"/>
    <cellStyle name="Wrap Bold 2 3 5 7 6 2" xfId="39166" xr:uid="{00000000-0005-0000-0000-0000E6A40000}"/>
    <cellStyle name="Wrap Bold 2 3 5 7 7" xfId="39167" xr:uid="{00000000-0005-0000-0000-0000E7A40000}"/>
    <cellStyle name="Wrap Bold 2 3 5 7 7 2" xfId="39168" xr:uid="{00000000-0005-0000-0000-0000E8A40000}"/>
    <cellStyle name="Wrap Bold 2 3 5 7 8" xfId="39169" xr:uid="{00000000-0005-0000-0000-0000E9A40000}"/>
    <cellStyle name="Wrap Bold 2 3 5 7 8 2" xfId="39170" xr:uid="{00000000-0005-0000-0000-0000EAA40000}"/>
    <cellStyle name="Wrap Bold 2 3 5 7 9" xfId="39171" xr:uid="{00000000-0005-0000-0000-0000EBA40000}"/>
    <cellStyle name="Wrap Bold 2 3 5 7 9 2" xfId="39172" xr:uid="{00000000-0005-0000-0000-0000ECA40000}"/>
    <cellStyle name="Wrap Bold 2 3 5 8" xfId="39173" xr:uid="{00000000-0005-0000-0000-0000EDA40000}"/>
    <cellStyle name="Wrap Bold 2 3 5 8 10" xfId="39174" xr:uid="{00000000-0005-0000-0000-0000EEA40000}"/>
    <cellStyle name="Wrap Bold 2 3 5 8 2" xfId="39175" xr:uid="{00000000-0005-0000-0000-0000EFA40000}"/>
    <cellStyle name="Wrap Bold 2 3 5 8 2 2" xfId="39176" xr:uid="{00000000-0005-0000-0000-0000F0A40000}"/>
    <cellStyle name="Wrap Bold 2 3 5 8 3" xfId="39177" xr:uid="{00000000-0005-0000-0000-0000F1A40000}"/>
    <cellStyle name="Wrap Bold 2 3 5 8 3 2" xfId="39178" xr:uid="{00000000-0005-0000-0000-0000F2A40000}"/>
    <cellStyle name="Wrap Bold 2 3 5 8 4" xfId="39179" xr:uid="{00000000-0005-0000-0000-0000F3A40000}"/>
    <cellStyle name="Wrap Bold 2 3 5 8 4 2" xfId="39180" xr:uid="{00000000-0005-0000-0000-0000F4A40000}"/>
    <cellStyle name="Wrap Bold 2 3 5 8 5" xfId="39181" xr:uid="{00000000-0005-0000-0000-0000F5A40000}"/>
    <cellStyle name="Wrap Bold 2 3 5 8 5 2" xfId="39182" xr:uid="{00000000-0005-0000-0000-0000F6A40000}"/>
    <cellStyle name="Wrap Bold 2 3 5 8 6" xfId="39183" xr:uid="{00000000-0005-0000-0000-0000F7A40000}"/>
    <cellStyle name="Wrap Bold 2 3 5 8 6 2" xfId="39184" xr:uid="{00000000-0005-0000-0000-0000F8A40000}"/>
    <cellStyle name="Wrap Bold 2 3 5 8 7" xfId="39185" xr:uid="{00000000-0005-0000-0000-0000F9A40000}"/>
    <cellStyle name="Wrap Bold 2 3 5 8 7 2" xfId="39186" xr:uid="{00000000-0005-0000-0000-0000FAA40000}"/>
    <cellStyle name="Wrap Bold 2 3 5 8 8" xfId="39187" xr:uid="{00000000-0005-0000-0000-0000FBA40000}"/>
    <cellStyle name="Wrap Bold 2 3 5 8 8 2" xfId="39188" xr:uid="{00000000-0005-0000-0000-0000FCA40000}"/>
    <cellStyle name="Wrap Bold 2 3 5 8 9" xfId="39189" xr:uid="{00000000-0005-0000-0000-0000FDA40000}"/>
    <cellStyle name="Wrap Bold 2 3 5 8 9 2" xfId="39190" xr:uid="{00000000-0005-0000-0000-0000FEA40000}"/>
    <cellStyle name="Wrap Bold 2 3 5 9" xfId="39191" xr:uid="{00000000-0005-0000-0000-0000FFA40000}"/>
    <cellStyle name="Wrap Bold 2 3 5 9 10" xfId="39192" xr:uid="{00000000-0005-0000-0000-000000A50000}"/>
    <cellStyle name="Wrap Bold 2 3 5 9 2" xfId="39193" xr:uid="{00000000-0005-0000-0000-000001A50000}"/>
    <cellStyle name="Wrap Bold 2 3 5 9 2 2" xfId="39194" xr:uid="{00000000-0005-0000-0000-000002A50000}"/>
    <cellStyle name="Wrap Bold 2 3 5 9 3" xfId="39195" xr:uid="{00000000-0005-0000-0000-000003A50000}"/>
    <cellStyle name="Wrap Bold 2 3 5 9 3 2" xfId="39196" xr:uid="{00000000-0005-0000-0000-000004A50000}"/>
    <cellStyle name="Wrap Bold 2 3 5 9 4" xfId="39197" xr:uid="{00000000-0005-0000-0000-000005A50000}"/>
    <cellStyle name="Wrap Bold 2 3 5 9 4 2" xfId="39198" xr:uid="{00000000-0005-0000-0000-000006A50000}"/>
    <cellStyle name="Wrap Bold 2 3 5 9 5" xfId="39199" xr:uid="{00000000-0005-0000-0000-000007A50000}"/>
    <cellStyle name="Wrap Bold 2 3 5 9 5 2" xfId="39200" xr:uid="{00000000-0005-0000-0000-000008A50000}"/>
    <cellStyle name="Wrap Bold 2 3 5 9 6" xfId="39201" xr:uid="{00000000-0005-0000-0000-000009A50000}"/>
    <cellStyle name="Wrap Bold 2 3 5 9 6 2" xfId="39202" xr:uid="{00000000-0005-0000-0000-00000AA50000}"/>
    <cellStyle name="Wrap Bold 2 3 5 9 7" xfId="39203" xr:uid="{00000000-0005-0000-0000-00000BA50000}"/>
    <cellStyle name="Wrap Bold 2 3 5 9 7 2" xfId="39204" xr:uid="{00000000-0005-0000-0000-00000CA50000}"/>
    <cellStyle name="Wrap Bold 2 3 5 9 8" xfId="39205" xr:uid="{00000000-0005-0000-0000-00000DA50000}"/>
    <cellStyle name="Wrap Bold 2 3 5 9 8 2" xfId="39206" xr:uid="{00000000-0005-0000-0000-00000EA50000}"/>
    <cellStyle name="Wrap Bold 2 3 5 9 9" xfId="39207" xr:uid="{00000000-0005-0000-0000-00000FA50000}"/>
    <cellStyle name="Wrap Bold 2 3 5 9 9 2" xfId="39208" xr:uid="{00000000-0005-0000-0000-000010A50000}"/>
    <cellStyle name="Wrap Bold 2 3 6" xfId="39209" xr:uid="{00000000-0005-0000-0000-000011A50000}"/>
    <cellStyle name="Wrap Bold 2 3 6 10" xfId="39210" xr:uid="{00000000-0005-0000-0000-000012A50000}"/>
    <cellStyle name="Wrap Bold 2 3 6 10 2" xfId="39211" xr:uid="{00000000-0005-0000-0000-000013A50000}"/>
    <cellStyle name="Wrap Bold 2 3 6 10 2 2" xfId="39212" xr:uid="{00000000-0005-0000-0000-000014A50000}"/>
    <cellStyle name="Wrap Bold 2 3 6 10 3" xfId="39213" xr:uid="{00000000-0005-0000-0000-000015A50000}"/>
    <cellStyle name="Wrap Bold 2 3 6 10 3 2" xfId="39214" xr:uid="{00000000-0005-0000-0000-000016A50000}"/>
    <cellStyle name="Wrap Bold 2 3 6 10 4" xfId="39215" xr:uid="{00000000-0005-0000-0000-000017A50000}"/>
    <cellStyle name="Wrap Bold 2 3 6 10 4 2" xfId="39216" xr:uid="{00000000-0005-0000-0000-000018A50000}"/>
    <cellStyle name="Wrap Bold 2 3 6 10 5" xfId="39217" xr:uid="{00000000-0005-0000-0000-000019A50000}"/>
    <cellStyle name="Wrap Bold 2 3 6 10 5 2" xfId="39218" xr:uid="{00000000-0005-0000-0000-00001AA50000}"/>
    <cellStyle name="Wrap Bold 2 3 6 10 6" xfId="39219" xr:uid="{00000000-0005-0000-0000-00001BA50000}"/>
    <cellStyle name="Wrap Bold 2 3 6 10 6 2" xfId="39220" xr:uid="{00000000-0005-0000-0000-00001CA50000}"/>
    <cellStyle name="Wrap Bold 2 3 6 10 7" xfId="39221" xr:uid="{00000000-0005-0000-0000-00001DA50000}"/>
    <cellStyle name="Wrap Bold 2 3 6 10 7 2" xfId="39222" xr:uid="{00000000-0005-0000-0000-00001EA50000}"/>
    <cellStyle name="Wrap Bold 2 3 6 10 8" xfId="39223" xr:uid="{00000000-0005-0000-0000-00001FA50000}"/>
    <cellStyle name="Wrap Bold 2 3 6 10 8 2" xfId="39224" xr:uid="{00000000-0005-0000-0000-000020A50000}"/>
    <cellStyle name="Wrap Bold 2 3 6 10 9" xfId="39225" xr:uid="{00000000-0005-0000-0000-000021A50000}"/>
    <cellStyle name="Wrap Bold 2 3 6 11" xfId="39226" xr:uid="{00000000-0005-0000-0000-000022A50000}"/>
    <cellStyle name="Wrap Bold 2 3 6 11 2" xfId="39227" xr:uid="{00000000-0005-0000-0000-000023A50000}"/>
    <cellStyle name="Wrap Bold 2 3 6 12" xfId="39228" xr:uid="{00000000-0005-0000-0000-000024A50000}"/>
    <cellStyle name="Wrap Bold 2 3 6 12 2" xfId="39229" xr:uid="{00000000-0005-0000-0000-000025A50000}"/>
    <cellStyle name="Wrap Bold 2 3 6 13" xfId="39230" xr:uid="{00000000-0005-0000-0000-000026A50000}"/>
    <cellStyle name="Wrap Bold 2 3 6 13 2" xfId="39231" xr:uid="{00000000-0005-0000-0000-000027A50000}"/>
    <cellStyle name="Wrap Bold 2 3 6 14" xfId="39232" xr:uid="{00000000-0005-0000-0000-000028A50000}"/>
    <cellStyle name="Wrap Bold 2 3 6 14 2" xfId="39233" xr:uid="{00000000-0005-0000-0000-000029A50000}"/>
    <cellStyle name="Wrap Bold 2 3 6 15" xfId="39234" xr:uid="{00000000-0005-0000-0000-00002AA50000}"/>
    <cellStyle name="Wrap Bold 2 3 6 15 2" xfId="39235" xr:uid="{00000000-0005-0000-0000-00002BA50000}"/>
    <cellStyle name="Wrap Bold 2 3 6 16" xfId="39236" xr:uid="{00000000-0005-0000-0000-00002CA50000}"/>
    <cellStyle name="Wrap Bold 2 3 6 16 2" xfId="39237" xr:uid="{00000000-0005-0000-0000-00002DA50000}"/>
    <cellStyle name="Wrap Bold 2 3 6 17" xfId="39238" xr:uid="{00000000-0005-0000-0000-00002EA50000}"/>
    <cellStyle name="Wrap Bold 2 3 6 17 2" xfId="39239" xr:uid="{00000000-0005-0000-0000-00002FA50000}"/>
    <cellStyle name="Wrap Bold 2 3 6 18" xfId="39240" xr:uid="{00000000-0005-0000-0000-000030A50000}"/>
    <cellStyle name="Wrap Bold 2 3 6 2" xfId="39241" xr:uid="{00000000-0005-0000-0000-000031A50000}"/>
    <cellStyle name="Wrap Bold 2 3 6 2 10" xfId="39242" xr:uid="{00000000-0005-0000-0000-000032A50000}"/>
    <cellStyle name="Wrap Bold 2 3 6 2 2" xfId="39243" xr:uid="{00000000-0005-0000-0000-000033A50000}"/>
    <cellStyle name="Wrap Bold 2 3 6 2 2 2" xfId="39244" xr:uid="{00000000-0005-0000-0000-000034A50000}"/>
    <cellStyle name="Wrap Bold 2 3 6 2 3" xfId="39245" xr:uid="{00000000-0005-0000-0000-000035A50000}"/>
    <cellStyle name="Wrap Bold 2 3 6 2 3 2" xfId="39246" xr:uid="{00000000-0005-0000-0000-000036A50000}"/>
    <cellStyle name="Wrap Bold 2 3 6 2 4" xfId="39247" xr:uid="{00000000-0005-0000-0000-000037A50000}"/>
    <cellStyle name="Wrap Bold 2 3 6 2 4 2" xfId="39248" xr:uid="{00000000-0005-0000-0000-000038A50000}"/>
    <cellStyle name="Wrap Bold 2 3 6 2 5" xfId="39249" xr:uid="{00000000-0005-0000-0000-000039A50000}"/>
    <cellStyle name="Wrap Bold 2 3 6 2 5 2" xfId="39250" xr:uid="{00000000-0005-0000-0000-00003AA50000}"/>
    <cellStyle name="Wrap Bold 2 3 6 2 6" xfId="39251" xr:uid="{00000000-0005-0000-0000-00003BA50000}"/>
    <cellStyle name="Wrap Bold 2 3 6 2 6 2" xfId="39252" xr:uid="{00000000-0005-0000-0000-00003CA50000}"/>
    <cellStyle name="Wrap Bold 2 3 6 2 7" xfId="39253" xr:uid="{00000000-0005-0000-0000-00003DA50000}"/>
    <cellStyle name="Wrap Bold 2 3 6 2 7 2" xfId="39254" xr:uid="{00000000-0005-0000-0000-00003EA50000}"/>
    <cellStyle name="Wrap Bold 2 3 6 2 8" xfId="39255" xr:uid="{00000000-0005-0000-0000-00003FA50000}"/>
    <cellStyle name="Wrap Bold 2 3 6 2 8 2" xfId="39256" xr:uid="{00000000-0005-0000-0000-000040A50000}"/>
    <cellStyle name="Wrap Bold 2 3 6 2 9" xfId="39257" xr:uid="{00000000-0005-0000-0000-000041A50000}"/>
    <cellStyle name="Wrap Bold 2 3 6 2 9 2" xfId="39258" xr:uid="{00000000-0005-0000-0000-000042A50000}"/>
    <cellStyle name="Wrap Bold 2 3 6 3" xfId="39259" xr:uid="{00000000-0005-0000-0000-000043A50000}"/>
    <cellStyle name="Wrap Bold 2 3 6 3 10" xfId="39260" xr:uid="{00000000-0005-0000-0000-000044A50000}"/>
    <cellStyle name="Wrap Bold 2 3 6 3 2" xfId="39261" xr:uid="{00000000-0005-0000-0000-000045A50000}"/>
    <cellStyle name="Wrap Bold 2 3 6 3 2 2" xfId="39262" xr:uid="{00000000-0005-0000-0000-000046A50000}"/>
    <cellStyle name="Wrap Bold 2 3 6 3 3" xfId="39263" xr:uid="{00000000-0005-0000-0000-000047A50000}"/>
    <cellStyle name="Wrap Bold 2 3 6 3 3 2" xfId="39264" xr:uid="{00000000-0005-0000-0000-000048A50000}"/>
    <cellStyle name="Wrap Bold 2 3 6 3 4" xfId="39265" xr:uid="{00000000-0005-0000-0000-000049A50000}"/>
    <cellStyle name="Wrap Bold 2 3 6 3 4 2" xfId="39266" xr:uid="{00000000-0005-0000-0000-00004AA50000}"/>
    <cellStyle name="Wrap Bold 2 3 6 3 5" xfId="39267" xr:uid="{00000000-0005-0000-0000-00004BA50000}"/>
    <cellStyle name="Wrap Bold 2 3 6 3 5 2" xfId="39268" xr:uid="{00000000-0005-0000-0000-00004CA50000}"/>
    <cellStyle name="Wrap Bold 2 3 6 3 6" xfId="39269" xr:uid="{00000000-0005-0000-0000-00004DA50000}"/>
    <cellStyle name="Wrap Bold 2 3 6 3 6 2" xfId="39270" xr:uid="{00000000-0005-0000-0000-00004EA50000}"/>
    <cellStyle name="Wrap Bold 2 3 6 3 7" xfId="39271" xr:uid="{00000000-0005-0000-0000-00004FA50000}"/>
    <cellStyle name="Wrap Bold 2 3 6 3 7 2" xfId="39272" xr:uid="{00000000-0005-0000-0000-000050A50000}"/>
    <cellStyle name="Wrap Bold 2 3 6 3 8" xfId="39273" xr:uid="{00000000-0005-0000-0000-000051A50000}"/>
    <cellStyle name="Wrap Bold 2 3 6 3 8 2" xfId="39274" xr:uid="{00000000-0005-0000-0000-000052A50000}"/>
    <cellStyle name="Wrap Bold 2 3 6 3 9" xfId="39275" xr:uid="{00000000-0005-0000-0000-000053A50000}"/>
    <cellStyle name="Wrap Bold 2 3 6 3 9 2" xfId="39276" xr:uid="{00000000-0005-0000-0000-000054A50000}"/>
    <cellStyle name="Wrap Bold 2 3 6 4" xfId="39277" xr:uid="{00000000-0005-0000-0000-000055A50000}"/>
    <cellStyle name="Wrap Bold 2 3 6 4 10" xfId="39278" xr:uid="{00000000-0005-0000-0000-000056A50000}"/>
    <cellStyle name="Wrap Bold 2 3 6 4 2" xfId="39279" xr:uid="{00000000-0005-0000-0000-000057A50000}"/>
    <cellStyle name="Wrap Bold 2 3 6 4 2 2" xfId="39280" xr:uid="{00000000-0005-0000-0000-000058A50000}"/>
    <cellStyle name="Wrap Bold 2 3 6 4 3" xfId="39281" xr:uid="{00000000-0005-0000-0000-000059A50000}"/>
    <cellStyle name="Wrap Bold 2 3 6 4 3 2" xfId="39282" xr:uid="{00000000-0005-0000-0000-00005AA50000}"/>
    <cellStyle name="Wrap Bold 2 3 6 4 4" xfId="39283" xr:uid="{00000000-0005-0000-0000-00005BA50000}"/>
    <cellStyle name="Wrap Bold 2 3 6 4 4 2" xfId="39284" xr:uid="{00000000-0005-0000-0000-00005CA50000}"/>
    <cellStyle name="Wrap Bold 2 3 6 4 5" xfId="39285" xr:uid="{00000000-0005-0000-0000-00005DA50000}"/>
    <cellStyle name="Wrap Bold 2 3 6 4 5 2" xfId="39286" xr:uid="{00000000-0005-0000-0000-00005EA50000}"/>
    <cellStyle name="Wrap Bold 2 3 6 4 6" xfId="39287" xr:uid="{00000000-0005-0000-0000-00005FA50000}"/>
    <cellStyle name="Wrap Bold 2 3 6 4 6 2" xfId="39288" xr:uid="{00000000-0005-0000-0000-000060A50000}"/>
    <cellStyle name="Wrap Bold 2 3 6 4 7" xfId="39289" xr:uid="{00000000-0005-0000-0000-000061A50000}"/>
    <cellStyle name="Wrap Bold 2 3 6 4 7 2" xfId="39290" xr:uid="{00000000-0005-0000-0000-000062A50000}"/>
    <cellStyle name="Wrap Bold 2 3 6 4 8" xfId="39291" xr:uid="{00000000-0005-0000-0000-000063A50000}"/>
    <cellStyle name="Wrap Bold 2 3 6 4 8 2" xfId="39292" xr:uid="{00000000-0005-0000-0000-000064A50000}"/>
    <cellStyle name="Wrap Bold 2 3 6 4 9" xfId="39293" xr:uid="{00000000-0005-0000-0000-000065A50000}"/>
    <cellStyle name="Wrap Bold 2 3 6 4 9 2" xfId="39294" xr:uid="{00000000-0005-0000-0000-000066A50000}"/>
    <cellStyle name="Wrap Bold 2 3 6 5" xfId="39295" xr:uid="{00000000-0005-0000-0000-000067A50000}"/>
    <cellStyle name="Wrap Bold 2 3 6 5 10" xfId="39296" xr:uid="{00000000-0005-0000-0000-000068A50000}"/>
    <cellStyle name="Wrap Bold 2 3 6 5 2" xfId="39297" xr:uid="{00000000-0005-0000-0000-000069A50000}"/>
    <cellStyle name="Wrap Bold 2 3 6 5 2 2" xfId="39298" xr:uid="{00000000-0005-0000-0000-00006AA50000}"/>
    <cellStyle name="Wrap Bold 2 3 6 5 3" xfId="39299" xr:uid="{00000000-0005-0000-0000-00006BA50000}"/>
    <cellStyle name="Wrap Bold 2 3 6 5 3 2" xfId="39300" xr:uid="{00000000-0005-0000-0000-00006CA50000}"/>
    <cellStyle name="Wrap Bold 2 3 6 5 4" xfId="39301" xr:uid="{00000000-0005-0000-0000-00006DA50000}"/>
    <cellStyle name="Wrap Bold 2 3 6 5 4 2" xfId="39302" xr:uid="{00000000-0005-0000-0000-00006EA50000}"/>
    <cellStyle name="Wrap Bold 2 3 6 5 5" xfId="39303" xr:uid="{00000000-0005-0000-0000-00006FA50000}"/>
    <cellStyle name="Wrap Bold 2 3 6 5 5 2" xfId="39304" xr:uid="{00000000-0005-0000-0000-000070A50000}"/>
    <cellStyle name="Wrap Bold 2 3 6 5 6" xfId="39305" xr:uid="{00000000-0005-0000-0000-000071A50000}"/>
    <cellStyle name="Wrap Bold 2 3 6 5 6 2" xfId="39306" xr:uid="{00000000-0005-0000-0000-000072A50000}"/>
    <cellStyle name="Wrap Bold 2 3 6 5 7" xfId="39307" xr:uid="{00000000-0005-0000-0000-000073A50000}"/>
    <cellStyle name="Wrap Bold 2 3 6 5 7 2" xfId="39308" xr:uid="{00000000-0005-0000-0000-000074A50000}"/>
    <cellStyle name="Wrap Bold 2 3 6 5 8" xfId="39309" xr:uid="{00000000-0005-0000-0000-000075A50000}"/>
    <cellStyle name="Wrap Bold 2 3 6 5 8 2" xfId="39310" xr:uid="{00000000-0005-0000-0000-000076A50000}"/>
    <cellStyle name="Wrap Bold 2 3 6 5 9" xfId="39311" xr:uid="{00000000-0005-0000-0000-000077A50000}"/>
    <cellStyle name="Wrap Bold 2 3 6 5 9 2" xfId="39312" xr:uid="{00000000-0005-0000-0000-000078A50000}"/>
    <cellStyle name="Wrap Bold 2 3 6 6" xfId="39313" xr:uid="{00000000-0005-0000-0000-000079A50000}"/>
    <cellStyle name="Wrap Bold 2 3 6 6 10" xfId="39314" xr:uid="{00000000-0005-0000-0000-00007AA50000}"/>
    <cellStyle name="Wrap Bold 2 3 6 6 2" xfId="39315" xr:uid="{00000000-0005-0000-0000-00007BA50000}"/>
    <cellStyle name="Wrap Bold 2 3 6 6 2 2" xfId="39316" xr:uid="{00000000-0005-0000-0000-00007CA50000}"/>
    <cellStyle name="Wrap Bold 2 3 6 6 3" xfId="39317" xr:uid="{00000000-0005-0000-0000-00007DA50000}"/>
    <cellStyle name="Wrap Bold 2 3 6 6 3 2" xfId="39318" xr:uid="{00000000-0005-0000-0000-00007EA50000}"/>
    <cellStyle name="Wrap Bold 2 3 6 6 4" xfId="39319" xr:uid="{00000000-0005-0000-0000-00007FA50000}"/>
    <cellStyle name="Wrap Bold 2 3 6 6 4 2" xfId="39320" xr:uid="{00000000-0005-0000-0000-000080A50000}"/>
    <cellStyle name="Wrap Bold 2 3 6 6 5" xfId="39321" xr:uid="{00000000-0005-0000-0000-000081A50000}"/>
    <cellStyle name="Wrap Bold 2 3 6 6 5 2" xfId="39322" xr:uid="{00000000-0005-0000-0000-000082A50000}"/>
    <cellStyle name="Wrap Bold 2 3 6 6 6" xfId="39323" xr:uid="{00000000-0005-0000-0000-000083A50000}"/>
    <cellStyle name="Wrap Bold 2 3 6 6 6 2" xfId="39324" xr:uid="{00000000-0005-0000-0000-000084A50000}"/>
    <cellStyle name="Wrap Bold 2 3 6 6 7" xfId="39325" xr:uid="{00000000-0005-0000-0000-000085A50000}"/>
    <cellStyle name="Wrap Bold 2 3 6 6 7 2" xfId="39326" xr:uid="{00000000-0005-0000-0000-000086A50000}"/>
    <cellStyle name="Wrap Bold 2 3 6 6 8" xfId="39327" xr:uid="{00000000-0005-0000-0000-000087A50000}"/>
    <cellStyle name="Wrap Bold 2 3 6 6 8 2" xfId="39328" xr:uid="{00000000-0005-0000-0000-000088A50000}"/>
    <cellStyle name="Wrap Bold 2 3 6 6 9" xfId="39329" xr:uid="{00000000-0005-0000-0000-000089A50000}"/>
    <cellStyle name="Wrap Bold 2 3 6 6 9 2" xfId="39330" xr:uid="{00000000-0005-0000-0000-00008AA50000}"/>
    <cellStyle name="Wrap Bold 2 3 6 7" xfId="39331" xr:uid="{00000000-0005-0000-0000-00008BA50000}"/>
    <cellStyle name="Wrap Bold 2 3 6 7 10" xfId="39332" xr:uid="{00000000-0005-0000-0000-00008CA50000}"/>
    <cellStyle name="Wrap Bold 2 3 6 7 2" xfId="39333" xr:uid="{00000000-0005-0000-0000-00008DA50000}"/>
    <cellStyle name="Wrap Bold 2 3 6 7 2 2" xfId="39334" xr:uid="{00000000-0005-0000-0000-00008EA50000}"/>
    <cellStyle name="Wrap Bold 2 3 6 7 3" xfId="39335" xr:uid="{00000000-0005-0000-0000-00008FA50000}"/>
    <cellStyle name="Wrap Bold 2 3 6 7 3 2" xfId="39336" xr:uid="{00000000-0005-0000-0000-000090A50000}"/>
    <cellStyle name="Wrap Bold 2 3 6 7 4" xfId="39337" xr:uid="{00000000-0005-0000-0000-000091A50000}"/>
    <cellStyle name="Wrap Bold 2 3 6 7 4 2" xfId="39338" xr:uid="{00000000-0005-0000-0000-000092A50000}"/>
    <cellStyle name="Wrap Bold 2 3 6 7 5" xfId="39339" xr:uid="{00000000-0005-0000-0000-000093A50000}"/>
    <cellStyle name="Wrap Bold 2 3 6 7 5 2" xfId="39340" xr:uid="{00000000-0005-0000-0000-000094A50000}"/>
    <cellStyle name="Wrap Bold 2 3 6 7 6" xfId="39341" xr:uid="{00000000-0005-0000-0000-000095A50000}"/>
    <cellStyle name="Wrap Bold 2 3 6 7 6 2" xfId="39342" xr:uid="{00000000-0005-0000-0000-000096A50000}"/>
    <cellStyle name="Wrap Bold 2 3 6 7 7" xfId="39343" xr:uid="{00000000-0005-0000-0000-000097A50000}"/>
    <cellStyle name="Wrap Bold 2 3 6 7 7 2" xfId="39344" xr:uid="{00000000-0005-0000-0000-000098A50000}"/>
    <cellStyle name="Wrap Bold 2 3 6 7 8" xfId="39345" xr:uid="{00000000-0005-0000-0000-000099A50000}"/>
    <cellStyle name="Wrap Bold 2 3 6 7 8 2" xfId="39346" xr:uid="{00000000-0005-0000-0000-00009AA50000}"/>
    <cellStyle name="Wrap Bold 2 3 6 7 9" xfId="39347" xr:uid="{00000000-0005-0000-0000-00009BA50000}"/>
    <cellStyle name="Wrap Bold 2 3 6 7 9 2" xfId="39348" xr:uid="{00000000-0005-0000-0000-00009CA50000}"/>
    <cellStyle name="Wrap Bold 2 3 6 8" xfId="39349" xr:uid="{00000000-0005-0000-0000-00009DA50000}"/>
    <cellStyle name="Wrap Bold 2 3 6 8 10" xfId="39350" xr:uid="{00000000-0005-0000-0000-00009EA50000}"/>
    <cellStyle name="Wrap Bold 2 3 6 8 2" xfId="39351" xr:uid="{00000000-0005-0000-0000-00009FA50000}"/>
    <cellStyle name="Wrap Bold 2 3 6 8 2 2" xfId="39352" xr:uid="{00000000-0005-0000-0000-0000A0A50000}"/>
    <cellStyle name="Wrap Bold 2 3 6 8 3" xfId="39353" xr:uid="{00000000-0005-0000-0000-0000A1A50000}"/>
    <cellStyle name="Wrap Bold 2 3 6 8 3 2" xfId="39354" xr:uid="{00000000-0005-0000-0000-0000A2A50000}"/>
    <cellStyle name="Wrap Bold 2 3 6 8 4" xfId="39355" xr:uid="{00000000-0005-0000-0000-0000A3A50000}"/>
    <cellStyle name="Wrap Bold 2 3 6 8 4 2" xfId="39356" xr:uid="{00000000-0005-0000-0000-0000A4A50000}"/>
    <cellStyle name="Wrap Bold 2 3 6 8 5" xfId="39357" xr:uid="{00000000-0005-0000-0000-0000A5A50000}"/>
    <cellStyle name="Wrap Bold 2 3 6 8 5 2" xfId="39358" xr:uid="{00000000-0005-0000-0000-0000A6A50000}"/>
    <cellStyle name="Wrap Bold 2 3 6 8 6" xfId="39359" xr:uid="{00000000-0005-0000-0000-0000A7A50000}"/>
    <cellStyle name="Wrap Bold 2 3 6 8 6 2" xfId="39360" xr:uid="{00000000-0005-0000-0000-0000A8A50000}"/>
    <cellStyle name="Wrap Bold 2 3 6 8 7" xfId="39361" xr:uid="{00000000-0005-0000-0000-0000A9A50000}"/>
    <cellStyle name="Wrap Bold 2 3 6 8 7 2" xfId="39362" xr:uid="{00000000-0005-0000-0000-0000AAA50000}"/>
    <cellStyle name="Wrap Bold 2 3 6 8 8" xfId="39363" xr:uid="{00000000-0005-0000-0000-0000ABA50000}"/>
    <cellStyle name="Wrap Bold 2 3 6 8 8 2" xfId="39364" xr:uid="{00000000-0005-0000-0000-0000ACA50000}"/>
    <cellStyle name="Wrap Bold 2 3 6 8 9" xfId="39365" xr:uid="{00000000-0005-0000-0000-0000ADA50000}"/>
    <cellStyle name="Wrap Bold 2 3 6 8 9 2" xfId="39366" xr:uid="{00000000-0005-0000-0000-0000AEA50000}"/>
    <cellStyle name="Wrap Bold 2 3 6 9" xfId="39367" xr:uid="{00000000-0005-0000-0000-0000AFA50000}"/>
    <cellStyle name="Wrap Bold 2 3 6 9 10" xfId="39368" xr:uid="{00000000-0005-0000-0000-0000B0A50000}"/>
    <cellStyle name="Wrap Bold 2 3 6 9 2" xfId="39369" xr:uid="{00000000-0005-0000-0000-0000B1A50000}"/>
    <cellStyle name="Wrap Bold 2 3 6 9 2 2" xfId="39370" xr:uid="{00000000-0005-0000-0000-0000B2A50000}"/>
    <cellStyle name="Wrap Bold 2 3 6 9 3" xfId="39371" xr:uid="{00000000-0005-0000-0000-0000B3A50000}"/>
    <cellStyle name="Wrap Bold 2 3 6 9 3 2" xfId="39372" xr:uid="{00000000-0005-0000-0000-0000B4A50000}"/>
    <cellStyle name="Wrap Bold 2 3 6 9 4" xfId="39373" xr:uid="{00000000-0005-0000-0000-0000B5A50000}"/>
    <cellStyle name="Wrap Bold 2 3 6 9 4 2" xfId="39374" xr:uid="{00000000-0005-0000-0000-0000B6A50000}"/>
    <cellStyle name="Wrap Bold 2 3 6 9 5" xfId="39375" xr:uid="{00000000-0005-0000-0000-0000B7A50000}"/>
    <cellStyle name="Wrap Bold 2 3 6 9 5 2" xfId="39376" xr:uid="{00000000-0005-0000-0000-0000B8A50000}"/>
    <cellStyle name="Wrap Bold 2 3 6 9 6" xfId="39377" xr:uid="{00000000-0005-0000-0000-0000B9A50000}"/>
    <cellStyle name="Wrap Bold 2 3 6 9 6 2" xfId="39378" xr:uid="{00000000-0005-0000-0000-0000BAA50000}"/>
    <cellStyle name="Wrap Bold 2 3 6 9 7" xfId="39379" xr:uid="{00000000-0005-0000-0000-0000BBA50000}"/>
    <cellStyle name="Wrap Bold 2 3 6 9 7 2" xfId="39380" xr:uid="{00000000-0005-0000-0000-0000BCA50000}"/>
    <cellStyle name="Wrap Bold 2 3 6 9 8" xfId="39381" xr:uid="{00000000-0005-0000-0000-0000BDA50000}"/>
    <cellStyle name="Wrap Bold 2 3 6 9 8 2" xfId="39382" xr:uid="{00000000-0005-0000-0000-0000BEA50000}"/>
    <cellStyle name="Wrap Bold 2 3 6 9 9" xfId="39383" xr:uid="{00000000-0005-0000-0000-0000BFA50000}"/>
    <cellStyle name="Wrap Bold 2 3 6 9 9 2" xfId="39384" xr:uid="{00000000-0005-0000-0000-0000C0A50000}"/>
    <cellStyle name="Wrap Bold 2 3 7" xfId="39385" xr:uid="{00000000-0005-0000-0000-0000C1A50000}"/>
    <cellStyle name="Wrap Bold 2 3 7 10" xfId="39386" xr:uid="{00000000-0005-0000-0000-0000C2A50000}"/>
    <cellStyle name="Wrap Bold 2 3 7 10 2" xfId="39387" xr:uid="{00000000-0005-0000-0000-0000C3A50000}"/>
    <cellStyle name="Wrap Bold 2 3 7 10 2 2" xfId="39388" xr:uid="{00000000-0005-0000-0000-0000C4A50000}"/>
    <cellStyle name="Wrap Bold 2 3 7 10 3" xfId="39389" xr:uid="{00000000-0005-0000-0000-0000C5A50000}"/>
    <cellStyle name="Wrap Bold 2 3 7 10 3 2" xfId="39390" xr:uid="{00000000-0005-0000-0000-0000C6A50000}"/>
    <cellStyle name="Wrap Bold 2 3 7 10 4" xfId="39391" xr:uid="{00000000-0005-0000-0000-0000C7A50000}"/>
    <cellStyle name="Wrap Bold 2 3 7 10 4 2" xfId="39392" xr:uid="{00000000-0005-0000-0000-0000C8A50000}"/>
    <cellStyle name="Wrap Bold 2 3 7 10 5" xfId="39393" xr:uid="{00000000-0005-0000-0000-0000C9A50000}"/>
    <cellStyle name="Wrap Bold 2 3 7 10 5 2" xfId="39394" xr:uid="{00000000-0005-0000-0000-0000CAA50000}"/>
    <cellStyle name="Wrap Bold 2 3 7 10 6" xfId="39395" xr:uid="{00000000-0005-0000-0000-0000CBA50000}"/>
    <cellStyle name="Wrap Bold 2 3 7 10 6 2" xfId="39396" xr:uid="{00000000-0005-0000-0000-0000CCA50000}"/>
    <cellStyle name="Wrap Bold 2 3 7 10 7" xfId="39397" xr:uid="{00000000-0005-0000-0000-0000CDA50000}"/>
    <cellStyle name="Wrap Bold 2 3 7 10 7 2" xfId="39398" xr:uid="{00000000-0005-0000-0000-0000CEA50000}"/>
    <cellStyle name="Wrap Bold 2 3 7 10 8" xfId="39399" xr:uid="{00000000-0005-0000-0000-0000CFA50000}"/>
    <cellStyle name="Wrap Bold 2 3 7 10 8 2" xfId="39400" xr:uid="{00000000-0005-0000-0000-0000D0A50000}"/>
    <cellStyle name="Wrap Bold 2 3 7 10 9" xfId="39401" xr:uid="{00000000-0005-0000-0000-0000D1A50000}"/>
    <cellStyle name="Wrap Bold 2 3 7 11" xfId="39402" xr:uid="{00000000-0005-0000-0000-0000D2A50000}"/>
    <cellStyle name="Wrap Bold 2 3 7 11 2" xfId="39403" xr:uid="{00000000-0005-0000-0000-0000D3A50000}"/>
    <cellStyle name="Wrap Bold 2 3 7 12" xfId="39404" xr:uid="{00000000-0005-0000-0000-0000D4A50000}"/>
    <cellStyle name="Wrap Bold 2 3 7 12 2" xfId="39405" xr:uid="{00000000-0005-0000-0000-0000D5A50000}"/>
    <cellStyle name="Wrap Bold 2 3 7 13" xfId="39406" xr:uid="{00000000-0005-0000-0000-0000D6A50000}"/>
    <cellStyle name="Wrap Bold 2 3 7 13 2" xfId="39407" xr:uid="{00000000-0005-0000-0000-0000D7A50000}"/>
    <cellStyle name="Wrap Bold 2 3 7 14" xfId="39408" xr:uid="{00000000-0005-0000-0000-0000D8A50000}"/>
    <cellStyle name="Wrap Bold 2 3 7 14 2" xfId="39409" xr:uid="{00000000-0005-0000-0000-0000D9A50000}"/>
    <cellStyle name="Wrap Bold 2 3 7 15" xfId="39410" xr:uid="{00000000-0005-0000-0000-0000DAA50000}"/>
    <cellStyle name="Wrap Bold 2 3 7 15 2" xfId="39411" xr:uid="{00000000-0005-0000-0000-0000DBA50000}"/>
    <cellStyle name="Wrap Bold 2 3 7 16" xfId="39412" xr:uid="{00000000-0005-0000-0000-0000DCA50000}"/>
    <cellStyle name="Wrap Bold 2 3 7 16 2" xfId="39413" xr:uid="{00000000-0005-0000-0000-0000DDA50000}"/>
    <cellStyle name="Wrap Bold 2 3 7 17" xfId="39414" xr:uid="{00000000-0005-0000-0000-0000DEA50000}"/>
    <cellStyle name="Wrap Bold 2 3 7 17 2" xfId="39415" xr:uid="{00000000-0005-0000-0000-0000DFA50000}"/>
    <cellStyle name="Wrap Bold 2 3 7 18" xfId="39416" xr:uid="{00000000-0005-0000-0000-0000E0A50000}"/>
    <cellStyle name="Wrap Bold 2 3 7 2" xfId="39417" xr:uid="{00000000-0005-0000-0000-0000E1A50000}"/>
    <cellStyle name="Wrap Bold 2 3 7 2 10" xfId="39418" xr:uid="{00000000-0005-0000-0000-0000E2A50000}"/>
    <cellStyle name="Wrap Bold 2 3 7 2 2" xfId="39419" xr:uid="{00000000-0005-0000-0000-0000E3A50000}"/>
    <cellStyle name="Wrap Bold 2 3 7 2 2 2" xfId="39420" xr:uid="{00000000-0005-0000-0000-0000E4A50000}"/>
    <cellStyle name="Wrap Bold 2 3 7 2 3" xfId="39421" xr:uid="{00000000-0005-0000-0000-0000E5A50000}"/>
    <cellStyle name="Wrap Bold 2 3 7 2 3 2" xfId="39422" xr:uid="{00000000-0005-0000-0000-0000E6A50000}"/>
    <cellStyle name="Wrap Bold 2 3 7 2 4" xfId="39423" xr:uid="{00000000-0005-0000-0000-0000E7A50000}"/>
    <cellStyle name="Wrap Bold 2 3 7 2 4 2" xfId="39424" xr:uid="{00000000-0005-0000-0000-0000E8A50000}"/>
    <cellStyle name="Wrap Bold 2 3 7 2 5" xfId="39425" xr:uid="{00000000-0005-0000-0000-0000E9A50000}"/>
    <cellStyle name="Wrap Bold 2 3 7 2 5 2" xfId="39426" xr:uid="{00000000-0005-0000-0000-0000EAA50000}"/>
    <cellStyle name="Wrap Bold 2 3 7 2 6" xfId="39427" xr:uid="{00000000-0005-0000-0000-0000EBA50000}"/>
    <cellStyle name="Wrap Bold 2 3 7 2 6 2" xfId="39428" xr:uid="{00000000-0005-0000-0000-0000ECA50000}"/>
    <cellStyle name="Wrap Bold 2 3 7 2 7" xfId="39429" xr:uid="{00000000-0005-0000-0000-0000EDA50000}"/>
    <cellStyle name="Wrap Bold 2 3 7 2 7 2" xfId="39430" xr:uid="{00000000-0005-0000-0000-0000EEA50000}"/>
    <cellStyle name="Wrap Bold 2 3 7 2 8" xfId="39431" xr:uid="{00000000-0005-0000-0000-0000EFA50000}"/>
    <cellStyle name="Wrap Bold 2 3 7 2 8 2" xfId="39432" xr:uid="{00000000-0005-0000-0000-0000F0A50000}"/>
    <cellStyle name="Wrap Bold 2 3 7 2 9" xfId="39433" xr:uid="{00000000-0005-0000-0000-0000F1A50000}"/>
    <cellStyle name="Wrap Bold 2 3 7 2 9 2" xfId="39434" xr:uid="{00000000-0005-0000-0000-0000F2A50000}"/>
    <cellStyle name="Wrap Bold 2 3 7 3" xfId="39435" xr:uid="{00000000-0005-0000-0000-0000F3A50000}"/>
    <cellStyle name="Wrap Bold 2 3 7 3 10" xfId="39436" xr:uid="{00000000-0005-0000-0000-0000F4A50000}"/>
    <cellStyle name="Wrap Bold 2 3 7 3 2" xfId="39437" xr:uid="{00000000-0005-0000-0000-0000F5A50000}"/>
    <cellStyle name="Wrap Bold 2 3 7 3 2 2" xfId="39438" xr:uid="{00000000-0005-0000-0000-0000F6A50000}"/>
    <cellStyle name="Wrap Bold 2 3 7 3 3" xfId="39439" xr:uid="{00000000-0005-0000-0000-0000F7A50000}"/>
    <cellStyle name="Wrap Bold 2 3 7 3 3 2" xfId="39440" xr:uid="{00000000-0005-0000-0000-0000F8A50000}"/>
    <cellStyle name="Wrap Bold 2 3 7 3 4" xfId="39441" xr:uid="{00000000-0005-0000-0000-0000F9A50000}"/>
    <cellStyle name="Wrap Bold 2 3 7 3 4 2" xfId="39442" xr:uid="{00000000-0005-0000-0000-0000FAA50000}"/>
    <cellStyle name="Wrap Bold 2 3 7 3 5" xfId="39443" xr:uid="{00000000-0005-0000-0000-0000FBA50000}"/>
    <cellStyle name="Wrap Bold 2 3 7 3 5 2" xfId="39444" xr:uid="{00000000-0005-0000-0000-0000FCA50000}"/>
    <cellStyle name="Wrap Bold 2 3 7 3 6" xfId="39445" xr:uid="{00000000-0005-0000-0000-0000FDA50000}"/>
    <cellStyle name="Wrap Bold 2 3 7 3 6 2" xfId="39446" xr:uid="{00000000-0005-0000-0000-0000FEA50000}"/>
    <cellStyle name="Wrap Bold 2 3 7 3 7" xfId="39447" xr:uid="{00000000-0005-0000-0000-0000FFA50000}"/>
    <cellStyle name="Wrap Bold 2 3 7 3 7 2" xfId="39448" xr:uid="{00000000-0005-0000-0000-000000A60000}"/>
    <cellStyle name="Wrap Bold 2 3 7 3 8" xfId="39449" xr:uid="{00000000-0005-0000-0000-000001A60000}"/>
    <cellStyle name="Wrap Bold 2 3 7 3 8 2" xfId="39450" xr:uid="{00000000-0005-0000-0000-000002A60000}"/>
    <cellStyle name="Wrap Bold 2 3 7 3 9" xfId="39451" xr:uid="{00000000-0005-0000-0000-000003A60000}"/>
    <cellStyle name="Wrap Bold 2 3 7 3 9 2" xfId="39452" xr:uid="{00000000-0005-0000-0000-000004A60000}"/>
    <cellStyle name="Wrap Bold 2 3 7 4" xfId="39453" xr:uid="{00000000-0005-0000-0000-000005A60000}"/>
    <cellStyle name="Wrap Bold 2 3 7 4 10" xfId="39454" xr:uid="{00000000-0005-0000-0000-000006A60000}"/>
    <cellStyle name="Wrap Bold 2 3 7 4 2" xfId="39455" xr:uid="{00000000-0005-0000-0000-000007A60000}"/>
    <cellStyle name="Wrap Bold 2 3 7 4 2 2" xfId="39456" xr:uid="{00000000-0005-0000-0000-000008A60000}"/>
    <cellStyle name="Wrap Bold 2 3 7 4 3" xfId="39457" xr:uid="{00000000-0005-0000-0000-000009A60000}"/>
    <cellStyle name="Wrap Bold 2 3 7 4 3 2" xfId="39458" xr:uid="{00000000-0005-0000-0000-00000AA60000}"/>
    <cellStyle name="Wrap Bold 2 3 7 4 4" xfId="39459" xr:uid="{00000000-0005-0000-0000-00000BA60000}"/>
    <cellStyle name="Wrap Bold 2 3 7 4 4 2" xfId="39460" xr:uid="{00000000-0005-0000-0000-00000CA60000}"/>
    <cellStyle name="Wrap Bold 2 3 7 4 5" xfId="39461" xr:uid="{00000000-0005-0000-0000-00000DA60000}"/>
    <cellStyle name="Wrap Bold 2 3 7 4 5 2" xfId="39462" xr:uid="{00000000-0005-0000-0000-00000EA60000}"/>
    <cellStyle name="Wrap Bold 2 3 7 4 6" xfId="39463" xr:uid="{00000000-0005-0000-0000-00000FA60000}"/>
    <cellStyle name="Wrap Bold 2 3 7 4 6 2" xfId="39464" xr:uid="{00000000-0005-0000-0000-000010A60000}"/>
    <cellStyle name="Wrap Bold 2 3 7 4 7" xfId="39465" xr:uid="{00000000-0005-0000-0000-000011A60000}"/>
    <cellStyle name="Wrap Bold 2 3 7 4 7 2" xfId="39466" xr:uid="{00000000-0005-0000-0000-000012A60000}"/>
    <cellStyle name="Wrap Bold 2 3 7 4 8" xfId="39467" xr:uid="{00000000-0005-0000-0000-000013A60000}"/>
    <cellStyle name="Wrap Bold 2 3 7 4 8 2" xfId="39468" xr:uid="{00000000-0005-0000-0000-000014A60000}"/>
    <cellStyle name="Wrap Bold 2 3 7 4 9" xfId="39469" xr:uid="{00000000-0005-0000-0000-000015A60000}"/>
    <cellStyle name="Wrap Bold 2 3 7 4 9 2" xfId="39470" xr:uid="{00000000-0005-0000-0000-000016A60000}"/>
    <cellStyle name="Wrap Bold 2 3 7 5" xfId="39471" xr:uid="{00000000-0005-0000-0000-000017A60000}"/>
    <cellStyle name="Wrap Bold 2 3 7 5 10" xfId="39472" xr:uid="{00000000-0005-0000-0000-000018A60000}"/>
    <cellStyle name="Wrap Bold 2 3 7 5 2" xfId="39473" xr:uid="{00000000-0005-0000-0000-000019A60000}"/>
    <cellStyle name="Wrap Bold 2 3 7 5 2 2" xfId="39474" xr:uid="{00000000-0005-0000-0000-00001AA60000}"/>
    <cellStyle name="Wrap Bold 2 3 7 5 3" xfId="39475" xr:uid="{00000000-0005-0000-0000-00001BA60000}"/>
    <cellStyle name="Wrap Bold 2 3 7 5 3 2" xfId="39476" xr:uid="{00000000-0005-0000-0000-00001CA60000}"/>
    <cellStyle name="Wrap Bold 2 3 7 5 4" xfId="39477" xr:uid="{00000000-0005-0000-0000-00001DA60000}"/>
    <cellStyle name="Wrap Bold 2 3 7 5 4 2" xfId="39478" xr:uid="{00000000-0005-0000-0000-00001EA60000}"/>
    <cellStyle name="Wrap Bold 2 3 7 5 5" xfId="39479" xr:uid="{00000000-0005-0000-0000-00001FA60000}"/>
    <cellStyle name="Wrap Bold 2 3 7 5 5 2" xfId="39480" xr:uid="{00000000-0005-0000-0000-000020A60000}"/>
    <cellStyle name="Wrap Bold 2 3 7 5 6" xfId="39481" xr:uid="{00000000-0005-0000-0000-000021A60000}"/>
    <cellStyle name="Wrap Bold 2 3 7 5 6 2" xfId="39482" xr:uid="{00000000-0005-0000-0000-000022A60000}"/>
    <cellStyle name="Wrap Bold 2 3 7 5 7" xfId="39483" xr:uid="{00000000-0005-0000-0000-000023A60000}"/>
    <cellStyle name="Wrap Bold 2 3 7 5 7 2" xfId="39484" xr:uid="{00000000-0005-0000-0000-000024A60000}"/>
    <cellStyle name="Wrap Bold 2 3 7 5 8" xfId="39485" xr:uid="{00000000-0005-0000-0000-000025A60000}"/>
    <cellStyle name="Wrap Bold 2 3 7 5 8 2" xfId="39486" xr:uid="{00000000-0005-0000-0000-000026A60000}"/>
    <cellStyle name="Wrap Bold 2 3 7 5 9" xfId="39487" xr:uid="{00000000-0005-0000-0000-000027A60000}"/>
    <cellStyle name="Wrap Bold 2 3 7 5 9 2" xfId="39488" xr:uid="{00000000-0005-0000-0000-000028A60000}"/>
    <cellStyle name="Wrap Bold 2 3 7 6" xfId="39489" xr:uid="{00000000-0005-0000-0000-000029A60000}"/>
    <cellStyle name="Wrap Bold 2 3 7 6 10" xfId="39490" xr:uid="{00000000-0005-0000-0000-00002AA60000}"/>
    <cellStyle name="Wrap Bold 2 3 7 6 2" xfId="39491" xr:uid="{00000000-0005-0000-0000-00002BA60000}"/>
    <cellStyle name="Wrap Bold 2 3 7 6 2 2" xfId="39492" xr:uid="{00000000-0005-0000-0000-00002CA60000}"/>
    <cellStyle name="Wrap Bold 2 3 7 6 3" xfId="39493" xr:uid="{00000000-0005-0000-0000-00002DA60000}"/>
    <cellStyle name="Wrap Bold 2 3 7 6 3 2" xfId="39494" xr:uid="{00000000-0005-0000-0000-00002EA60000}"/>
    <cellStyle name="Wrap Bold 2 3 7 6 4" xfId="39495" xr:uid="{00000000-0005-0000-0000-00002FA60000}"/>
    <cellStyle name="Wrap Bold 2 3 7 6 4 2" xfId="39496" xr:uid="{00000000-0005-0000-0000-000030A60000}"/>
    <cellStyle name="Wrap Bold 2 3 7 6 5" xfId="39497" xr:uid="{00000000-0005-0000-0000-000031A60000}"/>
    <cellStyle name="Wrap Bold 2 3 7 6 5 2" xfId="39498" xr:uid="{00000000-0005-0000-0000-000032A60000}"/>
    <cellStyle name="Wrap Bold 2 3 7 6 6" xfId="39499" xr:uid="{00000000-0005-0000-0000-000033A60000}"/>
    <cellStyle name="Wrap Bold 2 3 7 6 6 2" xfId="39500" xr:uid="{00000000-0005-0000-0000-000034A60000}"/>
    <cellStyle name="Wrap Bold 2 3 7 6 7" xfId="39501" xr:uid="{00000000-0005-0000-0000-000035A60000}"/>
    <cellStyle name="Wrap Bold 2 3 7 6 7 2" xfId="39502" xr:uid="{00000000-0005-0000-0000-000036A60000}"/>
    <cellStyle name="Wrap Bold 2 3 7 6 8" xfId="39503" xr:uid="{00000000-0005-0000-0000-000037A60000}"/>
    <cellStyle name="Wrap Bold 2 3 7 6 8 2" xfId="39504" xr:uid="{00000000-0005-0000-0000-000038A60000}"/>
    <cellStyle name="Wrap Bold 2 3 7 6 9" xfId="39505" xr:uid="{00000000-0005-0000-0000-000039A60000}"/>
    <cellStyle name="Wrap Bold 2 3 7 6 9 2" xfId="39506" xr:uid="{00000000-0005-0000-0000-00003AA60000}"/>
    <cellStyle name="Wrap Bold 2 3 7 7" xfId="39507" xr:uid="{00000000-0005-0000-0000-00003BA60000}"/>
    <cellStyle name="Wrap Bold 2 3 7 7 10" xfId="39508" xr:uid="{00000000-0005-0000-0000-00003CA60000}"/>
    <cellStyle name="Wrap Bold 2 3 7 7 2" xfId="39509" xr:uid="{00000000-0005-0000-0000-00003DA60000}"/>
    <cellStyle name="Wrap Bold 2 3 7 7 2 2" xfId="39510" xr:uid="{00000000-0005-0000-0000-00003EA60000}"/>
    <cellStyle name="Wrap Bold 2 3 7 7 3" xfId="39511" xr:uid="{00000000-0005-0000-0000-00003FA60000}"/>
    <cellStyle name="Wrap Bold 2 3 7 7 3 2" xfId="39512" xr:uid="{00000000-0005-0000-0000-000040A60000}"/>
    <cellStyle name="Wrap Bold 2 3 7 7 4" xfId="39513" xr:uid="{00000000-0005-0000-0000-000041A60000}"/>
    <cellStyle name="Wrap Bold 2 3 7 7 4 2" xfId="39514" xr:uid="{00000000-0005-0000-0000-000042A60000}"/>
    <cellStyle name="Wrap Bold 2 3 7 7 5" xfId="39515" xr:uid="{00000000-0005-0000-0000-000043A60000}"/>
    <cellStyle name="Wrap Bold 2 3 7 7 5 2" xfId="39516" xr:uid="{00000000-0005-0000-0000-000044A60000}"/>
    <cellStyle name="Wrap Bold 2 3 7 7 6" xfId="39517" xr:uid="{00000000-0005-0000-0000-000045A60000}"/>
    <cellStyle name="Wrap Bold 2 3 7 7 6 2" xfId="39518" xr:uid="{00000000-0005-0000-0000-000046A60000}"/>
    <cellStyle name="Wrap Bold 2 3 7 7 7" xfId="39519" xr:uid="{00000000-0005-0000-0000-000047A60000}"/>
    <cellStyle name="Wrap Bold 2 3 7 7 7 2" xfId="39520" xr:uid="{00000000-0005-0000-0000-000048A60000}"/>
    <cellStyle name="Wrap Bold 2 3 7 7 8" xfId="39521" xr:uid="{00000000-0005-0000-0000-000049A60000}"/>
    <cellStyle name="Wrap Bold 2 3 7 7 8 2" xfId="39522" xr:uid="{00000000-0005-0000-0000-00004AA60000}"/>
    <cellStyle name="Wrap Bold 2 3 7 7 9" xfId="39523" xr:uid="{00000000-0005-0000-0000-00004BA60000}"/>
    <cellStyle name="Wrap Bold 2 3 7 7 9 2" xfId="39524" xr:uid="{00000000-0005-0000-0000-00004CA60000}"/>
    <cellStyle name="Wrap Bold 2 3 7 8" xfId="39525" xr:uid="{00000000-0005-0000-0000-00004DA60000}"/>
    <cellStyle name="Wrap Bold 2 3 7 8 10" xfId="39526" xr:uid="{00000000-0005-0000-0000-00004EA60000}"/>
    <cellStyle name="Wrap Bold 2 3 7 8 2" xfId="39527" xr:uid="{00000000-0005-0000-0000-00004FA60000}"/>
    <cellStyle name="Wrap Bold 2 3 7 8 2 2" xfId="39528" xr:uid="{00000000-0005-0000-0000-000050A60000}"/>
    <cellStyle name="Wrap Bold 2 3 7 8 3" xfId="39529" xr:uid="{00000000-0005-0000-0000-000051A60000}"/>
    <cellStyle name="Wrap Bold 2 3 7 8 3 2" xfId="39530" xr:uid="{00000000-0005-0000-0000-000052A60000}"/>
    <cellStyle name="Wrap Bold 2 3 7 8 4" xfId="39531" xr:uid="{00000000-0005-0000-0000-000053A60000}"/>
    <cellStyle name="Wrap Bold 2 3 7 8 4 2" xfId="39532" xr:uid="{00000000-0005-0000-0000-000054A60000}"/>
    <cellStyle name="Wrap Bold 2 3 7 8 5" xfId="39533" xr:uid="{00000000-0005-0000-0000-000055A60000}"/>
    <cellStyle name="Wrap Bold 2 3 7 8 5 2" xfId="39534" xr:uid="{00000000-0005-0000-0000-000056A60000}"/>
    <cellStyle name="Wrap Bold 2 3 7 8 6" xfId="39535" xr:uid="{00000000-0005-0000-0000-000057A60000}"/>
    <cellStyle name="Wrap Bold 2 3 7 8 6 2" xfId="39536" xr:uid="{00000000-0005-0000-0000-000058A60000}"/>
    <cellStyle name="Wrap Bold 2 3 7 8 7" xfId="39537" xr:uid="{00000000-0005-0000-0000-000059A60000}"/>
    <cellStyle name="Wrap Bold 2 3 7 8 7 2" xfId="39538" xr:uid="{00000000-0005-0000-0000-00005AA60000}"/>
    <cellStyle name="Wrap Bold 2 3 7 8 8" xfId="39539" xr:uid="{00000000-0005-0000-0000-00005BA60000}"/>
    <cellStyle name="Wrap Bold 2 3 7 8 8 2" xfId="39540" xr:uid="{00000000-0005-0000-0000-00005CA60000}"/>
    <cellStyle name="Wrap Bold 2 3 7 8 9" xfId="39541" xr:uid="{00000000-0005-0000-0000-00005DA60000}"/>
    <cellStyle name="Wrap Bold 2 3 7 8 9 2" xfId="39542" xr:uid="{00000000-0005-0000-0000-00005EA60000}"/>
    <cellStyle name="Wrap Bold 2 3 7 9" xfId="39543" xr:uid="{00000000-0005-0000-0000-00005FA60000}"/>
    <cellStyle name="Wrap Bold 2 3 7 9 10" xfId="39544" xr:uid="{00000000-0005-0000-0000-000060A60000}"/>
    <cellStyle name="Wrap Bold 2 3 7 9 2" xfId="39545" xr:uid="{00000000-0005-0000-0000-000061A60000}"/>
    <cellStyle name="Wrap Bold 2 3 7 9 2 2" xfId="39546" xr:uid="{00000000-0005-0000-0000-000062A60000}"/>
    <cellStyle name="Wrap Bold 2 3 7 9 3" xfId="39547" xr:uid="{00000000-0005-0000-0000-000063A60000}"/>
    <cellStyle name="Wrap Bold 2 3 7 9 3 2" xfId="39548" xr:uid="{00000000-0005-0000-0000-000064A60000}"/>
    <cellStyle name="Wrap Bold 2 3 7 9 4" xfId="39549" xr:uid="{00000000-0005-0000-0000-000065A60000}"/>
    <cellStyle name="Wrap Bold 2 3 7 9 4 2" xfId="39550" xr:uid="{00000000-0005-0000-0000-000066A60000}"/>
    <cellStyle name="Wrap Bold 2 3 7 9 5" xfId="39551" xr:uid="{00000000-0005-0000-0000-000067A60000}"/>
    <cellStyle name="Wrap Bold 2 3 7 9 5 2" xfId="39552" xr:uid="{00000000-0005-0000-0000-000068A60000}"/>
    <cellStyle name="Wrap Bold 2 3 7 9 6" xfId="39553" xr:uid="{00000000-0005-0000-0000-000069A60000}"/>
    <cellStyle name="Wrap Bold 2 3 7 9 6 2" xfId="39554" xr:uid="{00000000-0005-0000-0000-00006AA60000}"/>
    <cellStyle name="Wrap Bold 2 3 7 9 7" xfId="39555" xr:uid="{00000000-0005-0000-0000-00006BA60000}"/>
    <cellStyle name="Wrap Bold 2 3 7 9 7 2" xfId="39556" xr:uid="{00000000-0005-0000-0000-00006CA60000}"/>
    <cellStyle name="Wrap Bold 2 3 7 9 8" xfId="39557" xr:uid="{00000000-0005-0000-0000-00006DA60000}"/>
    <cellStyle name="Wrap Bold 2 3 7 9 8 2" xfId="39558" xr:uid="{00000000-0005-0000-0000-00006EA60000}"/>
    <cellStyle name="Wrap Bold 2 3 7 9 9" xfId="39559" xr:uid="{00000000-0005-0000-0000-00006FA60000}"/>
    <cellStyle name="Wrap Bold 2 3 7 9 9 2" xfId="39560" xr:uid="{00000000-0005-0000-0000-000070A60000}"/>
    <cellStyle name="Wrap Bold 2 3 8" xfId="39561" xr:uid="{00000000-0005-0000-0000-000071A60000}"/>
    <cellStyle name="Wrap Bold 2 3 8 10" xfId="39562" xr:uid="{00000000-0005-0000-0000-000072A60000}"/>
    <cellStyle name="Wrap Bold 2 3 8 10 2" xfId="39563" xr:uid="{00000000-0005-0000-0000-000073A60000}"/>
    <cellStyle name="Wrap Bold 2 3 8 10 2 2" xfId="39564" xr:uid="{00000000-0005-0000-0000-000074A60000}"/>
    <cellStyle name="Wrap Bold 2 3 8 10 3" xfId="39565" xr:uid="{00000000-0005-0000-0000-000075A60000}"/>
    <cellStyle name="Wrap Bold 2 3 8 10 3 2" xfId="39566" xr:uid="{00000000-0005-0000-0000-000076A60000}"/>
    <cellStyle name="Wrap Bold 2 3 8 10 4" xfId="39567" xr:uid="{00000000-0005-0000-0000-000077A60000}"/>
    <cellStyle name="Wrap Bold 2 3 8 10 4 2" xfId="39568" xr:uid="{00000000-0005-0000-0000-000078A60000}"/>
    <cellStyle name="Wrap Bold 2 3 8 10 5" xfId="39569" xr:uid="{00000000-0005-0000-0000-000079A60000}"/>
    <cellStyle name="Wrap Bold 2 3 8 10 5 2" xfId="39570" xr:uid="{00000000-0005-0000-0000-00007AA60000}"/>
    <cellStyle name="Wrap Bold 2 3 8 10 6" xfId="39571" xr:uid="{00000000-0005-0000-0000-00007BA60000}"/>
    <cellStyle name="Wrap Bold 2 3 8 10 6 2" xfId="39572" xr:uid="{00000000-0005-0000-0000-00007CA60000}"/>
    <cellStyle name="Wrap Bold 2 3 8 10 7" xfId="39573" xr:uid="{00000000-0005-0000-0000-00007DA60000}"/>
    <cellStyle name="Wrap Bold 2 3 8 10 7 2" xfId="39574" xr:uid="{00000000-0005-0000-0000-00007EA60000}"/>
    <cellStyle name="Wrap Bold 2 3 8 10 8" xfId="39575" xr:uid="{00000000-0005-0000-0000-00007FA60000}"/>
    <cellStyle name="Wrap Bold 2 3 8 10 8 2" xfId="39576" xr:uid="{00000000-0005-0000-0000-000080A60000}"/>
    <cellStyle name="Wrap Bold 2 3 8 10 9" xfId="39577" xr:uid="{00000000-0005-0000-0000-000081A60000}"/>
    <cellStyle name="Wrap Bold 2 3 8 11" xfId="39578" xr:uid="{00000000-0005-0000-0000-000082A60000}"/>
    <cellStyle name="Wrap Bold 2 3 8 11 2" xfId="39579" xr:uid="{00000000-0005-0000-0000-000083A60000}"/>
    <cellStyle name="Wrap Bold 2 3 8 12" xfId="39580" xr:uid="{00000000-0005-0000-0000-000084A60000}"/>
    <cellStyle name="Wrap Bold 2 3 8 12 2" xfId="39581" xr:uid="{00000000-0005-0000-0000-000085A60000}"/>
    <cellStyle name="Wrap Bold 2 3 8 13" xfId="39582" xr:uid="{00000000-0005-0000-0000-000086A60000}"/>
    <cellStyle name="Wrap Bold 2 3 8 13 2" xfId="39583" xr:uid="{00000000-0005-0000-0000-000087A60000}"/>
    <cellStyle name="Wrap Bold 2 3 8 14" xfId="39584" xr:uid="{00000000-0005-0000-0000-000088A60000}"/>
    <cellStyle name="Wrap Bold 2 3 8 14 2" xfId="39585" xr:uid="{00000000-0005-0000-0000-000089A60000}"/>
    <cellStyle name="Wrap Bold 2 3 8 15" xfId="39586" xr:uid="{00000000-0005-0000-0000-00008AA60000}"/>
    <cellStyle name="Wrap Bold 2 3 8 15 2" xfId="39587" xr:uid="{00000000-0005-0000-0000-00008BA60000}"/>
    <cellStyle name="Wrap Bold 2 3 8 16" xfId="39588" xr:uid="{00000000-0005-0000-0000-00008CA60000}"/>
    <cellStyle name="Wrap Bold 2 3 8 16 2" xfId="39589" xr:uid="{00000000-0005-0000-0000-00008DA60000}"/>
    <cellStyle name="Wrap Bold 2 3 8 17" xfId="39590" xr:uid="{00000000-0005-0000-0000-00008EA60000}"/>
    <cellStyle name="Wrap Bold 2 3 8 17 2" xfId="39591" xr:uid="{00000000-0005-0000-0000-00008FA60000}"/>
    <cellStyle name="Wrap Bold 2 3 8 18" xfId="39592" xr:uid="{00000000-0005-0000-0000-000090A60000}"/>
    <cellStyle name="Wrap Bold 2 3 8 2" xfId="39593" xr:uid="{00000000-0005-0000-0000-000091A60000}"/>
    <cellStyle name="Wrap Bold 2 3 8 2 10" xfId="39594" xr:uid="{00000000-0005-0000-0000-000092A60000}"/>
    <cellStyle name="Wrap Bold 2 3 8 2 2" xfId="39595" xr:uid="{00000000-0005-0000-0000-000093A60000}"/>
    <cellStyle name="Wrap Bold 2 3 8 2 2 2" xfId="39596" xr:uid="{00000000-0005-0000-0000-000094A60000}"/>
    <cellStyle name="Wrap Bold 2 3 8 2 3" xfId="39597" xr:uid="{00000000-0005-0000-0000-000095A60000}"/>
    <cellStyle name="Wrap Bold 2 3 8 2 3 2" xfId="39598" xr:uid="{00000000-0005-0000-0000-000096A60000}"/>
    <cellStyle name="Wrap Bold 2 3 8 2 4" xfId="39599" xr:uid="{00000000-0005-0000-0000-000097A60000}"/>
    <cellStyle name="Wrap Bold 2 3 8 2 4 2" xfId="39600" xr:uid="{00000000-0005-0000-0000-000098A60000}"/>
    <cellStyle name="Wrap Bold 2 3 8 2 5" xfId="39601" xr:uid="{00000000-0005-0000-0000-000099A60000}"/>
    <cellStyle name="Wrap Bold 2 3 8 2 5 2" xfId="39602" xr:uid="{00000000-0005-0000-0000-00009AA60000}"/>
    <cellStyle name="Wrap Bold 2 3 8 2 6" xfId="39603" xr:uid="{00000000-0005-0000-0000-00009BA60000}"/>
    <cellStyle name="Wrap Bold 2 3 8 2 6 2" xfId="39604" xr:uid="{00000000-0005-0000-0000-00009CA60000}"/>
    <cellStyle name="Wrap Bold 2 3 8 2 7" xfId="39605" xr:uid="{00000000-0005-0000-0000-00009DA60000}"/>
    <cellStyle name="Wrap Bold 2 3 8 2 7 2" xfId="39606" xr:uid="{00000000-0005-0000-0000-00009EA60000}"/>
    <cellStyle name="Wrap Bold 2 3 8 2 8" xfId="39607" xr:uid="{00000000-0005-0000-0000-00009FA60000}"/>
    <cellStyle name="Wrap Bold 2 3 8 2 8 2" xfId="39608" xr:uid="{00000000-0005-0000-0000-0000A0A60000}"/>
    <cellStyle name="Wrap Bold 2 3 8 2 9" xfId="39609" xr:uid="{00000000-0005-0000-0000-0000A1A60000}"/>
    <cellStyle name="Wrap Bold 2 3 8 2 9 2" xfId="39610" xr:uid="{00000000-0005-0000-0000-0000A2A60000}"/>
    <cellStyle name="Wrap Bold 2 3 8 3" xfId="39611" xr:uid="{00000000-0005-0000-0000-0000A3A60000}"/>
    <cellStyle name="Wrap Bold 2 3 8 3 10" xfId="39612" xr:uid="{00000000-0005-0000-0000-0000A4A60000}"/>
    <cellStyle name="Wrap Bold 2 3 8 3 2" xfId="39613" xr:uid="{00000000-0005-0000-0000-0000A5A60000}"/>
    <cellStyle name="Wrap Bold 2 3 8 3 2 2" xfId="39614" xr:uid="{00000000-0005-0000-0000-0000A6A60000}"/>
    <cellStyle name="Wrap Bold 2 3 8 3 3" xfId="39615" xr:uid="{00000000-0005-0000-0000-0000A7A60000}"/>
    <cellStyle name="Wrap Bold 2 3 8 3 3 2" xfId="39616" xr:uid="{00000000-0005-0000-0000-0000A8A60000}"/>
    <cellStyle name="Wrap Bold 2 3 8 3 4" xfId="39617" xr:uid="{00000000-0005-0000-0000-0000A9A60000}"/>
    <cellStyle name="Wrap Bold 2 3 8 3 4 2" xfId="39618" xr:uid="{00000000-0005-0000-0000-0000AAA60000}"/>
    <cellStyle name="Wrap Bold 2 3 8 3 5" xfId="39619" xr:uid="{00000000-0005-0000-0000-0000ABA60000}"/>
    <cellStyle name="Wrap Bold 2 3 8 3 5 2" xfId="39620" xr:uid="{00000000-0005-0000-0000-0000ACA60000}"/>
    <cellStyle name="Wrap Bold 2 3 8 3 6" xfId="39621" xr:uid="{00000000-0005-0000-0000-0000ADA60000}"/>
    <cellStyle name="Wrap Bold 2 3 8 3 6 2" xfId="39622" xr:uid="{00000000-0005-0000-0000-0000AEA60000}"/>
    <cellStyle name="Wrap Bold 2 3 8 3 7" xfId="39623" xr:uid="{00000000-0005-0000-0000-0000AFA60000}"/>
    <cellStyle name="Wrap Bold 2 3 8 3 7 2" xfId="39624" xr:uid="{00000000-0005-0000-0000-0000B0A60000}"/>
    <cellStyle name="Wrap Bold 2 3 8 3 8" xfId="39625" xr:uid="{00000000-0005-0000-0000-0000B1A60000}"/>
    <cellStyle name="Wrap Bold 2 3 8 3 8 2" xfId="39626" xr:uid="{00000000-0005-0000-0000-0000B2A60000}"/>
    <cellStyle name="Wrap Bold 2 3 8 3 9" xfId="39627" xr:uid="{00000000-0005-0000-0000-0000B3A60000}"/>
    <cellStyle name="Wrap Bold 2 3 8 3 9 2" xfId="39628" xr:uid="{00000000-0005-0000-0000-0000B4A60000}"/>
    <cellStyle name="Wrap Bold 2 3 8 4" xfId="39629" xr:uid="{00000000-0005-0000-0000-0000B5A60000}"/>
    <cellStyle name="Wrap Bold 2 3 8 4 10" xfId="39630" xr:uid="{00000000-0005-0000-0000-0000B6A60000}"/>
    <cellStyle name="Wrap Bold 2 3 8 4 2" xfId="39631" xr:uid="{00000000-0005-0000-0000-0000B7A60000}"/>
    <cellStyle name="Wrap Bold 2 3 8 4 2 2" xfId="39632" xr:uid="{00000000-0005-0000-0000-0000B8A60000}"/>
    <cellStyle name="Wrap Bold 2 3 8 4 3" xfId="39633" xr:uid="{00000000-0005-0000-0000-0000B9A60000}"/>
    <cellStyle name="Wrap Bold 2 3 8 4 3 2" xfId="39634" xr:uid="{00000000-0005-0000-0000-0000BAA60000}"/>
    <cellStyle name="Wrap Bold 2 3 8 4 4" xfId="39635" xr:uid="{00000000-0005-0000-0000-0000BBA60000}"/>
    <cellStyle name="Wrap Bold 2 3 8 4 4 2" xfId="39636" xr:uid="{00000000-0005-0000-0000-0000BCA60000}"/>
    <cellStyle name="Wrap Bold 2 3 8 4 5" xfId="39637" xr:uid="{00000000-0005-0000-0000-0000BDA60000}"/>
    <cellStyle name="Wrap Bold 2 3 8 4 5 2" xfId="39638" xr:uid="{00000000-0005-0000-0000-0000BEA60000}"/>
    <cellStyle name="Wrap Bold 2 3 8 4 6" xfId="39639" xr:uid="{00000000-0005-0000-0000-0000BFA60000}"/>
    <cellStyle name="Wrap Bold 2 3 8 4 6 2" xfId="39640" xr:uid="{00000000-0005-0000-0000-0000C0A60000}"/>
    <cellStyle name="Wrap Bold 2 3 8 4 7" xfId="39641" xr:uid="{00000000-0005-0000-0000-0000C1A60000}"/>
    <cellStyle name="Wrap Bold 2 3 8 4 7 2" xfId="39642" xr:uid="{00000000-0005-0000-0000-0000C2A60000}"/>
    <cellStyle name="Wrap Bold 2 3 8 4 8" xfId="39643" xr:uid="{00000000-0005-0000-0000-0000C3A60000}"/>
    <cellStyle name="Wrap Bold 2 3 8 4 8 2" xfId="39644" xr:uid="{00000000-0005-0000-0000-0000C4A60000}"/>
    <cellStyle name="Wrap Bold 2 3 8 4 9" xfId="39645" xr:uid="{00000000-0005-0000-0000-0000C5A60000}"/>
    <cellStyle name="Wrap Bold 2 3 8 4 9 2" xfId="39646" xr:uid="{00000000-0005-0000-0000-0000C6A60000}"/>
    <cellStyle name="Wrap Bold 2 3 8 5" xfId="39647" xr:uid="{00000000-0005-0000-0000-0000C7A60000}"/>
    <cellStyle name="Wrap Bold 2 3 8 5 10" xfId="39648" xr:uid="{00000000-0005-0000-0000-0000C8A60000}"/>
    <cellStyle name="Wrap Bold 2 3 8 5 2" xfId="39649" xr:uid="{00000000-0005-0000-0000-0000C9A60000}"/>
    <cellStyle name="Wrap Bold 2 3 8 5 2 2" xfId="39650" xr:uid="{00000000-0005-0000-0000-0000CAA60000}"/>
    <cellStyle name="Wrap Bold 2 3 8 5 3" xfId="39651" xr:uid="{00000000-0005-0000-0000-0000CBA60000}"/>
    <cellStyle name="Wrap Bold 2 3 8 5 3 2" xfId="39652" xr:uid="{00000000-0005-0000-0000-0000CCA60000}"/>
    <cellStyle name="Wrap Bold 2 3 8 5 4" xfId="39653" xr:uid="{00000000-0005-0000-0000-0000CDA60000}"/>
    <cellStyle name="Wrap Bold 2 3 8 5 4 2" xfId="39654" xr:uid="{00000000-0005-0000-0000-0000CEA60000}"/>
    <cellStyle name="Wrap Bold 2 3 8 5 5" xfId="39655" xr:uid="{00000000-0005-0000-0000-0000CFA60000}"/>
    <cellStyle name="Wrap Bold 2 3 8 5 5 2" xfId="39656" xr:uid="{00000000-0005-0000-0000-0000D0A60000}"/>
    <cellStyle name="Wrap Bold 2 3 8 5 6" xfId="39657" xr:uid="{00000000-0005-0000-0000-0000D1A60000}"/>
    <cellStyle name="Wrap Bold 2 3 8 5 6 2" xfId="39658" xr:uid="{00000000-0005-0000-0000-0000D2A60000}"/>
    <cellStyle name="Wrap Bold 2 3 8 5 7" xfId="39659" xr:uid="{00000000-0005-0000-0000-0000D3A60000}"/>
    <cellStyle name="Wrap Bold 2 3 8 5 7 2" xfId="39660" xr:uid="{00000000-0005-0000-0000-0000D4A60000}"/>
    <cellStyle name="Wrap Bold 2 3 8 5 8" xfId="39661" xr:uid="{00000000-0005-0000-0000-0000D5A60000}"/>
    <cellStyle name="Wrap Bold 2 3 8 5 8 2" xfId="39662" xr:uid="{00000000-0005-0000-0000-0000D6A60000}"/>
    <cellStyle name="Wrap Bold 2 3 8 5 9" xfId="39663" xr:uid="{00000000-0005-0000-0000-0000D7A60000}"/>
    <cellStyle name="Wrap Bold 2 3 8 5 9 2" xfId="39664" xr:uid="{00000000-0005-0000-0000-0000D8A60000}"/>
    <cellStyle name="Wrap Bold 2 3 8 6" xfId="39665" xr:uid="{00000000-0005-0000-0000-0000D9A60000}"/>
    <cellStyle name="Wrap Bold 2 3 8 6 10" xfId="39666" xr:uid="{00000000-0005-0000-0000-0000DAA60000}"/>
    <cellStyle name="Wrap Bold 2 3 8 6 2" xfId="39667" xr:uid="{00000000-0005-0000-0000-0000DBA60000}"/>
    <cellStyle name="Wrap Bold 2 3 8 6 2 2" xfId="39668" xr:uid="{00000000-0005-0000-0000-0000DCA60000}"/>
    <cellStyle name="Wrap Bold 2 3 8 6 3" xfId="39669" xr:uid="{00000000-0005-0000-0000-0000DDA60000}"/>
    <cellStyle name="Wrap Bold 2 3 8 6 3 2" xfId="39670" xr:uid="{00000000-0005-0000-0000-0000DEA60000}"/>
    <cellStyle name="Wrap Bold 2 3 8 6 4" xfId="39671" xr:uid="{00000000-0005-0000-0000-0000DFA60000}"/>
    <cellStyle name="Wrap Bold 2 3 8 6 4 2" xfId="39672" xr:uid="{00000000-0005-0000-0000-0000E0A60000}"/>
    <cellStyle name="Wrap Bold 2 3 8 6 5" xfId="39673" xr:uid="{00000000-0005-0000-0000-0000E1A60000}"/>
    <cellStyle name="Wrap Bold 2 3 8 6 5 2" xfId="39674" xr:uid="{00000000-0005-0000-0000-0000E2A60000}"/>
    <cellStyle name="Wrap Bold 2 3 8 6 6" xfId="39675" xr:uid="{00000000-0005-0000-0000-0000E3A60000}"/>
    <cellStyle name="Wrap Bold 2 3 8 6 6 2" xfId="39676" xr:uid="{00000000-0005-0000-0000-0000E4A60000}"/>
    <cellStyle name="Wrap Bold 2 3 8 6 7" xfId="39677" xr:uid="{00000000-0005-0000-0000-0000E5A60000}"/>
    <cellStyle name="Wrap Bold 2 3 8 6 7 2" xfId="39678" xr:uid="{00000000-0005-0000-0000-0000E6A60000}"/>
    <cellStyle name="Wrap Bold 2 3 8 6 8" xfId="39679" xr:uid="{00000000-0005-0000-0000-0000E7A60000}"/>
    <cellStyle name="Wrap Bold 2 3 8 6 8 2" xfId="39680" xr:uid="{00000000-0005-0000-0000-0000E8A60000}"/>
    <cellStyle name="Wrap Bold 2 3 8 6 9" xfId="39681" xr:uid="{00000000-0005-0000-0000-0000E9A60000}"/>
    <cellStyle name="Wrap Bold 2 3 8 6 9 2" xfId="39682" xr:uid="{00000000-0005-0000-0000-0000EAA60000}"/>
    <cellStyle name="Wrap Bold 2 3 8 7" xfId="39683" xr:uid="{00000000-0005-0000-0000-0000EBA60000}"/>
    <cellStyle name="Wrap Bold 2 3 8 7 10" xfId="39684" xr:uid="{00000000-0005-0000-0000-0000ECA60000}"/>
    <cellStyle name="Wrap Bold 2 3 8 7 2" xfId="39685" xr:uid="{00000000-0005-0000-0000-0000EDA60000}"/>
    <cellStyle name="Wrap Bold 2 3 8 7 2 2" xfId="39686" xr:uid="{00000000-0005-0000-0000-0000EEA60000}"/>
    <cellStyle name="Wrap Bold 2 3 8 7 3" xfId="39687" xr:uid="{00000000-0005-0000-0000-0000EFA60000}"/>
    <cellStyle name="Wrap Bold 2 3 8 7 3 2" xfId="39688" xr:uid="{00000000-0005-0000-0000-0000F0A60000}"/>
    <cellStyle name="Wrap Bold 2 3 8 7 4" xfId="39689" xr:uid="{00000000-0005-0000-0000-0000F1A60000}"/>
    <cellStyle name="Wrap Bold 2 3 8 7 4 2" xfId="39690" xr:uid="{00000000-0005-0000-0000-0000F2A60000}"/>
    <cellStyle name="Wrap Bold 2 3 8 7 5" xfId="39691" xr:uid="{00000000-0005-0000-0000-0000F3A60000}"/>
    <cellStyle name="Wrap Bold 2 3 8 7 5 2" xfId="39692" xr:uid="{00000000-0005-0000-0000-0000F4A60000}"/>
    <cellStyle name="Wrap Bold 2 3 8 7 6" xfId="39693" xr:uid="{00000000-0005-0000-0000-0000F5A60000}"/>
    <cellStyle name="Wrap Bold 2 3 8 7 6 2" xfId="39694" xr:uid="{00000000-0005-0000-0000-0000F6A60000}"/>
    <cellStyle name="Wrap Bold 2 3 8 7 7" xfId="39695" xr:uid="{00000000-0005-0000-0000-0000F7A60000}"/>
    <cellStyle name="Wrap Bold 2 3 8 7 7 2" xfId="39696" xr:uid="{00000000-0005-0000-0000-0000F8A60000}"/>
    <cellStyle name="Wrap Bold 2 3 8 7 8" xfId="39697" xr:uid="{00000000-0005-0000-0000-0000F9A60000}"/>
    <cellStyle name="Wrap Bold 2 3 8 7 8 2" xfId="39698" xr:uid="{00000000-0005-0000-0000-0000FAA60000}"/>
    <cellStyle name="Wrap Bold 2 3 8 7 9" xfId="39699" xr:uid="{00000000-0005-0000-0000-0000FBA60000}"/>
    <cellStyle name="Wrap Bold 2 3 8 7 9 2" xfId="39700" xr:uid="{00000000-0005-0000-0000-0000FCA60000}"/>
    <cellStyle name="Wrap Bold 2 3 8 8" xfId="39701" xr:uid="{00000000-0005-0000-0000-0000FDA60000}"/>
    <cellStyle name="Wrap Bold 2 3 8 8 10" xfId="39702" xr:uid="{00000000-0005-0000-0000-0000FEA60000}"/>
    <cellStyle name="Wrap Bold 2 3 8 8 2" xfId="39703" xr:uid="{00000000-0005-0000-0000-0000FFA60000}"/>
    <cellStyle name="Wrap Bold 2 3 8 8 2 2" xfId="39704" xr:uid="{00000000-0005-0000-0000-000000A70000}"/>
    <cellStyle name="Wrap Bold 2 3 8 8 3" xfId="39705" xr:uid="{00000000-0005-0000-0000-000001A70000}"/>
    <cellStyle name="Wrap Bold 2 3 8 8 3 2" xfId="39706" xr:uid="{00000000-0005-0000-0000-000002A70000}"/>
    <cellStyle name="Wrap Bold 2 3 8 8 4" xfId="39707" xr:uid="{00000000-0005-0000-0000-000003A70000}"/>
    <cellStyle name="Wrap Bold 2 3 8 8 4 2" xfId="39708" xr:uid="{00000000-0005-0000-0000-000004A70000}"/>
    <cellStyle name="Wrap Bold 2 3 8 8 5" xfId="39709" xr:uid="{00000000-0005-0000-0000-000005A70000}"/>
    <cellStyle name="Wrap Bold 2 3 8 8 5 2" xfId="39710" xr:uid="{00000000-0005-0000-0000-000006A70000}"/>
    <cellStyle name="Wrap Bold 2 3 8 8 6" xfId="39711" xr:uid="{00000000-0005-0000-0000-000007A70000}"/>
    <cellStyle name="Wrap Bold 2 3 8 8 6 2" xfId="39712" xr:uid="{00000000-0005-0000-0000-000008A70000}"/>
    <cellStyle name="Wrap Bold 2 3 8 8 7" xfId="39713" xr:uid="{00000000-0005-0000-0000-000009A70000}"/>
    <cellStyle name="Wrap Bold 2 3 8 8 7 2" xfId="39714" xr:uid="{00000000-0005-0000-0000-00000AA70000}"/>
    <cellStyle name="Wrap Bold 2 3 8 8 8" xfId="39715" xr:uid="{00000000-0005-0000-0000-00000BA70000}"/>
    <cellStyle name="Wrap Bold 2 3 8 8 8 2" xfId="39716" xr:uid="{00000000-0005-0000-0000-00000CA70000}"/>
    <cellStyle name="Wrap Bold 2 3 8 8 9" xfId="39717" xr:uid="{00000000-0005-0000-0000-00000DA70000}"/>
    <cellStyle name="Wrap Bold 2 3 8 8 9 2" xfId="39718" xr:uid="{00000000-0005-0000-0000-00000EA70000}"/>
    <cellStyle name="Wrap Bold 2 3 8 9" xfId="39719" xr:uid="{00000000-0005-0000-0000-00000FA70000}"/>
    <cellStyle name="Wrap Bold 2 3 8 9 10" xfId="39720" xr:uid="{00000000-0005-0000-0000-000010A70000}"/>
    <cellStyle name="Wrap Bold 2 3 8 9 2" xfId="39721" xr:uid="{00000000-0005-0000-0000-000011A70000}"/>
    <cellStyle name="Wrap Bold 2 3 8 9 2 2" xfId="39722" xr:uid="{00000000-0005-0000-0000-000012A70000}"/>
    <cellStyle name="Wrap Bold 2 3 8 9 3" xfId="39723" xr:uid="{00000000-0005-0000-0000-000013A70000}"/>
    <cellStyle name="Wrap Bold 2 3 8 9 3 2" xfId="39724" xr:uid="{00000000-0005-0000-0000-000014A70000}"/>
    <cellStyle name="Wrap Bold 2 3 8 9 4" xfId="39725" xr:uid="{00000000-0005-0000-0000-000015A70000}"/>
    <cellStyle name="Wrap Bold 2 3 8 9 4 2" xfId="39726" xr:uid="{00000000-0005-0000-0000-000016A70000}"/>
    <cellStyle name="Wrap Bold 2 3 8 9 5" xfId="39727" xr:uid="{00000000-0005-0000-0000-000017A70000}"/>
    <cellStyle name="Wrap Bold 2 3 8 9 5 2" xfId="39728" xr:uid="{00000000-0005-0000-0000-000018A70000}"/>
    <cellStyle name="Wrap Bold 2 3 8 9 6" xfId="39729" xr:uid="{00000000-0005-0000-0000-000019A70000}"/>
    <cellStyle name="Wrap Bold 2 3 8 9 6 2" xfId="39730" xr:uid="{00000000-0005-0000-0000-00001AA70000}"/>
    <cellStyle name="Wrap Bold 2 3 8 9 7" xfId="39731" xr:uid="{00000000-0005-0000-0000-00001BA70000}"/>
    <cellStyle name="Wrap Bold 2 3 8 9 7 2" xfId="39732" xr:uid="{00000000-0005-0000-0000-00001CA70000}"/>
    <cellStyle name="Wrap Bold 2 3 8 9 8" xfId="39733" xr:uid="{00000000-0005-0000-0000-00001DA70000}"/>
    <cellStyle name="Wrap Bold 2 3 8 9 8 2" xfId="39734" xr:uid="{00000000-0005-0000-0000-00001EA70000}"/>
    <cellStyle name="Wrap Bold 2 3 8 9 9" xfId="39735" xr:uid="{00000000-0005-0000-0000-00001FA70000}"/>
    <cellStyle name="Wrap Bold 2 3 8 9 9 2" xfId="39736" xr:uid="{00000000-0005-0000-0000-000020A70000}"/>
    <cellStyle name="Wrap Bold 2 4" xfId="39737" xr:uid="{00000000-0005-0000-0000-000021A70000}"/>
    <cellStyle name="Wrap Bold 2 4 10" xfId="39738" xr:uid="{00000000-0005-0000-0000-000022A70000}"/>
    <cellStyle name="Wrap Bold 2 4 10 10" xfId="39739" xr:uid="{00000000-0005-0000-0000-000023A70000}"/>
    <cellStyle name="Wrap Bold 2 4 10 2" xfId="39740" xr:uid="{00000000-0005-0000-0000-000024A70000}"/>
    <cellStyle name="Wrap Bold 2 4 10 2 2" xfId="39741" xr:uid="{00000000-0005-0000-0000-000025A70000}"/>
    <cellStyle name="Wrap Bold 2 4 10 3" xfId="39742" xr:uid="{00000000-0005-0000-0000-000026A70000}"/>
    <cellStyle name="Wrap Bold 2 4 10 3 2" xfId="39743" xr:uid="{00000000-0005-0000-0000-000027A70000}"/>
    <cellStyle name="Wrap Bold 2 4 10 4" xfId="39744" xr:uid="{00000000-0005-0000-0000-000028A70000}"/>
    <cellStyle name="Wrap Bold 2 4 10 4 2" xfId="39745" xr:uid="{00000000-0005-0000-0000-000029A70000}"/>
    <cellStyle name="Wrap Bold 2 4 10 5" xfId="39746" xr:uid="{00000000-0005-0000-0000-00002AA70000}"/>
    <cellStyle name="Wrap Bold 2 4 10 5 2" xfId="39747" xr:uid="{00000000-0005-0000-0000-00002BA70000}"/>
    <cellStyle name="Wrap Bold 2 4 10 6" xfId="39748" xr:uid="{00000000-0005-0000-0000-00002CA70000}"/>
    <cellStyle name="Wrap Bold 2 4 10 6 2" xfId="39749" xr:uid="{00000000-0005-0000-0000-00002DA70000}"/>
    <cellStyle name="Wrap Bold 2 4 10 7" xfId="39750" xr:uid="{00000000-0005-0000-0000-00002EA70000}"/>
    <cellStyle name="Wrap Bold 2 4 10 7 2" xfId="39751" xr:uid="{00000000-0005-0000-0000-00002FA70000}"/>
    <cellStyle name="Wrap Bold 2 4 10 8" xfId="39752" xr:uid="{00000000-0005-0000-0000-000030A70000}"/>
    <cellStyle name="Wrap Bold 2 4 10 8 2" xfId="39753" xr:uid="{00000000-0005-0000-0000-000031A70000}"/>
    <cellStyle name="Wrap Bold 2 4 10 9" xfId="39754" xr:uid="{00000000-0005-0000-0000-000032A70000}"/>
    <cellStyle name="Wrap Bold 2 4 10 9 2" xfId="39755" xr:uid="{00000000-0005-0000-0000-000033A70000}"/>
    <cellStyle name="Wrap Bold 2 4 11" xfId="39756" xr:uid="{00000000-0005-0000-0000-000034A70000}"/>
    <cellStyle name="Wrap Bold 2 4 11 2" xfId="39757" xr:uid="{00000000-0005-0000-0000-000035A70000}"/>
    <cellStyle name="Wrap Bold 2 4 11 2 2" xfId="39758" xr:uid="{00000000-0005-0000-0000-000036A70000}"/>
    <cellStyle name="Wrap Bold 2 4 11 3" xfId="39759" xr:uid="{00000000-0005-0000-0000-000037A70000}"/>
    <cellStyle name="Wrap Bold 2 4 11 3 2" xfId="39760" xr:uid="{00000000-0005-0000-0000-000038A70000}"/>
    <cellStyle name="Wrap Bold 2 4 11 4" xfId="39761" xr:uid="{00000000-0005-0000-0000-000039A70000}"/>
    <cellStyle name="Wrap Bold 2 4 11 4 2" xfId="39762" xr:uid="{00000000-0005-0000-0000-00003AA70000}"/>
    <cellStyle name="Wrap Bold 2 4 11 5" xfId="39763" xr:uid="{00000000-0005-0000-0000-00003BA70000}"/>
    <cellStyle name="Wrap Bold 2 4 11 5 2" xfId="39764" xr:uid="{00000000-0005-0000-0000-00003CA70000}"/>
    <cellStyle name="Wrap Bold 2 4 11 6" xfId="39765" xr:uid="{00000000-0005-0000-0000-00003DA70000}"/>
    <cellStyle name="Wrap Bold 2 4 11 6 2" xfId="39766" xr:uid="{00000000-0005-0000-0000-00003EA70000}"/>
    <cellStyle name="Wrap Bold 2 4 11 7" xfId="39767" xr:uid="{00000000-0005-0000-0000-00003FA70000}"/>
    <cellStyle name="Wrap Bold 2 4 11 7 2" xfId="39768" xr:uid="{00000000-0005-0000-0000-000040A70000}"/>
    <cellStyle name="Wrap Bold 2 4 11 8" xfId="39769" xr:uid="{00000000-0005-0000-0000-000041A70000}"/>
    <cellStyle name="Wrap Bold 2 4 11 8 2" xfId="39770" xr:uid="{00000000-0005-0000-0000-000042A70000}"/>
    <cellStyle name="Wrap Bold 2 4 11 9" xfId="39771" xr:uid="{00000000-0005-0000-0000-000043A70000}"/>
    <cellStyle name="Wrap Bold 2 4 2" xfId="39772" xr:uid="{00000000-0005-0000-0000-000044A70000}"/>
    <cellStyle name="Wrap Bold 2 4 2 10" xfId="39773" xr:uid="{00000000-0005-0000-0000-000045A70000}"/>
    <cellStyle name="Wrap Bold 2 4 2 2" xfId="39774" xr:uid="{00000000-0005-0000-0000-000046A70000}"/>
    <cellStyle name="Wrap Bold 2 4 2 2 2" xfId="39775" xr:uid="{00000000-0005-0000-0000-000047A70000}"/>
    <cellStyle name="Wrap Bold 2 4 2 3" xfId="39776" xr:uid="{00000000-0005-0000-0000-000048A70000}"/>
    <cellStyle name="Wrap Bold 2 4 2 3 2" xfId="39777" xr:uid="{00000000-0005-0000-0000-000049A70000}"/>
    <cellStyle name="Wrap Bold 2 4 2 4" xfId="39778" xr:uid="{00000000-0005-0000-0000-00004AA70000}"/>
    <cellStyle name="Wrap Bold 2 4 2 4 2" xfId="39779" xr:uid="{00000000-0005-0000-0000-00004BA70000}"/>
    <cellStyle name="Wrap Bold 2 4 2 5" xfId="39780" xr:uid="{00000000-0005-0000-0000-00004CA70000}"/>
    <cellStyle name="Wrap Bold 2 4 2 5 2" xfId="39781" xr:uid="{00000000-0005-0000-0000-00004DA70000}"/>
    <cellStyle name="Wrap Bold 2 4 2 6" xfId="39782" xr:uid="{00000000-0005-0000-0000-00004EA70000}"/>
    <cellStyle name="Wrap Bold 2 4 2 6 2" xfId="39783" xr:uid="{00000000-0005-0000-0000-00004FA70000}"/>
    <cellStyle name="Wrap Bold 2 4 2 7" xfId="39784" xr:uid="{00000000-0005-0000-0000-000050A70000}"/>
    <cellStyle name="Wrap Bold 2 4 2 7 2" xfId="39785" xr:uid="{00000000-0005-0000-0000-000051A70000}"/>
    <cellStyle name="Wrap Bold 2 4 2 8" xfId="39786" xr:uid="{00000000-0005-0000-0000-000052A70000}"/>
    <cellStyle name="Wrap Bold 2 4 2 8 2" xfId="39787" xr:uid="{00000000-0005-0000-0000-000053A70000}"/>
    <cellStyle name="Wrap Bold 2 4 2 9" xfId="39788" xr:uid="{00000000-0005-0000-0000-000054A70000}"/>
    <cellStyle name="Wrap Bold 2 4 2 9 2" xfId="39789" xr:uid="{00000000-0005-0000-0000-000055A70000}"/>
    <cellStyle name="Wrap Bold 2 4 3" xfId="39790" xr:uid="{00000000-0005-0000-0000-000056A70000}"/>
    <cellStyle name="Wrap Bold 2 4 3 10" xfId="39791" xr:uid="{00000000-0005-0000-0000-000057A70000}"/>
    <cellStyle name="Wrap Bold 2 4 3 2" xfId="39792" xr:uid="{00000000-0005-0000-0000-000058A70000}"/>
    <cellStyle name="Wrap Bold 2 4 3 2 2" xfId="39793" xr:uid="{00000000-0005-0000-0000-000059A70000}"/>
    <cellStyle name="Wrap Bold 2 4 3 3" xfId="39794" xr:uid="{00000000-0005-0000-0000-00005AA70000}"/>
    <cellStyle name="Wrap Bold 2 4 3 3 2" xfId="39795" xr:uid="{00000000-0005-0000-0000-00005BA70000}"/>
    <cellStyle name="Wrap Bold 2 4 3 4" xfId="39796" xr:uid="{00000000-0005-0000-0000-00005CA70000}"/>
    <cellStyle name="Wrap Bold 2 4 3 4 2" xfId="39797" xr:uid="{00000000-0005-0000-0000-00005DA70000}"/>
    <cellStyle name="Wrap Bold 2 4 3 5" xfId="39798" xr:uid="{00000000-0005-0000-0000-00005EA70000}"/>
    <cellStyle name="Wrap Bold 2 4 3 5 2" xfId="39799" xr:uid="{00000000-0005-0000-0000-00005FA70000}"/>
    <cellStyle name="Wrap Bold 2 4 3 6" xfId="39800" xr:uid="{00000000-0005-0000-0000-000060A70000}"/>
    <cellStyle name="Wrap Bold 2 4 3 6 2" xfId="39801" xr:uid="{00000000-0005-0000-0000-000061A70000}"/>
    <cellStyle name="Wrap Bold 2 4 3 7" xfId="39802" xr:uid="{00000000-0005-0000-0000-000062A70000}"/>
    <cellStyle name="Wrap Bold 2 4 3 7 2" xfId="39803" xr:uid="{00000000-0005-0000-0000-000063A70000}"/>
    <cellStyle name="Wrap Bold 2 4 3 8" xfId="39804" xr:uid="{00000000-0005-0000-0000-000064A70000}"/>
    <cellStyle name="Wrap Bold 2 4 3 8 2" xfId="39805" xr:uid="{00000000-0005-0000-0000-000065A70000}"/>
    <cellStyle name="Wrap Bold 2 4 3 9" xfId="39806" xr:uid="{00000000-0005-0000-0000-000066A70000}"/>
    <cellStyle name="Wrap Bold 2 4 3 9 2" xfId="39807" xr:uid="{00000000-0005-0000-0000-000067A70000}"/>
    <cellStyle name="Wrap Bold 2 4 4" xfId="39808" xr:uid="{00000000-0005-0000-0000-000068A70000}"/>
    <cellStyle name="Wrap Bold 2 4 4 10" xfId="39809" xr:uid="{00000000-0005-0000-0000-000069A70000}"/>
    <cellStyle name="Wrap Bold 2 4 4 2" xfId="39810" xr:uid="{00000000-0005-0000-0000-00006AA70000}"/>
    <cellStyle name="Wrap Bold 2 4 4 2 2" xfId="39811" xr:uid="{00000000-0005-0000-0000-00006BA70000}"/>
    <cellStyle name="Wrap Bold 2 4 4 3" xfId="39812" xr:uid="{00000000-0005-0000-0000-00006CA70000}"/>
    <cellStyle name="Wrap Bold 2 4 4 3 2" xfId="39813" xr:uid="{00000000-0005-0000-0000-00006DA70000}"/>
    <cellStyle name="Wrap Bold 2 4 4 4" xfId="39814" xr:uid="{00000000-0005-0000-0000-00006EA70000}"/>
    <cellStyle name="Wrap Bold 2 4 4 4 2" xfId="39815" xr:uid="{00000000-0005-0000-0000-00006FA70000}"/>
    <cellStyle name="Wrap Bold 2 4 4 5" xfId="39816" xr:uid="{00000000-0005-0000-0000-000070A70000}"/>
    <cellStyle name="Wrap Bold 2 4 4 5 2" xfId="39817" xr:uid="{00000000-0005-0000-0000-000071A70000}"/>
    <cellStyle name="Wrap Bold 2 4 4 6" xfId="39818" xr:uid="{00000000-0005-0000-0000-000072A70000}"/>
    <cellStyle name="Wrap Bold 2 4 4 6 2" xfId="39819" xr:uid="{00000000-0005-0000-0000-000073A70000}"/>
    <cellStyle name="Wrap Bold 2 4 4 7" xfId="39820" xr:uid="{00000000-0005-0000-0000-000074A70000}"/>
    <cellStyle name="Wrap Bold 2 4 4 7 2" xfId="39821" xr:uid="{00000000-0005-0000-0000-000075A70000}"/>
    <cellStyle name="Wrap Bold 2 4 4 8" xfId="39822" xr:uid="{00000000-0005-0000-0000-000076A70000}"/>
    <cellStyle name="Wrap Bold 2 4 4 8 2" xfId="39823" xr:uid="{00000000-0005-0000-0000-000077A70000}"/>
    <cellStyle name="Wrap Bold 2 4 4 9" xfId="39824" xr:uid="{00000000-0005-0000-0000-000078A70000}"/>
    <cellStyle name="Wrap Bold 2 4 4 9 2" xfId="39825" xr:uid="{00000000-0005-0000-0000-000079A70000}"/>
    <cellStyle name="Wrap Bold 2 4 5" xfId="39826" xr:uid="{00000000-0005-0000-0000-00007AA70000}"/>
    <cellStyle name="Wrap Bold 2 4 5 10" xfId="39827" xr:uid="{00000000-0005-0000-0000-00007BA70000}"/>
    <cellStyle name="Wrap Bold 2 4 5 2" xfId="39828" xr:uid="{00000000-0005-0000-0000-00007CA70000}"/>
    <cellStyle name="Wrap Bold 2 4 5 2 2" xfId="39829" xr:uid="{00000000-0005-0000-0000-00007DA70000}"/>
    <cellStyle name="Wrap Bold 2 4 5 3" xfId="39830" xr:uid="{00000000-0005-0000-0000-00007EA70000}"/>
    <cellStyle name="Wrap Bold 2 4 5 3 2" xfId="39831" xr:uid="{00000000-0005-0000-0000-00007FA70000}"/>
    <cellStyle name="Wrap Bold 2 4 5 4" xfId="39832" xr:uid="{00000000-0005-0000-0000-000080A70000}"/>
    <cellStyle name="Wrap Bold 2 4 5 4 2" xfId="39833" xr:uid="{00000000-0005-0000-0000-000081A70000}"/>
    <cellStyle name="Wrap Bold 2 4 5 5" xfId="39834" xr:uid="{00000000-0005-0000-0000-000082A70000}"/>
    <cellStyle name="Wrap Bold 2 4 5 5 2" xfId="39835" xr:uid="{00000000-0005-0000-0000-000083A70000}"/>
    <cellStyle name="Wrap Bold 2 4 5 6" xfId="39836" xr:uid="{00000000-0005-0000-0000-000084A70000}"/>
    <cellStyle name="Wrap Bold 2 4 5 6 2" xfId="39837" xr:uid="{00000000-0005-0000-0000-000085A70000}"/>
    <cellStyle name="Wrap Bold 2 4 5 7" xfId="39838" xr:uid="{00000000-0005-0000-0000-000086A70000}"/>
    <cellStyle name="Wrap Bold 2 4 5 7 2" xfId="39839" xr:uid="{00000000-0005-0000-0000-000087A70000}"/>
    <cellStyle name="Wrap Bold 2 4 5 8" xfId="39840" xr:uid="{00000000-0005-0000-0000-000088A70000}"/>
    <cellStyle name="Wrap Bold 2 4 5 8 2" xfId="39841" xr:uid="{00000000-0005-0000-0000-000089A70000}"/>
    <cellStyle name="Wrap Bold 2 4 5 9" xfId="39842" xr:uid="{00000000-0005-0000-0000-00008AA70000}"/>
    <cellStyle name="Wrap Bold 2 4 5 9 2" xfId="39843" xr:uid="{00000000-0005-0000-0000-00008BA70000}"/>
    <cellStyle name="Wrap Bold 2 4 6" xfId="39844" xr:uid="{00000000-0005-0000-0000-00008CA70000}"/>
    <cellStyle name="Wrap Bold 2 4 6 10" xfId="39845" xr:uid="{00000000-0005-0000-0000-00008DA70000}"/>
    <cellStyle name="Wrap Bold 2 4 6 2" xfId="39846" xr:uid="{00000000-0005-0000-0000-00008EA70000}"/>
    <cellStyle name="Wrap Bold 2 4 6 2 2" xfId="39847" xr:uid="{00000000-0005-0000-0000-00008FA70000}"/>
    <cellStyle name="Wrap Bold 2 4 6 3" xfId="39848" xr:uid="{00000000-0005-0000-0000-000090A70000}"/>
    <cellStyle name="Wrap Bold 2 4 6 3 2" xfId="39849" xr:uid="{00000000-0005-0000-0000-000091A70000}"/>
    <cellStyle name="Wrap Bold 2 4 6 4" xfId="39850" xr:uid="{00000000-0005-0000-0000-000092A70000}"/>
    <cellStyle name="Wrap Bold 2 4 6 4 2" xfId="39851" xr:uid="{00000000-0005-0000-0000-000093A70000}"/>
    <cellStyle name="Wrap Bold 2 4 6 5" xfId="39852" xr:uid="{00000000-0005-0000-0000-000094A70000}"/>
    <cellStyle name="Wrap Bold 2 4 6 5 2" xfId="39853" xr:uid="{00000000-0005-0000-0000-000095A70000}"/>
    <cellStyle name="Wrap Bold 2 4 6 6" xfId="39854" xr:uid="{00000000-0005-0000-0000-000096A70000}"/>
    <cellStyle name="Wrap Bold 2 4 6 6 2" xfId="39855" xr:uid="{00000000-0005-0000-0000-000097A70000}"/>
    <cellStyle name="Wrap Bold 2 4 6 7" xfId="39856" xr:uid="{00000000-0005-0000-0000-000098A70000}"/>
    <cellStyle name="Wrap Bold 2 4 6 7 2" xfId="39857" xr:uid="{00000000-0005-0000-0000-000099A70000}"/>
    <cellStyle name="Wrap Bold 2 4 6 8" xfId="39858" xr:uid="{00000000-0005-0000-0000-00009AA70000}"/>
    <cellStyle name="Wrap Bold 2 4 6 8 2" xfId="39859" xr:uid="{00000000-0005-0000-0000-00009BA70000}"/>
    <cellStyle name="Wrap Bold 2 4 6 9" xfId="39860" xr:uid="{00000000-0005-0000-0000-00009CA70000}"/>
    <cellStyle name="Wrap Bold 2 4 6 9 2" xfId="39861" xr:uid="{00000000-0005-0000-0000-00009DA70000}"/>
    <cellStyle name="Wrap Bold 2 4 7" xfId="39862" xr:uid="{00000000-0005-0000-0000-00009EA70000}"/>
    <cellStyle name="Wrap Bold 2 4 7 10" xfId="39863" xr:uid="{00000000-0005-0000-0000-00009FA70000}"/>
    <cellStyle name="Wrap Bold 2 4 7 2" xfId="39864" xr:uid="{00000000-0005-0000-0000-0000A0A70000}"/>
    <cellStyle name="Wrap Bold 2 4 7 2 2" xfId="39865" xr:uid="{00000000-0005-0000-0000-0000A1A70000}"/>
    <cellStyle name="Wrap Bold 2 4 7 3" xfId="39866" xr:uid="{00000000-0005-0000-0000-0000A2A70000}"/>
    <cellStyle name="Wrap Bold 2 4 7 3 2" xfId="39867" xr:uid="{00000000-0005-0000-0000-0000A3A70000}"/>
    <cellStyle name="Wrap Bold 2 4 7 4" xfId="39868" xr:uid="{00000000-0005-0000-0000-0000A4A70000}"/>
    <cellStyle name="Wrap Bold 2 4 7 4 2" xfId="39869" xr:uid="{00000000-0005-0000-0000-0000A5A70000}"/>
    <cellStyle name="Wrap Bold 2 4 7 5" xfId="39870" xr:uid="{00000000-0005-0000-0000-0000A6A70000}"/>
    <cellStyle name="Wrap Bold 2 4 7 5 2" xfId="39871" xr:uid="{00000000-0005-0000-0000-0000A7A70000}"/>
    <cellStyle name="Wrap Bold 2 4 7 6" xfId="39872" xr:uid="{00000000-0005-0000-0000-0000A8A70000}"/>
    <cellStyle name="Wrap Bold 2 4 7 6 2" xfId="39873" xr:uid="{00000000-0005-0000-0000-0000A9A70000}"/>
    <cellStyle name="Wrap Bold 2 4 7 7" xfId="39874" xr:uid="{00000000-0005-0000-0000-0000AAA70000}"/>
    <cellStyle name="Wrap Bold 2 4 7 7 2" xfId="39875" xr:uid="{00000000-0005-0000-0000-0000ABA70000}"/>
    <cellStyle name="Wrap Bold 2 4 7 8" xfId="39876" xr:uid="{00000000-0005-0000-0000-0000ACA70000}"/>
    <cellStyle name="Wrap Bold 2 4 7 8 2" xfId="39877" xr:uid="{00000000-0005-0000-0000-0000ADA70000}"/>
    <cellStyle name="Wrap Bold 2 4 7 9" xfId="39878" xr:uid="{00000000-0005-0000-0000-0000AEA70000}"/>
    <cellStyle name="Wrap Bold 2 4 7 9 2" xfId="39879" xr:uid="{00000000-0005-0000-0000-0000AFA70000}"/>
    <cellStyle name="Wrap Bold 2 4 8" xfId="39880" xr:uid="{00000000-0005-0000-0000-0000B0A70000}"/>
    <cellStyle name="Wrap Bold 2 4 8 10" xfId="39881" xr:uid="{00000000-0005-0000-0000-0000B1A70000}"/>
    <cellStyle name="Wrap Bold 2 4 8 2" xfId="39882" xr:uid="{00000000-0005-0000-0000-0000B2A70000}"/>
    <cellStyle name="Wrap Bold 2 4 8 2 2" xfId="39883" xr:uid="{00000000-0005-0000-0000-0000B3A70000}"/>
    <cellStyle name="Wrap Bold 2 4 8 3" xfId="39884" xr:uid="{00000000-0005-0000-0000-0000B4A70000}"/>
    <cellStyle name="Wrap Bold 2 4 8 3 2" xfId="39885" xr:uid="{00000000-0005-0000-0000-0000B5A70000}"/>
    <cellStyle name="Wrap Bold 2 4 8 4" xfId="39886" xr:uid="{00000000-0005-0000-0000-0000B6A70000}"/>
    <cellStyle name="Wrap Bold 2 4 8 4 2" xfId="39887" xr:uid="{00000000-0005-0000-0000-0000B7A70000}"/>
    <cellStyle name="Wrap Bold 2 4 8 5" xfId="39888" xr:uid="{00000000-0005-0000-0000-0000B8A70000}"/>
    <cellStyle name="Wrap Bold 2 4 8 5 2" xfId="39889" xr:uid="{00000000-0005-0000-0000-0000B9A70000}"/>
    <cellStyle name="Wrap Bold 2 4 8 6" xfId="39890" xr:uid="{00000000-0005-0000-0000-0000BAA70000}"/>
    <cellStyle name="Wrap Bold 2 4 8 6 2" xfId="39891" xr:uid="{00000000-0005-0000-0000-0000BBA70000}"/>
    <cellStyle name="Wrap Bold 2 4 8 7" xfId="39892" xr:uid="{00000000-0005-0000-0000-0000BCA70000}"/>
    <cellStyle name="Wrap Bold 2 4 8 7 2" xfId="39893" xr:uid="{00000000-0005-0000-0000-0000BDA70000}"/>
    <cellStyle name="Wrap Bold 2 4 8 8" xfId="39894" xr:uid="{00000000-0005-0000-0000-0000BEA70000}"/>
    <cellStyle name="Wrap Bold 2 4 8 8 2" xfId="39895" xr:uid="{00000000-0005-0000-0000-0000BFA70000}"/>
    <cellStyle name="Wrap Bold 2 4 8 9" xfId="39896" xr:uid="{00000000-0005-0000-0000-0000C0A70000}"/>
    <cellStyle name="Wrap Bold 2 4 8 9 2" xfId="39897" xr:uid="{00000000-0005-0000-0000-0000C1A70000}"/>
    <cellStyle name="Wrap Bold 2 4 9" xfId="39898" xr:uid="{00000000-0005-0000-0000-0000C2A70000}"/>
    <cellStyle name="Wrap Bold 2 4 9 10" xfId="39899" xr:uid="{00000000-0005-0000-0000-0000C3A70000}"/>
    <cellStyle name="Wrap Bold 2 4 9 2" xfId="39900" xr:uid="{00000000-0005-0000-0000-0000C4A70000}"/>
    <cellStyle name="Wrap Bold 2 4 9 2 2" xfId="39901" xr:uid="{00000000-0005-0000-0000-0000C5A70000}"/>
    <cellStyle name="Wrap Bold 2 4 9 3" xfId="39902" xr:uid="{00000000-0005-0000-0000-0000C6A70000}"/>
    <cellStyle name="Wrap Bold 2 4 9 3 2" xfId="39903" xr:uid="{00000000-0005-0000-0000-0000C7A70000}"/>
    <cellStyle name="Wrap Bold 2 4 9 4" xfId="39904" xr:uid="{00000000-0005-0000-0000-0000C8A70000}"/>
    <cellStyle name="Wrap Bold 2 4 9 4 2" xfId="39905" xr:uid="{00000000-0005-0000-0000-0000C9A70000}"/>
    <cellStyle name="Wrap Bold 2 4 9 5" xfId="39906" xr:uid="{00000000-0005-0000-0000-0000CAA70000}"/>
    <cellStyle name="Wrap Bold 2 4 9 5 2" xfId="39907" xr:uid="{00000000-0005-0000-0000-0000CBA70000}"/>
    <cellStyle name="Wrap Bold 2 4 9 6" xfId="39908" xr:uid="{00000000-0005-0000-0000-0000CCA70000}"/>
    <cellStyle name="Wrap Bold 2 4 9 6 2" xfId="39909" xr:uid="{00000000-0005-0000-0000-0000CDA70000}"/>
    <cellStyle name="Wrap Bold 2 4 9 7" xfId="39910" xr:uid="{00000000-0005-0000-0000-0000CEA70000}"/>
    <cellStyle name="Wrap Bold 2 4 9 7 2" xfId="39911" xr:uid="{00000000-0005-0000-0000-0000CFA70000}"/>
    <cellStyle name="Wrap Bold 2 4 9 8" xfId="39912" xr:uid="{00000000-0005-0000-0000-0000D0A70000}"/>
    <cellStyle name="Wrap Bold 2 4 9 8 2" xfId="39913" xr:uid="{00000000-0005-0000-0000-0000D1A70000}"/>
    <cellStyle name="Wrap Bold 2 4 9 9" xfId="39914" xr:uid="{00000000-0005-0000-0000-0000D2A70000}"/>
    <cellStyle name="Wrap Bold 2 4 9 9 2" xfId="39915" xr:uid="{00000000-0005-0000-0000-0000D3A70000}"/>
    <cellStyle name="Wrap Bold 2 5" xfId="39916" xr:uid="{00000000-0005-0000-0000-0000D4A70000}"/>
    <cellStyle name="Wrap Bold 2 5 10" xfId="39917" xr:uid="{00000000-0005-0000-0000-0000D5A70000}"/>
    <cellStyle name="Wrap Bold 2 5 10 10" xfId="39918" xr:uid="{00000000-0005-0000-0000-0000D6A70000}"/>
    <cellStyle name="Wrap Bold 2 5 10 2" xfId="39919" xr:uid="{00000000-0005-0000-0000-0000D7A70000}"/>
    <cellStyle name="Wrap Bold 2 5 10 2 2" xfId="39920" xr:uid="{00000000-0005-0000-0000-0000D8A70000}"/>
    <cellStyle name="Wrap Bold 2 5 10 3" xfId="39921" xr:uid="{00000000-0005-0000-0000-0000D9A70000}"/>
    <cellStyle name="Wrap Bold 2 5 10 3 2" xfId="39922" xr:uid="{00000000-0005-0000-0000-0000DAA70000}"/>
    <cellStyle name="Wrap Bold 2 5 10 4" xfId="39923" xr:uid="{00000000-0005-0000-0000-0000DBA70000}"/>
    <cellStyle name="Wrap Bold 2 5 10 4 2" xfId="39924" xr:uid="{00000000-0005-0000-0000-0000DCA70000}"/>
    <cellStyle name="Wrap Bold 2 5 10 5" xfId="39925" xr:uid="{00000000-0005-0000-0000-0000DDA70000}"/>
    <cellStyle name="Wrap Bold 2 5 10 5 2" xfId="39926" xr:uid="{00000000-0005-0000-0000-0000DEA70000}"/>
    <cellStyle name="Wrap Bold 2 5 10 6" xfId="39927" xr:uid="{00000000-0005-0000-0000-0000DFA70000}"/>
    <cellStyle name="Wrap Bold 2 5 10 6 2" xfId="39928" xr:uid="{00000000-0005-0000-0000-0000E0A70000}"/>
    <cellStyle name="Wrap Bold 2 5 10 7" xfId="39929" xr:uid="{00000000-0005-0000-0000-0000E1A70000}"/>
    <cellStyle name="Wrap Bold 2 5 10 7 2" xfId="39930" xr:uid="{00000000-0005-0000-0000-0000E2A70000}"/>
    <cellStyle name="Wrap Bold 2 5 10 8" xfId="39931" xr:uid="{00000000-0005-0000-0000-0000E3A70000}"/>
    <cellStyle name="Wrap Bold 2 5 10 8 2" xfId="39932" xr:uid="{00000000-0005-0000-0000-0000E4A70000}"/>
    <cellStyle name="Wrap Bold 2 5 10 9" xfId="39933" xr:uid="{00000000-0005-0000-0000-0000E5A70000}"/>
    <cellStyle name="Wrap Bold 2 5 10 9 2" xfId="39934" xr:uid="{00000000-0005-0000-0000-0000E6A70000}"/>
    <cellStyle name="Wrap Bold 2 5 11" xfId="39935" xr:uid="{00000000-0005-0000-0000-0000E7A70000}"/>
    <cellStyle name="Wrap Bold 2 5 11 2" xfId="39936" xr:uid="{00000000-0005-0000-0000-0000E8A70000}"/>
    <cellStyle name="Wrap Bold 2 5 11 2 2" xfId="39937" xr:uid="{00000000-0005-0000-0000-0000E9A70000}"/>
    <cellStyle name="Wrap Bold 2 5 11 3" xfId="39938" xr:uid="{00000000-0005-0000-0000-0000EAA70000}"/>
    <cellStyle name="Wrap Bold 2 5 11 3 2" xfId="39939" xr:uid="{00000000-0005-0000-0000-0000EBA70000}"/>
    <cellStyle name="Wrap Bold 2 5 11 4" xfId="39940" xr:uid="{00000000-0005-0000-0000-0000ECA70000}"/>
    <cellStyle name="Wrap Bold 2 5 11 4 2" xfId="39941" xr:uid="{00000000-0005-0000-0000-0000EDA70000}"/>
    <cellStyle name="Wrap Bold 2 5 11 5" xfId="39942" xr:uid="{00000000-0005-0000-0000-0000EEA70000}"/>
    <cellStyle name="Wrap Bold 2 5 11 5 2" xfId="39943" xr:uid="{00000000-0005-0000-0000-0000EFA70000}"/>
    <cellStyle name="Wrap Bold 2 5 11 6" xfId="39944" xr:uid="{00000000-0005-0000-0000-0000F0A70000}"/>
    <cellStyle name="Wrap Bold 2 5 11 6 2" xfId="39945" xr:uid="{00000000-0005-0000-0000-0000F1A70000}"/>
    <cellStyle name="Wrap Bold 2 5 11 7" xfId="39946" xr:uid="{00000000-0005-0000-0000-0000F2A70000}"/>
    <cellStyle name="Wrap Bold 2 5 11 7 2" xfId="39947" xr:uid="{00000000-0005-0000-0000-0000F3A70000}"/>
    <cellStyle name="Wrap Bold 2 5 11 8" xfId="39948" xr:uid="{00000000-0005-0000-0000-0000F4A70000}"/>
    <cellStyle name="Wrap Bold 2 5 11 8 2" xfId="39949" xr:uid="{00000000-0005-0000-0000-0000F5A70000}"/>
    <cellStyle name="Wrap Bold 2 5 11 9" xfId="39950" xr:uid="{00000000-0005-0000-0000-0000F6A70000}"/>
    <cellStyle name="Wrap Bold 2 5 2" xfId="39951" xr:uid="{00000000-0005-0000-0000-0000F7A70000}"/>
    <cellStyle name="Wrap Bold 2 5 2 10" xfId="39952" xr:uid="{00000000-0005-0000-0000-0000F8A70000}"/>
    <cellStyle name="Wrap Bold 2 5 2 2" xfId="39953" xr:uid="{00000000-0005-0000-0000-0000F9A70000}"/>
    <cellStyle name="Wrap Bold 2 5 2 2 2" xfId="39954" xr:uid="{00000000-0005-0000-0000-0000FAA70000}"/>
    <cellStyle name="Wrap Bold 2 5 2 3" xfId="39955" xr:uid="{00000000-0005-0000-0000-0000FBA70000}"/>
    <cellStyle name="Wrap Bold 2 5 2 3 2" xfId="39956" xr:uid="{00000000-0005-0000-0000-0000FCA70000}"/>
    <cellStyle name="Wrap Bold 2 5 2 4" xfId="39957" xr:uid="{00000000-0005-0000-0000-0000FDA70000}"/>
    <cellStyle name="Wrap Bold 2 5 2 4 2" xfId="39958" xr:uid="{00000000-0005-0000-0000-0000FEA70000}"/>
    <cellStyle name="Wrap Bold 2 5 2 5" xfId="39959" xr:uid="{00000000-0005-0000-0000-0000FFA70000}"/>
    <cellStyle name="Wrap Bold 2 5 2 5 2" xfId="39960" xr:uid="{00000000-0005-0000-0000-000000A80000}"/>
    <cellStyle name="Wrap Bold 2 5 2 6" xfId="39961" xr:uid="{00000000-0005-0000-0000-000001A80000}"/>
    <cellStyle name="Wrap Bold 2 5 2 6 2" xfId="39962" xr:uid="{00000000-0005-0000-0000-000002A80000}"/>
    <cellStyle name="Wrap Bold 2 5 2 7" xfId="39963" xr:uid="{00000000-0005-0000-0000-000003A80000}"/>
    <cellStyle name="Wrap Bold 2 5 2 7 2" xfId="39964" xr:uid="{00000000-0005-0000-0000-000004A80000}"/>
    <cellStyle name="Wrap Bold 2 5 2 8" xfId="39965" xr:uid="{00000000-0005-0000-0000-000005A80000}"/>
    <cellStyle name="Wrap Bold 2 5 2 8 2" xfId="39966" xr:uid="{00000000-0005-0000-0000-000006A80000}"/>
    <cellStyle name="Wrap Bold 2 5 2 9" xfId="39967" xr:uid="{00000000-0005-0000-0000-000007A80000}"/>
    <cellStyle name="Wrap Bold 2 5 2 9 2" xfId="39968" xr:uid="{00000000-0005-0000-0000-000008A80000}"/>
    <cellStyle name="Wrap Bold 2 5 3" xfId="39969" xr:uid="{00000000-0005-0000-0000-000009A80000}"/>
    <cellStyle name="Wrap Bold 2 5 3 10" xfId="39970" xr:uid="{00000000-0005-0000-0000-00000AA80000}"/>
    <cellStyle name="Wrap Bold 2 5 3 2" xfId="39971" xr:uid="{00000000-0005-0000-0000-00000BA80000}"/>
    <cellStyle name="Wrap Bold 2 5 3 2 2" xfId="39972" xr:uid="{00000000-0005-0000-0000-00000CA80000}"/>
    <cellStyle name="Wrap Bold 2 5 3 3" xfId="39973" xr:uid="{00000000-0005-0000-0000-00000DA80000}"/>
    <cellStyle name="Wrap Bold 2 5 3 3 2" xfId="39974" xr:uid="{00000000-0005-0000-0000-00000EA80000}"/>
    <cellStyle name="Wrap Bold 2 5 3 4" xfId="39975" xr:uid="{00000000-0005-0000-0000-00000FA80000}"/>
    <cellStyle name="Wrap Bold 2 5 3 4 2" xfId="39976" xr:uid="{00000000-0005-0000-0000-000010A80000}"/>
    <cellStyle name="Wrap Bold 2 5 3 5" xfId="39977" xr:uid="{00000000-0005-0000-0000-000011A80000}"/>
    <cellStyle name="Wrap Bold 2 5 3 5 2" xfId="39978" xr:uid="{00000000-0005-0000-0000-000012A80000}"/>
    <cellStyle name="Wrap Bold 2 5 3 6" xfId="39979" xr:uid="{00000000-0005-0000-0000-000013A80000}"/>
    <cellStyle name="Wrap Bold 2 5 3 6 2" xfId="39980" xr:uid="{00000000-0005-0000-0000-000014A80000}"/>
    <cellStyle name="Wrap Bold 2 5 3 7" xfId="39981" xr:uid="{00000000-0005-0000-0000-000015A80000}"/>
    <cellStyle name="Wrap Bold 2 5 3 7 2" xfId="39982" xr:uid="{00000000-0005-0000-0000-000016A80000}"/>
    <cellStyle name="Wrap Bold 2 5 3 8" xfId="39983" xr:uid="{00000000-0005-0000-0000-000017A80000}"/>
    <cellStyle name="Wrap Bold 2 5 3 8 2" xfId="39984" xr:uid="{00000000-0005-0000-0000-000018A80000}"/>
    <cellStyle name="Wrap Bold 2 5 3 9" xfId="39985" xr:uid="{00000000-0005-0000-0000-000019A80000}"/>
    <cellStyle name="Wrap Bold 2 5 3 9 2" xfId="39986" xr:uid="{00000000-0005-0000-0000-00001AA80000}"/>
    <cellStyle name="Wrap Bold 2 5 4" xfId="39987" xr:uid="{00000000-0005-0000-0000-00001BA80000}"/>
    <cellStyle name="Wrap Bold 2 5 4 10" xfId="39988" xr:uid="{00000000-0005-0000-0000-00001CA80000}"/>
    <cellStyle name="Wrap Bold 2 5 4 2" xfId="39989" xr:uid="{00000000-0005-0000-0000-00001DA80000}"/>
    <cellStyle name="Wrap Bold 2 5 4 2 2" xfId="39990" xr:uid="{00000000-0005-0000-0000-00001EA80000}"/>
    <cellStyle name="Wrap Bold 2 5 4 3" xfId="39991" xr:uid="{00000000-0005-0000-0000-00001FA80000}"/>
    <cellStyle name="Wrap Bold 2 5 4 3 2" xfId="39992" xr:uid="{00000000-0005-0000-0000-000020A80000}"/>
    <cellStyle name="Wrap Bold 2 5 4 4" xfId="39993" xr:uid="{00000000-0005-0000-0000-000021A80000}"/>
    <cellStyle name="Wrap Bold 2 5 4 4 2" xfId="39994" xr:uid="{00000000-0005-0000-0000-000022A80000}"/>
    <cellStyle name="Wrap Bold 2 5 4 5" xfId="39995" xr:uid="{00000000-0005-0000-0000-000023A80000}"/>
    <cellStyle name="Wrap Bold 2 5 4 5 2" xfId="39996" xr:uid="{00000000-0005-0000-0000-000024A80000}"/>
    <cellStyle name="Wrap Bold 2 5 4 6" xfId="39997" xr:uid="{00000000-0005-0000-0000-000025A80000}"/>
    <cellStyle name="Wrap Bold 2 5 4 6 2" xfId="39998" xr:uid="{00000000-0005-0000-0000-000026A80000}"/>
    <cellStyle name="Wrap Bold 2 5 4 7" xfId="39999" xr:uid="{00000000-0005-0000-0000-000027A80000}"/>
    <cellStyle name="Wrap Bold 2 5 4 7 2" xfId="40000" xr:uid="{00000000-0005-0000-0000-000028A80000}"/>
    <cellStyle name="Wrap Bold 2 5 4 8" xfId="40001" xr:uid="{00000000-0005-0000-0000-000029A80000}"/>
    <cellStyle name="Wrap Bold 2 5 4 8 2" xfId="40002" xr:uid="{00000000-0005-0000-0000-00002AA80000}"/>
    <cellStyle name="Wrap Bold 2 5 4 9" xfId="40003" xr:uid="{00000000-0005-0000-0000-00002BA80000}"/>
    <cellStyle name="Wrap Bold 2 5 4 9 2" xfId="40004" xr:uid="{00000000-0005-0000-0000-00002CA80000}"/>
    <cellStyle name="Wrap Bold 2 5 5" xfId="40005" xr:uid="{00000000-0005-0000-0000-00002DA80000}"/>
    <cellStyle name="Wrap Bold 2 5 5 10" xfId="40006" xr:uid="{00000000-0005-0000-0000-00002EA80000}"/>
    <cellStyle name="Wrap Bold 2 5 5 2" xfId="40007" xr:uid="{00000000-0005-0000-0000-00002FA80000}"/>
    <cellStyle name="Wrap Bold 2 5 5 2 2" xfId="40008" xr:uid="{00000000-0005-0000-0000-000030A80000}"/>
    <cellStyle name="Wrap Bold 2 5 5 3" xfId="40009" xr:uid="{00000000-0005-0000-0000-000031A80000}"/>
    <cellStyle name="Wrap Bold 2 5 5 3 2" xfId="40010" xr:uid="{00000000-0005-0000-0000-000032A80000}"/>
    <cellStyle name="Wrap Bold 2 5 5 4" xfId="40011" xr:uid="{00000000-0005-0000-0000-000033A80000}"/>
    <cellStyle name="Wrap Bold 2 5 5 4 2" xfId="40012" xr:uid="{00000000-0005-0000-0000-000034A80000}"/>
    <cellStyle name="Wrap Bold 2 5 5 5" xfId="40013" xr:uid="{00000000-0005-0000-0000-000035A80000}"/>
    <cellStyle name="Wrap Bold 2 5 5 5 2" xfId="40014" xr:uid="{00000000-0005-0000-0000-000036A80000}"/>
    <cellStyle name="Wrap Bold 2 5 5 6" xfId="40015" xr:uid="{00000000-0005-0000-0000-000037A80000}"/>
    <cellStyle name="Wrap Bold 2 5 5 6 2" xfId="40016" xr:uid="{00000000-0005-0000-0000-000038A80000}"/>
    <cellStyle name="Wrap Bold 2 5 5 7" xfId="40017" xr:uid="{00000000-0005-0000-0000-000039A80000}"/>
    <cellStyle name="Wrap Bold 2 5 5 7 2" xfId="40018" xr:uid="{00000000-0005-0000-0000-00003AA80000}"/>
    <cellStyle name="Wrap Bold 2 5 5 8" xfId="40019" xr:uid="{00000000-0005-0000-0000-00003BA80000}"/>
    <cellStyle name="Wrap Bold 2 5 5 8 2" xfId="40020" xr:uid="{00000000-0005-0000-0000-00003CA80000}"/>
    <cellStyle name="Wrap Bold 2 5 5 9" xfId="40021" xr:uid="{00000000-0005-0000-0000-00003DA80000}"/>
    <cellStyle name="Wrap Bold 2 5 5 9 2" xfId="40022" xr:uid="{00000000-0005-0000-0000-00003EA80000}"/>
    <cellStyle name="Wrap Bold 2 5 6" xfId="40023" xr:uid="{00000000-0005-0000-0000-00003FA80000}"/>
    <cellStyle name="Wrap Bold 2 5 6 10" xfId="40024" xr:uid="{00000000-0005-0000-0000-000040A80000}"/>
    <cellStyle name="Wrap Bold 2 5 6 2" xfId="40025" xr:uid="{00000000-0005-0000-0000-000041A80000}"/>
    <cellStyle name="Wrap Bold 2 5 6 2 2" xfId="40026" xr:uid="{00000000-0005-0000-0000-000042A80000}"/>
    <cellStyle name="Wrap Bold 2 5 6 3" xfId="40027" xr:uid="{00000000-0005-0000-0000-000043A80000}"/>
    <cellStyle name="Wrap Bold 2 5 6 3 2" xfId="40028" xr:uid="{00000000-0005-0000-0000-000044A80000}"/>
    <cellStyle name="Wrap Bold 2 5 6 4" xfId="40029" xr:uid="{00000000-0005-0000-0000-000045A80000}"/>
    <cellStyle name="Wrap Bold 2 5 6 4 2" xfId="40030" xr:uid="{00000000-0005-0000-0000-000046A80000}"/>
    <cellStyle name="Wrap Bold 2 5 6 5" xfId="40031" xr:uid="{00000000-0005-0000-0000-000047A80000}"/>
    <cellStyle name="Wrap Bold 2 5 6 5 2" xfId="40032" xr:uid="{00000000-0005-0000-0000-000048A80000}"/>
    <cellStyle name="Wrap Bold 2 5 6 6" xfId="40033" xr:uid="{00000000-0005-0000-0000-000049A80000}"/>
    <cellStyle name="Wrap Bold 2 5 6 6 2" xfId="40034" xr:uid="{00000000-0005-0000-0000-00004AA80000}"/>
    <cellStyle name="Wrap Bold 2 5 6 7" xfId="40035" xr:uid="{00000000-0005-0000-0000-00004BA80000}"/>
    <cellStyle name="Wrap Bold 2 5 6 7 2" xfId="40036" xr:uid="{00000000-0005-0000-0000-00004CA80000}"/>
    <cellStyle name="Wrap Bold 2 5 6 8" xfId="40037" xr:uid="{00000000-0005-0000-0000-00004DA80000}"/>
    <cellStyle name="Wrap Bold 2 5 6 8 2" xfId="40038" xr:uid="{00000000-0005-0000-0000-00004EA80000}"/>
    <cellStyle name="Wrap Bold 2 5 6 9" xfId="40039" xr:uid="{00000000-0005-0000-0000-00004FA80000}"/>
    <cellStyle name="Wrap Bold 2 5 6 9 2" xfId="40040" xr:uid="{00000000-0005-0000-0000-000050A80000}"/>
    <cellStyle name="Wrap Bold 2 5 7" xfId="40041" xr:uid="{00000000-0005-0000-0000-000051A80000}"/>
    <cellStyle name="Wrap Bold 2 5 7 10" xfId="40042" xr:uid="{00000000-0005-0000-0000-000052A80000}"/>
    <cellStyle name="Wrap Bold 2 5 7 2" xfId="40043" xr:uid="{00000000-0005-0000-0000-000053A80000}"/>
    <cellStyle name="Wrap Bold 2 5 7 2 2" xfId="40044" xr:uid="{00000000-0005-0000-0000-000054A80000}"/>
    <cellStyle name="Wrap Bold 2 5 7 3" xfId="40045" xr:uid="{00000000-0005-0000-0000-000055A80000}"/>
    <cellStyle name="Wrap Bold 2 5 7 3 2" xfId="40046" xr:uid="{00000000-0005-0000-0000-000056A80000}"/>
    <cellStyle name="Wrap Bold 2 5 7 4" xfId="40047" xr:uid="{00000000-0005-0000-0000-000057A80000}"/>
    <cellStyle name="Wrap Bold 2 5 7 4 2" xfId="40048" xr:uid="{00000000-0005-0000-0000-000058A80000}"/>
    <cellStyle name="Wrap Bold 2 5 7 5" xfId="40049" xr:uid="{00000000-0005-0000-0000-000059A80000}"/>
    <cellStyle name="Wrap Bold 2 5 7 5 2" xfId="40050" xr:uid="{00000000-0005-0000-0000-00005AA80000}"/>
    <cellStyle name="Wrap Bold 2 5 7 6" xfId="40051" xr:uid="{00000000-0005-0000-0000-00005BA80000}"/>
    <cellStyle name="Wrap Bold 2 5 7 6 2" xfId="40052" xr:uid="{00000000-0005-0000-0000-00005CA80000}"/>
    <cellStyle name="Wrap Bold 2 5 7 7" xfId="40053" xr:uid="{00000000-0005-0000-0000-00005DA80000}"/>
    <cellStyle name="Wrap Bold 2 5 7 7 2" xfId="40054" xr:uid="{00000000-0005-0000-0000-00005EA80000}"/>
    <cellStyle name="Wrap Bold 2 5 7 8" xfId="40055" xr:uid="{00000000-0005-0000-0000-00005FA80000}"/>
    <cellStyle name="Wrap Bold 2 5 7 8 2" xfId="40056" xr:uid="{00000000-0005-0000-0000-000060A80000}"/>
    <cellStyle name="Wrap Bold 2 5 7 9" xfId="40057" xr:uid="{00000000-0005-0000-0000-000061A80000}"/>
    <cellStyle name="Wrap Bold 2 5 7 9 2" xfId="40058" xr:uid="{00000000-0005-0000-0000-000062A80000}"/>
    <cellStyle name="Wrap Bold 2 5 8" xfId="40059" xr:uid="{00000000-0005-0000-0000-000063A80000}"/>
    <cellStyle name="Wrap Bold 2 5 8 10" xfId="40060" xr:uid="{00000000-0005-0000-0000-000064A80000}"/>
    <cellStyle name="Wrap Bold 2 5 8 2" xfId="40061" xr:uid="{00000000-0005-0000-0000-000065A80000}"/>
    <cellStyle name="Wrap Bold 2 5 8 2 2" xfId="40062" xr:uid="{00000000-0005-0000-0000-000066A80000}"/>
    <cellStyle name="Wrap Bold 2 5 8 3" xfId="40063" xr:uid="{00000000-0005-0000-0000-000067A80000}"/>
    <cellStyle name="Wrap Bold 2 5 8 3 2" xfId="40064" xr:uid="{00000000-0005-0000-0000-000068A80000}"/>
    <cellStyle name="Wrap Bold 2 5 8 4" xfId="40065" xr:uid="{00000000-0005-0000-0000-000069A80000}"/>
    <cellStyle name="Wrap Bold 2 5 8 4 2" xfId="40066" xr:uid="{00000000-0005-0000-0000-00006AA80000}"/>
    <cellStyle name="Wrap Bold 2 5 8 5" xfId="40067" xr:uid="{00000000-0005-0000-0000-00006BA80000}"/>
    <cellStyle name="Wrap Bold 2 5 8 5 2" xfId="40068" xr:uid="{00000000-0005-0000-0000-00006CA80000}"/>
    <cellStyle name="Wrap Bold 2 5 8 6" xfId="40069" xr:uid="{00000000-0005-0000-0000-00006DA80000}"/>
    <cellStyle name="Wrap Bold 2 5 8 6 2" xfId="40070" xr:uid="{00000000-0005-0000-0000-00006EA80000}"/>
    <cellStyle name="Wrap Bold 2 5 8 7" xfId="40071" xr:uid="{00000000-0005-0000-0000-00006FA80000}"/>
    <cellStyle name="Wrap Bold 2 5 8 7 2" xfId="40072" xr:uid="{00000000-0005-0000-0000-000070A80000}"/>
    <cellStyle name="Wrap Bold 2 5 8 8" xfId="40073" xr:uid="{00000000-0005-0000-0000-000071A80000}"/>
    <cellStyle name="Wrap Bold 2 5 8 8 2" xfId="40074" xr:uid="{00000000-0005-0000-0000-000072A80000}"/>
    <cellStyle name="Wrap Bold 2 5 8 9" xfId="40075" xr:uid="{00000000-0005-0000-0000-000073A80000}"/>
    <cellStyle name="Wrap Bold 2 5 8 9 2" xfId="40076" xr:uid="{00000000-0005-0000-0000-000074A80000}"/>
    <cellStyle name="Wrap Bold 2 5 9" xfId="40077" xr:uid="{00000000-0005-0000-0000-000075A80000}"/>
    <cellStyle name="Wrap Bold 2 5 9 10" xfId="40078" xr:uid="{00000000-0005-0000-0000-000076A80000}"/>
    <cellStyle name="Wrap Bold 2 5 9 2" xfId="40079" xr:uid="{00000000-0005-0000-0000-000077A80000}"/>
    <cellStyle name="Wrap Bold 2 5 9 2 2" xfId="40080" xr:uid="{00000000-0005-0000-0000-000078A80000}"/>
    <cellStyle name="Wrap Bold 2 5 9 3" xfId="40081" xr:uid="{00000000-0005-0000-0000-000079A80000}"/>
    <cellStyle name="Wrap Bold 2 5 9 3 2" xfId="40082" xr:uid="{00000000-0005-0000-0000-00007AA80000}"/>
    <cellStyle name="Wrap Bold 2 5 9 4" xfId="40083" xr:uid="{00000000-0005-0000-0000-00007BA80000}"/>
    <cellStyle name="Wrap Bold 2 5 9 4 2" xfId="40084" xr:uid="{00000000-0005-0000-0000-00007CA80000}"/>
    <cellStyle name="Wrap Bold 2 5 9 5" xfId="40085" xr:uid="{00000000-0005-0000-0000-00007DA80000}"/>
    <cellStyle name="Wrap Bold 2 5 9 5 2" xfId="40086" xr:uid="{00000000-0005-0000-0000-00007EA80000}"/>
    <cellStyle name="Wrap Bold 2 5 9 6" xfId="40087" xr:uid="{00000000-0005-0000-0000-00007FA80000}"/>
    <cellStyle name="Wrap Bold 2 5 9 6 2" xfId="40088" xr:uid="{00000000-0005-0000-0000-000080A80000}"/>
    <cellStyle name="Wrap Bold 2 5 9 7" xfId="40089" xr:uid="{00000000-0005-0000-0000-000081A80000}"/>
    <cellStyle name="Wrap Bold 2 5 9 7 2" xfId="40090" xr:uid="{00000000-0005-0000-0000-000082A80000}"/>
    <cellStyle name="Wrap Bold 2 5 9 8" xfId="40091" xr:uid="{00000000-0005-0000-0000-000083A80000}"/>
    <cellStyle name="Wrap Bold 2 5 9 8 2" xfId="40092" xr:uid="{00000000-0005-0000-0000-000084A80000}"/>
    <cellStyle name="Wrap Bold 2 5 9 9" xfId="40093" xr:uid="{00000000-0005-0000-0000-000085A80000}"/>
    <cellStyle name="Wrap Bold 2 5 9 9 2" xfId="40094" xr:uid="{00000000-0005-0000-0000-000086A80000}"/>
    <cellStyle name="Wrap Bold 2 6" xfId="40095" xr:uid="{00000000-0005-0000-0000-000087A80000}"/>
    <cellStyle name="Wrap Bold 2 6 10" xfId="40096" xr:uid="{00000000-0005-0000-0000-000088A80000}"/>
    <cellStyle name="Wrap Bold 2 6 10 2" xfId="40097" xr:uid="{00000000-0005-0000-0000-000089A80000}"/>
    <cellStyle name="Wrap Bold 2 6 10 2 2" xfId="40098" xr:uid="{00000000-0005-0000-0000-00008AA80000}"/>
    <cellStyle name="Wrap Bold 2 6 10 3" xfId="40099" xr:uid="{00000000-0005-0000-0000-00008BA80000}"/>
    <cellStyle name="Wrap Bold 2 6 10 3 2" xfId="40100" xr:uid="{00000000-0005-0000-0000-00008CA80000}"/>
    <cellStyle name="Wrap Bold 2 6 10 4" xfId="40101" xr:uid="{00000000-0005-0000-0000-00008DA80000}"/>
    <cellStyle name="Wrap Bold 2 6 10 4 2" xfId="40102" xr:uid="{00000000-0005-0000-0000-00008EA80000}"/>
    <cellStyle name="Wrap Bold 2 6 10 5" xfId="40103" xr:uid="{00000000-0005-0000-0000-00008FA80000}"/>
    <cellStyle name="Wrap Bold 2 6 10 5 2" xfId="40104" xr:uid="{00000000-0005-0000-0000-000090A80000}"/>
    <cellStyle name="Wrap Bold 2 6 10 6" xfId="40105" xr:uid="{00000000-0005-0000-0000-000091A80000}"/>
    <cellStyle name="Wrap Bold 2 6 10 6 2" xfId="40106" xr:uid="{00000000-0005-0000-0000-000092A80000}"/>
    <cellStyle name="Wrap Bold 2 6 10 7" xfId="40107" xr:uid="{00000000-0005-0000-0000-000093A80000}"/>
    <cellStyle name="Wrap Bold 2 6 10 7 2" xfId="40108" xr:uid="{00000000-0005-0000-0000-000094A80000}"/>
    <cellStyle name="Wrap Bold 2 6 10 8" xfId="40109" xr:uid="{00000000-0005-0000-0000-000095A80000}"/>
    <cellStyle name="Wrap Bold 2 6 10 8 2" xfId="40110" xr:uid="{00000000-0005-0000-0000-000096A80000}"/>
    <cellStyle name="Wrap Bold 2 6 10 9" xfId="40111" xr:uid="{00000000-0005-0000-0000-000097A80000}"/>
    <cellStyle name="Wrap Bold 2 6 11" xfId="40112" xr:uid="{00000000-0005-0000-0000-000098A80000}"/>
    <cellStyle name="Wrap Bold 2 6 11 2" xfId="40113" xr:uid="{00000000-0005-0000-0000-000099A80000}"/>
    <cellStyle name="Wrap Bold 2 6 12" xfId="40114" xr:uid="{00000000-0005-0000-0000-00009AA80000}"/>
    <cellStyle name="Wrap Bold 2 6 12 2" xfId="40115" xr:uid="{00000000-0005-0000-0000-00009BA80000}"/>
    <cellStyle name="Wrap Bold 2 6 13" xfId="40116" xr:uid="{00000000-0005-0000-0000-00009CA80000}"/>
    <cellStyle name="Wrap Bold 2 6 13 2" xfId="40117" xr:uid="{00000000-0005-0000-0000-00009DA80000}"/>
    <cellStyle name="Wrap Bold 2 6 14" xfId="40118" xr:uid="{00000000-0005-0000-0000-00009EA80000}"/>
    <cellStyle name="Wrap Bold 2 6 14 2" xfId="40119" xr:uid="{00000000-0005-0000-0000-00009FA80000}"/>
    <cellStyle name="Wrap Bold 2 6 15" xfId="40120" xr:uid="{00000000-0005-0000-0000-0000A0A80000}"/>
    <cellStyle name="Wrap Bold 2 6 15 2" xfId="40121" xr:uid="{00000000-0005-0000-0000-0000A1A80000}"/>
    <cellStyle name="Wrap Bold 2 6 16" xfId="40122" xr:uid="{00000000-0005-0000-0000-0000A2A80000}"/>
    <cellStyle name="Wrap Bold 2 6 16 2" xfId="40123" xr:uid="{00000000-0005-0000-0000-0000A3A80000}"/>
    <cellStyle name="Wrap Bold 2 6 17" xfId="40124" xr:uid="{00000000-0005-0000-0000-0000A4A80000}"/>
    <cellStyle name="Wrap Bold 2 6 17 2" xfId="40125" xr:uid="{00000000-0005-0000-0000-0000A5A80000}"/>
    <cellStyle name="Wrap Bold 2 6 18" xfId="40126" xr:uid="{00000000-0005-0000-0000-0000A6A80000}"/>
    <cellStyle name="Wrap Bold 2 6 2" xfId="40127" xr:uid="{00000000-0005-0000-0000-0000A7A80000}"/>
    <cellStyle name="Wrap Bold 2 6 2 10" xfId="40128" xr:uid="{00000000-0005-0000-0000-0000A8A80000}"/>
    <cellStyle name="Wrap Bold 2 6 2 2" xfId="40129" xr:uid="{00000000-0005-0000-0000-0000A9A80000}"/>
    <cellStyle name="Wrap Bold 2 6 2 2 2" xfId="40130" xr:uid="{00000000-0005-0000-0000-0000AAA80000}"/>
    <cellStyle name="Wrap Bold 2 6 2 3" xfId="40131" xr:uid="{00000000-0005-0000-0000-0000ABA80000}"/>
    <cellStyle name="Wrap Bold 2 6 2 3 2" xfId="40132" xr:uid="{00000000-0005-0000-0000-0000ACA80000}"/>
    <cellStyle name="Wrap Bold 2 6 2 4" xfId="40133" xr:uid="{00000000-0005-0000-0000-0000ADA80000}"/>
    <cellStyle name="Wrap Bold 2 6 2 4 2" xfId="40134" xr:uid="{00000000-0005-0000-0000-0000AEA80000}"/>
    <cellStyle name="Wrap Bold 2 6 2 5" xfId="40135" xr:uid="{00000000-0005-0000-0000-0000AFA80000}"/>
    <cellStyle name="Wrap Bold 2 6 2 5 2" xfId="40136" xr:uid="{00000000-0005-0000-0000-0000B0A80000}"/>
    <cellStyle name="Wrap Bold 2 6 2 6" xfId="40137" xr:uid="{00000000-0005-0000-0000-0000B1A80000}"/>
    <cellStyle name="Wrap Bold 2 6 2 6 2" xfId="40138" xr:uid="{00000000-0005-0000-0000-0000B2A80000}"/>
    <cellStyle name="Wrap Bold 2 6 2 7" xfId="40139" xr:uid="{00000000-0005-0000-0000-0000B3A80000}"/>
    <cellStyle name="Wrap Bold 2 6 2 7 2" xfId="40140" xr:uid="{00000000-0005-0000-0000-0000B4A80000}"/>
    <cellStyle name="Wrap Bold 2 6 2 8" xfId="40141" xr:uid="{00000000-0005-0000-0000-0000B5A80000}"/>
    <cellStyle name="Wrap Bold 2 6 2 8 2" xfId="40142" xr:uid="{00000000-0005-0000-0000-0000B6A80000}"/>
    <cellStyle name="Wrap Bold 2 6 2 9" xfId="40143" xr:uid="{00000000-0005-0000-0000-0000B7A80000}"/>
    <cellStyle name="Wrap Bold 2 6 2 9 2" xfId="40144" xr:uid="{00000000-0005-0000-0000-0000B8A80000}"/>
    <cellStyle name="Wrap Bold 2 6 3" xfId="40145" xr:uid="{00000000-0005-0000-0000-0000B9A80000}"/>
    <cellStyle name="Wrap Bold 2 6 3 10" xfId="40146" xr:uid="{00000000-0005-0000-0000-0000BAA80000}"/>
    <cellStyle name="Wrap Bold 2 6 3 2" xfId="40147" xr:uid="{00000000-0005-0000-0000-0000BBA80000}"/>
    <cellStyle name="Wrap Bold 2 6 3 2 2" xfId="40148" xr:uid="{00000000-0005-0000-0000-0000BCA80000}"/>
    <cellStyle name="Wrap Bold 2 6 3 3" xfId="40149" xr:uid="{00000000-0005-0000-0000-0000BDA80000}"/>
    <cellStyle name="Wrap Bold 2 6 3 3 2" xfId="40150" xr:uid="{00000000-0005-0000-0000-0000BEA80000}"/>
    <cellStyle name="Wrap Bold 2 6 3 4" xfId="40151" xr:uid="{00000000-0005-0000-0000-0000BFA80000}"/>
    <cellStyle name="Wrap Bold 2 6 3 4 2" xfId="40152" xr:uid="{00000000-0005-0000-0000-0000C0A80000}"/>
    <cellStyle name="Wrap Bold 2 6 3 5" xfId="40153" xr:uid="{00000000-0005-0000-0000-0000C1A80000}"/>
    <cellStyle name="Wrap Bold 2 6 3 5 2" xfId="40154" xr:uid="{00000000-0005-0000-0000-0000C2A80000}"/>
    <cellStyle name="Wrap Bold 2 6 3 6" xfId="40155" xr:uid="{00000000-0005-0000-0000-0000C3A80000}"/>
    <cellStyle name="Wrap Bold 2 6 3 6 2" xfId="40156" xr:uid="{00000000-0005-0000-0000-0000C4A80000}"/>
    <cellStyle name="Wrap Bold 2 6 3 7" xfId="40157" xr:uid="{00000000-0005-0000-0000-0000C5A80000}"/>
    <cellStyle name="Wrap Bold 2 6 3 7 2" xfId="40158" xr:uid="{00000000-0005-0000-0000-0000C6A80000}"/>
    <cellStyle name="Wrap Bold 2 6 3 8" xfId="40159" xr:uid="{00000000-0005-0000-0000-0000C7A80000}"/>
    <cellStyle name="Wrap Bold 2 6 3 8 2" xfId="40160" xr:uid="{00000000-0005-0000-0000-0000C8A80000}"/>
    <cellStyle name="Wrap Bold 2 6 3 9" xfId="40161" xr:uid="{00000000-0005-0000-0000-0000C9A80000}"/>
    <cellStyle name="Wrap Bold 2 6 3 9 2" xfId="40162" xr:uid="{00000000-0005-0000-0000-0000CAA80000}"/>
    <cellStyle name="Wrap Bold 2 6 4" xfId="40163" xr:uid="{00000000-0005-0000-0000-0000CBA80000}"/>
    <cellStyle name="Wrap Bold 2 6 4 10" xfId="40164" xr:uid="{00000000-0005-0000-0000-0000CCA80000}"/>
    <cellStyle name="Wrap Bold 2 6 4 2" xfId="40165" xr:uid="{00000000-0005-0000-0000-0000CDA80000}"/>
    <cellStyle name="Wrap Bold 2 6 4 2 2" xfId="40166" xr:uid="{00000000-0005-0000-0000-0000CEA80000}"/>
    <cellStyle name="Wrap Bold 2 6 4 3" xfId="40167" xr:uid="{00000000-0005-0000-0000-0000CFA80000}"/>
    <cellStyle name="Wrap Bold 2 6 4 3 2" xfId="40168" xr:uid="{00000000-0005-0000-0000-0000D0A80000}"/>
    <cellStyle name="Wrap Bold 2 6 4 4" xfId="40169" xr:uid="{00000000-0005-0000-0000-0000D1A80000}"/>
    <cellStyle name="Wrap Bold 2 6 4 4 2" xfId="40170" xr:uid="{00000000-0005-0000-0000-0000D2A80000}"/>
    <cellStyle name="Wrap Bold 2 6 4 5" xfId="40171" xr:uid="{00000000-0005-0000-0000-0000D3A80000}"/>
    <cellStyle name="Wrap Bold 2 6 4 5 2" xfId="40172" xr:uid="{00000000-0005-0000-0000-0000D4A80000}"/>
    <cellStyle name="Wrap Bold 2 6 4 6" xfId="40173" xr:uid="{00000000-0005-0000-0000-0000D5A80000}"/>
    <cellStyle name="Wrap Bold 2 6 4 6 2" xfId="40174" xr:uid="{00000000-0005-0000-0000-0000D6A80000}"/>
    <cellStyle name="Wrap Bold 2 6 4 7" xfId="40175" xr:uid="{00000000-0005-0000-0000-0000D7A80000}"/>
    <cellStyle name="Wrap Bold 2 6 4 7 2" xfId="40176" xr:uid="{00000000-0005-0000-0000-0000D8A80000}"/>
    <cellStyle name="Wrap Bold 2 6 4 8" xfId="40177" xr:uid="{00000000-0005-0000-0000-0000D9A80000}"/>
    <cellStyle name="Wrap Bold 2 6 4 8 2" xfId="40178" xr:uid="{00000000-0005-0000-0000-0000DAA80000}"/>
    <cellStyle name="Wrap Bold 2 6 4 9" xfId="40179" xr:uid="{00000000-0005-0000-0000-0000DBA80000}"/>
    <cellStyle name="Wrap Bold 2 6 4 9 2" xfId="40180" xr:uid="{00000000-0005-0000-0000-0000DCA80000}"/>
    <cellStyle name="Wrap Bold 2 6 5" xfId="40181" xr:uid="{00000000-0005-0000-0000-0000DDA80000}"/>
    <cellStyle name="Wrap Bold 2 6 5 10" xfId="40182" xr:uid="{00000000-0005-0000-0000-0000DEA80000}"/>
    <cellStyle name="Wrap Bold 2 6 5 2" xfId="40183" xr:uid="{00000000-0005-0000-0000-0000DFA80000}"/>
    <cellStyle name="Wrap Bold 2 6 5 2 2" xfId="40184" xr:uid="{00000000-0005-0000-0000-0000E0A80000}"/>
    <cellStyle name="Wrap Bold 2 6 5 3" xfId="40185" xr:uid="{00000000-0005-0000-0000-0000E1A80000}"/>
    <cellStyle name="Wrap Bold 2 6 5 3 2" xfId="40186" xr:uid="{00000000-0005-0000-0000-0000E2A80000}"/>
    <cellStyle name="Wrap Bold 2 6 5 4" xfId="40187" xr:uid="{00000000-0005-0000-0000-0000E3A80000}"/>
    <cellStyle name="Wrap Bold 2 6 5 4 2" xfId="40188" xr:uid="{00000000-0005-0000-0000-0000E4A80000}"/>
    <cellStyle name="Wrap Bold 2 6 5 5" xfId="40189" xr:uid="{00000000-0005-0000-0000-0000E5A80000}"/>
    <cellStyle name="Wrap Bold 2 6 5 5 2" xfId="40190" xr:uid="{00000000-0005-0000-0000-0000E6A80000}"/>
    <cellStyle name="Wrap Bold 2 6 5 6" xfId="40191" xr:uid="{00000000-0005-0000-0000-0000E7A80000}"/>
    <cellStyle name="Wrap Bold 2 6 5 6 2" xfId="40192" xr:uid="{00000000-0005-0000-0000-0000E8A80000}"/>
    <cellStyle name="Wrap Bold 2 6 5 7" xfId="40193" xr:uid="{00000000-0005-0000-0000-0000E9A80000}"/>
    <cellStyle name="Wrap Bold 2 6 5 7 2" xfId="40194" xr:uid="{00000000-0005-0000-0000-0000EAA80000}"/>
    <cellStyle name="Wrap Bold 2 6 5 8" xfId="40195" xr:uid="{00000000-0005-0000-0000-0000EBA80000}"/>
    <cellStyle name="Wrap Bold 2 6 5 8 2" xfId="40196" xr:uid="{00000000-0005-0000-0000-0000ECA80000}"/>
    <cellStyle name="Wrap Bold 2 6 5 9" xfId="40197" xr:uid="{00000000-0005-0000-0000-0000EDA80000}"/>
    <cellStyle name="Wrap Bold 2 6 5 9 2" xfId="40198" xr:uid="{00000000-0005-0000-0000-0000EEA80000}"/>
    <cellStyle name="Wrap Bold 2 6 6" xfId="40199" xr:uid="{00000000-0005-0000-0000-0000EFA80000}"/>
    <cellStyle name="Wrap Bold 2 6 6 10" xfId="40200" xr:uid="{00000000-0005-0000-0000-0000F0A80000}"/>
    <cellStyle name="Wrap Bold 2 6 6 2" xfId="40201" xr:uid="{00000000-0005-0000-0000-0000F1A80000}"/>
    <cellStyle name="Wrap Bold 2 6 6 2 2" xfId="40202" xr:uid="{00000000-0005-0000-0000-0000F2A80000}"/>
    <cellStyle name="Wrap Bold 2 6 6 3" xfId="40203" xr:uid="{00000000-0005-0000-0000-0000F3A80000}"/>
    <cellStyle name="Wrap Bold 2 6 6 3 2" xfId="40204" xr:uid="{00000000-0005-0000-0000-0000F4A80000}"/>
    <cellStyle name="Wrap Bold 2 6 6 4" xfId="40205" xr:uid="{00000000-0005-0000-0000-0000F5A80000}"/>
    <cellStyle name="Wrap Bold 2 6 6 4 2" xfId="40206" xr:uid="{00000000-0005-0000-0000-0000F6A80000}"/>
    <cellStyle name="Wrap Bold 2 6 6 5" xfId="40207" xr:uid="{00000000-0005-0000-0000-0000F7A80000}"/>
    <cellStyle name="Wrap Bold 2 6 6 5 2" xfId="40208" xr:uid="{00000000-0005-0000-0000-0000F8A80000}"/>
    <cellStyle name="Wrap Bold 2 6 6 6" xfId="40209" xr:uid="{00000000-0005-0000-0000-0000F9A80000}"/>
    <cellStyle name="Wrap Bold 2 6 6 6 2" xfId="40210" xr:uid="{00000000-0005-0000-0000-0000FAA80000}"/>
    <cellStyle name="Wrap Bold 2 6 6 7" xfId="40211" xr:uid="{00000000-0005-0000-0000-0000FBA80000}"/>
    <cellStyle name="Wrap Bold 2 6 6 7 2" xfId="40212" xr:uid="{00000000-0005-0000-0000-0000FCA80000}"/>
    <cellStyle name="Wrap Bold 2 6 6 8" xfId="40213" xr:uid="{00000000-0005-0000-0000-0000FDA80000}"/>
    <cellStyle name="Wrap Bold 2 6 6 8 2" xfId="40214" xr:uid="{00000000-0005-0000-0000-0000FEA80000}"/>
    <cellStyle name="Wrap Bold 2 6 6 9" xfId="40215" xr:uid="{00000000-0005-0000-0000-0000FFA80000}"/>
    <cellStyle name="Wrap Bold 2 6 6 9 2" xfId="40216" xr:uid="{00000000-0005-0000-0000-000000A90000}"/>
    <cellStyle name="Wrap Bold 2 6 7" xfId="40217" xr:uid="{00000000-0005-0000-0000-000001A90000}"/>
    <cellStyle name="Wrap Bold 2 6 7 10" xfId="40218" xr:uid="{00000000-0005-0000-0000-000002A90000}"/>
    <cellStyle name="Wrap Bold 2 6 7 2" xfId="40219" xr:uid="{00000000-0005-0000-0000-000003A90000}"/>
    <cellStyle name="Wrap Bold 2 6 7 2 2" xfId="40220" xr:uid="{00000000-0005-0000-0000-000004A90000}"/>
    <cellStyle name="Wrap Bold 2 6 7 3" xfId="40221" xr:uid="{00000000-0005-0000-0000-000005A90000}"/>
    <cellStyle name="Wrap Bold 2 6 7 3 2" xfId="40222" xr:uid="{00000000-0005-0000-0000-000006A90000}"/>
    <cellStyle name="Wrap Bold 2 6 7 4" xfId="40223" xr:uid="{00000000-0005-0000-0000-000007A90000}"/>
    <cellStyle name="Wrap Bold 2 6 7 4 2" xfId="40224" xr:uid="{00000000-0005-0000-0000-000008A90000}"/>
    <cellStyle name="Wrap Bold 2 6 7 5" xfId="40225" xr:uid="{00000000-0005-0000-0000-000009A90000}"/>
    <cellStyle name="Wrap Bold 2 6 7 5 2" xfId="40226" xr:uid="{00000000-0005-0000-0000-00000AA90000}"/>
    <cellStyle name="Wrap Bold 2 6 7 6" xfId="40227" xr:uid="{00000000-0005-0000-0000-00000BA90000}"/>
    <cellStyle name="Wrap Bold 2 6 7 6 2" xfId="40228" xr:uid="{00000000-0005-0000-0000-00000CA90000}"/>
    <cellStyle name="Wrap Bold 2 6 7 7" xfId="40229" xr:uid="{00000000-0005-0000-0000-00000DA90000}"/>
    <cellStyle name="Wrap Bold 2 6 7 7 2" xfId="40230" xr:uid="{00000000-0005-0000-0000-00000EA90000}"/>
    <cellStyle name="Wrap Bold 2 6 7 8" xfId="40231" xr:uid="{00000000-0005-0000-0000-00000FA90000}"/>
    <cellStyle name="Wrap Bold 2 6 7 8 2" xfId="40232" xr:uid="{00000000-0005-0000-0000-000010A90000}"/>
    <cellStyle name="Wrap Bold 2 6 7 9" xfId="40233" xr:uid="{00000000-0005-0000-0000-000011A90000}"/>
    <cellStyle name="Wrap Bold 2 6 7 9 2" xfId="40234" xr:uid="{00000000-0005-0000-0000-000012A90000}"/>
    <cellStyle name="Wrap Bold 2 6 8" xfId="40235" xr:uid="{00000000-0005-0000-0000-000013A90000}"/>
    <cellStyle name="Wrap Bold 2 6 8 10" xfId="40236" xr:uid="{00000000-0005-0000-0000-000014A90000}"/>
    <cellStyle name="Wrap Bold 2 6 8 2" xfId="40237" xr:uid="{00000000-0005-0000-0000-000015A90000}"/>
    <cellStyle name="Wrap Bold 2 6 8 2 2" xfId="40238" xr:uid="{00000000-0005-0000-0000-000016A90000}"/>
    <cellStyle name="Wrap Bold 2 6 8 3" xfId="40239" xr:uid="{00000000-0005-0000-0000-000017A90000}"/>
    <cellStyle name="Wrap Bold 2 6 8 3 2" xfId="40240" xr:uid="{00000000-0005-0000-0000-000018A90000}"/>
    <cellStyle name="Wrap Bold 2 6 8 4" xfId="40241" xr:uid="{00000000-0005-0000-0000-000019A90000}"/>
    <cellStyle name="Wrap Bold 2 6 8 4 2" xfId="40242" xr:uid="{00000000-0005-0000-0000-00001AA90000}"/>
    <cellStyle name="Wrap Bold 2 6 8 5" xfId="40243" xr:uid="{00000000-0005-0000-0000-00001BA90000}"/>
    <cellStyle name="Wrap Bold 2 6 8 5 2" xfId="40244" xr:uid="{00000000-0005-0000-0000-00001CA90000}"/>
    <cellStyle name="Wrap Bold 2 6 8 6" xfId="40245" xr:uid="{00000000-0005-0000-0000-00001DA90000}"/>
    <cellStyle name="Wrap Bold 2 6 8 6 2" xfId="40246" xr:uid="{00000000-0005-0000-0000-00001EA90000}"/>
    <cellStyle name="Wrap Bold 2 6 8 7" xfId="40247" xr:uid="{00000000-0005-0000-0000-00001FA90000}"/>
    <cellStyle name="Wrap Bold 2 6 8 7 2" xfId="40248" xr:uid="{00000000-0005-0000-0000-000020A90000}"/>
    <cellStyle name="Wrap Bold 2 6 8 8" xfId="40249" xr:uid="{00000000-0005-0000-0000-000021A90000}"/>
    <cellStyle name="Wrap Bold 2 6 8 8 2" xfId="40250" xr:uid="{00000000-0005-0000-0000-000022A90000}"/>
    <cellStyle name="Wrap Bold 2 6 8 9" xfId="40251" xr:uid="{00000000-0005-0000-0000-000023A90000}"/>
    <cellStyle name="Wrap Bold 2 6 8 9 2" xfId="40252" xr:uid="{00000000-0005-0000-0000-000024A90000}"/>
    <cellStyle name="Wrap Bold 2 6 9" xfId="40253" xr:uid="{00000000-0005-0000-0000-000025A90000}"/>
    <cellStyle name="Wrap Bold 2 6 9 10" xfId="40254" xr:uid="{00000000-0005-0000-0000-000026A90000}"/>
    <cellStyle name="Wrap Bold 2 6 9 2" xfId="40255" xr:uid="{00000000-0005-0000-0000-000027A90000}"/>
    <cellStyle name="Wrap Bold 2 6 9 2 2" xfId="40256" xr:uid="{00000000-0005-0000-0000-000028A90000}"/>
    <cellStyle name="Wrap Bold 2 6 9 3" xfId="40257" xr:uid="{00000000-0005-0000-0000-000029A90000}"/>
    <cellStyle name="Wrap Bold 2 6 9 3 2" xfId="40258" xr:uid="{00000000-0005-0000-0000-00002AA90000}"/>
    <cellStyle name="Wrap Bold 2 6 9 4" xfId="40259" xr:uid="{00000000-0005-0000-0000-00002BA90000}"/>
    <cellStyle name="Wrap Bold 2 6 9 4 2" xfId="40260" xr:uid="{00000000-0005-0000-0000-00002CA90000}"/>
    <cellStyle name="Wrap Bold 2 6 9 5" xfId="40261" xr:uid="{00000000-0005-0000-0000-00002DA90000}"/>
    <cellStyle name="Wrap Bold 2 6 9 5 2" xfId="40262" xr:uid="{00000000-0005-0000-0000-00002EA90000}"/>
    <cellStyle name="Wrap Bold 2 6 9 6" xfId="40263" xr:uid="{00000000-0005-0000-0000-00002FA90000}"/>
    <cellStyle name="Wrap Bold 2 6 9 6 2" xfId="40264" xr:uid="{00000000-0005-0000-0000-000030A90000}"/>
    <cellStyle name="Wrap Bold 2 6 9 7" xfId="40265" xr:uid="{00000000-0005-0000-0000-000031A90000}"/>
    <cellStyle name="Wrap Bold 2 6 9 7 2" xfId="40266" xr:uid="{00000000-0005-0000-0000-000032A90000}"/>
    <cellStyle name="Wrap Bold 2 6 9 8" xfId="40267" xr:uid="{00000000-0005-0000-0000-000033A90000}"/>
    <cellStyle name="Wrap Bold 2 6 9 8 2" xfId="40268" xr:uid="{00000000-0005-0000-0000-000034A90000}"/>
    <cellStyle name="Wrap Bold 2 6 9 9" xfId="40269" xr:uid="{00000000-0005-0000-0000-000035A90000}"/>
    <cellStyle name="Wrap Bold 2 6 9 9 2" xfId="40270" xr:uid="{00000000-0005-0000-0000-000036A90000}"/>
    <cellStyle name="Wrap Bold 2 7" xfId="40271" xr:uid="{00000000-0005-0000-0000-000037A90000}"/>
    <cellStyle name="Wrap Bold 2 7 10" xfId="40272" xr:uid="{00000000-0005-0000-0000-000038A90000}"/>
    <cellStyle name="Wrap Bold 2 7 10 2" xfId="40273" xr:uid="{00000000-0005-0000-0000-000039A90000}"/>
    <cellStyle name="Wrap Bold 2 7 10 2 2" xfId="40274" xr:uid="{00000000-0005-0000-0000-00003AA90000}"/>
    <cellStyle name="Wrap Bold 2 7 10 3" xfId="40275" xr:uid="{00000000-0005-0000-0000-00003BA90000}"/>
    <cellStyle name="Wrap Bold 2 7 10 3 2" xfId="40276" xr:uid="{00000000-0005-0000-0000-00003CA90000}"/>
    <cellStyle name="Wrap Bold 2 7 10 4" xfId="40277" xr:uid="{00000000-0005-0000-0000-00003DA90000}"/>
    <cellStyle name="Wrap Bold 2 7 10 4 2" xfId="40278" xr:uid="{00000000-0005-0000-0000-00003EA90000}"/>
    <cellStyle name="Wrap Bold 2 7 10 5" xfId="40279" xr:uid="{00000000-0005-0000-0000-00003FA90000}"/>
    <cellStyle name="Wrap Bold 2 7 10 5 2" xfId="40280" xr:uid="{00000000-0005-0000-0000-000040A90000}"/>
    <cellStyle name="Wrap Bold 2 7 10 6" xfId="40281" xr:uid="{00000000-0005-0000-0000-000041A90000}"/>
    <cellStyle name="Wrap Bold 2 7 10 6 2" xfId="40282" xr:uid="{00000000-0005-0000-0000-000042A90000}"/>
    <cellStyle name="Wrap Bold 2 7 10 7" xfId="40283" xr:uid="{00000000-0005-0000-0000-000043A90000}"/>
    <cellStyle name="Wrap Bold 2 7 10 7 2" xfId="40284" xr:uid="{00000000-0005-0000-0000-000044A90000}"/>
    <cellStyle name="Wrap Bold 2 7 10 8" xfId="40285" xr:uid="{00000000-0005-0000-0000-000045A90000}"/>
    <cellStyle name="Wrap Bold 2 7 10 8 2" xfId="40286" xr:uid="{00000000-0005-0000-0000-000046A90000}"/>
    <cellStyle name="Wrap Bold 2 7 10 9" xfId="40287" xr:uid="{00000000-0005-0000-0000-000047A90000}"/>
    <cellStyle name="Wrap Bold 2 7 11" xfId="40288" xr:uid="{00000000-0005-0000-0000-000048A90000}"/>
    <cellStyle name="Wrap Bold 2 7 11 2" xfId="40289" xr:uid="{00000000-0005-0000-0000-000049A90000}"/>
    <cellStyle name="Wrap Bold 2 7 12" xfId="40290" xr:uid="{00000000-0005-0000-0000-00004AA90000}"/>
    <cellStyle name="Wrap Bold 2 7 12 2" xfId="40291" xr:uid="{00000000-0005-0000-0000-00004BA90000}"/>
    <cellStyle name="Wrap Bold 2 7 13" xfId="40292" xr:uid="{00000000-0005-0000-0000-00004CA90000}"/>
    <cellStyle name="Wrap Bold 2 7 13 2" xfId="40293" xr:uid="{00000000-0005-0000-0000-00004DA90000}"/>
    <cellStyle name="Wrap Bold 2 7 14" xfId="40294" xr:uid="{00000000-0005-0000-0000-00004EA90000}"/>
    <cellStyle name="Wrap Bold 2 7 14 2" xfId="40295" xr:uid="{00000000-0005-0000-0000-00004FA90000}"/>
    <cellStyle name="Wrap Bold 2 7 15" xfId="40296" xr:uid="{00000000-0005-0000-0000-000050A90000}"/>
    <cellStyle name="Wrap Bold 2 7 15 2" xfId="40297" xr:uid="{00000000-0005-0000-0000-000051A90000}"/>
    <cellStyle name="Wrap Bold 2 7 16" xfId="40298" xr:uid="{00000000-0005-0000-0000-000052A90000}"/>
    <cellStyle name="Wrap Bold 2 7 16 2" xfId="40299" xr:uid="{00000000-0005-0000-0000-000053A90000}"/>
    <cellStyle name="Wrap Bold 2 7 17" xfId="40300" xr:uid="{00000000-0005-0000-0000-000054A90000}"/>
    <cellStyle name="Wrap Bold 2 7 17 2" xfId="40301" xr:uid="{00000000-0005-0000-0000-000055A90000}"/>
    <cellStyle name="Wrap Bold 2 7 18" xfId="40302" xr:uid="{00000000-0005-0000-0000-000056A90000}"/>
    <cellStyle name="Wrap Bold 2 7 2" xfId="40303" xr:uid="{00000000-0005-0000-0000-000057A90000}"/>
    <cellStyle name="Wrap Bold 2 7 2 10" xfId="40304" xr:uid="{00000000-0005-0000-0000-000058A90000}"/>
    <cellStyle name="Wrap Bold 2 7 2 2" xfId="40305" xr:uid="{00000000-0005-0000-0000-000059A90000}"/>
    <cellStyle name="Wrap Bold 2 7 2 2 2" xfId="40306" xr:uid="{00000000-0005-0000-0000-00005AA90000}"/>
    <cellStyle name="Wrap Bold 2 7 2 3" xfId="40307" xr:uid="{00000000-0005-0000-0000-00005BA90000}"/>
    <cellStyle name="Wrap Bold 2 7 2 3 2" xfId="40308" xr:uid="{00000000-0005-0000-0000-00005CA90000}"/>
    <cellStyle name="Wrap Bold 2 7 2 4" xfId="40309" xr:uid="{00000000-0005-0000-0000-00005DA90000}"/>
    <cellStyle name="Wrap Bold 2 7 2 4 2" xfId="40310" xr:uid="{00000000-0005-0000-0000-00005EA90000}"/>
    <cellStyle name="Wrap Bold 2 7 2 5" xfId="40311" xr:uid="{00000000-0005-0000-0000-00005FA90000}"/>
    <cellStyle name="Wrap Bold 2 7 2 5 2" xfId="40312" xr:uid="{00000000-0005-0000-0000-000060A90000}"/>
    <cellStyle name="Wrap Bold 2 7 2 6" xfId="40313" xr:uid="{00000000-0005-0000-0000-000061A90000}"/>
    <cellStyle name="Wrap Bold 2 7 2 6 2" xfId="40314" xr:uid="{00000000-0005-0000-0000-000062A90000}"/>
    <cellStyle name="Wrap Bold 2 7 2 7" xfId="40315" xr:uid="{00000000-0005-0000-0000-000063A90000}"/>
    <cellStyle name="Wrap Bold 2 7 2 7 2" xfId="40316" xr:uid="{00000000-0005-0000-0000-000064A90000}"/>
    <cellStyle name="Wrap Bold 2 7 2 8" xfId="40317" xr:uid="{00000000-0005-0000-0000-000065A90000}"/>
    <cellStyle name="Wrap Bold 2 7 2 8 2" xfId="40318" xr:uid="{00000000-0005-0000-0000-000066A90000}"/>
    <cellStyle name="Wrap Bold 2 7 2 9" xfId="40319" xr:uid="{00000000-0005-0000-0000-000067A90000}"/>
    <cellStyle name="Wrap Bold 2 7 2 9 2" xfId="40320" xr:uid="{00000000-0005-0000-0000-000068A90000}"/>
    <cellStyle name="Wrap Bold 2 7 3" xfId="40321" xr:uid="{00000000-0005-0000-0000-000069A90000}"/>
    <cellStyle name="Wrap Bold 2 7 3 10" xfId="40322" xr:uid="{00000000-0005-0000-0000-00006AA90000}"/>
    <cellStyle name="Wrap Bold 2 7 3 2" xfId="40323" xr:uid="{00000000-0005-0000-0000-00006BA90000}"/>
    <cellStyle name="Wrap Bold 2 7 3 2 2" xfId="40324" xr:uid="{00000000-0005-0000-0000-00006CA90000}"/>
    <cellStyle name="Wrap Bold 2 7 3 3" xfId="40325" xr:uid="{00000000-0005-0000-0000-00006DA90000}"/>
    <cellStyle name="Wrap Bold 2 7 3 3 2" xfId="40326" xr:uid="{00000000-0005-0000-0000-00006EA90000}"/>
    <cellStyle name="Wrap Bold 2 7 3 4" xfId="40327" xr:uid="{00000000-0005-0000-0000-00006FA90000}"/>
    <cellStyle name="Wrap Bold 2 7 3 4 2" xfId="40328" xr:uid="{00000000-0005-0000-0000-000070A90000}"/>
    <cellStyle name="Wrap Bold 2 7 3 5" xfId="40329" xr:uid="{00000000-0005-0000-0000-000071A90000}"/>
    <cellStyle name="Wrap Bold 2 7 3 5 2" xfId="40330" xr:uid="{00000000-0005-0000-0000-000072A90000}"/>
    <cellStyle name="Wrap Bold 2 7 3 6" xfId="40331" xr:uid="{00000000-0005-0000-0000-000073A90000}"/>
    <cellStyle name="Wrap Bold 2 7 3 6 2" xfId="40332" xr:uid="{00000000-0005-0000-0000-000074A90000}"/>
    <cellStyle name="Wrap Bold 2 7 3 7" xfId="40333" xr:uid="{00000000-0005-0000-0000-000075A90000}"/>
    <cellStyle name="Wrap Bold 2 7 3 7 2" xfId="40334" xr:uid="{00000000-0005-0000-0000-000076A90000}"/>
    <cellStyle name="Wrap Bold 2 7 3 8" xfId="40335" xr:uid="{00000000-0005-0000-0000-000077A90000}"/>
    <cellStyle name="Wrap Bold 2 7 3 8 2" xfId="40336" xr:uid="{00000000-0005-0000-0000-000078A90000}"/>
    <cellStyle name="Wrap Bold 2 7 3 9" xfId="40337" xr:uid="{00000000-0005-0000-0000-000079A90000}"/>
    <cellStyle name="Wrap Bold 2 7 3 9 2" xfId="40338" xr:uid="{00000000-0005-0000-0000-00007AA90000}"/>
    <cellStyle name="Wrap Bold 2 7 4" xfId="40339" xr:uid="{00000000-0005-0000-0000-00007BA90000}"/>
    <cellStyle name="Wrap Bold 2 7 4 10" xfId="40340" xr:uid="{00000000-0005-0000-0000-00007CA90000}"/>
    <cellStyle name="Wrap Bold 2 7 4 2" xfId="40341" xr:uid="{00000000-0005-0000-0000-00007DA90000}"/>
    <cellStyle name="Wrap Bold 2 7 4 2 2" xfId="40342" xr:uid="{00000000-0005-0000-0000-00007EA90000}"/>
    <cellStyle name="Wrap Bold 2 7 4 3" xfId="40343" xr:uid="{00000000-0005-0000-0000-00007FA90000}"/>
    <cellStyle name="Wrap Bold 2 7 4 3 2" xfId="40344" xr:uid="{00000000-0005-0000-0000-000080A90000}"/>
    <cellStyle name="Wrap Bold 2 7 4 4" xfId="40345" xr:uid="{00000000-0005-0000-0000-000081A90000}"/>
    <cellStyle name="Wrap Bold 2 7 4 4 2" xfId="40346" xr:uid="{00000000-0005-0000-0000-000082A90000}"/>
    <cellStyle name="Wrap Bold 2 7 4 5" xfId="40347" xr:uid="{00000000-0005-0000-0000-000083A90000}"/>
    <cellStyle name="Wrap Bold 2 7 4 5 2" xfId="40348" xr:uid="{00000000-0005-0000-0000-000084A90000}"/>
    <cellStyle name="Wrap Bold 2 7 4 6" xfId="40349" xr:uid="{00000000-0005-0000-0000-000085A90000}"/>
    <cellStyle name="Wrap Bold 2 7 4 6 2" xfId="40350" xr:uid="{00000000-0005-0000-0000-000086A90000}"/>
    <cellStyle name="Wrap Bold 2 7 4 7" xfId="40351" xr:uid="{00000000-0005-0000-0000-000087A90000}"/>
    <cellStyle name="Wrap Bold 2 7 4 7 2" xfId="40352" xr:uid="{00000000-0005-0000-0000-000088A90000}"/>
    <cellStyle name="Wrap Bold 2 7 4 8" xfId="40353" xr:uid="{00000000-0005-0000-0000-000089A90000}"/>
    <cellStyle name="Wrap Bold 2 7 4 8 2" xfId="40354" xr:uid="{00000000-0005-0000-0000-00008AA90000}"/>
    <cellStyle name="Wrap Bold 2 7 4 9" xfId="40355" xr:uid="{00000000-0005-0000-0000-00008BA90000}"/>
    <cellStyle name="Wrap Bold 2 7 4 9 2" xfId="40356" xr:uid="{00000000-0005-0000-0000-00008CA90000}"/>
    <cellStyle name="Wrap Bold 2 7 5" xfId="40357" xr:uid="{00000000-0005-0000-0000-00008DA90000}"/>
    <cellStyle name="Wrap Bold 2 7 5 10" xfId="40358" xr:uid="{00000000-0005-0000-0000-00008EA90000}"/>
    <cellStyle name="Wrap Bold 2 7 5 2" xfId="40359" xr:uid="{00000000-0005-0000-0000-00008FA90000}"/>
    <cellStyle name="Wrap Bold 2 7 5 2 2" xfId="40360" xr:uid="{00000000-0005-0000-0000-000090A90000}"/>
    <cellStyle name="Wrap Bold 2 7 5 3" xfId="40361" xr:uid="{00000000-0005-0000-0000-000091A90000}"/>
    <cellStyle name="Wrap Bold 2 7 5 3 2" xfId="40362" xr:uid="{00000000-0005-0000-0000-000092A90000}"/>
    <cellStyle name="Wrap Bold 2 7 5 4" xfId="40363" xr:uid="{00000000-0005-0000-0000-000093A90000}"/>
    <cellStyle name="Wrap Bold 2 7 5 4 2" xfId="40364" xr:uid="{00000000-0005-0000-0000-000094A90000}"/>
    <cellStyle name="Wrap Bold 2 7 5 5" xfId="40365" xr:uid="{00000000-0005-0000-0000-000095A90000}"/>
    <cellStyle name="Wrap Bold 2 7 5 5 2" xfId="40366" xr:uid="{00000000-0005-0000-0000-000096A90000}"/>
    <cellStyle name="Wrap Bold 2 7 5 6" xfId="40367" xr:uid="{00000000-0005-0000-0000-000097A90000}"/>
    <cellStyle name="Wrap Bold 2 7 5 6 2" xfId="40368" xr:uid="{00000000-0005-0000-0000-000098A90000}"/>
    <cellStyle name="Wrap Bold 2 7 5 7" xfId="40369" xr:uid="{00000000-0005-0000-0000-000099A90000}"/>
    <cellStyle name="Wrap Bold 2 7 5 7 2" xfId="40370" xr:uid="{00000000-0005-0000-0000-00009AA90000}"/>
    <cellStyle name="Wrap Bold 2 7 5 8" xfId="40371" xr:uid="{00000000-0005-0000-0000-00009BA90000}"/>
    <cellStyle name="Wrap Bold 2 7 5 8 2" xfId="40372" xr:uid="{00000000-0005-0000-0000-00009CA90000}"/>
    <cellStyle name="Wrap Bold 2 7 5 9" xfId="40373" xr:uid="{00000000-0005-0000-0000-00009DA90000}"/>
    <cellStyle name="Wrap Bold 2 7 5 9 2" xfId="40374" xr:uid="{00000000-0005-0000-0000-00009EA90000}"/>
    <cellStyle name="Wrap Bold 2 7 6" xfId="40375" xr:uid="{00000000-0005-0000-0000-00009FA90000}"/>
    <cellStyle name="Wrap Bold 2 7 6 10" xfId="40376" xr:uid="{00000000-0005-0000-0000-0000A0A90000}"/>
    <cellStyle name="Wrap Bold 2 7 6 2" xfId="40377" xr:uid="{00000000-0005-0000-0000-0000A1A90000}"/>
    <cellStyle name="Wrap Bold 2 7 6 2 2" xfId="40378" xr:uid="{00000000-0005-0000-0000-0000A2A90000}"/>
    <cellStyle name="Wrap Bold 2 7 6 3" xfId="40379" xr:uid="{00000000-0005-0000-0000-0000A3A90000}"/>
    <cellStyle name="Wrap Bold 2 7 6 3 2" xfId="40380" xr:uid="{00000000-0005-0000-0000-0000A4A90000}"/>
    <cellStyle name="Wrap Bold 2 7 6 4" xfId="40381" xr:uid="{00000000-0005-0000-0000-0000A5A90000}"/>
    <cellStyle name="Wrap Bold 2 7 6 4 2" xfId="40382" xr:uid="{00000000-0005-0000-0000-0000A6A90000}"/>
    <cellStyle name="Wrap Bold 2 7 6 5" xfId="40383" xr:uid="{00000000-0005-0000-0000-0000A7A90000}"/>
    <cellStyle name="Wrap Bold 2 7 6 5 2" xfId="40384" xr:uid="{00000000-0005-0000-0000-0000A8A90000}"/>
    <cellStyle name="Wrap Bold 2 7 6 6" xfId="40385" xr:uid="{00000000-0005-0000-0000-0000A9A90000}"/>
    <cellStyle name="Wrap Bold 2 7 6 6 2" xfId="40386" xr:uid="{00000000-0005-0000-0000-0000AAA90000}"/>
    <cellStyle name="Wrap Bold 2 7 6 7" xfId="40387" xr:uid="{00000000-0005-0000-0000-0000ABA90000}"/>
    <cellStyle name="Wrap Bold 2 7 6 7 2" xfId="40388" xr:uid="{00000000-0005-0000-0000-0000ACA90000}"/>
    <cellStyle name="Wrap Bold 2 7 6 8" xfId="40389" xr:uid="{00000000-0005-0000-0000-0000ADA90000}"/>
    <cellStyle name="Wrap Bold 2 7 6 8 2" xfId="40390" xr:uid="{00000000-0005-0000-0000-0000AEA90000}"/>
    <cellStyle name="Wrap Bold 2 7 6 9" xfId="40391" xr:uid="{00000000-0005-0000-0000-0000AFA90000}"/>
    <cellStyle name="Wrap Bold 2 7 6 9 2" xfId="40392" xr:uid="{00000000-0005-0000-0000-0000B0A90000}"/>
    <cellStyle name="Wrap Bold 2 7 7" xfId="40393" xr:uid="{00000000-0005-0000-0000-0000B1A90000}"/>
    <cellStyle name="Wrap Bold 2 7 7 10" xfId="40394" xr:uid="{00000000-0005-0000-0000-0000B2A90000}"/>
    <cellStyle name="Wrap Bold 2 7 7 2" xfId="40395" xr:uid="{00000000-0005-0000-0000-0000B3A90000}"/>
    <cellStyle name="Wrap Bold 2 7 7 2 2" xfId="40396" xr:uid="{00000000-0005-0000-0000-0000B4A90000}"/>
    <cellStyle name="Wrap Bold 2 7 7 3" xfId="40397" xr:uid="{00000000-0005-0000-0000-0000B5A90000}"/>
    <cellStyle name="Wrap Bold 2 7 7 3 2" xfId="40398" xr:uid="{00000000-0005-0000-0000-0000B6A90000}"/>
    <cellStyle name="Wrap Bold 2 7 7 4" xfId="40399" xr:uid="{00000000-0005-0000-0000-0000B7A90000}"/>
    <cellStyle name="Wrap Bold 2 7 7 4 2" xfId="40400" xr:uid="{00000000-0005-0000-0000-0000B8A90000}"/>
    <cellStyle name="Wrap Bold 2 7 7 5" xfId="40401" xr:uid="{00000000-0005-0000-0000-0000B9A90000}"/>
    <cellStyle name="Wrap Bold 2 7 7 5 2" xfId="40402" xr:uid="{00000000-0005-0000-0000-0000BAA90000}"/>
    <cellStyle name="Wrap Bold 2 7 7 6" xfId="40403" xr:uid="{00000000-0005-0000-0000-0000BBA90000}"/>
    <cellStyle name="Wrap Bold 2 7 7 6 2" xfId="40404" xr:uid="{00000000-0005-0000-0000-0000BCA90000}"/>
    <cellStyle name="Wrap Bold 2 7 7 7" xfId="40405" xr:uid="{00000000-0005-0000-0000-0000BDA90000}"/>
    <cellStyle name="Wrap Bold 2 7 7 7 2" xfId="40406" xr:uid="{00000000-0005-0000-0000-0000BEA90000}"/>
    <cellStyle name="Wrap Bold 2 7 7 8" xfId="40407" xr:uid="{00000000-0005-0000-0000-0000BFA90000}"/>
    <cellStyle name="Wrap Bold 2 7 7 8 2" xfId="40408" xr:uid="{00000000-0005-0000-0000-0000C0A90000}"/>
    <cellStyle name="Wrap Bold 2 7 7 9" xfId="40409" xr:uid="{00000000-0005-0000-0000-0000C1A90000}"/>
    <cellStyle name="Wrap Bold 2 7 7 9 2" xfId="40410" xr:uid="{00000000-0005-0000-0000-0000C2A90000}"/>
    <cellStyle name="Wrap Bold 2 7 8" xfId="40411" xr:uid="{00000000-0005-0000-0000-0000C3A90000}"/>
    <cellStyle name="Wrap Bold 2 7 8 10" xfId="40412" xr:uid="{00000000-0005-0000-0000-0000C4A90000}"/>
    <cellStyle name="Wrap Bold 2 7 8 2" xfId="40413" xr:uid="{00000000-0005-0000-0000-0000C5A90000}"/>
    <cellStyle name="Wrap Bold 2 7 8 2 2" xfId="40414" xr:uid="{00000000-0005-0000-0000-0000C6A90000}"/>
    <cellStyle name="Wrap Bold 2 7 8 3" xfId="40415" xr:uid="{00000000-0005-0000-0000-0000C7A90000}"/>
    <cellStyle name="Wrap Bold 2 7 8 3 2" xfId="40416" xr:uid="{00000000-0005-0000-0000-0000C8A90000}"/>
    <cellStyle name="Wrap Bold 2 7 8 4" xfId="40417" xr:uid="{00000000-0005-0000-0000-0000C9A90000}"/>
    <cellStyle name="Wrap Bold 2 7 8 4 2" xfId="40418" xr:uid="{00000000-0005-0000-0000-0000CAA90000}"/>
    <cellStyle name="Wrap Bold 2 7 8 5" xfId="40419" xr:uid="{00000000-0005-0000-0000-0000CBA90000}"/>
    <cellStyle name="Wrap Bold 2 7 8 5 2" xfId="40420" xr:uid="{00000000-0005-0000-0000-0000CCA90000}"/>
    <cellStyle name="Wrap Bold 2 7 8 6" xfId="40421" xr:uid="{00000000-0005-0000-0000-0000CDA90000}"/>
    <cellStyle name="Wrap Bold 2 7 8 6 2" xfId="40422" xr:uid="{00000000-0005-0000-0000-0000CEA90000}"/>
    <cellStyle name="Wrap Bold 2 7 8 7" xfId="40423" xr:uid="{00000000-0005-0000-0000-0000CFA90000}"/>
    <cellStyle name="Wrap Bold 2 7 8 7 2" xfId="40424" xr:uid="{00000000-0005-0000-0000-0000D0A90000}"/>
    <cellStyle name="Wrap Bold 2 7 8 8" xfId="40425" xr:uid="{00000000-0005-0000-0000-0000D1A90000}"/>
    <cellStyle name="Wrap Bold 2 7 8 8 2" xfId="40426" xr:uid="{00000000-0005-0000-0000-0000D2A90000}"/>
    <cellStyle name="Wrap Bold 2 7 8 9" xfId="40427" xr:uid="{00000000-0005-0000-0000-0000D3A90000}"/>
    <cellStyle name="Wrap Bold 2 7 8 9 2" xfId="40428" xr:uid="{00000000-0005-0000-0000-0000D4A90000}"/>
    <cellStyle name="Wrap Bold 2 7 9" xfId="40429" xr:uid="{00000000-0005-0000-0000-0000D5A90000}"/>
    <cellStyle name="Wrap Bold 2 7 9 10" xfId="40430" xr:uid="{00000000-0005-0000-0000-0000D6A90000}"/>
    <cellStyle name="Wrap Bold 2 7 9 2" xfId="40431" xr:uid="{00000000-0005-0000-0000-0000D7A90000}"/>
    <cellStyle name="Wrap Bold 2 7 9 2 2" xfId="40432" xr:uid="{00000000-0005-0000-0000-0000D8A90000}"/>
    <cellStyle name="Wrap Bold 2 7 9 3" xfId="40433" xr:uid="{00000000-0005-0000-0000-0000D9A90000}"/>
    <cellStyle name="Wrap Bold 2 7 9 3 2" xfId="40434" xr:uid="{00000000-0005-0000-0000-0000DAA90000}"/>
    <cellStyle name="Wrap Bold 2 7 9 4" xfId="40435" xr:uid="{00000000-0005-0000-0000-0000DBA90000}"/>
    <cellStyle name="Wrap Bold 2 7 9 4 2" xfId="40436" xr:uid="{00000000-0005-0000-0000-0000DCA90000}"/>
    <cellStyle name="Wrap Bold 2 7 9 5" xfId="40437" xr:uid="{00000000-0005-0000-0000-0000DDA90000}"/>
    <cellStyle name="Wrap Bold 2 7 9 5 2" xfId="40438" xr:uid="{00000000-0005-0000-0000-0000DEA90000}"/>
    <cellStyle name="Wrap Bold 2 7 9 6" xfId="40439" xr:uid="{00000000-0005-0000-0000-0000DFA90000}"/>
    <cellStyle name="Wrap Bold 2 7 9 6 2" xfId="40440" xr:uid="{00000000-0005-0000-0000-0000E0A90000}"/>
    <cellStyle name="Wrap Bold 2 7 9 7" xfId="40441" xr:uid="{00000000-0005-0000-0000-0000E1A90000}"/>
    <cellStyle name="Wrap Bold 2 7 9 7 2" xfId="40442" xr:uid="{00000000-0005-0000-0000-0000E2A90000}"/>
    <cellStyle name="Wrap Bold 2 7 9 8" xfId="40443" xr:uid="{00000000-0005-0000-0000-0000E3A90000}"/>
    <cellStyle name="Wrap Bold 2 7 9 8 2" xfId="40444" xr:uid="{00000000-0005-0000-0000-0000E4A90000}"/>
    <cellStyle name="Wrap Bold 2 7 9 9" xfId="40445" xr:uid="{00000000-0005-0000-0000-0000E5A90000}"/>
    <cellStyle name="Wrap Bold 2 7 9 9 2" xfId="40446" xr:uid="{00000000-0005-0000-0000-0000E6A90000}"/>
    <cellStyle name="Wrap Bold 2 8" xfId="40447" xr:uid="{00000000-0005-0000-0000-0000E7A90000}"/>
    <cellStyle name="Wrap Bold 2 8 10" xfId="40448" xr:uid="{00000000-0005-0000-0000-0000E8A90000}"/>
    <cellStyle name="Wrap Bold 2 8 10 2" xfId="40449" xr:uid="{00000000-0005-0000-0000-0000E9A90000}"/>
    <cellStyle name="Wrap Bold 2 8 10 2 2" xfId="40450" xr:uid="{00000000-0005-0000-0000-0000EAA90000}"/>
    <cellStyle name="Wrap Bold 2 8 10 3" xfId="40451" xr:uid="{00000000-0005-0000-0000-0000EBA90000}"/>
    <cellStyle name="Wrap Bold 2 8 10 3 2" xfId="40452" xr:uid="{00000000-0005-0000-0000-0000ECA90000}"/>
    <cellStyle name="Wrap Bold 2 8 10 4" xfId="40453" xr:uid="{00000000-0005-0000-0000-0000EDA90000}"/>
    <cellStyle name="Wrap Bold 2 8 10 4 2" xfId="40454" xr:uid="{00000000-0005-0000-0000-0000EEA90000}"/>
    <cellStyle name="Wrap Bold 2 8 10 5" xfId="40455" xr:uid="{00000000-0005-0000-0000-0000EFA90000}"/>
    <cellStyle name="Wrap Bold 2 8 10 5 2" xfId="40456" xr:uid="{00000000-0005-0000-0000-0000F0A90000}"/>
    <cellStyle name="Wrap Bold 2 8 10 6" xfId="40457" xr:uid="{00000000-0005-0000-0000-0000F1A90000}"/>
    <cellStyle name="Wrap Bold 2 8 10 6 2" xfId="40458" xr:uid="{00000000-0005-0000-0000-0000F2A90000}"/>
    <cellStyle name="Wrap Bold 2 8 10 7" xfId="40459" xr:uid="{00000000-0005-0000-0000-0000F3A90000}"/>
    <cellStyle name="Wrap Bold 2 8 10 7 2" xfId="40460" xr:uid="{00000000-0005-0000-0000-0000F4A90000}"/>
    <cellStyle name="Wrap Bold 2 8 10 8" xfId="40461" xr:uid="{00000000-0005-0000-0000-0000F5A90000}"/>
    <cellStyle name="Wrap Bold 2 8 10 8 2" xfId="40462" xr:uid="{00000000-0005-0000-0000-0000F6A90000}"/>
    <cellStyle name="Wrap Bold 2 8 10 9" xfId="40463" xr:uid="{00000000-0005-0000-0000-0000F7A90000}"/>
    <cellStyle name="Wrap Bold 2 8 11" xfId="40464" xr:uid="{00000000-0005-0000-0000-0000F8A90000}"/>
    <cellStyle name="Wrap Bold 2 8 11 2" xfId="40465" xr:uid="{00000000-0005-0000-0000-0000F9A90000}"/>
    <cellStyle name="Wrap Bold 2 8 12" xfId="40466" xr:uid="{00000000-0005-0000-0000-0000FAA90000}"/>
    <cellStyle name="Wrap Bold 2 8 12 2" xfId="40467" xr:uid="{00000000-0005-0000-0000-0000FBA90000}"/>
    <cellStyle name="Wrap Bold 2 8 13" xfId="40468" xr:uid="{00000000-0005-0000-0000-0000FCA90000}"/>
    <cellStyle name="Wrap Bold 2 8 13 2" xfId="40469" xr:uid="{00000000-0005-0000-0000-0000FDA90000}"/>
    <cellStyle name="Wrap Bold 2 8 14" xfId="40470" xr:uid="{00000000-0005-0000-0000-0000FEA90000}"/>
    <cellStyle name="Wrap Bold 2 8 14 2" xfId="40471" xr:uid="{00000000-0005-0000-0000-0000FFA90000}"/>
    <cellStyle name="Wrap Bold 2 8 15" xfId="40472" xr:uid="{00000000-0005-0000-0000-000000AA0000}"/>
    <cellStyle name="Wrap Bold 2 8 15 2" xfId="40473" xr:uid="{00000000-0005-0000-0000-000001AA0000}"/>
    <cellStyle name="Wrap Bold 2 8 16" xfId="40474" xr:uid="{00000000-0005-0000-0000-000002AA0000}"/>
    <cellStyle name="Wrap Bold 2 8 16 2" xfId="40475" xr:uid="{00000000-0005-0000-0000-000003AA0000}"/>
    <cellStyle name="Wrap Bold 2 8 17" xfId="40476" xr:uid="{00000000-0005-0000-0000-000004AA0000}"/>
    <cellStyle name="Wrap Bold 2 8 17 2" xfId="40477" xr:uid="{00000000-0005-0000-0000-000005AA0000}"/>
    <cellStyle name="Wrap Bold 2 8 18" xfId="40478" xr:uid="{00000000-0005-0000-0000-000006AA0000}"/>
    <cellStyle name="Wrap Bold 2 8 2" xfId="40479" xr:uid="{00000000-0005-0000-0000-000007AA0000}"/>
    <cellStyle name="Wrap Bold 2 8 2 10" xfId="40480" xr:uid="{00000000-0005-0000-0000-000008AA0000}"/>
    <cellStyle name="Wrap Bold 2 8 2 2" xfId="40481" xr:uid="{00000000-0005-0000-0000-000009AA0000}"/>
    <cellStyle name="Wrap Bold 2 8 2 2 2" xfId="40482" xr:uid="{00000000-0005-0000-0000-00000AAA0000}"/>
    <cellStyle name="Wrap Bold 2 8 2 3" xfId="40483" xr:uid="{00000000-0005-0000-0000-00000BAA0000}"/>
    <cellStyle name="Wrap Bold 2 8 2 3 2" xfId="40484" xr:uid="{00000000-0005-0000-0000-00000CAA0000}"/>
    <cellStyle name="Wrap Bold 2 8 2 4" xfId="40485" xr:uid="{00000000-0005-0000-0000-00000DAA0000}"/>
    <cellStyle name="Wrap Bold 2 8 2 4 2" xfId="40486" xr:uid="{00000000-0005-0000-0000-00000EAA0000}"/>
    <cellStyle name="Wrap Bold 2 8 2 5" xfId="40487" xr:uid="{00000000-0005-0000-0000-00000FAA0000}"/>
    <cellStyle name="Wrap Bold 2 8 2 5 2" xfId="40488" xr:uid="{00000000-0005-0000-0000-000010AA0000}"/>
    <cellStyle name="Wrap Bold 2 8 2 6" xfId="40489" xr:uid="{00000000-0005-0000-0000-000011AA0000}"/>
    <cellStyle name="Wrap Bold 2 8 2 6 2" xfId="40490" xr:uid="{00000000-0005-0000-0000-000012AA0000}"/>
    <cellStyle name="Wrap Bold 2 8 2 7" xfId="40491" xr:uid="{00000000-0005-0000-0000-000013AA0000}"/>
    <cellStyle name="Wrap Bold 2 8 2 7 2" xfId="40492" xr:uid="{00000000-0005-0000-0000-000014AA0000}"/>
    <cellStyle name="Wrap Bold 2 8 2 8" xfId="40493" xr:uid="{00000000-0005-0000-0000-000015AA0000}"/>
    <cellStyle name="Wrap Bold 2 8 2 8 2" xfId="40494" xr:uid="{00000000-0005-0000-0000-000016AA0000}"/>
    <cellStyle name="Wrap Bold 2 8 2 9" xfId="40495" xr:uid="{00000000-0005-0000-0000-000017AA0000}"/>
    <cellStyle name="Wrap Bold 2 8 2 9 2" xfId="40496" xr:uid="{00000000-0005-0000-0000-000018AA0000}"/>
    <cellStyle name="Wrap Bold 2 8 3" xfId="40497" xr:uid="{00000000-0005-0000-0000-000019AA0000}"/>
    <cellStyle name="Wrap Bold 2 8 3 10" xfId="40498" xr:uid="{00000000-0005-0000-0000-00001AAA0000}"/>
    <cellStyle name="Wrap Bold 2 8 3 2" xfId="40499" xr:uid="{00000000-0005-0000-0000-00001BAA0000}"/>
    <cellStyle name="Wrap Bold 2 8 3 2 2" xfId="40500" xr:uid="{00000000-0005-0000-0000-00001CAA0000}"/>
    <cellStyle name="Wrap Bold 2 8 3 3" xfId="40501" xr:uid="{00000000-0005-0000-0000-00001DAA0000}"/>
    <cellStyle name="Wrap Bold 2 8 3 3 2" xfId="40502" xr:uid="{00000000-0005-0000-0000-00001EAA0000}"/>
    <cellStyle name="Wrap Bold 2 8 3 4" xfId="40503" xr:uid="{00000000-0005-0000-0000-00001FAA0000}"/>
    <cellStyle name="Wrap Bold 2 8 3 4 2" xfId="40504" xr:uid="{00000000-0005-0000-0000-000020AA0000}"/>
    <cellStyle name="Wrap Bold 2 8 3 5" xfId="40505" xr:uid="{00000000-0005-0000-0000-000021AA0000}"/>
    <cellStyle name="Wrap Bold 2 8 3 5 2" xfId="40506" xr:uid="{00000000-0005-0000-0000-000022AA0000}"/>
    <cellStyle name="Wrap Bold 2 8 3 6" xfId="40507" xr:uid="{00000000-0005-0000-0000-000023AA0000}"/>
    <cellStyle name="Wrap Bold 2 8 3 6 2" xfId="40508" xr:uid="{00000000-0005-0000-0000-000024AA0000}"/>
    <cellStyle name="Wrap Bold 2 8 3 7" xfId="40509" xr:uid="{00000000-0005-0000-0000-000025AA0000}"/>
    <cellStyle name="Wrap Bold 2 8 3 7 2" xfId="40510" xr:uid="{00000000-0005-0000-0000-000026AA0000}"/>
    <cellStyle name="Wrap Bold 2 8 3 8" xfId="40511" xr:uid="{00000000-0005-0000-0000-000027AA0000}"/>
    <cellStyle name="Wrap Bold 2 8 3 8 2" xfId="40512" xr:uid="{00000000-0005-0000-0000-000028AA0000}"/>
    <cellStyle name="Wrap Bold 2 8 3 9" xfId="40513" xr:uid="{00000000-0005-0000-0000-000029AA0000}"/>
    <cellStyle name="Wrap Bold 2 8 3 9 2" xfId="40514" xr:uid="{00000000-0005-0000-0000-00002AAA0000}"/>
    <cellStyle name="Wrap Bold 2 8 4" xfId="40515" xr:uid="{00000000-0005-0000-0000-00002BAA0000}"/>
    <cellStyle name="Wrap Bold 2 8 4 10" xfId="40516" xr:uid="{00000000-0005-0000-0000-00002CAA0000}"/>
    <cellStyle name="Wrap Bold 2 8 4 2" xfId="40517" xr:uid="{00000000-0005-0000-0000-00002DAA0000}"/>
    <cellStyle name="Wrap Bold 2 8 4 2 2" xfId="40518" xr:uid="{00000000-0005-0000-0000-00002EAA0000}"/>
    <cellStyle name="Wrap Bold 2 8 4 3" xfId="40519" xr:uid="{00000000-0005-0000-0000-00002FAA0000}"/>
    <cellStyle name="Wrap Bold 2 8 4 3 2" xfId="40520" xr:uid="{00000000-0005-0000-0000-000030AA0000}"/>
    <cellStyle name="Wrap Bold 2 8 4 4" xfId="40521" xr:uid="{00000000-0005-0000-0000-000031AA0000}"/>
    <cellStyle name="Wrap Bold 2 8 4 4 2" xfId="40522" xr:uid="{00000000-0005-0000-0000-000032AA0000}"/>
    <cellStyle name="Wrap Bold 2 8 4 5" xfId="40523" xr:uid="{00000000-0005-0000-0000-000033AA0000}"/>
    <cellStyle name="Wrap Bold 2 8 4 5 2" xfId="40524" xr:uid="{00000000-0005-0000-0000-000034AA0000}"/>
    <cellStyle name="Wrap Bold 2 8 4 6" xfId="40525" xr:uid="{00000000-0005-0000-0000-000035AA0000}"/>
    <cellStyle name="Wrap Bold 2 8 4 6 2" xfId="40526" xr:uid="{00000000-0005-0000-0000-000036AA0000}"/>
    <cellStyle name="Wrap Bold 2 8 4 7" xfId="40527" xr:uid="{00000000-0005-0000-0000-000037AA0000}"/>
    <cellStyle name="Wrap Bold 2 8 4 7 2" xfId="40528" xr:uid="{00000000-0005-0000-0000-000038AA0000}"/>
    <cellStyle name="Wrap Bold 2 8 4 8" xfId="40529" xr:uid="{00000000-0005-0000-0000-000039AA0000}"/>
    <cellStyle name="Wrap Bold 2 8 4 8 2" xfId="40530" xr:uid="{00000000-0005-0000-0000-00003AAA0000}"/>
    <cellStyle name="Wrap Bold 2 8 4 9" xfId="40531" xr:uid="{00000000-0005-0000-0000-00003BAA0000}"/>
    <cellStyle name="Wrap Bold 2 8 4 9 2" xfId="40532" xr:uid="{00000000-0005-0000-0000-00003CAA0000}"/>
    <cellStyle name="Wrap Bold 2 8 5" xfId="40533" xr:uid="{00000000-0005-0000-0000-00003DAA0000}"/>
    <cellStyle name="Wrap Bold 2 8 5 10" xfId="40534" xr:uid="{00000000-0005-0000-0000-00003EAA0000}"/>
    <cellStyle name="Wrap Bold 2 8 5 2" xfId="40535" xr:uid="{00000000-0005-0000-0000-00003FAA0000}"/>
    <cellStyle name="Wrap Bold 2 8 5 2 2" xfId="40536" xr:uid="{00000000-0005-0000-0000-000040AA0000}"/>
    <cellStyle name="Wrap Bold 2 8 5 3" xfId="40537" xr:uid="{00000000-0005-0000-0000-000041AA0000}"/>
    <cellStyle name="Wrap Bold 2 8 5 3 2" xfId="40538" xr:uid="{00000000-0005-0000-0000-000042AA0000}"/>
    <cellStyle name="Wrap Bold 2 8 5 4" xfId="40539" xr:uid="{00000000-0005-0000-0000-000043AA0000}"/>
    <cellStyle name="Wrap Bold 2 8 5 4 2" xfId="40540" xr:uid="{00000000-0005-0000-0000-000044AA0000}"/>
    <cellStyle name="Wrap Bold 2 8 5 5" xfId="40541" xr:uid="{00000000-0005-0000-0000-000045AA0000}"/>
    <cellStyle name="Wrap Bold 2 8 5 5 2" xfId="40542" xr:uid="{00000000-0005-0000-0000-000046AA0000}"/>
    <cellStyle name="Wrap Bold 2 8 5 6" xfId="40543" xr:uid="{00000000-0005-0000-0000-000047AA0000}"/>
    <cellStyle name="Wrap Bold 2 8 5 6 2" xfId="40544" xr:uid="{00000000-0005-0000-0000-000048AA0000}"/>
    <cellStyle name="Wrap Bold 2 8 5 7" xfId="40545" xr:uid="{00000000-0005-0000-0000-000049AA0000}"/>
    <cellStyle name="Wrap Bold 2 8 5 7 2" xfId="40546" xr:uid="{00000000-0005-0000-0000-00004AAA0000}"/>
    <cellStyle name="Wrap Bold 2 8 5 8" xfId="40547" xr:uid="{00000000-0005-0000-0000-00004BAA0000}"/>
    <cellStyle name="Wrap Bold 2 8 5 8 2" xfId="40548" xr:uid="{00000000-0005-0000-0000-00004CAA0000}"/>
    <cellStyle name="Wrap Bold 2 8 5 9" xfId="40549" xr:uid="{00000000-0005-0000-0000-00004DAA0000}"/>
    <cellStyle name="Wrap Bold 2 8 5 9 2" xfId="40550" xr:uid="{00000000-0005-0000-0000-00004EAA0000}"/>
    <cellStyle name="Wrap Bold 2 8 6" xfId="40551" xr:uid="{00000000-0005-0000-0000-00004FAA0000}"/>
    <cellStyle name="Wrap Bold 2 8 6 10" xfId="40552" xr:uid="{00000000-0005-0000-0000-000050AA0000}"/>
    <cellStyle name="Wrap Bold 2 8 6 2" xfId="40553" xr:uid="{00000000-0005-0000-0000-000051AA0000}"/>
    <cellStyle name="Wrap Bold 2 8 6 2 2" xfId="40554" xr:uid="{00000000-0005-0000-0000-000052AA0000}"/>
    <cellStyle name="Wrap Bold 2 8 6 3" xfId="40555" xr:uid="{00000000-0005-0000-0000-000053AA0000}"/>
    <cellStyle name="Wrap Bold 2 8 6 3 2" xfId="40556" xr:uid="{00000000-0005-0000-0000-000054AA0000}"/>
    <cellStyle name="Wrap Bold 2 8 6 4" xfId="40557" xr:uid="{00000000-0005-0000-0000-000055AA0000}"/>
    <cellStyle name="Wrap Bold 2 8 6 4 2" xfId="40558" xr:uid="{00000000-0005-0000-0000-000056AA0000}"/>
    <cellStyle name="Wrap Bold 2 8 6 5" xfId="40559" xr:uid="{00000000-0005-0000-0000-000057AA0000}"/>
    <cellStyle name="Wrap Bold 2 8 6 5 2" xfId="40560" xr:uid="{00000000-0005-0000-0000-000058AA0000}"/>
    <cellStyle name="Wrap Bold 2 8 6 6" xfId="40561" xr:uid="{00000000-0005-0000-0000-000059AA0000}"/>
    <cellStyle name="Wrap Bold 2 8 6 6 2" xfId="40562" xr:uid="{00000000-0005-0000-0000-00005AAA0000}"/>
    <cellStyle name="Wrap Bold 2 8 6 7" xfId="40563" xr:uid="{00000000-0005-0000-0000-00005BAA0000}"/>
    <cellStyle name="Wrap Bold 2 8 6 7 2" xfId="40564" xr:uid="{00000000-0005-0000-0000-00005CAA0000}"/>
    <cellStyle name="Wrap Bold 2 8 6 8" xfId="40565" xr:uid="{00000000-0005-0000-0000-00005DAA0000}"/>
    <cellStyle name="Wrap Bold 2 8 6 8 2" xfId="40566" xr:uid="{00000000-0005-0000-0000-00005EAA0000}"/>
    <cellStyle name="Wrap Bold 2 8 6 9" xfId="40567" xr:uid="{00000000-0005-0000-0000-00005FAA0000}"/>
    <cellStyle name="Wrap Bold 2 8 6 9 2" xfId="40568" xr:uid="{00000000-0005-0000-0000-000060AA0000}"/>
    <cellStyle name="Wrap Bold 2 8 7" xfId="40569" xr:uid="{00000000-0005-0000-0000-000061AA0000}"/>
    <cellStyle name="Wrap Bold 2 8 7 10" xfId="40570" xr:uid="{00000000-0005-0000-0000-000062AA0000}"/>
    <cellStyle name="Wrap Bold 2 8 7 2" xfId="40571" xr:uid="{00000000-0005-0000-0000-000063AA0000}"/>
    <cellStyle name="Wrap Bold 2 8 7 2 2" xfId="40572" xr:uid="{00000000-0005-0000-0000-000064AA0000}"/>
    <cellStyle name="Wrap Bold 2 8 7 3" xfId="40573" xr:uid="{00000000-0005-0000-0000-000065AA0000}"/>
    <cellStyle name="Wrap Bold 2 8 7 3 2" xfId="40574" xr:uid="{00000000-0005-0000-0000-000066AA0000}"/>
    <cellStyle name="Wrap Bold 2 8 7 4" xfId="40575" xr:uid="{00000000-0005-0000-0000-000067AA0000}"/>
    <cellStyle name="Wrap Bold 2 8 7 4 2" xfId="40576" xr:uid="{00000000-0005-0000-0000-000068AA0000}"/>
    <cellStyle name="Wrap Bold 2 8 7 5" xfId="40577" xr:uid="{00000000-0005-0000-0000-000069AA0000}"/>
    <cellStyle name="Wrap Bold 2 8 7 5 2" xfId="40578" xr:uid="{00000000-0005-0000-0000-00006AAA0000}"/>
    <cellStyle name="Wrap Bold 2 8 7 6" xfId="40579" xr:uid="{00000000-0005-0000-0000-00006BAA0000}"/>
    <cellStyle name="Wrap Bold 2 8 7 6 2" xfId="40580" xr:uid="{00000000-0005-0000-0000-00006CAA0000}"/>
    <cellStyle name="Wrap Bold 2 8 7 7" xfId="40581" xr:uid="{00000000-0005-0000-0000-00006DAA0000}"/>
    <cellStyle name="Wrap Bold 2 8 7 7 2" xfId="40582" xr:uid="{00000000-0005-0000-0000-00006EAA0000}"/>
    <cellStyle name="Wrap Bold 2 8 7 8" xfId="40583" xr:uid="{00000000-0005-0000-0000-00006FAA0000}"/>
    <cellStyle name="Wrap Bold 2 8 7 8 2" xfId="40584" xr:uid="{00000000-0005-0000-0000-000070AA0000}"/>
    <cellStyle name="Wrap Bold 2 8 7 9" xfId="40585" xr:uid="{00000000-0005-0000-0000-000071AA0000}"/>
    <cellStyle name="Wrap Bold 2 8 7 9 2" xfId="40586" xr:uid="{00000000-0005-0000-0000-000072AA0000}"/>
    <cellStyle name="Wrap Bold 2 8 8" xfId="40587" xr:uid="{00000000-0005-0000-0000-000073AA0000}"/>
    <cellStyle name="Wrap Bold 2 8 8 10" xfId="40588" xr:uid="{00000000-0005-0000-0000-000074AA0000}"/>
    <cellStyle name="Wrap Bold 2 8 8 2" xfId="40589" xr:uid="{00000000-0005-0000-0000-000075AA0000}"/>
    <cellStyle name="Wrap Bold 2 8 8 2 2" xfId="40590" xr:uid="{00000000-0005-0000-0000-000076AA0000}"/>
    <cellStyle name="Wrap Bold 2 8 8 3" xfId="40591" xr:uid="{00000000-0005-0000-0000-000077AA0000}"/>
    <cellStyle name="Wrap Bold 2 8 8 3 2" xfId="40592" xr:uid="{00000000-0005-0000-0000-000078AA0000}"/>
    <cellStyle name="Wrap Bold 2 8 8 4" xfId="40593" xr:uid="{00000000-0005-0000-0000-000079AA0000}"/>
    <cellStyle name="Wrap Bold 2 8 8 4 2" xfId="40594" xr:uid="{00000000-0005-0000-0000-00007AAA0000}"/>
    <cellStyle name="Wrap Bold 2 8 8 5" xfId="40595" xr:uid="{00000000-0005-0000-0000-00007BAA0000}"/>
    <cellStyle name="Wrap Bold 2 8 8 5 2" xfId="40596" xr:uid="{00000000-0005-0000-0000-00007CAA0000}"/>
    <cellStyle name="Wrap Bold 2 8 8 6" xfId="40597" xr:uid="{00000000-0005-0000-0000-00007DAA0000}"/>
    <cellStyle name="Wrap Bold 2 8 8 6 2" xfId="40598" xr:uid="{00000000-0005-0000-0000-00007EAA0000}"/>
    <cellStyle name="Wrap Bold 2 8 8 7" xfId="40599" xr:uid="{00000000-0005-0000-0000-00007FAA0000}"/>
    <cellStyle name="Wrap Bold 2 8 8 7 2" xfId="40600" xr:uid="{00000000-0005-0000-0000-000080AA0000}"/>
    <cellStyle name="Wrap Bold 2 8 8 8" xfId="40601" xr:uid="{00000000-0005-0000-0000-000081AA0000}"/>
    <cellStyle name="Wrap Bold 2 8 8 8 2" xfId="40602" xr:uid="{00000000-0005-0000-0000-000082AA0000}"/>
    <cellStyle name="Wrap Bold 2 8 8 9" xfId="40603" xr:uid="{00000000-0005-0000-0000-000083AA0000}"/>
    <cellStyle name="Wrap Bold 2 8 8 9 2" xfId="40604" xr:uid="{00000000-0005-0000-0000-000084AA0000}"/>
    <cellStyle name="Wrap Bold 2 8 9" xfId="40605" xr:uid="{00000000-0005-0000-0000-000085AA0000}"/>
    <cellStyle name="Wrap Bold 2 8 9 10" xfId="40606" xr:uid="{00000000-0005-0000-0000-000086AA0000}"/>
    <cellStyle name="Wrap Bold 2 8 9 2" xfId="40607" xr:uid="{00000000-0005-0000-0000-000087AA0000}"/>
    <cellStyle name="Wrap Bold 2 8 9 2 2" xfId="40608" xr:uid="{00000000-0005-0000-0000-000088AA0000}"/>
    <cellStyle name="Wrap Bold 2 8 9 3" xfId="40609" xr:uid="{00000000-0005-0000-0000-000089AA0000}"/>
    <cellStyle name="Wrap Bold 2 8 9 3 2" xfId="40610" xr:uid="{00000000-0005-0000-0000-00008AAA0000}"/>
    <cellStyle name="Wrap Bold 2 8 9 4" xfId="40611" xr:uid="{00000000-0005-0000-0000-00008BAA0000}"/>
    <cellStyle name="Wrap Bold 2 8 9 4 2" xfId="40612" xr:uid="{00000000-0005-0000-0000-00008CAA0000}"/>
    <cellStyle name="Wrap Bold 2 8 9 5" xfId="40613" xr:uid="{00000000-0005-0000-0000-00008DAA0000}"/>
    <cellStyle name="Wrap Bold 2 8 9 5 2" xfId="40614" xr:uid="{00000000-0005-0000-0000-00008EAA0000}"/>
    <cellStyle name="Wrap Bold 2 8 9 6" xfId="40615" xr:uid="{00000000-0005-0000-0000-00008FAA0000}"/>
    <cellStyle name="Wrap Bold 2 8 9 6 2" xfId="40616" xr:uid="{00000000-0005-0000-0000-000090AA0000}"/>
    <cellStyle name="Wrap Bold 2 8 9 7" xfId="40617" xr:uid="{00000000-0005-0000-0000-000091AA0000}"/>
    <cellStyle name="Wrap Bold 2 8 9 7 2" xfId="40618" xr:uid="{00000000-0005-0000-0000-000092AA0000}"/>
    <cellStyle name="Wrap Bold 2 8 9 8" xfId="40619" xr:uid="{00000000-0005-0000-0000-000093AA0000}"/>
    <cellStyle name="Wrap Bold 2 8 9 8 2" xfId="40620" xr:uid="{00000000-0005-0000-0000-000094AA0000}"/>
    <cellStyle name="Wrap Bold 2 8 9 9" xfId="40621" xr:uid="{00000000-0005-0000-0000-000095AA0000}"/>
    <cellStyle name="Wrap Bold 2 8 9 9 2" xfId="40622" xr:uid="{00000000-0005-0000-0000-000096AA0000}"/>
    <cellStyle name="Wrap Bold 2 9" xfId="40623" xr:uid="{00000000-0005-0000-0000-000097AA0000}"/>
    <cellStyle name="Wrap Bold 2 9 10" xfId="40624" xr:uid="{00000000-0005-0000-0000-000098AA0000}"/>
    <cellStyle name="Wrap Bold 2 9 10 2" xfId="40625" xr:uid="{00000000-0005-0000-0000-000099AA0000}"/>
    <cellStyle name="Wrap Bold 2 9 10 2 2" xfId="40626" xr:uid="{00000000-0005-0000-0000-00009AAA0000}"/>
    <cellStyle name="Wrap Bold 2 9 10 3" xfId="40627" xr:uid="{00000000-0005-0000-0000-00009BAA0000}"/>
    <cellStyle name="Wrap Bold 2 9 10 3 2" xfId="40628" xr:uid="{00000000-0005-0000-0000-00009CAA0000}"/>
    <cellStyle name="Wrap Bold 2 9 10 4" xfId="40629" xr:uid="{00000000-0005-0000-0000-00009DAA0000}"/>
    <cellStyle name="Wrap Bold 2 9 10 4 2" xfId="40630" xr:uid="{00000000-0005-0000-0000-00009EAA0000}"/>
    <cellStyle name="Wrap Bold 2 9 10 5" xfId="40631" xr:uid="{00000000-0005-0000-0000-00009FAA0000}"/>
    <cellStyle name="Wrap Bold 2 9 10 5 2" xfId="40632" xr:uid="{00000000-0005-0000-0000-0000A0AA0000}"/>
    <cellStyle name="Wrap Bold 2 9 10 6" xfId="40633" xr:uid="{00000000-0005-0000-0000-0000A1AA0000}"/>
    <cellStyle name="Wrap Bold 2 9 10 6 2" xfId="40634" xr:uid="{00000000-0005-0000-0000-0000A2AA0000}"/>
    <cellStyle name="Wrap Bold 2 9 10 7" xfId="40635" xr:uid="{00000000-0005-0000-0000-0000A3AA0000}"/>
    <cellStyle name="Wrap Bold 2 9 10 7 2" xfId="40636" xr:uid="{00000000-0005-0000-0000-0000A4AA0000}"/>
    <cellStyle name="Wrap Bold 2 9 10 8" xfId="40637" xr:uid="{00000000-0005-0000-0000-0000A5AA0000}"/>
    <cellStyle name="Wrap Bold 2 9 10 8 2" xfId="40638" xr:uid="{00000000-0005-0000-0000-0000A6AA0000}"/>
    <cellStyle name="Wrap Bold 2 9 10 9" xfId="40639" xr:uid="{00000000-0005-0000-0000-0000A7AA0000}"/>
    <cellStyle name="Wrap Bold 2 9 11" xfId="40640" xr:uid="{00000000-0005-0000-0000-0000A8AA0000}"/>
    <cellStyle name="Wrap Bold 2 9 11 2" xfId="40641" xr:uid="{00000000-0005-0000-0000-0000A9AA0000}"/>
    <cellStyle name="Wrap Bold 2 9 12" xfId="40642" xr:uid="{00000000-0005-0000-0000-0000AAAA0000}"/>
    <cellStyle name="Wrap Bold 2 9 12 2" xfId="40643" xr:uid="{00000000-0005-0000-0000-0000ABAA0000}"/>
    <cellStyle name="Wrap Bold 2 9 13" xfId="40644" xr:uid="{00000000-0005-0000-0000-0000ACAA0000}"/>
    <cellStyle name="Wrap Bold 2 9 13 2" xfId="40645" xr:uid="{00000000-0005-0000-0000-0000ADAA0000}"/>
    <cellStyle name="Wrap Bold 2 9 14" xfId="40646" xr:uid="{00000000-0005-0000-0000-0000AEAA0000}"/>
    <cellStyle name="Wrap Bold 2 9 14 2" xfId="40647" xr:uid="{00000000-0005-0000-0000-0000AFAA0000}"/>
    <cellStyle name="Wrap Bold 2 9 15" xfId="40648" xr:uid="{00000000-0005-0000-0000-0000B0AA0000}"/>
    <cellStyle name="Wrap Bold 2 9 15 2" xfId="40649" xr:uid="{00000000-0005-0000-0000-0000B1AA0000}"/>
    <cellStyle name="Wrap Bold 2 9 16" xfId="40650" xr:uid="{00000000-0005-0000-0000-0000B2AA0000}"/>
    <cellStyle name="Wrap Bold 2 9 16 2" xfId="40651" xr:uid="{00000000-0005-0000-0000-0000B3AA0000}"/>
    <cellStyle name="Wrap Bold 2 9 17" xfId="40652" xr:uid="{00000000-0005-0000-0000-0000B4AA0000}"/>
    <cellStyle name="Wrap Bold 2 9 17 2" xfId="40653" xr:uid="{00000000-0005-0000-0000-0000B5AA0000}"/>
    <cellStyle name="Wrap Bold 2 9 18" xfId="40654" xr:uid="{00000000-0005-0000-0000-0000B6AA0000}"/>
    <cellStyle name="Wrap Bold 2 9 2" xfId="40655" xr:uid="{00000000-0005-0000-0000-0000B7AA0000}"/>
    <cellStyle name="Wrap Bold 2 9 2 10" xfId="40656" xr:uid="{00000000-0005-0000-0000-0000B8AA0000}"/>
    <cellStyle name="Wrap Bold 2 9 2 2" xfId="40657" xr:uid="{00000000-0005-0000-0000-0000B9AA0000}"/>
    <cellStyle name="Wrap Bold 2 9 2 2 2" xfId="40658" xr:uid="{00000000-0005-0000-0000-0000BAAA0000}"/>
    <cellStyle name="Wrap Bold 2 9 2 3" xfId="40659" xr:uid="{00000000-0005-0000-0000-0000BBAA0000}"/>
    <cellStyle name="Wrap Bold 2 9 2 3 2" xfId="40660" xr:uid="{00000000-0005-0000-0000-0000BCAA0000}"/>
    <cellStyle name="Wrap Bold 2 9 2 4" xfId="40661" xr:uid="{00000000-0005-0000-0000-0000BDAA0000}"/>
    <cellStyle name="Wrap Bold 2 9 2 4 2" xfId="40662" xr:uid="{00000000-0005-0000-0000-0000BEAA0000}"/>
    <cellStyle name="Wrap Bold 2 9 2 5" xfId="40663" xr:uid="{00000000-0005-0000-0000-0000BFAA0000}"/>
    <cellStyle name="Wrap Bold 2 9 2 5 2" xfId="40664" xr:uid="{00000000-0005-0000-0000-0000C0AA0000}"/>
    <cellStyle name="Wrap Bold 2 9 2 6" xfId="40665" xr:uid="{00000000-0005-0000-0000-0000C1AA0000}"/>
    <cellStyle name="Wrap Bold 2 9 2 6 2" xfId="40666" xr:uid="{00000000-0005-0000-0000-0000C2AA0000}"/>
    <cellStyle name="Wrap Bold 2 9 2 7" xfId="40667" xr:uid="{00000000-0005-0000-0000-0000C3AA0000}"/>
    <cellStyle name="Wrap Bold 2 9 2 7 2" xfId="40668" xr:uid="{00000000-0005-0000-0000-0000C4AA0000}"/>
    <cellStyle name="Wrap Bold 2 9 2 8" xfId="40669" xr:uid="{00000000-0005-0000-0000-0000C5AA0000}"/>
    <cellStyle name="Wrap Bold 2 9 2 8 2" xfId="40670" xr:uid="{00000000-0005-0000-0000-0000C6AA0000}"/>
    <cellStyle name="Wrap Bold 2 9 2 9" xfId="40671" xr:uid="{00000000-0005-0000-0000-0000C7AA0000}"/>
    <cellStyle name="Wrap Bold 2 9 2 9 2" xfId="40672" xr:uid="{00000000-0005-0000-0000-0000C8AA0000}"/>
    <cellStyle name="Wrap Bold 2 9 3" xfId="40673" xr:uid="{00000000-0005-0000-0000-0000C9AA0000}"/>
    <cellStyle name="Wrap Bold 2 9 3 10" xfId="40674" xr:uid="{00000000-0005-0000-0000-0000CAAA0000}"/>
    <cellStyle name="Wrap Bold 2 9 3 2" xfId="40675" xr:uid="{00000000-0005-0000-0000-0000CBAA0000}"/>
    <cellStyle name="Wrap Bold 2 9 3 2 2" xfId="40676" xr:uid="{00000000-0005-0000-0000-0000CCAA0000}"/>
    <cellStyle name="Wrap Bold 2 9 3 3" xfId="40677" xr:uid="{00000000-0005-0000-0000-0000CDAA0000}"/>
    <cellStyle name="Wrap Bold 2 9 3 3 2" xfId="40678" xr:uid="{00000000-0005-0000-0000-0000CEAA0000}"/>
    <cellStyle name="Wrap Bold 2 9 3 4" xfId="40679" xr:uid="{00000000-0005-0000-0000-0000CFAA0000}"/>
    <cellStyle name="Wrap Bold 2 9 3 4 2" xfId="40680" xr:uid="{00000000-0005-0000-0000-0000D0AA0000}"/>
    <cellStyle name="Wrap Bold 2 9 3 5" xfId="40681" xr:uid="{00000000-0005-0000-0000-0000D1AA0000}"/>
    <cellStyle name="Wrap Bold 2 9 3 5 2" xfId="40682" xr:uid="{00000000-0005-0000-0000-0000D2AA0000}"/>
    <cellStyle name="Wrap Bold 2 9 3 6" xfId="40683" xr:uid="{00000000-0005-0000-0000-0000D3AA0000}"/>
    <cellStyle name="Wrap Bold 2 9 3 6 2" xfId="40684" xr:uid="{00000000-0005-0000-0000-0000D4AA0000}"/>
    <cellStyle name="Wrap Bold 2 9 3 7" xfId="40685" xr:uid="{00000000-0005-0000-0000-0000D5AA0000}"/>
    <cellStyle name="Wrap Bold 2 9 3 7 2" xfId="40686" xr:uid="{00000000-0005-0000-0000-0000D6AA0000}"/>
    <cellStyle name="Wrap Bold 2 9 3 8" xfId="40687" xr:uid="{00000000-0005-0000-0000-0000D7AA0000}"/>
    <cellStyle name="Wrap Bold 2 9 3 8 2" xfId="40688" xr:uid="{00000000-0005-0000-0000-0000D8AA0000}"/>
    <cellStyle name="Wrap Bold 2 9 3 9" xfId="40689" xr:uid="{00000000-0005-0000-0000-0000D9AA0000}"/>
    <cellStyle name="Wrap Bold 2 9 3 9 2" xfId="40690" xr:uid="{00000000-0005-0000-0000-0000DAAA0000}"/>
    <cellStyle name="Wrap Bold 2 9 4" xfId="40691" xr:uid="{00000000-0005-0000-0000-0000DBAA0000}"/>
    <cellStyle name="Wrap Bold 2 9 4 10" xfId="40692" xr:uid="{00000000-0005-0000-0000-0000DCAA0000}"/>
    <cellStyle name="Wrap Bold 2 9 4 2" xfId="40693" xr:uid="{00000000-0005-0000-0000-0000DDAA0000}"/>
    <cellStyle name="Wrap Bold 2 9 4 2 2" xfId="40694" xr:uid="{00000000-0005-0000-0000-0000DEAA0000}"/>
    <cellStyle name="Wrap Bold 2 9 4 3" xfId="40695" xr:uid="{00000000-0005-0000-0000-0000DFAA0000}"/>
    <cellStyle name="Wrap Bold 2 9 4 3 2" xfId="40696" xr:uid="{00000000-0005-0000-0000-0000E0AA0000}"/>
    <cellStyle name="Wrap Bold 2 9 4 4" xfId="40697" xr:uid="{00000000-0005-0000-0000-0000E1AA0000}"/>
    <cellStyle name="Wrap Bold 2 9 4 4 2" xfId="40698" xr:uid="{00000000-0005-0000-0000-0000E2AA0000}"/>
    <cellStyle name="Wrap Bold 2 9 4 5" xfId="40699" xr:uid="{00000000-0005-0000-0000-0000E3AA0000}"/>
    <cellStyle name="Wrap Bold 2 9 4 5 2" xfId="40700" xr:uid="{00000000-0005-0000-0000-0000E4AA0000}"/>
    <cellStyle name="Wrap Bold 2 9 4 6" xfId="40701" xr:uid="{00000000-0005-0000-0000-0000E5AA0000}"/>
    <cellStyle name="Wrap Bold 2 9 4 6 2" xfId="40702" xr:uid="{00000000-0005-0000-0000-0000E6AA0000}"/>
    <cellStyle name="Wrap Bold 2 9 4 7" xfId="40703" xr:uid="{00000000-0005-0000-0000-0000E7AA0000}"/>
    <cellStyle name="Wrap Bold 2 9 4 7 2" xfId="40704" xr:uid="{00000000-0005-0000-0000-0000E8AA0000}"/>
    <cellStyle name="Wrap Bold 2 9 4 8" xfId="40705" xr:uid="{00000000-0005-0000-0000-0000E9AA0000}"/>
    <cellStyle name="Wrap Bold 2 9 4 8 2" xfId="40706" xr:uid="{00000000-0005-0000-0000-0000EAAA0000}"/>
    <cellStyle name="Wrap Bold 2 9 4 9" xfId="40707" xr:uid="{00000000-0005-0000-0000-0000EBAA0000}"/>
    <cellStyle name="Wrap Bold 2 9 4 9 2" xfId="40708" xr:uid="{00000000-0005-0000-0000-0000ECAA0000}"/>
    <cellStyle name="Wrap Bold 2 9 5" xfId="40709" xr:uid="{00000000-0005-0000-0000-0000EDAA0000}"/>
    <cellStyle name="Wrap Bold 2 9 5 10" xfId="40710" xr:uid="{00000000-0005-0000-0000-0000EEAA0000}"/>
    <cellStyle name="Wrap Bold 2 9 5 2" xfId="40711" xr:uid="{00000000-0005-0000-0000-0000EFAA0000}"/>
    <cellStyle name="Wrap Bold 2 9 5 2 2" xfId="40712" xr:uid="{00000000-0005-0000-0000-0000F0AA0000}"/>
    <cellStyle name="Wrap Bold 2 9 5 3" xfId="40713" xr:uid="{00000000-0005-0000-0000-0000F1AA0000}"/>
    <cellStyle name="Wrap Bold 2 9 5 3 2" xfId="40714" xr:uid="{00000000-0005-0000-0000-0000F2AA0000}"/>
    <cellStyle name="Wrap Bold 2 9 5 4" xfId="40715" xr:uid="{00000000-0005-0000-0000-0000F3AA0000}"/>
    <cellStyle name="Wrap Bold 2 9 5 4 2" xfId="40716" xr:uid="{00000000-0005-0000-0000-0000F4AA0000}"/>
    <cellStyle name="Wrap Bold 2 9 5 5" xfId="40717" xr:uid="{00000000-0005-0000-0000-0000F5AA0000}"/>
    <cellStyle name="Wrap Bold 2 9 5 5 2" xfId="40718" xr:uid="{00000000-0005-0000-0000-0000F6AA0000}"/>
    <cellStyle name="Wrap Bold 2 9 5 6" xfId="40719" xr:uid="{00000000-0005-0000-0000-0000F7AA0000}"/>
    <cellStyle name="Wrap Bold 2 9 5 6 2" xfId="40720" xr:uid="{00000000-0005-0000-0000-0000F8AA0000}"/>
    <cellStyle name="Wrap Bold 2 9 5 7" xfId="40721" xr:uid="{00000000-0005-0000-0000-0000F9AA0000}"/>
    <cellStyle name="Wrap Bold 2 9 5 7 2" xfId="40722" xr:uid="{00000000-0005-0000-0000-0000FAAA0000}"/>
    <cellStyle name="Wrap Bold 2 9 5 8" xfId="40723" xr:uid="{00000000-0005-0000-0000-0000FBAA0000}"/>
    <cellStyle name="Wrap Bold 2 9 5 8 2" xfId="40724" xr:uid="{00000000-0005-0000-0000-0000FCAA0000}"/>
    <cellStyle name="Wrap Bold 2 9 5 9" xfId="40725" xr:uid="{00000000-0005-0000-0000-0000FDAA0000}"/>
    <cellStyle name="Wrap Bold 2 9 5 9 2" xfId="40726" xr:uid="{00000000-0005-0000-0000-0000FEAA0000}"/>
    <cellStyle name="Wrap Bold 2 9 6" xfId="40727" xr:uid="{00000000-0005-0000-0000-0000FFAA0000}"/>
    <cellStyle name="Wrap Bold 2 9 6 10" xfId="40728" xr:uid="{00000000-0005-0000-0000-000000AB0000}"/>
    <cellStyle name="Wrap Bold 2 9 6 2" xfId="40729" xr:uid="{00000000-0005-0000-0000-000001AB0000}"/>
    <cellStyle name="Wrap Bold 2 9 6 2 2" xfId="40730" xr:uid="{00000000-0005-0000-0000-000002AB0000}"/>
    <cellStyle name="Wrap Bold 2 9 6 3" xfId="40731" xr:uid="{00000000-0005-0000-0000-000003AB0000}"/>
    <cellStyle name="Wrap Bold 2 9 6 3 2" xfId="40732" xr:uid="{00000000-0005-0000-0000-000004AB0000}"/>
    <cellStyle name="Wrap Bold 2 9 6 4" xfId="40733" xr:uid="{00000000-0005-0000-0000-000005AB0000}"/>
    <cellStyle name="Wrap Bold 2 9 6 4 2" xfId="40734" xr:uid="{00000000-0005-0000-0000-000006AB0000}"/>
    <cellStyle name="Wrap Bold 2 9 6 5" xfId="40735" xr:uid="{00000000-0005-0000-0000-000007AB0000}"/>
    <cellStyle name="Wrap Bold 2 9 6 5 2" xfId="40736" xr:uid="{00000000-0005-0000-0000-000008AB0000}"/>
    <cellStyle name="Wrap Bold 2 9 6 6" xfId="40737" xr:uid="{00000000-0005-0000-0000-000009AB0000}"/>
    <cellStyle name="Wrap Bold 2 9 6 6 2" xfId="40738" xr:uid="{00000000-0005-0000-0000-00000AAB0000}"/>
    <cellStyle name="Wrap Bold 2 9 6 7" xfId="40739" xr:uid="{00000000-0005-0000-0000-00000BAB0000}"/>
    <cellStyle name="Wrap Bold 2 9 6 7 2" xfId="40740" xr:uid="{00000000-0005-0000-0000-00000CAB0000}"/>
    <cellStyle name="Wrap Bold 2 9 6 8" xfId="40741" xr:uid="{00000000-0005-0000-0000-00000DAB0000}"/>
    <cellStyle name="Wrap Bold 2 9 6 8 2" xfId="40742" xr:uid="{00000000-0005-0000-0000-00000EAB0000}"/>
    <cellStyle name="Wrap Bold 2 9 6 9" xfId="40743" xr:uid="{00000000-0005-0000-0000-00000FAB0000}"/>
    <cellStyle name="Wrap Bold 2 9 6 9 2" xfId="40744" xr:uid="{00000000-0005-0000-0000-000010AB0000}"/>
    <cellStyle name="Wrap Bold 2 9 7" xfId="40745" xr:uid="{00000000-0005-0000-0000-000011AB0000}"/>
    <cellStyle name="Wrap Bold 2 9 7 10" xfId="40746" xr:uid="{00000000-0005-0000-0000-000012AB0000}"/>
    <cellStyle name="Wrap Bold 2 9 7 2" xfId="40747" xr:uid="{00000000-0005-0000-0000-000013AB0000}"/>
    <cellStyle name="Wrap Bold 2 9 7 2 2" xfId="40748" xr:uid="{00000000-0005-0000-0000-000014AB0000}"/>
    <cellStyle name="Wrap Bold 2 9 7 3" xfId="40749" xr:uid="{00000000-0005-0000-0000-000015AB0000}"/>
    <cellStyle name="Wrap Bold 2 9 7 3 2" xfId="40750" xr:uid="{00000000-0005-0000-0000-000016AB0000}"/>
    <cellStyle name="Wrap Bold 2 9 7 4" xfId="40751" xr:uid="{00000000-0005-0000-0000-000017AB0000}"/>
    <cellStyle name="Wrap Bold 2 9 7 4 2" xfId="40752" xr:uid="{00000000-0005-0000-0000-000018AB0000}"/>
    <cellStyle name="Wrap Bold 2 9 7 5" xfId="40753" xr:uid="{00000000-0005-0000-0000-000019AB0000}"/>
    <cellStyle name="Wrap Bold 2 9 7 5 2" xfId="40754" xr:uid="{00000000-0005-0000-0000-00001AAB0000}"/>
    <cellStyle name="Wrap Bold 2 9 7 6" xfId="40755" xr:uid="{00000000-0005-0000-0000-00001BAB0000}"/>
    <cellStyle name="Wrap Bold 2 9 7 6 2" xfId="40756" xr:uid="{00000000-0005-0000-0000-00001CAB0000}"/>
    <cellStyle name="Wrap Bold 2 9 7 7" xfId="40757" xr:uid="{00000000-0005-0000-0000-00001DAB0000}"/>
    <cellStyle name="Wrap Bold 2 9 7 7 2" xfId="40758" xr:uid="{00000000-0005-0000-0000-00001EAB0000}"/>
    <cellStyle name="Wrap Bold 2 9 7 8" xfId="40759" xr:uid="{00000000-0005-0000-0000-00001FAB0000}"/>
    <cellStyle name="Wrap Bold 2 9 7 8 2" xfId="40760" xr:uid="{00000000-0005-0000-0000-000020AB0000}"/>
    <cellStyle name="Wrap Bold 2 9 7 9" xfId="40761" xr:uid="{00000000-0005-0000-0000-000021AB0000}"/>
    <cellStyle name="Wrap Bold 2 9 7 9 2" xfId="40762" xr:uid="{00000000-0005-0000-0000-000022AB0000}"/>
    <cellStyle name="Wrap Bold 2 9 8" xfId="40763" xr:uid="{00000000-0005-0000-0000-000023AB0000}"/>
    <cellStyle name="Wrap Bold 2 9 8 10" xfId="40764" xr:uid="{00000000-0005-0000-0000-000024AB0000}"/>
    <cellStyle name="Wrap Bold 2 9 8 2" xfId="40765" xr:uid="{00000000-0005-0000-0000-000025AB0000}"/>
    <cellStyle name="Wrap Bold 2 9 8 2 2" xfId="40766" xr:uid="{00000000-0005-0000-0000-000026AB0000}"/>
    <cellStyle name="Wrap Bold 2 9 8 3" xfId="40767" xr:uid="{00000000-0005-0000-0000-000027AB0000}"/>
    <cellStyle name="Wrap Bold 2 9 8 3 2" xfId="40768" xr:uid="{00000000-0005-0000-0000-000028AB0000}"/>
    <cellStyle name="Wrap Bold 2 9 8 4" xfId="40769" xr:uid="{00000000-0005-0000-0000-000029AB0000}"/>
    <cellStyle name="Wrap Bold 2 9 8 4 2" xfId="40770" xr:uid="{00000000-0005-0000-0000-00002AAB0000}"/>
    <cellStyle name="Wrap Bold 2 9 8 5" xfId="40771" xr:uid="{00000000-0005-0000-0000-00002BAB0000}"/>
    <cellStyle name="Wrap Bold 2 9 8 5 2" xfId="40772" xr:uid="{00000000-0005-0000-0000-00002CAB0000}"/>
    <cellStyle name="Wrap Bold 2 9 8 6" xfId="40773" xr:uid="{00000000-0005-0000-0000-00002DAB0000}"/>
    <cellStyle name="Wrap Bold 2 9 8 6 2" xfId="40774" xr:uid="{00000000-0005-0000-0000-00002EAB0000}"/>
    <cellStyle name="Wrap Bold 2 9 8 7" xfId="40775" xr:uid="{00000000-0005-0000-0000-00002FAB0000}"/>
    <cellStyle name="Wrap Bold 2 9 8 7 2" xfId="40776" xr:uid="{00000000-0005-0000-0000-000030AB0000}"/>
    <cellStyle name="Wrap Bold 2 9 8 8" xfId="40777" xr:uid="{00000000-0005-0000-0000-000031AB0000}"/>
    <cellStyle name="Wrap Bold 2 9 8 8 2" xfId="40778" xr:uid="{00000000-0005-0000-0000-000032AB0000}"/>
    <cellStyle name="Wrap Bold 2 9 8 9" xfId="40779" xr:uid="{00000000-0005-0000-0000-000033AB0000}"/>
    <cellStyle name="Wrap Bold 2 9 8 9 2" xfId="40780" xr:uid="{00000000-0005-0000-0000-000034AB0000}"/>
    <cellStyle name="Wrap Bold 2 9 9" xfId="40781" xr:uid="{00000000-0005-0000-0000-000035AB0000}"/>
    <cellStyle name="Wrap Bold 2 9 9 10" xfId="40782" xr:uid="{00000000-0005-0000-0000-000036AB0000}"/>
    <cellStyle name="Wrap Bold 2 9 9 2" xfId="40783" xr:uid="{00000000-0005-0000-0000-000037AB0000}"/>
    <cellStyle name="Wrap Bold 2 9 9 2 2" xfId="40784" xr:uid="{00000000-0005-0000-0000-000038AB0000}"/>
    <cellStyle name="Wrap Bold 2 9 9 3" xfId="40785" xr:uid="{00000000-0005-0000-0000-000039AB0000}"/>
    <cellStyle name="Wrap Bold 2 9 9 3 2" xfId="40786" xr:uid="{00000000-0005-0000-0000-00003AAB0000}"/>
    <cellStyle name="Wrap Bold 2 9 9 4" xfId="40787" xr:uid="{00000000-0005-0000-0000-00003BAB0000}"/>
    <cellStyle name="Wrap Bold 2 9 9 4 2" xfId="40788" xr:uid="{00000000-0005-0000-0000-00003CAB0000}"/>
    <cellStyle name="Wrap Bold 2 9 9 5" xfId="40789" xr:uid="{00000000-0005-0000-0000-00003DAB0000}"/>
    <cellStyle name="Wrap Bold 2 9 9 5 2" xfId="40790" xr:uid="{00000000-0005-0000-0000-00003EAB0000}"/>
    <cellStyle name="Wrap Bold 2 9 9 6" xfId="40791" xr:uid="{00000000-0005-0000-0000-00003FAB0000}"/>
    <cellStyle name="Wrap Bold 2 9 9 6 2" xfId="40792" xr:uid="{00000000-0005-0000-0000-000040AB0000}"/>
    <cellStyle name="Wrap Bold 2 9 9 7" xfId="40793" xr:uid="{00000000-0005-0000-0000-000041AB0000}"/>
    <cellStyle name="Wrap Bold 2 9 9 7 2" xfId="40794" xr:uid="{00000000-0005-0000-0000-000042AB0000}"/>
    <cellStyle name="Wrap Bold 2 9 9 8" xfId="40795" xr:uid="{00000000-0005-0000-0000-000043AB0000}"/>
    <cellStyle name="Wrap Bold 2 9 9 8 2" xfId="40796" xr:uid="{00000000-0005-0000-0000-000044AB0000}"/>
    <cellStyle name="Wrap Bold 2 9 9 9" xfId="40797" xr:uid="{00000000-0005-0000-0000-000045AB0000}"/>
    <cellStyle name="Wrap Bold 2 9 9 9 2" xfId="40798" xr:uid="{00000000-0005-0000-0000-000046AB0000}"/>
    <cellStyle name="Wrap Title" xfId="125" xr:uid="{00000000-0005-0000-0000-000047AB0000}"/>
    <cellStyle name="Wrap_NTS99-~11" xfId="126" xr:uid="{00000000-0005-0000-0000-000048AB0000}"/>
  </cellStyles>
  <dxfs count="0"/>
  <tableStyles count="0" defaultTableStyle="TableStyleMedium2" defaultPivotStyle="PivotStyleLight16"/>
  <colors>
    <mruColors>
      <color rgb="FF0F243E"/>
      <color rgb="FF0000FF"/>
      <color rgb="FFFF5B5B"/>
      <color rgb="FF66FFCC"/>
      <color rgb="FFFFFFFF"/>
      <color rgb="FFCCFFFF"/>
      <color rgb="FF074F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r>
              <a:rPr lang="en-US" sz="1600" b="1">
                <a:solidFill>
                  <a:schemeClr val="tx2"/>
                </a:solidFill>
              </a:rPr>
              <a:t>Cumulative Present Value of Total Benefits and Costs</a:t>
            </a:r>
          </a:p>
          <a:p>
            <a:pPr>
              <a:defRPr sz="1600" b="1">
                <a:solidFill>
                  <a:schemeClr val="tx2"/>
                </a:solidFill>
              </a:defRPr>
            </a:pPr>
            <a:r>
              <a:rPr lang="en-US" sz="1600" b="1">
                <a:solidFill>
                  <a:schemeClr val="tx2"/>
                </a:solidFill>
              </a:rPr>
              <a:t>Discounted at 7%</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endParaRPr lang="en-US"/>
        </a:p>
      </c:txPr>
    </c:title>
    <c:autoTitleDeleted val="0"/>
    <c:plotArea>
      <c:layout/>
      <c:lineChart>
        <c:grouping val="standard"/>
        <c:varyColors val="0"/>
        <c:ser>
          <c:idx val="0"/>
          <c:order val="0"/>
          <c:tx>
            <c:strRef>
              <c:f>Results!$B$72</c:f>
              <c:strCache>
                <c:ptCount val="1"/>
                <c:pt idx="0">
                  <c:v>Cumulative Benefits</c:v>
                </c:pt>
              </c:strCache>
            </c:strRef>
          </c:tx>
          <c:spPr>
            <a:ln w="28575" cap="rnd">
              <a:solidFill>
                <a:srgbClr val="00B050"/>
              </a:solidFill>
              <a:round/>
            </a:ln>
            <a:effectLst/>
          </c:spPr>
          <c:marker>
            <c:symbol val="none"/>
          </c:marker>
          <c:cat>
            <c:numRef>
              <c:f>Results!$D$42:$AJ$42</c:f>
              <c:numCache>
                <c:formatCode>0</c:formatCode>
                <c:ptCount val="3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numCache>
            </c:numRef>
          </c:cat>
          <c:val>
            <c:numRef>
              <c:f>Results!$D$72:$AJ$72</c:f>
              <c:numCache>
                <c:formatCode>"$"#,##0_);\("$"#,##0\)</c:formatCode>
                <c:ptCount val="33"/>
                <c:pt idx="0">
                  <c:v>0</c:v>
                </c:pt>
                <c:pt idx="1">
                  <c:v>0</c:v>
                </c:pt>
                <c:pt idx="2">
                  <c:v>0</c:v>
                </c:pt>
                <c:pt idx="3">
                  <c:v>0</c:v>
                </c:pt>
                <c:pt idx="4">
                  <c:v>9728289.8853257019</c:v>
                </c:pt>
                <c:pt idx="5">
                  <c:v>10100146.108406777</c:v>
                </c:pt>
                <c:pt idx="6">
                  <c:v>10460058.62098746</c:v>
                </c:pt>
                <c:pt idx="7">
                  <c:v>10808384.608668935</c:v>
                </c:pt>
                <c:pt idx="8">
                  <c:v>11145664.377318665</c:v>
                </c:pt>
                <c:pt idx="9">
                  <c:v>11472722.163126575</c:v>
                </c:pt>
                <c:pt idx="10">
                  <c:v>11789482.690480324</c:v>
                </c:pt>
                <c:pt idx="11">
                  <c:v>12096319.56028129</c:v>
                </c:pt>
                <c:pt idx="12">
                  <c:v>12393806.612581812</c:v>
                </c:pt>
                <c:pt idx="13">
                  <c:v>12682205.109524995</c:v>
                </c:pt>
                <c:pt idx="14">
                  <c:v>12961710.913563048</c:v>
                </c:pt>
                <c:pt idx="15">
                  <c:v>13232663.042384151</c:v>
                </c:pt>
                <c:pt idx="16">
                  <c:v>13495175.069202095</c:v>
                </c:pt>
                <c:pt idx="17">
                  <c:v>13749682.156728826</c:v>
                </c:pt>
                <c:pt idx="18">
                  <c:v>13996500.202029264</c:v>
                </c:pt>
                <c:pt idx="19">
                  <c:v>14235671.237035524</c:v>
                </c:pt>
                <c:pt idx="20">
                  <c:v>14467618.615033653</c:v>
                </c:pt>
                <c:pt idx="21">
                  <c:v>14692773.472383384</c:v>
                </c:pt>
                <c:pt idx="22">
                  <c:v>14911186.371660149</c:v>
                </c:pt>
                <c:pt idx="23">
                  <c:v>15123080.766710145</c:v>
                </c:pt>
                <c:pt idx="24">
                  <c:v>15328777.918142961</c:v>
                </c:pt>
                <c:pt idx="25">
                  <c:v>15528266.46968824</c:v>
                </c:pt>
                <c:pt idx="26">
                  <c:v>15722004.767951488</c:v>
                </c:pt>
                <c:pt idx="27">
                  <c:v>15910087.304699324</c:v>
                </c:pt>
                <c:pt idx="28">
                  <c:v>16092652.983288873</c:v>
                </c:pt>
                <c:pt idx="29">
                  <c:v>16269845.972560121</c:v>
                </c:pt>
                <c:pt idx="30">
                  <c:v>16441868.014702721</c:v>
                </c:pt>
                <c:pt idx="31">
                  <c:v>16608883.114362953</c:v>
                </c:pt>
                <c:pt idx="32">
                  <c:v>16771049.420365654</c:v>
                </c:pt>
              </c:numCache>
            </c:numRef>
          </c:val>
          <c:smooth val="0"/>
          <c:extLst>
            <c:ext xmlns:c16="http://schemas.microsoft.com/office/drawing/2014/chart" uri="{C3380CC4-5D6E-409C-BE32-E72D297353CC}">
              <c16:uniqueId val="{00000000-7B77-4015-9368-A72297C82265}"/>
            </c:ext>
          </c:extLst>
        </c:ser>
        <c:ser>
          <c:idx val="1"/>
          <c:order val="1"/>
          <c:tx>
            <c:strRef>
              <c:f>Results!$B$73</c:f>
              <c:strCache>
                <c:ptCount val="1"/>
                <c:pt idx="0">
                  <c:v>Cumulative Costs</c:v>
                </c:pt>
              </c:strCache>
            </c:strRef>
          </c:tx>
          <c:spPr>
            <a:ln w="28575" cap="rnd">
              <a:solidFill>
                <a:schemeClr val="accent1"/>
              </a:solidFill>
              <a:round/>
            </a:ln>
            <a:effectLst/>
          </c:spPr>
          <c:marker>
            <c:symbol val="none"/>
          </c:marker>
          <c:cat>
            <c:numRef>
              <c:f>Results!$D$42:$AJ$42</c:f>
              <c:numCache>
                <c:formatCode>0</c:formatCode>
                <c:ptCount val="3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numCache>
            </c:numRef>
          </c:cat>
          <c:val>
            <c:numRef>
              <c:f>Results!$D$73:$AJ$73</c:f>
              <c:numCache>
                <c:formatCode>"$"#,##0_);\("$"#,##0\)</c:formatCode>
                <c:ptCount val="33"/>
                <c:pt idx="0">
                  <c:v>442825.37544530147</c:v>
                </c:pt>
                <c:pt idx="1">
                  <c:v>2276610.6241961485</c:v>
                </c:pt>
                <c:pt idx="2">
                  <c:v>4264400.3758357875</c:v>
                </c:pt>
                <c:pt idx="3">
                  <c:v>12527545.168895446</c:v>
                </c:pt>
                <c:pt idx="4">
                  <c:v>12527545.168895446</c:v>
                </c:pt>
                <c:pt idx="5">
                  <c:v>12527545.168895446</c:v>
                </c:pt>
                <c:pt idx="6">
                  <c:v>12527545.168895446</c:v>
                </c:pt>
                <c:pt idx="7">
                  <c:v>12527545.168895446</c:v>
                </c:pt>
                <c:pt idx="8">
                  <c:v>12527545.168895446</c:v>
                </c:pt>
                <c:pt idx="9">
                  <c:v>12527545.168895446</c:v>
                </c:pt>
                <c:pt idx="10">
                  <c:v>12527545.168895446</c:v>
                </c:pt>
                <c:pt idx="11">
                  <c:v>12527545.168895446</c:v>
                </c:pt>
                <c:pt idx="12">
                  <c:v>12527545.168895446</c:v>
                </c:pt>
                <c:pt idx="13">
                  <c:v>12527545.168895446</c:v>
                </c:pt>
                <c:pt idx="14">
                  <c:v>12527545.168895446</c:v>
                </c:pt>
                <c:pt idx="15">
                  <c:v>12527545.168895446</c:v>
                </c:pt>
                <c:pt idx="16">
                  <c:v>12527545.168895446</c:v>
                </c:pt>
                <c:pt idx="17">
                  <c:v>12527545.168895446</c:v>
                </c:pt>
                <c:pt idx="18">
                  <c:v>12527545.168895446</c:v>
                </c:pt>
                <c:pt idx="19">
                  <c:v>12527545.168895446</c:v>
                </c:pt>
                <c:pt idx="20">
                  <c:v>12527545.168895446</c:v>
                </c:pt>
                <c:pt idx="21">
                  <c:v>12527545.168895446</c:v>
                </c:pt>
                <c:pt idx="22">
                  <c:v>12527545.168895446</c:v>
                </c:pt>
                <c:pt idx="23">
                  <c:v>12527545.168895446</c:v>
                </c:pt>
                <c:pt idx="24">
                  <c:v>12527545.168895446</c:v>
                </c:pt>
                <c:pt idx="25">
                  <c:v>12527545.168895446</c:v>
                </c:pt>
                <c:pt idx="26">
                  <c:v>12527545.168895446</c:v>
                </c:pt>
                <c:pt idx="27">
                  <c:v>12527545.168895446</c:v>
                </c:pt>
                <c:pt idx="28">
                  <c:v>12527545.168895446</c:v>
                </c:pt>
                <c:pt idx="29">
                  <c:v>12527545.168895446</c:v>
                </c:pt>
                <c:pt idx="30">
                  <c:v>12527545.168895446</c:v>
                </c:pt>
                <c:pt idx="31">
                  <c:v>12527545.168895446</c:v>
                </c:pt>
                <c:pt idx="32">
                  <c:v>12527545.168895446</c:v>
                </c:pt>
              </c:numCache>
            </c:numRef>
          </c:val>
          <c:smooth val="0"/>
          <c:extLst>
            <c:ext xmlns:c16="http://schemas.microsoft.com/office/drawing/2014/chart" uri="{C3380CC4-5D6E-409C-BE32-E72D297353CC}">
              <c16:uniqueId val="{00000001-7B77-4015-9368-A72297C82265}"/>
            </c:ext>
          </c:extLst>
        </c:ser>
        <c:dLbls>
          <c:showLegendKey val="0"/>
          <c:showVal val="0"/>
          <c:showCatName val="0"/>
          <c:showSerName val="0"/>
          <c:showPercent val="0"/>
          <c:showBubbleSize val="0"/>
        </c:dLbls>
        <c:smooth val="0"/>
        <c:axId val="982070264"/>
        <c:axId val="911621440"/>
      </c:lineChart>
      <c:catAx>
        <c:axId val="982070264"/>
        <c:scaling>
          <c:orientation val="minMax"/>
        </c:scaling>
        <c:delete val="0"/>
        <c:axPos val="b"/>
        <c:numFmt formatCode="0" sourceLinked="1"/>
        <c:majorTickMark val="out"/>
        <c:minorTickMark val="none"/>
        <c:tickLblPos val="nextTo"/>
        <c:spPr>
          <a:noFill/>
          <a:ln w="9525" cap="flat" cmpd="sng" algn="ctr">
            <a:solidFill>
              <a:schemeClr val="tx2"/>
            </a:solidFill>
            <a:round/>
          </a:ln>
          <a:effectLst/>
        </c:spPr>
        <c:txPr>
          <a:bodyPr rot="-30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911621440"/>
        <c:crosses val="autoZero"/>
        <c:auto val="1"/>
        <c:lblAlgn val="ctr"/>
        <c:lblOffset val="100"/>
        <c:noMultiLvlLbl val="0"/>
      </c:catAx>
      <c:valAx>
        <c:axId val="911621440"/>
        <c:scaling>
          <c:orientation val="minMax"/>
        </c:scaling>
        <c:delete val="0"/>
        <c:axPos val="l"/>
        <c:majorGridlines>
          <c:spPr>
            <a:ln w="9525" cap="flat" cmpd="sng" algn="ctr">
              <a:solidFill>
                <a:schemeClr val="bg1">
                  <a:lumMod val="85000"/>
                  <a:alpha val="80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Millions of 2018$</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quot;$&quot;#,##0.0_);\(&quot;$&quot;#,##0.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982070264"/>
        <c:crosses val="autoZero"/>
        <c:crossBetween val="between"/>
        <c:dispUnits>
          <c:builtInUnit val="millions"/>
        </c:dispUnits>
      </c:valAx>
      <c:spPr>
        <a:noFill/>
        <a:ln>
          <a:noFill/>
        </a:ln>
        <a:effectLst/>
      </c:spPr>
    </c:plotArea>
    <c:legend>
      <c:legendPos val="b"/>
      <c:overlay val="0"/>
      <c:spPr>
        <a:solidFill>
          <a:schemeClr val="bg1">
            <a:lumMod val="95000"/>
          </a:schemeClr>
        </a:solid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r>
              <a:rPr lang="en-US" sz="1600" b="1">
                <a:solidFill>
                  <a:schemeClr val="tx2"/>
                </a:solidFill>
              </a:rPr>
              <a:t>Present Value of Total Benefits and Costs</a:t>
            </a:r>
          </a:p>
          <a:p>
            <a:pPr>
              <a:defRPr sz="1600" b="1">
                <a:solidFill>
                  <a:schemeClr val="tx2"/>
                </a:solidFill>
              </a:defRPr>
            </a:pPr>
            <a:r>
              <a:rPr lang="en-US" sz="1600" b="1" baseline="0">
                <a:solidFill>
                  <a:schemeClr val="tx2"/>
                </a:solidFill>
              </a:rPr>
              <a:t>Discounted at 7%</a:t>
            </a:r>
            <a:r>
              <a:rPr lang="en-US" sz="1600" b="1">
                <a:solidFill>
                  <a:schemeClr val="tx2"/>
                </a:solidFill>
              </a:rPr>
              <a:t>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'Data for Charts'!$B$3</c:f>
              <c:strCache>
                <c:ptCount val="1"/>
                <c:pt idx="0">
                  <c:v>Accident Cost Savings</c:v>
                </c:pt>
              </c:strCache>
            </c:strRef>
          </c:tx>
          <c:spPr>
            <a:solidFill>
              <a:schemeClr val="accent3">
                <a:lumMod val="60000"/>
                <a:lumOff val="40000"/>
              </a:schemeClr>
            </a:solidFill>
            <a:ln>
              <a:solidFill>
                <a:schemeClr val="tx2"/>
              </a:solidFill>
            </a:ln>
            <a:effectLst/>
          </c:spPr>
          <c:invertIfNegative val="0"/>
          <c:cat>
            <c:multiLvlStrRef>
              <c:f>'Data for Charts'!#REF!</c:f>
            </c:multiLvlStrRef>
          </c:cat>
          <c:val>
            <c:numRef>
              <c:f>'Data for Charts'!$C$3:$D$3</c:f>
              <c:numCache>
                <c:formatCode>"$"#,##0.0</c:formatCode>
                <c:ptCount val="2"/>
                <c:pt idx="0">
                  <c:v>0.72980724506103756</c:v>
                </c:pt>
              </c:numCache>
            </c:numRef>
          </c:val>
          <c:extLst>
            <c:ext xmlns:c16="http://schemas.microsoft.com/office/drawing/2014/chart" uri="{C3380CC4-5D6E-409C-BE32-E72D297353CC}">
              <c16:uniqueId val="{00000000-32FB-48A9-9C4A-1CF36D8A92A3}"/>
            </c:ext>
          </c:extLst>
        </c:ser>
        <c:ser>
          <c:idx val="1"/>
          <c:order val="1"/>
          <c:tx>
            <c:strRef>
              <c:f>'Data for Charts'!$B$4</c:f>
              <c:strCache>
                <c:ptCount val="1"/>
                <c:pt idx="0">
                  <c:v>Travel Time Savings </c:v>
                </c:pt>
              </c:strCache>
            </c:strRef>
          </c:tx>
          <c:spPr>
            <a:solidFill>
              <a:srgbClr val="FF5B5B"/>
            </a:solidFill>
            <a:ln>
              <a:solidFill>
                <a:schemeClr val="tx2"/>
              </a:solidFill>
            </a:ln>
            <a:effectLst/>
          </c:spPr>
          <c:invertIfNegative val="0"/>
          <c:cat>
            <c:multiLvlStrRef>
              <c:f>'Data for Charts'!#REF!</c:f>
            </c:multiLvlStrRef>
          </c:cat>
          <c:val>
            <c:numRef>
              <c:f>'Data for Charts'!$C$4:$D$4</c:f>
              <c:numCache>
                <c:formatCode>"$"#,##0.0</c:formatCode>
                <c:ptCount val="2"/>
                <c:pt idx="0">
                  <c:v>5.8947933747501846</c:v>
                </c:pt>
              </c:numCache>
            </c:numRef>
          </c:val>
          <c:extLst>
            <c:ext xmlns:c16="http://schemas.microsoft.com/office/drawing/2014/chart" uri="{C3380CC4-5D6E-409C-BE32-E72D297353CC}">
              <c16:uniqueId val="{00000001-32FB-48A9-9C4A-1CF36D8A92A3}"/>
            </c:ext>
          </c:extLst>
        </c:ser>
        <c:ser>
          <c:idx val="2"/>
          <c:order val="2"/>
          <c:tx>
            <c:strRef>
              <c:f>'Data for Charts'!$B$5</c:f>
              <c:strCache>
                <c:ptCount val="1"/>
                <c:pt idx="0">
                  <c:v>Emissions Cost Savings</c:v>
                </c:pt>
              </c:strCache>
            </c:strRef>
          </c:tx>
          <c:spPr>
            <a:solidFill>
              <a:schemeClr val="tx2">
                <a:lumMod val="75000"/>
              </a:schemeClr>
            </a:solidFill>
            <a:ln>
              <a:solidFill>
                <a:schemeClr val="tx2"/>
              </a:solidFill>
            </a:ln>
            <a:effectLst/>
          </c:spPr>
          <c:invertIfNegative val="0"/>
          <c:cat>
            <c:multiLvlStrRef>
              <c:f>'Data for Charts'!#REF!</c:f>
            </c:multiLvlStrRef>
          </c:cat>
          <c:val>
            <c:numRef>
              <c:f>'Data for Charts'!$C$5:$D$5</c:f>
              <c:numCache>
                <c:formatCode>"$"#,##0.0</c:formatCode>
                <c:ptCount val="2"/>
                <c:pt idx="0">
                  <c:v>5.4756430371836869E-2</c:v>
                </c:pt>
              </c:numCache>
            </c:numRef>
          </c:val>
          <c:extLst>
            <c:ext xmlns:c16="http://schemas.microsoft.com/office/drawing/2014/chart" uri="{C3380CC4-5D6E-409C-BE32-E72D297353CC}">
              <c16:uniqueId val="{00000002-32FB-48A9-9C4A-1CF36D8A92A3}"/>
            </c:ext>
          </c:extLst>
        </c:ser>
        <c:ser>
          <c:idx val="3"/>
          <c:order val="3"/>
          <c:tx>
            <c:strRef>
              <c:f>'Data for Charts'!$B$6</c:f>
              <c:strCache>
                <c:ptCount val="1"/>
                <c:pt idx="0">
                  <c:v>Vehicle Operating Cost Savings </c:v>
                </c:pt>
              </c:strCache>
            </c:strRef>
          </c:tx>
          <c:spPr>
            <a:solidFill>
              <a:schemeClr val="accent6">
                <a:lumMod val="40000"/>
                <a:lumOff val="60000"/>
              </a:schemeClr>
            </a:solidFill>
            <a:ln>
              <a:solidFill>
                <a:schemeClr val="tx2"/>
              </a:solidFill>
            </a:ln>
            <a:effectLst/>
          </c:spPr>
          <c:invertIfNegative val="0"/>
          <c:cat>
            <c:multiLvlStrRef>
              <c:f>'Data for Charts'!#REF!</c:f>
            </c:multiLvlStrRef>
          </c:cat>
          <c:val>
            <c:numRef>
              <c:f>'Data for Charts'!$C$6:$D$6</c:f>
              <c:numCache>
                <c:formatCode>"$"#,##0.0</c:formatCode>
                <c:ptCount val="2"/>
                <c:pt idx="0">
                  <c:v>0.65718290077804808</c:v>
                </c:pt>
              </c:numCache>
            </c:numRef>
          </c:val>
          <c:extLst>
            <c:ext xmlns:c16="http://schemas.microsoft.com/office/drawing/2014/chart" uri="{C3380CC4-5D6E-409C-BE32-E72D297353CC}">
              <c16:uniqueId val="{00000003-32FB-48A9-9C4A-1CF36D8A92A3}"/>
            </c:ext>
          </c:extLst>
        </c:ser>
        <c:ser>
          <c:idx val="4"/>
          <c:order val="4"/>
          <c:tx>
            <c:strRef>
              <c:f>'Data for Charts'!$B$7</c:f>
              <c:strCache>
                <c:ptCount val="1"/>
                <c:pt idx="0">
                  <c:v>Land Value Increase</c:v>
                </c:pt>
              </c:strCache>
            </c:strRef>
          </c:tx>
          <c:spPr>
            <a:solidFill>
              <a:schemeClr val="accent4">
                <a:lumMod val="40000"/>
                <a:lumOff val="60000"/>
              </a:schemeClr>
            </a:solidFill>
            <a:ln>
              <a:solidFill>
                <a:schemeClr val="tx2"/>
              </a:solidFill>
            </a:ln>
            <a:effectLst/>
          </c:spPr>
          <c:invertIfNegative val="0"/>
          <c:cat>
            <c:multiLvlStrRef>
              <c:f>'Data for Charts'!#REF!</c:f>
            </c:multiLvlStrRef>
          </c:cat>
          <c:val>
            <c:numRef>
              <c:f>'Data for Charts'!$C$7:$D$7</c:f>
              <c:numCache>
                <c:formatCode>"$"#,##0.0</c:formatCode>
                <c:ptCount val="2"/>
                <c:pt idx="0">
                  <c:v>9.3440655554559804</c:v>
                </c:pt>
              </c:numCache>
            </c:numRef>
          </c:val>
          <c:extLst>
            <c:ext xmlns:c16="http://schemas.microsoft.com/office/drawing/2014/chart" uri="{C3380CC4-5D6E-409C-BE32-E72D297353CC}">
              <c16:uniqueId val="{00000004-32FB-48A9-9C4A-1CF36D8A92A3}"/>
            </c:ext>
          </c:extLst>
        </c:ser>
        <c:ser>
          <c:idx val="6"/>
          <c:order val="6"/>
          <c:tx>
            <c:strRef>
              <c:f>'Data for Charts'!$B$11</c:f>
              <c:strCache>
                <c:ptCount val="1"/>
                <c:pt idx="0">
                  <c:v>Capital Costs</c:v>
                </c:pt>
              </c:strCache>
            </c:strRef>
          </c:tx>
          <c:spPr>
            <a:solidFill>
              <a:schemeClr val="accent1"/>
            </a:solidFill>
            <a:ln>
              <a:solidFill>
                <a:schemeClr val="tx2"/>
              </a:solidFill>
            </a:ln>
            <a:effectLst/>
          </c:spPr>
          <c:invertIfNegative val="0"/>
          <c:cat>
            <c:multiLvlStrRef>
              <c:f>'Data for Charts'!#REF!</c:f>
            </c:multiLvlStrRef>
          </c:cat>
          <c:val>
            <c:numRef>
              <c:f>'Data for Charts'!$C$11:$D$11</c:f>
              <c:numCache>
                <c:formatCode>"$"#,##0.0</c:formatCode>
                <c:ptCount val="2"/>
                <c:pt idx="1">
                  <c:v>12.527545168895445</c:v>
                </c:pt>
              </c:numCache>
            </c:numRef>
          </c:val>
          <c:extLst>
            <c:ext xmlns:c16="http://schemas.microsoft.com/office/drawing/2014/chart" uri="{C3380CC4-5D6E-409C-BE32-E72D297353CC}">
              <c16:uniqueId val="{00000005-32FB-48A9-9C4A-1CF36D8A92A3}"/>
            </c:ext>
          </c:extLst>
        </c:ser>
        <c:ser>
          <c:idx val="7"/>
          <c:order val="7"/>
          <c:tx>
            <c:strRef>
              <c:f>'Data for Charts'!$B$8</c:f>
              <c:strCache>
                <c:ptCount val="1"/>
                <c:pt idx="0">
                  <c:v>O&amp;M Costs Savings</c:v>
                </c:pt>
              </c:strCache>
            </c:strRef>
          </c:tx>
          <c:spPr>
            <a:solidFill>
              <a:schemeClr val="accent1">
                <a:lumMod val="20000"/>
                <a:lumOff val="80000"/>
              </a:schemeClr>
            </a:solidFill>
            <a:ln>
              <a:solidFill>
                <a:schemeClr val="tx2"/>
              </a:solidFill>
            </a:ln>
            <a:effectLst/>
          </c:spPr>
          <c:invertIfNegative val="0"/>
          <c:cat>
            <c:multiLvlStrRef>
              <c:f>'Data for Charts'!#REF!</c:f>
            </c:multiLvlStrRef>
          </c:cat>
          <c:val>
            <c:numRef>
              <c:f>'Data for Charts'!$C$8:$D$8</c:f>
              <c:numCache>
                <c:formatCode>"$"#,##0.0</c:formatCode>
                <c:ptCount val="2"/>
                <c:pt idx="0">
                  <c:v>0.24791396048264702</c:v>
                </c:pt>
              </c:numCache>
            </c:numRef>
          </c:val>
          <c:extLst>
            <c:ext xmlns:c16="http://schemas.microsoft.com/office/drawing/2014/chart" uri="{C3380CC4-5D6E-409C-BE32-E72D297353CC}">
              <c16:uniqueId val="{00000006-32FB-48A9-9C4A-1CF36D8A92A3}"/>
            </c:ext>
          </c:extLst>
        </c:ser>
        <c:ser>
          <c:idx val="9"/>
          <c:order val="9"/>
          <c:tx>
            <c:strRef>
              <c:f>'Data for Charts'!$B$9</c:f>
              <c:strCache>
                <c:ptCount val="1"/>
                <c:pt idx="0">
                  <c:v>Residual Value</c:v>
                </c:pt>
              </c:strCache>
            </c:strRef>
          </c:tx>
          <c:spPr>
            <a:solidFill>
              <a:schemeClr val="accent4">
                <a:lumMod val="60000"/>
              </a:schemeClr>
            </a:solidFill>
            <a:ln>
              <a:solidFill>
                <a:schemeClr val="tx2"/>
              </a:solidFill>
            </a:ln>
            <a:effectLst/>
          </c:spPr>
          <c:invertIfNegative val="0"/>
          <c:cat>
            <c:strRef>
              <c:f>'Data for Charts'!$C$2:$D$2</c:f>
              <c:strCache>
                <c:ptCount val="2"/>
                <c:pt idx="0">
                  <c:v>Benefits </c:v>
                </c:pt>
                <c:pt idx="1">
                  <c:v>Costs </c:v>
                </c:pt>
              </c:strCache>
            </c:strRef>
          </c:cat>
          <c:val>
            <c:numRef>
              <c:f>'Data for Charts'!$C$9:$D$9</c:f>
              <c:numCache>
                <c:formatCode>"$"#,##0.0</c:formatCode>
                <c:ptCount val="2"/>
                <c:pt idx="0">
                  <c:v>0.38820677926744362</c:v>
                </c:pt>
              </c:numCache>
            </c:numRef>
          </c:val>
          <c:extLst>
            <c:ext xmlns:c16="http://schemas.microsoft.com/office/drawing/2014/chart" uri="{C3380CC4-5D6E-409C-BE32-E72D297353CC}">
              <c16:uniqueId val="{00000007-32FB-48A9-9C4A-1CF36D8A92A3}"/>
            </c:ext>
          </c:extLst>
        </c:ser>
        <c:dLbls>
          <c:showLegendKey val="0"/>
          <c:showVal val="0"/>
          <c:showCatName val="0"/>
          <c:showSerName val="0"/>
          <c:showPercent val="0"/>
          <c:showBubbleSize val="0"/>
        </c:dLbls>
        <c:gapWidth val="150"/>
        <c:overlap val="100"/>
        <c:axId val="911619872"/>
        <c:axId val="911621048"/>
      </c:barChart>
      <c:lineChart>
        <c:grouping val="standard"/>
        <c:varyColors val="0"/>
        <c:ser>
          <c:idx val="5"/>
          <c:order val="5"/>
          <c:tx>
            <c:strRef>
              <c:f>'Data for Charts'!$B$10</c:f>
              <c:strCache>
                <c:ptCount val="1"/>
                <c:pt idx="0">
                  <c:v>PV Benefits</c:v>
                </c:pt>
              </c:strCache>
            </c:strRef>
          </c:tx>
          <c:spPr>
            <a:ln w="28575" cap="rnd">
              <a:solidFill>
                <a:schemeClr val="accent6"/>
              </a:solidFill>
              <a:round/>
            </a:ln>
            <a:effectLst/>
          </c:spPr>
          <c:marker>
            <c:symbol val="circle"/>
            <c:size val="8"/>
            <c:spPr>
              <a:solidFill>
                <a:schemeClr val="bg1">
                  <a:lumMod val="50000"/>
                </a:schemeClr>
              </a:solidFill>
              <a:ln w="25400">
                <a:solidFill>
                  <a:schemeClr val="tx1">
                    <a:lumMod val="65000"/>
                    <a:lumOff val="3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for Charts'!$C$2:$D$2</c:f>
              <c:strCache>
                <c:ptCount val="2"/>
                <c:pt idx="0">
                  <c:v>Benefits </c:v>
                </c:pt>
                <c:pt idx="1">
                  <c:v>Costs </c:v>
                </c:pt>
              </c:strCache>
            </c:strRef>
          </c:cat>
          <c:val>
            <c:numRef>
              <c:f>'Data for Charts'!$C$10:$D$10</c:f>
              <c:numCache>
                <c:formatCode>"$"#,##0.0</c:formatCode>
                <c:ptCount val="2"/>
                <c:pt idx="0">
                  <c:v>17.316726246167178</c:v>
                </c:pt>
              </c:numCache>
            </c:numRef>
          </c:val>
          <c:smooth val="0"/>
          <c:extLst>
            <c:ext xmlns:c16="http://schemas.microsoft.com/office/drawing/2014/chart" uri="{C3380CC4-5D6E-409C-BE32-E72D297353CC}">
              <c16:uniqueId val="{00000008-32FB-48A9-9C4A-1CF36D8A92A3}"/>
            </c:ext>
          </c:extLst>
        </c:ser>
        <c:ser>
          <c:idx val="8"/>
          <c:order val="8"/>
          <c:tx>
            <c:strRef>
              <c:f>'Data for Charts'!$B$12</c:f>
              <c:strCache>
                <c:ptCount val="1"/>
                <c:pt idx="0">
                  <c:v>PV Costs</c:v>
                </c:pt>
              </c:strCache>
            </c:strRef>
          </c:tx>
          <c:spPr>
            <a:ln w="28575" cap="rnd">
              <a:solidFill>
                <a:schemeClr val="accent3">
                  <a:lumMod val="60000"/>
                </a:schemeClr>
              </a:solidFill>
              <a:round/>
            </a:ln>
            <a:effectLst/>
          </c:spPr>
          <c:marker>
            <c:symbol val="circle"/>
            <c:size val="8"/>
            <c:spPr>
              <a:solidFill>
                <a:schemeClr val="bg1">
                  <a:lumMod val="50000"/>
                </a:schemeClr>
              </a:solidFill>
              <a:ln w="25400">
                <a:solidFill>
                  <a:schemeClr val="tx1">
                    <a:lumMod val="65000"/>
                    <a:lumOff val="3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for Charts'!$C$2:$D$2</c:f>
              <c:strCache>
                <c:ptCount val="2"/>
                <c:pt idx="0">
                  <c:v>Benefits </c:v>
                </c:pt>
                <c:pt idx="1">
                  <c:v>Costs </c:v>
                </c:pt>
              </c:strCache>
            </c:strRef>
          </c:cat>
          <c:val>
            <c:numRef>
              <c:f>'Data for Charts'!$C$12:$D$12</c:f>
              <c:numCache>
                <c:formatCode>"$"#,##0.0</c:formatCode>
                <c:ptCount val="2"/>
                <c:pt idx="1">
                  <c:v>12.527545168895445</c:v>
                </c:pt>
              </c:numCache>
            </c:numRef>
          </c:val>
          <c:smooth val="0"/>
          <c:extLst>
            <c:ext xmlns:c16="http://schemas.microsoft.com/office/drawing/2014/chart" uri="{C3380CC4-5D6E-409C-BE32-E72D297353CC}">
              <c16:uniqueId val="{00000009-32FB-48A9-9C4A-1CF36D8A92A3}"/>
            </c:ext>
          </c:extLst>
        </c:ser>
        <c:dLbls>
          <c:showLegendKey val="0"/>
          <c:showVal val="0"/>
          <c:showCatName val="0"/>
          <c:showSerName val="0"/>
          <c:showPercent val="0"/>
          <c:showBubbleSize val="0"/>
        </c:dLbls>
        <c:marker val="1"/>
        <c:smooth val="0"/>
        <c:axId val="911619872"/>
        <c:axId val="911621048"/>
      </c:lineChart>
      <c:catAx>
        <c:axId val="91161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911621048"/>
        <c:crosses val="autoZero"/>
        <c:auto val="1"/>
        <c:lblAlgn val="ctr"/>
        <c:lblOffset val="100"/>
        <c:noMultiLvlLbl val="0"/>
      </c:catAx>
      <c:valAx>
        <c:axId val="911621048"/>
        <c:scaling>
          <c:orientation val="minMax"/>
        </c:scaling>
        <c:delete val="0"/>
        <c:axPos val="l"/>
        <c:majorGridlines>
          <c:spPr>
            <a:ln w="9525" cap="flat" cmpd="sng" algn="ctr">
              <a:solidFill>
                <a:schemeClr val="bg1">
                  <a:lumMod val="85000"/>
                  <a:alpha val="80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Millions of 2018$</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quot;$&quot;#,##0.0_);\(&quot;$&quot;#,##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911619872"/>
        <c:crosses val="autoZero"/>
        <c:crossBetween val="between"/>
      </c:valAx>
      <c:spPr>
        <a:noFill/>
        <a:ln>
          <a:noFill/>
        </a:ln>
        <a:effectLst/>
      </c:spPr>
    </c:plotArea>
    <c:legend>
      <c:legendPos val="r"/>
      <c:legendEntry>
        <c:idx val="8"/>
        <c:delete val="1"/>
      </c:legendEntry>
      <c:legendEntry>
        <c:idx val="9"/>
        <c:delete val="1"/>
      </c:legendEntry>
      <c:overlay val="0"/>
      <c:spPr>
        <a:solidFill>
          <a:schemeClr val="bg1">
            <a:lumMod val="95000"/>
          </a:schemeClr>
        </a:solid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r>
              <a:rPr lang="en-US" sz="1600" b="1">
                <a:solidFill>
                  <a:schemeClr val="tx2"/>
                </a:solidFill>
              </a:rPr>
              <a:t>Present Value of Total Benefits and Costs</a:t>
            </a:r>
          </a:p>
          <a:p>
            <a:pPr>
              <a:defRPr sz="1600" b="1">
                <a:solidFill>
                  <a:schemeClr val="tx2"/>
                </a:solidFill>
              </a:defRPr>
            </a:pPr>
            <a:r>
              <a:rPr lang="en-US" sz="1600" b="1" baseline="0">
                <a:solidFill>
                  <a:schemeClr val="tx2"/>
                </a:solidFill>
              </a:rPr>
              <a:t>Discounted at 7%</a:t>
            </a:r>
            <a:r>
              <a:rPr lang="en-US" sz="1600" b="1">
                <a:solidFill>
                  <a:schemeClr val="tx2"/>
                </a:solidFill>
              </a:rPr>
              <a:t>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'Data for Charts'!$B$3</c:f>
              <c:strCache>
                <c:ptCount val="1"/>
                <c:pt idx="0">
                  <c:v>Accident Cost Savings</c:v>
                </c:pt>
              </c:strCache>
            </c:strRef>
          </c:tx>
          <c:spPr>
            <a:solidFill>
              <a:schemeClr val="accent3">
                <a:lumMod val="60000"/>
                <a:lumOff val="40000"/>
              </a:schemeClr>
            </a:solidFill>
            <a:ln>
              <a:solidFill>
                <a:schemeClr val="tx2"/>
              </a:solidFill>
            </a:ln>
            <a:effectLst/>
          </c:spPr>
          <c:invertIfNegative val="0"/>
          <c:cat>
            <c:multiLvlStrRef>
              <c:f>'Data for Charts'!#REF!</c:f>
            </c:multiLvlStrRef>
          </c:cat>
          <c:val>
            <c:numRef>
              <c:f>'Data for Charts'!$C$3:$D$3</c:f>
              <c:numCache>
                <c:formatCode>"$"#,##0.0</c:formatCode>
                <c:ptCount val="2"/>
                <c:pt idx="0">
                  <c:v>0.72980724506103756</c:v>
                </c:pt>
              </c:numCache>
            </c:numRef>
          </c:val>
          <c:extLst>
            <c:ext xmlns:c16="http://schemas.microsoft.com/office/drawing/2014/chart" uri="{C3380CC4-5D6E-409C-BE32-E72D297353CC}">
              <c16:uniqueId val="{00000000-C51F-47C2-8EE2-8BFBAA47E88A}"/>
            </c:ext>
          </c:extLst>
        </c:ser>
        <c:ser>
          <c:idx val="1"/>
          <c:order val="1"/>
          <c:tx>
            <c:strRef>
              <c:f>'Data for Charts'!$B$4</c:f>
              <c:strCache>
                <c:ptCount val="1"/>
                <c:pt idx="0">
                  <c:v>Travel Time Savings </c:v>
                </c:pt>
              </c:strCache>
            </c:strRef>
          </c:tx>
          <c:spPr>
            <a:solidFill>
              <a:srgbClr val="FF5B5B"/>
            </a:solidFill>
            <a:ln>
              <a:solidFill>
                <a:schemeClr val="tx2"/>
              </a:solidFill>
            </a:ln>
            <a:effectLst/>
          </c:spPr>
          <c:invertIfNegative val="0"/>
          <c:cat>
            <c:multiLvlStrRef>
              <c:f>'Data for Charts'!#REF!</c:f>
            </c:multiLvlStrRef>
          </c:cat>
          <c:val>
            <c:numRef>
              <c:f>'Data for Charts'!$C$4:$D$4</c:f>
              <c:numCache>
                <c:formatCode>"$"#,##0.0</c:formatCode>
                <c:ptCount val="2"/>
                <c:pt idx="0">
                  <c:v>5.8947933747501846</c:v>
                </c:pt>
              </c:numCache>
            </c:numRef>
          </c:val>
          <c:extLst>
            <c:ext xmlns:c16="http://schemas.microsoft.com/office/drawing/2014/chart" uri="{C3380CC4-5D6E-409C-BE32-E72D297353CC}">
              <c16:uniqueId val="{00000001-C51F-47C2-8EE2-8BFBAA47E88A}"/>
            </c:ext>
          </c:extLst>
        </c:ser>
        <c:ser>
          <c:idx val="2"/>
          <c:order val="2"/>
          <c:tx>
            <c:strRef>
              <c:f>'Data for Charts'!$B$5</c:f>
              <c:strCache>
                <c:ptCount val="1"/>
                <c:pt idx="0">
                  <c:v>Emissions Cost Savings</c:v>
                </c:pt>
              </c:strCache>
            </c:strRef>
          </c:tx>
          <c:spPr>
            <a:solidFill>
              <a:schemeClr val="tx2">
                <a:lumMod val="75000"/>
              </a:schemeClr>
            </a:solidFill>
            <a:ln>
              <a:solidFill>
                <a:schemeClr val="tx2"/>
              </a:solidFill>
            </a:ln>
            <a:effectLst/>
          </c:spPr>
          <c:invertIfNegative val="0"/>
          <c:cat>
            <c:multiLvlStrRef>
              <c:f>'Data for Charts'!#REF!</c:f>
            </c:multiLvlStrRef>
          </c:cat>
          <c:val>
            <c:numRef>
              <c:f>'Data for Charts'!$C$5:$D$5</c:f>
              <c:numCache>
                <c:formatCode>"$"#,##0.0</c:formatCode>
                <c:ptCount val="2"/>
                <c:pt idx="0">
                  <c:v>5.4756430371836869E-2</c:v>
                </c:pt>
              </c:numCache>
            </c:numRef>
          </c:val>
          <c:extLst>
            <c:ext xmlns:c16="http://schemas.microsoft.com/office/drawing/2014/chart" uri="{C3380CC4-5D6E-409C-BE32-E72D297353CC}">
              <c16:uniqueId val="{00000002-C51F-47C2-8EE2-8BFBAA47E88A}"/>
            </c:ext>
          </c:extLst>
        </c:ser>
        <c:ser>
          <c:idx val="3"/>
          <c:order val="3"/>
          <c:tx>
            <c:strRef>
              <c:f>'Data for Charts'!$B$6</c:f>
              <c:strCache>
                <c:ptCount val="1"/>
                <c:pt idx="0">
                  <c:v>Vehicle Operating Cost Savings </c:v>
                </c:pt>
              </c:strCache>
            </c:strRef>
          </c:tx>
          <c:spPr>
            <a:solidFill>
              <a:schemeClr val="accent6">
                <a:lumMod val="40000"/>
                <a:lumOff val="60000"/>
              </a:schemeClr>
            </a:solidFill>
            <a:ln>
              <a:solidFill>
                <a:schemeClr val="tx2"/>
              </a:solidFill>
            </a:ln>
            <a:effectLst/>
          </c:spPr>
          <c:invertIfNegative val="0"/>
          <c:cat>
            <c:multiLvlStrRef>
              <c:f>'Data for Charts'!#REF!</c:f>
            </c:multiLvlStrRef>
          </c:cat>
          <c:val>
            <c:numRef>
              <c:f>'Data for Charts'!$C$6:$D$6</c:f>
              <c:numCache>
                <c:formatCode>"$"#,##0.0</c:formatCode>
                <c:ptCount val="2"/>
                <c:pt idx="0">
                  <c:v>0.65718290077804808</c:v>
                </c:pt>
              </c:numCache>
            </c:numRef>
          </c:val>
          <c:extLst>
            <c:ext xmlns:c16="http://schemas.microsoft.com/office/drawing/2014/chart" uri="{C3380CC4-5D6E-409C-BE32-E72D297353CC}">
              <c16:uniqueId val="{00000003-C51F-47C2-8EE2-8BFBAA47E88A}"/>
            </c:ext>
          </c:extLst>
        </c:ser>
        <c:ser>
          <c:idx val="4"/>
          <c:order val="4"/>
          <c:tx>
            <c:strRef>
              <c:f>'Data for Charts'!$B$7</c:f>
              <c:strCache>
                <c:ptCount val="1"/>
                <c:pt idx="0">
                  <c:v>Land Value Increase</c:v>
                </c:pt>
              </c:strCache>
            </c:strRef>
          </c:tx>
          <c:spPr>
            <a:solidFill>
              <a:schemeClr val="accent4">
                <a:lumMod val="40000"/>
                <a:lumOff val="60000"/>
              </a:schemeClr>
            </a:solidFill>
            <a:ln>
              <a:solidFill>
                <a:schemeClr val="tx2"/>
              </a:solidFill>
            </a:ln>
            <a:effectLst/>
          </c:spPr>
          <c:invertIfNegative val="0"/>
          <c:cat>
            <c:multiLvlStrRef>
              <c:f>'Data for Charts'!#REF!</c:f>
            </c:multiLvlStrRef>
          </c:cat>
          <c:val>
            <c:numRef>
              <c:f>'Data for Charts'!$C$7:$D$7</c:f>
              <c:numCache>
                <c:formatCode>"$"#,##0.0</c:formatCode>
                <c:ptCount val="2"/>
                <c:pt idx="0">
                  <c:v>9.3440655554559804</c:v>
                </c:pt>
              </c:numCache>
            </c:numRef>
          </c:val>
          <c:extLst>
            <c:ext xmlns:c16="http://schemas.microsoft.com/office/drawing/2014/chart" uri="{C3380CC4-5D6E-409C-BE32-E72D297353CC}">
              <c16:uniqueId val="{00000004-C51F-47C2-8EE2-8BFBAA47E88A}"/>
            </c:ext>
          </c:extLst>
        </c:ser>
        <c:ser>
          <c:idx val="6"/>
          <c:order val="6"/>
          <c:tx>
            <c:strRef>
              <c:f>'Data for Charts'!$B$11</c:f>
              <c:strCache>
                <c:ptCount val="1"/>
                <c:pt idx="0">
                  <c:v>Capital Costs</c:v>
                </c:pt>
              </c:strCache>
            </c:strRef>
          </c:tx>
          <c:spPr>
            <a:solidFill>
              <a:schemeClr val="accent1"/>
            </a:solidFill>
            <a:ln>
              <a:solidFill>
                <a:schemeClr val="tx2"/>
              </a:solidFill>
            </a:ln>
            <a:effectLst/>
          </c:spPr>
          <c:invertIfNegative val="0"/>
          <c:cat>
            <c:multiLvlStrRef>
              <c:f>'Data for Charts'!#REF!</c:f>
            </c:multiLvlStrRef>
          </c:cat>
          <c:val>
            <c:numRef>
              <c:f>'Data for Charts'!$C$11:$D$11</c:f>
              <c:numCache>
                <c:formatCode>"$"#,##0.0</c:formatCode>
                <c:ptCount val="2"/>
                <c:pt idx="1">
                  <c:v>12.527545168895445</c:v>
                </c:pt>
              </c:numCache>
            </c:numRef>
          </c:val>
          <c:extLst>
            <c:ext xmlns:c16="http://schemas.microsoft.com/office/drawing/2014/chart" uri="{C3380CC4-5D6E-409C-BE32-E72D297353CC}">
              <c16:uniqueId val="{00000005-C51F-47C2-8EE2-8BFBAA47E88A}"/>
            </c:ext>
          </c:extLst>
        </c:ser>
        <c:ser>
          <c:idx val="7"/>
          <c:order val="7"/>
          <c:tx>
            <c:strRef>
              <c:f>'Data for Charts'!$B$8</c:f>
              <c:strCache>
                <c:ptCount val="1"/>
                <c:pt idx="0">
                  <c:v>O&amp;M Costs Savings</c:v>
                </c:pt>
              </c:strCache>
            </c:strRef>
          </c:tx>
          <c:spPr>
            <a:solidFill>
              <a:schemeClr val="accent1">
                <a:lumMod val="20000"/>
                <a:lumOff val="80000"/>
              </a:schemeClr>
            </a:solidFill>
            <a:ln>
              <a:solidFill>
                <a:schemeClr val="tx2"/>
              </a:solidFill>
            </a:ln>
            <a:effectLst/>
          </c:spPr>
          <c:invertIfNegative val="0"/>
          <c:cat>
            <c:multiLvlStrRef>
              <c:f>'Data for Charts'!#REF!</c:f>
            </c:multiLvlStrRef>
          </c:cat>
          <c:val>
            <c:numRef>
              <c:f>'Data for Charts'!$C$8:$D$8</c:f>
              <c:numCache>
                <c:formatCode>"$"#,##0.0</c:formatCode>
                <c:ptCount val="2"/>
                <c:pt idx="0">
                  <c:v>0.24791396048264702</c:v>
                </c:pt>
              </c:numCache>
            </c:numRef>
          </c:val>
          <c:extLst>
            <c:ext xmlns:c16="http://schemas.microsoft.com/office/drawing/2014/chart" uri="{C3380CC4-5D6E-409C-BE32-E72D297353CC}">
              <c16:uniqueId val="{00000006-C51F-47C2-8EE2-8BFBAA47E88A}"/>
            </c:ext>
          </c:extLst>
        </c:ser>
        <c:ser>
          <c:idx val="9"/>
          <c:order val="9"/>
          <c:tx>
            <c:strRef>
              <c:f>'Data for Charts'!$B$9</c:f>
              <c:strCache>
                <c:ptCount val="1"/>
                <c:pt idx="0">
                  <c:v>Residual Value</c:v>
                </c:pt>
              </c:strCache>
            </c:strRef>
          </c:tx>
          <c:spPr>
            <a:solidFill>
              <a:schemeClr val="accent4">
                <a:lumMod val="60000"/>
              </a:schemeClr>
            </a:solidFill>
            <a:ln>
              <a:solidFill>
                <a:schemeClr val="tx2"/>
              </a:solidFill>
            </a:ln>
            <a:effectLst/>
          </c:spPr>
          <c:invertIfNegative val="0"/>
          <c:cat>
            <c:strRef>
              <c:f>'Data for Charts'!$C$2:$D$2</c:f>
              <c:strCache>
                <c:ptCount val="2"/>
                <c:pt idx="0">
                  <c:v>Benefits </c:v>
                </c:pt>
                <c:pt idx="1">
                  <c:v>Costs </c:v>
                </c:pt>
              </c:strCache>
            </c:strRef>
          </c:cat>
          <c:val>
            <c:numRef>
              <c:f>'Data for Charts'!$C$9:$D$9</c:f>
              <c:numCache>
                <c:formatCode>"$"#,##0.0</c:formatCode>
                <c:ptCount val="2"/>
                <c:pt idx="0">
                  <c:v>0.38820677926744362</c:v>
                </c:pt>
              </c:numCache>
            </c:numRef>
          </c:val>
          <c:extLst>
            <c:ext xmlns:c16="http://schemas.microsoft.com/office/drawing/2014/chart" uri="{C3380CC4-5D6E-409C-BE32-E72D297353CC}">
              <c16:uniqueId val="{00000007-C51F-47C2-8EE2-8BFBAA47E88A}"/>
            </c:ext>
          </c:extLst>
        </c:ser>
        <c:dLbls>
          <c:showLegendKey val="0"/>
          <c:showVal val="0"/>
          <c:showCatName val="0"/>
          <c:showSerName val="0"/>
          <c:showPercent val="0"/>
          <c:showBubbleSize val="0"/>
        </c:dLbls>
        <c:gapWidth val="150"/>
        <c:overlap val="100"/>
        <c:axId val="911620264"/>
        <c:axId val="911620656"/>
      </c:barChart>
      <c:lineChart>
        <c:grouping val="standard"/>
        <c:varyColors val="0"/>
        <c:ser>
          <c:idx val="5"/>
          <c:order val="5"/>
          <c:tx>
            <c:strRef>
              <c:f>'Data for Charts'!$B$10</c:f>
              <c:strCache>
                <c:ptCount val="1"/>
                <c:pt idx="0">
                  <c:v>PV Benefits</c:v>
                </c:pt>
              </c:strCache>
            </c:strRef>
          </c:tx>
          <c:spPr>
            <a:ln w="28575" cap="rnd">
              <a:solidFill>
                <a:schemeClr val="accent6"/>
              </a:solidFill>
              <a:round/>
            </a:ln>
            <a:effectLst/>
          </c:spPr>
          <c:marker>
            <c:symbol val="circle"/>
            <c:size val="8"/>
            <c:spPr>
              <a:solidFill>
                <a:schemeClr val="bg1">
                  <a:lumMod val="50000"/>
                </a:schemeClr>
              </a:solidFill>
              <a:ln w="25400">
                <a:solidFill>
                  <a:schemeClr val="tx1">
                    <a:lumMod val="65000"/>
                    <a:lumOff val="3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for Charts'!$C$2:$D$2</c:f>
              <c:strCache>
                <c:ptCount val="2"/>
                <c:pt idx="0">
                  <c:v>Benefits </c:v>
                </c:pt>
                <c:pt idx="1">
                  <c:v>Costs </c:v>
                </c:pt>
              </c:strCache>
            </c:strRef>
          </c:cat>
          <c:val>
            <c:numRef>
              <c:f>'Data for Charts'!$C$10:$D$10</c:f>
              <c:numCache>
                <c:formatCode>"$"#,##0.0</c:formatCode>
                <c:ptCount val="2"/>
                <c:pt idx="0">
                  <c:v>17.316726246167178</c:v>
                </c:pt>
              </c:numCache>
            </c:numRef>
          </c:val>
          <c:smooth val="0"/>
          <c:extLst>
            <c:ext xmlns:c16="http://schemas.microsoft.com/office/drawing/2014/chart" uri="{C3380CC4-5D6E-409C-BE32-E72D297353CC}">
              <c16:uniqueId val="{00000008-C51F-47C2-8EE2-8BFBAA47E88A}"/>
            </c:ext>
          </c:extLst>
        </c:ser>
        <c:ser>
          <c:idx val="8"/>
          <c:order val="8"/>
          <c:tx>
            <c:strRef>
              <c:f>'Data for Charts'!$B$12</c:f>
              <c:strCache>
                <c:ptCount val="1"/>
                <c:pt idx="0">
                  <c:v>PV Costs</c:v>
                </c:pt>
              </c:strCache>
            </c:strRef>
          </c:tx>
          <c:spPr>
            <a:ln w="28575" cap="rnd">
              <a:solidFill>
                <a:schemeClr val="accent3">
                  <a:lumMod val="60000"/>
                </a:schemeClr>
              </a:solidFill>
              <a:round/>
            </a:ln>
            <a:effectLst/>
          </c:spPr>
          <c:marker>
            <c:symbol val="circle"/>
            <c:size val="8"/>
            <c:spPr>
              <a:solidFill>
                <a:schemeClr val="bg1">
                  <a:lumMod val="50000"/>
                </a:schemeClr>
              </a:solidFill>
              <a:ln w="25400">
                <a:solidFill>
                  <a:schemeClr val="tx1">
                    <a:lumMod val="65000"/>
                    <a:lumOff val="3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for Charts'!$C$2:$D$2</c:f>
              <c:strCache>
                <c:ptCount val="2"/>
                <c:pt idx="0">
                  <c:v>Benefits </c:v>
                </c:pt>
                <c:pt idx="1">
                  <c:v>Costs </c:v>
                </c:pt>
              </c:strCache>
            </c:strRef>
          </c:cat>
          <c:val>
            <c:numRef>
              <c:f>'Data for Charts'!$C$12:$D$12</c:f>
              <c:numCache>
                <c:formatCode>"$"#,##0.0</c:formatCode>
                <c:ptCount val="2"/>
                <c:pt idx="1">
                  <c:v>12.527545168895445</c:v>
                </c:pt>
              </c:numCache>
            </c:numRef>
          </c:val>
          <c:smooth val="0"/>
          <c:extLst>
            <c:ext xmlns:c16="http://schemas.microsoft.com/office/drawing/2014/chart" uri="{C3380CC4-5D6E-409C-BE32-E72D297353CC}">
              <c16:uniqueId val="{00000009-C51F-47C2-8EE2-8BFBAA47E88A}"/>
            </c:ext>
          </c:extLst>
        </c:ser>
        <c:dLbls>
          <c:showLegendKey val="0"/>
          <c:showVal val="0"/>
          <c:showCatName val="0"/>
          <c:showSerName val="0"/>
          <c:showPercent val="0"/>
          <c:showBubbleSize val="0"/>
        </c:dLbls>
        <c:marker val="1"/>
        <c:smooth val="0"/>
        <c:axId val="911620264"/>
        <c:axId val="911620656"/>
      </c:lineChart>
      <c:catAx>
        <c:axId val="91162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911620656"/>
        <c:crosses val="autoZero"/>
        <c:auto val="1"/>
        <c:lblAlgn val="ctr"/>
        <c:lblOffset val="100"/>
        <c:noMultiLvlLbl val="0"/>
      </c:catAx>
      <c:valAx>
        <c:axId val="911620656"/>
        <c:scaling>
          <c:orientation val="minMax"/>
        </c:scaling>
        <c:delete val="0"/>
        <c:axPos val="l"/>
        <c:majorGridlines>
          <c:spPr>
            <a:ln w="9525" cap="flat" cmpd="sng" algn="ctr">
              <a:solidFill>
                <a:schemeClr val="bg1">
                  <a:lumMod val="85000"/>
                  <a:alpha val="80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Millions of 2017$</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quot;$&quot;#,##0.0_);\(&quot;$&quot;#,##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911620264"/>
        <c:crosses val="autoZero"/>
        <c:crossBetween val="between"/>
      </c:valAx>
      <c:spPr>
        <a:noFill/>
        <a:ln>
          <a:noFill/>
        </a:ln>
        <a:effectLst/>
      </c:spPr>
    </c:plotArea>
    <c:legend>
      <c:legendPos val="r"/>
      <c:legendEntry>
        <c:idx val="8"/>
        <c:delete val="1"/>
      </c:legendEntry>
      <c:legendEntry>
        <c:idx val="9"/>
        <c:delete val="1"/>
      </c:legendEntry>
      <c:overlay val="0"/>
      <c:spPr>
        <a:solidFill>
          <a:schemeClr val="bg1">
            <a:lumMod val="95000"/>
          </a:schemeClr>
        </a:solid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gif"/></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11</xdr:col>
      <xdr:colOff>769261</xdr:colOff>
      <xdr:row>15</xdr:row>
      <xdr:rowOff>129903</xdr:rowOff>
    </xdr:from>
    <xdr:to>
      <xdr:col>17</xdr:col>
      <xdr:colOff>280685</xdr:colOff>
      <xdr:row>39</xdr:row>
      <xdr:rowOff>128410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750794</xdr:colOff>
      <xdr:row>16</xdr:row>
      <xdr:rowOff>156882</xdr:rowOff>
    </xdr:from>
    <xdr:to>
      <xdr:col>11</xdr:col>
      <xdr:colOff>524933</xdr:colOff>
      <xdr:row>39</xdr:row>
      <xdr:rowOff>81304</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515471</xdr:colOff>
      <xdr:row>13</xdr:row>
      <xdr:rowOff>134471</xdr:rowOff>
    </xdr:from>
    <xdr:to>
      <xdr:col>5</xdr:col>
      <xdr:colOff>418253</xdr:colOff>
      <xdr:row>36</xdr:row>
      <xdr:rowOff>114922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3</xdr:row>
          <xdr:rowOff>69850</xdr:rowOff>
        </xdr:from>
        <xdr:to>
          <xdr:col>8</xdr:col>
          <xdr:colOff>323850</xdr:colOff>
          <xdr:row>12</xdr:row>
          <xdr:rowOff>19050</xdr:rowOff>
        </xdr:to>
        <xdr:sp macro="" textlink="">
          <xdr:nvSpPr>
            <xdr:cNvPr id="840705" name="Object 1" hidden="1">
              <a:extLst>
                <a:ext uri="{63B3BB69-23CF-44E3-9099-C40C66FF867C}">
                  <a14:compatExt spid="_x0000_s840705"/>
                </a:ext>
                <a:ext uri="{FF2B5EF4-FFF2-40B4-BE49-F238E27FC236}">
                  <a16:creationId xmlns:a16="http://schemas.microsoft.com/office/drawing/2014/main" id="{00000000-0008-0000-0300-000001D40C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488950</xdr:colOff>
          <xdr:row>2</xdr:row>
          <xdr:rowOff>184150</xdr:rowOff>
        </xdr:from>
        <xdr:to>
          <xdr:col>19</xdr:col>
          <xdr:colOff>228600</xdr:colOff>
          <xdr:row>12</xdr:row>
          <xdr:rowOff>57150</xdr:rowOff>
        </xdr:to>
        <xdr:sp macro="" textlink="">
          <xdr:nvSpPr>
            <xdr:cNvPr id="840706" name="Object 2" hidden="1">
              <a:extLst>
                <a:ext uri="{63B3BB69-23CF-44E3-9099-C40C66FF867C}">
                  <a14:compatExt spid="_x0000_s840706"/>
                </a:ext>
                <a:ext uri="{FF2B5EF4-FFF2-40B4-BE49-F238E27FC236}">
                  <a16:creationId xmlns:a16="http://schemas.microsoft.com/office/drawing/2014/main" id="{00000000-0008-0000-0300-000002D40C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76200</xdr:rowOff>
        </xdr:from>
        <xdr:to>
          <xdr:col>9</xdr:col>
          <xdr:colOff>152400</xdr:colOff>
          <xdr:row>27</xdr:row>
          <xdr:rowOff>133350</xdr:rowOff>
        </xdr:to>
        <xdr:sp macro="" textlink="">
          <xdr:nvSpPr>
            <xdr:cNvPr id="840707" name="Object 3" hidden="1">
              <a:extLst>
                <a:ext uri="{63B3BB69-23CF-44E3-9099-C40C66FF867C}">
                  <a14:compatExt spid="_x0000_s840707"/>
                </a:ext>
                <a:ext uri="{FF2B5EF4-FFF2-40B4-BE49-F238E27FC236}">
                  <a16:creationId xmlns:a16="http://schemas.microsoft.com/office/drawing/2014/main" id="{00000000-0008-0000-0300-000003D40C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374650</xdr:colOff>
          <xdr:row>14</xdr:row>
          <xdr:rowOff>107950</xdr:rowOff>
        </xdr:from>
        <xdr:to>
          <xdr:col>18</xdr:col>
          <xdr:colOff>336550</xdr:colOff>
          <xdr:row>31</xdr:row>
          <xdr:rowOff>228600</xdr:rowOff>
        </xdr:to>
        <xdr:sp macro="" textlink="">
          <xdr:nvSpPr>
            <xdr:cNvPr id="840709" name="Object 5" hidden="1">
              <a:extLst>
                <a:ext uri="{63B3BB69-23CF-44E3-9099-C40C66FF867C}">
                  <a14:compatExt spid="_x0000_s840709"/>
                </a:ext>
                <a:ext uri="{FF2B5EF4-FFF2-40B4-BE49-F238E27FC236}">
                  <a16:creationId xmlns:a16="http://schemas.microsoft.com/office/drawing/2014/main" id="{00000000-0008-0000-0300-000005D40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3</xdr:col>
      <xdr:colOff>371475</xdr:colOff>
      <xdr:row>6</xdr:row>
      <xdr:rowOff>126880</xdr:rowOff>
    </xdr:from>
    <xdr:ext cx="2482093" cy="3178813"/>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609975" y="1222255"/>
          <a:ext cx="2482093" cy="3178813"/>
        </a:xfrm>
        <a:prstGeom prst="rect">
          <a:avLst/>
        </a:prstGeom>
      </xdr:spPr>
    </xdr:pic>
    <xdr:clientData/>
  </xdr:oneCellAnchor>
  <xdr:oneCellAnchor>
    <xdr:from>
      <xdr:col>5</xdr:col>
      <xdr:colOff>1238470</xdr:colOff>
      <xdr:row>6</xdr:row>
      <xdr:rowOff>47625</xdr:rowOff>
    </xdr:from>
    <xdr:ext cx="2329483" cy="3197587"/>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6515320" y="1143000"/>
          <a:ext cx="2329483" cy="3197587"/>
        </a:xfrm>
        <a:prstGeom prst="rect">
          <a:avLst/>
        </a:prstGeom>
      </xdr:spPr>
    </xdr:pic>
    <xdr:clientData/>
  </xdr:oneCellAnchor>
  <xdr:twoCellAnchor editAs="oneCell">
    <xdr:from>
      <xdr:col>7</xdr:col>
      <xdr:colOff>1333500</xdr:colOff>
      <xdr:row>6</xdr:row>
      <xdr:rowOff>123825</xdr:rowOff>
    </xdr:from>
    <xdr:to>
      <xdr:col>10</xdr:col>
      <xdr:colOff>167385</xdr:colOff>
      <xdr:row>8</xdr:row>
      <xdr:rowOff>172916</xdr:rowOff>
    </xdr:to>
    <xdr:pic>
      <xdr:nvPicPr>
        <xdr:cNvPr id="5" name="Picture 4" descr="Equation (2)">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29725" y="1219200"/>
          <a:ext cx="2720085" cy="411041"/>
        </a:xfrm>
        <a:prstGeom prst="rect">
          <a:avLst/>
        </a:prstGeom>
        <a:noFill/>
      </xdr:spPr>
    </xdr:pic>
    <xdr:clientData/>
  </xdr:twoCellAnchor>
  <xdr:twoCellAnchor editAs="oneCell">
    <xdr:from>
      <xdr:col>7</xdr:col>
      <xdr:colOff>1323975</xdr:colOff>
      <xdr:row>10</xdr:row>
      <xdr:rowOff>137453</xdr:rowOff>
    </xdr:from>
    <xdr:to>
      <xdr:col>9</xdr:col>
      <xdr:colOff>81410</xdr:colOff>
      <xdr:row>13</xdr:row>
      <xdr:rowOff>36049</xdr:rowOff>
    </xdr:to>
    <xdr:pic>
      <xdr:nvPicPr>
        <xdr:cNvPr id="6" name="Picture 5" descr="Formula weighting factor">
          <a:extLst>
            <a:ext uri="{FF2B5EF4-FFF2-40B4-BE49-F238E27FC236}">
              <a16:creationId xmlns:a16="http://schemas.microsoft.com/office/drawing/2014/main" id="{00000000-0008-0000-30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20200" y="1956728"/>
          <a:ext cx="1376810" cy="44152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15</xdr:col>
      <xdr:colOff>228600</xdr:colOff>
      <xdr:row>61</xdr:row>
      <xdr:rowOff>144780</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41720" y="411480"/>
          <a:ext cx="7772400" cy="10058400"/>
        </a:xfrm>
        <a:prstGeom prst="rect">
          <a:avLst/>
        </a:prstGeom>
      </xdr:spPr>
    </xdr:pic>
    <xdr:clientData/>
  </xdr:twoCellAnchor>
</xdr:wsDr>
</file>

<file path=xl/theme/theme1.xml><?xml version="1.0" encoding="utf-8"?>
<a:theme xmlns:a="http://schemas.openxmlformats.org/drawingml/2006/main" name="HDR_WordTheme">
  <a:themeElements>
    <a:clrScheme name="HDR_WORD-BrandingBright">
      <a:dk1>
        <a:sysClr val="windowText" lastClr="000000"/>
      </a:dk1>
      <a:lt1>
        <a:sysClr val="window" lastClr="FFFFFF"/>
      </a:lt1>
      <a:dk2>
        <a:srgbClr val="54585A"/>
      </a:dk2>
      <a:lt2>
        <a:srgbClr val="A8A99E"/>
      </a:lt2>
      <a:accent1>
        <a:srgbClr val="4298B5"/>
      </a:accent1>
      <a:accent2>
        <a:srgbClr val="C8102E"/>
      </a:accent2>
      <a:accent3>
        <a:srgbClr val="CA005D"/>
      </a:accent3>
      <a:accent4>
        <a:srgbClr val="FF8200"/>
      </a:accent4>
      <a:accent5>
        <a:srgbClr val="FFC600"/>
      </a:accent5>
      <a:accent6>
        <a:srgbClr val="78BE20"/>
      </a:accent6>
      <a:hlink>
        <a:srgbClr val="00549F"/>
      </a:hlink>
      <a:folHlink>
        <a:srgbClr val="6B1F7C"/>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solidFill>
        <a:ln>
          <a:noFill/>
        </a:ln>
      </a:spPr>
      <a:bodyPr rtlCol="0" anchor="ctr"/>
      <a:lstStyle/>
      <a:style>
        <a:lnRef idx="2">
          <a:schemeClr val="accent1">
            <a:shade val="50000"/>
          </a:schemeClr>
        </a:lnRef>
        <a:fillRef idx="1">
          <a:schemeClr val="accent1"/>
        </a:fillRef>
        <a:effectRef idx="0">
          <a:schemeClr val="accent1"/>
        </a:effectRef>
        <a:fontRef idx="minor">
          <a:schemeClr val="lt1"/>
        </a:fontRef>
      </a:style>
    </a:spDef>
    <a:txDef>
      <a:spPr>
        <a:noFill/>
        <a:ln w="6350">
          <a:noFill/>
        </a:ln>
        <a:effectLst/>
      </a:spPr>
      <a:bodyPr wrap="square" rtlCol="0"/>
      <a:lstStyle/>
      <a:style>
        <a:lnRef idx="0">
          <a:schemeClr val="accent1"/>
        </a:lnRef>
        <a:fillRef idx="0">
          <a:schemeClr val="accent1"/>
        </a:fillRef>
        <a:effectRef idx="0">
          <a:schemeClr val="accent1"/>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Microsoft_Visio_2003-2010_Drawing3.vsd"/><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Microsoft_Visio_2003-2010_Drawing2.vsd"/><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Microsoft_Visio_2003-2010_Drawing4.vsd"/><Relationship Id="rId4" Type="http://schemas.openxmlformats.org/officeDocument/2006/relationships/oleObject" Target="../embeddings/Microsoft_Visio_2003-2010_Drawing1.vsd"/><Relationship Id="rId9" Type="http://schemas.openxmlformats.org/officeDocument/2006/relationships/image" Target="../media/image3.emf"/></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eia.gov/forecasts/aeo/index.cf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bls.gov/web/eci/ecconstnaics.txt"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4.xml.rels><?xml version="1.0" encoding="UTF-8" standalone="yes"?>
<Relationships xmlns="http://schemas.openxmlformats.org/package/2006/relationships"><Relationship Id="rId1" Type="http://schemas.openxmlformats.org/officeDocument/2006/relationships/hyperlink" Target="http://en.wikipedia.org/wiki/T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4">
    <tabColor rgb="FF002060"/>
  </sheetPr>
  <dimension ref="A1:AK153"/>
  <sheetViews>
    <sheetView showGridLines="0" tabSelected="1" zoomScale="85" zoomScaleNormal="85" workbookViewId="0">
      <selection activeCell="A14" sqref="A14"/>
    </sheetView>
  </sheetViews>
  <sheetFormatPr defaultColWidth="9.25" defaultRowHeight="14"/>
  <cols>
    <col min="1" max="1" width="1" style="220" customWidth="1"/>
    <col min="2" max="2" width="32.83203125" style="220" customWidth="1"/>
    <col min="3" max="3" width="13.83203125" style="223" customWidth="1"/>
    <col min="4" max="6" width="13.5" style="223" customWidth="1"/>
    <col min="7" max="37" width="13.5" style="220" customWidth="1"/>
    <col min="38" max="16384" width="9.25" style="220"/>
  </cols>
  <sheetData>
    <row r="1" spans="1:27" ht="23">
      <c r="A1" s="521" t="s">
        <v>470</v>
      </c>
      <c r="E1" s="150"/>
      <c r="F1" s="150"/>
      <c r="G1" s="150"/>
      <c r="H1" s="150"/>
    </row>
    <row r="2" spans="1:27" ht="15" customHeight="1">
      <c r="B2" s="256" t="s">
        <v>469</v>
      </c>
      <c r="C2" s="257" t="s">
        <v>8</v>
      </c>
      <c r="E2" s="150"/>
      <c r="F2" s="150"/>
      <c r="G2" s="150"/>
      <c r="H2" s="150"/>
      <c r="I2" s="240"/>
      <c r="M2" s="230"/>
      <c r="N2" s="230"/>
      <c r="O2" s="230"/>
      <c r="P2" s="230"/>
      <c r="Q2" s="230"/>
      <c r="R2" s="230"/>
      <c r="S2" s="230"/>
    </row>
    <row r="3" spans="1:27" ht="15" customHeight="1">
      <c r="B3" s="221" t="s">
        <v>472</v>
      </c>
      <c r="C3" s="518">
        <f>'General Inputs'!D4</f>
        <v>7.0000000000000007E-2</v>
      </c>
      <c r="E3" s="150"/>
      <c r="F3" s="150"/>
      <c r="G3" s="150"/>
      <c r="H3" s="150"/>
      <c r="I3" s="240"/>
      <c r="M3" s="230"/>
      <c r="N3" s="230"/>
      <c r="O3" s="230"/>
      <c r="P3" s="230"/>
      <c r="Q3" s="230"/>
      <c r="R3" s="230"/>
      <c r="S3" s="230"/>
    </row>
    <row r="4" spans="1:27" ht="15" customHeight="1">
      <c r="B4" s="221" t="s">
        <v>473</v>
      </c>
      <c r="C4" s="518">
        <f>'General Inputs'!D5</f>
        <v>0.03</v>
      </c>
      <c r="E4" s="150"/>
      <c r="F4" s="150"/>
      <c r="G4" s="150"/>
      <c r="H4" s="150"/>
      <c r="I4" s="240"/>
      <c r="M4" s="230"/>
      <c r="N4" s="230"/>
      <c r="O4" s="230"/>
      <c r="P4" s="230"/>
      <c r="Q4" s="230"/>
      <c r="R4" s="230"/>
      <c r="S4" s="230"/>
    </row>
    <row r="5" spans="1:27" ht="15" customHeight="1">
      <c r="B5" s="221" t="s">
        <v>1255</v>
      </c>
      <c r="C5" s="519">
        <f>VRCBY</f>
        <v>2021</v>
      </c>
      <c r="E5" s="150"/>
      <c r="F5" s="150"/>
      <c r="G5" s="150"/>
      <c r="H5" s="150"/>
      <c r="I5" s="240"/>
      <c r="M5" s="230"/>
      <c r="N5" s="230"/>
      <c r="O5" s="230"/>
      <c r="P5" s="230"/>
      <c r="Q5" s="230"/>
      <c r="R5" s="230"/>
      <c r="S5" s="230"/>
    </row>
    <row r="6" spans="1:27" s="246" customFormat="1" ht="15" customHeight="1">
      <c r="B6" s="221" t="s">
        <v>597</v>
      </c>
      <c r="C6" s="519">
        <f>VRCConstBeg</f>
        <v>2021</v>
      </c>
      <c r="E6" s="150"/>
      <c r="F6" s="150"/>
      <c r="G6" s="150"/>
      <c r="H6" s="150"/>
      <c r="I6" s="240"/>
      <c r="M6" s="596"/>
      <c r="N6" s="596"/>
      <c r="O6" s="596"/>
      <c r="P6" s="596"/>
      <c r="Q6" s="596"/>
      <c r="R6" s="596"/>
      <c r="S6" s="596"/>
    </row>
    <row r="7" spans="1:27" s="246" customFormat="1" ht="15" customHeight="1">
      <c r="B7" s="258" t="s">
        <v>444</v>
      </c>
      <c r="C7" s="519">
        <f>VRCConstEnd</f>
        <v>2024</v>
      </c>
      <c r="E7" s="150"/>
      <c r="F7" s="150"/>
      <c r="G7" s="150"/>
      <c r="H7" s="150"/>
      <c r="I7" s="517"/>
      <c r="M7" s="285"/>
      <c r="N7" s="285"/>
      <c r="O7" s="285"/>
      <c r="P7" s="596"/>
      <c r="Q7" s="596"/>
      <c r="R7" s="596"/>
      <c r="S7" s="596"/>
    </row>
    <row r="8" spans="1:27" ht="15" customHeight="1">
      <c r="B8" s="258" t="s">
        <v>532</v>
      </c>
      <c r="C8" s="519">
        <f>'Crossing Inputs'!$C$7</f>
        <v>30</v>
      </c>
      <c r="E8" s="150"/>
      <c r="F8" s="150"/>
      <c r="G8" s="150"/>
      <c r="H8" s="150"/>
      <c r="I8" s="240"/>
      <c r="M8" s="285"/>
      <c r="N8" s="285"/>
      <c r="O8" s="285"/>
      <c r="P8" s="230"/>
      <c r="Q8" s="230"/>
      <c r="R8" s="230"/>
      <c r="S8" s="230"/>
    </row>
    <row r="9" spans="1:27" s="246" customFormat="1" ht="15" customHeight="1">
      <c r="B9" s="258" t="s">
        <v>445</v>
      </c>
      <c r="C9" s="312">
        <f>C7+1</f>
        <v>2025</v>
      </c>
      <c r="E9" s="150"/>
      <c r="F9" s="150"/>
      <c r="G9" s="150"/>
      <c r="H9" s="150"/>
      <c r="I9" s="596"/>
      <c r="M9" s="285"/>
      <c r="N9" s="285"/>
      <c r="O9" s="285"/>
      <c r="P9" s="596"/>
      <c r="Q9" s="596"/>
      <c r="R9" s="596"/>
      <c r="S9" s="596"/>
    </row>
    <row r="10" spans="1:27" s="246" customFormat="1" ht="15" customHeight="1">
      <c r="B10" s="297" t="s">
        <v>544</v>
      </c>
      <c r="C10" s="313">
        <f>C9+C8-1</f>
        <v>2054</v>
      </c>
      <c r="E10" s="150"/>
      <c r="F10" s="150"/>
      <c r="G10" s="150"/>
      <c r="H10" s="150"/>
      <c r="I10" s="240"/>
      <c r="M10" s="270"/>
      <c r="N10" s="270"/>
      <c r="O10" s="270"/>
      <c r="AA10" s="250"/>
    </row>
    <row r="11" spans="1:27" ht="15" customHeight="1">
      <c r="B11" s="293" t="s">
        <v>535</v>
      </c>
      <c r="C11" s="646">
        <f>(C7-C5+1)+C8</f>
        <v>34</v>
      </c>
      <c r="E11" s="150"/>
      <c r="F11" s="150"/>
      <c r="G11" s="150"/>
      <c r="H11" s="150"/>
      <c r="I11" s="240"/>
      <c r="M11" s="270"/>
      <c r="N11" s="270"/>
      <c r="O11" s="270"/>
    </row>
    <row r="12" spans="1:27" ht="18">
      <c r="A12" s="243"/>
      <c r="C12" s="243"/>
      <c r="D12" s="242"/>
      <c r="E12" s="150"/>
      <c r="F12" s="150"/>
      <c r="G12" s="150"/>
      <c r="H12" s="150"/>
    </row>
    <row r="13" spans="1:27" ht="23">
      <c r="A13" s="521" t="s">
        <v>471</v>
      </c>
      <c r="C13" s="240"/>
      <c r="D13" s="240"/>
      <c r="J13" s="224"/>
      <c r="K13" s="224"/>
      <c r="L13" s="224"/>
    </row>
    <row r="14" spans="1:27">
      <c r="A14" s="255" t="s">
        <v>1256</v>
      </c>
      <c r="C14" s="244"/>
      <c r="F14" s="1288"/>
      <c r="J14" s="225"/>
      <c r="K14" s="225"/>
      <c r="M14" s="225"/>
      <c r="N14" s="225"/>
      <c r="O14" s="225"/>
      <c r="P14" s="225"/>
      <c r="Q14" s="225"/>
    </row>
    <row r="15" spans="1:27">
      <c r="A15" s="230"/>
      <c r="B15" s="1364" t="s">
        <v>468</v>
      </c>
      <c r="C15" s="1366" t="str">
        <f>"NPV Over "&amp;C8&amp;" Years of Operations"</f>
        <v>NPV Over 30 Years of Operations</v>
      </c>
      <c r="D15" s="1367"/>
      <c r="E15" s="1368"/>
      <c r="F15" s="230"/>
      <c r="G15" s="230"/>
      <c r="H15" s="230"/>
      <c r="I15" s="224"/>
      <c r="J15" s="224"/>
      <c r="K15" s="230"/>
      <c r="L15" s="225"/>
      <c r="M15" s="225"/>
      <c r="N15" s="225"/>
      <c r="O15" s="225"/>
      <c r="P15" s="225"/>
    </row>
    <row r="16" spans="1:27">
      <c r="A16" s="230"/>
      <c r="B16" s="1365"/>
      <c r="C16" s="328" t="s">
        <v>9</v>
      </c>
      <c r="D16" s="321">
        <f>C4</f>
        <v>0.03</v>
      </c>
      <c r="E16" s="322">
        <f>C3</f>
        <v>7.0000000000000007E-2</v>
      </c>
      <c r="F16" s="230"/>
      <c r="G16" s="230"/>
      <c r="H16" s="230"/>
      <c r="I16" s="230"/>
      <c r="J16" s="230"/>
      <c r="K16" s="230"/>
      <c r="L16" s="225"/>
      <c r="M16" s="225"/>
      <c r="N16" s="226"/>
      <c r="O16" s="226"/>
      <c r="P16" s="225"/>
    </row>
    <row r="17" spans="1:17">
      <c r="A17" s="230"/>
      <c r="B17" s="280" t="s">
        <v>529</v>
      </c>
      <c r="C17" s="281"/>
      <c r="D17" s="323"/>
      <c r="E17" s="324"/>
      <c r="F17" s="230"/>
      <c r="G17" s="230"/>
      <c r="H17" s="230"/>
      <c r="I17" s="230"/>
      <c r="J17" s="230"/>
      <c r="K17" s="230"/>
      <c r="L17" s="224"/>
      <c r="M17" s="224"/>
      <c r="N17" s="226"/>
      <c r="O17" s="226"/>
      <c r="P17" s="225"/>
    </row>
    <row r="18" spans="1:17">
      <c r="A18" s="230"/>
      <c r="B18" s="241" t="str">
        <f>'B1.2'!$A$5</f>
        <v>Accident Cost Savings</v>
      </c>
      <c r="C18" s="612">
        <f>C43</f>
        <v>2.3124231964359825</v>
      </c>
      <c r="D18" s="612">
        <f>C77</f>
        <v>1.3407388563969254</v>
      </c>
      <c r="E18" s="613">
        <f>C60</f>
        <v>0.72980724506103756</v>
      </c>
      <c r="F18" s="230"/>
      <c r="G18" s="230"/>
      <c r="H18" s="230"/>
      <c r="I18" s="230"/>
      <c r="J18" s="274"/>
      <c r="K18" s="230"/>
      <c r="L18" s="275"/>
      <c r="M18" s="275"/>
      <c r="N18" s="227"/>
      <c r="O18" s="228"/>
      <c r="P18" s="228"/>
    </row>
    <row r="19" spans="1:17" ht="14.25" customHeight="1">
      <c r="A19" s="230"/>
      <c r="B19" s="241" t="str">
        <f>'B1.2'!$A$45</f>
        <v xml:space="preserve">Travel Time Savings </v>
      </c>
      <c r="C19" s="612">
        <f t="shared" ref="C19:C24" si="0">C44</f>
        <v>21.212498166079307</v>
      </c>
      <c r="D19" s="612">
        <f t="shared" ref="D19:D23" si="1">C78</f>
        <v>11.628088832465705</v>
      </c>
      <c r="E19" s="613">
        <f t="shared" ref="E19:E23" si="2">C61</f>
        <v>5.8947933747501846</v>
      </c>
      <c r="F19" s="230"/>
      <c r="G19" s="230"/>
      <c r="H19" s="230"/>
      <c r="I19" s="230"/>
      <c r="J19" s="284"/>
      <c r="K19" s="230"/>
      <c r="L19" s="275"/>
      <c r="M19" s="275"/>
      <c r="N19" s="227"/>
      <c r="O19" s="228"/>
      <c r="P19" s="228"/>
    </row>
    <row r="20" spans="1:17">
      <c r="A20" s="230"/>
      <c r="B20" s="241" t="str">
        <f>'B1.2'!$A$87</f>
        <v>Emissions Cost Savings</v>
      </c>
      <c r="C20" s="612">
        <f t="shared" si="0"/>
        <v>0.17296661782575978</v>
      </c>
      <c r="D20" s="612">
        <f t="shared" si="1"/>
        <v>0.10007090999617435</v>
      </c>
      <c r="E20" s="613">
        <f t="shared" si="2"/>
        <v>5.4756430371836869E-2</v>
      </c>
      <c r="F20" s="230"/>
      <c r="G20" s="230"/>
      <c r="H20" s="230"/>
      <c r="I20" s="1369"/>
      <c r="J20" s="1369"/>
      <c r="K20" s="230"/>
      <c r="L20" s="227"/>
      <c r="M20" s="227"/>
      <c r="N20" s="227"/>
      <c r="O20" s="228"/>
      <c r="P20" s="228"/>
    </row>
    <row r="21" spans="1:17">
      <c r="A21" s="230"/>
      <c r="B21" s="241" t="str">
        <f>'B1.2'!$A$147</f>
        <v xml:space="preserve">Vehicle Operating Cost Savings </v>
      </c>
      <c r="C21" s="612">
        <f t="shared" si="0"/>
        <v>2.5016272379844451</v>
      </c>
      <c r="D21" s="612">
        <f t="shared" si="1"/>
        <v>1.3391636214695246</v>
      </c>
      <c r="E21" s="613">
        <f t="shared" si="2"/>
        <v>0.65718290077804808</v>
      </c>
      <c r="F21" s="220"/>
      <c r="H21" s="274"/>
      <c r="I21" s="596"/>
      <c r="J21" s="596"/>
      <c r="K21" s="230"/>
      <c r="L21" s="275"/>
      <c r="M21" s="227"/>
      <c r="N21" s="227"/>
      <c r="O21" s="228"/>
      <c r="P21" s="228"/>
    </row>
    <row r="22" spans="1:17">
      <c r="A22" s="230"/>
      <c r="B22" s="241" t="str">
        <f>'Calc1.1 - Land Value'!A1</f>
        <v>Land Value Increase</v>
      </c>
      <c r="C22" s="612">
        <f t="shared" si="0"/>
        <v>12.248163847270133</v>
      </c>
      <c r="D22" s="612">
        <f t="shared" si="1"/>
        <v>10.882334939048707</v>
      </c>
      <c r="E22" s="613">
        <f t="shared" si="2"/>
        <v>9.3440655554559804</v>
      </c>
      <c r="F22" s="220"/>
      <c r="H22" s="274"/>
      <c r="I22" s="1369"/>
      <c r="J22" s="1369"/>
      <c r="K22" s="230"/>
      <c r="L22" s="275"/>
      <c r="M22" s="227"/>
      <c r="N22" s="227"/>
      <c r="O22" s="228"/>
      <c r="P22" s="228"/>
    </row>
    <row r="23" spans="1:17">
      <c r="A23" s="230"/>
      <c r="B23" s="241" t="str">
        <f>'Calc1.3 - O&amp;M Savings'!A1</f>
        <v>O&amp;M Costs Savings</v>
      </c>
      <c r="C23" s="612">
        <f t="shared" si="0"/>
        <v>0.73423544349718817</v>
      </c>
      <c r="D23" s="612">
        <f t="shared" si="1"/>
        <v>0.43900378737380813</v>
      </c>
      <c r="E23" s="613">
        <f t="shared" si="2"/>
        <v>0.24791396048264702</v>
      </c>
      <c r="F23" s="220"/>
      <c r="H23" s="274"/>
      <c r="I23" s="596"/>
      <c r="J23" s="596"/>
      <c r="K23" s="230"/>
      <c r="L23" s="275"/>
      <c r="M23" s="227"/>
      <c r="N23" s="227"/>
      <c r="O23" s="228"/>
      <c r="P23" s="228"/>
    </row>
    <row r="24" spans="1:17">
      <c r="A24" s="230"/>
      <c r="B24" s="241" t="str">
        <f>'Calc1.2 - Residual Value'!$A$1</f>
        <v>Residual Value</v>
      </c>
      <c r="C24" s="612">
        <f t="shared" si="0"/>
        <v>3.6201601115634374</v>
      </c>
      <c r="D24" s="612">
        <f t="shared" ref="D24" si="3">C83</f>
        <v>1.3648953794422254</v>
      </c>
      <c r="E24" s="613">
        <f t="shared" ref="E24" si="4">C66</f>
        <v>0.38820677926744362</v>
      </c>
      <c r="F24" s="220"/>
      <c r="H24" s="274"/>
      <c r="I24" s="714"/>
      <c r="J24" s="714"/>
      <c r="K24" s="230"/>
      <c r="L24" s="275"/>
      <c r="M24" s="227"/>
      <c r="N24" s="227"/>
      <c r="O24" s="228"/>
      <c r="P24" s="228"/>
    </row>
    <row r="25" spans="1:17">
      <c r="A25" s="230"/>
      <c r="B25" s="273" t="s">
        <v>542</v>
      </c>
      <c r="C25" s="614">
        <f>SUM(C18:C24)</f>
        <v>42.802074620656256</v>
      </c>
      <c r="D25" s="615">
        <f t="shared" ref="D25" si="5">SUM(D18:D24)</f>
        <v>27.094296326193067</v>
      </c>
      <c r="E25" s="616">
        <f>SUM(E18:E24)</f>
        <v>17.316726246167178</v>
      </c>
      <c r="F25" s="220"/>
      <c r="H25" s="274"/>
      <c r="I25" s="230"/>
      <c r="J25" s="230"/>
      <c r="K25" s="230"/>
      <c r="L25" s="275"/>
      <c r="M25" s="227"/>
      <c r="N25" s="227"/>
      <c r="O25" s="228"/>
      <c r="P25" s="228"/>
    </row>
    <row r="26" spans="1:17">
      <c r="A26" s="230"/>
      <c r="B26" s="282" t="s">
        <v>530</v>
      </c>
      <c r="C26" s="283"/>
      <c r="D26" s="325"/>
      <c r="E26" s="326"/>
      <c r="F26" s="220"/>
      <c r="H26" s="2"/>
      <c r="I26" s="2"/>
      <c r="J26" s="2"/>
      <c r="K26" s="2"/>
      <c r="L26" s="2"/>
      <c r="M26" s="150"/>
      <c r="N26" s="150"/>
      <c r="O26" s="150"/>
      <c r="P26" s="150"/>
    </row>
    <row r="27" spans="1:17">
      <c r="A27" s="230"/>
      <c r="B27" s="239" t="s">
        <v>294</v>
      </c>
      <c r="C27" s="617">
        <f>C50</f>
        <v>14.803503764985116</v>
      </c>
      <c r="D27" s="617">
        <f>C84</f>
        <v>13.756716175529617</v>
      </c>
      <c r="E27" s="618">
        <f>(C67)</f>
        <v>12.527545168895445</v>
      </c>
      <c r="F27" s="220"/>
      <c r="H27" s="2"/>
      <c r="I27" s="2"/>
      <c r="J27" s="2"/>
      <c r="K27" s="2"/>
      <c r="L27" s="2"/>
      <c r="M27" s="150"/>
      <c r="N27" s="150"/>
      <c r="O27" s="150"/>
      <c r="P27" s="150"/>
    </row>
    <row r="28" spans="1:17">
      <c r="A28" s="230"/>
      <c r="B28" s="272" t="s">
        <v>528</v>
      </c>
      <c r="C28" s="619">
        <f>SUMIF(C27:C27,"&lt;&gt;#N/A")</f>
        <v>14.803503764985116</v>
      </c>
      <c r="D28" s="619">
        <f>SUMIF(D27:D27,"&lt;&gt;#N/A")</f>
        <v>13.756716175529617</v>
      </c>
      <c r="E28" s="620">
        <f>SUMIF(E27:E27,"&lt;&gt;#N/A")</f>
        <v>12.527545168895445</v>
      </c>
      <c r="F28" s="220"/>
      <c r="H28" s="150"/>
      <c r="I28" s="150"/>
      <c r="J28" s="150"/>
      <c r="K28" s="150"/>
      <c r="L28" s="150"/>
      <c r="M28" s="150"/>
      <c r="N28" s="150"/>
      <c r="O28" s="150"/>
      <c r="P28" s="150"/>
    </row>
    <row r="29" spans="1:17">
      <c r="A29" s="230"/>
      <c r="B29" s="222" t="s">
        <v>538</v>
      </c>
      <c r="C29" s="621">
        <f>C25-C28</f>
        <v>27.99857085567114</v>
      </c>
      <c r="D29" s="621">
        <f>D25-D28</f>
        <v>13.337580150663451</v>
      </c>
      <c r="E29" s="622">
        <f>E25-E28</f>
        <v>4.7891810772717331</v>
      </c>
      <c r="F29" s="220"/>
      <c r="H29" s="150"/>
      <c r="I29" s="150"/>
      <c r="J29" s="150"/>
      <c r="K29" s="150"/>
      <c r="L29" s="150"/>
      <c r="M29" s="150"/>
      <c r="N29" s="150"/>
      <c r="O29" s="150"/>
      <c r="P29" s="150"/>
    </row>
    <row r="30" spans="1:17">
      <c r="A30" s="230"/>
      <c r="B30" s="230"/>
      <c r="C30" s="240"/>
      <c r="D30" s="268"/>
      <c r="E30" s="268"/>
      <c r="F30" s="240"/>
      <c r="I30" s="150"/>
      <c r="J30" s="150"/>
      <c r="K30" s="150"/>
      <c r="L30" s="150"/>
      <c r="M30" s="150"/>
      <c r="N30" s="150"/>
      <c r="O30" s="150"/>
      <c r="P30" s="150"/>
      <c r="Q30" s="150"/>
    </row>
    <row r="31" spans="1:17">
      <c r="A31" s="255" t="s">
        <v>1283</v>
      </c>
      <c r="C31" s="240"/>
      <c r="D31" s="268"/>
      <c r="E31" s="327"/>
      <c r="F31" s="251"/>
      <c r="I31" s="150"/>
      <c r="J31" s="150"/>
      <c r="K31" s="150"/>
      <c r="L31" s="150"/>
      <c r="M31" s="150"/>
      <c r="N31" s="150"/>
      <c r="O31" s="150"/>
      <c r="P31" s="150"/>
      <c r="Q31" s="150"/>
    </row>
    <row r="32" spans="1:17">
      <c r="A32" s="230"/>
      <c r="B32" s="308" t="s">
        <v>467</v>
      </c>
      <c r="C32" s="318" t="s">
        <v>9</v>
      </c>
      <c r="D32" s="319">
        <f>D16</f>
        <v>0.03</v>
      </c>
      <c r="E32" s="320">
        <f>E16</f>
        <v>7.0000000000000007E-2</v>
      </c>
      <c r="F32" s="220"/>
      <c r="I32" s="150"/>
      <c r="J32" s="150"/>
      <c r="K32" s="150"/>
      <c r="L32" s="150"/>
      <c r="M32" s="150"/>
      <c r="N32" s="150"/>
      <c r="O32" s="150"/>
      <c r="P32" s="150"/>
      <c r="Q32" s="150"/>
    </row>
    <row r="33" spans="1:37">
      <c r="A33" s="230"/>
      <c r="B33" s="309" t="s">
        <v>11</v>
      </c>
      <c r="C33" s="624">
        <f>C25</f>
        <v>42.802074620656256</v>
      </c>
      <c r="D33" s="624">
        <f>D25</f>
        <v>27.094296326193067</v>
      </c>
      <c r="E33" s="625">
        <f>E25</f>
        <v>17.316726246167178</v>
      </c>
      <c r="F33" s="220"/>
      <c r="I33" s="150"/>
      <c r="J33" s="150"/>
      <c r="K33" s="150"/>
      <c r="L33" s="150"/>
      <c r="M33" s="150"/>
      <c r="N33" s="150"/>
      <c r="O33" s="150"/>
      <c r="P33" s="150"/>
      <c r="Q33" s="150"/>
    </row>
    <row r="34" spans="1:37">
      <c r="A34" s="230"/>
      <c r="B34" s="309" t="s">
        <v>10</v>
      </c>
      <c r="C34" s="624">
        <f t="shared" ref="C34:E35" si="6">C28</f>
        <v>14.803503764985116</v>
      </c>
      <c r="D34" s="624">
        <f t="shared" si="6"/>
        <v>13.756716175529617</v>
      </c>
      <c r="E34" s="625">
        <f>(E28)</f>
        <v>12.527545168895445</v>
      </c>
      <c r="F34" s="220"/>
    </row>
    <row r="35" spans="1:37">
      <c r="A35" s="230"/>
      <c r="B35" s="309" t="s">
        <v>538</v>
      </c>
      <c r="C35" s="624">
        <f t="shared" si="6"/>
        <v>27.99857085567114</v>
      </c>
      <c r="D35" s="624">
        <f t="shared" si="6"/>
        <v>13.337580150663451</v>
      </c>
      <c r="E35" s="625">
        <f t="shared" si="6"/>
        <v>4.7891810772717331</v>
      </c>
      <c r="F35" s="220"/>
    </row>
    <row r="36" spans="1:37">
      <c r="A36" s="230"/>
      <c r="B36" s="309" t="s">
        <v>539</v>
      </c>
      <c r="C36" s="287">
        <f>C35/C34</f>
        <v>1.8913475688030326</v>
      </c>
      <c r="D36" s="287">
        <f>D35/D34</f>
        <v>0.96953226194985953</v>
      </c>
      <c r="E36" s="288">
        <f>E35/E34</f>
        <v>0.38229206222802192</v>
      </c>
      <c r="F36" s="220"/>
      <c r="H36" s="230"/>
      <c r="I36" s="230"/>
      <c r="J36" s="230"/>
      <c r="K36" s="230"/>
    </row>
    <row r="37" spans="1:37">
      <c r="A37" s="230"/>
      <c r="B37" s="309" t="s">
        <v>540</v>
      </c>
      <c r="C37" s="289">
        <f>C33/C34</f>
        <v>2.8913475688030328</v>
      </c>
      <c r="D37" s="289">
        <f>D33/D34</f>
        <v>1.9695322619498596</v>
      </c>
      <c r="E37" s="314">
        <f>E33/E34</f>
        <v>1.3822920622280219</v>
      </c>
      <c r="F37" s="220"/>
      <c r="H37" s="230"/>
      <c r="I37" s="230"/>
      <c r="J37" s="230"/>
      <c r="K37" s="230"/>
    </row>
    <row r="38" spans="1:37">
      <c r="A38" s="230"/>
      <c r="B38" s="310" t="s">
        <v>543</v>
      </c>
      <c r="C38" s="315">
        <f>IFERROR(COUNTIFS($D$42:$AK$42,"&gt;="&amp;$C$9,$D$54:$AK$54,"&lt;0")+(-HLOOKUP(0,$D$54:$AK$54,1)/INDEX($D$53:$AK$53,1,MATCH(HLOOKUP(0,$D$54:$AK$54,1),$D$54:$AK$54)+1)), "&gt;"&amp;C8&amp;" yrs")</f>
        <v>4.743189897900292</v>
      </c>
      <c r="D38" s="316">
        <f>IFERROR(COUNTIFS($D$76:$AK$76,"&gt;="&amp;$C$9,$D$88:$AK$88,"&lt;0")+(-HLOOKUP(0,$D$88:$AK$88,1)/INDEX($D$87:$AK$87,1,MATCH(HLOOKUP(0,$D$88:$AK$88,1),$D$88:$AK$88)+1)), "&gt;"&amp;C8&amp;" yrs")</f>
        <v>6.3268942504616401</v>
      </c>
      <c r="E38" s="317">
        <f>IFERROR(COUNTIFS($D$59:$AK$59,"&gt;="&amp;$C$9,$D$71:$AK$71,"&lt;0")+(-HLOOKUP(0,$D$71:$AK$71,1)/INDEX($D$70:$AK$70,1,MATCH(HLOOKUP(0,$D$71:$AK$71,1),$D$71:$AK$71)+1)), "&gt;"&amp;C8&amp;" yrs")</f>
        <v>9.4637283402346561</v>
      </c>
      <c r="F38" s="220"/>
      <c r="H38" s="230"/>
      <c r="I38" s="230"/>
      <c r="J38" s="230"/>
      <c r="K38" s="230"/>
    </row>
    <row r="39" spans="1:37">
      <c r="A39" s="230"/>
      <c r="B39" s="311" t="s">
        <v>541</v>
      </c>
      <c r="C39" s="307">
        <f>IRR($D$53:$AK$53)</f>
        <v>0.13135330150789959</v>
      </c>
      <c r="E39" s="252"/>
      <c r="F39" s="220"/>
      <c r="H39" s="230"/>
      <c r="I39" s="230"/>
      <c r="J39" s="230"/>
    </row>
    <row r="40" spans="1:37">
      <c r="A40" s="230"/>
      <c r="B40" s="230"/>
      <c r="C40" s="240"/>
      <c r="D40" s="240"/>
      <c r="E40" s="269"/>
      <c r="F40" s="253"/>
    </row>
    <row r="41" spans="1:37">
      <c r="A41" s="255" t="s">
        <v>1284</v>
      </c>
      <c r="D41" s="252"/>
      <c r="F41" s="254"/>
      <c r="H41" s="229"/>
    </row>
    <row r="42" spans="1:37">
      <c r="A42" s="230"/>
      <c r="B42" s="173" t="s">
        <v>12</v>
      </c>
      <c r="C42" s="333" t="s">
        <v>533</v>
      </c>
      <c r="D42" s="499">
        <f>VRCBY</f>
        <v>2021</v>
      </c>
      <c r="E42" s="499">
        <f t="shared" ref="E42:AD42" si="7">D42+1</f>
        <v>2022</v>
      </c>
      <c r="F42" s="499">
        <f t="shared" si="7"/>
        <v>2023</v>
      </c>
      <c r="G42" s="499">
        <f t="shared" si="7"/>
        <v>2024</v>
      </c>
      <c r="H42" s="499">
        <f t="shared" si="7"/>
        <v>2025</v>
      </c>
      <c r="I42" s="499">
        <f t="shared" si="7"/>
        <v>2026</v>
      </c>
      <c r="J42" s="499">
        <f t="shared" si="7"/>
        <v>2027</v>
      </c>
      <c r="K42" s="499">
        <f t="shared" si="7"/>
        <v>2028</v>
      </c>
      <c r="L42" s="499">
        <f t="shared" si="7"/>
        <v>2029</v>
      </c>
      <c r="M42" s="499">
        <f t="shared" si="7"/>
        <v>2030</v>
      </c>
      <c r="N42" s="499">
        <f t="shared" si="7"/>
        <v>2031</v>
      </c>
      <c r="O42" s="499">
        <f t="shared" si="7"/>
        <v>2032</v>
      </c>
      <c r="P42" s="499">
        <f t="shared" si="7"/>
        <v>2033</v>
      </c>
      <c r="Q42" s="499">
        <f t="shared" si="7"/>
        <v>2034</v>
      </c>
      <c r="R42" s="499">
        <f t="shared" si="7"/>
        <v>2035</v>
      </c>
      <c r="S42" s="499">
        <f t="shared" si="7"/>
        <v>2036</v>
      </c>
      <c r="T42" s="499">
        <f t="shared" si="7"/>
        <v>2037</v>
      </c>
      <c r="U42" s="499">
        <f t="shared" si="7"/>
        <v>2038</v>
      </c>
      <c r="V42" s="499">
        <f t="shared" si="7"/>
        <v>2039</v>
      </c>
      <c r="W42" s="499">
        <f t="shared" si="7"/>
        <v>2040</v>
      </c>
      <c r="X42" s="499">
        <f t="shared" si="7"/>
        <v>2041</v>
      </c>
      <c r="Y42" s="499">
        <f t="shared" si="7"/>
        <v>2042</v>
      </c>
      <c r="Z42" s="499">
        <f t="shared" si="7"/>
        <v>2043</v>
      </c>
      <c r="AA42" s="499">
        <f t="shared" si="7"/>
        <v>2044</v>
      </c>
      <c r="AB42" s="499">
        <f t="shared" si="7"/>
        <v>2045</v>
      </c>
      <c r="AC42" s="499">
        <f t="shared" si="7"/>
        <v>2046</v>
      </c>
      <c r="AD42" s="499">
        <f t="shared" si="7"/>
        <v>2047</v>
      </c>
      <c r="AE42" s="499">
        <f t="shared" ref="AE42" si="8">AD42+1</f>
        <v>2048</v>
      </c>
      <c r="AF42" s="499">
        <f t="shared" ref="AF42" si="9">AE42+1</f>
        <v>2049</v>
      </c>
      <c r="AG42" s="499">
        <f t="shared" ref="AG42" si="10">AF42+1</f>
        <v>2050</v>
      </c>
      <c r="AH42" s="499">
        <f t="shared" ref="AH42" si="11">AG42+1</f>
        <v>2051</v>
      </c>
      <c r="AI42" s="499">
        <f t="shared" ref="AI42:AK42" si="12">AH42+1</f>
        <v>2052</v>
      </c>
      <c r="AJ42" s="1257">
        <f t="shared" si="12"/>
        <v>2053</v>
      </c>
      <c r="AK42" s="1258">
        <f t="shared" si="12"/>
        <v>2054</v>
      </c>
    </row>
    <row r="43" spans="1:37" s="230" customFormat="1">
      <c r="B43" s="241" t="str">
        <f t="shared" ref="B43:B49" si="13">B18</f>
        <v>Accident Cost Savings</v>
      </c>
      <c r="C43" s="626">
        <f t="shared" ref="C43:C53" si="14">SUMIF(D43:AK43,"&lt;&gt;#N/A")/10^6</f>
        <v>2.3124231964359825</v>
      </c>
      <c r="D43" s="278">
        <f>'B1.1'!D43+'B1.2'!D43+'B1.3'!D43+'B1.4'!D43+'B1.5'!D43+'B1.6'!D43+'B1.7'!D43+'B1.8'!D43+'B1.9'!D43+'B1.10'!D43+'B1.11'!D43+'B1.12'!D43</f>
        <v>0</v>
      </c>
      <c r="E43" s="278">
        <f>'B1.1'!E43+'B1.2'!E43+'B1.3'!E43+'B1.4'!E43+'B1.5'!E43+'B1.6'!E43+'B1.7'!E43+'B1.8'!E43+'B1.9'!E43+'B1.10'!E43+'B1.11'!E43+'B1.12'!E43</f>
        <v>0</v>
      </c>
      <c r="F43" s="278">
        <f>'B1.1'!F43+'B1.2'!F43+'B1.3'!F43+'B1.4'!F43+'B1.5'!F43+'B1.6'!F43+'B1.7'!F43+'B1.8'!F43+'B1.9'!F43+'B1.10'!F43+'B1.11'!F43+'B1.12'!F43</f>
        <v>0</v>
      </c>
      <c r="G43" s="278">
        <f>'B1.1'!G43+'B1.2'!G43+'B1.3'!G43+'B1.4'!G43+'B1.5'!G43+'B1.6'!G43+'B1.7'!G43+'B1.8'!G43+'B1.9'!G43+'B1.10'!G43+'B1.11'!G43+'B1.12'!G43</f>
        <v>0</v>
      </c>
      <c r="H43" s="278">
        <f>'B1.1'!H43+'B1.2'!H43+'B1.3'!H43+'B1.4'!H43+'B1.5'!H43+'B1.6'!H43+'B1.7'!H43+'B1.8'!H43+'B1.9'!H43+'B1.10'!H43+'B1.11'!H43+'B1.12'!H43</f>
        <v>62562.159129894724</v>
      </c>
      <c r="I43" s="278">
        <f>'B1.1'!I43+'B1.2'!I43+'B1.3'!I43+'B1.4'!I43+'B1.5'!I43+'B1.6'!I43+'B1.7'!I43+'B1.8'!I43+'B1.9'!I43+'B1.10'!I43+'B1.11'!I43+'B1.12'!I43</f>
        <v>63415.833852628079</v>
      </c>
      <c r="J43" s="278">
        <f>'B1.1'!J43+'B1.2'!J43+'B1.3'!J43+'B1.4'!J43+'B1.5'!J43+'B1.6'!J43+'B1.7'!J43+'B1.8'!J43+'B1.9'!J43+'B1.10'!J43+'B1.11'!J43+'B1.12'!J43</f>
        <v>64287.277267143632</v>
      </c>
      <c r="K43" s="278">
        <f>'B1.1'!K43+'B1.2'!K43+'B1.3'!K43+'B1.4'!K43+'B1.5'!K43+'B1.6'!K43+'B1.7'!K43+'B1.8'!K43+'B1.9'!K43+'B1.10'!K43+'B1.11'!K43+'B1.12'!K43</f>
        <v>65175.224284618991</v>
      </c>
      <c r="L43" s="278">
        <f>'B1.1'!L43+'B1.2'!L43+'B1.3'!L43+'B1.4'!L43+'B1.5'!L43+'B1.6'!L43+'B1.7'!L43+'B1.8'!L43+'B1.9'!L43+'B1.10'!L43+'B1.11'!L43+'B1.12'!L43</f>
        <v>66078.946726568567</v>
      </c>
      <c r="M43" s="278">
        <f>'B1.1'!M43+'B1.2'!M43+'B1.3'!M43+'B1.4'!M43+'B1.5'!M43+'B1.6'!M43+'B1.7'!M43+'B1.8'!M43+'B1.9'!M43+'B1.10'!M43+'B1.11'!M43+'B1.12'!M43</f>
        <v>66998.02147089396</v>
      </c>
      <c r="N43" s="278">
        <f>'B1.1'!N43+'B1.2'!N43+'B1.3'!N43+'B1.4'!N43+'B1.5'!N43+'B1.6'!N43+'B1.7'!N43+'B1.8'!N43+'B1.9'!N43+'B1.10'!N43+'B1.11'!N43+'B1.12'!N43</f>
        <v>67932.211730192794</v>
      </c>
      <c r="O43" s="278">
        <f>'B1.1'!O43+'B1.2'!O43+'B1.3'!O43+'B1.4'!O43+'B1.5'!O43+'B1.6'!O43+'B1.7'!O43+'B1.8'!O43+'B1.9'!O43+'B1.10'!O43+'B1.11'!O43+'B1.12'!O43</f>
        <v>68881.401226187008</v>
      </c>
      <c r="P43" s="278">
        <f>'B1.1'!P43+'B1.2'!P43+'B1.3'!P43+'B1.4'!P43+'B1.5'!P43+'B1.6'!P43+'B1.7'!P43+'B1.8'!P43+'B1.9'!P43+'B1.10'!P43+'B1.11'!P43+'B1.12'!P43</f>
        <v>69845.555357655103</v>
      </c>
      <c r="Q43" s="278">
        <f>'B1.1'!Q43+'B1.2'!Q43+'B1.3'!Q43+'B1.4'!Q43+'B1.5'!Q43+'B1.6'!Q43+'B1.7'!Q43+'B1.8'!Q43+'B1.9'!Q43+'B1.10'!Q43+'B1.11'!Q43+'B1.12'!Q43</f>
        <v>70824.697123838559</v>
      </c>
      <c r="R43" s="278">
        <f>'B1.1'!R43+'B1.2'!R43+'B1.3'!R43+'B1.4'!R43+'B1.5'!R43+'B1.6'!R43+'B1.7'!R43+'B1.8'!R43+'B1.9'!R43+'B1.10'!R43+'B1.11'!R43+'B1.12'!R43</f>
        <v>71818.891574791807</v>
      </c>
      <c r="S43" s="278">
        <f>'B1.1'!S43+'B1.2'!S43+'B1.3'!S43+'B1.4'!S43+'B1.5'!S43+'B1.6'!S43+'B1.7'!S43+'B1.8'!S43+'B1.9'!S43+'B1.10'!S43+'B1.11'!S43+'B1.12'!S43</f>
        <v>72828.235421132675</v>
      </c>
      <c r="T43" s="278">
        <f>'B1.1'!T43+'B1.2'!T43+'B1.3'!T43+'B1.4'!T43+'B1.5'!T43+'B1.6'!T43+'B1.7'!T43+'B1.8'!T43+'B1.9'!T43+'B1.10'!T43+'B1.11'!T43+'B1.12'!T43</f>
        <v>73852.849888778408</v>
      </c>
      <c r="U43" s="278">
        <f>'B1.1'!U43+'B1.2'!U43+'B1.3'!U43+'B1.4'!U43+'B1.5'!U43+'B1.6'!U43+'B1.7'!U43+'B1.8'!U43+'B1.9'!U43+'B1.10'!U43+'B1.11'!U43+'B1.12'!U43</f>
        <v>74892.875683198567</v>
      </c>
      <c r="V43" s="278">
        <f>'B1.1'!V43+'B1.2'!V43+'B1.3'!V43+'B1.4'!V43+'B1.5'!V43+'B1.6'!V43+'B1.7'!V43+'B1.8'!V43+'B1.9'!V43+'B1.10'!V43+'B1.11'!V43+'B1.12'!V43</f>
        <v>75948.469364817458</v>
      </c>
      <c r="W43" s="278">
        <f>'B1.1'!W43+'B1.2'!W43+'B1.3'!W43+'B1.4'!W43+'B1.5'!W43+'B1.6'!W43+'B1.7'!W43+'B1.8'!W43+'B1.9'!W43+'B1.10'!W43+'B1.11'!W43+'B1.12'!W43</f>
        <v>77019.80069228611</v>
      </c>
      <c r="X43" s="278">
        <f>'B1.1'!X43+'B1.2'!X43+'B1.3'!X43+'B1.4'!X43+'B1.5'!X43+'B1.6'!X43+'B1.7'!X43+'B1.8'!X43+'B1.9'!X43+'B1.10'!X43+'B1.11'!X43+'B1.12'!X43</f>
        <v>78107.050644399016</v>
      </c>
      <c r="Y43" s="278">
        <f>'B1.1'!Y43+'B1.2'!Y43+'B1.3'!Y43+'B1.4'!Y43+'B1.5'!Y43+'B1.6'!Y43+'B1.7'!Y43+'B1.8'!Y43+'B1.9'!Y43+'B1.10'!Y43+'B1.11'!Y43+'B1.12'!Y43</f>
        <v>79210.409927287837</v>
      </c>
      <c r="Z43" s="278">
        <f>'B1.1'!Z43+'B1.2'!Z43+'B1.3'!Z43+'B1.4'!Z43+'B1.5'!Z43+'B1.6'!Z43+'B1.7'!Z43+'B1.8'!Z43+'B1.9'!Z43+'B1.10'!Z43+'B1.11'!Z43+'B1.12'!Z43</f>
        <v>80330.077834780619</v>
      </c>
      <c r="AA43" s="278">
        <f>'B1.1'!AA43+'B1.2'!AA43+'B1.3'!AA43+'B1.4'!AA43+'B1.5'!AA43+'B1.6'!AA43+'B1.7'!AA43+'B1.8'!AA43+'B1.9'!AA43+'B1.10'!AA43+'B1.11'!AA43+'B1.12'!AA43</f>
        <v>81466.261369896471</v>
      </c>
      <c r="AB43" s="278">
        <f>'B1.1'!AB43+'B1.2'!AB43+'B1.3'!AB43+'B1.4'!AB43+'B1.5'!AB43+'B1.6'!AB43+'B1.7'!AB43+'B1.8'!AB43+'B1.9'!AB43+'B1.10'!AB43+'B1.11'!AB43+'B1.12'!AB43</f>
        <v>82619.17456223254</v>
      </c>
      <c r="AC43" s="278">
        <f>'B1.1'!AC43+'B1.2'!AC43+'B1.3'!AC43+'B1.4'!AC43+'B1.5'!AC43+'B1.6'!AC43+'B1.7'!AC43+'B1.8'!AC43+'B1.9'!AC43+'B1.10'!AC43+'B1.11'!AC43+'B1.12'!AC43</f>
        <v>83789.037934254098</v>
      </c>
      <c r="AD43" s="278">
        <f>'B1.1'!AD43+'B1.2'!AD43+'B1.3'!AD43+'B1.4'!AD43+'B1.5'!AD43+'B1.6'!AD43+'B1.7'!AD43+'B1.8'!AD43+'B1.9'!AD43+'B1.10'!AD43+'B1.11'!AD43+'B1.12'!AD43</f>
        <v>84976.078082151726</v>
      </c>
      <c r="AE43" s="278">
        <f>'B1.1'!AE43+'B1.2'!AE43+'B1.3'!AE43+'B1.4'!AE43+'B1.5'!AE43+'B1.6'!AE43+'B1.7'!AE43+'B1.8'!AE43+'B1.9'!AE43+'B1.10'!AE43+'B1.11'!AE43+'B1.12'!AE43</f>
        <v>86180.527345841765</v>
      </c>
      <c r="AF43" s="278">
        <f>'B1.1'!AF43+'B1.2'!AF43+'B1.3'!AF43+'B1.4'!AF43+'B1.5'!AF43+'B1.6'!AF43+'B1.7'!AF43+'B1.8'!AF43+'B1.9'!AF43+'B1.10'!AF43+'B1.11'!AF43+'B1.12'!AF43</f>
        <v>87402.623549058146</v>
      </c>
      <c r="AG43" s="278">
        <f>'B1.1'!AG43+'B1.2'!AG43+'B1.3'!AG43+'B1.4'!AG43+'B1.5'!AG43+'B1.6'!AG43+'B1.7'!AG43+'B1.8'!AG43+'B1.9'!AG43+'B1.10'!AG43+'B1.11'!AG43+'B1.12'!AG43</f>
        <v>88642.609795096971</v>
      </c>
      <c r="AH43" s="278">
        <f>'B1.1'!AH43+'B1.2'!AH43+'B1.3'!AH43+'B1.4'!AH43+'B1.5'!AH43+'B1.6'!AH43+'B1.7'!AH43+'B1.8'!AH43+'B1.9'!AH43+'B1.10'!AH43+'B1.11'!AH43+'B1.12'!AH43</f>
        <v>89900.734307160354</v>
      </c>
      <c r="AI43" s="278">
        <f>'B1.1'!AI43+'B1.2'!AI43+'B1.3'!AI43+'B1.4'!AI43+'B1.5'!AI43+'B1.6'!AI43+'B1.7'!AI43+'B1.8'!AI43+'B1.9'!AI43+'B1.10'!AI43+'B1.11'!AI43+'B1.12'!AI43</f>
        <v>91177.25030475462</v>
      </c>
      <c r="AJ43" s="278">
        <f>'B1.1'!AJ43+'B1.2'!AJ43+'B1.3'!AJ43+'B1.4'!AJ43+'B1.5'!AJ43+'B1.6'!AJ43+'B1.7'!AJ43+'B1.8'!AJ43+'B1.9'!AJ43+'B1.10'!AJ43+'B1.11'!AJ43+'B1.12'!AJ43</f>
        <v>92472.415909478164</v>
      </c>
      <c r="AK43" s="278">
        <f>'B1.1'!AK43+'B1.2'!AK43+'B1.3'!AK43+'B1.4'!AK43+'B1.5'!AK43+'B1.6'!AK43+'B1.7'!AK43+'B1.8'!AK43+'B1.9'!AK43+'B1.10'!AK43+'B1.11'!AK43+'B1.12'!AK43</f>
        <v>93786.494074963353</v>
      </c>
    </row>
    <row r="44" spans="1:37" s="230" customFormat="1">
      <c r="B44" s="241" t="str">
        <f t="shared" si="13"/>
        <v xml:space="preserve">Travel Time Savings </v>
      </c>
      <c r="C44" s="626">
        <f t="shared" si="14"/>
        <v>21.212498166079307</v>
      </c>
      <c r="D44" s="278">
        <f>'B1.1'!D85+'B1.2'!D85+'B1.3'!D85+'B1.4'!D85+'B1.5'!D85+'B1.6'!D85</f>
        <v>0</v>
      </c>
      <c r="E44" s="278">
        <f>'B1.1'!E85+'B1.2'!E85+'B1.3'!E85+'B1.4'!E85+'B1.5'!E85+'B1.6'!E85+'B1.7'!E85+'B1.8'!E85+'B1.9'!E85+'B1.10'!E85+'B1.11'!E85+'B1.12'!E85</f>
        <v>0</v>
      </c>
      <c r="F44" s="278">
        <f>'B1.1'!F85+'B1.2'!F85+'B1.3'!F85+'B1.4'!F85+'B1.5'!F85+'B1.6'!F85+'B1.7'!F85+'B1.8'!F85+'B1.9'!F85+'B1.10'!F85+'B1.11'!F85+'B1.12'!F85</f>
        <v>0</v>
      </c>
      <c r="G44" s="278">
        <f>'B1.1'!G85+'B1.2'!G85+'B1.3'!G85+'B1.4'!G85+'B1.5'!G85+'B1.6'!G85+'B1.7'!G85+'B1.8'!G85+'B1.9'!G85+'B1.10'!G85+'B1.11'!G85+'B1.12'!G85</f>
        <v>0</v>
      </c>
      <c r="H44" s="278">
        <f>'B1.1'!H85+'B1.2'!H85+'B1.3'!H85+'B1.4'!H85+'B1.5'!H85+'B1.6'!H85+'B1.7'!H85+'B1.8'!H85+'B1.9'!H85+'B1.10'!H85+'B1.11'!H85+'B1.12'!H85</f>
        <v>375616.8208396585</v>
      </c>
      <c r="I44" s="278">
        <f>'B1.1'!I85+'B1.2'!I85+'B1.3'!I85+'B1.4'!I85+'B1.5'!I85+'B1.6'!I85+'B1.7'!I85+'B1.8'!I85+'B1.9'!I85+'B1.10'!I85+'B1.11'!I85+'B1.12'!I85</f>
        <v>390796.75691645296</v>
      </c>
      <c r="J44" s="278">
        <f>'B1.1'!J85+'B1.2'!J85+'B1.3'!J85+'B1.4'!J85+'B1.5'!J85+'B1.6'!J85+'B1.7'!J85+'B1.8'!J85+'B1.9'!J85+'B1.10'!J85+'B1.11'!J85+'B1.12'!J85</f>
        <v>406590.16514494753</v>
      </c>
      <c r="K44" s="278">
        <f>'B1.1'!K85+'B1.2'!K85+'B1.3'!K85+'B1.4'!K85+'B1.5'!K85+'B1.6'!K85+'B1.7'!K85+'B1.8'!K85+'B1.9'!K85+'B1.10'!K85+'B1.11'!K85+'B1.12'!K85</f>
        <v>423021.83799324109</v>
      </c>
      <c r="L44" s="278">
        <f>'B1.1'!L85+'B1.2'!L85+'B1.3'!L85+'B1.4'!L85+'B1.5'!L85+'B1.6'!L85+'B1.7'!L85+'B1.8'!L85+'B1.9'!L85+'B1.10'!L85+'B1.11'!L85+'B1.12'!L85</f>
        <v>440117.56987625611</v>
      </c>
      <c r="M44" s="278">
        <f>'B1.1'!M85+'B1.2'!M85+'B1.3'!M85+'B1.4'!M85+'B1.5'!M85+'B1.6'!M85+'B1.7'!M85+'B1.8'!M85+'B1.9'!M85+'B1.10'!M85+'B1.11'!M85+'B1.12'!M85</f>
        <v>457904.19764777325</v>
      </c>
      <c r="N44" s="278">
        <f>'B1.1'!N85+'B1.2'!N85+'B1.3'!N85+'B1.4'!N85+'B1.5'!N85+'B1.6'!N85+'B1.7'!N85+'B1.8'!N85+'B1.9'!N85+'B1.10'!N85+'B1.11'!N85+'B1.12'!N85</f>
        <v>476409.64272888162</v>
      </c>
      <c r="O44" s="278">
        <f>'B1.1'!O85+'B1.2'!O85+'B1.3'!O85+'B1.4'!O85+'B1.5'!O85+'B1.6'!O85+'B1.7'!O85+'B1.8'!O85+'B1.9'!O85+'B1.10'!O85+'B1.11'!O85+'B1.12'!O85</f>
        <v>495662.95493898506</v>
      </c>
      <c r="P44" s="278">
        <f>'B1.1'!P85+'B1.2'!P85+'B1.3'!P85+'B1.4'!P85+'B1.5'!P85+'B1.6'!P85+'B1.7'!P85+'B1.8'!P85+'B1.9'!P85+'B1.10'!P85+'B1.11'!P85+'B1.12'!P85</f>
        <v>515694.35809816513</v>
      </c>
      <c r="Q44" s="278">
        <f>'B1.1'!Q85+'B1.2'!Q85+'B1.3'!Q85+'B1.4'!Q85+'B1.5'!Q85+'B1.6'!Q85+'B1.7'!Q85+'B1.8'!Q85+'B1.9'!Q85+'B1.10'!Q85+'B1.11'!Q85+'B1.12'!Q85</f>
        <v>536535.29747248348</v>
      </c>
      <c r="R44" s="278">
        <f>'B1.1'!R85+'B1.2'!R85+'B1.3'!R85+'B1.4'!R85+'B1.5'!R85+'B1.6'!R85+'B1.7'!R85+'B1.8'!R85+'B1.9'!R85+'B1.10'!R85+'B1.11'!R85+'B1.12'!R85</f>
        <v>558218.48913671612</v>
      </c>
      <c r="S44" s="278">
        <f>'B1.1'!S85+'B1.2'!S85+'B1.3'!S85+'B1.4'!S85+'B1.5'!S85+'B1.6'!S85+'B1.7'!S85+'B1.8'!S85+'B1.9'!S85+'B1.10'!S85+'B1.11'!S85+'B1.12'!S85</f>
        <v>580777.97133199568</v>
      </c>
      <c r="T44" s="278">
        <f>'B1.1'!T85+'B1.2'!T85+'B1.3'!T85+'B1.4'!T85+'B1.5'!T85+'B1.6'!T85+'B1.7'!T85+'B1.8'!T85+'B1.9'!T85+'B1.10'!T85+'B1.11'!T85+'B1.12'!T85</f>
        <v>604249.15789899253</v>
      </c>
      <c r="U44" s="278">
        <f>'B1.1'!U85+'B1.2'!U85+'B1.3'!U85+'B1.4'!U85+'B1.5'!U85+'B1.6'!U85+'B1.7'!U85+'B1.8'!U85+'B1.9'!U85+'B1.10'!U85+'B1.11'!U85+'B1.12'!U85</f>
        <v>628668.89387050457</v>
      </c>
      <c r="V44" s="278">
        <f>'B1.1'!V85+'B1.2'!V85+'B1.3'!V85+'B1.4'!V85+'B1.5'!V85+'B1.6'!V85+'B1.7'!V85+'B1.8'!V85+'B1.9'!V85+'B1.10'!V85+'B1.11'!V85+'B1.12'!V85</f>
        <v>654075.51331073698</v>
      </c>
      <c r="W44" s="278">
        <f>'B1.1'!W85+'B1.2'!W85+'B1.3'!W85+'B1.4'!W85+'B1.5'!W85+'B1.6'!W85+'B1.7'!W85+'B1.8'!W85+'B1.9'!W85+'B1.10'!W85+'B1.11'!W85+'B1.12'!W85</f>
        <v>680508.89949205448</v>
      </c>
      <c r="X44" s="278">
        <f>'B1.1'!X85+'B1.2'!X85+'B1.3'!X85+'B1.4'!X85+'B1.5'!X85+'B1.6'!X85+'B1.7'!X85+'B1.8'!X85+'B1.9'!X85+'B1.10'!X85+'B1.11'!X85+'B1.12'!X85</f>
        <v>708010.54750368139</v>
      </c>
      <c r="Y44" s="278">
        <f>'B1.1'!Y85+'B1.2'!Y85+'B1.3'!Y85+'B1.4'!Y85+'B1.5'!Y85+'B1.6'!Y85+'B1.7'!Y85+'B1.8'!Y85+'B1.9'!Y85+'B1.10'!Y85+'B1.11'!Y85+'B1.12'!Y85</f>
        <v>736623.6293906332</v>
      </c>
      <c r="Z44" s="278">
        <f>'B1.1'!Z85+'B1.2'!Z85+'B1.3'!Z85+'B1.4'!Z85+'B1.5'!Z85+'B1.6'!Z85+'B1.7'!Z85+'B1.8'!Z85+'B1.9'!Z85+'B1.10'!Z85+'B1.11'!Z85+'B1.12'!Z85</f>
        <v>766393.06192512321</v>
      </c>
      <c r="AA44" s="278">
        <f>'B1.1'!AA85+'B1.2'!AA85+'B1.3'!AA85+'B1.4'!AA85+'B1.5'!AA85+'B1.6'!AA85+'B1.7'!AA85+'B1.8'!AA85+'B1.9'!AA85+'B1.10'!AA85+'B1.11'!AA85+'B1.12'!AA85</f>
        <v>797365.57711684343</v>
      </c>
      <c r="AB44" s="278">
        <f>'B1.1'!AB85+'B1.2'!AB85+'B1.3'!AB85+'B1.4'!AB85+'B1.5'!AB85+'B1.6'!AB85+'B1.7'!AB85+'B1.8'!AB85+'B1.9'!AB85+'B1.10'!AB85+'B1.11'!AB85+'B1.12'!AB85</f>
        <v>829589.79557280126</v>
      </c>
      <c r="AC44" s="278">
        <f>'B1.1'!AC85+'B1.2'!AC85+'B1.3'!AC85+'B1.4'!AC85+'B1.5'!AC85+'B1.6'!AC85+'B1.7'!AC85+'B1.8'!AC85+'B1.9'!AC85+'B1.10'!AC85+'B1.11'!AC85+'B1.12'!AC85</f>
        <v>863116.30282187625</v>
      </c>
      <c r="AD44" s="278">
        <f>'B1.1'!AD85+'B1.2'!AD85+'B1.3'!AD85+'B1.4'!AD85+'B1.5'!AD85+'B1.6'!AD85+'B1.7'!AD85+'B1.8'!AD85+'B1.9'!AD85+'B1.10'!AD85+'B1.11'!AD85+'B1.12'!AD85</f>
        <v>897997.72872390808</v>
      </c>
      <c r="AE44" s="278">
        <f>'B1.1'!AE85+'B1.2'!AE85+'B1.3'!AE85+'B1.4'!AE85+'B1.5'!AE85+'B1.6'!AE85+'B1.7'!AE85+'B1.8'!AE85+'B1.9'!AE85+'B1.10'!AE85+'B1.11'!AE85+'B1.12'!AE85</f>
        <v>934288.83008796023</v>
      </c>
      <c r="AF44" s="278">
        <f>'B1.1'!AF85+'B1.2'!AF85+'B1.3'!AF85+'B1.4'!AF85+'B1.5'!AF85+'B1.6'!AF85+'B1.7'!AF85+'B1.8'!AF85+'B1.9'!AF85+'B1.10'!AF85+'B1.11'!AF85+'B1.12'!AF85</f>
        <v>972046.57662948675</v>
      </c>
      <c r="AG44" s="278">
        <f>'B1.1'!AG85+'B1.2'!AG85+'B1.3'!AG85+'B1.4'!AG85+'B1.5'!AG85+'B1.6'!AG85+'B1.7'!AG85+'B1.8'!AG85+'B1.9'!AG85+'B1.10'!AG85+'B1.11'!AG85+'B1.12'!AG85</f>
        <v>1011330.2404012997</v>
      </c>
      <c r="AH44" s="278">
        <f>'B1.1'!AH85+'B1.2'!AH85+'B1.3'!AH85+'B1.4'!AH85+'B1.5'!AH85+'B1.6'!AH85+'B1.7'!AH85+'B1.8'!AH85+'B1.9'!AH85+'B1.10'!AH85+'B1.11'!AH85+'B1.12'!AH85</f>
        <v>1052201.4888387427</v>
      </c>
      <c r="AI44" s="278">
        <f>'B1.1'!AI85+'B1.2'!AI85+'B1.3'!AI85+'B1.4'!AI85+'B1.5'!AI85+'B1.6'!AI85+'B1.7'!AI85+'B1.8'!AI85+'B1.9'!AI85+'B1.10'!AI85+'B1.11'!AI85+'B1.12'!AI85</f>
        <v>1094724.4815651465</v>
      </c>
      <c r="AJ44" s="278">
        <f>'B1.1'!AJ85+'B1.2'!AJ85+'B1.3'!AJ85+'B1.4'!AJ85+'B1.5'!AJ85+'B1.6'!AJ85+'B1.7'!AJ85+'B1.8'!AJ85+'B1.9'!AJ85+'B1.10'!AJ85+'B1.11'!AJ85+'B1.12'!AJ85</f>
        <v>1138965.9711094988</v>
      </c>
      <c r="AK44" s="278">
        <f>'B1.1'!AK85+'B1.2'!AK85+'B1.3'!AK85+'B1.4'!AK85+'B1.5'!AK85+'B1.6'!AK85+'B1.7'!AK85+'B1.8'!AK85+'B1.9'!AK85+'B1.10'!AK85+'B1.11'!AK85+'B1.12'!AK85</f>
        <v>1184995.4076944643</v>
      </c>
    </row>
    <row r="45" spans="1:37" s="230" customFormat="1">
      <c r="B45" s="241" t="str">
        <f t="shared" si="13"/>
        <v>Emissions Cost Savings</v>
      </c>
      <c r="C45" s="626">
        <f t="shared" si="14"/>
        <v>0.17296661782575978</v>
      </c>
      <c r="D45" s="278">
        <f>'B1.1'!D145+'B1.2'!D145+'B1.3'!D145+'B1.4'!D145+'B1.5'!D145+'B1.6'!D145+'B1.7'!D145+'B1.8'!D145+'B1.9'!D145+'B1.10'!D145+'B1.11'!D145+'B1.12'!D145</f>
        <v>0</v>
      </c>
      <c r="E45" s="278">
        <f>'B1.1'!E145+'B1.2'!E145+'B1.3'!E145+'B1.4'!E145+'B1.5'!E145+'B1.6'!E145+'B1.7'!E145+'B1.8'!E145+'B1.9'!E145+'B1.10'!E145+'B1.11'!E145+'B1.12'!E145</f>
        <v>0</v>
      </c>
      <c r="F45" s="278">
        <f>'B1.1'!F145+'B1.2'!F145+'B1.3'!F145+'B1.4'!F145+'B1.5'!F145+'B1.6'!F145+'B1.7'!F145+'B1.8'!F145+'B1.9'!F145+'B1.10'!F145+'B1.11'!F145+'B1.12'!F145</f>
        <v>0</v>
      </c>
      <c r="G45" s="278">
        <f>'B1.1'!G145+'B1.2'!G145+'B1.3'!G145+'B1.4'!G145+'B1.5'!G145+'B1.6'!G145+'B1.7'!G145+'B1.8'!G145+'B1.9'!G145+'B1.10'!G145+'B1.11'!G145+'B1.12'!G145</f>
        <v>0</v>
      </c>
      <c r="H45" s="278">
        <f>'B1.1'!H145+'B1.2'!H145+'B1.3'!H145+'B1.4'!H145+'B1.5'!H145+'B1.6'!H145+'B1.7'!H145+'B1.8'!H145+'B1.9'!H145+'B1.10'!H145+'B1.11'!H145+'B1.12'!H145</f>
        <v>5457.8106984496044</v>
      </c>
      <c r="I45" s="278">
        <f>'B1.1'!I145+'B1.2'!I145+'B1.3'!I145+'B1.4'!I145+'B1.5'!I145+'B1.6'!I145+'B1.7'!I145+'B1.8'!I145+'B1.9'!I145+'B1.10'!I145+'B1.11'!I145+'B1.12'!I145</f>
        <v>5407.2924520999932</v>
      </c>
      <c r="J45" s="278">
        <f>'B1.1'!J145+'B1.2'!J145+'B1.3'!J145+'B1.4'!J145+'B1.5'!J145+'B1.6'!J145+'B1.7'!J145+'B1.8'!J145+'B1.9'!J145+'B1.10'!J145+'B1.11'!J145+'B1.12'!J145</f>
        <v>5341.1690466284035</v>
      </c>
      <c r="K45" s="278">
        <f>'B1.1'!K145+'B1.2'!K145+'B1.3'!K145+'B1.4'!K145+'B1.5'!K145+'B1.6'!K145+'B1.7'!K145+'B1.8'!K145+'B1.9'!K145+'B1.10'!K145+'B1.11'!K145+'B1.12'!K145</f>
        <v>5243.2259619314509</v>
      </c>
      <c r="L45" s="278">
        <f>'B1.1'!L145+'B1.2'!L145+'B1.3'!L145+'B1.4'!L145+'B1.5'!L145+'B1.6'!L145+'B1.7'!L145+'B1.8'!L145+'B1.9'!L145+'B1.10'!L145+'B1.11'!L145+'B1.12'!L145</f>
        <v>5118.4088627153533</v>
      </c>
      <c r="M45" s="278">
        <f>'B1.1'!M145+'B1.2'!M145+'B1.3'!M145+'B1.4'!M145+'B1.5'!M145+'B1.6'!M145+'B1.7'!M145+'B1.8'!M145+'B1.9'!M145+'B1.10'!M145+'B1.11'!M145+'B1.12'!M145</f>
        <v>4968.5068088239386</v>
      </c>
      <c r="N45" s="278">
        <f>'B1.1'!N145+'B1.2'!N145+'B1.3'!N145+'B1.4'!N145+'B1.5'!N145+'B1.6'!N145+'B1.7'!N145+'B1.8'!N145+'B1.9'!N145+'B1.10'!N145+'B1.11'!N145+'B1.12'!N145</f>
        <v>4991.2724897990292</v>
      </c>
      <c r="O45" s="278">
        <f>'B1.1'!O145+'B1.2'!O145+'B1.3'!O145+'B1.4'!O145+'B1.5'!O145+'B1.6'!O145+'B1.7'!O145+'B1.8'!O145+'B1.9'!O145+'B1.10'!O145+'B1.11'!O145+'B1.12'!O145</f>
        <v>5006.5218765476393</v>
      </c>
      <c r="P45" s="278">
        <f>'B1.1'!P145+'B1.2'!P145+'B1.3'!P145+'B1.4'!P145+'B1.5'!P145+'B1.6'!P145+'B1.7'!P145+'B1.8'!P145+'B1.9'!P145+'B1.10'!P145+'B1.11'!P145+'B1.12'!P145</f>
        <v>5013.5600923482398</v>
      </c>
      <c r="Q45" s="278">
        <f>'B1.1'!Q145+'B1.2'!Q145+'B1.3'!Q145+'B1.4'!Q145+'B1.5'!Q145+'B1.6'!Q145+'B1.7'!Q145+'B1.8'!Q145+'B1.9'!Q145+'B1.10'!Q145+'B1.11'!Q145+'B1.12'!Q145</f>
        <v>5056.7378990913739</v>
      </c>
      <c r="R45" s="278">
        <f>'B1.1'!R145+'B1.2'!R145+'B1.3'!R145+'B1.4'!R145+'B1.5'!R145+'B1.6'!R145+'B1.7'!R145+'B1.8'!R145+'B1.9'!R145+'B1.10'!R145+'B1.11'!R145+'B1.12'!R145</f>
        <v>5046.20596589466</v>
      </c>
      <c r="S45" s="278">
        <f>'B1.1'!S145+'B1.2'!S145+'B1.3'!S145+'B1.4'!S145+'B1.5'!S145+'B1.6'!S145+'B1.7'!S145+'B1.8'!S145+'B1.9'!S145+'B1.10'!S145+'B1.11'!S145+'B1.12'!S145</f>
        <v>5025.1090908633478</v>
      </c>
      <c r="T45" s="278">
        <f>'B1.1'!T145+'B1.2'!T145+'B1.3'!T145+'B1.4'!T145+'B1.5'!T145+'B1.6'!T145+'B1.7'!T145+'B1.8'!T145+'B1.9'!T145+'B1.10'!T145+'B1.11'!T145+'B1.12'!T145</f>
        <v>4993.4243337298039</v>
      </c>
      <c r="U45" s="278">
        <f>'B1.1'!U145+'B1.2'!U145+'B1.3'!U145+'B1.4'!U145+'B1.5'!U145+'B1.6'!U145+'B1.7'!U145+'B1.8'!U145+'B1.9'!U145+'B1.10'!U145+'B1.11'!U145+'B1.12'!U145</f>
        <v>4949.3982828907083</v>
      </c>
      <c r="V45" s="278">
        <f>'B1.1'!V145+'B1.2'!V145+'B1.3'!V145+'B1.4'!V145+'B1.5'!V145+'B1.6'!V145+'B1.7'!V145+'B1.8'!V145+'B1.9'!V145+'B1.10'!V145+'B1.11'!V145+'B1.12'!V145</f>
        <v>4892.0216061692126</v>
      </c>
      <c r="W45" s="278">
        <f>'B1.1'!W145+'B1.2'!W145+'B1.3'!W145+'B1.4'!W145+'B1.5'!W145+'B1.6'!W145+'B1.7'!W145+'B1.8'!W145+'B1.9'!W145+'B1.10'!W145+'B1.11'!W145+'B1.12'!W145</f>
        <v>4820.2209774036946</v>
      </c>
      <c r="X45" s="278">
        <f>'B1.1'!X145+'B1.2'!X145+'B1.3'!X145+'B1.4'!X145+'B1.5'!X145+'B1.6'!X145+'B1.7'!X145+'B1.8'!X145+'B1.9'!X145+'B1.10'!X145+'B1.11'!X145+'B1.12'!X145</f>
        <v>5006.9627638671782</v>
      </c>
      <c r="Y45" s="278">
        <f>'B1.1'!Y145+'B1.2'!Y145+'B1.3'!Y145+'B1.4'!Y145+'B1.5'!Y145+'B1.6'!Y145+'B1.7'!Y145+'B1.8'!Y145+'B1.9'!Y145+'B1.10'!Y145+'B1.11'!Y145+'B1.12'!Y145</f>
        <v>5254.8622587005921</v>
      </c>
      <c r="Z45" s="278">
        <f>'B1.1'!Z145+'B1.2'!Z145+'B1.3'!Z145+'B1.4'!Z145+'B1.5'!Z145+'B1.6'!Z145+'B1.7'!Z145+'B1.8'!Z145+'B1.9'!Z145+'B1.10'!Z145+'B1.11'!Z145+'B1.12'!Z145</f>
        <v>5455.3326233421885</v>
      </c>
      <c r="AA45" s="278">
        <f>'B1.1'!AA145+'B1.2'!AA145+'B1.3'!AA145+'B1.4'!AA145+'B1.5'!AA145+'B1.6'!AA145+'B1.7'!AA145+'B1.8'!AA145+'B1.9'!AA145+'B1.10'!AA145+'B1.11'!AA145+'B1.12'!AA145</f>
        <v>5662.1037629895345</v>
      </c>
      <c r="AB45" s="278">
        <f>'B1.1'!AB145+'B1.2'!AB145+'B1.3'!AB145+'B1.4'!AB145+'B1.5'!AB145+'B1.6'!AB145+'B1.7'!AB145+'B1.8'!AB145+'B1.9'!AB145+'B1.10'!AB145+'B1.11'!AB145+'B1.12'!AB145</f>
        <v>5875.3041812927377</v>
      </c>
      <c r="AC45" s="278">
        <f>'B1.1'!AC145+'B1.2'!AC145+'B1.3'!AC145+'B1.4'!AC145+'B1.5'!AC145+'B1.6'!AC145+'B1.7'!AC145+'B1.8'!AC145+'B1.9'!AC145+'B1.10'!AC145+'B1.11'!AC145+'B1.12'!AC145</f>
        <v>6095.0603216552836</v>
      </c>
      <c r="AD45" s="278">
        <f>'B1.1'!AD145+'B1.2'!AD145+'B1.3'!AD145+'B1.4'!AD145+'B1.5'!AD145+'B1.6'!AD145+'B1.7'!AD145+'B1.8'!AD145+'B1.9'!AD145+'B1.10'!AD145+'B1.11'!AD145+'B1.12'!AD145</f>
        <v>6321.4961036985524</v>
      </c>
      <c r="AE45" s="278">
        <f>'B1.1'!AE145+'B1.2'!AE145+'B1.3'!AE145+'B1.4'!AE145+'B1.5'!AE145+'B1.6'!AE145+'B1.7'!AE145+'B1.8'!AE145+'B1.9'!AE145+'B1.10'!AE145+'B1.11'!AE145+'B1.12'!AE145</f>
        <v>6554.732422103797</v>
      </c>
      <c r="AF45" s="278">
        <f>'B1.1'!AF145+'B1.2'!AF145+'B1.3'!AF145+'B1.4'!AF145+'B1.5'!AF145+'B1.6'!AF145+'B1.7'!AF145+'B1.8'!AF145+'B1.9'!AF145+'B1.10'!AF145+'B1.11'!AF145+'B1.12'!AF145</f>
        <v>6862.0377845895509</v>
      </c>
      <c r="AG45" s="278">
        <f>'B1.1'!AG145+'B1.2'!AG145+'B1.3'!AG145+'B1.4'!AG145+'B1.5'!AG145+'B1.6'!AG145+'B1.7'!AG145+'B1.8'!AG145+'B1.9'!AG145+'B1.10'!AG145+'B1.11'!AG145+'B1.12'!AG145</f>
        <v>7111.0996244725084</v>
      </c>
      <c r="AH45" s="278">
        <f>'B1.1'!AH145+'B1.2'!AH145+'B1.3'!AH145+'B1.4'!AH145+'B1.5'!AH145+'B1.6'!AH145+'B1.7'!AH145+'B1.8'!AH145+'B1.9'!AH145+'B1.10'!AH145+'B1.11'!AH145+'B1.12'!AH145</f>
        <v>7398.4830209186575</v>
      </c>
      <c r="AI45" s="278">
        <f>'B1.1'!AI145+'B1.2'!AI145+'B1.3'!AI145+'B1.4'!AI145+'B1.5'!AI145+'B1.6'!AI145+'B1.7'!AI145+'B1.8'!AI145+'B1.9'!AI145+'B1.10'!AI145+'B1.11'!AI145+'B1.12'!AI145</f>
        <v>7697.4805447029576</v>
      </c>
      <c r="AJ45" s="278">
        <f>'B1.1'!AJ145+'B1.2'!AJ145+'B1.3'!AJ145+'B1.4'!AJ145+'B1.5'!AJ145+'B1.6'!AJ145+'B1.7'!AJ145+'B1.8'!AJ145+'B1.9'!AJ145+'B1.10'!AJ145+'B1.11'!AJ145+'B1.12'!AJ145</f>
        <v>8008.5615616812629</v>
      </c>
      <c r="AK45" s="278">
        <f>'B1.1'!AK145+'B1.2'!AK145+'B1.3'!AK145+'B1.4'!AK145+'B1.5'!AK145+'B1.6'!AK145+'B1.7'!AK145+'B1.8'!AK145+'B1.9'!AK145+'B1.10'!AK145+'B1.11'!AK145+'B1.12'!AK145</f>
        <v>8332.2144063585383</v>
      </c>
    </row>
    <row r="46" spans="1:37" s="230" customFormat="1">
      <c r="B46" s="241" t="str">
        <f t="shared" si="13"/>
        <v xml:space="preserve">Vehicle Operating Cost Savings </v>
      </c>
      <c r="C46" s="626">
        <f t="shared" si="14"/>
        <v>2.5016272379844451</v>
      </c>
      <c r="D46" s="278">
        <f>'B1.1'!D204+'B1.2'!D204+'B1.3'!D204+'B1.4'!D204+'B1.5'!D204+'B1.6'!D204+'B1.7'!D204+'B1.8'!D204+'B1.9'!D204+'B1.10'!D204+'B1.11'!D204+'B1.12'!D204</f>
        <v>0</v>
      </c>
      <c r="E46" s="278">
        <f>'B1.1'!E204+'B1.2'!E204+'B1.3'!E204+'B1.4'!E204+'B1.5'!E204+'B1.6'!E204+'B1.7'!E204+'B1.8'!E204+'B1.9'!E204+'B1.10'!E204+'B1.11'!E204+'B1.12'!E204</f>
        <v>0</v>
      </c>
      <c r="F46" s="278">
        <f>'B1.1'!F204+'B1.2'!F204+'B1.3'!F204+'B1.4'!F204+'B1.5'!F204+'B1.6'!F204+'B1.7'!F204+'B1.8'!F204+'B1.9'!F204+'B1.10'!F204+'B1.11'!F204+'B1.12'!F204</f>
        <v>0</v>
      </c>
      <c r="G46" s="278">
        <f>'B1.1'!G204+'B1.2'!G204+'B1.3'!G204+'B1.4'!G204+'B1.5'!G204+'B1.6'!G204+'B1.7'!G204+'B1.8'!G204+'B1.9'!G204+'B1.10'!G204+'B1.11'!G204+'B1.12'!G204</f>
        <v>0</v>
      </c>
      <c r="H46" s="278">
        <f>'B1.1'!H204+'B1.2'!H204+'B1.3'!H204+'B1.4'!H204+'B1.5'!H204+'B1.6'!H204+'B1.7'!H204+'B1.8'!H204+'B1.9'!H204+'B1.10'!H204+'B1.11'!H204+'B1.12'!H204</f>
        <v>35528.413086912224</v>
      </c>
      <c r="I46" s="278">
        <f>'B1.1'!I204+'B1.2'!I204+'B1.3'!I204+'B1.4'!I204+'B1.5'!I204+'B1.6'!I204+'B1.7'!I204+'B1.8'!I204+'B1.9'!I204+'B1.10'!I204+'B1.11'!I204+'B1.12'!I204</f>
        <v>37453.191249506868</v>
      </c>
      <c r="J46" s="278">
        <f>'B1.1'!J204+'B1.2'!J204+'B1.3'!J204+'B1.4'!J204+'B1.5'!J204+'B1.6'!J204+'B1.7'!J204+'B1.8'!J204+'B1.9'!J204+'B1.10'!J204+'B1.11'!J204+'B1.12'!J204</f>
        <v>39438.505398107627</v>
      </c>
      <c r="K46" s="278">
        <f>'B1.1'!K204+'B1.2'!K204+'B1.3'!K204+'B1.4'!K204+'B1.5'!K204+'B1.6'!K204+'B1.7'!K204+'B1.8'!K204+'B1.9'!K204+'B1.10'!K204+'B1.11'!K204+'B1.12'!K204</f>
        <v>41420.615771933597</v>
      </c>
      <c r="L46" s="278">
        <f>'B1.1'!L204+'B1.2'!L204+'B1.3'!L204+'B1.4'!L204+'B1.5'!L204+'B1.6'!L204+'B1.7'!L204+'B1.8'!L204+'B1.9'!L204+'B1.10'!L204+'B1.11'!L204+'B1.12'!L204</f>
        <v>43719.996982096178</v>
      </c>
      <c r="M46" s="278">
        <f>'B1.1'!M204+'B1.2'!M204+'B1.3'!M204+'B1.4'!M204+'B1.5'!M204+'B1.6'!M204+'B1.7'!M204+'B1.8'!M204+'B1.9'!M204+'B1.10'!M204+'B1.11'!M204+'B1.12'!M204</f>
        <v>46937.158601558855</v>
      </c>
      <c r="N46" s="278">
        <f>'B1.1'!N204+'B1.2'!N204+'B1.3'!N204+'B1.4'!N204+'B1.5'!N204+'B1.6'!N204+'B1.7'!N204+'B1.8'!N204+'B1.9'!N204+'B1.10'!N204+'B1.11'!N204+'B1.12'!N204</f>
        <v>49308.259587571149</v>
      </c>
      <c r="O46" s="278">
        <f>'B1.1'!O204+'B1.2'!O204+'B1.3'!O204+'B1.4'!O204+'B1.5'!O204+'B1.6'!O204+'B1.7'!O204+'B1.8'!O204+'B1.9'!O204+'B1.10'!O204+'B1.11'!O204+'B1.12'!O204</f>
        <v>51820.791613176407</v>
      </c>
      <c r="P46" s="278">
        <f>'B1.1'!P204+'B1.2'!P204+'B1.3'!P204+'B1.4'!P204+'B1.5'!P204+'B1.6'!P204+'B1.7'!P204+'B1.8'!P204+'B1.9'!P204+'B1.10'!P204+'B1.11'!P204+'B1.12'!P204</f>
        <v>54969.848684578363</v>
      </c>
      <c r="Q46" s="278">
        <f>'B1.1'!Q204+'B1.2'!Q204+'B1.3'!Q204+'B1.4'!Q204+'B1.5'!Q204+'B1.6'!Q204+'B1.7'!Q204+'B1.8'!Q204+'B1.9'!Q204+'B1.10'!Q204+'B1.11'!Q204+'B1.12'!Q204</f>
        <v>58104.428641635364</v>
      </c>
      <c r="R46" s="278">
        <f>'B1.1'!R204+'B1.2'!R204+'B1.3'!R204+'B1.4'!R204+'B1.5'!R204+'B1.6'!R204+'B1.7'!R204+'B1.8'!R204+'B1.9'!R204+'B1.10'!R204+'B1.11'!R204+'B1.12'!R204</f>
        <v>61157.159430935411</v>
      </c>
      <c r="S46" s="278">
        <f>'B1.1'!S204+'B1.2'!S204+'B1.3'!S204+'B1.4'!S204+'B1.5'!S204+'B1.6'!S204+'B1.7'!S204+'B1.8'!S204+'B1.9'!S204+'B1.10'!S204+'B1.11'!S204+'B1.12'!S204</f>
        <v>64459.638814155282</v>
      </c>
      <c r="T46" s="278">
        <f>'B1.1'!T204+'B1.2'!T204+'B1.3'!T204+'B1.4'!T204+'B1.5'!T204+'B1.6'!T204+'B1.7'!T204+'B1.8'!T204+'B1.9'!T204+'B1.10'!T204+'B1.11'!T204+'B1.12'!T204</f>
        <v>67408.542229623214</v>
      </c>
      <c r="U46" s="278">
        <f>'B1.1'!U204+'B1.2'!U204+'B1.3'!U204+'B1.4'!U204+'B1.5'!U204+'B1.6'!U204+'B1.7'!U204+'B1.8'!U204+'B1.9'!U204+'B1.10'!U204+'B1.11'!U204+'B1.12'!U204</f>
        <v>70955.176758003581</v>
      </c>
      <c r="V46" s="278">
        <f>'B1.1'!V204+'B1.2'!V204+'B1.3'!V204+'B1.4'!V204+'B1.5'!V204+'B1.6'!V204+'B1.7'!V204+'B1.8'!V204+'B1.9'!V204+'B1.10'!V204+'B1.11'!V204+'B1.12'!V204</f>
        <v>74837.758479196651</v>
      </c>
      <c r="W46" s="278">
        <f>'B1.1'!W204+'B1.2'!W204+'B1.3'!W204+'B1.4'!W204+'B1.5'!W204+'B1.6'!W204+'B1.7'!W204+'B1.8'!W204+'B1.9'!W204+'B1.10'!W204+'B1.11'!W204+'B1.12'!W204</f>
        <v>78145.197737690498</v>
      </c>
      <c r="X46" s="278">
        <f>'B1.1'!X204+'B1.2'!X204+'B1.3'!X204+'B1.4'!X204+'B1.5'!X204+'B1.6'!X204+'B1.7'!X204+'B1.8'!X204+'B1.9'!X204+'B1.10'!X204+'B1.11'!X204+'B1.12'!X204</f>
        <v>81964.08905858286</v>
      </c>
      <c r="Y46" s="278">
        <f>'B1.1'!Y204+'B1.2'!Y204+'B1.3'!Y204+'B1.4'!Y204+'B1.5'!Y204+'B1.6'!Y204+'B1.7'!Y204+'B1.8'!Y204+'B1.9'!Y204+'B1.10'!Y204+'B1.11'!Y204+'B1.12'!Y204</f>
        <v>86704.314499452972</v>
      </c>
      <c r="Z46" s="278">
        <f>'B1.1'!Z204+'B1.2'!Z204+'B1.3'!Z204+'B1.4'!Z204+'B1.5'!Z204+'B1.6'!Z204+'B1.7'!Z204+'B1.8'!Z204+'B1.9'!Z204+'B1.10'!Z204+'B1.11'!Z204+'B1.12'!Z204</f>
        <v>91003.902068082578</v>
      </c>
      <c r="AA46" s="278">
        <f>'B1.1'!AA204+'B1.2'!AA204+'B1.3'!AA204+'B1.4'!AA204+'B1.5'!AA204+'B1.6'!AA204+'B1.7'!AA204+'B1.8'!AA204+'B1.9'!AA204+'B1.10'!AA204+'B1.11'!AA204+'B1.12'!AA204</f>
        <v>95523.250499081973</v>
      </c>
      <c r="AB46" s="278">
        <f>'B1.1'!AB204+'B1.2'!AB204+'B1.3'!AB204+'B1.4'!AB204+'B1.5'!AB204+'B1.6'!AB204+'B1.7'!AB204+'B1.8'!AB204+'B1.9'!AB204+'B1.10'!AB204+'B1.11'!AB204+'B1.12'!AB204</f>
        <v>100812.64423385753</v>
      </c>
      <c r="AC46" s="278">
        <f>'B1.1'!AC204+'B1.2'!AC204+'B1.3'!AC204+'B1.4'!AC204+'B1.5'!AC204+'B1.6'!AC204+'B1.7'!AC204+'B1.8'!AC204+'B1.9'!AC204+'B1.10'!AC204+'B1.11'!AC204+'B1.12'!AC204</f>
        <v>105235.76012666071</v>
      </c>
      <c r="AD46" s="278">
        <f>'B1.1'!AD204+'B1.2'!AD204+'B1.3'!AD204+'B1.4'!AD204+'B1.5'!AD204+'B1.6'!AD204+'B1.7'!AD204+'B1.8'!AD204+'B1.9'!AD204+'B1.10'!AD204+'B1.11'!AD204+'B1.12'!AD204</f>
        <v>111336.85539732815</v>
      </c>
      <c r="AE46" s="278">
        <f>'B1.1'!AE204+'B1.2'!AE204+'B1.3'!AE204+'B1.4'!AE204+'B1.5'!AE204+'B1.6'!AE204+'B1.7'!AE204+'B1.8'!AE204+'B1.9'!AE204+'B1.10'!AE204+'B1.11'!AE204+'B1.12'!AE204</f>
        <v>117221.38216570969</v>
      </c>
      <c r="AF46" s="278">
        <f>'B1.1'!AF204+'B1.2'!AF204+'B1.3'!AF204+'B1.4'!AF204+'B1.5'!AF204+'B1.6'!AF204+'B1.7'!AF204+'B1.8'!AF204+'B1.9'!AF204+'B1.10'!AF204+'B1.11'!AF204+'B1.12'!AF204</f>
        <v>123063.93496461672</v>
      </c>
      <c r="AG46" s="278">
        <f>'B1.1'!AG204+'B1.2'!AG204+'B1.3'!AG204+'B1.4'!AG204+'B1.5'!AG204+'B1.6'!AG204+'B1.7'!AG204+'B1.8'!AG204+'B1.9'!AG204+'B1.10'!AG204+'B1.11'!AG204+'B1.12'!AG204</f>
        <v>129038.0083906675</v>
      </c>
      <c r="AH46" s="278">
        <f>'B1.1'!AH204+'B1.2'!AH204+'B1.3'!AH204+'B1.4'!AH204+'B1.5'!AH204+'B1.6'!AH204+'B1.7'!AH204+'B1.8'!AH204+'B1.9'!AH204+'B1.10'!AH204+'B1.11'!AH204+'B1.12'!AH204</f>
        <v>135500.43679895846</v>
      </c>
      <c r="AI46" s="278">
        <f>'B1.1'!AI204+'B1.2'!AI204+'B1.3'!AI204+'B1.4'!AI204+'B1.5'!AI204+'B1.6'!AI204+'B1.7'!AI204+'B1.8'!AI204+'B1.9'!AI204+'B1.10'!AI204+'B1.11'!AI204+'B1.12'!AI204</f>
        <v>142283.1148127093</v>
      </c>
      <c r="AJ46" s="278">
        <f>'B1.1'!AJ204+'B1.2'!AJ204+'B1.3'!AJ204+'B1.4'!AJ204+'B1.5'!AJ204+'B1.6'!AJ204+'B1.7'!AJ204+'B1.8'!AJ204+'B1.9'!AJ204+'B1.10'!AJ204+'B1.11'!AJ204+'B1.12'!AJ204</f>
        <v>149401.80781671798</v>
      </c>
      <c r="AK46" s="278">
        <f>'B1.1'!AK204+'B1.2'!AK204+'B1.3'!AK204+'B1.4'!AK204+'B1.5'!AK204+'B1.6'!AK204+'B1.7'!AK204+'B1.8'!AK204+'B1.9'!AK204+'B1.10'!AK204+'B1.11'!AK204+'B1.12'!AK204</f>
        <v>156873.05408533715</v>
      </c>
    </row>
    <row r="47" spans="1:37" s="230" customFormat="1">
      <c r="B47" s="241" t="str">
        <f t="shared" si="13"/>
        <v>Land Value Increase</v>
      </c>
      <c r="C47" s="626">
        <f t="shared" si="14"/>
        <v>12.248163847270133</v>
      </c>
      <c r="D47" s="278">
        <f>'Calc1.1 - Land Value'!D7</f>
        <v>0</v>
      </c>
      <c r="E47" s="278">
        <f>'Calc1.1 - Land Value'!E7</f>
        <v>0</v>
      </c>
      <c r="F47" s="278">
        <f>'Calc1.1 - Land Value'!F7</f>
        <v>0</v>
      </c>
      <c r="G47" s="278">
        <f>'Calc1.1 - Land Value'!G7</f>
        <v>0</v>
      </c>
      <c r="H47" s="278">
        <f>'Calc1.1 - Land Value'!H7</f>
        <v>12248163.847270133</v>
      </c>
      <c r="I47" s="278">
        <f>'Calc1.1 - Land Value'!I7</f>
        <v>0</v>
      </c>
      <c r="J47" s="278">
        <f>'Calc1.1 - Land Value'!J7</f>
        <v>0</v>
      </c>
      <c r="K47" s="278">
        <f>'Calc1.1 - Land Value'!K7</f>
        <v>0</v>
      </c>
      <c r="L47" s="278">
        <f>'Calc1.1 - Land Value'!L7</f>
        <v>0</v>
      </c>
      <c r="M47" s="278">
        <f>'Calc1.1 - Land Value'!M7</f>
        <v>0</v>
      </c>
      <c r="N47" s="278">
        <f>'Calc1.1 - Land Value'!N7</f>
        <v>0</v>
      </c>
      <c r="O47" s="278">
        <f>'Calc1.1 - Land Value'!O7</f>
        <v>0</v>
      </c>
      <c r="P47" s="278">
        <f>'Calc1.1 - Land Value'!P7</f>
        <v>0</v>
      </c>
      <c r="Q47" s="278">
        <f>'Calc1.1 - Land Value'!Q7</f>
        <v>0</v>
      </c>
      <c r="R47" s="278">
        <f>'Calc1.1 - Land Value'!R7</f>
        <v>0</v>
      </c>
      <c r="S47" s="278">
        <f>'Calc1.1 - Land Value'!S7</f>
        <v>0</v>
      </c>
      <c r="T47" s="278">
        <f>'Calc1.1 - Land Value'!T7</f>
        <v>0</v>
      </c>
      <c r="U47" s="278">
        <f>'Calc1.1 - Land Value'!U7</f>
        <v>0</v>
      </c>
      <c r="V47" s="278">
        <f>'Calc1.1 - Land Value'!V7</f>
        <v>0</v>
      </c>
      <c r="W47" s="278">
        <f>'Calc1.1 - Land Value'!W7</f>
        <v>0</v>
      </c>
      <c r="X47" s="278">
        <f>'Calc1.1 - Land Value'!X7</f>
        <v>0</v>
      </c>
      <c r="Y47" s="278">
        <f>'Calc1.1 - Land Value'!Y7</f>
        <v>0</v>
      </c>
      <c r="Z47" s="278">
        <f>'Calc1.1 - Land Value'!Z7</f>
        <v>0</v>
      </c>
      <c r="AA47" s="278">
        <f>'Calc1.1 - Land Value'!AA7</f>
        <v>0</v>
      </c>
      <c r="AB47" s="278">
        <f>'Calc1.1 - Land Value'!AB7</f>
        <v>0</v>
      </c>
      <c r="AC47" s="278">
        <f>'Calc1.1 - Land Value'!AC7</f>
        <v>0</v>
      </c>
      <c r="AD47" s="278">
        <f>'Calc1.1 - Land Value'!AD7</f>
        <v>0</v>
      </c>
      <c r="AE47" s="278">
        <f>'Calc1.1 - Land Value'!AE7</f>
        <v>0</v>
      </c>
      <c r="AF47" s="278">
        <f>'Calc1.1 - Land Value'!AF7</f>
        <v>0</v>
      </c>
      <c r="AG47" s="278">
        <f>'Calc1.1 - Land Value'!AG7</f>
        <v>0</v>
      </c>
      <c r="AH47" s="278">
        <f>'Calc1.1 - Land Value'!AH7</f>
        <v>0</v>
      </c>
      <c r="AI47" s="278">
        <f>'Calc1.1 - Land Value'!AI7</f>
        <v>0</v>
      </c>
      <c r="AJ47" s="278">
        <f>'Calc1.1 - Land Value'!AJ7</f>
        <v>0</v>
      </c>
      <c r="AK47" s="278">
        <f>'Calc1.1 - Land Value'!AK7</f>
        <v>0</v>
      </c>
    </row>
    <row r="48" spans="1:37" s="230" customFormat="1">
      <c r="B48" s="241" t="str">
        <f t="shared" si="13"/>
        <v>O&amp;M Costs Savings</v>
      </c>
      <c r="C48" s="626">
        <f t="shared" si="14"/>
        <v>0.73423544349718817</v>
      </c>
      <c r="D48" s="278">
        <f>'Calc1.3 - O&amp;M Savings'!D40</f>
        <v>0</v>
      </c>
      <c r="E48" s="278">
        <f>'Calc1.3 - O&amp;M Savings'!E40</f>
        <v>0</v>
      </c>
      <c r="F48" s="278">
        <f>'Calc1.3 - O&amp;M Savings'!F40</f>
        <v>0</v>
      </c>
      <c r="G48" s="278">
        <f>'Calc1.3 - O&amp;M Savings'!G40</f>
        <v>0</v>
      </c>
      <c r="H48" s="278">
        <f>'Calc1.3 - O&amp;M Savings'!H40</f>
        <v>24474.514783239611</v>
      </c>
      <c r="I48" s="278">
        <f>'Calc1.3 - O&amp;M Savings'!I40</f>
        <v>24474.514783239611</v>
      </c>
      <c r="J48" s="278">
        <f>'Calc1.3 - O&amp;M Savings'!J40</f>
        <v>24474.514783239611</v>
      </c>
      <c r="K48" s="278">
        <f>'Calc1.3 - O&amp;M Savings'!K40</f>
        <v>24474.514783239611</v>
      </c>
      <c r="L48" s="278">
        <f>'Calc1.3 - O&amp;M Savings'!L40</f>
        <v>24474.514783239611</v>
      </c>
      <c r="M48" s="278">
        <f>'Calc1.3 - O&amp;M Savings'!M40</f>
        <v>24474.514783239611</v>
      </c>
      <c r="N48" s="278">
        <f>'Calc1.3 - O&amp;M Savings'!N40</f>
        <v>24474.514783239611</v>
      </c>
      <c r="O48" s="278">
        <f>'Calc1.3 - O&amp;M Savings'!O40</f>
        <v>24474.514783239611</v>
      </c>
      <c r="P48" s="278">
        <f>'Calc1.3 - O&amp;M Savings'!P40</f>
        <v>24474.514783239611</v>
      </c>
      <c r="Q48" s="278">
        <f>'Calc1.3 - O&amp;M Savings'!Q40</f>
        <v>24474.514783239611</v>
      </c>
      <c r="R48" s="278">
        <f>'Calc1.3 - O&amp;M Savings'!R40</f>
        <v>24474.514783239611</v>
      </c>
      <c r="S48" s="278">
        <f>'Calc1.3 - O&amp;M Savings'!S40</f>
        <v>24474.514783239611</v>
      </c>
      <c r="T48" s="278">
        <f>'Calc1.3 - O&amp;M Savings'!T40</f>
        <v>24474.514783239611</v>
      </c>
      <c r="U48" s="278">
        <f>'Calc1.3 - O&amp;M Savings'!U40</f>
        <v>24474.514783239611</v>
      </c>
      <c r="V48" s="278">
        <f>'Calc1.3 - O&amp;M Savings'!V40</f>
        <v>24474.514783239611</v>
      </c>
      <c r="W48" s="278">
        <f>'Calc1.3 - O&amp;M Savings'!W40</f>
        <v>24474.514783239611</v>
      </c>
      <c r="X48" s="278">
        <f>'Calc1.3 - O&amp;M Savings'!X40</f>
        <v>24474.514783239611</v>
      </c>
      <c r="Y48" s="278">
        <f>'Calc1.3 - O&amp;M Savings'!Y40</f>
        <v>24474.514783239611</v>
      </c>
      <c r="Z48" s="278">
        <f>'Calc1.3 - O&amp;M Savings'!Z40</f>
        <v>24474.514783239611</v>
      </c>
      <c r="AA48" s="278">
        <f>'Calc1.3 - O&amp;M Savings'!AA40</f>
        <v>24474.514783239611</v>
      </c>
      <c r="AB48" s="278">
        <f>'Calc1.3 - O&amp;M Savings'!AB40</f>
        <v>24474.514783239611</v>
      </c>
      <c r="AC48" s="278">
        <f>'Calc1.3 - O&amp;M Savings'!AC40</f>
        <v>24474.514783239611</v>
      </c>
      <c r="AD48" s="278">
        <f>'Calc1.3 - O&amp;M Savings'!AD40</f>
        <v>24474.514783239611</v>
      </c>
      <c r="AE48" s="278">
        <f>'Calc1.3 - O&amp;M Savings'!AE40</f>
        <v>24474.514783239611</v>
      </c>
      <c r="AF48" s="278">
        <f>'Calc1.3 - O&amp;M Savings'!AF40</f>
        <v>24474.514783239611</v>
      </c>
      <c r="AG48" s="278">
        <f>'Calc1.3 - O&amp;M Savings'!AG40</f>
        <v>24474.514783239611</v>
      </c>
      <c r="AH48" s="278">
        <f>'Calc1.3 - O&amp;M Savings'!AH40</f>
        <v>24474.514783239611</v>
      </c>
      <c r="AI48" s="278">
        <f>'Calc1.3 - O&amp;M Savings'!AI40</f>
        <v>24474.514783239611</v>
      </c>
      <c r="AJ48" s="278">
        <f>'Calc1.3 - O&amp;M Savings'!AJ40</f>
        <v>24474.514783239611</v>
      </c>
      <c r="AK48" s="278">
        <f>'Calc1.3 - O&amp;M Savings'!AK40</f>
        <v>24474.514783239611</v>
      </c>
    </row>
    <row r="49" spans="1:37" s="230" customFormat="1">
      <c r="B49" s="241" t="str">
        <f t="shared" si="13"/>
        <v>Residual Value</v>
      </c>
      <c r="C49" s="626">
        <f t="shared" si="14"/>
        <v>3.6201601115634374</v>
      </c>
      <c r="D49" s="278">
        <f>'Calc1.2 - Residual Value'!D13</f>
        <v>0</v>
      </c>
      <c r="E49" s="278">
        <f>'Calc1.2 - Residual Value'!E13</f>
        <v>0</v>
      </c>
      <c r="F49" s="278">
        <f>'Calc1.2 - Residual Value'!F13</f>
        <v>0</v>
      </c>
      <c r="G49" s="278">
        <f>'Calc1.2 - Residual Value'!G13</f>
        <v>0</v>
      </c>
      <c r="H49" s="278">
        <f>'Calc1.2 - Residual Value'!H13</f>
        <v>0</v>
      </c>
      <c r="I49" s="278">
        <f>'Calc1.2 - Residual Value'!I13</f>
        <v>0</v>
      </c>
      <c r="J49" s="278">
        <f>'Calc1.2 - Residual Value'!J13</f>
        <v>0</v>
      </c>
      <c r="K49" s="278">
        <f>'Calc1.2 - Residual Value'!K13</f>
        <v>0</v>
      </c>
      <c r="L49" s="278">
        <f>'Calc1.2 - Residual Value'!L13</f>
        <v>0</v>
      </c>
      <c r="M49" s="278">
        <f>'Calc1.2 - Residual Value'!M13</f>
        <v>0</v>
      </c>
      <c r="N49" s="278">
        <f>'Calc1.2 - Residual Value'!N13</f>
        <v>0</v>
      </c>
      <c r="O49" s="278">
        <f>'Calc1.2 - Residual Value'!O13</f>
        <v>0</v>
      </c>
      <c r="P49" s="278">
        <f>'Calc1.2 - Residual Value'!P13</f>
        <v>0</v>
      </c>
      <c r="Q49" s="278">
        <f>'Calc1.2 - Residual Value'!Q13</f>
        <v>0</v>
      </c>
      <c r="R49" s="278">
        <f>'Calc1.2 - Residual Value'!R13</f>
        <v>0</v>
      </c>
      <c r="S49" s="278">
        <f>'Calc1.2 - Residual Value'!S13</f>
        <v>0</v>
      </c>
      <c r="T49" s="278">
        <f>'Calc1.2 - Residual Value'!T13</f>
        <v>0</v>
      </c>
      <c r="U49" s="278">
        <f>'Calc1.2 - Residual Value'!U13</f>
        <v>0</v>
      </c>
      <c r="V49" s="278">
        <f>'Calc1.2 - Residual Value'!V13</f>
        <v>0</v>
      </c>
      <c r="W49" s="278">
        <f>'Calc1.2 - Residual Value'!W13</f>
        <v>0</v>
      </c>
      <c r="X49" s="278">
        <f>'Calc1.2 - Residual Value'!X13</f>
        <v>0</v>
      </c>
      <c r="Y49" s="278">
        <f>'Calc1.2 - Residual Value'!Y13</f>
        <v>0</v>
      </c>
      <c r="Z49" s="278">
        <f>'Calc1.2 - Residual Value'!Z13</f>
        <v>0</v>
      </c>
      <c r="AA49" s="278">
        <f>'Calc1.2 - Residual Value'!AA13</f>
        <v>0</v>
      </c>
      <c r="AB49" s="278">
        <f>'Calc1.2 - Residual Value'!AB13</f>
        <v>0</v>
      </c>
      <c r="AC49" s="278">
        <f>'Calc1.2 - Residual Value'!AC13</f>
        <v>0</v>
      </c>
      <c r="AD49" s="278">
        <f>'Calc1.2 - Residual Value'!AD13</f>
        <v>0</v>
      </c>
      <c r="AE49" s="278">
        <f>'Calc1.2 - Residual Value'!AE13</f>
        <v>0</v>
      </c>
      <c r="AF49" s="278">
        <f>'Calc1.2 - Residual Value'!AF13</f>
        <v>0</v>
      </c>
      <c r="AG49" s="278">
        <f>'Calc1.2 - Residual Value'!AG13</f>
        <v>0</v>
      </c>
      <c r="AH49" s="278">
        <f>'Calc1.2 - Residual Value'!AH13</f>
        <v>0</v>
      </c>
      <c r="AI49" s="278">
        <f>'Calc1.2 - Residual Value'!AI13</f>
        <v>0</v>
      </c>
      <c r="AJ49" s="278">
        <f>'Calc1.2 - Residual Value'!AJ13</f>
        <v>0</v>
      </c>
      <c r="AK49" s="278">
        <f>'Calc1.2 - Residual Value'!AK13</f>
        <v>3620160.1115634376</v>
      </c>
    </row>
    <row r="50" spans="1:37" s="230" customFormat="1">
      <c r="B50" s="241" t="str">
        <f>B27</f>
        <v>Capital Costs</v>
      </c>
      <c r="C50" s="626">
        <f t="shared" si="14"/>
        <v>14.803503764985116</v>
      </c>
      <c r="D50" s="278">
        <f>'Capital Cost'!E5</f>
        <v>442825.37544530147</v>
      </c>
      <c r="E50" s="278">
        <f>'Capital Cost'!F5</f>
        <v>1962150.2161634064</v>
      </c>
      <c r="F50" s="278">
        <f>'Capital Cost'!G5</f>
        <v>2275820.4866522225</v>
      </c>
      <c r="G50" s="278">
        <f>'Capital Cost'!H5</f>
        <v>10122707.686724186</v>
      </c>
      <c r="H50" s="278">
        <f>'Capital Cost'!I5</f>
        <v>0</v>
      </c>
      <c r="I50" s="278">
        <f>'Capital Cost'!J5</f>
        <v>0</v>
      </c>
      <c r="J50" s="278">
        <f>'Capital Cost'!K5</f>
        <v>0</v>
      </c>
      <c r="K50" s="278">
        <f>'Capital Cost'!L5</f>
        <v>0</v>
      </c>
      <c r="L50" s="278">
        <f>'Capital Cost'!M5</f>
        <v>0</v>
      </c>
      <c r="M50" s="278">
        <f>'Capital Cost'!N5</f>
        <v>0</v>
      </c>
      <c r="N50" s="278">
        <f>'Capital Cost'!O5</f>
        <v>0</v>
      </c>
      <c r="O50" s="278">
        <f>'Capital Cost'!P5</f>
        <v>0</v>
      </c>
      <c r="P50" s="278">
        <f>'Capital Cost'!Q5</f>
        <v>0</v>
      </c>
      <c r="Q50" s="278">
        <f>'Capital Cost'!R5</f>
        <v>0</v>
      </c>
      <c r="R50" s="278">
        <f>'Capital Cost'!S5</f>
        <v>0</v>
      </c>
      <c r="S50" s="278">
        <f>'Capital Cost'!T5</f>
        <v>0</v>
      </c>
      <c r="T50" s="278">
        <f>'Capital Cost'!U5</f>
        <v>0</v>
      </c>
      <c r="U50" s="278">
        <f>'Capital Cost'!V5</f>
        <v>0</v>
      </c>
      <c r="V50" s="278">
        <f>'Capital Cost'!W5</f>
        <v>0</v>
      </c>
      <c r="W50" s="278">
        <f>'Capital Cost'!X5</f>
        <v>0</v>
      </c>
      <c r="X50" s="278">
        <f>'Capital Cost'!Y5</f>
        <v>0</v>
      </c>
      <c r="Y50" s="278">
        <f>'Capital Cost'!Z5</f>
        <v>0</v>
      </c>
      <c r="Z50" s="278">
        <f>'Capital Cost'!AA5</f>
        <v>0</v>
      </c>
      <c r="AA50" s="278">
        <f>'Capital Cost'!AB5</f>
        <v>0</v>
      </c>
      <c r="AB50" s="278">
        <f>'Capital Cost'!AC5</f>
        <v>0</v>
      </c>
      <c r="AC50" s="278">
        <f>'Capital Cost'!AD5</f>
        <v>0</v>
      </c>
      <c r="AD50" s="278">
        <f>'Capital Cost'!AE5</f>
        <v>0</v>
      </c>
      <c r="AE50" s="278">
        <f>'Capital Cost'!AF5</f>
        <v>0</v>
      </c>
      <c r="AF50" s="278">
        <f>'Capital Cost'!AG5</f>
        <v>0</v>
      </c>
      <c r="AG50" s="278">
        <f>'Capital Cost'!AH5</f>
        <v>0</v>
      </c>
      <c r="AH50" s="278">
        <f>'Capital Cost'!AI5</f>
        <v>0</v>
      </c>
      <c r="AI50" s="278">
        <f>'Capital Cost'!AJ5</f>
        <v>0</v>
      </c>
      <c r="AJ50" s="278">
        <f>'Capital Cost'!AK5</f>
        <v>0</v>
      </c>
      <c r="AK50" s="278">
        <f>'Capital Cost'!AL5</f>
        <v>0</v>
      </c>
    </row>
    <row r="51" spans="1:37" s="230" customFormat="1">
      <c r="B51" s="231" t="s">
        <v>11</v>
      </c>
      <c r="C51" s="627">
        <f t="shared" si="14"/>
        <v>42.802074620656256</v>
      </c>
      <c r="D51" s="279">
        <f>SUM(D43:D49)</f>
        <v>0</v>
      </c>
      <c r="E51" s="279">
        <f t="shared" ref="E51:AK51" si="15">SUM(E43:E49)</f>
        <v>0</v>
      </c>
      <c r="F51" s="279">
        <f t="shared" si="15"/>
        <v>0</v>
      </c>
      <c r="G51" s="279">
        <f t="shared" si="15"/>
        <v>0</v>
      </c>
      <c r="H51" s="279">
        <f t="shared" si="15"/>
        <v>12751803.565808287</v>
      </c>
      <c r="I51" s="279">
        <f t="shared" si="15"/>
        <v>521547.58925392752</v>
      </c>
      <c r="J51" s="279">
        <f t="shared" si="15"/>
        <v>540131.63164006686</v>
      </c>
      <c r="K51" s="279">
        <f t="shared" si="15"/>
        <v>559335.41879496467</v>
      </c>
      <c r="L51" s="279">
        <f t="shared" si="15"/>
        <v>579509.43723087583</v>
      </c>
      <c r="M51" s="279">
        <f t="shared" si="15"/>
        <v>601282.39931228955</v>
      </c>
      <c r="N51" s="279">
        <f t="shared" si="15"/>
        <v>623115.90131968423</v>
      </c>
      <c r="O51" s="279">
        <f t="shared" si="15"/>
        <v>645846.18443813559</v>
      </c>
      <c r="P51" s="279">
        <f t="shared" si="15"/>
        <v>669997.83701598633</v>
      </c>
      <c r="Q51" s="279">
        <f t="shared" si="15"/>
        <v>694995.67592028831</v>
      </c>
      <c r="R51" s="279">
        <f t="shared" si="15"/>
        <v>720715.26089157758</v>
      </c>
      <c r="S51" s="279">
        <f t="shared" si="15"/>
        <v>747565.46944138652</v>
      </c>
      <c r="T51" s="279">
        <f t="shared" si="15"/>
        <v>774978.48913436348</v>
      </c>
      <c r="U51" s="279">
        <f t="shared" si="15"/>
        <v>803940.85937783692</v>
      </c>
      <c r="V51" s="279">
        <f t="shared" si="15"/>
        <v>834228.27754415991</v>
      </c>
      <c r="W51" s="279">
        <f t="shared" si="15"/>
        <v>864968.63368267438</v>
      </c>
      <c r="X51" s="279">
        <f t="shared" si="15"/>
        <v>897563.16475377011</v>
      </c>
      <c r="Y51" s="279">
        <f t="shared" si="15"/>
        <v>932267.73085931409</v>
      </c>
      <c r="Z51" s="279">
        <f t="shared" si="15"/>
        <v>967656.88923456811</v>
      </c>
      <c r="AA51" s="279">
        <f t="shared" si="15"/>
        <v>1004491.7075320509</v>
      </c>
      <c r="AB51" s="279">
        <f t="shared" si="15"/>
        <v>1043371.4333334237</v>
      </c>
      <c r="AC51" s="279">
        <f t="shared" si="15"/>
        <v>1082710.675987686</v>
      </c>
      <c r="AD51" s="279">
        <f t="shared" si="15"/>
        <v>1125106.6730903261</v>
      </c>
      <c r="AE51" s="279">
        <f t="shared" si="15"/>
        <v>1168719.9868048551</v>
      </c>
      <c r="AF51" s="279">
        <f t="shared" si="15"/>
        <v>1213849.6877109909</v>
      </c>
      <c r="AG51" s="279">
        <f t="shared" si="15"/>
        <v>1260596.4729947762</v>
      </c>
      <c r="AH51" s="279">
        <f t="shared" si="15"/>
        <v>1309475.6577490198</v>
      </c>
      <c r="AI51" s="279">
        <f t="shared" si="15"/>
        <v>1360356.842010553</v>
      </c>
      <c r="AJ51" s="279">
        <f t="shared" si="15"/>
        <v>1413323.271180616</v>
      </c>
      <c r="AK51" s="279">
        <f t="shared" si="15"/>
        <v>5088621.7966078008</v>
      </c>
    </row>
    <row r="52" spans="1:37" s="230" customFormat="1">
      <c r="B52" s="231" t="s">
        <v>10</v>
      </c>
      <c r="C52" s="627">
        <f t="shared" si="14"/>
        <v>14.803503764985116</v>
      </c>
      <c r="D52" s="279">
        <f t="shared" ref="D52:AD52" si="16">SUM(D50:D50)</f>
        <v>442825.37544530147</v>
      </c>
      <c r="E52" s="279">
        <f t="shared" si="16"/>
        <v>1962150.2161634064</v>
      </c>
      <c r="F52" s="279">
        <f t="shared" si="16"/>
        <v>2275820.4866522225</v>
      </c>
      <c r="G52" s="279">
        <f t="shared" si="16"/>
        <v>10122707.686724186</v>
      </c>
      <c r="H52" s="279">
        <f t="shared" si="16"/>
        <v>0</v>
      </c>
      <c r="I52" s="279">
        <f t="shared" si="16"/>
        <v>0</v>
      </c>
      <c r="J52" s="279">
        <f t="shared" si="16"/>
        <v>0</v>
      </c>
      <c r="K52" s="279">
        <f t="shared" si="16"/>
        <v>0</v>
      </c>
      <c r="L52" s="279">
        <f t="shared" si="16"/>
        <v>0</v>
      </c>
      <c r="M52" s="279">
        <f t="shared" si="16"/>
        <v>0</v>
      </c>
      <c r="N52" s="279">
        <f t="shared" si="16"/>
        <v>0</v>
      </c>
      <c r="O52" s="279">
        <f t="shared" si="16"/>
        <v>0</v>
      </c>
      <c r="P52" s="279">
        <f t="shared" si="16"/>
        <v>0</v>
      </c>
      <c r="Q52" s="279">
        <f t="shared" si="16"/>
        <v>0</v>
      </c>
      <c r="R52" s="279">
        <f t="shared" si="16"/>
        <v>0</v>
      </c>
      <c r="S52" s="279">
        <f t="shared" si="16"/>
        <v>0</v>
      </c>
      <c r="T52" s="279">
        <f t="shared" si="16"/>
        <v>0</v>
      </c>
      <c r="U52" s="279">
        <f t="shared" si="16"/>
        <v>0</v>
      </c>
      <c r="V52" s="279">
        <f t="shared" si="16"/>
        <v>0</v>
      </c>
      <c r="W52" s="279">
        <f t="shared" si="16"/>
        <v>0</v>
      </c>
      <c r="X52" s="279">
        <f t="shared" si="16"/>
        <v>0</v>
      </c>
      <c r="Y52" s="279">
        <f t="shared" si="16"/>
        <v>0</v>
      </c>
      <c r="Z52" s="279">
        <f t="shared" si="16"/>
        <v>0</v>
      </c>
      <c r="AA52" s="279">
        <f t="shared" si="16"/>
        <v>0</v>
      </c>
      <c r="AB52" s="279">
        <f t="shared" si="16"/>
        <v>0</v>
      </c>
      <c r="AC52" s="279">
        <f t="shared" si="16"/>
        <v>0</v>
      </c>
      <c r="AD52" s="279">
        <f t="shared" si="16"/>
        <v>0</v>
      </c>
      <c r="AE52" s="279">
        <f t="shared" ref="AE52:AI52" si="17">SUM(AE50:AE50)</f>
        <v>0</v>
      </c>
      <c r="AF52" s="279">
        <f t="shared" si="17"/>
        <v>0</v>
      </c>
      <c r="AG52" s="279">
        <f t="shared" si="17"/>
        <v>0</v>
      </c>
      <c r="AH52" s="279">
        <f t="shared" si="17"/>
        <v>0</v>
      </c>
      <c r="AI52" s="279">
        <f t="shared" si="17"/>
        <v>0</v>
      </c>
      <c r="AJ52" s="1252">
        <f t="shared" ref="AJ52:AK52" si="18">SUM(AJ50:AJ50)</f>
        <v>0</v>
      </c>
      <c r="AK52" s="1248">
        <f t="shared" si="18"/>
        <v>0</v>
      </c>
    </row>
    <row r="53" spans="1:37" s="230" customFormat="1">
      <c r="B53" s="232" t="s">
        <v>281</v>
      </c>
      <c r="C53" s="628">
        <f t="shared" si="14"/>
        <v>27.998570855671133</v>
      </c>
      <c r="D53" s="296">
        <f t="shared" ref="D53:AD53" si="19">D51-D52</f>
        <v>-442825.37544530147</v>
      </c>
      <c r="E53" s="296">
        <f t="shared" si="19"/>
        <v>-1962150.2161634064</v>
      </c>
      <c r="F53" s="296">
        <f t="shared" si="19"/>
        <v>-2275820.4866522225</v>
      </c>
      <c r="G53" s="296">
        <f t="shared" si="19"/>
        <v>-10122707.686724186</v>
      </c>
      <c r="H53" s="296">
        <f t="shared" si="19"/>
        <v>12751803.565808287</v>
      </c>
      <c r="I53" s="296">
        <f t="shared" si="19"/>
        <v>521547.58925392752</v>
      </c>
      <c r="J53" s="296">
        <f t="shared" si="19"/>
        <v>540131.63164006686</v>
      </c>
      <c r="K53" s="296">
        <f t="shared" si="19"/>
        <v>559335.41879496467</v>
      </c>
      <c r="L53" s="296">
        <f t="shared" si="19"/>
        <v>579509.43723087583</v>
      </c>
      <c r="M53" s="296">
        <f t="shared" si="19"/>
        <v>601282.39931228955</v>
      </c>
      <c r="N53" s="296">
        <f t="shared" si="19"/>
        <v>623115.90131968423</v>
      </c>
      <c r="O53" s="296">
        <f t="shared" si="19"/>
        <v>645846.18443813559</v>
      </c>
      <c r="P53" s="296">
        <f t="shared" si="19"/>
        <v>669997.83701598633</v>
      </c>
      <c r="Q53" s="296">
        <f t="shared" si="19"/>
        <v>694995.67592028831</v>
      </c>
      <c r="R53" s="296">
        <f t="shared" si="19"/>
        <v>720715.26089157758</v>
      </c>
      <c r="S53" s="296">
        <f t="shared" si="19"/>
        <v>747565.46944138652</v>
      </c>
      <c r="T53" s="296">
        <f t="shared" si="19"/>
        <v>774978.48913436348</v>
      </c>
      <c r="U53" s="296">
        <f t="shared" si="19"/>
        <v>803940.85937783692</v>
      </c>
      <c r="V53" s="296">
        <f t="shared" si="19"/>
        <v>834228.27754415991</v>
      </c>
      <c r="W53" s="296">
        <f t="shared" si="19"/>
        <v>864968.63368267438</v>
      </c>
      <c r="X53" s="296">
        <f t="shared" si="19"/>
        <v>897563.16475377011</v>
      </c>
      <c r="Y53" s="296">
        <f t="shared" si="19"/>
        <v>932267.73085931409</v>
      </c>
      <c r="Z53" s="296">
        <f t="shared" si="19"/>
        <v>967656.88923456811</v>
      </c>
      <c r="AA53" s="296">
        <f t="shared" si="19"/>
        <v>1004491.7075320509</v>
      </c>
      <c r="AB53" s="296">
        <f t="shared" si="19"/>
        <v>1043371.4333334237</v>
      </c>
      <c r="AC53" s="296">
        <f t="shared" si="19"/>
        <v>1082710.675987686</v>
      </c>
      <c r="AD53" s="296">
        <f t="shared" si="19"/>
        <v>1125106.6730903261</v>
      </c>
      <c r="AE53" s="296">
        <f t="shared" ref="AE53:AI53" si="20">AE51-AE52</f>
        <v>1168719.9868048551</v>
      </c>
      <c r="AF53" s="296">
        <f t="shared" si="20"/>
        <v>1213849.6877109909</v>
      </c>
      <c r="AG53" s="296">
        <f t="shared" si="20"/>
        <v>1260596.4729947762</v>
      </c>
      <c r="AH53" s="296">
        <f t="shared" si="20"/>
        <v>1309475.6577490198</v>
      </c>
      <c r="AI53" s="296">
        <f t="shared" si="20"/>
        <v>1360356.842010553</v>
      </c>
      <c r="AJ53" s="1253">
        <f t="shared" ref="AJ53:AK53" si="21">AJ51-AJ52</f>
        <v>1413323.271180616</v>
      </c>
      <c r="AK53" s="1249">
        <f t="shared" si="21"/>
        <v>5088621.7966078008</v>
      </c>
    </row>
    <row r="54" spans="1:37" s="230" customFormat="1">
      <c r="A54" s="245"/>
      <c r="B54" s="290" t="s">
        <v>363</v>
      </c>
      <c r="C54" s="291"/>
      <c r="D54" s="294">
        <f>D53</f>
        <v>-442825.37544530147</v>
      </c>
      <c r="E54" s="294">
        <f t="shared" ref="E54:AD54" si="22">D54+E53</f>
        <v>-2404975.5916087078</v>
      </c>
      <c r="F54" s="294">
        <f t="shared" si="22"/>
        <v>-4680796.0782609303</v>
      </c>
      <c r="G54" s="294">
        <f>F54+G53</f>
        <v>-14803503.764985116</v>
      </c>
      <c r="H54" s="294">
        <f t="shared" si="22"/>
        <v>-2051700.1991768293</v>
      </c>
      <c r="I54" s="294">
        <f t="shared" si="22"/>
        <v>-1530152.6099229017</v>
      </c>
      <c r="J54" s="294">
        <f t="shared" si="22"/>
        <v>-990020.97828283487</v>
      </c>
      <c r="K54" s="294">
        <f t="shared" si="22"/>
        <v>-430685.5594878702</v>
      </c>
      <c r="L54" s="294">
        <f t="shared" si="22"/>
        <v>148823.87774300564</v>
      </c>
      <c r="M54" s="294">
        <f t="shared" si="22"/>
        <v>750106.27705529518</v>
      </c>
      <c r="N54" s="294">
        <f t="shared" si="22"/>
        <v>1373222.1783749794</v>
      </c>
      <c r="O54" s="294">
        <f t="shared" si="22"/>
        <v>2019068.3628131151</v>
      </c>
      <c r="P54" s="294">
        <f t="shared" si="22"/>
        <v>2689066.1998291016</v>
      </c>
      <c r="Q54" s="294">
        <f t="shared" si="22"/>
        <v>3384061.8757493896</v>
      </c>
      <c r="R54" s="294">
        <f t="shared" si="22"/>
        <v>4104777.1366409673</v>
      </c>
      <c r="S54" s="294">
        <f t="shared" si="22"/>
        <v>4852342.6060823537</v>
      </c>
      <c r="T54" s="294">
        <f t="shared" si="22"/>
        <v>5627321.0952167176</v>
      </c>
      <c r="U54" s="294">
        <f t="shared" si="22"/>
        <v>6431261.9545945544</v>
      </c>
      <c r="V54" s="294">
        <f t="shared" si="22"/>
        <v>7265490.2321387138</v>
      </c>
      <c r="W54" s="294">
        <f t="shared" si="22"/>
        <v>8130458.8658213886</v>
      </c>
      <c r="X54" s="294">
        <f t="shared" si="22"/>
        <v>9028022.0305751581</v>
      </c>
      <c r="Y54" s="294">
        <f t="shared" si="22"/>
        <v>9960289.7614344731</v>
      </c>
      <c r="Z54" s="294">
        <f t="shared" si="22"/>
        <v>10927946.650669042</v>
      </c>
      <c r="AA54" s="294">
        <f t="shared" si="22"/>
        <v>11932438.358201092</v>
      </c>
      <c r="AB54" s="294">
        <f t="shared" si="22"/>
        <v>12975809.791534515</v>
      </c>
      <c r="AC54" s="294">
        <f t="shared" si="22"/>
        <v>14058520.4675222</v>
      </c>
      <c r="AD54" s="294">
        <f t="shared" si="22"/>
        <v>15183627.140612526</v>
      </c>
      <c r="AE54" s="294">
        <f t="shared" ref="AE54" si="23">AD54+AE53</f>
        <v>16352347.127417382</v>
      </c>
      <c r="AF54" s="294">
        <f t="shared" ref="AF54" si="24">AE54+AF53</f>
        <v>17566196.815128371</v>
      </c>
      <c r="AG54" s="294">
        <f t="shared" ref="AG54" si="25">AF54+AG53</f>
        <v>18826793.288123146</v>
      </c>
      <c r="AH54" s="294">
        <f t="shared" ref="AH54" si="26">AG54+AH53</f>
        <v>20136268.945872165</v>
      </c>
      <c r="AI54" s="294">
        <f t="shared" ref="AI54:AK54" si="27">AH54+AI53</f>
        <v>21496625.787882719</v>
      </c>
      <c r="AJ54" s="1254">
        <f t="shared" si="27"/>
        <v>22909949.059063334</v>
      </c>
      <c r="AK54" s="1250">
        <f t="shared" si="27"/>
        <v>27998570.855671134</v>
      </c>
    </row>
    <row r="55" spans="1:37" s="230" customFormat="1">
      <c r="A55" s="245"/>
      <c r="B55" s="241" t="s">
        <v>534</v>
      </c>
      <c r="C55" s="276"/>
      <c r="D55" s="278">
        <f>D51</f>
        <v>0</v>
      </c>
      <c r="E55" s="278">
        <f t="shared" ref="E55:AD56" si="28">D55+E51</f>
        <v>0</v>
      </c>
      <c r="F55" s="278">
        <f t="shared" si="28"/>
        <v>0</v>
      </c>
      <c r="G55" s="278">
        <f>F55+G51</f>
        <v>0</v>
      </c>
      <c r="H55" s="278">
        <f t="shared" si="28"/>
        <v>12751803.565808287</v>
      </c>
      <c r="I55" s="278">
        <f t="shared" si="28"/>
        <v>13273351.155062214</v>
      </c>
      <c r="J55" s="278">
        <f t="shared" si="28"/>
        <v>13813482.786702281</v>
      </c>
      <c r="K55" s="278">
        <f t="shared" si="28"/>
        <v>14372818.205497246</v>
      </c>
      <c r="L55" s="278">
        <f t="shared" si="28"/>
        <v>14952327.642728122</v>
      </c>
      <c r="M55" s="278">
        <f t="shared" si="28"/>
        <v>15553610.042040411</v>
      </c>
      <c r="N55" s="278">
        <f t="shared" si="28"/>
        <v>16176725.943360096</v>
      </c>
      <c r="O55" s="278">
        <f t="shared" si="28"/>
        <v>16822572.127798233</v>
      </c>
      <c r="P55" s="278">
        <f t="shared" si="28"/>
        <v>17492569.96481422</v>
      </c>
      <c r="Q55" s="278">
        <f t="shared" si="28"/>
        <v>18187565.640734509</v>
      </c>
      <c r="R55" s="278">
        <f t="shared" si="28"/>
        <v>18908280.901626088</v>
      </c>
      <c r="S55" s="278">
        <f t="shared" si="28"/>
        <v>19655846.371067476</v>
      </c>
      <c r="T55" s="278">
        <f t="shared" si="28"/>
        <v>20430824.860201839</v>
      </c>
      <c r="U55" s="278">
        <f t="shared" si="28"/>
        <v>21234765.719579678</v>
      </c>
      <c r="V55" s="278">
        <f t="shared" si="28"/>
        <v>22068993.997123837</v>
      </c>
      <c r="W55" s="278">
        <f t="shared" si="28"/>
        <v>22933962.630806513</v>
      </c>
      <c r="X55" s="278">
        <f t="shared" si="28"/>
        <v>23831525.795560282</v>
      </c>
      <c r="Y55" s="278">
        <f t="shared" si="28"/>
        <v>24763793.526419595</v>
      </c>
      <c r="Z55" s="278">
        <f t="shared" si="28"/>
        <v>25731450.415654164</v>
      </c>
      <c r="AA55" s="278">
        <f t="shared" si="28"/>
        <v>26735942.123186216</v>
      </c>
      <c r="AB55" s="278">
        <f t="shared" si="28"/>
        <v>27779313.556519639</v>
      </c>
      <c r="AC55" s="278">
        <f t="shared" si="28"/>
        <v>28862024.232507326</v>
      </c>
      <c r="AD55" s="278">
        <f t="shared" si="28"/>
        <v>29987130.905597653</v>
      </c>
      <c r="AE55" s="278">
        <f t="shared" ref="AE55:AE56" si="29">AD55+AE51</f>
        <v>31155850.892402507</v>
      </c>
      <c r="AF55" s="278">
        <f t="shared" ref="AF55:AF56" si="30">AE55+AF51</f>
        <v>32369700.580113497</v>
      </c>
      <c r="AG55" s="278">
        <f t="shared" ref="AG55:AG56" si="31">AF55+AG51</f>
        <v>33630297.053108275</v>
      </c>
      <c r="AH55" s="278">
        <f t="shared" ref="AH55:AH56" si="32">AG55+AH51</f>
        <v>34939772.710857294</v>
      </c>
      <c r="AI55" s="278">
        <f t="shared" ref="AI55:AK56" si="33">AH55+AI51</f>
        <v>36300129.552867845</v>
      </c>
      <c r="AJ55" s="1247">
        <f t="shared" si="33"/>
        <v>37713452.82404846</v>
      </c>
      <c r="AK55" s="1246">
        <f t="shared" si="33"/>
        <v>42802074.620656259</v>
      </c>
    </row>
    <row r="56" spans="1:37" s="230" customFormat="1">
      <c r="A56" s="245"/>
      <c r="B56" s="292" t="s">
        <v>536</v>
      </c>
      <c r="C56" s="277"/>
      <c r="D56" s="295">
        <f>D52</f>
        <v>442825.37544530147</v>
      </c>
      <c r="E56" s="295">
        <f t="shared" si="28"/>
        <v>2404975.5916087078</v>
      </c>
      <c r="F56" s="295">
        <f t="shared" si="28"/>
        <v>4680796.0782609303</v>
      </c>
      <c r="G56" s="295">
        <f>F56+G52</f>
        <v>14803503.764985116</v>
      </c>
      <c r="H56" s="295">
        <f t="shared" si="28"/>
        <v>14803503.764985116</v>
      </c>
      <c r="I56" s="295">
        <f t="shared" si="28"/>
        <v>14803503.764985116</v>
      </c>
      <c r="J56" s="295">
        <f t="shared" si="28"/>
        <v>14803503.764985116</v>
      </c>
      <c r="K56" s="295">
        <f t="shared" si="28"/>
        <v>14803503.764985116</v>
      </c>
      <c r="L56" s="295">
        <f t="shared" si="28"/>
        <v>14803503.764985116</v>
      </c>
      <c r="M56" s="295">
        <f t="shared" si="28"/>
        <v>14803503.764985116</v>
      </c>
      <c r="N56" s="295">
        <f t="shared" si="28"/>
        <v>14803503.764985116</v>
      </c>
      <c r="O56" s="295">
        <f t="shared" si="28"/>
        <v>14803503.764985116</v>
      </c>
      <c r="P56" s="295">
        <f t="shared" si="28"/>
        <v>14803503.764985116</v>
      </c>
      <c r="Q56" s="295">
        <f t="shared" si="28"/>
        <v>14803503.764985116</v>
      </c>
      <c r="R56" s="295">
        <f t="shared" si="28"/>
        <v>14803503.764985116</v>
      </c>
      <c r="S56" s="295">
        <f t="shared" si="28"/>
        <v>14803503.764985116</v>
      </c>
      <c r="T56" s="295">
        <f t="shared" si="28"/>
        <v>14803503.764985116</v>
      </c>
      <c r="U56" s="295">
        <f t="shared" si="28"/>
        <v>14803503.764985116</v>
      </c>
      <c r="V56" s="295">
        <f t="shared" si="28"/>
        <v>14803503.764985116</v>
      </c>
      <c r="W56" s="295">
        <f t="shared" si="28"/>
        <v>14803503.764985116</v>
      </c>
      <c r="X56" s="295">
        <f t="shared" si="28"/>
        <v>14803503.764985116</v>
      </c>
      <c r="Y56" s="295">
        <f t="shared" si="28"/>
        <v>14803503.764985116</v>
      </c>
      <c r="Z56" s="295">
        <f t="shared" si="28"/>
        <v>14803503.764985116</v>
      </c>
      <c r="AA56" s="295">
        <f t="shared" si="28"/>
        <v>14803503.764985116</v>
      </c>
      <c r="AB56" s="295">
        <f t="shared" si="28"/>
        <v>14803503.764985116</v>
      </c>
      <c r="AC56" s="295">
        <f t="shared" si="28"/>
        <v>14803503.764985116</v>
      </c>
      <c r="AD56" s="295">
        <f t="shared" si="28"/>
        <v>14803503.764985116</v>
      </c>
      <c r="AE56" s="295">
        <f t="shared" si="29"/>
        <v>14803503.764985116</v>
      </c>
      <c r="AF56" s="295">
        <f t="shared" si="30"/>
        <v>14803503.764985116</v>
      </c>
      <c r="AG56" s="295">
        <f t="shared" si="31"/>
        <v>14803503.764985116</v>
      </c>
      <c r="AH56" s="295">
        <f t="shared" si="32"/>
        <v>14803503.764985116</v>
      </c>
      <c r="AI56" s="295">
        <f t="shared" si="33"/>
        <v>14803503.764985116</v>
      </c>
      <c r="AJ56" s="1255">
        <f t="shared" si="33"/>
        <v>14803503.764985116</v>
      </c>
      <c r="AK56" s="1251">
        <f t="shared" si="33"/>
        <v>14803503.764985116</v>
      </c>
    </row>
    <row r="57" spans="1:37" s="230" customFormat="1">
      <c r="A57" s="245"/>
      <c r="C57" s="240"/>
      <c r="D57" s="240"/>
      <c r="E57" s="240"/>
      <c r="F57" s="220"/>
      <c r="G57" s="220"/>
      <c r="H57" s="220"/>
      <c r="I57" s="220"/>
      <c r="J57" s="220"/>
      <c r="K57" s="220"/>
      <c r="L57" s="220"/>
      <c r="M57" s="220"/>
      <c r="N57" s="220"/>
      <c r="O57" s="220"/>
      <c r="P57" s="220"/>
      <c r="Q57" s="220"/>
      <c r="R57" s="220"/>
      <c r="S57" s="220"/>
      <c r="T57" s="220"/>
      <c r="U57" s="220"/>
      <c r="V57" s="220"/>
      <c r="W57" s="220"/>
      <c r="X57" s="220"/>
      <c r="Y57" s="220"/>
      <c r="Z57" s="225"/>
      <c r="AA57" s="225"/>
      <c r="AB57" s="225"/>
      <c r="AC57" s="225"/>
      <c r="AD57" s="225"/>
      <c r="AE57" s="225"/>
      <c r="AF57" s="225"/>
      <c r="AG57" s="225"/>
      <c r="AH57" s="225"/>
      <c r="AI57" s="225"/>
      <c r="AJ57" s="225"/>
      <c r="AK57" s="225"/>
    </row>
    <row r="58" spans="1:37" s="230" customFormat="1">
      <c r="A58" s="255" t="str">
        <f>"Summary of Results by Year, Discounted at "&amp;C3*100&amp;"%. All Values in 2019$"</f>
        <v>Summary of Results by Year, Discounted at 7%. All Values in 2019$</v>
      </c>
      <c r="C58" s="223"/>
      <c r="D58" s="223"/>
      <c r="E58" s="223"/>
      <c r="F58" s="220"/>
      <c r="G58" s="220"/>
      <c r="H58" s="220"/>
      <c r="I58" s="220"/>
      <c r="J58" s="220"/>
      <c r="K58" s="220"/>
      <c r="L58" s="220"/>
      <c r="M58" s="220"/>
      <c r="N58" s="220"/>
      <c r="O58" s="220"/>
      <c r="P58" s="220"/>
      <c r="Q58" s="220"/>
      <c r="R58" s="220"/>
      <c r="S58" s="220"/>
      <c r="T58" s="220"/>
      <c r="U58" s="220"/>
      <c r="V58" s="220"/>
      <c r="W58" s="220"/>
      <c r="X58" s="220"/>
      <c r="Y58" s="220"/>
      <c r="Z58" s="225"/>
      <c r="AA58" s="225"/>
      <c r="AB58" s="225"/>
      <c r="AC58" s="225"/>
      <c r="AD58" s="225"/>
      <c r="AE58" s="225"/>
      <c r="AF58" s="225"/>
      <c r="AG58" s="225"/>
      <c r="AH58" s="225"/>
      <c r="AI58" s="225"/>
      <c r="AJ58" s="225"/>
      <c r="AK58" s="225"/>
    </row>
    <row r="59" spans="1:37">
      <c r="A59" s="230"/>
      <c r="B59" s="173" t="s">
        <v>12</v>
      </c>
      <c r="C59" s="333" t="s">
        <v>533</v>
      </c>
      <c r="D59" s="499">
        <f>D$42</f>
        <v>2021</v>
      </c>
      <c r="E59" s="499">
        <f>E$42</f>
        <v>2022</v>
      </c>
      <c r="F59" s="499">
        <f>F$42</f>
        <v>2023</v>
      </c>
      <c r="G59" s="499">
        <f t="shared" ref="G59:AK59" si="34">G$42</f>
        <v>2024</v>
      </c>
      <c r="H59" s="499">
        <f t="shared" si="34"/>
        <v>2025</v>
      </c>
      <c r="I59" s="499">
        <f t="shared" si="34"/>
        <v>2026</v>
      </c>
      <c r="J59" s="499">
        <f t="shared" si="34"/>
        <v>2027</v>
      </c>
      <c r="K59" s="499">
        <f t="shared" si="34"/>
        <v>2028</v>
      </c>
      <c r="L59" s="499">
        <f t="shared" si="34"/>
        <v>2029</v>
      </c>
      <c r="M59" s="499">
        <f t="shared" si="34"/>
        <v>2030</v>
      </c>
      <c r="N59" s="499">
        <f t="shared" si="34"/>
        <v>2031</v>
      </c>
      <c r="O59" s="499">
        <f t="shared" si="34"/>
        <v>2032</v>
      </c>
      <c r="P59" s="499">
        <f t="shared" si="34"/>
        <v>2033</v>
      </c>
      <c r="Q59" s="499">
        <f t="shared" si="34"/>
        <v>2034</v>
      </c>
      <c r="R59" s="499">
        <f t="shared" si="34"/>
        <v>2035</v>
      </c>
      <c r="S59" s="499">
        <f t="shared" si="34"/>
        <v>2036</v>
      </c>
      <c r="T59" s="499">
        <f t="shared" si="34"/>
        <v>2037</v>
      </c>
      <c r="U59" s="499">
        <f t="shared" si="34"/>
        <v>2038</v>
      </c>
      <c r="V59" s="499">
        <f t="shared" si="34"/>
        <v>2039</v>
      </c>
      <c r="W59" s="499">
        <f t="shared" si="34"/>
        <v>2040</v>
      </c>
      <c r="X59" s="499">
        <f t="shared" si="34"/>
        <v>2041</v>
      </c>
      <c r="Y59" s="499">
        <f t="shared" si="34"/>
        <v>2042</v>
      </c>
      <c r="Z59" s="499">
        <f t="shared" si="34"/>
        <v>2043</v>
      </c>
      <c r="AA59" s="499">
        <f t="shared" si="34"/>
        <v>2044</v>
      </c>
      <c r="AB59" s="499">
        <f t="shared" si="34"/>
        <v>2045</v>
      </c>
      <c r="AC59" s="499">
        <f t="shared" si="34"/>
        <v>2046</v>
      </c>
      <c r="AD59" s="499">
        <f t="shared" si="34"/>
        <v>2047</v>
      </c>
      <c r="AE59" s="499">
        <f t="shared" si="34"/>
        <v>2048</v>
      </c>
      <c r="AF59" s="499">
        <f t="shared" si="34"/>
        <v>2049</v>
      </c>
      <c r="AG59" s="499">
        <f t="shared" si="34"/>
        <v>2050</v>
      </c>
      <c r="AH59" s="499">
        <f t="shared" si="34"/>
        <v>2051</v>
      </c>
      <c r="AI59" s="499">
        <f t="shared" si="34"/>
        <v>2052</v>
      </c>
      <c r="AJ59" s="1257">
        <f t="shared" si="34"/>
        <v>2053</v>
      </c>
      <c r="AK59" s="1256">
        <f t="shared" si="34"/>
        <v>2054</v>
      </c>
    </row>
    <row r="60" spans="1:37" s="230" customFormat="1">
      <c r="B60" s="241" t="str">
        <f t="shared" ref="B60:B66" si="35">B43</f>
        <v>Accident Cost Savings</v>
      </c>
      <c r="C60" s="626">
        <f t="shared" ref="C60:C70" si="36">SUMIF(D60:AK60,"&lt;&gt;#N/A")/10^6</f>
        <v>0.72980724506103756</v>
      </c>
      <c r="D60" s="278">
        <f>D43*D$95</f>
        <v>0</v>
      </c>
      <c r="E60" s="278">
        <f t="shared" ref="E60:AD60" si="37">E43*E$95</f>
        <v>0</v>
      </c>
      <c r="F60" s="278">
        <f t="shared" si="37"/>
        <v>0</v>
      </c>
      <c r="G60" s="278">
        <f t="shared" si="37"/>
        <v>0</v>
      </c>
      <c r="H60" s="278">
        <f t="shared" si="37"/>
        <v>47728.371655552051</v>
      </c>
      <c r="I60" s="278">
        <f t="shared" si="37"/>
        <v>45214.613097356378</v>
      </c>
      <c r="J60" s="278">
        <f t="shared" si="37"/>
        <v>42837.327297297219</v>
      </c>
      <c r="K60" s="278">
        <f t="shared" si="37"/>
        <v>40587.854100516808</v>
      </c>
      <c r="L60" s="278">
        <f t="shared" si="37"/>
        <v>38458.548614931045</v>
      </c>
      <c r="M60" s="278">
        <f t="shared" si="37"/>
        <v>36442.484564396458</v>
      </c>
      <c r="N60" s="278">
        <f t="shared" si="37"/>
        <v>34533.291746189279</v>
      </c>
      <c r="O60" s="278">
        <f t="shared" si="37"/>
        <v>32725.057527644527</v>
      </c>
      <c r="P60" s="278">
        <f t="shared" si="37"/>
        <v>31012.261878609675</v>
      </c>
      <c r="Q60" s="278">
        <f t="shared" si="37"/>
        <v>29389.731338866564</v>
      </c>
      <c r="R60" s="278">
        <f t="shared" si="37"/>
        <v>27852.604383458158</v>
      </c>
      <c r="S60" s="278">
        <f t="shared" si="37"/>
        <v>26396.304045966248</v>
      </c>
      <c r="T60" s="278">
        <f t="shared" si="37"/>
        <v>25016.515403207872</v>
      </c>
      <c r="U60" s="278">
        <f t="shared" si="37"/>
        <v>23709.166469512966</v>
      </c>
      <c r="V60" s="278">
        <f t="shared" si="37"/>
        <v>22470.411584905822</v>
      </c>
      <c r="W60" s="278">
        <f t="shared" si="37"/>
        <v>21296.616698251135</v>
      </c>
      <c r="X60" s="278">
        <f t="shared" si="37"/>
        <v>20184.346140257934</v>
      </c>
      <c r="Y60" s="278">
        <f t="shared" si="37"/>
        <v>19130.350603633167</v>
      </c>
      <c r="Z60" s="278">
        <f t="shared" si="37"/>
        <v>18131.556127194046</v>
      </c>
      <c r="AA60" s="278">
        <f t="shared" si="37"/>
        <v>17185.05393376611</v>
      </c>
      <c r="AB60" s="278">
        <f t="shared" si="37"/>
        <v>16288.091007903724</v>
      </c>
      <c r="AC60" s="278">
        <f t="shared" si="37"/>
        <v>15438.061324766049</v>
      </c>
      <c r="AD60" s="278">
        <f t="shared" si="37"/>
        <v>14632.497659534642</v>
      </c>
      <c r="AE60" s="278">
        <f t="shared" ref="AE60:AI60" si="38">AE43*AE$95</f>
        <v>13869.063919909355</v>
      </c>
      <c r="AF60" s="278">
        <f t="shared" si="38"/>
        <v>13145.547953990099</v>
      </c>
      <c r="AG60" s="278">
        <f t="shared" si="38"/>
        <v>12459.854793249971</v>
      </c>
      <c r="AH60" s="278">
        <f t="shared" si="38"/>
        <v>11810.000296012386</v>
      </c>
      <c r="AI60" s="278">
        <f t="shared" si="38"/>
        <v>11194.105161325286</v>
      </c>
      <c r="AJ60" s="1247">
        <f t="shared" ref="AJ60:AK60" si="39">AJ43*AJ$95</f>
        <v>10610.38928670484</v>
      </c>
      <c r="AK60" s="1246">
        <f t="shared" si="39"/>
        <v>10057.166446127974</v>
      </c>
    </row>
    <row r="61" spans="1:37" s="230" customFormat="1">
      <c r="B61" s="241" t="str">
        <f t="shared" si="35"/>
        <v xml:space="preserve">Travel Time Savings </v>
      </c>
      <c r="C61" s="626">
        <f t="shared" si="36"/>
        <v>5.8947933747501846</v>
      </c>
      <c r="D61" s="278">
        <f t="shared" ref="D61:AD61" si="40">D44*D$95</f>
        <v>0</v>
      </c>
      <c r="E61" s="278">
        <f t="shared" si="40"/>
        <v>0</v>
      </c>
      <c r="F61" s="278">
        <f t="shared" si="40"/>
        <v>0</v>
      </c>
      <c r="G61" s="278">
        <f t="shared" si="40"/>
        <v>0</v>
      </c>
      <c r="H61" s="278">
        <f t="shared" si="40"/>
        <v>286556.27418308856</v>
      </c>
      <c r="I61" s="278">
        <f t="shared" si="40"/>
        <v>278632.68666846963</v>
      </c>
      <c r="J61" s="278">
        <f t="shared" si="40"/>
        <v>270928.1948246074</v>
      </c>
      <c r="K61" s="278">
        <f t="shared" si="40"/>
        <v>263436.74042183621</v>
      </c>
      <c r="L61" s="278">
        <f t="shared" si="40"/>
        <v>256152.43274702053</v>
      </c>
      <c r="M61" s="278">
        <f t="shared" si="40"/>
        <v>249069.54397154474</v>
      </c>
      <c r="N61" s="278">
        <f t="shared" si="40"/>
        <v>242182.50464738079</v>
      </c>
      <c r="O61" s="278">
        <f t="shared" si="40"/>
        <v>235485.89932769677</v>
      </c>
      <c r="P61" s="278">
        <f t="shared" si="40"/>
        <v>228974.46230855962</v>
      </c>
      <c r="Q61" s="278">
        <f t="shared" si="40"/>
        <v>222643.07348838137</v>
      </c>
      <c r="R61" s="278">
        <f t="shared" si="40"/>
        <v>216486.7543418608</v>
      </c>
      <c r="S61" s="278">
        <f t="shared" si="40"/>
        <v>210500.6640052463</v>
      </c>
      <c r="T61" s="278">
        <f t="shared" si="40"/>
        <v>204680.09546984819</v>
      </c>
      <c r="U61" s="278">
        <f t="shared" si="40"/>
        <v>199020.47188080134</v>
      </c>
      <c r="V61" s="278">
        <f t="shared" si="40"/>
        <v>193517.34293817432</v>
      </c>
      <c r="W61" s="278">
        <f t="shared" si="40"/>
        <v>188166.38139758891</v>
      </c>
      <c r="X61" s="278">
        <f t="shared" si="40"/>
        <v>182963.37966760257</v>
      </c>
      <c r="Y61" s="278">
        <f t="shared" si="40"/>
        <v>177904.24650117778</v>
      </c>
      <c r="Z61" s="278">
        <f t="shared" si="40"/>
        <v>172985.00377863384</v>
      </c>
      <c r="AA61" s="278">
        <f t="shared" si="40"/>
        <v>168201.78337955452</v>
      </c>
      <c r="AB61" s="278">
        <f t="shared" si="40"/>
        <v>163550.82414119074</v>
      </c>
      <c r="AC61" s="278">
        <f t="shared" si="40"/>
        <v>159028.46890096695</v>
      </c>
      <c r="AD61" s="278">
        <f t="shared" si="40"/>
        <v>154631.16162076569</v>
      </c>
      <c r="AE61" s="278">
        <f t="shared" ref="AE61:AI61" si="41">AE44*AE$95</f>
        <v>150355.44459072591</v>
      </c>
      <c r="AF61" s="278">
        <f t="shared" si="41"/>
        <v>146197.9557103641</v>
      </c>
      <c r="AG61" s="278">
        <f t="shared" si="41"/>
        <v>142155.42584487141</v>
      </c>
      <c r="AH61" s="278">
        <f t="shared" si="41"/>
        <v>138224.67625451295</v>
      </c>
      <c r="AI61" s="278">
        <f t="shared" si="41"/>
        <v>134402.61609510856</v>
      </c>
      <c r="AJ61" s="1247">
        <f t="shared" ref="AJ61:AK61" si="42">AJ44*AJ$95</f>
        <v>130686.2399876257</v>
      </c>
      <c r="AK61" s="1246">
        <f t="shared" si="42"/>
        <v>127072.62565497668</v>
      </c>
    </row>
    <row r="62" spans="1:37" s="230" customFormat="1">
      <c r="B62" s="241" t="str">
        <f t="shared" si="35"/>
        <v>Emissions Cost Savings</v>
      </c>
      <c r="C62" s="626">
        <f t="shared" si="36"/>
        <v>5.4756430371836869E-2</v>
      </c>
      <c r="D62" s="278">
        <f t="shared" ref="D62:AD62" si="43">D45*D$95</f>
        <v>0</v>
      </c>
      <c r="E62" s="278">
        <f t="shared" si="43"/>
        <v>0</v>
      </c>
      <c r="F62" s="278">
        <f t="shared" si="43"/>
        <v>0</v>
      </c>
      <c r="G62" s="278">
        <f t="shared" si="43"/>
        <v>0</v>
      </c>
      <c r="H62" s="278">
        <f t="shared" si="43"/>
        <v>4163.737650108963</v>
      </c>
      <c r="I62" s="278">
        <f t="shared" si="43"/>
        <v>3855.3247867736509</v>
      </c>
      <c r="J62" s="278">
        <f t="shared" si="43"/>
        <v>3559.0464603102923</v>
      </c>
      <c r="K62" s="278">
        <f t="shared" si="43"/>
        <v>3265.217614435398</v>
      </c>
      <c r="L62" s="278">
        <f t="shared" si="43"/>
        <v>2978.9605589867192</v>
      </c>
      <c r="M62" s="278">
        <f t="shared" si="43"/>
        <v>2702.538503578427</v>
      </c>
      <c r="N62" s="278">
        <f t="shared" si="43"/>
        <v>2537.309837040827</v>
      </c>
      <c r="O62" s="278">
        <f t="shared" si="43"/>
        <v>2378.5624785046457</v>
      </c>
      <c r="P62" s="278">
        <f t="shared" si="43"/>
        <v>2226.0806393747034</v>
      </c>
      <c r="Q62" s="278">
        <f t="shared" si="43"/>
        <v>2098.3664504134954</v>
      </c>
      <c r="R62" s="278">
        <f t="shared" si="43"/>
        <v>1957.0056752984322</v>
      </c>
      <c r="S62" s="278">
        <f t="shared" si="43"/>
        <v>1821.3307882520571</v>
      </c>
      <c r="T62" s="278">
        <f t="shared" si="43"/>
        <v>1691.4455833137099</v>
      </c>
      <c r="U62" s="278">
        <f t="shared" si="43"/>
        <v>1566.8527445702396</v>
      </c>
      <c r="V62" s="278">
        <f t="shared" si="43"/>
        <v>1447.3726711310985</v>
      </c>
      <c r="W62" s="278">
        <f t="shared" si="43"/>
        <v>1332.831267205775</v>
      </c>
      <c r="X62" s="278">
        <f t="shared" si="43"/>
        <v>1293.8943245647281</v>
      </c>
      <c r="Y62" s="278">
        <f t="shared" si="43"/>
        <v>1269.118004502468</v>
      </c>
      <c r="Z62" s="278">
        <f t="shared" si="43"/>
        <v>1231.3403935208794</v>
      </c>
      <c r="AA62" s="278">
        <f t="shared" si="43"/>
        <v>1194.4031419798398</v>
      </c>
      <c r="AB62" s="278">
        <f t="shared" si="43"/>
        <v>1158.2963605128937</v>
      </c>
      <c r="AC62" s="278">
        <f t="shared" si="43"/>
        <v>1123.009851213423</v>
      </c>
      <c r="AD62" s="278">
        <f t="shared" si="43"/>
        <v>1088.5331381462622</v>
      </c>
      <c r="AE62" s="278">
        <f t="shared" ref="AE62:AI62" si="44">AE45*AE$95</f>
        <v>1054.855496245071</v>
      </c>
      <c r="AF62" s="278">
        <f t="shared" si="44"/>
        <v>1032.0656645825134</v>
      </c>
      <c r="AG62" s="278">
        <f t="shared" si="44"/>
        <v>999.55618348866244</v>
      </c>
      <c r="AH62" s="278">
        <f t="shared" si="44"/>
        <v>971.91738577526485</v>
      </c>
      <c r="AI62" s="278">
        <f t="shared" si="44"/>
        <v>945.04283038427002</v>
      </c>
      <c r="AJ62" s="1247">
        <f t="shared" ref="AJ62:AK62" si="45">AJ45*AJ$95</f>
        <v>918.91138519794481</v>
      </c>
      <c r="AK62" s="1246">
        <f t="shared" si="45"/>
        <v>893.50250242421123</v>
      </c>
    </row>
    <row r="63" spans="1:37" s="230" customFormat="1">
      <c r="B63" s="241" t="str">
        <f t="shared" si="35"/>
        <v xml:space="preserve">Vehicle Operating Cost Savings </v>
      </c>
      <c r="C63" s="626">
        <f t="shared" si="36"/>
        <v>0.65718290077804808</v>
      </c>
      <c r="D63" s="278">
        <f t="shared" ref="D63:AD63" si="46">D46*D$95</f>
        <v>0</v>
      </c>
      <c r="E63" s="278">
        <f t="shared" si="46"/>
        <v>0</v>
      </c>
      <c r="F63" s="278">
        <f t="shared" si="46"/>
        <v>0</v>
      </c>
      <c r="G63" s="278">
        <f t="shared" si="46"/>
        <v>0</v>
      </c>
      <c r="H63" s="278">
        <f t="shared" si="46"/>
        <v>27104.456235651971</v>
      </c>
      <c r="I63" s="278">
        <f t="shared" si="46"/>
        <v>26703.607738457064</v>
      </c>
      <c r="J63" s="278">
        <f t="shared" si="46"/>
        <v>26279.541390974569</v>
      </c>
      <c r="K63" s="278">
        <f t="shared" si="46"/>
        <v>25794.677780672471</v>
      </c>
      <c r="L63" s="278">
        <f t="shared" si="46"/>
        <v>25445.436295135976</v>
      </c>
      <c r="M63" s="278">
        <f t="shared" si="46"/>
        <v>25530.704344411646</v>
      </c>
      <c r="N63" s="278">
        <f t="shared" si="46"/>
        <v>25065.818857736707</v>
      </c>
      <c r="O63" s="278">
        <f t="shared" si="46"/>
        <v>24619.684798522376</v>
      </c>
      <c r="P63" s="278">
        <f t="shared" si="46"/>
        <v>24407.270213606393</v>
      </c>
      <c r="Q63" s="278">
        <f t="shared" si="46"/>
        <v>24111.27215115515</v>
      </c>
      <c r="R63" s="278">
        <f t="shared" si="46"/>
        <v>23717.800838962045</v>
      </c>
      <c r="S63" s="278">
        <f t="shared" si="46"/>
        <v>23363.139515774736</v>
      </c>
      <c r="T63" s="278">
        <f t="shared" si="46"/>
        <v>22833.6054402064</v>
      </c>
      <c r="U63" s="278">
        <f t="shared" si="46"/>
        <v>22462.591832438182</v>
      </c>
      <c r="V63" s="278">
        <f t="shared" si="46"/>
        <v>22141.79231238502</v>
      </c>
      <c r="W63" s="278">
        <f t="shared" si="46"/>
        <v>21607.798359251225</v>
      </c>
      <c r="X63" s="278">
        <f t="shared" si="46"/>
        <v>21181.078161066111</v>
      </c>
      <c r="Y63" s="278">
        <f t="shared" si="46"/>
        <v>20940.226628606255</v>
      </c>
      <c r="Z63" s="278">
        <f t="shared" si="46"/>
        <v>20540.778779460969</v>
      </c>
      <c r="AA63" s="278">
        <f t="shared" si="46"/>
        <v>20150.331979785318</v>
      </c>
      <c r="AB63" s="278">
        <f t="shared" si="46"/>
        <v>19874.872058805529</v>
      </c>
      <c r="AC63" s="278">
        <f t="shared" si="46"/>
        <v>19389.602249264928</v>
      </c>
      <c r="AD63" s="278">
        <f t="shared" si="46"/>
        <v>19171.704705486201</v>
      </c>
      <c r="AE63" s="278">
        <f t="shared" ref="AE63:AI63" si="47">AE46*AE$95</f>
        <v>18864.480087389406</v>
      </c>
      <c r="AF63" s="278">
        <f t="shared" si="47"/>
        <v>18509.088089055662</v>
      </c>
      <c r="AG63" s="278">
        <f t="shared" si="47"/>
        <v>18137.945747247384</v>
      </c>
      <c r="AH63" s="278">
        <f t="shared" si="47"/>
        <v>17800.30175546687</v>
      </c>
      <c r="AI63" s="278">
        <f t="shared" si="47"/>
        <v>17468.525806281432</v>
      </c>
      <c r="AJ63" s="1247">
        <f t="shared" ref="AJ63:AK63" si="48">AJ46*AJ$95</f>
        <v>17142.531915945758</v>
      </c>
      <c r="AK63" s="1246">
        <f t="shared" si="48"/>
        <v>16822.234708844331</v>
      </c>
    </row>
    <row r="64" spans="1:37" s="230" customFormat="1">
      <c r="B64" s="241" t="str">
        <f t="shared" si="35"/>
        <v>Land Value Increase</v>
      </c>
      <c r="C64" s="626">
        <f t="shared" si="36"/>
        <v>9.3440655554559804</v>
      </c>
      <c r="D64" s="278">
        <f t="shared" ref="D64:AD64" si="49">D47*D$95</f>
        <v>0</v>
      </c>
      <c r="E64" s="278">
        <f t="shared" si="49"/>
        <v>0</v>
      </c>
      <c r="F64" s="278">
        <f t="shared" si="49"/>
        <v>0</v>
      </c>
      <c r="G64" s="278">
        <f t="shared" si="49"/>
        <v>0</v>
      </c>
      <c r="H64" s="278">
        <f t="shared" si="49"/>
        <v>9344065.5554559808</v>
      </c>
      <c r="I64" s="278">
        <f t="shared" si="49"/>
        <v>0</v>
      </c>
      <c r="J64" s="278">
        <f t="shared" si="49"/>
        <v>0</v>
      </c>
      <c r="K64" s="278">
        <f t="shared" si="49"/>
        <v>0</v>
      </c>
      <c r="L64" s="278">
        <f t="shared" si="49"/>
        <v>0</v>
      </c>
      <c r="M64" s="278">
        <f t="shared" si="49"/>
        <v>0</v>
      </c>
      <c r="N64" s="278">
        <f t="shared" si="49"/>
        <v>0</v>
      </c>
      <c r="O64" s="278">
        <f t="shared" si="49"/>
        <v>0</v>
      </c>
      <c r="P64" s="278">
        <f t="shared" si="49"/>
        <v>0</v>
      </c>
      <c r="Q64" s="278">
        <f t="shared" si="49"/>
        <v>0</v>
      </c>
      <c r="R64" s="278">
        <f t="shared" si="49"/>
        <v>0</v>
      </c>
      <c r="S64" s="278">
        <f t="shared" si="49"/>
        <v>0</v>
      </c>
      <c r="T64" s="278">
        <f t="shared" si="49"/>
        <v>0</v>
      </c>
      <c r="U64" s="278">
        <f t="shared" si="49"/>
        <v>0</v>
      </c>
      <c r="V64" s="278">
        <f t="shared" si="49"/>
        <v>0</v>
      </c>
      <c r="W64" s="278">
        <f t="shared" si="49"/>
        <v>0</v>
      </c>
      <c r="X64" s="278">
        <f t="shared" si="49"/>
        <v>0</v>
      </c>
      <c r="Y64" s="278">
        <f t="shared" si="49"/>
        <v>0</v>
      </c>
      <c r="Z64" s="278">
        <f t="shared" si="49"/>
        <v>0</v>
      </c>
      <c r="AA64" s="278">
        <f t="shared" si="49"/>
        <v>0</v>
      </c>
      <c r="AB64" s="278">
        <f t="shared" si="49"/>
        <v>0</v>
      </c>
      <c r="AC64" s="278">
        <f t="shared" si="49"/>
        <v>0</v>
      </c>
      <c r="AD64" s="278">
        <f t="shared" si="49"/>
        <v>0</v>
      </c>
      <c r="AE64" s="278">
        <f t="shared" ref="AE64:AI64" si="50">AE47*AE$95</f>
        <v>0</v>
      </c>
      <c r="AF64" s="278">
        <f t="shared" si="50"/>
        <v>0</v>
      </c>
      <c r="AG64" s="278">
        <f t="shared" si="50"/>
        <v>0</v>
      </c>
      <c r="AH64" s="278">
        <f t="shared" si="50"/>
        <v>0</v>
      </c>
      <c r="AI64" s="278">
        <f t="shared" si="50"/>
        <v>0</v>
      </c>
      <c r="AJ64" s="1247">
        <f t="shared" ref="AJ64:AK64" si="51">AJ47*AJ$95</f>
        <v>0</v>
      </c>
      <c r="AK64" s="1246">
        <f t="shared" si="51"/>
        <v>0</v>
      </c>
    </row>
    <row r="65" spans="1:37" s="230" customFormat="1">
      <c r="B65" s="241" t="str">
        <f t="shared" si="35"/>
        <v>O&amp;M Costs Savings</v>
      </c>
      <c r="C65" s="626">
        <f t="shared" si="36"/>
        <v>0.24791396048264702</v>
      </c>
      <c r="D65" s="278">
        <f t="shared" ref="D65:AD65" si="52">D48*D$95</f>
        <v>0</v>
      </c>
      <c r="E65" s="278">
        <f t="shared" si="52"/>
        <v>0</v>
      </c>
      <c r="F65" s="278">
        <f t="shared" si="52"/>
        <v>0</v>
      </c>
      <c r="G65" s="278">
        <f t="shared" si="52"/>
        <v>0</v>
      </c>
      <c r="H65" s="278">
        <f t="shared" si="52"/>
        <v>18671.490145319873</v>
      </c>
      <c r="I65" s="278">
        <f t="shared" si="52"/>
        <v>17449.990790018572</v>
      </c>
      <c r="J65" s="278">
        <f t="shared" si="52"/>
        <v>16308.402607493994</v>
      </c>
      <c r="K65" s="278">
        <f t="shared" si="52"/>
        <v>15241.497764013076</v>
      </c>
      <c r="L65" s="278">
        <f t="shared" si="52"/>
        <v>14244.390433657081</v>
      </c>
      <c r="M65" s="278">
        <f t="shared" si="52"/>
        <v>13312.51442397858</v>
      </c>
      <c r="N65" s="278">
        <f t="shared" si="52"/>
        <v>12441.602265400543</v>
      </c>
      <c r="O65" s="278">
        <f t="shared" si="52"/>
        <v>11627.665668598636</v>
      </c>
      <c r="P65" s="278">
        <f t="shared" si="52"/>
        <v>10866.97726037256</v>
      </c>
      <c r="Q65" s="278">
        <f t="shared" si="52"/>
        <v>10156.053514366877</v>
      </c>
      <c r="R65" s="278">
        <f t="shared" si="52"/>
        <v>9491.6387984737175</v>
      </c>
      <c r="S65" s="278">
        <f t="shared" si="52"/>
        <v>8870.6904658632866</v>
      </c>
      <c r="T65" s="278">
        <f t="shared" si="52"/>
        <v>8290.3649213675581</v>
      </c>
      <c r="U65" s="278">
        <f t="shared" si="52"/>
        <v>7748.0045994089332</v>
      </c>
      <c r="V65" s="278">
        <f t="shared" si="52"/>
        <v>7241.1257938401232</v>
      </c>
      <c r="W65" s="278">
        <f t="shared" si="52"/>
        <v>6767.4072839627324</v>
      </c>
      <c r="X65" s="278">
        <f t="shared" si="52"/>
        <v>6324.679704638068</v>
      </c>
      <c r="Y65" s="278">
        <f t="shared" si="52"/>
        <v>5910.9156118112787</v>
      </c>
      <c r="Z65" s="278">
        <f t="shared" si="52"/>
        <v>5524.2201979544661</v>
      </c>
      <c r="AA65" s="278">
        <f t="shared" si="52"/>
        <v>5162.8226149107149</v>
      </c>
      <c r="AB65" s="278">
        <f t="shared" si="52"/>
        <v>4825.0678644025375</v>
      </c>
      <c r="AC65" s="278">
        <f t="shared" si="52"/>
        <v>4509.409219067792</v>
      </c>
      <c r="AD65" s="278">
        <f t="shared" si="52"/>
        <v>4214.4011393156943</v>
      </c>
      <c r="AE65" s="278">
        <f t="shared" ref="AE65:AI66" si="53">AE48*AE$95</f>
        <v>3938.6926535660682</v>
      </c>
      <c r="AF65" s="278">
        <f t="shared" si="53"/>
        <v>3681.0211715570736</v>
      </c>
      <c r="AG65" s="278">
        <f t="shared" si="53"/>
        <v>3440.2067023897885</v>
      </c>
      <c r="AH65" s="278">
        <f t="shared" si="53"/>
        <v>3215.1464508315785</v>
      </c>
      <c r="AI65" s="278">
        <f t="shared" si="53"/>
        <v>3004.8097671323153</v>
      </c>
      <c r="AJ65" s="1247">
        <f t="shared" ref="AJ65:AK66" si="54">AJ48*AJ$95</f>
        <v>2808.2334272264629</v>
      </c>
      <c r="AK65" s="1246">
        <f t="shared" si="54"/>
        <v>2624.5172217069749</v>
      </c>
    </row>
    <row r="66" spans="1:37" s="230" customFormat="1">
      <c r="B66" s="241" t="str">
        <f t="shared" si="35"/>
        <v>Residual Value</v>
      </c>
      <c r="C66" s="626">
        <f t="shared" si="36"/>
        <v>0.38820677926744362</v>
      </c>
      <c r="D66" s="278">
        <f t="shared" ref="D66:AD66" si="55">D49*D$95</f>
        <v>0</v>
      </c>
      <c r="E66" s="278">
        <f t="shared" si="55"/>
        <v>0</v>
      </c>
      <c r="F66" s="278">
        <f t="shared" si="55"/>
        <v>0</v>
      </c>
      <c r="G66" s="278">
        <f t="shared" si="55"/>
        <v>0</v>
      </c>
      <c r="H66" s="278">
        <f t="shared" si="55"/>
        <v>0</v>
      </c>
      <c r="I66" s="278">
        <f t="shared" si="55"/>
        <v>0</v>
      </c>
      <c r="J66" s="278">
        <f t="shared" si="55"/>
        <v>0</v>
      </c>
      <c r="K66" s="278">
        <f t="shared" si="55"/>
        <v>0</v>
      </c>
      <c r="L66" s="278">
        <f t="shared" si="55"/>
        <v>0</v>
      </c>
      <c r="M66" s="278">
        <f t="shared" si="55"/>
        <v>0</v>
      </c>
      <c r="N66" s="278">
        <f t="shared" si="55"/>
        <v>0</v>
      </c>
      <c r="O66" s="278">
        <f t="shared" si="55"/>
        <v>0</v>
      </c>
      <c r="P66" s="278">
        <f t="shared" si="55"/>
        <v>0</v>
      </c>
      <c r="Q66" s="278">
        <f t="shared" si="55"/>
        <v>0</v>
      </c>
      <c r="R66" s="278">
        <f t="shared" si="55"/>
        <v>0</v>
      </c>
      <c r="S66" s="278">
        <f t="shared" si="55"/>
        <v>0</v>
      </c>
      <c r="T66" s="278">
        <f t="shared" si="55"/>
        <v>0</v>
      </c>
      <c r="U66" s="278">
        <f t="shared" si="55"/>
        <v>0</v>
      </c>
      <c r="V66" s="278">
        <f t="shared" si="55"/>
        <v>0</v>
      </c>
      <c r="W66" s="278">
        <f t="shared" si="55"/>
        <v>0</v>
      </c>
      <c r="X66" s="278">
        <f t="shared" si="55"/>
        <v>0</v>
      </c>
      <c r="Y66" s="278">
        <f t="shared" si="55"/>
        <v>0</v>
      </c>
      <c r="Z66" s="278">
        <f t="shared" si="55"/>
        <v>0</v>
      </c>
      <c r="AA66" s="278">
        <f t="shared" si="55"/>
        <v>0</v>
      </c>
      <c r="AB66" s="278">
        <f t="shared" si="55"/>
        <v>0</v>
      </c>
      <c r="AC66" s="278">
        <f t="shared" si="55"/>
        <v>0</v>
      </c>
      <c r="AD66" s="278">
        <f t="shared" si="55"/>
        <v>0</v>
      </c>
      <c r="AE66" s="278">
        <f t="shared" si="53"/>
        <v>0</v>
      </c>
      <c r="AF66" s="278">
        <f t="shared" si="53"/>
        <v>0</v>
      </c>
      <c r="AG66" s="278">
        <f t="shared" si="53"/>
        <v>0</v>
      </c>
      <c r="AH66" s="278">
        <f t="shared" si="53"/>
        <v>0</v>
      </c>
      <c r="AI66" s="278">
        <f t="shared" si="53"/>
        <v>0</v>
      </c>
      <c r="AJ66" s="1247">
        <f t="shared" si="54"/>
        <v>0</v>
      </c>
      <c r="AK66" s="1246">
        <f t="shared" si="54"/>
        <v>388206.77926744364</v>
      </c>
    </row>
    <row r="67" spans="1:37" s="230" customFormat="1">
      <c r="B67" s="241" t="str">
        <f t="shared" ref="B67" si="56">B50</f>
        <v>Capital Costs</v>
      </c>
      <c r="C67" s="626">
        <f t="shared" si="36"/>
        <v>12.527545168895445</v>
      </c>
      <c r="D67" s="278">
        <f t="shared" ref="D67:AD67" si="57">D50*D$95</f>
        <v>442825.37544530147</v>
      </c>
      <c r="E67" s="278">
        <f t="shared" si="57"/>
        <v>1833785.2487508471</v>
      </c>
      <c r="F67" s="278">
        <f t="shared" si="57"/>
        <v>1987789.7516396386</v>
      </c>
      <c r="G67" s="278">
        <f t="shared" si="57"/>
        <v>8263144.7930596592</v>
      </c>
      <c r="H67" s="278">
        <f t="shared" si="57"/>
        <v>0</v>
      </c>
      <c r="I67" s="278">
        <f t="shared" si="57"/>
        <v>0</v>
      </c>
      <c r="J67" s="278">
        <f t="shared" si="57"/>
        <v>0</v>
      </c>
      <c r="K67" s="278">
        <f t="shared" si="57"/>
        <v>0</v>
      </c>
      <c r="L67" s="278">
        <f t="shared" si="57"/>
        <v>0</v>
      </c>
      <c r="M67" s="278">
        <f t="shared" si="57"/>
        <v>0</v>
      </c>
      <c r="N67" s="278">
        <f t="shared" si="57"/>
        <v>0</v>
      </c>
      <c r="O67" s="278">
        <f t="shared" si="57"/>
        <v>0</v>
      </c>
      <c r="P67" s="278">
        <f t="shared" si="57"/>
        <v>0</v>
      </c>
      <c r="Q67" s="278">
        <f t="shared" si="57"/>
        <v>0</v>
      </c>
      <c r="R67" s="278">
        <f t="shared" si="57"/>
        <v>0</v>
      </c>
      <c r="S67" s="278">
        <f t="shared" si="57"/>
        <v>0</v>
      </c>
      <c r="T67" s="278">
        <f t="shared" si="57"/>
        <v>0</v>
      </c>
      <c r="U67" s="278">
        <f t="shared" si="57"/>
        <v>0</v>
      </c>
      <c r="V67" s="278">
        <f t="shared" si="57"/>
        <v>0</v>
      </c>
      <c r="W67" s="278">
        <f t="shared" si="57"/>
        <v>0</v>
      </c>
      <c r="X67" s="278">
        <f t="shared" si="57"/>
        <v>0</v>
      </c>
      <c r="Y67" s="278">
        <f t="shared" si="57"/>
        <v>0</v>
      </c>
      <c r="Z67" s="278">
        <f t="shared" si="57"/>
        <v>0</v>
      </c>
      <c r="AA67" s="278">
        <f t="shared" si="57"/>
        <v>0</v>
      </c>
      <c r="AB67" s="278">
        <f t="shared" si="57"/>
        <v>0</v>
      </c>
      <c r="AC67" s="278">
        <f t="shared" si="57"/>
        <v>0</v>
      </c>
      <c r="AD67" s="278">
        <f t="shared" si="57"/>
        <v>0</v>
      </c>
      <c r="AE67" s="278">
        <f t="shared" ref="AE67:AI67" si="58">AE50*AE$95</f>
        <v>0</v>
      </c>
      <c r="AF67" s="278">
        <f t="shared" si="58"/>
        <v>0</v>
      </c>
      <c r="AG67" s="278">
        <f t="shared" si="58"/>
        <v>0</v>
      </c>
      <c r="AH67" s="278">
        <f t="shared" si="58"/>
        <v>0</v>
      </c>
      <c r="AI67" s="278">
        <f t="shared" si="58"/>
        <v>0</v>
      </c>
      <c r="AJ67" s="1247">
        <f t="shared" ref="AJ67:AK67" si="59">AJ50*AJ$95</f>
        <v>0</v>
      </c>
      <c r="AK67" s="1246">
        <f t="shared" si="59"/>
        <v>0</v>
      </c>
    </row>
    <row r="68" spans="1:37" s="230" customFormat="1">
      <c r="B68" s="231" t="s">
        <v>11</v>
      </c>
      <c r="C68" s="627">
        <f t="shared" si="36"/>
        <v>17.316726246167178</v>
      </c>
      <c r="D68" s="279">
        <f t="shared" ref="D68:AJ68" si="60">SUM(D60:D66)</f>
        <v>0</v>
      </c>
      <c r="E68" s="279">
        <f t="shared" si="60"/>
        <v>0</v>
      </c>
      <c r="F68" s="279">
        <f t="shared" si="60"/>
        <v>0</v>
      </c>
      <c r="G68" s="279">
        <f t="shared" si="60"/>
        <v>0</v>
      </c>
      <c r="H68" s="279">
        <f t="shared" si="60"/>
        <v>9728289.8853257019</v>
      </c>
      <c r="I68" s="279">
        <f t="shared" si="60"/>
        <v>371856.2230810753</v>
      </c>
      <c r="J68" s="279">
        <f t="shared" si="60"/>
        <v>359912.51258068351</v>
      </c>
      <c r="K68" s="279">
        <f t="shared" si="60"/>
        <v>348325.98768147401</v>
      </c>
      <c r="L68" s="279">
        <f t="shared" si="60"/>
        <v>337279.76864973136</v>
      </c>
      <c r="M68" s="279">
        <f t="shared" si="60"/>
        <v>327057.78580790985</v>
      </c>
      <c r="N68" s="279">
        <f t="shared" si="60"/>
        <v>316760.52735374816</v>
      </c>
      <c r="O68" s="279">
        <f t="shared" si="60"/>
        <v>306836.86980096693</v>
      </c>
      <c r="P68" s="279">
        <f t="shared" si="60"/>
        <v>297487.05230052298</v>
      </c>
      <c r="Q68" s="279">
        <f t="shared" si="60"/>
        <v>288398.49694318342</v>
      </c>
      <c r="R68" s="279">
        <f t="shared" si="60"/>
        <v>279505.80403805309</v>
      </c>
      <c r="S68" s="279">
        <f t="shared" si="60"/>
        <v>270952.12882110261</v>
      </c>
      <c r="T68" s="279">
        <f t="shared" si="60"/>
        <v>262512.02681794373</v>
      </c>
      <c r="U68" s="279">
        <f t="shared" si="60"/>
        <v>254507.08752673169</v>
      </c>
      <c r="V68" s="279">
        <f t="shared" si="60"/>
        <v>246818.04530043638</v>
      </c>
      <c r="W68" s="279">
        <f t="shared" si="60"/>
        <v>239171.03500625977</v>
      </c>
      <c r="X68" s="279">
        <f t="shared" si="60"/>
        <v>231947.37799812941</v>
      </c>
      <c r="Y68" s="279">
        <f t="shared" si="60"/>
        <v>225154.85734973094</v>
      </c>
      <c r="Z68" s="279">
        <f t="shared" si="60"/>
        <v>218412.89927676422</v>
      </c>
      <c r="AA68" s="279">
        <f t="shared" si="60"/>
        <v>211894.3950499965</v>
      </c>
      <c r="AB68" s="279">
        <f t="shared" si="60"/>
        <v>205697.15143281542</v>
      </c>
      <c r="AC68" s="279">
        <f t="shared" si="60"/>
        <v>199488.55154527916</v>
      </c>
      <c r="AD68" s="279">
        <f t="shared" si="60"/>
        <v>193738.29826324849</v>
      </c>
      <c r="AE68" s="279">
        <f t="shared" si="60"/>
        <v>188082.53674783581</v>
      </c>
      <c r="AF68" s="279">
        <f t="shared" si="60"/>
        <v>182565.67858954947</v>
      </c>
      <c r="AG68" s="279">
        <f t="shared" si="60"/>
        <v>177192.98927124721</v>
      </c>
      <c r="AH68" s="279">
        <f t="shared" si="60"/>
        <v>172022.04214259906</v>
      </c>
      <c r="AI68" s="279">
        <f t="shared" si="60"/>
        <v>167015.09966023185</v>
      </c>
      <c r="AJ68" s="1252">
        <f t="shared" si="60"/>
        <v>162166.3060027007</v>
      </c>
      <c r="AK68" s="1248">
        <f t="shared" ref="AK68" si="61">SUM(AK60:AK66)</f>
        <v>545676.82580152387</v>
      </c>
    </row>
    <row r="69" spans="1:37" s="230" customFormat="1">
      <c r="B69" s="231" t="s">
        <v>10</v>
      </c>
      <c r="C69" s="627">
        <f t="shared" si="36"/>
        <v>12.527545168895445</v>
      </c>
      <c r="D69" s="279">
        <f t="shared" ref="D69:AD69" si="62">SUM(D67:D67)</f>
        <v>442825.37544530147</v>
      </c>
      <c r="E69" s="279">
        <f t="shared" si="62"/>
        <v>1833785.2487508471</v>
      </c>
      <c r="F69" s="279">
        <f t="shared" si="62"/>
        <v>1987789.7516396386</v>
      </c>
      <c r="G69" s="279">
        <f t="shared" si="62"/>
        <v>8263144.7930596592</v>
      </c>
      <c r="H69" s="279">
        <f t="shared" si="62"/>
        <v>0</v>
      </c>
      <c r="I69" s="279">
        <f t="shared" si="62"/>
        <v>0</v>
      </c>
      <c r="J69" s="279">
        <f t="shared" si="62"/>
        <v>0</v>
      </c>
      <c r="K69" s="279">
        <f t="shared" si="62"/>
        <v>0</v>
      </c>
      <c r="L69" s="279">
        <f t="shared" si="62"/>
        <v>0</v>
      </c>
      <c r="M69" s="279">
        <f t="shared" si="62"/>
        <v>0</v>
      </c>
      <c r="N69" s="279">
        <f t="shared" si="62"/>
        <v>0</v>
      </c>
      <c r="O69" s="279">
        <f t="shared" si="62"/>
        <v>0</v>
      </c>
      <c r="P69" s="279">
        <f t="shared" si="62"/>
        <v>0</v>
      </c>
      <c r="Q69" s="279">
        <f t="shared" si="62"/>
        <v>0</v>
      </c>
      <c r="R69" s="279">
        <f t="shared" si="62"/>
        <v>0</v>
      </c>
      <c r="S69" s="279">
        <f t="shared" si="62"/>
        <v>0</v>
      </c>
      <c r="T69" s="279">
        <f t="shared" si="62"/>
        <v>0</v>
      </c>
      <c r="U69" s="279">
        <f t="shared" si="62"/>
        <v>0</v>
      </c>
      <c r="V69" s="279">
        <f t="shared" si="62"/>
        <v>0</v>
      </c>
      <c r="W69" s="279">
        <f t="shared" si="62"/>
        <v>0</v>
      </c>
      <c r="X69" s="279">
        <f t="shared" si="62"/>
        <v>0</v>
      </c>
      <c r="Y69" s="279">
        <f t="shared" si="62"/>
        <v>0</v>
      </c>
      <c r="Z69" s="279">
        <f t="shared" si="62"/>
        <v>0</v>
      </c>
      <c r="AA69" s="279">
        <f t="shared" si="62"/>
        <v>0</v>
      </c>
      <c r="AB69" s="279">
        <f t="shared" si="62"/>
        <v>0</v>
      </c>
      <c r="AC69" s="279">
        <f t="shared" si="62"/>
        <v>0</v>
      </c>
      <c r="AD69" s="279">
        <f t="shared" si="62"/>
        <v>0</v>
      </c>
      <c r="AE69" s="279">
        <f t="shared" ref="AE69:AI69" si="63">SUM(AE67:AE67)</f>
        <v>0</v>
      </c>
      <c r="AF69" s="279">
        <f t="shared" si="63"/>
        <v>0</v>
      </c>
      <c r="AG69" s="279">
        <f t="shared" si="63"/>
        <v>0</v>
      </c>
      <c r="AH69" s="279">
        <f t="shared" si="63"/>
        <v>0</v>
      </c>
      <c r="AI69" s="279">
        <f t="shared" si="63"/>
        <v>0</v>
      </c>
      <c r="AJ69" s="1252">
        <f t="shared" ref="AJ69:AK69" si="64">SUM(AJ67:AJ67)</f>
        <v>0</v>
      </c>
      <c r="AK69" s="1248">
        <f t="shared" si="64"/>
        <v>0</v>
      </c>
    </row>
    <row r="70" spans="1:37" s="230" customFormat="1">
      <c r="B70" s="232" t="s">
        <v>281</v>
      </c>
      <c r="C70" s="628">
        <f t="shared" si="36"/>
        <v>4.7891810772717314</v>
      </c>
      <c r="D70" s="296">
        <f t="shared" ref="D70:AD70" si="65">D68-D69</f>
        <v>-442825.37544530147</v>
      </c>
      <c r="E70" s="296">
        <f t="shared" si="65"/>
        <v>-1833785.2487508471</v>
      </c>
      <c r="F70" s="296">
        <f t="shared" si="65"/>
        <v>-1987789.7516396386</v>
      </c>
      <c r="G70" s="296">
        <f t="shared" si="65"/>
        <v>-8263144.7930596592</v>
      </c>
      <c r="H70" s="296">
        <f t="shared" si="65"/>
        <v>9728289.8853257019</v>
      </c>
      <c r="I70" s="296">
        <f t="shared" si="65"/>
        <v>371856.2230810753</v>
      </c>
      <c r="J70" s="296">
        <f t="shared" si="65"/>
        <v>359912.51258068351</v>
      </c>
      <c r="K70" s="296">
        <f t="shared" si="65"/>
        <v>348325.98768147401</v>
      </c>
      <c r="L70" s="296">
        <f t="shared" si="65"/>
        <v>337279.76864973136</v>
      </c>
      <c r="M70" s="296">
        <f t="shared" si="65"/>
        <v>327057.78580790985</v>
      </c>
      <c r="N70" s="296">
        <f t="shared" si="65"/>
        <v>316760.52735374816</v>
      </c>
      <c r="O70" s="296">
        <f t="shared" si="65"/>
        <v>306836.86980096693</v>
      </c>
      <c r="P70" s="296">
        <f t="shared" si="65"/>
        <v>297487.05230052298</v>
      </c>
      <c r="Q70" s="296">
        <f t="shared" si="65"/>
        <v>288398.49694318342</v>
      </c>
      <c r="R70" s="296">
        <f t="shared" si="65"/>
        <v>279505.80403805309</v>
      </c>
      <c r="S70" s="296">
        <f t="shared" si="65"/>
        <v>270952.12882110261</v>
      </c>
      <c r="T70" s="296">
        <f t="shared" si="65"/>
        <v>262512.02681794373</v>
      </c>
      <c r="U70" s="296">
        <f t="shared" si="65"/>
        <v>254507.08752673169</v>
      </c>
      <c r="V70" s="296">
        <f t="shared" si="65"/>
        <v>246818.04530043638</v>
      </c>
      <c r="W70" s="296">
        <f t="shared" si="65"/>
        <v>239171.03500625977</v>
      </c>
      <c r="X70" s="296">
        <f t="shared" si="65"/>
        <v>231947.37799812941</v>
      </c>
      <c r="Y70" s="296">
        <f t="shared" si="65"/>
        <v>225154.85734973094</v>
      </c>
      <c r="Z70" s="296">
        <f t="shared" si="65"/>
        <v>218412.89927676422</v>
      </c>
      <c r="AA70" s="296">
        <f t="shared" si="65"/>
        <v>211894.3950499965</v>
      </c>
      <c r="AB70" s="296">
        <f t="shared" si="65"/>
        <v>205697.15143281542</v>
      </c>
      <c r="AC70" s="296">
        <f t="shared" si="65"/>
        <v>199488.55154527916</v>
      </c>
      <c r="AD70" s="296">
        <f t="shared" si="65"/>
        <v>193738.29826324849</v>
      </c>
      <c r="AE70" s="296">
        <f t="shared" ref="AE70:AI70" si="66">AE68-AE69</f>
        <v>188082.53674783581</v>
      </c>
      <c r="AF70" s="296">
        <f t="shared" si="66"/>
        <v>182565.67858954947</v>
      </c>
      <c r="AG70" s="296">
        <f t="shared" si="66"/>
        <v>177192.98927124721</v>
      </c>
      <c r="AH70" s="296">
        <f t="shared" si="66"/>
        <v>172022.04214259906</v>
      </c>
      <c r="AI70" s="296">
        <f t="shared" si="66"/>
        <v>167015.09966023185</v>
      </c>
      <c r="AJ70" s="1253">
        <f t="shared" ref="AJ70:AK70" si="67">AJ68-AJ69</f>
        <v>162166.3060027007</v>
      </c>
      <c r="AK70" s="1249">
        <f t="shared" si="67"/>
        <v>545676.82580152387</v>
      </c>
    </row>
    <row r="71" spans="1:37" s="230" customFormat="1">
      <c r="B71" s="290" t="s">
        <v>363</v>
      </c>
      <c r="C71" s="291"/>
      <c r="D71" s="294">
        <f>D70</f>
        <v>-442825.37544530147</v>
      </c>
      <c r="E71" s="294">
        <f t="shared" ref="E71:AD71" si="68">D71+E70</f>
        <v>-2276610.6241961485</v>
      </c>
      <c r="F71" s="294">
        <f t="shared" si="68"/>
        <v>-4264400.3758357875</v>
      </c>
      <c r="G71" s="294">
        <f>F71+G70</f>
        <v>-12527545.168895446</v>
      </c>
      <c r="H71" s="294">
        <f t="shared" si="68"/>
        <v>-2799255.2835697439</v>
      </c>
      <c r="I71" s="294">
        <f t="shared" si="68"/>
        <v>-2427399.0604886687</v>
      </c>
      <c r="J71" s="294">
        <f t="shared" si="68"/>
        <v>-2067486.5479079853</v>
      </c>
      <c r="K71" s="294">
        <f t="shared" si="68"/>
        <v>-1719160.5602265112</v>
      </c>
      <c r="L71" s="294">
        <f t="shared" si="68"/>
        <v>-1381880.7915767799</v>
      </c>
      <c r="M71" s="294">
        <f t="shared" si="68"/>
        <v>-1054823.00576887</v>
      </c>
      <c r="N71" s="294">
        <f t="shared" si="68"/>
        <v>-738062.47841512179</v>
      </c>
      <c r="O71" s="294">
        <f t="shared" si="68"/>
        <v>-431225.60861415486</v>
      </c>
      <c r="P71" s="294">
        <f t="shared" si="68"/>
        <v>-133738.55631363188</v>
      </c>
      <c r="Q71" s="294">
        <f t="shared" si="68"/>
        <v>154659.94062955154</v>
      </c>
      <c r="R71" s="294">
        <f t="shared" si="68"/>
        <v>434165.74466760462</v>
      </c>
      <c r="S71" s="294">
        <f t="shared" si="68"/>
        <v>705117.87348870724</v>
      </c>
      <c r="T71" s="294">
        <f t="shared" si="68"/>
        <v>967629.9003066509</v>
      </c>
      <c r="U71" s="294">
        <f t="shared" si="68"/>
        <v>1222136.9878333826</v>
      </c>
      <c r="V71" s="294">
        <f t="shared" si="68"/>
        <v>1468955.033133819</v>
      </c>
      <c r="W71" s="294">
        <f t="shared" si="68"/>
        <v>1708126.0681400788</v>
      </c>
      <c r="X71" s="294">
        <f t="shared" si="68"/>
        <v>1940073.4461382083</v>
      </c>
      <c r="Y71" s="294">
        <f t="shared" si="68"/>
        <v>2165228.3034879393</v>
      </c>
      <c r="Z71" s="294">
        <f t="shared" si="68"/>
        <v>2383641.2027647034</v>
      </c>
      <c r="AA71" s="294">
        <f t="shared" si="68"/>
        <v>2595535.5978147001</v>
      </c>
      <c r="AB71" s="294">
        <f t="shared" si="68"/>
        <v>2801232.7492475156</v>
      </c>
      <c r="AC71" s="294">
        <f t="shared" si="68"/>
        <v>3000721.3007927947</v>
      </c>
      <c r="AD71" s="294">
        <f t="shared" si="68"/>
        <v>3194459.5990560432</v>
      </c>
      <c r="AE71" s="294">
        <f t="shared" ref="AE71" si="69">AD71+AE70</f>
        <v>3382542.1358038792</v>
      </c>
      <c r="AF71" s="294">
        <f t="shared" ref="AF71" si="70">AE71+AF70</f>
        <v>3565107.8143934286</v>
      </c>
      <c r="AG71" s="294">
        <f t="shared" ref="AG71" si="71">AF71+AG70</f>
        <v>3742300.8036646759</v>
      </c>
      <c r="AH71" s="294">
        <f t="shared" ref="AH71" si="72">AG71+AH70</f>
        <v>3914322.8458072748</v>
      </c>
      <c r="AI71" s="294">
        <f t="shared" ref="AI71:AK71" si="73">AH71+AI70</f>
        <v>4081337.9454675065</v>
      </c>
      <c r="AJ71" s="1254">
        <f t="shared" si="73"/>
        <v>4243504.2514702072</v>
      </c>
      <c r="AK71" s="1250">
        <f t="shared" si="73"/>
        <v>4789181.0772717316</v>
      </c>
    </row>
    <row r="72" spans="1:37" s="230" customFormat="1">
      <c r="B72" s="241" t="s">
        <v>534</v>
      </c>
      <c r="C72" s="276"/>
      <c r="D72" s="278">
        <f>D68</f>
        <v>0</v>
      </c>
      <c r="E72" s="278">
        <f t="shared" ref="E72:AD73" si="74">D72+E68</f>
        <v>0</v>
      </c>
      <c r="F72" s="278">
        <f t="shared" si="74"/>
        <v>0</v>
      </c>
      <c r="G72" s="278">
        <f>F72+G68</f>
        <v>0</v>
      </c>
      <c r="H72" s="278">
        <f t="shared" si="74"/>
        <v>9728289.8853257019</v>
      </c>
      <c r="I72" s="278">
        <f t="shared" si="74"/>
        <v>10100146.108406777</v>
      </c>
      <c r="J72" s="278">
        <f t="shared" si="74"/>
        <v>10460058.62098746</v>
      </c>
      <c r="K72" s="278">
        <f t="shared" si="74"/>
        <v>10808384.608668935</v>
      </c>
      <c r="L72" s="278">
        <f t="shared" si="74"/>
        <v>11145664.377318665</v>
      </c>
      <c r="M72" s="278">
        <f t="shared" si="74"/>
        <v>11472722.163126575</v>
      </c>
      <c r="N72" s="278">
        <f t="shared" si="74"/>
        <v>11789482.690480324</v>
      </c>
      <c r="O72" s="278">
        <f t="shared" si="74"/>
        <v>12096319.56028129</v>
      </c>
      <c r="P72" s="278">
        <f t="shared" si="74"/>
        <v>12393806.612581812</v>
      </c>
      <c r="Q72" s="278">
        <f t="shared" si="74"/>
        <v>12682205.109524995</v>
      </c>
      <c r="R72" s="278">
        <f t="shared" si="74"/>
        <v>12961710.913563048</v>
      </c>
      <c r="S72" s="278">
        <f t="shared" si="74"/>
        <v>13232663.042384151</v>
      </c>
      <c r="T72" s="278">
        <f t="shared" si="74"/>
        <v>13495175.069202095</v>
      </c>
      <c r="U72" s="278">
        <f t="shared" si="74"/>
        <v>13749682.156728826</v>
      </c>
      <c r="V72" s="278">
        <f t="shared" si="74"/>
        <v>13996500.202029264</v>
      </c>
      <c r="W72" s="278">
        <f t="shared" si="74"/>
        <v>14235671.237035524</v>
      </c>
      <c r="X72" s="278">
        <f t="shared" si="74"/>
        <v>14467618.615033653</v>
      </c>
      <c r="Y72" s="278">
        <f t="shared" si="74"/>
        <v>14692773.472383384</v>
      </c>
      <c r="Z72" s="278">
        <f t="shared" si="74"/>
        <v>14911186.371660149</v>
      </c>
      <c r="AA72" s="278">
        <f t="shared" si="74"/>
        <v>15123080.766710145</v>
      </c>
      <c r="AB72" s="278">
        <f t="shared" si="74"/>
        <v>15328777.918142961</v>
      </c>
      <c r="AC72" s="278">
        <f t="shared" si="74"/>
        <v>15528266.46968824</v>
      </c>
      <c r="AD72" s="278">
        <f t="shared" si="74"/>
        <v>15722004.767951488</v>
      </c>
      <c r="AE72" s="278">
        <f t="shared" ref="AE72:AE73" si="75">AD72+AE68</f>
        <v>15910087.304699324</v>
      </c>
      <c r="AF72" s="278">
        <f t="shared" ref="AF72:AF73" si="76">AE72+AF68</f>
        <v>16092652.983288873</v>
      </c>
      <c r="AG72" s="278">
        <f t="shared" ref="AG72:AG73" si="77">AF72+AG68</f>
        <v>16269845.972560121</v>
      </c>
      <c r="AH72" s="278">
        <f t="shared" ref="AH72:AH73" si="78">AG72+AH68</f>
        <v>16441868.014702721</v>
      </c>
      <c r="AI72" s="278">
        <f t="shared" ref="AI72:AK73" si="79">AH72+AI68</f>
        <v>16608883.114362953</v>
      </c>
      <c r="AJ72" s="1247">
        <f t="shared" si="79"/>
        <v>16771049.420365654</v>
      </c>
      <c r="AK72" s="1246">
        <f t="shared" si="79"/>
        <v>17316726.246167179</v>
      </c>
    </row>
    <row r="73" spans="1:37" s="230" customFormat="1">
      <c r="B73" s="292" t="s">
        <v>536</v>
      </c>
      <c r="C73" s="277"/>
      <c r="D73" s="295">
        <f>D69</f>
        <v>442825.37544530147</v>
      </c>
      <c r="E73" s="295">
        <f t="shared" si="74"/>
        <v>2276610.6241961485</v>
      </c>
      <c r="F73" s="295">
        <f t="shared" si="74"/>
        <v>4264400.3758357875</v>
      </c>
      <c r="G73" s="295">
        <f>F73+G69</f>
        <v>12527545.168895446</v>
      </c>
      <c r="H73" s="295">
        <f t="shared" si="74"/>
        <v>12527545.168895446</v>
      </c>
      <c r="I73" s="295">
        <f t="shared" si="74"/>
        <v>12527545.168895446</v>
      </c>
      <c r="J73" s="295">
        <f t="shared" si="74"/>
        <v>12527545.168895446</v>
      </c>
      <c r="K73" s="295">
        <f t="shared" si="74"/>
        <v>12527545.168895446</v>
      </c>
      <c r="L73" s="295">
        <f t="shared" si="74"/>
        <v>12527545.168895446</v>
      </c>
      <c r="M73" s="295">
        <f t="shared" si="74"/>
        <v>12527545.168895446</v>
      </c>
      <c r="N73" s="295">
        <f t="shared" si="74"/>
        <v>12527545.168895446</v>
      </c>
      <c r="O73" s="295">
        <f t="shared" si="74"/>
        <v>12527545.168895446</v>
      </c>
      <c r="P73" s="295">
        <f t="shared" si="74"/>
        <v>12527545.168895446</v>
      </c>
      <c r="Q73" s="295">
        <f t="shared" si="74"/>
        <v>12527545.168895446</v>
      </c>
      <c r="R73" s="295">
        <f t="shared" si="74"/>
        <v>12527545.168895446</v>
      </c>
      <c r="S73" s="295">
        <f t="shared" si="74"/>
        <v>12527545.168895446</v>
      </c>
      <c r="T73" s="295">
        <f t="shared" si="74"/>
        <v>12527545.168895446</v>
      </c>
      <c r="U73" s="295">
        <f t="shared" si="74"/>
        <v>12527545.168895446</v>
      </c>
      <c r="V73" s="295">
        <f t="shared" si="74"/>
        <v>12527545.168895446</v>
      </c>
      <c r="W73" s="295">
        <f t="shared" si="74"/>
        <v>12527545.168895446</v>
      </c>
      <c r="X73" s="295">
        <f t="shared" si="74"/>
        <v>12527545.168895446</v>
      </c>
      <c r="Y73" s="295">
        <f t="shared" si="74"/>
        <v>12527545.168895446</v>
      </c>
      <c r="Z73" s="295">
        <f t="shared" si="74"/>
        <v>12527545.168895446</v>
      </c>
      <c r="AA73" s="295">
        <f t="shared" si="74"/>
        <v>12527545.168895446</v>
      </c>
      <c r="AB73" s="295">
        <f t="shared" si="74"/>
        <v>12527545.168895446</v>
      </c>
      <c r="AC73" s="295">
        <f t="shared" si="74"/>
        <v>12527545.168895446</v>
      </c>
      <c r="AD73" s="295">
        <f t="shared" si="74"/>
        <v>12527545.168895446</v>
      </c>
      <c r="AE73" s="295">
        <f t="shared" si="75"/>
        <v>12527545.168895446</v>
      </c>
      <c r="AF73" s="295">
        <f t="shared" si="76"/>
        <v>12527545.168895446</v>
      </c>
      <c r="AG73" s="295">
        <f t="shared" si="77"/>
        <v>12527545.168895446</v>
      </c>
      <c r="AH73" s="295">
        <f t="shared" si="78"/>
        <v>12527545.168895446</v>
      </c>
      <c r="AI73" s="295">
        <f t="shared" si="79"/>
        <v>12527545.168895446</v>
      </c>
      <c r="AJ73" s="1255">
        <f t="shared" si="79"/>
        <v>12527545.168895446</v>
      </c>
      <c r="AK73" s="1251">
        <f t="shared" si="79"/>
        <v>12527545.168895446</v>
      </c>
    </row>
    <row r="74" spans="1:37" s="230" customFormat="1">
      <c r="C74" s="240"/>
      <c r="D74" s="240"/>
      <c r="E74" s="240"/>
      <c r="F74" s="220"/>
      <c r="G74" s="220"/>
      <c r="H74" s="220"/>
      <c r="I74" s="220"/>
      <c r="J74" s="220"/>
      <c r="K74" s="220"/>
      <c r="L74" s="220"/>
      <c r="M74" s="220"/>
      <c r="N74" s="220"/>
      <c r="O74" s="220"/>
      <c r="P74" s="220"/>
      <c r="Q74" s="220"/>
      <c r="R74" s="220"/>
      <c r="S74" s="220"/>
      <c r="T74" s="220"/>
      <c r="U74" s="220"/>
      <c r="V74" s="220"/>
      <c r="W74" s="220"/>
      <c r="X74" s="220"/>
      <c r="Y74" s="220"/>
      <c r="Z74" s="225"/>
      <c r="AA74" s="225"/>
      <c r="AB74" s="225"/>
      <c r="AC74" s="225"/>
      <c r="AD74" s="225"/>
      <c r="AE74" s="225"/>
      <c r="AF74" s="225"/>
      <c r="AG74" s="225"/>
      <c r="AH74" s="225"/>
      <c r="AI74" s="225"/>
      <c r="AJ74" s="225"/>
      <c r="AK74" s="225"/>
    </row>
    <row r="75" spans="1:37" s="230" customFormat="1">
      <c r="A75" s="255" t="str">
        <f>"Summary of Results by Year, Discounted at "&amp;C4*100&amp;"%. All Values in 2019$"</f>
        <v>Summary of Results by Year, Discounted at 3%. All Values in 2019$</v>
      </c>
      <c r="C75" s="223"/>
      <c r="D75" s="223"/>
      <c r="E75" s="223"/>
      <c r="F75" s="220"/>
      <c r="G75" s="220"/>
      <c r="H75" s="220"/>
      <c r="I75" s="220"/>
      <c r="J75" s="220"/>
      <c r="K75" s="220"/>
      <c r="L75" s="220"/>
      <c r="M75" s="220"/>
      <c r="N75" s="220"/>
      <c r="O75" s="220"/>
      <c r="P75" s="220"/>
      <c r="Q75" s="220"/>
      <c r="R75" s="220"/>
      <c r="S75" s="220"/>
      <c r="T75" s="220"/>
      <c r="U75" s="220"/>
      <c r="V75" s="220"/>
      <c r="W75" s="220"/>
      <c r="X75" s="220"/>
      <c r="Y75" s="220"/>
      <c r="Z75" s="225"/>
      <c r="AA75" s="225"/>
      <c r="AB75" s="225"/>
      <c r="AC75" s="225"/>
      <c r="AD75" s="225"/>
      <c r="AE75" s="225"/>
      <c r="AF75" s="225"/>
      <c r="AG75" s="225"/>
      <c r="AH75" s="225"/>
      <c r="AI75" s="225"/>
      <c r="AJ75" s="225"/>
      <c r="AK75" s="225"/>
    </row>
    <row r="76" spans="1:37" s="230" customFormat="1">
      <c r="B76" s="173" t="s">
        <v>12</v>
      </c>
      <c r="C76" s="333" t="s">
        <v>533</v>
      </c>
      <c r="D76" s="499">
        <f>D$42</f>
        <v>2021</v>
      </c>
      <c r="E76" s="499">
        <f>E$42</f>
        <v>2022</v>
      </c>
      <c r="F76" s="499">
        <f>F$42</f>
        <v>2023</v>
      </c>
      <c r="G76" s="499">
        <f t="shared" ref="G76:AK76" si="80">G$42</f>
        <v>2024</v>
      </c>
      <c r="H76" s="499">
        <f t="shared" si="80"/>
        <v>2025</v>
      </c>
      <c r="I76" s="499">
        <f t="shared" si="80"/>
        <v>2026</v>
      </c>
      <c r="J76" s="499">
        <f t="shared" si="80"/>
        <v>2027</v>
      </c>
      <c r="K76" s="499">
        <f t="shared" si="80"/>
        <v>2028</v>
      </c>
      <c r="L76" s="499">
        <f t="shared" si="80"/>
        <v>2029</v>
      </c>
      <c r="M76" s="499">
        <f t="shared" si="80"/>
        <v>2030</v>
      </c>
      <c r="N76" s="499">
        <f t="shared" si="80"/>
        <v>2031</v>
      </c>
      <c r="O76" s="499">
        <f t="shared" si="80"/>
        <v>2032</v>
      </c>
      <c r="P76" s="499">
        <f t="shared" si="80"/>
        <v>2033</v>
      </c>
      <c r="Q76" s="499">
        <f t="shared" si="80"/>
        <v>2034</v>
      </c>
      <c r="R76" s="499">
        <f t="shared" si="80"/>
        <v>2035</v>
      </c>
      <c r="S76" s="499">
        <f t="shared" si="80"/>
        <v>2036</v>
      </c>
      <c r="T76" s="499">
        <f t="shared" si="80"/>
        <v>2037</v>
      </c>
      <c r="U76" s="499">
        <f t="shared" si="80"/>
        <v>2038</v>
      </c>
      <c r="V76" s="499">
        <f t="shared" si="80"/>
        <v>2039</v>
      </c>
      <c r="W76" s="499">
        <f t="shared" si="80"/>
        <v>2040</v>
      </c>
      <c r="X76" s="499">
        <f t="shared" si="80"/>
        <v>2041</v>
      </c>
      <c r="Y76" s="499">
        <f t="shared" si="80"/>
        <v>2042</v>
      </c>
      <c r="Z76" s="499">
        <f t="shared" si="80"/>
        <v>2043</v>
      </c>
      <c r="AA76" s="499">
        <f t="shared" si="80"/>
        <v>2044</v>
      </c>
      <c r="AB76" s="499">
        <f t="shared" si="80"/>
        <v>2045</v>
      </c>
      <c r="AC76" s="499">
        <f t="shared" si="80"/>
        <v>2046</v>
      </c>
      <c r="AD76" s="499">
        <f t="shared" si="80"/>
        <v>2047</v>
      </c>
      <c r="AE76" s="499">
        <f t="shared" si="80"/>
        <v>2048</v>
      </c>
      <c r="AF76" s="499">
        <f t="shared" si="80"/>
        <v>2049</v>
      </c>
      <c r="AG76" s="499">
        <f t="shared" si="80"/>
        <v>2050</v>
      </c>
      <c r="AH76" s="499">
        <f t="shared" si="80"/>
        <v>2051</v>
      </c>
      <c r="AI76" s="499">
        <f t="shared" si="80"/>
        <v>2052</v>
      </c>
      <c r="AJ76" s="1257">
        <f t="shared" si="80"/>
        <v>2053</v>
      </c>
      <c r="AK76" s="1256">
        <f t="shared" si="80"/>
        <v>2054</v>
      </c>
    </row>
    <row r="77" spans="1:37">
      <c r="A77" s="230"/>
      <c r="B77" s="241" t="str">
        <f t="shared" ref="B77:B83" si="81">B60</f>
        <v>Accident Cost Savings</v>
      </c>
      <c r="C77" s="626">
        <f t="shared" ref="C77:C87" si="82">SUMIF(D77:AK77,"&lt;&gt;#N/A")/10^6</f>
        <v>1.3407388563969254</v>
      </c>
      <c r="D77" s="278">
        <f t="shared" ref="D77:AD77" si="83">D43*D$96</f>
        <v>0</v>
      </c>
      <c r="E77" s="278">
        <f t="shared" si="83"/>
        <v>0</v>
      </c>
      <c r="F77" s="278">
        <f t="shared" si="83"/>
        <v>0</v>
      </c>
      <c r="G77" s="278">
        <f t="shared" si="83"/>
        <v>0</v>
      </c>
      <c r="H77" s="278">
        <f t="shared" si="83"/>
        <v>55585.66807655173</v>
      </c>
      <c r="I77" s="278">
        <f t="shared" si="83"/>
        <v>54703.05535032363</v>
      </c>
      <c r="J77" s="278">
        <f t="shared" si="83"/>
        <v>53839.582616289779</v>
      </c>
      <c r="K77" s="278">
        <f t="shared" si="83"/>
        <v>52993.421615722909</v>
      </c>
      <c r="L77" s="278">
        <f t="shared" si="83"/>
        <v>52163.330739691839</v>
      </c>
      <c r="M77" s="278">
        <f t="shared" si="83"/>
        <v>51348.404689210707</v>
      </c>
      <c r="N77" s="278">
        <f t="shared" si="83"/>
        <v>50547.945373912393</v>
      </c>
      <c r="O77" s="278">
        <f t="shared" si="83"/>
        <v>49761.389807733569</v>
      </c>
      <c r="P77" s="278">
        <f t="shared" si="83"/>
        <v>48988.267248763819</v>
      </c>
      <c r="Q77" s="278">
        <f t="shared" si="83"/>
        <v>48228.172411088839</v>
      </c>
      <c r="R77" s="278">
        <f t="shared" si="83"/>
        <v>47480.74801425168</v>
      </c>
      <c r="S77" s="278">
        <f t="shared" si="83"/>
        <v>46745.673012874831</v>
      </c>
      <c r="T77" s="278">
        <f t="shared" si="83"/>
        <v>46022.654417872604</v>
      </c>
      <c r="U77" s="278">
        <f t="shared" si="83"/>
        <v>45311.421464943087</v>
      </c>
      <c r="V77" s="278">
        <f t="shared" si="83"/>
        <v>44611.721361604221</v>
      </c>
      <c r="W77" s="278">
        <f t="shared" si="83"/>
        <v>43923.316122650191</v>
      </c>
      <c r="X77" s="278">
        <f t="shared" si="83"/>
        <v>43245.980172807889</v>
      </c>
      <c r="Y77" s="278">
        <f t="shared" si="83"/>
        <v>42579.49850087364</v>
      </c>
      <c r="Z77" s="278">
        <f t="shared" si="83"/>
        <v>41923.665217286412</v>
      </c>
      <c r="AA77" s="278">
        <f t="shared" si="83"/>
        <v>41278.282411543332</v>
      </c>
      <c r="AB77" s="278">
        <f t="shared" si="83"/>
        <v>40643.159235685205</v>
      </c>
      <c r="AC77" s="278">
        <f t="shared" si="83"/>
        <v>40018.111160476226</v>
      </c>
      <c r="AD77" s="278">
        <f t="shared" si="83"/>
        <v>39402.959365096416</v>
      </c>
      <c r="AE77" s="278">
        <f t="shared" ref="AE77:AI77" si="84">AE43*AE$96</f>
        <v>38797.530231200661</v>
      </c>
      <c r="AF77" s="278">
        <f t="shared" si="84"/>
        <v>38201.654919399312</v>
      </c>
      <c r="AG77" s="278">
        <f t="shared" si="84"/>
        <v>37615.169011450438</v>
      </c>
      <c r="AH77" s="278">
        <f t="shared" si="84"/>
        <v>37037.912205307512</v>
      </c>
      <c r="AI77" s="278">
        <f t="shared" si="84"/>
        <v>36469.72805303552</v>
      </c>
      <c r="AJ77" s="1247">
        <f t="shared" ref="AJ77:AK77" si="85">AJ43*AJ$96</f>
        <v>35910.463733766708</v>
      </c>
      <c r="AK77" s="1246">
        <f t="shared" si="85"/>
        <v>35359.969855510069</v>
      </c>
    </row>
    <row r="78" spans="1:37" s="230" customFormat="1">
      <c r="B78" s="241" t="str">
        <f t="shared" si="81"/>
        <v xml:space="preserve">Travel Time Savings </v>
      </c>
      <c r="C78" s="626">
        <f t="shared" si="82"/>
        <v>11.628088832465705</v>
      </c>
      <c r="D78" s="278">
        <f t="shared" ref="D78:AD78" si="86">D44*D$96</f>
        <v>0</v>
      </c>
      <c r="E78" s="278">
        <f t="shared" si="86"/>
        <v>0</v>
      </c>
      <c r="F78" s="278">
        <f t="shared" si="86"/>
        <v>0</v>
      </c>
      <c r="G78" s="278">
        <f t="shared" si="86"/>
        <v>0</v>
      </c>
      <c r="H78" s="278">
        <f t="shared" si="86"/>
        <v>333730.68029530445</v>
      </c>
      <c r="I78" s="278">
        <f t="shared" si="86"/>
        <v>337104.71542497515</v>
      </c>
      <c r="J78" s="278">
        <f t="shared" si="86"/>
        <v>340512.86223130068</v>
      </c>
      <c r="K78" s="278">
        <f t="shared" si="86"/>
        <v>343955.46558516775</v>
      </c>
      <c r="L78" s="278">
        <f t="shared" si="86"/>
        <v>347432.87384412542</v>
      </c>
      <c r="M78" s="278">
        <f t="shared" si="86"/>
        <v>350945.4388876367</v>
      </c>
      <c r="N78" s="278">
        <f t="shared" si="86"/>
        <v>354493.5161526837</v>
      </c>
      <c r="O78" s="278">
        <f t="shared" si="86"/>
        <v>358077.46466973639</v>
      </c>
      <c r="P78" s="278">
        <f t="shared" si="86"/>
        <v>361697.64709908329</v>
      </c>
      <c r="Q78" s="278">
        <f t="shared" si="86"/>
        <v>365354.42976752593</v>
      </c>
      <c r="R78" s="278">
        <f t="shared" si="86"/>
        <v>369048.18270545051</v>
      </c>
      <c r="S78" s="278">
        <f t="shared" si="86"/>
        <v>372779.2796842698</v>
      </c>
      <c r="T78" s="278">
        <f t="shared" si="86"/>
        <v>376548.09825424675</v>
      </c>
      <c r="U78" s="278">
        <f t="shared" si="86"/>
        <v>380355.01978269633</v>
      </c>
      <c r="V78" s="278">
        <f t="shared" si="86"/>
        <v>384200.42949257902</v>
      </c>
      <c r="W78" s="278">
        <f t="shared" si="86"/>
        <v>388084.71650147933</v>
      </c>
      <c r="X78" s="278">
        <f t="shared" si="86"/>
        <v>392008.27386098076</v>
      </c>
      <c r="Y78" s="278">
        <f t="shared" si="86"/>
        <v>395971.49859644094</v>
      </c>
      <c r="Z78" s="278">
        <f t="shared" si="86"/>
        <v>399974.7917471648</v>
      </c>
      <c r="AA78" s="278">
        <f t="shared" si="86"/>
        <v>404018.55840698595</v>
      </c>
      <c r="AB78" s="278">
        <f t="shared" si="86"/>
        <v>408103.20776525792</v>
      </c>
      <c r="AC78" s="278">
        <f t="shared" si="86"/>
        <v>412229.15314826119</v>
      </c>
      <c r="AD78" s="278">
        <f t="shared" si="86"/>
        <v>416396.81206102867</v>
      </c>
      <c r="AE78" s="278">
        <f t="shared" ref="AE78:AI78" si="87">AE44*AE$96</f>
        <v>420606.60622958833</v>
      </c>
      <c r="AF78" s="278">
        <f t="shared" si="87"/>
        <v>424858.96164364339</v>
      </c>
      <c r="AG78" s="278">
        <f t="shared" si="87"/>
        <v>429154.30859967583</v>
      </c>
      <c r="AH78" s="278">
        <f t="shared" si="87"/>
        <v>433493.08174448629</v>
      </c>
      <c r="AI78" s="278">
        <f t="shared" si="87"/>
        <v>437875.72011918039</v>
      </c>
      <c r="AJ78" s="1247">
        <f t="shared" ref="AJ78:AK78" si="88">AJ44*AJ$96</f>
        <v>442302.66720359167</v>
      </c>
      <c r="AK78" s="1246">
        <f t="shared" si="88"/>
        <v>446774.37096115801</v>
      </c>
    </row>
    <row r="79" spans="1:37" s="230" customFormat="1">
      <c r="B79" s="241" t="str">
        <f t="shared" si="81"/>
        <v>Emissions Cost Savings</v>
      </c>
      <c r="C79" s="626">
        <f t="shared" si="82"/>
        <v>0.10007090999617435</v>
      </c>
      <c r="D79" s="278">
        <f t="shared" ref="D79:AD79" si="89">D45*D$96</f>
        <v>0</v>
      </c>
      <c r="E79" s="278">
        <f t="shared" si="89"/>
        <v>0</v>
      </c>
      <c r="F79" s="278">
        <f t="shared" si="89"/>
        <v>0</v>
      </c>
      <c r="G79" s="278">
        <f t="shared" si="89"/>
        <v>0</v>
      </c>
      <c r="H79" s="278">
        <f t="shared" si="89"/>
        <v>4849.1941155481536</v>
      </c>
      <c r="I79" s="278">
        <f t="shared" si="89"/>
        <v>4664.3779689156408</v>
      </c>
      <c r="J79" s="278">
        <f t="shared" si="89"/>
        <v>4473.1449888373318</v>
      </c>
      <c r="K79" s="278">
        <f t="shared" si="89"/>
        <v>4263.222521701553</v>
      </c>
      <c r="L79" s="278">
        <f t="shared" si="89"/>
        <v>4040.5192212217894</v>
      </c>
      <c r="M79" s="278">
        <f t="shared" si="89"/>
        <v>3807.9467530459046</v>
      </c>
      <c r="N79" s="278">
        <f t="shared" si="89"/>
        <v>3713.9754872508843</v>
      </c>
      <c r="O79" s="278">
        <f t="shared" si="89"/>
        <v>3616.8179253751769</v>
      </c>
      <c r="P79" s="278">
        <f t="shared" si="89"/>
        <v>3516.4101769114804</v>
      </c>
      <c r="Q79" s="278">
        <f t="shared" si="89"/>
        <v>3443.3924483805586</v>
      </c>
      <c r="R79" s="278">
        <f t="shared" si="89"/>
        <v>3336.1366158811038</v>
      </c>
      <c r="S79" s="278">
        <f t="shared" si="89"/>
        <v>3225.4263069424978</v>
      </c>
      <c r="T79" s="278">
        <f t="shared" si="89"/>
        <v>3111.7369582776405</v>
      </c>
      <c r="U79" s="278">
        <f t="shared" si="89"/>
        <v>2994.4673581847496</v>
      </c>
      <c r="V79" s="278">
        <f t="shared" si="89"/>
        <v>2873.5471118061419</v>
      </c>
      <c r="W79" s="278">
        <f t="shared" si="89"/>
        <v>2748.9046695590464</v>
      </c>
      <c r="X79" s="278">
        <f t="shared" si="89"/>
        <v>2772.2338844670562</v>
      </c>
      <c r="Y79" s="278">
        <f t="shared" si="89"/>
        <v>2824.747402166367</v>
      </c>
      <c r="Z79" s="278">
        <f t="shared" si="89"/>
        <v>2847.0971859424108</v>
      </c>
      <c r="AA79" s="278">
        <f t="shared" si="89"/>
        <v>2868.9412554595206</v>
      </c>
      <c r="AB79" s="278">
        <f t="shared" si="89"/>
        <v>2890.260338034479</v>
      </c>
      <c r="AC79" s="278">
        <f t="shared" si="89"/>
        <v>2911.0347546083262</v>
      </c>
      <c r="AD79" s="278">
        <f t="shared" si="89"/>
        <v>2931.2444128080683</v>
      </c>
      <c r="AE79" s="278">
        <f t="shared" ref="AE79:AI79" si="90">AE45*AE$96</f>
        <v>2950.8687999026688</v>
      </c>
      <c r="AF79" s="278">
        <f t="shared" si="90"/>
        <v>2999.2371950211814</v>
      </c>
      <c r="AG79" s="278">
        <f t="shared" si="90"/>
        <v>3017.5692576076476</v>
      </c>
      <c r="AH79" s="278">
        <f t="shared" si="90"/>
        <v>3048.0770451217354</v>
      </c>
      <c r="AI79" s="278">
        <f t="shared" si="90"/>
        <v>3078.8932680086496</v>
      </c>
      <c r="AJ79" s="1247">
        <f t="shared" ref="AJ79:AK79" si="91">AJ45*AJ$96</f>
        <v>3110.021044566608</v>
      </c>
      <c r="AK79" s="1246">
        <f t="shared" si="91"/>
        <v>3141.4635246199737</v>
      </c>
    </row>
    <row r="80" spans="1:37" s="230" customFormat="1">
      <c r="B80" s="241" t="str">
        <f t="shared" si="81"/>
        <v xml:space="preserve">Vehicle Operating Cost Savings </v>
      </c>
      <c r="C80" s="626">
        <f t="shared" si="82"/>
        <v>1.3391636214695246</v>
      </c>
      <c r="D80" s="278">
        <f t="shared" ref="D80:AD80" si="92">D46*D$96</f>
        <v>0</v>
      </c>
      <c r="E80" s="278">
        <f t="shared" si="92"/>
        <v>0</v>
      </c>
      <c r="F80" s="278">
        <f t="shared" si="92"/>
        <v>0</v>
      </c>
      <c r="G80" s="278">
        <f t="shared" si="92"/>
        <v>0</v>
      </c>
      <c r="H80" s="278">
        <f t="shared" si="92"/>
        <v>31566.534860719774</v>
      </c>
      <c r="I80" s="278">
        <f t="shared" si="92"/>
        <v>32307.45177504473</v>
      </c>
      <c r="J80" s="278">
        <f t="shared" si="92"/>
        <v>33029.127378048463</v>
      </c>
      <c r="K80" s="278">
        <f t="shared" si="92"/>
        <v>33678.751078773843</v>
      </c>
      <c r="L80" s="278">
        <f t="shared" si="92"/>
        <v>34512.969341844124</v>
      </c>
      <c r="M80" s="278">
        <f t="shared" si="92"/>
        <v>35973.423720901301</v>
      </c>
      <c r="N80" s="278">
        <f t="shared" si="92"/>
        <v>36689.975913259797</v>
      </c>
      <c r="O80" s="278">
        <f t="shared" si="92"/>
        <v>37436.442431549338</v>
      </c>
      <c r="P80" s="278">
        <f t="shared" si="92"/>
        <v>38554.74588461544</v>
      </c>
      <c r="Q80" s="278">
        <f t="shared" si="92"/>
        <v>39566.288543059585</v>
      </c>
      <c r="R80" s="278">
        <f t="shared" si="92"/>
        <v>40432.087053079493</v>
      </c>
      <c r="S80" s="278">
        <f t="shared" si="92"/>
        <v>41374.189297742756</v>
      </c>
      <c r="T80" s="278">
        <f t="shared" si="92"/>
        <v>42006.774938524119</v>
      </c>
      <c r="U80" s="278">
        <f t="shared" si="92"/>
        <v>42929.04885641484</v>
      </c>
      <c r="V80" s="278">
        <f t="shared" si="92"/>
        <v>43959.295776769854</v>
      </c>
      <c r="W80" s="278">
        <f t="shared" si="92"/>
        <v>44565.114332259742</v>
      </c>
      <c r="X80" s="278">
        <f t="shared" si="92"/>
        <v>45381.528825706788</v>
      </c>
      <c r="Y80" s="278">
        <f t="shared" si="92"/>
        <v>46607.841477372625</v>
      </c>
      <c r="Z80" s="278">
        <f t="shared" si="92"/>
        <v>47494.254040385516</v>
      </c>
      <c r="AA80" s="278">
        <f t="shared" si="92"/>
        <v>48400.842811067545</v>
      </c>
      <c r="AB80" s="278">
        <f t="shared" si="92"/>
        <v>49593.140748227233</v>
      </c>
      <c r="AC80" s="278">
        <f t="shared" si="92"/>
        <v>50261.185121977251</v>
      </c>
      <c r="AD80" s="278">
        <f t="shared" si="92"/>
        <v>51626.312817324266</v>
      </c>
      <c r="AE80" s="278">
        <f t="shared" ref="AE80:AI80" si="93">AE46*AE$96</f>
        <v>52771.783352712162</v>
      </c>
      <c r="AF80" s="278">
        <f t="shared" si="93"/>
        <v>53788.385126711095</v>
      </c>
      <c r="AG80" s="278">
        <f t="shared" si="93"/>
        <v>54756.809459195232</v>
      </c>
      <c r="AH80" s="278">
        <f t="shared" si="93"/>
        <v>55824.385869792837</v>
      </c>
      <c r="AI80" s="278">
        <f t="shared" si="93"/>
        <v>56911.416898561001</v>
      </c>
      <c r="AJ80" s="1247">
        <f t="shared" ref="AJ80:AK80" si="94">AJ46*AJ$96</f>
        <v>58018.254942245199</v>
      </c>
      <c r="AK80" s="1246">
        <f t="shared" si="94"/>
        <v>59145.258795638481</v>
      </c>
    </row>
    <row r="81" spans="1:37" s="230" customFormat="1">
      <c r="B81" s="241" t="str">
        <f t="shared" si="81"/>
        <v>Land Value Increase</v>
      </c>
      <c r="C81" s="626">
        <f t="shared" si="82"/>
        <v>10.882334939048707</v>
      </c>
      <c r="D81" s="278">
        <f t="shared" ref="D81:AD81" si="95">D47*D$96</f>
        <v>0</v>
      </c>
      <c r="E81" s="278">
        <f t="shared" si="95"/>
        <v>0</v>
      </c>
      <c r="F81" s="278">
        <f t="shared" si="95"/>
        <v>0</v>
      </c>
      <c r="G81" s="278">
        <f t="shared" si="95"/>
        <v>0</v>
      </c>
      <c r="H81" s="278">
        <f t="shared" si="95"/>
        <v>10882334.939048707</v>
      </c>
      <c r="I81" s="278">
        <f t="shared" si="95"/>
        <v>0</v>
      </c>
      <c r="J81" s="278">
        <f t="shared" si="95"/>
        <v>0</v>
      </c>
      <c r="K81" s="278">
        <f t="shared" si="95"/>
        <v>0</v>
      </c>
      <c r="L81" s="278">
        <f t="shared" si="95"/>
        <v>0</v>
      </c>
      <c r="M81" s="278">
        <f t="shared" si="95"/>
        <v>0</v>
      </c>
      <c r="N81" s="278">
        <f t="shared" si="95"/>
        <v>0</v>
      </c>
      <c r="O81" s="278">
        <f t="shared" si="95"/>
        <v>0</v>
      </c>
      <c r="P81" s="278">
        <f t="shared" si="95"/>
        <v>0</v>
      </c>
      <c r="Q81" s="278">
        <f t="shared" si="95"/>
        <v>0</v>
      </c>
      <c r="R81" s="278">
        <f t="shared" si="95"/>
        <v>0</v>
      </c>
      <c r="S81" s="278">
        <f t="shared" si="95"/>
        <v>0</v>
      </c>
      <c r="T81" s="278">
        <f t="shared" si="95"/>
        <v>0</v>
      </c>
      <c r="U81" s="278">
        <f t="shared" si="95"/>
        <v>0</v>
      </c>
      <c r="V81" s="278">
        <f t="shared" si="95"/>
        <v>0</v>
      </c>
      <c r="W81" s="278">
        <f t="shared" si="95"/>
        <v>0</v>
      </c>
      <c r="X81" s="278">
        <f t="shared" si="95"/>
        <v>0</v>
      </c>
      <c r="Y81" s="278">
        <f t="shared" si="95"/>
        <v>0</v>
      </c>
      <c r="Z81" s="278">
        <f t="shared" si="95"/>
        <v>0</v>
      </c>
      <c r="AA81" s="278">
        <f t="shared" si="95"/>
        <v>0</v>
      </c>
      <c r="AB81" s="278">
        <f t="shared" si="95"/>
        <v>0</v>
      </c>
      <c r="AC81" s="278">
        <f t="shared" si="95"/>
        <v>0</v>
      </c>
      <c r="AD81" s="278">
        <f t="shared" si="95"/>
        <v>0</v>
      </c>
      <c r="AE81" s="278">
        <f t="shared" ref="AE81:AI81" si="96">AE47*AE$96</f>
        <v>0</v>
      </c>
      <c r="AF81" s="278">
        <f t="shared" si="96"/>
        <v>0</v>
      </c>
      <c r="AG81" s="278">
        <f t="shared" si="96"/>
        <v>0</v>
      </c>
      <c r="AH81" s="278">
        <f t="shared" si="96"/>
        <v>0</v>
      </c>
      <c r="AI81" s="278">
        <f t="shared" si="96"/>
        <v>0</v>
      </c>
      <c r="AJ81" s="1247">
        <f t="shared" ref="AJ81:AK81" si="97">AJ47*AJ$96</f>
        <v>0</v>
      </c>
      <c r="AK81" s="1246">
        <f t="shared" si="97"/>
        <v>0</v>
      </c>
    </row>
    <row r="82" spans="1:37" s="230" customFormat="1">
      <c r="B82" s="241" t="str">
        <f t="shared" si="81"/>
        <v>O&amp;M Costs Savings</v>
      </c>
      <c r="C82" s="626">
        <f t="shared" si="82"/>
        <v>0.43900378737380813</v>
      </c>
      <c r="D82" s="278">
        <f t="shared" ref="D82:AD82" si="98">D48*D$96</f>
        <v>0</v>
      </c>
      <c r="E82" s="278">
        <f t="shared" si="98"/>
        <v>0</v>
      </c>
      <c r="F82" s="278">
        <f t="shared" si="98"/>
        <v>0</v>
      </c>
      <c r="G82" s="278">
        <f t="shared" si="98"/>
        <v>0</v>
      </c>
      <c r="H82" s="278">
        <f t="shared" si="98"/>
        <v>21745.28938892945</v>
      </c>
      <c r="I82" s="278">
        <f t="shared" si="98"/>
        <v>21111.931445562575</v>
      </c>
      <c r="J82" s="278">
        <f t="shared" si="98"/>
        <v>20497.020820934536</v>
      </c>
      <c r="K82" s="278">
        <f t="shared" si="98"/>
        <v>19900.020214499549</v>
      </c>
      <c r="L82" s="278">
        <f t="shared" si="98"/>
        <v>19320.40797524228</v>
      </c>
      <c r="M82" s="278">
        <f t="shared" si="98"/>
        <v>18757.677645866293</v>
      </c>
      <c r="N82" s="278">
        <f t="shared" si="98"/>
        <v>18211.337520258538</v>
      </c>
      <c r="O82" s="278">
        <f t="shared" si="98"/>
        <v>17680.910213843239</v>
      </c>
      <c r="P82" s="278">
        <f t="shared" si="98"/>
        <v>17165.932246449753</v>
      </c>
      <c r="Q82" s="278">
        <f t="shared" si="98"/>
        <v>16665.953637329854</v>
      </c>
      <c r="R82" s="278">
        <f t="shared" si="98"/>
        <v>16180.537511970731</v>
      </c>
      <c r="S82" s="278">
        <f t="shared" si="98"/>
        <v>15709.259720359931</v>
      </c>
      <c r="T82" s="278">
        <f t="shared" si="98"/>
        <v>15251.708466368869</v>
      </c>
      <c r="U82" s="278">
        <f t="shared" si="98"/>
        <v>14807.483947930939</v>
      </c>
      <c r="V82" s="278">
        <f t="shared" si="98"/>
        <v>14376.198007699941</v>
      </c>
      <c r="W82" s="278">
        <f t="shared" si="98"/>
        <v>13957.473793883439</v>
      </c>
      <c r="X82" s="278">
        <f t="shared" si="98"/>
        <v>13550.945430954796</v>
      </c>
      <c r="Y82" s="278">
        <f t="shared" si="98"/>
        <v>13156.257699956113</v>
      </c>
      <c r="Z82" s="278">
        <f t="shared" si="98"/>
        <v>12773.065728112731</v>
      </c>
      <c r="AA82" s="278">
        <f t="shared" si="98"/>
        <v>12401.034687488087</v>
      </c>
      <c r="AB82" s="278">
        <f t="shared" si="98"/>
        <v>12039.83950241562</v>
      </c>
      <c r="AC82" s="278">
        <f t="shared" si="98"/>
        <v>11689.164565452058</v>
      </c>
      <c r="AD82" s="278">
        <f t="shared" si="98"/>
        <v>11348.70346160394</v>
      </c>
      <c r="AE82" s="278">
        <f t="shared" ref="AE82:AI83" si="99">AE48*AE$96</f>
        <v>11018.158700586349</v>
      </c>
      <c r="AF82" s="278">
        <f t="shared" si="99"/>
        <v>10697.241456879952</v>
      </c>
      <c r="AG82" s="278">
        <f t="shared" si="99"/>
        <v>10385.671317359178</v>
      </c>
      <c r="AH82" s="278">
        <f t="shared" si="99"/>
        <v>10083.176036271047</v>
      </c>
      <c r="AI82" s="278">
        <f t="shared" si="99"/>
        <v>9789.4912973505288</v>
      </c>
      <c r="AJ82" s="1247">
        <f t="shared" ref="AJ82:AK83" si="100">AJ48*AJ$96</f>
        <v>9504.3604828645912</v>
      </c>
      <c r="AK82" s="1246">
        <f t="shared" si="100"/>
        <v>9227.534449383098</v>
      </c>
    </row>
    <row r="83" spans="1:37" s="230" customFormat="1">
      <c r="B83" s="241" t="str">
        <f t="shared" si="81"/>
        <v>Residual Value</v>
      </c>
      <c r="C83" s="626">
        <f t="shared" si="82"/>
        <v>1.3648953794422254</v>
      </c>
      <c r="D83" s="278">
        <f t="shared" ref="D83:AD83" si="101">D49*D$96</f>
        <v>0</v>
      </c>
      <c r="E83" s="278">
        <f t="shared" si="101"/>
        <v>0</v>
      </c>
      <c r="F83" s="278">
        <f t="shared" si="101"/>
        <v>0</v>
      </c>
      <c r="G83" s="278">
        <f t="shared" si="101"/>
        <v>0</v>
      </c>
      <c r="H83" s="278">
        <f t="shared" si="101"/>
        <v>0</v>
      </c>
      <c r="I83" s="278">
        <f t="shared" si="101"/>
        <v>0</v>
      </c>
      <c r="J83" s="278">
        <f t="shared" si="101"/>
        <v>0</v>
      </c>
      <c r="K83" s="278">
        <f t="shared" si="101"/>
        <v>0</v>
      </c>
      <c r="L83" s="278">
        <f t="shared" si="101"/>
        <v>0</v>
      </c>
      <c r="M83" s="278">
        <f t="shared" si="101"/>
        <v>0</v>
      </c>
      <c r="N83" s="278">
        <f t="shared" si="101"/>
        <v>0</v>
      </c>
      <c r="O83" s="278">
        <f t="shared" si="101"/>
        <v>0</v>
      </c>
      <c r="P83" s="278">
        <f t="shared" si="101"/>
        <v>0</v>
      </c>
      <c r="Q83" s="278">
        <f t="shared" si="101"/>
        <v>0</v>
      </c>
      <c r="R83" s="278">
        <f t="shared" si="101"/>
        <v>0</v>
      </c>
      <c r="S83" s="278">
        <f t="shared" si="101"/>
        <v>0</v>
      </c>
      <c r="T83" s="278">
        <f t="shared" si="101"/>
        <v>0</v>
      </c>
      <c r="U83" s="278">
        <f t="shared" si="101"/>
        <v>0</v>
      </c>
      <c r="V83" s="278">
        <f t="shared" si="101"/>
        <v>0</v>
      </c>
      <c r="W83" s="278">
        <f t="shared" si="101"/>
        <v>0</v>
      </c>
      <c r="X83" s="278">
        <f t="shared" si="101"/>
        <v>0</v>
      </c>
      <c r="Y83" s="278">
        <f t="shared" si="101"/>
        <v>0</v>
      </c>
      <c r="Z83" s="278">
        <f t="shared" si="101"/>
        <v>0</v>
      </c>
      <c r="AA83" s="278">
        <f t="shared" si="101"/>
        <v>0</v>
      </c>
      <c r="AB83" s="278">
        <f t="shared" si="101"/>
        <v>0</v>
      </c>
      <c r="AC83" s="278">
        <f t="shared" si="101"/>
        <v>0</v>
      </c>
      <c r="AD83" s="278">
        <f t="shared" si="101"/>
        <v>0</v>
      </c>
      <c r="AE83" s="278">
        <f t="shared" si="99"/>
        <v>0</v>
      </c>
      <c r="AF83" s="278">
        <f t="shared" si="99"/>
        <v>0</v>
      </c>
      <c r="AG83" s="278">
        <f t="shared" si="99"/>
        <v>0</v>
      </c>
      <c r="AH83" s="278">
        <f t="shared" si="99"/>
        <v>0</v>
      </c>
      <c r="AI83" s="278">
        <f t="shared" si="99"/>
        <v>0</v>
      </c>
      <c r="AJ83" s="1247">
        <f t="shared" si="100"/>
        <v>0</v>
      </c>
      <c r="AK83" s="1246">
        <f t="shared" si="100"/>
        <v>1364895.3794422254</v>
      </c>
    </row>
    <row r="84" spans="1:37" s="230" customFormat="1">
      <c r="B84" s="241" t="str">
        <f t="shared" ref="B84" si="102">B67</f>
        <v>Capital Costs</v>
      </c>
      <c r="C84" s="626">
        <f t="shared" si="82"/>
        <v>13.756716175529617</v>
      </c>
      <c r="D84" s="278">
        <f t="shared" ref="D84:AD84" si="103">D50*D$96</f>
        <v>442825.37544530147</v>
      </c>
      <c r="E84" s="278">
        <f t="shared" si="103"/>
        <v>1905000.2098673848</v>
      </c>
      <c r="F84" s="278">
        <f t="shared" si="103"/>
        <v>2145179.0806411747</v>
      </c>
      <c r="G84" s="278">
        <f t="shared" si="103"/>
        <v>9263711.5095757544</v>
      </c>
      <c r="H84" s="278">
        <f t="shared" si="103"/>
        <v>0</v>
      </c>
      <c r="I84" s="278">
        <f t="shared" si="103"/>
        <v>0</v>
      </c>
      <c r="J84" s="278">
        <f t="shared" si="103"/>
        <v>0</v>
      </c>
      <c r="K84" s="278">
        <f t="shared" si="103"/>
        <v>0</v>
      </c>
      <c r="L84" s="278">
        <f t="shared" si="103"/>
        <v>0</v>
      </c>
      <c r="M84" s="278">
        <f t="shared" si="103"/>
        <v>0</v>
      </c>
      <c r="N84" s="278">
        <f t="shared" si="103"/>
        <v>0</v>
      </c>
      <c r="O84" s="278">
        <f t="shared" si="103"/>
        <v>0</v>
      </c>
      <c r="P84" s="278">
        <f t="shared" si="103"/>
        <v>0</v>
      </c>
      <c r="Q84" s="278">
        <f t="shared" si="103"/>
        <v>0</v>
      </c>
      <c r="R84" s="278">
        <f t="shared" si="103"/>
        <v>0</v>
      </c>
      <c r="S84" s="278">
        <f t="shared" si="103"/>
        <v>0</v>
      </c>
      <c r="T84" s="278">
        <f t="shared" si="103"/>
        <v>0</v>
      </c>
      <c r="U84" s="278">
        <f t="shared" si="103"/>
        <v>0</v>
      </c>
      <c r="V84" s="278">
        <f t="shared" si="103"/>
        <v>0</v>
      </c>
      <c r="W84" s="278">
        <f t="shared" si="103"/>
        <v>0</v>
      </c>
      <c r="X84" s="278">
        <f t="shared" si="103"/>
        <v>0</v>
      </c>
      <c r="Y84" s="278">
        <f t="shared" si="103"/>
        <v>0</v>
      </c>
      <c r="Z84" s="278">
        <f t="shared" si="103"/>
        <v>0</v>
      </c>
      <c r="AA84" s="278">
        <f t="shared" si="103"/>
        <v>0</v>
      </c>
      <c r="AB84" s="278">
        <f t="shared" si="103"/>
        <v>0</v>
      </c>
      <c r="AC84" s="278">
        <f t="shared" si="103"/>
        <v>0</v>
      </c>
      <c r="AD84" s="278">
        <f t="shared" si="103"/>
        <v>0</v>
      </c>
      <c r="AE84" s="278">
        <f t="shared" ref="AE84:AI84" si="104">AE50*AE$96</f>
        <v>0</v>
      </c>
      <c r="AF84" s="278">
        <f t="shared" si="104"/>
        <v>0</v>
      </c>
      <c r="AG84" s="278">
        <f t="shared" si="104"/>
        <v>0</v>
      </c>
      <c r="AH84" s="278">
        <f t="shared" si="104"/>
        <v>0</v>
      </c>
      <c r="AI84" s="278">
        <f t="shared" si="104"/>
        <v>0</v>
      </c>
      <c r="AJ84" s="1247">
        <f t="shared" ref="AJ84:AK84" si="105">AJ50*AJ$96</f>
        <v>0</v>
      </c>
      <c r="AK84" s="1246">
        <f t="shared" si="105"/>
        <v>0</v>
      </c>
    </row>
    <row r="85" spans="1:37" s="230" customFormat="1">
      <c r="B85" s="231" t="s">
        <v>11</v>
      </c>
      <c r="C85" s="627">
        <f t="shared" si="82"/>
        <v>27.094296326193067</v>
      </c>
      <c r="D85" s="279">
        <f t="shared" ref="D85:AJ85" si="106">SUM(D77:D83)</f>
        <v>0</v>
      </c>
      <c r="E85" s="279">
        <f t="shared" si="106"/>
        <v>0</v>
      </c>
      <c r="F85" s="279">
        <f t="shared" si="106"/>
        <v>0</v>
      </c>
      <c r="G85" s="279">
        <f t="shared" si="106"/>
        <v>0</v>
      </c>
      <c r="H85" s="279">
        <f t="shared" si="106"/>
        <v>11329812.30578576</v>
      </c>
      <c r="I85" s="279">
        <f t="shared" si="106"/>
        <v>449891.53196482168</v>
      </c>
      <c r="J85" s="279">
        <f t="shared" si="106"/>
        <v>452351.73803541088</v>
      </c>
      <c r="K85" s="279">
        <f t="shared" si="106"/>
        <v>454790.8810158656</v>
      </c>
      <c r="L85" s="279">
        <f t="shared" si="106"/>
        <v>457470.10112212552</v>
      </c>
      <c r="M85" s="279">
        <f t="shared" si="106"/>
        <v>460832.8916966609</v>
      </c>
      <c r="N85" s="279">
        <f t="shared" si="106"/>
        <v>463656.75044736534</v>
      </c>
      <c r="O85" s="279">
        <f t="shared" si="106"/>
        <v>466573.02504823776</v>
      </c>
      <c r="P85" s="279">
        <f t="shared" si="106"/>
        <v>469923.00265582383</v>
      </c>
      <c r="Q85" s="279">
        <f t="shared" si="106"/>
        <v>473258.23680738476</v>
      </c>
      <c r="R85" s="279">
        <f t="shared" si="106"/>
        <v>476477.69190063357</v>
      </c>
      <c r="S85" s="279">
        <f t="shared" si="106"/>
        <v>479833.82802218979</v>
      </c>
      <c r="T85" s="279">
        <f t="shared" si="106"/>
        <v>482940.97303528996</v>
      </c>
      <c r="U85" s="279">
        <f t="shared" si="106"/>
        <v>486397.44141016994</v>
      </c>
      <c r="V85" s="279">
        <f t="shared" si="106"/>
        <v>490021.1917504592</v>
      </c>
      <c r="W85" s="279">
        <f t="shared" si="106"/>
        <v>493279.52541983174</v>
      </c>
      <c r="X85" s="279">
        <f t="shared" si="106"/>
        <v>496958.96217491728</v>
      </c>
      <c r="Y85" s="279">
        <f t="shared" si="106"/>
        <v>501139.84367680969</v>
      </c>
      <c r="Z85" s="279">
        <f t="shared" si="106"/>
        <v>505012.87391889188</v>
      </c>
      <c r="AA85" s="279">
        <f t="shared" si="106"/>
        <v>508967.65957254439</v>
      </c>
      <c r="AB85" s="279">
        <f t="shared" si="106"/>
        <v>513269.60758962046</v>
      </c>
      <c r="AC85" s="279">
        <f t="shared" si="106"/>
        <v>517108.64875077509</v>
      </c>
      <c r="AD85" s="279">
        <f t="shared" si="106"/>
        <v>521706.03211786138</v>
      </c>
      <c r="AE85" s="279">
        <f t="shared" si="106"/>
        <v>526144.94731399021</v>
      </c>
      <c r="AF85" s="279">
        <f t="shared" si="106"/>
        <v>530545.48034165497</v>
      </c>
      <c r="AG85" s="279">
        <f t="shared" si="106"/>
        <v>534929.52764528827</v>
      </c>
      <c r="AH85" s="279">
        <f t="shared" si="106"/>
        <v>539486.63290097937</v>
      </c>
      <c r="AI85" s="279">
        <f t="shared" si="106"/>
        <v>544125.249636136</v>
      </c>
      <c r="AJ85" s="1252">
        <f t="shared" si="106"/>
        <v>548845.76740703476</v>
      </c>
      <c r="AK85" s="1248">
        <f t="shared" ref="AK85" si="107">SUM(AK77:AK83)</f>
        <v>1918543.9770285352</v>
      </c>
    </row>
    <row r="86" spans="1:37" s="230" customFormat="1">
      <c r="B86" s="231" t="s">
        <v>10</v>
      </c>
      <c r="C86" s="627">
        <f t="shared" si="82"/>
        <v>13.756716175529617</v>
      </c>
      <c r="D86" s="279">
        <f t="shared" ref="D86:AD86" si="108">SUM(D84:D84)</f>
        <v>442825.37544530147</v>
      </c>
      <c r="E86" s="279">
        <f t="shared" si="108"/>
        <v>1905000.2098673848</v>
      </c>
      <c r="F86" s="279">
        <f t="shared" si="108"/>
        <v>2145179.0806411747</v>
      </c>
      <c r="G86" s="279">
        <f t="shared" si="108"/>
        <v>9263711.5095757544</v>
      </c>
      <c r="H86" s="279">
        <f t="shared" si="108"/>
        <v>0</v>
      </c>
      <c r="I86" s="279">
        <f t="shared" si="108"/>
        <v>0</v>
      </c>
      <c r="J86" s="279">
        <f t="shared" si="108"/>
        <v>0</v>
      </c>
      <c r="K86" s="279">
        <f t="shared" si="108"/>
        <v>0</v>
      </c>
      <c r="L86" s="279">
        <f t="shared" si="108"/>
        <v>0</v>
      </c>
      <c r="M86" s="279">
        <f t="shared" si="108"/>
        <v>0</v>
      </c>
      <c r="N86" s="279">
        <f t="shared" si="108"/>
        <v>0</v>
      </c>
      <c r="O86" s="279">
        <f t="shared" si="108"/>
        <v>0</v>
      </c>
      <c r="P86" s="279">
        <f t="shared" si="108"/>
        <v>0</v>
      </c>
      <c r="Q86" s="279">
        <f t="shared" si="108"/>
        <v>0</v>
      </c>
      <c r="R86" s="279">
        <f t="shared" si="108"/>
        <v>0</v>
      </c>
      <c r="S86" s="279">
        <f t="shared" si="108"/>
        <v>0</v>
      </c>
      <c r="T86" s="279">
        <f t="shared" si="108"/>
        <v>0</v>
      </c>
      <c r="U86" s="279">
        <f t="shared" si="108"/>
        <v>0</v>
      </c>
      <c r="V86" s="279">
        <f t="shared" si="108"/>
        <v>0</v>
      </c>
      <c r="W86" s="279">
        <f t="shared" si="108"/>
        <v>0</v>
      </c>
      <c r="X86" s="279">
        <f t="shared" si="108"/>
        <v>0</v>
      </c>
      <c r="Y86" s="279">
        <f t="shared" si="108"/>
        <v>0</v>
      </c>
      <c r="Z86" s="279">
        <f t="shared" si="108"/>
        <v>0</v>
      </c>
      <c r="AA86" s="279">
        <f t="shared" si="108"/>
        <v>0</v>
      </c>
      <c r="AB86" s="279">
        <f t="shared" si="108"/>
        <v>0</v>
      </c>
      <c r="AC86" s="279">
        <f t="shared" si="108"/>
        <v>0</v>
      </c>
      <c r="AD86" s="279">
        <f t="shared" si="108"/>
        <v>0</v>
      </c>
      <c r="AE86" s="279">
        <f t="shared" ref="AE86:AI86" si="109">SUM(AE84:AE84)</f>
        <v>0</v>
      </c>
      <c r="AF86" s="279">
        <f t="shared" si="109"/>
        <v>0</v>
      </c>
      <c r="AG86" s="279">
        <f t="shared" si="109"/>
        <v>0</v>
      </c>
      <c r="AH86" s="279">
        <f t="shared" si="109"/>
        <v>0</v>
      </c>
      <c r="AI86" s="279">
        <f t="shared" si="109"/>
        <v>0</v>
      </c>
      <c r="AJ86" s="1252">
        <f t="shared" ref="AJ86:AK86" si="110">SUM(AJ84:AJ84)</f>
        <v>0</v>
      </c>
      <c r="AK86" s="1248">
        <f t="shared" si="110"/>
        <v>0</v>
      </c>
    </row>
    <row r="87" spans="1:37" s="230" customFormat="1">
      <c r="B87" s="232" t="s">
        <v>281</v>
      </c>
      <c r="C87" s="628">
        <f t="shared" si="82"/>
        <v>13.337580150663454</v>
      </c>
      <c r="D87" s="296">
        <f t="shared" ref="D87:AD87" si="111">D85-D86</f>
        <v>-442825.37544530147</v>
      </c>
      <c r="E87" s="296">
        <f t="shared" si="111"/>
        <v>-1905000.2098673848</v>
      </c>
      <c r="F87" s="296">
        <f t="shared" si="111"/>
        <v>-2145179.0806411747</v>
      </c>
      <c r="G87" s="296">
        <f t="shared" si="111"/>
        <v>-9263711.5095757544</v>
      </c>
      <c r="H87" s="296">
        <f t="shared" si="111"/>
        <v>11329812.30578576</v>
      </c>
      <c r="I87" s="296">
        <f t="shared" si="111"/>
        <v>449891.53196482168</v>
      </c>
      <c r="J87" s="296">
        <f t="shared" si="111"/>
        <v>452351.73803541088</v>
      </c>
      <c r="K87" s="296">
        <f t="shared" si="111"/>
        <v>454790.8810158656</v>
      </c>
      <c r="L87" s="296">
        <f t="shared" si="111"/>
        <v>457470.10112212552</v>
      </c>
      <c r="M87" s="296">
        <f t="shared" si="111"/>
        <v>460832.8916966609</v>
      </c>
      <c r="N87" s="296">
        <f t="shared" si="111"/>
        <v>463656.75044736534</v>
      </c>
      <c r="O87" s="296">
        <f t="shared" si="111"/>
        <v>466573.02504823776</v>
      </c>
      <c r="P87" s="296">
        <f t="shared" si="111"/>
        <v>469923.00265582383</v>
      </c>
      <c r="Q87" s="296">
        <f t="shared" si="111"/>
        <v>473258.23680738476</v>
      </c>
      <c r="R87" s="296">
        <f t="shared" si="111"/>
        <v>476477.69190063357</v>
      </c>
      <c r="S87" s="296">
        <f t="shared" si="111"/>
        <v>479833.82802218979</v>
      </c>
      <c r="T87" s="296">
        <f t="shared" si="111"/>
        <v>482940.97303528996</v>
      </c>
      <c r="U87" s="296">
        <f t="shared" si="111"/>
        <v>486397.44141016994</v>
      </c>
      <c r="V87" s="296">
        <f t="shared" si="111"/>
        <v>490021.1917504592</v>
      </c>
      <c r="W87" s="296">
        <f t="shared" si="111"/>
        <v>493279.52541983174</v>
      </c>
      <c r="X87" s="296">
        <f t="shared" si="111"/>
        <v>496958.96217491728</v>
      </c>
      <c r="Y87" s="296">
        <f t="shared" si="111"/>
        <v>501139.84367680969</v>
      </c>
      <c r="Z87" s="296">
        <f t="shared" si="111"/>
        <v>505012.87391889188</v>
      </c>
      <c r="AA87" s="296">
        <f t="shared" si="111"/>
        <v>508967.65957254439</v>
      </c>
      <c r="AB87" s="296">
        <f t="shared" si="111"/>
        <v>513269.60758962046</v>
      </c>
      <c r="AC87" s="296">
        <f t="shared" si="111"/>
        <v>517108.64875077509</v>
      </c>
      <c r="AD87" s="296">
        <f t="shared" si="111"/>
        <v>521706.03211786138</v>
      </c>
      <c r="AE87" s="296">
        <f t="shared" ref="AE87:AI87" si="112">AE85-AE86</f>
        <v>526144.94731399021</v>
      </c>
      <c r="AF87" s="296">
        <f t="shared" si="112"/>
        <v>530545.48034165497</v>
      </c>
      <c r="AG87" s="296">
        <f t="shared" si="112"/>
        <v>534929.52764528827</v>
      </c>
      <c r="AH87" s="296">
        <f t="shared" si="112"/>
        <v>539486.63290097937</v>
      </c>
      <c r="AI87" s="296">
        <f t="shared" si="112"/>
        <v>544125.249636136</v>
      </c>
      <c r="AJ87" s="1253">
        <f t="shared" ref="AJ87:AK87" si="113">AJ85-AJ86</f>
        <v>548845.76740703476</v>
      </c>
      <c r="AK87" s="1249">
        <f t="shared" si="113"/>
        <v>1918543.9770285352</v>
      </c>
    </row>
    <row r="88" spans="1:37" s="230" customFormat="1">
      <c r="B88" s="290" t="s">
        <v>363</v>
      </c>
      <c r="C88" s="291"/>
      <c r="D88" s="294">
        <f>D87</f>
        <v>-442825.37544530147</v>
      </c>
      <c r="E88" s="294">
        <f t="shared" ref="E88:AD88" si="114">D88+E87</f>
        <v>-2347825.5853126864</v>
      </c>
      <c r="F88" s="294">
        <f t="shared" si="114"/>
        <v>-4493004.6659538615</v>
      </c>
      <c r="G88" s="294">
        <f>F88+G87</f>
        <v>-13756716.175529616</v>
      </c>
      <c r="H88" s="294">
        <f t="shared" si="114"/>
        <v>-2426903.8697438557</v>
      </c>
      <c r="I88" s="294">
        <f t="shared" si="114"/>
        <v>-1977012.3377790339</v>
      </c>
      <c r="J88" s="294">
        <f t="shared" si="114"/>
        <v>-1524660.5997436231</v>
      </c>
      <c r="K88" s="294">
        <f t="shared" si="114"/>
        <v>-1069869.7187277575</v>
      </c>
      <c r="L88" s="294">
        <f t="shared" si="114"/>
        <v>-612399.61760563194</v>
      </c>
      <c r="M88" s="294">
        <f t="shared" si="114"/>
        <v>-151566.72590897104</v>
      </c>
      <c r="N88" s="294">
        <f t="shared" si="114"/>
        <v>312090.0245383943</v>
      </c>
      <c r="O88" s="294">
        <f t="shared" si="114"/>
        <v>778663.04958663206</v>
      </c>
      <c r="P88" s="294">
        <f t="shared" si="114"/>
        <v>1248586.052242456</v>
      </c>
      <c r="Q88" s="294">
        <f t="shared" si="114"/>
        <v>1721844.2890498408</v>
      </c>
      <c r="R88" s="294">
        <f t="shared" si="114"/>
        <v>2198321.9809504743</v>
      </c>
      <c r="S88" s="294">
        <f t="shared" si="114"/>
        <v>2678155.8089726642</v>
      </c>
      <c r="T88" s="294">
        <f t="shared" si="114"/>
        <v>3161096.7820079541</v>
      </c>
      <c r="U88" s="294">
        <f t="shared" si="114"/>
        <v>3647494.223418124</v>
      </c>
      <c r="V88" s="294">
        <f t="shared" si="114"/>
        <v>4137515.4151685834</v>
      </c>
      <c r="W88" s="294">
        <f t="shared" si="114"/>
        <v>4630794.9405884147</v>
      </c>
      <c r="X88" s="294">
        <f t="shared" si="114"/>
        <v>5127753.9027633322</v>
      </c>
      <c r="Y88" s="294">
        <f t="shared" si="114"/>
        <v>5628893.7464401424</v>
      </c>
      <c r="Z88" s="294">
        <f t="shared" si="114"/>
        <v>6133906.6203590343</v>
      </c>
      <c r="AA88" s="294">
        <f t="shared" si="114"/>
        <v>6642874.2799315788</v>
      </c>
      <c r="AB88" s="294">
        <f t="shared" si="114"/>
        <v>7156143.887521199</v>
      </c>
      <c r="AC88" s="294">
        <f t="shared" si="114"/>
        <v>7673252.5362719744</v>
      </c>
      <c r="AD88" s="294">
        <f t="shared" si="114"/>
        <v>8194958.5683898358</v>
      </c>
      <c r="AE88" s="294">
        <f t="shared" ref="AE88" si="115">AD88+AE87</f>
        <v>8721103.5157038253</v>
      </c>
      <c r="AF88" s="294">
        <f t="shared" ref="AF88" si="116">AE88+AF87</f>
        <v>9251648.9960454796</v>
      </c>
      <c r="AG88" s="294">
        <f t="shared" ref="AG88" si="117">AF88+AG87</f>
        <v>9786578.5236907676</v>
      </c>
      <c r="AH88" s="294">
        <f t="shared" ref="AH88" si="118">AG88+AH87</f>
        <v>10326065.156591747</v>
      </c>
      <c r="AI88" s="294">
        <f t="shared" ref="AI88:AK88" si="119">AH88+AI87</f>
        <v>10870190.406227883</v>
      </c>
      <c r="AJ88" s="1247">
        <f t="shared" si="119"/>
        <v>11419036.173634918</v>
      </c>
      <c r="AK88" s="1250">
        <f t="shared" si="119"/>
        <v>13337580.150663454</v>
      </c>
    </row>
    <row r="89" spans="1:37" s="230" customFormat="1">
      <c r="B89" s="241" t="s">
        <v>534</v>
      </c>
      <c r="C89" s="276"/>
      <c r="D89" s="278">
        <f>D85</f>
        <v>0</v>
      </c>
      <c r="E89" s="278">
        <f t="shared" ref="E89:AD90" si="120">D89+E85</f>
        <v>0</v>
      </c>
      <c r="F89" s="278">
        <f t="shared" si="120"/>
        <v>0</v>
      </c>
      <c r="G89" s="278">
        <f>F89+G85</f>
        <v>0</v>
      </c>
      <c r="H89" s="278">
        <f t="shared" si="120"/>
        <v>11329812.30578576</v>
      </c>
      <c r="I89" s="278">
        <f t="shared" si="120"/>
        <v>11779703.837750582</v>
      </c>
      <c r="J89" s="278">
        <f t="shared" si="120"/>
        <v>12232055.575785993</v>
      </c>
      <c r="K89" s="278">
        <f t="shared" si="120"/>
        <v>12686846.456801858</v>
      </c>
      <c r="L89" s="278">
        <f t="shared" si="120"/>
        <v>13144316.557923984</v>
      </c>
      <c r="M89" s="278">
        <f t="shared" si="120"/>
        <v>13605149.449620645</v>
      </c>
      <c r="N89" s="278">
        <f t="shared" si="120"/>
        <v>14068806.20006801</v>
      </c>
      <c r="O89" s="278">
        <f t="shared" si="120"/>
        <v>14535379.225116247</v>
      </c>
      <c r="P89" s="278">
        <f t="shared" si="120"/>
        <v>15005302.227772072</v>
      </c>
      <c r="Q89" s="278">
        <f t="shared" si="120"/>
        <v>15478560.464579457</v>
      </c>
      <c r="R89" s="278">
        <f t="shared" si="120"/>
        <v>15955038.156480091</v>
      </c>
      <c r="S89" s="278">
        <f t="shared" si="120"/>
        <v>16434871.98450228</v>
      </c>
      <c r="T89" s="278">
        <f t="shared" si="120"/>
        <v>16917812.957537569</v>
      </c>
      <c r="U89" s="278">
        <f t="shared" si="120"/>
        <v>17404210.398947738</v>
      </c>
      <c r="V89" s="278">
        <f t="shared" si="120"/>
        <v>17894231.590698197</v>
      </c>
      <c r="W89" s="278">
        <f t="shared" si="120"/>
        <v>18387511.116118029</v>
      </c>
      <c r="X89" s="278">
        <f t="shared" si="120"/>
        <v>18884470.078292947</v>
      </c>
      <c r="Y89" s="278">
        <f t="shared" si="120"/>
        <v>19385609.921969756</v>
      </c>
      <c r="Z89" s="278">
        <f t="shared" si="120"/>
        <v>19890622.795888647</v>
      </c>
      <c r="AA89" s="278">
        <f t="shared" si="120"/>
        <v>20399590.455461193</v>
      </c>
      <c r="AB89" s="278">
        <f t="shared" si="120"/>
        <v>20912860.063050814</v>
      </c>
      <c r="AC89" s="278">
        <f t="shared" si="120"/>
        <v>21429968.711801589</v>
      </c>
      <c r="AD89" s="278">
        <f t="shared" si="120"/>
        <v>21951674.743919451</v>
      </c>
      <c r="AE89" s="278">
        <f t="shared" ref="AE89:AE90" si="121">AD89+AE85</f>
        <v>22477819.691233441</v>
      </c>
      <c r="AF89" s="278">
        <f t="shared" ref="AF89:AF90" si="122">AE89+AF85</f>
        <v>23008365.171575096</v>
      </c>
      <c r="AG89" s="278">
        <f t="shared" ref="AG89:AG90" si="123">AF89+AG85</f>
        <v>23543294.699220385</v>
      </c>
      <c r="AH89" s="278">
        <f t="shared" ref="AH89:AH90" si="124">AG89+AH85</f>
        <v>24082781.332121365</v>
      </c>
      <c r="AI89" s="278">
        <f t="shared" ref="AI89:AK90" si="125">AH89+AI85</f>
        <v>24626906.581757501</v>
      </c>
      <c r="AJ89" s="1247">
        <f t="shared" si="125"/>
        <v>25175752.349164534</v>
      </c>
      <c r="AK89" s="1246">
        <f t="shared" si="125"/>
        <v>27094296.326193068</v>
      </c>
    </row>
    <row r="90" spans="1:37">
      <c r="A90" s="230"/>
      <c r="B90" s="292" t="s">
        <v>536</v>
      </c>
      <c r="C90" s="277"/>
      <c r="D90" s="295">
        <f>D86</f>
        <v>442825.37544530147</v>
      </c>
      <c r="E90" s="295">
        <f t="shared" si="120"/>
        <v>2347825.5853126864</v>
      </c>
      <c r="F90" s="295">
        <f t="shared" si="120"/>
        <v>4493004.6659538615</v>
      </c>
      <c r="G90" s="295">
        <f>F90+G86</f>
        <v>13756716.175529616</v>
      </c>
      <c r="H90" s="295">
        <f t="shared" si="120"/>
        <v>13756716.175529616</v>
      </c>
      <c r="I90" s="295">
        <f t="shared" si="120"/>
        <v>13756716.175529616</v>
      </c>
      <c r="J90" s="295">
        <f t="shared" si="120"/>
        <v>13756716.175529616</v>
      </c>
      <c r="K90" s="295">
        <f t="shared" si="120"/>
        <v>13756716.175529616</v>
      </c>
      <c r="L90" s="295">
        <f t="shared" si="120"/>
        <v>13756716.175529616</v>
      </c>
      <c r="M90" s="295">
        <f t="shared" si="120"/>
        <v>13756716.175529616</v>
      </c>
      <c r="N90" s="295">
        <f t="shared" si="120"/>
        <v>13756716.175529616</v>
      </c>
      <c r="O90" s="295">
        <f t="shared" si="120"/>
        <v>13756716.175529616</v>
      </c>
      <c r="P90" s="295">
        <f t="shared" si="120"/>
        <v>13756716.175529616</v>
      </c>
      <c r="Q90" s="295">
        <f t="shared" si="120"/>
        <v>13756716.175529616</v>
      </c>
      <c r="R90" s="295">
        <f t="shared" si="120"/>
        <v>13756716.175529616</v>
      </c>
      <c r="S90" s="295">
        <f t="shared" si="120"/>
        <v>13756716.175529616</v>
      </c>
      <c r="T90" s="295">
        <f t="shared" si="120"/>
        <v>13756716.175529616</v>
      </c>
      <c r="U90" s="295">
        <f t="shared" si="120"/>
        <v>13756716.175529616</v>
      </c>
      <c r="V90" s="295">
        <f t="shared" si="120"/>
        <v>13756716.175529616</v>
      </c>
      <c r="W90" s="295">
        <f t="shared" si="120"/>
        <v>13756716.175529616</v>
      </c>
      <c r="X90" s="295">
        <f t="shared" si="120"/>
        <v>13756716.175529616</v>
      </c>
      <c r="Y90" s="295">
        <f t="shared" si="120"/>
        <v>13756716.175529616</v>
      </c>
      <c r="Z90" s="295">
        <f t="shared" si="120"/>
        <v>13756716.175529616</v>
      </c>
      <c r="AA90" s="295">
        <f t="shared" si="120"/>
        <v>13756716.175529616</v>
      </c>
      <c r="AB90" s="295">
        <f t="shared" si="120"/>
        <v>13756716.175529616</v>
      </c>
      <c r="AC90" s="295">
        <f t="shared" si="120"/>
        <v>13756716.175529616</v>
      </c>
      <c r="AD90" s="295">
        <f t="shared" si="120"/>
        <v>13756716.175529616</v>
      </c>
      <c r="AE90" s="295">
        <f t="shared" si="121"/>
        <v>13756716.175529616</v>
      </c>
      <c r="AF90" s="295">
        <f t="shared" si="122"/>
        <v>13756716.175529616</v>
      </c>
      <c r="AG90" s="295">
        <f t="shared" si="123"/>
        <v>13756716.175529616</v>
      </c>
      <c r="AH90" s="295">
        <f t="shared" si="124"/>
        <v>13756716.175529616</v>
      </c>
      <c r="AI90" s="295">
        <f t="shared" si="125"/>
        <v>13756716.175529616</v>
      </c>
      <c r="AJ90" s="1255">
        <f t="shared" si="125"/>
        <v>13756716.175529616</v>
      </c>
      <c r="AK90" s="1251">
        <f t="shared" si="125"/>
        <v>13756716.175529616</v>
      </c>
    </row>
    <row r="91" spans="1:37">
      <c r="A91" s="230"/>
      <c r="F91" s="220"/>
    </row>
    <row r="92" spans="1:37">
      <c r="F92" s="220"/>
    </row>
    <row r="93" spans="1:37">
      <c r="B93" s="509"/>
      <c r="C93" s="510"/>
      <c r="D93" s="511">
        <f t="shared" ref="D93:AD93" si="126">D42</f>
        <v>2021</v>
      </c>
      <c r="E93" s="511">
        <f t="shared" si="126"/>
        <v>2022</v>
      </c>
      <c r="F93" s="511">
        <f t="shared" si="126"/>
        <v>2023</v>
      </c>
      <c r="G93" s="511">
        <f t="shared" si="126"/>
        <v>2024</v>
      </c>
      <c r="H93" s="511">
        <f t="shared" si="126"/>
        <v>2025</v>
      </c>
      <c r="I93" s="511">
        <f t="shared" si="126"/>
        <v>2026</v>
      </c>
      <c r="J93" s="511">
        <f t="shared" si="126"/>
        <v>2027</v>
      </c>
      <c r="K93" s="511">
        <f t="shared" si="126"/>
        <v>2028</v>
      </c>
      <c r="L93" s="511">
        <f t="shared" si="126"/>
        <v>2029</v>
      </c>
      <c r="M93" s="511">
        <f t="shared" si="126"/>
        <v>2030</v>
      </c>
      <c r="N93" s="511">
        <f t="shared" si="126"/>
        <v>2031</v>
      </c>
      <c r="O93" s="511">
        <f t="shared" si="126"/>
        <v>2032</v>
      </c>
      <c r="P93" s="511">
        <f t="shared" si="126"/>
        <v>2033</v>
      </c>
      <c r="Q93" s="511">
        <f t="shared" si="126"/>
        <v>2034</v>
      </c>
      <c r="R93" s="511">
        <f t="shared" si="126"/>
        <v>2035</v>
      </c>
      <c r="S93" s="511">
        <f t="shared" si="126"/>
        <v>2036</v>
      </c>
      <c r="T93" s="511">
        <f t="shared" si="126"/>
        <v>2037</v>
      </c>
      <c r="U93" s="511">
        <f t="shared" si="126"/>
        <v>2038</v>
      </c>
      <c r="V93" s="511">
        <f t="shared" si="126"/>
        <v>2039</v>
      </c>
      <c r="W93" s="511">
        <f t="shared" si="126"/>
        <v>2040</v>
      </c>
      <c r="X93" s="511">
        <f t="shared" si="126"/>
        <v>2041</v>
      </c>
      <c r="Y93" s="511">
        <f t="shared" si="126"/>
        <v>2042</v>
      </c>
      <c r="Z93" s="511">
        <f t="shared" si="126"/>
        <v>2043</v>
      </c>
      <c r="AA93" s="511">
        <f t="shared" si="126"/>
        <v>2044</v>
      </c>
      <c r="AB93" s="511">
        <f t="shared" si="126"/>
        <v>2045</v>
      </c>
      <c r="AC93" s="511">
        <f t="shared" si="126"/>
        <v>2046</v>
      </c>
      <c r="AD93" s="511">
        <f t="shared" si="126"/>
        <v>2047</v>
      </c>
      <c r="AE93" s="511">
        <f t="shared" ref="AE93:AI93" si="127">AE42</f>
        <v>2048</v>
      </c>
      <c r="AF93" s="511">
        <f t="shared" si="127"/>
        <v>2049</v>
      </c>
      <c r="AG93" s="511">
        <f t="shared" si="127"/>
        <v>2050</v>
      </c>
      <c r="AH93" s="511">
        <f t="shared" si="127"/>
        <v>2051</v>
      </c>
      <c r="AI93" s="511">
        <f t="shared" si="127"/>
        <v>2052</v>
      </c>
      <c r="AJ93" s="511">
        <f t="shared" ref="AJ93:AK93" si="128">AJ42</f>
        <v>2053</v>
      </c>
      <c r="AK93" s="511">
        <f t="shared" si="128"/>
        <v>2054</v>
      </c>
    </row>
    <row r="94" spans="1:37">
      <c r="B94" s="512" t="s">
        <v>282</v>
      </c>
      <c r="C94" s="513"/>
      <c r="D94" s="514">
        <f t="shared" ref="D94:AD94" si="129">MAX(0,D93-$C$9+1)</f>
        <v>0</v>
      </c>
      <c r="E94" s="514">
        <f t="shared" si="129"/>
        <v>0</v>
      </c>
      <c r="F94" s="514">
        <f t="shared" si="129"/>
        <v>0</v>
      </c>
      <c r="G94" s="514">
        <f t="shared" si="129"/>
        <v>0</v>
      </c>
      <c r="H94" s="514">
        <f t="shared" si="129"/>
        <v>1</v>
      </c>
      <c r="I94" s="514">
        <f t="shared" si="129"/>
        <v>2</v>
      </c>
      <c r="J94" s="514">
        <f t="shared" si="129"/>
        <v>3</v>
      </c>
      <c r="K94" s="514">
        <f t="shared" si="129"/>
        <v>4</v>
      </c>
      <c r="L94" s="514">
        <f t="shared" si="129"/>
        <v>5</v>
      </c>
      <c r="M94" s="514">
        <f t="shared" si="129"/>
        <v>6</v>
      </c>
      <c r="N94" s="514">
        <f t="shared" si="129"/>
        <v>7</v>
      </c>
      <c r="O94" s="514">
        <f t="shared" si="129"/>
        <v>8</v>
      </c>
      <c r="P94" s="514">
        <f t="shared" si="129"/>
        <v>9</v>
      </c>
      <c r="Q94" s="514">
        <f t="shared" si="129"/>
        <v>10</v>
      </c>
      <c r="R94" s="514">
        <f t="shared" si="129"/>
        <v>11</v>
      </c>
      <c r="S94" s="514">
        <f t="shared" si="129"/>
        <v>12</v>
      </c>
      <c r="T94" s="514">
        <f t="shared" si="129"/>
        <v>13</v>
      </c>
      <c r="U94" s="514">
        <f t="shared" si="129"/>
        <v>14</v>
      </c>
      <c r="V94" s="514">
        <f t="shared" si="129"/>
        <v>15</v>
      </c>
      <c r="W94" s="514">
        <f t="shared" si="129"/>
        <v>16</v>
      </c>
      <c r="X94" s="514">
        <f t="shared" si="129"/>
        <v>17</v>
      </c>
      <c r="Y94" s="514">
        <f t="shared" si="129"/>
        <v>18</v>
      </c>
      <c r="Z94" s="514">
        <f t="shared" si="129"/>
        <v>19</v>
      </c>
      <c r="AA94" s="514">
        <f t="shared" si="129"/>
        <v>20</v>
      </c>
      <c r="AB94" s="514">
        <f t="shared" si="129"/>
        <v>21</v>
      </c>
      <c r="AC94" s="514">
        <f t="shared" si="129"/>
        <v>22</v>
      </c>
      <c r="AD94" s="514">
        <f t="shared" si="129"/>
        <v>23</v>
      </c>
      <c r="AE94" s="514">
        <f t="shared" ref="AE94:AI94" si="130">MAX(0,AE93-$C$9+1)</f>
        <v>24</v>
      </c>
      <c r="AF94" s="514">
        <f t="shared" si="130"/>
        <v>25</v>
      </c>
      <c r="AG94" s="514">
        <f t="shared" si="130"/>
        <v>26</v>
      </c>
      <c r="AH94" s="514">
        <f t="shared" si="130"/>
        <v>27</v>
      </c>
      <c r="AI94" s="514">
        <f t="shared" si="130"/>
        <v>28</v>
      </c>
      <c r="AJ94" s="514">
        <f t="shared" ref="AJ94:AK94" si="131">MAX(0,AJ93-$C$9+1)</f>
        <v>29</v>
      </c>
      <c r="AK94" s="514">
        <f t="shared" si="131"/>
        <v>30</v>
      </c>
    </row>
    <row r="95" spans="1:37">
      <c r="B95" s="512" t="s">
        <v>280</v>
      </c>
      <c r="C95" s="515">
        <f>'General Inputs'!D4</f>
        <v>7.0000000000000007E-2</v>
      </c>
      <c r="D95" s="516">
        <f>1/(1+$C$95)^(D$93-$D$93)</f>
        <v>1</v>
      </c>
      <c r="E95" s="516">
        <f t="shared" ref="E95:AK95" si="132">1/(1+$C$95)^(E$93-$D$93)</f>
        <v>0.93457943925233644</v>
      </c>
      <c r="F95" s="516">
        <f t="shared" si="132"/>
        <v>0.87343872827321156</v>
      </c>
      <c r="G95" s="516">
        <f t="shared" si="132"/>
        <v>0.81629787689085187</v>
      </c>
      <c r="H95" s="516">
        <f t="shared" si="132"/>
        <v>0.7628952120475252</v>
      </c>
      <c r="I95" s="516">
        <f t="shared" si="132"/>
        <v>0.71298617948366838</v>
      </c>
      <c r="J95" s="516">
        <f t="shared" si="132"/>
        <v>0.66634222381651254</v>
      </c>
      <c r="K95" s="516">
        <f t="shared" si="132"/>
        <v>0.62274974188459109</v>
      </c>
      <c r="L95" s="516">
        <f t="shared" si="132"/>
        <v>0.5820091045650384</v>
      </c>
      <c r="M95" s="516">
        <f t="shared" si="132"/>
        <v>0.54393374258414806</v>
      </c>
      <c r="N95" s="516">
        <f t="shared" si="132"/>
        <v>0.5083492921347178</v>
      </c>
      <c r="O95" s="516">
        <f t="shared" si="132"/>
        <v>0.47509279638758667</v>
      </c>
      <c r="P95" s="516">
        <f t="shared" si="132"/>
        <v>0.44401195924073528</v>
      </c>
      <c r="Q95" s="516">
        <f t="shared" si="132"/>
        <v>0.41496444788853759</v>
      </c>
      <c r="R95" s="516">
        <f t="shared" si="132"/>
        <v>0.3878172410173249</v>
      </c>
      <c r="S95" s="516">
        <f t="shared" si="132"/>
        <v>0.36244601964235967</v>
      </c>
      <c r="T95" s="516">
        <f t="shared" si="132"/>
        <v>0.33873459779659787</v>
      </c>
      <c r="U95" s="516">
        <f t="shared" si="132"/>
        <v>0.31657439046411018</v>
      </c>
      <c r="V95" s="516">
        <f t="shared" si="132"/>
        <v>0.29586391632159825</v>
      </c>
      <c r="W95" s="516">
        <f t="shared" si="132"/>
        <v>0.27650833301083949</v>
      </c>
      <c r="X95" s="516">
        <f t="shared" si="132"/>
        <v>0.2584190028138687</v>
      </c>
      <c r="Y95" s="516">
        <f t="shared" si="132"/>
        <v>0.24151308674193336</v>
      </c>
      <c r="Z95" s="516">
        <f t="shared" si="132"/>
        <v>0.22571316517937698</v>
      </c>
      <c r="AA95" s="516">
        <f t="shared" si="132"/>
        <v>0.21094688334521211</v>
      </c>
      <c r="AB95" s="516">
        <f t="shared" si="132"/>
        <v>0.19714661994879637</v>
      </c>
      <c r="AC95" s="516">
        <f t="shared" si="132"/>
        <v>0.18424917752223957</v>
      </c>
      <c r="AD95" s="516">
        <f t="shared" si="132"/>
        <v>0.17219549301143888</v>
      </c>
      <c r="AE95" s="516">
        <f t="shared" si="132"/>
        <v>0.16093036730041013</v>
      </c>
      <c r="AF95" s="516">
        <f t="shared" si="132"/>
        <v>0.15040221243028987</v>
      </c>
      <c r="AG95" s="516">
        <f t="shared" si="132"/>
        <v>0.1405628153554111</v>
      </c>
      <c r="AH95" s="516">
        <f t="shared" si="132"/>
        <v>0.13136711715458982</v>
      </c>
      <c r="AI95" s="516">
        <f t="shared" si="132"/>
        <v>0.1227730066865325</v>
      </c>
      <c r="AJ95" s="516">
        <f t="shared" si="132"/>
        <v>0.11474112774442291</v>
      </c>
      <c r="AK95" s="516">
        <f t="shared" si="132"/>
        <v>0.10723469882656347</v>
      </c>
    </row>
    <row r="96" spans="1:37">
      <c r="B96" s="512" t="s">
        <v>280</v>
      </c>
      <c r="C96" s="515">
        <f>'General Inputs'!D5</f>
        <v>0.03</v>
      </c>
      <c r="D96" s="516">
        <f>1/(1+$C$96)^(D$93-$D$93)</f>
        <v>1</v>
      </c>
      <c r="E96" s="516">
        <f t="shared" ref="E96:AK96" si="133">1/(1+$C$96)^(E$93-$D$93)</f>
        <v>0.970873786407767</v>
      </c>
      <c r="F96" s="516">
        <f t="shared" si="133"/>
        <v>0.94259590913375435</v>
      </c>
      <c r="G96" s="516">
        <f t="shared" si="133"/>
        <v>0.91514165935315961</v>
      </c>
      <c r="H96" s="516">
        <f t="shared" si="133"/>
        <v>0.888487047915689</v>
      </c>
      <c r="I96" s="516">
        <f t="shared" si="133"/>
        <v>0.86260878438416411</v>
      </c>
      <c r="J96" s="516">
        <f t="shared" si="133"/>
        <v>0.83748425668365445</v>
      </c>
      <c r="K96" s="516">
        <f t="shared" si="133"/>
        <v>0.81309151134335378</v>
      </c>
      <c r="L96" s="516">
        <f t="shared" si="133"/>
        <v>0.78940923431393573</v>
      </c>
      <c r="M96" s="516">
        <f t="shared" si="133"/>
        <v>0.76641673234362695</v>
      </c>
      <c r="N96" s="516">
        <f t="shared" si="133"/>
        <v>0.74409391489672516</v>
      </c>
      <c r="O96" s="516">
        <f t="shared" si="133"/>
        <v>0.72242127659876232</v>
      </c>
      <c r="P96" s="516">
        <f t="shared" si="133"/>
        <v>0.70137988019297326</v>
      </c>
      <c r="Q96" s="516">
        <f t="shared" si="133"/>
        <v>0.68095133999317792</v>
      </c>
      <c r="R96" s="516">
        <f t="shared" si="133"/>
        <v>0.66111780581861923</v>
      </c>
      <c r="S96" s="516">
        <f t="shared" si="133"/>
        <v>0.64186194739671765</v>
      </c>
      <c r="T96" s="516">
        <f t="shared" si="133"/>
        <v>0.62316693922011435</v>
      </c>
      <c r="U96" s="516">
        <f t="shared" si="133"/>
        <v>0.60501644584477121</v>
      </c>
      <c r="V96" s="516">
        <f t="shared" si="133"/>
        <v>0.5873946076162827</v>
      </c>
      <c r="W96" s="516">
        <f t="shared" si="133"/>
        <v>0.57028602681192497</v>
      </c>
      <c r="X96" s="516">
        <f t="shared" si="133"/>
        <v>0.55367575418633497</v>
      </c>
      <c r="Y96" s="516">
        <f t="shared" si="133"/>
        <v>0.5375492759090631</v>
      </c>
      <c r="Z96" s="516">
        <f t="shared" si="133"/>
        <v>0.52189250088258554</v>
      </c>
      <c r="AA96" s="516">
        <f t="shared" si="133"/>
        <v>0.50669174842969467</v>
      </c>
      <c r="AB96" s="516">
        <f t="shared" si="133"/>
        <v>0.49193373633950943</v>
      </c>
      <c r="AC96" s="516">
        <f t="shared" si="133"/>
        <v>0.47760556926165965</v>
      </c>
      <c r="AD96" s="516">
        <f t="shared" si="133"/>
        <v>0.46369472743850448</v>
      </c>
      <c r="AE96" s="516">
        <f t="shared" si="133"/>
        <v>0.45018905576553836</v>
      </c>
      <c r="AF96" s="516">
        <f t="shared" si="133"/>
        <v>0.4370767531704256</v>
      </c>
      <c r="AG96" s="516">
        <f t="shared" si="133"/>
        <v>0.42434636230138412</v>
      </c>
      <c r="AH96" s="516">
        <f t="shared" si="133"/>
        <v>0.41198675951590691</v>
      </c>
      <c r="AI96" s="516">
        <f t="shared" si="133"/>
        <v>0.39998714516107459</v>
      </c>
      <c r="AJ96" s="516">
        <f t="shared" si="133"/>
        <v>0.38833703413696569</v>
      </c>
      <c r="AK96" s="516">
        <f t="shared" si="133"/>
        <v>0.37702624673491814</v>
      </c>
    </row>
    <row r="97" spans="2:37">
      <c r="F97" s="220"/>
    </row>
    <row r="98" spans="2:37">
      <c r="B98" s="585" t="s">
        <v>808</v>
      </c>
      <c r="C98" s="585" t="s">
        <v>449</v>
      </c>
      <c r="D98" s="586">
        <f t="shared" ref="D98:AD98" si="134">D42</f>
        <v>2021</v>
      </c>
      <c r="E98" s="586">
        <f t="shared" si="134"/>
        <v>2022</v>
      </c>
      <c r="F98" s="586">
        <f t="shared" si="134"/>
        <v>2023</v>
      </c>
      <c r="G98" s="586">
        <f t="shared" si="134"/>
        <v>2024</v>
      </c>
      <c r="H98" s="586">
        <f t="shared" si="134"/>
        <v>2025</v>
      </c>
      <c r="I98" s="586">
        <f t="shared" si="134"/>
        <v>2026</v>
      </c>
      <c r="J98" s="586">
        <f t="shared" si="134"/>
        <v>2027</v>
      </c>
      <c r="K98" s="586">
        <f t="shared" si="134"/>
        <v>2028</v>
      </c>
      <c r="L98" s="586">
        <f t="shared" si="134"/>
        <v>2029</v>
      </c>
      <c r="M98" s="586">
        <f t="shared" si="134"/>
        <v>2030</v>
      </c>
      <c r="N98" s="586">
        <f t="shared" si="134"/>
        <v>2031</v>
      </c>
      <c r="O98" s="586">
        <f t="shared" si="134"/>
        <v>2032</v>
      </c>
      <c r="P98" s="586">
        <f t="shared" si="134"/>
        <v>2033</v>
      </c>
      <c r="Q98" s="586">
        <f t="shared" si="134"/>
        <v>2034</v>
      </c>
      <c r="R98" s="586">
        <f t="shared" si="134"/>
        <v>2035</v>
      </c>
      <c r="S98" s="586">
        <f t="shared" si="134"/>
        <v>2036</v>
      </c>
      <c r="T98" s="586">
        <f t="shared" si="134"/>
        <v>2037</v>
      </c>
      <c r="U98" s="586">
        <f t="shared" si="134"/>
        <v>2038</v>
      </c>
      <c r="V98" s="586">
        <f t="shared" si="134"/>
        <v>2039</v>
      </c>
      <c r="W98" s="586">
        <f t="shared" si="134"/>
        <v>2040</v>
      </c>
      <c r="X98" s="586">
        <f t="shared" si="134"/>
        <v>2041</v>
      </c>
      <c r="Y98" s="586">
        <f t="shared" si="134"/>
        <v>2042</v>
      </c>
      <c r="Z98" s="586">
        <f t="shared" si="134"/>
        <v>2043</v>
      </c>
      <c r="AA98" s="586">
        <f t="shared" si="134"/>
        <v>2044</v>
      </c>
      <c r="AB98" s="586">
        <f t="shared" si="134"/>
        <v>2045</v>
      </c>
      <c r="AC98" s="586">
        <f t="shared" si="134"/>
        <v>2046</v>
      </c>
      <c r="AD98" s="586">
        <f t="shared" si="134"/>
        <v>2047</v>
      </c>
      <c r="AE98" s="586">
        <f t="shared" ref="AE98:AI98" si="135">AE42</f>
        <v>2048</v>
      </c>
      <c r="AF98" s="586">
        <f t="shared" si="135"/>
        <v>2049</v>
      </c>
      <c r="AG98" s="586">
        <f t="shared" si="135"/>
        <v>2050</v>
      </c>
      <c r="AH98" s="586">
        <f t="shared" si="135"/>
        <v>2051</v>
      </c>
      <c r="AI98" s="586">
        <f t="shared" si="135"/>
        <v>2052</v>
      </c>
      <c r="AJ98" s="586">
        <f t="shared" ref="AJ98:AK98" si="136">AJ42</f>
        <v>2053</v>
      </c>
      <c r="AK98" s="586">
        <f t="shared" si="136"/>
        <v>2054</v>
      </c>
    </row>
    <row r="99" spans="2:37">
      <c r="B99" s="587" t="s">
        <v>824</v>
      </c>
      <c r="C99" s="588" t="s">
        <v>328</v>
      </c>
      <c r="D99" s="591">
        <f>'B1.1'!D39+'B1.2'!D39+'B1.3'!D39+'B1.4'!D39+'B1.5'!D39+'B1.6'!D39+'B1.7'!D39+'B1.8'!D39+'B1.9'!D39+'B1.10'!D39+'B1.11'!D39+'B1.12'!D39</f>
        <v>0</v>
      </c>
      <c r="E99" s="591">
        <f>'B1.1'!E39+'B1.2'!E39+'B1.3'!E39+'B1.4'!E39+'B1.5'!E39+'B1.6'!E39+'B1.7'!E39+'B1.8'!E39+'B1.9'!E39+'B1.10'!E39+'B1.11'!E39+'B1.12'!E39</f>
        <v>0</v>
      </c>
      <c r="F99" s="591">
        <f>'B1.1'!F39+'B1.2'!F39+'B1.3'!F39+'B1.4'!F39+'B1.5'!F39+'B1.6'!F39+'B1.7'!F39+'B1.8'!F39+'B1.9'!F39+'B1.10'!F39+'B1.11'!F39+'B1.12'!F39</f>
        <v>0</v>
      </c>
      <c r="G99" s="591">
        <f>'B1.1'!G39+'B1.2'!G39+'B1.3'!G39+'B1.4'!G39+'B1.5'!G39+'B1.6'!G39+'B1.7'!G39+'B1.8'!G39+'B1.9'!G39+'B1.10'!G39+'B1.11'!G39+'B1.12'!G39</f>
        <v>0</v>
      </c>
      <c r="H99" s="591">
        <f>'B1.1'!H39+'B1.2'!H39+'B1.3'!H39+'B1.4'!H39+'B1.5'!H39+'B1.6'!H39+'B1.7'!H39+'B1.8'!H39+'B1.9'!H39+'B1.10'!H39+'B1.11'!H39+'B1.12'!H39</f>
        <v>3.5909750737879121E-3</v>
      </c>
      <c r="I99" s="591">
        <f>'B1.1'!I39+'B1.2'!I39+'B1.3'!I39+'B1.4'!I39+'B1.5'!I39+'B1.6'!I39+'B1.7'!I39+'B1.8'!I39+'B1.9'!I39+'B1.10'!I39+'B1.11'!I39+'B1.12'!I39</f>
        <v>3.639861439259969E-3</v>
      </c>
      <c r="J99" s="591">
        <f>'B1.1'!J39+'B1.2'!J39+'B1.3'!J39+'B1.4'!J39+'B1.5'!J39+'B1.6'!J39+'B1.7'!J39+'B1.8'!J39+'B1.9'!J39+'B1.10'!J39+'B1.11'!J39+'B1.12'!J39</f>
        <v>3.6899200026393772E-3</v>
      </c>
      <c r="K99" s="591">
        <f>'B1.1'!K39+'B1.2'!K39+'B1.3'!K39+'B1.4'!K39+'B1.5'!K39+'B1.6'!K39+'B1.7'!K39+'B1.8'!K39+'B1.9'!K39+'B1.10'!K39+'B1.11'!K39+'B1.12'!K39</f>
        <v>3.7410411382934419E-3</v>
      </c>
      <c r="L99" s="591">
        <f>'B1.1'!L39+'B1.2'!L39+'B1.3'!L39+'B1.4'!L39+'B1.5'!L39+'B1.6'!L39+'B1.7'!L39+'B1.8'!L39+'B1.9'!L39+'B1.10'!L39+'B1.11'!L39+'B1.12'!L39</f>
        <v>3.7931598677929486E-3</v>
      </c>
      <c r="M99" s="591">
        <f>'B1.1'!M39+'B1.2'!M39+'B1.3'!M39+'B1.4'!M39+'B1.5'!M39+'B1.6'!M39+'B1.7'!M39+'B1.8'!M39+'B1.9'!M39+'B1.10'!M39+'B1.11'!M39+'B1.12'!M39</f>
        <v>3.8462365531379801E-3</v>
      </c>
      <c r="N99" s="591">
        <f>'B1.1'!N39+'B1.2'!N39+'B1.3'!N39+'B1.4'!N39+'B1.5'!N39+'B1.6'!N39+'B1.7'!N39+'B1.8'!N39+'B1.9'!N39+'B1.10'!N39+'B1.11'!N39+'B1.12'!N39</f>
        <v>3.9002470102274403E-3</v>
      </c>
      <c r="O99" s="591">
        <f>'B1.1'!O39+'B1.2'!O39+'B1.3'!O39+'B1.4'!O39+'B1.5'!O39+'B1.6'!O39+'B1.7'!O39+'B1.8'!O39+'B1.9'!O39+'B1.10'!O39+'B1.11'!O39+'B1.12'!O39</f>
        <v>3.955177026851284E-3</v>
      </c>
      <c r="P99" s="591">
        <f>'B1.1'!P39+'B1.2'!P39+'B1.3'!P39+'B1.4'!P39+'B1.5'!P39+'B1.6'!P39+'B1.7'!P39+'B1.8'!P39+'B1.9'!P39+'B1.10'!P39+'B1.11'!P39+'B1.12'!P39</f>
        <v>4.0110191283556709E-3</v>
      </c>
      <c r="Q99" s="591">
        <f>'B1.1'!Q39+'B1.2'!Q39+'B1.3'!Q39+'B1.4'!Q39+'B1.5'!Q39+'B1.6'!Q39+'B1.7'!Q39+'B1.8'!Q39+'B1.9'!Q39+'B1.10'!Q39+'B1.11'!Q39+'B1.12'!Q39</f>
        <v>4.0677705719491947E-3</v>
      </c>
      <c r="R99" s="591">
        <f>'B1.1'!R39+'B1.2'!R39+'B1.3'!R39+'B1.4'!R39+'B1.5'!R39+'B1.6'!R39+'B1.7'!R39+'B1.8'!R39+'B1.9'!R39+'B1.10'!R39+'B1.11'!R39+'B1.12'!R39</f>
        <v>4.1254320510148365E-3</v>
      </c>
      <c r="S99" s="591">
        <f>'B1.1'!S39+'B1.2'!S39+'B1.3'!S39+'B1.4'!S39+'B1.5'!S39+'B1.6'!S39+'B1.7'!S39+'B1.8'!S39+'B1.9'!S39+'B1.10'!S39+'B1.11'!S39+'B1.12'!S39</f>
        <v>4.1840068290202592E-3</v>
      </c>
      <c r="T99" s="591">
        <f>'B1.1'!T39+'B1.2'!T39+'B1.3'!T39+'B1.4'!T39+'B1.5'!T39+'B1.6'!T39+'B1.7'!T39+'B1.8'!T39+'B1.9'!T39+'B1.10'!T39+'B1.11'!T39+'B1.12'!T39</f>
        <v>4.2435001436173523E-3</v>
      </c>
      <c r="U99" s="591">
        <f>'B1.1'!U39+'B1.2'!U39+'B1.3'!U39+'B1.4'!U39+'B1.5'!U39+'B1.6'!U39+'B1.7'!U39+'B1.8'!U39+'B1.9'!U39+'B1.10'!U39+'B1.11'!U39+'B1.12'!U39</f>
        <v>4.3039187863831247E-3</v>
      </c>
      <c r="V99" s="591">
        <f>'B1.1'!V39+'B1.2'!V39+'B1.3'!V39+'B1.4'!V39+'B1.5'!V39+'B1.6'!V39+'B1.7'!V39+'B1.8'!V39+'B1.9'!V39+'B1.10'!V39+'B1.11'!V39+'B1.12'!V39</f>
        <v>4.3652708000503117E-3</v>
      </c>
      <c r="W99" s="591">
        <f>'B1.1'!W39+'B1.2'!W39+'B1.3'!W39+'B1.4'!W39+'B1.5'!W39+'B1.6'!W39+'B1.7'!W39+'B1.8'!W39+'B1.9'!W39+'B1.10'!W39+'B1.11'!W39+'B1.12'!W39</f>
        <v>4.4275652563166672E-3</v>
      </c>
      <c r="X99" s="591">
        <f>'B1.1'!X39+'B1.2'!X39+'B1.3'!X39+'B1.4'!X39+'B1.5'!X39+'B1.6'!X39+'B1.7'!X39+'B1.8'!X39+'B1.9'!X39+'B1.10'!X39+'B1.11'!X39+'B1.12'!X39</f>
        <v>4.4908120901496432E-3</v>
      </c>
      <c r="Y99" s="591">
        <f>'B1.1'!Y39+'B1.2'!Y39+'B1.3'!Y39+'B1.4'!Y39+'B1.5'!Y39+'B1.6'!Y39+'B1.7'!Y39+'B1.8'!Y39+'B1.9'!Y39+'B1.10'!Y39+'B1.11'!Y39+'B1.12'!Y39</f>
        <v>4.5550219744850346E-3</v>
      </c>
      <c r="Z99" s="591">
        <f>'B1.1'!Z39+'B1.2'!Z39+'B1.3'!Z39+'B1.4'!Z39+'B1.5'!Z39+'B1.6'!Z39+'B1.7'!Z39+'B1.8'!Z39+'B1.9'!Z39+'B1.10'!Z39+'B1.11'!Z39+'B1.12'!Z39</f>
        <v>4.6202062243187441E-3</v>
      </c>
      <c r="AA99" s="591">
        <f>'B1.1'!AA39+'B1.2'!AA39+'B1.3'!AA39+'B1.4'!AA39+'B1.5'!AA39+'B1.6'!AA39+'B1.7'!AA39+'B1.8'!AA39+'B1.9'!AA39+'B1.10'!AA39+'B1.11'!AA39+'B1.12'!AA39</f>
        <v>4.6863767225283591E-3</v>
      </c>
      <c r="AB99" s="591">
        <f>'B1.1'!AB39+'B1.2'!AB39+'B1.3'!AB39+'B1.4'!AB39+'B1.5'!AB39+'B1.6'!AB39+'B1.7'!AB39+'B1.8'!AB39+'B1.9'!AB39+'B1.10'!AB39+'B1.11'!AB39+'B1.12'!AB39</f>
        <v>4.7535458619916929E-3</v>
      </c>
      <c r="AC99" s="591">
        <f>'B1.1'!AC39+'B1.2'!AC39+'B1.3'!AC39+'B1.4'!AC39+'B1.5'!AC39+'B1.6'!AC39+'B1.7'!AC39+'B1.8'!AC39+'B1.9'!AC39+'B1.10'!AC39+'B1.11'!AC39+'B1.12'!AC39</f>
        <v>4.8217265000894041E-3</v>
      </c>
      <c r="AD99" s="591">
        <f>'B1.1'!AD39+'B1.2'!AD39+'B1.3'!AD39+'B1.4'!AD39+'B1.5'!AD39+'B1.6'!AD39+'B1.7'!AD39+'B1.8'!AD39+'B1.9'!AD39+'B1.10'!AD39+'B1.11'!AD39+'B1.12'!AD39</f>
        <v>4.890931922732389E-3</v>
      </c>
      <c r="AE99" s="591">
        <f>'B1.1'!AE39+'B1.2'!AE39+'B1.3'!AE39+'B1.4'!AE39+'B1.5'!AE39+'B1.6'!AE39+'B1.7'!AE39+'B1.8'!AE39+'B1.9'!AE39+'B1.10'!AE39+'B1.11'!AE39+'B1.12'!AE39</f>
        <v>4.9611758157968068E-3</v>
      </c>
      <c r="AF99" s="591">
        <f>'B1.1'!AF39+'B1.2'!AF39+'B1.3'!AF39+'B1.4'!AF39+'B1.5'!AF39+'B1.6'!AF39+'B1.7'!AF39+'B1.8'!AF39+'B1.9'!AF39+'B1.10'!AF39+'B1.11'!AF39+'B1.12'!AF39</f>
        <v>5.0324722423800358E-3</v>
      </c>
      <c r="AG99" s="591">
        <f>'B1.1'!AG39+'B1.2'!AG39+'B1.3'!AG39+'B1.4'!AG39+'B1.5'!AG39+'B1.6'!AG39+'B1.7'!AG39+'B1.8'!AG39+'B1.9'!AG39+'B1.10'!AG39+'B1.11'!AG39+'B1.12'!AG39</f>
        <v>5.104835624675166E-3</v>
      </c>
      <c r="AH99" s="591">
        <f>'B1.1'!AH39+'B1.2'!AH39+'B1.3'!AH39+'B1.4'!AH39+'B1.5'!AH39+'B1.6'!AH39+'B1.7'!AH39+'B1.8'!AH39+'B1.9'!AH39+'B1.10'!AH39+'B1.11'!AH39+'B1.12'!AH39</f>
        <v>5.1782807295433428E-3</v>
      </c>
      <c r="AI99" s="591">
        <f>'B1.1'!AI39+'B1.2'!AI39+'B1.3'!AI39+'B1.4'!AI39+'B1.5'!AI39+'B1.6'!AI39+'B1.7'!AI39+'B1.8'!AI39+'B1.9'!AI39+'B1.10'!AI39+'B1.11'!AI39+'B1.12'!AI39</f>
        <v>5.2528226570721899E-3</v>
      </c>
      <c r="AJ99" s="591">
        <f>'B1.1'!AJ39+'B1.2'!AJ39+'B1.3'!AJ39+'B1.4'!AJ39+'B1.5'!AJ39+'B1.6'!AJ39+'B1.7'!AJ39+'B1.8'!AJ39+'B1.9'!AJ39+'B1.10'!AJ39+'B1.11'!AJ39+'B1.12'!AJ39</f>
        <v>5.328476831565284E-3</v>
      </c>
      <c r="AK99" s="591">
        <f>'B1.1'!AK39+'B1.2'!AK39+'B1.3'!AK39+'B1.4'!AK39+'B1.5'!AK39+'B1.6'!AK39+'B1.7'!AK39+'B1.8'!AK39+'B1.9'!AK39+'B1.10'!AK39+'B1.11'!AK39+'B1.12'!AK39</f>
        <v>5.405258994526322E-3</v>
      </c>
    </row>
    <row r="100" spans="2:37">
      <c r="B100" s="587" t="s">
        <v>825</v>
      </c>
      <c r="C100" s="588" t="s">
        <v>329</v>
      </c>
      <c r="D100" s="591">
        <f>'B1.1'!D40+'B1.2'!D40+'B1.3'!D40+'B1.4'!D40+'B1.5'!D40+'B1.6'!D40+'B1.7'!D40+'B1.8'!D40+'B1.9'!D40+'B1.10'!D40+'B1.11'!D40+'B1.12'!D40</f>
        <v>0</v>
      </c>
      <c r="E100" s="591">
        <f>'B1.1'!E40+'B1.2'!E40+'B1.3'!E40+'B1.4'!E40+'B1.5'!E40+'B1.6'!E40+'B1.7'!E40+'B1.8'!E40+'B1.9'!E40+'B1.10'!E40+'B1.11'!E40+'B1.12'!E40</f>
        <v>0</v>
      </c>
      <c r="F100" s="591">
        <f>'B1.1'!F40+'B1.2'!F40+'B1.3'!F40+'B1.4'!F40+'B1.5'!F40+'B1.6'!F40+'B1.7'!F40+'B1.8'!F40+'B1.9'!F40+'B1.10'!F40+'B1.11'!F40+'B1.12'!F40</f>
        <v>0</v>
      </c>
      <c r="G100" s="591">
        <f>'B1.1'!G40+'B1.2'!G40+'B1.3'!G40+'B1.4'!G40+'B1.5'!G40+'B1.6'!G40+'B1.7'!G40+'B1.8'!G40+'B1.9'!G40+'B1.10'!G40+'B1.11'!G40+'B1.12'!G40</f>
        <v>0</v>
      </c>
      <c r="H100" s="591">
        <f>'B1.1'!H40+'B1.2'!H40+'B1.3'!H40+'B1.4'!H40+'B1.5'!H40+'B1.6'!H40+'B1.7'!H40+'B1.8'!H40+'B1.9'!H40+'B1.10'!H40+'B1.11'!H40+'B1.12'!H40</f>
        <v>6.2732200959584927E-2</v>
      </c>
      <c r="I100" s="591">
        <f>'B1.1'!I40+'B1.2'!I40+'B1.3'!I40+'B1.4'!I40+'B1.5'!I40+'B1.6'!I40+'B1.7'!I40+'B1.8'!I40+'B1.9'!I40+'B1.10'!I40+'B1.11'!I40+'B1.12'!I40</f>
        <v>6.3592740784195079E-2</v>
      </c>
      <c r="J100" s="591">
        <f>'B1.1'!J40+'B1.2'!J40+'B1.3'!J40+'B1.4'!J40+'B1.5'!J40+'B1.6'!J40+'B1.7'!J40+'B1.8'!J40+'B1.9'!J40+'B1.10'!J40+'B1.11'!J40+'B1.12'!J40</f>
        <v>6.4465090116230972E-2</v>
      </c>
      <c r="K100" s="591">
        <f>'B1.1'!K40+'B1.2'!K40+'B1.3'!K40+'B1.4'!K40+'B1.5'!K40+'B1.6'!K40+'B1.7'!K40+'B1.8'!K40+'B1.9'!K40+'B1.10'!K40+'B1.11'!K40+'B1.12'!K40</f>
        <v>6.5349440880812543E-2</v>
      </c>
      <c r="L100" s="591">
        <f>'B1.1'!L40+'B1.2'!L40+'B1.3'!L40+'B1.4'!L40+'B1.5'!L40+'B1.6'!L40+'B1.7'!L40+'B1.8'!L40+'B1.9'!L40+'B1.10'!L40+'B1.11'!L40+'B1.12'!L40</f>
        <v>6.6245977690402885E-2</v>
      </c>
      <c r="M100" s="591">
        <f>'B1.1'!M40+'B1.2'!M40+'B1.3'!M40+'B1.4'!M40+'B1.5'!M40+'B1.6'!M40+'B1.7'!M40+'B1.8'!M40+'B1.9'!M40+'B1.10'!M40+'B1.11'!M40+'B1.12'!M40</f>
        <v>6.715488205951789E-2</v>
      </c>
      <c r="N100" s="591">
        <f>'B1.1'!N40+'B1.2'!N40+'B1.3'!N40+'B1.4'!N40+'B1.5'!N40+'B1.6'!N40+'B1.7'!N40+'B1.8'!N40+'B1.9'!N40+'B1.10'!N40+'B1.11'!N40+'B1.12'!N40</f>
        <v>6.807633457961218E-2</v>
      </c>
      <c r="O100" s="591">
        <f>'B1.1'!O40+'B1.2'!O40+'B1.3'!O40+'B1.4'!O40+'B1.5'!O40+'B1.6'!O40+'B1.7'!O40+'B1.8'!O40+'B1.9'!O40+'B1.10'!O40+'B1.11'!O40+'B1.12'!O40</f>
        <v>6.901051614048398E-2</v>
      </c>
      <c r="P100" s="591">
        <f>'B1.1'!P40+'B1.2'!P40+'B1.3'!P40+'B1.4'!P40+'B1.5'!P40+'B1.6'!P40+'B1.7'!P40+'B1.8'!P40+'B1.9'!P40+'B1.10'!P40+'B1.11'!P40+'B1.12'!P40</f>
        <v>6.9957608665347615E-2</v>
      </c>
      <c r="Q100" s="591">
        <f>'B1.1'!Q40+'B1.2'!Q40+'B1.3'!Q40+'B1.4'!Q40+'B1.5'!Q40+'B1.6'!Q40+'B1.7'!Q40+'B1.8'!Q40+'B1.9'!Q40+'B1.10'!Q40+'B1.11'!Q40+'B1.12'!Q40</f>
        <v>7.0917795580287449E-2</v>
      </c>
      <c r="R100" s="591">
        <f>'B1.1'!R40+'B1.2'!R40+'B1.3'!R40+'B1.4'!R40+'B1.5'!R40+'B1.6'!R40+'B1.7'!R40+'B1.8'!R40+'B1.9'!R40+'B1.10'!R40+'B1.11'!R40+'B1.12'!R40</f>
        <v>7.1891262130431385E-2</v>
      </c>
      <c r="S100" s="591">
        <f>'B1.1'!S40+'B1.2'!S40+'B1.3'!S40+'B1.4'!S40+'B1.5'!S40+'B1.6'!S40+'B1.7'!S40+'B1.8'!S40+'B1.9'!S40+'B1.10'!S40+'B1.11'!S40+'B1.12'!S40</f>
        <v>7.2878195603581081E-2</v>
      </c>
      <c r="T100" s="591">
        <f>'B1.1'!T40+'B1.2'!T40+'B1.3'!T40+'B1.4'!T40+'B1.5'!T40+'B1.6'!T40+'B1.7'!T40+'B1.8'!T40+'B1.9'!T40+'B1.10'!T40+'B1.11'!T40+'B1.12'!T40</f>
        <v>7.3878785495833627E-2</v>
      </c>
      <c r="U100" s="591">
        <f>'B1.1'!U40+'B1.2'!U40+'B1.3'!U40+'B1.4'!U40+'B1.5'!U40+'B1.6'!U40+'B1.7'!U40+'B1.8'!U40+'B1.9'!U40+'B1.10'!U40+'B1.11'!U40+'B1.12'!U40</f>
        <v>7.4893223639677153E-2</v>
      </c>
      <c r="V100" s="591">
        <f>'B1.1'!V40+'B1.2'!V40+'B1.3'!V40+'B1.4'!V40+'B1.5'!V40+'B1.6'!V40+'B1.7'!V40+'B1.8'!V40+'B1.9'!V40+'B1.10'!V40+'B1.11'!V40+'B1.12'!V40</f>
        <v>7.5921704307165813E-2</v>
      </c>
      <c r="W100" s="591">
        <f>'B1.1'!W40+'B1.2'!W40+'B1.3'!W40+'B1.4'!W40+'B1.5'!W40+'B1.6'!W40+'B1.7'!W40+'B1.8'!W40+'B1.9'!W40+'B1.10'!W40+'B1.11'!W40+'B1.12'!W40</f>
        <v>7.6964424296172923E-2</v>
      </c>
      <c r="X100" s="591">
        <f>'B1.1'!X40+'B1.2'!X40+'B1.3'!X40+'B1.4'!X40+'B1.5'!X40+'B1.6'!X40+'B1.7'!X40+'B1.8'!X40+'B1.9'!X40+'B1.10'!X40+'B1.11'!X40+'B1.12'!X40</f>
        <v>7.8021583004947478E-2</v>
      </c>
      <c r="Y100" s="591">
        <f>'B1.1'!Y40+'B1.2'!Y40+'B1.3'!Y40+'B1.4'!Y40+'B1.5'!Y40+'B1.6'!Y40+'B1.7'!Y40+'B1.8'!Y40+'B1.9'!Y40+'B1.10'!Y40+'B1.11'!Y40+'B1.12'!Y40</f>
        <v>7.9093382498468784E-2</v>
      </c>
      <c r="Z100" s="591">
        <f>'B1.1'!Z40+'B1.2'!Z40+'B1.3'!Z40+'B1.4'!Z40+'B1.5'!Z40+'B1.6'!Z40+'B1.7'!Z40+'B1.8'!Z40+'B1.9'!Z40+'B1.10'!Z40+'B1.11'!Z40+'B1.12'!Z40</f>
        <v>8.0180027568989176E-2</v>
      </c>
      <c r="AA100" s="591">
        <f>'B1.1'!AA40+'B1.2'!AA40+'B1.3'!AA40+'B1.4'!AA40+'B1.5'!AA40+'B1.6'!AA40+'B1.7'!AA40+'B1.8'!AA40+'B1.9'!AA40+'B1.10'!AA40+'B1.11'!AA40+'B1.12'!AA40</f>
        <v>8.1281725792433424E-2</v>
      </c>
      <c r="AB100" s="591">
        <f>'B1.1'!AB40+'B1.2'!AB40+'B1.3'!AB40+'B1.4'!AB40+'B1.5'!AB40+'B1.6'!AB40+'B1.7'!AB40+'B1.8'!AB40+'B1.9'!AB40+'B1.10'!AB40+'B1.11'!AB40+'B1.12'!AB40</f>
        <v>8.2398687581837937E-2</v>
      </c>
      <c r="AC100" s="591">
        <f>'B1.1'!AC40+'B1.2'!AC40+'B1.3'!AC40+'B1.4'!AC40+'B1.5'!AC40+'B1.6'!AC40+'B1.7'!AC40+'B1.8'!AC40+'B1.9'!AC40+'B1.10'!AC40+'B1.11'!AC40+'B1.12'!AC40</f>
        <v>8.3531126238686276E-2</v>
      </c>
      <c r="AD100" s="591">
        <f>'B1.1'!AD40+'B1.2'!AD40+'B1.3'!AD40+'B1.4'!AD40+'B1.5'!AD40+'B1.6'!AD40+'B1.7'!AD40+'B1.8'!AD40+'B1.9'!AD40+'B1.10'!AD40+'B1.11'!AD40+'B1.12'!AD40</f>
        <v>8.4679258002768903E-2</v>
      </c>
      <c r="AE100" s="591">
        <f>'B1.1'!AE40+'B1.2'!AE40+'B1.3'!AE40+'B1.4'!AE40+'B1.5'!AE40+'B1.6'!AE40+'B1.7'!AE40+'B1.8'!AE40+'B1.9'!AE40+'B1.10'!AE40+'B1.11'!AE40+'B1.12'!AE40</f>
        <v>8.5843302101033109E-2</v>
      </c>
      <c r="AF100" s="591">
        <f>'B1.1'!AF40+'B1.2'!AF40+'B1.3'!AF40+'B1.4'!AF40+'B1.5'!AF40+'B1.6'!AF40+'B1.7'!AF40+'B1.8'!AF40+'B1.9'!AF40+'B1.10'!AF40+'B1.11'!AF40+'B1.12'!AF40</f>
        <v>8.7023480795775279E-2</v>
      </c>
      <c r="AG100" s="591">
        <f>'B1.1'!AG40+'B1.2'!AG40+'B1.3'!AG40+'B1.4'!AG40+'B1.5'!AG40+'B1.6'!AG40+'B1.7'!AG40+'B1.8'!AG40+'B1.9'!AG40+'B1.10'!AG40+'B1.11'!AG40+'B1.12'!AG40</f>
        <v>8.8220019432445007E-2</v>
      </c>
      <c r="AH100" s="591">
        <f>'B1.1'!AH40+'B1.2'!AH40+'B1.3'!AH40+'B1.4'!AH40+'B1.5'!AH40+'B1.6'!AH40+'B1.7'!AH40+'B1.8'!AH40+'B1.9'!AH40+'B1.10'!AH40+'B1.11'!AH40+'B1.12'!AH40</f>
        <v>8.9433146487268855E-2</v>
      </c>
      <c r="AI100" s="591">
        <f>'B1.1'!AI40+'B1.2'!AI40+'B1.3'!AI40+'B1.4'!AI40+'B1.5'!AI40+'B1.6'!AI40+'B1.7'!AI40+'B1.8'!AI40+'B1.9'!AI40+'B1.10'!AI40+'B1.11'!AI40+'B1.12'!AI40</f>
        <v>9.0663093614857013E-2</v>
      </c>
      <c r="AJ100" s="591">
        <f>'B1.1'!AJ40+'B1.2'!AJ40+'B1.3'!AJ40+'B1.4'!AJ40+'B1.5'!AJ40+'B1.6'!AJ40+'B1.7'!AJ40+'B1.8'!AJ40+'B1.9'!AJ40+'B1.10'!AJ40+'B1.11'!AJ40+'B1.12'!AJ40</f>
        <v>9.1910095695920679E-2</v>
      </c>
      <c r="AK100" s="591">
        <f>'B1.1'!AK40+'B1.2'!AK40+'B1.3'!AK40+'B1.4'!AK40+'B1.5'!AK40+'B1.6'!AK40+'B1.7'!AK40+'B1.8'!AK40+'B1.9'!AK40+'B1.10'!AK40+'B1.11'!AK40+'B1.12'!AK40</f>
        <v>9.317439088520578E-2</v>
      </c>
    </row>
    <row r="101" spans="2:37">
      <c r="B101" s="587" t="s">
        <v>822</v>
      </c>
      <c r="C101" s="588" t="s">
        <v>823</v>
      </c>
      <c r="D101" s="591">
        <f>'B1.1'!D41+'B1.2'!D41+'B1.3'!D41+'B1.4'!D41+'B1.5'!D41+'B1.6'!D41+'B1.7'!D41+'B1.8'!D41+'B1.9'!D41+'B1.10'!D41+'B1.11'!D41+'B1.12'!D41</f>
        <v>0</v>
      </c>
      <c r="E101" s="591">
        <f>'B1.1'!E41+'B1.2'!E41+'B1.3'!E41+'B1.4'!E41+'B1.5'!E41+'B1.6'!E41+'B1.7'!E41+'B1.8'!E41+'B1.9'!E41+'B1.10'!E41+'B1.11'!E41+'B1.12'!E41</f>
        <v>0</v>
      </c>
      <c r="F101" s="591">
        <f>'B1.1'!F41+'B1.2'!F41+'B1.3'!F41+'B1.4'!F41+'B1.5'!F41+'B1.6'!F41+'B1.7'!F41+'B1.8'!F41+'B1.9'!F41+'B1.10'!F41+'B1.11'!F41+'B1.12'!F41</f>
        <v>0</v>
      </c>
      <c r="G101" s="591">
        <f>'B1.1'!G41+'B1.2'!G41+'B1.3'!G41+'B1.4'!G41+'B1.5'!G41+'B1.6'!G41+'B1.7'!G41+'B1.8'!G41+'B1.9'!G41+'B1.10'!G41+'B1.11'!G41+'B1.12'!G41</f>
        <v>0</v>
      </c>
      <c r="H101" s="591">
        <f>'B1.1'!H41+'B1.2'!H41+'B1.3'!H41+'B1.4'!H41+'B1.5'!H41+'B1.6'!H41+'B1.7'!H41+'B1.8'!H41+'B1.9'!H41+'B1.10'!H41+'B1.11'!H41+'B1.12'!H41</f>
        <v>0.30961793812950134</v>
      </c>
      <c r="I101" s="591">
        <f>'B1.1'!I41+'B1.2'!I41+'B1.3'!I41+'B1.4'!I41+'B1.5'!I41+'B1.6'!I41+'B1.7'!I41+'B1.8'!I41+'B1.9'!I41+'B1.10'!I41+'B1.11'!I41+'B1.12'!I41</f>
        <v>0.31385972500692838</v>
      </c>
      <c r="J101" s="591">
        <f>'B1.1'!J41+'B1.2'!J41+'B1.3'!J41+'B1.4'!J41+'B1.5'!J41+'B1.6'!J41+'B1.7'!J41+'B1.8'!J41+'B1.9'!J41+'B1.10'!J41+'B1.11'!J41+'B1.12'!J41</f>
        <v>0.31816018072499813</v>
      </c>
      <c r="K101" s="591">
        <f>'B1.1'!K41+'B1.2'!K41+'B1.3'!K41+'B1.4'!K41+'B1.5'!K41+'B1.6'!K41+'B1.7'!K41+'B1.8'!K41+'B1.9'!K41+'B1.10'!K41+'B1.11'!K41+'B1.12'!K41</f>
        <v>0.32252012223111531</v>
      </c>
      <c r="L101" s="591">
        <f>'B1.1'!L41+'B1.2'!L41+'B1.3'!L41+'B1.4'!L41+'B1.5'!L41+'B1.6'!L41+'B1.7'!L41+'B1.8'!L41+'B1.9'!L41+'B1.10'!L41+'B1.11'!L41+'B1.12'!L41</f>
        <v>0.32694037791031505</v>
      </c>
      <c r="M101" s="591">
        <f>'B1.1'!M41+'B1.2'!M41+'B1.3'!M41+'B1.4'!M41+'B1.5'!M41+'B1.6'!M41+'B1.7'!M41+'B1.8'!M41+'B1.9'!M41+'B1.10'!M41+'B1.11'!M41+'B1.12'!M41</f>
        <v>0.33142178774586295</v>
      </c>
      <c r="N101" s="591">
        <f>'B1.1'!N41+'B1.2'!N41+'B1.3'!N41+'B1.4'!N41+'B1.5'!N41+'B1.6'!N41+'B1.7'!N41+'B1.8'!N41+'B1.9'!N41+'B1.10'!N41+'B1.11'!N41+'B1.12'!N41</f>
        <v>0.33596520348211861</v>
      </c>
      <c r="O101" s="591">
        <f>'B1.1'!O41+'B1.2'!O41+'B1.3'!O41+'B1.4'!O41+'B1.5'!O41+'B1.6'!O41+'B1.7'!O41+'B1.8'!O41+'B1.9'!O41+'B1.10'!O41+'B1.11'!O41+'B1.12'!O41</f>
        <v>0.34057148878970417</v>
      </c>
      <c r="P101" s="591">
        <f>'B1.1'!P41+'B1.2'!P41+'B1.3'!P41+'B1.4'!P41+'B1.5'!P41+'B1.6'!P41+'B1.7'!P41+'B1.8'!P41+'B1.9'!P41+'B1.10'!P41+'B1.11'!P41+'B1.12'!P41</f>
        <v>0.34524151943300596</v>
      </c>
      <c r="Q101" s="591">
        <f>'B1.1'!Q41+'B1.2'!Q41+'B1.3'!Q41+'B1.4'!Q41+'B1.5'!Q41+'B1.6'!Q41+'B1.7'!Q41+'B1.8'!Q41+'B1.9'!Q41+'B1.10'!Q41+'B1.11'!Q41+'B1.12'!Q41</f>
        <v>0.349976183440036</v>
      </c>
      <c r="R101" s="591">
        <f>'B1.1'!R41+'B1.2'!R41+'B1.3'!R41+'B1.4'!R41+'B1.5'!R41+'B1.6'!R41+'B1.7'!R41+'B1.8'!R41+'B1.9'!R41+'B1.10'!R41+'B1.11'!R41+'B1.12'!R41</f>
        <v>0.35477638127470068</v>
      </c>
      <c r="S101" s="591">
        <f>'B1.1'!S41+'B1.2'!S41+'B1.3'!S41+'B1.4'!S41+'B1.5'!S41+'B1.6'!S41+'B1.7'!S41+'B1.8'!S41+'B1.9'!S41+'B1.10'!S41+'B1.11'!S41+'B1.12'!S41</f>
        <v>0.35964302601149539</v>
      </c>
      <c r="T101" s="591">
        <f>'B1.1'!T41+'B1.2'!T41+'B1.3'!T41+'B1.4'!T41+'B1.5'!T41+'B1.6'!T41+'B1.7'!T41+'B1.8'!T41+'B1.9'!T41+'B1.10'!T41+'B1.11'!T41+'B1.12'!T41</f>
        <v>0.364577043512674</v>
      </c>
      <c r="U101" s="591">
        <f>'B1.1'!U41+'B1.2'!U41+'B1.3'!U41+'B1.4'!U41+'B1.5'!U41+'B1.6'!U41+'B1.7'!U41+'B1.8'!U41+'B1.9'!U41+'B1.10'!U41+'B1.11'!U41+'B1.12'!U41</f>
        <v>0.36957937260791118</v>
      </c>
      <c r="V101" s="591">
        <f>'B1.1'!V41+'B1.2'!V41+'B1.3'!V41+'B1.4'!V41+'B1.5'!V41+'B1.6'!V41+'B1.7'!V41+'B1.8'!V41+'B1.9'!V41+'B1.10'!V41+'B1.11'!V41+'B1.12'!V41</f>
        <v>0.37465096527651309</v>
      </c>
      <c r="W101" s="591">
        <f>'B1.1'!W41+'B1.2'!W41+'B1.3'!W41+'B1.4'!W41+'B1.5'!W41+'B1.6'!W41+'B1.7'!W41+'B1.8'!W41+'B1.9'!W41+'B1.10'!W41+'B1.11'!W41+'B1.12'!W41</f>
        <v>0.37979278683219425</v>
      </c>
      <c r="X101" s="591">
        <f>'B1.1'!X41+'B1.2'!X41+'B1.3'!X41+'B1.4'!X41+'B1.5'!X41+'B1.6'!X41+'B1.7'!X41+'B1.8'!X41+'B1.9'!X41+'B1.10'!X41+'B1.11'!X41+'B1.12'!X41</f>
        <v>0.38500581611046675</v>
      </c>
      <c r="Y101" s="591">
        <f>'B1.1'!Y41+'B1.2'!Y41+'B1.3'!Y41+'B1.4'!Y41+'B1.5'!Y41+'B1.6'!Y41+'B1.7'!Y41+'B1.8'!Y41+'B1.9'!Y41+'B1.10'!Y41+'B1.11'!Y41+'B1.12'!Y41</f>
        <v>0.39029104565867684</v>
      </c>
      <c r="Z101" s="591">
        <f>'B1.1'!Z41+'B1.2'!Z41+'B1.3'!Z41+'B1.4'!Z41+'B1.5'!Z41+'B1.6'!Z41+'B1.7'!Z41+'B1.8'!Z41+'B1.9'!Z41+'B1.10'!Z41+'B1.11'!Z41+'B1.12'!Z41</f>
        <v>0.3956494819287254</v>
      </c>
      <c r="AA101" s="591">
        <f>'B1.1'!AA41+'B1.2'!AA41+'B1.3'!AA41+'B1.4'!AA41+'B1.5'!AA41+'B1.6'!AA41+'B1.7'!AA41+'B1.8'!AA41+'B1.9'!AA41+'B1.10'!AA41+'B1.11'!AA41+'B1.12'!AA41</f>
        <v>0.40108214547251259</v>
      </c>
      <c r="AB101" s="591">
        <f>'B1.1'!AB41+'B1.2'!AB41+'B1.3'!AB41+'B1.4'!AB41+'B1.5'!AB41+'B1.6'!AB41+'B1.7'!AB41+'B1.8'!AB41+'B1.9'!AB41+'B1.10'!AB41+'B1.11'!AB41+'B1.12'!AB41</f>
        <v>0.4065900711401404</v>
      </c>
      <c r="AC101" s="591">
        <f>'B1.1'!AC41+'B1.2'!AC41+'B1.3'!AC41+'B1.4'!AC41+'B1.5'!AC41+'B1.6'!AC41+'B1.7'!AC41+'B1.8'!AC41+'B1.9'!AC41+'B1.10'!AC41+'B1.11'!AC41+'B1.12'!AC41</f>
        <v>0.41217430828091617</v>
      </c>
      <c r="AD101" s="591">
        <f>'B1.1'!AD41+'B1.2'!AD41+'B1.3'!AD41+'B1.4'!AD41+'B1.5'!AD41+'B1.6'!AD41+'B1.7'!AD41+'B1.8'!AD41+'B1.9'!AD41+'B1.10'!AD41+'B1.11'!AD41+'B1.12'!AD41</f>
        <v>0.41783592094719768</v>
      </c>
      <c r="AE101" s="591">
        <f>'B1.1'!AE41+'B1.2'!AE41+'B1.3'!AE41+'B1.4'!AE41+'B1.5'!AE41+'B1.6'!AE41+'B1.7'!AE41+'B1.8'!AE41+'B1.9'!AE41+'B1.10'!AE41+'B1.11'!AE41+'B1.12'!AE41</f>
        <v>0.42357598810111652</v>
      </c>
      <c r="AF101" s="591">
        <f>'B1.1'!AF41+'B1.2'!AF41+'B1.3'!AF41+'B1.4'!AF41+'B1.5'!AF41+'B1.6'!AF41+'B1.7'!AF41+'B1.8'!AF41+'B1.9'!AF41+'B1.10'!AF41+'B1.11'!AF41+'B1.12'!AF41</f>
        <v>0.42939560382422143</v>
      </c>
      <c r="AG101" s="591">
        <f>'B1.1'!AG41+'B1.2'!AG41+'B1.3'!AG41+'B1.4'!AG41+'B1.5'!AG41+'B1.6'!AG41+'B1.7'!AG41+'B1.8'!AG41+'B1.9'!AG41+'B1.10'!AG41+'B1.11'!AG41+'B1.12'!AG41</f>
        <v>0.43529587753008381</v>
      </c>
      <c r="AH101" s="591">
        <f>'B1.1'!AH41+'B1.2'!AH41+'B1.3'!AH41+'B1.4'!AH41+'B1.5'!AH41+'B1.6'!AH41+'B1.7'!AH41+'B1.8'!AH41+'B1.9'!AH41+'B1.10'!AH41+'B1.11'!AH41+'B1.12'!AH41</f>
        <v>0.44127793417990774</v>
      </c>
      <c r="AI101" s="591">
        <f>'B1.1'!AI41+'B1.2'!AI41+'B1.3'!AI41+'B1.4'!AI41+'B1.5'!AI41+'B1.6'!AI41+'B1.7'!AI41+'B1.8'!AI41+'B1.9'!AI41+'B1.10'!AI41+'B1.11'!AI41+'B1.12'!AI41</f>
        <v>0.44734291450118835</v>
      </c>
      <c r="AJ101" s="591">
        <f>'B1.1'!AJ41+'B1.2'!AJ41+'B1.3'!AJ41+'B1.4'!AJ41+'B1.5'!AJ41+'B1.6'!AJ41+'B1.7'!AJ41+'B1.8'!AJ41+'B1.9'!AJ41+'B1.10'!AJ41+'B1.11'!AJ41+'B1.12'!AJ41</f>
        <v>0.45349197520945372</v>
      </c>
      <c r="AK101" s="591">
        <f>'B1.1'!AK41+'B1.2'!AK41+'B1.3'!AK41+'B1.4'!AK41+'B1.5'!AK41+'B1.6'!AK41+'B1.7'!AK41+'B1.8'!AK41+'B1.9'!AK41+'B1.10'!AK41+'B1.11'!AK41+'B1.12'!AK41</f>
        <v>0.45972628923314462</v>
      </c>
    </row>
    <row r="102" spans="2:37">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row>
    <row r="103" spans="2:37">
      <c r="B103" s="587" t="s">
        <v>809</v>
      </c>
      <c r="C103" s="588" t="s">
        <v>810</v>
      </c>
      <c r="D103" s="589">
        <f>'B1.1'!D82+'B1.2'!D82+'B1.3'!D82+'B1.4'!D82+'B1.5'!D82+'B1.6'!D82+'B1.7'!D82+'B1.8'!D82+'B1.9'!D82+'B1.10'!D82+'B1.11'!D82+'B1.12'!D82</f>
        <v>0</v>
      </c>
      <c r="E103" s="589">
        <f>'B1.1'!E82+'B1.2'!E82+'B1.3'!E82+'B1.4'!E82+'B1.5'!E82+'B1.6'!E82+'B1.7'!E82+'B1.8'!E82+'B1.9'!E82+'B1.10'!E82+'B1.11'!E82+'B1.12'!E82</f>
        <v>0</v>
      </c>
      <c r="F103" s="589">
        <f>'B1.1'!F82+'B1.2'!F82+'B1.3'!F82+'B1.4'!F82+'B1.5'!F82+'B1.6'!F82+'B1.7'!F82+'B1.8'!F82+'B1.9'!F82+'B1.10'!F82+'B1.11'!F82+'B1.12'!F82</f>
        <v>0</v>
      </c>
      <c r="G103" s="589">
        <f>'B1.1'!G82+'B1.2'!G82+'B1.3'!G82+'B1.4'!G82+'B1.5'!G82+'B1.6'!G82+'B1.7'!G82+'B1.8'!G82+'B1.9'!G82+'B1.10'!G82+'B1.11'!G82+'B1.12'!G82</f>
        <v>0</v>
      </c>
      <c r="H103" s="589">
        <f>'B1.1'!H82+'B1.2'!H82+'B1.3'!H82+'B1.4'!H82+'B1.5'!H82+'B1.6'!H82+'B1.7'!H82+'B1.8'!H82+'B1.9'!H82+'B1.10'!H82+'B1.11'!H82+'B1.12'!H82</f>
        <v>20149.040889000644</v>
      </c>
      <c r="I103" s="589">
        <f>'B1.1'!I82+'B1.2'!I82+'B1.3'!I82+'B1.4'!I82+'B1.5'!I82+'B1.6'!I82+'B1.7'!I82+'B1.8'!I82+'B1.9'!I82+'B1.10'!I82+'B1.11'!I82+'B1.12'!I82</f>
        <v>20963.331239523337</v>
      </c>
      <c r="J103" s="589">
        <f>'B1.1'!J82+'B1.2'!J82+'B1.3'!J82+'B1.4'!J82+'B1.5'!J82+'B1.6'!J82+'B1.7'!J82+'B1.8'!J82+'B1.9'!J82+'B1.10'!J82+'B1.11'!J82+'B1.12'!J82</f>
        <v>21810.529795384758</v>
      </c>
      <c r="K103" s="589">
        <f>'B1.1'!K82+'B1.2'!K82+'B1.3'!K82+'B1.4'!K82+'B1.5'!K82+'B1.6'!K82+'B1.7'!K82+'B1.8'!K82+'B1.9'!K82+'B1.10'!K82+'B1.11'!K82+'B1.12'!K82</f>
        <v>22691.966487583053</v>
      </c>
      <c r="L103" s="589">
        <f>'B1.1'!L82+'B1.2'!L82+'B1.3'!L82+'B1.4'!L82+'B1.5'!L82+'B1.6'!L82+'B1.7'!L82+'B1.8'!L82+'B1.9'!L82+'B1.10'!L82+'B1.11'!L82+'B1.12'!L82</f>
        <v>23609.024994090425</v>
      </c>
      <c r="M103" s="589">
        <f>'B1.1'!M82+'B1.2'!M82+'B1.3'!M82+'B1.4'!M82+'B1.5'!M82+'B1.6'!M82+'B1.7'!M82+'B1.8'!M82+'B1.9'!M82+'B1.10'!M82+'B1.11'!M82+'B1.12'!M82</f>
        <v>24563.144911948726</v>
      </c>
      <c r="N103" s="589">
        <f>'B1.1'!N82+'B1.2'!N82+'B1.3'!N82+'B1.4'!N82+'B1.5'!N82+'B1.6'!N82+'B1.7'!N82+'B1.8'!N82+'B1.9'!N82+'B1.10'!N82+'B1.11'!N82+'B1.12'!N82</f>
        <v>25555.824017146671</v>
      </c>
      <c r="O103" s="589">
        <f>'B1.1'!O82+'B1.2'!O82+'B1.3'!O82+'B1.4'!O82+'B1.5'!O82+'B1.6'!O82+'B1.7'!O82+'B1.8'!O82+'B1.9'!O82+'B1.10'!O82+'B1.11'!O82+'B1.12'!O82</f>
        <v>26588.620615826341</v>
      </c>
      <c r="P103" s="589">
        <f>'B1.1'!P82+'B1.2'!P82+'B1.3'!P82+'B1.4'!P82+'B1.5'!P82+'B1.6'!P82+'B1.7'!P82+'B1.8'!P82+'B1.9'!P82+'B1.10'!P82+'B1.11'!P82+'B1.12'!P82</f>
        <v>27663.155990509862</v>
      </c>
      <c r="Q103" s="589">
        <f>'B1.1'!Q82+'B1.2'!Q82+'B1.3'!Q82+'B1.4'!Q82+'B1.5'!Q82+'B1.6'!Q82+'B1.7'!Q82+'B1.8'!Q82+'B1.9'!Q82+'B1.10'!Q82+'B1.11'!Q82+'B1.12'!Q82</f>
        <v>28781.116945186011</v>
      </c>
      <c r="R103" s="589">
        <f>'B1.1'!R82+'B1.2'!R82+'B1.3'!R82+'B1.4'!R82+'B1.5'!R82+'B1.6'!R82+'B1.7'!R82+'B1.8'!R82+'B1.9'!R82+'B1.10'!R82+'B1.11'!R82+'B1.12'!R82</f>
        <v>29944.258453252703</v>
      </c>
      <c r="S103" s="589">
        <f>'B1.1'!S82+'B1.2'!S82+'B1.3'!S82+'B1.4'!S82+'B1.5'!S82+'B1.6'!S82+'B1.7'!S82+'B1.8'!S82+'B1.9'!S82+'B1.10'!S82+'B1.11'!S82+'B1.12'!S82</f>
        <v>31154.406412471522</v>
      </c>
      <c r="T103" s="589">
        <f>'B1.1'!T82+'B1.2'!T82+'B1.3'!T82+'B1.4'!T82+'B1.5'!T82+'B1.6'!T82+'B1.7'!T82+'B1.8'!T82+'B1.9'!T82+'B1.10'!T82+'B1.11'!T82+'B1.12'!T82</f>
        <v>32413.460511259225</v>
      </c>
      <c r="U103" s="589">
        <f>'B1.1'!U82+'B1.2'!U82+'B1.3'!U82+'B1.4'!U82+'B1.5'!U82+'B1.6'!U82+'B1.7'!U82+'B1.8'!U82+'B1.9'!U82+'B1.10'!U82+'B1.11'!U82+'B1.12'!U82</f>
        <v>33723.397210815718</v>
      </c>
      <c r="V103" s="589">
        <f>'B1.1'!V82+'B1.2'!V82+'B1.3'!V82+'B1.4'!V82+'B1.5'!V82+'B1.6'!V82+'B1.7'!V82+'B1.8'!V82+'B1.9'!V82+'B1.10'!V82+'B1.11'!V82+'B1.12'!V82</f>
        <v>35086.272847769811</v>
      </c>
      <c r="W103" s="589">
        <f>'B1.1'!W82+'B1.2'!W82+'B1.3'!W82+'B1.4'!W82+'B1.5'!W82+'B1.6'!W82+'B1.7'!W82+'B1.8'!W82+'B1.9'!W82+'B1.10'!W82+'B1.11'!W82+'B1.12'!W82</f>
        <v>36504.226862213327</v>
      </c>
      <c r="X103" s="589">
        <f>'B1.1'!X82+'B1.2'!X82+'B1.3'!X82+'B1.4'!X82+'B1.5'!X82+'B1.6'!X82+'B1.7'!X82+'B1.8'!X82+'B1.9'!X82+'B1.10'!X82+'B1.11'!X82+'B1.12'!X82</f>
        <v>37979.485156190851</v>
      </c>
      <c r="Y103" s="589">
        <f>'B1.1'!Y82+'B1.2'!Y82+'B1.3'!Y82+'B1.4'!Y82+'B1.5'!Y82+'B1.6'!Y82+'B1.7'!Y82+'B1.8'!Y82+'B1.9'!Y82+'B1.10'!Y82+'B1.11'!Y82+'B1.12'!Y82</f>
        <v>39514.363587917476</v>
      </c>
      <c r="Z103" s="589">
        <f>'B1.1'!Z82+'B1.2'!Z82+'B1.3'!Z82+'B1.4'!Z82+'B1.5'!Z82+'B1.6'!Z82+'B1.7'!Z82+'B1.8'!Z82+'B1.9'!Z82+'B1.10'!Z82+'B1.11'!Z82+'B1.12'!Z82</f>
        <v>41111.27160720939</v>
      </c>
      <c r="AA103" s="589">
        <f>'B1.1'!AA82+'B1.2'!AA82+'B1.3'!AA82+'B1.4'!AA82+'B1.5'!AA82+'B1.6'!AA82+'B1.7'!AA82+'B1.8'!AA82+'B1.9'!AA82+'B1.10'!AA82+'B1.11'!AA82+'B1.12'!AA82</f>
        <v>42772.716037834507</v>
      </c>
      <c r="AB103" s="589">
        <f>'B1.1'!AB82+'B1.2'!AB82+'B1.3'!AB82+'B1.4'!AB82+'B1.5'!AB82+'B1.6'!AB82+'B1.7'!AB82+'B1.8'!AB82+'B1.9'!AB82+'B1.10'!AB82+'B1.11'!AB82+'B1.12'!AB82</f>
        <v>44501.305012720572</v>
      </c>
      <c r="AC103" s="589">
        <f>'B1.1'!AC82+'B1.2'!AC82+'B1.3'!AC82+'B1.4'!AC82+'B1.5'!AC82+'B1.6'!AC82+'B1.7'!AC82+'B1.8'!AC82+'B1.9'!AC82+'B1.10'!AC82+'B1.11'!AC82+'B1.12'!AC82</f>
        <v>46299.752068198315</v>
      </c>
      <c r="AD103" s="589">
        <f>'B1.1'!AD82+'B1.2'!AD82+'B1.3'!AD82+'B1.4'!AD82+'B1.5'!AD82+'B1.6'!AD82+'B1.7'!AD82+'B1.8'!AD82+'B1.9'!AD82+'B1.10'!AD82+'B1.11'!AD82+'B1.12'!AD82</f>
        <v>48170.880403706746</v>
      </c>
      <c r="AE103" s="589">
        <f>'B1.1'!AE82+'B1.2'!AE82+'B1.3'!AE82+'B1.4'!AE82+'B1.5'!AE82+'B1.6'!AE82+'B1.7'!AE82+'B1.8'!AE82+'B1.9'!AE82+'B1.10'!AE82+'B1.11'!AE82+'B1.12'!AE82</f>
        <v>50117.627313646924</v>
      </c>
      <c r="AF103" s="589">
        <f>'B1.1'!AF82+'B1.2'!AF82+'B1.3'!AF82+'B1.4'!AF82+'B1.5'!AF82+'B1.6'!AF82+'B1.7'!AF82+'B1.8'!AF82+'B1.9'!AF82+'B1.10'!AF82+'B1.11'!AF82+'B1.12'!AF82</f>
        <v>52143.048798342599</v>
      </c>
      <c r="AG103" s="589">
        <f>'B1.1'!AG82+'B1.2'!AG82+'B1.3'!AG82+'B1.4'!AG82+'B1.5'!AG82+'B1.6'!AG82+'B1.7'!AG82+'B1.8'!AG82+'B1.9'!AG82+'B1.10'!AG82+'B1.11'!AG82+'B1.12'!AG82</f>
        <v>54250.324361344879</v>
      </c>
      <c r="AH103" s="589">
        <f>'B1.1'!AH82+'B1.2'!AH82+'B1.3'!AH82+'B1.4'!AH82+'B1.5'!AH82+'B1.6'!AH82+'B1.7'!AH82+'B1.8'!AH82+'B1.9'!AH82+'B1.10'!AH82+'B1.11'!AH82+'B1.12'!AH82</f>
        <v>56442.762000611539</v>
      </c>
      <c r="AI103" s="589">
        <f>'B1.1'!AI82+'B1.2'!AI82+'B1.3'!AI82+'B1.4'!AI82+'B1.5'!AI82+'B1.6'!AI82+'B1.7'!AI82+'B1.8'!AI82+'B1.9'!AI82+'B1.10'!AI82+'B1.11'!AI82+'B1.12'!AI82</f>
        <v>58723.803401397796</v>
      </c>
      <c r="AJ103" s="589">
        <f>'B1.1'!AJ82+'B1.2'!AJ82+'B1.3'!AJ82+'B1.4'!AJ82+'B1.5'!AJ82+'B1.6'!AJ82+'B1.7'!AJ82+'B1.8'!AJ82+'B1.9'!AJ82+'B1.10'!AJ82+'B1.11'!AJ82+'B1.12'!AJ82</f>
        <v>61097.029339008215</v>
      </c>
      <c r="AK103" s="589">
        <f>'B1.1'!AK82+'B1.2'!AK82+'B1.3'!AK82+'B1.4'!AK82+'B1.5'!AK82+'B1.6'!AK82+'B1.7'!AK82+'B1.8'!AK82+'B1.9'!AK82+'B1.10'!AK82+'B1.11'!AK82+'B1.12'!AK82</f>
        <v>63566.165299892273</v>
      </c>
    </row>
    <row r="104" spans="2:37">
      <c r="B104" s="587" t="s">
        <v>811</v>
      </c>
      <c r="C104" s="588" t="s">
        <v>810</v>
      </c>
      <c r="D104" s="589">
        <f>'B1.1'!D83+'B1.2'!D83+'B1.3'!D83+'B1.4'!D83+'B1.5'!D83+'B1.6'!D83+'B1.7'!D83+'B1.8'!D83+'B1.9'!D83+'B1.10'!D83+'B1.11'!D83+'B1.12'!D83</f>
        <v>0</v>
      </c>
      <c r="E104" s="589">
        <f>'B1.1'!E83+'B1.2'!E83+'B1.3'!E83+'B1.4'!E83+'B1.5'!E83+'B1.6'!E83+'B1.7'!E83+'B1.8'!E83+'B1.9'!E83+'B1.10'!E83+'B1.11'!E83+'B1.12'!E83</f>
        <v>0</v>
      </c>
      <c r="F104" s="589">
        <f>'B1.1'!F83+'B1.2'!F83+'B1.3'!F83+'B1.4'!F83+'B1.5'!F83+'B1.6'!F83+'B1.7'!F83+'B1.8'!F83+'B1.9'!F83+'B1.10'!F83+'B1.11'!F83+'B1.12'!F83</f>
        <v>0</v>
      </c>
      <c r="G104" s="589">
        <f>'B1.1'!G83+'B1.2'!G83+'B1.3'!G83+'B1.4'!G83+'B1.5'!G83+'B1.6'!G83+'B1.7'!G83+'B1.8'!G83+'B1.9'!G83+'B1.10'!G83+'B1.11'!G83+'B1.12'!G83</f>
        <v>0</v>
      </c>
      <c r="H104" s="589">
        <f>'B1.1'!H83+'B1.2'!H83+'B1.3'!H83+'B1.4'!H83+'B1.5'!H83+'B1.6'!H83+'B1.7'!H83+'B1.8'!H83+'B1.9'!H83+'B1.10'!H83+'B1.11'!H83+'B1.12'!H83</f>
        <v>12529.564697720985</v>
      </c>
      <c r="I104" s="589">
        <f>'B1.1'!I83+'B1.2'!I83+'B1.3'!I83+'B1.4'!I83+'B1.5'!I83+'B1.6'!I83+'B1.7'!I83+'B1.8'!I83+'B1.9'!I83+'B1.10'!I83+'B1.11'!I83+'B1.12'!I83</f>
        <v>13035.92644892343</v>
      </c>
      <c r="J104" s="589">
        <f>'B1.1'!J83+'B1.2'!J83+'B1.3'!J83+'B1.4'!J83+'B1.5'!J83+'B1.6'!J83+'B1.7'!J83+'B1.8'!J83+'B1.9'!J83+'B1.10'!J83+'B1.11'!J83+'B1.12'!J83</f>
        <v>13562.751977540831</v>
      </c>
      <c r="K104" s="589">
        <f>'B1.1'!K83+'B1.2'!K83+'B1.3'!K83+'B1.4'!K83+'B1.5'!K83+'B1.6'!K83+'B1.7'!K83+'B1.8'!K83+'B1.9'!K83+'B1.10'!K83+'B1.11'!K83+'B1.12'!K83</f>
        <v>14110.868293482828</v>
      </c>
      <c r="L104" s="589">
        <f>'B1.1'!L83+'B1.2'!L83+'B1.3'!L83+'B1.4'!L83+'B1.5'!L83+'B1.6'!L83+'B1.7'!L83+'B1.8'!L83+'B1.9'!L83+'B1.10'!L83+'B1.11'!L83+'B1.12'!L83</f>
        <v>14681.135828904438</v>
      </c>
      <c r="M104" s="589">
        <f>'B1.1'!M83+'B1.2'!M83+'B1.3'!M83+'B1.4'!M83+'B1.5'!M83+'B1.6'!M83+'B1.7'!M83+'B1.8'!M83+'B1.9'!M83+'B1.10'!M83+'B1.11'!M83+'B1.12'!M83</f>
        <v>15274.44978891113</v>
      </c>
      <c r="N104" s="589">
        <f>'B1.1'!N83+'B1.2'!N83+'B1.3'!N83+'B1.4'!N83+'B1.5'!N83+'B1.6'!N83+'B1.7'!N83+'B1.8'!N83+'B1.9'!N83+'B1.10'!N83+'B1.11'!N83+'B1.12'!N83</f>
        <v>15891.741556850478</v>
      </c>
      <c r="O104" s="589">
        <f>'B1.1'!O83+'B1.2'!O83+'B1.3'!O83+'B1.4'!O83+'B1.5'!O83+'B1.6'!O83+'B1.7'!O83+'B1.8'!O83+'B1.9'!O83+'B1.10'!O83+'B1.11'!O83+'B1.12'!O83</f>
        <v>16533.98015639629</v>
      </c>
      <c r="P104" s="589">
        <f>'B1.1'!P83+'B1.2'!P83+'B1.3'!P83+'B1.4'!P83+'B1.5'!P83+'B1.6'!P83+'B1.7'!P83+'B1.8'!P83+'B1.9'!P83+'B1.10'!P83+'B1.11'!P83+'B1.12'!P83</f>
        <v>17202.173772720565</v>
      </c>
      <c r="Q104" s="589">
        <f>'B1.1'!Q83+'B1.2'!Q83+'B1.3'!Q83+'B1.4'!Q83+'B1.5'!Q83+'B1.6'!Q83+'B1.7'!Q83+'B1.8'!Q83+'B1.9'!Q83+'B1.10'!Q83+'B1.11'!Q83+'B1.12'!Q83</f>
        <v>17897.371335140895</v>
      </c>
      <c r="R104" s="589">
        <f>'B1.1'!R83+'B1.2'!R83+'B1.3'!R83+'B1.4'!R83+'B1.5'!R83+'B1.6'!R83+'B1.7'!R83+'B1.8'!R83+'B1.9'!R83+'B1.10'!R83+'B1.11'!R83+'B1.12'!R83</f>
        <v>18620.66416372819</v>
      </c>
      <c r="S104" s="589">
        <f>'B1.1'!S83+'B1.2'!S83+'B1.3'!S83+'B1.4'!S83+'B1.5'!S83+'B1.6'!S83+'B1.7'!S83+'B1.8'!S83+'B1.9'!S83+'B1.10'!S83+'B1.11'!S83+'B1.12'!S83</f>
        <v>19373.187682459269</v>
      </c>
      <c r="T104" s="589">
        <f>'B1.1'!T83+'B1.2'!T83+'B1.3'!T83+'B1.4'!T83+'B1.5'!T83+'B1.6'!T83+'B1.7'!T83+'B1.8'!T83+'B1.9'!T83+'B1.10'!T83+'B1.11'!T83+'B1.12'!T83</f>
        <v>20156.123201603663</v>
      </c>
      <c r="U104" s="589">
        <f>'B1.1'!U83+'B1.2'!U83+'B1.3'!U83+'B1.4'!U83+'B1.5'!U83+'B1.6'!U83+'B1.7'!U83+'B1.8'!U83+'B1.9'!U83+'B1.10'!U83+'B1.11'!U83+'B1.12'!U83</f>
        <v>20970.699772142656</v>
      </c>
      <c r="V104" s="589">
        <f>'B1.1'!V83+'B1.2'!V83+'B1.3'!V83+'B1.4'!V83+'B1.5'!V83+'B1.6'!V83+'B1.7'!V83+'B1.8'!V83+'B1.9'!V83+'B1.10'!V83+'B1.11'!V83+'B1.12'!V83</f>
        <v>21818.196115131665</v>
      </c>
      <c r="W104" s="589">
        <f>'B1.1'!W83+'B1.2'!W83+'B1.3'!W83+'B1.4'!W83+'B1.5'!W83+'B1.6'!W83+'B1.7'!W83+'B1.8'!W83+'B1.9'!W83+'B1.10'!W83+'B1.11'!W83+'B1.12'!W83</f>
        <v>22699.942629034562</v>
      </c>
      <c r="X104" s="589">
        <f>'B1.1'!X83+'B1.2'!X83+'B1.3'!X83+'B1.4'!X83+'B1.5'!X83+'B1.6'!X83+'B1.7'!X83+'B1.8'!X83+'B1.9'!X83+'B1.10'!X83+'B1.11'!X83+'B1.12'!X83</f>
        <v>23617.323478181155</v>
      </c>
      <c r="Y104" s="589">
        <f>'B1.1'!Y83+'B1.2'!Y83+'B1.3'!Y83+'B1.4'!Y83+'B1.5'!Y83+'B1.6'!Y83+'B1.7'!Y83+'B1.8'!Y83+'B1.9'!Y83+'B1.10'!Y83+'B1.11'!Y83+'B1.12'!Y83</f>
        <v>24571.778765626314</v>
      </c>
      <c r="Z104" s="589">
        <f>'B1.1'!Z83+'B1.2'!Z83+'B1.3'!Z83+'B1.4'!Z83+'B1.5'!Z83+'B1.6'!Z83+'B1.7'!Z83+'B1.8'!Z83+'B1.9'!Z83+'B1.10'!Z83+'B1.11'!Z83+'B1.12'!Z83</f>
        <v>25564.806793821448</v>
      </c>
      <c r="AA104" s="589">
        <f>'B1.1'!AA83+'B1.2'!AA83+'B1.3'!AA83+'B1.4'!AA83+'B1.5'!AA83+'B1.6'!AA83+'B1.7'!AA83+'B1.8'!AA83+'B1.9'!AA83+'B1.10'!AA83+'B1.11'!AA83+'B1.12'!AA83</f>
        <v>26597.96641664745</v>
      </c>
      <c r="AB104" s="589">
        <f>'B1.1'!AB83+'B1.2'!AB83+'B1.3'!AB83+'B1.4'!AB83+'B1.5'!AB83+'B1.6'!AB83+'B1.7'!AB83+'B1.8'!AB83+'B1.9'!AB83+'B1.10'!AB83+'B1.11'!AB83+'B1.12'!AB83</f>
        <v>27672.879486501082</v>
      </c>
      <c r="AC104" s="589">
        <f>'B1.1'!AC83+'B1.2'!AC83+'B1.3'!AC83+'B1.4'!AC83+'B1.5'!AC83+'B1.6'!AC83+'B1.7'!AC83+'B1.8'!AC83+'B1.9'!AC83+'B1.10'!AC83+'B1.11'!AC83+'B1.12'!AC83</f>
        <v>28791.233400276473</v>
      </c>
      <c r="AD104" s="589">
        <f>'B1.1'!AD83+'B1.2'!AD83+'B1.3'!AD83+'B1.4'!AD83+'B1.5'!AD83+'B1.6'!AD83+'B1.7'!AD83+'B1.8'!AD83+'B1.9'!AD83+'B1.10'!AD83+'B1.11'!AD83+'B1.12'!AD83</f>
        <v>29954.783748238202</v>
      </c>
      <c r="AE104" s="589">
        <f>'B1.1'!AE83+'B1.2'!AE83+'B1.3'!AE83+'B1.4'!AE83+'B1.5'!AE83+'B1.6'!AE83+'B1.7'!AE83+'B1.8'!AE83+'B1.9'!AE83+'B1.10'!AE83+'B1.11'!AE83+'B1.12'!AE83</f>
        <v>31165.357069944028</v>
      </c>
      <c r="AF104" s="589">
        <f>'B1.1'!AF83+'B1.2'!AF83+'B1.3'!AF83+'B1.4'!AF83+'B1.5'!AF83+'B1.6'!AF83+'B1.7'!AF83+'B1.8'!AF83+'B1.9'!AF83+'B1.10'!AF83+'B1.11'!AF83+'B1.12'!AF83</f>
        <v>32424.853721544074</v>
      </c>
      <c r="AG104" s="589">
        <f>'B1.1'!AG83+'B1.2'!AG83+'B1.3'!AG83+'B1.4'!AG83+'B1.5'!AG83+'B1.6'!AG83+'B1.7'!AG83+'B1.8'!AG83+'B1.9'!AG83+'B1.10'!AG83+'B1.11'!AG83+'B1.12'!AG83</f>
        <v>33735.250858957035</v>
      </c>
      <c r="AH104" s="589">
        <f>'B1.1'!AH83+'B1.2'!AH83+'B1.3'!AH83+'B1.4'!AH83+'B1.5'!AH83+'B1.6'!AH83+'B1.7'!AH83+'B1.8'!AH83+'B1.9'!AH83+'B1.10'!AH83+'B1.11'!AH83+'B1.12'!AH83</f>
        <v>35098.605541606288</v>
      </c>
      <c r="AI104" s="589">
        <f>'B1.1'!AI83+'B1.2'!AI83+'B1.3'!AI83+'B1.4'!AI83+'B1.5'!AI83+'B1.6'!AI83+'B1.7'!AI83+'B1.8'!AI83+'B1.9'!AI83+'B1.10'!AI83+'B1.11'!AI83+'B1.12'!AI83</f>
        <v>36517.0579615889</v>
      </c>
      <c r="AJ104" s="589">
        <f>'B1.1'!AJ83+'B1.2'!AJ83+'B1.3'!AJ83+'B1.4'!AJ83+'B1.5'!AJ83+'B1.6'!AJ83+'B1.7'!AJ83+'B1.8'!AJ83+'B1.9'!AJ83+'B1.10'!AJ83+'B1.11'!AJ83+'B1.12'!AJ83</f>
        <v>37992.834803345766</v>
      </c>
      <c r="AK104" s="589">
        <f>'B1.1'!AK83+'B1.2'!AK83+'B1.3'!AK83+'B1.4'!AK83+'B1.5'!AK83+'B1.6'!AK83+'B1.7'!AK83+'B1.8'!AK83+'B1.9'!AK83+'B1.10'!AK83+'B1.11'!AK83+'B1.12'!AK83</f>
        <v>39528.252739107418</v>
      </c>
    </row>
    <row r="105" spans="2:37">
      <c r="F105" s="220"/>
    </row>
    <row r="106" spans="2:37">
      <c r="B106" s="587" t="s">
        <v>826</v>
      </c>
      <c r="C106" s="588" t="s">
        <v>818</v>
      </c>
      <c r="D106" s="592">
        <f>'B1.1'!D140+'B1.2'!D140+'B1.3'!D140+'B1.4'!D140+'B1.5'!D140+'B1.6'!D140+'B1.7'!D140+'B1.8'!D140+'B1.9'!D140+'B1.10'!D140+'B1.11'!D140+'B1.12'!D140</f>
        <v>0</v>
      </c>
      <c r="E106" s="592">
        <f>'B1.1'!E140+'B1.2'!E140+'B1.3'!E140+'B1.4'!E140+'B1.5'!E140+'B1.6'!E140+'B1.7'!E140+'B1.8'!E140+'B1.9'!E140+'B1.10'!E140+'B1.11'!E140+'B1.12'!E140</f>
        <v>0</v>
      </c>
      <c r="F106" s="592">
        <f>'B1.1'!F140+'B1.2'!F140+'B1.3'!F140+'B1.4'!F140+'B1.5'!F140+'B1.6'!F140+'B1.7'!F140+'B1.8'!F140+'B1.9'!F140+'B1.10'!F140+'B1.11'!F140+'B1.12'!F140</f>
        <v>0</v>
      </c>
      <c r="G106" s="592">
        <f>'B1.1'!G140+'B1.2'!G140+'B1.3'!G140+'B1.4'!G140+'B1.5'!G140+'B1.6'!G140+'B1.7'!G140+'B1.8'!G140+'B1.9'!G140+'B1.10'!G140+'B1.11'!G140+'B1.12'!G140</f>
        <v>0</v>
      </c>
      <c r="H106" s="592">
        <f>'B1.1'!H140+'B1.2'!H140+'B1.3'!H140+'B1.4'!H140+'B1.5'!H140+'B1.6'!H140+'B1.7'!H140+'B1.8'!H140+'B1.9'!H140+'B1.10'!H140+'B1.11'!H140+'B1.12'!H140</f>
        <v>35.503427428288113</v>
      </c>
      <c r="I106" s="592">
        <f>'B1.1'!I140+'B1.2'!I140+'B1.3'!I140+'B1.4'!I140+'B1.5'!I140+'B1.6'!I140+'B1.7'!I140+'B1.8'!I140+'B1.9'!I140+'B1.10'!I140+'B1.11'!I140+'B1.12'!I140</f>
        <v>36.510838227353055</v>
      </c>
      <c r="J106" s="592">
        <f>'B1.1'!J140+'B1.2'!J140+'B1.3'!J140+'B1.4'!J140+'B1.5'!J140+'B1.6'!J140+'B1.7'!J140+'B1.8'!J140+'B1.9'!J140+'B1.10'!J140+'B1.11'!J140+'B1.12'!J140</f>
        <v>37.541689134954311</v>
      </c>
      <c r="K106" s="592">
        <f>'B1.1'!K140+'B1.2'!K140+'B1.3'!K140+'B1.4'!K140+'B1.5'!K140+'B1.6'!K140+'B1.7'!K140+'B1.8'!K140+'B1.9'!K140+'B1.10'!K140+'B1.11'!K140+'B1.12'!K140</f>
        <v>38.596229395062629</v>
      </c>
      <c r="L106" s="592">
        <f>'B1.1'!L140+'B1.2'!L140+'B1.3'!L140+'B1.4'!L140+'B1.5'!L140+'B1.6'!L140+'B1.7'!L140+'B1.8'!L140+'B1.9'!L140+'B1.10'!L140+'B1.11'!L140+'B1.12'!L140</f>
        <v>39.674690113912703</v>
      </c>
      <c r="M106" s="592">
        <f>'B1.1'!M140+'B1.2'!M140+'B1.3'!M140+'B1.4'!M140+'B1.5'!M140+'B1.6'!M140+'B1.7'!M140+'B1.8'!M140+'B1.9'!M140+'B1.10'!M140+'B1.11'!M140+'B1.12'!M140</f>
        <v>40.777282386914798</v>
      </c>
      <c r="N106" s="592">
        <f>'B1.1'!N140+'B1.2'!N140+'B1.3'!N140+'B1.4'!N140+'B1.5'!N140+'B1.6'!N140+'B1.7'!N140+'B1.8'!N140+'B1.9'!N140+'B1.10'!N140+'B1.11'!N140+'B1.12'!N140</f>
        <v>41.828539052730093</v>
      </c>
      <c r="O106" s="592">
        <f>'B1.1'!O140+'B1.2'!O140+'B1.3'!O140+'B1.4'!O140+'B1.5'!O140+'B1.6'!O140+'B1.7'!O140+'B1.8'!O140+'B1.9'!O140+'B1.10'!O140+'B1.11'!O140+'B1.12'!O140</f>
        <v>42.898166277118371</v>
      </c>
      <c r="P106" s="592">
        <f>'B1.1'!P140+'B1.2'!P140+'B1.3'!P140+'B1.4'!P140+'B1.5'!P140+'B1.6'!P140+'B1.7'!P140+'B1.8'!P140+'B1.9'!P140+'B1.10'!P140+'B1.11'!P140+'B1.12'!P140</f>
        <v>43.985931938209575</v>
      </c>
      <c r="Q106" s="592">
        <f>'B1.1'!Q140+'B1.2'!Q140+'B1.3'!Q140+'B1.4'!Q140+'B1.5'!Q140+'B1.6'!Q140+'B1.7'!Q140+'B1.8'!Q140+'B1.9'!Q140+'B1.10'!Q140+'B1.11'!Q140+'B1.12'!Q140</f>
        <v>45.091555148967387</v>
      </c>
      <c r="R106" s="592">
        <f>'B1.1'!R140+'B1.2'!R140+'B1.3'!R140+'B1.4'!R140+'B1.5'!R140+'B1.6'!R140+'B1.7'!R140+'B1.8'!R140+'B1.9'!R140+'B1.10'!R140+'B1.11'!R140+'B1.12'!R140</f>
        <v>46.214702694772605</v>
      </c>
      <c r="S106" s="592">
        <f>'B1.1'!S140+'B1.2'!S140+'B1.3'!S140+'B1.4'!S140+'B1.5'!S140+'B1.6'!S140+'B1.7'!S140+'B1.8'!S140+'B1.9'!S140+'B1.10'!S140+'B1.11'!S140+'B1.12'!S140</f>
        <v>47.354985262713413</v>
      </c>
      <c r="T106" s="592">
        <f>'B1.1'!T140+'B1.2'!T140+'B1.3'!T140+'B1.4'!T140+'B1.5'!T140+'B1.6'!T140+'B1.7'!T140+'B1.8'!T140+'B1.9'!T140+'B1.10'!T140+'B1.11'!T140+'B1.12'!T140</f>
        <v>48.512755084698689</v>
      </c>
      <c r="U106" s="592">
        <f>'B1.1'!U140+'B1.2'!U140+'B1.3'!U140+'B1.4'!U140+'B1.5'!U140+'B1.6'!U140+'B1.7'!U140+'B1.8'!U140+'B1.9'!U140+'B1.10'!U140+'B1.11'!U140+'B1.12'!U140</f>
        <v>49.686761610520492</v>
      </c>
      <c r="V106" s="592">
        <f>'B1.1'!V140+'B1.2'!V140+'B1.3'!V140+'B1.4'!V140+'B1.5'!V140+'B1.6'!V140+'B1.7'!V140+'B1.8'!V140+'B1.9'!V140+'B1.10'!V140+'B1.11'!V140+'B1.12'!V140</f>
        <v>50.876426284376059</v>
      </c>
      <c r="W106" s="592">
        <f>'B1.1'!W140+'B1.2'!W140+'B1.3'!W140+'B1.4'!W140+'B1.5'!W140+'B1.6'!W140+'B1.7'!W140+'B1.8'!W140+'B1.9'!W140+'B1.10'!W140+'B1.11'!W140+'B1.12'!W140</f>
        <v>52.081097269277414</v>
      </c>
      <c r="X106" s="592">
        <f>'B1.1'!X140+'B1.2'!X140+'B1.3'!X140+'B1.4'!X140+'B1.5'!X140+'B1.6'!X140+'B1.7'!X140+'B1.8'!X140+'B1.9'!X140+'B1.10'!X140+'B1.11'!X140+'B1.12'!X140</f>
        <v>53.599769506613548</v>
      </c>
      <c r="Y106" s="592">
        <f>'B1.1'!Y140+'B1.2'!Y140+'B1.3'!Y140+'B1.4'!Y140+'B1.5'!Y140+'B1.6'!Y140+'B1.7'!Y140+'B1.8'!Y140+'B1.9'!Y140+'B1.10'!Y140+'B1.11'!Y140+'B1.12'!Y140</f>
        <v>55.156130131099907</v>
      </c>
      <c r="Z106" s="592">
        <f>'B1.1'!Z140+'B1.2'!Z140+'B1.3'!Z140+'B1.4'!Z140+'B1.5'!Z140+'B1.6'!Z140+'B1.7'!Z140+'B1.8'!Z140+'B1.9'!Z140+'B1.10'!Z140+'B1.11'!Z140+'B1.12'!Z140</f>
        <v>56.750745015931344</v>
      </c>
      <c r="AA106" s="592">
        <f>'B1.1'!AA140+'B1.2'!AA140+'B1.3'!AA140+'B1.4'!AA140+'B1.5'!AA140+'B1.6'!AA140+'B1.7'!AA140+'B1.8'!AA140+'B1.9'!AA140+'B1.10'!AA140+'B1.11'!AA140+'B1.12'!AA140</f>
        <v>58.384164217816831</v>
      </c>
      <c r="AB106" s="592">
        <f>'B1.1'!AB140+'B1.2'!AB140+'B1.3'!AB140+'B1.4'!AB140+'B1.5'!AB140+'B1.6'!AB140+'B1.7'!AB140+'B1.8'!AB140+'B1.9'!AB140+'B1.10'!AB140+'B1.11'!AB140+'B1.12'!AB140</f>
        <v>60.0569197743785</v>
      </c>
      <c r="AC106" s="592">
        <f>'B1.1'!AC140+'B1.2'!AC140+'B1.3'!AC140+'B1.4'!AC140+'B1.5'!AC140+'B1.6'!AC140+'B1.7'!AC140+'B1.8'!AC140+'B1.9'!AC140+'B1.10'!AC140+'B1.11'!AC140+'B1.12'!AC140</f>
        <v>61.769523349354365</v>
      </c>
      <c r="AD106" s="592">
        <f>'B1.1'!AD140+'B1.2'!AD140+'B1.3'!AD140+'B1.4'!AD140+'B1.5'!AD140+'B1.6'!AD140+'B1.7'!AD140+'B1.8'!AD140+'B1.9'!AD140+'B1.10'!AD140+'B1.11'!AD140+'B1.12'!AD140</f>
        <v>63.522463716898891</v>
      </c>
      <c r="AE106" s="592">
        <f>'B1.1'!AE140+'B1.2'!AE140+'B1.3'!AE140+'B1.4'!AE140+'B1.5'!AE140+'B1.6'!AE140+'B1.7'!AE140+'B1.8'!AE140+'B1.9'!AE140+'B1.10'!AE140+'B1.11'!AE140+'B1.12'!AE140</f>
        <v>65.31620407582443</v>
      </c>
      <c r="AF106" s="592">
        <f>'B1.1'!AF140+'B1.2'!AF140+'B1.3'!AF140+'B1.4'!AF140+'B1.5'!AF140+'B1.6'!AF140+'B1.7'!AF140+'B1.8'!AF140+'B1.9'!AF140+'B1.10'!AF140+'B1.11'!AF140+'B1.12'!AF140</f>
        <v>67.151179184145235</v>
      </c>
      <c r="AG106" s="592">
        <f>'B1.1'!AG140+'B1.2'!AG140+'B1.3'!AG140+'B1.4'!AG140+'B1.5'!AG140+'B1.6'!AG140+'B1.7'!AG140+'B1.8'!AG140+'B1.9'!AG140+'B1.10'!AG140+'B1.11'!AG140+'B1.12'!AG140</f>
        <v>69.027792303786597</v>
      </c>
      <c r="AH106" s="592">
        <f>'B1.1'!AH140+'B1.2'!AH140+'B1.3'!AH140+'B1.4'!AH140+'B1.5'!AH140+'B1.6'!AH140+'B1.7'!AH140+'B1.8'!AH140+'B1.9'!AH140+'B1.10'!AH140+'B1.11'!AH140+'B1.12'!AH140</f>
        <v>71.817437007001232</v>
      </c>
      <c r="AI106" s="592">
        <f>'B1.1'!AI140+'B1.2'!AI140+'B1.3'!AI140+'B1.4'!AI140+'B1.5'!AI140+'B1.6'!AI140+'B1.7'!AI140+'B1.8'!AI140+'B1.9'!AI140+'B1.10'!AI140+'B1.11'!AI140+'B1.12'!AI140</f>
        <v>74.719820613061373</v>
      </c>
      <c r="AJ106" s="592">
        <f>'B1.1'!AJ140+'B1.2'!AJ140+'B1.3'!AJ140+'B1.4'!AJ140+'B1.5'!AJ140+'B1.6'!AJ140+'B1.7'!AJ140+'B1.8'!AJ140+'B1.9'!AJ140+'B1.10'!AJ140+'B1.11'!AJ140+'B1.12'!AJ140</f>
        <v>77.739499279315709</v>
      </c>
      <c r="AK106" s="592">
        <f>'B1.1'!AK140+'B1.2'!AK140+'B1.3'!AK140+'B1.4'!AK140+'B1.5'!AK140+'B1.6'!AK140+'B1.7'!AK140+'B1.8'!AK140+'B1.9'!AK140+'B1.10'!AK140+'B1.11'!AK140+'B1.12'!AK140</f>
        <v>80.881213292719096</v>
      </c>
    </row>
    <row r="107" spans="2:37">
      <c r="B107" s="587" t="s">
        <v>827</v>
      </c>
      <c r="C107" s="588" t="s">
        <v>818</v>
      </c>
      <c r="D107" s="1243">
        <f>'B1.1'!D141+'B1.2'!D141+'B1.3'!D141+'B1.4'!D141+'B1.5'!D141+'B1.6'!D141+'B1.7'!D141+'B1.8'!D141+'B1.9'!D141+'B1.10'!D141+'B1.11'!D141+'B1.12'!D141</f>
        <v>0</v>
      </c>
      <c r="E107" s="1243">
        <f>'B1.1'!E141+'B1.2'!E141+'B1.3'!E141+'B1.4'!E141+'B1.5'!E141+'B1.6'!E141+'B1.7'!E141+'B1.8'!E141+'B1.9'!E141+'B1.10'!E141+'B1.11'!E141+'B1.12'!E141</f>
        <v>0</v>
      </c>
      <c r="F107" s="1243">
        <f>'B1.1'!F141+'B1.2'!F141+'B1.3'!F141+'B1.4'!F141+'B1.5'!F141+'B1.6'!F141+'B1.7'!F141+'B1.8'!F141+'B1.9'!F141+'B1.10'!F141+'B1.11'!F141+'B1.12'!F141</f>
        <v>0</v>
      </c>
      <c r="G107" s="1243">
        <f>'B1.1'!G141+'B1.2'!G141+'B1.3'!G141+'B1.4'!G141+'B1.5'!G141+'B1.6'!G141+'B1.7'!G141+'B1.8'!G141+'B1.9'!G141+'B1.10'!G141+'B1.11'!G141+'B1.12'!G141</f>
        <v>0</v>
      </c>
      <c r="H107" s="1243">
        <f>'B1.1'!H141+'B1.2'!H141+'B1.3'!H141+'B1.4'!H141+'B1.5'!H141+'B1.6'!H141+'B1.7'!H141+'B1.8'!H141+'B1.9'!H141+'B1.10'!H141+'B1.11'!H141+'B1.12'!H141</f>
        <v>7.5814820600789035E-2</v>
      </c>
      <c r="I107" s="1243">
        <f>'B1.1'!I141+'B1.2'!I141+'B1.3'!I141+'B1.4'!I141+'B1.5'!I141+'B1.6'!I141+'B1.7'!I141+'B1.8'!I141+'B1.9'!I141+'B1.10'!I141+'B1.11'!I141+'B1.12'!I141</f>
        <v>7.0972148440092656E-2</v>
      </c>
      <c r="J107" s="1243">
        <f>'B1.1'!J141+'B1.2'!J141+'B1.3'!J141+'B1.4'!J141+'B1.5'!J141+'B1.6'!J141+'B1.7'!J141+'B1.8'!J141+'B1.9'!J141+'B1.10'!J141+'B1.11'!J141+'B1.12'!J141</f>
        <v>6.5614235272955998E-2</v>
      </c>
      <c r="K107" s="1243">
        <f>'B1.1'!K141+'B1.2'!K141+'B1.3'!K141+'B1.4'!K141+'B1.5'!K141+'B1.6'!K141+'B1.7'!K141+'B1.8'!K141+'B1.9'!K141+'B1.10'!K141+'B1.11'!K141+'B1.12'!K141</f>
        <v>5.9707345106017141E-2</v>
      </c>
      <c r="L107" s="1243">
        <f>'B1.1'!L141+'B1.2'!L141+'B1.3'!L141+'B1.4'!L141+'B1.5'!L141+'B1.6'!L141+'B1.7'!L141+'B1.8'!L141+'B1.9'!L141+'B1.10'!L141+'B1.11'!L141+'B1.12'!L141</f>
        <v>5.3215856688402043E-2</v>
      </c>
      <c r="M107" s="1243">
        <f>'B1.1'!M141+'B1.2'!M141+'B1.3'!M141+'B1.4'!M141+'B1.5'!M141+'B1.6'!M141+'B1.7'!M141+'B1.8'!M141+'B1.9'!M141+'B1.10'!M141+'B1.11'!M141+'B1.12'!M141</f>
        <v>4.6102166231492221E-2</v>
      </c>
      <c r="N107" s="1243">
        <f>'B1.1'!N141+'B1.2'!N141+'B1.3'!N141+'B1.4'!N141+'B1.5'!N141+'B1.6'!N141+'B1.7'!N141+'B1.8'!N141+'B1.9'!N141+'B1.10'!N141+'B1.11'!N141+'B1.12'!N141</f>
        <v>4.4689515527647029E-2</v>
      </c>
      <c r="O107" s="1243">
        <f>'B1.1'!O141+'B1.2'!O141+'B1.3'!O141+'B1.4'!O141+'B1.5'!O141+'B1.6'!O141+'B1.7'!O141+'B1.8'!O141+'B1.9'!O141+'B1.10'!O141+'B1.11'!O141+'B1.12'!O141</f>
        <v>4.3087389044408571E-2</v>
      </c>
      <c r="P107" s="1243">
        <f>'B1.1'!P141+'B1.2'!P141+'B1.3'!P141+'B1.4'!P141+'B1.5'!P141+'B1.6'!P141+'B1.7'!P141+'B1.8'!P141+'B1.9'!P141+'B1.10'!P141+'B1.11'!P141+'B1.12'!P141</f>
        <v>4.1282779274388268E-2</v>
      </c>
      <c r="Q107" s="1243">
        <f>'B1.1'!Q141+'B1.2'!Q141+'B1.3'!Q141+'B1.4'!Q141+'B1.5'!Q141+'B1.6'!Q141+'B1.7'!Q141+'B1.8'!Q141+'B1.9'!Q141+'B1.10'!Q141+'B1.11'!Q141+'B1.12'!Q141</f>
        <v>3.9261936815449358E-2</v>
      </c>
      <c r="R107" s="1243">
        <f>'B1.1'!R141+'B1.2'!R141+'B1.3'!R141+'B1.4'!R141+'B1.5'!R141+'B1.6'!R141+'B1.7'!R141+'B1.8'!R141+'B1.9'!R141+'B1.10'!R141+'B1.11'!R141+'B1.12'!R141</f>
        <v>3.7010331650164277E-2</v>
      </c>
      <c r="S107" s="1243">
        <f>'B1.1'!S141+'B1.2'!S141+'B1.3'!S141+'B1.4'!S141+'B1.5'!S141+'B1.6'!S141+'B1.7'!S141+'B1.8'!S141+'B1.9'!S141+'B1.10'!S141+'B1.11'!S141+'B1.12'!S141</f>
        <v>3.4512612507317318E-2</v>
      </c>
      <c r="T107" s="1243">
        <f>'B1.1'!T141+'B1.2'!T141+'B1.3'!T141+'B1.4'!T141+'B1.5'!T141+'B1.6'!T141+'B1.7'!T141+'B1.8'!T141+'B1.9'!T141+'B1.10'!T141+'B1.11'!T141+'B1.12'!T141</f>
        <v>3.1784017336638298E-2</v>
      </c>
      <c r="U107" s="1243">
        <f>'B1.1'!U141+'B1.2'!U141+'B1.3'!U141+'B1.4'!U141+'B1.5'!U141+'B1.6'!U141+'B1.7'!U141+'B1.8'!U141+'B1.9'!U141+'B1.10'!U141+'B1.11'!U141+'B1.12'!U141</f>
        <v>2.8778511438255674E-2</v>
      </c>
      <c r="V107" s="1243">
        <f>'B1.1'!V141+'B1.2'!V141+'B1.3'!V141+'B1.4'!V141+'B1.5'!V141+'B1.6'!V141+'B1.7'!V141+'B1.8'!V141+'B1.9'!V141+'B1.10'!V141+'B1.11'!V141+'B1.12'!V141</f>
        <v>2.5478169477712594E-2</v>
      </c>
      <c r="W107" s="1243">
        <f>'B1.1'!W141+'B1.2'!W141+'B1.3'!W141+'B1.4'!W141+'B1.5'!W141+'B1.6'!W141+'B1.7'!W141+'B1.8'!W141+'B1.9'!W141+'B1.10'!W141+'B1.11'!W141+'B1.12'!W141</f>
        <v>2.1864069536214652E-2</v>
      </c>
      <c r="X107" s="1243">
        <f>'B1.1'!X141+'B1.2'!X141+'B1.3'!X141+'B1.4'!X141+'B1.5'!X141+'B1.6'!X141+'B1.7'!X141+'B1.8'!X141+'B1.9'!X141+'B1.10'!X141+'B1.11'!X141+'B1.12'!X141</f>
        <v>2.2604953546327185E-2</v>
      </c>
      <c r="Y107" s="1243">
        <f>'B1.1'!Y141+'B1.2'!Y141+'B1.3'!Y141+'B1.4'!Y141+'B1.5'!Y141+'B1.6'!Y141+'B1.7'!Y141+'B1.8'!Y141+'B1.9'!Y141+'B1.10'!Y141+'B1.11'!Y141+'B1.12'!Y141</f>
        <v>2.3370011516551263E-2</v>
      </c>
      <c r="Z107" s="1243">
        <f>'B1.1'!Z141+'B1.2'!Z141+'B1.3'!Z141+'B1.4'!Z141+'B1.5'!Z141+'B1.6'!Z141+'B1.7'!Z141+'B1.8'!Z141+'B1.9'!Z141+'B1.10'!Z141+'B1.11'!Z141+'B1.12'!Z141</f>
        <v>2.4159987307691883E-2</v>
      </c>
      <c r="AA107" s="1243">
        <f>'B1.1'!AA141+'B1.2'!AA141+'B1.3'!AA141+'B1.4'!AA141+'B1.5'!AA141+'B1.6'!AA141+'B1.7'!AA141+'B1.8'!AA141+'B1.9'!AA141+'B1.10'!AA141+'B1.11'!AA141+'B1.12'!AA141</f>
        <v>2.497564542251433E-2</v>
      </c>
      <c r="AB107" s="1243">
        <f>'B1.1'!AB141+'B1.2'!AB141+'B1.3'!AB141+'B1.4'!AB141+'B1.5'!AB141+'B1.6'!AB141+'B1.7'!AB141+'B1.8'!AB141+'B1.9'!AB141+'B1.10'!AB141+'B1.11'!AB141+'B1.12'!AB141</f>
        <v>2.5817771459263415E-2</v>
      </c>
      <c r="AC107" s="1243">
        <f>'B1.1'!AC141+'B1.2'!AC141+'B1.3'!AC141+'B1.4'!AC141+'B1.5'!AC141+'B1.6'!AC141+'B1.7'!AC141+'B1.8'!AC141+'B1.9'!AC141+'B1.10'!AC141+'B1.11'!AC141+'B1.12'!AC141</f>
        <v>2.6687172568125948E-2</v>
      </c>
      <c r="AD107" s="1243">
        <f>'B1.1'!AD141+'B1.2'!AD141+'B1.3'!AD141+'B1.4'!AD141+'B1.5'!AD141+'B1.6'!AD141+'B1.7'!AD141+'B1.8'!AD141+'B1.9'!AD141+'B1.10'!AD141+'B1.11'!AD141+'B1.12'!AD141</f>
        <v>2.7584677910133474E-2</v>
      </c>
      <c r="AE107" s="1243">
        <f>'B1.1'!AE141+'B1.2'!AE141+'B1.3'!AE141+'B1.4'!AE141+'B1.5'!AE141+'B1.6'!AE141+'B1.7'!AE141+'B1.8'!AE141+'B1.9'!AE141+'B1.10'!AE141+'B1.11'!AE141+'B1.12'!AE141</f>
        <v>2.8511139117956552E-2</v>
      </c>
      <c r="AF107" s="1243">
        <f>'B1.1'!AF141+'B1.2'!AF141+'B1.3'!AF141+'B1.4'!AF141+'B1.5'!AF141+'B1.6'!AF141+'B1.7'!AF141+'B1.8'!AF141+'B1.9'!AF141+'B1.10'!AF141+'B1.11'!AF141+'B1.12'!AF141</f>
        <v>2.9467430757995683E-2</v>
      </c>
      <c r="AG107" s="1243">
        <f>'B1.1'!AG141+'B1.2'!AG141+'B1.3'!AG141+'B1.4'!AG141+'B1.5'!AG141+'B1.6'!AG141+'B1.7'!AG141+'B1.8'!AG141+'B1.9'!AG141+'B1.10'!AG141+'B1.11'!AG141+'B1.12'!AG141</f>
        <v>3.0454450793118999E-2</v>
      </c>
      <c r="AH107" s="1243">
        <f>'B1.1'!AH141+'B1.2'!AH141+'B1.3'!AH141+'B1.4'!AH141+'B1.5'!AH141+'B1.6'!AH141+'B1.7'!AH141+'B1.8'!AH141+'B1.9'!AH141+'B1.10'!AH141+'B1.11'!AH141+'B1.12'!AH141</f>
        <v>3.1685217336693848E-2</v>
      </c>
      <c r="AI107" s="1243">
        <f>'B1.1'!AI141+'B1.2'!AI141+'B1.3'!AI141+'B1.4'!AI141+'B1.5'!AI141+'B1.6'!AI141+'B1.7'!AI141+'B1.8'!AI141+'B1.9'!AI141+'B1.10'!AI141+'B1.11'!AI141+'B1.12'!AI141</f>
        <v>3.2965723286015165E-2</v>
      </c>
      <c r="AJ107" s="1243">
        <f>'B1.1'!AJ141+'B1.2'!AJ141+'B1.3'!AJ141+'B1.4'!AJ141+'B1.5'!AJ141+'B1.6'!AJ141+'B1.7'!AJ141+'B1.8'!AJ141+'B1.9'!AJ141+'B1.10'!AJ141+'B1.11'!AJ141+'B1.12'!AJ141</f>
        <v>3.4297978777364971E-2</v>
      </c>
      <c r="AK107" s="1243">
        <f>'B1.1'!AK141+'B1.2'!AK141+'B1.3'!AK141+'B1.4'!AK141+'B1.5'!AK141+'B1.6'!AK141+'B1.7'!AK141+'B1.8'!AK141+'B1.9'!AK141+'B1.10'!AK141+'B1.11'!AK141+'B1.12'!AK141</f>
        <v>3.5684075183377323E-2</v>
      </c>
    </row>
    <row r="108" spans="2:37">
      <c r="B108" s="587" t="s">
        <v>828</v>
      </c>
      <c r="C108" s="588" t="s">
        <v>818</v>
      </c>
      <c r="D108" s="1243">
        <f>'B1.1'!D142+'B1.2'!D142+'B1.3'!D142+'B1.4'!D142+'B1.5'!D142+'B1.6'!D142+'B1.7'!D142+'B1.8'!D142+'B1.9'!D142+'B1.10'!D142+'B1.11'!D142+'B1.12'!D142</f>
        <v>0</v>
      </c>
      <c r="E108" s="1243">
        <f>'B1.1'!E142+'B1.2'!E142+'B1.3'!E142+'B1.4'!E142+'B1.5'!E142+'B1.6'!E142+'B1.7'!E142+'B1.8'!E142+'B1.9'!E142+'B1.10'!E142+'B1.11'!E142+'B1.12'!E142</f>
        <v>0</v>
      </c>
      <c r="F108" s="1243">
        <f>'B1.1'!F142+'B1.2'!F142+'B1.3'!F142+'B1.4'!F142+'B1.5'!F142+'B1.6'!F142+'B1.7'!F142+'B1.8'!F142+'B1.9'!F142+'B1.10'!F142+'B1.11'!F142+'B1.12'!F142</f>
        <v>0</v>
      </c>
      <c r="G108" s="1243">
        <f>'B1.1'!G142+'B1.2'!G142+'B1.3'!G142+'B1.4'!G142+'B1.5'!G142+'B1.6'!G142+'B1.7'!G142+'B1.8'!G142+'B1.9'!G142+'B1.10'!G142+'B1.11'!G142+'B1.12'!G142</f>
        <v>0</v>
      </c>
      <c r="H108" s="1243">
        <f>'B1.1'!H142+'B1.2'!H142+'B1.3'!H142+'B1.4'!H142+'B1.5'!H142+'B1.6'!H142+'B1.7'!H142+'B1.8'!H142+'B1.9'!H142+'B1.10'!H142+'B1.11'!H142+'B1.12'!H142</f>
        <v>2.7396556482925348E-3</v>
      </c>
      <c r="I108" s="1243">
        <f>'B1.1'!I142+'B1.2'!I142+'B1.3'!I142+'B1.4'!I142+'B1.5'!I142+'B1.6'!I142+'B1.7'!I142+'B1.8'!I142+'B1.9'!I142+'B1.10'!I142+'B1.11'!I142+'B1.12'!I142</f>
        <v>2.607659021250958E-3</v>
      </c>
      <c r="J108" s="1243">
        <f>'B1.1'!J142+'B1.2'!J142+'B1.3'!J142+'B1.4'!J142+'B1.5'!J142+'B1.6'!J142+'B1.7'!J142+'B1.8'!J142+'B1.9'!J142+'B1.10'!J142+'B1.11'!J142+'B1.12'!J142</f>
        <v>2.460519027747582E-3</v>
      </c>
      <c r="K108" s="1243">
        <f>'B1.1'!K142+'B1.2'!K142+'B1.3'!K142+'B1.4'!K142+'B1.5'!K142+'B1.6'!K142+'B1.7'!K142+'B1.8'!K142+'B1.9'!K142+'B1.10'!K142+'B1.11'!K142+'B1.12'!K142</f>
        <v>2.297227261358946E-3</v>
      </c>
      <c r="L108" s="1243">
        <f>'B1.1'!L142+'B1.2'!L142+'B1.3'!L142+'B1.4'!L142+'B1.5'!L142+'B1.6'!L142+'B1.7'!L142+'B1.8'!L142+'B1.9'!L142+'B1.10'!L142+'B1.11'!L142+'B1.12'!L142</f>
        <v>2.1167185422281826E-3</v>
      </c>
      <c r="M108" s="1243">
        <f>'B1.1'!M142+'B1.2'!M142+'B1.3'!M142+'B1.4'!M142+'B1.5'!M142+'B1.6'!M142+'B1.7'!M142+'B1.8'!M142+'B1.9'!M142+'B1.10'!M142+'B1.11'!M142+'B1.12'!M142</f>
        <v>1.9178679752243147E-3</v>
      </c>
      <c r="N108" s="1243">
        <f>'B1.1'!N142+'B1.2'!N142+'B1.3'!N142+'B1.4'!N142+'B1.5'!N142+'B1.6'!N142+'B1.7'!N142+'B1.8'!N142+'B1.9'!N142+'B1.10'!N142+'B1.11'!N142+'B1.12'!N142</f>
        <v>1.8498388128198205E-3</v>
      </c>
      <c r="O108" s="1243">
        <f>'B1.1'!O142+'B1.2'!O142+'B1.3'!O142+'B1.4'!O142+'B1.5'!O142+'B1.6'!O142+'B1.7'!O142+'B1.8'!O142+'B1.9'!O142+'B1.10'!O142+'B1.11'!O142+'B1.12'!O142</f>
        <v>1.7731787396389894E-3</v>
      </c>
      <c r="P108" s="1243">
        <f>'B1.1'!P142+'B1.2'!P142+'B1.3'!P142+'B1.4'!P142+'B1.5'!P142+'B1.6'!P142+'B1.7'!P142+'B1.8'!P142+'B1.9'!P142+'B1.10'!P142+'B1.11'!P142+'B1.12'!P142</f>
        <v>1.6873012554536907E-3</v>
      </c>
      <c r="Q108" s="1243">
        <f>'B1.1'!Q142+'B1.2'!Q142+'B1.3'!Q142+'B1.4'!Q142+'B1.5'!Q142+'B1.6'!Q142+'B1.7'!Q142+'B1.8'!Q142+'B1.9'!Q142+'B1.10'!Q142+'B1.11'!Q142+'B1.12'!Q142</f>
        <v>1.5915865514942165E-3</v>
      </c>
      <c r="R108" s="1243">
        <f>'B1.1'!R142+'B1.2'!R142+'B1.3'!R142+'B1.4'!R142+'B1.5'!R142+'B1.6'!R142+'B1.7'!R142+'B1.8'!R142+'B1.9'!R142+'B1.10'!R142+'B1.11'!R142+'B1.12'!R142</f>
        <v>1.4853797761243499E-3</v>
      </c>
      <c r="S108" s="1243">
        <f>'B1.1'!S142+'B1.2'!S142+'B1.3'!S142+'B1.4'!S142+'B1.5'!S142+'B1.6'!S142+'B1.7'!S142+'B1.8'!S142+'B1.9'!S142+'B1.10'!S142+'B1.11'!S142+'B1.12'!S142</f>
        <v>1.3679892147381079E-3</v>
      </c>
      <c r="T108" s="1243">
        <f>'B1.1'!T142+'B1.2'!T142+'B1.3'!T142+'B1.4'!T142+'B1.5'!T142+'B1.6'!T142+'B1.7'!T142+'B1.8'!T142+'B1.9'!T142+'B1.10'!T142+'B1.11'!T142+'B1.12'!T142</f>
        <v>1.2386905590245551E-3</v>
      </c>
      <c r="U108" s="1243">
        <f>'B1.1'!U142+'B1.2'!U142+'B1.3'!U142+'B1.4'!U142+'B1.5'!U142+'B1.6'!U142+'B1.7'!U142+'B1.8'!U142+'B1.9'!U142+'B1.10'!U142+'B1.11'!U142+'B1.12'!U142</f>
        <v>1.096706864516648E-3</v>
      </c>
      <c r="V108" s="1243">
        <f>'B1.1'!V142+'B1.2'!V142+'B1.3'!V142+'B1.4'!V142+'B1.5'!V142+'B1.6'!V142+'B1.7'!V142+'B1.8'!V142+'B1.9'!V142+'B1.10'!V142+'B1.11'!V142+'B1.12'!V142</f>
        <v>9.4122401689751588E-4</v>
      </c>
      <c r="W108" s="1243">
        <f>'B1.1'!W142+'B1.2'!W142+'B1.3'!W142+'B1.4'!W142+'B1.5'!W142+'B1.6'!W142+'B1.7'!W142+'B1.8'!W142+'B1.9'!W142+'B1.10'!W142+'B1.11'!W142+'B1.12'!W142</f>
        <v>7.7138281737145322E-4</v>
      </c>
      <c r="X108" s="1243">
        <f>'B1.1'!X142+'B1.2'!X142+'B1.3'!X142+'B1.4'!X142+'B1.5'!X142+'B1.6'!X142+'B1.7'!X142+'B1.8'!X142+'B1.9'!X142+'B1.10'!X142+'B1.11'!X142+'B1.12'!X142</f>
        <v>7.8297655935138087E-4</v>
      </c>
      <c r="Y108" s="1243">
        <f>'B1.1'!Y142+'B1.2'!Y142+'B1.3'!Y142+'B1.4'!Y142+'B1.5'!Y142+'B1.6'!Y142+'B1.7'!Y142+'B1.8'!Y142+'B1.9'!Y142+'B1.10'!Y142+'B1.11'!Y142+'B1.12'!Y142</f>
        <v>7.9424753263261302E-4</v>
      </c>
      <c r="Z108" s="1243">
        <f>'B1.1'!Z142+'B1.2'!Z142+'B1.3'!Z142+'B1.4'!Z142+'B1.5'!Z142+'B1.6'!Z142+'B1.7'!Z142+'B1.8'!Z142+'B1.9'!Z142+'B1.10'!Z142+'B1.11'!Z142+'B1.12'!Z142</f>
        <v>8.0515071352791007E-4</v>
      </c>
      <c r="AA108" s="1243">
        <f>'B1.1'!AA142+'B1.2'!AA142+'B1.3'!AA142+'B1.4'!AA142+'B1.5'!AA142+'B1.6'!AA142+'B1.7'!AA142+'B1.8'!AA142+'B1.9'!AA142+'B1.10'!AA142+'B1.11'!AA142+'B1.12'!AA142</f>
        <v>8.1563796639200583E-4</v>
      </c>
      <c r="AB108" s="1243">
        <f>'B1.1'!AB142+'B1.2'!AB142+'B1.3'!AB142+'B1.4'!AB142+'B1.5'!AB142+'B1.6'!AB142+'B1.7'!AB142+'B1.8'!AB142+'B1.9'!AB142+'B1.10'!AB142+'B1.11'!AB142+'B1.12'!AB142</f>
        <v>8.2565786562672648E-4</v>
      </c>
      <c r="AC108" s="1243">
        <f>'B1.1'!AC142+'B1.2'!AC142+'B1.3'!AC142+'B1.4'!AC142+'B1.5'!AC142+'B1.6'!AC142+'B1.7'!AC142+'B1.8'!AC142+'B1.9'!AC142+'B1.10'!AC142+'B1.11'!AC142+'B1.12'!AC142</f>
        <v>8.3515550838193927E-4</v>
      </c>
      <c r="AD108" s="1243">
        <f>'B1.1'!AD142+'B1.2'!AD142+'B1.3'!AD142+'B1.4'!AD142+'B1.5'!AD142+'B1.6'!AD142+'B1.7'!AD142+'B1.8'!AD142+'B1.9'!AD142+'B1.10'!AD142+'B1.11'!AD142+'B1.12'!AD142</f>
        <v>8.4407231749105609E-4</v>
      </c>
      <c r="AE108" s="1243">
        <f>'B1.1'!AE142+'B1.2'!AE142+'B1.3'!AE142+'B1.4'!AE142+'B1.5'!AE142+'B1.6'!AE142+'B1.7'!AE142+'B1.8'!AE142+'B1.9'!AE142+'B1.10'!AE142+'B1.11'!AE142+'B1.12'!AE142</f>
        <v>8.5234583415756129E-4</v>
      </c>
      <c r="AF108" s="1243">
        <f>'B1.1'!AF142+'B1.2'!AF142+'B1.3'!AF142+'B1.4'!AF142+'B1.5'!AF142+'B1.6'!AF142+'B1.7'!AF142+'B1.8'!AF142+'B1.9'!AF142+'B1.10'!AF142+'B1.11'!AF142+'B1.12'!AF142</f>
        <v>8.5990949988621289E-4</v>
      </c>
      <c r="AG108" s="1243">
        <f>'B1.1'!AG142+'B1.2'!AG142+'B1.3'!AG142+'B1.4'!AG142+'B1.5'!AG142+'B1.6'!AG142+'B1.7'!AG142+'B1.8'!AG142+'B1.9'!AG142+'B1.10'!AG142+'B1.11'!AG142+'B1.12'!AG142</f>
        <v>8.6669242712801727E-4</v>
      </c>
      <c r="AH108" s="1243">
        <f>'B1.1'!AH142+'B1.2'!AH142+'B1.3'!AH142+'B1.4'!AH142+'B1.5'!AH142+'B1.6'!AH142+'B1.7'!AH142+'B1.8'!AH142+'B1.9'!AH142+'B1.10'!AH142+'B1.11'!AH142+'B1.12'!AH142</f>
        <v>9.0171837621260515E-4</v>
      </c>
      <c r="AI108" s="1243">
        <f>'B1.1'!AI142+'B1.2'!AI142+'B1.3'!AI142+'B1.4'!AI142+'B1.5'!AI142+'B1.6'!AI142+'B1.7'!AI142+'B1.8'!AI142+'B1.9'!AI142+'B1.10'!AI142+'B1.11'!AI142+'B1.12'!AI142</f>
        <v>9.3815984142595554E-4</v>
      </c>
      <c r="AJ108" s="1243">
        <f>'B1.1'!AJ142+'B1.2'!AJ142+'B1.3'!AJ142+'B1.4'!AJ142+'B1.5'!AJ142+'B1.6'!AJ142+'B1.7'!AJ142+'B1.8'!AJ142+'B1.9'!AJ142+'B1.10'!AJ142+'B1.11'!AJ142+'B1.12'!AJ142</f>
        <v>9.7607402852446313E-4</v>
      </c>
      <c r="AK108" s="1243">
        <f>'B1.1'!AK142+'B1.2'!AK142+'B1.3'!AK142+'B1.4'!AK142+'B1.5'!AK142+'B1.6'!AK142+'B1.7'!AK142+'B1.8'!AK142+'B1.9'!AK142+'B1.10'!AK142+'B1.11'!AK142+'B1.12'!AK142</f>
        <v>1.0155204551410843E-3</v>
      </c>
    </row>
    <row r="109" spans="2:37">
      <c r="B109" s="587" t="s">
        <v>829</v>
      </c>
      <c r="C109" s="588" t="s">
        <v>818</v>
      </c>
      <c r="D109" s="1243">
        <f>'B1.1'!D143+'B1.2'!D143+'B1.3'!D143+'B1.4'!D143+'B1.5'!D143+'B1.6'!D143+'B1.7'!D143+'B1.8'!D143+'B1.9'!D143+'B1.10'!D143+'B1.11'!D143+'B1.12'!D143</f>
        <v>0</v>
      </c>
      <c r="E109" s="1243">
        <f>'B1.1'!E143+'B1.2'!E143+'B1.3'!E143+'B1.4'!E143+'B1.5'!E143+'B1.6'!E143+'B1.7'!E143+'B1.8'!E143+'B1.9'!E143+'B1.10'!E143+'B1.11'!E143+'B1.12'!E143</f>
        <v>0</v>
      </c>
      <c r="F109" s="1243">
        <f>'B1.1'!F143+'B1.2'!F143+'B1.3'!F143+'B1.4'!F143+'B1.5'!F143+'B1.6'!F143+'B1.7'!F143+'B1.8'!F143+'B1.9'!F143+'B1.10'!F143+'B1.11'!F143+'B1.12'!F143</f>
        <v>0</v>
      </c>
      <c r="G109" s="1243">
        <f>'B1.1'!G143+'B1.2'!G143+'B1.3'!G143+'B1.4'!G143+'B1.5'!G143+'B1.6'!G143+'B1.7'!G143+'B1.8'!G143+'B1.9'!G143+'B1.10'!G143+'B1.11'!G143+'B1.12'!G143</f>
        <v>0</v>
      </c>
      <c r="H109" s="1243">
        <f>'B1.1'!H143+'B1.2'!H143+'B1.3'!H143+'B1.4'!H143+'B1.5'!H143+'B1.6'!H143+'B1.7'!H143+'B1.8'!H143+'B1.9'!H143+'B1.10'!H143+'B1.11'!H143+'B1.12'!H143</f>
        <v>3.0111552210207297E-4</v>
      </c>
      <c r="I109" s="1243">
        <f>'B1.1'!I143+'B1.2'!I143+'B1.3'!I143+'B1.4'!I143+'B1.5'!I143+'B1.6'!I143+'B1.7'!I143+'B1.8'!I143+'B1.9'!I143+'B1.10'!I143+'B1.11'!I143+'B1.12'!I143</f>
        <v>3.0688989009108398E-4</v>
      </c>
      <c r="J109" s="1243">
        <f>'B1.1'!J143+'B1.2'!J143+'B1.3'!J143+'B1.4'!J143+'B1.5'!J143+'B1.6'!J143+'B1.7'!J143+'B1.8'!J143+'B1.9'!J143+'B1.10'!J143+'B1.11'!J143+'B1.12'!J143</f>
        <v>3.1263918754858948E-4</v>
      </c>
      <c r="K109" s="1243">
        <f>'B1.1'!K143+'B1.2'!K143+'B1.3'!K143+'B1.4'!K143+'B1.5'!K143+'B1.6'!K143+'B1.7'!K143+'B1.8'!K143+'B1.9'!K143+'B1.10'!K143+'B1.11'!K143+'B1.12'!K143</f>
        <v>3.1835195718128728E-4</v>
      </c>
      <c r="L109" s="1243">
        <f>'B1.1'!L143+'B1.2'!L143+'B1.3'!L143+'B1.4'!L143+'B1.5'!L143+'B1.6'!L143+'B1.7'!L143+'B1.8'!L143+'B1.9'!L143+'B1.10'!L143+'B1.11'!L143+'B1.12'!L143</f>
        <v>3.2401585658671614E-4</v>
      </c>
      <c r="M109" s="1243">
        <f>'B1.1'!M143+'B1.2'!M143+'B1.3'!M143+'B1.4'!M143+'B1.5'!M143+'B1.6'!M143+'B1.7'!M143+'B1.8'!M143+'B1.9'!M143+'B1.10'!M143+'B1.11'!M143+'B1.12'!M143</f>
        <v>3.2961760542530569E-4</v>
      </c>
      <c r="N109" s="1243">
        <f>'B1.1'!N143+'B1.2'!N143+'B1.3'!N143+'B1.4'!N143+'B1.5'!N143+'B1.6'!N143+'B1.7'!N143+'B1.8'!N143+'B1.9'!N143+'B1.10'!N143+'B1.11'!N143+'B1.12'!N143</f>
        <v>3.3473513154891836E-4</v>
      </c>
      <c r="O109" s="1243">
        <f>'B1.1'!O143+'B1.2'!O143+'B1.3'!O143+'B1.4'!O143+'B1.5'!O143+'B1.6'!O143+'B1.7'!O143+'B1.8'!O143+'B1.9'!O143+'B1.10'!O143+'B1.11'!O143+'B1.12'!O143</f>
        <v>3.3972794605104854E-4</v>
      </c>
      <c r="P109" s="1243">
        <f>'B1.1'!P143+'B1.2'!P143+'B1.3'!P143+'B1.4'!P143+'B1.5'!P143+'B1.6'!P143+'B1.7'!P143+'B1.8'!P143+'B1.9'!P143+'B1.10'!P143+'B1.11'!P143+'B1.12'!P143</f>
        <v>3.4457761075677306E-4</v>
      </c>
      <c r="Q109" s="1243">
        <f>'B1.1'!Q143+'B1.2'!Q143+'B1.3'!Q143+'B1.4'!Q143+'B1.5'!Q143+'B1.6'!Q143+'B1.7'!Q143+'B1.8'!Q143+'B1.9'!Q143+'B1.10'!Q143+'B1.11'!Q143+'B1.12'!Q143</f>
        <v>3.4926440087805456E-4</v>
      </c>
      <c r="R109" s="1243">
        <f>'B1.1'!R143+'B1.2'!R143+'B1.3'!R143+'B1.4'!R143+'B1.5'!R143+'B1.6'!R143+'B1.7'!R143+'B1.8'!R143+'B1.9'!R143+'B1.10'!R143+'B1.11'!R143+'B1.12'!R143</f>
        <v>3.5376723113499624E-4</v>
      </c>
      <c r="S109" s="1243">
        <f>'B1.1'!S143+'B1.2'!S143+'B1.3'!S143+'B1.4'!S143+'B1.5'!S143+'B1.6'!S143+'B1.7'!S143+'B1.8'!S143+'B1.9'!S143+'B1.10'!S143+'B1.11'!S143+'B1.12'!S143</f>
        <v>3.5806357800704657E-4</v>
      </c>
      <c r="T109" s="1243">
        <f>'B1.1'!T143+'B1.2'!T143+'B1.3'!T143+'B1.4'!T143+'B1.5'!T143+'B1.6'!T143+'B1.7'!T143+'B1.8'!T143+'B1.9'!T143+'B1.10'!T143+'B1.11'!T143+'B1.12'!T143</f>
        <v>3.6722989929187779E-4</v>
      </c>
      <c r="U109" s="1243">
        <f>'B1.1'!U143+'B1.2'!U143+'B1.3'!U143+'B1.4'!U143+'B1.5'!U143+'B1.6'!U143+'B1.7'!U143+'B1.8'!U143+'B1.9'!U143+'B1.10'!U143+'B1.11'!U143+'B1.12'!U143</f>
        <v>3.7655230067064479E-4</v>
      </c>
      <c r="V109" s="1243">
        <f>'B1.1'!V143+'B1.2'!V143+'B1.3'!V143+'B1.4'!V143+'B1.5'!V143+'B1.6'!V143+'B1.7'!V143+'B1.8'!V143+'B1.9'!V143+'B1.10'!V143+'B1.11'!V143+'B1.12'!V143</f>
        <v>3.8602842678784948E-4</v>
      </c>
      <c r="W109" s="1243">
        <f>'B1.1'!W143+'B1.2'!W143+'B1.3'!W143+'B1.4'!W143+'B1.5'!W143+'B1.6'!W143+'B1.7'!W143+'B1.8'!W143+'B1.9'!W143+'B1.10'!W143+'B1.11'!W143+'B1.12'!W143</f>
        <v>3.9565547699621343E-4</v>
      </c>
      <c r="X109" s="1243">
        <f>'B1.1'!X143+'B1.2'!X143+'B1.3'!X143+'B1.4'!X143+'B1.5'!X143+'B1.6'!X143+'B1.7'!X143+'B1.8'!X143+'B1.9'!X143+'B1.10'!X143+'B1.11'!X143+'B1.12'!X143</f>
        <v>4.0759987326927116E-4</v>
      </c>
      <c r="Y109" s="1243">
        <f>'B1.1'!Y143+'B1.2'!Y143+'B1.3'!Y143+'B1.4'!Y143+'B1.5'!Y143+'B1.6'!Y143+'B1.7'!Y143+'B1.8'!Y143+'B1.9'!Y143+'B1.10'!Y143+'B1.11'!Y143+'B1.12'!Y143</f>
        <v>4.1986349573334329E-4</v>
      </c>
      <c r="Z109" s="1243">
        <f>'B1.1'!Z143+'B1.2'!Z143+'B1.3'!Z143+'B1.4'!Z143+'B1.5'!Z143+'B1.6'!Z143+'B1.7'!Z143+'B1.8'!Z143+'B1.9'!Z143+'B1.10'!Z143+'B1.11'!Z143+'B1.12'!Z143</f>
        <v>4.3245263833410151E-4</v>
      </c>
      <c r="AA109" s="1243">
        <f>'B1.1'!AA143+'B1.2'!AA143+'B1.3'!AA143+'B1.4'!AA143+'B1.5'!AA143+'B1.6'!AA143+'B1.7'!AA143+'B1.8'!AA143+'B1.9'!AA143+'B1.10'!AA143+'B1.11'!AA143+'B1.12'!AA143</f>
        <v>4.4537358236338879E-4</v>
      </c>
      <c r="AB109" s="1243">
        <f>'B1.1'!AB143+'B1.2'!AB143+'B1.3'!AB143+'B1.4'!AB143+'B1.5'!AB143+'B1.6'!AB143+'B1.7'!AB143+'B1.8'!AB143+'B1.9'!AB143+'B1.10'!AB143+'B1.11'!AB143+'B1.12'!AB143</f>
        <v>4.5863258515692882E-4</v>
      </c>
      <c r="AC109" s="1243">
        <f>'B1.1'!AC143+'B1.2'!AC143+'B1.3'!AC143+'B1.4'!AC143+'B1.5'!AC143+'B1.6'!AC143+'B1.7'!AC143+'B1.8'!AC143+'B1.9'!AC143+'B1.10'!AC143+'B1.11'!AC143+'B1.12'!AC143</f>
        <v>4.7223586789917581E-4</v>
      </c>
      <c r="AD109" s="1243">
        <f>'B1.1'!AD143+'B1.2'!AD143+'B1.3'!AD143+'B1.4'!AD143+'B1.5'!AD143+'B1.6'!AD143+'B1.7'!AD143+'B1.8'!AD143+'B1.9'!AD143+'B1.10'!AD143+'B1.11'!AD143+'B1.12'!AD143</f>
        <v>4.8618960248160951E-4</v>
      </c>
      <c r="AE109" s="1243">
        <f>'B1.1'!AE143+'B1.2'!AE143+'B1.3'!AE143+'B1.4'!AE143+'B1.5'!AE143+'B1.6'!AE143+'B1.7'!AE143+'B1.8'!AE143+'B1.9'!AE143+'B1.10'!AE143+'B1.11'!AE143+'B1.12'!AE143</f>
        <v>5.004998973578476E-4</v>
      </c>
      <c r="AF109" s="1243">
        <f>'B1.1'!AF143+'B1.2'!AF143+'B1.3'!AF143+'B1.4'!AF143+'B1.5'!AF143+'B1.6'!AF143+'B1.7'!AF143+'B1.8'!AF143+'B1.9'!AF143+'B1.10'!AF143+'B1.11'!AF143+'B1.12'!AF143</f>
        <v>5.1517278233601286E-4</v>
      </c>
      <c r="AG109" s="1243">
        <f>'B1.1'!AG143+'B1.2'!AG143+'B1.3'!AG143+'B1.4'!AG143+'B1.5'!AG143+'B1.6'!AG143+'B1.7'!AG143+'B1.8'!AG143+'B1.9'!AG143+'B1.10'!AG143+'B1.11'!AG143+'B1.12'!AG143</f>
        <v>5.3021419224550195E-4</v>
      </c>
      <c r="AH109" s="1243">
        <f>'B1.1'!AH143+'B1.2'!AH143+'B1.3'!AH143+'B1.4'!AH143+'B1.5'!AH143+'B1.6'!AH143+'B1.7'!AH143+'B1.8'!AH143+'B1.9'!AH143+'B1.10'!AH143+'B1.11'!AH143+'B1.12'!AH143</f>
        <v>5.5164192683764164E-4</v>
      </c>
      <c r="AI109" s="1243">
        <f>'B1.1'!AI143+'B1.2'!AI143+'B1.3'!AI143+'B1.4'!AI143+'B1.5'!AI143+'B1.6'!AI143+'B1.7'!AI143+'B1.8'!AI143+'B1.9'!AI143+'B1.10'!AI143+'B1.11'!AI143+'B1.12'!AI143</f>
        <v>5.7393562808338383E-4</v>
      </c>
      <c r="AJ109" s="1243">
        <f>'B1.1'!AJ143+'B1.2'!AJ143+'B1.3'!AJ143+'B1.4'!AJ143+'B1.5'!AJ143+'B1.6'!AJ143+'B1.7'!AJ143+'B1.8'!AJ143+'B1.9'!AJ143+'B1.10'!AJ143+'B1.11'!AJ143+'B1.12'!AJ143</f>
        <v>5.9713029260087004E-4</v>
      </c>
      <c r="AK109" s="1243">
        <f>'B1.1'!AK143+'B1.2'!AK143+'B1.3'!AK143+'B1.4'!AK143+'B1.5'!AK143+'B1.6'!AK143+'B1.7'!AK143+'B1.8'!AK143+'B1.9'!AK143+'B1.10'!AK143+'B1.11'!AK143+'B1.12'!AK143</f>
        <v>6.2126233133900672E-4</v>
      </c>
    </row>
    <row r="110" spans="2:37">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row>
    <row r="111" spans="2:37">
      <c r="B111" s="587" t="s">
        <v>819</v>
      </c>
      <c r="C111" s="588" t="s">
        <v>295</v>
      </c>
      <c r="D111" s="589">
        <f>'B1.1'!D200+'B1.2'!D200+'B1.3'!D200+'B1.4'!D200+'B1.5'!D200+'B1.6'!D200+'B1.7'!D200+'B1.8'!D200+'B1.9'!D200+'B1.10'!D200+'B1.11'!D200+'B1.12'!D200</f>
        <v>0</v>
      </c>
      <c r="E111" s="589">
        <f>'B1.1'!E200+'B1.2'!E200+'B1.3'!E200+'B1.4'!E200+'B1.5'!E200+'B1.6'!E200+'B1.7'!E200+'B1.8'!E200+'B1.9'!E200+'B1.10'!E200+'B1.11'!E200+'B1.12'!E200</f>
        <v>0</v>
      </c>
      <c r="F111" s="589">
        <f>'B1.1'!F200+'B1.2'!F200+'B1.3'!F200+'B1.4'!F200+'B1.5'!F200+'B1.6'!F200+'B1.7'!F200+'B1.8'!F200+'B1.9'!F200+'B1.10'!F200+'B1.11'!F200+'B1.12'!F200</f>
        <v>0</v>
      </c>
      <c r="G111" s="589">
        <f>'B1.1'!G200+'B1.2'!G200+'B1.3'!G200+'B1.4'!G200+'B1.5'!G200+'B1.6'!G200+'B1.7'!G200+'B1.8'!G200+'B1.9'!G200+'B1.10'!G200+'B1.11'!G200+'B1.12'!G200</f>
        <v>0</v>
      </c>
      <c r="H111" s="589">
        <f>'B1.1'!H200+'B1.2'!H200+'B1.3'!H200+'B1.4'!H200+'B1.5'!H200+'B1.6'!H200+'B1.7'!H200+'B1.8'!H200+'B1.9'!H200+'B1.10'!H200+'B1.11'!H200+'B1.12'!H200</f>
        <v>11192.034103032629</v>
      </c>
      <c r="I111" s="589">
        <f>'B1.1'!I200+'B1.2'!I200+'B1.3'!I200+'B1.4'!I200+'B1.5'!I200+'B1.6'!I200+'B1.7'!I200+'B1.8'!I200+'B1.9'!I200+'B1.10'!I200+'B1.11'!I200+'B1.12'!I200</f>
        <v>11644.341754946487</v>
      </c>
      <c r="J111" s="589">
        <f>'B1.1'!J200+'B1.2'!J200+'B1.3'!J200+'B1.4'!J200+'B1.5'!J200+'B1.6'!J200+'B1.7'!J200+'B1.8'!J200+'B1.9'!J200+'B1.10'!J200+'B1.11'!J200+'B1.12'!J200</f>
        <v>12114.928676749661</v>
      </c>
      <c r="K111" s="589">
        <f>'B1.1'!K200+'B1.2'!K200+'B1.3'!K200+'B1.4'!K200+'B1.5'!K200+'B1.6'!K200+'B1.7'!K200+'B1.8'!K200+'B1.9'!K200+'B1.10'!K200+'B1.11'!K200+'B1.12'!K200</f>
        <v>12604.533595072748</v>
      </c>
      <c r="L111" s="589">
        <f>'B1.1'!L200+'B1.2'!L200+'B1.3'!L200+'B1.4'!L200+'B1.5'!L200+'B1.6'!L200+'B1.7'!L200+'B1.8'!L200+'B1.9'!L200+'B1.10'!L200+'B1.11'!L200+'B1.12'!L200</f>
        <v>13113.9250909682</v>
      </c>
      <c r="M111" s="589">
        <f>'B1.1'!M200+'B1.2'!M200+'B1.3'!M200+'B1.4'!M200+'B1.5'!M200+'B1.6'!M200+'B1.7'!M200+'B1.8'!M200+'B1.9'!M200+'B1.10'!M200+'B1.11'!M200+'B1.12'!M200</f>
        <v>13643.902806427701</v>
      </c>
      <c r="N111" s="589">
        <f>'B1.1'!N200+'B1.2'!N200+'B1.3'!N200+'B1.4'!N200+'B1.5'!N200+'B1.6'!N200+'B1.7'!N200+'B1.8'!N200+'B1.9'!N200+'B1.10'!N200+'B1.11'!N200+'B1.12'!N200</f>
        <v>14195.298699658942</v>
      </c>
      <c r="O111" s="589">
        <f>'B1.1'!O200+'B1.2'!O200+'B1.3'!O200+'B1.4'!O200+'B1.5'!O200+'B1.6'!O200+'B1.7'!O200+'B1.8'!O200+'B1.9'!O200+'B1.10'!O200+'B1.11'!O200+'B1.12'!O200</f>
        <v>14768.978351092346</v>
      </c>
      <c r="P111" s="589">
        <f>'B1.1'!P200+'B1.2'!P200+'B1.3'!P200+'B1.4'!P200+'B1.5'!P200+'B1.6'!P200+'B1.7'!P200+'B1.8'!P200+'B1.9'!P200+'B1.10'!P200+'B1.11'!P200+'B1.12'!P200</f>
        <v>15365.842322167908</v>
      </c>
      <c r="Q111" s="589">
        <f>'B1.1'!Q200+'B1.2'!Q200+'B1.3'!Q200+'B1.4'!Q200+'B1.5'!Q200+'B1.6'!Q200+'B1.7'!Q200+'B1.8'!Q200+'B1.9'!Q200+'B1.10'!Q200+'B1.11'!Q200+'B1.12'!Q200</f>
        <v>15986.827569035155</v>
      </c>
      <c r="R111" s="589">
        <f>'B1.1'!R200+'B1.2'!R200+'B1.3'!R200+'B1.4'!R200+'B1.5'!R200+'B1.6'!R200+'B1.7'!R200+'B1.8'!R200+'B1.9'!R200+'B1.10'!R200+'B1.11'!R200+'B1.12'!R200</f>
        <v>16632.908913385472</v>
      </c>
      <c r="S111" s="589">
        <f>'B1.1'!S200+'B1.2'!S200+'B1.3'!S200+'B1.4'!S200+'B1.5'!S200+'B1.6'!S200+'B1.7'!S200+'B1.8'!S200+'B1.9'!S200+'B1.10'!S200+'B1.11'!S200+'B1.12'!S200</f>
        <v>17305.100572725751</v>
      </c>
      <c r="T111" s="589">
        <f>'B1.1'!T200+'B1.2'!T200+'B1.3'!T200+'B1.4'!T200+'B1.5'!T200+'B1.6'!T200+'B1.7'!T200+'B1.8'!T200+'B1.9'!T200+'B1.10'!T200+'B1.11'!T200+'B1.12'!T200</f>
        <v>18004.457752495411</v>
      </c>
      <c r="U111" s="589">
        <f>'B1.1'!U200+'B1.2'!U200+'B1.3'!U200+'B1.4'!U200+'B1.5'!U200+'B1.6'!U200+'B1.7'!U200+'B1.8'!U200+'B1.9'!U200+'B1.10'!U200+'B1.11'!U200+'B1.12'!U200</f>
        <v>18732.078302526326</v>
      </c>
      <c r="V111" s="589">
        <f>'B1.1'!V200+'B1.2'!V200+'B1.3'!V200+'B1.4'!V200+'B1.5'!V200+'B1.6'!V200+'B1.7'!V200+'B1.8'!V200+'B1.9'!V200+'B1.10'!V200+'B1.11'!V200+'B1.12'!V200</f>
        <v>19489.104440445837</v>
      </c>
      <c r="W111" s="589">
        <f>'B1.1'!W200+'B1.2'!W200+'B1.3'!W200+'B1.4'!W200+'B1.5'!W200+'B1.6'!W200+'B1.7'!W200+'B1.8'!W200+'B1.9'!W200+'B1.10'!W200+'B1.11'!W200+'B1.12'!W200</f>
        <v>20276.724544728175</v>
      </c>
      <c r="X111" s="589">
        <f>'B1.1'!X200+'B1.2'!X200+'B1.3'!X200+'B1.4'!X200+'B1.5'!X200+'B1.6'!X200+'B1.7'!X200+'B1.8'!X200+'B1.9'!X200+'B1.10'!X200+'B1.11'!X200+'B1.12'!X200</f>
        <v>21096.175020209204</v>
      </c>
      <c r="Y111" s="589">
        <f>'B1.1'!Y200+'B1.2'!Y200+'B1.3'!Y200+'B1.4'!Y200+'B1.5'!Y200+'B1.6'!Y200+'B1.7'!Y200+'B1.8'!Y200+'B1.9'!Y200+'B1.10'!Y200+'B1.11'!Y200+'B1.12'!Y200</f>
        <v>21948.742238992883</v>
      </c>
      <c r="Z111" s="589">
        <f>'B1.1'!Z200+'B1.2'!Z200+'B1.3'!Z200+'B1.4'!Z200+'B1.5'!Z200+'B1.6'!Z200+'B1.7'!Z200+'B1.8'!Z200+'B1.9'!Z200+'B1.10'!Z200+'B1.11'!Z200+'B1.12'!Z200</f>
        <v>22835.764559796149</v>
      </c>
      <c r="AA111" s="589">
        <f>'B1.1'!AA200+'B1.2'!AA200+'B1.3'!AA200+'B1.4'!AA200+'B1.5'!AA200+'B1.6'!AA200+'B1.7'!AA200+'B1.8'!AA200+'B1.9'!AA200+'B1.10'!AA200+'B1.11'!AA200+'B1.12'!AA200</f>
        <v>23758.634428902467</v>
      </c>
      <c r="AB111" s="589">
        <f>'B1.1'!AB200+'B1.2'!AB200+'B1.3'!AB200+'B1.4'!AB200+'B1.5'!AB200+'B1.6'!AB200+'B1.7'!AB200+'B1.8'!AB200+'B1.9'!AB200+'B1.10'!AB200+'B1.11'!AB200+'B1.12'!AB200</f>
        <v>24718.800566021793</v>
      </c>
      <c r="AC111" s="589">
        <f>'B1.1'!AC200+'B1.2'!AC200+'B1.3'!AC200+'B1.4'!AC200+'B1.5'!AC200+'B1.6'!AC200+'B1.7'!AC200+'B1.8'!AC200+'B1.9'!AC200+'B1.10'!AC200+'B1.11'!AC200+'B1.12'!AC200</f>
        <v>25717.770238488622</v>
      </c>
      <c r="AD111" s="589">
        <f>'B1.1'!AD200+'B1.2'!AD200+'B1.3'!AD200+'B1.4'!AD200+'B1.5'!AD200+'B1.6'!AD200+'B1.7'!AD200+'B1.8'!AD200+'B1.9'!AD200+'B1.10'!AD200+'B1.11'!AD200+'B1.12'!AD200</f>
        <v>26757.111627367965</v>
      </c>
      <c r="AE111" s="589">
        <f>'B1.1'!AE200+'B1.2'!AE200+'B1.3'!AE200+'B1.4'!AE200+'B1.5'!AE200+'B1.6'!AE200+'B1.7'!AE200+'B1.8'!AE200+'B1.9'!AE200+'B1.10'!AE200+'B1.11'!AE200+'B1.12'!AE200</f>
        <v>27838.456289183505</v>
      </c>
      <c r="AF111" s="589">
        <f>'B1.1'!AF200+'B1.2'!AF200+'B1.3'!AF200+'B1.4'!AF200+'B1.5'!AF200+'B1.6'!AF200+'B1.7'!AF200+'B1.8'!AF200+'B1.9'!AF200+'B1.10'!AF200+'B1.11'!AF200+'B1.12'!AF200</f>
        <v>28963.501717132593</v>
      </c>
      <c r="AG111" s="589">
        <f>'B1.1'!AG200+'B1.2'!AG200+'B1.3'!AG200+'B1.4'!AG200+'B1.5'!AG200+'B1.6'!AG200+'B1.7'!AG200+'B1.8'!AG200+'B1.9'!AG200+'B1.10'!AG200+'B1.11'!AG200+'B1.12'!AG200</f>
        <v>30134.014005808476</v>
      </c>
      <c r="AH111" s="589">
        <f>'B1.1'!AH200+'B1.2'!AH200+'B1.3'!AH200+'B1.4'!AH200+'B1.5'!AH200+'B1.6'!AH200+'B1.7'!AH200+'B1.8'!AH200+'B1.9'!AH200+'B1.10'!AH200+'B1.11'!AH200+'B1.12'!AH200</f>
        <v>31351.830623612859</v>
      </c>
      <c r="AI111" s="589">
        <f>'B1.1'!AI200+'B1.2'!AI200+'B1.3'!AI200+'B1.4'!AI200+'B1.5'!AI200+'B1.6'!AI200+'B1.7'!AI200+'B1.8'!AI200+'B1.9'!AI200+'B1.10'!AI200+'B1.11'!AI200+'B1.12'!AI200</f>
        <v>32618.863297211028</v>
      </c>
      <c r="AJ111" s="589">
        <f>'B1.1'!AJ200+'B1.2'!AJ200+'B1.3'!AJ200+'B1.4'!AJ200+'B1.5'!AJ200+'B1.6'!AJ200+'B1.7'!AJ200+'B1.8'!AJ200+'B1.9'!AJ200+'B1.10'!AJ200+'B1.11'!AJ200+'B1.12'!AJ200</f>
        <v>33937.101012557418</v>
      </c>
      <c r="AK111" s="589">
        <f>'B1.1'!AK200+'B1.2'!AK200+'B1.3'!AK200+'B1.4'!AK200+'B1.5'!AK200+'B1.6'!AK200+'B1.7'!AK200+'B1.8'!AK200+'B1.9'!AK200+'B1.10'!AK200+'B1.11'!AK200+'B1.12'!AK200</f>
        <v>35308.61313720273</v>
      </c>
    </row>
    <row r="112" spans="2:37">
      <c r="B112" s="587" t="s">
        <v>820</v>
      </c>
      <c r="C112" s="588" t="s">
        <v>295</v>
      </c>
      <c r="D112" s="589">
        <f>'B1.1'!D201+'B1.2'!D201+'B1.3'!D201+'B1.4'!D201+'B1.5'!D201+'B1.6'!D201+'B1.7'!D201+'B1.8'!D201+'B1.9'!D201+'B1.10'!D201+'B1.11'!D201+'B1.12'!D201</f>
        <v>0</v>
      </c>
      <c r="E112" s="589">
        <f>'B1.1'!E201+'B1.2'!E201+'B1.3'!E201+'B1.4'!E201+'B1.5'!E201+'B1.6'!E201+'B1.7'!E201+'B1.8'!E201+'B1.9'!E201+'B1.10'!E201+'B1.11'!E201+'B1.12'!E201</f>
        <v>0</v>
      </c>
      <c r="F112" s="589">
        <f>'B1.1'!F201+'B1.2'!F201+'B1.3'!F201+'B1.4'!F201+'B1.5'!F201+'B1.6'!F201+'B1.7'!F201+'B1.8'!F201+'B1.9'!F201+'B1.10'!F201+'B1.11'!F201+'B1.12'!F201</f>
        <v>0</v>
      </c>
      <c r="G112" s="589">
        <f>'B1.1'!G201+'B1.2'!G201+'B1.3'!G201+'B1.4'!G201+'B1.5'!G201+'B1.6'!G201+'B1.7'!G201+'B1.8'!G201+'B1.9'!G201+'B1.10'!G201+'B1.11'!G201+'B1.12'!G201</f>
        <v>0</v>
      </c>
      <c r="H112" s="589">
        <f>'B1.1'!H201+'B1.2'!H201+'B1.3'!H201+'B1.4'!H201+'B1.5'!H201+'B1.6'!H201+'B1.7'!H201+'B1.8'!H201+'B1.9'!H201+'B1.10'!H201+'B1.11'!H201+'B1.12'!H201</f>
        <v>2983.5298641852164</v>
      </c>
      <c r="I112" s="589">
        <f>'B1.1'!I201+'B1.2'!I201+'B1.3'!I201+'B1.4'!I201+'B1.5'!I201+'B1.6'!I201+'B1.7'!I201+'B1.8'!I201+'B1.9'!I201+'B1.10'!I201+'B1.11'!I201+'B1.12'!I201</f>
        <v>3104.1043169487966</v>
      </c>
      <c r="J112" s="589">
        <f>'B1.1'!J201+'B1.2'!J201+'B1.3'!J201+'B1.4'!J201+'B1.5'!J201+'B1.6'!J201+'B1.7'!J201+'B1.8'!J201+'B1.9'!J201+'B1.10'!J201+'B1.11'!J201+'B1.12'!J201</f>
        <v>3229.5515879247073</v>
      </c>
      <c r="K112" s="589">
        <f>'B1.1'!K201+'B1.2'!K201+'B1.3'!K201+'B1.4'!K201+'B1.5'!K201+'B1.6'!K201+'B1.7'!K201+'B1.8'!K201+'B1.9'!K201+'B1.10'!K201+'B1.11'!K201+'B1.12'!K201</f>
        <v>3360.0686040471901</v>
      </c>
      <c r="L112" s="589">
        <f>'B1.1'!L201+'B1.2'!L201+'B1.3'!L201+'B1.4'!L201+'B1.5'!L201+'B1.6'!L201+'B1.7'!L201+'B1.8'!L201+'B1.9'!L201+'B1.10'!L201+'B1.11'!L201+'B1.12'!L201</f>
        <v>3495.8602507286687</v>
      </c>
      <c r="M112" s="589">
        <f>'B1.1'!M201+'B1.2'!M201+'B1.3'!M201+'B1.4'!M201+'B1.5'!M201+'B1.6'!M201+'B1.7'!M201+'B1.8'!M201+'B1.9'!M201+'B1.10'!M201+'B1.11'!M201+'B1.12'!M201</f>
        <v>3637.1396934885533</v>
      </c>
      <c r="N112" s="589">
        <f>'B1.1'!N201+'B1.2'!N201+'B1.3'!N201+'B1.4'!N201+'B1.5'!N201+'B1.6'!N201+'B1.7'!N201+'B1.8'!N201+'B1.9'!N201+'B1.10'!N201+'B1.11'!N201+'B1.12'!N201</f>
        <v>3784.1287125801523</v>
      </c>
      <c r="O112" s="589">
        <f>'B1.1'!O201+'B1.2'!O201+'B1.3'!O201+'B1.4'!O201+'B1.5'!O201+'B1.6'!O201+'B1.7'!O201+'B1.8'!O201+'B1.9'!O201+'B1.10'!O201+'B1.11'!O201+'B1.12'!O201</f>
        <v>3937.0580511409726</v>
      </c>
      <c r="P112" s="589">
        <f>'B1.1'!P201+'B1.2'!P201+'B1.3'!P201+'B1.4'!P201+'B1.5'!P201+'B1.6'!P201+'B1.7'!P201+'B1.8'!P201+'B1.9'!P201+'B1.10'!P201+'B1.11'!P201+'B1.12'!P201</f>
        <v>4096.1677774129466</v>
      </c>
      <c r="Q112" s="589">
        <f>'B1.1'!Q201+'B1.2'!Q201+'B1.3'!Q201+'B1.4'!Q201+'B1.5'!Q201+'B1.6'!Q201+'B1.7'!Q201+'B1.8'!Q201+'B1.9'!Q201+'B1.10'!Q201+'B1.11'!Q201+'B1.12'!Q201</f>
        <v>4261.7076616011873</v>
      </c>
      <c r="R112" s="589">
        <f>'B1.1'!R201+'B1.2'!R201+'B1.3'!R201+'B1.4'!R201+'B1.5'!R201+'B1.6'!R201+'B1.7'!R201+'B1.8'!R201+'B1.9'!R201+'B1.10'!R201+'B1.11'!R201+'B1.12'!R201</f>
        <v>4433.9375679628738</v>
      </c>
      <c r="S112" s="589">
        <f>'B1.1'!S201+'B1.2'!S201+'B1.3'!S201+'B1.4'!S201+'B1.5'!S201+'B1.6'!S201+'B1.7'!S201+'B1.8'!S201+'B1.9'!S201+'B1.10'!S201+'B1.11'!S201+'B1.12'!S201</f>
        <v>4613.1278627417751</v>
      </c>
      <c r="T112" s="589">
        <f>'B1.1'!T201+'B1.2'!T201+'B1.3'!T201+'B1.4'!T201+'B1.5'!T201+'B1.6'!T201+'B1.7'!T201+'B1.8'!T201+'B1.9'!T201+'B1.10'!T201+'B1.11'!T201+'B1.12'!T201</f>
        <v>4799.5598385887533</v>
      </c>
      <c r="U112" s="589">
        <f>'B1.1'!U201+'B1.2'!U201+'B1.3'!U201+'B1.4'!U201+'B1.5'!U201+'B1.6'!U201+'B1.7'!U201+'B1.8'!U201+'B1.9'!U201+'B1.10'!U201+'B1.11'!U201+'B1.12'!U201</f>
        <v>4993.5261561345396</v>
      </c>
      <c r="V112" s="589">
        <f>'B1.1'!V201+'B1.2'!V201+'B1.3'!V201+'B1.4'!V201+'B1.5'!V201+'B1.6'!V201+'B1.7'!V201+'B1.8'!V201+'B1.9'!V201+'B1.10'!V201+'B1.11'!V201+'B1.12'!V201</f>
        <v>5195.331303407962</v>
      </c>
      <c r="W112" s="589">
        <f>'B1.1'!W201+'B1.2'!W201+'B1.3'!W201+'B1.4'!W201+'B1.5'!W201+'B1.6'!W201+'B1.7'!W201+'B1.8'!W201+'B1.9'!W201+'B1.10'!W201+'B1.11'!W201+'B1.12'!W201</f>
        <v>5405.2920738207586</v>
      </c>
      <c r="X112" s="589">
        <f>'B1.1'!X201+'B1.2'!X201+'B1.3'!X201+'B1.4'!X201+'B1.5'!X201+'B1.6'!X201+'B1.7'!X201+'B1.8'!X201+'B1.9'!X201+'B1.10'!X201+'B1.11'!X201+'B1.12'!X201</f>
        <v>5623.7380634694127</v>
      </c>
      <c r="Y112" s="589">
        <f>'B1.1'!Y201+'B1.2'!Y201+'B1.3'!Y201+'B1.4'!Y201+'B1.5'!Y201+'B1.6'!Y201+'B1.7'!Y201+'B1.8'!Y201+'B1.9'!Y201+'B1.10'!Y201+'B1.11'!Y201+'B1.12'!Y201</f>
        <v>5851.0121885345943</v>
      </c>
      <c r="Z112" s="589">
        <f>'B1.1'!Z201+'B1.2'!Z201+'B1.3'!Z201+'B1.4'!Z201+'B1.5'!Z201+'B1.6'!Z201+'B1.7'!Z201+'B1.8'!Z201+'B1.9'!Z201+'B1.10'!Z201+'B1.11'!Z201+'B1.12'!Z201</f>
        <v>6087.471223590459</v>
      </c>
      <c r="AA112" s="589">
        <f>'B1.1'!AA201+'B1.2'!AA201+'B1.3'!AA201+'B1.4'!AA201+'B1.5'!AA201+'B1.6'!AA201+'B1.7'!AA201+'B1.8'!AA201+'B1.9'!AA201+'B1.10'!AA201+'B1.11'!AA201+'B1.12'!AA201</f>
        <v>6333.4863616688308</v>
      </c>
      <c r="AB112" s="589">
        <f>'B1.1'!AB201+'B1.2'!AB201+'B1.3'!AB201+'B1.4'!AB201+'B1.5'!AB201+'B1.6'!AB201+'B1.7'!AB201+'B1.8'!AB201+'B1.9'!AB201+'B1.10'!AB201+'B1.11'!AB201+'B1.12'!AB201</f>
        <v>6589.4437969574365</v>
      </c>
      <c r="AC112" s="589">
        <f>'B1.1'!AC201+'B1.2'!AC201+'B1.3'!AC201+'B1.4'!AC201+'B1.5'!AC201+'B1.6'!AC201+'B1.7'!AC201+'B1.8'!AC201+'B1.9'!AC201+'B1.10'!AC201+'B1.11'!AC201+'B1.12'!AC201</f>
        <v>6855.7453310469846</v>
      </c>
      <c r="AD112" s="589">
        <f>'B1.1'!AD201+'B1.2'!AD201+'B1.3'!AD201+'B1.4'!AD201+'B1.5'!AD201+'B1.6'!AD201+'B1.7'!AD201+'B1.8'!AD201+'B1.9'!AD201+'B1.10'!AD201+'B1.11'!AD201+'B1.12'!AD201</f>
        <v>7132.809003678668</v>
      </c>
      <c r="AE112" s="589">
        <f>'B1.1'!AE201+'B1.2'!AE201+'B1.3'!AE201+'B1.4'!AE201+'B1.5'!AE201+'B1.6'!AE201+'B1.7'!AE201+'B1.8'!AE201+'B1.9'!AE201+'B1.10'!AE201+'B1.11'!AE201+'B1.12'!AE201</f>
        <v>7421.0697489823051</v>
      </c>
      <c r="AF112" s="589">
        <f>'B1.1'!AF201+'B1.2'!AF201+'B1.3'!AF201+'B1.4'!AF201+'B1.5'!AF201+'B1.6'!AF201+'B1.7'!AF201+'B1.8'!AF201+'B1.9'!AF201+'B1.10'!AF201+'B1.11'!AF201+'B1.12'!AF201</f>
        <v>7720.9800782352895</v>
      </c>
      <c r="AG112" s="589">
        <f>'B1.1'!AG201+'B1.2'!AG201+'B1.3'!AG201+'B1.4'!AG201+'B1.5'!AG201+'B1.6'!AG201+'B1.7'!AG201+'B1.8'!AG201+'B1.9'!AG201+'B1.10'!AG201+'B1.11'!AG201+'B1.12'!AG201</f>
        <v>8033.0107902140899</v>
      </c>
      <c r="AH112" s="589">
        <f>'B1.1'!AH201+'B1.2'!AH201+'B1.3'!AH201+'B1.4'!AH201+'B1.5'!AH201+'B1.6'!AH201+'B1.7'!AH201+'B1.8'!AH201+'B1.9'!AH201+'B1.10'!AH201+'B1.11'!AH201+'B1.12'!AH201</f>
        <v>8357.6517102534472</v>
      </c>
      <c r="AI112" s="589">
        <f>'B1.1'!AI201+'B1.2'!AI201+'B1.3'!AI201+'B1.4'!AI201+'B1.5'!AI201+'B1.6'!AI201+'B1.7'!AI201+'B1.8'!AI201+'B1.9'!AI201+'B1.10'!AI201+'B1.11'!AI201+'B1.12'!AI201</f>
        <v>8695.412459173458</v>
      </c>
      <c r="AJ112" s="589">
        <f>'B1.1'!AJ201+'B1.2'!AJ201+'B1.3'!AJ201+'B1.4'!AJ201+'B1.5'!AJ201+'B1.6'!AJ201+'B1.7'!AJ201+'B1.8'!AJ201+'B1.9'!AJ201+'B1.10'!AJ201+'B1.11'!AJ201+'B1.12'!AJ201</f>
        <v>9046.8232532815218</v>
      </c>
      <c r="AK112" s="589">
        <f>'B1.1'!AK201+'B1.2'!AK201+'B1.3'!AK201+'B1.4'!AK201+'B1.5'!AK201+'B1.6'!AK201+'B1.7'!AK201+'B1.8'!AK201+'B1.9'!AK201+'B1.10'!AK201+'B1.11'!AK201+'B1.12'!AK201</f>
        <v>9412.4357367051252</v>
      </c>
    </row>
    <row r="113" spans="2:37">
      <c r="B113" s="587" t="s">
        <v>821</v>
      </c>
      <c r="C113" s="588" t="s">
        <v>479</v>
      </c>
      <c r="D113" s="589">
        <f>'B1.1'!D202+'B1.2'!D202+'B1.3'!D202+'B1.4'!D202+'B1.5'!D202+'B1.6'!D202+'B1.7'!D202+'B1.8'!D202+'B1.9'!D202+'B1.10'!D202+'B1.11'!D202+'B1.12'!D202</f>
        <v>0</v>
      </c>
      <c r="E113" s="589">
        <f>'B1.1'!E202+'B1.2'!E202+'B1.3'!E202+'B1.4'!E202+'B1.5'!E202+'B1.6'!E202+'B1.7'!E202+'B1.8'!E202+'B1.9'!E202+'B1.10'!E202+'B1.11'!E202+'B1.12'!E202</f>
        <v>0</v>
      </c>
      <c r="F113" s="589">
        <f>'B1.1'!F202+'B1.2'!F202+'B1.3'!F202+'B1.4'!F202+'B1.5'!F202+'B1.6'!F202+'B1.7'!F202+'B1.8'!F202+'B1.9'!F202+'B1.10'!F202+'B1.11'!F202+'B1.12'!F202</f>
        <v>0</v>
      </c>
      <c r="G113" s="589">
        <f>'B1.1'!G202+'B1.2'!G202+'B1.3'!G202+'B1.4'!G202+'B1.5'!G202+'B1.6'!G202+'B1.7'!G202+'B1.8'!G202+'B1.9'!G202+'B1.10'!G202+'B1.11'!G202+'B1.12'!G202</f>
        <v>0</v>
      </c>
      <c r="H113" s="589">
        <f>'B1.1'!H202+'B1.2'!H202+'B1.3'!H202+'B1.4'!H202+'B1.5'!H202+'B1.6'!H202+'B1.7'!H202+'B1.8'!H202+'B1.9'!H202+'B1.10'!H202+'B1.11'!H202+'B1.12'!H202</f>
        <v>432.26998207137387</v>
      </c>
      <c r="I113" s="589">
        <f>'B1.1'!I202+'B1.2'!I202+'B1.3'!I202+'B1.4'!I202+'B1.5'!I202+'B1.6'!I202+'B1.7'!I202+'B1.8'!I202+'B1.9'!I202+'B1.10'!I202+'B1.11'!I202+'B1.12'!I202</f>
        <v>449.73946248785819</v>
      </c>
      <c r="J113" s="589">
        <f>'B1.1'!J202+'B1.2'!J202+'B1.3'!J202+'B1.4'!J202+'B1.5'!J202+'B1.6'!J202+'B1.7'!J202+'B1.8'!J202+'B1.9'!J202+'B1.10'!J202+'B1.11'!J202+'B1.12'!J202</f>
        <v>467.91494322515859</v>
      </c>
      <c r="K113" s="589">
        <f>'B1.1'!K202+'B1.2'!K202+'B1.3'!K202+'B1.4'!K202+'B1.5'!K202+'B1.6'!K202+'B1.7'!K202+'B1.8'!K202+'B1.9'!K202+'B1.10'!K202+'B1.11'!K202+'B1.12'!K202</f>
        <v>486.8249561251576</v>
      </c>
      <c r="L113" s="589">
        <f>'B1.1'!L202+'B1.2'!L202+'B1.3'!L202+'B1.4'!L202+'B1.5'!L202+'B1.6'!L202+'B1.7'!L202+'B1.8'!L202+'B1.9'!L202+'B1.10'!L202+'B1.11'!L202+'B1.12'!L202</f>
        <v>506.49918609720299</v>
      </c>
      <c r="M113" s="589">
        <f>'B1.1'!M202+'B1.2'!M202+'B1.3'!M202+'B1.4'!M202+'B1.5'!M202+'B1.6'!M202+'B1.7'!M202+'B1.8'!M202+'B1.9'!M202+'B1.10'!M202+'B1.11'!M202+'B1.12'!M202</f>
        <v>526.96851771743411</v>
      </c>
      <c r="N113" s="589">
        <f>'B1.1'!N202+'B1.2'!N202+'B1.3'!N202+'B1.4'!N202+'B1.5'!N202+'B1.6'!N202+'B1.7'!N202+'B1.8'!N202+'B1.9'!N202+'B1.10'!N202+'B1.11'!N202+'B1.12'!N202</f>
        <v>548.26508371134139</v>
      </c>
      <c r="O113" s="589">
        <f>'B1.1'!O202+'B1.2'!O202+'B1.3'!O202+'B1.4'!O202+'B1.5'!O202+'B1.6'!O202+'B1.7'!O202+'B1.8'!O202+'B1.9'!O202+'B1.10'!O202+'B1.11'!O202+'B1.12'!O202</f>
        <v>570.42231539567206</v>
      </c>
      <c r="P113" s="589">
        <f>'B1.1'!P202+'B1.2'!P202+'B1.3'!P202+'B1.4'!P202+'B1.5'!P202+'B1.6'!P202+'B1.7'!P202+'B1.8'!P202+'B1.9'!P202+'B1.10'!P202+'B1.11'!P202+'B1.12'!P202</f>
        <v>593.47499515885943</v>
      </c>
      <c r="Q113" s="589">
        <f>'B1.1'!Q202+'B1.2'!Q202+'B1.3'!Q202+'B1.4'!Q202+'B1.5'!Q202+'B1.6'!Q202+'B1.7'!Q202+'B1.8'!Q202+'B1.9'!Q202+'B1.10'!Q202+'B1.11'!Q202+'B1.12'!Q202</f>
        <v>617.45931106236071</v>
      </c>
      <c r="R113" s="589">
        <f>'B1.1'!R202+'B1.2'!R202+'B1.3'!R202+'B1.4'!R202+'B1.5'!R202+'B1.6'!R202+'B1.7'!R202+'B1.8'!R202+'B1.9'!R202+'B1.10'!R202+'B1.11'!R202+'B1.12'!R202</f>
        <v>642.41291364862241</v>
      </c>
      <c r="S113" s="589">
        <f>'B1.1'!S202+'B1.2'!S202+'B1.3'!S202+'B1.4'!S202+'B1.5'!S202+'B1.6'!S202+'B1.7'!S202+'B1.8'!S202+'B1.9'!S202+'B1.10'!S202+'B1.11'!S202+'B1.12'!S202</f>
        <v>668.37497504484497</v>
      </c>
      <c r="T113" s="589">
        <f>'B1.1'!T202+'B1.2'!T202+'B1.3'!T202+'B1.4'!T202+'B1.5'!T202+'B1.6'!T202+'B1.7'!T202+'B1.8'!T202+'B1.9'!T202+'B1.10'!T202+'B1.11'!T202+'B1.12'!T202</f>
        <v>695.38625045532604</v>
      </c>
      <c r="U113" s="589">
        <f>'B1.1'!U202+'B1.2'!U202+'B1.3'!U202+'B1.4'!U202+'B1.5'!U202+'B1.6'!U202+'B1.7'!U202+'B1.8'!U202+'B1.9'!U202+'B1.10'!U202+'B1.11'!U202+'B1.12'!U202</f>
        <v>723.48914213892158</v>
      </c>
      <c r="V113" s="589">
        <f>'B1.1'!V202+'B1.2'!V202+'B1.3'!V202+'B1.4'!V202+'B1.5'!V202+'B1.6'!V202+'B1.7'!V202+'B1.8'!V202+'B1.9'!V202+'B1.10'!V202+'B1.11'!V202+'B1.12'!V202</f>
        <v>752.72776597204222</v>
      </c>
      <c r="W113" s="589">
        <f>'B1.1'!W202+'B1.2'!W202+'B1.3'!W202+'B1.4'!W202+'B1.5'!W202+'B1.6'!W202+'B1.7'!W202+'B1.8'!W202+'B1.9'!W202+'B1.10'!W202+'B1.11'!W202+'B1.12'!W202</f>
        <v>783.14802070169219</v>
      </c>
      <c r="X113" s="589">
        <f>'B1.1'!X202+'B1.2'!X202+'B1.3'!X202+'B1.4'!X202+'B1.5'!X202+'B1.6'!X202+'B1.7'!X202+'B1.8'!X202+'B1.9'!X202+'B1.10'!X202+'B1.11'!X202+'B1.12'!X202</f>
        <v>814.79765999724987</v>
      </c>
      <c r="Y113" s="589">
        <f>'B1.1'!Y202+'B1.2'!Y202+'B1.3'!Y202+'B1.4'!Y202+'B1.5'!Y202+'B1.6'!Y202+'B1.7'!Y202+'B1.8'!Y202+'B1.9'!Y202+'B1.10'!Y202+'B1.11'!Y202+'B1.12'!Y202</f>
        <v>847.7263674141077</v>
      </c>
      <c r="Z113" s="589">
        <f>'B1.1'!Z202+'B1.2'!Z202+'B1.3'!Z202+'B1.4'!Z202+'B1.5'!Z202+'B1.6'!Z202+'B1.7'!Z202+'B1.8'!Z202+'B1.9'!Z202+'B1.10'!Z202+'B1.11'!Z202+'B1.12'!Z202</f>
        <v>881.98583438684</v>
      </c>
      <c r="AA113" s="589">
        <f>'B1.1'!AA202+'B1.2'!AA202+'B1.3'!AA202+'B1.4'!AA202+'B1.5'!AA202+'B1.6'!AA202+'B1.7'!AA202+'B1.8'!AA202+'B1.9'!AA202+'B1.10'!AA202+'B1.11'!AA202+'B1.12'!AA202</f>
        <v>917.62984137433705</v>
      </c>
      <c r="AB113" s="589">
        <f>'B1.1'!AB202+'B1.2'!AB202+'B1.3'!AB202+'B1.4'!AB202+'B1.5'!AB202+'B1.6'!AB202+'B1.7'!AB202+'B1.8'!AB202+'B1.9'!AB202+'B1.10'!AB202+'B1.11'!AB202+'B1.12'!AB202</f>
        <v>954.71434228428723</v>
      </c>
      <c r="AC113" s="589">
        <f>'B1.1'!AC202+'B1.2'!AC202+'B1.3'!AC202+'B1.4'!AC202+'B1.5'!AC202+'B1.6'!AC202+'B1.7'!AC202+'B1.8'!AC202+'B1.9'!AC202+'B1.10'!AC202+'B1.11'!AC202+'B1.12'!AC202</f>
        <v>993.2975523095381</v>
      </c>
      <c r="AD113" s="589">
        <f>'B1.1'!AD202+'B1.2'!AD202+'B1.3'!AD202+'B1.4'!AD202+'B1.5'!AD202+'B1.6'!AD202+'B1.7'!AD202+'B1.8'!AD202+'B1.9'!AD202+'B1.10'!AD202+'B1.11'!AD202+'B1.12'!AD202</f>
        <v>1033.440039314218</v>
      </c>
      <c r="AE113" s="589">
        <f>'B1.1'!AE202+'B1.2'!AE202+'B1.3'!AE202+'B1.4'!AE202+'B1.5'!AE202+'B1.6'!AE202+'B1.7'!AE202+'B1.8'!AE202+'B1.9'!AE202+'B1.10'!AE202+'B1.11'!AE202+'B1.12'!AE202</f>
        <v>1075.2048189130687</v>
      </c>
      <c r="AF113" s="589">
        <f>'B1.1'!AF202+'B1.2'!AF202+'B1.3'!AF202+'B1.4'!AF202+'B1.5'!AF202+'B1.6'!AF202+'B1.7'!AF202+'B1.8'!AF202+'B1.9'!AF202+'B1.10'!AF202+'B1.11'!AF202+'B1.12'!AF202</f>
        <v>1118.6574533932703</v>
      </c>
      <c r="AG113" s="589">
        <f>'B1.1'!AG202+'B1.2'!AG202+'B1.3'!AG202+'B1.4'!AG202+'B1.5'!AG202+'B1.6'!AG202+'B1.7'!AG202+'B1.8'!AG202+'B1.9'!AG202+'B1.10'!AG202+'B1.11'!AG202+'B1.12'!AG202</f>
        <v>1163.8661546340177</v>
      </c>
      <c r="AH113" s="589">
        <f>'B1.1'!AH202+'B1.2'!AH202+'B1.3'!AH202+'B1.4'!AH202+'B1.5'!AH202+'B1.6'!AH202+'B1.7'!AH202+'B1.8'!AH202+'B1.9'!AH202+'B1.10'!AH202+'B1.11'!AH202+'B1.12'!AH202</f>
        <v>1210.9018911854173</v>
      </c>
      <c r="AI113" s="589">
        <f>'B1.1'!AI202+'B1.2'!AI202+'B1.3'!AI202+'B1.4'!AI202+'B1.5'!AI202+'B1.6'!AI202+'B1.7'!AI202+'B1.8'!AI202+'B1.9'!AI202+'B1.10'!AI202+'B1.11'!AI202+'B1.12'!AI202</f>
        <v>1259.8384996748166</v>
      </c>
      <c r="AJ113" s="589">
        <f>'B1.1'!AJ202+'B1.2'!AJ202+'B1.3'!AJ202+'B1.4'!AJ202+'B1.5'!AJ202+'B1.6'!AJ202+'B1.7'!AJ202+'B1.8'!AJ202+'B1.9'!AJ202+'B1.10'!AJ202+'B1.11'!AJ202+'B1.12'!AJ202</f>
        <v>1310.7528007154283</v>
      </c>
      <c r="AK113" s="589">
        <f>'B1.1'!AK202+'B1.2'!AK202+'B1.3'!AK202+'B1.4'!AK202+'B1.5'!AK202+'B1.6'!AK202+'B1.7'!AK202+'B1.8'!AK202+'B1.9'!AK202+'B1.10'!AK202+'B1.11'!AK202+'B1.12'!AK202</f>
        <v>1363.7247194992053</v>
      </c>
    </row>
    <row r="115" spans="2:37">
      <c r="B115" s="1370" t="s">
        <v>808</v>
      </c>
      <c r="C115" s="1371" t="s">
        <v>830</v>
      </c>
      <c r="D115" s="1371"/>
    </row>
    <row r="116" spans="2:37">
      <c r="B116" s="1370"/>
      <c r="C116" s="597" t="s">
        <v>449</v>
      </c>
      <c r="D116" s="597" t="s">
        <v>8</v>
      </c>
    </row>
    <row r="117" spans="2:37">
      <c r="B117" s="587" t="s">
        <v>824</v>
      </c>
      <c r="C117" s="588" t="s">
        <v>831</v>
      </c>
      <c r="D117" s="593">
        <f>SUM(D99:AK99)</f>
        <v>0.13296704587055219</v>
      </c>
    </row>
    <row r="118" spans="2:37">
      <c r="B118" s="587" t="s">
        <v>825</v>
      </c>
      <c r="C118" s="588" t="s">
        <v>832</v>
      </c>
      <c r="D118" s="593">
        <f>SUM(D100:AK100)</f>
        <v>2.3093835026299749</v>
      </c>
    </row>
    <row r="119" spans="2:37">
      <c r="B119" s="587" t="s">
        <v>822</v>
      </c>
      <c r="C119" s="588" t="s">
        <v>833</v>
      </c>
      <c r="D119" s="593">
        <f>SUM(D101:AK101)</f>
        <v>11.396029474526829</v>
      </c>
    </row>
    <row r="121" spans="2:37">
      <c r="B121" s="587" t="s">
        <v>809</v>
      </c>
      <c r="C121" s="588" t="s">
        <v>834</v>
      </c>
      <c r="D121" s="594">
        <f>SUM(D103:AK103)</f>
        <v>1137892.312572004</v>
      </c>
    </row>
    <row r="122" spans="2:37">
      <c r="B122" s="587" t="s">
        <v>811</v>
      </c>
      <c r="C122" s="588" t="s">
        <v>834</v>
      </c>
      <c r="D122" s="594">
        <f>SUM(D104:AK104)</f>
        <v>707591.76220607746</v>
      </c>
    </row>
    <row r="124" spans="2:37">
      <c r="B124" s="587" t="s">
        <v>826</v>
      </c>
      <c r="C124" s="588" t="s">
        <v>835</v>
      </c>
      <c r="D124" s="595">
        <f>SUM(D106:AK106)</f>
        <v>1613.0279387778169</v>
      </c>
    </row>
    <row r="125" spans="2:37">
      <c r="B125" s="587" t="s">
        <v>827</v>
      </c>
      <c r="C125" s="588" t="s">
        <v>835</v>
      </c>
      <c r="D125" s="1244">
        <f>SUM(D107:AK107)</f>
        <v>1.1174421399310754</v>
      </c>
    </row>
    <row r="126" spans="2:37">
      <c r="B126" s="587" t="s">
        <v>828</v>
      </c>
      <c r="C126" s="588" t="s">
        <v>835</v>
      </c>
      <c r="D126" s="1244">
        <f t="shared" ref="D126:D127" si="137">SUM(D108:AK108)</f>
        <v>4.00562450100614E-2</v>
      </c>
    </row>
    <row r="127" spans="2:37">
      <c r="B127" s="587" t="s">
        <v>829</v>
      </c>
      <c r="C127" s="588" t="s">
        <v>835</v>
      </c>
      <c r="D127" s="1244">
        <f t="shared" si="137"/>
        <v>1.2510436717096562E-2</v>
      </c>
    </row>
    <row r="129" spans="2:4">
      <c r="B129" s="587" t="s">
        <v>819</v>
      </c>
      <c r="C129" s="588" t="s">
        <v>836</v>
      </c>
      <c r="D129" s="594">
        <f>SUM(D111:AK111)</f>
        <v>632056.36625794636</v>
      </c>
    </row>
    <row r="130" spans="2:4">
      <c r="B130" s="587" t="s">
        <v>820</v>
      </c>
      <c r="C130" s="588" t="s">
        <v>836</v>
      </c>
      <c r="D130" s="594">
        <f>SUM(D112:AK112)</f>
        <v>168491.18106850664</v>
      </c>
    </row>
    <row r="131" spans="2:4">
      <c r="B131" s="587" t="s">
        <v>821</v>
      </c>
      <c r="C131" s="588" t="s">
        <v>837</v>
      </c>
      <c r="D131" s="594">
        <f>SUM(D113:AK113)</f>
        <v>24411.915796109672</v>
      </c>
    </row>
    <row r="153" spans="3:11">
      <c r="C153" s="1260"/>
      <c r="D153" s="1260"/>
      <c r="E153" s="1260"/>
      <c r="F153" s="1260"/>
      <c r="G153" s="1260"/>
      <c r="H153" s="1260"/>
      <c r="I153" s="1260"/>
      <c r="J153" s="1260"/>
      <c r="K153" s="1260"/>
    </row>
  </sheetData>
  <mergeCells count="6">
    <mergeCell ref="B15:B16"/>
    <mergeCell ref="C15:E15"/>
    <mergeCell ref="I20:J20"/>
    <mergeCell ref="I22:J22"/>
    <mergeCell ref="B115:B116"/>
    <mergeCell ref="C115:D115"/>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4" tint="-0.249977111117893"/>
  </sheetPr>
  <dimension ref="A1:AK13"/>
  <sheetViews>
    <sheetView showGridLines="0" workbookViewId="0">
      <selection activeCell="B1" sqref="B1"/>
    </sheetView>
  </sheetViews>
  <sheetFormatPr defaultColWidth="9" defaultRowHeight="12.5" outlineLevelCol="1"/>
  <cols>
    <col min="1" max="1" width="0.83203125" style="358" customWidth="1"/>
    <col min="2" max="2" width="33.08203125" style="358" customWidth="1"/>
    <col min="3" max="3" width="16.58203125" style="358" customWidth="1"/>
    <col min="4" max="5" width="13.08203125" style="358" customWidth="1"/>
    <col min="6" max="6" width="13.08203125" style="358" hidden="1" customWidth="1"/>
    <col min="7" max="36" width="13.08203125" style="358" hidden="1" customWidth="1" outlineLevel="1"/>
    <col min="37" max="37" width="13.08203125" style="358" customWidth="1" collapsed="1"/>
    <col min="38" max="16384" width="9" style="358"/>
  </cols>
  <sheetData>
    <row r="1" spans="1:37" ht="25">
      <c r="A1" s="356" t="s">
        <v>919</v>
      </c>
      <c r="B1" s="369"/>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row>
    <row r="2" spans="1:37" ht="13">
      <c r="A2" s="389"/>
      <c r="B2" s="36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row>
    <row r="3" spans="1:37" ht="13">
      <c r="A3" s="463"/>
      <c r="B3" s="463"/>
      <c r="C3" s="507" t="s">
        <v>0</v>
      </c>
      <c r="D3" s="508">
        <f>E2</f>
        <v>2021</v>
      </c>
      <c r="E3" s="508">
        <f>D3+1</f>
        <v>2022</v>
      </c>
      <c r="F3" s="508">
        <f t="shared" ref="F3:AK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si="0"/>
        <v>2049</v>
      </c>
      <c r="AG3" s="508">
        <f t="shared" si="0"/>
        <v>2050</v>
      </c>
      <c r="AH3" s="508">
        <f t="shared" si="0"/>
        <v>2051</v>
      </c>
      <c r="AI3" s="508">
        <f t="shared" si="0"/>
        <v>2052</v>
      </c>
      <c r="AJ3" s="508">
        <f t="shared" si="0"/>
        <v>2053</v>
      </c>
      <c r="AK3" s="508">
        <f t="shared" si="0"/>
        <v>2054</v>
      </c>
    </row>
    <row r="5" spans="1:37" ht="13">
      <c r="B5" s="502" t="s">
        <v>924</v>
      </c>
      <c r="C5" s="720">
        <f>'Crossing Inputs'!$C$7</f>
        <v>30</v>
      </c>
    </row>
    <row r="6" spans="1:37" ht="13">
      <c r="B6" s="502" t="s">
        <v>925</v>
      </c>
      <c r="C6" s="720">
        <f>'General Inputs'!$D$41</f>
        <v>40</v>
      </c>
    </row>
    <row r="7" spans="1:37" ht="13">
      <c r="B7" s="364" t="s">
        <v>926</v>
      </c>
      <c r="C7" s="720">
        <f>C6-C5</f>
        <v>10</v>
      </c>
    </row>
    <row r="8" spans="1:37" ht="13">
      <c r="B8" s="364" t="s">
        <v>1287</v>
      </c>
      <c r="C8" s="644">
        <f>'Capital Cost'!C10</f>
        <v>7200099.9856443722</v>
      </c>
    </row>
    <row r="9" spans="1:37" ht="13">
      <c r="B9" s="364" t="s">
        <v>1288</v>
      </c>
      <c r="C9" s="644">
        <f>C8*(C7/C6)</f>
        <v>1800024.996411093</v>
      </c>
    </row>
    <row r="11" spans="1:37" ht="13">
      <c r="B11" s="364" t="s">
        <v>927</v>
      </c>
      <c r="C11" s="644">
        <f>'Capital Cost'!C8</f>
        <v>1820135.1151523446</v>
      </c>
    </row>
    <row r="13" spans="1:37" ht="13">
      <c r="B13" s="492" t="s">
        <v>284</v>
      </c>
      <c r="C13" s="487" t="s">
        <v>292</v>
      </c>
      <c r="D13" s="488">
        <f t="shared" ref="D13:AJ13" si="1">IF(D$3=VRCStudyEnd,$C$11+$C$9,0)</f>
        <v>0</v>
      </c>
      <c r="E13" s="488">
        <f t="shared" si="1"/>
        <v>0</v>
      </c>
      <c r="F13" s="488">
        <f t="shared" si="1"/>
        <v>0</v>
      </c>
      <c r="G13" s="488">
        <f t="shared" si="1"/>
        <v>0</v>
      </c>
      <c r="H13" s="488">
        <f t="shared" si="1"/>
        <v>0</v>
      </c>
      <c r="I13" s="488">
        <f t="shared" si="1"/>
        <v>0</v>
      </c>
      <c r="J13" s="488">
        <f t="shared" si="1"/>
        <v>0</v>
      </c>
      <c r="K13" s="488">
        <f t="shared" si="1"/>
        <v>0</v>
      </c>
      <c r="L13" s="488">
        <f t="shared" si="1"/>
        <v>0</v>
      </c>
      <c r="M13" s="488">
        <f t="shared" si="1"/>
        <v>0</v>
      </c>
      <c r="N13" s="488">
        <f t="shared" si="1"/>
        <v>0</v>
      </c>
      <c r="O13" s="488">
        <f t="shared" si="1"/>
        <v>0</v>
      </c>
      <c r="P13" s="488">
        <f t="shared" si="1"/>
        <v>0</v>
      </c>
      <c r="Q13" s="488">
        <f t="shared" si="1"/>
        <v>0</v>
      </c>
      <c r="R13" s="488">
        <f t="shared" si="1"/>
        <v>0</v>
      </c>
      <c r="S13" s="488">
        <f t="shared" si="1"/>
        <v>0</v>
      </c>
      <c r="T13" s="488">
        <f t="shared" si="1"/>
        <v>0</v>
      </c>
      <c r="U13" s="488">
        <f t="shared" si="1"/>
        <v>0</v>
      </c>
      <c r="V13" s="488">
        <f t="shared" si="1"/>
        <v>0</v>
      </c>
      <c r="W13" s="488">
        <f t="shared" si="1"/>
        <v>0</v>
      </c>
      <c r="X13" s="488">
        <f t="shared" si="1"/>
        <v>0</v>
      </c>
      <c r="Y13" s="488">
        <f t="shared" si="1"/>
        <v>0</v>
      </c>
      <c r="Z13" s="488">
        <f t="shared" si="1"/>
        <v>0</v>
      </c>
      <c r="AA13" s="488">
        <f t="shared" si="1"/>
        <v>0</v>
      </c>
      <c r="AB13" s="488">
        <f t="shared" si="1"/>
        <v>0</v>
      </c>
      <c r="AC13" s="488">
        <f t="shared" si="1"/>
        <v>0</v>
      </c>
      <c r="AD13" s="488">
        <f t="shared" si="1"/>
        <v>0</v>
      </c>
      <c r="AE13" s="488">
        <f t="shared" si="1"/>
        <v>0</v>
      </c>
      <c r="AF13" s="488">
        <f t="shared" si="1"/>
        <v>0</v>
      </c>
      <c r="AG13" s="488">
        <f t="shared" si="1"/>
        <v>0</v>
      </c>
      <c r="AH13" s="488">
        <f t="shared" si="1"/>
        <v>0</v>
      </c>
      <c r="AI13" s="488">
        <f t="shared" si="1"/>
        <v>0</v>
      </c>
      <c r="AJ13" s="488">
        <f t="shared" si="1"/>
        <v>0</v>
      </c>
      <c r="AK13" s="488">
        <f>IF(AK$3=VRCStudyEnd,$C$11+$C$9,0)</f>
        <v>3620160.1115634376</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4" tint="-0.249977111117893"/>
  </sheetPr>
  <dimension ref="A1:AL40"/>
  <sheetViews>
    <sheetView showGridLines="0" topLeftCell="B1" workbookViewId="0">
      <selection activeCell="B1" sqref="B1"/>
    </sheetView>
  </sheetViews>
  <sheetFormatPr defaultRowHeight="14"/>
  <cols>
    <col min="1" max="1" width="0.83203125" customWidth="1"/>
    <col min="2" max="2" width="35.83203125" customWidth="1"/>
    <col min="3" max="3" width="16.58203125" style="246" customWidth="1"/>
    <col min="4" max="37" width="13.08203125" customWidth="1"/>
    <col min="38" max="38" width="13.08203125" style="150" customWidth="1"/>
  </cols>
  <sheetData>
    <row r="1" spans="1:38" ht="25">
      <c r="A1" s="356" t="s">
        <v>935</v>
      </c>
      <c r="B1" s="369"/>
      <c r="C1" s="743"/>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358"/>
      <c r="AL1" s="358"/>
    </row>
    <row r="2" spans="1:38">
      <c r="A2" s="389"/>
      <c r="B2" s="369"/>
      <c r="C2" s="743"/>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358"/>
      <c r="AL2" s="358"/>
    </row>
    <row r="3" spans="1:38">
      <c r="A3" s="463"/>
      <c r="B3" s="463"/>
      <c r="C3" s="744" t="s">
        <v>0</v>
      </c>
      <c r="D3" s="508">
        <f>E2</f>
        <v>2021</v>
      </c>
      <c r="E3" s="508">
        <f>D3+1</f>
        <v>2022</v>
      </c>
      <c r="F3" s="508">
        <f t="shared" ref="F3:AL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si="0"/>
        <v>2049</v>
      </c>
      <c r="AG3" s="508">
        <f t="shared" si="0"/>
        <v>2050</v>
      </c>
      <c r="AH3" s="508">
        <f t="shared" si="0"/>
        <v>2051</v>
      </c>
      <c r="AI3" s="508">
        <f t="shared" si="0"/>
        <v>2052</v>
      </c>
      <c r="AJ3" s="508">
        <f t="shared" si="0"/>
        <v>2053</v>
      </c>
      <c r="AK3" s="508">
        <f t="shared" si="0"/>
        <v>2054</v>
      </c>
      <c r="AL3" s="508">
        <f t="shared" si="0"/>
        <v>2055</v>
      </c>
    </row>
    <row r="4" spans="1:38">
      <c r="A4" s="453"/>
      <c r="B4" s="495" t="s">
        <v>623</v>
      </c>
      <c r="C4" s="745"/>
      <c r="D4" s="454"/>
      <c r="E4" s="379"/>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row>
    <row r="5" spans="1:38">
      <c r="B5" s="358"/>
      <c r="C5" s="367"/>
      <c r="D5" s="366"/>
      <c r="E5" s="366"/>
      <c r="F5" s="366"/>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row>
    <row r="6" spans="1:38" s="150" customFormat="1">
      <c r="B6" s="719" t="s">
        <v>1153</v>
      </c>
      <c r="C6" s="367" t="s">
        <v>292</v>
      </c>
      <c r="D6" s="485">
        <f>'Crossing Inputs'!$C$45</f>
        <v>4079.0857972066028</v>
      </c>
      <c r="E6" s="485">
        <f>'Crossing Inputs'!$C$45</f>
        <v>4079.0857972066028</v>
      </c>
      <c r="F6" s="485">
        <f>'Crossing Inputs'!$C$45</f>
        <v>4079.0857972066028</v>
      </c>
      <c r="G6" s="485">
        <f>'Crossing Inputs'!$C$45</f>
        <v>4079.0857972066028</v>
      </c>
      <c r="H6" s="485">
        <f>'Crossing Inputs'!$C$45</f>
        <v>4079.0857972066028</v>
      </c>
      <c r="I6" s="485">
        <f>'Crossing Inputs'!$C$45</f>
        <v>4079.0857972066028</v>
      </c>
      <c r="J6" s="485">
        <f>'Crossing Inputs'!$C$45</f>
        <v>4079.0857972066028</v>
      </c>
      <c r="K6" s="485">
        <f>'Crossing Inputs'!$C$45</f>
        <v>4079.0857972066028</v>
      </c>
      <c r="L6" s="485">
        <f>'Crossing Inputs'!$C$45</f>
        <v>4079.0857972066028</v>
      </c>
      <c r="M6" s="485">
        <f>'Crossing Inputs'!$C$45</f>
        <v>4079.0857972066028</v>
      </c>
      <c r="N6" s="485">
        <f>'Crossing Inputs'!$C$45</f>
        <v>4079.0857972066028</v>
      </c>
      <c r="O6" s="485">
        <f>'Crossing Inputs'!$C$45</f>
        <v>4079.0857972066028</v>
      </c>
      <c r="P6" s="485">
        <f>'Crossing Inputs'!$C$45</f>
        <v>4079.0857972066028</v>
      </c>
      <c r="Q6" s="485">
        <f>'Crossing Inputs'!$C$45</f>
        <v>4079.0857972066028</v>
      </c>
      <c r="R6" s="485">
        <f>'Crossing Inputs'!$C$45</f>
        <v>4079.0857972066028</v>
      </c>
      <c r="S6" s="485">
        <f>'Crossing Inputs'!$C$45</f>
        <v>4079.0857972066028</v>
      </c>
      <c r="T6" s="485">
        <f>'Crossing Inputs'!$C$45</f>
        <v>4079.0857972066028</v>
      </c>
      <c r="U6" s="485">
        <f>'Crossing Inputs'!$C$45</f>
        <v>4079.0857972066028</v>
      </c>
      <c r="V6" s="485">
        <f>'Crossing Inputs'!$C$45</f>
        <v>4079.0857972066028</v>
      </c>
      <c r="W6" s="485">
        <f>'Crossing Inputs'!$C$45</f>
        <v>4079.0857972066028</v>
      </c>
      <c r="X6" s="485">
        <f>'Crossing Inputs'!$C$45</f>
        <v>4079.0857972066028</v>
      </c>
      <c r="Y6" s="485">
        <f>'Crossing Inputs'!$C$45</f>
        <v>4079.0857972066028</v>
      </c>
      <c r="Z6" s="485">
        <f>'Crossing Inputs'!$C$45</f>
        <v>4079.0857972066028</v>
      </c>
      <c r="AA6" s="485">
        <f>'Crossing Inputs'!$C$45</f>
        <v>4079.0857972066028</v>
      </c>
      <c r="AB6" s="485">
        <f>'Crossing Inputs'!$C$45</f>
        <v>4079.0857972066028</v>
      </c>
      <c r="AC6" s="485">
        <f>'Crossing Inputs'!$C$45</f>
        <v>4079.0857972066028</v>
      </c>
      <c r="AD6" s="485">
        <f>'Crossing Inputs'!$C$45</f>
        <v>4079.0857972066028</v>
      </c>
      <c r="AE6" s="485">
        <f>'Crossing Inputs'!$C$45</f>
        <v>4079.0857972066028</v>
      </c>
      <c r="AF6" s="485">
        <f>'Crossing Inputs'!$C$45</f>
        <v>4079.0857972066028</v>
      </c>
      <c r="AG6" s="485">
        <f>'Crossing Inputs'!$C$45</f>
        <v>4079.0857972066028</v>
      </c>
      <c r="AH6" s="485">
        <f>'Crossing Inputs'!$C$45</f>
        <v>4079.0857972066028</v>
      </c>
      <c r="AI6" s="485">
        <f>'Crossing Inputs'!$C$45</f>
        <v>4079.0857972066028</v>
      </c>
      <c r="AJ6" s="485">
        <f>'Crossing Inputs'!$C$45</f>
        <v>4079.0857972066028</v>
      </c>
      <c r="AK6" s="485">
        <f>'Crossing Inputs'!$C$45</f>
        <v>4079.0857972066028</v>
      </c>
      <c r="AL6" s="485">
        <f>'Crossing Inputs'!$C$45</f>
        <v>4079.0857972066028</v>
      </c>
    </row>
    <row r="7" spans="1:38" s="150" customFormat="1">
      <c r="B7" s="719" t="s">
        <v>1154</v>
      </c>
      <c r="C7" s="367" t="s">
        <v>292</v>
      </c>
      <c r="D7" s="485">
        <f>'Crossing Inputs'!$D$45</f>
        <v>4079.0857972066028</v>
      </c>
      <c r="E7" s="485">
        <f>'Crossing Inputs'!$D$45</f>
        <v>4079.0857972066028</v>
      </c>
      <c r="F7" s="485">
        <f>'Crossing Inputs'!$D$45</f>
        <v>4079.0857972066028</v>
      </c>
      <c r="G7" s="485">
        <f>'Crossing Inputs'!$D$45</f>
        <v>4079.0857972066028</v>
      </c>
      <c r="H7" s="485">
        <f>'Crossing Inputs'!$D$45</f>
        <v>4079.0857972066028</v>
      </c>
      <c r="I7" s="485">
        <f>'Crossing Inputs'!$D$45</f>
        <v>4079.0857972066028</v>
      </c>
      <c r="J7" s="485">
        <f>'Crossing Inputs'!$D$45</f>
        <v>4079.0857972066028</v>
      </c>
      <c r="K7" s="485">
        <f>'Crossing Inputs'!$D$45</f>
        <v>4079.0857972066028</v>
      </c>
      <c r="L7" s="485">
        <f>'Crossing Inputs'!$D$45</f>
        <v>4079.0857972066028</v>
      </c>
      <c r="M7" s="485">
        <f>'Crossing Inputs'!$D$45</f>
        <v>4079.0857972066028</v>
      </c>
      <c r="N7" s="485">
        <f>'Crossing Inputs'!$D$45</f>
        <v>4079.0857972066028</v>
      </c>
      <c r="O7" s="485">
        <f>'Crossing Inputs'!$D$45</f>
        <v>4079.0857972066028</v>
      </c>
      <c r="P7" s="485">
        <f>'Crossing Inputs'!$D$45</f>
        <v>4079.0857972066028</v>
      </c>
      <c r="Q7" s="485">
        <f>'Crossing Inputs'!$D$45</f>
        <v>4079.0857972066028</v>
      </c>
      <c r="R7" s="485">
        <f>'Crossing Inputs'!$D$45</f>
        <v>4079.0857972066028</v>
      </c>
      <c r="S7" s="485">
        <f>'Crossing Inputs'!$D$45</f>
        <v>4079.0857972066028</v>
      </c>
      <c r="T7" s="485">
        <f>'Crossing Inputs'!$D$45</f>
        <v>4079.0857972066028</v>
      </c>
      <c r="U7" s="485">
        <f>'Crossing Inputs'!$D$45</f>
        <v>4079.0857972066028</v>
      </c>
      <c r="V7" s="485">
        <f>'Crossing Inputs'!$D$45</f>
        <v>4079.0857972066028</v>
      </c>
      <c r="W7" s="485">
        <f>'Crossing Inputs'!$D$45</f>
        <v>4079.0857972066028</v>
      </c>
      <c r="X7" s="485">
        <f>'Crossing Inputs'!$D$45</f>
        <v>4079.0857972066028</v>
      </c>
      <c r="Y7" s="485">
        <f>'Crossing Inputs'!$D$45</f>
        <v>4079.0857972066028</v>
      </c>
      <c r="Z7" s="485">
        <f>'Crossing Inputs'!$D$45</f>
        <v>4079.0857972066028</v>
      </c>
      <c r="AA7" s="485">
        <f>'Crossing Inputs'!$D$45</f>
        <v>4079.0857972066028</v>
      </c>
      <c r="AB7" s="485">
        <f>'Crossing Inputs'!$D$45</f>
        <v>4079.0857972066028</v>
      </c>
      <c r="AC7" s="485">
        <f>'Crossing Inputs'!$D$45</f>
        <v>4079.0857972066028</v>
      </c>
      <c r="AD7" s="485">
        <f>'Crossing Inputs'!$D$45</f>
        <v>4079.0857972066028</v>
      </c>
      <c r="AE7" s="485">
        <f>'Crossing Inputs'!$D$45</f>
        <v>4079.0857972066028</v>
      </c>
      <c r="AF7" s="485">
        <f>'Crossing Inputs'!$D$45</f>
        <v>4079.0857972066028</v>
      </c>
      <c r="AG7" s="485">
        <f>'Crossing Inputs'!$D$45</f>
        <v>4079.0857972066028</v>
      </c>
      <c r="AH7" s="485">
        <f>'Crossing Inputs'!$D$45</f>
        <v>4079.0857972066028</v>
      </c>
      <c r="AI7" s="485">
        <f>'Crossing Inputs'!$D$45</f>
        <v>4079.0857972066028</v>
      </c>
      <c r="AJ7" s="485">
        <f>'Crossing Inputs'!$D$45</f>
        <v>4079.0857972066028</v>
      </c>
      <c r="AK7" s="485">
        <f>'Crossing Inputs'!$D$45</f>
        <v>4079.0857972066028</v>
      </c>
      <c r="AL7" s="485">
        <f>'Crossing Inputs'!$D$45</f>
        <v>4079.0857972066028</v>
      </c>
    </row>
    <row r="8" spans="1:38" s="150" customFormat="1">
      <c r="B8" s="742" t="s">
        <v>1155</v>
      </c>
      <c r="C8" s="367" t="s">
        <v>292</v>
      </c>
      <c r="D8" s="485">
        <f>'Crossing Inputs'!$E$45</f>
        <v>4079.0857972066028</v>
      </c>
      <c r="E8" s="485">
        <f>'Crossing Inputs'!$E$45</f>
        <v>4079.0857972066028</v>
      </c>
      <c r="F8" s="485">
        <f>'Crossing Inputs'!$E$45</f>
        <v>4079.0857972066028</v>
      </c>
      <c r="G8" s="485">
        <f>'Crossing Inputs'!$E$45</f>
        <v>4079.0857972066028</v>
      </c>
      <c r="H8" s="485">
        <f>'Crossing Inputs'!$E$45</f>
        <v>4079.0857972066028</v>
      </c>
      <c r="I8" s="485">
        <f>'Crossing Inputs'!$E$45</f>
        <v>4079.0857972066028</v>
      </c>
      <c r="J8" s="485">
        <f>'Crossing Inputs'!$E$45</f>
        <v>4079.0857972066028</v>
      </c>
      <c r="K8" s="485">
        <f>'Crossing Inputs'!$E$45</f>
        <v>4079.0857972066028</v>
      </c>
      <c r="L8" s="485">
        <f>'Crossing Inputs'!$E$45</f>
        <v>4079.0857972066028</v>
      </c>
      <c r="M8" s="485">
        <f>'Crossing Inputs'!$E$45</f>
        <v>4079.0857972066028</v>
      </c>
      <c r="N8" s="485">
        <f>'Crossing Inputs'!$E$45</f>
        <v>4079.0857972066028</v>
      </c>
      <c r="O8" s="485">
        <f>'Crossing Inputs'!$E$45</f>
        <v>4079.0857972066028</v>
      </c>
      <c r="P8" s="485">
        <f>'Crossing Inputs'!$E$45</f>
        <v>4079.0857972066028</v>
      </c>
      <c r="Q8" s="485">
        <f>'Crossing Inputs'!$E$45</f>
        <v>4079.0857972066028</v>
      </c>
      <c r="R8" s="485">
        <f>'Crossing Inputs'!$E$45</f>
        <v>4079.0857972066028</v>
      </c>
      <c r="S8" s="485">
        <f>'Crossing Inputs'!$E$45</f>
        <v>4079.0857972066028</v>
      </c>
      <c r="T8" s="485">
        <f>'Crossing Inputs'!$E$45</f>
        <v>4079.0857972066028</v>
      </c>
      <c r="U8" s="485">
        <f>'Crossing Inputs'!$E$45</f>
        <v>4079.0857972066028</v>
      </c>
      <c r="V8" s="485">
        <f>'Crossing Inputs'!$E$45</f>
        <v>4079.0857972066028</v>
      </c>
      <c r="W8" s="485">
        <f>'Crossing Inputs'!$E$45</f>
        <v>4079.0857972066028</v>
      </c>
      <c r="X8" s="485">
        <f>'Crossing Inputs'!$E$45</f>
        <v>4079.0857972066028</v>
      </c>
      <c r="Y8" s="485">
        <f>'Crossing Inputs'!$E$45</f>
        <v>4079.0857972066028</v>
      </c>
      <c r="Z8" s="485">
        <f>'Crossing Inputs'!$E$45</f>
        <v>4079.0857972066028</v>
      </c>
      <c r="AA8" s="485">
        <f>'Crossing Inputs'!$E$45</f>
        <v>4079.0857972066028</v>
      </c>
      <c r="AB8" s="485">
        <f>'Crossing Inputs'!$E$45</f>
        <v>4079.0857972066028</v>
      </c>
      <c r="AC8" s="485">
        <f>'Crossing Inputs'!$E$45</f>
        <v>4079.0857972066028</v>
      </c>
      <c r="AD8" s="485">
        <f>'Crossing Inputs'!$E$45</f>
        <v>4079.0857972066028</v>
      </c>
      <c r="AE8" s="485">
        <f>'Crossing Inputs'!$E$45</f>
        <v>4079.0857972066028</v>
      </c>
      <c r="AF8" s="485">
        <f>'Crossing Inputs'!$E$45</f>
        <v>4079.0857972066028</v>
      </c>
      <c r="AG8" s="485">
        <f>'Crossing Inputs'!$E$45</f>
        <v>4079.0857972066028</v>
      </c>
      <c r="AH8" s="485">
        <f>'Crossing Inputs'!$E$45</f>
        <v>4079.0857972066028</v>
      </c>
      <c r="AI8" s="485">
        <f>'Crossing Inputs'!$E$45</f>
        <v>4079.0857972066028</v>
      </c>
      <c r="AJ8" s="485">
        <f>'Crossing Inputs'!$E$45</f>
        <v>4079.0857972066028</v>
      </c>
      <c r="AK8" s="485">
        <f>'Crossing Inputs'!$E$45</f>
        <v>4079.0857972066028</v>
      </c>
      <c r="AL8" s="485">
        <f>'Crossing Inputs'!$E$45</f>
        <v>4079.0857972066028</v>
      </c>
    </row>
    <row r="9" spans="1:38">
      <c r="B9" s="358" t="s">
        <v>1156</v>
      </c>
      <c r="C9" s="367" t="s">
        <v>292</v>
      </c>
      <c r="D9" s="485">
        <f>'Crossing Inputs'!$F$45</f>
        <v>4079.0857972066028</v>
      </c>
      <c r="E9" s="485">
        <f>'Crossing Inputs'!$F$45</f>
        <v>4079.0857972066028</v>
      </c>
      <c r="F9" s="485">
        <f>'Crossing Inputs'!$F$45</f>
        <v>4079.0857972066028</v>
      </c>
      <c r="G9" s="485">
        <f>'Crossing Inputs'!$F$45</f>
        <v>4079.0857972066028</v>
      </c>
      <c r="H9" s="485">
        <f>'Crossing Inputs'!$F$45</f>
        <v>4079.0857972066028</v>
      </c>
      <c r="I9" s="485">
        <f>'Crossing Inputs'!$F$45</f>
        <v>4079.0857972066028</v>
      </c>
      <c r="J9" s="485">
        <f>'Crossing Inputs'!$F$45</f>
        <v>4079.0857972066028</v>
      </c>
      <c r="K9" s="485">
        <f>'Crossing Inputs'!$F$45</f>
        <v>4079.0857972066028</v>
      </c>
      <c r="L9" s="485">
        <f>'Crossing Inputs'!$F$45</f>
        <v>4079.0857972066028</v>
      </c>
      <c r="M9" s="485">
        <f>'Crossing Inputs'!$F$45</f>
        <v>4079.0857972066028</v>
      </c>
      <c r="N9" s="485">
        <f>'Crossing Inputs'!$F$45</f>
        <v>4079.0857972066028</v>
      </c>
      <c r="O9" s="485">
        <f>'Crossing Inputs'!$F$45</f>
        <v>4079.0857972066028</v>
      </c>
      <c r="P9" s="485">
        <f>'Crossing Inputs'!$F$45</f>
        <v>4079.0857972066028</v>
      </c>
      <c r="Q9" s="485">
        <f>'Crossing Inputs'!$F$45</f>
        <v>4079.0857972066028</v>
      </c>
      <c r="R9" s="485">
        <f>'Crossing Inputs'!$F$45</f>
        <v>4079.0857972066028</v>
      </c>
      <c r="S9" s="485">
        <f>'Crossing Inputs'!$F$45</f>
        <v>4079.0857972066028</v>
      </c>
      <c r="T9" s="485">
        <f>'Crossing Inputs'!$F$45</f>
        <v>4079.0857972066028</v>
      </c>
      <c r="U9" s="485">
        <f>'Crossing Inputs'!$F$45</f>
        <v>4079.0857972066028</v>
      </c>
      <c r="V9" s="485">
        <f>'Crossing Inputs'!$F$45</f>
        <v>4079.0857972066028</v>
      </c>
      <c r="W9" s="485">
        <f>'Crossing Inputs'!$F$45</f>
        <v>4079.0857972066028</v>
      </c>
      <c r="X9" s="485">
        <f>'Crossing Inputs'!$F$45</f>
        <v>4079.0857972066028</v>
      </c>
      <c r="Y9" s="485">
        <f>'Crossing Inputs'!$F$45</f>
        <v>4079.0857972066028</v>
      </c>
      <c r="Z9" s="485">
        <f>'Crossing Inputs'!$F$45</f>
        <v>4079.0857972066028</v>
      </c>
      <c r="AA9" s="485">
        <f>'Crossing Inputs'!$F$45</f>
        <v>4079.0857972066028</v>
      </c>
      <c r="AB9" s="485">
        <f>'Crossing Inputs'!$F$45</f>
        <v>4079.0857972066028</v>
      </c>
      <c r="AC9" s="485">
        <f>'Crossing Inputs'!$F$45</f>
        <v>4079.0857972066028</v>
      </c>
      <c r="AD9" s="485">
        <f>'Crossing Inputs'!$F$45</f>
        <v>4079.0857972066028</v>
      </c>
      <c r="AE9" s="485">
        <f>'Crossing Inputs'!$F$45</f>
        <v>4079.0857972066028</v>
      </c>
      <c r="AF9" s="485">
        <f>'Crossing Inputs'!$F$45</f>
        <v>4079.0857972066028</v>
      </c>
      <c r="AG9" s="485">
        <f>'Crossing Inputs'!$F$45</f>
        <v>4079.0857972066028</v>
      </c>
      <c r="AH9" s="485">
        <f>'Crossing Inputs'!$F$45</f>
        <v>4079.0857972066028</v>
      </c>
      <c r="AI9" s="485">
        <f>'Crossing Inputs'!$F$45</f>
        <v>4079.0857972066028</v>
      </c>
      <c r="AJ9" s="485">
        <f>'Crossing Inputs'!$F$45</f>
        <v>4079.0857972066028</v>
      </c>
      <c r="AK9" s="485">
        <f>'Crossing Inputs'!$F$45</f>
        <v>4079.0857972066028</v>
      </c>
      <c r="AL9" s="485">
        <f>'Crossing Inputs'!$F$45</f>
        <v>4079.0857972066028</v>
      </c>
    </row>
    <row r="10" spans="1:38" s="150" customFormat="1">
      <c r="B10" s="358" t="s">
        <v>1157</v>
      </c>
      <c r="C10" s="367" t="s">
        <v>292</v>
      </c>
      <c r="D10" s="485">
        <f>'Crossing Inputs'!$G$45</f>
        <v>4079.0857972066028</v>
      </c>
      <c r="E10" s="485">
        <f>'Crossing Inputs'!$G$45</f>
        <v>4079.0857972066028</v>
      </c>
      <c r="F10" s="485">
        <f>'Crossing Inputs'!$G$45</f>
        <v>4079.0857972066028</v>
      </c>
      <c r="G10" s="485">
        <f>'Crossing Inputs'!$G$45</f>
        <v>4079.0857972066028</v>
      </c>
      <c r="H10" s="485">
        <f>'Crossing Inputs'!$G$45</f>
        <v>4079.0857972066028</v>
      </c>
      <c r="I10" s="485">
        <f>'Crossing Inputs'!$G$45</f>
        <v>4079.0857972066028</v>
      </c>
      <c r="J10" s="485">
        <f>'Crossing Inputs'!$G$45</f>
        <v>4079.0857972066028</v>
      </c>
      <c r="K10" s="485">
        <f>'Crossing Inputs'!$G$45</f>
        <v>4079.0857972066028</v>
      </c>
      <c r="L10" s="485">
        <f>'Crossing Inputs'!$G$45</f>
        <v>4079.0857972066028</v>
      </c>
      <c r="M10" s="485">
        <f>'Crossing Inputs'!$G$45</f>
        <v>4079.0857972066028</v>
      </c>
      <c r="N10" s="485">
        <f>'Crossing Inputs'!$G$45</f>
        <v>4079.0857972066028</v>
      </c>
      <c r="O10" s="485">
        <f>'Crossing Inputs'!$G$45</f>
        <v>4079.0857972066028</v>
      </c>
      <c r="P10" s="485">
        <f>'Crossing Inputs'!$G$45</f>
        <v>4079.0857972066028</v>
      </c>
      <c r="Q10" s="485">
        <f>'Crossing Inputs'!$G$45</f>
        <v>4079.0857972066028</v>
      </c>
      <c r="R10" s="485">
        <f>'Crossing Inputs'!$G$45</f>
        <v>4079.0857972066028</v>
      </c>
      <c r="S10" s="485">
        <f>'Crossing Inputs'!$G$45</f>
        <v>4079.0857972066028</v>
      </c>
      <c r="T10" s="485">
        <f>'Crossing Inputs'!$G$45</f>
        <v>4079.0857972066028</v>
      </c>
      <c r="U10" s="485">
        <f>'Crossing Inputs'!$G$45</f>
        <v>4079.0857972066028</v>
      </c>
      <c r="V10" s="485">
        <f>'Crossing Inputs'!$G$45</f>
        <v>4079.0857972066028</v>
      </c>
      <c r="W10" s="485">
        <f>'Crossing Inputs'!$G$45</f>
        <v>4079.0857972066028</v>
      </c>
      <c r="X10" s="485">
        <f>'Crossing Inputs'!$G$45</f>
        <v>4079.0857972066028</v>
      </c>
      <c r="Y10" s="485">
        <f>'Crossing Inputs'!$G$45</f>
        <v>4079.0857972066028</v>
      </c>
      <c r="Z10" s="485">
        <f>'Crossing Inputs'!$G$45</f>
        <v>4079.0857972066028</v>
      </c>
      <c r="AA10" s="485">
        <f>'Crossing Inputs'!$G$45</f>
        <v>4079.0857972066028</v>
      </c>
      <c r="AB10" s="485">
        <f>'Crossing Inputs'!$G$45</f>
        <v>4079.0857972066028</v>
      </c>
      <c r="AC10" s="485">
        <f>'Crossing Inputs'!$G$45</f>
        <v>4079.0857972066028</v>
      </c>
      <c r="AD10" s="485">
        <f>'Crossing Inputs'!$G$45</f>
        <v>4079.0857972066028</v>
      </c>
      <c r="AE10" s="485">
        <f>'Crossing Inputs'!$G$45</f>
        <v>4079.0857972066028</v>
      </c>
      <c r="AF10" s="485">
        <f>'Crossing Inputs'!$G$45</f>
        <v>4079.0857972066028</v>
      </c>
      <c r="AG10" s="485">
        <f>'Crossing Inputs'!$G$45</f>
        <v>4079.0857972066028</v>
      </c>
      <c r="AH10" s="485">
        <f>'Crossing Inputs'!$G$45</f>
        <v>4079.0857972066028</v>
      </c>
      <c r="AI10" s="485">
        <f>'Crossing Inputs'!$G$45</f>
        <v>4079.0857972066028</v>
      </c>
      <c r="AJ10" s="485">
        <f>'Crossing Inputs'!$G$45</f>
        <v>4079.0857972066028</v>
      </c>
      <c r="AK10" s="485">
        <f>'Crossing Inputs'!$G$45</f>
        <v>4079.0857972066028</v>
      </c>
      <c r="AL10" s="485">
        <f>'Crossing Inputs'!$G$45</f>
        <v>4079.0857972066028</v>
      </c>
    </row>
    <row r="11" spans="1:38" s="150" customFormat="1">
      <c r="B11" s="358" t="s">
        <v>1158</v>
      </c>
      <c r="C11" s="367" t="s">
        <v>292</v>
      </c>
      <c r="D11" s="485">
        <f>'Crossing Inputs'!$H$45</f>
        <v>4079.0857972066028</v>
      </c>
      <c r="E11" s="485">
        <f>'Crossing Inputs'!$H$45</f>
        <v>4079.0857972066028</v>
      </c>
      <c r="F11" s="485">
        <f>'Crossing Inputs'!$H$45</f>
        <v>4079.0857972066028</v>
      </c>
      <c r="G11" s="485">
        <f>'Crossing Inputs'!$H$45</f>
        <v>4079.0857972066028</v>
      </c>
      <c r="H11" s="485">
        <f>'Crossing Inputs'!$H$45</f>
        <v>4079.0857972066028</v>
      </c>
      <c r="I11" s="485">
        <f>'Crossing Inputs'!$H$45</f>
        <v>4079.0857972066028</v>
      </c>
      <c r="J11" s="485">
        <f>'Crossing Inputs'!$H$45</f>
        <v>4079.0857972066028</v>
      </c>
      <c r="K11" s="485">
        <f>'Crossing Inputs'!$H$45</f>
        <v>4079.0857972066028</v>
      </c>
      <c r="L11" s="485">
        <f>'Crossing Inputs'!$H$45</f>
        <v>4079.0857972066028</v>
      </c>
      <c r="M11" s="485">
        <f>'Crossing Inputs'!$H$45</f>
        <v>4079.0857972066028</v>
      </c>
      <c r="N11" s="485">
        <f>'Crossing Inputs'!$H$45</f>
        <v>4079.0857972066028</v>
      </c>
      <c r="O11" s="485">
        <f>'Crossing Inputs'!$H$45</f>
        <v>4079.0857972066028</v>
      </c>
      <c r="P11" s="485">
        <f>'Crossing Inputs'!$H$45</f>
        <v>4079.0857972066028</v>
      </c>
      <c r="Q11" s="485">
        <f>'Crossing Inputs'!$H$45</f>
        <v>4079.0857972066028</v>
      </c>
      <c r="R11" s="485">
        <f>'Crossing Inputs'!$H$45</f>
        <v>4079.0857972066028</v>
      </c>
      <c r="S11" s="485">
        <f>'Crossing Inputs'!$H$45</f>
        <v>4079.0857972066028</v>
      </c>
      <c r="T11" s="485">
        <f>'Crossing Inputs'!$H$45</f>
        <v>4079.0857972066028</v>
      </c>
      <c r="U11" s="485">
        <f>'Crossing Inputs'!$H$45</f>
        <v>4079.0857972066028</v>
      </c>
      <c r="V11" s="485">
        <f>'Crossing Inputs'!$H$45</f>
        <v>4079.0857972066028</v>
      </c>
      <c r="W11" s="485">
        <f>'Crossing Inputs'!$H$45</f>
        <v>4079.0857972066028</v>
      </c>
      <c r="X11" s="485">
        <f>'Crossing Inputs'!$H$45</f>
        <v>4079.0857972066028</v>
      </c>
      <c r="Y11" s="485">
        <f>'Crossing Inputs'!$H$45</f>
        <v>4079.0857972066028</v>
      </c>
      <c r="Z11" s="485">
        <f>'Crossing Inputs'!$H$45</f>
        <v>4079.0857972066028</v>
      </c>
      <c r="AA11" s="485">
        <f>'Crossing Inputs'!$H$45</f>
        <v>4079.0857972066028</v>
      </c>
      <c r="AB11" s="485">
        <f>'Crossing Inputs'!$H$45</f>
        <v>4079.0857972066028</v>
      </c>
      <c r="AC11" s="485">
        <f>'Crossing Inputs'!$H$45</f>
        <v>4079.0857972066028</v>
      </c>
      <c r="AD11" s="485">
        <f>'Crossing Inputs'!$H$45</f>
        <v>4079.0857972066028</v>
      </c>
      <c r="AE11" s="485">
        <f>'Crossing Inputs'!$H$45</f>
        <v>4079.0857972066028</v>
      </c>
      <c r="AF11" s="485">
        <f>'Crossing Inputs'!$H$45</f>
        <v>4079.0857972066028</v>
      </c>
      <c r="AG11" s="485">
        <f>'Crossing Inputs'!$H$45</f>
        <v>4079.0857972066028</v>
      </c>
      <c r="AH11" s="485">
        <f>'Crossing Inputs'!$H$45</f>
        <v>4079.0857972066028</v>
      </c>
      <c r="AI11" s="485">
        <f>'Crossing Inputs'!$H$45</f>
        <v>4079.0857972066028</v>
      </c>
      <c r="AJ11" s="485">
        <f>'Crossing Inputs'!$H$45</f>
        <v>4079.0857972066028</v>
      </c>
      <c r="AK11" s="485">
        <f>'Crossing Inputs'!$H$45</f>
        <v>4079.0857972066028</v>
      </c>
      <c r="AL11" s="485">
        <f>'Crossing Inputs'!$H$45</f>
        <v>4079.0857972066028</v>
      </c>
    </row>
    <row r="12" spans="1:38" s="150" customFormat="1">
      <c r="B12" s="358" t="s">
        <v>1159</v>
      </c>
      <c r="C12" s="367" t="s">
        <v>292</v>
      </c>
      <c r="D12" s="485">
        <f>'Crossing Inputs'!$C$70</f>
        <v>4079.0857972066028</v>
      </c>
      <c r="E12" s="485">
        <f>'Crossing Inputs'!$C$70</f>
        <v>4079.0857972066028</v>
      </c>
      <c r="F12" s="485">
        <f>'Crossing Inputs'!$C$70</f>
        <v>4079.0857972066028</v>
      </c>
      <c r="G12" s="485">
        <f>'Crossing Inputs'!$C$70</f>
        <v>4079.0857972066028</v>
      </c>
      <c r="H12" s="485">
        <f>'Crossing Inputs'!$C$70</f>
        <v>4079.0857972066028</v>
      </c>
      <c r="I12" s="485">
        <f>'Crossing Inputs'!$C$70</f>
        <v>4079.0857972066028</v>
      </c>
      <c r="J12" s="485">
        <f>'Crossing Inputs'!$C$70</f>
        <v>4079.0857972066028</v>
      </c>
      <c r="K12" s="485">
        <f>'Crossing Inputs'!$C$70</f>
        <v>4079.0857972066028</v>
      </c>
      <c r="L12" s="485">
        <f>'Crossing Inputs'!$C$70</f>
        <v>4079.0857972066028</v>
      </c>
      <c r="M12" s="485">
        <f>'Crossing Inputs'!$C$70</f>
        <v>4079.0857972066028</v>
      </c>
      <c r="N12" s="485">
        <f>'Crossing Inputs'!$C$70</f>
        <v>4079.0857972066028</v>
      </c>
      <c r="O12" s="485">
        <f>'Crossing Inputs'!$C$70</f>
        <v>4079.0857972066028</v>
      </c>
      <c r="P12" s="485">
        <f>'Crossing Inputs'!$C$70</f>
        <v>4079.0857972066028</v>
      </c>
      <c r="Q12" s="485">
        <f>'Crossing Inputs'!$C$70</f>
        <v>4079.0857972066028</v>
      </c>
      <c r="R12" s="485">
        <f>'Crossing Inputs'!$C$70</f>
        <v>4079.0857972066028</v>
      </c>
      <c r="S12" s="485">
        <f>'Crossing Inputs'!$C$70</f>
        <v>4079.0857972066028</v>
      </c>
      <c r="T12" s="485">
        <f>'Crossing Inputs'!$C$70</f>
        <v>4079.0857972066028</v>
      </c>
      <c r="U12" s="485">
        <f>'Crossing Inputs'!$C$70</f>
        <v>4079.0857972066028</v>
      </c>
      <c r="V12" s="485">
        <f>'Crossing Inputs'!$C$70</f>
        <v>4079.0857972066028</v>
      </c>
      <c r="W12" s="485">
        <f>'Crossing Inputs'!$C$70</f>
        <v>4079.0857972066028</v>
      </c>
      <c r="X12" s="485">
        <f>'Crossing Inputs'!$C$70</f>
        <v>4079.0857972066028</v>
      </c>
      <c r="Y12" s="485">
        <f>'Crossing Inputs'!$C$70</f>
        <v>4079.0857972066028</v>
      </c>
      <c r="Z12" s="485">
        <f>'Crossing Inputs'!$C$70</f>
        <v>4079.0857972066028</v>
      </c>
      <c r="AA12" s="485">
        <f>'Crossing Inputs'!$C$70</f>
        <v>4079.0857972066028</v>
      </c>
      <c r="AB12" s="485">
        <f>'Crossing Inputs'!$C$70</f>
        <v>4079.0857972066028</v>
      </c>
      <c r="AC12" s="485">
        <f>'Crossing Inputs'!$C$70</f>
        <v>4079.0857972066028</v>
      </c>
      <c r="AD12" s="485">
        <f>'Crossing Inputs'!$C$70</f>
        <v>4079.0857972066028</v>
      </c>
      <c r="AE12" s="485">
        <f>'Crossing Inputs'!$C$70</f>
        <v>4079.0857972066028</v>
      </c>
      <c r="AF12" s="485">
        <f>'Crossing Inputs'!$C$70</f>
        <v>4079.0857972066028</v>
      </c>
      <c r="AG12" s="485">
        <f>'Crossing Inputs'!$C$70</f>
        <v>4079.0857972066028</v>
      </c>
      <c r="AH12" s="485">
        <f>'Crossing Inputs'!$C$70</f>
        <v>4079.0857972066028</v>
      </c>
      <c r="AI12" s="485">
        <f>'Crossing Inputs'!$C$70</f>
        <v>4079.0857972066028</v>
      </c>
      <c r="AJ12" s="485">
        <f>'Crossing Inputs'!$C$70</f>
        <v>4079.0857972066028</v>
      </c>
      <c r="AK12" s="485">
        <f>'Crossing Inputs'!$C$70</f>
        <v>4079.0857972066028</v>
      </c>
      <c r="AL12" s="485">
        <f>'Crossing Inputs'!$C$70</f>
        <v>4079.0857972066028</v>
      </c>
    </row>
    <row r="13" spans="1:38" s="150" customFormat="1">
      <c r="B13" s="358" t="s">
        <v>1160</v>
      </c>
      <c r="C13" s="367" t="s">
        <v>292</v>
      </c>
      <c r="D13" s="485">
        <f>'Crossing Inputs'!$D$70</f>
        <v>4079.0857972066028</v>
      </c>
      <c r="E13" s="485">
        <f>'Crossing Inputs'!$D$70</f>
        <v>4079.0857972066028</v>
      </c>
      <c r="F13" s="485">
        <f>'Crossing Inputs'!$D$70</f>
        <v>4079.0857972066028</v>
      </c>
      <c r="G13" s="485">
        <f>'Crossing Inputs'!$D$70</f>
        <v>4079.0857972066028</v>
      </c>
      <c r="H13" s="485">
        <f>'Crossing Inputs'!$D$70</f>
        <v>4079.0857972066028</v>
      </c>
      <c r="I13" s="485">
        <f>'Crossing Inputs'!$D$70</f>
        <v>4079.0857972066028</v>
      </c>
      <c r="J13" s="485">
        <f>'Crossing Inputs'!$D$70</f>
        <v>4079.0857972066028</v>
      </c>
      <c r="K13" s="485">
        <f>'Crossing Inputs'!$D$70</f>
        <v>4079.0857972066028</v>
      </c>
      <c r="L13" s="485">
        <f>'Crossing Inputs'!$D$70</f>
        <v>4079.0857972066028</v>
      </c>
      <c r="M13" s="485">
        <f>'Crossing Inputs'!$D$70</f>
        <v>4079.0857972066028</v>
      </c>
      <c r="N13" s="485">
        <f>'Crossing Inputs'!$D$70</f>
        <v>4079.0857972066028</v>
      </c>
      <c r="O13" s="485">
        <f>'Crossing Inputs'!$D$70</f>
        <v>4079.0857972066028</v>
      </c>
      <c r="P13" s="485">
        <f>'Crossing Inputs'!$D$70</f>
        <v>4079.0857972066028</v>
      </c>
      <c r="Q13" s="485">
        <f>'Crossing Inputs'!$D$70</f>
        <v>4079.0857972066028</v>
      </c>
      <c r="R13" s="485">
        <f>'Crossing Inputs'!$D$70</f>
        <v>4079.0857972066028</v>
      </c>
      <c r="S13" s="485">
        <f>'Crossing Inputs'!$D$70</f>
        <v>4079.0857972066028</v>
      </c>
      <c r="T13" s="485">
        <f>'Crossing Inputs'!$D$70</f>
        <v>4079.0857972066028</v>
      </c>
      <c r="U13" s="485">
        <f>'Crossing Inputs'!$D$70</f>
        <v>4079.0857972066028</v>
      </c>
      <c r="V13" s="485">
        <f>'Crossing Inputs'!$D$70</f>
        <v>4079.0857972066028</v>
      </c>
      <c r="W13" s="485">
        <f>'Crossing Inputs'!$D$70</f>
        <v>4079.0857972066028</v>
      </c>
      <c r="X13" s="485">
        <f>'Crossing Inputs'!$D$70</f>
        <v>4079.0857972066028</v>
      </c>
      <c r="Y13" s="485">
        <f>'Crossing Inputs'!$D$70</f>
        <v>4079.0857972066028</v>
      </c>
      <c r="Z13" s="485">
        <f>'Crossing Inputs'!$D$70</f>
        <v>4079.0857972066028</v>
      </c>
      <c r="AA13" s="485">
        <f>'Crossing Inputs'!$D$70</f>
        <v>4079.0857972066028</v>
      </c>
      <c r="AB13" s="485">
        <f>'Crossing Inputs'!$D$70</f>
        <v>4079.0857972066028</v>
      </c>
      <c r="AC13" s="485">
        <f>'Crossing Inputs'!$D$70</f>
        <v>4079.0857972066028</v>
      </c>
      <c r="AD13" s="485">
        <f>'Crossing Inputs'!$D$70</f>
        <v>4079.0857972066028</v>
      </c>
      <c r="AE13" s="485">
        <f>'Crossing Inputs'!$D$70</f>
        <v>4079.0857972066028</v>
      </c>
      <c r="AF13" s="485">
        <f>'Crossing Inputs'!$D$70</f>
        <v>4079.0857972066028</v>
      </c>
      <c r="AG13" s="485">
        <f>'Crossing Inputs'!$D$70</f>
        <v>4079.0857972066028</v>
      </c>
      <c r="AH13" s="485">
        <f>'Crossing Inputs'!$D$70</f>
        <v>4079.0857972066028</v>
      </c>
      <c r="AI13" s="485">
        <f>'Crossing Inputs'!$D$70</f>
        <v>4079.0857972066028</v>
      </c>
      <c r="AJ13" s="485">
        <f>'Crossing Inputs'!$D$70</f>
        <v>4079.0857972066028</v>
      </c>
      <c r="AK13" s="485">
        <f>'Crossing Inputs'!$D$70</f>
        <v>4079.0857972066028</v>
      </c>
      <c r="AL13" s="485">
        <f>'Crossing Inputs'!$D$70</f>
        <v>4079.0857972066028</v>
      </c>
    </row>
    <row r="14" spans="1:38" s="150" customFormat="1">
      <c r="B14" s="358" t="s">
        <v>1161</v>
      </c>
      <c r="C14" s="367" t="s">
        <v>292</v>
      </c>
      <c r="D14" s="485">
        <f>'Crossing Inputs'!$E$70</f>
        <v>4079.0857972066028</v>
      </c>
      <c r="E14" s="485">
        <f>'Crossing Inputs'!$E$70</f>
        <v>4079.0857972066028</v>
      </c>
      <c r="F14" s="485">
        <f>'Crossing Inputs'!$E$70</f>
        <v>4079.0857972066028</v>
      </c>
      <c r="G14" s="485">
        <f>'Crossing Inputs'!$E$70</f>
        <v>4079.0857972066028</v>
      </c>
      <c r="H14" s="485">
        <f>'Crossing Inputs'!$E$70</f>
        <v>4079.0857972066028</v>
      </c>
      <c r="I14" s="485">
        <f>'Crossing Inputs'!$E$70</f>
        <v>4079.0857972066028</v>
      </c>
      <c r="J14" s="485">
        <f>'Crossing Inputs'!$E$70</f>
        <v>4079.0857972066028</v>
      </c>
      <c r="K14" s="485">
        <f>'Crossing Inputs'!$E$70</f>
        <v>4079.0857972066028</v>
      </c>
      <c r="L14" s="485">
        <f>'Crossing Inputs'!$E$70</f>
        <v>4079.0857972066028</v>
      </c>
      <c r="M14" s="485">
        <f>'Crossing Inputs'!$E$70</f>
        <v>4079.0857972066028</v>
      </c>
      <c r="N14" s="485">
        <f>'Crossing Inputs'!$E$70</f>
        <v>4079.0857972066028</v>
      </c>
      <c r="O14" s="485">
        <f>'Crossing Inputs'!$E$70</f>
        <v>4079.0857972066028</v>
      </c>
      <c r="P14" s="485">
        <f>'Crossing Inputs'!$E$70</f>
        <v>4079.0857972066028</v>
      </c>
      <c r="Q14" s="485">
        <f>'Crossing Inputs'!$E$70</f>
        <v>4079.0857972066028</v>
      </c>
      <c r="R14" s="485">
        <f>'Crossing Inputs'!$E$70</f>
        <v>4079.0857972066028</v>
      </c>
      <c r="S14" s="485">
        <f>'Crossing Inputs'!$E$70</f>
        <v>4079.0857972066028</v>
      </c>
      <c r="T14" s="485">
        <f>'Crossing Inputs'!$E$70</f>
        <v>4079.0857972066028</v>
      </c>
      <c r="U14" s="485">
        <f>'Crossing Inputs'!$E$70</f>
        <v>4079.0857972066028</v>
      </c>
      <c r="V14" s="485">
        <f>'Crossing Inputs'!$E$70</f>
        <v>4079.0857972066028</v>
      </c>
      <c r="W14" s="485">
        <f>'Crossing Inputs'!$E$70</f>
        <v>4079.0857972066028</v>
      </c>
      <c r="X14" s="485">
        <f>'Crossing Inputs'!$E$70</f>
        <v>4079.0857972066028</v>
      </c>
      <c r="Y14" s="485">
        <f>'Crossing Inputs'!$E$70</f>
        <v>4079.0857972066028</v>
      </c>
      <c r="Z14" s="485">
        <f>'Crossing Inputs'!$E$70</f>
        <v>4079.0857972066028</v>
      </c>
      <c r="AA14" s="485">
        <f>'Crossing Inputs'!$E$70</f>
        <v>4079.0857972066028</v>
      </c>
      <c r="AB14" s="485">
        <f>'Crossing Inputs'!$E$70</f>
        <v>4079.0857972066028</v>
      </c>
      <c r="AC14" s="485">
        <f>'Crossing Inputs'!$E$70</f>
        <v>4079.0857972066028</v>
      </c>
      <c r="AD14" s="485">
        <f>'Crossing Inputs'!$E$70</f>
        <v>4079.0857972066028</v>
      </c>
      <c r="AE14" s="485">
        <f>'Crossing Inputs'!$E$70</f>
        <v>4079.0857972066028</v>
      </c>
      <c r="AF14" s="485">
        <f>'Crossing Inputs'!$E$70</f>
        <v>4079.0857972066028</v>
      </c>
      <c r="AG14" s="485">
        <f>'Crossing Inputs'!$E$70</f>
        <v>4079.0857972066028</v>
      </c>
      <c r="AH14" s="485">
        <f>'Crossing Inputs'!$E$70</f>
        <v>4079.0857972066028</v>
      </c>
      <c r="AI14" s="485">
        <f>'Crossing Inputs'!$E$70</f>
        <v>4079.0857972066028</v>
      </c>
      <c r="AJ14" s="485">
        <f>'Crossing Inputs'!$E$70</f>
        <v>4079.0857972066028</v>
      </c>
      <c r="AK14" s="485">
        <f>'Crossing Inputs'!$E$70</f>
        <v>4079.0857972066028</v>
      </c>
      <c r="AL14" s="485">
        <f>'Crossing Inputs'!$E$70</f>
        <v>4079.0857972066028</v>
      </c>
    </row>
    <row r="15" spans="1:38" s="150" customFormat="1">
      <c r="B15" s="358" t="s">
        <v>1162</v>
      </c>
      <c r="C15" s="367" t="s">
        <v>292</v>
      </c>
      <c r="D15" s="485">
        <f>'Crossing Inputs'!$F$70</f>
        <v>4079.0857972066028</v>
      </c>
      <c r="E15" s="485">
        <f>'Crossing Inputs'!$F$70</f>
        <v>4079.0857972066028</v>
      </c>
      <c r="F15" s="485">
        <f>'Crossing Inputs'!$F$70</f>
        <v>4079.0857972066028</v>
      </c>
      <c r="G15" s="485">
        <f>'Crossing Inputs'!$F$70</f>
        <v>4079.0857972066028</v>
      </c>
      <c r="H15" s="485">
        <f>'Crossing Inputs'!$F$70</f>
        <v>4079.0857972066028</v>
      </c>
      <c r="I15" s="485">
        <f>'Crossing Inputs'!$F$70</f>
        <v>4079.0857972066028</v>
      </c>
      <c r="J15" s="485">
        <f>'Crossing Inputs'!$F$70</f>
        <v>4079.0857972066028</v>
      </c>
      <c r="K15" s="485">
        <f>'Crossing Inputs'!$F$70</f>
        <v>4079.0857972066028</v>
      </c>
      <c r="L15" s="485">
        <f>'Crossing Inputs'!$F$70</f>
        <v>4079.0857972066028</v>
      </c>
      <c r="M15" s="485">
        <f>'Crossing Inputs'!$F$70</f>
        <v>4079.0857972066028</v>
      </c>
      <c r="N15" s="485">
        <f>'Crossing Inputs'!$F$70</f>
        <v>4079.0857972066028</v>
      </c>
      <c r="O15" s="485">
        <f>'Crossing Inputs'!$F$70</f>
        <v>4079.0857972066028</v>
      </c>
      <c r="P15" s="485">
        <f>'Crossing Inputs'!$F$70</f>
        <v>4079.0857972066028</v>
      </c>
      <c r="Q15" s="485">
        <f>'Crossing Inputs'!$F$70</f>
        <v>4079.0857972066028</v>
      </c>
      <c r="R15" s="485">
        <f>'Crossing Inputs'!$F$70</f>
        <v>4079.0857972066028</v>
      </c>
      <c r="S15" s="485">
        <f>'Crossing Inputs'!$F$70</f>
        <v>4079.0857972066028</v>
      </c>
      <c r="T15" s="485">
        <f>'Crossing Inputs'!$F$70</f>
        <v>4079.0857972066028</v>
      </c>
      <c r="U15" s="485">
        <f>'Crossing Inputs'!$F$70</f>
        <v>4079.0857972066028</v>
      </c>
      <c r="V15" s="485">
        <f>'Crossing Inputs'!$F$70</f>
        <v>4079.0857972066028</v>
      </c>
      <c r="W15" s="485">
        <f>'Crossing Inputs'!$F$70</f>
        <v>4079.0857972066028</v>
      </c>
      <c r="X15" s="485">
        <f>'Crossing Inputs'!$F$70</f>
        <v>4079.0857972066028</v>
      </c>
      <c r="Y15" s="485">
        <f>'Crossing Inputs'!$F$70</f>
        <v>4079.0857972066028</v>
      </c>
      <c r="Z15" s="485">
        <f>'Crossing Inputs'!$F$70</f>
        <v>4079.0857972066028</v>
      </c>
      <c r="AA15" s="485">
        <f>'Crossing Inputs'!$F$70</f>
        <v>4079.0857972066028</v>
      </c>
      <c r="AB15" s="485">
        <f>'Crossing Inputs'!$F$70</f>
        <v>4079.0857972066028</v>
      </c>
      <c r="AC15" s="485">
        <f>'Crossing Inputs'!$F$70</f>
        <v>4079.0857972066028</v>
      </c>
      <c r="AD15" s="485">
        <f>'Crossing Inputs'!$F$70</f>
        <v>4079.0857972066028</v>
      </c>
      <c r="AE15" s="485">
        <f>'Crossing Inputs'!$F$70</f>
        <v>4079.0857972066028</v>
      </c>
      <c r="AF15" s="485">
        <f>'Crossing Inputs'!$F$70</f>
        <v>4079.0857972066028</v>
      </c>
      <c r="AG15" s="485">
        <f>'Crossing Inputs'!$F$70</f>
        <v>4079.0857972066028</v>
      </c>
      <c r="AH15" s="485">
        <f>'Crossing Inputs'!$F$70</f>
        <v>4079.0857972066028</v>
      </c>
      <c r="AI15" s="485">
        <f>'Crossing Inputs'!$F$70</f>
        <v>4079.0857972066028</v>
      </c>
      <c r="AJ15" s="485">
        <f>'Crossing Inputs'!$F$70</f>
        <v>4079.0857972066028</v>
      </c>
      <c r="AK15" s="485">
        <f>'Crossing Inputs'!$F$70</f>
        <v>4079.0857972066028</v>
      </c>
      <c r="AL15" s="485">
        <f>'Crossing Inputs'!$F$70</f>
        <v>4079.0857972066028</v>
      </c>
    </row>
    <row r="16" spans="1:38" s="150" customFormat="1">
      <c r="B16" s="358" t="s">
        <v>1163</v>
      </c>
      <c r="C16" s="367" t="s">
        <v>292</v>
      </c>
      <c r="D16" s="1295">
        <f>'Crossing Inputs'!$G$70</f>
        <v>4079.0857972066028</v>
      </c>
      <c r="E16" s="1295">
        <f>'Crossing Inputs'!$G$70</f>
        <v>4079.0857972066028</v>
      </c>
      <c r="F16" s="1295">
        <f>'Crossing Inputs'!$G$70</f>
        <v>4079.0857972066028</v>
      </c>
      <c r="G16" s="1295">
        <f>'Crossing Inputs'!$G$70</f>
        <v>4079.0857972066028</v>
      </c>
      <c r="H16" s="1295">
        <f>'Crossing Inputs'!$G$70</f>
        <v>4079.0857972066028</v>
      </c>
      <c r="I16" s="1295">
        <f>'Crossing Inputs'!$G$70</f>
        <v>4079.0857972066028</v>
      </c>
      <c r="J16" s="1295">
        <f>'Crossing Inputs'!$G$70</f>
        <v>4079.0857972066028</v>
      </c>
      <c r="K16" s="1295">
        <f>'Crossing Inputs'!$G$70</f>
        <v>4079.0857972066028</v>
      </c>
      <c r="L16" s="1295">
        <f>'Crossing Inputs'!$G$70</f>
        <v>4079.0857972066028</v>
      </c>
      <c r="M16" s="1295">
        <f>'Crossing Inputs'!$G$70</f>
        <v>4079.0857972066028</v>
      </c>
      <c r="N16" s="1295">
        <f>'Crossing Inputs'!$G$70</f>
        <v>4079.0857972066028</v>
      </c>
      <c r="O16" s="1295">
        <f>'Crossing Inputs'!$G$70</f>
        <v>4079.0857972066028</v>
      </c>
      <c r="P16" s="1295">
        <f>'Crossing Inputs'!$G$70</f>
        <v>4079.0857972066028</v>
      </c>
      <c r="Q16" s="1295">
        <f>'Crossing Inputs'!$G$70</f>
        <v>4079.0857972066028</v>
      </c>
      <c r="R16" s="1295">
        <f>'Crossing Inputs'!$G$70</f>
        <v>4079.0857972066028</v>
      </c>
      <c r="S16" s="1295">
        <f>'Crossing Inputs'!$G$70</f>
        <v>4079.0857972066028</v>
      </c>
      <c r="T16" s="1295">
        <f>'Crossing Inputs'!$G$70</f>
        <v>4079.0857972066028</v>
      </c>
      <c r="U16" s="1295">
        <f>'Crossing Inputs'!$G$70</f>
        <v>4079.0857972066028</v>
      </c>
      <c r="V16" s="1295">
        <f>'Crossing Inputs'!$G$70</f>
        <v>4079.0857972066028</v>
      </c>
      <c r="W16" s="1295">
        <f>'Crossing Inputs'!$G$70</f>
        <v>4079.0857972066028</v>
      </c>
      <c r="X16" s="1295">
        <f>'Crossing Inputs'!$G$70</f>
        <v>4079.0857972066028</v>
      </c>
      <c r="Y16" s="1295">
        <f>'Crossing Inputs'!$G$70</f>
        <v>4079.0857972066028</v>
      </c>
      <c r="Z16" s="1295">
        <f>'Crossing Inputs'!$G$70</f>
        <v>4079.0857972066028</v>
      </c>
      <c r="AA16" s="1295">
        <f>'Crossing Inputs'!$G$70</f>
        <v>4079.0857972066028</v>
      </c>
      <c r="AB16" s="1295">
        <f>'Crossing Inputs'!$G$70</f>
        <v>4079.0857972066028</v>
      </c>
      <c r="AC16" s="1295">
        <f>'Crossing Inputs'!$G$70</f>
        <v>4079.0857972066028</v>
      </c>
      <c r="AD16" s="1295">
        <f>'Crossing Inputs'!$G$70</f>
        <v>4079.0857972066028</v>
      </c>
      <c r="AE16" s="1295">
        <f>'Crossing Inputs'!$G$70</f>
        <v>4079.0857972066028</v>
      </c>
      <c r="AF16" s="1295">
        <f>'Crossing Inputs'!$G$70</f>
        <v>4079.0857972066028</v>
      </c>
      <c r="AG16" s="1295">
        <f>'Crossing Inputs'!$G$70</f>
        <v>4079.0857972066028</v>
      </c>
      <c r="AH16" s="1295">
        <f>'Crossing Inputs'!$G$70</f>
        <v>4079.0857972066028</v>
      </c>
      <c r="AI16" s="1295">
        <f>'Crossing Inputs'!$G$70</f>
        <v>4079.0857972066028</v>
      </c>
      <c r="AJ16" s="1295">
        <f>'Crossing Inputs'!$G$70</f>
        <v>4079.0857972066028</v>
      </c>
      <c r="AK16" s="1295">
        <f>'Crossing Inputs'!$G$70</f>
        <v>4079.0857972066028</v>
      </c>
      <c r="AL16" s="1295">
        <f>'Crossing Inputs'!$G$70</f>
        <v>4079.0857972066028</v>
      </c>
    </row>
    <row r="17" spans="1:38" s="150" customFormat="1">
      <c r="B17" s="358" t="s">
        <v>1164</v>
      </c>
      <c r="C17" s="367" t="s">
        <v>292</v>
      </c>
      <c r="D17" s="1297">
        <f>'Crossing Inputs'!$H$70</f>
        <v>4079.0857972066028</v>
      </c>
      <c r="E17" s="1297">
        <f>'Crossing Inputs'!$H$70</f>
        <v>4079.0857972066028</v>
      </c>
      <c r="F17" s="1297">
        <f>'Crossing Inputs'!$H$70</f>
        <v>4079.0857972066028</v>
      </c>
      <c r="G17" s="1297">
        <f>'Crossing Inputs'!$H$70</f>
        <v>4079.0857972066028</v>
      </c>
      <c r="H17" s="1297">
        <f>'Crossing Inputs'!$H$70</f>
        <v>4079.0857972066028</v>
      </c>
      <c r="I17" s="1297">
        <f>'Crossing Inputs'!$H$70</f>
        <v>4079.0857972066028</v>
      </c>
      <c r="J17" s="1297">
        <f>'Crossing Inputs'!$H$70</f>
        <v>4079.0857972066028</v>
      </c>
      <c r="K17" s="1297">
        <f>'Crossing Inputs'!$H$70</f>
        <v>4079.0857972066028</v>
      </c>
      <c r="L17" s="1297">
        <f>'Crossing Inputs'!$H$70</f>
        <v>4079.0857972066028</v>
      </c>
      <c r="M17" s="1297">
        <f>'Crossing Inputs'!$H$70</f>
        <v>4079.0857972066028</v>
      </c>
      <c r="N17" s="1297">
        <f>'Crossing Inputs'!$H$70</f>
        <v>4079.0857972066028</v>
      </c>
      <c r="O17" s="1297">
        <f>'Crossing Inputs'!$H$70</f>
        <v>4079.0857972066028</v>
      </c>
      <c r="P17" s="1297">
        <f>'Crossing Inputs'!$H$70</f>
        <v>4079.0857972066028</v>
      </c>
      <c r="Q17" s="1297">
        <f>'Crossing Inputs'!$H$70</f>
        <v>4079.0857972066028</v>
      </c>
      <c r="R17" s="1297">
        <f>'Crossing Inputs'!$H$70</f>
        <v>4079.0857972066028</v>
      </c>
      <c r="S17" s="1297">
        <f>'Crossing Inputs'!$H$70</f>
        <v>4079.0857972066028</v>
      </c>
      <c r="T17" s="1297">
        <f>'Crossing Inputs'!$H$70</f>
        <v>4079.0857972066028</v>
      </c>
      <c r="U17" s="1297">
        <f>'Crossing Inputs'!$H$70</f>
        <v>4079.0857972066028</v>
      </c>
      <c r="V17" s="1297">
        <f>'Crossing Inputs'!$H$70</f>
        <v>4079.0857972066028</v>
      </c>
      <c r="W17" s="1297">
        <f>'Crossing Inputs'!$H$70</f>
        <v>4079.0857972066028</v>
      </c>
      <c r="X17" s="1297">
        <f>'Crossing Inputs'!$H$70</f>
        <v>4079.0857972066028</v>
      </c>
      <c r="Y17" s="1297">
        <f>'Crossing Inputs'!$H$70</f>
        <v>4079.0857972066028</v>
      </c>
      <c r="Z17" s="1297">
        <f>'Crossing Inputs'!$H$70</f>
        <v>4079.0857972066028</v>
      </c>
      <c r="AA17" s="1297">
        <f>'Crossing Inputs'!$H$70</f>
        <v>4079.0857972066028</v>
      </c>
      <c r="AB17" s="1297">
        <f>'Crossing Inputs'!$H$70</f>
        <v>4079.0857972066028</v>
      </c>
      <c r="AC17" s="1297">
        <f>'Crossing Inputs'!$H$70</f>
        <v>4079.0857972066028</v>
      </c>
      <c r="AD17" s="1297">
        <f>'Crossing Inputs'!$H$70</f>
        <v>4079.0857972066028</v>
      </c>
      <c r="AE17" s="1297">
        <f>'Crossing Inputs'!$H$70</f>
        <v>4079.0857972066028</v>
      </c>
      <c r="AF17" s="1297">
        <f>'Crossing Inputs'!$H$70</f>
        <v>4079.0857972066028</v>
      </c>
      <c r="AG17" s="1297">
        <f>'Crossing Inputs'!$H$70</f>
        <v>4079.0857972066028</v>
      </c>
      <c r="AH17" s="1297">
        <f>'Crossing Inputs'!$H$70</f>
        <v>4079.0857972066028</v>
      </c>
      <c r="AI17" s="1297">
        <f>'Crossing Inputs'!$H$70</f>
        <v>4079.0857972066028</v>
      </c>
      <c r="AJ17" s="1297">
        <f>'Crossing Inputs'!$H$70</f>
        <v>4079.0857972066028</v>
      </c>
      <c r="AK17" s="1297">
        <f>'Crossing Inputs'!$H$70</f>
        <v>4079.0857972066028</v>
      </c>
      <c r="AL17" s="1297">
        <f>'Crossing Inputs'!$H$70</f>
        <v>4079.0857972066028</v>
      </c>
    </row>
    <row r="18" spans="1:38" s="150" customFormat="1">
      <c r="B18" s="358"/>
      <c r="C18" s="367"/>
      <c r="D18" s="1296"/>
      <c r="E18" s="1296"/>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row>
    <row r="19" spans="1:38">
      <c r="B19" s="364" t="s">
        <v>717</v>
      </c>
      <c r="C19" s="581" t="s">
        <v>292</v>
      </c>
      <c r="D19" s="1298">
        <f>SUM(D6:D17)</f>
        <v>48949.029566479228</v>
      </c>
      <c r="E19" s="1298">
        <f t="shared" ref="E19:AK19" si="1">SUM(E6:E17)</f>
        <v>48949.029566479228</v>
      </c>
      <c r="F19" s="1298">
        <f t="shared" si="1"/>
        <v>48949.029566479228</v>
      </c>
      <c r="G19" s="1298">
        <f t="shared" si="1"/>
        <v>48949.029566479228</v>
      </c>
      <c r="H19" s="1298">
        <f t="shared" si="1"/>
        <v>48949.029566479228</v>
      </c>
      <c r="I19" s="1298">
        <f t="shared" si="1"/>
        <v>48949.029566479228</v>
      </c>
      <c r="J19" s="1298">
        <f t="shared" si="1"/>
        <v>48949.029566479228</v>
      </c>
      <c r="K19" s="1298">
        <f t="shared" si="1"/>
        <v>48949.029566479228</v>
      </c>
      <c r="L19" s="1298">
        <f t="shared" si="1"/>
        <v>48949.029566479228</v>
      </c>
      <c r="M19" s="1298">
        <f t="shared" si="1"/>
        <v>48949.029566479228</v>
      </c>
      <c r="N19" s="1298">
        <f t="shared" si="1"/>
        <v>48949.029566479228</v>
      </c>
      <c r="O19" s="1298">
        <f t="shared" si="1"/>
        <v>48949.029566479228</v>
      </c>
      <c r="P19" s="1298">
        <f t="shared" si="1"/>
        <v>48949.029566479228</v>
      </c>
      <c r="Q19" s="1298">
        <f t="shared" si="1"/>
        <v>48949.029566479228</v>
      </c>
      <c r="R19" s="1298">
        <f t="shared" si="1"/>
        <v>48949.029566479228</v>
      </c>
      <c r="S19" s="1298">
        <f t="shared" si="1"/>
        <v>48949.029566479228</v>
      </c>
      <c r="T19" s="1298">
        <f t="shared" si="1"/>
        <v>48949.029566479228</v>
      </c>
      <c r="U19" s="1298">
        <f t="shared" si="1"/>
        <v>48949.029566479228</v>
      </c>
      <c r="V19" s="1298">
        <f t="shared" si="1"/>
        <v>48949.029566479228</v>
      </c>
      <c r="W19" s="1298">
        <f t="shared" si="1"/>
        <v>48949.029566479228</v>
      </c>
      <c r="X19" s="1298">
        <f t="shared" si="1"/>
        <v>48949.029566479228</v>
      </c>
      <c r="Y19" s="1298">
        <f t="shared" si="1"/>
        <v>48949.029566479228</v>
      </c>
      <c r="Z19" s="1298">
        <f t="shared" si="1"/>
        <v>48949.029566479228</v>
      </c>
      <c r="AA19" s="1298">
        <f t="shared" si="1"/>
        <v>48949.029566479228</v>
      </c>
      <c r="AB19" s="1298">
        <f t="shared" si="1"/>
        <v>48949.029566479228</v>
      </c>
      <c r="AC19" s="1298">
        <f t="shared" si="1"/>
        <v>48949.029566479228</v>
      </c>
      <c r="AD19" s="1298">
        <f t="shared" si="1"/>
        <v>48949.029566479228</v>
      </c>
      <c r="AE19" s="1298">
        <f t="shared" si="1"/>
        <v>48949.029566479228</v>
      </c>
      <c r="AF19" s="1298">
        <f t="shared" si="1"/>
        <v>48949.029566479228</v>
      </c>
      <c r="AG19" s="1298">
        <f t="shared" si="1"/>
        <v>48949.029566479228</v>
      </c>
      <c r="AH19" s="1298">
        <f t="shared" si="1"/>
        <v>48949.029566479228</v>
      </c>
      <c r="AI19" s="1298">
        <f t="shared" si="1"/>
        <v>48949.029566479228</v>
      </c>
      <c r="AJ19" s="1298">
        <f t="shared" si="1"/>
        <v>48949.029566479228</v>
      </c>
      <c r="AK19" s="1298">
        <f t="shared" si="1"/>
        <v>48949.029566479228</v>
      </c>
      <c r="AL19" s="1298">
        <f t="shared" ref="AL19" si="2">SUM(AL6:AL17)</f>
        <v>48949.029566479228</v>
      </c>
    </row>
    <row r="20" spans="1:38">
      <c r="B20" s="358"/>
      <c r="C20" s="367"/>
      <c r="D20" s="366"/>
      <c r="E20" s="366"/>
      <c r="F20" s="366"/>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row>
    <row r="21" spans="1:38">
      <c r="A21" s="453"/>
      <c r="B21" s="495" t="s">
        <v>625</v>
      </c>
      <c r="C21" s="745"/>
      <c r="D21" s="454"/>
      <c r="E21" s="379"/>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row>
    <row r="22" spans="1:38">
      <c r="B22" s="358"/>
      <c r="C22" s="367"/>
      <c r="D22" s="366"/>
      <c r="E22" s="366"/>
      <c r="F22" s="366"/>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row>
    <row r="23" spans="1:38" s="150" customFormat="1">
      <c r="B23" s="1216" t="s">
        <v>1153</v>
      </c>
      <c r="C23" s="367" t="s">
        <v>292</v>
      </c>
      <c r="D23" s="485">
        <f>'Crossing Inputs'!$C$45</f>
        <v>4079.0857972066028</v>
      </c>
      <c r="E23" s="485">
        <f>'Crossing Inputs'!$C$45</f>
        <v>4079.0857972066028</v>
      </c>
      <c r="F23" s="485">
        <f>'Crossing Inputs'!$C$45</f>
        <v>4079.0857972066028</v>
      </c>
      <c r="G23" s="485">
        <f>'Crossing Inputs'!$C$45</f>
        <v>4079.0857972066028</v>
      </c>
      <c r="H23" s="485">
        <f>'Crossing Inputs'!$C$46</f>
        <v>0</v>
      </c>
      <c r="I23" s="485">
        <f>'Crossing Inputs'!$C$46</f>
        <v>0</v>
      </c>
      <c r="J23" s="485">
        <f>'Crossing Inputs'!$C$46</f>
        <v>0</v>
      </c>
      <c r="K23" s="485">
        <f>'Crossing Inputs'!$C$46</f>
        <v>0</v>
      </c>
      <c r="L23" s="485">
        <f>'Crossing Inputs'!$C$46</f>
        <v>0</v>
      </c>
      <c r="M23" s="485">
        <f>'Crossing Inputs'!$C$46</f>
        <v>0</v>
      </c>
      <c r="N23" s="485">
        <f>'Crossing Inputs'!$C$46</f>
        <v>0</v>
      </c>
      <c r="O23" s="485">
        <f>'Crossing Inputs'!$C$46</f>
        <v>0</v>
      </c>
      <c r="P23" s="485">
        <f>'Crossing Inputs'!$C$46</f>
        <v>0</v>
      </c>
      <c r="Q23" s="485">
        <f>'Crossing Inputs'!$C$46</f>
        <v>0</v>
      </c>
      <c r="R23" s="485">
        <f>'Crossing Inputs'!$C$46</f>
        <v>0</v>
      </c>
      <c r="S23" s="485">
        <f>'Crossing Inputs'!$C$46</f>
        <v>0</v>
      </c>
      <c r="T23" s="485">
        <f>'Crossing Inputs'!$C$46</f>
        <v>0</v>
      </c>
      <c r="U23" s="485">
        <f>'Crossing Inputs'!$C$46</f>
        <v>0</v>
      </c>
      <c r="V23" s="485">
        <f>'Crossing Inputs'!$C$46</f>
        <v>0</v>
      </c>
      <c r="W23" s="485">
        <f>'Crossing Inputs'!$C$46</f>
        <v>0</v>
      </c>
      <c r="X23" s="485">
        <f>'Crossing Inputs'!$C$46</f>
        <v>0</v>
      </c>
      <c r="Y23" s="485">
        <f>'Crossing Inputs'!$C$46</f>
        <v>0</v>
      </c>
      <c r="Z23" s="485">
        <f>'Crossing Inputs'!$C$46</f>
        <v>0</v>
      </c>
      <c r="AA23" s="485">
        <f>'Crossing Inputs'!$C$46</f>
        <v>0</v>
      </c>
      <c r="AB23" s="485">
        <f>'Crossing Inputs'!$C$46</f>
        <v>0</v>
      </c>
      <c r="AC23" s="485">
        <f>'Crossing Inputs'!$C$46</f>
        <v>0</v>
      </c>
      <c r="AD23" s="485">
        <f>'Crossing Inputs'!$C$46</f>
        <v>0</v>
      </c>
      <c r="AE23" s="485">
        <f>'Crossing Inputs'!$C$46</f>
        <v>0</v>
      </c>
      <c r="AF23" s="485">
        <f>'Crossing Inputs'!$C$46</f>
        <v>0</v>
      </c>
      <c r="AG23" s="485">
        <f>'Crossing Inputs'!$C$46</f>
        <v>0</v>
      </c>
      <c r="AH23" s="485">
        <f>'Crossing Inputs'!$C$46</f>
        <v>0</v>
      </c>
      <c r="AI23" s="485">
        <f>'Crossing Inputs'!$C$46</f>
        <v>0</v>
      </c>
      <c r="AJ23" s="485">
        <f>'Crossing Inputs'!$C$46</f>
        <v>0</v>
      </c>
      <c r="AK23" s="485">
        <f>'Crossing Inputs'!$C$46</f>
        <v>0</v>
      </c>
      <c r="AL23" s="485">
        <f>'Crossing Inputs'!$C$46</f>
        <v>0</v>
      </c>
    </row>
    <row r="24" spans="1:38" s="150" customFormat="1">
      <c r="B24" s="1216" t="s">
        <v>1154</v>
      </c>
      <c r="C24" s="367" t="s">
        <v>292</v>
      </c>
      <c r="D24" s="485">
        <f>'Crossing Inputs'!$C$45</f>
        <v>4079.0857972066028</v>
      </c>
      <c r="E24" s="485">
        <f>'Crossing Inputs'!$C$45</f>
        <v>4079.0857972066028</v>
      </c>
      <c r="F24" s="485">
        <f>'Crossing Inputs'!$C$45</f>
        <v>4079.0857972066028</v>
      </c>
      <c r="G24" s="485">
        <f>'Crossing Inputs'!$C$45</f>
        <v>4079.0857972066028</v>
      </c>
      <c r="H24" s="485">
        <f>'Crossing Inputs'!$D$46</f>
        <v>0</v>
      </c>
      <c r="I24" s="485">
        <f>'Crossing Inputs'!$D$46</f>
        <v>0</v>
      </c>
      <c r="J24" s="485">
        <f>'Crossing Inputs'!$D$46</f>
        <v>0</v>
      </c>
      <c r="K24" s="485">
        <f>'Crossing Inputs'!$D$46</f>
        <v>0</v>
      </c>
      <c r="L24" s="485">
        <f>'Crossing Inputs'!$D$46</f>
        <v>0</v>
      </c>
      <c r="M24" s="485">
        <f>'Crossing Inputs'!$D$46</f>
        <v>0</v>
      </c>
      <c r="N24" s="485">
        <f>'Crossing Inputs'!$D$46</f>
        <v>0</v>
      </c>
      <c r="O24" s="485">
        <f>'Crossing Inputs'!$D$46</f>
        <v>0</v>
      </c>
      <c r="P24" s="485">
        <f>'Crossing Inputs'!$D$46</f>
        <v>0</v>
      </c>
      <c r="Q24" s="485">
        <f>'Crossing Inputs'!$D$46</f>
        <v>0</v>
      </c>
      <c r="R24" s="485">
        <f>'Crossing Inputs'!$D$46</f>
        <v>0</v>
      </c>
      <c r="S24" s="485">
        <f>'Crossing Inputs'!$D$46</f>
        <v>0</v>
      </c>
      <c r="T24" s="485">
        <f>'Crossing Inputs'!$D$46</f>
        <v>0</v>
      </c>
      <c r="U24" s="485">
        <f>'Crossing Inputs'!$D$46</f>
        <v>0</v>
      </c>
      <c r="V24" s="485">
        <f>'Crossing Inputs'!$D$46</f>
        <v>0</v>
      </c>
      <c r="W24" s="485">
        <f>'Crossing Inputs'!$D$46</f>
        <v>0</v>
      </c>
      <c r="X24" s="485">
        <f>'Crossing Inputs'!$D$46</f>
        <v>0</v>
      </c>
      <c r="Y24" s="485">
        <f>'Crossing Inputs'!$D$46</f>
        <v>0</v>
      </c>
      <c r="Z24" s="485">
        <f>'Crossing Inputs'!$D$46</f>
        <v>0</v>
      </c>
      <c r="AA24" s="485">
        <f>'Crossing Inputs'!$D$46</f>
        <v>0</v>
      </c>
      <c r="AB24" s="485">
        <f>'Crossing Inputs'!$D$46</f>
        <v>0</v>
      </c>
      <c r="AC24" s="485">
        <f>'Crossing Inputs'!$D$46</f>
        <v>0</v>
      </c>
      <c r="AD24" s="485">
        <f>'Crossing Inputs'!$D$46</f>
        <v>0</v>
      </c>
      <c r="AE24" s="485">
        <f>'Crossing Inputs'!$D$46</f>
        <v>0</v>
      </c>
      <c r="AF24" s="485">
        <f>'Crossing Inputs'!$D$46</f>
        <v>0</v>
      </c>
      <c r="AG24" s="485">
        <f>'Crossing Inputs'!$D$46</f>
        <v>0</v>
      </c>
      <c r="AH24" s="485">
        <f>'Crossing Inputs'!$D$46</f>
        <v>0</v>
      </c>
      <c r="AI24" s="485">
        <f>'Crossing Inputs'!$D$46</f>
        <v>0</v>
      </c>
      <c r="AJ24" s="485">
        <f>'Crossing Inputs'!$D$46</f>
        <v>0</v>
      </c>
      <c r="AK24" s="485">
        <f>'Crossing Inputs'!$D$46</f>
        <v>0</v>
      </c>
      <c r="AL24" s="485">
        <f>'Crossing Inputs'!$D$46</f>
        <v>0</v>
      </c>
    </row>
    <row r="25" spans="1:38" s="150" customFormat="1">
      <c r="B25" s="1216" t="s">
        <v>1155</v>
      </c>
      <c r="C25" s="367" t="s">
        <v>292</v>
      </c>
      <c r="D25" s="485">
        <f>'Crossing Inputs'!$C$45</f>
        <v>4079.0857972066028</v>
      </c>
      <c r="E25" s="485">
        <f>'Crossing Inputs'!$C$45</f>
        <v>4079.0857972066028</v>
      </c>
      <c r="F25" s="485">
        <f>'Crossing Inputs'!$C$45</f>
        <v>4079.0857972066028</v>
      </c>
      <c r="G25" s="485">
        <f>'Crossing Inputs'!$C$45</f>
        <v>4079.0857972066028</v>
      </c>
      <c r="H25" s="485">
        <f>'Crossing Inputs'!$E$46</f>
        <v>0</v>
      </c>
      <c r="I25" s="485">
        <f>'Crossing Inputs'!$E$46</f>
        <v>0</v>
      </c>
      <c r="J25" s="485">
        <f>'Crossing Inputs'!$E$46</f>
        <v>0</v>
      </c>
      <c r="K25" s="485">
        <f>'Crossing Inputs'!$E$46</f>
        <v>0</v>
      </c>
      <c r="L25" s="485">
        <f>'Crossing Inputs'!$E$46</f>
        <v>0</v>
      </c>
      <c r="M25" s="485">
        <f>'Crossing Inputs'!$E$46</f>
        <v>0</v>
      </c>
      <c r="N25" s="485">
        <f>'Crossing Inputs'!$E$46</f>
        <v>0</v>
      </c>
      <c r="O25" s="485">
        <f>'Crossing Inputs'!$E$46</f>
        <v>0</v>
      </c>
      <c r="P25" s="485">
        <f>'Crossing Inputs'!$E$46</f>
        <v>0</v>
      </c>
      <c r="Q25" s="485">
        <f>'Crossing Inputs'!$E$46</f>
        <v>0</v>
      </c>
      <c r="R25" s="485">
        <f>'Crossing Inputs'!$E$46</f>
        <v>0</v>
      </c>
      <c r="S25" s="485">
        <f>'Crossing Inputs'!$E$46</f>
        <v>0</v>
      </c>
      <c r="T25" s="485">
        <f>'Crossing Inputs'!$E$46</f>
        <v>0</v>
      </c>
      <c r="U25" s="485">
        <f>'Crossing Inputs'!$E$46</f>
        <v>0</v>
      </c>
      <c r="V25" s="485">
        <f>'Crossing Inputs'!$E$46</f>
        <v>0</v>
      </c>
      <c r="W25" s="485">
        <f>'Crossing Inputs'!$E$46</f>
        <v>0</v>
      </c>
      <c r="X25" s="485">
        <f>'Crossing Inputs'!$E$46</f>
        <v>0</v>
      </c>
      <c r="Y25" s="485">
        <f>'Crossing Inputs'!$E$46</f>
        <v>0</v>
      </c>
      <c r="Z25" s="485">
        <f>'Crossing Inputs'!$E$46</f>
        <v>0</v>
      </c>
      <c r="AA25" s="485">
        <f>'Crossing Inputs'!$E$46</f>
        <v>0</v>
      </c>
      <c r="AB25" s="485">
        <f>'Crossing Inputs'!$E$46</f>
        <v>0</v>
      </c>
      <c r="AC25" s="485">
        <f>'Crossing Inputs'!$E$46</f>
        <v>0</v>
      </c>
      <c r="AD25" s="485">
        <f>'Crossing Inputs'!$E$46</f>
        <v>0</v>
      </c>
      <c r="AE25" s="485">
        <f>'Crossing Inputs'!$E$46</f>
        <v>0</v>
      </c>
      <c r="AF25" s="485">
        <f>'Crossing Inputs'!$E$46</f>
        <v>0</v>
      </c>
      <c r="AG25" s="485">
        <f>'Crossing Inputs'!$E$46</f>
        <v>0</v>
      </c>
      <c r="AH25" s="485">
        <f>'Crossing Inputs'!$E$46</f>
        <v>0</v>
      </c>
      <c r="AI25" s="485">
        <f>'Crossing Inputs'!$E$46</f>
        <v>0</v>
      </c>
      <c r="AJ25" s="485">
        <f>'Crossing Inputs'!$E$46</f>
        <v>0</v>
      </c>
      <c r="AK25" s="485">
        <f>'Crossing Inputs'!$E$46</f>
        <v>0</v>
      </c>
      <c r="AL25" s="485">
        <f>'Crossing Inputs'!$E$46</f>
        <v>0</v>
      </c>
    </row>
    <row r="26" spans="1:38">
      <c r="B26" s="358" t="s">
        <v>1156</v>
      </c>
      <c r="C26" s="367" t="s">
        <v>292</v>
      </c>
      <c r="D26" s="485">
        <f>'Crossing Inputs'!$C$45</f>
        <v>4079.0857972066028</v>
      </c>
      <c r="E26" s="485">
        <f>'Crossing Inputs'!$C$45</f>
        <v>4079.0857972066028</v>
      </c>
      <c r="F26" s="485">
        <f>'Crossing Inputs'!$C$45</f>
        <v>4079.0857972066028</v>
      </c>
      <c r="G26" s="485">
        <f>'Crossing Inputs'!$C$45</f>
        <v>4079.0857972066028</v>
      </c>
      <c r="H26" s="485">
        <f>'Crossing Inputs'!$F$46</f>
        <v>0</v>
      </c>
      <c r="I26" s="485">
        <f>'Crossing Inputs'!$F$46</f>
        <v>0</v>
      </c>
      <c r="J26" s="485">
        <f>'Crossing Inputs'!$F$46</f>
        <v>0</v>
      </c>
      <c r="K26" s="485">
        <f>'Crossing Inputs'!$F$46</f>
        <v>0</v>
      </c>
      <c r="L26" s="485">
        <f>'Crossing Inputs'!$F$46</f>
        <v>0</v>
      </c>
      <c r="M26" s="485">
        <f>'Crossing Inputs'!$F$46</f>
        <v>0</v>
      </c>
      <c r="N26" s="485">
        <f>'Crossing Inputs'!$F$46</f>
        <v>0</v>
      </c>
      <c r="O26" s="485">
        <f>'Crossing Inputs'!$F$46</f>
        <v>0</v>
      </c>
      <c r="P26" s="485">
        <f>'Crossing Inputs'!$F$46</f>
        <v>0</v>
      </c>
      <c r="Q26" s="485">
        <f>'Crossing Inputs'!$F$46</f>
        <v>0</v>
      </c>
      <c r="R26" s="485">
        <f>'Crossing Inputs'!$F$46</f>
        <v>0</v>
      </c>
      <c r="S26" s="485">
        <f>'Crossing Inputs'!$F$46</f>
        <v>0</v>
      </c>
      <c r="T26" s="485">
        <f>'Crossing Inputs'!$F$46</f>
        <v>0</v>
      </c>
      <c r="U26" s="485">
        <f>'Crossing Inputs'!$F$46</f>
        <v>0</v>
      </c>
      <c r="V26" s="485">
        <f>'Crossing Inputs'!$F$46</f>
        <v>0</v>
      </c>
      <c r="W26" s="485">
        <f>'Crossing Inputs'!$F$46</f>
        <v>0</v>
      </c>
      <c r="X26" s="485">
        <f>'Crossing Inputs'!$F$46</f>
        <v>0</v>
      </c>
      <c r="Y26" s="485">
        <f>'Crossing Inputs'!$F$46</f>
        <v>0</v>
      </c>
      <c r="Z26" s="485">
        <f>'Crossing Inputs'!$F$46</f>
        <v>0</v>
      </c>
      <c r="AA26" s="485">
        <f>'Crossing Inputs'!$F$46</f>
        <v>0</v>
      </c>
      <c r="AB26" s="485">
        <f>'Crossing Inputs'!$F$46</f>
        <v>0</v>
      </c>
      <c r="AC26" s="485">
        <f>'Crossing Inputs'!$F$46</f>
        <v>0</v>
      </c>
      <c r="AD26" s="485">
        <f>'Crossing Inputs'!$F$46</f>
        <v>0</v>
      </c>
      <c r="AE26" s="485">
        <f>'Crossing Inputs'!$F$46</f>
        <v>0</v>
      </c>
      <c r="AF26" s="485">
        <f>'Crossing Inputs'!$F$46</f>
        <v>0</v>
      </c>
      <c r="AG26" s="485">
        <f>'Crossing Inputs'!$F$46</f>
        <v>0</v>
      </c>
      <c r="AH26" s="485">
        <f>'Crossing Inputs'!$F$46</f>
        <v>0</v>
      </c>
      <c r="AI26" s="485">
        <f>'Crossing Inputs'!$F$46</f>
        <v>0</v>
      </c>
      <c r="AJ26" s="485">
        <f>'Crossing Inputs'!$F$46</f>
        <v>0</v>
      </c>
      <c r="AK26" s="485">
        <f>'Crossing Inputs'!$F$46</f>
        <v>0</v>
      </c>
      <c r="AL26" s="485">
        <f>'Crossing Inputs'!$F$46</f>
        <v>0</v>
      </c>
    </row>
    <row r="27" spans="1:38" s="150" customFormat="1">
      <c r="B27" s="358" t="s">
        <v>1157</v>
      </c>
      <c r="C27" s="367" t="s">
        <v>292</v>
      </c>
      <c r="D27" s="485">
        <f>'Crossing Inputs'!$C$45</f>
        <v>4079.0857972066028</v>
      </c>
      <c r="E27" s="485">
        <f>'Crossing Inputs'!$C$45</f>
        <v>4079.0857972066028</v>
      </c>
      <c r="F27" s="485">
        <f>'Crossing Inputs'!$C$45</f>
        <v>4079.0857972066028</v>
      </c>
      <c r="G27" s="485">
        <f>'Crossing Inputs'!$C$45</f>
        <v>4079.0857972066028</v>
      </c>
      <c r="H27" s="485">
        <f>'Crossing Inputs'!$G$46</f>
        <v>0</v>
      </c>
      <c r="I27" s="485">
        <f>'Crossing Inputs'!$G$46</f>
        <v>0</v>
      </c>
      <c r="J27" s="485">
        <f>'Crossing Inputs'!$G$46</f>
        <v>0</v>
      </c>
      <c r="K27" s="485">
        <f>'Crossing Inputs'!$G$46</f>
        <v>0</v>
      </c>
      <c r="L27" s="485">
        <f>'Crossing Inputs'!$G$46</f>
        <v>0</v>
      </c>
      <c r="M27" s="485">
        <f>'Crossing Inputs'!$G$46</f>
        <v>0</v>
      </c>
      <c r="N27" s="485">
        <f>'Crossing Inputs'!$G$46</f>
        <v>0</v>
      </c>
      <c r="O27" s="485">
        <f>'Crossing Inputs'!$G$46</f>
        <v>0</v>
      </c>
      <c r="P27" s="485">
        <f>'Crossing Inputs'!$G$46</f>
        <v>0</v>
      </c>
      <c r="Q27" s="485">
        <f>'Crossing Inputs'!$G$46</f>
        <v>0</v>
      </c>
      <c r="R27" s="485">
        <f>'Crossing Inputs'!$G$46</f>
        <v>0</v>
      </c>
      <c r="S27" s="485">
        <f>'Crossing Inputs'!$G$46</f>
        <v>0</v>
      </c>
      <c r="T27" s="485">
        <f>'Crossing Inputs'!$G$46</f>
        <v>0</v>
      </c>
      <c r="U27" s="485">
        <f>'Crossing Inputs'!$G$46</f>
        <v>0</v>
      </c>
      <c r="V27" s="485">
        <f>'Crossing Inputs'!$G$46</f>
        <v>0</v>
      </c>
      <c r="W27" s="485">
        <f>'Crossing Inputs'!$G$46</f>
        <v>0</v>
      </c>
      <c r="X27" s="485">
        <f>'Crossing Inputs'!$G$46</f>
        <v>0</v>
      </c>
      <c r="Y27" s="485">
        <f>'Crossing Inputs'!$G$46</f>
        <v>0</v>
      </c>
      <c r="Z27" s="485">
        <f>'Crossing Inputs'!$G$46</f>
        <v>0</v>
      </c>
      <c r="AA27" s="485">
        <f>'Crossing Inputs'!$G$46</f>
        <v>0</v>
      </c>
      <c r="AB27" s="485">
        <f>'Crossing Inputs'!$G$46</f>
        <v>0</v>
      </c>
      <c r="AC27" s="485">
        <f>'Crossing Inputs'!$G$46</f>
        <v>0</v>
      </c>
      <c r="AD27" s="485">
        <f>'Crossing Inputs'!$G$46</f>
        <v>0</v>
      </c>
      <c r="AE27" s="485">
        <f>'Crossing Inputs'!$G$46</f>
        <v>0</v>
      </c>
      <c r="AF27" s="485">
        <f>'Crossing Inputs'!$G$46</f>
        <v>0</v>
      </c>
      <c r="AG27" s="485">
        <f>'Crossing Inputs'!$G$46</f>
        <v>0</v>
      </c>
      <c r="AH27" s="485">
        <f>'Crossing Inputs'!$G$46</f>
        <v>0</v>
      </c>
      <c r="AI27" s="485">
        <f>'Crossing Inputs'!$G$46</f>
        <v>0</v>
      </c>
      <c r="AJ27" s="485">
        <f>'Crossing Inputs'!$G$46</f>
        <v>0</v>
      </c>
      <c r="AK27" s="485">
        <f>'Crossing Inputs'!$G$46</f>
        <v>0</v>
      </c>
      <c r="AL27" s="485">
        <f>'Crossing Inputs'!$G$46</f>
        <v>0</v>
      </c>
    </row>
    <row r="28" spans="1:38" s="150" customFormat="1">
      <c r="B28" s="358" t="s">
        <v>1158</v>
      </c>
      <c r="C28" s="367" t="s">
        <v>292</v>
      </c>
      <c r="D28" s="485">
        <f>'Crossing Inputs'!$C$45</f>
        <v>4079.0857972066028</v>
      </c>
      <c r="E28" s="485">
        <f>'Crossing Inputs'!$C$45</f>
        <v>4079.0857972066028</v>
      </c>
      <c r="F28" s="485">
        <f>'Crossing Inputs'!$C$45</f>
        <v>4079.0857972066028</v>
      </c>
      <c r="G28" s="485">
        <f>'Crossing Inputs'!$C$45</f>
        <v>4079.0857972066028</v>
      </c>
      <c r="H28" s="485">
        <f>'Crossing Inputs'!$H$46</f>
        <v>0</v>
      </c>
      <c r="I28" s="485">
        <f>'Crossing Inputs'!$H$46</f>
        <v>0</v>
      </c>
      <c r="J28" s="485">
        <f>'Crossing Inputs'!$H$46</f>
        <v>0</v>
      </c>
      <c r="K28" s="485">
        <f>'Crossing Inputs'!$H$46</f>
        <v>0</v>
      </c>
      <c r="L28" s="485">
        <f>'Crossing Inputs'!$H$46</f>
        <v>0</v>
      </c>
      <c r="M28" s="485">
        <f>'Crossing Inputs'!$H$46</f>
        <v>0</v>
      </c>
      <c r="N28" s="485">
        <f>'Crossing Inputs'!$H$46</f>
        <v>0</v>
      </c>
      <c r="O28" s="485">
        <f>'Crossing Inputs'!$H$46</f>
        <v>0</v>
      </c>
      <c r="P28" s="485">
        <f>'Crossing Inputs'!$H$46</f>
        <v>0</v>
      </c>
      <c r="Q28" s="485">
        <f>'Crossing Inputs'!$H$46</f>
        <v>0</v>
      </c>
      <c r="R28" s="485">
        <f>'Crossing Inputs'!$H$46</f>
        <v>0</v>
      </c>
      <c r="S28" s="485">
        <f>'Crossing Inputs'!$H$46</f>
        <v>0</v>
      </c>
      <c r="T28" s="485">
        <f>'Crossing Inputs'!$H$46</f>
        <v>0</v>
      </c>
      <c r="U28" s="485">
        <f>'Crossing Inputs'!$H$46</f>
        <v>0</v>
      </c>
      <c r="V28" s="485">
        <f>'Crossing Inputs'!$H$46</f>
        <v>0</v>
      </c>
      <c r="W28" s="485">
        <f>'Crossing Inputs'!$H$46</f>
        <v>0</v>
      </c>
      <c r="X28" s="485">
        <f>'Crossing Inputs'!$H$46</f>
        <v>0</v>
      </c>
      <c r="Y28" s="485">
        <f>'Crossing Inputs'!$H$46</f>
        <v>0</v>
      </c>
      <c r="Z28" s="485">
        <f>'Crossing Inputs'!$H$46</f>
        <v>0</v>
      </c>
      <c r="AA28" s="485">
        <f>'Crossing Inputs'!$H$46</f>
        <v>0</v>
      </c>
      <c r="AB28" s="485">
        <f>'Crossing Inputs'!$H$46</f>
        <v>0</v>
      </c>
      <c r="AC28" s="485">
        <f>'Crossing Inputs'!$H$46</f>
        <v>0</v>
      </c>
      <c r="AD28" s="485">
        <f>'Crossing Inputs'!$H$46</f>
        <v>0</v>
      </c>
      <c r="AE28" s="485">
        <f>'Crossing Inputs'!$H$46</f>
        <v>0</v>
      </c>
      <c r="AF28" s="485">
        <f>'Crossing Inputs'!$H$46</f>
        <v>0</v>
      </c>
      <c r="AG28" s="485">
        <f>'Crossing Inputs'!$H$46</f>
        <v>0</v>
      </c>
      <c r="AH28" s="485">
        <f>'Crossing Inputs'!$H$46</f>
        <v>0</v>
      </c>
      <c r="AI28" s="485">
        <f>'Crossing Inputs'!$H$46</f>
        <v>0</v>
      </c>
      <c r="AJ28" s="485">
        <f>'Crossing Inputs'!$H$46</f>
        <v>0</v>
      </c>
      <c r="AK28" s="485">
        <f>'Crossing Inputs'!$H$46</f>
        <v>0</v>
      </c>
      <c r="AL28" s="485">
        <f>'Crossing Inputs'!$H$46</f>
        <v>0</v>
      </c>
    </row>
    <row r="29" spans="1:38" s="150" customFormat="1">
      <c r="B29" s="358" t="s">
        <v>1159</v>
      </c>
      <c r="C29" s="367" t="s">
        <v>292</v>
      </c>
      <c r="D29" s="485">
        <f>'Crossing Inputs'!$C$71</f>
        <v>4079.0857972066028</v>
      </c>
      <c r="E29" s="485">
        <f>'Crossing Inputs'!$C$71</f>
        <v>4079.0857972066028</v>
      </c>
      <c r="F29" s="485">
        <f>'Crossing Inputs'!$C$71</f>
        <v>4079.0857972066028</v>
      </c>
      <c r="G29" s="485">
        <f>'Crossing Inputs'!$C$71</f>
        <v>4079.0857972066028</v>
      </c>
      <c r="H29" s="485">
        <f>'Crossing Inputs'!$C$71</f>
        <v>4079.0857972066028</v>
      </c>
      <c r="I29" s="485">
        <f>'Crossing Inputs'!$C$71</f>
        <v>4079.0857972066028</v>
      </c>
      <c r="J29" s="485">
        <f>'Crossing Inputs'!$C$71</f>
        <v>4079.0857972066028</v>
      </c>
      <c r="K29" s="485">
        <f>'Crossing Inputs'!$C$71</f>
        <v>4079.0857972066028</v>
      </c>
      <c r="L29" s="485">
        <f>'Crossing Inputs'!$C$71</f>
        <v>4079.0857972066028</v>
      </c>
      <c r="M29" s="485">
        <f>'Crossing Inputs'!$C$71</f>
        <v>4079.0857972066028</v>
      </c>
      <c r="N29" s="485">
        <f>'Crossing Inputs'!$C$71</f>
        <v>4079.0857972066028</v>
      </c>
      <c r="O29" s="485">
        <f>'Crossing Inputs'!$C$71</f>
        <v>4079.0857972066028</v>
      </c>
      <c r="P29" s="485">
        <f>'Crossing Inputs'!$C$71</f>
        <v>4079.0857972066028</v>
      </c>
      <c r="Q29" s="485">
        <f>'Crossing Inputs'!$C$71</f>
        <v>4079.0857972066028</v>
      </c>
      <c r="R29" s="485">
        <f>'Crossing Inputs'!$C$71</f>
        <v>4079.0857972066028</v>
      </c>
      <c r="S29" s="485">
        <f>'Crossing Inputs'!$C$71</f>
        <v>4079.0857972066028</v>
      </c>
      <c r="T29" s="485">
        <f>'Crossing Inputs'!$C$71</f>
        <v>4079.0857972066028</v>
      </c>
      <c r="U29" s="485">
        <f>'Crossing Inputs'!$C$71</f>
        <v>4079.0857972066028</v>
      </c>
      <c r="V29" s="485">
        <f>'Crossing Inputs'!$C$71</f>
        <v>4079.0857972066028</v>
      </c>
      <c r="W29" s="485">
        <f>'Crossing Inputs'!$C$71</f>
        <v>4079.0857972066028</v>
      </c>
      <c r="X29" s="485">
        <f>'Crossing Inputs'!$C$71</f>
        <v>4079.0857972066028</v>
      </c>
      <c r="Y29" s="485">
        <f>'Crossing Inputs'!$C$71</f>
        <v>4079.0857972066028</v>
      </c>
      <c r="Z29" s="485">
        <f>'Crossing Inputs'!$C$71</f>
        <v>4079.0857972066028</v>
      </c>
      <c r="AA29" s="485">
        <f>'Crossing Inputs'!$C$71</f>
        <v>4079.0857972066028</v>
      </c>
      <c r="AB29" s="485">
        <f>'Crossing Inputs'!$C$71</f>
        <v>4079.0857972066028</v>
      </c>
      <c r="AC29" s="485">
        <f>'Crossing Inputs'!$C$71</f>
        <v>4079.0857972066028</v>
      </c>
      <c r="AD29" s="485">
        <f>'Crossing Inputs'!$C$71</f>
        <v>4079.0857972066028</v>
      </c>
      <c r="AE29" s="485">
        <f>'Crossing Inputs'!$C$71</f>
        <v>4079.0857972066028</v>
      </c>
      <c r="AF29" s="485">
        <f>'Crossing Inputs'!$C$71</f>
        <v>4079.0857972066028</v>
      </c>
      <c r="AG29" s="485">
        <f>'Crossing Inputs'!$C$71</f>
        <v>4079.0857972066028</v>
      </c>
      <c r="AH29" s="485">
        <f>'Crossing Inputs'!$C$71</f>
        <v>4079.0857972066028</v>
      </c>
      <c r="AI29" s="485">
        <f>'Crossing Inputs'!$C$71</f>
        <v>4079.0857972066028</v>
      </c>
      <c r="AJ29" s="485">
        <f>'Crossing Inputs'!$C$71</f>
        <v>4079.0857972066028</v>
      </c>
      <c r="AK29" s="485">
        <f>'Crossing Inputs'!$C$71</f>
        <v>4079.0857972066028</v>
      </c>
      <c r="AL29" s="485">
        <f>'Crossing Inputs'!$C$71</f>
        <v>4079.0857972066028</v>
      </c>
    </row>
    <row r="30" spans="1:38" s="150" customFormat="1">
      <c r="B30" s="358" t="s">
        <v>1160</v>
      </c>
      <c r="C30" s="367" t="s">
        <v>292</v>
      </c>
      <c r="D30" s="485">
        <f>'Crossing Inputs'!$D$71</f>
        <v>4079.0857972066028</v>
      </c>
      <c r="E30" s="485">
        <f>'Crossing Inputs'!$D$71</f>
        <v>4079.0857972066028</v>
      </c>
      <c r="F30" s="485">
        <f>'Crossing Inputs'!$D$71</f>
        <v>4079.0857972066028</v>
      </c>
      <c r="G30" s="485">
        <f>'Crossing Inputs'!$D$71</f>
        <v>4079.0857972066028</v>
      </c>
      <c r="H30" s="485">
        <f>'Crossing Inputs'!$D$71</f>
        <v>4079.0857972066028</v>
      </c>
      <c r="I30" s="485">
        <f>'Crossing Inputs'!$D$71</f>
        <v>4079.0857972066028</v>
      </c>
      <c r="J30" s="485">
        <f>'Crossing Inputs'!$D$71</f>
        <v>4079.0857972066028</v>
      </c>
      <c r="K30" s="485">
        <f>'Crossing Inputs'!$D$71</f>
        <v>4079.0857972066028</v>
      </c>
      <c r="L30" s="485">
        <f>'Crossing Inputs'!$D$71</f>
        <v>4079.0857972066028</v>
      </c>
      <c r="M30" s="485">
        <f>'Crossing Inputs'!$D$71</f>
        <v>4079.0857972066028</v>
      </c>
      <c r="N30" s="485">
        <f>'Crossing Inputs'!$D$71</f>
        <v>4079.0857972066028</v>
      </c>
      <c r="O30" s="485">
        <f>'Crossing Inputs'!$D$71</f>
        <v>4079.0857972066028</v>
      </c>
      <c r="P30" s="485">
        <f>'Crossing Inputs'!$D$71</f>
        <v>4079.0857972066028</v>
      </c>
      <c r="Q30" s="485">
        <f>'Crossing Inputs'!$D$71</f>
        <v>4079.0857972066028</v>
      </c>
      <c r="R30" s="485">
        <f>'Crossing Inputs'!$D$71</f>
        <v>4079.0857972066028</v>
      </c>
      <c r="S30" s="485">
        <f>'Crossing Inputs'!$D$71</f>
        <v>4079.0857972066028</v>
      </c>
      <c r="T30" s="485">
        <f>'Crossing Inputs'!$D$71</f>
        <v>4079.0857972066028</v>
      </c>
      <c r="U30" s="485">
        <f>'Crossing Inputs'!$D$71</f>
        <v>4079.0857972066028</v>
      </c>
      <c r="V30" s="485">
        <f>'Crossing Inputs'!$D$71</f>
        <v>4079.0857972066028</v>
      </c>
      <c r="W30" s="485">
        <f>'Crossing Inputs'!$D$71</f>
        <v>4079.0857972066028</v>
      </c>
      <c r="X30" s="485">
        <f>'Crossing Inputs'!$D$71</f>
        <v>4079.0857972066028</v>
      </c>
      <c r="Y30" s="485">
        <f>'Crossing Inputs'!$D$71</f>
        <v>4079.0857972066028</v>
      </c>
      <c r="Z30" s="485">
        <f>'Crossing Inputs'!$D$71</f>
        <v>4079.0857972066028</v>
      </c>
      <c r="AA30" s="485">
        <f>'Crossing Inputs'!$D$71</f>
        <v>4079.0857972066028</v>
      </c>
      <c r="AB30" s="485">
        <f>'Crossing Inputs'!$D$71</f>
        <v>4079.0857972066028</v>
      </c>
      <c r="AC30" s="485">
        <f>'Crossing Inputs'!$D$71</f>
        <v>4079.0857972066028</v>
      </c>
      <c r="AD30" s="485">
        <f>'Crossing Inputs'!$D$71</f>
        <v>4079.0857972066028</v>
      </c>
      <c r="AE30" s="485">
        <f>'Crossing Inputs'!$D$71</f>
        <v>4079.0857972066028</v>
      </c>
      <c r="AF30" s="485">
        <f>'Crossing Inputs'!$D$71</f>
        <v>4079.0857972066028</v>
      </c>
      <c r="AG30" s="485">
        <f>'Crossing Inputs'!$D$71</f>
        <v>4079.0857972066028</v>
      </c>
      <c r="AH30" s="485">
        <f>'Crossing Inputs'!$D$71</f>
        <v>4079.0857972066028</v>
      </c>
      <c r="AI30" s="485">
        <f>'Crossing Inputs'!$D$71</f>
        <v>4079.0857972066028</v>
      </c>
      <c r="AJ30" s="485">
        <f>'Crossing Inputs'!$D$71</f>
        <v>4079.0857972066028</v>
      </c>
      <c r="AK30" s="485">
        <f>'Crossing Inputs'!$D$71</f>
        <v>4079.0857972066028</v>
      </c>
      <c r="AL30" s="485">
        <f>'Crossing Inputs'!$D$71</f>
        <v>4079.0857972066028</v>
      </c>
    </row>
    <row r="31" spans="1:38" s="150" customFormat="1">
      <c r="B31" s="358" t="s">
        <v>1161</v>
      </c>
      <c r="C31" s="367" t="s">
        <v>292</v>
      </c>
      <c r="D31" s="485">
        <f>'Crossing Inputs'!$E$71</f>
        <v>4079.0857972066028</v>
      </c>
      <c r="E31" s="485">
        <f>'Crossing Inputs'!$E$71</f>
        <v>4079.0857972066028</v>
      </c>
      <c r="F31" s="485">
        <f>'Crossing Inputs'!$E$71</f>
        <v>4079.0857972066028</v>
      </c>
      <c r="G31" s="485">
        <f>'Crossing Inputs'!$E$71</f>
        <v>4079.0857972066028</v>
      </c>
      <c r="H31" s="485">
        <f>'Crossing Inputs'!$E$71</f>
        <v>4079.0857972066028</v>
      </c>
      <c r="I31" s="485">
        <f>'Crossing Inputs'!$E$71</f>
        <v>4079.0857972066028</v>
      </c>
      <c r="J31" s="485">
        <f>'Crossing Inputs'!$E$71</f>
        <v>4079.0857972066028</v>
      </c>
      <c r="K31" s="485">
        <f>'Crossing Inputs'!$E$71</f>
        <v>4079.0857972066028</v>
      </c>
      <c r="L31" s="485">
        <f>'Crossing Inputs'!$E$71</f>
        <v>4079.0857972066028</v>
      </c>
      <c r="M31" s="485">
        <f>'Crossing Inputs'!$E$71</f>
        <v>4079.0857972066028</v>
      </c>
      <c r="N31" s="485">
        <f>'Crossing Inputs'!$E$71</f>
        <v>4079.0857972066028</v>
      </c>
      <c r="O31" s="485">
        <f>'Crossing Inputs'!$E$71</f>
        <v>4079.0857972066028</v>
      </c>
      <c r="P31" s="485">
        <f>'Crossing Inputs'!$E$71</f>
        <v>4079.0857972066028</v>
      </c>
      <c r="Q31" s="485">
        <f>'Crossing Inputs'!$E$71</f>
        <v>4079.0857972066028</v>
      </c>
      <c r="R31" s="485">
        <f>'Crossing Inputs'!$E$71</f>
        <v>4079.0857972066028</v>
      </c>
      <c r="S31" s="485">
        <f>'Crossing Inputs'!$E$71</f>
        <v>4079.0857972066028</v>
      </c>
      <c r="T31" s="485">
        <f>'Crossing Inputs'!$E$71</f>
        <v>4079.0857972066028</v>
      </c>
      <c r="U31" s="485">
        <f>'Crossing Inputs'!$E$71</f>
        <v>4079.0857972066028</v>
      </c>
      <c r="V31" s="485">
        <f>'Crossing Inputs'!$E$71</f>
        <v>4079.0857972066028</v>
      </c>
      <c r="W31" s="485">
        <f>'Crossing Inputs'!$E$71</f>
        <v>4079.0857972066028</v>
      </c>
      <c r="X31" s="485">
        <f>'Crossing Inputs'!$E$71</f>
        <v>4079.0857972066028</v>
      </c>
      <c r="Y31" s="485">
        <f>'Crossing Inputs'!$E$71</f>
        <v>4079.0857972066028</v>
      </c>
      <c r="Z31" s="485">
        <f>'Crossing Inputs'!$E$71</f>
        <v>4079.0857972066028</v>
      </c>
      <c r="AA31" s="485">
        <f>'Crossing Inputs'!$E$71</f>
        <v>4079.0857972066028</v>
      </c>
      <c r="AB31" s="485">
        <f>'Crossing Inputs'!$E$71</f>
        <v>4079.0857972066028</v>
      </c>
      <c r="AC31" s="485">
        <f>'Crossing Inputs'!$E$71</f>
        <v>4079.0857972066028</v>
      </c>
      <c r="AD31" s="485">
        <f>'Crossing Inputs'!$E$71</f>
        <v>4079.0857972066028</v>
      </c>
      <c r="AE31" s="485">
        <f>'Crossing Inputs'!$E$71</f>
        <v>4079.0857972066028</v>
      </c>
      <c r="AF31" s="485">
        <f>'Crossing Inputs'!$E$71</f>
        <v>4079.0857972066028</v>
      </c>
      <c r="AG31" s="485">
        <f>'Crossing Inputs'!$E$71</f>
        <v>4079.0857972066028</v>
      </c>
      <c r="AH31" s="485">
        <f>'Crossing Inputs'!$E$71</f>
        <v>4079.0857972066028</v>
      </c>
      <c r="AI31" s="485">
        <f>'Crossing Inputs'!$E$71</f>
        <v>4079.0857972066028</v>
      </c>
      <c r="AJ31" s="485">
        <f>'Crossing Inputs'!$E$71</f>
        <v>4079.0857972066028</v>
      </c>
      <c r="AK31" s="485">
        <f>'Crossing Inputs'!$E$71</f>
        <v>4079.0857972066028</v>
      </c>
      <c r="AL31" s="485">
        <f>'Crossing Inputs'!$E$71</f>
        <v>4079.0857972066028</v>
      </c>
    </row>
    <row r="32" spans="1:38" s="150" customFormat="1">
      <c r="B32" s="358" t="s">
        <v>1162</v>
      </c>
      <c r="C32" s="367" t="s">
        <v>292</v>
      </c>
      <c r="D32" s="485">
        <f>'Crossing Inputs'!$F$71</f>
        <v>4079.0857972066028</v>
      </c>
      <c r="E32" s="485">
        <f>'Crossing Inputs'!$F$71</f>
        <v>4079.0857972066028</v>
      </c>
      <c r="F32" s="485">
        <f>'Crossing Inputs'!$F$71</f>
        <v>4079.0857972066028</v>
      </c>
      <c r="G32" s="485">
        <f>'Crossing Inputs'!$F$71</f>
        <v>4079.0857972066028</v>
      </c>
      <c r="H32" s="485">
        <f>'Crossing Inputs'!$F$71</f>
        <v>4079.0857972066028</v>
      </c>
      <c r="I32" s="485">
        <f>'Crossing Inputs'!$F$71</f>
        <v>4079.0857972066028</v>
      </c>
      <c r="J32" s="485">
        <f>'Crossing Inputs'!$F$71</f>
        <v>4079.0857972066028</v>
      </c>
      <c r="K32" s="485">
        <f>'Crossing Inputs'!$F$71</f>
        <v>4079.0857972066028</v>
      </c>
      <c r="L32" s="485">
        <f>'Crossing Inputs'!$F$71</f>
        <v>4079.0857972066028</v>
      </c>
      <c r="M32" s="485">
        <f>'Crossing Inputs'!$F$71</f>
        <v>4079.0857972066028</v>
      </c>
      <c r="N32" s="485">
        <f>'Crossing Inputs'!$F$71</f>
        <v>4079.0857972066028</v>
      </c>
      <c r="O32" s="485">
        <f>'Crossing Inputs'!$F$71</f>
        <v>4079.0857972066028</v>
      </c>
      <c r="P32" s="485">
        <f>'Crossing Inputs'!$F$71</f>
        <v>4079.0857972066028</v>
      </c>
      <c r="Q32" s="485">
        <f>'Crossing Inputs'!$F$71</f>
        <v>4079.0857972066028</v>
      </c>
      <c r="R32" s="485">
        <f>'Crossing Inputs'!$F$71</f>
        <v>4079.0857972066028</v>
      </c>
      <c r="S32" s="485">
        <f>'Crossing Inputs'!$F$71</f>
        <v>4079.0857972066028</v>
      </c>
      <c r="T32" s="485">
        <f>'Crossing Inputs'!$F$71</f>
        <v>4079.0857972066028</v>
      </c>
      <c r="U32" s="485">
        <f>'Crossing Inputs'!$F$71</f>
        <v>4079.0857972066028</v>
      </c>
      <c r="V32" s="485">
        <f>'Crossing Inputs'!$F$71</f>
        <v>4079.0857972066028</v>
      </c>
      <c r="W32" s="485">
        <f>'Crossing Inputs'!$F$71</f>
        <v>4079.0857972066028</v>
      </c>
      <c r="X32" s="485">
        <f>'Crossing Inputs'!$F$71</f>
        <v>4079.0857972066028</v>
      </c>
      <c r="Y32" s="485">
        <f>'Crossing Inputs'!$F$71</f>
        <v>4079.0857972066028</v>
      </c>
      <c r="Z32" s="485">
        <f>'Crossing Inputs'!$F$71</f>
        <v>4079.0857972066028</v>
      </c>
      <c r="AA32" s="485">
        <f>'Crossing Inputs'!$F$71</f>
        <v>4079.0857972066028</v>
      </c>
      <c r="AB32" s="485">
        <f>'Crossing Inputs'!$F$71</f>
        <v>4079.0857972066028</v>
      </c>
      <c r="AC32" s="485">
        <f>'Crossing Inputs'!$F$71</f>
        <v>4079.0857972066028</v>
      </c>
      <c r="AD32" s="485">
        <f>'Crossing Inputs'!$F$71</f>
        <v>4079.0857972066028</v>
      </c>
      <c r="AE32" s="485">
        <f>'Crossing Inputs'!$F$71</f>
        <v>4079.0857972066028</v>
      </c>
      <c r="AF32" s="485">
        <f>'Crossing Inputs'!$F$71</f>
        <v>4079.0857972066028</v>
      </c>
      <c r="AG32" s="485">
        <f>'Crossing Inputs'!$F$71</f>
        <v>4079.0857972066028</v>
      </c>
      <c r="AH32" s="485">
        <f>'Crossing Inputs'!$F$71</f>
        <v>4079.0857972066028</v>
      </c>
      <c r="AI32" s="485">
        <f>'Crossing Inputs'!$F$71</f>
        <v>4079.0857972066028</v>
      </c>
      <c r="AJ32" s="485">
        <f>'Crossing Inputs'!$F$71</f>
        <v>4079.0857972066028</v>
      </c>
      <c r="AK32" s="485">
        <f>'Crossing Inputs'!$F$71</f>
        <v>4079.0857972066028</v>
      </c>
      <c r="AL32" s="485">
        <f>'Crossing Inputs'!$F$71</f>
        <v>4079.0857972066028</v>
      </c>
    </row>
    <row r="33" spans="1:38" s="150" customFormat="1">
      <c r="B33" s="358" t="s">
        <v>1163</v>
      </c>
      <c r="C33" s="367" t="s">
        <v>292</v>
      </c>
      <c r="D33" s="1295">
        <f>'Crossing Inputs'!$G$71</f>
        <v>4079.0857972066028</v>
      </c>
      <c r="E33" s="1295">
        <f>'Crossing Inputs'!$G$71</f>
        <v>4079.0857972066028</v>
      </c>
      <c r="F33" s="1295">
        <f>'Crossing Inputs'!$G$71</f>
        <v>4079.0857972066028</v>
      </c>
      <c r="G33" s="1295">
        <f>'Crossing Inputs'!$G$71</f>
        <v>4079.0857972066028</v>
      </c>
      <c r="H33" s="1295">
        <f>'Crossing Inputs'!$G$71</f>
        <v>4079.0857972066028</v>
      </c>
      <c r="I33" s="1295">
        <f>'Crossing Inputs'!$G$71</f>
        <v>4079.0857972066028</v>
      </c>
      <c r="J33" s="1295">
        <f>'Crossing Inputs'!$G$71</f>
        <v>4079.0857972066028</v>
      </c>
      <c r="K33" s="1295">
        <f>'Crossing Inputs'!$G$71</f>
        <v>4079.0857972066028</v>
      </c>
      <c r="L33" s="1295">
        <f>'Crossing Inputs'!$G$71</f>
        <v>4079.0857972066028</v>
      </c>
      <c r="M33" s="1295">
        <f>'Crossing Inputs'!$G$71</f>
        <v>4079.0857972066028</v>
      </c>
      <c r="N33" s="1295">
        <f>'Crossing Inputs'!$G$71</f>
        <v>4079.0857972066028</v>
      </c>
      <c r="O33" s="1295">
        <f>'Crossing Inputs'!$G$71</f>
        <v>4079.0857972066028</v>
      </c>
      <c r="P33" s="1295">
        <f>'Crossing Inputs'!$G$71</f>
        <v>4079.0857972066028</v>
      </c>
      <c r="Q33" s="1295">
        <f>'Crossing Inputs'!$G$71</f>
        <v>4079.0857972066028</v>
      </c>
      <c r="R33" s="1295">
        <f>'Crossing Inputs'!$G$71</f>
        <v>4079.0857972066028</v>
      </c>
      <c r="S33" s="1295">
        <f>'Crossing Inputs'!$G$71</f>
        <v>4079.0857972066028</v>
      </c>
      <c r="T33" s="1295">
        <f>'Crossing Inputs'!$G$71</f>
        <v>4079.0857972066028</v>
      </c>
      <c r="U33" s="1295">
        <f>'Crossing Inputs'!$G$71</f>
        <v>4079.0857972066028</v>
      </c>
      <c r="V33" s="1295">
        <f>'Crossing Inputs'!$G$71</f>
        <v>4079.0857972066028</v>
      </c>
      <c r="W33" s="1295">
        <f>'Crossing Inputs'!$G$71</f>
        <v>4079.0857972066028</v>
      </c>
      <c r="X33" s="1295">
        <f>'Crossing Inputs'!$G$71</f>
        <v>4079.0857972066028</v>
      </c>
      <c r="Y33" s="1295">
        <f>'Crossing Inputs'!$G$71</f>
        <v>4079.0857972066028</v>
      </c>
      <c r="Z33" s="1295">
        <f>'Crossing Inputs'!$G$71</f>
        <v>4079.0857972066028</v>
      </c>
      <c r="AA33" s="1295">
        <f>'Crossing Inputs'!$G$71</f>
        <v>4079.0857972066028</v>
      </c>
      <c r="AB33" s="1295">
        <f>'Crossing Inputs'!$G$71</f>
        <v>4079.0857972066028</v>
      </c>
      <c r="AC33" s="1295">
        <f>'Crossing Inputs'!$G$71</f>
        <v>4079.0857972066028</v>
      </c>
      <c r="AD33" s="1295">
        <f>'Crossing Inputs'!$G$71</f>
        <v>4079.0857972066028</v>
      </c>
      <c r="AE33" s="1295">
        <f>'Crossing Inputs'!$G$71</f>
        <v>4079.0857972066028</v>
      </c>
      <c r="AF33" s="1295">
        <f>'Crossing Inputs'!$G$71</f>
        <v>4079.0857972066028</v>
      </c>
      <c r="AG33" s="1295">
        <f>'Crossing Inputs'!$G$71</f>
        <v>4079.0857972066028</v>
      </c>
      <c r="AH33" s="1295">
        <f>'Crossing Inputs'!$G$71</f>
        <v>4079.0857972066028</v>
      </c>
      <c r="AI33" s="1295">
        <f>'Crossing Inputs'!$G$71</f>
        <v>4079.0857972066028</v>
      </c>
      <c r="AJ33" s="1295">
        <f>'Crossing Inputs'!$G$71</f>
        <v>4079.0857972066028</v>
      </c>
      <c r="AK33" s="1295">
        <f>'Crossing Inputs'!$G$71</f>
        <v>4079.0857972066028</v>
      </c>
      <c r="AL33" s="1295">
        <f>'Crossing Inputs'!$G$71</f>
        <v>4079.0857972066028</v>
      </c>
    </row>
    <row r="34" spans="1:38" s="150" customFormat="1">
      <c r="B34" s="358" t="s">
        <v>1164</v>
      </c>
      <c r="C34" s="367" t="s">
        <v>292</v>
      </c>
      <c r="D34" s="1297">
        <f>'Crossing Inputs'!$H$71</f>
        <v>4079.0857972066028</v>
      </c>
      <c r="E34" s="1297">
        <f>'Crossing Inputs'!$H$71</f>
        <v>4079.0857972066028</v>
      </c>
      <c r="F34" s="1297">
        <f>'Crossing Inputs'!$H$71</f>
        <v>4079.0857972066028</v>
      </c>
      <c r="G34" s="1297">
        <f>'Crossing Inputs'!$H$71</f>
        <v>4079.0857972066028</v>
      </c>
      <c r="H34" s="1297">
        <f>'Crossing Inputs'!$H$71</f>
        <v>4079.0857972066028</v>
      </c>
      <c r="I34" s="1297">
        <f>'Crossing Inputs'!$H$71</f>
        <v>4079.0857972066028</v>
      </c>
      <c r="J34" s="1297">
        <f>'Crossing Inputs'!$H$71</f>
        <v>4079.0857972066028</v>
      </c>
      <c r="K34" s="1297">
        <f>'Crossing Inputs'!$H$71</f>
        <v>4079.0857972066028</v>
      </c>
      <c r="L34" s="1297">
        <f>'Crossing Inputs'!$H$71</f>
        <v>4079.0857972066028</v>
      </c>
      <c r="M34" s="1297">
        <f>'Crossing Inputs'!$H$71</f>
        <v>4079.0857972066028</v>
      </c>
      <c r="N34" s="1297">
        <f>'Crossing Inputs'!$H$71</f>
        <v>4079.0857972066028</v>
      </c>
      <c r="O34" s="1297">
        <f>'Crossing Inputs'!$H$71</f>
        <v>4079.0857972066028</v>
      </c>
      <c r="P34" s="1297">
        <f>'Crossing Inputs'!$H$71</f>
        <v>4079.0857972066028</v>
      </c>
      <c r="Q34" s="1297">
        <f>'Crossing Inputs'!$H$71</f>
        <v>4079.0857972066028</v>
      </c>
      <c r="R34" s="1297">
        <f>'Crossing Inputs'!$H$71</f>
        <v>4079.0857972066028</v>
      </c>
      <c r="S34" s="1297">
        <f>'Crossing Inputs'!$H$71</f>
        <v>4079.0857972066028</v>
      </c>
      <c r="T34" s="1297">
        <f>'Crossing Inputs'!$H$71</f>
        <v>4079.0857972066028</v>
      </c>
      <c r="U34" s="1297">
        <f>'Crossing Inputs'!$H$71</f>
        <v>4079.0857972066028</v>
      </c>
      <c r="V34" s="1297">
        <f>'Crossing Inputs'!$H$71</f>
        <v>4079.0857972066028</v>
      </c>
      <c r="W34" s="1297">
        <f>'Crossing Inputs'!$H$71</f>
        <v>4079.0857972066028</v>
      </c>
      <c r="X34" s="1297">
        <f>'Crossing Inputs'!$H$71</f>
        <v>4079.0857972066028</v>
      </c>
      <c r="Y34" s="1297">
        <f>'Crossing Inputs'!$H$71</f>
        <v>4079.0857972066028</v>
      </c>
      <c r="Z34" s="1297">
        <f>'Crossing Inputs'!$H$71</f>
        <v>4079.0857972066028</v>
      </c>
      <c r="AA34" s="1297">
        <f>'Crossing Inputs'!$H$71</f>
        <v>4079.0857972066028</v>
      </c>
      <c r="AB34" s="1297">
        <f>'Crossing Inputs'!$H$71</f>
        <v>4079.0857972066028</v>
      </c>
      <c r="AC34" s="1297">
        <f>'Crossing Inputs'!$H$71</f>
        <v>4079.0857972066028</v>
      </c>
      <c r="AD34" s="1297">
        <f>'Crossing Inputs'!$H$71</f>
        <v>4079.0857972066028</v>
      </c>
      <c r="AE34" s="1297">
        <f>'Crossing Inputs'!$H$71</f>
        <v>4079.0857972066028</v>
      </c>
      <c r="AF34" s="1297">
        <f>'Crossing Inputs'!$H$71</f>
        <v>4079.0857972066028</v>
      </c>
      <c r="AG34" s="1297">
        <f>'Crossing Inputs'!$H$71</f>
        <v>4079.0857972066028</v>
      </c>
      <c r="AH34" s="1297">
        <f>'Crossing Inputs'!$H$71</f>
        <v>4079.0857972066028</v>
      </c>
      <c r="AI34" s="1297">
        <f>'Crossing Inputs'!$H$71</f>
        <v>4079.0857972066028</v>
      </c>
      <c r="AJ34" s="1297">
        <f>'Crossing Inputs'!$H$71</f>
        <v>4079.0857972066028</v>
      </c>
      <c r="AK34" s="1297">
        <f>'Crossing Inputs'!$H$71</f>
        <v>4079.0857972066028</v>
      </c>
      <c r="AL34" s="1297">
        <f>'Crossing Inputs'!$H$71</f>
        <v>4079.0857972066028</v>
      </c>
    </row>
    <row r="35" spans="1:38" s="150" customFormat="1">
      <c r="B35" s="358"/>
      <c r="C35" s="367"/>
      <c r="D35" s="1296"/>
      <c r="E35" s="1296"/>
      <c r="F35" s="1296"/>
      <c r="G35" s="1296"/>
      <c r="H35" s="1296"/>
      <c r="I35" s="1296"/>
      <c r="J35" s="1296"/>
      <c r="K35" s="1296"/>
      <c r="L35" s="1296"/>
      <c r="M35" s="1296"/>
      <c r="N35" s="1296"/>
      <c r="O35" s="1296"/>
      <c r="P35" s="1296"/>
      <c r="Q35" s="1296"/>
      <c r="R35" s="1296"/>
      <c r="S35" s="1296"/>
      <c r="T35" s="1296"/>
      <c r="U35" s="1296"/>
      <c r="V35" s="1296"/>
      <c r="W35" s="1296"/>
      <c r="X35" s="1296"/>
      <c r="Y35" s="1296"/>
      <c r="Z35" s="1296"/>
      <c r="AA35" s="1296"/>
      <c r="AB35" s="1296"/>
      <c r="AC35" s="1296"/>
      <c r="AD35" s="1296"/>
      <c r="AE35" s="1296"/>
      <c r="AF35" s="1296"/>
      <c r="AG35" s="1296"/>
      <c r="AH35" s="1296"/>
      <c r="AI35" s="1296"/>
      <c r="AJ35" s="1296"/>
      <c r="AK35" s="1296"/>
      <c r="AL35" s="1296"/>
    </row>
    <row r="36" spans="1:38">
      <c r="B36" s="364" t="s">
        <v>718</v>
      </c>
      <c r="C36" s="581" t="s">
        <v>292</v>
      </c>
      <c r="D36" s="1298">
        <f>SUM(D23:D34)</f>
        <v>48949.029566479228</v>
      </c>
      <c r="E36" s="1298">
        <f t="shared" ref="E36:AK36" si="3">SUM(E23:E34)</f>
        <v>48949.029566479228</v>
      </c>
      <c r="F36" s="1298">
        <f t="shared" si="3"/>
        <v>48949.029566479228</v>
      </c>
      <c r="G36" s="1298">
        <f t="shared" si="3"/>
        <v>48949.029566479228</v>
      </c>
      <c r="H36" s="1298">
        <f t="shared" si="3"/>
        <v>24474.514783239618</v>
      </c>
      <c r="I36" s="1298">
        <f t="shared" si="3"/>
        <v>24474.514783239618</v>
      </c>
      <c r="J36" s="1298">
        <f t="shared" si="3"/>
        <v>24474.514783239618</v>
      </c>
      <c r="K36" s="1298">
        <f t="shared" si="3"/>
        <v>24474.514783239618</v>
      </c>
      <c r="L36" s="1298">
        <f t="shared" si="3"/>
        <v>24474.514783239618</v>
      </c>
      <c r="M36" s="1298">
        <f t="shared" si="3"/>
        <v>24474.514783239618</v>
      </c>
      <c r="N36" s="1298">
        <f t="shared" si="3"/>
        <v>24474.514783239618</v>
      </c>
      <c r="O36" s="1298">
        <f t="shared" si="3"/>
        <v>24474.514783239618</v>
      </c>
      <c r="P36" s="1298">
        <f t="shared" si="3"/>
        <v>24474.514783239618</v>
      </c>
      <c r="Q36" s="1298">
        <f t="shared" si="3"/>
        <v>24474.514783239618</v>
      </c>
      <c r="R36" s="1298">
        <f t="shared" si="3"/>
        <v>24474.514783239618</v>
      </c>
      <c r="S36" s="1298">
        <f t="shared" si="3"/>
        <v>24474.514783239618</v>
      </c>
      <c r="T36" s="1298">
        <f t="shared" si="3"/>
        <v>24474.514783239618</v>
      </c>
      <c r="U36" s="1298">
        <f t="shared" si="3"/>
        <v>24474.514783239618</v>
      </c>
      <c r="V36" s="1298">
        <f t="shared" si="3"/>
        <v>24474.514783239618</v>
      </c>
      <c r="W36" s="1298">
        <f t="shared" si="3"/>
        <v>24474.514783239618</v>
      </c>
      <c r="X36" s="1298">
        <f t="shared" si="3"/>
        <v>24474.514783239618</v>
      </c>
      <c r="Y36" s="1298">
        <f t="shared" si="3"/>
        <v>24474.514783239618</v>
      </c>
      <c r="Z36" s="1298">
        <f t="shared" si="3"/>
        <v>24474.514783239618</v>
      </c>
      <c r="AA36" s="1298">
        <f t="shared" si="3"/>
        <v>24474.514783239618</v>
      </c>
      <c r="AB36" s="1298">
        <f t="shared" si="3"/>
        <v>24474.514783239618</v>
      </c>
      <c r="AC36" s="1298">
        <f t="shared" si="3"/>
        <v>24474.514783239618</v>
      </c>
      <c r="AD36" s="1298">
        <f t="shared" si="3"/>
        <v>24474.514783239618</v>
      </c>
      <c r="AE36" s="1298">
        <f t="shared" si="3"/>
        <v>24474.514783239618</v>
      </c>
      <c r="AF36" s="1298">
        <f t="shared" si="3"/>
        <v>24474.514783239618</v>
      </c>
      <c r="AG36" s="1298">
        <f t="shared" si="3"/>
        <v>24474.514783239618</v>
      </c>
      <c r="AH36" s="1298">
        <f t="shared" si="3"/>
        <v>24474.514783239618</v>
      </c>
      <c r="AI36" s="1298">
        <f t="shared" si="3"/>
        <v>24474.514783239618</v>
      </c>
      <c r="AJ36" s="1298">
        <f t="shared" si="3"/>
        <v>24474.514783239618</v>
      </c>
      <c r="AK36" s="1298">
        <f t="shared" si="3"/>
        <v>24474.514783239618</v>
      </c>
      <c r="AL36" s="1298">
        <f t="shared" ref="AL36" si="4">SUM(AL23:AL34)</f>
        <v>24474.514783239618</v>
      </c>
    </row>
    <row r="37" spans="1:38">
      <c r="B37" s="358"/>
      <c r="C37" s="367"/>
      <c r="D37" s="366"/>
      <c r="E37" s="366"/>
      <c r="F37" s="366"/>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row>
    <row r="38" spans="1:38">
      <c r="A38" s="453"/>
      <c r="B38" s="452" t="s">
        <v>706</v>
      </c>
      <c r="C38" s="746"/>
      <c r="D38" s="379"/>
      <c r="E38" s="379"/>
      <c r="F38" s="379"/>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row>
    <row r="39" spans="1:38">
      <c r="B39" s="364"/>
      <c r="C39" s="581"/>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row>
    <row r="40" spans="1:38">
      <c r="B40" s="492" t="s">
        <v>284</v>
      </c>
      <c r="C40" s="487" t="s">
        <v>292</v>
      </c>
      <c r="D40" s="488">
        <f t="shared" ref="D40:AK40" si="5">D19-D36</f>
        <v>0</v>
      </c>
      <c r="E40" s="488">
        <f t="shared" si="5"/>
        <v>0</v>
      </c>
      <c r="F40" s="488">
        <f t="shared" si="5"/>
        <v>0</v>
      </c>
      <c r="G40" s="488">
        <f t="shared" si="5"/>
        <v>0</v>
      </c>
      <c r="H40" s="488">
        <f t="shared" si="5"/>
        <v>24474.514783239611</v>
      </c>
      <c r="I40" s="488">
        <f t="shared" si="5"/>
        <v>24474.514783239611</v>
      </c>
      <c r="J40" s="488">
        <f t="shared" si="5"/>
        <v>24474.514783239611</v>
      </c>
      <c r="K40" s="488">
        <f t="shared" si="5"/>
        <v>24474.514783239611</v>
      </c>
      <c r="L40" s="488">
        <f t="shared" si="5"/>
        <v>24474.514783239611</v>
      </c>
      <c r="M40" s="488">
        <f t="shared" si="5"/>
        <v>24474.514783239611</v>
      </c>
      <c r="N40" s="488">
        <f t="shared" si="5"/>
        <v>24474.514783239611</v>
      </c>
      <c r="O40" s="488">
        <f t="shared" si="5"/>
        <v>24474.514783239611</v>
      </c>
      <c r="P40" s="488">
        <f t="shared" si="5"/>
        <v>24474.514783239611</v>
      </c>
      <c r="Q40" s="488">
        <f t="shared" si="5"/>
        <v>24474.514783239611</v>
      </c>
      <c r="R40" s="488">
        <f t="shared" si="5"/>
        <v>24474.514783239611</v>
      </c>
      <c r="S40" s="488">
        <f t="shared" si="5"/>
        <v>24474.514783239611</v>
      </c>
      <c r="T40" s="488">
        <f t="shared" si="5"/>
        <v>24474.514783239611</v>
      </c>
      <c r="U40" s="488">
        <f t="shared" si="5"/>
        <v>24474.514783239611</v>
      </c>
      <c r="V40" s="488">
        <f t="shared" si="5"/>
        <v>24474.514783239611</v>
      </c>
      <c r="W40" s="488">
        <f t="shared" si="5"/>
        <v>24474.514783239611</v>
      </c>
      <c r="X40" s="488">
        <f t="shared" si="5"/>
        <v>24474.514783239611</v>
      </c>
      <c r="Y40" s="488">
        <f t="shared" si="5"/>
        <v>24474.514783239611</v>
      </c>
      <c r="Z40" s="488">
        <f t="shared" si="5"/>
        <v>24474.514783239611</v>
      </c>
      <c r="AA40" s="488">
        <f t="shared" si="5"/>
        <v>24474.514783239611</v>
      </c>
      <c r="AB40" s="488">
        <f t="shared" si="5"/>
        <v>24474.514783239611</v>
      </c>
      <c r="AC40" s="488">
        <f t="shared" si="5"/>
        <v>24474.514783239611</v>
      </c>
      <c r="AD40" s="488">
        <f t="shared" si="5"/>
        <v>24474.514783239611</v>
      </c>
      <c r="AE40" s="488">
        <f t="shared" si="5"/>
        <v>24474.514783239611</v>
      </c>
      <c r="AF40" s="488">
        <f t="shared" si="5"/>
        <v>24474.514783239611</v>
      </c>
      <c r="AG40" s="488">
        <f t="shared" si="5"/>
        <v>24474.514783239611</v>
      </c>
      <c r="AH40" s="488">
        <f t="shared" si="5"/>
        <v>24474.514783239611</v>
      </c>
      <c r="AI40" s="488">
        <f t="shared" si="5"/>
        <v>24474.514783239611</v>
      </c>
      <c r="AJ40" s="488">
        <f t="shared" si="5"/>
        <v>24474.514783239611</v>
      </c>
      <c r="AK40" s="488">
        <f t="shared" si="5"/>
        <v>24474.514783239611</v>
      </c>
      <c r="AL40" s="488">
        <f t="shared" ref="AL40" si="6">AL19-AL36</f>
        <v>24474.514783239611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39997558519241921"/>
  </sheetPr>
  <dimension ref="A1:AL53"/>
  <sheetViews>
    <sheetView showGridLines="0" topLeftCell="B1" workbookViewId="0">
      <selection activeCell="B1" sqref="B1"/>
    </sheetView>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Inputs'!$C$23</f>
        <v>700 South</v>
      </c>
      <c r="B1" s="748"/>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Demand!F7</f>
        <v>757.22529230485088</v>
      </c>
      <c r="E6" s="383">
        <f>Demand!G7</f>
        <v>779.55896095558853</v>
      </c>
      <c r="F6" s="383">
        <f>Demand!H7</f>
        <v>802.55134077256673</v>
      </c>
      <c r="G6" s="383">
        <f>Demand!I7</f>
        <v>826.22185984023133</v>
      </c>
      <c r="H6" s="383">
        <f>Demand!J7</f>
        <v>850.59051925664085</v>
      </c>
      <c r="I6" s="383">
        <f>Demand!K7</f>
        <v>875.67791003398008</v>
      </c>
      <c r="J6" s="383">
        <f>Demand!L7</f>
        <v>901.50523049753895</v>
      </c>
      <c r="K6" s="383">
        <f>Demand!M7</f>
        <v>928.09430419785747</v>
      </c>
      <c r="L6" s="383">
        <f>Demand!N7</f>
        <v>955.46759835117439</v>
      </c>
      <c r="M6" s="383">
        <f>Demand!O7</f>
        <v>983.64824282375798</v>
      </c>
      <c r="N6" s="383">
        <f>Demand!P7</f>
        <v>1012.6600496761655</v>
      </c>
      <c r="O6" s="383">
        <f>Demand!Q7</f>
        <v>1042.5275332839396</v>
      </c>
      <c r="P6" s="383">
        <f>Demand!R7</f>
        <v>1073.2759310517479</v>
      </c>
      <c r="Q6" s="383">
        <f>Demand!S7</f>
        <v>1104.9312247384671</v>
      </c>
      <c r="R6" s="383">
        <f>Demand!T7</f>
        <v>1137.5201624112303</v>
      </c>
      <c r="S6" s="383">
        <f>Demand!U7</f>
        <v>1171.0702810469904</v>
      </c>
      <c r="T6" s="383">
        <f>Demand!V7</f>
        <v>1205.6099298006936</v>
      </c>
      <c r="U6" s="383">
        <f>Demand!W7</f>
        <v>1241.1682939597288</v>
      </c>
      <c r="V6" s="383">
        <f>Demand!X7</f>
        <v>1277.7754196048904</v>
      </c>
      <c r="W6" s="383">
        <f>Demand!Y7</f>
        <v>1315.4622389986941</v>
      </c>
      <c r="X6" s="383">
        <f>Demand!Z7</f>
        <v>1354.2605967224965</v>
      </c>
      <c r="Y6" s="383">
        <f>Demand!AA7</f>
        <v>1394.2032765845079</v>
      </c>
      <c r="Z6" s="383">
        <f>Demand!AB7</f>
        <v>1435.3240293214299</v>
      </c>
      <c r="AA6" s="383">
        <f>Demand!AC7</f>
        <v>1477.6576011171289</v>
      </c>
      <c r="AB6" s="383">
        <f>Demand!AD7</f>
        <v>1521.2397629624411</v>
      </c>
      <c r="AC6" s="383">
        <f>Demand!AE7</f>
        <v>1566.1073408809186</v>
      </c>
      <c r="AD6" s="383">
        <f>Demand!AF7</f>
        <v>1612.2982470460565</v>
      </c>
      <c r="AE6" s="383">
        <f>Demand!AG7</f>
        <v>1659.8515118162927</v>
      </c>
      <c r="AF6" s="383">
        <f>Demand!AH7</f>
        <v>1708.8073167148523</v>
      </c>
      <c r="AG6" s="383">
        <f>Demand!AI7</f>
        <v>1759.2070283823034</v>
      </c>
      <c r="AH6" s="383">
        <f>Demand!AJ7</f>
        <v>1811.0932335305088</v>
      </c>
      <c r="AI6" s="383">
        <f>Demand!AK7</f>
        <v>1864.5097749275169</v>
      </c>
      <c r="AJ6" s="383">
        <f>Demand!AL7</f>
        <v>1919.5017884437907</v>
      </c>
      <c r="AK6" s="383">
        <f>Demand!AM7</f>
        <v>1976.1157411910835</v>
      </c>
      <c r="AL6" s="383">
        <f>Demand!AN7</f>
        <v>2034.3994707861862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1049</v>
      </c>
      <c r="C10" s="358" t="s">
        <v>1053</v>
      </c>
      <c r="D10" s="383">
        <f>Demand!F29</f>
        <v>2.021212882214602</v>
      </c>
      <c r="E10" s="383">
        <f>Demand!G29</f>
        <v>2.0426507576151294</v>
      </c>
      <c r="F10" s="383">
        <f>Demand!H29</f>
        <v>2.064316012578558</v>
      </c>
      <c r="G10" s="383">
        <f>Demand!I29</f>
        <v>2.0862110587928311</v>
      </c>
      <c r="H10" s="383">
        <f>Demand!J29</f>
        <v>2.1083383335253174</v>
      </c>
      <c r="I10" s="383">
        <f>Demand!K29</f>
        <v>2.1307002998941189</v>
      </c>
      <c r="J10" s="383">
        <f>Demand!L29</f>
        <v>2.1532994471422544</v>
      </c>
      <c r="K10" s="383">
        <f>Demand!M29</f>
        <v>2.1761382909147526</v>
      </c>
      <c r="L10" s="383">
        <f>Demand!N29</f>
        <v>2.1992193735386825</v>
      </c>
      <c r="M10" s="383">
        <f>Demand!O29</f>
        <v>2.2225452643061563</v>
      </c>
      <c r="N10" s="383">
        <f>Demand!P29</f>
        <v>2.2461185597603301</v>
      </c>
      <c r="O10" s="383">
        <f>Demand!Q29</f>
        <v>2.2699418839844441</v>
      </c>
      <c r="P10" s="383">
        <f>Demand!R29</f>
        <v>2.2940178888939209</v>
      </c>
      <c r="Q10" s="383">
        <f>Demand!S29</f>
        <v>2.3183492545315696</v>
      </c>
      <c r="R10" s="383">
        <f>Demand!T29</f>
        <v>2.3429386893659134</v>
      </c>
      <c r="S10" s="383">
        <f>Demand!U29</f>
        <v>2.3677889305926905</v>
      </c>
      <c r="T10" s="383">
        <f>Demand!V29</f>
        <v>2.392902744439541</v>
      </c>
      <c r="U10" s="383">
        <f>Demand!W29</f>
        <v>2.4182829264739381</v>
      </c>
      <c r="V10" s="383">
        <f>Demand!X29</f>
        <v>2.4439323019143755</v>
      </c>
      <c r="W10" s="383">
        <f>Demand!Y29</f>
        <v>2.4698537259448612</v>
      </c>
      <c r="X10" s="383">
        <f>Demand!Z29</f>
        <v>2.4960500840327433</v>
      </c>
      <c r="Y10" s="383">
        <f>Demand!AA29</f>
        <v>2.5225242922499103</v>
      </c>
      <c r="Z10" s="383">
        <f>Demand!AB29</f>
        <v>2.549279297597395</v>
      </c>
      <c r="AA10" s="383">
        <f>Demand!AC29</f>
        <v>2.5763180783334239</v>
      </c>
      <c r="AB10" s="383">
        <f>Demand!AD29</f>
        <v>2.6036436443049418</v>
      </c>
      <c r="AC10" s="383">
        <f>Demand!AE29</f>
        <v>2.631259037282661</v>
      </c>
      <c r="AD10" s="383">
        <f>Demand!AF29</f>
        <v>2.6591673312996531</v>
      </c>
      <c r="AE10" s="383">
        <f>Demand!AG29</f>
        <v>2.6873716329935418</v>
      </c>
      <c r="AF10" s="383">
        <f>Demand!AH29</f>
        <v>2.7158750819523192</v>
      </c>
      <c r="AG10" s="383">
        <f>Demand!AI29</f>
        <v>2.744680851063833</v>
      </c>
      <c r="AH10" s="383">
        <f>Demand!AJ29</f>
        <v>2.7737921468689781</v>
      </c>
      <c r="AI10" s="383">
        <f>Demand!AK29</f>
        <v>2.8032122099186383</v>
      </c>
      <c r="AJ10" s="383">
        <f>Demand!AL29</f>
        <v>2.8329443151344074</v>
      </c>
      <c r="AK10" s="383">
        <f>Demand!AM29</f>
        <v>2.8629917721731437</v>
      </c>
      <c r="AL10" s="383">
        <f>Demand!AN29</f>
        <v>2.8933579257953856</v>
      </c>
    </row>
    <row r="11" spans="1:38">
      <c r="B11" s="363" t="s">
        <v>645</v>
      </c>
      <c r="C11" s="358" t="s">
        <v>1054</v>
      </c>
      <c r="D11" s="383">
        <f>Demand!F30</f>
        <v>1.010606441107301</v>
      </c>
      <c r="E11" s="383">
        <f>Demand!G30</f>
        <v>1.0213253788075647</v>
      </c>
      <c r="F11" s="383">
        <f>Demand!H30</f>
        <v>1.032158006289279</v>
      </c>
      <c r="G11" s="383">
        <f>Demand!I30</f>
        <v>1.0431055293964155</v>
      </c>
      <c r="H11" s="383">
        <f>Demand!J30</f>
        <v>1.0541691667626587</v>
      </c>
      <c r="I11" s="383">
        <f>Demand!K30</f>
        <v>1.0653501499470595</v>
      </c>
      <c r="J11" s="383">
        <f>Demand!L30</f>
        <v>1.0766497235711272</v>
      </c>
      <c r="K11" s="383">
        <f>Demand!M30</f>
        <v>1.0880691454573763</v>
      </c>
      <c r="L11" s="383">
        <f>Demand!N30</f>
        <v>1.0996096867693412</v>
      </c>
      <c r="M11" s="383">
        <f>Demand!O30</f>
        <v>1.1112726321530781</v>
      </c>
      <c r="N11" s="383">
        <f>Demand!P30</f>
        <v>1.1230592798801651</v>
      </c>
      <c r="O11" s="383">
        <f>Demand!Q30</f>
        <v>1.134970941992222</v>
      </c>
      <c r="P11" s="383">
        <f>Demand!R30</f>
        <v>1.1470089444469604</v>
      </c>
      <c r="Q11" s="383">
        <f>Demand!S30</f>
        <v>1.1591746272657848</v>
      </c>
      <c r="R11" s="383">
        <f>Demand!T30</f>
        <v>1.1714693446829567</v>
      </c>
      <c r="S11" s="383">
        <f>Demand!U30</f>
        <v>1.1838944652963452</v>
      </c>
      <c r="T11" s="383">
        <f>Demand!V30</f>
        <v>1.1964513722197705</v>
      </c>
      <c r="U11" s="383">
        <f>Demand!W30</f>
        <v>1.209141463236969</v>
      </c>
      <c r="V11" s="383">
        <f>Demand!X30</f>
        <v>1.2219661509571877</v>
      </c>
      <c r="W11" s="383">
        <f>Demand!Y30</f>
        <v>1.2349268629724306</v>
      </c>
      <c r="X11" s="383">
        <f>Demand!Z30</f>
        <v>1.2480250420163717</v>
      </c>
      <c r="Y11" s="383">
        <f>Demand!AA30</f>
        <v>1.2612621461249551</v>
      </c>
      <c r="Z11" s="383">
        <f>Demand!AB30</f>
        <v>1.2746396487986975</v>
      </c>
      <c r="AA11" s="383">
        <f>Demand!AC30</f>
        <v>1.2881590391667119</v>
      </c>
      <c r="AB11" s="383">
        <f>Demand!AD30</f>
        <v>1.3018218221524709</v>
      </c>
      <c r="AC11" s="383">
        <f>Demand!AE30</f>
        <v>1.3156295186413305</v>
      </c>
      <c r="AD11" s="383">
        <f>Demand!AF30</f>
        <v>1.3295836656498266</v>
      </c>
      <c r="AE11" s="383">
        <f>Demand!AG30</f>
        <v>1.3436858164967709</v>
      </c>
      <c r="AF11" s="383">
        <f>Demand!AH30</f>
        <v>1.3579375409761596</v>
      </c>
      <c r="AG11" s="383">
        <f>Demand!AI30</f>
        <v>1.3723404255319165</v>
      </c>
      <c r="AH11" s="383">
        <f>Demand!AJ30</f>
        <v>1.3868960734344891</v>
      </c>
      <c r="AI11" s="383">
        <f>Demand!AK30</f>
        <v>1.4016061049593191</v>
      </c>
      <c r="AJ11" s="383">
        <f>Demand!AL30</f>
        <v>1.4164721575672037</v>
      </c>
      <c r="AK11" s="383">
        <f>Demand!AM30</f>
        <v>1.4314958860865719</v>
      </c>
      <c r="AL11" s="383">
        <f>Demand!AN30</f>
        <v>1.4466789628976928</v>
      </c>
    </row>
    <row r="13" spans="1:38" ht="13">
      <c r="B13" s="502" t="s">
        <v>1059</v>
      </c>
      <c r="C13" s="497">
        <f>IF('Crossing Inputs'!$C$11&gt;0, 'Crossing Inputs'!$C$20/Feet.Per.Mile/'Crossing Inputs'!$C$33*60+IF('Crossing Inputs'!$D$27="Passive",0,'Crossing Inputs'!$C$21),0)</f>
        <v>9</v>
      </c>
    </row>
    <row r="14" spans="1:38">
      <c r="B14" s="571" t="s">
        <v>1058</v>
      </c>
      <c r="C14" s="572" t="s">
        <v>15</v>
      </c>
      <c r="D14" s="570">
        <f t="shared" ref="D14:AL14" si="2">(D$10*$C$13)/Minutes.Per.Day</f>
        <v>1.2632580513841262E-2</v>
      </c>
      <c r="E14" s="570">
        <f t="shared" si="2"/>
        <v>1.2766567235094558E-2</v>
      </c>
      <c r="F14" s="570">
        <f t="shared" si="2"/>
        <v>1.2901975078615988E-2</v>
      </c>
      <c r="G14" s="570">
        <f t="shared" si="2"/>
        <v>1.3038819117455193E-2</v>
      </c>
      <c r="H14" s="570">
        <f t="shared" si="2"/>
        <v>1.3177114584533235E-2</v>
      </c>
      <c r="I14" s="570">
        <f t="shared" si="2"/>
        <v>1.3316876874338244E-2</v>
      </c>
      <c r="J14" s="570">
        <f t="shared" si="2"/>
        <v>1.3458121544639089E-2</v>
      </c>
      <c r="K14" s="570">
        <f t="shared" si="2"/>
        <v>1.3600864318217205E-2</v>
      </c>
      <c r="L14" s="570">
        <f t="shared" si="2"/>
        <v>1.3745121084616766E-2</v>
      </c>
      <c r="M14" s="570">
        <f t="shared" si="2"/>
        <v>1.3890907901913477E-2</v>
      </c>
      <c r="N14" s="570">
        <f t="shared" si="2"/>
        <v>1.4038240998502063E-2</v>
      </c>
      <c r="O14" s="570">
        <f t="shared" si="2"/>
        <v>1.4187136774902775E-2</v>
      </c>
      <c r="P14" s="570">
        <f t="shared" si="2"/>
        <v>1.4337611805587007E-2</v>
      </c>
      <c r="Q14" s="570">
        <f t="shared" si="2"/>
        <v>1.448968284082231E-2</v>
      </c>
      <c r="R14" s="570">
        <f t="shared" si="2"/>
        <v>1.4643366808536958E-2</v>
      </c>
      <c r="S14" s="570">
        <f t="shared" si="2"/>
        <v>1.4798680816204316E-2</v>
      </c>
      <c r="T14" s="570">
        <f t="shared" si="2"/>
        <v>1.4955642152747133E-2</v>
      </c>
      <c r="U14" s="570">
        <f t="shared" si="2"/>
        <v>1.5114268290462113E-2</v>
      </c>
      <c r="V14" s="570">
        <f t="shared" si="2"/>
        <v>1.5274576886964847E-2</v>
      </c>
      <c r="W14" s="570">
        <f t="shared" si="2"/>
        <v>1.5436585787155383E-2</v>
      </c>
      <c r="X14" s="570">
        <f t="shared" si="2"/>
        <v>1.5600313025204645E-2</v>
      </c>
      <c r="Y14" s="570">
        <f t="shared" si="2"/>
        <v>1.5765776826561939E-2</v>
      </c>
      <c r="Z14" s="570">
        <f t="shared" si="2"/>
        <v>1.5932995609983718E-2</v>
      </c>
      <c r="AA14" s="570">
        <f t="shared" si="2"/>
        <v>1.6101987989583899E-2</v>
      </c>
      <c r="AB14" s="570">
        <f t="shared" si="2"/>
        <v>1.6272772776905885E-2</v>
      </c>
      <c r="AC14" s="570">
        <f t="shared" si="2"/>
        <v>1.6445368983016632E-2</v>
      </c>
      <c r="AD14" s="570">
        <f t="shared" si="2"/>
        <v>1.6619795820622833E-2</v>
      </c>
      <c r="AE14" s="570">
        <f t="shared" si="2"/>
        <v>1.6796072706209638E-2</v>
      </c>
      <c r="AF14" s="570">
        <f t="shared" si="2"/>
        <v>1.6974219262201995E-2</v>
      </c>
      <c r="AG14" s="570">
        <f t="shared" si="2"/>
        <v>1.7154255319148957E-2</v>
      </c>
      <c r="AH14" s="570">
        <f t="shared" si="2"/>
        <v>1.7336200917931113E-2</v>
      </c>
      <c r="AI14" s="570">
        <f t="shared" si="2"/>
        <v>1.7520076311991487E-2</v>
      </c>
      <c r="AJ14" s="570">
        <f t="shared" si="2"/>
        <v>1.7705901969590047E-2</v>
      </c>
      <c r="AK14" s="570">
        <f t="shared" si="2"/>
        <v>1.7893698576082147E-2</v>
      </c>
      <c r="AL14" s="570">
        <f t="shared" si="2"/>
        <v>1.808348703622116E-2</v>
      </c>
    </row>
    <row r="16" spans="1:38">
      <c r="B16" s="573" t="s">
        <v>1055</v>
      </c>
      <c r="C16" s="574" t="s">
        <v>505</v>
      </c>
      <c r="D16" s="383">
        <f t="shared" ref="D16:AK16" si="3">D6*D14</f>
        <v>9.5657094721580123</v>
      </c>
      <c r="E16" s="383">
        <f t="shared" si="3"/>
        <v>9.9522918887599747</v>
      </c>
      <c r="F16" s="383">
        <f t="shared" si="3"/>
        <v>10.354497397957504</v>
      </c>
      <c r="G16" s="383">
        <f t="shared" si="3"/>
        <v>10.772957381344193</v>
      </c>
      <c r="H16" s="383">
        <f t="shared" si="3"/>
        <v>11.208328736762379</v>
      </c>
      <c r="I16" s="383">
        <f t="shared" si="3"/>
        <v>11.661294909500356</v>
      </c>
      <c r="J16" s="383">
        <f t="shared" si="3"/>
        <v>12.132566965163758</v>
      </c>
      <c r="K16" s="383">
        <f t="shared" si="3"/>
        <v>12.622884705905264</v>
      </c>
      <c r="L16" s="383">
        <f t="shared" si="3"/>
        <v>13.133017831764871</v>
      </c>
      <c r="M16" s="383">
        <f t="shared" si="3"/>
        <v>13.663767148943846</v>
      </c>
      <c r="N16" s="383">
        <f t="shared" si="3"/>
        <v>14.215965826909082</v>
      </c>
      <c r="O16" s="383">
        <f t="shared" si="3"/>
        <v>14.790480706301256</v>
      </c>
      <c r="P16" s="383">
        <f t="shared" si="3"/>
        <v>15.388213659699927</v>
      </c>
      <c r="Q16" s="383">
        <f t="shared" si="3"/>
        <v>16.010103007381748</v>
      </c>
      <c r="R16" s="383">
        <f t="shared" si="3"/>
        <v>16.657124990294179</v>
      </c>
      <c r="S16" s="383">
        <f t="shared" si="3"/>
        <v>17.330295302557094</v>
      </c>
      <c r="T16" s="383">
        <f t="shared" si="3"/>
        <v>18.030670685897764</v>
      </c>
      <c r="U16" s="383">
        <f t="shared" si="3"/>
        <v>18.759350588522487</v>
      </c>
      <c r="V16" s="383">
        <f t="shared" si="3"/>
        <v>19.517478891028667</v>
      </c>
      <c r="W16" s="383">
        <f t="shared" si="3"/>
        <v>20.306245702066839</v>
      </c>
      <c r="X16" s="383">
        <f t="shared" si="3"/>
        <v>21.126889226571379</v>
      </c>
      <c r="Y16" s="383">
        <f t="shared" si="3"/>
        <v>21.980697709492759</v>
      </c>
      <c r="Z16" s="383">
        <f t="shared" si="3"/>
        <v>22.869011458082483</v>
      </c>
      <c r="AA16" s="383">
        <f t="shared" si="3"/>
        <v>23.793224945905365</v>
      </c>
      <c r="AB16" s="383">
        <f t="shared" si="3"/>
        <v>24.754789001881971</v>
      </c>
      <c r="AC16" s="383">
        <f t="shared" si="3"/>
        <v>25.755213087797713</v>
      </c>
      <c r="AD16" s="383">
        <f t="shared" si="3"/>
        <v>26.796067667853571</v>
      </c>
      <c r="AE16" s="383">
        <f t="shared" si="3"/>
        <v>27.878986673978439</v>
      </c>
      <c r="AF16" s="383">
        <f t="shared" si="3"/>
        <v>29.00567007077295</v>
      </c>
      <c r="AG16" s="383">
        <f t="shared" si="3"/>
        <v>30.177886524111358</v>
      </c>
      <c r="AH16" s="383">
        <f t="shared" si="3"/>
        <v>31.397476177590434</v>
      </c>
      <c r="AI16" s="383">
        <f t="shared" si="3"/>
        <v>32.666353541184165</v>
      </c>
      <c r="AJ16" s="383">
        <f t="shared" si="3"/>
        <v>33.98651049663853</v>
      </c>
      <c r="AK16" s="383">
        <f t="shared" si="3"/>
        <v>35.360019424324406</v>
      </c>
      <c r="AL16" s="383">
        <f t="shared" ref="AL16" si="4">AL6*AL14</f>
        <v>36.78903645645719</v>
      </c>
    </row>
    <row r="17" spans="2:38">
      <c r="B17" s="573" t="s">
        <v>1056</v>
      </c>
      <c r="C17" s="574" t="s">
        <v>490</v>
      </c>
      <c r="D17" s="383">
        <f>D16*$C13/2</f>
        <v>43.045692624711052</v>
      </c>
      <c r="E17" s="383">
        <f t="shared" ref="E17:AK17" si="5">E16*$C13/2</f>
        <v>44.785313499419885</v>
      </c>
      <c r="F17" s="383">
        <f t="shared" si="5"/>
        <v>46.595238290808766</v>
      </c>
      <c r="G17" s="383">
        <f t="shared" si="5"/>
        <v>48.478308216048873</v>
      </c>
      <c r="H17" s="383">
        <f t="shared" si="5"/>
        <v>50.437479315430707</v>
      </c>
      <c r="I17" s="383">
        <f t="shared" si="5"/>
        <v>52.475827092751601</v>
      </c>
      <c r="J17" s="383">
        <f t="shared" si="5"/>
        <v>54.596551343236911</v>
      </c>
      <c r="K17" s="383">
        <f t="shared" si="5"/>
        <v>56.802981176573688</v>
      </c>
      <c r="L17" s="383">
        <f t="shared" si="5"/>
        <v>59.098580242941921</v>
      </c>
      <c r="M17" s="383">
        <f t="shared" si="5"/>
        <v>61.486952170247307</v>
      </c>
      <c r="N17" s="383">
        <f t="shared" si="5"/>
        <v>63.971846221090871</v>
      </c>
      <c r="O17" s="383">
        <f t="shared" si="5"/>
        <v>66.557163178355651</v>
      </c>
      <c r="P17" s="383">
        <f t="shared" si="5"/>
        <v>69.246961468649673</v>
      </c>
      <c r="Q17" s="383">
        <f t="shared" si="5"/>
        <v>72.04546353321787</v>
      </c>
      <c r="R17" s="383">
        <f t="shared" si="5"/>
        <v>74.957062456323797</v>
      </c>
      <c r="S17" s="383">
        <f t="shared" si="5"/>
        <v>77.986328861506919</v>
      </c>
      <c r="T17" s="383">
        <f t="shared" si="5"/>
        <v>81.138018086539944</v>
      </c>
      <c r="U17" s="383">
        <f t="shared" si="5"/>
        <v>84.417077648351196</v>
      </c>
      <c r="V17" s="383">
        <f t="shared" si="5"/>
        <v>87.828655009629003</v>
      </c>
      <c r="W17" s="383">
        <f t="shared" si="5"/>
        <v>91.378105659300772</v>
      </c>
      <c r="X17" s="383">
        <f t="shared" si="5"/>
        <v>95.071001519571212</v>
      </c>
      <c r="Y17" s="383">
        <f t="shared" si="5"/>
        <v>98.913139692717408</v>
      </c>
      <c r="Z17" s="383">
        <f t="shared" si="5"/>
        <v>102.91055156137116</v>
      </c>
      <c r="AA17" s="383">
        <f t="shared" si="5"/>
        <v>107.06951225657414</v>
      </c>
      <c r="AB17" s="383">
        <f t="shared" si="5"/>
        <v>111.39655050846886</v>
      </c>
      <c r="AC17" s="383">
        <f t="shared" si="5"/>
        <v>115.8984588950897</v>
      </c>
      <c r="AD17" s="383">
        <f t="shared" si="5"/>
        <v>120.58230450534107</v>
      </c>
      <c r="AE17" s="383">
        <f t="shared" si="5"/>
        <v>125.45544003290297</v>
      </c>
      <c r="AF17" s="383">
        <f t="shared" si="5"/>
        <v>130.52551531847828</v>
      </c>
      <c r="AG17" s="383">
        <f t="shared" si="5"/>
        <v>135.80048935850112</v>
      </c>
      <c r="AH17" s="383">
        <f t="shared" si="5"/>
        <v>141.28864279915695</v>
      </c>
      <c r="AI17" s="383">
        <f t="shared" si="5"/>
        <v>146.99859093532874</v>
      </c>
      <c r="AJ17" s="383">
        <f t="shared" si="5"/>
        <v>152.93929723487338</v>
      </c>
      <c r="AK17" s="383">
        <f t="shared" si="5"/>
        <v>159.12008740945981</v>
      </c>
      <c r="AL17" s="383">
        <f t="shared" ref="AL17" si="6">AL16*$C13/2</f>
        <v>165.55066405405736</v>
      </c>
    </row>
    <row r="18" spans="2:38">
      <c r="B18" s="575" t="s">
        <v>1057</v>
      </c>
      <c r="C18" s="574" t="s">
        <v>443</v>
      </c>
      <c r="D18" s="383">
        <f>D17/Minutes.per.Hour*Days.Per.Year</f>
        <v>261.86129680032559</v>
      </c>
      <c r="E18" s="383">
        <f t="shared" ref="E18:AK18" si="7">E17/Minutes.per.Hour*Days.Per.Year</f>
        <v>272.44399045480429</v>
      </c>
      <c r="F18" s="383">
        <f t="shared" si="7"/>
        <v>283.45436626908662</v>
      </c>
      <c r="G18" s="383">
        <f t="shared" si="7"/>
        <v>294.90970831429729</v>
      </c>
      <c r="H18" s="383">
        <f t="shared" si="7"/>
        <v>306.82799916887012</v>
      </c>
      <c r="I18" s="383">
        <f t="shared" si="7"/>
        <v>319.22794814757225</v>
      </c>
      <c r="J18" s="383">
        <f t="shared" si="7"/>
        <v>332.12902067135786</v>
      </c>
      <c r="K18" s="383">
        <f t="shared" si="7"/>
        <v>345.55146882415659</v>
      </c>
      <c r="L18" s="383">
        <f t="shared" si="7"/>
        <v>359.51636314456334</v>
      </c>
      <c r="M18" s="383">
        <f t="shared" si="7"/>
        <v>374.04562570233782</v>
      </c>
      <c r="N18" s="383">
        <f t="shared" si="7"/>
        <v>389.16206451163617</v>
      </c>
      <c r="O18" s="383">
        <f t="shared" si="7"/>
        <v>404.88940933499686</v>
      </c>
      <c r="P18" s="383">
        <f t="shared" si="7"/>
        <v>421.25234893428552</v>
      </c>
      <c r="Q18" s="383">
        <f t="shared" si="7"/>
        <v>438.27656982707543</v>
      </c>
      <c r="R18" s="383">
        <f t="shared" si="7"/>
        <v>455.98879660930305</v>
      </c>
      <c r="S18" s="383">
        <f t="shared" si="7"/>
        <v>474.41683390750046</v>
      </c>
      <c r="T18" s="383">
        <f t="shared" si="7"/>
        <v>493.58961002645134</v>
      </c>
      <c r="U18" s="383">
        <f t="shared" si="7"/>
        <v>513.53722236080307</v>
      </c>
      <c r="V18" s="383">
        <f t="shared" si="7"/>
        <v>534.29098464190974</v>
      </c>
      <c r="W18" s="383">
        <f t="shared" si="7"/>
        <v>555.8834760940797</v>
      </c>
      <c r="X18" s="383">
        <f t="shared" si="7"/>
        <v>578.34859257739151</v>
      </c>
      <c r="Y18" s="383">
        <f t="shared" si="7"/>
        <v>601.72159979736421</v>
      </c>
      <c r="Z18" s="383">
        <f t="shared" si="7"/>
        <v>626.03918866500794</v>
      </c>
      <c r="AA18" s="383">
        <f t="shared" si="7"/>
        <v>651.33953289415933</v>
      </c>
      <c r="AB18" s="383">
        <f t="shared" si="7"/>
        <v>677.66234892651892</v>
      </c>
      <c r="AC18" s="383">
        <f t="shared" si="7"/>
        <v>705.04895827846235</v>
      </c>
      <c r="AD18" s="383">
        <f t="shared" si="7"/>
        <v>733.54235240749153</v>
      </c>
      <c r="AE18" s="383">
        <f t="shared" si="7"/>
        <v>763.18726020015981</v>
      </c>
      <c r="AF18" s="383">
        <f t="shared" si="7"/>
        <v>794.03021818740956</v>
      </c>
      <c r="AG18" s="383">
        <f t="shared" si="7"/>
        <v>826.11964359754847</v>
      </c>
      <c r="AH18" s="383">
        <f t="shared" si="7"/>
        <v>859.5059103615381</v>
      </c>
      <c r="AI18" s="383">
        <f t="shared" si="7"/>
        <v>894.24142818991652</v>
      </c>
      <c r="AJ18" s="383">
        <f t="shared" si="7"/>
        <v>930.38072484547968</v>
      </c>
      <c r="AK18" s="383">
        <f t="shared" si="7"/>
        <v>967.98053174088056</v>
      </c>
      <c r="AL18" s="383">
        <f t="shared" ref="AL18" si="8">AL17/Minutes.per.Hour*Days.Per.Year</f>
        <v>1007.0998729955157</v>
      </c>
    </row>
    <row r="20" spans="2:38">
      <c r="B20" s="575" t="s">
        <v>745</v>
      </c>
      <c r="C20" s="574" t="s">
        <v>443</v>
      </c>
      <c r="D20" s="383">
        <f>D18</f>
        <v>261.86129680032559</v>
      </c>
      <c r="E20" s="383">
        <f t="shared" ref="E20:AK20" si="9">E18</f>
        <v>272.44399045480429</v>
      </c>
      <c r="F20" s="383">
        <f t="shared" si="9"/>
        <v>283.45436626908662</v>
      </c>
      <c r="G20" s="383">
        <f t="shared" si="9"/>
        <v>294.90970831429729</v>
      </c>
      <c r="H20" s="383">
        <f t="shared" si="9"/>
        <v>306.82799916887012</v>
      </c>
      <c r="I20" s="383">
        <f t="shared" si="9"/>
        <v>319.22794814757225</v>
      </c>
      <c r="J20" s="383">
        <f t="shared" si="9"/>
        <v>332.12902067135786</v>
      </c>
      <c r="K20" s="383">
        <f t="shared" si="9"/>
        <v>345.55146882415659</v>
      </c>
      <c r="L20" s="383">
        <f t="shared" si="9"/>
        <v>359.51636314456334</v>
      </c>
      <c r="M20" s="383">
        <f t="shared" si="9"/>
        <v>374.04562570233782</v>
      </c>
      <c r="N20" s="383">
        <f t="shared" si="9"/>
        <v>389.16206451163617</v>
      </c>
      <c r="O20" s="383">
        <f t="shared" si="9"/>
        <v>404.88940933499686</v>
      </c>
      <c r="P20" s="383">
        <f t="shared" si="9"/>
        <v>421.25234893428552</v>
      </c>
      <c r="Q20" s="383">
        <f t="shared" si="9"/>
        <v>438.27656982707543</v>
      </c>
      <c r="R20" s="383">
        <f t="shared" si="9"/>
        <v>455.98879660930305</v>
      </c>
      <c r="S20" s="383">
        <f t="shared" si="9"/>
        <v>474.41683390750046</v>
      </c>
      <c r="T20" s="383">
        <f t="shared" si="9"/>
        <v>493.58961002645134</v>
      </c>
      <c r="U20" s="383">
        <f t="shared" si="9"/>
        <v>513.53722236080307</v>
      </c>
      <c r="V20" s="383">
        <f t="shared" si="9"/>
        <v>534.29098464190974</v>
      </c>
      <c r="W20" s="383">
        <f t="shared" si="9"/>
        <v>555.8834760940797</v>
      </c>
      <c r="X20" s="383">
        <f t="shared" si="9"/>
        <v>578.34859257739151</v>
      </c>
      <c r="Y20" s="383">
        <f t="shared" si="9"/>
        <v>601.72159979736421</v>
      </c>
      <c r="Z20" s="383">
        <f t="shared" si="9"/>
        <v>626.03918866500794</v>
      </c>
      <c r="AA20" s="383">
        <f t="shared" si="9"/>
        <v>651.33953289415933</v>
      </c>
      <c r="AB20" s="383">
        <f t="shared" si="9"/>
        <v>677.66234892651892</v>
      </c>
      <c r="AC20" s="383">
        <f t="shared" si="9"/>
        <v>705.04895827846235</v>
      </c>
      <c r="AD20" s="383">
        <f t="shared" si="9"/>
        <v>733.54235240749153</v>
      </c>
      <c r="AE20" s="383">
        <f t="shared" si="9"/>
        <v>763.18726020015981</v>
      </c>
      <c r="AF20" s="383">
        <f t="shared" si="9"/>
        <v>794.03021818740956</v>
      </c>
      <c r="AG20" s="383">
        <f t="shared" si="9"/>
        <v>826.11964359754847</v>
      </c>
      <c r="AH20" s="383">
        <f t="shared" si="9"/>
        <v>859.5059103615381</v>
      </c>
      <c r="AI20" s="383">
        <f t="shared" si="9"/>
        <v>894.24142818991652</v>
      </c>
      <c r="AJ20" s="383">
        <f t="shared" si="9"/>
        <v>930.38072484547968</v>
      </c>
      <c r="AK20" s="383">
        <f t="shared" si="9"/>
        <v>967.98053174088056</v>
      </c>
      <c r="AL20" s="383">
        <f t="shared" ref="AL20" si="10">AL18</f>
        <v>1007.0998729955157</v>
      </c>
    </row>
    <row r="22" spans="2:38" ht="13">
      <c r="B22" s="502" t="s">
        <v>506</v>
      </c>
      <c r="C22" s="542">
        <f>SUMIFS('Crossing Inputs'!$C$41:$H$41,'Crossing Inputs'!$C$23:$H$23,$A$1)</f>
        <v>0.995</v>
      </c>
    </row>
    <row r="23" spans="2:38" ht="13">
      <c r="B23" s="502" t="s">
        <v>507</v>
      </c>
      <c r="C23" s="542">
        <f>SUMIFS('Crossing Inputs'!$C$42:$H$42,'Crossing Inputs'!$C$23:$H$23,$A$1)</f>
        <v>5.0000000000000001E-3</v>
      </c>
    </row>
    <row r="24" spans="2:38" ht="13">
      <c r="B24" s="502" t="s">
        <v>746</v>
      </c>
      <c r="C24" s="542">
        <f>SUMIFS('Crossing Inputs'!$C$43:$H$43,'Crossing Inputs'!$C$23:$H$23,$A$1)</f>
        <v>0</v>
      </c>
    </row>
    <row r="25" spans="2:38">
      <c r="B25" s="358" t="s">
        <v>508</v>
      </c>
      <c r="C25" s="358" t="s">
        <v>443</v>
      </c>
      <c r="D25" s="576">
        <f>D$20*$C22</f>
        <v>260.55199031632395</v>
      </c>
      <c r="E25" s="576">
        <f t="shared" ref="E25:AK27" si="11">E$20*$C22</f>
        <v>271.08177050253028</v>
      </c>
      <c r="F25" s="576">
        <f t="shared" si="11"/>
        <v>282.03709443774119</v>
      </c>
      <c r="G25" s="576">
        <f t="shared" si="11"/>
        <v>293.4351597727258</v>
      </c>
      <c r="H25" s="576">
        <f t="shared" si="11"/>
        <v>305.29385917302579</v>
      </c>
      <c r="I25" s="576">
        <f t="shared" si="11"/>
        <v>317.63180840683441</v>
      </c>
      <c r="J25" s="576">
        <f t="shared" si="11"/>
        <v>330.46837556800108</v>
      </c>
      <c r="K25" s="576">
        <f t="shared" si="11"/>
        <v>343.8237114800358</v>
      </c>
      <c r="L25" s="576">
        <f t="shared" si="11"/>
        <v>357.71878132884052</v>
      </c>
      <c r="M25" s="576">
        <f t="shared" si="11"/>
        <v>372.1753975738261</v>
      </c>
      <c r="N25" s="576">
        <f t="shared" si="11"/>
        <v>387.21625418907797</v>
      </c>
      <c r="O25" s="576">
        <f t="shared" si="11"/>
        <v>402.86496228832186</v>
      </c>
      <c r="P25" s="576">
        <f t="shared" si="11"/>
        <v>419.14608718961409</v>
      </c>
      <c r="Q25" s="576">
        <f t="shared" si="11"/>
        <v>436.08518697794005</v>
      </c>
      <c r="R25" s="576">
        <f t="shared" si="11"/>
        <v>453.70885262625654</v>
      </c>
      <c r="S25" s="576">
        <f t="shared" si="11"/>
        <v>472.04474973796295</v>
      </c>
      <c r="T25" s="576">
        <f t="shared" si="11"/>
        <v>491.1216619763191</v>
      </c>
      <c r="U25" s="576">
        <f t="shared" si="11"/>
        <v>510.96953624899908</v>
      </c>
      <c r="V25" s="576">
        <f t="shared" si="11"/>
        <v>531.61952971870016</v>
      </c>
      <c r="W25" s="576">
        <f t="shared" si="11"/>
        <v>553.10405871360933</v>
      </c>
      <c r="X25" s="576">
        <f t="shared" si="11"/>
        <v>575.45684961450456</v>
      </c>
      <c r="Y25" s="576">
        <f t="shared" si="11"/>
        <v>598.7129917983774</v>
      </c>
      <c r="Z25" s="576">
        <f t="shared" si="11"/>
        <v>622.90899272168292</v>
      </c>
      <c r="AA25" s="576">
        <f t="shared" si="11"/>
        <v>648.0828352296885</v>
      </c>
      <c r="AB25" s="576">
        <f t="shared" si="11"/>
        <v>674.27403718188634</v>
      </c>
      <c r="AC25" s="576">
        <f t="shared" si="11"/>
        <v>701.52371348707004</v>
      </c>
      <c r="AD25" s="576">
        <f t="shared" si="11"/>
        <v>729.87464064545406</v>
      </c>
      <c r="AE25" s="576">
        <f t="shared" si="11"/>
        <v>759.37132389915905</v>
      </c>
      <c r="AF25" s="576">
        <f t="shared" si="11"/>
        <v>790.06006709647249</v>
      </c>
      <c r="AG25" s="576">
        <f t="shared" si="11"/>
        <v>821.98904537956071</v>
      </c>
      <c r="AH25" s="576">
        <f t="shared" si="11"/>
        <v>855.20838080973044</v>
      </c>
      <c r="AI25" s="576">
        <f t="shared" si="11"/>
        <v>889.77022104896696</v>
      </c>
      <c r="AJ25" s="576">
        <f t="shared" si="11"/>
        <v>925.72882122125225</v>
      </c>
      <c r="AK25" s="576">
        <f t="shared" si="11"/>
        <v>963.14062908217613</v>
      </c>
      <c r="AL25" s="576">
        <f t="shared" ref="AL25" si="12">AL$20*$C22</f>
        <v>1002.0643736305382</v>
      </c>
    </row>
    <row r="26" spans="2:38">
      <c r="B26" s="358" t="s">
        <v>509</v>
      </c>
      <c r="C26" s="358" t="s">
        <v>443</v>
      </c>
      <c r="D26" s="576">
        <f t="shared" ref="D26:S27" si="13">D$20*$C23</f>
        <v>1.309306484001628</v>
      </c>
      <c r="E26" s="576">
        <f t="shared" si="13"/>
        <v>1.3622199522740215</v>
      </c>
      <c r="F26" s="576">
        <f t="shared" si="13"/>
        <v>1.4172718313454331</v>
      </c>
      <c r="G26" s="576">
        <f t="shared" si="13"/>
        <v>1.4745485415714865</v>
      </c>
      <c r="H26" s="576">
        <f t="shared" si="13"/>
        <v>1.5341399958443507</v>
      </c>
      <c r="I26" s="576">
        <f t="shared" si="13"/>
        <v>1.5961397407378612</v>
      </c>
      <c r="J26" s="576">
        <f t="shared" si="13"/>
        <v>1.6606451033567893</v>
      </c>
      <c r="K26" s="576">
        <f t="shared" si="13"/>
        <v>1.727757344120783</v>
      </c>
      <c r="L26" s="576">
        <f t="shared" si="13"/>
        <v>1.7975818157228167</v>
      </c>
      <c r="M26" s="576">
        <f t="shared" si="13"/>
        <v>1.8702281285116891</v>
      </c>
      <c r="N26" s="576">
        <f t="shared" si="13"/>
        <v>1.9458103225581809</v>
      </c>
      <c r="O26" s="576">
        <f t="shared" si="13"/>
        <v>2.0244470466749842</v>
      </c>
      <c r="P26" s="576">
        <f t="shared" si="13"/>
        <v>2.1062617446714276</v>
      </c>
      <c r="Q26" s="576">
        <f t="shared" si="13"/>
        <v>2.1913828491353771</v>
      </c>
      <c r="R26" s="576">
        <f t="shared" si="13"/>
        <v>2.2799439830465151</v>
      </c>
      <c r="S26" s="576">
        <f t="shared" si="13"/>
        <v>2.3720841695375023</v>
      </c>
      <c r="T26" s="576">
        <f t="shared" si="11"/>
        <v>2.4679480501322568</v>
      </c>
      <c r="U26" s="576">
        <f t="shared" si="11"/>
        <v>2.5676861118040155</v>
      </c>
      <c r="V26" s="576">
        <f t="shared" si="11"/>
        <v>2.6714549232095486</v>
      </c>
      <c r="W26" s="576">
        <f t="shared" si="11"/>
        <v>2.7794173804703983</v>
      </c>
      <c r="X26" s="576">
        <f t="shared" si="11"/>
        <v>2.8917429628869575</v>
      </c>
      <c r="Y26" s="576">
        <f t="shared" si="11"/>
        <v>3.0086079989868213</v>
      </c>
      <c r="Z26" s="576">
        <f t="shared" si="11"/>
        <v>3.1301959433250399</v>
      </c>
      <c r="AA26" s="576">
        <f t="shared" si="11"/>
        <v>3.2566976644707966</v>
      </c>
      <c r="AB26" s="576">
        <f t="shared" si="11"/>
        <v>3.3883117446325945</v>
      </c>
      <c r="AC26" s="576">
        <f t="shared" si="11"/>
        <v>3.5252447913923119</v>
      </c>
      <c r="AD26" s="576">
        <f t="shared" si="11"/>
        <v>3.6677117620374577</v>
      </c>
      <c r="AE26" s="576">
        <f t="shared" si="11"/>
        <v>3.8159363010007992</v>
      </c>
      <c r="AF26" s="576">
        <f t="shared" si="11"/>
        <v>3.9701510909370481</v>
      </c>
      <c r="AG26" s="576">
        <f t="shared" si="11"/>
        <v>4.1305982179877425</v>
      </c>
      <c r="AH26" s="576">
        <f t="shared" si="11"/>
        <v>4.297529551807691</v>
      </c>
      <c r="AI26" s="576">
        <f t="shared" si="11"/>
        <v>4.4712071409495824</v>
      </c>
      <c r="AJ26" s="576">
        <f t="shared" si="11"/>
        <v>4.6519036242273986</v>
      </c>
      <c r="AK26" s="576">
        <f t="shared" si="11"/>
        <v>4.8399026587044025</v>
      </c>
      <c r="AL26" s="576">
        <f t="shared" ref="AL26" si="14">AL$20*$C23</f>
        <v>5.0354993649775786</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748" t="s">
        <v>788</v>
      </c>
      <c r="C32" s="358" t="s">
        <v>295</v>
      </c>
      <c r="D32" s="383">
        <f>D25*$C29</f>
        <v>93.14733653808581</v>
      </c>
      <c r="E32" s="383">
        <f t="shared" ref="E32:AK32" si="16">E25*$C29</f>
        <v>96.911732954654568</v>
      </c>
      <c r="F32" s="383">
        <f t="shared" si="16"/>
        <v>100.82826126149247</v>
      </c>
      <c r="G32" s="383">
        <f t="shared" si="16"/>
        <v>104.90306961874947</v>
      </c>
      <c r="H32" s="383">
        <f t="shared" si="16"/>
        <v>109.14255465435672</v>
      </c>
      <c r="I32" s="383">
        <f t="shared" si="16"/>
        <v>113.55337150544329</v>
      </c>
      <c r="J32" s="383">
        <f t="shared" si="16"/>
        <v>118.14244426556039</v>
      </c>
      <c r="K32" s="383">
        <f t="shared" si="16"/>
        <v>122.91697685411279</v>
      </c>
      <c r="L32" s="383">
        <f t="shared" si="16"/>
        <v>127.88446432506048</v>
      </c>
      <c r="M32" s="383">
        <f t="shared" si="16"/>
        <v>133.05270463264281</v>
      </c>
      <c r="N32" s="383">
        <f t="shared" si="16"/>
        <v>138.42981087259537</v>
      </c>
      <c r="O32" s="383">
        <f t="shared" si="16"/>
        <v>144.02422401807505</v>
      </c>
      <c r="P32" s="383">
        <f t="shared" si="16"/>
        <v>149.84472617028703</v>
      </c>
      <c r="Q32" s="383">
        <f t="shared" si="16"/>
        <v>155.90045434461356</v>
      </c>
      <c r="R32" s="383">
        <f t="shared" si="16"/>
        <v>162.2009148138867</v>
      </c>
      <c r="S32" s="383">
        <f t="shared" si="16"/>
        <v>168.75599803132175</v>
      </c>
      <c r="T32" s="383">
        <f t="shared" si="16"/>
        <v>175.57599415653408</v>
      </c>
      <c r="U32" s="383">
        <f t="shared" si="16"/>
        <v>182.67160920901716</v>
      </c>
      <c r="V32" s="383">
        <f t="shared" si="16"/>
        <v>190.05398187443529</v>
      </c>
      <c r="W32" s="383">
        <f t="shared" si="16"/>
        <v>197.73470099011533</v>
      </c>
      <c r="X32" s="383">
        <f t="shared" si="16"/>
        <v>205.72582373718538</v>
      </c>
      <c r="Y32" s="383">
        <f t="shared" si="16"/>
        <v>214.0398945679199</v>
      </c>
      <c r="Z32" s="383">
        <f t="shared" si="16"/>
        <v>222.68996489800165</v>
      </c>
      <c r="AA32" s="383">
        <f t="shared" si="16"/>
        <v>231.68961359461363</v>
      </c>
      <c r="AB32" s="383">
        <f t="shared" si="16"/>
        <v>241.05296829252435</v>
      </c>
      <c r="AC32" s="383">
        <f t="shared" si="16"/>
        <v>250.79472757162753</v>
      </c>
      <c r="AD32" s="383">
        <f t="shared" si="16"/>
        <v>260.93018403074984</v>
      </c>
      <c r="AE32" s="383">
        <f t="shared" si="16"/>
        <v>271.47524829394933</v>
      </c>
      <c r="AF32" s="383">
        <f t="shared" si="16"/>
        <v>282.44647398698891</v>
      </c>
      <c r="AG32" s="383">
        <f t="shared" si="16"/>
        <v>293.86108372319296</v>
      </c>
      <c r="AH32" s="383">
        <f t="shared" si="16"/>
        <v>305.73699613947861</v>
      </c>
      <c r="AI32" s="383">
        <f t="shared" si="16"/>
        <v>318.09285402500569</v>
      </c>
      <c r="AJ32" s="383">
        <f t="shared" si="16"/>
        <v>330.94805358659767</v>
      </c>
      <c r="AK32" s="383">
        <f t="shared" si="16"/>
        <v>344.32277489687795</v>
      </c>
      <c r="AL32" s="383">
        <f t="shared" ref="AL32" si="17">AL25*$C29</f>
        <v>358.2380135729174</v>
      </c>
    </row>
    <row r="33" spans="1:38">
      <c r="B33" s="748" t="s">
        <v>789</v>
      </c>
      <c r="C33" s="358" t="s">
        <v>295</v>
      </c>
      <c r="D33" s="383">
        <f>D26*$C30+D27*$C31</f>
        <v>1.0998174465613675</v>
      </c>
      <c r="E33" s="383">
        <f t="shared" ref="E33:AK33" si="18">E26*$C30+E27*$C31</f>
        <v>1.1442647599101781</v>
      </c>
      <c r="F33" s="383">
        <f t="shared" si="18"/>
        <v>1.1905083383301638</v>
      </c>
      <c r="G33" s="383">
        <f t="shared" si="18"/>
        <v>1.2386207749200486</v>
      </c>
      <c r="H33" s="383">
        <f t="shared" si="18"/>
        <v>1.2886775965092545</v>
      </c>
      <c r="I33" s="383">
        <f t="shared" si="18"/>
        <v>1.3407573822198033</v>
      </c>
      <c r="J33" s="383">
        <f t="shared" si="18"/>
        <v>1.394941886819703</v>
      </c>
      <c r="K33" s="383">
        <f t="shared" si="18"/>
        <v>1.4513161690614576</v>
      </c>
      <c r="L33" s="383">
        <f t="shared" si="18"/>
        <v>1.5099687252071661</v>
      </c>
      <c r="M33" s="383">
        <f t="shared" si="18"/>
        <v>1.5709916279498188</v>
      </c>
      <c r="N33" s="383">
        <f t="shared" si="18"/>
        <v>1.6344806709488719</v>
      </c>
      <c r="O33" s="383">
        <f t="shared" si="18"/>
        <v>1.7005355192069866</v>
      </c>
      <c r="P33" s="383">
        <f t="shared" si="18"/>
        <v>1.7692598655239991</v>
      </c>
      <c r="Q33" s="383">
        <f t="shared" si="18"/>
        <v>1.8407615932737167</v>
      </c>
      <c r="R33" s="383">
        <f t="shared" si="18"/>
        <v>1.9151529457590726</v>
      </c>
      <c r="S33" s="383">
        <f t="shared" si="18"/>
        <v>1.9925507024115019</v>
      </c>
      <c r="T33" s="383">
        <f t="shared" si="18"/>
        <v>2.0730763621110957</v>
      </c>
      <c r="U33" s="383">
        <f t="shared" si="18"/>
        <v>2.156856333915373</v>
      </c>
      <c r="V33" s="383">
        <f t="shared" si="18"/>
        <v>2.2440221354960208</v>
      </c>
      <c r="W33" s="383">
        <f t="shared" si="18"/>
        <v>2.3347105995951347</v>
      </c>
      <c r="X33" s="383">
        <f t="shared" si="18"/>
        <v>2.4290640888250441</v>
      </c>
      <c r="Y33" s="383">
        <f t="shared" si="18"/>
        <v>2.5272307191489296</v>
      </c>
      <c r="Z33" s="383">
        <f t="shared" si="18"/>
        <v>2.6293645923930336</v>
      </c>
      <c r="AA33" s="383">
        <f t="shared" si="18"/>
        <v>2.7356260381554689</v>
      </c>
      <c r="AB33" s="383">
        <f t="shared" si="18"/>
        <v>2.8461818654913795</v>
      </c>
      <c r="AC33" s="383">
        <f t="shared" si="18"/>
        <v>2.961205624769542</v>
      </c>
      <c r="AD33" s="383">
        <f t="shared" si="18"/>
        <v>3.0808778801114642</v>
      </c>
      <c r="AE33" s="383">
        <f t="shared" si="18"/>
        <v>3.2053864928406712</v>
      </c>
      <c r="AF33" s="383">
        <f t="shared" si="18"/>
        <v>3.3349269163871202</v>
      </c>
      <c r="AG33" s="383">
        <f t="shared" si="18"/>
        <v>3.4697025031097035</v>
      </c>
      <c r="AH33" s="383">
        <f t="shared" si="18"/>
        <v>3.6099248235184604</v>
      </c>
      <c r="AI33" s="383">
        <f t="shared" si="18"/>
        <v>3.7558139983976488</v>
      </c>
      <c r="AJ33" s="383">
        <f t="shared" si="18"/>
        <v>3.9075990443510147</v>
      </c>
      <c r="AK33" s="383">
        <f t="shared" si="18"/>
        <v>4.0655182333116979</v>
      </c>
      <c r="AL33" s="383">
        <f t="shared" ref="AL33" si="19">AL26*$C30+AL27*$C31</f>
        <v>4.2298194665811657</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1049</v>
      </c>
      <c r="C37" s="358" t="s">
        <v>1053</v>
      </c>
      <c r="D37" s="383">
        <f>Demand!F51</f>
        <v>2.021212882214602</v>
      </c>
      <c r="E37" s="383">
        <f>Demand!G51</f>
        <v>2.0426507576151294</v>
      </c>
      <c r="F37" s="383">
        <f>Demand!H51</f>
        <v>2.064316012578558</v>
      </c>
      <c r="G37" s="383">
        <f>Demand!I51</f>
        <v>2.0862110587928311</v>
      </c>
      <c r="H37" s="383">
        <f>Demand!J51</f>
        <v>0</v>
      </c>
      <c r="I37" s="383">
        <f>Demand!K51</f>
        <v>0</v>
      </c>
      <c r="J37" s="383">
        <f>Demand!L51</f>
        <v>0</v>
      </c>
      <c r="K37" s="383">
        <f>Demand!M51</f>
        <v>0</v>
      </c>
      <c r="L37" s="383">
        <f>Demand!N51</f>
        <v>0</v>
      </c>
      <c r="M37" s="383">
        <f>Demand!O51</f>
        <v>0</v>
      </c>
      <c r="N37" s="383">
        <f>Demand!P51</f>
        <v>0</v>
      </c>
      <c r="O37" s="383">
        <f>Demand!Q51</f>
        <v>0</v>
      </c>
      <c r="P37" s="383">
        <f>Demand!R51</f>
        <v>0</v>
      </c>
      <c r="Q37" s="383">
        <f>Demand!S51</f>
        <v>0</v>
      </c>
      <c r="R37" s="383">
        <f>Demand!T51</f>
        <v>0</v>
      </c>
      <c r="S37" s="383">
        <f>Demand!U51</f>
        <v>0</v>
      </c>
      <c r="T37" s="383">
        <f>Demand!V51</f>
        <v>0</v>
      </c>
      <c r="U37" s="383">
        <f>Demand!W51</f>
        <v>0</v>
      </c>
      <c r="V37" s="383">
        <f>Demand!X51</f>
        <v>0</v>
      </c>
      <c r="W37" s="383">
        <f>Demand!Y51</f>
        <v>0</v>
      </c>
      <c r="X37" s="383">
        <f>Demand!Z51</f>
        <v>0</v>
      </c>
      <c r="Y37" s="383">
        <f>Demand!AA51</f>
        <v>0</v>
      </c>
      <c r="Z37" s="383">
        <f>Demand!AB51</f>
        <v>0</v>
      </c>
      <c r="AA37" s="383">
        <f>Demand!AC51</f>
        <v>0</v>
      </c>
      <c r="AB37" s="383">
        <f>Demand!AD51</f>
        <v>0</v>
      </c>
      <c r="AC37" s="383">
        <f>Demand!AE51</f>
        <v>0</v>
      </c>
      <c r="AD37" s="383">
        <f>Demand!AF51</f>
        <v>0</v>
      </c>
      <c r="AE37" s="383">
        <f>Demand!AG51</f>
        <v>0</v>
      </c>
      <c r="AF37" s="383">
        <f>Demand!AH51</f>
        <v>0</v>
      </c>
      <c r="AG37" s="383">
        <f>Demand!AI51</f>
        <v>0</v>
      </c>
      <c r="AH37" s="383">
        <f>Demand!AJ51</f>
        <v>0</v>
      </c>
      <c r="AI37" s="383">
        <f>Demand!AK51</f>
        <v>0</v>
      </c>
      <c r="AJ37" s="383">
        <f>Demand!AL51</f>
        <v>0</v>
      </c>
      <c r="AK37" s="383">
        <f>Demand!AM51</f>
        <v>0</v>
      </c>
      <c r="AL37" s="383">
        <f>Demand!AN51</f>
        <v>0</v>
      </c>
    </row>
    <row r="38" spans="1:38">
      <c r="B38" s="363" t="s">
        <v>645</v>
      </c>
      <c r="C38" s="358" t="s">
        <v>1054</v>
      </c>
      <c r="D38" s="383">
        <f>Demand!F52</f>
        <v>1.010606441107301</v>
      </c>
      <c r="E38" s="383">
        <f>Demand!G52</f>
        <v>1.0213253788075647</v>
      </c>
      <c r="F38" s="383">
        <f>Demand!H52</f>
        <v>1.032158006289279</v>
      </c>
      <c r="G38" s="383">
        <f>Demand!I52</f>
        <v>1.0431055293964155</v>
      </c>
      <c r="H38" s="383">
        <f>Demand!J52</f>
        <v>0</v>
      </c>
      <c r="I38" s="383">
        <f>Demand!K52</f>
        <v>0</v>
      </c>
      <c r="J38" s="383">
        <f>Demand!L52</f>
        <v>0</v>
      </c>
      <c r="K38" s="383">
        <f>Demand!M52</f>
        <v>0</v>
      </c>
      <c r="L38" s="383">
        <f>Demand!N52</f>
        <v>0</v>
      </c>
      <c r="M38" s="383">
        <f>Demand!O52</f>
        <v>0</v>
      </c>
      <c r="N38" s="383">
        <f>Demand!P52</f>
        <v>0</v>
      </c>
      <c r="O38" s="383">
        <f>Demand!Q52</f>
        <v>0</v>
      </c>
      <c r="P38" s="383">
        <f>Demand!R52</f>
        <v>0</v>
      </c>
      <c r="Q38" s="383">
        <f>Demand!S52</f>
        <v>0</v>
      </c>
      <c r="R38" s="383">
        <f>Demand!T52</f>
        <v>0</v>
      </c>
      <c r="S38" s="383">
        <f>Demand!U52</f>
        <v>0</v>
      </c>
      <c r="T38" s="383">
        <f>Demand!V52</f>
        <v>0</v>
      </c>
      <c r="U38" s="383">
        <f>Demand!W52</f>
        <v>0</v>
      </c>
      <c r="V38" s="383">
        <f>Demand!X52</f>
        <v>0</v>
      </c>
      <c r="W38" s="383">
        <f>Demand!Y52</f>
        <v>0</v>
      </c>
      <c r="X38" s="383">
        <f>Demand!Z52</f>
        <v>0</v>
      </c>
      <c r="Y38" s="383">
        <f>Demand!AA52</f>
        <v>0</v>
      </c>
      <c r="Z38" s="383">
        <f>Demand!AB52</f>
        <v>0</v>
      </c>
      <c r="AA38" s="383">
        <f>Demand!AC52</f>
        <v>0</v>
      </c>
      <c r="AB38" s="383">
        <f>Demand!AD52</f>
        <v>0</v>
      </c>
      <c r="AC38" s="383">
        <f>Demand!AE52</f>
        <v>0</v>
      </c>
      <c r="AD38" s="383">
        <f>Demand!AF52</f>
        <v>0</v>
      </c>
      <c r="AE38" s="383">
        <f>Demand!AG52</f>
        <v>0</v>
      </c>
      <c r="AF38" s="383">
        <f>Demand!AH52</f>
        <v>0</v>
      </c>
      <c r="AG38" s="383">
        <f>Demand!AI52</f>
        <v>0</v>
      </c>
      <c r="AH38" s="383">
        <f>Demand!AJ52</f>
        <v>0</v>
      </c>
      <c r="AI38" s="383">
        <f>Demand!AK52</f>
        <v>0</v>
      </c>
      <c r="AJ38" s="383">
        <f>Demand!AL52</f>
        <v>0</v>
      </c>
      <c r="AK38" s="383">
        <f>Demand!AM52</f>
        <v>0</v>
      </c>
      <c r="AL38" s="383">
        <f>Demand!AN52</f>
        <v>0</v>
      </c>
    </row>
    <row r="40" spans="1:38">
      <c r="B40" s="571" t="s">
        <v>1058</v>
      </c>
      <c r="C40" s="572" t="s">
        <v>15</v>
      </c>
      <c r="D40" s="570">
        <f t="shared" ref="D40:AL40" si="20">(D$37*$C$13)/Minutes.Per.Day</f>
        <v>1.2632580513841262E-2</v>
      </c>
      <c r="E40" s="570">
        <f t="shared" si="20"/>
        <v>1.2766567235094558E-2</v>
      </c>
      <c r="F40" s="570">
        <f t="shared" si="20"/>
        <v>1.2901975078615988E-2</v>
      </c>
      <c r="G40" s="570">
        <f t="shared" si="20"/>
        <v>1.3038819117455193E-2</v>
      </c>
      <c r="H40" s="570">
        <f t="shared" si="20"/>
        <v>0</v>
      </c>
      <c r="I40" s="570">
        <f t="shared" si="20"/>
        <v>0</v>
      </c>
      <c r="J40" s="570">
        <f t="shared" si="20"/>
        <v>0</v>
      </c>
      <c r="K40" s="570">
        <f t="shared" si="20"/>
        <v>0</v>
      </c>
      <c r="L40" s="570">
        <f t="shared" si="20"/>
        <v>0</v>
      </c>
      <c r="M40" s="570">
        <f t="shared" si="20"/>
        <v>0</v>
      </c>
      <c r="N40" s="570">
        <f t="shared" si="20"/>
        <v>0</v>
      </c>
      <c r="O40" s="570">
        <f t="shared" si="20"/>
        <v>0</v>
      </c>
      <c r="P40" s="570">
        <f t="shared" si="20"/>
        <v>0</v>
      </c>
      <c r="Q40" s="570">
        <f t="shared" si="20"/>
        <v>0</v>
      </c>
      <c r="R40" s="570">
        <f t="shared" si="20"/>
        <v>0</v>
      </c>
      <c r="S40" s="570">
        <f t="shared" si="20"/>
        <v>0</v>
      </c>
      <c r="T40" s="570">
        <f t="shared" si="20"/>
        <v>0</v>
      </c>
      <c r="U40" s="570">
        <f t="shared" si="20"/>
        <v>0</v>
      </c>
      <c r="V40" s="570">
        <f t="shared" si="20"/>
        <v>0</v>
      </c>
      <c r="W40" s="570">
        <f t="shared" si="20"/>
        <v>0</v>
      </c>
      <c r="X40" s="570">
        <f t="shared" si="20"/>
        <v>0</v>
      </c>
      <c r="Y40" s="570">
        <f t="shared" si="20"/>
        <v>0</v>
      </c>
      <c r="Z40" s="570">
        <f t="shared" si="20"/>
        <v>0</v>
      </c>
      <c r="AA40" s="570">
        <f t="shared" si="20"/>
        <v>0</v>
      </c>
      <c r="AB40" s="570">
        <f t="shared" si="20"/>
        <v>0</v>
      </c>
      <c r="AC40" s="570">
        <f t="shared" si="20"/>
        <v>0</v>
      </c>
      <c r="AD40" s="570">
        <f t="shared" si="20"/>
        <v>0</v>
      </c>
      <c r="AE40" s="570">
        <f t="shared" si="20"/>
        <v>0</v>
      </c>
      <c r="AF40" s="570">
        <f t="shared" si="20"/>
        <v>0</v>
      </c>
      <c r="AG40" s="570">
        <f t="shared" si="20"/>
        <v>0</v>
      </c>
      <c r="AH40" s="570">
        <f t="shared" si="20"/>
        <v>0</v>
      </c>
      <c r="AI40" s="570">
        <f t="shared" si="20"/>
        <v>0</v>
      </c>
      <c r="AJ40" s="570">
        <f t="shared" si="20"/>
        <v>0</v>
      </c>
      <c r="AK40" s="570">
        <f t="shared" si="20"/>
        <v>0</v>
      </c>
      <c r="AL40" s="570">
        <f t="shared" si="20"/>
        <v>0</v>
      </c>
    </row>
    <row r="42" spans="1:38">
      <c r="B42" s="573" t="s">
        <v>1055</v>
      </c>
      <c r="C42" s="574" t="s">
        <v>505</v>
      </c>
      <c r="D42" s="383">
        <f t="shared" ref="D42:AK42" si="21">D6*D40</f>
        <v>9.5657094721580123</v>
      </c>
      <c r="E42" s="383">
        <f t="shared" si="21"/>
        <v>9.9522918887599747</v>
      </c>
      <c r="F42" s="383">
        <f t="shared" si="21"/>
        <v>10.354497397957504</v>
      </c>
      <c r="G42" s="383">
        <f t="shared" si="21"/>
        <v>10.772957381344193</v>
      </c>
      <c r="H42" s="383">
        <f t="shared" si="21"/>
        <v>0</v>
      </c>
      <c r="I42" s="383">
        <f t="shared" si="21"/>
        <v>0</v>
      </c>
      <c r="J42" s="383">
        <f t="shared" si="21"/>
        <v>0</v>
      </c>
      <c r="K42" s="383">
        <f t="shared" si="21"/>
        <v>0</v>
      </c>
      <c r="L42" s="383">
        <f t="shared" si="21"/>
        <v>0</v>
      </c>
      <c r="M42" s="383">
        <f t="shared" si="21"/>
        <v>0</v>
      </c>
      <c r="N42" s="383">
        <f t="shared" si="21"/>
        <v>0</v>
      </c>
      <c r="O42" s="383">
        <f t="shared" si="21"/>
        <v>0</v>
      </c>
      <c r="P42" s="383">
        <f t="shared" si="21"/>
        <v>0</v>
      </c>
      <c r="Q42" s="383">
        <f t="shared" si="21"/>
        <v>0</v>
      </c>
      <c r="R42" s="383">
        <f t="shared" si="21"/>
        <v>0</v>
      </c>
      <c r="S42" s="383">
        <f t="shared" si="21"/>
        <v>0</v>
      </c>
      <c r="T42" s="383">
        <f t="shared" si="21"/>
        <v>0</v>
      </c>
      <c r="U42" s="383">
        <f t="shared" si="21"/>
        <v>0</v>
      </c>
      <c r="V42" s="383">
        <f t="shared" si="21"/>
        <v>0</v>
      </c>
      <c r="W42" s="383">
        <f t="shared" si="21"/>
        <v>0</v>
      </c>
      <c r="X42" s="383">
        <f t="shared" si="21"/>
        <v>0</v>
      </c>
      <c r="Y42" s="383">
        <f t="shared" si="21"/>
        <v>0</v>
      </c>
      <c r="Z42" s="383">
        <f t="shared" si="21"/>
        <v>0</v>
      </c>
      <c r="AA42" s="383">
        <f t="shared" si="21"/>
        <v>0</v>
      </c>
      <c r="AB42" s="383">
        <f t="shared" si="21"/>
        <v>0</v>
      </c>
      <c r="AC42" s="383">
        <f t="shared" si="21"/>
        <v>0</v>
      </c>
      <c r="AD42" s="383">
        <f t="shared" si="21"/>
        <v>0</v>
      </c>
      <c r="AE42" s="383">
        <f t="shared" si="21"/>
        <v>0</v>
      </c>
      <c r="AF42" s="383">
        <f t="shared" si="21"/>
        <v>0</v>
      </c>
      <c r="AG42" s="383">
        <f t="shared" si="21"/>
        <v>0</v>
      </c>
      <c r="AH42" s="383">
        <f t="shared" si="21"/>
        <v>0</v>
      </c>
      <c r="AI42" s="383">
        <f t="shared" si="21"/>
        <v>0</v>
      </c>
      <c r="AJ42" s="383">
        <f t="shared" si="21"/>
        <v>0</v>
      </c>
      <c r="AK42" s="383">
        <f t="shared" si="21"/>
        <v>0</v>
      </c>
      <c r="AL42" s="383">
        <f t="shared" ref="AL42" si="22">AL6*AL40</f>
        <v>0</v>
      </c>
    </row>
    <row r="43" spans="1:38">
      <c r="B43" s="573" t="s">
        <v>1056</v>
      </c>
      <c r="C43" s="574" t="s">
        <v>490</v>
      </c>
      <c r="D43" s="383">
        <f t="shared" ref="D43:AK43" si="23">D42*$C$13/2</f>
        <v>43.045692624711052</v>
      </c>
      <c r="E43" s="383">
        <f t="shared" si="23"/>
        <v>44.785313499419885</v>
      </c>
      <c r="F43" s="383">
        <f t="shared" si="23"/>
        <v>46.595238290808766</v>
      </c>
      <c r="G43" s="383">
        <f t="shared" si="23"/>
        <v>48.478308216048873</v>
      </c>
      <c r="H43" s="383">
        <f t="shared" si="23"/>
        <v>0</v>
      </c>
      <c r="I43" s="383">
        <f t="shared" si="23"/>
        <v>0</v>
      </c>
      <c r="J43" s="383">
        <f t="shared" si="23"/>
        <v>0</v>
      </c>
      <c r="K43" s="383">
        <f t="shared" si="23"/>
        <v>0</v>
      </c>
      <c r="L43" s="383">
        <f t="shared" si="23"/>
        <v>0</v>
      </c>
      <c r="M43" s="383">
        <f t="shared" si="23"/>
        <v>0</v>
      </c>
      <c r="N43" s="383">
        <f t="shared" si="23"/>
        <v>0</v>
      </c>
      <c r="O43" s="383">
        <f t="shared" si="23"/>
        <v>0</v>
      </c>
      <c r="P43" s="383">
        <f t="shared" si="23"/>
        <v>0</v>
      </c>
      <c r="Q43" s="383">
        <f t="shared" si="23"/>
        <v>0</v>
      </c>
      <c r="R43" s="383">
        <f t="shared" si="23"/>
        <v>0</v>
      </c>
      <c r="S43" s="383">
        <f t="shared" si="23"/>
        <v>0</v>
      </c>
      <c r="T43" s="383">
        <f t="shared" si="23"/>
        <v>0</v>
      </c>
      <c r="U43" s="383">
        <f t="shared" si="23"/>
        <v>0</v>
      </c>
      <c r="V43" s="383">
        <f t="shared" si="23"/>
        <v>0</v>
      </c>
      <c r="W43" s="383">
        <f t="shared" si="23"/>
        <v>0</v>
      </c>
      <c r="X43" s="383">
        <f t="shared" si="23"/>
        <v>0</v>
      </c>
      <c r="Y43" s="383">
        <f t="shared" si="23"/>
        <v>0</v>
      </c>
      <c r="Z43" s="383">
        <f t="shared" si="23"/>
        <v>0</v>
      </c>
      <c r="AA43" s="383">
        <f t="shared" si="23"/>
        <v>0</v>
      </c>
      <c r="AB43" s="383">
        <f t="shared" si="23"/>
        <v>0</v>
      </c>
      <c r="AC43" s="383">
        <f t="shared" si="23"/>
        <v>0</v>
      </c>
      <c r="AD43" s="383">
        <f t="shared" si="23"/>
        <v>0</v>
      </c>
      <c r="AE43" s="383">
        <f t="shared" si="23"/>
        <v>0</v>
      </c>
      <c r="AF43" s="383">
        <f t="shared" si="23"/>
        <v>0</v>
      </c>
      <c r="AG43" s="383">
        <f t="shared" si="23"/>
        <v>0</v>
      </c>
      <c r="AH43" s="383">
        <f t="shared" si="23"/>
        <v>0</v>
      </c>
      <c r="AI43" s="383">
        <f t="shared" si="23"/>
        <v>0</v>
      </c>
      <c r="AJ43" s="383">
        <f t="shared" si="23"/>
        <v>0</v>
      </c>
      <c r="AK43" s="383">
        <f t="shared" si="23"/>
        <v>0</v>
      </c>
      <c r="AL43" s="383">
        <f t="shared" ref="AL43" si="24">AL42*$C$13/2</f>
        <v>0</v>
      </c>
    </row>
    <row r="44" spans="1:38">
      <c r="B44" s="575" t="s">
        <v>1057</v>
      </c>
      <c r="C44" s="574" t="s">
        <v>443</v>
      </c>
      <c r="D44" s="383">
        <f t="shared" ref="D44:AK44" si="25">D43/Minutes.per.Hour*Days.Per.Year</f>
        <v>261.86129680032559</v>
      </c>
      <c r="E44" s="383">
        <f t="shared" si="25"/>
        <v>272.44399045480429</v>
      </c>
      <c r="F44" s="383">
        <f t="shared" si="25"/>
        <v>283.45436626908662</v>
      </c>
      <c r="G44" s="383">
        <f t="shared" si="25"/>
        <v>294.90970831429729</v>
      </c>
      <c r="H44" s="383">
        <f t="shared" si="25"/>
        <v>0</v>
      </c>
      <c r="I44" s="383">
        <f t="shared" si="25"/>
        <v>0</v>
      </c>
      <c r="J44" s="383">
        <f t="shared" si="25"/>
        <v>0</v>
      </c>
      <c r="K44" s="383">
        <f t="shared" si="25"/>
        <v>0</v>
      </c>
      <c r="L44" s="383">
        <f t="shared" si="25"/>
        <v>0</v>
      </c>
      <c r="M44" s="383">
        <f t="shared" si="25"/>
        <v>0</v>
      </c>
      <c r="N44" s="383">
        <f t="shared" si="25"/>
        <v>0</v>
      </c>
      <c r="O44" s="383">
        <f t="shared" si="25"/>
        <v>0</v>
      </c>
      <c r="P44" s="383">
        <f t="shared" si="25"/>
        <v>0</v>
      </c>
      <c r="Q44" s="383">
        <f t="shared" si="25"/>
        <v>0</v>
      </c>
      <c r="R44" s="383">
        <f t="shared" si="25"/>
        <v>0</v>
      </c>
      <c r="S44" s="383">
        <f t="shared" si="25"/>
        <v>0</v>
      </c>
      <c r="T44" s="383">
        <f t="shared" si="25"/>
        <v>0</v>
      </c>
      <c r="U44" s="383">
        <f t="shared" si="25"/>
        <v>0</v>
      </c>
      <c r="V44" s="383">
        <f t="shared" si="25"/>
        <v>0</v>
      </c>
      <c r="W44" s="383">
        <f t="shared" si="25"/>
        <v>0</v>
      </c>
      <c r="X44" s="383">
        <f t="shared" si="25"/>
        <v>0</v>
      </c>
      <c r="Y44" s="383">
        <f t="shared" si="25"/>
        <v>0</v>
      </c>
      <c r="Z44" s="383">
        <f t="shared" si="25"/>
        <v>0</v>
      </c>
      <c r="AA44" s="383">
        <f t="shared" si="25"/>
        <v>0</v>
      </c>
      <c r="AB44" s="383">
        <f t="shared" si="25"/>
        <v>0</v>
      </c>
      <c r="AC44" s="383">
        <f t="shared" si="25"/>
        <v>0</v>
      </c>
      <c r="AD44" s="383">
        <f t="shared" si="25"/>
        <v>0</v>
      </c>
      <c r="AE44" s="383">
        <f t="shared" si="25"/>
        <v>0</v>
      </c>
      <c r="AF44" s="383">
        <f t="shared" si="25"/>
        <v>0</v>
      </c>
      <c r="AG44" s="383">
        <f t="shared" si="25"/>
        <v>0</v>
      </c>
      <c r="AH44" s="383">
        <f t="shared" si="25"/>
        <v>0</v>
      </c>
      <c r="AI44" s="383">
        <f t="shared" si="25"/>
        <v>0</v>
      </c>
      <c r="AJ44" s="383">
        <f t="shared" si="25"/>
        <v>0</v>
      </c>
      <c r="AK44" s="383">
        <f t="shared" si="25"/>
        <v>0</v>
      </c>
      <c r="AL44" s="383">
        <f t="shared" ref="AL44" si="26">AL43/Minutes.per.Hour*Days.Per.Year</f>
        <v>0</v>
      </c>
    </row>
    <row r="46" spans="1:38">
      <c r="B46" s="575" t="s">
        <v>745</v>
      </c>
      <c r="C46" s="574" t="s">
        <v>443</v>
      </c>
      <c r="D46" s="383">
        <f>D44</f>
        <v>261.86129680032559</v>
      </c>
      <c r="E46" s="383">
        <f t="shared" ref="E46:AK46" si="27">E44</f>
        <v>272.44399045480429</v>
      </c>
      <c r="F46" s="383">
        <f t="shared" si="27"/>
        <v>283.45436626908662</v>
      </c>
      <c r="G46" s="383">
        <f t="shared" si="27"/>
        <v>294.90970831429729</v>
      </c>
      <c r="H46" s="383">
        <f t="shared" si="27"/>
        <v>0</v>
      </c>
      <c r="I46" s="383">
        <f t="shared" si="27"/>
        <v>0</v>
      </c>
      <c r="J46" s="383">
        <f t="shared" si="27"/>
        <v>0</v>
      </c>
      <c r="K46" s="383">
        <f t="shared" si="27"/>
        <v>0</v>
      </c>
      <c r="L46" s="383">
        <f t="shared" si="27"/>
        <v>0</v>
      </c>
      <c r="M46" s="383">
        <f t="shared" si="27"/>
        <v>0</v>
      </c>
      <c r="N46" s="383">
        <f t="shared" si="27"/>
        <v>0</v>
      </c>
      <c r="O46" s="383">
        <f t="shared" si="27"/>
        <v>0</v>
      </c>
      <c r="P46" s="383">
        <f t="shared" si="27"/>
        <v>0</v>
      </c>
      <c r="Q46" s="383">
        <f t="shared" si="27"/>
        <v>0</v>
      </c>
      <c r="R46" s="383">
        <f t="shared" si="27"/>
        <v>0</v>
      </c>
      <c r="S46" s="383">
        <f t="shared" si="27"/>
        <v>0</v>
      </c>
      <c r="T46" s="383">
        <f t="shared" si="27"/>
        <v>0</v>
      </c>
      <c r="U46" s="383">
        <f t="shared" si="27"/>
        <v>0</v>
      </c>
      <c r="V46" s="383">
        <f t="shared" si="27"/>
        <v>0</v>
      </c>
      <c r="W46" s="383">
        <f t="shared" si="27"/>
        <v>0</v>
      </c>
      <c r="X46" s="383">
        <f t="shared" si="27"/>
        <v>0</v>
      </c>
      <c r="Y46" s="383">
        <f t="shared" si="27"/>
        <v>0</v>
      </c>
      <c r="Z46" s="383">
        <f t="shared" si="27"/>
        <v>0</v>
      </c>
      <c r="AA46" s="383">
        <f t="shared" si="27"/>
        <v>0</v>
      </c>
      <c r="AB46" s="383">
        <f t="shared" si="27"/>
        <v>0</v>
      </c>
      <c r="AC46" s="383">
        <f t="shared" si="27"/>
        <v>0</v>
      </c>
      <c r="AD46" s="383">
        <f t="shared" si="27"/>
        <v>0</v>
      </c>
      <c r="AE46" s="383">
        <f t="shared" si="27"/>
        <v>0</v>
      </c>
      <c r="AF46" s="383">
        <f t="shared" si="27"/>
        <v>0</v>
      </c>
      <c r="AG46" s="383">
        <f t="shared" si="27"/>
        <v>0</v>
      </c>
      <c r="AH46" s="383">
        <f t="shared" si="27"/>
        <v>0</v>
      </c>
      <c r="AI46" s="383">
        <f t="shared" si="27"/>
        <v>0</v>
      </c>
      <c r="AJ46" s="383">
        <f t="shared" si="27"/>
        <v>0</v>
      </c>
      <c r="AK46" s="383">
        <f t="shared" si="27"/>
        <v>0</v>
      </c>
      <c r="AL46" s="383">
        <f t="shared" ref="AL46" si="28">AL44</f>
        <v>0</v>
      </c>
    </row>
    <row r="48" spans="1:38">
      <c r="B48" s="358" t="s">
        <v>508</v>
      </c>
      <c r="C48" s="358" t="s">
        <v>443</v>
      </c>
      <c r="D48" s="383">
        <f t="shared" ref="D48:AK48" si="29">D$46*$C22</f>
        <v>260.55199031632395</v>
      </c>
      <c r="E48" s="383">
        <f t="shared" si="29"/>
        <v>271.08177050253028</v>
      </c>
      <c r="F48" s="383">
        <f t="shared" si="29"/>
        <v>282.03709443774119</v>
      </c>
      <c r="G48" s="383">
        <f t="shared" si="29"/>
        <v>293.4351597727258</v>
      </c>
      <c r="H48" s="383">
        <f t="shared" si="29"/>
        <v>0</v>
      </c>
      <c r="I48" s="383">
        <f t="shared" si="29"/>
        <v>0</v>
      </c>
      <c r="J48" s="383">
        <f t="shared" si="29"/>
        <v>0</v>
      </c>
      <c r="K48" s="383">
        <f t="shared" si="29"/>
        <v>0</v>
      </c>
      <c r="L48" s="383">
        <f t="shared" si="29"/>
        <v>0</v>
      </c>
      <c r="M48" s="383">
        <f t="shared" si="29"/>
        <v>0</v>
      </c>
      <c r="N48" s="383">
        <f t="shared" si="29"/>
        <v>0</v>
      </c>
      <c r="O48" s="383">
        <f t="shared" si="29"/>
        <v>0</v>
      </c>
      <c r="P48" s="383">
        <f t="shared" si="29"/>
        <v>0</v>
      </c>
      <c r="Q48" s="383">
        <f t="shared" si="29"/>
        <v>0</v>
      </c>
      <c r="R48" s="383">
        <f t="shared" si="29"/>
        <v>0</v>
      </c>
      <c r="S48" s="383">
        <f t="shared" si="29"/>
        <v>0</v>
      </c>
      <c r="T48" s="383">
        <f t="shared" si="29"/>
        <v>0</v>
      </c>
      <c r="U48" s="383">
        <f t="shared" si="29"/>
        <v>0</v>
      </c>
      <c r="V48" s="383">
        <f t="shared" si="29"/>
        <v>0</v>
      </c>
      <c r="W48" s="383">
        <f t="shared" si="29"/>
        <v>0</v>
      </c>
      <c r="X48" s="383">
        <f t="shared" si="29"/>
        <v>0</v>
      </c>
      <c r="Y48" s="383">
        <f t="shared" si="29"/>
        <v>0</v>
      </c>
      <c r="Z48" s="383">
        <f t="shared" si="29"/>
        <v>0</v>
      </c>
      <c r="AA48" s="383">
        <f t="shared" si="29"/>
        <v>0</v>
      </c>
      <c r="AB48" s="383">
        <f t="shared" si="29"/>
        <v>0</v>
      </c>
      <c r="AC48" s="383">
        <f t="shared" si="29"/>
        <v>0</v>
      </c>
      <c r="AD48" s="383">
        <f t="shared" si="29"/>
        <v>0</v>
      </c>
      <c r="AE48" s="383">
        <f t="shared" si="29"/>
        <v>0</v>
      </c>
      <c r="AF48" s="383">
        <f t="shared" si="29"/>
        <v>0</v>
      </c>
      <c r="AG48" s="383">
        <f t="shared" si="29"/>
        <v>0</v>
      </c>
      <c r="AH48" s="383">
        <f t="shared" si="29"/>
        <v>0</v>
      </c>
      <c r="AI48" s="383">
        <f t="shared" si="29"/>
        <v>0</v>
      </c>
      <c r="AJ48" s="383">
        <f t="shared" si="29"/>
        <v>0</v>
      </c>
      <c r="AK48" s="383">
        <f t="shared" si="29"/>
        <v>0</v>
      </c>
      <c r="AL48" s="383">
        <f t="shared" ref="AL48" si="30">AL$46*$C22</f>
        <v>0</v>
      </c>
    </row>
    <row r="49" spans="2:38">
      <c r="B49" s="358" t="s">
        <v>509</v>
      </c>
      <c r="C49" s="358" t="s">
        <v>443</v>
      </c>
      <c r="D49" s="383">
        <f t="shared" ref="D49:AK49" si="31">D$46*$C23</f>
        <v>1.309306484001628</v>
      </c>
      <c r="E49" s="383">
        <f t="shared" si="31"/>
        <v>1.3622199522740215</v>
      </c>
      <c r="F49" s="383">
        <f t="shared" si="31"/>
        <v>1.4172718313454331</v>
      </c>
      <c r="G49" s="383">
        <f t="shared" si="31"/>
        <v>1.4745485415714865</v>
      </c>
      <c r="H49" s="383">
        <f t="shared" si="31"/>
        <v>0</v>
      </c>
      <c r="I49" s="383">
        <f t="shared" si="31"/>
        <v>0</v>
      </c>
      <c r="J49" s="383">
        <f t="shared" si="31"/>
        <v>0</v>
      </c>
      <c r="K49" s="383">
        <f t="shared" si="31"/>
        <v>0</v>
      </c>
      <c r="L49" s="383">
        <f t="shared" si="31"/>
        <v>0</v>
      </c>
      <c r="M49" s="383">
        <f t="shared" si="31"/>
        <v>0</v>
      </c>
      <c r="N49" s="383">
        <f t="shared" si="31"/>
        <v>0</v>
      </c>
      <c r="O49" s="383">
        <f t="shared" si="31"/>
        <v>0</v>
      </c>
      <c r="P49" s="383">
        <f t="shared" si="31"/>
        <v>0</v>
      </c>
      <c r="Q49" s="383">
        <f t="shared" si="31"/>
        <v>0</v>
      </c>
      <c r="R49" s="383">
        <f t="shared" si="31"/>
        <v>0</v>
      </c>
      <c r="S49" s="383">
        <f t="shared" si="31"/>
        <v>0</v>
      </c>
      <c r="T49" s="383">
        <f t="shared" si="31"/>
        <v>0</v>
      </c>
      <c r="U49" s="383">
        <f t="shared" si="31"/>
        <v>0</v>
      </c>
      <c r="V49" s="383">
        <f t="shared" si="31"/>
        <v>0</v>
      </c>
      <c r="W49" s="383">
        <f t="shared" si="31"/>
        <v>0</v>
      </c>
      <c r="X49" s="383">
        <f t="shared" si="31"/>
        <v>0</v>
      </c>
      <c r="Y49" s="383">
        <f t="shared" si="31"/>
        <v>0</v>
      </c>
      <c r="Z49" s="383">
        <f t="shared" si="31"/>
        <v>0</v>
      </c>
      <c r="AA49" s="383">
        <f t="shared" si="31"/>
        <v>0</v>
      </c>
      <c r="AB49" s="383">
        <f t="shared" si="31"/>
        <v>0</v>
      </c>
      <c r="AC49" s="383">
        <f t="shared" si="31"/>
        <v>0</v>
      </c>
      <c r="AD49" s="383">
        <f t="shared" si="31"/>
        <v>0</v>
      </c>
      <c r="AE49" s="383">
        <f t="shared" si="31"/>
        <v>0</v>
      </c>
      <c r="AF49" s="383">
        <f t="shared" si="31"/>
        <v>0</v>
      </c>
      <c r="AG49" s="383">
        <f t="shared" si="31"/>
        <v>0</v>
      </c>
      <c r="AH49" s="383">
        <f t="shared" si="31"/>
        <v>0</v>
      </c>
      <c r="AI49" s="383">
        <f t="shared" si="31"/>
        <v>0</v>
      </c>
      <c r="AJ49" s="383">
        <f t="shared" si="31"/>
        <v>0</v>
      </c>
      <c r="AK49" s="383">
        <f t="shared" si="31"/>
        <v>0</v>
      </c>
      <c r="AL49" s="383">
        <f t="shared" ref="AL49" si="32">AL$46*$C23</f>
        <v>0</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748" t="s">
        <v>788</v>
      </c>
      <c r="C52" s="358" t="s">
        <v>295</v>
      </c>
      <c r="D52" s="383">
        <f t="shared" ref="D52:AK53" si="35">IF(D$2&gt;VRCConstEnd,0,D32)</f>
        <v>93.14733653808581</v>
      </c>
      <c r="E52" s="383">
        <f t="shared" si="35"/>
        <v>96.911732954654568</v>
      </c>
      <c r="F52" s="383">
        <f t="shared" si="35"/>
        <v>100.82826126149247</v>
      </c>
      <c r="G52" s="383">
        <f t="shared" si="35"/>
        <v>104.90306961874947</v>
      </c>
      <c r="H52" s="383">
        <f t="shared" si="35"/>
        <v>0</v>
      </c>
      <c r="I52" s="383">
        <f t="shared" si="35"/>
        <v>0</v>
      </c>
      <c r="J52" s="383">
        <f t="shared" si="35"/>
        <v>0</v>
      </c>
      <c r="K52" s="383">
        <f t="shared" si="35"/>
        <v>0</v>
      </c>
      <c r="L52" s="383">
        <f t="shared" si="35"/>
        <v>0</v>
      </c>
      <c r="M52" s="383">
        <f t="shared" si="35"/>
        <v>0</v>
      </c>
      <c r="N52" s="383">
        <f t="shared" si="35"/>
        <v>0</v>
      </c>
      <c r="O52" s="383">
        <f t="shared" si="35"/>
        <v>0</v>
      </c>
      <c r="P52" s="383">
        <f t="shared" si="35"/>
        <v>0</v>
      </c>
      <c r="Q52" s="383">
        <f t="shared" si="35"/>
        <v>0</v>
      </c>
      <c r="R52" s="383">
        <f t="shared" si="35"/>
        <v>0</v>
      </c>
      <c r="S52" s="383">
        <f t="shared" si="35"/>
        <v>0</v>
      </c>
      <c r="T52" s="383">
        <f t="shared" si="35"/>
        <v>0</v>
      </c>
      <c r="U52" s="383">
        <f t="shared" si="35"/>
        <v>0</v>
      </c>
      <c r="V52" s="383">
        <f t="shared" si="35"/>
        <v>0</v>
      </c>
      <c r="W52" s="383">
        <f t="shared" si="35"/>
        <v>0</v>
      </c>
      <c r="X52" s="383">
        <f t="shared" si="35"/>
        <v>0</v>
      </c>
      <c r="Y52" s="383">
        <f t="shared" si="35"/>
        <v>0</v>
      </c>
      <c r="Z52" s="383">
        <f t="shared" si="35"/>
        <v>0</v>
      </c>
      <c r="AA52" s="383">
        <f t="shared" si="35"/>
        <v>0</v>
      </c>
      <c r="AB52" s="383">
        <f t="shared" si="35"/>
        <v>0</v>
      </c>
      <c r="AC52" s="383">
        <f t="shared" si="35"/>
        <v>0</v>
      </c>
      <c r="AD52" s="383">
        <f t="shared" si="35"/>
        <v>0</v>
      </c>
      <c r="AE52" s="383">
        <f t="shared" si="35"/>
        <v>0</v>
      </c>
      <c r="AF52" s="383">
        <f t="shared" si="35"/>
        <v>0</v>
      </c>
      <c r="AG52" s="383">
        <f t="shared" si="35"/>
        <v>0</v>
      </c>
      <c r="AH52" s="383">
        <f t="shared" si="35"/>
        <v>0</v>
      </c>
      <c r="AI52" s="383">
        <f t="shared" si="35"/>
        <v>0</v>
      </c>
      <c r="AJ52" s="383">
        <f t="shared" si="35"/>
        <v>0</v>
      </c>
      <c r="AK52" s="383">
        <f t="shared" si="35"/>
        <v>0</v>
      </c>
      <c r="AL52" s="383">
        <f t="shared" ref="AL52" si="36">IF(AL$2&gt;VRCConstEnd,0,AL32)</f>
        <v>0</v>
      </c>
    </row>
    <row r="53" spans="2:38">
      <c r="B53" s="748" t="s">
        <v>789</v>
      </c>
      <c r="C53" s="358" t="s">
        <v>295</v>
      </c>
      <c r="D53" s="383">
        <f t="shared" si="35"/>
        <v>1.0998174465613675</v>
      </c>
      <c r="E53" s="383">
        <f t="shared" si="35"/>
        <v>1.1442647599101781</v>
      </c>
      <c r="F53" s="383">
        <f t="shared" si="35"/>
        <v>1.1905083383301638</v>
      </c>
      <c r="G53" s="383">
        <f t="shared" si="35"/>
        <v>1.2386207749200486</v>
      </c>
      <c r="H53" s="383">
        <f t="shared" si="35"/>
        <v>0</v>
      </c>
      <c r="I53" s="383">
        <f t="shared" si="35"/>
        <v>0</v>
      </c>
      <c r="J53" s="383">
        <f t="shared" si="35"/>
        <v>0</v>
      </c>
      <c r="K53" s="383">
        <f t="shared" si="35"/>
        <v>0</v>
      </c>
      <c r="L53" s="383">
        <f t="shared" si="35"/>
        <v>0</v>
      </c>
      <c r="M53" s="383">
        <f t="shared" si="35"/>
        <v>0</v>
      </c>
      <c r="N53" s="383">
        <f t="shared" si="35"/>
        <v>0</v>
      </c>
      <c r="O53" s="383">
        <f t="shared" si="35"/>
        <v>0</v>
      </c>
      <c r="P53" s="383">
        <f t="shared" si="35"/>
        <v>0</v>
      </c>
      <c r="Q53" s="383">
        <f t="shared" si="35"/>
        <v>0</v>
      </c>
      <c r="R53" s="383">
        <f t="shared" si="35"/>
        <v>0</v>
      </c>
      <c r="S53" s="383">
        <f t="shared" si="35"/>
        <v>0</v>
      </c>
      <c r="T53" s="383">
        <f t="shared" si="35"/>
        <v>0</v>
      </c>
      <c r="U53" s="383">
        <f t="shared" si="35"/>
        <v>0</v>
      </c>
      <c r="V53" s="383">
        <f t="shared" si="35"/>
        <v>0</v>
      </c>
      <c r="W53" s="383">
        <f t="shared" si="35"/>
        <v>0</v>
      </c>
      <c r="X53" s="383">
        <f t="shared" si="35"/>
        <v>0</v>
      </c>
      <c r="Y53" s="383">
        <f t="shared" si="35"/>
        <v>0</v>
      </c>
      <c r="Z53" s="383">
        <f t="shared" si="35"/>
        <v>0</v>
      </c>
      <c r="AA53" s="383">
        <f t="shared" si="35"/>
        <v>0</v>
      </c>
      <c r="AB53" s="383">
        <f t="shared" si="35"/>
        <v>0</v>
      </c>
      <c r="AC53" s="383">
        <f t="shared" si="35"/>
        <v>0</v>
      </c>
      <c r="AD53" s="383">
        <f t="shared" si="35"/>
        <v>0</v>
      </c>
      <c r="AE53" s="383">
        <f t="shared" si="35"/>
        <v>0</v>
      </c>
      <c r="AF53" s="383">
        <f t="shared" si="35"/>
        <v>0</v>
      </c>
      <c r="AG53" s="383">
        <f t="shared" si="35"/>
        <v>0</v>
      </c>
      <c r="AH53" s="383">
        <f t="shared" si="35"/>
        <v>0</v>
      </c>
      <c r="AI53" s="383">
        <f t="shared" si="35"/>
        <v>0</v>
      </c>
      <c r="AJ53" s="383">
        <f t="shared" si="35"/>
        <v>0</v>
      </c>
      <c r="AK53" s="383">
        <f t="shared" si="35"/>
        <v>0</v>
      </c>
      <c r="AL53" s="383">
        <f t="shared" ref="AL53" si="37">IF(AL$2&gt;VRCConstEnd,0,AL33)</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4" tint="0.39997558519241921"/>
  </sheetPr>
  <dimension ref="A1:AL205"/>
  <sheetViews>
    <sheetView showGridLines="0" topLeftCell="B1" workbookViewId="0">
      <pane ySplit="4" topLeftCell="A105" activePane="bottomLeft" state="frozen"/>
      <selection activeCell="C105" sqref="C105:C108"/>
      <selection pane="bottomLeft" activeCell="D105" sqref="D105"/>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D3+1</f>
        <v>2022</v>
      </c>
      <c r="F3" s="508">
        <f t="shared" ref="F3:AL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si="0"/>
        <v>2049</v>
      </c>
      <c r="AG3" s="508">
        <f t="shared" si="0"/>
        <v>2050</v>
      </c>
      <c r="AH3" s="508">
        <f t="shared" si="0"/>
        <v>2051</v>
      </c>
      <c r="AI3" s="508">
        <f t="shared" si="0"/>
        <v>2052</v>
      </c>
      <c r="AJ3" s="508">
        <f t="shared" si="0"/>
        <v>2053</v>
      </c>
      <c r="AK3" s="508">
        <f t="shared" si="0"/>
        <v>2054</v>
      </c>
      <c r="AL3" s="508">
        <f t="shared" si="0"/>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AL11" si="1">E9*(1+$C$8)</f>
        <v>12071000</v>
      </c>
      <c r="G9" s="498">
        <f t="shared" si="1"/>
        <v>12071000</v>
      </c>
      <c r="H9" s="498">
        <f t="shared" si="1"/>
        <v>12071000</v>
      </c>
      <c r="I9" s="498">
        <f t="shared" si="1"/>
        <v>12071000</v>
      </c>
      <c r="J9" s="498">
        <f t="shared" si="1"/>
        <v>12071000</v>
      </c>
      <c r="K9" s="498">
        <f t="shared" si="1"/>
        <v>12071000</v>
      </c>
      <c r="L9" s="498">
        <f t="shared" si="1"/>
        <v>12071000</v>
      </c>
      <c r="M9" s="498">
        <f t="shared" si="1"/>
        <v>12071000</v>
      </c>
      <c r="N9" s="498">
        <f t="shared" si="1"/>
        <v>12071000</v>
      </c>
      <c r="O9" s="498">
        <f t="shared" si="1"/>
        <v>12071000</v>
      </c>
      <c r="P9" s="498">
        <f t="shared" si="1"/>
        <v>12071000</v>
      </c>
      <c r="Q9" s="498">
        <f t="shared" si="1"/>
        <v>12071000</v>
      </c>
      <c r="R9" s="498">
        <f t="shared" si="1"/>
        <v>12071000</v>
      </c>
      <c r="S9" s="498">
        <f t="shared" si="1"/>
        <v>12071000</v>
      </c>
      <c r="T9" s="498">
        <f t="shared" si="1"/>
        <v>12071000</v>
      </c>
      <c r="U9" s="498">
        <f t="shared" si="1"/>
        <v>12071000</v>
      </c>
      <c r="V9" s="498">
        <f t="shared" si="1"/>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si="1"/>
        <v>12071000</v>
      </c>
      <c r="AG9" s="498">
        <f t="shared" si="1"/>
        <v>12071000</v>
      </c>
      <c r="AH9" s="498">
        <f t="shared" si="1"/>
        <v>12071000</v>
      </c>
      <c r="AI9" s="498">
        <f t="shared" si="1"/>
        <v>12071000</v>
      </c>
      <c r="AJ9" s="498">
        <f t="shared" si="1"/>
        <v>12071000</v>
      </c>
      <c r="AK9" s="498">
        <f t="shared" si="1"/>
        <v>12071000</v>
      </c>
      <c r="AL9" s="498">
        <f t="shared" si="1"/>
        <v>12071000</v>
      </c>
    </row>
    <row r="10" spans="1:38">
      <c r="B10" s="476" t="s">
        <v>973</v>
      </c>
      <c r="C10" s="384" t="s">
        <v>1075</v>
      </c>
      <c r="D10" s="498">
        <f>'General Inputs'!D24</f>
        <v>284100</v>
      </c>
      <c r="E10" s="498">
        <f t="shared" ref="E10:T11" si="2">D10*(1+$C$8)</f>
        <v>284100</v>
      </c>
      <c r="F10" s="498">
        <f t="shared" si="2"/>
        <v>284100</v>
      </c>
      <c r="G10" s="498">
        <f t="shared" si="2"/>
        <v>284100</v>
      </c>
      <c r="H10" s="498">
        <f t="shared" si="2"/>
        <v>284100</v>
      </c>
      <c r="I10" s="498">
        <f t="shared" si="2"/>
        <v>284100</v>
      </c>
      <c r="J10" s="498">
        <f t="shared" si="2"/>
        <v>284100</v>
      </c>
      <c r="K10" s="498">
        <f t="shared" si="2"/>
        <v>284100</v>
      </c>
      <c r="L10" s="498">
        <f t="shared" si="2"/>
        <v>284100</v>
      </c>
      <c r="M10" s="498">
        <f t="shared" si="2"/>
        <v>284100</v>
      </c>
      <c r="N10" s="498">
        <f t="shared" si="2"/>
        <v>284100</v>
      </c>
      <c r="O10" s="498">
        <f t="shared" si="2"/>
        <v>284100</v>
      </c>
      <c r="P10" s="498">
        <f t="shared" si="2"/>
        <v>284100</v>
      </c>
      <c r="Q10" s="498">
        <f t="shared" si="2"/>
        <v>284100</v>
      </c>
      <c r="R10" s="498">
        <f t="shared" si="2"/>
        <v>284100</v>
      </c>
      <c r="S10" s="498">
        <f t="shared" si="2"/>
        <v>284100</v>
      </c>
      <c r="T10" s="498">
        <f t="shared" si="2"/>
        <v>284100</v>
      </c>
      <c r="U10" s="498">
        <f t="shared" si="1"/>
        <v>284100</v>
      </c>
      <c r="V10" s="498">
        <f t="shared" si="1"/>
        <v>284100</v>
      </c>
      <c r="W10" s="498">
        <f t="shared" si="1"/>
        <v>284100</v>
      </c>
      <c r="X10" s="498">
        <f t="shared" si="1"/>
        <v>284100</v>
      </c>
      <c r="Y10" s="498">
        <f t="shared" si="1"/>
        <v>284100</v>
      </c>
      <c r="Z10" s="498">
        <f t="shared" si="1"/>
        <v>284100</v>
      </c>
      <c r="AA10" s="498">
        <f t="shared" si="1"/>
        <v>284100</v>
      </c>
      <c r="AB10" s="498">
        <f t="shared" si="1"/>
        <v>284100</v>
      </c>
      <c r="AC10" s="498">
        <f t="shared" si="1"/>
        <v>284100</v>
      </c>
      <c r="AD10" s="498">
        <f t="shared" si="1"/>
        <v>284100</v>
      </c>
      <c r="AE10" s="498">
        <f t="shared" si="1"/>
        <v>284100</v>
      </c>
      <c r="AF10" s="498">
        <f t="shared" si="1"/>
        <v>284100</v>
      </c>
      <c r="AG10" s="498">
        <f t="shared" si="1"/>
        <v>284100</v>
      </c>
      <c r="AH10" s="498">
        <f t="shared" si="1"/>
        <v>284100</v>
      </c>
      <c r="AI10" s="498">
        <f t="shared" si="1"/>
        <v>284100</v>
      </c>
      <c r="AJ10" s="498">
        <f t="shared" si="1"/>
        <v>284100</v>
      </c>
      <c r="AK10" s="498">
        <f t="shared" si="1"/>
        <v>284100</v>
      </c>
      <c r="AL10" s="498">
        <f t="shared" si="1"/>
        <v>284100</v>
      </c>
    </row>
    <row r="11" spans="1:38">
      <c r="B11" s="476" t="s">
        <v>451</v>
      </c>
      <c r="C11" s="473" t="s">
        <v>453</v>
      </c>
      <c r="D11" s="498">
        <f>'General Inputs'!D25</f>
        <v>4500</v>
      </c>
      <c r="E11" s="498">
        <f t="shared" si="2"/>
        <v>4500</v>
      </c>
      <c r="F11" s="498">
        <f t="shared" si="2"/>
        <v>4500</v>
      </c>
      <c r="G11" s="498">
        <f t="shared" si="2"/>
        <v>4500</v>
      </c>
      <c r="H11" s="498">
        <f t="shared" si="2"/>
        <v>4500</v>
      </c>
      <c r="I11" s="498">
        <f t="shared" si="2"/>
        <v>4500</v>
      </c>
      <c r="J11" s="498">
        <f t="shared" si="2"/>
        <v>4500</v>
      </c>
      <c r="K11" s="498">
        <f t="shared" si="2"/>
        <v>4500</v>
      </c>
      <c r="L11" s="498">
        <f t="shared" si="2"/>
        <v>4500</v>
      </c>
      <c r="M11" s="498">
        <f t="shared" si="2"/>
        <v>4500</v>
      </c>
      <c r="N11" s="498">
        <f t="shared" si="2"/>
        <v>4500</v>
      </c>
      <c r="O11" s="498">
        <f t="shared" si="2"/>
        <v>4500</v>
      </c>
      <c r="P11" s="498">
        <f t="shared" si="2"/>
        <v>4500</v>
      </c>
      <c r="Q11" s="498">
        <f t="shared" si="2"/>
        <v>4500</v>
      </c>
      <c r="R11" s="498">
        <f t="shared" si="2"/>
        <v>4500</v>
      </c>
      <c r="S11" s="498">
        <f t="shared" si="2"/>
        <v>4500</v>
      </c>
      <c r="T11" s="498">
        <f t="shared" si="2"/>
        <v>4500</v>
      </c>
      <c r="U11" s="498">
        <f t="shared" si="1"/>
        <v>4500</v>
      </c>
      <c r="V11" s="498">
        <f t="shared" si="1"/>
        <v>4500</v>
      </c>
      <c r="W11" s="498">
        <f t="shared" si="1"/>
        <v>4500</v>
      </c>
      <c r="X11" s="498">
        <f t="shared" si="1"/>
        <v>4500</v>
      </c>
      <c r="Y11" s="498">
        <f t="shared" si="1"/>
        <v>4500</v>
      </c>
      <c r="Z11" s="498">
        <f t="shared" si="1"/>
        <v>4500</v>
      </c>
      <c r="AA11" s="498">
        <f t="shared" si="1"/>
        <v>4500</v>
      </c>
      <c r="AB11" s="498">
        <f t="shared" si="1"/>
        <v>4500</v>
      </c>
      <c r="AC11" s="498">
        <f t="shared" si="1"/>
        <v>4500</v>
      </c>
      <c r="AD11" s="498">
        <f t="shared" si="1"/>
        <v>4500</v>
      </c>
      <c r="AE11" s="498">
        <f t="shared" si="1"/>
        <v>4500</v>
      </c>
      <c r="AF11" s="498">
        <f t="shared" si="1"/>
        <v>4500</v>
      </c>
      <c r="AG11" s="498">
        <f t="shared" si="1"/>
        <v>4500</v>
      </c>
      <c r="AH11" s="498">
        <f t="shared" si="1"/>
        <v>4500</v>
      </c>
      <c r="AI11" s="498">
        <f t="shared" si="1"/>
        <v>4500</v>
      </c>
      <c r="AJ11" s="498">
        <f t="shared" si="1"/>
        <v>4500</v>
      </c>
      <c r="AK11" s="498">
        <f t="shared" si="1"/>
        <v>4500</v>
      </c>
      <c r="AL11" s="498">
        <f t="shared" si="1"/>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'A1.1'!D23</f>
        <v>4.2005938647314209E-4</v>
      </c>
      <c r="E15" s="388">
        <f>'A1.1'!E23</f>
        <v>4.2645088782326693E-4</v>
      </c>
      <c r="F15" s="388">
        <f>'A1.1'!F23</f>
        <v>4.329416253388946E-4</v>
      </c>
      <c r="G15" s="388">
        <f>'A1.1'!G23</f>
        <v>4.3953315793380816E-4</v>
      </c>
      <c r="H15" s="388">
        <f>'A1.1'!H23</f>
        <v>4.462270691491591E-4</v>
      </c>
      <c r="I15" s="388">
        <f>'A1.1'!I23</f>
        <v>4.5302496754230258E-4</v>
      </c>
      <c r="J15" s="388">
        <f>'A1.1'!J23</f>
        <v>4.5992848708177961E-4</v>
      </c>
      <c r="K15" s="388">
        <f>'A1.1'!K23</f>
        <v>4.6693928754854518E-4</v>
      </c>
      <c r="L15" s="388">
        <f>'A1.1'!L23</f>
        <v>4.7405905494353928E-4</v>
      </c>
      <c r="M15" s="388">
        <f>'A1.1'!M23</f>
        <v>4.8128950190170648E-4</v>
      </c>
      <c r="N15" s="388">
        <f>'A1.1'!N23</f>
        <v>4.8863236811255587E-4</v>
      </c>
      <c r="O15" s="388">
        <f>'A1.1'!O23</f>
        <v>4.9608942074737467E-4</v>
      </c>
      <c r="P15" s="388">
        <f>'A1.1'!P23</f>
        <v>5.0366245489319439E-4</v>
      </c>
      <c r="Q15" s="388">
        <f>'A1.1'!Q23</f>
        <v>5.1135329399361936E-4</v>
      </c>
      <c r="R15" s="388">
        <f>'A1.1'!R23</f>
        <v>5.191637902966222E-4</v>
      </c>
      <c r="S15" s="388">
        <f>'A1.1'!S23</f>
        <v>5.2709582530942073E-4</v>
      </c>
      <c r="T15" s="388">
        <f>'A1.1'!T23</f>
        <v>5.3515131026054565E-4</v>
      </c>
      <c r="U15" s="388">
        <f>'A1.1'!U23</f>
        <v>5.4333218656921244E-4</v>
      </c>
      <c r="V15" s="388">
        <f>'A1.1'!V23</f>
        <v>5.5164042632211341E-4</v>
      </c>
      <c r="W15" s="388">
        <f>'A1.1'!W23</f>
        <v>5.6007803275774648E-4</v>
      </c>
      <c r="X15" s="388">
        <f>'A1.1'!X23</f>
        <v>5.68647040758402E-4</v>
      </c>
      <c r="Y15" s="388">
        <f>'A1.1'!Y23</f>
        <v>5.7734951734992386E-4</v>
      </c>
      <c r="Z15" s="388">
        <f>'A1.1'!Z23</f>
        <v>5.861875622093733E-4</v>
      </c>
      <c r="AA15" s="388">
        <f>'A1.1'!AA23</f>
        <v>5.9516330818071533E-4</v>
      </c>
      <c r="AB15" s="388">
        <f>'A1.1'!AB23</f>
        <v>6.0427892179865919E-4</v>
      </c>
      <c r="AC15" s="388">
        <f>'A1.1'!AC23</f>
        <v>6.135366038207752E-4</v>
      </c>
      <c r="AD15" s="388">
        <f>'A1.1'!AD23</f>
        <v>6.229385897680267E-4</v>
      </c>
      <c r="AE15" s="388">
        <f>'A1.1'!AE23</f>
        <v>6.3248715047384317E-4</v>
      </c>
      <c r="AF15" s="388">
        <f>'A1.1'!AF23</f>
        <v>6.4218459264187369E-4</v>
      </c>
      <c r="AG15" s="388">
        <f>'A1.1'!AG23</f>
        <v>6.5203325941255589E-4</v>
      </c>
      <c r="AH15" s="388">
        <f>'A1.1'!AH23</f>
        <v>6.6203553093863892E-4</v>
      </c>
      <c r="AI15" s="388">
        <f>'A1.1'!AI23</f>
        <v>6.7219382496980652E-4</v>
      </c>
      <c r="AJ15" s="388">
        <f>'A1.1'!AJ23</f>
        <v>6.8251059744653679E-4</v>
      </c>
      <c r="AK15" s="388">
        <f>'A1.1'!AK23</f>
        <v>6.9298834310334875E-4</v>
      </c>
      <c r="AL15" s="388">
        <f>'A1.1'!AL23</f>
        <v>7.0362959608158795E-4</v>
      </c>
    </row>
    <row r="16" spans="1:38">
      <c r="B16" s="367" t="s">
        <v>516</v>
      </c>
      <c r="C16" s="367" t="s">
        <v>329</v>
      </c>
      <c r="D16" s="388">
        <f>'A1.1'!D24</f>
        <v>6.4798971028462984E-3</v>
      </c>
      <c r="E16" s="388">
        <f>'A1.1'!E24</f>
        <v>6.5737272978074251E-3</v>
      </c>
      <c r="F16" s="388">
        <f>'A1.1'!F24</f>
        <v>6.6689299593329331E-3</v>
      </c>
      <c r="G16" s="388">
        <f>'A1.1'!G24</f>
        <v>6.7655252457419742E-3</v>
      </c>
      <c r="H16" s="388">
        <f>'A1.1'!H24</f>
        <v>6.8635336120035362E-3</v>
      </c>
      <c r="I16" s="388">
        <f>'A1.1'!I24</f>
        <v>6.9629758140943073E-3</v>
      </c>
      <c r="J16" s="388">
        <f>'A1.1'!J24</f>
        <v>7.0638729134207164E-3</v>
      </c>
      <c r="K16" s="388">
        <f>'A1.1'!K24</f>
        <v>7.1662462813061418E-3</v>
      </c>
      <c r="L16" s="388">
        <f>'A1.1'!L24</f>
        <v>7.2701176035442029E-3</v>
      </c>
      <c r="M16" s="388">
        <f>'A1.1'!M24</f>
        <v>7.3755088850191771E-3</v>
      </c>
      <c r="N16" s="388">
        <f>'A1.1'!N24</f>
        <v>7.4824424543944359E-3</v>
      </c>
      <c r="O16" s="388">
        <f>'A1.1'!O24</f>
        <v>7.5909409688699366E-3</v>
      </c>
      <c r="P16" s="388">
        <f>'A1.1'!P24</f>
        <v>7.7010274190098338E-3</v>
      </c>
      <c r="Q16" s="388">
        <f>'A1.1'!Q24</f>
        <v>7.8127251336411584E-3</v>
      </c>
      <c r="R16" s="388">
        <f>'A1.1'!R24</f>
        <v>7.9260577848246309E-3</v>
      </c>
      <c r="S16" s="388">
        <f>'A1.1'!S24</f>
        <v>8.0410493928986942E-3</v>
      </c>
      <c r="T16" s="388">
        <f>'A1.1'!T24</f>
        <v>8.157724331597848E-3</v>
      </c>
      <c r="U16" s="388">
        <f>'A1.1'!U24</f>
        <v>8.2761073332463103E-3</v>
      </c>
      <c r="V16" s="388">
        <f>'A1.1'!V24</f>
        <v>8.3962234940281721E-3</v>
      </c>
      <c r="W16" s="388">
        <f>'A1.1'!W24</f>
        <v>8.5180982793351453E-3</v>
      </c>
      <c r="X16" s="388">
        <f>'A1.1'!X24</f>
        <v>8.6417575291930782E-3</v>
      </c>
      <c r="Y16" s="388">
        <f>'A1.1'!Y24</f>
        <v>8.7672274637682953E-3</v>
      </c>
      <c r="Z16" s="388">
        <f>'A1.1'!Z24</f>
        <v>8.8945346889550761E-3</v>
      </c>
      <c r="AA16" s="388">
        <f>'A1.1'!AA24</f>
        <v>9.0237062020453451E-3</v>
      </c>
      <c r="AB16" s="388">
        <f>'A1.1'!AB24</f>
        <v>9.1547693974818566E-3</v>
      </c>
      <c r="AC16" s="388">
        <f>'A1.1'!AC24</f>
        <v>9.2877520726960261E-3</v>
      </c>
      <c r="AD16" s="388">
        <f>'A1.1'!AD24</f>
        <v>9.4226824340317445E-3</v>
      </c>
      <c r="AE16" s="388">
        <f>'A1.1'!AE24</f>
        <v>9.5595891027563506E-3</v>
      </c>
      <c r="AF16" s="388">
        <f>'A1.1'!AF24</f>
        <v>9.6985011211601167E-3</v>
      </c>
      <c r="AG16" s="388">
        <f>'A1.1'!AG24</f>
        <v>9.8394479587454748E-3</v>
      </c>
      <c r="AH16" s="388">
        <f>'A1.1'!AH24</f>
        <v>9.982459518507349E-3</v>
      </c>
      <c r="AI16" s="388">
        <f>'A1.1'!AI24</f>
        <v>1.0127566143305948E-2</v>
      </c>
      <c r="AJ16" s="388">
        <f>'A1.1'!AJ24</f>
        <v>1.027479862233331E-2</v>
      </c>
      <c r="AK16" s="388">
        <f>'A1.1'!AK24</f>
        <v>1.0424188197675025E-2</v>
      </c>
      <c r="AL16" s="388">
        <f>'A1.1'!AL24</f>
        <v>1.0575766570968552E-2</v>
      </c>
    </row>
    <row r="17" spans="1:38">
      <c r="B17" s="367" t="s">
        <v>517</v>
      </c>
      <c r="C17" s="367" t="s">
        <v>518</v>
      </c>
      <c r="D17" s="388">
        <f>'A1.1'!D22</f>
        <v>3.6553430196310958E-2</v>
      </c>
      <c r="E17" s="388">
        <f>'A1.1'!E22</f>
        <v>3.7083040071946766E-2</v>
      </c>
      <c r="F17" s="388">
        <f>'A1.1'!F22</f>
        <v>3.762040236751131E-2</v>
      </c>
      <c r="G17" s="388">
        <f>'A1.1'!G22</f>
        <v>3.8165631049262072E-2</v>
      </c>
      <c r="H17" s="388">
        <f>'A1.1'!H22</f>
        <v>3.8718841762270438E-2</v>
      </c>
      <c r="I17" s="388">
        <f>'A1.1'!I22</f>
        <v>3.9280151855110988E-2</v>
      </c>
      <c r="J17" s="388">
        <f>'A1.1'!J22</f>
        <v>3.9849680404914718E-2</v>
      </c>
      <c r="K17" s="388">
        <f>'A1.1'!K22</f>
        <v>4.0427548242792037E-2</v>
      </c>
      <c r="L17" s="388">
        <f>'A1.1'!L22</f>
        <v>4.101387797963043E-2</v>
      </c>
      <c r="M17" s="388">
        <f>'A1.1'!M22</f>
        <v>4.1608794032273064E-2</v>
      </c>
      <c r="N17" s="388">
        <f>'A1.1'!N22</f>
        <v>4.2212422650083042E-2</v>
      </c>
      <c r="O17" s="388">
        <f>'A1.1'!O22</f>
        <v>4.2824891941899527E-2</v>
      </c>
      <c r="P17" s="388">
        <f>'A1.1'!P22</f>
        <v>4.3446331903391519E-2</v>
      </c>
      <c r="Q17" s="388">
        <f>'A1.1'!Q22</f>
        <v>4.4076874444814861E-2</v>
      </c>
      <c r="R17" s="388">
        <f>'A1.1'!R22</f>
        <v>4.4716653419178361E-2</v>
      </c>
      <c r="S17" s="388">
        <f>'A1.1'!S22</f>
        <v>4.5365804650825403E-2</v>
      </c>
      <c r="T17" s="388">
        <f>'A1.1'!T22</f>
        <v>4.6024465964436954E-2</v>
      </c>
      <c r="U17" s="388">
        <f>'A1.1'!U22</f>
        <v>4.6692777214461988E-2</v>
      </c>
      <c r="V17" s="388">
        <f>'A1.1'!V22</f>
        <v>4.7370880314981836E-2</v>
      </c>
      <c r="W17" s="388">
        <f>'A1.1'!W22</f>
        <v>4.8058919270014801E-2</v>
      </c>
      <c r="X17" s="388">
        <f>'A1.1'!X22</f>
        <v>4.8757040204267556E-2</v>
      </c>
      <c r="Y17" s="388">
        <f>'A1.1'!Y22</f>
        <v>4.9465391394339572E-2</v>
      </c>
      <c r="Z17" s="388">
        <f>'A1.1'!Z22</f>
        <v>5.0184123300387788E-2</v>
      </c>
      <c r="AA17" s="388">
        <f>'A1.1'!AA22</f>
        <v>5.0913388598257781E-2</v>
      </c>
      <c r="AB17" s="388">
        <f>'A1.1'!AB22</f>
        <v>5.1653342212088643E-2</v>
      </c>
      <c r="AC17" s="388">
        <f>'A1.1'!AC22</f>
        <v>5.2404141347398216E-2</v>
      </c>
      <c r="AD17" s="388">
        <f>'A1.1'!AD22</f>
        <v>5.3165945524656089E-2</v>
      </c>
      <c r="AE17" s="388">
        <f>'A1.1'!AE22</f>
        <v>5.3938916613351262E-2</v>
      </c>
      <c r="AF17" s="388">
        <f>'A1.1'!AF22</f>
        <v>5.4723218866561979E-2</v>
      </c>
      <c r="AG17" s="388">
        <f>'A1.1'!AG22</f>
        <v>5.5519018956034838E-2</v>
      </c>
      <c r="AH17" s="388">
        <f>'A1.1'!AH22</f>
        <v>5.6326486007780847E-2</v>
      </c>
      <c r="AI17" s="388">
        <f>'A1.1'!AI22</f>
        <v>5.7145791638196212E-2</v>
      </c>
      <c r="AJ17" s="388">
        <f>'A1.1'!AJ22</f>
        <v>5.7977109990715099E-2</v>
      </c>
      <c r="AK17" s="388">
        <f>'A1.1'!AK22</f>
        <v>5.8820617773002473E-2</v>
      </c>
      <c r="AL17" s="388">
        <f>'A1.1'!AL22</f>
        <v>5.9676494294695286E-2</v>
      </c>
    </row>
    <row r="18" spans="1:38">
      <c r="D18" s="358"/>
      <c r="F18" s="464"/>
      <c r="G18" s="465"/>
      <c r="H18" s="465"/>
    </row>
    <row r="19" spans="1:38">
      <c r="B19" s="366" t="s">
        <v>719</v>
      </c>
      <c r="C19" s="484" t="s">
        <v>292</v>
      </c>
      <c r="D19" s="485">
        <f t="shared" ref="D19:AK19" si="3">D15*D9</f>
        <v>5070.5368541172984</v>
      </c>
      <c r="E19" s="485">
        <f t="shared" si="3"/>
        <v>5147.6886669146552</v>
      </c>
      <c r="F19" s="485">
        <f t="shared" si="3"/>
        <v>5226.0383594657969</v>
      </c>
      <c r="G19" s="485">
        <f t="shared" si="3"/>
        <v>5305.6047494189979</v>
      </c>
      <c r="H19" s="485">
        <f t="shared" si="3"/>
        <v>5386.4069516994996</v>
      </c>
      <c r="I19" s="485">
        <f t="shared" si="3"/>
        <v>5468.4643832031343</v>
      </c>
      <c r="J19" s="485">
        <f t="shared" si="3"/>
        <v>5551.7967675641612</v>
      </c>
      <c r="K19" s="485">
        <f t="shared" si="3"/>
        <v>5636.4241399984885</v>
      </c>
      <c r="L19" s="485">
        <f t="shared" si="3"/>
        <v>5722.366852223463</v>
      </c>
      <c r="M19" s="485">
        <f t="shared" si="3"/>
        <v>5809.6455774554988</v>
      </c>
      <c r="N19" s="485">
        <f t="shared" si="3"/>
        <v>5898.2813154866617</v>
      </c>
      <c r="O19" s="485">
        <f t="shared" si="3"/>
        <v>5988.2953978415599</v>
      </c>
      <c r="P19" s="485">
        <f t="shared" si="3"/>
        <v>6079.7094930157491</v>
      </c>
      <c r="Q19" s="485">
        <f t="shared" si="3"/>
        <v>6172.5456117969798</v>
      </c>
      <c r="R19" s="485">
        <f t="shared" si="3"/>
        <v>6266.8261126705265</v>
      </c>
      <c r="S19" s="485">
        <f t="shared" si="3"/>
        <v>6362.5737073100181</v>
      </c>
      <c r="T19" s="485">
        <f t="shared" si="3"/>
        <v>6459.8114661550462</v>
      </c>
      <c r="U19" s="485">
        <f t="shared" si="3"/>
        <v>6558.5628240769638</v>
      </c>
      <c r="V19" s="485">
        <f t="shared" si="3"/>
        <v>6658.8515861342312</v>
      </c>
      <c r="W19" s="485">
        <f t="shared" si="3"/>
        <v>6760.701933418758</v>
      </c>
      <c r="X19" s="485">
        <f t="shared" si="3"/>
        <v>6864.1384289946709</v>
      </c>
      <c r="Y19" s="485">
        <f t="shared" si="3"/>
        <v>6969.1860239309308</v>
      </c>
      <c r="Z19" s="485">
        <f t="shared" si="3"/>
        <v>7075.8700634293455</v>
      </c>
      <c r="AA19" s="485">
        <f t="shared" si="3"/>
        <v>7184.2162930494151</v>
      </c>
      <c r="AB19" s="485">
        <f t="shared" si="3"/>
        <v>7294.2508650316149</v>
      </c>
      <c r="AC19" s="485">
        <f t="shared" si="3"/>
        <v>7406.0003447205772</v>
      </c>
      <c r="AD19" s="485">
        <f t="shared" si="3"/>
        <v>7519.4917170898507</v>
      </c>
      <c r="AE19" s="485">
        <f t="shared" si="3"/>
        <v>7634.7523933697612</v>
      </c>
      <c r="AF19" s="485">
        <f t="shared" si="3"/>
        <v>7751.8102177800574</v>
      </c>
      <c r="AG19" s="485">
        <f t="shared" si="3"/>
        <v>7870.6934743689617</v>
      </c>
      <c r="AH19" s="485">
        <f t="shared" si="3"/>
        <v>7991.4308939603106</v>
      </c>
      <c r="AI19" s="485">
        <f t="shared" si="3"/>
        <v>8114.0516612105348</v>
      </c>
      <c r="AJ19" s="485">
        <f t="shared" si="3"/>
        <v>8238.5854217771448</v>
      </c>
      <c r="AK19" s="485">
        <f t="shared" si="3"/>
        <v>8365.0622896005225</v>
      </c>
      <c r="AL19" s="485">
        <f t="shared" ref="AL19" si="4">AL15*AL9</f>
        <v>8493.5128543008486</v>
      </c>
    </row>
    <row r="20" spans="1:38">
      <c r="B20" s="366" t="s">
        <v>720</v>
      </c>
      <c r="C20" s="484" t="s">
        <v>292</v>
      </c>
      <c r="D20" s="485">
        <f t="shared" ref="D20:AK20" si="5">D16*D10</f>
        <v>1840.9387669186333</v>
      </c>
      <c r="E20" s="485">
        <f t="shared" si="5"/>
        <v>1867.5959253070894</v>
      </c>
      <c r="F20" s="485">
        <f t="shared" si="5"/>
        <v>1894.6430014464863</v>
      </c>
      <c r="G20" s="485">
        <f t="shared" si="5"/>
        <v>1922.0857223152948</v>
      </c>
      <c r="H20" s="485">
        <f t="shared" si="5"/>
        <v>1949.9298991702046</v>
      </c>
      <c r="I20" s="485">
        <f t="shared" si="5"/>
        <v>1978.1814287841928</v>
      </c>
      <c r="J20" s="485">
        <f t="shared" si="5"/>
        <v>2006.8462947028256</v>
      </c>
      <c r="K20" s="485">
        <f t="shared" si="5"/>
        <v>2035.930568519075</v>
      </c>
      <c r="L20" s="485">
        <f t="shared" si="5"/>
        <v>2065.4404111669082</v>
      </c>
      <c r="M20" s="485">
        <f t="shared" si="5"/>
        <v>2095.3820742339481</v>
      </c>
      <c r="N20" s="485">
        <f t="shared" si="5"/>
        <v>2125.7619012934592</v>
      </c>
      <c r="O20" s="485">
        <f t="shared" si="5"/>
        <v>2156.5863292559488</v>
      </c>
      <c r="P20" s="485">
        <f t="shared" si="5"/>
        <v>2187.8618897406936</v>
      </c>
      <c r="Q20" s="485">
        <f t="shared" si="5"/>
        <v>2219.5952104674529</v>
      </c>
      <c r="R20" s="485">
        <f t="shared" si="5"/>
        <v>2251.7930166686774</v>
      </c>
      <c r="S20" s="485">
        <f t="shared" si="5"/>
        <v>2284.4621325225189</v>
      </c>
      <c r="T20" s="485">
        <f t="shared" si="5"/>
        <v>2317.6094826069484</v>
      </c>
      <c r="U20" s="485">
        <f t="shared" si="5"/>
        <v>2351.2420933752769</v>
      </c>
      <c r="V20" s="485">
        <f t="shared" si="5"/>
        <v>2385.3670946534039</v>
      </c>
      <c r="W20" s="485">
        <f t="shared" si="5"/>
        <v>2419.9917211591146</v>
      </c>
      <c r="X20" s="485">
        <f t="shared" si="5"/>
        <v>2455.1233140437535</v>
      </c>
      <c r="Y20" s="485">
        <f t="shared" si="5"/>
        <v>2490.7693224565728</v>
      </c>
      <c r="Z20" s="485">
        <f t="shared" si="5"/>
        <v>2526.9373051321372</v>
      </c>
      <c r="AA20" s="485">
        <f t="shared" si="5"/>
        <v>2563.6349320010827</v>
      </c>
      <c r="AB20" s="485">
        <f t="shared" si="5"/>
        <v>2600.8699858245955</v>
      </c>
      <c r="AC20" s="485">
        <f t="shared" si="5"/>
        <v>2638.6503638529412</v>
      </c>
      <c r="AD20" s="485">
        <f t="shared" si="5"/>
        <v>2676.9840795084187</v>
      </c>
      <c r="AE20" s="485">
        <f t="shared" si="5"/>
        <v>2715.8792640930792</v>
      </c>
      <c r="AF20" s="485">
        <f t="shared" si="5"/>
        <v>2755.3441685215889</v>
      </c>
      <c r="AG20" s="485">
        <f t="shared" si="5"/>
        <v>2795.3871650795895</v>
      </c>
      <c r="AH20" s="485">
        <f t="shared" si="5"/>
        <v>2836.0167492079377</v>
      </c>
      <c r="AI20" s="485">
        <f t="shared" si="5"/>
        <v>2877.2415413132198</v>
      </c>
      <c r="AJ20" s="485">
        <f t="shared" si="5"/>
        <v>2919.0702886048934</v>
      </c>
      <c r="AK20" s="485">
        <f t="shared" si="5"/>
        <v>2961.5118669594744</v>
      </c>
      <c r="AL20" s="485">
        <f t="shared" ref="AL20" si="6">AL16*AL10</f>
        <v>3004.5752828121658</v>
      </c>
    </row>
    <row r="21" spans="1:38">
      <c r="B21" s="366" t="s">
        <v>721</v>
      </c>
      <c r="C21" s="484" t="s">
        <v>292</v>
      </c>
      <c r="D21" s="485">
        <f t="shared" ref="D21:AK21" si="7">D17*D11</f>
        <v>164.4904358833993</v>
      </c>
      <c r="E21" s="485">
        <f t="shared" si="7"/>
        <v>166.87368032376045</v>
      </c>
      <c r="F21" s="485">
        <f t="shared" si="7"/>
        <v>169.29181065380089</v>
      </c>
      <c r="G21" s="485">
        <f t="shared" si="7"/>
        <v>171.74533972167933</v>
      </c>
      <c r="H21" s="485">
        <f t="shared" si="7"/>
        <v>174.23478793021698</v>
      </c>
      <c r="I21" s="485">
        <f t="shared" si="7"/>
        <v>176.76068334799945</v>
      </c>
      <c r="J21" s="485">
        <f t="shared" si="7"/>
        <v>179.32356182211623</v>
      </c>
      <c r="K21" s="485">
        <f t="shared" si="7"/>
        <v>181.92396709256417</v>
      </c>
      <c r="L21" s="485">
        <f t="shared" si="7"/>
        <v>184.56245090833693</v>
      </c>
      <c r="M21" s="485">
        <f t="shared" si="7"/>
        <v>187.23957314522877</v>
      </c>
      <c r="N21" s="485">
        <f t="shared" si="7"/>
        <v>189.95590192537369</v>
      </c>
      <c r="O21" s="485">
        <f t="shared" si="7"/>
        <v>192.71201373854788</v>
      </c>
      <c r="P21" s="485">
        <f t="shared" si="7"/>
        <v>195.50849356526183</v>
      </c>
      <c r="Q21" s="485">
        <f t="shared" si="7"/>
        <v>198.34593500166687</v>
      </c>
      <c r="R21" s="485">
        <f t="shared" si="7"/>
        <v>201.22494038630262</v>
      </c>
      <c r="S21" s="485">
        <f t="shared" si="7"/>
        <v>204.14612092871431</v>
      </c>
      <c r="T21" s="485">
        <f t="shared" si="7"/>
        <v>207.1100968399663</v>
      </c>
      <c r="U21" s="485">
        <f t="shared" si="7"/>
        <v>210.11749746507894</v>
      </c>
      <c r="V21" s="485">
        <f t="shared" si="7"/>
        <v>213.16896141741827</v>
      </c>
      <c r="W21" s="485">
        <f t="shared" si="7"/>
        <v>216.2651367150666</v>
      </c>
      <c r="X21" s="485">
        <f t="shared" si="7"/>
        <v>219.40668091920401</v>
      </c>
      <c r="Y21" s="485">
        <f t="shared" si="7"/>
        <v>222.59426127452807</v>
      </c>
      <c r="Z21" s="485">
        <f t="shared" si="7"/>
        <v>225.82855485174505</v>
      </c>
      <c r="AA21" s="485">
        <f t="shared" si="7"/>
        <v>229.11024869216001</v>
      </c>
      <c r="AB21" s="485">
        <f t="shared" si="7"/>
        <v>232.44003995439888</v>
      </c>
      <c r="AC21" s="485">
        <f t="shared" si="7"/>
        <v>235.81863606329196</v>
      </c>
      <c r="AD21" s="485">
        <f t="shared" si="7"/>
        <v>239.24675486095239</v>
      </c>
      <c r="AE21" s="485">
        <f t="shared" si="7"/>
        <v>242.72512476008069</v>
      </c>
      <c r="AF21" s="485">
        <f t="shared" si="7"/>
        <v>246.2544848995289</v>
      </c>
      <c r="AG21" s="485">
        <f t="shared" si="7"/>
        <v>249.83558530215677</v>
      </c>
      <c r="AH21" s="485">
        <f t="shared" si="7"/>
        <v>253.46918703501382</v>
      </c>
      <c r="AI21" s="485">
        <f t="shared" si="7"/>
        <v>257.15606237188297</v>
      </c>
      <c r="AJ21" s="485">
        <f t="shared" si="7"/>
        <v>260.89699495821793</v>
      </c>
      <c r="AK21" s="485">
        <f t="shared" si="7"/>
        <v>264.69277997851111</v>
      </c>
      <c r="AL21" s="485">
        <f t="shared" ref="AL21" si="8">AL17*AL11</f>
        <v>268.54422432612881</v>
      </c>
    </row>
    <row r="22" spans="1:38">
      <c r="D22" s="358"/>
      <c r="F22" s="464"/>
      <c r="G22" s="465"/>
      <c r="H22" s="465"/>
    </row>
    <row r="23" spans="1:38" ht="13">
      <c r="B23" s="486" t="s">
        <v>461</v>
      </c>
      <c r="C23" s="487" t="s">
        <v>292</v>
      </c>
      <c r="D23" s="488">
        <f>SUM(D19:D21)</f>
        <v>7075.9660569193311</v>
      </c>
      <c r="E23" s="488">
        <f t="shared" ref="E23:AK23" si="9">SUM(E19:E21)</f>
        <v>7182.1582725455055</v>
      </c>
      <c r="F23" s="488">
        <f t="shared" si="9"/>
        <v>7289.9731715660846</v>
      </c>
      <c r="G23" s="488">
        <f t="shared" si="9"/>
        <v>7399.4358114559727</v>
      </c>
      <c r="H23" s="488">
        <f t="shared" si="9"/>
        <v>7510.5716387999209</v>
      </c>
      <c r="I23" s="488">
        <f t="shared" si="9"/>
        <v>7623.4064953353263</v>
      </c>
      <c r="J23" s="488">
        <f t="shared" si="9"/>
        <v>7737.9666240891029</v>
      </c>
      <c r="K23" s="488">
        <f t="shared" si="9"/>
        <v>7854.2786756101277</v>
      </c>
      <c r="L23" s="488">
        <f t="shared" si="9"/>
        <v>7972.3697142987085</v>
      </c>
      <c r="M23" s="488">
        <f t="shared" si="9"/>
        <v>8092.2672248346753</v>
      </c>
      <c r="N23" s="488">
        <f t="shared" si="9"/>
        <v>8213.9991187054948</v>
      </c>
      <c r="O23" s="488">
        <f t="shared" si="9"/>
        <v>8337.5937408360569</v>
      </c>
      <c r="P23" s="488">
        <f t="shared" si="9"/>
        <v>8463.0798763217044</v>
      </c>
      <c r="Q23" s="488">
        <f t="shared" si="9"/>
        <v>8590.4867572661005</v>
      </c>
      <c r="R23" s="488">
        <f t="shared" si="9"/>
        <v>8719.8440697255064</v>
      </c>
      <c r="S23" s="488">
        <f t="shared" si="9"/>
        <v>8851.1819607612506</v>
      </c>
      <c r="T23" s="488">
        <f t="shared" si="9"/>
        <v>8984.5310456019615</v>
      </c>
      <c r="U23" s="488">
        <f t="shared" si="9"/>
        <v>9119.9224149173187</v>
      </c>
      <c r="V23" s="488">
        <f t="shared" si="9"/>
        <v>9257.3876422050525</v>
      </c>
      <c r="W23" s="488">
        <f t="shared" si="9"/>
        <v>9396.9587912929401</v>
      </c>
      <c r="X23" s="488">
        <f t="shared" si="9"/>
        <v>9538.668423957628</v>
      </c>
      <c r="Y23" s="488">
        <f t="shared" si="9"/>
        <v>9682.5496076620311</v>
      </c>
      <c r="Z23" s="488">
        <f t="shared" si="9"/>
        <v>9828.6359234132287</v>
      </c>
      <c r="AA23" s="488">
        <f t="shared" si="9"/>
        <v>9976.9614737426582</v>
      </c>
      <c r="AB23" s="488">
        <f t="shared" si="9"/>
        <v>10127.56089081061</v>
      </c>
      <c r="AC23" s="488">
        <f t="shared" si="9"/>
        <v>10280.469344636809</v>
      </c>
      <c r="AD23" s="488">
        <f t="shared" si="9"/>
        <v>10435.722551459223</v>
      </c>
      <c r="AE23" s="488">
        <f t="shared" si="9"/>
        <v>10593.35678222292</v>
      </c>
      <c r="AF23" s="488">
        <f t="shared" si="9"/>
        <v>10753.408871201176</v>
      </c>
      <c r="AG23" s="488">
        <f t="shared" si="9"/>
        <v>10915.916224750708</v>
      </c>
      <c r="AH23" s="488">
        <f t="shared" si="9"/>
        <v>11080.916830203263</v>
      </c>
      <c r="AI23" s="488">
        <f t="shared" si="9"/>
        <v>11248.449264895638</v>
      </c>
      <c r="AJ23" s="488">
        <f t="shared" si="9"/>
        <v>11418.552705340257</v>
      </c>
      <c r="AK23" s="488">
        <f t="shared" si="9"/>
        <v>11591.266936538508</v>
      </c>
      <c r="AL23" s="488">
        <f t="shared" ref="AL23" si="10">SUM(AL19:AL21)</f>
        <v>11766.632361439144</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 t="shared" ref="D27:AK27" si="11">IF(D$3&gt;VRCConstEnd,0,D15)</f>
        <v>4.2005938647314209E-4</v>
      </c>
      <c r="E27" s="388">
        <f t="shared" si="11"/>
        <v>4.2645088782326693E-4</v>
      </c>
      <c r="F27" s="388">
        <f t="shared" si="11"/>
        <v>4.329416253388946E-4</v>
      </c>
      <c r="G27" s="388">
        <f t="shared" si="11"/>
        <v>4.3953315793380816E-4</v>
      </c>
      <c r="H27" s="388">
        <f t="shared" si="11"/>
        <v>0</v>
      </c>
      <c r="I27" s="388">
        <f t="shared" si="11"/>
        <v>0</v>
      </c>
      <c r="J27" s="388">
        <f t="shared" si="11"/>
        <v>0</v>
      </c>
      <c r="K27" s="388">
        <f t="shared" si="11"/>
        <v>0</v>
      </c>
      <c r="L27" s="388">
        <f t="shared" si="11"/>
        <v>0</v>
      </c>
      <c r="M27" s="388">
        <f t="shared" si="11"/>
        <v>0</v>
      </c>
      <c r="N27" s="388">
        <f t="shared" si="11"/>
        <v>0</v>
      </c>
      <c r="O27" s="388">
        <f t="shared" si="11"/>
        <v>0</v>
      </c>
      <c r="P27" s="388">
        <f t="shared" si="11"/>
        <v>0</v>
      </c>
      <c r="Q27" s="388">
        <f t="shared" si="11"/>
        <v>0</v>
      </c>
      <c r="R27" s="388">
        <f t="shared" si="11"/>
        <v>0</v>
      </c>
      <c r="S27" s="388">
        <f t="shared" si="11"/>
        <v>0</v>
      </c>
      <c r="T27" s="388">
        <f t="shared" si="11"/>
        <v>0</v>
      </c>
      <c r="U27" s="388">
        <f t="shared" si="11"/>
        <v>0</v>
      </c>
      <c r="V27" s="388">
        <f t="shared" si="11"/>
        <v>0</v>
      </c>
      <c r="W27" s="388">
        <f t="shared" si="11"/>
        <v>0</v>
      </c>
      <c r="X27" s="388">
        <f t="shared" si="11"/>
        <v>0</v>
      </c>
      <c r="Y27" s="388">
        <f t="shared" si="11"/>
        <v>0</v>
      </c>
      <c r="Z27" s="388">
        <f t="shared" si="11"/>
        <v>0</v>
      </c>
      <c r="AA27" s="388">
        <f t="shared" si="11"/>
        <v>0</v>
      </c>
      <c r="AB27" s="388">
        <f t="shared" si="11"/>
        <v>0</v>
      </c>
      <c r="AC27" s="388">
        <f t="shared" si="11"/>
        <v>0</v>
      </c>
      <c r="AD27" s="388">
        <f t="shared" si="11"/>
        <v>0</v>
      </c>
      <c r="AE27" s="388">
        <f t="shared" si="11"/>
        <v>0</v>
      </c>
      <c r="AF27" s="388">
        <f t="shared" si="11"/>
        <v>0</v>
      </c>
      <c r="AG27" s="388">
        <f t="shared" si="11"/>
        <v>0</v>
      </c>
      <c r="AH27" s="388">
        <f t="shared" si="11"/>
        <v>0</v>
      </c>
      <c r="AI27" s="388">
        <f t="shared" si="11"/>
        <v>0</v>
      </c>
      <c r="AJ27" s="388">
        <f t="shared" si="11"/>
        <v>0</v>
      </c>
      <c r="AK27" s="388">
        <f t="shared" si="11"/>
        <v>0</v>
      </c>
      <c r="AL27" s="388">
        <f t="shared" ref="AL27" si="12">IF(AL$3&gt;VRCConstEnd,0,AL15)</f>
        <v>0</v>
      </c>
    </row>
    <row r="28" spans="1:38">
      <c r="B28" s="367" t="s">
        <v>516</v>
      </c>
      <c r="C28" s="367" t="s">
        <v>329</v>
      </c>
      <c r="D28" s="388">
        <f t="shared" ref="D28:AK28" si="13">IF(D$3&gt;VRCConstEnd,0,D16)</f>
        <v>6.4798971028462984E-3</v>
      </c>
      <c r="E28" s="388">
        <f t="shared" si="13"/>
        <v>6.5737272978074251E-3</v>
      </c>
      <c r="F28" s="388">
        <f t="shared" si="13"/>
        <v>6.6689299593329331E-3</v>
      </c>
      <c r="G28" s="388">
        <f t="shared" si="13"/>
        <v>6.7655252457419742E-3</v>
      </c>
      <c r="H28" s="388">
        <f t="shared" si="13"/>
        <v>0</v>
      </c>
      <c r="I28" s="388">
        <f t="shared" si="13"/>
        <v>0</v>
      </c>
      <c r="J28" s="388">
        <f t="shared" si="13"/>
        <v>0</v>
      </c>
      <c r="K28" s="388">
        <f t="shared" si="13"/>
        <v>0</v>
      </c>
      <c r="L28" s="388">
        <f t="shared" si="13"/>
        <v>0</v>
      </c>
      <c r="M28" s="388">
        <f t="shared" si="13"/>
        <v>0</v>
      </c>
      <c r="N28" s="388">
        <f t="shared" si="13"/>
        <v>0</v>
      </c>
      <c r="O28" s="388">
        <f t="shared" si="13"/>
        <v>0</v>
      </c>
      <c r="P28" s="388">
        <f t="shared" si="13"/>
        <v>0</v>
      </c>
      <c r="Q28" s="388">
        <f t="shared" si="13"/>
        <v>0</v>
      </c>
      <c r="R28" s="388">
        <f t="shared" si="13"/>
        <v>0</v>
      </c>
      <c r="S28" s="388">
        <f t="shared" si="13"/>
        <v>0</v>
      </c>
      <c r="T28" s="388">
        <f t="shared" si="13"/>
        <v>0</v>
      </c>
      <c r="U28" s="388">
        <f t="shared" si="13"/>
        <v>0</v>
      </c>
      <c r="V28" s="388">
        <f t="shared" si="13"/>
        <v>0</v>
      </c>
      <c r="W28" s="388">
        <f t="shared" si="13"/>
        <v>0</v>
      </c>
      <c r="X28" s="388">
        <f t="shared" si="13"/>
        <v>0</v>
      </c>
      <c r="Y28" s="388">
        <f t="shared" si="13"/>
        <v>0</v>
      </c>
      <c r="Z28" s="388">
        <f t="shared" si="13"/>
        <v>0</v>
      </c>
      <c r="AA28" s="388">
        <f t="shared" si="13"/>
        <v>0</v>
      </c>
      <c r="AB28" s="388">
        <f t="shared" si="13"/>
        <v>0</v>
      </c>
      <c r="AC28" s="388">
        <f t="shared" si="13"/>
        <v>0</v>
      </c>
      <c r="AD28" s="388">
        <f t="shared" si="13"/>
        <v>0</v>
      </c>
      <c r="AE28" s="388">
        <f t="shared" si="13"/>
        <v>0</v>
      </c>
      <c r="AF28" s="388">
        <f t="shared" si="13"/>
        <v>0</v>
      </c>
      <c r="AG28" s="388">
        <f t="shared" si="13"/>
        <v>0</v>
      </c>
      <c r="AH28" s="388">
        <f t="shared" si="13"/>
        <v>0</v>
      </c>
      <c r="AI28" s="388">
        <f t="shared" si="13"/>
        <v>0</v>
      </c>
      <c r="AJ28" s="388">
        <f t="shared" si="13"/>
        <v>0</v>
      </c>
      <c r="AK28" s="388">
        <f t="shared" si="13"/>
        <v>0</v>
      </c>
      <c r="AL28" s="388">
        <f t="shared" ref="AL28" si="14">IF(AL$3&gt;VRCConstEnd,0,AL16)</f>
        <v>0</v>
      </c>
    </row>
    <row r="29" spans="1:38">
      <c r="B29" s="367" t="s">
        <v>517</v>
      </c>
      <c r="C29" s="367" t="s">
        <v>518</v>
      </c>
      <c r="D29" s="388">
        <f t="shared" ref="D29:AK29" si="15">IF(D$3&gt;VRCConstEnd,0,D17)</f>
        <v>3.6553430196310958E-2</v>
      </c>
      <c r="E29" s="388">
        <f t="shared" si="15"/>
        <v>3.7083040071946766E-2</v>
      </c>
      <c r="F29" s="388">
        <f t="shared" si="15"/>
        <v>3.762040236751131E-2</v>
      </c>
      <c r="G29" s="388">
        <f t="shared" si="15"/>
        <v>3.8165631049262072E-2</v>
      </c>
      <c r="H29" s="388">
        <f t="shared" si="15"/>
        <v>0</v>
      </c>
      <c r="I29" s="388">
        <f t="shared" si="15"/>
        <v>0</v>
      </c>
      <c r="J29" s="388">
        <f t="shared" si="15"/>
        <v>0</v>
      </c>
      <c r="K29" s="388">
        <f t="shared" si="15"/>
        <v>0</v>
      </c>
      <c r="L29" s="388">
        <f t="shared" si="15"/>
        <v>0</v>
      </c>
      <c r="M29" s="388">
        <f t="shared" si="15"/>
        <v>0</v>
      </c>
      <c r="N29" s="388">
        <f t="shared" si="15"/>
        <v>0</v>
      </c>
      <c r="O29" s="388">
        <f t="shared" si="15"/>
        <v>0</v>
      </c>
      <c r="P29" s="388">
        <f t="shared" si="15"/>
        <v>0</v>
      </c>
      <c r="Q29" s="388">
        <f t="shared" si="15"/>
        <v>0</v>
      </c>
      <c r="R29" s="388">
        <f t="shared" si="15"/>
        <v>0</v>
      </c>
      <c r="S29" s="388">
        <f t="shared" si="15"/>
        <v>0</v>
      </c>
      <c r="T29" s="388">
        <f t="shared" si="15"/>
        <v>0</v>
      </c>
      <c r="U29" s="388">
        <f t="shared" si="15"/>
        <v>0</v>
      </c>
      <c r="V29" s="388">
        <f t="shared" si="15"/>
        <v>0</v>
      </c>
      <c r="W29" s="388">
        <f t="shared" si="15"/>
        <v>0</v>
      </c>
      <c r="X29" s="388">
        <f t="shared" si="15"/>
        <v>0</v>
      </c>
      <c r="Y29" s="388">
        <f t="shared" si="15"/>
        <v>0</v>
      </c>
      <c r="Z29" s="388">
        <f t="shared" si="15"/>
        <v>0</v>
      </c>
      <c r="AA29" s="388">
        <f t="shared" si="15"/>
        <v>0</v>
      </c>
      <c r="AB29" s="388">
        <f t="shared" si="15"/>
        <v>0</v>
      </c>
      <c r="AC29" s="388">
        <f t="shared" si="15"/>
        <v>0</v>
      </c>
      <c r="AD29" s="388">
        <f t="shared" si="15"/>
        <v>0</v>
      </c>
      <c r="AE29" s="388">
        <f t="shared" si="15"/>
        <v>0</v>
      </c>
      <c r="AF29" s="388">
        <f t="shared" si="15"/>
        <v>0</v>
      </c>
      <c r="AG29" s="388">
        <f t="shared" si="15"/>
        <v>0</v>
      </c>
      <c r="AH29" s="388">
        <f t="shared" si="15"/>
        <v>0</v>
      </c>
      <c r="AI29" s="388">
        <f t="shared" si="15"/>
        <v>0</v>
      </c>
      <c r="AJ29" s="388">
        <f t="shared" si="15"/>
        <v>0</v>
      </c>
      <c r="AK29" s="388">
        <f t="shared" si="15"/>
        <v>0</v>
      </c>
      <c r="AL29" s="388">
        <f t="shared" ref="AL29" si="16">IF(AL$3&gt;VRCConstEnd,0,AL17)</f>
        <v>0</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7">D27*D9</f>
        <v>5070.5368541172984</v>
      </c>
      <c r="E31" s="485">
        <f t="shared" si="17"/>
        <v>5147.6886669146552</v>
      </c>
      <c r="F31" s="485">
        <f t="shared" si="17"/>
        <v>5226.0383594657969</v>
      </c>
      <c r="G31" s="485">
        <f t="shared" si="17"/>
        <v>5305.6047494189979</v>
      </c>
      <c r="H31" s="485">
        <f t="shared" si="17"/>
        <v>0</v>
      </c>
      <c r="I31" s="485">
        <f t="shared" si="17"/>
        <v>0</v>
      </c>
      <c r="J31" s="485">
        <f t="shared" si="17"/>
        <v>0</v>
      </c>
      <c r="K31" s="485">
        <f t="shared" si="17"/>
        <v>0</v>
      </c>
      <c r="L31" s="485">
        <f t="shared" si="17"/>
        <v>0</v>
      </c>
      <c r="M31" s="485">
        <f t="shared" si="17"/>
        <v>0</v>
      </c>
      <c r="N31" s="485">
        <f t="shared" si="17"/>
        <v>0</v>
      </c>
      <c r="O31" s="485">
        <f t="shared" si="17"/>
        <v>0</v>
      </c>
      <c r="P31" s="485">
        <f t="shared" si="17"/>
        <v>0</v>
      </c>
      <c r="Q31" s="485">
        <f t="shared" si="17"/>
        <v>0</v>
      </c>
      <c r="R31" s="485">
        <f t="shared" si="17"/>
        <v>0</v>
      </c>
      <c r="S31" s="485">
        <f t="shared" si="17"/>
        <v>0</v>
      </c>
      <c r="T31" s="485">
        <f t="shared" si="17"/>
        <v>0</v>
      </c>
      <c r="U31" s="485">
        <f t="shared" si="17"/>
        <v>0</v>
      </c>
      <c r="V31" s="485">
        <f t="shared" si="17"/>
        <v>0</v>
      </c>
      <c r="W31" s="485">
        <f t="shared" si="17"/>
        <v>0</v>
      </c>
      <c r="X31" s="485">
        <f t="shared" si="17"/>
        <v>0</v>
      </c>
      <c r="Y31" s="485">
        <f t="shared" si="17"/>
        <v>0</v>
      </c>
      <c r="Z31" s="485">
        <f t="shared" si="17"/>
        <v>0</v>
      </c>
      <c r="AA31" s="485">
        <f t="shared" si="17"/>
        <v>0</v>
      </c>
      <c r="AB31" s="485">
        <f t="shared" si="17"/>
        <v>0</v>
      </c>
      <c r="AC31" s="485">
        <f t="shared" si="17"/>
        <v>0</v>
      </c>
      <c r="AD31" s="485">
        <f t="shared" si="17"/>
        <v>0</v>
      </c>
      <c r="AE31" s="485">
        <f t="shared" si="17"/>
        <v>0</v>
      </c>
      <c r="AF31" s="485">
        <f t="shared" si="17"/>
        <v>0</v>
      </c>
      <c r="AG31" s="485">
        <f t="shared" si="17"/>
        <v>0</v>
      </c>
      <c r="AH31" s="485">
        <f t="shared" si="17"/>
        <v>0</v>
      </c>
      <c r="AI31" s="485">
        <f t="shared" si="17"/>
        <v>0</v>
      </c>
      <c r="AJ31" s="485">
        <f t="shared" si="17"/>
        <v>0</v>
      </c>
      <c r="AK31" s="485">
        <f t="shared" si="17"/>
        <v>0</v>
      </c>
      <c r="AL31" s="485">
        <f t="shared" ref="AL31" si="18">AL27*AL9</f>
        <v>0</v>
      </c>
    </row>
    <row r="32" spans="1:38">
      <c r="B32" s="366" t="s">
        <v>720</v>
      </c>
      <c r="C32" s="484" t="s">
        <v>292</v>
      </c>
      <c r="D32" s="485">
        <f t="shared" ref="D32:AK32" si="19">D28*D10</f>
        <v>1840.9387669186333</v>
      </c>
      <c r="E32" s="485">
        <f t="shared" si="19"/>
        <v>1867.5959253070894</v>
      </c>
      <c r="F32" s="485">
        <f t="shared" si="19"/>
        <v>1894.6430014464863</v>
      </c>
      <c r="G32" s="485">
        <f t="shared" si="19"/>
        <v>1922.0857223152948</v>
      </c>
      <c r="H32" s="485">
        <f t="shared" si="19"/>
        <v>0</v>
      </c>
      <c r="I32" s="485">
        <f t="shared" si="19"/>
        <v>0</v>
      </c>
      <c r="J32" s="485">
        <f t="shared" si="19"/>
        <v>0</v>
      </c>
      <c r="K32" s="485">
        <f t="shared" si="19"/>
        <v>0</v>
      </c>
      <c r="L32" s="485">
        <f t="shared" si="19"/>
        <v>0</v>
      </c>
      <c r="M32" s="485">
        <f t="shared" si="19"/>
        <v>0</v>
      </c>
      <c r="N32" s="485">
        <f t="shared" si="19"/>
        <v>0</v>
      </c>
      <c r="O32" s="485">
        <f t="shared" si="19"/>
        <v>0</v>
      </c>
      <c r="P32" s="485">
        <f t="shared" si="19"/>
        <v>0</v>
      </c>
      <c r="Q32" s="485">
        <f t="shared" si="19"/>
        <v>0</v>
      </c>
      <c r="R32" s="485">
        <f t="shared" si="19"/>
        <v>0</v>
      </c>
      <c r="S32" s="485">
        <f t="shared" si="19"/>
        <v>0</v>
      </c>
      <c r="T32" s="485">
        <f t="shared" si="19"/>
        <v>0</v>
      </c>
      <c r="U32" s="485">
        <f t="shared" si="19"/>
        <v>0</v>
      </c>
      <c r="V32" s="485">
        <f t="shared" si="19"/>
        <v>0</v>
      </c>
      <c r="W32" s="485">
        <f t="shared" si="19"/>
        <v>0</v>
      </c>
      <c r="X32" s="485">
        <f t="shared" si="19"/>
        <v>0</v>
      </c>
      <c r="Y32" s="485">
        <f t="shared" si="19"/>
        <v>0</v>
      </c>
      <c r="Z32" s="485">
        <f t="shared" si="19"/>
        <v>0</v>
      </c>
      <c r="AA32" s="485">
        <f t="shared" si="19"/>
        <v>0</v>
      </c>
      <c r="AB32" s="485">
        <f t="shared" si="19"/>
        <v>0</v>
      </c>
      <c r="AC32" s="485">
        <f t="shared" si="19"/>
        <v>0</v>
      </c>
      <c r="AD32" s="485">
        <f t="shared" si="19"/>
        <v>0</v>
      </c>
      <c r="AE32" s="485">
        <f t="shared" si="19"/>
        <v>0</v>
      </c>
      <c r="AF32" s="485">
        <f t="shared" si="19"/>
        <v>0</v>
      </c>
      <c r="AG32" s="485">
        <f t="shared" si="19"/>
        <v>0</v>
      </c>
      <c r="AH32" s="485">
        <f t="shared" si="19"/>
        <v>0</v>
      </c>
      <c r="AI32" s="485">
        <f t="shared" si="19"/>
        <v>0</v>
      </c>
      <c r="AJ32" s="485">
        <f t="shared" si="19"/>
        <v>0</v>
      </c>
      <c r="AK32" s="485">
        <f t="shared" si="19"/>
        <v>0</v>
      </c>
      <c r="AL32" s="485">
        <f t="shared" ref="AL32" si="20">AL28*AL10</f>
        <v>0</v>
      </c>
    </row>
    <row r="33" spans="1:38">
      <c r="B33" s="366" t="s">
        <v>721</v>
      </c>
      <c r="C33" s="484" t="s">
        <v>292</v>
      </c>
      <c r="D33" s="485">
        <f t="shared" ref="D33:AK33" si="21">D29*D11</f>
        <v>164.4904358833993</v>
      </c>
      <c r="E33" s="485">
        <f t="shared" si="21"/>
        <v>166.87368032376045</v>
      </c>
      <c r="F33" s="485">
        <f t="shared" si="21"/>
        <v>169.29181065380089</v>
      </c>
      <c r="G33" s="485">
        <f t="shared" si="21"/>
        <v>171.74533972167933</v>
      </c>
      <c r="H33" s="485">
        <f t="shared" si="21"/>
        <v>0</v>
      </c>
      <c r="I33" s="485">
        <f t="shared" si="21"/>
        <v>0</v>
      </c>
      <c r="J33" s="485">
        <f t="shared" si="21"/>
        <v>0</v>
      </c>
      <c r="K33" s="485">
        <f t="shared" si="21"/>
        <v>0</v>
      </c>
      <c r="L33" s="485">
        <f t="shared" si="21"/>
        <v>0</v>
      </c>
      <c r="M33" s="485">
        <f t="shared" si="21"/>
        <v>0</v>
      </c>
      <c r="N33" s="485">
        <f t="shared" si="21"/>
        <v>0</v>
      </c>
      <c r="O33" s="485">
        <f t="shared" si="21"/>
        <v>0</v>
      </c>
      <c r="P33" s="485">
        <f t="shared" si="21"/>
        <v>0</v>
      </c>
      <c r="Q33" s="485">
        <f t="shared" si="21"/>
        <v>0</v>
      </c>
      <c r="R33" s="485">
        <f t="shared" si="21"/>
        <v>0</v>
      </c>
      <c r="S33" s="485">
        <f t="shared" si="21"/>
        <v>0</v>
      </c>
      <c r="T33" s="485">
        <f t="shared" si="21"/>
        <v>0</v>
      </c>
      <c r="U33" s="485">
        <f t="shared" si="21"/>
        <v>0</v>
      </c>
      <c r="V33" s="485">
        <f t="shared" si="21"/>
        <v>0</v>
      </c>
      <c r="W33" s="485">
        <f t="shared" si="21"/>
        <v>0</v>
      </c>
      <c r="X33" s="485">
        <f t="shared" si="21"/>
        <v>0</v>
      </c>
      <c r="Y33" s="485">
        <f t="shared" si="21"/>
        <v>0</v>
      </c>
      <c r="Z33" s="485">
        <f t="shared" si="21"/>
        <v>0</v>
      </c>
      <c r="AA33" s="485">
        <f t="shared" si="21"/>
        <v>0</v>
      </c>
      <c r="AB33" s="485">
        <f t="shared" si="21"/>
        <v>0</v>
      </c>
      <c r="AC33" s="485">
        <f t="shared" si="21"/>
        <v>0</v>
      </c>
      <c r="AD33" s="485">
        <f t="shared" si="21"/>
        <v>0</v>
      </c>
      <c r="AE33" s="485">
        <f t="shared" si="21"/>
        <v>0</v>
      </c>
      <c r="AF33" s="485">
        <f t="shared" si="21"/>
        <v>0</v>
      </c>
      <c r="AG33" s="485">
        <f t="shared" si="21"/>
        <v>0</v>
      </c>
      <c r="AH33" s="485">
        <f t="shared" si="21"/>
        <v>0</v>
      </c>
      <c r="AI33" s="485">
        <f t="shared" si="21"/>
        <v>0</v>
      </c>
      <c r="AJ33" s="485">
        <f t="shared" si="21"/>
        <v>0</v>
      </c>
      <c r="AK33" s="485">
        <f t="shared" si="21"/>
        <v>0</v>
      </c>
      <c r="AL33" s="485">
        <f t="shared" ref="AL33" si="22">AL29*AL11</f>
        <v>0</v>
      </c>
    </row>
    <row r="34" spans="1:38">
      <c r="D34" s="358"/>
      <c r="F34" s="464"/>
      <c r="G34" s="465"/>
      <c r="H34" s="465"/>
    </row>
    <row r="35" spans="1:38" ht="13">
      <c r="B35" s="486" t="s">
        <v>462</v>
      </c>
      <c r="C35" s="487" t="s">
        <v>292</v>
      </c>
      <c r="D35" s="488">
        <f>SUM(D31:D33)</f>
        <v>7075.9660569193311</v>
      </c>
      <c r="E35" s="488">
        <f t="shared" ref="E35:AK35" si="23">SUM(E31:E33)</f>
        <v>7182.1582725455055</v>
      </c>
      <c r="F35" s="488">
        <f t="shared" si="23"/>
        <v>7289.9731715660846</v>
      </c>
      <c r="G35" s="488">
        <f t="shared" si="23"/>
        <v>7399.4358114559727</v>
      </c>
      <c r="H35" s="488">
        <f t="shared" si="23"/>
        <v>0</v>
      </c>
      <c r="I35" s="488">
        <f t="shared" si="23"/>
        <v>0</v>
      </c>
      <c r="J35" s="488">
        <f t="shared" si="23"/>
        <v>0</v>
      </c>
      <c r="K35" s="488">
        <f t="shared" si="23"/>
        <v>0</v>
      </c>
      <c r="L35" s="488">
        <f t="shared" si="23"/>
        <v>0</v>
      </c>
      <c r="M35" s="488">
        <f t="shared" si="23"/>
        <v>0</v>
      </c>
      <c r="N35" s="488">
        <f t="shared" si="23"/>
        <v>0</v>
      </c>
      <c r="O35" s="488">
        <f t="shared" si="23"/>
        <v>0</v>
      </c>
      <c r="P35" s="488">
        <f t="shared" si="23"/>
        <v>0</v>
      </c>
      <c r="Q35" s="488">
        <f t="shared" si="23"/>
        <v>0</v>
      </c>
      <c r="R35" s="488">
        <f t="shared" si="23"/>
        <v>0</v>
      </c>
      <c r="S35" s="488">
        <f t="shared" si="23"/>
        <v>0</v>
      </c>
      <c r="T35" s="488">
        <f t="shared" si="23"/>
        <v>0</v>
      </c>
      <c r="U35" s="488">
        <f t="shared" si="23"/>
        <v>0</v>
      </c>
      <c r="V35" s="488">
        <f t="shared" si="23"/>
        <v>0</v>
      </c>
      <c r="W35" s="488">
        <f t="shared" si="23"/>
        <v>0</v>
      </c>
      <c r="X35" s="488">
        <f t="shared" si="23"/>
        <v>0</v>
      </c>
      <c r="Y35" s="488">
        <f t="shared" si="23"/>
        <v>0</v>
      </c>
      <c r="Z35" s="488">
        <f t="shared" si="23"/>
        <v>0</v>
      </c>
      <c r="AA35" s="488">
        <f t="shared" si="23"/>
        <v>0</v>
      </c>
      <c r="AB35" s="488">
        <f t="shared" si="23"/>
        <v>0</v>
      </c>
      <c r="AC35" s="488">
        <f t="shared" si="23"/>
        <v>0</v>
      </c>
      <c r="AD35" s="488">
        <f t="shared" si="23"/>
        <v>0</v>
      </c>
      <c r="AE35" s="488">
        <f t="shared" si="23"/>
        <v>0</v>
      </c>
      <c r="AF35" s="488">
        <f t="shared" si="23"/>
        <v>0</v>
      </c>
      <c r="AG35" s="488">
        <f t="shared" si="23"/>
        <v>0</v>
      </c>
      <c r="AH35" s="488">
        <f t="shared" si="23"/>
        <v>0</v>
      </c>
      <c r="AI35" s="488">
        <f t="shared" si="23"/>
        <v>0</v>
      </c>
      <c r="AJ35" s="488">
        <f t="shared" si="23"/>
        <v>0</v>
      </c>
      <c r="AK35" s="488">
        <f t="shared" si="23"/>
        <v>0</v>
      </c>
      <c r="AL35" s="488">
        <f t="shared" ref="AL35" si="24">SUM(AL31:AL33)</f>
        <v>0</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1072</v>
      </c>
      <c r="C39" s="581" t="s">
        <v>328</v>
      </c>
      <c r="D39" s="388">
        <f>D15-D27</f>
        <v>0</v>
      </c>
      <c r="E39" s="388">
        <f t="shared" ref="E39:AK39" si="25">E15-E27</f>
        <v>0</v>
      </c>
      <c r="F39" s="388">
        <f t="shared" si="25"/>
        <v>0</v>
      </c>
      <c r="G39" s="388">
        <f t="shared" si="25"/>
        <v>0</v>
      </c>
      <c r="H39" s="388">
        <f t="shared" si="25"/>
        <v>4.462270691491591E-4</v>
      </c>
      <c r="I39" s="388">
        <f t="shared" si="25"/>
        <v>4.5302496754230258E-4</v>
      </c>
      <c r="J39" s="388">
        <f t="shared" si="25"/>
        <v>4.5992848708177961E-4</v>
      </c>
      <c r="K39" s="388">
        <f t="shared" si="25"/>
        <v>4.6693928754854518E-4</v>
      </c>
      <c r="L39" s="388">
        <f t="shared" si="25"/>
        <v>4.7405905494353928E-4</v>
      </c>
      <c r="M39" s="388">
        <f t="shared" si="25"/>
        <v>4.8128950190170648E-4</v>
      </c>
      <c r="N39" s="388">
        <f t="shared" si="25"/>
        <v>4.8863236811255587E-4</v>
      </c>
      <c r="O39" s="388">
        <f t="shared" si="25"/>
        <v>4.9608942074737467E-4</v>
      </c>
      <c r="P39" s="388">
        <f t="shared" si="25"/>
        <v>5.0366245489319439E-4</v>
      </c>
      <c r="Q39" s="388">
        <f t="shared" si="25"/>
        <v>5.1135329399361936E-4</v>
      </c>
      <c r="R39" s="388">
        <f t="shared" si="25"/>
        <v>5.191637902966222E-4</v>
      </c>
      <c r="S39" s="388">
        <f t="shared" si="25"/>
        <v>5.2709582530942073E-4</v>
      </c>
      <c r="T39" s="388">
        <f t="shared" si="25"/>
        <v>5.3515131026054565E-4</v>
      </c>
      <c r="U39" s="388">
        <f t="shared" si="25"/>
        <v>5.4333218656921244E-4</v>
      </c>
      <c r="V39" s="388">
        <f t="shared" si="25"/>
        <v>5.5164042632211341E-4</v>
      </c>
      <c r="W39" s="388">
        <f t="shared" si="25"/>
        <v>5.6007803275774648E-4</v>
      </c>
      <c r="X39" s="388">
        <f t="shared" si="25"/>
        <v>5.68647040758402E-4</v>
      </c>
      <c r="Y39" s="388">
        <f t="shared" si="25"/>
        <v>5.7734951734992386E-4</v>
      </c>
      <c r="Z39" s="388">
        <f t="shared" si="25"/>
        <v>5.861875622093733E-4</v>
      </c>
      <c r="AA39" s="388">
        <f t="shared" si="25"/>
        <v>5.9516330818071533E-4</v>
      </c>
      <c r="AB39" s="388">
        <f t="shared" si="25"/>
        <v>6.0427892179865919E-4</v>
      </c>
      <c r="AC39" s="388">
        <f t="shared" si="25"/>
        <v>6.135366038207752E-4</v>
      </c>
      <c r="AD39" s="388">
        <f t="shared" si="25"/>
        <v>6.229385897680267E-4</v>
      </c>
      <c r="AE39" s="388">
        <f t="shared" si="25"/>
        <v>6.3248715047384317E-4</v>
      </c>
      <c r="AF39" s="388">
        <f t="shared" si="25"/>
        <v>6.4218459264187369E-4</v>
      </c>
      <c r="AG39" s="388">
        <f t="shared" si="25"/>
        <v>6.5203325941255589E-4</v>
      </c>
      <c r="AH39" s="388">
        <f t="shared" si="25"/>
        <v>6.6203553093863892E-4</v>
      </c>
      <c r="AI39" s="388">
        <f t="shared" si="25"/>
        <v>6.7219382496980652E-4</v>
      </c>
      <c r="AJ39" s="388">
        <f t="shared" si="25"/>
        <v>6.8251059744653679E-4</v>
      </c>
      <c r="AK39" s="388">
        <f t="shared" si="25"/>
        <v>6.9298834310334875E-4</v>
      </c>
      <c r="AL39" s="388">
        <f t="shared" ref="AL39" si="26">AL15-AL27</f>
        <v>7.0362959608158795E-4</v>
      </c>
    </row>
    <row r="40" spans="1:38" ht="13">
      <c r="B40" s="581" t="s">
        <v>1073</v>
      </c>
      <c r="C40" s="581" t="s">
        <v>329</v>
      </c>
      <c r="D40" s="388">
        <f>D16-D28</f>
        <v>0</v>
      </c>
      <c r="E40" s="388">
        <f t="shared" ref="E40:AK40" si="27">E16-E28</f>
        <v>0</v>
      </c>
      <c r="F40" s="388">
        <f t="shared" si="27"/>
        <v>0</v>
      </c>
      <c r="G40" s="388">
        <f t="shared" si="27"/>
        <v>0</v>
      </c>
      <c r="H40" s="388">
        <f t="shared" si="27"/>
        <v>6.8635336120035362E-3</v>
      </c>
      <c r="I40" s="388">
        <f t="shared" si="27"/>
        <v>6.9629758140943073E-3</v>
      </c>
      <c r="J40" s="388">
        <f t="shared" si="27"/>
        <v>7.0638729134207164E-3</v>
      </c>
      <c r="K40" s="388">
        <f t="shared" si="27"/>
        <v>7.1662462813061418E-3</v>
      </c>
      <c r="L40" s="388">
        <f t="shared" si="27"/>
        <v>7.2701176035442029E-3</v>
      </c>
      <c r="M40" s="388">
        <f t="shared" si="27"/>
        <v>7.3755088850191771E-3</v>
      </c>
      <c r="N40" s="388">
        <f t="shared" si="27"/>
        <v>7.4824424543944359E-3</v>
      </c>
      <c r="O40" s="388">
        <f t="shared" si="27"/>
        <v>7.5909409688699366E-3</v>
      </c>
      <c r="P40" s="388">
        <f t="shared" si="27"/>
        <v>7.7010274190098338E-3</v>
      </c>
      <c r="Q40" s="388">
        <f t="shared" si="27"/>
        <v>7.8127251336411584E-3</v>
      </c>
      <c r="R40" s="388">
        <f t="shared" si="27"/>
        <v>7.9260577848246309E-3</v>
      </c>
      <c r="S40" s="388">
        <f t="shared" si="27"/>
        <v>8.0410493928986942E-3</v>
      </c>
      <c r="T40" s="388">
        <f t="shared" si="27"/>
        <v>8.157724331597848E-3</v>
      </c>
      <c r="U40" s="388">
        <f t="shared" si="27"/>
        <v>8.2761073332463103E-3</v>
      </c>
      <c r="V40" s="388">
        <f t="shared" si="27"/>
        <v>8.3962234940281721E-3</v>
      </c>
      <c r="W40" s="388">
        <f t="shared" si="27"/>
        <v>8.5180982793351453E-3</v>
      </c>
      <c r="X40" s="388">
        <f t="shared" si="27"/>
        <v>8.6417575291930782E-3</v>
      </c>
      <c r="Y40" s="388">
        <f t="shared" si="27"/>
        <v>8.7672274637682953E-3</v>
      </c>
      <c r="Z40" s="388">
        <f t="shared" si="27"/>
        <v>8.8945346889550761E-3</v>
      </c>
      <c r="AA40" s="388">
        <f t="shared" si="27"/>
        <v>9.0237062020453451E-3</v>
      </c>
      <c r="AB40" s="388">
        <f t="shared" si="27"/>
        <v>9.1547693974818566E-3</v>
      </c>
      <c r="AC40" s="388">
        <f t="shared" si="27"/>
        <v>9.2877520726960261E-3</v>
      </c>
      <c r="AD40" s="388">
        <f t="shared" si="27"/>
        <v>9.4226824340317445E-3</v>
      </c>
      <c r="AE40" s="388">
        <f t="shared" si="27"/>
        <v>9.5595891027563506E-3</v>
      </c>
      <c r="AF40" s="388">
        <f t="shared" si="27"/>
        <v>9.6985011211601167E-3</v>
      </c>
      <c r="AG40" s="388">
        <f t="shared" si="27"/>
        <v>9.8394479587454748E-3</v>
      </c>
      <c r="AH40" s="388">
        <f t="shared" si="27"/>
        <v>9.982459518507349E-3</v>
      </c>
      <c r="AI40" s="388">
        <f t="shared" si="27"/>
        <v>1.0127566143305948E-2</v>
      </c>
      <c r="AJ40" s="388">
        <f t="shared" si="27"/>
        <v>1.027479862233331E-2</v>
      </c>
      <c r="AK40" s="388">
        <f t="shared" si="27"/>
        <v>1.0424188197675025E-2</v>
      </c>
      <c r="AL40" s="388">
        <f t="shared" ref="AL40" si="28">AL16-AL28</f>
        <v>1.0575766570968552E-2</v>
      </c>
    </row>
    <row r="41" spans="1:38" ht="13">
      <c r="B41" s="581" t="s">
        <v>783</v>
      </c>
      <c r="C41" s="581" t="s">
        <v>518</v>
      </c>
      <c r="D41" s="388">
        <f>D17-D29</f>
        <v>0</v>
      </c>
      <c r="E41" s="388">
        <f t="shared" ref="E41:AK41" si="29">E17-E29</f>
        <v>0</v>
      </c>
      <c r="F41" s="388">
        <f t="shared" si="29"/>
        <v>0</v>
      </c>
      <c r="G41" s="388">
        <f t="shared" si="29"/>
        <v>0</v>
      </c>
      <c r="H41" s="388">
        <f t="shared" si="29"/>
        <v>3.8718841762270438E-2</v>
      </c>
      <c r="I41" s="388">
        <f t="shared" si="29"/>
        <v>3.9280151855110988E-2</v>
      </c>
      <c r="J41" s="388">
        <f t="shared" si="29"/>
        <v>3.9849680404914718E-2</v>
      </c>
      <c r="K41" s="388">
        <f t="shared" si="29"/>
        <v>4.0427548242792037E-2</v>
      </c>
      <c r="L41" s="388">
        <f t="shared" si="29"/>
        <v>4.101387797963043E-2</v>
      </c>
      <c r="M41" s="388">
        <f t="shared" si="29"/>
        <v>4.1608794032273064E-2</v>
      </c>
      <c r="N41" s="388">
        <f t="shared" si="29"/>
        <v>4.2212422650083042E-2</v>
      </c>
      <c r="O41" s="388">
        <f t="shared" si="29"/>
        <v>4.2824891941899527E-2</v>
      </c>
      <c r="P41" s="388">
        <f t="shared" si="29"/>
        <v>4.3446331903391519E-2</v>
      </c>
      <c r="Q41" s="388">
        <f t="shared" si="29"/>
        <v>4.4076874444814861E-2</v>
      </c>
      <c r="R41" s="388">
        <f t="shared" si="29"/>
        <v>4.4716653419178361E-2</v>
      </c>
      <c r="S41" s="388">
        <f t="shared" si="29"/>
        <v>4.5365804650825403E-2</v>
      </c>
      <c r="T41" s="388">
        <f t="shared" si="29"/>
        <v>4.6024465964436954E-2</v>
      </c>
      <c r="U41" s="388">
        <f t="shared" si="29"/>
        <v>4.6692777214461988E-2</v>
      </c>
      <c r="V41" s="388">
        <f t="shared" si="29"/>
        <v>4.7370880314981836E-2</v>
      </c>
      <c r="W41" s="388">
        <f t="shared" si="29"/>
        <v>4.8058919270014801E-2</v>
      </c>
      <c r="X41" s="388">
        <f t="shared" si="29"/>
        <v>4.8757040204267556E-2</v>
      </c>
      <c r="Y41" s="388">
        <f t="shared" si="29"/>
        <v>4.9465391394339572E-2</v>
      </c>
      <c r="Z41" s="388">
        <f t="shared" si="29"/>
        <v>5.0184123300387788E-2</v>
      </c>
      <c r="AA41" s="388">
        <f t="shared" si="29"/>
        <v>5.0913388598257781E-2</v>
      </c>
      <c r="AB41" s="388">
        <f t="shared" si="29"/>
        <v>5.1653342212088643E-2</v>
      </c>
      <c r="AC41" s="388">
        <f t="shared" si="29"/>
        <v>5.2404141347398216E-2</v>
      </c>
      <c r="AD41" s="388">
        <f t="shared" si="29"/>
        <v>5.3165945524656089E-2</v>
      </c>
      <c r="AE41" s="388">
        <f t="shared" si="29"/>
        <v>5.3938916613351262E-2</v>
      </c>
      <c r="AF41" s="388">
        <f t="shared" si="29"/>
        <v>5.4723218866561979E-2</v>
      </c>
      <c r="AG41" s="388">
        <f t="shared" si="29"/>
        <v>5.5519018956034838E-2</v>
      </c>
      <c r="AH41" s="388">
        <f t="shared" si="29"/>
        <v>5.6326486007780847E-2</v>
      </c>
      <c r="AI41" s="388">
        <f t="shared" si="29"/>
        <v>5.7145791638196212E-2</v>
      </c>
      <c r="AJ41" s="388">
        <f t="shared" si="29"/>
        <v>5.7977109990715099E-2</v>
      </c>
      <c r="AK41" s="388">
        <f t="shared" si="29"/>
        <v>5.8820617773002473E-2</v>
      </c>
      <c r="AL41" s="388">
        <f t="shared" ref="AL41" si="30">AL17-AL29</f>
        <v>5.9676494294695286E-2</v>
      </c>
    </row>
    <row r="42" spans="1:38">
      <c r="D42" s="358"/>
      <c r="F42" s="464"/>
      <c r="G42" s="465"/>
      <c r="H42" s="465"/>
    </row>
    <row r="43" spans="1:38" ht="13">
      <c r="B43" s="492" t="s">
        <v>284</v>
      </c>
      <c r="C43" s="487" t="s">
        <v>292</v>
      </c>
      <c r="D43" s="488">
        <f t="shared" ref="D43:AK43" si="31">D23-D35</f>
        <v>0</v>
      </c>
      <c r="E43" s="488">
        <f t="shared" si="31"/>
        <v>0</v>
      </c>
      <c r="F43" s="488">
        <f t="shared" si="31"/>
        <v>0</v>
      </c>
      <c r="G43" s="488">
        <f t="shared" si="31"/>
        <v>0</v>
      </c>
      <c r="H43" s="488">
        <f t="shared" si="31"/>
        <v>7510.5716387999209</v>
      </c>
      <c r="I43" s="488">
        <f t="shared" si="31"/>
        <v>7623.4064953353263</v>
      </c>
      <c r="J43" s="488">
        <f t="shared" si="31"/>
        <v>7737.9666240891029</v>
      </c>
      <c r="K43" s="488">
        <f t="shared" si="31"/>
        <v>7854.2786756101277</v>
      </c>
      <c r="L43" s="488">
        <f t="shared" si="31"/>
        <v>7972.3697142987085</v>
      </c>
      <c r="M43" s="488">
        <f t="shared" si="31"/>
        <v>8092.2672248346753</v>
      </c>
      <c r="N43" s="488">
        <f t="shared" si="31"/>
        <v>8213.9991187054948</v>
      </c>
      <c r="O43" s="488">
        <f t="shared" si="31"/>
        <v>8337.5937408360569</v>
      </c>
      <c r="P43" s="488">
        <f t="shared" si="31"/>
        <v>8463.0798763217044</v>
      </c>
      <c r="Q43" s="488">
        <f t="shared" si="31"/>
        <v>8590.4867572661005</v>
      </c>
      <c r="R43" s="488">
        <f t="shared" si="31"/>
        <v>8719.8440697255064</v>
      </c>
      <c r="S43" s="488">
        <f t="shared" si="31"/>
        <v>8851.1819607612506</v>
      </c>
      <c r="T43" s="488">
        <f t="shared" si="31"/>
        <v>8984.5310456019615</v>
      </c>
      <c r="U43" s="488">
        <f t="shared" si="31"/>
        <v>9119.9224149173187</v>
      </c>
      <c r="V43" s="488">
        <f t="shared" si="31"/>
        <v>9257.3876422050525</v>
      </c>
      <c r="W43" s="488">
        <f t="shared" si="31"/>
        <v>9396.9587912929401</v>
      </c>
      <c r="X43" s="488">
        <f t="shared" si="31"/>
        <v>9538.668423957628</v>
      </c>
      <c r="Y43" s="488">
        <f t="shared" si="31"/>
        <v>9682.5496076620311</v>
      </c>
      <c r="Z43" s="488">
        <f t="shared" si="31"/>
        <v>9828.6359234132287</v>
      </c>
      <c r="AA43" s="488">
        <f t="shared" si="31"/>
        <v>9976.9614737426582</v>
      </c>
      <c r="AB43" s="488">
        <f t="shared" si="31"/>
        <v>10127.56089081061</v>
      </c>
      <c r="AC43" s="488">
        <f t="shared" si="31"/>
        <v>10280.469344636809</v>
      </c>
      <c r="AD43" s="488">
        <f t="shared" si="31"/>
        <v>10435.722551459223</v>
      </c>
      <c r="AE43" s="488">
        <f t="shared" si="31"/>
        <v>10593.35678222292</v>
      </c>
      <c r="AF43" s="488">
        <f t="shared" si="31"/>
        <v>10753.408871201176</v>
      </c>
      <c r="AG43" s="488">
        <f t="shared" si="31"/>
        <v>10915.916224750708</v>
      </c>
      <c r="AH43" s="488">
        <f t="shared" si="31"/>
        <v>11080.916830203263</v>
      </c>
      <c r="AI43" s="488">
        <f t="shared" si="31"/>
        <v>11248.449264895638</v>
      </c>
      <c r="AJ43" s="488">
        <f t="shared" si="31"/>
        <v>11418.552705340257</v>
      </c>
      <c r="AK43" s="488">
        <f t="shared" si="31"/>
        <v>11591.266936538508</v>
      </c>
      <c r="AL43" s="488">
        <f t="shared" ref="AL43" si="32">AL23-AL35</f>
        <v>11766.632361439144</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748" t="s">
        <v>493</v>
      </c>
      <c r="C49" s="384" t="s">
        <v>450</v>
      </c>
      <c r="D49" s="496">
        <f>'General Inputs'!D15</f>
        <v>17.899999999999999</v>
      </c>
      <c r="E49" s="496">
        <f t="shared" ref="E49:T51" si="33">D49*(1+$C$48)</f>
        <v>17.899999999999999</v>
      </c>
      <c r="F49" s="496">
        <f t="shared" si="33"/>
        <v>17.899999999999999</v>
      </c>
      <c r="G49" s="496">
        <f t="shared" si="33"/>
        <v>17.899999999999999</v>
      </c>
      <c r="H49" s="496">
        <f t="shared" si="33"/>
        <v>17.899999999999999</v>
      </c>
      <c r="I49" s="496">
        <f t="shared" si="33"/>
        <v>17.899999999999999</v>
      </c>
      <c r="J49" s="496">
        <f t="shared" si="33"/>
        <v>17.899999999999999</v>
      </c>
      <c r="K49" s="496">
        <f t="shared" si="33"/>
        <v>17.899999999999999</v>
      </c>
      <c r="L49" s="496">
        <f t="shared" si="33"/>
        <v>17.899999999999999</v>
      </c>
      <c r="M49" s="496">
        <f t="shared" si="33"/>
        <v>17.899999999999999</v>
      </c>
      <c r="N49" s="496">
        <f t="shared" si="33"/>
        <v>17.899999999999999</v>
      </c>
      <c r="O49" s="496">
        <f t="shared" si="33"/>
        <v>17.899999999999999</v>
      </c>
      <c r="P49" s="496">
        <f t="shared" si="33"/>
        <v>17.899999999999999</v>
      </c>
      <c r="Q49" s="496">
        <f t="shared" si="33"/>
        <v>17.899999999999999</v>
      </c>
      <c r="R49" s="496">
        <f t="shared" si="33"/>
        <v>17.899999999999999</v>
      </c>
      <c r="S49" s="496">
        <f t="shared" si="33"/>
        <v>17.899999999999999</v>
      </c>
      <c r="T49" s="496">
        <f t="shared" si="33"/>
        <v>17.899999999999999</v>
      </c>
      <c r="U49" s="496">
        <f t="shared" ref="U49:AJ51" si="34">T49*(1+$C$48)</f>
        <v>17.899999999999999</v>
      </c>
      <c r="V49" s="496">
        <f t="shared" si="34"/>
        <v>17.899999999999999</v>
      </c>
      <c r="W49" s="496">
        <f t="shared" si="34"/>
        <v>17.899999999999999</v>
      </c>
      <c r="X49" s="496">
        <f t="shared" si="34"/>
        <v>17.899999999999999</v>
      </c>
      <c r="Y49" s="496">
        <f t="shared" si="34"/>
        <v>17.899999999999999</v>
      </c>
      <c r="Z49" s="496">
        <f t="shared" si="34"/>
        <v>17.899999999999999</v>
      </c>
      <c r="AA49" s="496">
        <f t="shared" si="34"/>
        <v>17.899999999999999</v>
      </c>
      <c r="AB49" s="496">
        <f t="shared" si="34"/>
        <v>17.899999999999999</v>
      </c>
      <c r="AC49" s="496">
        <f t="shared" si="34"/>
        <v>17.899999999999999</v>
      </c>
      <c r="AD49" s="496">
        <f t="shared" si="34"/>
        <v>17.899999999999999</v>
      </c>
      <c r="AE49" s="496">
        <f t="shared" si="34"/>
        <v>17.899999999999999</v>
      </c>
      <c r="AF49" s="496">
        <f t="shared" si="34"/>
        <v>17.899999999999999</v>
      </c>
      <c r="AG49" s="496">
        <f t="shared" si="34"/>
        <v>17.899999999999999</v>
      </c>
      <c r="AH49" s="496">
        <f t="shared" si="34"/>
        <v>17.899999999999999</v>
      </c>
      <c r="AI49" s="496">
        <f t="shared" si="34"/>
        <v>17.899999999999999</v>
      </c>
      <c r="AJ49" s="496">
        <f t="shared" si="34"/>
        <v>17.899999999999999</v>
      </c>
      <c r="AK49" s="496">
        <f t="shared" ref="AJ49:AL51" si="35">AJ49*(1+$C$48)</f>
        <v>17.899999999999999</v>
      </c>
      <c r="AL49" s="496">
        <f t="shared" si="35"/>
        <v>17.899999999999999</v>
      </c>
    </row>
    <row r="50" spans="1:38">
      <c r="B50" s="749" t="s">
        <v>494</v>
      </c>
      <c r="C50" s="384" t="s">
        <v>450</v>
      </c>
      <c r="D50" s="496">
        <f>'General Inputs'!D16</f>
        <v>30.8</v>
      </c>
      <c r="E50" s="496">
        <f t="shared" si="33"/>
        <v>30.8</v>
      </c>
      <c r="F50" s="496">
        <f t="shared" si="33"/>
        <v>30.8</v>
      </c>
      <c r="G50" s="496">
        <f t="shared" si="33"/>
        <v>30.8</v>
      </c>
      <c r="H50" s="496">
        <f t="shared" si="33"/>
        <v>30.8</v>
      </c>
      <c r="I50" s="496">
        <f t="shared" si="33"/>
        <v>30.8</v>
      </c>
      <c r="J50" s="496">
        <f t="shared" si="33"/>
        <v>30.8</v>
      </c>
      <c r="K50" s="496">
        <f t="shared" si="33"/>
        <v>30.8</v>
      </c>
      <c r="L50" s="496">
        <f t="shared" si="33"/>
        <v>30.8</v>
      </c>
      <c r="M50" s="496">
        <f t="shared" si="33"/>
        <v>30.8</v>
      </c>
      <c r="N50" s="496">
        <f t="shared" si="33"/>
        <v>30.8</v>
      </c>
      <c r="O50" s="496">
        <f t="shared" si="33"/>
        <v>30.8</v>
      </c>
      <c r="P50" s="496">
        <f t="shared" si="33"/>
        <v>30.8</v>
      </c>
      <c r="Q50" s="496">
        <f t="shared" si="33"/>
        <v>30.8</v>
      </c>
      <c r="R50" s="496">
        <f t="shared" si="33"/>
        <v>30.8</v>
      </c>
      <c r="S50" s="496">
        <f t="shared" si="33"/>
        <v>30.8</v>
      </c>
      <c r="T50" s="496">
        <f t="shared" si="33"/>
        <v>30.8</v>
      </c>
      <c r="U50" s="496">
        <f t="shared" si="34"/>
        <v>30.8</v>
      </c>
      <c r="V50" s="496">
        <f t="shared" si="34"/>
        <v>30.8</v>
      </c>
      <c r="W50" s="496">
        <f t="shared" si="34"/>
        <v>30.8</v>
      </c>
      <c r="X50" s="496">
        <f t="shared" si="34"/>
        <v>30.8</v>
      </c>
      <c r="Y50" s="496">
        <f t="shared" si="34"/>
        <v>30.8</v>
      </c>
      <c r="Z50" s="496">
        <f t="shared" si="34"/>
        <v>30.8</v>
      </c>
      <c r="AA50" s="496">
        <f t="shared" si="34"/>
        <v>30.8</v>
      </c>
      <c r="AB50" s="496">
        <f t="shared" si="34"/>
        <v>30.8</v>
      </c>
      <c r="AC50" s="496">
        <f t="shared" si="34"/>
        <v>30.8</v>
      </c>
      <c r="AD50" s="496">
        <f t="shared" si="34"/>
        <v>30.8</v>
      </c>
      <c r="AE50" s="496">
        <f t="shared" si="34"/>
        <v>30.8</v>
      </c>
      <c r="AF50" s="496">
        <f t="shared" si="34"/>
        <v>30.8</v>
      </c>
      <c r="AG50" s="496">
        <f t="shared" si="34"/>
        <v>30.8</v>
      </c>
      <c r="AH50" s="496">
        <f t="shared" si="34"/>
        <v>30.8</v>
      </c>
      <c r="AI50" s="496">
        <f t="shared" si="34"/>
        <v>30.8</v>
      </c>
      <c r="AJ50" s="496">
        <f t="shared" si="35"/>
        <v>30.8</v>
      </c>
      <c r="AK50" s="496">
        <f t="shared" si="35"/>
        <v>30.8</v>
      </c>
      <c r="AL50" s="496">
        <f t="shared" si="35"/>
        <v>30.8</v>
      </c>
    </row>
    <row r="51" spans="1:38">
      <c r="B51" s="749" t="s">
        <v>773</v>
      </c>
      <c r="C51" s="384" t="s">
        <v>450</v>
      </c>
      <c r="D51" s="496">
        <f>'General Inputs'!D17</f>
        <v>31.7</v>
      </c>
      <c r="E51" s="496">
        <f t="shared" si="33"/>
        <v>31.7</v>
      </c>
      <c r="F51" s="496">
        <f t="shared" si="33"/>
        <v>31.7</v>
      </c>
      <c r="G51" s="496">
        <f t="shared" si="33"/>
        <v>31.7</v>
      </c>
      <c r="H51" s="496">
        <f t="shared" si="33"/>
        <v>31.7</v>
      </c>
      <c r="I51" s="496">
        <f t="shared" si="33"/>
        <v>31.7</v>
      </c>
      <c r="J51" s="496">
        <f t="shared" si="33"/>
        <v>31.7</v>
      </c>
      <c r="K51" s="496">
        <f t="shared" si="33"/>
        <v>31.7</v>
      </c>
      <c r="L51" s="496">
        <f t="shared" si="33"/>
        <v>31.7</v>
      </c>
      <c r="M51" s="496">
        <f t="shared" si="33"/>
        <v>31.7</v>
      </c>
      <c r="N51" s="496">
        <f t="shared" si="33"/>
        <v>31.7</v>
      </c>
      <c r="O51" s="496">
        <f t="shared" si="33"/>
        <v>31.7</v>
      </c>
      <c r="P51" s="496">
        <f t="shared" si="33"/>
        <v>31.7</v>
      </c>
      <c r="Q51" s="496">
        <f t="shared" si="33"/>
        <v>31.7</v>
      </c>
      <c r="R51" s="496">
        <f t="shared" si="33"/>
        <v>31.7</v>
      </c>
      <c r="S51" s="496">
        <f t="shared" si="33"/>
        <v>31.7</v>
      </c>
      <c r="T51" s="496">
        <f t="shared" si="33"/>
        <v>31.7</v>
      </c>
      <c r="U51" s="496">
        <f t="shared" si="34"/>
        <v>31.7</v>
      </c>
      <c r="V51" s="496">
        <f t="shared" si="34"/>
        <v>31.7</v>
      </c>
      <c r="W51" s="496">
        <f t="shared" si="34"/>
        <v>31.7</v>
      </c>
      <c r="X51" s="496">
        <f t="shared" si="34"/>
        <v>31.7</v>
      </c>
      <c r="Y51" s="496">
        <f t="shared" si="34"/>
        <v>31.7</v>
      </c>
      <c r="Z51" s="496">
        <f t="shared" si="34"/>
        <v>31.7</v>
      </c>
      <c r="AA51" s="496">
        <f t="shared" si="34"/>
        <v>31.7</v>
      </c>
      <c r="AB51" s="496">
        <f t="shared" si="34"/>
        <v>31.7</v>
      </c>
      <c r="AC51" s="496">
        <f t="shared" si="34"/>
        <v>31.7</v>
      </c>
      <c r="AD51" s="496">
        <f t="shared" si="34"/>
        <v>31.7</v>
      </c>
      <c r="AE51" s="496">
        <f t="shared" si="34"/>
        <v>31.7</v>
      </c>
      <c r="AF51" s="496">
        <f t="shared" si="34"/>
        <v>31.7</v>
      </c>
      <c r="AG51" s="496">
        <f t="shared" si="34"/>
        <v>31.7</v>
      </c>
      <c r="AH51" s="496">
        <f t="shared" si="34"/>
        <v>31.7</v>
      </c>
      <c r="AI51" s="496">
        <f t="shared" si="34"/>
        <v>31.7</v>
      </c>
      <c r="AJ51" s="496">
        <f t="shared" si="35"/>
        <v>31.7</v>
      </c>
      <c r="AK51" s="496">
        <f t="shared" si="35"/>
        <v>31.7</v>
      </c>
      <c r="AL51" s="496">
        <f t="shared" si="35"/>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'700 South'!D25</f>
        <v>260.55199031632395</v>
      </c>
      <c r="E55" s="383">
        <f>'700 South'!E25</f>
        <v>271.08177050253028</v>
      </c>
      <c r="F55" s="383">
        <f>'700 South'!F25</f>
        <v>282.03709443774119</v>
      </c>
      <c r="G55" s="383">
        <f>'700 South'!G25</f>
        <v>293.4351597727258</v>
      </c>
      <c r="H55" s="383">
        <f>'700 South'!H25</f>
        <v>305.29385917302579</v>
      </c>
      <c r="I55" s="383">
        <f>'700 South'!I25</f>
        <v>317.63180840683441</v>
      </c>
      <c r="J55" s="383">
        <f>'700 South'!J25</f>
        <v>330.46837556800108</v>
      </c>
      <c r="K55" s="383">
        <f>'700 South'!K25</f>
        <v>343.8237114800358</v>
      </c>
      <c r="L55" s="383">
        <f>'700 South'!L25</f>
        <v>357.71878132884052</v>
      </c>
      <c r="M55" s="383">
        <f>'700 South'!M25</f>
        <v>372.1753975738261</v>
      </c>
      <c r="N55" s="383">
        <f>'700 South'!N25</f>
        <v>387.21625418907797</v>
      </c>
      <c r="O55" s="383">
        <f>'700 South'!O25</f>
        <v>402.86496228832186</v>
      </c>
      <c r="P55" s="383">
        <f>'700 South'!P25</f>
        <v>419.14608718961409</v>
      </c>
      <c r="Q55" s="383">
        <f>'700 South'!Q25</f>
        <v>436.08518697794005</v>
      </c>
      <c r="R55" s="383">
        <f>'700 South'!R25</f>
        <v>453.70885262625654</v>
      </c>
      <c r="S55" s="383">
        <f>'700 South'!S25</f>
        <v>472.04474973796295</v>
      </c>
      <c r="T55" s="383">
        <f>'700 South'!T25</f>
        <v>491.1216619763191</v>
      </c>
      <c r="U55" s="383">
        <f>'700 South'!U25</f>
        <v>510.96953624899908</v>
      </c>
      <c r="V55" s="383">
        <f>'700 South'!V25</f>
        <v>531.61952971870016</v>
      </c>
      <c r="W55" s="383">
        <f>'700 South'!W25</f>
        <v>553.10405871360933</v>
      </c>
      <c r="X55" s="383">
        <f>'700 South'!X25</f>
        <v>575.45684961450456</v>
      </c>
      <c r="Y55" s="383">
        <f>'700 South'!Y25</f>
        <v>598.7129917983774</v>
      </c>
      <c r="Z55" s="383">
        <f>'700 South'!Z25</f>
        <v>622.90899272168292</v>
      </c>
      <c r="AA55" s="383">
        <f>'700 South'!AA25</f>
        <v>648.0828352296885</v>
      </c>
      <c r="AB55" s="383">
        <f>'700 South'!AB25</f>
        <v>674.27403718188634</v>
      </c>
      <c r="AC55" s="383">
        <f>'700 South'!AC25</f>
        <v>701.52371348707004</v>
      </c>
      <c r="AD55" s="383">
        <f>'700 South'!AD25</f>
        <v>729.87464064545406</v>
      </c>
      <c r="AE55" s="383">
        <f>'700 South'!AE25</f>
        <v>759.37132389915905</v>
      </c>
      <c r="AF55" s="383">
        <f>'700 South'!AF25</f>
        <v>790.06006709647249</v>
      </c>
      <c r="AG55" s="383">
        <f>'700 South'!AG25</f>
        <v>821.98904537956071</v>
      </c>
      <c r="AH55" s="383">
        <f>'700 South'!AH25</f>
        <v>855.20838080973044</v>
      </c>
      <c r="AI55" s="383">
        <f>'700 South'!AI25</f>
        <v>889.77022104896696</v>
      </c>
      <c r="AJ55" s="383">
        <f>'700 South'!AJ25</f>
        <v>925.72882122125225</v>
      </c>
      <c r="AK55" s="383">
        <f>'700 South'!AK25</f>
        <v>963.14062908217613</v>
      </c>
      <c r="AL55" s="383">
        <f>'700 South'!AL25</f>
        <v>1002.0643736305382</v>
      </c>
    </row>
    <row r="56" spans="1:38">
      <c r="B56" s="385" t="s">
        <v>509</v>
      </c>
      <c r="C56" s="386" t="s">
        <v>443</v>
      </c>
      <c r="D56" s="383">
        <f>'700 South'!D26</f>
        <v>1.309306484001628</v>
      </c>
      <c r="E56" s="383">
        <f>'700 South'!E26</f>
        <v>1.3622199522740215</v>
      </c>
      <c r="F56" s="383">
        <f>'700 South'!F26</f>
        <v>1.4172718313454331</v>
      </c>
      <c r="G56" s="383">
        <f>'700 South'!G26</f>
        <v>1.4745485415714865</v>
      </c>
      <c r="H56" s="383">
        <f>'700 South'!H26</f>
        <v>1.5341399958443507</v>
      </c>
      <c r="I56" s="383">
        <f>'700 South'!I26</f>
        <v>1.5961397407378612</v>
      </c>
      <c r="J56" s="383">
        <f>'700 South'!J26</f>
        <v>1.6606451033567893</v>
      </c>
      <c r="K56" s="383">
        <f>'700 South'!K26</f>
        <v>1.727757344120783</v>
      </c>
      <c r="L56" s="383">
        <f>'700 South'!L26</f>
        <v>1.7975818157228167</v>
      </c>
      <c r="M56" s="383">
        <f>'700 South'!M26</f>
        <v>1.8702281285116891</v>
      </c>
      <c r="N56" s="383">
        <f>'700 South'!N26</f>
        <v>1.9458103225581809</v>
      </c>
      <c r="O56" s="383">
        <f>'700 South'!O26</f>
        <v>2.0244470466749842</v>
      </c>
      <c r="P56" s="383">
        <f>'700 South'!P26</f>
        <v>2.1062617446714276</v>
      </c>
      <c r="Q56" s="383">
        <f>'700 South'!Q26</f>
        <v>2.1913828491353771</v>
      </c>
      <c r="R56" s="383">
        <f>'700 South'!R26</f>
        <v>2.2799439830465151</v>
      </c>
      <c r="S56" s="383">
        <f>'700 South'!S26</f>
        <v>2.3720841695375023</v>
      </c>
      <c r="T56" s="383">
        <f>'700 South'!T26</f>
        <v>2.4679480501322568</v>
      </c>
      <c r="U56" s="383">
        <f>'700 South'!U26</f>
        <v>2.5676861118040155</v>
      </c>
      <c r="V56" s="383">
        <f>'700 South'!V26</f>
        <v>2.6714549232095486</v>
      </c>
      <c r="W56" s="383">
        <f>'700 South'!W26</f>
        <v>2.7794173804703983</v>
      </c>
      <c r="X56" s="383">
        <f>'700 South'!X26</f>
        <v>2.8917429628869575</v>
      </c>
      <c r="Y56" s="383">
        <f>'700 South'!Y26</f>
        <v>3.0086079989868213</v>
      </c>
      <c r="Z56" s="383">
        <f>'700 South'!Z26</f>
        <v>3.1301959433250399</v>
      </c>
      <c r="AA56" s="383">
        <f>'700 South'!AA26</f>
        <v>3.2566976644707966</v>
      </c>
      <c r="AB56" s="383">
        <f>'700 South'!AB26</f>
        <v>3.3883117446325945</v>
      </c>
      <c r="AC56" s="383">
        <f>'700 South'!AC26</f>
        <v>3.5252447913923119</v>
      </c>
      <c r="AD56" s="383">
        <f>'700 South'!AD26</f>
        <v>3.6677117620374577</v>
      </c>
      <c r="AE56" s="383">
        <f>'700 South'!AE26</f>
        <v>3.8159363010007992</v>
      </c>
      <c r="AF56" s="383">
        <f>'700 South'!AF26</f>
        <v>3.9701510909370481</v>
      </c>
      <c r="AG56" s="383">
        <f>'700 South'!AG26</f>
        <v>4.1305982179877425</v>
      </c>
      <c r="AH56" s="383">
        <f>'700 South'!AH26</f>
        <v>4.297529551807691</v>
      </c>
      <c r="AI56" s="383">
        <f>'700 South'!AI26</f>
        <v>4.4712071409495824</v>
      </c>
      <c r="AJ56" s="383">
        <f>'700 South'!AJ26</f>
        <v>4.6519036242273986</v>
      </c>
      <c r="AK56" s="383">
        <f>'700 South'!AK26</f>
        <v>4.8399026587044025</v>
      </c>
      <c r="AL56" s="383">
        <f>'700 South'!AL26</f>
        <v>5.0354993649775786</v>
      </c>
    </row>
    <row r="57" spans="1:38">
      <c r="B57" s="358" t="s">
        <v>769</v>
      </c>
      <c r="C57" s="358" t="s">
        <v>443</v>
      </c>
      <c r="D57" s="383">
        <f>'700 South'!D27</f>
        <v>0</v>
      </c>
      <c r="E57" s="383">
        <f>'700 South'!E27</f>
        <v>0</v>
      </c>
      <c r="F57" s="383">
        <f>'700 South'!F27</f>
        <v>0</v>
      </c>
      <c r="G57" s="383">
        <f>'700 South'!G27</f>
        <v>0</v>
      </c>
      <c r="H57" s="383">
        <f>'700 South'!H27</f>
        <v>0</v>
      </c>
      <c r="I57" s="383">
        <f>'700 South'!I27</f>
        <v>0</v>
      </c>
      <c r="J57" s="383">
        <f>'700 South'!J27</f>
        <v>0</v>
      </c>
      <c r="K57" s="383">
        <f>'700 South'!K27</f>
        <v>0</v>
      </c>
      <c r="L57" s="383">
        <f>'700 South'!L27</f>
        <v>0</v>
      </c>
      <c r="M57" s="383">
        <f>'700 South'!M27</f>
        <v>0</v>
      </c>
      <c r="N57" s="383">
        <f>'700 South'!N27</f>
        <v>0</v>
      </c>
      <c r="O57" s="383">
        <f>'700 South'!O27</f>
        <v>0</v>
      </c>
      <c r="P57" s="383">
        <f>'700 South'!P27</f>
        <v>0</v>
      </c>
      <c r="Q57" s="383">
        <f>'700 South'!Q27</f>
        <v>0</v>
      </c>
      <c r="R57" s="383">
        <f>'700 South'!R27</f>
        <v>0</v>
      </c>
      <c r="S57" s="383">
        <f>'700 South'!S27</f>
        <v>0</v>
      </c>
      <c r="T57" s="383">
        <f>'700 South'!T27</f>
        <v>0</v>
      </c>
      <c r="U57" s="383">
        <f>'700 South'!U27</f>
        <v>0</v>
      </c>
      <c r="V57" s="383">
        <f>'700 South'!V27</f>
        <v>0</v>
      </c>
      <c r="W57" s="383">
        <f>'700 South'!W27</f>
        <v>0</v>
      </c>
      <c r="X57" s="383">
        <f>'700 South'!X27</f>
        <v>0</v>
      </c>
      <c r="Y57" s="383">
        <f>'700 South'!Y27</f>
        <v>0</v>
      </c>
      <c r="Z57" s="383">
        <f>'700 South'!Z27</f>
        <v>0</v>
      </c>
      <c r="AA57" s="383">
        <f>'700 South'!AA27</f>
        <v>0</v>
      </c>
      <c r="AB57" s="383">
        <f>'700 South'!AB27</f>
        <v>0</v>
      </c>
      <c r="AC57" s="383">
        <f>'700 South'!AC27</f>
        <v>0</v>
      </c>
      <c r="AD57" s="383">
        <f>'700 South'!AD27</f>
        <v>0</v>
      </c>
      <c r="AE57" s="383">
        <f>'700 South'!AE27</f>
        <v>0</v>
      </c>
      <c r="AF57" s="383">
        <f>'700 South'!AF27</f>
        <v>0</v>
      </c>
      <c r="AG57" s="383">
        <f>'700 South'!AG27</f>
        <v>0</v>
      </c>
      <c r="AH57" s="383">
        <f>'700 South'!AH27</f>
        <v>0</v>
      </c>
      <c r="AI57" s="383">
        <f>'700 South'!AI27</f>
        <v>0</v>
      </c>
      <c r="AJ57" s="383">
        <f>'700 South'!AJ27</f>
        <v>0</v>
      </c>
      <c r="AK57" s="383">
        <f>'700 South'!AK27</f>
        <v>0</v>
      </c>
      <c r="AL57" s="383">
        <f>'700 South'!AL27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435.12182382826097</v>
      </c>
      <c r="E62" s="383">
        <f t="shared" ref="D62:AK64" si="36">E55*$C59</f>
        <v>452.70655673922556</v>
      </c>
      <c r="F62" s="383">
        <f t="shared" si="36"/>
        <v>471.00194771102775</v>
      </c>
      <c r="G62" s="383">
        <f t="shared" si="36"/>
        <v>490.03671682045206</v>
      </c>
      <c r="H62" s="383">
        <f t="shared" si="36"/>
        <v>509.84074481895306</v>
      </c>
      <c r="I62" s="383">
        <f t="shared" si="36"/>
        <v>530.4451200394135</v>
      </c>
      <c r="J62" s="383">
        <f t="shared" si="36"/>
        <v>551.88218719856172</v>
      </c>
      <c r="K62" s="383">
        <f t="shared" si="36"/>
        <v>574.18559817165976</v>
      </c>
      <c r="L62" s="383">
        <f t="shared" si="36"/>
        <v>597.39036481916366</v>
      </c>
      <c r="M62" s="383">
        <f t="shared" si="36"/>
        <v>621.53291394828955</v>
      </c>
      <c r="N62" s="383">
        <f t="shared" si="36"/>
        <v>646.65114449576015</v>
      </c>
      <c r="O62" s="383">
        <f t="shared" si="36"/>
        <v>672.78448702149751</v>
      </c>
      <c r="P62" s="383">
        <f t="shared" si="36"/>
        <v>699.9739656066555</v>
      </c>
      <c r="Q62" s="383">
        <f t="shared" si="36"/>
        <v>728.26226225315986</v>
      </c>
      <c r="R62" s="383">
        <f t="shared" si="36"/>
        <v>757.69378388584835</v>
      </c>
      <c r="S62" s="383">
        <f t="shared" si="36"/>
        <v>788.31473206239809</v>
      </c>
      <c r="T62" s="383">
        <f t="shared" si="36"/>
        <v>820.17317550045288</v>
      </c>
      <c r="U62" s="383">
        <f t="shared" si="36"/>
        <v>853.31912553582845</v>
      </c>
      <c r="V62" s="383">
        <f t="shared" si="36"/>
        <v>887.80461463022925</v>
      </c>
      <c r="W62" s="383">
        <f t="shared" si="36"/>
        <v>923.68377805172759</v>
      </c>
      <c r="X62" s="383">
        <f t="shared" si="36"/>
        <v>961.0129388562226</v>
      </c>
      <c r="Y62" s="383">
        <f t="shared" si="36"/>
        <v>999.85069630329019</v>
      </c>
      <c r="Z62" s="383">
        <f t="shared" si="36"/>
        <v>1040.2580178452104</v>
      </c>
      <c r="AA62" s="383">
        <f t="shared" si="36"/>
        <v>1082.2983348335797</v>
      </c>
      <c r="AB62" s="383">
        <f t="shared" si="36"/>
        <v>1126.03764209375</v>
      </c>
      <c r="AC62" s="383">
        <f t="shared" si="36"/>
        <v>1171.544601523407</v>
      </c>
      <c r="AD62" s="383">
        <f t="shared" si="36"/>
        <v>1218.8906498779083</v>
      </c>
      <c r="AE62" s="383">
        <f t="shared" si="36"/>
        <v>1268.1501109115957</v>
      </c>
      <c r="AF62" s="383">
        <f t="shared" si="36"/>
        <v>1319.400312051109</v>
      </c>
      <c r="AG62" s="383">
        <f t="shared" si="36"/>
        <v>1372.7217057838664</v>
      </c>
      <c r="AH62" s="383">
        <f t="shared" si="36"/>
        <v>1428.1979959522498</v>
      </c>
      <c r="AI62" s="383">
        <f t="shared" si="36"/>
        <v>1485.9162691517747</v>
      </c>
      <c r="AJ62" s="383">
        <f t="shared" si="36"/>
        <v>1545.9671314394911</v>
      </c>
      <c r="AK62" s="383">
        <f t="shared" si="36"/>
        <v>1608.444850567234</v>
      </c>
      <c r="AL62" s="383">
        <f t="shared" ref="AL62" si="37">AL55*$C59</f>
        <v>1673.4475039629988</v>
      </c>
    </row>
    <row r="63" spans="1:38">
      <c r="B63" s="472" t="s">
        <v>513</v>
      </c>
      <c r="C63" s="386" t="s">
        <v>443</v>
      </c>
      <c r="D63" s="383">
        <f t="shared" si="36"/>
        <v>1.309306484001628</v>
      </c>
      <c r="E63" s="383">
        <f t="shared" si="36"/>
        <v>1.3622199522740215</v>
      </c>
      <c r="F63" s="383">
        <f t="shared" si="36"/>
        <v>1.4172718313454331</v>
      </c>
      <c r="G63" s="383">
        <f t="shared" si="36"/>
        <v>1.4745485415714865</v>
      </c>
      <c r="H63" s="383">
        <f t="shared" si="36"/>
        <v>1.5341399958443507</v>
      </c>
      <c r="I63" s="383">
        <f t="shared" si="36"/>
        <v>1.5961397407378612</v>
      </c>
      <c r="J63" s="383">
        <f t="shared" si="36"/>
        <v>1.6606451033567893</v>
      </c>
      <c r="K63" s="383">
        <f t="shared" si="36"/>
        <v>1.727757344120783</v>
      </c>
      <c r="L63" s="383">
        <f t="shared" si="36"/>
        <v>1.7975818157228167</v>
      </c>
      <c r="M63" s="383">
        <f t="shared" si="36"/>
        <v>1.8702281285116891</v>
      </c>
      <c r="N63" s="383">
        <f t="shared" si="36"/>
        <v>1.9458103225581809</v>
      </c>
      <c r="O63" s="383">
        <f t="shared" si="36"/>
        <v>2.0244470466749842</v>
      </c>
      <c r="P63" s="383">
        <f t="shared" si="36"/>
        <v>2.1062617446714276</v>
      </c>
      <c r="Q63" s="383">
        <f t="shared" si="36"/>
        <v>2.1913828491353771</v>
      </c>
      <c r="R63" s="383">
        <f t="shared" si="36"/>
        <v>2.2799439830465151</v>
      </c>
      <c r="S63" s="383">
        <f t="shared" si="36"/>
        <v>2.3720841695375023</v>
      </c>
      <c r="T63" s="383">
        <f t="shared" si="36"/>
        <v>2.4679480501322568</v>
      </c>
      <c r="U63" s="383">
        <f t="shared" si="36"/>
        <v>2.5676861118040155</v>
      </c>
      <c r="V63" s="383">
        <f t="shared" si="36"/>
        <v>2.6714549232095486</v>
      </c>
      <c r="W63" s="383">
        <f t="shared" si="36"/>
        <v>2.7794173804703983</v>
      </c>
      <c r="X63" s="383">
        <f t="shared" si="36"/>
        <v>2.8917429628869575</v>
      </c>
      <c r="Y63" s="383">
        <f t="shared" si="36"/>
        <v>3.0086079989868213</v>
      </c>
      <c r="Z63" s="383">
        <f t="shared" si="36"/>
        <v>3.1301959433250399</v>
      </c>
      <c r="AA63" s="383">
        <f t="shared" si="36"/>
        <v>3.2566976644707966</v>
      </c>
      <c r="AB63" s="383">
        <f t="shared" si="36"/>
        <v>3.3883117446325945</v>
      </c>
      <c r="AC63" s="383">
        <f t="shared" si="36"/>
        <v>3.5252447913923119</v>
      </c>
      <c r="AD63" s="383">
        <f t="shared" si="36"/>
        <v>3.6677117620374577</v>
      </c>
      <c r="AE63" s="383">
        <f t="shared" si="36"/>
        <v>3.8159363010007992</v>
      </c>
      <c r="AF63" s="383">
        <f t="shared" si="36"/>
        <v>3.9701510909370481</v>
      </c>
      <c r="AG63" s="383">
        <f t="shared" si="36"/>
        <v>4.1305982179877425</v>
      </c>
      <c r="AH63" s="383">
        <f t="shared" si="36"/>
        <v>4.297529551807691</v>
      </c>
      <c r="AI63" s="383">
        <f t="shared" si="36"/>
        <v>4.4712071409495824</v>
      </c>
      <c r="AJ63" s="383">
        <f t="shared" si="36"/>
        <v>4.6519036242273986</v>
      </c>
      <c r="AK63" s="383">
        <f t="shared" si="36"/>
        <v>4.8399026587044025</v>
      </c>
      <c r="AL63" s="383">
        <f t="shared" ref="AL63" si="38">AL56*$C60</f>
        <v>5.0354993649775786</v>
      </c>
    </row>
    <row r="64" spans="1:38">
      <c r="B64" s="472" t="s">
        <v>752</v>
      </c>
      <c r="C64" s="386" t="s">
        <v>443</v>
      </c>
      <c r="D64" s="383">
        <f t="shared" si="36"/>
        <v>0</v>
      </c>
      <c r="E64" s="383">
        <f t="shared" si="36"/>
        <v>0</v>
      </c>
      <c r="F64" s="383">
        <f t="shared" si="36"/>
        <v>0</v>
      </c>
      <c r="G64" s="383">
        <f t="shared" si="36"/>
        <v>0</v>
      </c>
      <c r="H64" s="383">
        <f t="shared" si="36"/>
        <v>0</v>
      </c>
      <c r="I64" s="383">
        <f t="shared" si="36"/>
        <v>0</v>
      </c>
      <c r="J64" s="383">
        <f t="shared" si="36"/>
        <v>0</v>
      </c>
      <c r="K64" s="383">
        <f t="shared" si="36"/>
        <v>0</v>
      </c>
      <c r="L64" s="383">
        <f t="shared" si="36"/>
        <v>0</v>
      </c>
      <c r="M64" s="383">
        <f t="shared" si="36"/>
        <v>0</v>
      </c>
      <c r="N64" s="383">
        <f t="shared" si="36"/>
        <v>0</v>
      </c>
      <c r="O64" s="383">
        <f t="shared" si="36"/>
        <v>0</v>
      </c>
      <c r="P64" s="383">
        <f t="shared" si="36"/>
        <v>0</v>
      </c>
      <c r="Q64" s="383">
        <f t="shared" si="36"/>
        <v>0</v>
      </c>
      <c r="R64" s="383">
        <f t="shared" si="36"/>
        <v>0</v>
      </c>
      <c r="S64" s="383">
        <f t="shared" si="36"/>
        <v>0</v>
      </c>
      <c r="T64" s="383">
        <f t="shared" si="36"/>
        <v>0</v>
      </c>
      <c r="U64" s="383">
        <f t="shared" si="36"/>
        <v>0</v>
      </c>
      <c r="V64" s="383">
        <f t="shared" si="36"/>
        <v>0</v>
      </c>
      <c r="W64" s="383">
        <f t="shared" si="36"/>
        <v>0</v>
      </c>
      <c r="X64" s="383">
        <f t="shared" si="36"/>
        <v>0</v>
      </c>
      <c r="Y64" s="383">
        <f t="shared" si="36"/>
        <v>0</v>
      </c>
      <c r="Z64" s="383">
        <f t="shared" si="36"/>
        <v>0</v>
      </c>
      <c r="AA64" s="383">
        <f t="shared" si="36"/>
        <v>0</v>
      </c>
      <c r="AB64" s="383">
        <f t="shared" si="36"/>
        <v>0</v>
      </c>
      <c r="AC64" s="383">
        <f t="shared" si="36"/>
        <v>0</v>
      </c>
      <c r="AD64" s="383">
        <f t="shared" si="36"/>
        <v>0</v>
      </c>
      <c r="AE64" s="383">
        <f t="shared" si="36"/>
        <v>0</v>
      </c>
      <c r="AF64" s="383">
        <f t="shared" si="36"/>
        <v>0</v>
      </c>
      <c r="AG64" s="383">
        <f t="shared" si="36"/>
        <v>0</v>
      </c>
      <c r="AH64" s="383">
        <f t="shared" si="36"/>
        <v>0</v>
      </c>
      <c r="AI64" s="383">
        <f t="shared" si="36"/>
        <v>0</v>
      </c>
      <c r="AJ64" s="383">
        <f t="shared" si="36"/>
        <v>0</v>
      </c>
      <c r="AK64" s="383">
        <f t="shared" si="36"/>
        <v>0</v>
      </c>
      <c r="AL64" s="383">
        <f t="shared" ref="AL64" si="39">AL57*$C61</f>
        <v>0</v>
      </c>
    </row>
    <row r="65" spans="1:38">
      <c r="D65" s="358"/>
      <c r="F65" s="464"/>
      <c r="G65" s="465"/>
      <c r="H65" s="465"/>
    </row>
    <row r="66" spans="1:38" ht="13">
      <c r="B66" s="364" t="s">
        <v>526</v>
      </c>
      <c r="C66" s="487" t="s">
        <v>292</v>
      </c>
      <c r="D66" s="488">
        <f>SUMPRODUCT(D62:D64,D49:D51)</f>
        <v>7829.0072862331208</v>
      </c>
      <c r="E66" s="488">
        <f t="shared" ref="E66:AK66" si="40">SUMPRODUCT(E62:E64,E49:E51)</f>
        <v>8145.4037401621772</v>
      </c>
      <c r="F66" s="488">
        <f t="shared" si="40"/>
        <v>8474.5868364328362</v>
      </c>
      <c r="G66" s="488">
        <f t="shared" si="40"/>
        <v>8817.0733261664936</v>
      </c>
      <c r="H66" s="488">
        <f t="shared" si="40"/>
        <v>9173.4008441312653</v>
      </c>
      <c r="I66" s="488">
        <f t="shared" si="40"/>
        <v>9544.1287527202257</v>
      </c>
      <c r="J66" s="488">
        <f t="shared" si="40"/>
        <v>9929.8390200376434</v>
      </c>
      <c r="K66" s="488">
        <f t="shared" si="40"/>
        <v>10331.13713347163</v>
      </c>
      <c r="L66" s="488">
        <f t="shared" si="40"/>
        <v>10748.653050187291</v>
      </c>
      <c r="M66" s="488">
        <f t="shared" si="40"/>
        <v>11183.042186032542</v>
      </c>
      <c r="N66" s="488">
        <f t="shared" si="40"/>
        <v>11634.986444408898</v>
      </c>
      <c r="O66" s="488">
        <f t="shared" si="40"/>
        <v>12105.195286722394</v>
      </c>
      <c r="P66" s="488">
        <f t="shared" si="40"/>
        <v>12594.406846095011</v>
      </c>
      <c r="Q66" s="488">
        <f t="shared" si="40"/>
        <v>13103.38908608493</v>
      </c>
      <c r="R66" s="488">
        <f t="shared" si="40"/>
        <v>13632.941006234518</v>
      </c>
      <c r="S66" s="488">
        <f t="shared" si="40"/>
        <v>14183.893896338681</v>
      </c>
      <c r="T66" s="488">
        <f t="shared" si="40"/>
        <v>14757.11264140218</v>
      </c>
      <c r="U66" s="488">
        <f t="shared" si="40"/>
        <v>15353.497079334891</v>
      </c>
      <c r="V66" s="488">
        <f t="shared" si="40"/>
        <v>15973.983413515956</v>
      </c>
      <c r="W66" s="488">
        <f t="shared" si="40"/>
        <v>16619.545682444408</v>
      </c>
      <c r="X66" s="488">
        <f t="shared" si="40"/>
        <v>17291.1972887833</v>
      </c>
      <c r="Y66" s="488">
        <f t="shared" si="40"/>
        <v>17989.992590197686</v>
      </c>
      <c r="Z66" s="488">
        <f t="shared" si="40"/>
        <v>18717.028554483673</v>
      </c>
      <c r="AA66" s="488">
        <f t="shared" si="40"/>
        <v>19473.446481586776</v>
      </c>
      <c r="AB66" s="488">
        <f t="shared" si="40"/>
        <v>20260.433795212808</v>
      </c>
      <c r="AC66" s="488">
        <f t="shared" si="40"/>
        <v>21079.225906843865</v>
      </c>
      <c r="AD66" s="488">
        <f t="shared" si="40"/>
        <v>21931.108155085312</v>
      </c>
      <c r="AE66" s="488">
        <f t="shared" si="40"/>
        <v>22817.417823388383</v>
      </c>
      <c r="AF66" s="488">
        <f t="shared" si="40"/>
        <v>23739.54623931571</v>
      </c>
      <c r="AG66" s="488">
        <f t="shared" si="40"/>
        <v>24698.940958645228</v>
      </c>
      <c r="AH66" s="488">
        <f t="shared" si="40"/>
        <v>25697.108037740945</v>
      </c>
      <c r="AI66" s="488">
        <f t="shared" si="40"/>
        <v>26735.61439775801</v>
      </c>
      <c r="AJ66" s="488">
        <f t="shared" si="40"/>
        <v>27816.090284393093</v>
      </c>
      <c r="AK66" s="488">
        <f t="shared" si="40"/>
        <v>28940.231827041582</v>
      </c>
      <c r="AL66" s="488">
        <f t="shared" ref="AL66" si="41">SUMPRODUCT(AL62:AL64,AL49:AL51)</f>
        <v>30109.803701378987</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'700 South'!D48</f>
        <v>260.55199031632395</v>
      </c>
      <c r="E70" s="383">
        <f>'700 South'!E48</f>
        <v>271.08177050253028</v>
      </c>
      <c r="F70" s="383">
        <f>'700 South'!F48</f>
        <v>282.03709443774119</v>
      </c>
      <c r="G70" s="383">
        <f>'700 South'!G48</f>
        <v>293.4351597727258</v>
      </c>
      <c r="H70" s="383">
        <f>'700 South'!H48</f>
        <v>0</v>
      </c>
      <c r="I70" s="383">
        <f>'700 South'!I48</f>
        <v>0</v>
      </c>
      <c r="J70" s="383">
        <f>'700 South'!J48</f>
        <v>0</v>
      </c>
      <c r="K70" s="383">
        <f>'700 South'!K48</f>
        <v>0</v>
      </c>
      <c r="L70" s="383">
        <f>'700 South'!L48</f>
        <v>0</v>
      </c>
      <c r="M70" s="383">
        <f>'700 South'!M48</f>
        <v>0</v>
      </c>
      <c r="N70" s="383">
        <f>'700 South'!N48</f>
        <v>0</v>
      </c>
      <c r="O70" s="383">
        <f>'700 South'!O48</f>
        <v>0</v>
      </c>
      <c r="P70" s="383">
        <f>'700 South'!P48</f>
        <v>0</v>
      </c>
      <c r="Q70" s="383">
        <f>'700 South'!Q48</f>
        <v>0</v>
      </c>
      <c r="R70" s="383">
        <f>'700 South'!R48</f>
        <v>0</v>
      </c>
      <c r="S70" s="383">
        <f>'700 South'!S48</f>
        <v>0</v>
      </c>
      <c r="T70" s="383">
        <f>'700 South'!T48</f>
        <v>0</v>
      </c>
      <c r="U70" s="383">
        <f>'700 South'!U48</f>
        <v>0</v>
      </c>
      <c r="V70" s="383">
        <f>'700 South'!V48</f>
        <v>0</v>
      </c>
      <c r="W70" s="383">
        <f>'700 South'!W48</f>
        <v>0</v>
      </c>
      <c r="X70" s="383">
        <f>'700 South'!X48</f>
        <v>0</v>
      </c>
      <c r="Y70" s="383">
        <f>'700 South'!Y48</f>
        <v>0</v>
      </c>
      <c r="Z70" s="383">
        <f>'700 South'!Z48</f>
        <v>0</v>
      </c>
      <c r="AA70" s="383">
        <f>'700 South'!AA48</f>
        <v>0</v>
      </c>
      <c r="AB70" s="383">
        <f>'700 South'!AB48</f>
        <v>0</v>
      </c>
      <c r="AC70" s="383">
        <f>'700 South'!AC48</f>
        <v>0</v>
      </c>
      <c r="AD70" s="383">
        <f>'700 South'!AD48</f>
        <v>0</v>
      </c>
      <c r="AE70" s="383">
        <f>'700 South'!AE48</f>
        <v>0</v>
      </c>
      <c r="AF70" s="383">
        <f>'700 South'!AF48</f>
        <v>0</v>
      </c>
      <c r="AG70" s="383">
        <f>'700 South'!AG48</f>
        <v>0</v>
      </c>
      <c r="AH70" s="383">
        <f>'700 South'!AH48</f>
        <v>0</v>
      </c>
      <c r="AI70" s="383">
        <f>'700 South'!AI48</f>
        <v>0</v>
      </c>
      <c r="AJ70" s="383">
        <f>'700 South'!AJ48</f>
        <v>0</v>
      </c>
      <c r="AK70" s="383">
        <f>'700 South'!AK48</f>
        <v>0</v>
      </c>
      <c r="AL70" s="383">
        <f>'700 South'!AL48</f>
        <v>0</v>
      </c>
    </row>
    <row r="71" spans="1:38">
      <c r="B71" s="385" t="s">
        <v>509</v>
      </c>
      <c r="C71" s="386" t="s">
        <v>443</v>
      </c>
      <c r="D71" s="383">
        <f>'700 South'!D49</f>
        <v>1.309306484001628</v>
      </c>
      <c r="E71" s="383">
        <f>'700 South'!E49</f>
        <v>1.3622199522740215</v>
      </c>
      <c r="F71" s="383">
        <f>'700 South'!F49</f>
        <v>1.4172718313454331</v>
      </c>
      <c r="G71" s="383">
        <f>'700 South'!G49</f>
        <v>1.4745485415714865</v>
      </c>
      <c r="H71" s="383">
        <f>'700 South'!H49</f>
        <v>0</v>
      </c>
      <c r="I71" s="383">
        <f>'700 South'!I49</f>
        <v>0</v>
      </c>
      <c r="J71" s="383">
        <f>'700 South'!J49</f>
        <v>0</v>
      </c>
      <c r="K71" s="383">
        <f>'700 South'!K49</f>
        <v>0</v>
      </c>
      <c r="L71" s="383">
        <f>'700 South'!L49</f>
        <v>0</v>
      </c>
      <c r="M71" s="383">
        <f>'700 South'!M49</f>
        <v>0</v>
      </c>
      <c r="N71" s="383">
        <f>'700 South'!N49</f>
        <v>0</v>
      </c>
      <c r="O71" s="383">
        <f>'700 South'!O49</f>
        <v>0</v>
      </c>
      <c r="P71" s="383">
        <f>'700 South'!P49</f>
        <v>0</v>
      </c>
      <c r="Q71" s="383">
        <f>'700 South'!Q49</f>
        <v>0</v>
      </c>
      <c r="R71" s="383">
        <f>'700 South'!R49</f>
        <v>0</v>
      </c>
      <c r="S71" s="383">
        <f>'700 South'!S49</f>
        <v>0</v>
      </c>
      <c r="T71" s="383">
        <f>'700 South'!T49</f>
        <v>0</v>
      </c>
      <c r="U71" s="383">
        <f>'700 South'!U49</f>
        <v>0</v>
      </c>
      <c r="V71" s="383">
        <f>'700 South'!V49</f>
        <v>0</v>
      </c>
      <c r="W71" s="383">
        <f>'700 South'!W49</f>
        <v>0</v>
      </c>
      <c r="X71" s="383">
        <f>'700 South'!X49</f>
        <v>0</v>
      </c>
      <c r="Y71" s="383">
        <f>'700 South'!Y49</f>
        <v>0</v>
      </c>
      <c r="Z71" s="383">
        <f>'700 South'!Z49</f>
        <v>0</v>
      </c>
      <c r="AA71" s="383">
        <f>'700 South'!AA49</f>
        <v>0</v>
      </c>
      <c r="AB71" s="383">
        <f>'700 South'!AB49</f>
        <v>0</v>
      </c>
      <c r="AC71" s="383">
        <f>'700 South'!AC49</f>
        <v>0</v>
      </c>
      <c r="AD71" s="383">
        <f>'700 South'!AD49</f>
        <v>0</v>
      </c>
      <c r="AE71" s="383">
        <f>'700 South'!AE49</f>
        <v>0</v>
      </c>
      <c r="AF71" s="383">
        <f>'700 South'!AF49</f>
        <v>0</v>
      </c>
      <c r="AG71" s="383">
        <f>'700 South'!AG49</f>
        <v>0</v>
      </c>
      <c r="AH71" s="383">
        <f>'700 South'!AH49</f>
        <v>0</v>
      </c>
      <c r="AI71" s="383">
        <f>'700 South'!AI49</f>
        <v>0</v>
      </c>
      <c r="AJ71" s="383">
        <f>'700 South'!AJ49</f>
        <v>0</v>
      </c>
      <c r="AK71" s="383">
        <f>'700 South'!AK49</f>
        <v>0</v>
      </c>
      <c r="AL71" s="383">
        <f>'700 South'!AL49</f>
        <v>0</v>
      </c>
    </row>
    <row r="72" spans="1:38">
      <c r="B72" s="358" t="s">
        <v>769</v>
      </c>
      <c r="C72" s="358" t="s">
        <v>443</v>
      </c>
      <c r="D72" s="383">
        <f>'700 South'!D50</f>
        <v>0</v>
      </c>
      <c r="E72" s="383">
        <f>'700 South'!E50</f>
        <v>0</v>
      </c>
      <c r="F72" s="383">
        <f>'700 South'!F50</f>
        <v>0</v>
      </c>
      <c r="G72" s="383">
        <f>'700 South'!G50</f>
        <v>0</v>
      </c>
      <c r="H72" s="383">
        <f>'700 South'!H50</f>
        <v>0</v>
      </c>
      <c r="I72" s="383">
        <f>'700 South'!I50</f>
        <v>0</v>
      </c>
      <c r="J72" s="383">
        <f>'700 South'!J50</f>
        <v>0</v>
      </c>
      <c r="K72" s="383">
        <f>'700 South'!K50</f>
        <v>0</v>
      </c>
      <c r="L72" s="383">
        <f>'700 South'!L50</f>
        <v>0</v>
      </c>
      <c r="M72" s="383">
        <f>'700 South'!M50</f>
        <v>0</v>
      </c>
      <c r="N72" s="383">
        <f>'700 South'!N50</f>
        <v>0</v>
      </c>
      <c r="O72" s="383">
        <f>'700 South'!O50</f>
        <v>0</v>
      </c>
      <c r="P72" s="383">
        <f>'700 South'!P50</f>
        <v>0</v>
      </c>
      <c r="Q72" s="383">
        <f>'700 South'!Q50</f>
        <v>0</v>
      </c>
      <c r="R72" s="383">
        <f>'700 South'!R50</f>
        <v>0</v>
      </c>
      <c r="S72" s="383">
        <f>'700 South'!S50</f>
        <v>0</v>
      </c>
      <c r="T72" s="383">
        <f>'700 South'!T50</f>
        <v>0</v>
      </c>
      <c r="U72" s="383">
        <f>'700 South'!U50</f>
        <v>0</v>
      </c>
      <c r="V72" s="383">
        <f>'700 South'!V50</f>
        <v>0</v>
      </c>
      <c r="W72" s="383">
        <f>'700 South'!W50</f>
        <v>0</v>
      </c>
      <c r="X72" s="383">
        <f>'700 South'!X50</f>
        <v>0</v>
      </c>
      <c r="Y72" s="383">
        <f>'700 South'!Y50</f>
        <v>0</v>
      </c>
      <c r="Z72" s="383">
        <f>'700 South'!Z50</f>
        <v>0</v>
      </c>
      <c r="AA72" s="383">
        <f>'700 South'!AA50</f>
        <v>0</v>
      </c>
      <c r="AB72" s="383">
        <f>'700 South'!AB50</f>
        <v>0</v>
      </c>
      <c r="AC72" s="383">
        <f>'700 South'!AC50</f>
        <v>0</v>
      </c>
      <c r="AD72" s="383">
        <f>'700 South'!AD50</f>
        <v>0</v>
      </c>
      <c r="AE72" s="383">
        <f>'700 South'!AE50</f>
        <v>0</v>
      </c>
      <c r="AF72" s="383">
        <f>'700 South'!AF50</f>
        <v>0</v>
      </c>
      <c r="AG72" s="383">
        <f>'700 South'!AG50</f>
        <v>0</v>
      </c>
      <c r="AH72" s="383">
        <f>'700 South'!AH50</f>
        <v>0</v>
      </c>
      <c r="AI72" s="383">
        <f>'700 South'!AI50</f>
        <v>0</v>
      </c>
      <c r="AJ72" s="383">
        <f>'700 South'!AJ50</f>
        <v>0</v>
      </c>
      <c r="AK72" s="383">
        <f>'700 South'!AK50</f>
        <v>0</v>
      </c>
      <c r="AL72" s="383">
        <f>'700 South'!AL50</f>
        <v>0</v>
      </c>
    </row>
    <row r="73" spans="1:38">
      <c r="D73" s="358"/>
      <c r="F73" s="464"/>
      <c r="G73" s="465"/>
      <c r="H73" s="465"/>
    </row>
    <row r="74" spans="1:38">
      <c r="B74" s="472" t="s">
        <v>512</v>
      </c>
      <c r="C74" s="386" t="s">
        <v>443</v>
      </c>
      <c r="D74" s="383">
        <f>D70*$C59</f>
        <v>435.12182382826097</v>
      </c>
      <c r="E74" s="383">
        <f t="shared" ref="E74:AK76" si="42">E70*$C59</f>
        <v>452.70655673922556</v>
      </c>
      <c r="F74" s="383">
        <f t="shared" si="42"/>
        <v>471.00194771102775</v>
      </c>
      <c r="G74" s="383">
        <f t="shared" si="42"/>
        <v>490.03671682045206</v>
      </c>
      <c r="H74" s="383">
        <f t="shared" si="42"/>
        <v>0</v>
      </c>
      <c r="I74" s="383">
        <f t="shared" si="42"/>
        <v>0</v>
      </c>
      <c r="J74" s="383">
        <f t="shared" si="42"/>
        <v>0</v>
      </c>
      <c r="K74" s="383">
        <f t="shared" si="42"/>
        <v>0</v>
      </c>
      <c r="L74" s="383">
        <f t="shared" si="42"/>
        <v>0</v>
      </c>
      <c r="M74" s="383">
        <f t="shared" si="42"/>
        <v>0</v>
      </c>
      <c r="N74" s="383">
        <f t="shared" si="42"/>
        <v>0</v>
      </c>
      <c r="O74" s="383">
        <f t="shared" si="42"/>
        <v>0</v>
      </c>
      <c r="P74" s="383">
        <f t="shared" si="42"/>
        <v>0</v>
      </c>
      <c r="Q74" s="383">
        <f t="shared" si="42"/>
        <v>0</v>
      </c>
      <c r="R74" s="383">
        <f t="shared" si="42"/>
        <v>0</v>
      </c>
      <c r="S74" s="383">
        <f t="shared" si="42"/>
        <v>0</v>
      </c>
      <c r="T74" s="383">
        <f t="shared" si="42"/>
        <v>0</v>
      </c>
      <c r="U74" s="383">
        <f t="shared" si="42"/>
        <v>0</v>
      </c>
      <c r="V74" s="383">
        <f t="shared" si="42"/>
        <v>0</v>
      </c>
      <c r="W74" s="383">
        <f t="shared" si="42"/>
        <v>0</v>
      </c>
      <c r="X74" s="383">
        <f t="shared" si="42"/>
        <v>0</v>
      </c>
      <c r="Y74" s="383">
        <f t="shared" si="42"/>
        <v>0</v>
      </c>
      <c r="Z74" s="383">
        <f t="shared" si="42"/>
        <v>0</v>
      </c>
      <c r="AA74" s="383">
        <f t="shared" si="42"/>
        <v>0</v>
      </c>
      <c r="AB74" s="383">
        <f t="shared" si="42"/>
        <v>0</v>
      </c>
      <c r="AC74" s="383">
        <f t="shared" si="42"/>
        <v>0</v>
      </c>
      <c r="AD74" s="383">
        <f t="shared" si="42"/>
        <v>0</v>
      </c>
      <c r="AE74" s="383">
        <f t="shared" si="42"/>
        <v>0</v>
      </c>
      <c r="AF74" s="383">
        <f t="shared" si="42"/>
        <v>0</v>
      </c>
      <c r="AG74" s="383">
        <f t="shared" si="42"/>
        <v>0</v>
      </c>
      <c r="AH74" s="383">
        <f t="shared" si="42"/>
        <v>0</v>
      </c>
      <c r="AI74" s="383">
        <f t="shared" si="42"/>
        <v>0</v>
      </c>
      <c r="AJ74" s="383">
        <f t="shared" si="42"/>
        <v>0</v>
      </c>
      <c r="AK74" s="383">
        <f t="shared" si="42"/>
        <v>0</v>
      </c>
      <c r="AL74" s="383">
        <f t="shared" ref="AL74" si="43">AL70*$C59</f>
        <v>0</v>
      </c>
    </row>
    <row r="75" spans="1:38">
      <c r="B75" s="472" t="s">
        <v>513</v>
      </c>
      <c r="C75" s="386" t="s">
        <v>443</v>
      </c>
      <c r="D75" s="383">
        <f t="shared" ref="D75:S76" si="44">D71*$C60</f>
        <v>1.309306484001628</v>
      </c>
      <c r="E75" s="383">
        <f t="shared" si="44"/>
        <v>1.3622199522740215</v>
      </c>
      <c r="F75" s="383">
        <f t="shared" si="44"/>
        <v>1.4172718313454331</v>
      </c>
      <c r="G75" s="383">
        <f t="shared" si="44"/>
        <v>1.4745485415714865</v>
      </c>
      <c r="H75" s="383">
        <f t="shared" si="44"/>
        <v>0</v>
      </c>
      <c r="I75" s="383">
        <f t="shared" si="44"/>
        <v>0</v>
      </c>
      <c r="J75" s="383">
        <f t="shared" si="44"/>
        <v>0</v>
      </c>
      <c r="K75" s="383">
        <f t="shared" si="44"/>
        <v>0</v>
      </c>
      <c r="L75" s="383">
        <f t="shared" si="44"/>
        <v>0</v>
      </c>
      <c r="M75" s="383">
        <f t="shared" si="44"/>
        <v>0</v>
      </c>
      <c r="N75" s="383">
        <f t="shared" si="44"/>
        <v>0</v>
      </c>
      <c r="O75" s="383">
        <f t="shared" si="44"/>
        <v>0</v>
      </c>
      <c r="P75" s="383">
        <f t="shared" si="44"/>
        <v>0</v>
      </c>
      <c r="Q75" s="383">
        <f t="shared" si="44"/>
        <v>0</v>
      </c>
      <c r="R75" s="383">
        <f t="shared" si="44"/>
        <v>0</v>
      </c>
      <c r="S75" s="383">
        <f t="shared" si="44"/>
        <v>0</v>
      </c>
      <c r="T75" s="383">
        <f t="shared" si="42"/>
        <v>0</v>
      </c>
      <c r="U75" s="383">
        <f t="shared" si="42"/>
        <v>0</v>
      </c>
      <c r="V75" s="383">
        <f t="shared" si="42"/>
        <v>0</v>
      </c>
      <c r="W75" s="383">
        <f t="shared" si="42"/>
        <v>0</v>
      </c>
      <c r="X75" s="383">
        <f t="shared" si="42"/>
        <v>0</v>
      </c>
      <c r="Y75" s="383">
        <f t="shared" si="42"/>
        <v>0</v>
      </c>
      <c r="Z75" s="383">
        <f t="shared" si="42"/>
        <v>0</v>
      </c>
      <c r="AA75" s="383">
        <f t="shared" si="42"/>
        <v>0</v>
      </c>
      <c r="AB75" s="383">
        <f t="shared" si="42"/>
        <v>0</v>
      </c>
      <c r="AC75" s="383">
        <f t="shared" si="42"/>
        <v>0</v>
      </c>
      <c r="AD75" s="383">
        <f t="shared" si="42"/>
        <v>0</v>
      </c>
      <c r="AE75" s="383">
        <f t="shared" si="42"/>
        <v>0</v>
      </c>
      <c r="AF75" s="383">
        <f t="shared" si="42"/>
        <v>0</v>
      </c>
      <c r="AG75" s="383">
        <f t="shared" si="42"/>
        <v>0</v>
      </c>
      <c r="AH75" s="383">
        <f t="shared" si="42"/>
        <v>0</v>
      </c>
      <c r="AI75" s="383">
        <f t="shared" si="42"/>
        <v>0</v>
      </c>
      <c r="AJ75" s="383">
        <f t="shared" si="42"/>
        <v>0</v>
      </c>
      <c r="AK75" s="383">
        <f t="shared" si="42"/>
        <v>0</v>
      </c>
      <c r="AL75" s="383">
        <f t="shared" ref="AL75" si="45">AL71*$C60</f>
        <v>0</v>
      </c>
    </row>
    <row r="76" spans="1:38">
      <c r="B76" s="472" t="s">
        <v>752</v>
      </c>
      <c r="C76" s="386" t="s">
        <v>443</v>
      </c>
      <c r="D76" s="383">
        <f t="shared" si="44"/>
        <v>0</v>
      </c>
      <c r="E76" s="383">
        <f t="shared" si="42"/>
        <v>0</v>
      </c>
      <c r="F76" s="383">
        <f t="shared" si="42"/>
        <v>0</v>
      </c>
      <c r="G76" s="383">
        <f t="shared" si="42"/>
        <v>0</v>
      </c>
      <c r="H76" s="383">
        <f t="shared" si="42"/>
        <v>0</v>
      </c>
      <c r="I76" s="383">
        <f t="shared" si="42"/>
        <v>0</v>
      </c>
      <c r="J76" s="383">
        <f t="shared" si="42"/>
        <v>0</v>
      </c>
      <c r="K76" s="383">
        <f t="shared" si="42"/>
        <v>0</v>
      </c>
      <c r="L76" s="383">
        <f t="shared" si="42"/>
        <v>0</v>
      </c>
      <c r="M76" s="383">
        <f t="shared" si="42"/>
        <v>0</v>
      </c>
      <c r="N76" s="383">
        <f t="shared" si="42"/>
        <v>0</v>
      </c>
      <c r="O76" s="383">
        <f t="shared" si="42"/>
        <v>0</v>
      </c>
      <c r="P76" s="383">
        <f t="shared" si="42"/>
        <v>0</v>
      </c>
      <c r="Q76" s="383">
        <f t="shared" si="42"/>
        <v>0</v>
      </c>
      <c r="R76" s="383">
        <f t="shared" si="42"/>
        <v>0</v>
      </c>
      <c r="S76" s="383">
        <f t="shared" si="42"/>
        <v>0</v>
      </c>
      <c r="T76" s="383">
        <f t="shared" si="42"/>
        <v>0</v>
      </c>
      <c r="U76" s="383">
        <f t="shared" si="42"/>
        <v>0</v>
      </c>
      <c r="V76" s="383">
        <f t="shared" si="42"/>
        <v>0</v>
      </c>
      <c r="W76" s="383">
        <f t="shared" si="42"/>
        <v>0</v>
      </c>
      <c r="X76" s="383">
        <f t="shared" si="42"/>
        <v>0</v>
      </c>
      <c r="Y76" s="383">
        <f t="shared" si="42"/>
        <v>0</v>
      </c>
      <c r="Z76" s="383">
        <f t="shared" si="42"/>
        <v>0</v>
      </c>
      <c r="AA76" s="383">
        <f t="shared" si="42"/>
        <v>0</v>
      </c>
      <c r="AB76" s="383">
        <f t="shared" si="42"/>
        <v>0</v>
      </c>
      <c r="AC76" s="383">
        <f t="shared" si="42"/>
        <v>0</v>
      </c>
      <c r="AD76" s="383">
        <f t="shared" si="42"/>
        <v>0</v>
      </c>
      <c r="AE76" s="383">
        <f t="shared" si="42"/>
        <v>0</v>
      </c>
      <c r="AF76" s="383">
        <f t="shared" si="42"/>
        <v>0</v>
      </c>
      <c r="AG76" s="383">
        <f t="shared" si="42"/>
        <v>0</v>
      </c>
      <c r="AH76" s="383">
        <f t="shared" si="42"/>
        <v>0</v>
      </c>
      <c r="AI76" s="383">
        <f t="shared" si="42"/>
        <v>0</v>
      </c>
      <c r="AJ76" s="383">
        <f t="shared" si="42"/>
        <v>0</v>
      </c>
      <c r="AK76" s="383">
        <f t="shared" si="42"/>
        <v>0</v>
      </c>
      <c r="AL76" s="383">
        <f t="shared" ref="AL76" si="46">AL72*$C61</f>
        <v>0</v>
      </c>
    </row>
    <row r="77" spans="1:38">
      <c r="D77" s="358"/>
      <c r="F77" s="464"/>
      <c r="G77" s="465"/>
      <c r="H77" s="465"/>
    </row>
    <row r="78" spans="1:38" ht="13">
      <c r="B78" s="364" t="s">
        <v>514</v>
      </c>
      <c r="C78" s="487" t="s">
        <v>292</v>
      </c>
      <c r="D78" s="488">
        <f t="shared" ref="D78:AK78" si="47">D74*D49+D75*D50+D76*D51</f>
        <v>7829.0072862331208</v>
      </c>
      <c r="E78" s="488">
        <f t="shared" si="47"/>
        <v>8145.4037401621772</v>
      </c>
      <c r="F78" s="488">
        <f t="shared" si="47"/>
        <v>8474.5868364328362</v>
      </c>
      <c r="G78" s="488">
        <f t="shared" si="47"/>
        <v>8817.0733261664936</v>
      </c>
      <c r="H78" s="488">
        <f t="shared" si="47"/>
        <v>0</v>
      </c>
      <c r="I78" s="488">
        <f t="shared" si="47"/>
        <v>0</v>
      </c>
      <c r="J78" s="488">
        <f t="shared" si="47"/>
        <v>0</v>
      </c>
      <c r="K78" s="488">
        <f t="shared" si="47"/>
        <v>0</v>
      </c>
      <c r="L78" s="488">
        <f t="shared" si="47"/>
        <v>0</v>
      </c>
      <c r="M78" s="488">
        <f t="shared" si="47"/>
        <v>0</v>
      </c>
      <c r="N78" s="488">
        <f t="shared" si="47"/>
        <v>0</v>
      </c>
      <c r="O78" s="488">
        <f t="shared" si="47"/>
        <v>0</v>
      </c>
      <c r="P78" s="488">
        <f t="shared" si="47"/>
        <v>0</v>
      </c>
      <c r="Q78" s="488">
        <f t="shared" si="47"/>
        <v>0</v>
      </c>
      <c r="R78" s="488">
        <f t="shared" si="47"/>
        <v>0</v>
      </c>
      <c r="S78" s="488">
        <f t="shared" si="47"/>
        <v>0</v>
      </c>
      <c r="T78" s="488">
        <f t="shared" si="47"/>
        <v>0</v>
      </c>
      <c r="U78" s="488">
        <f t="shared" si="47"/>
        <v>0</v>
      </c>
      <c r="V78" s="488">
        <f t="shared" si="47"/>
        <v>0</v>
      </c>
      <c r="W78" s="488">
        <f t="shared" si="47"/>
        <v>0</v>
      </c>
      <c r="X78" s="488">
        <f t="shared" si="47"/>
        <v>0</v>
      </c>
      <c r="Y78" s="488">
        <f t="shared" si="47"/>
        <v>0</v>
      </c>
      <c r="Z78" s="488">
        <f t="shared" si="47"/>
        <v>0</v>
      </c>
      <c r="AA78" s="488">
        <f t="shared" si="47"/>
        <v>0</v>
      </c>
      <c r="AB78" s="488">
        <f t="shared" si="47"/>
        <v>0</v>
      </c>
      <c r="AC78" s="488">
        <f t="shared" si="47"/>
        <v>0</v>
      </c>
      <c r="AD78" s="488">
        <f t="shared" si="47"/>
        <v>0</v>
      </c>
      <c r="AE78" s="488">
        <f t="shared" si="47"/>
        <v>0</v>
      </c>
      <c r="AF78" s="488">
        <f t="shared" si="47"/>
        <v>0</v>
      </c>
      <c r="AG78" s="488">
        <f t="shared" si="47"/>
        <v>0</v>
      </c>
      <c r="AH78" s="488">
        <f t="shared" si="47"/>
        <v>0</v>
      </c>
      <c r="AI78" s="488">
        <f t="shared" si="47"/>
        <v>0</v>
      </c>
      <c r="AJ78" s="488">
        <f t="shared" si="47"/>
        <v>0</v>
      </c>
      <c r="AK78" s="488">
        <f t="shared" si="47"/>
        <v>0</v>
      </c>
      <c r="AL78" s="488">
        <f t="shared" ref="AL78" si="48">AL74*AL49+AL75*AL50+AL76*AL51</f>
        <v>0</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9">SUM(E62:E64)-SUM(E74:E76)</f>
        <v>0</v>
      </c>
      <c r="F82" s="383">
        <f t="shared" si="49"/>
        <v>0</v>
      </c>
      <c r="G82" s="383">
        <f t="shared" si="49"/>
        <v>0</v>
      </c>
      <c r="H82" s="383">
        <f t="shared" si="49"/>
        <v>511.37488481479738</v>
      </c>
      <c r="I82" s="383">
        <f t="shared" si="49"/>
        <v>532.04125978015134</v>
      </c>
      <c r="J82" s="383">
        <f t="shared" si="49"/>
        <v>553.54283230191857</v>
      </c>
      <c r="K82" s="383">
        <f t="shared" si="49"/>
        <v>575.91335551578049</v>
      </c>
      <c r="L82" s="383">
        <f t="shared" si="49"/>
        <v>599.18794663488643</v>
      </c>
      <c r="M82" s="383">
        <f t="shared" si="49"/>
        <v>623.40314207680126</v>
      </c>
      <c r="N82" s="383">
        <f t="shared" si="49"/>
        <v>648.5969548183183</v>
      </c>
      <c r="O82" s="383">
        <f t="shared" si="49"/>
        <v>674.80893406817245</v>
      </c>
      <c r="P82" s="383">
        <f t="shared" si="49"/>
        <v>702.08022735132693</v>
      </c>
      <c r="Q82" s="383">
        <f t="shared" si="49"/>
        <v>730.45364510229524</v>
      </c>
      <c r="R82" s="383">
        <f t="shared" si="49"/>
        <v>759.97372786889491</v>
      </c>
      <c r="S82" s="383">
        <f t="shared" si="49"/>
        <v>790.68681623193561</v>
      </c>
      <c r="T82" s="383">
        <f t="shared" si="49"/>
        <v>822.64112355058512</v>
      </c>
      <c r="U82" s="383">
        <f t="shared" si="49"/>
        <v>855.8868116476325</v>
      </c>
      <c r="V82" s="383">
        <f t="shared" si="49"/>
        <v>890.47606955343883</v>
      </c>
      <c r="W82" s="383">
        <f t="shared" si="49"/>
        <v>926.46319543219795</v>
      </c>
      <c r="X82" s="383">
        <f t="shared" si="49"/>
        <v>963.90468181910956</v>
      </c>
      <c r="Y82" s="383">
        <f t="shared" si="49"/>
        <v>1002.859304302277</v>
      </c>
      <c r="Z82" s="383">
        <f t="shared" si="49"/>
        <v>1043.3882137885355</v>
      </c>
      <c r="AA82" s="383">
        <f t="shared" si="49"/>
        <v>1085.5550324980504</v>
      </c>
      <c r="AB82" s="383">
        <f t="shared" si="49"/>
        <v>1129.4259538383826</v>
      </c>
      <c r="AC82" s="383">
        <f t="shared" si="49"/>
        <v>1175.0698463147994</v>
      </c>
      <c r="AD82" s="383">
        <f t="shared" si="49"/>
        <v>1222.5583616399458</v>
      </c>
      <c r="AE82" s="383">
        <f t="shared" si="49"/>
        <v>1271.9660472125965</v>
      </c>
      <c r="AF82" s="383">
        <f t="shared" ref="AF82:AJ82" si="50">SUM(AF62:AF64)-SUM(AF74:AF76)</f>
        <v>1323.370463142046</v>
      </c>
      <c r="AG82" s="383">
        <f t="shared" si="50"/>
        <v>1376.852304001854</v>
      </c>
      <c r="AH82" s="383">
        <f t="shared" si="50"/>
        <v>1432.4955255040575</v>
      </c>
      <c r="AI82" s="383">
        <f t="shared" si="50"/>
        <v>1490.3874762927244</v>
      </c>
      <c r="AJ82" s="383">
        <f t="shared" si="50"/>
        <v>1550.6190350637185</v>
      </c>
      <c r="AK82" s="383">
        <f t="shared" ref="AK82:AL82" si="51">SUM(AK62:AK64)-SUM(AK74:AK76)</f>
        <v>1613.2847532259384</v>
      </c>
      <c r="AL82" s="383">
        <f t="shared" si="51"/>
        <v>1678.4830033279763</v>
      </c>
    </row>
    <row r="83" spans="1:38" ht="13">
      <c r="B83" s="364" t="s">
        <v>813</v>
      </c>
      <c r="C83" s="590" t="s">
        <v>443</v>
      </c>
      <c r="D83" s="383">
        <f>SUM(D55:D57)-SUM(D70:D72)</f>
        <v>0</v>
      </c>
      <c r="E83" s="383">
        <f t="shared" ref="E83:AE83" si="52">SUM(E55:E57)-SUM(E70:E72)</f>
        <v>0</v>
      </c>
      <c r="F83" s="383">
        <f t="shared" si="52"/>
        <v>0</v>
      </c>
      <c r="G83" s="383">
        <f t="shared" si="52"/>
        <v>0</v>
      </c>
      <c r="H83" s="383">
        <f t="shared" si="52"/>
        <v>306.82799916887012</v>
      </c>
      <c r="I83" s="383">
        <f t="shared" si="52"/>
        <v>319.22794814757225</v>
      </c>
      <c r="J83" s="383">
        <f t="shared" si="52"/>
        <v>332.12902067135786</v>
      </c>
      <c r="K83" s="383">
        <f t="shared" si="52"/>
        <v>345.55146882415659</v>
      </c>
      <c r="L83" s="383">
        <f t="shared" si="52"/>
        <v>359.51636314456334</v>
      </c>
      <c r="M83" s="383">
        <f t="shared" si="52"/>
        <v>374.04562570233782</v>
      </c>
      <c r="N83" s="383">
        <f t="shared" si="52"/>
        <v>389.16206451163617</v>
      </c>
      <c r="O83" s="383">
        <f t="shared" si="52"/>
        <v>404.88940933499686</v>
      </c>
      <c r="P83" s="383">
        <f t="shared" si="52"/>
        <v>421.25234893428552</v>
      </c>
      <c r="Q83" s="383">
        <f t="shared" si="52"/>
        <v>438.27656982707543</v>
      </c>
      <c r="R83" s="383">
        <f t="shared" si="52"/>
        <v>455.98879660930305</v>
      </c>
      <c r="S83" s="383">
        <f t="shared" si="52"/>
        <v>474.41683390750046</v>
      </c>
      <c r="T83" s="383">
        <f t="shared" si="52"/>
        <v>493.58961002645134</v>
      </c>
      <c r="U83" s="383">
        <f t="shared" si="52"/>
        <v>513.53722236080307</v>
      </c>
      <c r="V83" s="383">
        <f t="shared" si="52"/>
        <v>534.29098464190974</v>
      </c>
      <c r="W83" s="383">
        <f t="shared" si="52"/>
        <v>555.8834760940797</v>
      </c>
      <c r="X83" s="383">
        <f t="shared" si="52"/>
        <v>578.34859257739151</v>
      </c>
      <c r="Y83" s="383">
        <f t="shared" si="52"/>
        <v>601.72159979736421</v>
      </c>
      <c r="Z83" s="383">
        <f t="shared" si="52"/>
        <v>626.03918866500794</v>
      </c>
      <c r="AA83" s="383">
        <f t="shared" si="52"/>
        <v>651.33953289415933</v>
      </c>
      <c r="AB83" s="383">
        <f t="shared" si="52"/>
        <v>677.66234892651892</v>
      </c>
      <c r="AC83" s="383">
        <f t="shared" si="52"/>
        <v>705.04895827846235</v>
      </c>
      <c r="AD83" s="383">
        <f t="shared" si="52"/>
        <v>733.54235240749153</v>
      </c>
      <c r="AE83" s="383">
        <f t="shared" si="52"/>
        <v>763.18726020015981</v>
      </c>
      <c r="AF83" s="383">
        <f t="shared" ref="AF83:AJ83" si="53">SUM(AF55:AF57)-SUM(AF70:AF72)</f>
        <v>794.03021818740956</v>
      </c>
      <c r="AG83" s="383">
        <f t="shared" si="53"/>
        <v>826.11964359754847</v>
      </c>
      <c r="AH83" s="383">
        <f t="shared" si="53"/>
        <v>859.5059103615381</v>
      </c>
      <c r="AI83" s="383">
        <f t="shared" si="53"/>
        <v>894.24142818991652</v>
      </c>
      <c r="AJ83" s="383">
        <f t="shared" si="53"/>
        <v>930.38072484547968</v>
      </c>
      <c r="AK83" s="383">
        <f t="shared" ref="AK83:AL83" si="54">SUM(AK55:AK57)-SUM(AK70:AK72)</f>
        <v>967.98053174088056</v>
      </c>
      <c r="AL83" s="383">
        <f t="shared" si="54"/>
        <v>1007.0998729955157</v>
      </c>
    </row>
    <row r="84" spans="1:38">
      <c r="D84" s="358"/>
      <c r="F84" s="464"/>
      <c r="G84" s="465"/>
      <c r="H84" s="465"/>
    </row>
    <row r="85" spans="1:38" ht="13">
      <c r="B85" s="492" t="s">
        <v>284</v>
      </c>
      <c r="C85" s="487" t="s">
        <v>292</v>
      </c>
      <c r="D85" s="488">
        <f>D66-D78</f>
        <v>0</v>
      </c>
      <c r="E85" s="488">
        <f t="shared" ref="E85:AK85" si="55">E66-E78</f>
        <v>0</v>
      </c>
      <c r="F85" s="488">
        <f t="shared" si="55"/>
        <v>0</v>
      </c>
      <c r="G85" s="488">
        <f t="shared" si="55"/>
        <v>0</v>
      </c>
      <c r="H85" s="488">
        <f t="shared" si="55"/>
        <v>9173.4008441312653</v>
      </c>
      <c r="I85" s="488">
        <f t="shared" si="55"/>
        <v>9544.1287527202257</v>
      </c>
      <c r="J85" s="488">
        <f t="shared" si="55"/>
        <v>9929.8390200376434</v>
      </c>
      <c r="K85" s="488">
        <f t="shared" si="55"/>
        <v>10331.13713347163</v>
      </c>
      <c r="L85" s="488">
        <f t="shared" si="55"/>
        <v>10748.653050187291</v>
      </c>
      <c r="M85" s="488">
        <f t="shared" si="55"/>
        <v>11183.042186032542</v>
      </c>
      <c r="N85" s="488">
        <f t="shared" si="55"/>
        <v>11634.986444408898</v>
      </c>
      <c r="O85" s="488">
        <f t="shared" si="55"/>
        <v>12105.195286722394</v>
      </c>
      <c r="P85" s="488">
        <f t="shared" si="55"/>
        <v>12594.406846095011</v>
      </c>
      <c r="Q85" s="488">
        <f t="shared" si="55"/>
        <v>13103.38908608493</v>
      </c>
      <c r="R85" s="488">
        <f t="shared" si="55"/>
        <v>13632.941006234518</v>
      </c>
      <c r="S85" s="488">
        <f t="shared" si="55"/>
        <v>14183.893896338681</v>
      </c>
      <c r="T85" s="488">
        <f t="shared" si="55"/>
        <v>14757.11264140218</v>
      </c>
      <c r="U85" s="488">
        <f t="shared" si="55"/>
        <v>15353.497079334891</v>
      </c>
      <c r="V85" s="488">
        <f t="shared" si="55"/>
        <v>15973.983413515956</v>
      </c>
      <c r="W85" s="488">
        <f t="shared" si="55"/>
        <v>16619.545682444408</v>
      </c>
      <c r="X85" s="488">
        <f t="shared" si="55"/>
        <v>17291.1972887833</v>
      </c>
      <c r="Y85" s="488">
        <f t="shared" si="55"/>
        <v>17989.992590197686</v>
      </c>
      <c r="Z85" s="488">
        <f t="shared" si="55"/>
        <v>18717.028554483673</v>
      </c>
      <c r="AA85" s="488">
        <f t="shared" si="55"/>
        <v>19473.446481586776</v>
      </c>
      <c r="AB85" s="488">
        <f t="shared" si="55"/>
        <v>20260.433795212808</v>
      </c>
      <c r="AC85" s="488">
        <f t="shared" si="55"/>
        <v>21079.225906843865</v>
      </c>
      <c r="AD85" s="488">
        <f t="shared" si="55"/>
        <v>21931.108155085312</v>
      </c>
      <c r="AE85" s="488">
        <f t="shared" si="55"/>
        <v>22817.417823388383</v>
      </c>
      <c r="AF85" s="488">
        <f t="shared" si="55"/>
        <v>23739.54623931571</v>
      </c>
      <c r="AG85" s="488">
        <f t="shared" si="55"/>
        <v>24698.940958645228</v>
      </c>
      <c r="AH85" s="488">
        <f t="shared" si="55"/>
        <v>25697.108037740945</v>
      </c>
      <c r="AI85" s="488">
        <f t="shared" si="55"/>
        <v>26735.61439775801</v>
      </c>
      <c r="AJ85" s="488">
        <f t="shared" si="55"/>
        <v>27816.090284393093</v>
      </c>
      <c r="AK85" s="488">
        <f t="shared" si="55"/>
        <v>28940.231827041582</v>
      </c>
      <c r="AL85" s="488">
        <f t="shared" ref="AL85" si="56">AL66-AL78</f>
        <v>30109.803701378987</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'700 South'!D25</f>
        <v>260.55199031632395</v>
      </c>
      <c r="E112" s="383">
        <f>'700 South'!E25</f>
        <v>271.08177050253028</v>
      </c>
      <c r="F112" s="383">
        <f>'700 South'!F25</f>
        <v>282.03709443774119</v>
      </c>
      <c r="G112" s="383">
        <f>'700 South'!G25</f>
        <v>293.4351597727258</v>
      </c>
      <c r="H112" s="383">
        <f>'700 South'!H25</f>
        <v>305.29385917302579</v>
      </c>
      <c r="I112" s="383">
        <f>'700 South'!I25</f>
        <v>317.63180840683441</v>
      </c>
      <c r="J112" s="383">
        <f>'700 South'!J25</f>
        <v>330.46837556800108</v>
      </c>
      <c r="K112" s="383">
        <f>'700 South'!K25</f>
        <v>343.8237114800358</v>
      </c>
      <c r="L112" s="383">
        <f>'700 South'!L25</f>
        <v>357.71878132884052</v>
      </c>
      <c r="M112" s="383">
        <f>'700 South'!M25</f>
        <v>372.1753975738261</v>
      </c>
      <c r="N112" s="383">
        <f>'700 South'!N25</f>
        <v>387.21625418907797</v>
      </c>
      <c r="O112" s="383">
        <f>'700 South'!O25</f>
        <v>402.86496228832186</v>
      </c>
      <c r="P112" s="383">
        <f>'700 South'!P25</f>
        <v>419.14608718961409</v>
      </c>
      <c r="Q112" s="383">
        <f>'700 South'!Q25</f>
        <v>436.08518697794005</v>
      </c>
      <c r="R112" s="383">
        <f>'700 South'!R25</f>
        <v>453.70885262625654</v>
      </c>
      <c r="S112" s="383">
        <f>'700 South'!S25</f>
        <v>472.04474973796295</v>
      </c>
      <c r="T112" s="383">
        <f>'700 South'!T25</f>
        <v>491.1216619763191</v>
      </c>
      <c r="U112" s="383">
        <f>'700 South'!U25</f>
        <v>510.96953624899908</v>
      </c>
      <c r="V112" s="383">
        <f>'700 South'!V25</f>
        <v>531.61952971870016</v>
      </c>
      <c r="W112" s="383">
        <f>'700 South'!W25</f>
        <v>553.10405871360933</v>
      </c>
      <c r="X112" s="383">
        <f>'700 South'!X25</f>
        <v>575.45684961450456</v>
      </c>
      <c r="Y112" s="383">
        <f>'700 South'!Y25</f>
        <v>598.7129917983774</v>
      </c>
      <c r="Z112" s="383">
        <f>'700 South'!Z25</f>
        <v>622.90899272168292</v>
      </c>
      <c r="AA112" s="383">
        <f>'700 South'!AA25</f>
        <v>648.0828352296885</v>
      </c>
      <c r="AB112" s="383">
        <f>'700 South'!AB25</f>
        <v>674.27403718188634</v>
      </c>
      <c r="AC112" s="383">
        <f>'700 South'!AC25</f>
        <v>701.52371348707004</v>
      </c>
      <c r="AD112" s="383">
        <f>'700 South'!AD25</f>
        <v>729.87464064545406</v>
      </c>
      <c r="AE112" s="383">
        <f>'700 South'!AE25</f>
        <v>759.37132389915905</v>
      </c>
      <c r="AF112" s="383">
        <f>'700 South'!AF25</f>
        <v>790.06006709647249</v>
      </c>
      <c r="AG112" s="383">
        <f>'700 South'!AG25</f>
        <v>821.98904537956071</v>
      </c>
      <c r="AH112" s="383">
        <f>'700 South'!AH25</f>
        <v>855.20838080973044</v>
      </c>
      <c r="AI112" s="383">
        <f>'700 South'!AI25</f>
        <v>889.77022104896696</v>
      </c>
      <c r="AJ112" s="383">
        <f>'700 South'!AJ25</f>
        <v>925.72882122125225</v>
      </c>
      <c r="AK112" s="383">
        <f>'700 South'!AK25</f>
        <v>963.14062908217613</v>
      </c>
      <c r="AL112" s="383">
        <f>'700 South'!AL25</f>
        <v>1002.0643736305382</v>
      </c>
    </row>
    <row r="113" spans="1:38">
      <c r="B113" s="385" t="s">
        <v>509</v>
      </c>
      <c r="C113" s="386" t="s">
        <v>443</v>
      </c>
      <c r="D113" s="383">
        <f>'700 South'!D26</f>
        <v>1.309306484001628</v>
      </c>
      <c r="E113" s="383">
        <f>'700 South'!E26</f>
        <v>1.3622199522740215</v>
      </c>
      <c r="F113" s="383">
        <f>'700 South'!F26</f>
        <v>1.4172718313454331</v>
      </c>
      <c r="G113" s="383">
        <f>'700 South'!G26</f>
        <v>1.4745485415714865</v>
      </c>
      <c r="H113" s="383">
        <f>'700 South'!H26</f>
        <v>1.5341399958443507</v>
      </c>
      <c r="I113" s="383">
        <f>'700 South'!I26</f>
        <v>1.5961397407378612</v>
      </c>
      <c r="J113" s="383">
        <f>'700 South'!J26</f>
        <v>1.6606451033567893</v>
      </c>
      <c r="K113" s="383">
        <f>'700 South'!K26</f>
        <v>1.727757344120783</v>
      </c>
      <c r="L113" s="383">
        <f>'700 South'!L26</f>
        <v>1.7975818157228167</v>
      </c>
      <c r="M113" s="383">
        <f>'700 South'!M26</f>
        <v>1.8702281285116891</v>
      </c>
      <c r="N113" s="383">
        <f>'700 South'!N26</f>
        <v>1.9458103225581809</v>
      </c>
      <c r="O113" s="383">
        <f>'700 South'!O26</f>
        <v>2.0244470466749842</v>
      </c>
      <c r="P113" s="383">
        <f>'700 South'!P26</f>
        <v>2.1062617446714276</v>
      </c>
      <c r="Q113" s="383">
        <f>'700 South'!Q26</f>
        <v>2.1913828491353771</v>
      </c>
      <c r="R113" s="383">
        <f>'700 South'!R26</f>
        <v>2.2799439830465151</v>
      </c>
      <c r="S113" s="383">
        <f>'700 South'!S26</f>
        <v>2.3720841695375023</v>
      </c>
      <c r="T113" s="383">
        <f>'700 South'!T26</f>
        <v>2.4679480501322568</v>
      </c>
      <c r="U113" s="383">
        <f>'700 South'!U26</f>
        <v>2.5676861118040155</v>
      </c>
      <c r="V113" s="383">
        <f>'700 South'!V26</f>
        <v>2.6714549232095486</v>
      </c>
      <c r="W113" s="383">
        <f>'700 South'!W26</f>
        <v>2.7794173804703983</v>
      </c>
      <c r="X113" s="383">
        <f>'700 South'!X26</f>
        <v>2.8917429628869575</v>
      </c>
      <c r="Y113" s="383">
        <f>'700 South'!Y26</f>
        <v>3.0086079989868213</v>
      </c>
      <c r="Z113" s="383">
        <f>'700 South'!Z26</f>
        <v>3.1301959433250399</v>
      </c>
      <c r="AA113" s="383">
        <f>'700 South'!AA26</f>
        <v>3.2566976644707966</v>
      </c>
      <c r="AB113" s="383">
        <f>'700 South'!AB26</f>
        <v>3.3883117446325945</v>
      </c>
      <c r="AC113" s="383">
        <f>'700 South'!AC26</f>
        <v>3.5252447913923119</v>
      </c>
      <c r="AD113" s="383">
        <f>'700 South'!AD26</f>
        <v>3.6677117620374577</v>
      </c>
      <c r="AE113" s="383">
        <f>'700 South'!AE26</f>
        <v>3.8159363010007992</v>
      </c>
      <c r="AF113" s="383">
        <f>'700 South'!AF26</f>
        <v>3.9701510909370481</v>
      </c>
      <c r="AG113" s="383">
        <f>'700 South'!AG26</f>
        <v>4.1305982179877425</v>
      </c>
      <c r="AH113" s="383">
        <f>'700 South'!AH26</f>
        <v>4.297529551807691</v>
      </c>
      <c r="AI113" s="383">
        <f>'700 South'!AI26</f>
        <v>4.4712071409495824</v>
      </c>
      <c r="AJ113" s="383">
        <f>'700 South'!AJ26</f>
        <v>4.6519036242273986</v>
      </c>
      <c r="AK113" s="383">
        <f>'700 South'!AK26</f>
        <v>4.8399026587044025</v>
      </c>
      <c r="AL113" s="383">
        <f>'700 South'!AL26</f>
        <v>5.0354993649775786</v>
      </c>
    </row>
    <row r="114" spans="1:38">
      <c r="B114" s="358" t="s">
        <v>769</v>
      </c>
      <c r="C114" s="358" t="s">
        <v>443</v>
      </c>
      <c r="D114" s="383">
        <f>'700 South'!D27</f>
        <v>0</v>
      </c>
      <c r="E114" s="383">
        <f>'700 South'!E27</f>
        <v>0</v>
      </c>
      <c r="F114" s="383">
        <f>'700 South'!F27</f>
        <v>0</v>
      </c>
      <c r="G114" s="383">
        <f>'700 South'!G27</f>
        <v>0</v>
      </c>
      <c r="H114" s="383">
        <f>'700 South'!H27</f>
        <v>0</v>
      </c>
      <c r="I114" s="383">
        <f>'700 South'!I27</f>
        <v>0</v>
      </c>
      <c r="J114" s="383">
        <f>'700 South'!J27</f>
        <v>0</v>
      </c>
      <c r="K114" s="383">
        <f>'700 South'!K27</f>
        <v>0</v>
      </c>
      <c r="L114" s="383">
        <f>'700 South'!L27</f>
        <v>0</v>
      </c>
      <c r="M114" s="383">
        <f>'700 South'!M27</f>
        <v>0</v>
      </c>
      <c r="N114" s="383">
        <f>'700 South'!N27</f>
        <v>0</v>
      </c>
      <c r="O114" s="383">
        <f>'700 South'!O27</f>
        <v>0</v>
      </c>
      <c r="P114" s="383">
        <f>'700 South'!P27</f>
        <v>0</v>
      </c>
      <c r="Q114" s="383">
        <f>'700 South'!Q27</f>
        <v>0</v>
      </c>
      <c r="R114" s="383">
        <f>'700 South'!R27</f>
        <v>0</v>
      </c>
      <c r="S114" s="383">
        <f>'700 South'!S27</f>
        <v>0</v>
      </c>
      <c r="T114" s="383">
        <f>'700 South'!T27</f>
        <v>0</v>
      </c>
      <c r="U114" s="383">
        <f>'700 South'!U27</f>
        <v>0</v>
      </c>
      <c r="V114" s="383">
        <f>'700 South'!V27</f>
        <v>0</v>
      </c>
      <c r="W114" s="383">
        <f>'700 South'!W27</f>
        <v>0</v>
      </c>
      <c r="X114" s="383">
        <f>'700 South'!X27</f>
        <v>0</v>
      </c>
      <c r="Y114" s="383">
        <f>'700 South'!Y27</f>
        <v>0</v>
      </c>
      <c r="Z114" s="383">
        <f>'700 South'!Z27</f>
        <v>0</v>
      </c>
      <c r="AA114" s="383">
        <f>'700 South'!AA27</f>
        <v>0</v>
      </c>
      <c r="AB114" s="383">
        <f>'700 South'!AB27</f>
        <v>0</v>
      </c>
      <c r="AC114" s="383">
        <f>'700 South'!AC27</f>
        <v>0</v>
      </c>
      <c r="AD114" s="383">
        <f>'700 South'!AD27</f>
        <v>0</v>
      </c>
      <c r="AE114" s="383">
        <f>'700 South'!AE27</f>
        <v>0</v>
      </c>
      <c r="AF114" s="383">
        <f>'700 South'!AF27</f>
        <v>0</v>
      </c>
      <c r="AG114" s="383">
        <f>'700 South'!AG27</f>
        <v>0</v>
      </c>
      <c r="AH114" s="383">
        <f>'700 South'!AH27</f>
        <v>0</v>
      </c>
      <c r="AI114" s="383">
        <f>'700 South'!AI27</f>
        <v>0</v>
      </c>
      <c r="AJ114" s="383">
        <f>'700 South'!AJ27</f>
        <v>0</v>
      </c>
      <c r="AK114" s="383">
        <f>'700 South'!AK27</f>
        <v>0</v>
      </c>
      <c r="AL114" s="383">
        <f>'700 South'!AL27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7">(D$112*D90+D$113*D95+D$114*D100)/Grams.Per.Metric.Ton*D105</f>
        <v>31.484203102476823</v>
      </c>
      <c r="E116" s="582">
        <f t="shared" si="57"/>
        <v>32.904921668663199</v>
      </c>
      <c r="F116" s="582">
        <f t="shared" si="57"/>
        <v>34.370143041656355</v>
      </c>
      <c r="G116" s="582">
        <f t="shared" si="57"/>
        <v>35.880379729285401</v>
      </c>
      <c r="H116" s="582">
        <f t="shared" si="57"/>
        <v>37.436082098738822</v>
      </c>
      <c r="I116" s="582">
        <f t="shared" si="57"/>
        <v>39.037631268877853</v>
      </c>
      <c r="J116" s="582">
        <f t="shared" si="57"/>
        <v>40.685331479115511</v>
      </c>
      <c r="K116" s="582">
        <f t="shared" si="57"/>
        <v>42.379401902119064</v>
      </c>
      <c r="L116" s="582">
        <f t="shared" si="57"/>
        <v>44.119967865728505</v>
      </c>
      <c r="M116" s="582">
        <f t="shared" si="57"/>
        <v>45.90705144750418</v>
      </c>
      <c r="N116" s="582">
        <f t="shared" si="57"/>
        <v>47.616535903697986</v>
      </c>
      <c r="O116" s="582">
        <f t="shared" si="57"/>
        <v>49.358044307061533</v>
      </c>
      <c r="P116" s="582">
        <f t="shared" si="57"/>
        <v>51.13011333175114</v>
      </c>
      <c r="Q116" s="582">
        <f t="shared" si="57"/>
        <v>53.745382135619529</v>
      </c>
      <c r="R116" s="582">
        <f t="shared" si="57"/>
        <v>55.588636067176516</v>
      </c>
      <c r="S116" s="582">
        <f t="shared" si="57"/>
        <v>57.456571577363384</v>
      </c>
      <c r="T116" s="582">
        <f t="shared" si="57"/>
        <v>59.346697084905223</v>
      </c>
      <c r="U116" s="582">
        <f t="shared" si="57"/>
        <v>61.256219659664353</v>
      </c>
      <c r="V116" s="582">
        <f t="shared" si="57"/>
        <v>63.182022324225571</v>
      </c>
      <c r="W116" s="582">
        <f t="shared" si="57"/>
        <v>65.120639915597735</v>
      </c>
      <c r="X116" s="582">
        <f t="shared" si="57"/>
        <v>67.607442510201878</v>
      </c>
      <c r="Y116" s="582">
        <f t="shared" si="57"/>
        <v>71.106013440540039</v>
      </c>
      <c r="Z116" s="582">
        <f t="shared" si="57"/>
        <v>73.742239992642709</v>
      </c>
      <c r="AA116" s="582">
        <f t="shared" si="57"/>
        <v>76.441904108562468</v>
      </c>
      <c r="AB116" s="582">
        <f t="shared" si="57"/>
        <v>79.204473526019868</v>
      </c>
      <c r="AC116" s="582">
        <f t="shared" si="57"/>
        <v>82.029214628346139</v>
      </c>
      <c r="AD116" s="582">
        <f t="shared" si="57"/>
        <v>84.915174827373065</v>
      </c>
      <c r="AE116" s="582">
        <f t="shared" si="57"/>
        <v>87.861163761875403</v>
      </c>
      <c r="AF116" s="582">
        <f t="shared" si="57"/>
        <v>91.973851939044209</v>
      </c>
      <c r="AG116" s="582">
        <f t="shared" si="57"/>
        <v>95.058808338299386</v>
      </c>
      <c r="AH116" s="582">
        <f t="shared" si="57"/>
        <v>98.900453744077325</v>
      </c>
      <c r="AI116" s="582">
        <f t="shared" si="57"/>
        <v>102.89735293098005</v>
      </c>
      <c r="AJ116" s="582">
        <f t="shared" si="57"/>
        <v>107.05578022524215</v>
      </c>
      <c r="AK116" s="582">
        <f t="shared" si="57"/>
        <v>111.38226351967421</v>
      </c>
      <c r="AL116" s="582">
        <f t="shared" si="57"/>
        <v>115.88359452113926</v>
      </c>
    </row>
    <row r="117" spans="1:38">
      <c r="B117" s="478" t="s">
        <v>709</v>
      </c>
      <c r="C117" s="484" t="s">
        <v>292</v>
      </c>
      <c r="D117" s="582">
        <f t="shared" ref="D117:AL117" si="58">(D$112*D91+D$113*D96+D$114*D101)/Grams.Per.Metric.Ton*D106</f>
        <v>9.7575441288815483</v>
      </c>
      <c r="E117" s="582">
        <f t="shared" si="58"/>
        <v>9.3265649097087806</v>
      </c>
      <c r="F117" s="582">
        <f t="shared" si="58"/>
        <v>8.8742920215802332</v>
      </c>
      <c r="G117" s="582">
        <f t="shared" si="58"/>
        <v>8.2818953783975271</v>
      </c>
      <c r="H117" s="582">
        <f t="shared" si="58"/>
        <v>7.6004579198387257</v>
      </c>
      <c r="I117" s="582">
        <f t="shared" si="58"/>
        <v>6.8226726527852959</v>
      </c>
      <c r="J117" s="582">
        <f t="shared" si="58"/>
        <v>5.9752830661891041</v>
      </c>
      <c r="K117" s="582">
        <f t="shared" si="58"/>
        <v>4.9747851040207385</v>
      </c>
      <c r="L117" s="582">
        <f t="shared" si="58"/>
        <v>3.8524166269071576</v>
      </c>
      <c r="M117" s="582">
        <f t="shared" si="58"/>
        <v>2.613216469226443</v>
      </c>
      <c r="N117" s="582">
        <f t="shared" si="58"/>
        <v>2.5086442789715879</v>
      </c>
      <c r="O117" s="582">
        <f t="shared" si="58"/>
        <v>2.3913518547122914</v>
      </c>
      <c r="P117" s="582">
        <f t="shared" si="58"/>
        <v>2.2604818531832942</v>
      </c>
      <c r="Q117" s="582">
        <f t="shared" si="58"/>
        <v>2.1151284100693228</v>
      </c>
      <c r="R117" s="582">
        <f t="shared" si="58"/>
        <v>1.9543346184549679</v>
      </c>
      <c r="S117" s="582">
        <f t="shared" si="58"/>
        <v>1.7770898827121124</v>
      </c>
      <c r="T117" s="582">
        <f t="shared" si="58"/>
        <v>1.5823271418760758</v>
      </c>
      <c r="U117" s="582">
        <f t="shared" si="58"/>
        <v>1.3689199562823537</v>
      </c>
      <c r="V117" s="582">
        <f t="shared" si="58"/>
        <v>1.1356794509479409</v>
      </c>
      <c r="W117" s="582">
        <f t="shared" si="58"/>
        <v>0.88135110887506563</v>
      </c>
      <c r="X117" s="582">
        <f t="shared" si="58"/>
        <v>0.88648418982841537</v>
      </c>
      <c r="Y117" s="582">
        <f t="shared" si="58"/>
        <v>0.89059270356767917</v>
      </c>
      <c r="Z117" s="582">
        <f t="shared" si="58"/>
        <v>0.89358545414547341</v>
      </c>
      <c r="AA117" s="582">
        <f t="shared" si="58"/>
        <v>0.8953655479093402</v>
      </c>
      <c r="AB117" s="582">
        <f t="shared" si="58"/>
        <v>0.89583008191983193</v>
      </c>
      <c r="AC117" s="582">
        <f t="shared" si="58"/>
        <v>0.89486981649010433</v>
      </c>
      <c r="AD117" s="582">
        <f t="shared" si="58"/>
        <v>0.89236883107266329</v>
      </c>
      <c r="AE117" s="582">
        <f t="shared" si="58"/>
        <v>0.88820416268183</v>
      </c>
      <c r="AF117" s="582">
        <f t="shared" si="58"/>
        <v>0.88224542600270617</v>
      </c>
      <c r="AG117" s="582">
        <f t="shared" si="58"/>
        <v>0.87435441429666172</v>
      </c>
      <c r="AH117" s="582">
        <f t="shared" si="58"/>
        <v>0.9096900099918066</v>
      </c>
      <c r="AI117" s="582">
        <f t="shared" si="58"/>
        <v>0.94645363567423713</v>
      </c>
      <c r="AJ117" s="582">
        <f t="shared" si="58"/>
        <v>0.98470300282735823</v>
      </c>
      <c r="AK117" s="582">
        <f t="shared" si="58"/>
        <v>1.0244981552492649</v>
      </c>
      <c r="AL117" s="582">
        <f t="shared" si="58"/>
        <v>1.0659015633094064</v>
      </c>
    </row>
    <row r="118" spans="1:38">
      <c r="B118" s="478" t="s">
        <v>710</v>
      </c>
      <c r="C118" s="484" t="s">
        <v>292</v>
      </c>
      <c r="D118" s="582">
        <f t="shared" ref="D118:AL118" si="59">(D$112*D92+D$113*D97+D$114*D102)/Grams.Per.Metric.Ton*D107</f>
        <v>13.198816213419114</v>
      </c>
      <c r="E118" s="582">
        <f t="shared" si="59"/>
        <v>13.406507857981838</v>
      </c>
      <c r="F118" s="582">
        <f t="shared" si="59"/>
        <v>13.594013315110839</v>
      </c>
      <c r="G118" s="582">
        <f t="shared" si="59"/>
        <v>13.756246327965075</v>
      </c>
      <c r="H118" s="582">
        <f t="shared" si="59"/>
        <v>13.889599300507502</v>
      </c>
      <c r="I118" s="582">
        <f t="shared" si="59"/>
        <v>13.934920878163503</v>
      </c>
      <c r="J118" s="582">
        <f t="shared" si="59"/>
        <v>13.944580115856018</v>
      </c>
      <c r="K118" s="582">
        <f t="shared" si="59"/>
        <v>13.912697329414289</v>
      </c>
      <c r="L118" s="582">
        <f t="shared" si="59"/>
        <v>13.836454619470864</v>
      </c>
      <c r="M118" s="582">
        <f t="shared" si="59"/>
        <v>13.709321255923918</v>
      </c>
      <c r="N118" s="582">
        <f t="shared" si="59"/>
        <v>13.698015593845666</v>
      </c>
      <c r="O118" s="582">
        <f t="shared" si="59"/>
        <v>13.663405530103439</v>
      </c>
      <c r="P118" s="582">
        <f t="shared" si="59"/>
        <v>13.603625911414989</v>
      </c>
      <c r="Q118" s="582">
        <f t="shared" si="59"/>
        <v>13.516698891957661</v>
      </c>
      <c r="R118" s="582">
        <f t="shared" si="59"/>
        <v>13.400527871042595</v>
      </c>
      <c r="S118" s="582">
        <f t="shared" si="59"/>
        <v>13.252891124844789</v>
      </c>
      <c r="T118" s="582">
        <f t="shared" si="59"/>
        <v>13.071435117362732</v>
      </c>
      <c r="U118" s="582">
        <f t="shared" si="59"/>
        <v>12.853667475080119</v>
      </c>
      <c r="V118" s="582">
        <f t="shared" si="59"/>
        <v>12.596949609073899</v>
      </c>
      <c r="W118" s="582">
        <f t="shared" si="59"/>
        <v>12.298488967545204</v>
      </c>
      <c r="X118" s="582">
        <f t="shared" si="59"/>
        <v>12.354419972283148</v>
      </c>
      <c r="Y118" s="582">
        <f t="shared" si="59"/>
        <v>12.394785320714169</v>
      </c>
      <c r="Z118" s="582">
        <f t="shared" si="59"/>
        <v>12.418235543322409</v>
      </c>
      <c r="AA118" s="582">
        <f t="shared" si="59"/>
        <v>12.423337519851563</v>
      </c>
      <c r="AB118" s="582">
        <f t="shared" si="59"/>
        <v>12.408569922097</v>
      </c>
      <c r="AC118" s="582">
        <f t="shared" si="59"/>
        <v>12.372318424975353</v>
      </c>
      <c r="AD118" s="582">
        <f t="shared" si="59"/>
        <v>12.312870674586616</v>
      </c>
      <c r="AE118" s="582">
        <f t="shared" si="59"/>
        <v>12.228411001445403</v>
      </c>
      <c r="AF118" s="582">
        <f t="shared" si="59"/>
        <v>12.117014866506658</v>
      </c>
      <c r="AG118" s="582">
        <f t="shared" si="59"/>
        <v>11.976643027019612</v>
      </c>
      <c r="AH118" s="582">
        <f t="shared" si="59"/>
        <v>12.460659358232705</v>
      </c>
      <c r="AI118" s="582">
        <f t="shared" si="59"/>
        <v>12.964236413461075</v>
      </c>
      <c r="AJ118" s="582">
        <f t="shared" si="59"/>
        <v>13.488164707196333</v>
      </c>
      <c r="AK118" s="582">
        <f t="shared" si="59"/>
        <v>14.033266701273194</v>
      </c>
      <c r="AL118" s="582">
        <f t="shared" si="59"/>
        <v>14.600398095968812</v>
      </c>
    </row>
    <row r="119" spans="1:38">
      <c r="B119" s="478" t="s">
        <v>711</v>
      </c>
      <c r="C119" s="484" t="s">
        <v>292</v>
      </c>
      <c r="D119" s="582">
        <f t="shared" ref="D119:AL119" si="60">(D$112*D93+D$113*D98+D$114*D103)/Grams.Per.Metric.Ton*D108</f>
        <v>0.16734565784438879</v>
      </c>
      <c r="E119" s="582">
        <f t="shared" si="60"/>
        <v>0.17496074576444198</v>
      </c>
      <c r="F119" s="582">
        <f t="shared" si="60"/>
        <v>0.18324450943519444</v>
      </c>
      <c r="G119" s="582">
        <f t="shared" si="60"/>
        <v>0.19179541967350047</v>
      </c>
      <c r="H119" s="582">
        <f t="shared" si="60"/>
        <v>0.20106463088393295</v>
      </c>
      <c r="I119" s="582">
        <f t="shared" si="60"/>
        <v>0.20879394409284902</v>
      </c>
      <c r="J119" s="582">
        <f t="shared" si="60"/>
        <v>0.21720215885351621</v>
      </c>
      <c r="K119" s="582">
        <f t="shared" si="60"/>
        <v>0.22584266393800342</v>
      </c>
      <c r="L119" s="582">
        <f t="shared" si="60"/>
        <v>0.23471620573779098</v>
      </c>
      <c r="M119" s="582">
        <f t="shared" si="60"/>
        <v>0.24331822835897923</v>
      </c>
      <c r="N119" s="582">
        <f t="shared" si="60"/>
        <v>0.24840579686205885</v>
      </c>
      <c r="O119" s="582">
        <f t="shared" si="60"/>
        <v>0.25350717990149352</v>
      </c>
      <c r="P119" s="582">
        <f t="shared" si="60"/>
        <v>0.25861518484402157</v>
      </c>
      <c r="Q119" s="582">
        <f t="shared" si="60"/>
        <v>0.26372201513704974</v>
      </c>
      <c r="R119" s="582">
        <f t="shared" si="60"/>
        <v>0.26881923324313051</v>
      </c>
      <c r="S119" s="582">
        <f t="shared" si="60"/>
        <v>0.27389772156490189</v>
      </c>
      <c r="T119" s="582">
        <f t="shared" si="60"/>
        <v>0.27894764125859672</v>
      </c>
      <c r="U119" s="582">
        <f t="shared" si="60"/>
        <v>0.28395838882928853</v>
      </c>
      <c r="V119" s="582">
        <f t="shared" si="60"/>
        <v>0.28891855039583864</v>
      </c>
      <c r="W119" s="582">
        <f t="shared" si="60"/>
        <v>0.29381585350808909</v>
      </c>
      <c r="X119" s="582">
        <f t="shared" si="60"/>
        <v>0.30080026178444536</v>
      </c>
      <c r="Y119" s="582">
        <f t="shared" si="60"/>
        <v>0.30786932521126398</v>
      </c>
      <c r="Z119" s="582">
        <f t="shared" si="60"/>
        <v>0.31501847897585528</v>
      </c>
      <c r="AA119" s="582">
        <f t="shared" si="60"/>
        <v>0.3222426510446223</v>
      </c>
      <c r="AB119" s="582">
        <f t="shared" si="60"/>
        <v>0.32953622862148879</v>
      </c>
      <c r="AC119" s="582">
        <f t="shared" si="60"/>
        <v>0.33689302272368571</v>
      </c>
      <c r="AD119" s="582">
        <f t="shared" si="60"/>
        <v>0.34430623077752759</v>
      </c>
      <c r="AE119" s="582">
        <f t="shared" si="60"/>
        <v>0.35176839713195202</v>
      </c>
      <c r="AF119" s="582">
        <f t="shared" si="60"/>
        <v>0.35927137138266729</v>
      </c>
      <c r="AG119" s="582">
        <f t="shared" si="60"/>
        <v>0.36680626439439162</v>
      </c>
      <c r="AH119" s="582">
        <f t="shared" si="60"/>
        <v>0.3816301363222448</v>
      </c>
      <c r="AI119" s="582">
        <f t="shared" si="60"/>
        <v>0.3970530906548006</v>
      </c>
      <c r="AJ119" s="582">
        <f t="shared" si="60"/>
        <v>0.41309933832219736</v>
      </c>
      <c r="AK119" s="582">
        <f t="shared" si="60"/>
        <v>0.42979406869949766</v>
      </c>
      <c r="AL119" s="582">
        <f t="shared" si="60"/>
        <v>0.44716348914893139</v>
      </c>
    </row>
    <row r="120" spans="1:38">
      <c r="D120" s="358"/>
      <c r="F120" s="464"/>
      <c r="G120" s="465"/>
      <c r="H120" s="465"/>
    </row>
    <row r="121" spans="1:38" ht="13">
      <c r="B121" s="493" t="s">
        <v>463</v>
      </c>
      <c r="C121" s="487" t="s">
        <v>292</v>
      </c>
      <c r="D121" s="488">
        <f t="shared" ref="D121:AL121" si="61">D116</f>
        <v>31.484203102476823</v>
      </c>
      <c r="E121" s="488">
        <f t="shared" si="61"/>
        <v>32.904921668663199</v>
      </c>
      <c r="F121" s="488">
        <f t="shared" si="61"/>
        <v>34.370143041656355</v>
      </c>
      <c r="G121" s="488">
        <f t="shared" si="61"/>
        <v>35.880379729285401</v>
      </c>
      <c r="H121" s="488">
        <f t="shared" si="61"/>
        <v>37.436082098738822</v>
      </c>
      <c r="I121" s="488">
        <f t="shared" si="61"/>
        <v>39.037631268877853</v>
      </c>
      <c r="J121" s="488">
        <f t="shared" si="61"/>
        <v>40.685331479115511</v>
      </c>
      <c r="K121" s="488">
        <f t="shared" si="61"/>
        <v>42.379401902119064</v>
      </c>
      <c r="L121" s="488">
        <f t="shared" si="61"/>
        <v>44.119967865728505</v>
      </c>
      <c r="M121" s="488">
        <f t="shared" si="61"/>
        <v>45.90705144750418</v>
      </c>
      <c r="N121" s="488">
        <f t="shared" si="61"/>
        <v>47.616535903697986</v>
      </c>
      <c r="O121" s="488">
        <f t="shared" si="61"/>
        <v>49.358044307061533</v>
      </c>
      <c r="P121" s="488">
        <f t="shared" si="61"/>
        <v>51.13011333175114</v>
      </c>
      <c r="Q121" s="488">
        <f t="shared" si="61"/>
        <v>53.745382135619529</v>
      </c>
      <c r="R121" s="488">
        <f t="shared" si="61"/>
        <v>55.588636067176516</v>
      </c>
      <c r="S121" s="488">
        <f t="shared" si="61"/>
        <v>57.456571577363384</v>
      </c>
      <c r="T121" s="488">
        <f t="shared" si="61"/>
        <v>59.346697084905223</v>
      </c>
      <c r="U121" s="488">
        <f t="shared" si="61"/>
        <v>61.256219659664353</v>
      </c>
      <c r="V121" s="488">
        <f t="shared" si="61"/>
        <v>63.182022324225571</v>
      </c>
      <c r="W121" s="488">
        <f t="shared" si="61"/>
        <v>65.120639915597735</v>
      </c>
      <c r="X121" s="488">
        <f t="shared" si="61"/>
        <v>67.607442510201878</v>
      </c>
      <c r="Y121" s="488">
        <f t="shared" si="61"/>
        <v>71.106013440540039</v>
      </c>
      <c r="Z121" s="488">
        <f t="shared" si="61"/>
        <v>73.742239992642709</v>
      </c>
      <c r="AA121" s="488">
        <f t="shared" si="61"/>
        <v>76.441904108562468</v>
      </c>
      <c r="AB121" s="488">
        <f t="shared" si="61"/>
        <v>79.204473526019868</v>
      </c>
      <c r="AC121" s="488">
        <f t="shared" si="61"/>
        <v>82.029214628346139</v>
      </c>
      <c r="AD121" s="488">
        <f t="shared" si="61"/>
        <v>84.915174827373065</v>
      </c>
      <c r="AE121" s="488">
        <f t="shared" si="61"/>
        <v>87.861163761875403</v>
      </c>
      <c r="AF121" s="488">
        <f t="shared" si="61"/>
        <v>91.973851939044209</v>
      </c>
      <c r="AG121" s="488">
        <f t="shared" si="61"/>
        <v>95.058808338299386</v>
      </c>
      <c r="AH121" s="488">
        <f t="shared" si="61"/>
        <v>98.900453744077325</v>
      </c>
      <c r="AI121" s="488">
        <f t="shared" si="61"/>
        <v>102.89735293098005</v>
      </c>
      <c r="AJ121" s="488">
        <f t="shared" si="61"/>
        <v>107.05578022524215</v>
      </c>
      <c r="AK121" s="488">
        <f t="shared" si="61"/>
        <v>111.38226351967421</v>
      </c>
      <c r="AL121" s="488">
        <f t="shared" si="61"/>
        <v>115.88359452113926</v>
      </c>
    </row>
    <row r="122" spans="1:38" ht="13">
      <c r="B122" s="494" t="s">
        <v>464</v>
      </c>
      <c r="C122" s="487" t="s">
        <v>292</v>
      </c>
      <c r="D122" s="488">
        <f t="shared" ref="D122:AL122" si="62">SUM(D116:D119)</f>
        <v>54.607909102621875</v>
      </c>
      <c r="E122" s="488">
        <f t="shared" si="62"/>
        <v>55.812955182118259</v>
      </c>
      <c r="F122" s="488">
        <f t="shared" si="62"/>
        <v>57.021692887782613</v>
      </c>
      <c r="G122" s="488">
        <f t="shared" si="62"/>
        <v>58.110316855321507</v>
      </c>
      <c r="H122" s="488">
        <f t="shared" si="62"/>
        <v>59.127203949968987</v>
      </c>
      <c r="I122" s="488">
        <f t="shared" si="62"/>
        <v>60.004018743919495</v>
      </c>
      <c r="J122" s="488">
        <f t="shared" si="62"/>
        <v>60.822396820014156</v>
      </c>
      <c r="K122" s="488">
        <f t="shared" si="62"/>
        <v>61.492726999492099</v>
      </c>
      <c r="L122" s="488">
        <f t="shared" si="62"/>
        <v>62.043555317844316</v>
      </c>
      <c r="M122" s="488">
        <f t="shared" si="62"/>
        <v>62.472907401013522</v>
      </c>
      <c r="N122" s="488">
        <f t="shared" si="62"/>
        <v>64.071601573377293</v>
      </c>
      <c r="O122" s="488">
        <f t="shared" si="62"/>
        <v>65.666308871778753</v>
      </c>
      <c r="P122" s="488">
        <f t="shared" si="62"/>
        <v>67.252836281193439</v>
      </c>
      <c r="Q122" s="488">
        <f t="shared" si="62"/>
        <v>69.640931452783562</v>
      </c>
      <c r="R122" s="488">
        <f t="shared" si="62"/>
        <v>71.212317789917208</v>
      </c>
      <c r="S122" s="488">
        <f t="shared" si="62"/>
        <v>72.760450306485197</v>
      </c>
      <c r="T122" s="488">
        <f t="shared" si="62"/>
        <v>74.27940698540263</v>
      </c>
      <c r="U122" s="488">
        <f t="shared" si="62"/>
        <v>75.762765479856114</v>
      </c>
      <c r="V122" s="488">
        <f t="shared" si="62"/>
        <v>77.203569934643255</v>
      </c>
      <c r="W122" s="488">
        <f t="shared" si="62"/>
        <v>78.594295845526105</v>
      </c>
      <c r="X122" s="488">
        <f t="shared" si="62"/>
        <v>81.149146934097885</v>
      </c>
      <c r="Y122" s="488">
        <f t="shared" si="62"/>
        <v>84.699260790033136</v>
      </c>
      <c r="Z122" s="488">
        <f t="shared" si="62"/>
        <v>87.369079469086458</v>
      </c>
      <c r="AA122" s="488">
        <f t="shared" si="62"/>
        <v>90.08284982736798</v>
      </c>
      <c r="AB122" s="488">
        <f t="shared" si="62"/>
        <v>92.838409758658187</v>
      </c>
      <c r="AC122" s="488">
        <f t="shared" si="62"/>
        <v>95.633295892535273</v>
      </c>
      <c r="AD122" s="488">
        <f t="shared" si="62"/>
        <v>98.464720563809877</v>
      </c>
      <c r="AE122" s="488">
        <f t="shared" si="62"/>
        <v>101.32954732313459</v>
      </c>
      <c r="AF122" s="488">
        <f t="shared" si="62"/>
        <v>105.33238360293625</v>
      </c>
      <c r="AG122" s="488">
        <f t="shared" si="62"/>
        <v>108.27661204401005</v>
      </c>
      <c r="AH122" s="488">
        <f t="shared" si="62"/>
        <v>112.65243324862408</v>
      </c>
      <c r="AI122" s="488">
        <f t="shared" si="62"/>
        <v>117.20509607077015</v>
      </c>
      <c r="AJ122" s="488">
        <f t="shared" si="62"/>
        <v>121.94174727358804</v>
      </c>
      <c r="AK122" s="488">
        <f t="shared" si="62"/>
        <v>126.86982244489616</v>
      </c>
      <c r="AL122" s="488">
        <f t="shared" si="62"/>
        <v>131.9970576695664</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'700 South'!D48</f>
        <v>260.55199031632395</v>
      </c>
      <c r="E126" s="383">
        <f>'700 South'!E48</f>
        <v>271.08177050253028</v>
      </c>
      <c r="F126" s="383">
        <f>'700 South'!F48</f>
        <v>282.03709443774119</v>
      </c>
      <c r="G126" s="383">
        <f>'700 South'!G48</f>
        <v>293.4351597727258</v>
      </c>
      <c r="H126" s="383">
        <f>'700 South'!H48</f>
        <v>0</v>
      </c>
      <c r="I126" s="383">
        <f>'700 South'!I48</f>
        <v>0</v>
      </c>
      <c r="J126" s="383">
        <f>'700 South'!J48</f>
        <v>0</v>
      </c>
      <c r="K126" s="383">
        <f>'700 South'!K48</f>
        <v>0</v>
      </c>
      <c r="L126" s="383">
        <f>'700 South'!L48</f>
        <v>0</v>
      </c>
      <c r="M126" s="383">
        <f>'700 South'!M48</f>
        <v>0</v>
      </c>
      <c r="N126" s="383">
        <f>'700 South'!N48</f>
        <v>0</v>
      </c>
      <c r="O126" s="383">
        <f>'700 South'!O48</f>
        <v>0</v>
      </c>
      <c r="P126" s="383">
        <f>'700 South'!P48</f>
        <v>0</v>
      </c>
      <c r="Q126" s="383">
        <f>'700 South'!Q48</f>
        <v>0</v>
      </c>
      <c r="R126" s="383">
        <f>'700 South'!R48</f>
        <v>0</v>
      </c>
      <c r="S126" s="383">
        <f>'700 South'!S48</f>
        <v>0</v>
      </c>
      <c r="T126" s="383">
        <f>'700 South'!T48</f>
        <v>0</v>
      </c>
      <c r="U126" s="383">
        <f>'700 South'!U48</f>
        <v>0</v>
      </c>
      <c r="V126" s="383">
        <f>'700 South'!V48</f>
        <v>0</v>
      </c>
      <c r="W126" s="383">
        <f>'700 South'!W48</f>
        <v>0</v>
      </c>
      <c r="X126" s="383">
        <f>'700 South'!X48</f>
        <v>0</v>
      </c>
      <c r="Y126" s="383">
        <f>'700 South'!Y48</f>
        <v>0</v>
      </c>
      <c r="Z126" s="383">
        <f>'700 South'!Z48</f>
        <v>0</v>
      </c>
      <c r="AA126" s="383">
        <f>'700 South'!AA48</f>
        <v>0</v>
      </c>
      <c r="AB126" s="383">
        <f>'700 South'!AB48</f>
        <v>0</v>
      </c>
      <c r="AC126" s="383">
        <f>'700 South'!AC48</f>
        <v>0</v>
      </c>
      <c r="AD126" s="383">
        <f>'700 South'!AD48</f>
        <v>0</v>
      </c>
      <c r="AE126" s="383">
        <f>'700 South'!AE48</f>
        <v>0</v>
      </c>
      <c r="AF126" s="383">
        <f>'700 South'!AF48</f>
        <v>0</v>
      </c>
      <c r="AG126" s="383">
        <f>'700 South'!AG48</f>
        <v>0</v>
      </c>
      <c r="AH126" s="383">
        <f>'700 South'!AH48</f>
        <v>0</v>
      </c>
      <c r="AI126" s="383">
        <f>'700 South'!AI48</f>
        <v>0</v>
      </c>
      <c r="AJ126" s="383">
        <f>'700 South'!AJ48</f>
        <v>0</v>
      </c>
      <c r="AK126" s="383">
        <f>'700 South'!AK48</f>
        <v>0</v>
      </c>
      <c r="AL126" s="383">
        <f>'700 South'!AL48</f>
        <v>0</v>
      </c>
    </row>
    <row r="127" spans="1:38">
      <c r="B127" s="385" t="s">
        <v>509</v>
      </c>
      <c r="C127" s="386" t="s">
        <v>443</v>
      </c>
      <c r="D127" s="383">
        <f>'700 South'!D49</f>
        <v>1.309306484001628</v>
      </c>
      <c r="E127" s="383">
        <f>'700 South'!E49</f>
        <v>1.3622199522740215</v>
      </c>
      <c r="F127" s="383">
        <f>'700 South'!F49</f>
        <v>1.4172718313454331</v>
      </c>
      <c r="G127" s="383">
        <f>'700 South'!G49</f>
        <v>1.4745485415714865</v>
      </c>
      <c r="H127" s="383">
        <f>'700 South'!H49</f>
        <v>0</v>
      </c>
      <c r="I127" s="383">
        <f>'700 South'!I49</f>
        <v>0</v>
      </c>
      <c r="J127" s="383">
        <f>'700 South'!J49</f>
        <v>0</v>
      </c>
      <c r="K127" s="383">
        <f>'700 South'!K49</f>
        <v>0</v>
      </c>
      <c r="L127" s="383">
        <f>'700 South'!L49</f>
        <v>0</v>
      </c>
      <c r="M127" s="383">
        <f>'700 South'!M49</f>
        <v>0</v>
      </c>
      <c r="N127" s="383">
        <f>'700 South'!N49</f>
        <v>0</v>
      </c>
      <c r="O127" s="383">
        <f>'700 South'!O49</f>
        <v>0</v>
      </c>
      <c r="P127" s="383">
        <f>'700 South'!P49</f>
        <v>0</v>
      </c>
      <c r="Q127" s="383">
        <f>'700 South'!Q49</f>
        <v>0</v>
      </c>
      <c r="R127" s="383">
        <f>'700 South'!R49</f>
        <v>0</v>
      </c>
      <c r="S127" s="383">
        <f>'700 South'!S49</f>
        <v>0</v>
      </c>
      <c r="T127" s="383">
        <f>'700 South'!T49</f>
        <v>0</v>
      </c>
      <c r="U127" s="383">
        <f>'700 South'!U49</f>
        <v>0</v>
      </c>
      <c r="V127" s="383">
        <f>'700 South'!V49</f>
        <v>0</v>
      </c>
      <c r="W127" s="383">
        <f>'700 South'!W49</f>
        <v>0</v>
      </c>
      <c r="X127" s="383">
        <f>'700 South'!X49</f>
        <v>0</v>
      </c>
      <c r="Y127" s="383">
        <f>'700 South'!Y49</f>
        <v>0</v>
      </c>
      <c r="Z127" s="383">
        <f>'700 South'!Z49</f>
        <v>0</v>
      </c>
      <c r="AA127" s="383">
        <f>'700 South'!AA49</f>
        <v>0</v>
      </c>
      <c r="AB127" s="383">
        <f>'700 South'!AB49</f>
        <v>0</v>
      </c>
      <c r="AC127" s="383">
        <f>'700 South'!AC49</f>
        <v>0</v>
      </c>
      <c r="AD127" s="383">
        <f>'700 South'!AD49</f>
        <v>0</v>
      </c>
      <c r="AE127" s="383">
        <f>'700 South'!AE49</f>
        <v>0</v>
      </c>
      <c r="AF127" s="383">
        <f>'700 South'!AF49</f>
        <v>0</v>
      </c>
      <c r="AG127" s="383">
        <f>'700 South'!AG49</f>
        <v>0</v>
      </c>
      <c r="AH127" s="383">
        <f>'700 South'!AH49</f>
        <v>0</v>
      </c>
      <c r="AI127" s="383">
        <f>'700 South'!AI49</f>
        <v>0</v>
      </c>
      <c r="AJ127" s="383">
        <f>'700 South'!AJ49</f>
        <v>0</v>
      </c>
      <c r="AK127" s="383">
        <f>'700 South'!AK49</f>
        <v>0</v>
      </c>
      <c r="AL127" s="383">
        <f>'700 South'!AL49</f>
        <v>0</v>
      </c>
    </row>
    <row r="128" spans="1:38">
      <c r="B128" s="358" t="s">
        <v>769</v>
      </c>
      <c r="C128" s="358" t="s">
        <v>443</v>
      </c>
      <c r="D128" s="383">
        <f>'700 South'!D50</f>
        <v>0</v>
      </c>
      <c r="E128" s="383">
        <f>'700 South'!E50</f>
        <v>0</v>
      </c>
      <c r="F128" s="383">
        <f>'700 South'!F50</f>
        <v>0</v>
      </c>
      <c r="G128" s="383">
        <f>'700 South'!G50</f>
        <v>0</v>
      </c>
      <c r="H128" s="383">
        <f>'700 South'!H50</f>
        <v>0</v>
      </c>
      <c r="I128" s="383">
        <f>'700 South'!I50</f>
        <v>0</v>
      </c>
      <c r="J128" s="383">
        <f>'700 South'!J50</f>
        <v>0</v>
      </c>
      <c r="K128" s="383">
        <f>'700 South'!K50</f>
        <v>0</v>
      </c>
      <c r="L128" s="383">
        <f>'700 South'!L50</f>
        <v>0</v>
      </c>
      <c r="M128" s="383">
        <f>'700 South'!M50</f>
        <v>0</v>
      </c>
      <c r="N128" s="383">
        <f>'700 South'!N50</f>
        <v>0</v>
      </c>
      <c r="O128" s="383">
        <f>'700 South'!O50</f>
        <v>0</v>
      </c>
      <c r="P128" s="383">
        <f>'700 South'!P50</f>
        <v>0</v>
      </c>
      <c r="Q128" s="383">
        <f>'700 South'!Q50</f>
        <v>0</v>
      </c>
      <c r="R128" s="383">
        <f>'700 South'!R50</f>
        <v>0</v>
      </c>
      <c r="S128" s="383">
        <f>'700 South'!S50</f>
        <v>0</v>
      </c>
      <c r="T128" s="383">
        <f>'700 South'!T50</f>
        <v>0</v>
      </c>
      <c r="U128" s="383">
        <f>'700 South'!U50</f>
        <v>0</v>
      </c>
      <c r="V128" s="383">
        <f>'700 South'!V50</f>
        <v>0</v>
      </c>
      <c r="W128" s="383">
        <f>'700 South'!W50</f>
        <v>0</v>
      </c>
      <c r="X128" s="383">
        <f>'700 South'!X50</f>
        <v>0</v>
      </c>
      <c r="Y128" s="383">
        <f>'700 South'!Y50</f>
        <v>0</v>
      </c>
      <c r="Z128" s="383">
        <f>'700 South'!Z50</f>
        <v>0</v>
      </c>
      <c r="AA128" s="383">
        <f>'700 South'!AA50</f>
        <v>0</v>
      </c>
      <c r="AB128" s="383">
        <f>'700 South'!AB50</f>
        <v>0</v>
      </c>
      <c r="AC128" s="383">
        <f>'700 South'!AC50</f>
        <v>0</v>
      </c>
      <c r="AD128" s="383">
        <f>'700 South'!AD50</f>
        <v>0</v>
      </c>
      <c r="AE128" s="383">
        <f>'700 South'!AE50</f>
        <v>0</v>
      </c>
      <c r="AF128" s="383">
        <f>'700 South'!AF50</f>
        <v>0</v>
      </c>
      <c r="AG128" s="383">
        <f>'700 South'!AG50</f>
        <v>0</v>
      </c>
      <c r="AH128" s="383">
        <f>'700 South'!AH50</f>
        <v>0</v>
      </c>
      <c r="AI128" s="383">
        <f>'700 South'!AI50</f>
        <v>0</v>
      </c>
      <c r="AJ128" s="383">
        <f>'700 South'!AJ50</f>
        <v>0</v>
      </c>
      <c r="AK128" s="383">
        <f>'700 South'!AK50</f>
        <v>0</v>
      </c>
      <c r="AL128" s="383">
        <f>'700 South'!AL50</f>
        <v>0</v>
      </c>
    </row>
    <row r="129" spans="1:38">
      <c r="D129" s="358"/>
      <c r="F129" s="464"/>
      <c r="G129" s="465"/>
      <c r="H129" s="465"/>
    </row>
    <row r="130" spans="1:38">
      <c r="B130" s="476" t="s">
        <v>708</v>
      </c>
      <c r="C130" s="484" t="s">
        <v>292</v>
      </c>
      <c r="D130" s="582">
        <f t="shared" ref="D130:AL130" si="63">(D$126*D90+D$127*D95+D$128*D100)/Grams.Per.Metric.Ton*D105</f>
        <v>31.484203102476823</v>
      </c>
      <c r="E130" s="582">
        <f t="shared" si="63"/>
        <v>32.904921668663199</v>
      </c>
      <c r="F130" s="582">
        <f t="shared" si="63"/>
        <v>34.370143041656355</v>
      </c>
      <c r="G130" s="582">
        <f t="shared" si="63"/>
        <v>35.880379729285401</v>
      </c>
      <c r="H130" s="582">
        <f t="shared" si="63"/>
        <v>0</v>
      </c>
      <c r="I130" s="582">
        <f t="shared" si="63"/>
        <v>0</v>
      </c>
      <c r="J130" s="582">
        <f t="shared" si="63"/>
        <v>0</v>
      </c>
      <c r="K130" s="582">
        <f t="shared" si="63"/>
        <v>0</v>
      </c>
      <c r="L130" s="582">
        <f t="shared" si="63"/>
        <v>0</v>
      </c>
      <c r="M130" s="582">
        <f t="shared" si="63"/>
        <v>0</v>
      </c>
      <c r="N130" s="582">
        <f t="shared" si="63"/>
        <v>0</v>
      </c>
      <c r="O130" s="582">
        <f t="shared" si="63"/>
        <v>0</v>
      </c>
      <c r="P130" s="582">
        <f t="shared" si="63"/>
        <v>0</v>
      </c>
      <c r="Q130" s="582">
        <f t="shared" si="63"/>
        <v>0</v>
      </c>
      <c r="R130" s="582">
        <f t="shared" si="63"/>
        <v>0</v>
      </c>
      <c r="S130" s="582">
        <f t="shared" si="63"/>
        <v>0</v>
      </c>
      <c r="T130" s="582">
        <f t="shared" si="63"/>
        <v>0</v>
      </c>
      <c r="U130" s="582">
        <f t="shared" si="63"/>
        <v>0</v>
      </c>
      <c r="V130" s="582">
        <f t="shared" si="63"/>
        <v>0</v>
      </c>
      <c r="W130" s="582">
        <f t="shared" si="63"/>
        <v>0</v>
      </c>
      <c r="X130" s="582">
        <f t="shared" si="63"/>
        <v>0</v>
      </c>
      <c r="Y130" s="582">
        <f t="shared" si="63"/>
        <v>0</v>
      </c>
      <c r="Z130" s="582">
        <f t="shared" si="63"/>
        <v>0</v>
      </c>
      <c r="AA130" s="582">
        <f t="shared" si="63"/>
        <v>0</v>
      </c>
      <c r="AB130" s="582">
        <f t="shared" si="63"/>
        <v>0</v>
      </c>
      <c r="AC130" s="582">
        <f t="shared" si="63"/>
        <v>0</v>
      </c>
      <c r="AD130" s="582">
        <f t="shared" si="63"/>
        <v>0</v>
      </c>
      <c r="AE130" s="582">
        <f t="shared" si="63"/>
        <v>0</v>
      </c>
      <c r="AF130" s="582">
        <f t="shared" si="63"/>
        <v>0</v>
      </c>
      <c r="AG130" s="582">
        <f t="shared" si="63"/>
        <v>0</v>
      </c>
      <c r="AH130" s="582">
        <f t="shared" si="63"/>
        <v>0</v>
      </c>
      <c r="AI130" s="582">
        <f t="shared" si="63"/>
        <v>0</v>
      </c>
      <c r="AJ130" s="582">
        <f t="shared" si="63"/>
        <v>0</v>
      </c>
      <c r="AK130" s="582">
        <f t="shared" si="63"/>
        <v>0</v>
      </c>
      <c r="AL130" s="582">
        <f t="shared" si="63"/>
        <v>0</v>
      </c>
    </row>
    <row r="131" spans="1:38">
      <c r="B131" s="478" t="s">
        <v>709</v>
      </c>
      <c r="C131" s="484" t="s">
        <v>292</v>
      </c>
      <c r="D131" s="582">
        <f t="shared" ref="D131:AL131" si="64">(D$126*D91+D$127*D96+D$128*D101)/Grams.Per.Metric.Ton*D106</f>
        <v>9.7575441288815483</v>
      </c>
      <c r="E131" s="582">
        <f t="shared" si="64"/>
        <v>9.3265649097087806</v>
      </c>
      <c r="F131" s="582">
        <f t="shared" si="64"/>
        <v>8.8742920215802332</v>
      </c>
      <c r="G131" s="582">
        <f t="shared" si="64"/>
        <v>8.2818953783975271</v>
      </c>
      <c r="H131" s="582">
        <f t="shared" si="64"/>
        <v>0</v>
      </c>
      <c r="I131" s="582">
        <f t="shared" si="64"/>
        <v>0</v>
      </c>
      <c r="J131" s="582">
        <f t="shared" si="64"/>
        <v>0</v>
      </c>
      <c r="K131" s="582">
        <f t="shared" si="64"/>
        <v>0</v>
      </c>
      <c r="L131" s="582">
        <f t="shared" si="64"/>
        <v>0</v>
      </c>
      <c r="M131" s="582">
        <f t="shared" si="64"/>
        <v>0</v>
      </c>
      <c r="N131" s="582">
        <f t="shared" si="64"/>
        <v>0</v>
      </c>
      <c r="O131" s="582">
        <f t="shared" si="64"/>
        <v>0</v>
      </c>
      <c r="P131" s="582">
        <f t="shared" si="64"/>
        <v>0</v>
      </c>
      <c r="Q131" s="582">
        <f t="shared" si="64"/>
        <v>0</v>
      </c>
      <c r="R131" s="582">
        <f t="shared" si="64"/>
        <v>0</v>
      </c>
      <c r="S131" s="582">
        <f t="shared" si="64"/>
        <v>0</v>
      </c>
      <c r="T131" s="582">
        <f t="shared" si="64"/>
        <v>0</v>
      </c>
      <c r="U131" s="582">
        <f t="shared" si="64"/>
        <v>0</v>
      </c>
      <c r="V131" s="582">
        <f t="shared" si="64"/>
        <v>0</v>
      </c>
      <c r="W131" s="582">
        <f t="shared" si="64"/>
        <v>0</v>
      </c>
      <c r="X131" s="582">
        <f t="shared" si="64"/>
        <v>0</v>
      </c>
      <c r="Y131" s="582">
        <f t="shared" si="64"/>
        <v>0</v>
      </c>
      <c r="Z131" s="582">
        <f t="shared" si="64"/>
        <v>0</v>
      </c>
      <c r="AA131" s="582">
        <f t="shared" si="64"/>
        <v>0</v>
      </c>
      <c r="AB131" s="582">
        <f t="shared" si="64"/>
        <v>0</v>
      </c>
      <c r="AC131" s="582">
        <f t="shared" si="64"/>
        <v>0</v>
      </c>
      <c r="AD131" s="582">
        <f t="shared" si="64"/>
        <v>0</v>
      </c>
      <c r="AE131" s="582">
        <f t="shared" si="64"/>
        <v>0</v>
      </c>
      <c r="AF131" s="582">
        <f t="shared" si="64"/>
        <v>0</v>
      </c>
      <c r="AG131" s="582">
        <f t="shared" si="64"/>
        <v>0</v>
      </c>
      <c r="AH131" s="582">
        <f t="shared" si="64"/>
        <v>0</v>
      </c>
      <c r="AI131" s="582">
        <f t="shared" si="64"/>
        <v>0</v>
      </c>
      <c r="AJ131" s="582">
        <f t="shared" si="64"/>
        <v>0</v>
      </c>
      <c r="AK131" s="582">
        <f t="shared" si="64"/>
        <v>0</v>
      </c>
      <c r="AL131" s="582">
        <f t="shared" si="64"/>
        <v>0</v>
      </c>
    </row>
    <row r="132" spans="1:38">
      <c r="B132" s="478" t="s">
        <v>710</v>
      </c>
      <c r="C132" s="484" t="s">
        <v>292</v>
      </c>
      <c r="D132" s="582">
        <f t="shared" ref="D132:AL132" si="65">(D$126*D92+D$127*D97+D$128*D102)/Grams.Per.Metric.Ton*D107</f>
        <v>13.198816213419114</v>
      </c>
      <c r="E132" s="582">
        <f t="shared" si="65"/>
        <v>13.406507857981838</v>
      </c>
      <c r="F132" s="582">
        <f t="shared" si="65"/>
        <v>13.594013315110839</v>
      </c>
      <c r="G132" s="582">
        <f t="shared" si="65"/>
        <v>13.756246327965075</v>
      </c>
      <c r="H132" s="582">
        <f t="shared" si="65"/>
        <v>0</v>
      </c>
      <c r="I132" s="582">
        <f t="shared" si="65"/>
        <v>0</v>
      </c>
      <c r="J132" s="582">
        <f t="shared" si="65"/>
        <v>0</v>
      </c>
      <c r="K132" s="582">
        <f t="shared" si="65"/>
        <v>0</v>
      </c>
      <c r="L132" s="582">
        <f t="shared" si="65"/>
        <v>0</v>
      </c>
      <c r="M132" s="582">
        <f t="shared" si="65"/>
        <v>0</v>
      </c>
      <c r="N132" s="582">
        <f t="shared" si="65"/>
        <v>0</v>
      </c>
      <c r="O132" s="582">
        <f t="shared" si="65"/>
        <v>0</v>
      </c>
      <c r="P132" s="582">
        <f t="shared" si="65"/>
        <v>0</v>
      </c>
      <c r="Q132" s="582">
        <f t="shared" si="65"/>
        <v>0</v>
      </c>
      <c r="R132" s="582">
        <f t="shared" si="65"/>
        <v>0</v>
      </c>
      <c r="S132" s="582">
        <f t="shared" si="65"/>
        <v>0</v>
      </c>
      <c r="T132" s="582">
        <f t="shared" si="65"/>
        <v>0</v>
      </c>
      <c r="U132" s="582">
        <f t="shared" si="65"/>
        <v>0</v>
      </c>
      <c r="V132" s="582">
        <f t="shared" si="65"/>
        <v>0</v>
      </c>
      <c r="W132" s="582">
        <f t="shared" si="65"/>
        <v>0</v>
      </c>
      <c r="X132" s="582">
        <f t="shared" si="65"/>
        <v>0</v>
      </c>
      <c r="Y132" s="582">
        <f t="shared" si="65"/>
        <v>0</v>
      </c>
      <c r="Z132" s="582">
        <f t="shared" si="65"/>
        <v>0</v>
      </c>
      <c r="AA132" s="582">
        <f t="shared" si="65"/>
        <v>0</v>
      </c>
      <c r="AB132" s="582">
        <f t="shared" si="65"/>
        <v>0</v>
      </c>
      <c r="AC132" s="582">
        <f t="shared" si="65"/>
        <v>0</v>
      </c>
      <c r="AD132" s="582">
        <f t="shared" si="65"/>
        <v>0</v>
      </c>
      <c r="AE132" s="582">
        <f t="shared" si="65"/>
        <v>0</v>
      </c>
      <c r="AF132" s="582">
        <f t="shared" si="65"/>
        <v>0</v>
      </c>
      <c r="AG132" s="582">
        <f t="shared" si="65"/>
        <v>0</v>
      </c>
      <c r="AH132" s="582">
        <f t="shared" si="65"/>
        <v>0</v>
      </c>
      <c r="AI132" s="582">
        <f t="shared" si="65"/>
        <v>0</v>
      </c>
      <c r="AJ132" s="582">
        <f t="shared" si="65"/>
        <v>0</v>
      </c>
      <c r="AK132" s="582">
        <f t="shared" si="65"/>
        <v>0</v>
      </c>
      <c r="AL132" s="582">
        <f t="shared" si="65"/>
        <v>0</v>
      </c>
    </row>
    <row r="133" spans="1:38">
      <c r="B133" s="478" t="s">
        <v>711</v>
      </c>
      <c r="C133" s="484" t="s">
        <v>292</v>
      </c>
      <c r="D133" s="582">
        <f t="shared" ref="D133:AL133" si="66">(D$126*D93+D$127*D98+D$128*D103)/Grams.Per.Metric.Ton*D108</f>
        <v>0.16734565784438879</v>
      </c>
      <c r="E133" s="582">
        <f t="shared" si="66"/>
        <v>0.17496074576444198</v>
      </c>
      <c r="F133" s="582">
        <f t="shared" si="66"/>
        <v>0.18324450943519444</v>
      </c>
      <c r="G133" s="582">
        <f t="shared" si="66"/>
        <v>0.19179541967350047</v>
      </c>
      <c r="H133" s="582">
        <f t="shared" si="66"/>
        <v>0</v>
      </c>
      <c r="I133" s="582">
        <f t="shared" si="66"/>
        <v>0</v>
      </c>
      <c r="J133" s="582">
        <f t="shared" si="66"/>
        <v>0</v>
      </c>
      <c r="K133" s="582">
        <f t="shared" si="66"/>
        <v>0</v>
      </c>
      <c r="L133" s="582">
        <f t="shared" si="66"/>
        <v>0</v>
      </c>
      <c r="M133" s="582">
        <f t="shared" si="66"/>
        <v>0</v>
      </c>
      <c r="N133" s="582">
        <f t="shared" si="66"/>
        <v>0</v>
      </c>
      <c r="O133" s="582">
        <f t="shared" si="66"/>
        <v>0</v>
      </c>
      <c r="P133" s="582">
        <f t="shared" si="66"/>
        <v>0</v>
      </c>
      <c r="Q133" s="582">
        <f t="shared" si="66"/>
        <v>0</v>
      </c>
      <c r="R133" s="582">
        <f t="shared" si="66"/>
        <v>0</v>
      </c>
      <c r="S133" s="582">
        <f t="shared" si="66"/>
        <v>0</v>
      </c>
      <c r="T133" s="582">
        <f t="shared" si="66"/>
        <v>0</v>
      </c>
      <c r="U133" s="582">
        <f t="shared" si="66"/>
        <v>0</v>
      </c>
      <c r="V133" s="582">
        <f t="shared" si="66"/>
        <v>0</v>
      </c>
      <c r="W133" s="582">
        <f t="shared" si="66"/>
        <v>0</v>
      </c>
      <c r="X133" s="582">
        <f t="shared" si="66"/>
        <v>0</v>
      </c>
      <c r="Y133" s="582">
        <f t="shared" si="66"/>
        <v>0</v>
      </c>
      <c r="Z133" s="582">
        <f t="shared" si="66"/>
        <v>0</v>
      </c>
      <c r="AA133" s="582">
        <f t="shared" si="66"/>
        <v>0</v>
      </c>
      <c r="AB133" s="582">
        <f t="shared" si="66"/>
        <v>0</v>
      </c>
      <c r="AC133" s="582">
        <f t="shared" si="66"/>
        <v>0</v>
      </c>
      <c r="AD133" s="582">
        <f t="shared" si="66"/>
        <v>0</v>
      </c>
      <c r="AE133" s="582">
        <f t="shared" si="66"/>
        <v>0</v>
      </c>
      <c r="AF133" s="582">
        <f t="shared" si="66"/>
        <v>0</v>
      </c>
      <c r="AG133" s="582">
        <f t="shared" si="66"/>
        <v>0</v>
      </c>
      <c r="AH133" s="582">
        <f t="shared" si="66"/>
        <v>0</v>
      </c>
      <c r="AI133" s="582">
        <f t="shared" si="66"/>
        <v>0</v>
      </c>
      <c r="AJ133" s="582">
        <f t="shared" si="66"/>
        <v>0</v>
      </c>
      <c r="AK133" s="582">
        <f t="shared" si="66"/>
        <v>0</v>
      </c>
      <c r="AL133" s="582">
        <f t="shared" si="66"/>
        <v>0</v>
      </c>
    </row>
    <row r="134" spans="1:38">
      <c r="D134" s="358"/>
      <c r="F134" s="464"/>
      <c r="G134" s="465"/>
      <c r="H134" s="465"/>
    </row>
    <row r="135" spans="1:38" ht="13">
      <c r="B135" s="493" t="s">
        <v>465</v>
      </c>
      <c r="C135" s="487" t="s">
        <v>292</v>
      </c>
      <c r="D135" s="488">
        <f t="shared" ref="D135:AL135" si="67">D130</f>
        <v>31.484203102476823</v>
      </c>
      <c r="E135" s="488">
        <f t="shared" si="67"/>
        <v>32.904921668663199</v>
      </c>
      <c r="F135" s="488">
        <f t="shared" si="67"/>
        <v>34.370143041656355</v>
      </c>
      <c r="G135" s="488">
        <f t="shared" si="67"/>
        <v>35.880379729285401</v>
      </c>
      <c r="H135" s="488">
        <f t="shared" si="67"/>
        <v>0</v>
      </c>
      <c r="I135" s="488">
        <f t="shared" si="67"/>
        <v>0</v>
      </c>
      <c r="J135" s="488">
        <f t="shared" si="67"/>
        <v>0</v>
      </c>
      <c r="K135" s="488">
        <f t="shared" si="67"/>
        <v>0</v>
      </c>
      <c r="L135" s="488">
        <f t="shared" si="67"/>
        <v>0</v>
      </c>
      <c r="M135" s="488">
        <f t="shared" si="67"/>
        <v>0</v>
      </c>
      <c r="N135" s="488">
        <f t="shared" si="67"/>
        <v>0</v>
      </c>
      <c r="O135" s="488">
        <f t="shared" si="67"/>
        <v>0</v>
      </c>
      <c r="P135" s="488">
        <f t="shared" si="67"/>
        <v>0</v>
      </c>
      <c r="Q135" s="488">
        <f t="shared" si="67"/>
        <v>0</v>
      </c>
      <c r="R135" s="488">
        <f t="shared" si="67"/>
        <v>0</v>
      </c>
      <c r="S135" s="488">
        <f t="shared" si="67"/>
        <v>0</v>
      </c>
      <c r="T135" s="488">
        <f t="shared" si="67"/>
        <v>0</v>
      </c>
      <c r="U135" s="488">
        <f t="shared" si="67"/>
        <v>0</v>
      </c>
      <c r="V135" s="488">
        <f t="shared" si="67"/>
        <v>0</v>
      </c>
      <c r="W135" s="488">
        <f t="shared" si="67"/>
        <v>0</v>
      </c>
      <c r="X135" s="488">
        <f t="shared" si="67"/>
        <v>0</v>
      </c>
      <c r="Y135" s="488">
        <f t="shared" si="67"/>
        <v>0</v>
      </c>
      <c r="Z135" s="488">
        <f t="shared" si="67"/>
        <v>0</v>
      </c>
      <c r="AA135" s="488">
        <f t="shared" si="67"/>
        <v>0</v>
      </c>
      <c r="AB135" s="488">
        <f t="shared" si="67"/>
        <v>0</v>
      </c>
      <c r="AC135" s="488">
        <f t="shared" si="67"/>
        <v>0</v>
      </c>
      <c r="AD135" s="488">
        <f t="shared" si="67"/>
        <v>0</v>
      </c>
      <c r="AE135" s="488">
        <f t="shared" si="67"/>
        <v>0</v>
      </c>
      <c r="AF135" s="488">
        <f t="shared" si="67"/>
        <v>0</v>
      </c>
      <c r="AG135" s="488">
        <f t="shared" si="67"/>
        <v>0</v>
      </c>
      <c r="AH135" s="488">
        <f t="shared" si="67"/>
        <v>0</v>
      </c>
      <c r="AI135" s="488">
        <f t="shared" si="67"/>
        <v>0</v>
      </c>
      <c r="AJ135" s="488">
        <f t="shared" si="67"/>
        <v>0</v>
      </c>
      <c r="AK135" s="488">
        <f t="shared" si="67"/>
        <v>0</v>
      </c>
      <c r="AL135" s="488">
        <f t="shared" si="67"/>
        <v>0</v>
      </c>
    </row>
    <row r="136" spans="1:38" ht="13">
      <c r="B136" s="494" t="s">
        <v>466</v>
      </c>
      <c r="C136" s="487" t="s">
        <v>292</v>
      </c>
      <c r="D136" s="488">
        <f t="shared" ref="D136:AL136" si="68">SUM(D130:D133)</f>
        <v>54.607909102621875</v>
      </c>
      <c r="E136" s="488">
        <f t="shared" si="68"/>
        <v>55.812955182118259</v>
      </c>
      <c r="F136" s="488">
        <f t="shared" si="68"/>
        <v>57.021692887782613</v>
      </c>
      <c r="G136" s="488">
        <f t="shared" si="68"/>
        <v>58.110316855321507</v>
      </c>
      <c r="H136" s="488">
        <f t="shared" si="68"/>
        <v>0</v>
      </c>
      <c r="I136" s="488">
        <f t="shared" si="68"/>
        <v>0</v>
      </c>
      <c r="J136" s="488">
        <f t="shared" si="68"/>
        <v>0</v>
      </c>
      <c r="K136" s="488">
        <f t="shared" si="68"/>
        <v>0</v>
      </c>
      <c r="L136" s="488">
        <f t="shared" si="68"/>
        <v>0</v>
      </c>
      <c r="M136" s="488">
        <f t="shared" si="68"/>
        <v>0</v>
      </c>
      <c r="N136" s="488">
        <f t="shared" si="68"/>
        <v>0</v>
      </c>
      <c r="O136" s="488">
        <f t="shared" si="68"/>
        <v>0</v>
      </c>
      <c r="P136" s="488">
        <f t="shared" si="68"/>
        <v>0</v>
      </c>
      <c r="Q136" s="488">
        <f t="shared" si="68"/>
        <v>0</v>
      </c>
      <c r="R136" s="488">
        <f t="shared" si="68"/>
        <v>0</v>
      </c>
      <c r="S136" s="488">
        <f t="shared" si="68"/>
        <v>0</v>
      </c>
      <c r="T136" s="488">
        <f t="shared" si="68"/>
        <v>0</v>
      </c>
      <c r="U136" s="488">
        <f t="shared" si="68"/>
        <v>0</v>
      </c>
      <c r="V136" s="488">
        <f t="shared" si="68"/>
        <v>0</v>
      </c>
      <c r="W136" s="488">
        <f t="shared" si="68"/>
        <v>0</v>
      </c>
      <c r="X136" s="488">
        <f t="shared" si="68"/>
        <v>0</v>
      </c>
      <c r="Y136" s="488">
        <f t="shared" si="68"/>
        <v>0</v>
      </c>
      <c r="Z136" s="488">
        <f t="shared" si="68"/>
        <v>0</v>
      </c>
      <c r="AA136" s="488">
        <f t="shared" si="68"/>
        <v>0</v>
      </c>
      <c r="AB136" s="488">
        <f t="shared" si="68"/>
        <v>0</v>
      </c>
      <c r="AC136" s="488">
        <f t="shared" si="68"/>
        <v>0</v>
      </c>
      <c r="AD136" s="488">
        <f t="shared" si="68"/>
        <v>0</v>
      </c>
      <c r="AE136" s="488">
        <f t="shared" si="68"/>
        <v>0</v>
      </c>
      <c r="AF136" s="488">
        <f t="shared" si="68"/>
        <v>0</v>
      </c>
      <c r="AG136" s="488">
        <f t="shared" si="68"/>
        <v>0</v>
      </c>
      <c r="AH136" s="488">
        <f t="shared" si="68"/>
        <v>0</v>
      </c>
      <c r="AI136" s="488">
        <f t="shared" si="68"/>
        <v>0</v>
      </c>
      <c r="AJ136" s="488">
        <f t="shared" si="68"/>
        <v>0</v>
      </c>
      <c r="AK136" s="488">
        <f t="shared" si="68"/>
        <v>0</v>
      </c>
      <c r="AL136" s="488">
        <f t="shared" si="68"/>
        <v>0</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9">((D$112*D90+D$113*D95+D$114*D100)-(D$126*D90+D$127*D95+D$128*D100))/Grams.Per.Metric.Ton</f>
        <v>0</v>
      </c>
      <c r="E140" s="474">
        <f t="shared" si="69"/>
        <v>0</v>
      </c>
      <c r="F140" s="474">
        <f t="shared" si="69"/>
        <v>0</v>
      </c>
      <c r="G140" s="474">
        <f t="shared" si="69"/>
        <v>0</v>
      </c>
      <c r="H140" s="474">
        <f t="shared" si="69"/>
        <v>0.66850146604890759</v>
      </c>
      <c r="I140" s="474">
        <f t="shared" si="69"/>
        <v>0.68487072401540094</v>
      </c>
      <c r="J140" s="474">
        <f t="shared" si="69"/>
        <v>0.70147123239854325</v>
      </c>
      <c r="K140" s="474">
        <f t="shared" si="69"/>
        <v>0.7182949474935435</v>
      </c>
      <c r="L140" s="474">
        <f t="shared" si="69"/>
        <v>0.73533279776214178</v>
      </c>
      <c r="M140" s="474">
        <f t="shared" si="69"/>
        <v>0.7525746138935111</v>
      </c>
      <c r="N140" s="474">
        <f t="shared" si="69"/>
        <v>0.768008643608032</v>
      </c>
      <c r="O140" s="474">
        <f t="shared" si="69"/>
        <v>0.78346102074700841</v>
      </c>
      <c r="P140" s="474">
        <f t="shared" si="69"/>
        <v>0.79890802080861156</v>
      </c>
      <c r="Q140" s="474">
        <f t="shared" si="69"/>
        <v>0.81432397175181104</v>
      </c>
      <c r="R140" s="474">
        <f t="shared" si="69"/>
        <v>0.82968113533099275</v>
      </c>
      <c r="S140" s="474">
        <f t="shared" si="69"/>
        <v>0.84494958202004977</v>
      </c>
      <c r="T140" s="474">
        <f t="shared" si="69"/>
        <v>0.86009705920152502</v>
      </c>
      <c r="U140" s="474">
        <f t="shared" si="69"/>
        <v>0.87508885228091937</v>
      </c>
      <c r="V140" s="474">
        <f t="shared" si="69"/>
        <v>0.88988763836937423</v>
      </c>
      <c r="W140" s="474">
        <f t="shared" si="69"/>
        <v>0.90445333216107959</v>
      </c>
      <c r="X140" s="474">
        <f t="shared" si="69"/>
        <v>0.92612934945482028</v>
      </c>
      <c r="Y140" s="474">
        <f t="shared" si="69"/>
        <v>0.94808017920720056</v>
      </c>
      <c r="Z140" s="474">
        <f t="shared" si="69"/>
        <v>0.97029263148214095</v>
      </c>
      <c r="AA140" s="474">
        <f t="shared" si="69"/>
        <v>0.99275200140990227</v>
      </c>
      <c r="AB140" s="474">
        <f t="shared" si="69"/>
        <v>1.0154419682823059</v>
      </c>
      <c r="AC140" s="474">
        <f t="shared" si="69"/>
        <v>1.0383444889664069</v>
      </c>
      <c r="AD140" s="474">
        <f t="shared" si="69"/>
        <v>1.0614396853421633</v>
      </c>
      <c r="AE140" s="474">
        <f t="shared" si="69"/>
        <v>1.0847057254552519</v>
      </c>
      <c r="AF140" s="474">
        <f t="shared" si="69"/>
        <v>1.1081186980607736</v>
      </c>
      <c r="AG140" s="474">
        <f t="shared" si="69"/>
        <v>1.1316524802178498</v>
      </c>
      <c r="AH140" s="474">
        <f t="shared" si="69"/>
        <v>1.1773863540961587</v>
      </c>
      <c r="AI140" s="474">
        <f t="shared" si="69"/>
        <v>1.224968487273572</v>
      </c>
      <c r="AJ140" s="474">
        <f t="shared" si="69"/>
        <v>1.2744735741100255</v>
      </c>
      <c r="AK140" s="474">
        <f t="shared" si="69"/>
        <v>1.3259793276151692</v>
      </c>
      <c r="AL140" s="474">
        <f t="shared" si="69"/>
        <v>1.3795666014421339</v>
      </c>
    </row>
    <row r="141" spans="1:38" ht="13">
      <c r="B141" s="494" t="s">
        <v>815</v>
      </c>
      <c r="C141" s="387" t="s">
        <v>818</v>
      </c>
      <c r="D141" s="541">
        <f t="shared" ref="D141:AL141" si="70">((D$112*D91+D$113*D96+D$114*D101)-(D$126*D91+D$127*D96+D$128*D101))/Grams.Per.Metric.Ton</f>
        <v>0</v>
      </c>
      <c r="E141" s="541">
        <f t="shared" si="70"/>
        <v>0</v>
      </c>
      <c r="F141" s="541">
        <f t="shared" si="70"/>
        <v>0</v>
      </c>
      <c r="G141" s="541">
        <f t="shared" si="70"/>
        <v>0</v>
      </c>
      <c r="H141" s="541">
        <f t="shared" si="70"/>
        <v>4.5240820951420986E-4</v>
      </c>
      <c r="I141" s="541">
        <f t="shared" si="70"/>
        <v>4.013336854579586E-4</v>
      </c>
      <c r="J141" s="541">
        <f t="shared" si="70"/>
        <v>3.4539208475081528E-4</v>
      </c>
      <c r="K141" s="541">
        <f t="shared" si="70"/>
        <v>2.8427343451547078E-4</v>
      </c>
      <c r="L141" s="541">
        <f t="shared" si="70"/>
        <v>2.1765065688741003E-4</v>
      </c>
      <c r="M141" s="541">
        <f t="shared" si="70"/>
        <v>1.4517869273480239E-4</v>
      </c>
      <c r="N141" s="541">
        <f t="shared" si="70"/>
        <v>1.3936912660953267E-4</v>
      </c>
      <c r="O141" s="541">
        <f t="shared" si="70"/>
        <v>1.3285288081734951E-4</v>
      </c>
      <c r="P141" s="541">
        <f t="shared" si="70"/>
        <v>1.2558232517684967E-4</v>
      </c>
      <c r="Q141" s="541">
        <f t="shared" si="70"/>
        <v>1.1750713389274016E-4</v>
      </c>
      <c r="R141" s="541">
        <f t="shared" si="70"/>
        <v>1.0857414546972044E-4</v>
      </c>
      <c r="S141" s="541">
        <f t="shared" si="70"/>
        <v>9.8727215706228465E-5</v>
      </c>
      <c r="T141" s="541">
        <f t="shared" si="70"/>
        <v>8.7907063437559768E-5</v>
      </c>
      <c r="U141" s="541">
        <f t="shared" si="70"/>
        <v>7.6051108682352988E-5</v>
      </c>
      <c r="V141" s="541">
        <f t="shared" si="70"/>
        <v>6.3093302830441157E-5</v>
      </c>
      <c r="W141" s="541">
        <f t="shared" si="70"/>
        <v>4.8963950493059204E-5</v>
      </c>
      <c r="X141" s="541">
        <f t="shared" si="70"/>
        <v>4.9249121657134185E-5</v>
      </c>
      <c r="Y141" s="541">
        <f t="shared" si="70"/>
        <v>4.9477372420426618E-5</v>
      </c>
      <c r="Z141" s="541">
        <f t="shared" si="70"/>
        <v>4.9643636341415188E-5</v>
      </c>
      <c r="AA141" s="541">
        <f t="shared" si="70"/>
        <v>4.974253043940779E-5</v>
      </c>
      <c r="AB141" s="541">
        <f t="shared" si="70"/>
        <v>4.9768337884435107E-5</v>
      </c>
      <c r="AC141" s="541">
        <f t="shared" si="70"/>
        <v>4.9714989805005799E-5</v>
      </c>
      <c r="AD141" s="541">
        <f t="shared" si="70"/>
        <v>4.9576046170703519E-5</v>
      </c>
      <c r="AE141" s="541">
        <f t="shared" si="70"/>
        <v>4.9344675704546109E-5</v>
      </c>
      <c r="AF141" s="541">
        <f t="shared" si="70"/>
        <v>4.9013634777928117E-5</v>
      </c>
      <c r="AG141" s="541">
        <f t="shared" si="70"/>
        <v>4.8575245238703431E-5</v>
      </c>
      <c r="AH141" s="541">
        <f t="shared" si="70"/>
        <v>5.0538333888433702E-5</v>
      </c>
      <c r="AI141" s="541">
        <f t="shared" si="70"/>
        <v>5.2580757537457617E-5</v>
      </c>
      <c r="AJ141" s="541">
        <f t="shared" si="70"/>
        <v>5.4705722379297682E-5</v>
      </c>
      <c r="AK141" s="541">
        <f t="shared" si="70"/>
        <v>5.691656418051472E-5</v>
      </c>
      <c r="AL141" s="541">
        <f t="shared" si="70"/>
        <v>5.9216753517189241E-5</v>
      </c>
    </row>
    <row r="142" spans="1:38" ht="13">
      <c r="B142" s="494" t="s">
        <v>816</v>
      </c>
      <c r="C142" s="387" t="s">
        <v>818</v>
      </c>
      <c r="D142" s="541">
        <f t="shared" ref="D142:AL142" si="71">((D$112*D92+D$113*D97+D$114*D102)-(D$126*D92+D$127*D97+D$128*D102))/Grams.Per.Metric.Ton</f>
        <v>0</v>
      </c>
      <c r="E142" s="541">
        <f t="shared" si="71"/>
        <v>0</v>
      </c>
      <c r="F142" s="541">
        <f t="shared" si="71"/>
        <v>0</v>
      </c>
      <c r="G142" s="541">
        <f t="shared" si="71"/>
        <v>0</v>
      </c>
      <c r="H142" s="541">
        <f t="shared" si="71"/>
        <v>1.7436102561520841E-5</v>
      </c>
      <c r="I142" s="541">
        <f t="shared" si="71"/>
        <v>1.7256867960573998E-5</v>
      </c>
      <c r="J142" s="541">
        <f t="shared" si="71"/>
        <v>1.7034669088512117E-5</v>
      </c>
      <c r="K142" s="541">
        <f t="shared" si="71"/>
        <v>1.6766326017611821E-5</v>
      </c>
      <c r="L142" s="541">
        <f t="shared" si="71"/>
        <v>1.6448471967987237E-5</v>
      </c>
      <c r="M142" s="541">
        <f t="shared" si="71"/>
        <v>1.6077543398526936E-5</v>
      </c>
      <c r="N142" s="541">
        <f t="shared" si="71"/>
        <v>1.6064284735364919E-5</v>
      </c>
      <c r="O142" s="541">
        <f t="shared" si="71"/>
        <v>1.6023695942422234E-5</v>
      </c>
      <c r="P142" s="541">
        <f t="shared" si="71"/>
        <v>1.5953589669772474E-5</v>
      </c>
      <c r="Q142" s="541">
        <f t="shared" si="71"/>
        <v>1.5851646407831197E-5</v>
      </c>
      <c r="R142" s="541">
        <f t="shared" si="71"/>
        <v>1.5715407377791244E-5</v>
      </c>
      <c r="S142" s="541">
        <f t="shared" si="71"/>
        <v>1.5542267063263503E-5</v>
      </c>
      <c r="T142" s="541">
        <f t="shared" si="71"/>
        <v>1.5329465365735583E-5</v>
      </c>
      <c r="U142" s="541">
        <f t="shared" si="71"/>
        <v>1.50740793656387E-5</v>
      </c>
      <c r="V142" s="541">
        <f t="shared" si="71"/>
        <v>1.4773014669958837E-5</v>
      </c>
      <c r="W142" s="541">
        <f t="shared" si="71"/>
        <v>1.4422996326428056E-5</v>
      </c>
      <c r="X142" s="541">
        <f t="shared" si="71"/>
        <v>1.448858915478263E-5</v>
      </c>
      <c r="Y142" s="541">
        <f t="shared" si="71"/>
        <v>1.4535927431352373E-5</v>
      </c>
      <c r="Z142" s="541">
        <f t="shared" si="71"/>
        <v>1.4563428571974209E-5</v>
      </c>
      <c r="AA142" s="541">
        <f t="shared" si="71"/>
        <v>1.4569411891464247E-5</v>
      </c>
      <c r="AB142" s="541">
        <f t="shared" si="71"/>
        <v>1.4552093259173213E-5</v>
      </c>
      <c r="AC142" s="541">
        <f t="shared" si="71"/>
        <v>1.4509579482790376E-5</v>
      </c>
      <c r="AD142" s="541">
        <f t="shared" si="71"/>
        <v>1.4439862407161506E-5</v>
      </c>
      <c r="AE142" s="541">
        <f t="shared" si="71"/>
        <v>1.4340812714255193E-5</v>
      </c>
      <c r="AF142" s="541">
        <f t="shared" si="71"/>
        <v>1.4210173409765049E-5</v>
      </c>
      <c r="AG142" s="541">
        <f t="shared" si="71"/>
        <v>1.4045552981141799E-5</v>
      </c>
      <c r="AH142" s="541">
        <f t="shared" si="71"/>
        <v>1.461318090563235E-5</v>
      </c>
      <c r="AI142" s="541">
        <f t="shared" si="71"/>
        <v>1.5203748579173302E-5</v>
      </c>
      <c r="AJ142" s="541">
        <f t="shared" si="71"/>
        <v>1.5818183073995935E-5</v>
      </c>
      <c r="AK142" s="541">
        <f t="shared" si="71"/>
        <v>1.6457448928431093E-5</v>
      </c>
      <c r="AL142" s="541">
        <f t="shared" si="71"/>
        <v>1.7122549661040004E-5</v>
      </c>
    </row>
    <row r="143" spans="1:38" ht="13">
      <c r="B143" s="494" t="s">
        <v>817</v>
      </c>
      <c r="C143" s="387" t="s">
        <v>818</v>
      </c>
      <c r="D143" s="541">
        <f t="shared" ref="D143:AL143" si="72">((D$112*D93+D$113*D98+D$114*D103)-(D$126*D93+D$127*D98+D$128*D103))/Grams.Per.Metric.Ton</f>
        <v>0</v>
      </c>
      <c r="E143" s="541">
        <f t="shared" si="72"/>
        <v>0</v>
      </c>
      <c r="F143" s="541">
        <f t="shared" si="72"/>
        <v>0</v>
      </c>
      <c r="G143" s="541">
        <f t="shared" si="72"/>
        <v>0</v>
      </c>
      <c r="H143" s="541">
        <f t="shared" si="72"/>
        <v>4.4780541399539634E-6</v>
      </c>
      <c r="I143" s="541">
        <f t="shared" si="72"/>
        <v>4.588877892150528E-6</v>
      </c>
      <c r="J143" s="541">
        <f t="shared" si="72"/>
        <v>4.7013454297297881E-6</v>
      </c>
      <c r="K143" s="541">
        <f t="shared" si="72"/>
        <v>4.8154086127506059E-6</v>
      </c>
      <c r="L143" s="541">
        <f t="shared" si="72"/>
        <v>4.9310127255838439E-6</v>
      </c>
      <c r="M143" s="541">
        <f t="shared" si="72"/>
        <v>5.0480960240452121E-6</v>
      </c>
      <c r="N143" s="541">
        <f t="shared" si="72"/>
        <v>5.1536472378020507E-6</v>
      </c>
      <c r="O143" s="541">
        <f t="shared" si="72"/>
        <v>5.2594850601969612E-6</v>
      </c>
      <c r="P143" s="541">
        <f t="shared" si="72"/>
        <v>5.3654602664734764E-6</v>
      </c>
      <c r="Q143" s="541">
        <f t="shared" si="72"/>
        <v>5.4714111024284179E-6</v>
      </c>
      <c r="R143" s="541">
        <f t="shared" si="72"/>
        <v>5.5771625154176451E-6</v>
      </c>
      <c r="S143" s="541">
        <f t="shared" si="72"/>
        <v>5.6825253436701635E-6</v>
      </c>
      <c r="T143" s="541">
        <f t="shared" si="72"/>
        <v>5.7872954617966125E-6</v>
      </c>
      <c r="U143" s="541">
        <f t="shared" si="72"/>
        <v>5.8912528802756957E-6</v>
      </c>
      <c r="V143" s="541">
        <f t="shared" si="72"/>
        <v>5.9941607965941621E-6</v>
      </c>
      <c r="W143" s="541">
        <f t="shared" si="72"/>
        <v>6.0957645956035082E-6</v>
      </c>
      <c r="X143" s="541">
        <f t="shared" si="72"/>
        <v>6.2406693316274965E-6</v>
      </c>
      <c r="Y143" s="541">
        <f t="shared" si="72"/>
        <v>6.3873303985739412E-6</v>
      </c>
      <c r="Z143" s="541">
        <f t="shared" si="72"/>
        <v>6.5356530907853789E-6</v>
      </c>
      <c r="AA143" s="541">
        <f t="shared" si="72"/>
        <v>6.6855321793490103E-6</v>
      </c>
      <c r="AB143" s="541">
        <f t="shared" si="72"/>
        <v>6.8368512162134606E-6</v>
      </c>
      <c r="AC143" s="541">
        <f t="shared" si="72"/>
        <v>6.9894817992465911E-6</v>
      </c>
      <c r="AD143" s="541">
        <f t="shared" si="72"/>
        <v>7.1432827962142652E-6</v>
      </c>
      <c r="AE143" s="541">
        <f t="shared" si="72"/>
        <v>7.2980995255591708E-6</v>
      </c>
      <c r="AF143" s="541">
        <f t="shared" si="72"/>
        <v>7.4537628917565824E-6</v>
      </c>
      <c r="AG143" s="541">
        <f t="shared" si="72"/>
        <v>7.6100884729126897E-6</v>
      </c>
      <c r="AH143" s="541">
        <f t="shared" si="72"/>
        <v>7.9176376830341242E-6</v>
      </c>
      <c r="AI143" s="541">
        <f t="shared" si="72"/>
        <v>8.2376159886888094E-6</v>
      </c>
      <c r="AJ143" s="541">
        <f t="shared" si="72"/>
        <v>8.5705256913318951E-6</v>
      </c>
      <c r="AK143" s="541">
        <f t="shared" si="72"/>
        <v>8.9168893921057603E-6</v>
      </c>
      <c r="AL143" s="541">
        <f t="shared" si="72"/>
        <v>9.2772508122184938E-6</v>
      </c>
    </row>
    <row r="144" spans="1:38">
      <c r="D144" s="358"/>
      <c r="F144" s="464"/>
      <c r="G144" s="465"/>
      <c r="H144" s="465"/>
    </row>
    <row r="145" spans="1:38" ht="13">
      <c r="B145" s="492" t="s">
        <v>284</v>
      </c>
      <c r="C145" s="487" t="s">
        <v>292</v>
      </c>
      <c r="D145" s="583">
        <f t="shared" ref="D145:AL145" si="73">D122-D136</f>
        <v>0</v>
      </c>
      <c r="E145" s="583">
        <f t="shared" si="73"/>
        <v>0</v>
      </c>
      <c r="F145" s="583">
        <f t="shared" si="73"/>
        <v>0</v>
      </c>
      <c r="G145" s="583">
        <f t="shared" si="73"/>
        <v>0</v>
      </c>
      <c r="H145" s="583">
        <f t="shared" si="73"/>
        <v>59.127203949968987</v>
      </c>
      <c r="I145" s="583">
        <f t="shared" si="73"/>
        <v>60.004018743919495</v>
      </c>
      <c r="J145" s="583">
        <f t="shared" si="73"/>
        <v>60.822396820014156</v>
      </c>
      <c r="K145" s="583">
        <f t="shared" si="73"/>
        <v>61.492726999492099</v>
      </c>
      <c r="L145" s="583">
        <f t="shared" si="73"/>
        <v>62.043555317844316</v>
      </c>
      <c r="M145" s="583">
        <f t="shared" si="73"/>
        <v>62.472907401013522</v>
      </c>
      <c r="N145" s="583">
        <f t="shared" si="73"/>
        <v>64.071601573377293</v>
      </c>
      <c r="O145" s="583">
        <f t="shared" si="73"/>
        <v>65.666308871778753</v>
      </c>
      <c r="P145" s="583">
        <f t="shared" si="73"/>
        <v>67.252836281193439</v>
      </c>
      <c r="Q145" s="583">
        <f t="shared" si="73"/>
        <v>69.640931452783562</v>
      </c>
      <c r="R145" s="583">
        <f t="shared" si="73"/>
        <v>71.212317789917208</v>
      </c>
      <c r="S145" s="583">
        <f t="shared" si="73"/>
        <v>72.760450306485197</v>
      </c>
      <c r="T145" s="583">
        <f t="shared" si="73"/>
        <v>74.27940698540263</v>
      </c>
      <c r="U145" s="583">
        <f t="shared" si="73"/>
        <v>75.762765479856114</v>
      </c>
      <c r="V145" s="583">
        <f t="shared" si="73"/>
        <v>77.203569934643255</v>
      </c>
      <c r="W145" s="583">
        <f t="shared" si="73"/>
        <v>78.594295845526105</v>
      </c>
      <c r="X145" s="583">
        <f t="shared" si="73"/>
        <v>81.149146934097885</v>
      </c>
      <c r="Y145" s="583">
        <f t="shared" si="73"/>
        <v>84.699260790033136</v>
      </c>
      <c r="Z145" s="583">
        <f t="shared" si="73"/>
        <v>87.369079469086458</v>
      </c>
      <c r="AA145" s="583">
        <f t="shared" si="73"/>
        <v>90.08284982736798</v>
      </c>
      <c r="AB145" s="583">
        <f t="shared" si="73"/>
        <v>92.838409758658187</v>
      </c>
      <c r="AC145" s="583">
        <f t="shared" si="73"/>
        <v>95.633295892535273</v>
      </c>
      <c r="AD145" s="583">
        <f t="shared" si="73"/>
        <v>98.464720563809877</v>
      </c>
      <c r="AE145" s="583">
        <f t="shared" si="73"/>
        <v>101.32954732313459</v>
      </c>
      <c r="AF145" s="583">
        <f t="shared" si="73"/>
        <v>105.33238360293625</v>
      </c>
      <c r="AG145" s="583">
        <f t="shared" si="73"/>
        <v>108.27661204401005</v>
      </c>
      <c r="AH145" s="583">
        <f t="shared" si="73"/>
        <v>112.65243324862408</v>
      </c>
      <c r="AI145" s="583">
        <f t="shared" si="73"/>
        <v>117.20509607077015</v>
      </c>
      <c r="AJ145" s="583">
        <f t="shared" si="73"/>
        <v>121.94174727358804</v>
      </c>
      <c r="AK145" s="583">
        <f t="shared" si="73"/>
        <v>126.86982244489616</v>
      </c>
      <c r="AL145" s="583">
        <f t="shared" si="73"/>
        <v>131.9970576695664</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'700 South'!D25</f>
        <v>260.55199031632395</v>
      </c>
      <c r="E159" s="383">
        <f>'700 South'!E25</f>
        <v>271.08177050253028</v>
      </c>
      <c r="F159" s="383">
        <f>'700 South'!F25</f>
        <v>282.03709443774119</v>
      </c>
      <c r="G159" s="383">
        <f>'700 South'!G25</f>
        <v>293.4351597727258</v>
      </c>
      <c r="H159" s="383">
        <f>'700 South'!H25</f>
        <v>305.29385917302579</v>
      </c>
      <c r="I159" s="383">
        <f>'700 South'!I25</f>
        <v>317.63180840683441</v>
      </c>
      <c r="J159" s="383">
        <f>'700 South'!J25</f>
        <v>330.46837556800108</v>
      </c>
      <c r="K159" s="383">
        <f>'700 South'!K25</f>
        <v>343.8237114800358</v>
      </c>
      <c r="L159" s="383">
        <f>'700 South'!L25</f>
        <v>357.71878132884052</v>
      </c>
      <c r="M159" s="383">
        <f>'700 South'!M25</f>
        <v>372.1753975738261</v>
      </c>
      <c r="N159" s="383">
        <f>'700 South'!N25</f>
        <v>387.21625418907797</v>
      </c>
      <c r="O159" s="383">
        <f>'700 South'!O25</f>
        <v>402.86496228832186</v>
      </c>
      <c r="P159" s="383">
        <f>'700 South'!P25</f>
        <v>419.14608718961409</v>
      </c>
      <c r="Q159" s="383">
        <f>'700 South'!Q25</f>
        <v>436.08518697794005</v>
      </c>
      <c r="R159" s="383">
        <f>'700 South'!R25</f>
        <v>453.70885262625654</v>
      </c>
      <c r="S159" s="383">
        <f>'700 South'!S25</f>
        <v>472.04474973796295</v>
      </c>
      <c r="T159" s="383">
        <f>'700 South'!T25</f>
        <v>491.1216619763191</v>
      </c>
      <c r="U159" s="383">
        <f>'700 South'!U25</f>
        <v>510.96953624899908</v>
      </c>
      <c r="V159" s="383">
        <f>'700 South'!V25</f>
        <v>531.61952971870016</v>
      </c>
      <c r="W159" s="383">
        <f>'700 South'!W25</f>
        <v>553.10405871360933</v>
      </c>
      <c r="X159" s="383">
        <f>'700 South'!X25</f>
        <v>575.45684961450456</v>
      </c>
      <c r="Y159" s="383">
        <f>'700 South'!Y25</f>
        <v>598.7129917983774</v>
      </c>
      <c r="Z159" s="383">
        <f>'700 South'!Z25</f>
        <v>622.90899272168292</v>
      </c>
      <c r="AA159" s="383">
        <f>'700 South'!AA25</f>
        <v>648.0828352296885</v>
      </c>
      <c r="AB159" s="383">
        <f>'700 South'!AB25</f>
        <v>674.27403718188634</v>
      </c>
      <c r="AC159" s="383">
        <f>'700 South'!AC25</f>
        <v>701.52371348707004</v>
      </c>
      <c r="AD159" s="383">
        <f>'700 South'!AD25</f>
        <v>729.87464064545406</v>
      </c>
      <c r="AE159" s="383">
        <f>'700 South'!AE25</f>
        <v>759.37132389915905</v>
      </c>
      <c r="AF159" s="383">
        <f>'700 South'!AF25</f>
        <v>790.06006709647249</v>
      </c>
      <c r="AG159" s="383">
        <f>'700 South'!AG25</f>
        <v>821.98904537956071</v>
      </c>
      <c r="AH159" s="383">
        <f>'700 South'!AH25</f>
        <v>855.20838080973044</v>
      </c>
      <c r="AI159" s="383">
        <f>'700 South'!AI25</f>
        <v>889.77022104896696</v>
      </c>
      <c r="AJ159" s="383">
        <f>'700 South'!AJ25</f>
        <v>925.72882122125225</v>
      </c>
      <c r="AK159" s="383">
        <f>'700 South'!AK25</f>
        <v>963.14062908217613</v>
      </c>
      <c r="AL159" s="383">
        <f>'700 South'!AL25</f>
        <v>1002.0643736305382</v>
      </c>
    </row>
    <row r="160" spans="1:38">
      <c r="B160" s="385" t="s">
        <v>509</v>
      </c>
      <c r="C160" s="386" t="s">
        <v>443</v>
      </c>
      <c r="D160" s="383">
        <f>'700 South'!D26</f>
        <v>1.309306484001628</v>
      </c>
      <c r="E160" s="383">
        <f>'700 South'!E26</f>
        <v>1.3622199522740215</v>
      </c>
      <c r="F160" s="383">
        <f>'700 South'!F26</f>
        <v>1.4172718313454331</v>
      </c>
      <c r="G160" s="383">
        <f>'700 South'!G26</f>
        <v>1.4745485415714865</v>
      </c>
      <c r="H160" s="383">
        <f>'700 South'!H26</f>
        <v>1.5341399958443507</v>
      </c>
      <c r="I160" s="383">
        <f>'700 South'!I26</f>
        <v>1.5961397407378612</v>
      </c>
      <c r="J160" s="383">
        <f>'700 South'!J26</f>
        <v>1.6606451033567893</v>
      </c>
      <c r="K160" s="383">
        <f>'700 South'!K26</f>
        <v>1.727757344120783</v>
      </c>
      <c r="L160" s="383">
        <f>'700 South'!L26</f>
        <v>1.7975818157228167</v>
      </c>
      <c r="M160" s="383">
        <f>'700 South'!M26</f>
        <v>1.8702281285116891</v>
      </c>
      <c r="N160" s="383">
        <f>'700 South'!N26</f>
        <v>1.9458103225581809</v>
      </c>
      <c r="O160" s="383">
        <f>'700 South'!O26</f>
        <v>2.0244470466749842</v>
      </c>
      <c r="P160" s="383">
        <f>'700 South'!P26</f>
        <v>2.1062617446714276</v>
      </c>
      <c r="Q160" s="383">
        <f>'700 South'!Q26</f>
        <v>2.1913828491353771</v>
      </c>
      <c r="R160" s="383">
        <f>'700 South'!R26</f>
        <v>2.2799439830465151</v>
      </c>
      <c r="S160" s="383">
        <f>'700 South'!S26</f>
        <v>2.3720841695375023</v>
      </c>
      <c r="T160" s="383">
        <f>'700 South'!T26</f>
        <v>2.4679480501322568</v>
      </c>
      <c r="U160" s="383">
        <f>'700 South'!U26</f>
        <v>2.5676861118040155</v>
      </c>
      <c r="V160" s="383">
        <f>'700 South'!V26</f>
        <v>2.6714549232095486</v>
      </c>
      <c r="W160" s="383">
        <f>'700 South'!W26</f>
        <v>2.7794173804703983</v>
      </c>
      <c r="X160" s="383">
        <f>'700 South'!X26</f>
        <v>2.8917429628869575</v>
      </c>
      <c r="Y160" s="383">
        <f>'700 South'!Y26</f>
        <v>3.0086079989868213</v>
      </c>
      <c r="Z160" s="383">
        <f>'700 South'!Z26</f>
        <v>3.1301959433250399</v>
      </c>
      <c r="AA160" s="383">
        <f>'700 South'!AA26</f>
        <v>3.2566976644707966</v>
      </c>
      <c r="AB160" s="383">
        <f>'700 South'!AB26</f>
        <v>3.3883117446325945</v>
      </c>
      <c r="AC160" s="383">
        <f>'700 South'!AC26</f>
        <v>3.5252447913923119</v>
      </c>
      <c r="AD160" s="383">
        <f>'700 South'!AD26</f>
        <v>3.6677117620374577</v>
      </c>
      <c r="AE160" s="383">
        <f>'700 South'!AE26</f>
        <v>3.8159363010007992</v>
      </c>
      <c r="AF160" s="383">
        <f>'700 South'!AF26</f>
        <v>3.9701510909370481</v>
      </c>
      <c r="AG160" s="383">
        <f>'700 South'!AG26</f>
        <v>4.1305982179877425</v>
      </c>
      <c r="AH160" s="383">
        <f>'700 South'!AH26</f>
        <v>4.297529551807691</v>
      </c>
      <c r="AI160" s="383">
        <f>'700 South'!AI26</f>
        <v>4.4712071409495824</v>
      </c>
      <c r="AJ160" s="383">
        <f>'700 South'!AJ26</f>
        <v>4.6519036242273986</v>
      </c>
      <c r="AK160" s="383">
        <f>'700 South'!AK26</f>
        <v>4.8399026587044025</v>
      </c>
      <c r="AL160" s="383">
        <f>'700 South'!AL26</f>
        <v>5.0354993649775786</v>
      </c>
    </row>
    <row r="161" spans="2:38">
      <c r="B161" s="358" t="s">
        <v>769</v>
      </c>
      <c r="C161" s="358" t="s">
        <v>443</v>
      </c>
      <c r="D161" s="383">
        <f>'700 South'!D27</f>
        <v>0</v>
      </c>
      <c r="E161" s="383">
        <f>'700 South'!E27</f>
        <v>0</v>
      </c>
      <c r="F161" s="383">
        <f>'700 South'!F27</f>
        <v>0</v>
      </c>
      <c r="G161" s="383">
        <f>'700 South'!G27</f>
        <v>0</v>
      </c>
      <c r="H161" s="383">
        <f>'700 South'!H27</f>
        <v>0</v>
      </c>
      <c r="I161" s="383">
        <f>'700 South'!I27</f>
        <v>0</v>
      </c>
      <c r="J161" s="383">
        <f>'700 South'!J27</f>
        <v>0</v>
      </c>
      <c r="K161" s="383">
        <f>'700 South'!K27</f>
        <v>0</v>
      </c>
      <c r="L161" s="383">
        <f>'700 South'!L27</f>
        <v>0</v>
      </c>
      <c r="M161" s="383">
        <f>'700 South'!M27</f>
        <v>0</v>
      </c>
      <c r="N161" s="383">
        <f>'700 South'!N27</f>
        <v>0</v>
      </c>
      <c r="O161" s="383">
        <f>'700 South'!O27</f>
        <v>0</v>
      </c>
      <c r="P161" s="383">
        <f>'700 South'!P27</f>
        <v>0</v>
      </c>
      <c r="Q161" s="383">
        <f>'700 South'!Q27</f>
        <v>0</v>
      </c>
      <c r="R161" s="383">
        <f>'700 South'!R27</f>
        <v>0</v>
      </c>
      <c r="S161" s="383">
        <f>'700 South'!S27</f>
        <v>0</v>
      </c>
      <c r="T161" s="383">
        <f>'700 South'!T27</f>
        <v>0</v>
      </c>
      <c r="U161" s="383">
        <f>'700 South'!U27</f>
        <v>0</v>
      </c>
      <c r="V161" s="383">
        <f>'700 South'!V27</f>
        <v>0</v>
      </c>
      <c r="W161" s="383">
        <f>'700 South'!W27</f>
        <v>0</v>
      </c>
      <c r="X161" s="383">
        <f>'700 South'!X27</f>
        <v>0</v>
      </c>
      <c r="Y161" s="383">
        <f>'700 South'!Y27</f>
        <v>0</v>
      </c>
      <c r="Z161" s="383">
        <f>'700 South'!Z27</f>
        <v>0</v>
      </c>
      <c r="AA161" s="383">
        <f>'700 South'!AA27</f>
        <v>0</v>
      </c>
      <c r="AB161" s="383">
        <f>'700 South'!AB27</f>
        <v>0</v>
      </c>
      <c r="AC161" s="383">
        <f>'700 South'!AC27</f>
        <v>0</v>
      </c>
      <c r="AD161" s="383">
        <f>'700 South'!AD27</f>
        <v>0</v>
      </c>
      <c r="AE161" s="383">
        <f>'700 South'!AE27</f>
        <v>0</v>
      </c>
      <c r="AF161" s="383">
        <f>'700 South'!AF27</f>
        <v>0</v>
      </c>
      <c r="AG161" s="383">
        <f>'700 South'!AG27</f>
        <v>0</v>
      </c>
      <c r="AH161" s="383">
        <f>'700 South'!AH27</f>
        <v>0</v>
      </c>
      <c r="AI161" s="383">
        <f>'700 South'!AI27</f>
        <v>0</v>
      </c>
      <c r="AJ161" s="383">
        <f>'700 South'!AJ27</f>
        <v>0</v>
      </c>
      <c r="AK161" s="383">
        <f>'700 South'!AK27</f>
        <v>0</v>
      </c>
      <c r="AL161" s="383">
        <f>'700 South'!AL27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8.9890436659131758</v>
      </c>
      <c r="E166" s="383">
        <f t="shared" ref="E166:AK168" si="74">E159*$C163</f>
        <v>9.3523210823372942</v>
      </c>
      <c r="F166" s="383">
        <f t="shared" si="74"/>
        <v>9.7302797581020695</v>
      </c>
      <c r="G166" s="383">
        <f t="shared" si="74"/>
        <v>10.123513012159039</v>
      </c>
      <c r="H166" s="383">
        <f t="shared" si="74"/>
        <v>10.532638141469389</v>
      </c>
      <c r="I166" s="383">
        <f t="shared" si="74"/>
        <v>10.958297390035785</v>
      </c>
      <c r="J166" s="383">
        <f t="shared" si="74"/>
        <v>11.401158957096037</v>
      </c>
      <c r="K166" s="383">
        <f t="shared" si="74"/>
        <v>11.861918046061234</v>
      </c>
      <c r="L166" s="383">
        <f t="shared" si="74"/>
        <v>12.341297955844997</v>
      </c>
      <c r="M166" s="383">
        <f t="shared" si="74"/>
        <v>12.840051216296999</v>
      </c>
      <c r="N166" s="383">
        <f t="shared" si="74"/>
        <v>13.358960769523188</v>
      </c>
      <c r="O166" s="383">
        <f t="shared" si="74"/>
        <v>13.898841198947103</v>
      </c>
      <c r="P166" s="383">
        <f t="shared" si="74"/>
        <v>14.460540008041685</v>
      </c>
      <c r="Q166" s="383">
        <f t="shared" si="74"/>
        <v>15.04493895073893</v>
      </c>
      <c r="R166" s="383">
        <f t="shared" si="74"/>
        <v>15.652955415605849</v>
      </c>
      <c r="S166" s="383">
        <f t="shared" si="74"/>
        <v>16.28554386595972</v>
      </c>
      <c r="T166" s="383">
        <f t="shared" si="74"/>
        <v>16.943697338183007</v>
      </c>
      <c r="U166" s="383">
        <f t="shared" si="74"/>
        <v>17.628449000590464</v>
      </c>
      <c r="V166" s="383">
        <f t="shared" si="74"/>
        <v>18.340873775295155</v>
      </c>
      <c r="W166" s="383">
        <f t="shared" si="74"/>
        <v>19.082090025619518</v>
      </c>
      <c r="X166" s="383">
        <f t="shared" si="74"/>
        <v>19.853261311700404</v>
      </c>
      <c r="Y166" s="383">
        <f t="shared" si="74"/>
        <v>20.65559821704402</v>
      </c>
      <c r="Z166" s="383">
        <f t="shared" si="74"/>
        <v>21.490360248898057</v>
      </c>
      <c r="AA166" s="383">
        <f t="shared" si="74"/>
        <v>22.358857815424251</v>
      </c>
      <c r="AB166" s="383">
        <f t="shared" si="74"/>
        <v>23.262454282775074</v>
      </c>
      <c r="AC166" s="383">
        <f t="shared" si="74"/>
        <v>24.202568115303915</v>
      </c>
      <c r="AD166" s="383">
        <f t="shared" si="74"/>
        <v>25.180675102268161</v>
      </c>
      <c r="AE166" s="383">
        <f t="shared" si="74"/>
        <v>26.198310674520986</v>
      </c>
      <c r="AF166" s="383">
        <f t="shared" si="74"/>
        <v>27.257072314828299</v>
      </c>
      <c r="AG166" s="383">
        <f t="shared" si="74"/>
        <v>28.35862206559484</v>
      </c>
      <c r="AH166" s="383">
        <f t="shared" si="74"/>
        <v>29.504689137935696</v>
      </c>
      <c r="AI166" s="383">
        <f t="shared" si="74"/>
        <v>30.697072626189357</v>
      </c>
      <c r="AJ166" s="383">
        <f t="shared" si="74"/>
        <v>31.9376443321332</v>
      </c>
      <c r="AK166" s="383">
        <f t="shared" si="74"/>
        <v>33.228351703335072</v>
      </c>
      <c r="AL166" s="383">
        <f t="shared" ref="AL166" si="75">AL159*$C163</f>
        <v>34.571220890253564</v>
      </c>
    </row>
    <row r="167" spans="2:38">
      <c r="B167" s="385" t="s">
        <v>501</v>
      </c>
      <c r="C167" s="386" t="s">
        <v>479</v>
      </c>
      <c r="D167" s="383">
        <f t="shared" ref="D167:S168" si="76">D160*$C164</f>
        <v>4.5171073698056161E-2</v>
      </c>
      <c r="E167" s="383">
        <f t="shared" si="76"/>
        <v>4.6996588353453737E-2</v>
      </c>
      <c r="F167" s="383">
        <f t="shared" si="76"/>
        <v>4.8895878181417433E-2</v>
      </c>
      <c r="G167" s="383">
        <f t="shared" si="76"/>
        <v>5.087192468421628E-2</v>
      </c>
      <c r="H167" s="383">
        <f t="shared" si="76"/>
        <v>5.2927829856630089E-2</v>
      </c>
      <c r="I167" s="383">
        <f t="shared" si="76"/>
        <v>5.5066821055456204E-2</v>
      </c>
      <c r="J167" s="383">
        <f t="shared" si="76"/>
        <v>5.7292256065809226E-2</v>
      </c>
      <c r="K167" s="383">
        <f t="shared" si="76"/>
        <v>5.9607628372167008E-2</v>
      </c>
      <c r="L167" s="383">
        <f t="shared" si="76"/>
        <v>6.2016572642437172E-2</v>
      </c>
      <c r="M167" s="383">
        <f t="shared" si="76"/>
        <v>6.4522870433653262E-2</v>
      </c>
      <c r="N167" s="383">
        <f t="shared" si="76"/>
        <v>6.7130456128257229E-2</v>
      </c>
      <c r="O167" s="383">
        <f t="shared" si="76"/>
        <v>6.9843423110286948E-2</v>
      </c>
      <c r="P167" s="383">
        <f t="shared" si="76"/>
        <v>7.2666030191164244E-2</v>
      </c>
      <c r="Q167" s="383">
        <f t="shared" si="76"/>
        <v>7.5602708295170504E-2</v>
      </c>
      <c r="R167" s="383">
        <f t="shared" si="76"/>
        <v>7.8658067415104768E-2</v>
      </c>
      <c r="S167" s="383">
        <f t="shared" si="76"/>
        <v>8.1836903849043824E-2</v>
      </c>
      <c r="T167" s="383">
        <f t="shared" si="74"/>
        <v>8.5144207729562854E-2</v>
      </c>
      <c r="U167" s="383">
        <f t="shared" si="74"/>
        <v>8.8585170857238521E-2</v>
      </c>
      <c r="V167" s="383">
        <f t="shared" si="74"/>
        <v>9.2165194850729409E-2</v>
      </c>
      <c r="W167" s="383">
        <f t="shared" si="74"/>
        <v>9.5889899626228736E-2</v>
      </c>
      <c r="X167" s="383">
        <f t="shared" si="74"/>
        <v>9.9765132219600025E-2</v>
      </c>
      <c r="Y167" s="383">
        <f t="shared" si="74"/>
        <v>0.10379697596504532</v>
      </c>
      <c r="Z167" s="383">
        <f t="shared" si="74"/>
        <v>0.10799176004471386</v>
      </c>
      <c r="AA167" s="383">
        <f t="shared" si="74"/>
        <v>0.11235606942424246</v>
      </c>
      <c r="AB167" s="383">
        <f t="shared" si="74"/>
        <v>0.11689675518982449</v>
      </c>
      <c r="AC167" s="383">
        <f t="shared" si="74"/>
        <v>0.12162094530303474</v>
      </c>
      <c r="AD167" s="383">
        <f t="shared" si="74"/>
        <v>0.12653605579029228</v>
      </c>
      <c r="AE167" s="383">
        <f t="shared" si="74"/>
        <v>0.13164980238452756</v>
      </c>
      <c r="AF167" s="383">
        <f t="shared" si="74"/>
        <v>0.13697021263732814</v>
      </c>
      <c r="AG167" s="383">
        <f t="shared" si="74"/>
        <v>0.1425056385205771</v>
      </c>
      <c r="AH167" s="383">
        <f t="shared" si="74"/>
        <v>0.14826476953736531</v>
      </c>
      <c r="AI167" s="383">
        <f t="shared" si="74"/>
        <v>0.15425664636276057</v>
      </c>
      <c r="AJ167" s="383">
        <f t="shared" si="74"/>
        <v>0.16049067503584524</v>
      </c>
      <c r="AK167" s="383">
        <f t="shared" si="74"/>
        <v>0.16697664172530186</v>
      </c>
      <c r="AL167" s="383">
        <f t="shared" ref="AL167" si="77">AL160*$C164</f>
        <v>0.17372472809172643</v>
      </c>
    </row>
    <row r="168" spans="2:38">
      <c r="B168" s="385" t="s">
        <v>768</v>
      </c>
      <c r="C168" s="386" t="s">
        <v>479</v>
      </c>
      <c r="D168" s="383">
        <f t="shared" si="76"/>
        <v>0</v>
      </c>
      <c r="E168" s="383">
        <f t="shared" si="74"/>
        <v>0</v>
      </c>
      <c r="F168" s="383">
        <f t="shared" si="74"/>
        <v>0</v>
      </c>
      <c r="G168" s="383">
        <f t="shared" si="74"/>
        <v>0</v>
      </c>
      <c r="H168" s="383">
        <f t="shared" si="74"/>
        <v>0</v>
      </c>
      <c r="I168" s="383">
        <f t="shared" si="74"/>
        <v>0</v>
      </c>
      <c r="J168" s="383">
        <f t="shared" si="74"/>
        <v>0</v>
      </c>
      <c r="K168" s="383">
        <f t="shared" si="74"/>
        <v>0</v>
      </c>
      <c r="L168" s="383">
        <f t="shared" si="74"/>
        <v>0</v>
      </c>
      <c r="M168" s="383">
        <f t="shared" si="74"/>
        <v>0</v>
      </c>
      <c r="N168" s="383">
        <f t="shared" si="74"/>
        <v>0</v>
      </c>
      <c r="O168" s="383">
        <f t="shared" si="74"/>
        <v>0</v>
      </c>
      <c r="P168" s="383">
        <f t="shared" si="74"/>
        <v>0</v>
      </c>
      <c r="Q168" s="383">
        <f t="shared" si="74"/>
        <v>0</v>
      </c>
      <c r="R168" s="383">
        <f t="shared" si="74"/>
        <v>0</v>
      </c>
      <c r="S168" s="383">
        <f t="shared" si="74"/>
        <v>0</v>
      </c>
      <c r="T168" s="383">
        <f t="shared" si="74"/>
        <v>0</v>
      </c>
      <c r="U168" s="383">
        <f t="shared" si="74"/>
        <v>0</v>
      </c>
      <c r="V168" s="383">
        <f t="shared" si="74"/>
        <v>0</v>
      </c>
      <c r="W168" s="383">
        <f t="shared" si="74"/>
        <v>0</v>
      </c>
      <c r="X168" s="383">
        <f t="shared" si="74"/>
        <v>0</v>
      </c>
      <c r="Y168" s="383">
        <f t="shared" si="74"/>
        <v>0</v>
      </c>
      <c r="Z168" s="383">
        <f t="shared" si="74"/>
        <v>0</v>
      </c>
      <c r="AA168" s="383">
        <f t="shared" si="74"/>
        <v>0</v>
      </c>
      <c r="AB168" s="383">
        <f t="shared" si="74"/>
        <v>0</v>
      </c>
      <c r="AC168" s="383">
        <f t="shared" si="74"/>
        <v>0</v>
      </c>
      <c r="AD168" s="383">
        <f t="shared" si="74"/>
        <v>0</v>
      </c>
      <c r="AE168" s="383">
        <f t="shared" si="74"/>
        <v>0</v>
      </c>
      <c r="AF168" s="383">
        <f t="shared" si="74"/>
        <v>0</v>
      </c>
      <c r="AG168" s="383">
        <f t="shared" si="74"/>
        <v>0</v>
      </c>
      <c r="AH168" s="383">
        <f t="shared" si="74"/>
        <v>0</v>
      </c>
      <c r="AI168" s="383">
        <f t="shared" si="74"/>
        <v>0</v>
      </c>
      <c r="AJ168" s="383">
        <f t="shared" si="74"/>
        <v>0</v>
      </c>
      <c r="AK168" s="383">
        <f t="shared" si="74"/>
        <v>0</v>
      </c>
      <c r="AL168" s="383">
        <f t="shared" ref="AL168" si="78">AL161*$C165</f>
        <v>0</v>
      </c>
    </row>
    <row r="169" spans="2:38">
      <c r="D169" s="358"/>
      <c r="F169" s="464"/>
      <c r="G169" s="465"/>
      <c r="H169" s="465"/>
    </row>
    <row r="170" spans="2:38">
      <c r="B170" s="358" t="s">
        <v>459</v>
      </c>
      <c r="C170" s="362" t="s">
        <v>292</v>
      </c>
      <c r="D170" s="485">
        <f>SUMPRODUCT($C$153:$C$155,D166:D168)</f>
        <v>96.513974291165027</v>
      </c>
      <c r="E170" s="485">
        <f t="shared" ref="E170:AK170" si="79">SUMPRODUCT($C$153:$C$155,E166:E168)</f>
        <v>100.41442783576981</v>
      </c>
      <c r="F170" s="485">
        <f t="shared" si="79"/>
        <v>104.47251179571445</v>
      </c>
      <c r="G170" s="485">
        <f t="shared" si="79"/>
        <v>108.69459654499686</v>
      </c>
      <c r="H170" s="485">
        <f t="shared" si="79"/>
        <v>113.08730990580322</v>
      </c>
      <c r="I170" s="485">
        <f t="shared" si="79"/>
        <v>117.65754755285334</v>
      </c>
      <c r="J170" s="485">
        <f t="shared" si="79"/>
        <v>122.41248383822024</v>
      </c>
      <c r="K170" s="485">
        <f t="shared" si="79"/>
        <v>127.35958305361716</v>
      </c>
      <c r="L170" s="485">
        <f t="shared" si="79"/>
        <v>132.50661114783111</v>
      </c>
      <c r="M170" s="485">
        <f t="shared" si="79"/>
        <v>137.86164791769747</v>
      </c>
      <c r="N170" s="485">
        <f t="shared" si="79"/>
        <v>143.43309969175274</v>
      </c>
      <c r="O170" s="485">
        <f t="shared" si="79"/>
        <v>149.22971252647631</v>
      </c>
      <c r="P170" s="485">
        <f t="shared" si="79"/>
        <v>155.26058593583639</v>
      </c>
      <c r="Q170" s="485">
        <f t="shared" si="79"/>
        <v>161.53518717569321</v>
      </c>
      <c r="R170" s="485">
        <f t="shared" si="79"/>
        <v>168.06336610548257</v>
      </c>
      <c r="S170" s="485">
        <f t="shared" si="79"/>
        <v>174.85537065051102</v>
      </c>
      <c r="T170" s="485">
        <f t="shared" si="79"/>
        <v>181.92186288913186</v>
      </c>
      <c r="U170" s="485">
        <f t="shared" si="79"/>
        <v>189.27393579006065</v>
      </c>
      <c r="V170" s="485">
        <f t="shared" si="79"/>
        <v>196.92313062610023</v>
      </c>
      <c r="W170" s="485">
        <f t="shared" si="79"/>
        <v>204.88145509161302</v>
      </c>
      <c r="X170" s="485">
        <f t="shared" si="79"/>
        <v>213.16140215218101</v>
      </c>
      <c r="Y170" s="485">
        <f t="shared" si="79"/>
        <v>221.77596965604462</v>
      </c>
      <c r="Z170" s="485">
        <f t="shared" si="79"/>
        <v>230.73868073810462</v>
      </c>
      <c r="AA170" s="485">
        <f t="shared" si="79"/>
        <v>240.06360504851881</v>
      </c>
      <c r="AB170" s="485">
        <f t="shared" si="79"/>
        <v>249.76538083921696</v>
      </c>
      <c r="AC170" s="485">
        <f t="shared" si="79"/>
        <v>259.85923794300703</v>
      </c>
      <c r="AD170" s="485">
        <f t="shared" si="79"/>
        <v>270.36102168134272</v>
      </c>
      <c r="AE170" s="485">
        <f t="shared" si="79"/>
        <v>281.28721773828516</v>
      </c>
      <c r="AF170" s="485">
        <f t="shared" si="79"/>
        <v>292.65497803970442</v>
      </c>
      <c r="AG170" s="485">
        <f t="shared" si="79"/>
        <v>304.48214767834702</v>
      </c>
      <c r="AH170" s="485">
        <f t="shared" si="79"/>
        <v>316.78729292703457</v>
      </c>
      <c r="AI170" s="485">
        <f t="shared" si="79"/>
        <v>329.58973038397096</v>
      </c>
      <c r="AJ170" s="485">
        <f t="shared" si="79"/>
        <v>342.90955729590831</v>
      </c>
      <c r="AK170" s="485">
        <f t="shared" si="79"/>
        <v>356.76768310677448</v>
      </c>
      <c r="AL170" s="485">
        <f t="shared" ref="AL170" si="80">SUMPRODUCT($C$153:$C$155,AL166:AL168)</f>
        <v>371.18586228128657</v>
      </c>
    </row>
    <row r="171" spans="2:38">
      <c r="D171" s="358"/>
      <c r="F171" s="464"/>
      <c r="G171" s="465"/>
      <c r="H171" s="465"/>
    </row>
    <row r="172" spans="2:38">
      <c r="B172" s="748" t="s">
        <v>715</v>
      </c>
      <c r="C172" s="358" t="s">
        <v>295</v>
      </c>
      <c r="D172" s="383">
        <f>'700 South'!D32</f>
        <v>93.14733653808581</v>
      </c>
      <c r="E172" s="383">
        <f>'700 South'!E32</f>
        <v>96.911732954654568</v>
      </c>
      <c r="F172" s="383">
        <f>'700 South'!F32</f>
        <v>100.82826126149247</v>
      </c>
      <c r="G172" s="383">
        <f>'700 South'!G32</f>
        <v>104.90306961874947</v>
      </c>
      <c r="H172" s="383">
        <f>'700 South'!H32</f>
        <v>109.14255465435672</v>
      </c>
      <c r="I172" s="383">
        <f>'700 South'!I32</f>
        <v>113.55337150544329</v>
      </c>
      <c r="J172" s="383">
        <f>'700 South'!J32</f>
        <v>118.14244426556039</v>
      </c>
      <c r="K172" s="383">
        <f>'700 South'!K32</f>
        <v>122.91697685411279</v>
      </c>
      <c r="L172" s="383">
        <f>'700 South'!L32</f>
        <v>127.88446432506048</v>
      </c>
      <c r="M172" s="383">
        <f>'700 South'!M32</f>
        <v>133.05270463264281</v>
      </c>
      <c r="N172" s="383">
        <f>'700 South'!N32</f>
        <v>138.42981087259537</v>
      </c>
      <c r="O172" s="383">
        <f>'700 South'!O32</f>
        <v>144.02422401807505</v>
      </c>
      <c r="P172" s="383">
        <f>'700 South'!P32</f>
        <v>149.84472617028703</v>
      </c>
      <c r="Q172" s="383">
        <f>'700 South'!Q32</f>
        <v>155.90045434461356</v>
      </c>
      <c r="R172" s="383">
        <f>'700 South'!R32</f>
        <v>162.2009148138867</v>
      </c>
      <c r="S172" s="383">
        <f>'700 South'!S32</f>
        <v>168.75599803132175</v>
      </c>
      <c r="T172" s="383">
        <f>'700 South'!T32</f>
        <v>175.57599415653408</v>
      </c>
      <c r="U172" s="383">
        <f>'700 South'!U32</f>
        <v>182.67160920901716</v>
      </c>
      <c r="V172" s="383">
        <f>'700 South'!V32</f>
        <v>190.05398187443529</v>
      </c>
      <c r="W172" s="383">
        <f>'700 South'!W32</f>
        <v>197.73470099011533</v>
      </c>
      <c r="X172" s="383">
        <f>'700 South'!X32</f>
        <v>205.72582373718538</v>
      </c>
      <c r="Y172" s="383">
        <f>'700 South'!Y32</f>
        <v>214.0398945679199</v>
      </c>
      <c r="Z172" s="383">
        <f>'700 South'!Z32</f>
        <v>222.68996489800165</v>
      </c>
      <c r="AA172" s="383">
        <f>'700 South'!AA32</f>
        <v>231.68961359461363</v>
      </c>
      <c r="AB172" s="383">
        <f>'700 South'!AB32</f>
        <v>241.05296829252435</v>
      </c>
      <c r="AC172" s="383">
        <f>'700 South'!AC32</f>
        <v>250.79472757162753</v>
      </c>
      <c r="AD172" s="383">
        <f>'700 South'!AD32</f>
        <v>260.93018403074984</v>
      </c>
      <c r="AE172" s="383">
        <f>'700 South'!AE32</f>
        <v>271.47524829394933</v>
      </c>
      <c r="AF172" s="383">
        <f>'700 South'!AF32</f>
        <v>282.44647398698891</v>
      </c>
      <c r="AG172" s="383">
        <f>'700 South'!AG32</f>
        <v>293.86108372319296</v>
      </c>
      <c r="AH172" s="383">
        <f>'700 South'!AH32</f>
        <v>305.73699613947861</v>
      </c>
      <c r="AI172" s="383">
        <f>'700 South'!AI32</f>
        <v>318.09285402500569</v>
      </c>
      <c r="AJ172" s="383">
        <f>'700 South'!AJ32</f>
        <v>330.94805358659767</v>
      </c>
      <c r="AK172" s="383">
        <f>'700 South'!AK32</f>
        <v>344.32277489687795</v>
      </c>
      <c r="AL172" s="383">
        <f>'700 South'!AL32</f>
        <v>358.2380135729174</v>
      </c>
    </row>
    <row r="173" spans="2:38">
      <c r="B173" s="748" t="s">
        <v>716</v>
      </c>
      <c r="C173" s="358" t="s">
        <v>295</v>
      </c>
      <c r="D173" s="383">
        <f>'700 South'!D33</f>
        <v>1.0998174465613675</v>
      </c>
      <c r="E173" s="383">
        <f>'700 South'!E33</f>
        <v>1.1442647599101781</v>
      </c>
      <c r="F173" s="383">
        <f>'700 South'!F33</f>
        <v>1.1905083383301638</v>
      </c>
      <c r="G173" s="383">
        <f>'700 South'!G33</f>
        <v>1.2386207749200486</v>
      </c>
      <c r="H173" s="383">
        <f>'700 South'!H33</f>
        <v>1.2886775965092545</v>
      </c>
      <c r="I173" s="383">
        <f>'700 South'!I33</f>
        <v>1.3407573822198033</v>
      </c>
      <c r="J173" s="383">
        <f>'700 South'!J33</f>
        <v>1.394941886819703</v>
      </c>
      <c r="K173" s="383">
        <f>'700 South'!K33</f>
        <v>1.4513161690614576</v>
      </c>
      <c r="L173" s="383">
        <f>'700 South'!L33</f>
        <v>1.5099687252071661</v>
      </c>
      <c r="M173" s="383">
        <f>'700 South'!M33</f>
        <v>1.5709916279498188</v>
      </c>
      <c r="N173" s="383">
        <f>'700 South'!N33</f>
        <v>1.6344806709488719</v>
      </c>
      <c r="O173" s="383">
        <f>'700 South'!O33</f>
        <v>1.7005355192069866</v>
      </c>
      <c r="P173" s="383">
        <f>'700 South'!P33</f>
        <v>1.7692598655239991</v>
      </c>
      <c r="Q173" s="383">
        <f>'700 South'!Q33</f>
        <v>1.8407615932737167</v>
      </c>
      <c r="R173" s="383">
        <f>'700 South'!R33</f>
        <v>1.9151529457590726</v>
      </c>
      <c r="S173" s="383">
        <f>'700 South'!S33</f>
        <v>1.9925507024115019</v>
      </c>
      <c r="T173" s="383">
        <f>'700 South'!T33</f>
        <v>2.0730763621110957</v>
      </c>
      <c r="U173" s="383">
        <f>'700 South'!U33</f>
        <v>2.156856333915373</v>
      </c>
      <c r="V173" s="383">
        <f>'700 South'!V33</f>
        <v>2.2440221354960208</v>
      </c>
      <c r="W173" s="383">
        <f>'700 South'!W33</f>
        <v>2.3347105995951347</v>
      </c>
      <c r="X173" s="383">
        <f>'700 South'!X33</f>
        <v>2.4290640888250441</v>
      </c>
      <c r="Y173" s="383">
        <f>'700 South'!Y33</f>
        <v>2.5272307191489296</v>
      </c>
      <c r="Z173" s="383">
        <f>'700 South'!Z33</f>
        <v>2.6293645923930336</v>
      </c>
      <c r="AA173" s="383">
        <f>'700 South'!AA33</f>
        <v>2.7356260381554689</v>
      </c>
      <c r="AB173" s="383">
        <f>'700 South'!AB33</f>
        <v>2.8461818654913795</v>
      </c>
      <c r="AC173" s="383">
        <f>'700 South'!AC33</f>
        <v>2.961205624769542</v>
      </c>
      <c r="AD173" s="383">
        <f>'700 South'!AD33</f>
        <v>3.0808778801114642</v>
      </c>
      <c r="AE173" s="383">
        <f>'700 South'!AE33</f>
        <v>3.2053864928406712</v>
      </c>
      <c r="AF173" s="383">
        <f>'700 South'!AF33</f>
        <v>3.3349269163871202</v>
      </c>
      <c r="AG173" s="383">
        <f>'700 South'!AG33</f>
        <v>3.4697025031097035</v>
      </c>
      <c r="AH173" s="383">
        <f>'700 South'!AH33</f>
        <v>3.6099248235184604</v>
      </c>
      <c r="AI173" s="383">
        <f>'700 South'!AI33</f>
        <v>3.7558139983976488</v>
      </c>
      <c r="AJ173" s="383">
        <f>'700 South'!AJ33</f>
        <v>3.9075990443510147</v>
      </c>
      <c r="AK173" s="383">
        <f>'700 South'!AK33</f>
        <v>4.0655182333116979</v>
      </c>
      <c r="AL173" s="383">
        <f>'700 South'!AL33</f>
        <v>4.2298194665811657</v>
      </c>
    </row>
    <row r="174" spans="2:38">
      <c r="D174" s="358"/>
      <c r="F174" s="464"/>
      <c r="G174" s="465"/>
      <c r="H174" s="465"/>
    </row>
    <row r="175" spans="2:38">
      <c r="B175" s="358" t="s">
        <v>208</v>
      </c>
      <c r="C175" s="362" t="s">
        <v>292</v>
      </c>
      <c r="D175" s="485">
        <f>SUMPRODUCT(D172:D173,D$150:D$151)</f>
        <v>199.05058416116793</v>
      </c>
      <c r="E175" s="485">
        <f t="shared" ref="E175:AK175" si="81">SUMPRODUCT(E172:E173,E$150:E$151)</f>
        <v>207.65071591295043</v>
      </c>
      <c r="F175" s="485">
        <f t="shared" si="81"/>
        <v>215.45927707275018</v>
      </c>
      <c r="G175" s="485">
        <f t="shared" si="81"/>
        <v>221.05623455189829</v>
      </c>
      <c r="H175" s="485">
        <f t="shared" si="81"/>
        <v>233.63635449168441</v>
      </c>
      <c r="I175" s="485">
        <f t="shared" si="81"/>
        <v>246.07104407661146</v>
      </c>
      <c r="J175" s="485">
        <f t="shared" si="81"/>
        <v>260.23226583239841</v>
      </c>
      <c r="K175" s="485">
        <f t="shared" si="81"/>
        <v>272.88790402900963</v>
      </c>
      <c r="L175" s="485">
        <f t="shared" si="81"/>
        <v>288.90296259532005</v>
      </c>
      <c r="M175" s="485">
        <f t="shared" si="81"/>
        <v>312.30620264464466</v>
      </c>
      <c r="N175" s="485">
        <f t="shared" si="81"/>
        <v>328.09757590687246</v>
      </c>
      <c r="O175" s="485">
        <f t="shared" si="81"/>
        <v>345.39921139246661</v>
      </c>
      <c r="P175" s="485">
        <f t="shared" si="81"/>
        <v>367.43192083118754</v>
      </c>
      <c r="Q175" s="485">
        <f t="shared" si="81"/>
        <v>389.94806523182007</v>
      </c>
      <c r="R175" s="485">
        <f t="shared" si="81"/>
        <v>411.15245783046805</v>
      </c>
      <c r="S175" s="485">
        <f t="shared" si="81"/>
        <v>434.21658421673322</v>
      </c>
      <c r="T175" s="485">
        <f t="shared" si="81"/>
        <v>453.86510433663454</v>
      </c>
      <c r="U175" s="485">
        <f t="shared" si="81"/>
        <v>478.7118026924968</v>
      </c>
      <c r="V175" s="485">
        <f t="shared" si="81"/>
        <v>506.2911293090047</v>
      </c>
      <c r="W175" s="485">
        <f t="shared" si="81"/>
        <v>529.36858822220211</v>
      </c>
      <c r="X175" s="485">
        <f t="shared" si="81"/>
        <v>555.822325610755</v>
      </c>
      <c r="Y175" s="485">
        <f t="shared" si="81"/>
        <v>589.14908454126726</v>
      </c>
      <c r="Z175" s="485">
        <f t="shared" si="81"/>
        <v>619.21431650829459</v>
      </c>
      <c r="AA175" s="485">
        <f t="shared" si="81"/>
        <v>650.6247329272046</v>
      </c>
      <c r="AB175" s="485">
        <f t="shared" si="81"/>
        <v>687.54019628426147</v>
      </c>
      <c r="AC175" s="485">
        <f t="shared" si="81"/>
        <v>718.39825784318009</v>
      </c>
      <c r="AD175" s="485">
        <f t="shared" si="81"/>
        <v>762.84866191530364</v>
      </c>
      <c r="AE175" s="485">
        <f t="shared" si="81"/>
        <v>804.71051274521471</v>
      </c>
      <c r="AF175" s="485">
        <f t="shared" si="81"/>
        <v>846.10235093014819</v>
      </c>
      <c r="AG175" s="485">
        <f t="shared" si="81"/>
        <v>888.25420693504543</v>
      </c>
      <c r="AH175" s="485">
        <f t="shared" si="81"/>
        <v>933.66449297629367</v>
      </c>
      <c r="AI175" s="485">
        <f t="shared" si="81"/>
        <v>981.3611821092004</v>
      </c>
      <c r="AJ175" s="485">
        <f t="shared" si="81"/>
        <v>1031.4582645890912</v>
      </c>
      <c r="AK175" s="485">
        <f t="shared" si="81"/>
        <v>1084.0753768166326</v>
      </c>
      <c r="AL175" s="485">
        <f t="shared" ref="AL175" si="82">SUMPRODUCT(AL172:AL173,AL$150:AL$151)</f>
        <v>1139.338079783369</v>
      </c>
    </row>
    <row r="177" spans="1:38" ht="13">
      <c r="B177" s="364" t="s">
        <v>527</v>
      </c>
      <c r="C177" s="387" t="s">
        <v>292</v>
      </c>
      <c r="D177" s="488">
        <f>D170+D175</f>
        <v>295.56455845233296</v>
      </c>
      <c r="E177" s="488">
        <f t="shared" ref="E177:AK177" si="83">E170+E175</f>
        <v>308.06514374872023</v>
      </c>
      <c r="F177" s="488">
        <f t="shared" si="83"/>
        <v>319.93178886846465</v>
      </c>
      <c r="G177" s="488">
        <f t="shared" si="83"/>
        <v>329.75083109689513</v>
      </c>
      <c r="H177" s="488">
        <f t="shared" si="83"/>
        <v>346.72366439748765</v>
      </c>
      <c r="I177" s="488">
        <f t="shared" si="83"/>
        <v>363.7285916294648</v>
      </c>
      <c r="J177" s="488">
        <f t="shared" si="83"/>
        <v>382.64474967061864</v>
      </c>
      <c r="K177" s="488">
        <f t="shared" si="83"/>
        <v>400.24748708262678</v>
      </c>
      <c r="L177" s="488">
        <f t="shared" si="83"/>
        <v>421.40957374315116</v>
      </c>
      <c r="M177" s="488">
        <f t="shared" si="83"/>
        <v>450.1678505623421</v>
      </c>
      <c r="N177" s="488">
        <f t="shared" si="83"/>
        <v>471.53067559862518</v>
      </c>
      <c r="O177" s="488">
        <f t="shared" si="83"/>
        <v>494.62892391894292</v>
      </c>
      <c r="P177" s="488">
        <f t="shared" si="83"/>
        <v>522.69250676702393</v>
      </c>
      <c r="Q177" s="488">
        <f t="shared" si="83"/>
        <v>551.48325240751331</v>
      </c>
      <c r="R177" s="488">
        <f t="shared" si="83"/>
        <v>579.21582393595065</v>
      </c>
      <c r="S177" s="488">
        <f t="shared" si="83"/>
        <v>609.07195486724424</v>
      </c>
      <c r="T177" s="488">
        <f t="shared" si="83"/>
        <v>635.78696722576638</v>
      </c>
      <c r="U177" s="488">
        <f t="shared" si="83"/>
        <v>667.98573848255751</v>
      </c>
      <c r="V177" s="488">
        <f t="shared" si="83"/>
        <v>703.21425993510491</v>
      </c>
      <c r="W177" s="488">
        <f t="shared" si="83"/>
        <v>734.25004331381513</v>
      </c>
      <c r="X177" s="488">
        <f t="shared" si="83"/>
        <v>768.98372776293604</v>
      </c>
      <c r="Y177" s="488">
        <f t="shared" si="83"/>
        <v>810.92505419731185</v>
      </c>
      <c r="Z177" s="488">
        <f t="shared" si="83"/>
        <v>849.95299724639926</v>
      </c>
      <c r="AA177" s="488">
        <f t="shared" si="83"/>
        <v>890.68833797572347</v>
      </c>
      <c r="AB177" s="488">
        <f t="shared" si="83"/>
        <v>937.30557712347843</v>
      </c>
      <c r="AC177" s="488">
        <f t="shared" si="83"/>
        <v>978.25749578618706</v>
      </c>
      <c r="AD177" s="488">
        <f t="shared" si="83"/>
        <v>1033.2096835966463</v>
      </c>
      <c r="AE177" s="488">
        <f t="shared" si="83"/>
        <v>1085.9977304834999</v>
      </c>
      <c r="AF177" s="488">
        <f t="shared" si="83"/>
        <v>1138.7573289698526</v>
      </c>
      <c r="AG177" s="488">
        <f t="shared" si="83"/>
        <v>1192.7363546133925</v>
      </c>
      <c r="AH177" s="488">
        <f t="shared" si="83"/>
        <v>1250.4517859033283</v>
      </c>
      <c r="AI177" s="488">
        <f t="shared" si="83"/>
        <v>1310.9509124931715</v>
      </c>
      <c r="AJ177" s="488">
        <f t="shared" si="83"/>
        <v>1374.3678218849996</v>
      </c>
      <c r="AK177" s="488">
        <f t="shared" si="83"/>
        <v>1440.8430599234071</v>
      </c>
      <c r="AL177" s="488">
        <f t="shared" ref="AL177" si="84">AL170+AL175</f>
        <v>1510.5239420646556</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'700 South'!D48</f>
        <v>260.55199031632395</v>
      </c>
      <c r="E181" s="383">
        <f>'700 South'!E48</f>
        <v>271.08177050253028</v>
      </c>
      <c r="F181" s="383">
        <f>'700 South'!F48</f>
        <v>282.03709443774119</v>
      </c>
      <c r="G181" s="383">
        <f>'700 South'!G48</f>
        <v>293.4351597727258</v>
      </c>
      <c r="H181" s="383">
        <f>'700 South'!H48</f>
        <v>0</v>
      </c>
      <c r="I181" s="383">
        <f>'700 South'!I48</f>
        <v>0</v>
      </c>
      <c r="J181" s="383">
        <f>'700 South'!J48</f>
        <v>0</v>
      </c>
      <c r="K181" s="383">
        <f>'700 South'!K48</f>
        <v>0</v>
      </c>
      <c r="L181" s="383">
        <f>'700 South'!L48</f>
        <v>0</v>
      </c>
      <c r="M181" s="383">
        <f>'700 South'!M48</f>
        <v>0</v>
      </c>
      <c r="N181" s="383">
        <f>'700 South'!N48</f>
        <v>0</v>
      </c>
      <c r="O181" s="383">
        <f>'700 South'!O48</f>
        <v>0</v>
      </c>
      <c r="P181" s="383">
        <f>'700 South'!P48</f>
        <v>0</v>
      </c>
      <c r="Q181" s="383">
        <f>'700 South'!Q48</f>
        <v>0</v>
      </c>
      <c r="R181" s="383">
        <f>'700 South'!R48</f>
        <v>0</v>
      </c>
      <c r="S181" s="383">
        <f>'700 South'!S48</f>
        <v>0</v>
      </c>
      <c r="T181" s="383">
        <f>'700 South'!T48</f>
        <v>0</v>
      </c>
      <c r="U181" s="383">
        <f>'700 South'!U48</f>
        <v>0</v>
      </c>
      <c r="V181" s="383">
        <f>'700 South'!V48</f>
        <v>0</v>
      </c>
      <c r="W181" s="383">
        <f>'700 South'!W48</f>
        <v>0</v>
      </c>
      <c r="X181" s="383">
        <f>'700 South'!X48</f>
        <v>0</v>
      </c>
      <c r="Y181" s="383">
        <f>'700 South'!Y48</f>
        <v>0</v>
      </c>
      <c r="Z181" s="383">
        <f>'700 South'!Z48</f>
        <v>0</v>
      </c>
      <c r="AA181" s="383">
        <f>'700 South'!AA48</f>
        <v>0</v>
      </c>
      <c r="AB181" s="383">
        <f>'700 South'!AB48</f>
        <v>0</v>
      </c>
      <c r="AC181" s="383">
        <f>'700 South'!AC48</f>
        <v>0</v>
      </c>
      <c r="AD181" s="383">
        <f>'700 South'!AD48</f>
        <v>0</v>
      </c>
      <c r="AE181" s="383">
        <f>'700 South'!AE48</f>
        <v>0</v>
      </c>
      <c r="AF181" s="383">
        <f>'700 South'!AF48</f>
        <v>0</v>
      </c>
      <c r="AG181" s="383">
        <f>'700 South'!AG48</f>
        <v>0</v>
      </c>
      <c r="AH181" s="383">
        <f>'700 South'!AH48</f>
        <v>0</v>
      </c>
      <c r="AI181" s="383">
        <f>'700 South'!AI48</f>
        <v>0</v>
      </c>
      <c r="AJ181" s="383">
        <f>'700 South'!AJ48</f>
        <v>0</v>
      </c>
      <c r="AK181" s="383">
        <f>'700 South'!AK48</f>
        <v>0</v>
      </c>
      <c r="AL181" s="383">
        <f>'700 South'!AL48</f>
        <v>0</v>
      </c>
    </row>
    <row r="182" spans="1:38">
      <c r="B182" s="385" t="s">
        <v>509</v>
      </c>
      <c r="C182" s="386" t="s">
        <v>443</v>
      </c>
      <c r="D182" s="383">
        <f>'700 South'!D49</f>
        <v>1.309306484001628</v>
      </c>
      <c r="E182" s="383">
        <f>'700 South'!E49</f>
        <v>1.3622199522740215</v>
      </c>
      <c r="F182" s="383">
        <f>'700 South'!F49</f>
        <v>1.4172718313454331</v>
      </c>
      <c r="G182" s="383">
        <f>'700 South'!G49</f>
        <v>1.4745485415714865</v>
      </c>
      <c r="H182" s="383">
        <f>'700 South'!H49</f>
        <v>0</v>
      </c>
      <c r="I182" s="383">
        <f>'700 South'!I49</f>
        <v>0</v>
      </c>
      <c r="J182" s="383">
        <f>'700 South'!J49</f>
        <v>0</v>
      </c>
      <c r="K182" s="383">
        <f>'700 South'!K49</f>
        <v>0</v>
      </c>
      <c r="L182" s="383">
        <f>'700 South'!L49</f>
        <v>0</v>
      </c>
      <c r="M182" s="383">
        <f>'700 South'!M49</f>
        <v>0</v>
      </c>
      <c r="N182" s="383">
        <f>'700 South'!N49</f>
        <v>0</v>
      </c>
      <c r="O182" s="383">
        <f>'700 South'!O49</f>
        <v>0</v>
      </c>
      <c r="P182" s="383">
        <f>'700 South'!P49</f>
        <v>0</v>
      </c>
      <c r="Q182" s="383">
        <f>'700 South'!Q49</f>
        <v>0</v>
      </c>
      <c r="R182" s="383">
        <f>'700 South'!R49</f>
        <v>0</v>
      </c>
      <c r="S182" s="383">
        <f>'700 South'!S49</f>
        <v>0</v>
      </c>
      <c r="T182" s="383">
        <f>'700 South'!T49</f>
        <v>0</v>
      </c>
      <c r="U182" s="383">
        <f>'700 South'!U49</f>
        <v>0</v>
      </c>
      <c r="V182" s="383">
        <f>'700 South'!V49</f>
        <v>0</v>
      </c>
      <c r="W182" s="383">
        <f>'700 South'!W49</f>
        <v>0</v>
      </c>
      <c r="X182" s="383">
        <f>'700 South'!X49</f>
        <v>0</v>
      </c>
      <c r="Y182" s="383">
        <f>'700 South'!Y49</f>
        <v>0</v>
      </c>
      <c r="Z182" s="383">
        <f>'700 South'!Z49</f>
        <v>0</v>
      </c>
      <c r="AA182" s="383">
        <f>'700 South'!AA49</f>
        <v>0</v>
      </c>
      <c r="AB182" s="383">
        <f>'700 South'!AB49</f>
        <v>0</v>
      </c>
      <c r="AC182" s="383">
        <f>'700 South'!AC49</f>
        <v>0</v>
      </c>
      <c r="AD182" s="383">
        <f>'700 South'!AD49</f>
        <v>0</v>
      </c>
      <c r="AE182" s="383">
        <f>'700 South'!AE49</f>
        <v>0</v>
      </c>
      <c r="AF182" s="383">
        <f>'700 South'!AF49</f>
        <v>0</v>
      </c>
      <c r="AG182" s="383">
        <f>'700 South'!AG49</f>
        <v>0</v>
      </c>
      <c r="AH182" s="383">
        <f>'700 South'!AH49</f>
        <v>0</v>
      </c>
      <c r="AI182" s="383">
        <f>'700 South'!AI49</f>
        <v>0</v>
      </c>
      <c r="AJ182" s="383">
        <f>'700 South'!AJ49</f>
        <v>0</v>
      </c>
      <c r="AK182" s="383">
        <f>'700 South'!AK49</f>
        <v>0</v>
      </c>
      <c r="AL182" s="383">
        <f>'700 South'!AL49</f>
        <v>0</v>
      </c>
    </row>
    <row r="183" spans="1:38">
      <c r="B183" s="358" t="s">
        <v>769</v>
      </c>
      <c r="C183" s="358" t="s">
        <v>443</v>
      </c>
      <c r="D183" s="383">
        <f>'700 South'!D50</f>
        <v>0</v>
      </c>
      <c r="E183" s="383">
        <f>'700 South'!E50</f>
        <v>0</v>
      </c>
      <c r="F183" s="383">
        <f>'700 South'!F50</f>
        <v>0</v>
      </c>
      <c r="G183" s="383">
        <f>'700 South'!G50</f>
        <v>0</v>
      </c>
      <c r="H183" s="383">
        <f>'700 South'!H50</f>
        <v>0</v>
      </c>
      <c r="I183" s="383">
        <f>'700 South'!I50</f>
        <v>0</v>
      </c>
      <c r="J183" s="383">
        <f>'700 South'!J50</f>
        <v>0</v>
      </c>
      <c r="K183" s="383">
        <f>'700 South'!K50</f>
        <v>0</v>
      </c>
      <c r="L183" s="383">
        <f>'700 South'!L50</f>
        <v>0</v>
      </c>
      <c r="M183" s="383">
        <f>'700 South'!M50</f>
        <v>0</v>
      </c>
      <c r="N183" s="383">
        <f>'700 South'!N50</f>
        <v>0</v>
      </c>
      <c r="O183" s="383">
        <f>'700 South'!O50</f>
        <v>0</v>
      </c>
      <c r="P183" s="383">
        <f>'700 South'!P50</f>
        <v>0</v>
      </c>
      <c r="Q183" s="383">
        <f>'700 South'!Q50</f>
        <v>0</v>
      </c>
      <c r="R183" s="383">
        <f>'700 South'!R50</f>
        <v>0</v>
      </c>
      <c r="S183" s="383">
        <f>'700 South'!S50</f>
        <v>0</v>
      </c>
      <c r="T183" s="383">
        <f>'700 South'!T50</f>
        <v>0</v>
      </c>
      <c r="U183" s="383">
        <f>'700 South'!U50</f>
        <v>0</v>
      </c>
      <c r="V183" s="383">
        <f>'700 South'!V50</f>
        <v>0</v>
      </c>
      <c r="W183" s="383">
        <f>'700 South'!W50</f>
        <v>0</v>
      </c>
      <c r="X183" s="383">
        <f>'700 South'!X50</f>
        <v>0</v>
      </c>
      <c r="Y183" s="383">
        <f>'700 South'!Y50</f>
        <v>0</v>
      </c>
      <c r="Z183" s="383">
        <f>'700 South'!Z50</f>
        <v>0</v>
      </c>
      <c r="AA183" s="383">
        <f>'700 South'!AA50</f>
        <v>0</v>
      </c>
      <c r="AB183" s="383">
        <f>'700 South'!AB50</f>
        <v>0</v>
      </c>
      <c r="AC183" s="383">
        <f>'700 South'!AC50</f>
        <v>0</v>
      </c>
      <c r="AD183" s="383">
        <f>'700 South'!AD50</f>
        <v>0</v>
      </c>
      <c r="AE183" s="383">
        <f>'700 South'!AE50</f>
        <v>0</v>
      </c>
      <c r="AF183" s="383">
        <f>'700 South'!AF50</f>
        <v>0</v>
      </c>
      <c r="AG183" s="383">
        <f>'700 South'!AG50</f>
        <v>0</v>
      </c>
      <c r="AH183" s="383">
        <f>'700 South'!AH50</f>
        <v>0</v>
      </c>
      <c r="AI183" s="383">
        <f>'700 South'!AI50</f>
        <v>0</v>
      </c>
      <c r="AJ183" s="383">
        <f>'700 South'!AJ50</f>
        <v>0</v>
      </c>
      <c r="AK183" s="383">
        <f>'700 South'!AK50</f>
        <v>0</v>
      </c>
      <c r="AL183" s="383">
        <f>'700 South'!AL50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8.9890436659131758</v>
      </c>
      <c r="E185" s="383">
        <f t="shared" ref="E185:AK187" si="85">E181*$C163</f>
        <v>9.3523210823372942</v>
      </c>
      <c r="F185" s="383">
        <f t="shared" si="85"/>
        <v>9.7302797581020695</v>
      </c>
      <c r="G185" s="383">
        <f t="shared" si="85"/>
        <v>10.123513012159039</v>
      </c>
      <c r="H185" s="383">
        <f t="shared" si="85"/>
        <v>0</v>
      </c>
      <c r="I185" s="383">
        <f t="shared" si="85"/>
        <v>0</v>
      </c>
      <c r="J185" s="383">
        <f t="shared" si="85"/>
        <v>0</v>
      </c>
      <c r="K185" s="383">
        <f t="shared" si="85"/>
        <v>0</v>
      </c>
      <c r="L185" s="383">
        <f t="shared" si="85"/>
        <v>0</v>
      </c>
      <c r="M185" s="383">
        <f t="shared" si="85"/>
        <v>0</v>
      </c>
      <c r="N185" s="383">
        <f t="shared" si="85"/>
        <v>0</v>
      </c>
      <c r="O185" s="383">
        <f t="shared" si="85"/>
        <v>0</v>
      </c>
      <c r="P185" s="383">
        <f t="shared" si="85"/>
        <v>0</v>
      </c>
      <c r="Q185" s="383">
        <f t="shared" si="85"/>
        <v>0</v>
      </c>
      <c r="R185" s="383">
        <f t="shared" si="85"/>
        <v>0</v>
      </c>
      <c r="S185" s="383">
        <f t="shared" si="85"/>
        <v>0</v>
      </c>
      <c r="T185" s="383">
        <f t="shared" si="85"/>
        <v>0</v>
      </c>
      <c r="U185" s="383">
        <f t="shared" si="85"/>
        <v>0</v>
      </c>
      <c r="V185" s="383">
        <f t="shared" si="85"/>
        <v>0</v>
      </c>
      <c r="W185" s="383">
        <f t="shared" si="85"/>
        <v>0</v>
      </c>
      <c r="X185" s="383">
        <f t="shared" si="85"/>
        <v>0</v>
      </c>
      <c r="Y185" s="383">
        <f t="shared" si="85"/>
        <v>0</v>
      </c>
      <c r="Z185" s="383">
        <f t="shared" si="85"/>
        <v>0</v>
      </c>
      <c r="AA185" s="383">
        <f t="shared" si="85"/>
        <v>0</v>
      </c>
      <c r="AB185" s="383">
        <f t="shared" si="85"/>
        <v>0</v>
      </c>
      <c r="AC185" s="383">
        <f t="shared" si="85"/>
        <v>0</v>
      </c>
      <c r="AD185" s="383">
        <f t="shared" si="85"/>
        <v>0</v>
      </c>
      <c r="AE185" s="383">
        <f t="shared" si="85"/>
        <v>0</v>
      </c>
      <c r="AF185" s="383">
        <f t="shared" si="85"/>
        <v>0</v>
      </c>
      <c r="AG185" s="383">
        <f t="shared" si="85"/>
        <v>0</v>
      </c>
      <c r="AH185" s="383">
        <f t="shared" si="85"/>
        <v>0</v>
      </c>
      <c r="AI185" s="383">
        <f t="shared" si="85"/>
        <v>0</v>
      </c>
      <c r="AJ185" s="383">
        <f t="shared" si="85"/>
        <v>0</v>
      </c>
      <c r="AK185" s="383">
        <f t="shared" si="85"/>
        <v>0</v>
      </c>
      <c r="AL185" s="383">
        <f t="shared" ref="AL185" si="86">AL181*$C163</f>
        <v>0</v>
      </c>
    </row>
    <row r="186" spans="1:38">
      <c r="B186" s="385" t="s">
        <v>501</v>
      </c>
      <c r="C186" s="386" t="s">
        <v>479</v>
      </c>
      <c r="D186" s="383">
        <f>D182*$C164</f>
        <v>4.5171073698056161E-2</v>
      </c>
      <c r="E186" s="383">
        <f t="shared" si="85"/>
        <v>4.6996588353453737E-2</v>
      </c>
      <c r="F186" s="383">
        <f t="shared" si="85"/>
        <v>4.8895878181417433E-2</v>
      </c>
      <c r="G186" s="383">
        <f t="shared" si="85"/>
        <v>5.087192468421628E-2</v>
      </c>
      <c r="H186" s="383">
        <f t="shared" si="85"/>
        <v>0</v>
      </c>
      <c r="I186" s="383">
        <f t="shared" si="85"/>
        <v>0</v>
      </c>
      <c r="J186" s="383">
        <f t="shared" si="85"/>
        <v>0</v>
      </c>
      <c r="K186" s="383">
        <f t="shared" si="85"/>
        <v>0</v>
      </c>
      <c r="L186" s="383">
        <f t="shared" si="85"/>
        <v>0</v>
      </c>
      <c r="M186" s="383">
        <f t="shared" si="85"/>
        <v>0</v>
      </c>
      <c r="N186" s="383">
        <f t="shared" si="85"/>
        <v>0</v>
      </c>
      <c r="O186" s="383">
        <f t="shared" si="85"/>
        <v>0</v>
      </c>
      <c r="P186" s="383">
        <f t="shared" si="85"/>
        <v>0</v>
      </c>
      <c r="Q186" s="383">
        <f t="shared" si="85"/>
        <v>0</v>
      </c>
      <c r="R186" s="383">
        <f t="shared" si="85"/>
        <v>0</v>
      </c>
      <c r="S186" s="383">
        <f t="shared" si="85"/>
        <v>0</v>
      </c>
      <c r="T186" s="383">
        <f t="shared" si="85"/>
        <v>0</v>
      </c>
      <c r="U186" s="383">
        <f t="shared" si="85"/>
        <v>0</v>
      </c>
      <c r="V186" s="383">
        <f t="shared" si="85"/>
        <v>0</v>
      </c>
      <c r="W186" s="383">
        <f t="shared" si="85"/>
        <v>0</v>
      </c>
      <c r="X186" s="383">
        <f t="shared" si="85"/>
        <v>0</v>
      </c>
      <c r="Y186" s="383">
        <f t="shared" si="85"/>
        <v>0</v>
      </c>
      <c r="Z186" s="383">
        <f t="shared" si="85"/>
        <v>0</v>
      </c>
      <c r="AA186" s="383">
        <f t="shared" si="85"/>
        <v>0</v>
      </c>
      <c r="AB186" s="383">
        <f t="shared" si="85"/>
        <v>0</v>
      </c>
      <c r="AC186" s="383">
        <f t="shared" si="85"/>
        <v>0</v>
      </c>
      <c r="AD186" s="383">
        <f t="shared" si="85"/>
        <v>0</v>
      </c>
      <c r="AE186" s="383">
        <f t="shared" si="85"/>
        <v>0</v>
      </c>
      <c r="AF186" s="383">
        <f t="shared" si="85"/>
        <v>0</v>
      </c>
      <c r="AG186" s="383">
        <f t="shared" si="85"/>
        <v>0</v>
      </c>
      <c r="AH186" s="383">
        <f t="shared" si="85"/>
        <v>0</v>
      </c>
      <c r="AI186" s="383">
        <f t="shared" si="85"/>
        <v>0</v>
      </c>
      <c r="AJ186" s="383">
        <f t="shared" si="85"/>
        <v>0</v>
      </c>
      <c r="AK186" s="383">
        <f t="shared" si="85"/>
        <v>0</v>
      </c>
      <c r="AL186" s="383">
        <f t="shared" ref="AL186" si="87">AL182*$C164</f>
        <v>0</v>
      </c>
    </row>
    <row r="187" spans="1:38">
      <c r="B187" s="385" t="s">
        <v>768</v>
      </c>
      <c r="C187" s="386" t="s">
        <v>479</v>
      </c>
      <c r="D187" s="383">
        <f>D183*$C165</f>
        <v>0</v>
      </c>
      <c r="E187" s="383">
        <f t="shared" si="85"/>
        <v>0</v>
      </c>
      <c r="F187" s="383">
        <f t="shared" si="85"/>
        <v>0</v>
      </c>
      <c r="G187" s="383">
        <f t="shared" si="85"/>
        <v>0</v>
      </c>
      <c r="H187" s="383">
        <f t="shared" si="85"/>
        <v>0</v>
      </c>
      <c r="I187" s="383">
        <f t="shared" si="85"/>
        <v>0</v>
      </c>
      <c r="J187" s="383">
        <f t="shared" si="85"/>
        <v>0</v>
      </c>
      <c r="K187" s="383">
        <f t="shared" si="85"/>
        <v>0</v>
      </c>
      <c r="L187" s="383">
        <f t="shared" si="85"/>
        <v>0</v>
      </c>
      <c r="M187" s="383">
        <f t="shared" si="85"/>
        <v>0</v>
      </c>
      <c r="N187" s="383">
        <f t="shared" si="85"/>
        <v>0</v>
      </c>
      <c r="O187" s="383">
        <f t="shared" si="85"/>
        <v>0</v>
      </c>
      <c r="P187" s="383">
        <f t="shared" si="85"/>
        <v>0</v>
      </c>
      <c r="Q187" s="383">
        <f t="shared" si="85"/>
        <v>0</v>
      </c>
      <c r="R187" s="383">
        <f t="shared" si="85"/>
        <v>0</v>
      </c>
      <c r="S187" s="383">
        <f t="shared" si="85"/>
        <v>0</v>
      </c>
      <c r="T187" s="383">
        <f t="shared" si="85"/>
        <v>0</v>
      </c>
      <c r="U187" s="383">
        <f t="shared" si="85"/>
        <v>0</v>
      </c>
      <c r="V187" s="383">
        <f t="shared" si="85"/>
        <v>0</v>
      </c>
      <c r="W187" s="383">
        <f t="shared" si="85"/>
        <v>0</v>
      </c>
      <c r="X187" s="383">
        <f t="shared" si="85"/>
        <v>0</v>
      </c>
      <c r="Y187" s="383">
        <f t="shared" si="85"/>
        <v>0</v>
      </c>
      <c r="Z187" s="383">
        <f t="shared" si="85"/>
        <v>0</v>
      </c>
      <c r="AA187" s="383">
        <f t="shared" si="85"/>
        <v>0</v>
      </c>
      <c r="AB187" s="383">
        <f t="shared" si="85"/>
        <v>0</v>
      </c>
      <c r="AC187" s="383">
        <f t="shared" si="85"/>
        <v>0</v>
      </c>
      <c r="AD187" s="383">
        <f t="shared" si="85"/>
        <v>0</v>
      </c>
      <c r="AE187" s="383">
        <f t="shared" si="85"/>
        <v>0</v>
      </c>
      <c r="AF187" s="383">
        <f t="shared" si="85"/>
        <v>0</v>
      </c>
      <c r="AG187" s="383">
        <f t="shared" si="85"/>
        <v>0</v>
      </c>
      <c r="AH187" s="383">
        <f t="shared" si="85"/>
        <v>0</v>
      </c>
      <c r="AI187" s="383">
        <f t="shared" si="85"/>
        <v>0</v>
      </c>
      <c r="AJ187" s="383">
        <f t="shared" si="85"/>
        <v>0</v>
      </c>
      <c r="AK187" s="383">
        <f t="shared" si="85"/>
        <v>0</v>
      </c>
      <c r="AL187" s="383">
        <f t="shared" ref="AL187" si="88">AL183*$C165</f>
        <v>0</v>
      </c>
    </row>
    <row r="188" spans="1:38">
      <c r="D188" s="358"/>
      <c r="F188" s="464"/>
      <c r="G188" s="465"/>
      <c r="H188" s="465"/>
    </row>
    <row r="189" spans="1:38">
      <c r="B189" s="358" t="s">
        <v>459</v>
      </c>
      <c r="C189" s="362" t="s">
        <v>292</v>
      </c>
      <c r="D189" s="485">
        <f>SUMPRODUCT($C$153:$C$155,D185:D187)</f>
        <v>96.513974291165027</v>
      </c>
      <c r="E189" s="485">
        <f t="shared" ref="E189:AK189" si="89">SUMPRODUCT($C$153:$C$155,E185:E187)</f>
        <v>100.41442783576981</v>
      </c>
      <c r="F189" s="485">
        <f t="shared" si="89"/>
        <v>104.47251179571445</v>
      </c>
      <c r="G189" s="485">
        <f t="shared" si="89"/>
        <v>108.69459654499686</v>
      </c>
      <c r="H189" s="485">
        <f t="shared" si="89"/>
        <v>0</v>
      </c>
      <c r="I189" s="485">
        <f t="shared" si="89"/>
        <v>0</v>
      </c>
      <c r="J189" s="485">
        <f t="shared" si="89"/>
        <v>0</v>
      </c>
      <c r="K189" s="485">
        <f t="shared" si="89"/>
        <v>0</v>
      </c>
      <c r="L189" s="485">
        <f t="shared" si="89"/>
        <v>0</v>
      </c>
      <c r="M189" s="485">
        <f t="shared" si="89"/>
        <v>0</v>
      </c>
      <c r="N189" s="485">
        <f t="shared" si="89"/>
        <v>0</v>
      </c>
      <c r="O189" s="485">
        <f t="shared" si="89"/>
        <v>0</v>
      </c>
      <c r="P189" s="485">
        <f t="shared" si="89"/>
        <v>0</v>
      </c>
      <c r="Q189" s="485">
        <f t="shared" si="89"/>
        <v>0</v>
      </c>
      <c r="R189" s="485">
        <f t="shared" si="89"/>
        <v>0</v>
      </c>
      <c r="S189" s="485">
        <f t="shared" si="89"/>
        <v>0</v>
      </c>
      <c r="T189" s="485">
        <f t="shared" si="89"/>
        <v>0</v>
      </c>
      <c r="U189" s="485">
        <f t="shared" si="89"/>
        <v>0</v>
      </c>
      <c r="V189" s="485">
        <f t="shared" si="89"/>
        <v>0</v>
      </c>
      <c r="W189" s="485">
        <f t="shared" si="89"/>
        <v>0</v>
      </c>
      <c r="X189" s="485">
        <f t="shared" si="89"/>
        <v>0</v>
      </c>
      <c r="Y189" s="485">
        <f t="shared" si="89"/>
        <v>0</v>
      </c>
      <c r="Z189" s="485">
        <f t="shared" si="89"/>
        <v>0</v>
      </c>
      <c r="AA189" s="485">
        <f t="shared" si="89"/>
        <v>0</v>
      </c>
      <c r="AB189" s="485">
        <f t="shared" si="89"/>
        <v>0</v>
      </c>
      <c r="AC189" s="485">
        <f t="shared" si="89"/>
        <v>0</v>
      </c>
      <c r="AD189" s="485">
        <f t="shared" si="89"/>
        <v>0</v>
      </c>
      <c r="AE189" s="485">
        <f t="shared" si="89"/>
        <v>0</v>
      </c>
      <c r="AF189" s="485">
        <f t="shared" si="89"/>
        <v>0</v>
      </c>
      <c r="AG189" s="485">
        <f t="shared" si="89"/>
        <v>0</v>
      </c>
      <c r="AH189" s="485">
        <f t="shared" si="89"/>
        <v>0</v>
      </c>
      <c r="AI189" s="485">
        <f t="shared" si="89"/>
        <v>0</v>
      </c>
      <c r="AJ189" s="485">
        <f t="shared" si="89"/>
        <v>0</v>
      </c>
      <c r="AK189" s="485">
        <f t="shared" si="89"/>
        <v>0</v>
      </c>
      <c r="AL189" s="485">
        <f t="shared" ref="AL189" si="90">SUMPRODUCT($C$153:$C$155,AL185:AL187)</f>
        <v>0</v>
      </c>
    </row>
    <row r="190" spans="1:38">
      <c r="D190" s="358"/>
      <c r="F190" s="464"/>
      <c r="G190" s="465"/>
      <c r="H190" s="465"/>
    </row>
    <row r="191" spans="1:38">
      <c r="B191" s="748" t="s">
        <v>715</v>
      </c>
      <c r="C191" s="358" t="s">
        <v>295</v>
      </c>
      <c r="D191" s="383">
        <f>'700 South'!D52</f>
        <v>93.14733653808581</v>
      </c>
      <c r="E191" s="383">
        <f>'700 South'!E52</f>
        <v>96.911732954654568</v>
      </c>
      <c r="F191" s="383">
        <f>'700 South'!F52</f>
        <v>100.82826126149247</v>
      </c>
      <c r="G191" s="383">
        <f>'700 South'!G52</f>
        <v>104.90306961874947</v>
      </c>
      <c r="H191" s="383">
        <f>'700 South'!H52</f>
        <v>0</v>
      </c>
      <c r="I191" s="383">
        <f>'700 South'!I52</f>
        <v>0</v>
      </c>
      <c r="J191" s="383">
        <f>'700 South'!J52</f>
        <v>0</v>
      </c>
      <c r="K191" s="383">
        <f>'700 South'!K52</f>
        <v>0</v>
      </c>
      <c r="L191" s="383">
        <f>'700 South'!L52</f>
        <v>0</v>
      </c>
      <c r="M191" s="383">
        <f>'700 South'!M52</f>
        <v>0</v>
      </c>
      <c r="N191" s="383">
        <f>'700 South'!N52</f>
        <v>0</v>
      </c>
      <c r="O191" s="383">
        <f>'700 South'!O52</f>
        <v>0</v>
      </c>
      <c r="P191" s="383">
        <f>'700 South'!P52</f>
        <v>0</v>
      </c>
      <c r="Q191" s="383">
        <f>'700 South'!Q52</f>
        <v>0</v>
      </c>
      <c r="R191" s="383">
        <f>'700 South'!R52</f>
        <v>0</v>
      </c>
      <c r="S191" s="383">
        <f>'700 South'!S52</f>
        <v>0</v>
      </c>
      <c r="T191" s="383">
        <f>'700 South'!T52</f>
        <v>0</v>
      </c>
      <c r="U191" s="383">
        <f>'700 South'!U52</f>
        <v>0</v>
      </c>
      <c r="V191" s="383">
        <f>'700 South'!V52</f>
        <v>0</v>
      </c>
      <c r="W191" s="383">
        <f>'700 South'!W52</f>
        <v>0</v>
      </c>
      <c r="X191" s="383">
        <f>'700 South'!X52</f>
        <v>0</v>
      </c>
      <c r="Y191" s="383">
        <f>'700 South'!Y52</f>
        <v>0</v>
      </c>
      <c r="Z191" s="383">
        <f>'700 South'!Z52</f>
        <v>0</v>
      </c>
      <c r="AA191" s="383">
        <f>'700 South'!AA52</f>
        <v>0</v>
      </c>
      <c r="AB191" s="383">
        <f>'700 South'!AB52</f>
        <v>0</v>
      </c>
      <c r="AC191" s="383">
        <f>'700 South'!AC52</f>
        <v>0</v>
      </c>
      <c r="AD191" s="383">
        <f>'700 South'!AD52</f>
        <v>0</v>
      </c>
      <c r="AE191" s="383">
        <f>'700 South'!AE52</f>
        <v>0</v>
      </c>
      <c r="AF191" s="383">
        <f>'700 South'!AF52</f>
        <v>0</v>
      </c>
      <c r="AG191" s="383">
        <f>'700 South'!AG52</f>
        <v>0</v>
      </c>
      <c r="AH191" s="383">
        <f>'700 South'!AH52</f>
        <v>0</v>
      </c>
      <c r="AI191" s="383">
        <f>'700 South'!AI52</f>
        <v>0</v>
      </c>
      <c r="AJ191" s="383">
        <f>'700 South'!AJ52</f>
        <v>0</v>
      </c>
      <c r="AK191" s="383">
        <f>'700 South'!AK52</f>
        <v>0</v>
      </c>
      <c r="AL191" s="383">
        <f>'700 South'!AL52</f>
        <v>0</v>
      </c>
    </row>
    <row r="192" spans="1:38">
      <c r="B192" s="748" t="s">
        <v>716</v>
      </c>
      <c r="C192" s="358" t="s">
        <v>295</v>
      </c>
      <c r="D192" s="383">
        <f>'700 South'!D53</f>
        <v>1.0998174465613675</v>
      </c>
      <c r="E192" s="383">
        <f>'700 South'!E53</f>
        <v>1.1442647599101781</v>
      </c>
      <c r="F192" s="383">
        <f>'700 South'!F53</f>
        <v>1.1905083383301638</v>
      </c>
      <c r="G192" s="383">
        <f>'700 South'!G53</f>
        <v>1.2386207749200486</v>
      </c>
      <c r="H192" s="383">
        <f>'700 South'!H53</f>
        <v>0</v>
      </c>
      <c r="I192" s="383">
        <f>'700 South'!I53</f>
        <v>0</v>
      </c>
      <c r="J192" s="383">
        <f>'700 South'!J53</f>
        <v>0</v>
      </c>
      <c r="K192" s="383">
        <f>'700 South'!K53</f>
        <v>0</v>
      </c>
      <c r="L192" s="383">
        <f>'700 South'!L53</f>
        <v>0</v>
      </c>
      <c r="M192" s="383">
        <f>'700 South'!M53</f>
        <v>0</v>
      </c>
      <c r="N192" s="383">
        <f>'700 South'!N53</f>
        <v>0</v>
      </c>
      <c r="O192" s="383">
        <f>'700 South'!O53</f>
        <v>0</v>
      </c>
      <c r="P192" s="383">
        <f>'700 South'!P53</f>
        <v>0</v>
      </c>
      <c r="Q192" s="383">
        <f>'700 South'!Q53</f>
        <v>0</v>
      </c>
      <c r="R192" s="383">
        <f>'700 South'!R53</f>
        <v>0</v>
      </c>
      <c r="S192" s="383">
        <f>'700 South'!S53</f>
        <v>0</v>
      </c>
      <c r="T192" s="383">
        <f>'700 South'!T53</f>
        <v>0</v>
      </c>
      <c r="U192" s="383">
        <f>'700 South'!U53</f>
        <v>0</v>
      </c>
      <c r="V192" s="383">
        <f>'700 South'!V53</f>
        <v>0</v>
      </c>
      <c r="W192" s="383">
        <f>'700 South'!W53</f>
        <v>0</v>
      </c>
      <c r="X192" s="383">
        <f>'700 South'!X53</f>
        <v>0</v>
      </c>
      <c r="Y192" s="383">
        <f>'700 South'!Y53</f>
        <v>0</v>
      </c>
      <c r="Z192" s="383">
        <f>'700 South'!Z53</f>
        <v>0</v>
      </c>
      <c r="AA192" s="383">
        <f>'700 South'!AA53</f>
        <v>0</v>
      </c>
      <c r="AB192" s="383">
        <f>'700 South'!AB53</f>
        <v>0</v>
      </c>
      <c r="AC192" s="383">
        <f>'700 South'!AC53</f>
        <v>0</v>
      </c>
      <c r="AD192" s="383">
        <f>'700 South'!AD53</f>
        <v>0</v>
      </c>
      <c r="AE192" s="383">
        <f>'700 South'!AE53</f>
        <v>0</v>
      </c>
      <c r="AF192" s="383">
        <f>'700 South'!AF53</f>
        <v>0</v>
      </c>
      <c r="AG192" s="383">
        <f>'700 South'!AG53</f>
        <v>0</v>
      </c>
      <c r="AH192" s="383">
        <f>'700 South'!AH53</f>
        <v>0</v>
      </c>
      <c r="AI192" s="383">
        <f>'700 South'!AI53</f>
        <v>0</v>
      </c>
      <c r="AJ192" s="383">
        <f>'700 South'!AJ53</f>
        <v>0</v>
      </c>
      <c r="AK192" s="383">
        <f>'700 South'!AK53</f>
        <v>0</v>
      </c>
      <c r="AL192" s="383">
        <f>'700 South'!AL53</f>
        <v>0</v>
      </c>
    </row>
    <row r="193" spans="1:38">
      <c r="D193" s="358"/>
      <c r="F193" s="464"/>
      <c r="G193" s="465"/>
      <c r="H193" s="465"/>
    </row>
    <row r="194" spans="1:38">
      <c r="B194" s="358" t="s">
        <v>208</v>
      </c>
      <c r="C194" s="362" t="s">
        <v>292</v>
      </c>
      <c r="D194" s="485">
        <f>SUMPRODUCT(D191:D192,D$150:D$151)</f>
        <v>199.05058416116793</v>
      </c>
      <c r="E194" s="485">
        <f t="shared" ref="E194:AK194" si="91">SUMPRODUCT(E191:E192,E$150:E$151)</f>
        <v>207.65071591295043</v>
      </c>
      <c r="F194" s="485">
        <f t="shared" si="91"/>
        <v>215.45927707275018</v>
      </c>
      <c r="G194" s="485">
        <f t="shared" si="91"/>
        <v>221.05623455189829</v>
      </c>
      <c r="H194" s="485">
        <f t="shared" si="91"/>
        <v>0</v>
      </c>
      <c r="I194" s="485">
        <f t="shared" si="91"/>
        <v>0</v>
      </c>
      <c r="J194" s="485">
        <f t="shared" si="91"/>
        <v>0</v>
      </c>
      <c r="K194" s="485">
        <f t="shared" si="91"/>
        <v>0</v>
      </c>
      <c r="L194" s="485">
        <f t="shared" si="91"/>
        <v>0</v>
      </c>
      <c r="M194" s="485">
        <f t="shared" si="91"/>
        <v>0</v>
      </c>
      <c r="N194" s="485">
        <f t="shared" si="91"/>
        <v>0</v>
      </c>
      <c r="O194" s="485">
        <f t="shared" si="91"/>
        <v>0</v>
      </c>
      <c r="P194" s="485">
        <f t="shared" si="91"/>
        <v>0</v>
      </c>
      <c r="Q194" s="485">
        <f t="shared" si="91"/>
        <v>0</v>
      </c>
      <c r="R194" s="485">
        <f t="shared" si="91"/>
        <v>0</v>
      </c>
      <c r="S194" s="485">
        <f t="shared" si="91"/>
        <v>0</v>
      </c>
      <c r="T194" s="485">
        <f t="shared" si="91"/>
        <v>0</v>
      </c>
      <c r="U194" s="485">
        <f t="shared" si="91"/>
        <v>0</v>
      </c>
      <c r="V194" s="485">
        <f t="shared" si="91"/>
        <v>0</v>
      </c>
      <c r="W194" s="485">
        <f t="shared" si="91"/>
        <v>0</v>
      </c>
      <c r="X194" s="485">
        <f t="shared" si="91"/>
        <v>0</v>
      </c>
      <c r="Y194" s="485">
        <f t="shared" si="91"/>
        <v>0</v>
      </c>
      <c r="Z194" s="485">
        <f t="shared" si="91"/>
        <v>0</v>
      </c>
      <c r="AA194" s="485">
        <f t="shared" si="91"/>
        <v>0</v>
      </c>
      <c r="AB194" s="485">
        <f t="shared" si="91"/>
        <v>0</v>
      </c>
      <c r="AC194" s="485">
        <f t="shared" si="91"/>
        <v>0</v>
      </c>
      <c r="AD194" s="485">
        <f t="shared" si="91"/>
        <v>0</v>
      </c>
      <c r="AE194" s="485">
        <f t="shared" si="91"/>
        <v>0</v>
      </c>
      <c r="AF194" s="485">
        <f t="shared" si="91"/>
        <v>0</v>
      </c>
      <c r="AG194" s="485">
        <f t="shared" si="91"/>
        <v>0</v>
      </c>
      <c r="AH194" s="485">
        <f t="shared" si="91"/>
        <v>0</v>
      </c>
      <c r="AI194" s="485">
        <f t="shared" si="91"/>
        <v>0</v>
      </c>
      <c r="AJ194" s="485">
        <f t="shared" si="91"/>
        <v>0</v>
      </c>
      <c r="AK194" s="485">
        <f t="shared" si="91"/>
        <v>0</v>
      </c>
      <c r="AL194" s="485">
        <f t="shared" ref="AL194" si="92">SUMPRODUCT(AL191:AL192,AL$150:AL$151)</f>
        <v>0</v>
      </c>
    </row>
    <row r="196" spans="1:38" ht="13">
      <c r="B196" s="364" t="s">
        <v>520</v>
      </c>
      <c r="C196" s="387" t="s">
        <v>292</v>
      </c>
      <c r="D196" s="488">
        <f>D189+D194</f>
        <v>295.56455845233296</v>
      </c>
      <c r="E196" s="488">
        <f t="shared" ref="E196:AK196" si="93">E189+E194</f>
        <v>308.06514374872023</v>
      </c>
      <c r="F196" s="488">
        <f t="shared" si="93"/>
        <v>319.93178886846465</v>
      </c>
      <c r="G196" s="488">
        <f t="shared" si="93"/>
        <v>329.75083109689513</v>
      </c>
      <c r="H196" s="488">
        <f t="shared" si="93"/>
        <v>0</v>
      </c>
      <c r="I196" s="488">
        <f t="shared" si="93"/>
        <v>0</v>
      </c>
      <c r="J196" s="488">
        <f t="shared" si="93"/>
        <v>0</v>
      </c>
      <c r="K196" s="488">
        <f t="shared" si="93"/>
        <v>0</v>
      </c>
      <c r="L196" s="488">
        <f t="shared" si="93"/>
        <v>0</v>
      </c>
      <c r="M196" s="488">
        <f t="shared" si="93"/>
        <v>0</v>
      </c>
      <c r="N196" s="488">
        <f t="shared" si="93"/>
        <v>0</v>
      </c>
      <c r="O196" s="488">
        <f t="shared" si="93"/>
        <v>0</v>
      </c>
      <c r="P196" s="488">
        <f t="shared" si="93"/>
        <v>0</v>
      </c>
      <c r="Q196" s="488">
        <f t="shared" si="93"/>
        <v>0</v>
      </c>
      <c r="R196" s="488">
        <f t="shared" si="93"/>
        <v>0</v>
      </c>
      <c r="S196" s="488">
        <f t="shared" si="93"/>
        <v>0</v>
      </c>
      <c r="T196" s="488">
        <f t="shared" si="93"/>
        <v>0</v>
      </c>
      <c r="U196" s="488">
        <f t="shared" si="93"/>
        <v>0</v>
      </c>
      <c r="V196" s="488">
        <f t="shared" si="93"/>
        <v>0</v>
      </c>
      <c r="W196" s="488">
        <f t="shared" si="93"/>
        <v>0</v>
      </c>
      <c r="X196" s="488">
        <f t="shared" si="93"/>
        <v>0</v>
      </c>
      <c r="Y196" s="488">
        <f t="shared" si="93"/>
        <v>0</v>
      </c>
      <c r="Z196" s="488">
        <f t="shared" si="93"/>
        <v>0</v>
      </c>
      <c r="AA196" s="488">
        <f t="shared" si="93"/>
        <v>0</v>
      </c>
      <c r="AB196" s="488">
        <f t="shared" si="93"/>
        <v>0</v>
      </c>
      <c r="AC196" s="488">
        <f t="shared" si="93"/>
        <v>0</v>
      </c>
      <c r="AD196" s="488">
        <f t="shared" si="93"/>
        <v>0</v>
      </c>
      <c r="AE196" s="488">
        <f t="shared" si="93"/>
        <v>0</v>
      </c>
      <c r="AF196" s="488">
        <f t="shared" si="93"/>
        <v>0</v>
      </c>
      <c r="AG196" s="488">
        <f t="shared" si="93"/>
        <v>0</v>
      </c>
      <c r="AH196" s="488">
        <f t="shared" si="93"/>
        <v>0</v>
      </c>
      <c r="AI196" s="488">
        <f t="shared" si="93"/>
        <v>0</v>
      </c>
      <c r="AJ196" s="488">
        <f t="shared" si="93"/>
        <v>0</v>
      </c>
      <c r="AK196" s="488">
        <f t="shared" si="93"/>
        <v>0</v>
      </c>
      <c r="AL196" s="488">
        <f t="shared" ref="AL196" si="94">AL189+AL194</f>
        <v>0</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5">E172-E191</f>
        <v>0</v>
      </c>
      <c r="F200" s="383">
        <f t="shared" si="95"/>
        <v>0</v>
      </c>
      <c r="G200" s="383">
        <f t="shared" si="95"/>
        <v>0</v>
      </c>
      <c r="H200" s="383">
        <f t="shared" si="95"/>
        <v>109.14255465435672</v>
      </c>
      <c r="I200" s="383">
        <f t="shared" si="95"/>
        <v>113.55337150544329</v>
      </c>
      <c r="J200" s="383">
        <f t="shared" si="95"/>
        <v>118.14244426556039</v>
      </c>
      <c r="K200" s="383">
        <f t="shared" si="95"/>
        <v>122.91697685411279</v>
      </c>
      <c r="L200" s="383">
        <f t="shared" si="95"/>
        <v>127.88446432506048</v>
      </c>
      <c r="M200" s="383">
        <f t="shared" si="95"/>
        <v>133.05270463264281</v>
      </c>
      <c r="N200" s="383">
        <f t="shared" si="95"/>
        <v>138.42981087259537</v>
      </c>
      <c r="O200" s="383">
        <f t="shared" si="95"/>
        <v>144.02422401807505</v>
      </c>
      <c r="P200" s="383">
        <f t="shared" si="95"/>
        <v>149.84472617028703</v>
      </c>
      <c r="Q200" s="383">
        <f t="shared" si="95"/>
        <v>155.90045434461356</v>
      </c>
      <c r="R200" s="383">
        <f t="shared" si="95"/>
        <v>162.2009148138867</v>
      </c>
      <c r="S200" s="383">
        <f t="shared" si="95"/>
        <v>168.75599803132175</v>
      </c>
      <c r="T200" s="383">
        <f t="shared" si="95"/>
        <v>175.57599415653408</v>
      </c>
      <c r="U200" s="383">
        <f t="shared" si="95"/>
        <v>182.67160920901716</v>
      </c>
      <c r="V200" s="383">
        <f t="shared" si="95"/>
        <v>190.05398187443529</v>
      </c>
      <c r="W200" s="383">
        <f t="shared" si="95"/>
        <v>197.73470099011533</v>
      </c>
      <c r="X200" s="383">
        <f t="shared" si="95"/>
        <v>205.72582373718538</v>
      </c>
      <c r="Y200" s="383">
        <f t="shared" si="95"/>
        <v>214.0398945679199</v>
      </c>
      <c r="Z200" s="383">
        <f t="shared" si="95"/>
        <v>222.68996489800165</v>
      </c>
      <c r="AA200" s="383">
        <f t="shared" si="95"/>
        <v>231.68961359461363</v>
      </c>
      <c r="AB200" s="383">
        <f t="shared" si="95"/>
        <v>241.05296829252435</v>
      </c>
      <c r="AC200" s="383">
        <f t="shared" si="95"/>
        <v>250.79472757162753</v>
      </c>
      <c r="AD200" s="383">
        <f t="shared" si="95"/>
        <v>260.93018403074984</v>
      </c>
      <c r="AE200" s="383">
        <f t="shared" si="95"/>
        <v>271.47524829394933</v>
      </c>
      <c r="AF200" s="383">
        <f t="shared" si="95"/>
        <v>282.44647398698891</v>
      </c>
      <c r="AG200" s="383">
        <f t="shared" si="95"/>
        <v>293.86108372319296</v>
      </c>
      <c r="AH200" s="383">
        <f t="shared" si="95"/>
        <v>305.73699613947861</v>
      </c>
      <c r="AI200" s="383">
        <f t="shared" si="95"/>
        <v>318.09285402500569</v>
      </c>
      <c r="AJ200" s="383">
        <f t="shared" si="95"/>
        <v>330.94805358659767</v>
      </c>
      <c r="AK200" s="383">
        <f t="shared" si="95"/>
        <v>344.32277489687795</v>
      </c>
      <c r="AL200" s="383">
        <f t="shared" ref="AL200" si="96">AL172-AL191</f>
        <v>358.2380135729174</v>
      </c>
    </row>
    <row r="201" spans="1:38" ht="13">
      <c r="B201" s="364" t="s">
        <v>820</v>
      </c>
      <c r="C201" s="387" t="s">
        <v>295</v>
      </c>
      <c r="D201" s="383">
        <f>D173-D192</f>
        <v>0</v>
      </c>
      <c r="E201" s="383">
        <f t="shared" si="95"/>
        <v>0</v>
      </c>
      <c r="F201" s="383">
        <f t="shared" si="95"/>
        <v>0</v>
      </c>
      <c r="G201" s="383">
        <f t="shared" si="95"/>
        <v>0</v>
      </c>
      <c r="H201" s="383">
        <f t="shared" si="95"/>
        <v>1.2886775965092545</v>
      </c>
      <c r="I201" s="383">
        <f t="shared" si="95"/>
        <v>1.3407573822198033</v>
      </c>
      <c r="J201" s="383">
        <f t="shared" si="95"/>
        <v>1.394941886819703</v>
      </c>
      <c r="K201" s="383">
        <f t="shared" si="95"/>
        <v>1.4513161690614576</v>
      </c>
      <c r="L201" s="383">
        <f t="shared" si="95"/>
        <v>1.5099687252071661</v>
      </c>
      <c r="M201" s="383">
        <f t="shared" si="95"/>
        <v>1.5709916279498188</v>
      </c>
      <c r="N201" s="383">
        <f t="shared" si="95"/>
        <v>1.6344806709488719</v>
      </c>
      <c r="O201" s="383">
        <f t="shared" si="95"/>
        <v>1.7005355192069866</v>
      </c>
      <c r="P201" s="383">
        <f t="shared" si="95"/>
        <v>1.7692598655239991</v>
      </c>
      <c r="Q201" s="383">
        <f t="shared" si="95"/>
        <v>1.8407615932737167</v>
      </c>
      <c r="R201" s="383">
        <f t="shared" si="95"/>
        <v>1.9151529457590726</v>
      </c>
      <c r="S201" s="383">
        <f t="shared" si="95"/>
        <v>1.9925507024115019</v>
      </c>
      <c r="T201" s="383">
        <f t="shared" si="95"/>
        <v>2.0730763621110957</v>
      </c>
      <c r="U201" s="383">
        <f t="shared" si="95"/>
        <v>2.156856333915373</v>
      </c>
      <c r="V201" s="383">
        <f t="shared" si="95"/>
        <v>2.2440221354960208</v>
      </c>
      <c r="W201" s="383">
        <f t="shared" si="95"/>
        <v>2.3347105995951347</v>
      </c>
      <c r="X201" s="383">
        <f t="shared" si="95"/>
        <v>2.4290640888250441</v>
      </c>
      <c r="Y201" s="383">
        <f t="shared" si="95"/>
        <v>2.5272307191489296</v>
      </c>
      <c r="Z201" s="383">
        <f t="shared" si="95"/>
        <v>2.6293645923930336</v>
      </c>
      <c r="AA201" s="383">
        <f t="shared" si="95"/>
        <v>2.7356260381554689</v>
      </c>
      <c r="AB201" s="383">
        <f t="shared" si="95"/>
        <v>2.8461818654913795</v>
      </c>
      <c r="AC201" s="383">
        <f t="shared" si="95"/>
        <v>2.961205624769542</v>
      </c>
      <c r="AD201" s="383">
        <f t="shared" si="95"/>
        <v>3.0808778801114642</v>
      </c>
      <c r="AE201" s="383">
        <f t="shared" si="95"/>
        <v>3.2053864928406712</v>
      </c>
      <c r="AF201" s="383">
        <f t="shared" si="95"/>
        <v>3.3349269163871202</v>
      </c>
      <c r="AG201" s="383">
        <f t="shared" si="95"/>
        <v>3.4697025031097035</v>
      </c>
      <c r="AH201" s="383">
        <f t="shared" si="95"/>
        <v>3.6099248235184604</v>
      </c>
      <c r="AI201" s="383">
        <f t="shared" si="95"/>
        <v>3.7558139983976488</v>
      </c>
      <c r="AJ201" s="383">
        <f t="shared" si="95"/>
        <v>3.9075990443510147</v>
      </c>
      <c r="AK201" s="383">
        <f t="shared" si="95"/>
        <v>4.0655182333116979</v>
      </c>
      <c r="AL201" s="383">
        <f t="shared" ref="AL201" si="97">AL173-AL192</f>
        <v>4.2298194665811657</v>
      </c>
    </row>
    <row r="202" spans="1:38" ht="13">
      <c r="B202" s="364" t="s">
        <v>821</v>
      </c>
      <c r="C202" s="387" t="s">
        <v>479</v>
      </c>
      <c r="D202" s="383">
        <f>SUM(D166:D168)-SUM(D185:D187)</f>
        <v>0</v>
      </c>
      <c r="E202" s="383">
        <f t="shared" ref="E202:AE202" si="98">SUM(E166:E168)-SUM(E185:E187)</f>
        <v>0</v>
      </c>
      <c r="F202" s="383">
        <f t="shared" si="98"/>
        <v>0</v>
      </c>
      <c r="G202" s="383">
        <f t="shared" si="98"/>
        <v>0</v>
      </c>
      <c r="H202" s="383">
        <f t="shared" si="98"/>
        <v>10.58556597132602</v>
      </c>
      <c r="I202" s="383">
        <f t="shared" si="98"/>
        <v>11.013364211091242</v>
      </c>
      <c r="J202" s="383">
        <f t="shared" si="98"/>
        <v>11.458451213161846</v>
      </c>
      <c r="K202" s="383">
        <f t="shared" si="98"/>
        <v>11.921525674433401</v>
      </c>
      <c r="L202" s="383">
        <f t="shared" si="98"/>
        <v>12.403314528487433</v>
      </c>
      <c r="M202" s="383">
        <f t="shared" si="98"/>
        <v>12.904574086730651</v>
      </c>
      <c r="N202" s="383">
        <f t="shared" si="98"/>
        <v>13.426091225651446</v>
      </c>
      <c r="O202" s="383">
        <f t="shared" si="98"/>
        <v>13.96868462205739</v>
      </c>
      <c r="P202" s="383">
        <f t="shared" si="98"/>
        <v>14.53320603823285</v>
      </c>
      <c r="Q202" s="383">
        <f t="shared" si="98"/>
        <v>15.1205416590341</v>
      </c>
      <c r="R202" s="383">
        <f t="shared" si="98"/>
        <v>15.731613483020954</v>
      </c>
      <c r="S202" s="383">
        <f t="shared" si="98"/>
        <v>16.367380769808765</v>
      </c>
      <c r="T202" s="383">
        <f t="shared" si="98"/>
        <v>17.02884154591257</v>
      </c>
      <c r="U202" s="383">
        <f t="shared" si="98"/>
        <v>17.717034171447704</v>
      </c>
      <c r="V202" s="383">
        <f t="shared" si="98"/>
        <v>18.433038970145883</v>
      </c>
      <c r="W202" s="383">
        <f t="shared" si="98"/>
        <v>19.177979925245747</v>
      </c>
      <c r="X202" s="383">
        <f t="shared" si="98"/>
        <v>19.953026443920002</v>
      </c>
      <c r="Y202" s="383">
        <f t="shared" si="98"/>
        <v>20.759395193009066</v>
      </c>
      <c r="Z202" s="383">
        <f t="shared" si="98"/>
        <v>21.598352008942772</v>
      </c>
      <c r="AA202" s="383">
        <f t="shared" si="98"/>
        <v>22.471213884848492</v>
      </c>
      <c r="AB202" s="383">
        <f t="shared" si="98"/>
        <v>23.379351037964899</v>
      </c>
      <c r="AC202" s="383">
        <f t="shared" si="98"/>
        <v>24.324189060606951</v>
      </c>
      <c r="AD202" s="383">
        <f t="shared" si="98"/>
        <v>25.307211158058454</v>
      </c>
      <c r="AE202" s="383">
        <f t="shared" si="98"/>
        <v>26.329960476905512</v>
      </c>
      <c r="AF202" s="383">
        <f t="shared" ref="AF202:AJ202" si="99">SUM(AF166:AF168)-SUM(AF185:AF187)</f>
        <v>27.394042527465629</v>
      </c>
      <c r="AG202" s="383">
        <f t="shared" si="99"/>
        <v>28.501127704115419</v>
      </c>
      <c r="AH202" s="383">
        <f t="shared" si="99"/>
        <v>29.652953907473062</v>
      </c>
      <c r="AI202" s="383">
        <f t="shared" si="99"/>
        <v>30.851329272552118</v>
      </c>
      <c r="AJ202" s="383">
        <f t="shared" si="99"/>
        <v>32.098135007169049</v>
      </c>
      <c r="AK202" s="383">
        <f t="shared" ref="AK202:AL202" si="100">SUM(AK166:AK168)-SUM(AK185:AK187)</f>
        <v>33.395328345060371</v>
      </c>
      <c r="AL202" s="383">
        <f t="shared" si="100"/>
        <v>34.744945618345291</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101">D177-D196</f>
        <v>0</v>
      </c>
      <c r="E204" s="488">
        <f t="shared" si="101"/>
        <v>0</v>
      </c>
      <c r="F204" s="488">
        <f t="shared" si="101"/>
        <v>0</v>
      </c>
      <c r="G204" s="488">
        <f t="shared" si="101"/>
        <v>0</v>
      </c>
      <c r="H204" s="488">
        <f t="shared" si="101"/>
        <v>346.72366439748765</v>
      </c>
      <c r="I204" s="488">
        <f t="shared" si="101"/>
        <v>363.7285916294648</v>
      </c>
      <c r="J204" s="488">
        <f t="shared" si="101"/>
        <v>382.64474967061864</v>
      </c>
      <c r="K204" s="488">
        <f t="shared" si="101"/>
        <v>400.24748708262678</v>
      </c>
      <c r="L204" s="488">
        <f t="shared" si="101"/>
        <v>421.40957374315116</v>
      </c>
      <c r="M204" s="488">
        <f t="shared" si="101"/>
        <v>450.1678505623421</v>
      </c>
      <c r="N204" s="488">
        <f t="shared" si="101"/>
        <v>471.53067559862518</v>
      </c>
      <c r="O204" s="488">
        <f t="shared" si="101"/>
        <v>494.62892391894292</v>
      </c>
      <c r="P204" s="488">
        <f t="shared" si="101"/>
        <v>522.69250676702393</v>
      </c>
      <c r="Q204" s="488">
        <f t="shared" si="101"/>
        <v>551.48325240751331</v>
      </c>
      <c r="R204" s="488">
        <f t="shared" si="101"/>
        <v>579.21582393595065</v>
      </c>
      <c r="S204" s="488">
        <f t="shared" si="101"/>
        <v>609.07195486724424</v>
      </c>
      <c r="T204" s="488">
        <f t="shared" si="101"/>
        <v>635.78696722576638</v>
      </c>
      <c r="U204" s="488">
        <f t="shared" si="101"/>
        <v>667.98573848255751</v>
      </c>
      <c r="V204" s="488">
        <f t="shared" si="101"/>
        <v>703.21425993510491</v>
      </c>
      <c r="W204" s="488">
        <f t="shared" si="101"/>
        <v>734.25004331381513</v>
      </c>
      <c r="X204" s="488">
        <f t="shared" si="101"/>
        <v>768.98372776293604</v>
      </c>
      <c r="Y204" s="488">
        <f t="shared" si="101"/>
        <v>810.92505419731185</v>
      </c>
      <c r="Z204" s="488">
        <f t="shared" si="101"/>
        <v>849.95299724639926</v>
      </c>
      <c r="AA204" s="488">
        <f t="shared" si="101"/>
        <v>890.68833797572347</v>
      </c>
      <c r="AB204" s="488">
        <f t="shared" si="101"/>
        <v>937.30557712347843</v>
      </c>
      <c r="AC204" s="488">
        <f t="shared" si="101"/>
        <v>978.25749578618706</v>
      </c>
      <c r="AD204" s="488">
        <f t="shared" si="101"/>
        <v>1033.2096835966463</v>
      </c>
      <c r="AE204" s="488">
        <f t="shared" si="101"/>
        <v>1085.9977304834999</v>
      </c>
      <c r="AF204" s="488">
        <f t="shared" si="101"/>
        <v>1138.7573289698526</v>
      </c>
      <c r="AG204" s="488">
        <f t="shared" si="101"/>
        <v>1192.7363546133925</v>
      </c>
      <c r="AH204" s="488">
        <f t="shared" si="101"/>
        <v>1250.4517859033283</v>
      </c>
      <c r="AI204" s="488">
        <f t="shared" si="101"/>
        <v>1310.9509124931715</v>
      </c>
      <c r="AJ204" s="488">
        <f t="shared" si="101"/>
        <v>1374.3678218849996</v>
      </c>
      <c r="AK204" s="488">
        <f t="shared" si="101"/>
        <v>1440.8430599234071</v>
      </c>
      <c r="AL204" s="488">
        <f t="shared" ref="AL204" si="102">AL177-AL196</f>
        <v>1510.5239420646556</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tint="0.39997558519241921"/>
  </sheetPr>
  <dimension ref="A1:AL72"/>
  <sheetViews>
    <sheetView showGridLines="0" workbookViewId="0">
      <selection activeCell="E6" sqref="E6"/>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Inputs'!C24</f>
        <v>254400V</v>
      </c>
      <c r="E4" s="410"/>
    </row>
    <row r="5" spans="1:38">
      <c r="B5" s="358" t="s">
        <v>628</v>
      </c>
      <c r="C5" s="399" t="s">
        <v>629</v>
      </c>
      <c r="D5" s="439" t="str">
        <f>'Crossing Inputs'!C26</f>
        <v>Urban</v>
      </c>
      <c r="E5" s="398">
        <f>SUMIFS('Accidents Methodology'!$C$22:$C$23,'Accidents Methodology'!$B$22:$B$23,$D5)</f>
        <v>1</v>
      </c>
    </row>
    <row r="6" spans="1:38">
      <c r="B6" s="358" t="s">
        <v>615</v>
      </c>
      <c r="C6" s="399" t="s">
        <v>150</v>
      </c>
      <c r="D6" s="439" t="str">
        <f>'Crossing Inputs'!C27</f>
        <v>Passive</v>
      </c>
      <c r="E6" s="398">
        <f>SUMIFS('Accidents Methodology'!$C$3:$C$5,'Accidents Methodology'!$B$3:$B$5,$D6)</f>
        <v>2.2680000000000001E-3</v>
      </c>
    </row>
    <row r="7" spans="1:38">
      <c r="B7" s="358" t="s">
        <v>630</v>
      </c>
      <c r="C7" s="399" t="s">
        <v>631</v>
      </c>
      <c r="D7" s="439" t="str">
        <f>'Crossing Inputs'!C29</f>
        <v>Yes</v>
      </c>
      <c r="E7" s="398">
        <f>SUMIFS('Accidents Methodology'!$C$26:$C$27,'Accidents Methodology'!$B$26:$B$27,$D7)</f>
        <v>1</v>
      </c>
    </row>
    <row r="8" spans="1:38">
      <c r="B8" s="358" t="s">
        <v>632</v>
      </c>
      <c r="C8" s="399" t="s">
        <v>633</v>
      </c>
      <c r="D8" s="439" t="str">
        <f>'Crossing Inputs'!$C$26&amp;" - "&amp;'Crossing Inputs'!$C$28</f>
        <v>Urban - Local</v>
      </c>
      <c r="E8" s="398">
        <f>SUMIFS('Accidents Methodology'!$C$8:$C$19,'Accidents Methodology'!$B$8:$B$19,$D8)</f>
        <v>6</v>
      </c>
    </row>
    <row r="9" spans="1:38">
      <c r="B9" s="358" t="s">
        <v>607</v>
      </c>
      <c r="C9" s="399" t="s">
        <v>635</v>
      </c>
      <c r="D9" s="439">
        <f>'Crossing Inputs'!C30</f>
        <v>0</v>
      </c>
    </row>
    <row r="10" spans="1:38">
      <c r="B10" s="358" t="s">
        <v>636</v>
      </c>
      <c r="C10" s="399" t="s">
        <v>637</v>
      </c>
      <c r="D10" s="439">
        <f>'Crossing Inputs'!C35</f>
        <v>2</v>
      </c>
    </row>
    <row r="11" spans="1:38">
      <c r="B11" s="358" t="s">
        <v>610</v>
      </c>
      <c r="C11" s="399" t="s">
        <v>638</v>
      </c>
      <c r="D11" s="439">
        <f>'Crossing Inputs'!C31</f>
        <v>3</v>
      </c>
    </row>
    <row r="12" spans="1:38">
      <c r="C12" s="399"/>
    </row>
    <row r="13" spans="1:38" ht="13">
      <c r="C13" s="399"/>
      <c r="D13" s="440">
        <f>D$1</f>
        <v>2021</v>
      </c>
      <c r="E13" s="440">
        <f t="shared" ref="E13:AL13" si="0">E$1</f>
        <v>2022</v>
      </c>
      <c r="F13" s="440">
        <f t="shared" si="0"/>
        <v>2023</v>
      </c>
      <c r="G13" s="440">
        <f t="shared" si="0"/>
        <v>2024</v>
      </c>
      <c r="H13" s="440">
        <f t="shared" si="0"/>
        <v>2025</v>
      </c>
      <c r="I13" s="440">
        <f t="shared" si="0"/>
        <v>2026</v>
      </c>
      <c r="J13" s="440">
        <f t="shared" si="0"/>
        <v>2027</v>
      </c>
      <c r="K13" s="440">
        <f t="shared" si="0"/>
        <v>2028</v>
      </c>
      <c r="L13" s="440">
        <f t="shared" si="0"/>
        <v>2029</v>
      </c>
      <c r="M13" s="440">
        <f t="shared" si="0"/>
        <v>2030</v>
      </c>
      <c r="N13" s="440">
        <f t="shared" si="0"/>
        <v>2031</v>
      </c>
      <c r="O13" s="440">
        <f t="shared" si="0"/>
        <v>2032</v>
      </c>
      <c r="P13" s="440">
        <f t="shared" si="0"/>
        <v>2033</v>
      </c>
      <c r="Q13" s="440">
        <f t="shared" si="0"/>
        <v>2034</v>
      </c>
      <c r="R13" s="440">
        <f t="shared" si="0"/>
        <v>2035</v>
      </c>
      <c r="S13" s="440">
        <f t="shared" si="0"/>
        <v>2036</v>
      </c>
      <c r="T13" s="440">
        <f t="shared" si="0"/>
        <v>2037</v>
      </c>
      <c r="U13" s="440">
        <f t="shared" si="0"/>
        <v>2038</v>
      </c>
      <c r="V13" s="440">
        <f t="shared" si="0"/>
        <v>2039</v>
      </c>
      <c r="W13" s="440">
        <f t="shared" si="0"/>
        <v>2040</v>
      </c>
      <c r="X13" s="440">
        <f t="shared" si="0"/>
        <v>2041</v>
      </c>
      <c r="Y13" s="440">
        <f t="shared" si="0"/>
        <v>2042</v>
      </c>
      <c r="Z13" s="440">
        <f t="shared" si="0"/>
        <v>2043</v>
      </c>
      <c r="AA13" s="440">
        <f t="shared" si="0"/>
        <v>2044</v>
      </c>
      <c r="AB13" s="440">
        <f t="shared" si="0"/>
        <v>2045</v>
      </c>
      <c r="AC13" s="440">
        <f t="shared" si="0"/>
        <v>2046</v>
      </c>
      <c r="AD13" s="440">
        <f t="shared" si="0"/>
        <v>2047</v>
      </c>
      <c r="AE13" s="440">
        <f t="shared" si="0"/>
        <v>2048</v>
      </c>
      <c r="AF13" s="440">
        <f t="shared" si="0"/>
        <v>2049</v>
      </c>
      <c r="AG13" s="440">
        <f t="shared" si="0"/>
        <v>2050</v>
      </c>
      <c r="AH13" s="440">
        <f t="shared" si="0"/>
        <v>2051</v>
      </c>
      <c r="AI13" s="440">
        <f t="shared" si="0"/>
        <v>2052</v>
      </c>
      <c r="AJ13" s="440">
        <f t="shared" si="0"/>
        <v>2053</v>
      </c>
      <c r="AK13" s="440">
        <f t="shared" si="0"/>
        <v>2054</v>
      </c>
      <c r="AL13" s="440">
        <f t="shared" si="0"/>
        <v>2055</v>
      </c>
    </row>
    <row r="14" spans="1:38" ht="13">
      <c r="B14" s="400" t="s">
        <v>639</v>
      </c>
      <c r="C14" s="401" t="s">
        <v>640</v>
      </c>
      <c r="D14" s="441">
        <f>'700 South'!D6</f>
        <v>757.22529230485088</v>
      </c>
      <c r="E14" s="441">
        <f>'700 South'!E6</f>
        <v>779.55896095558853</v>
      </c>
      <c r="F14" s="441">
        <f>'700 South'!F6</f>
        <v>802.55134077256673</v>
      </c>
      <c r="G14" s="441">
        <f>'700 South'!G6</f>
        <v>826.22185984023133</v>
      </c>
      <c r="H14" s="441">
        <f>'700 South'!H6</f>
        <v>850.59051925664085</v>
      </c>
      <c r="I14" s="441">
        <f>'700 South'!I6</f>
        <v>875.67791003398008</v>
      </c>
      <c r="J14" s="441">
        <f>'700 South'!J6</f>
        <v>901.50523049753895</v>
      </c>
      <c r="K14" s="441">
        <f>'700 South'!K6</f>
        <v>928.09430419785747</v>
      </c>
      <c r="L14" s="441">
        <f>'700 South'!L6</f>
        <v>955.46759835117439</v>
      </c>
      <c r="M14" s="441">
        <f>'700 South'!M6</f>
        <v>983.64824282375798</v>
      </c>
      <c r="N14" s="441">
        <f>'700 South'!N6</f>
        <v>1012.6600496761655</v>
      </c>
      <c r="O14" s="441">
        <f>'700 South'!O6</f>
        <v>1042.5275332839396</v>
      </c>
      <c r="P14" s="441">
        <f>'700 South'!P6</f>
        <v>1073.2759310517479</v>
      </c>
      <c r="Q14" s="441">
        <f>'700 South'!Q6</f>
        <v>1104.9312247384671</v>
      </c>
      <c r="R14" s="441">
        <f>'700 South'!R6</f>
        <v>1137.5201624112303</v>
      </c>
      <c r="S14" s="441">
        <f>'700 South'!S6</f>
        <v>1171.0702810469904</v>
      </c>
      <c r="T14" s="441">
        <f>'700 South'!T6</f>
        <v>1205.6099298006936</v>
      </c>
      <c r="U14" s="441">
        <f>'700 South'!U6</f>
        <v>1241.1682939597288</v>
      </c>
      <c r="V14" s="441">
        <f>'700 South'!V6</f>
        <v>1277.7754196048904</v>
      </c>
      <c r="W14" s="441">
        <f>'700 South'!W6</f>
        <v>1315.4622389986941</v>
      </c>
      <c r="X14" s="441">
        <f>'700 South'!X6</f>
        <v>1354.2605967224965</v>
      </c>
      <c r="Y14" s="441">
        <f>'700 South'!Y6</f>
        <v>1394.2032765845079</v>
      </c>
      <c r="Z14" s="441">
        <f>'700 South'!Z6</f>
        <v>1435.3240293214299</v>
      </c>
      <c r="AA14" s="441">
        <f>'700 South'!AA6</f>
        <v>1477.6576011171289</v>
      </c>
      <c r="AB14" s="441">
        <f>'700 South'!AB6</f>
        <v>1521.2397629624411</v>
      </c>
      <c r="AC14" s="441">
        <f>'700 South'!AC6</f>
        <v>1566.1073408809186</v>
      </c>
      <c r="AD14" s="441">
        <f>'700 South'!AD6</f>
        <v>1612.2982470460565</v>
      </c>
      <c r="AE14" s="441">
        <f>'700 South'!AE6</f>
        <v>1659.8515118162927</v>
      </c>
      <c r="AF14" s="441">
        <f>'700 South'!AF6</f>
        <v>1708.8073167148523</v>
      </c>
      <c r="AG14" s="441">
        <f>'700 South'!AG6</f>
        <v>1759.2070283823034</v>
      </c>
      <c r="AH14" s="441">
        <f>'700 South'!AH6</f>
        <v>1811.0932335305088</v>
      </c>
      <c r="AI14" s="441">
        <f>'700 South'!AI6</f>
        <v>1864.5097749275169</v>
      </c>
      <c r="AJ14" s="441">
        <f>'700 South'!AJ6</f>
        <v>1919.5017884437907</v>
      </c>
      <c r="AK14" s="441">
        <f>'700 South'!AK6</f>
        <v>1976.1157411910835</v>
      </c>
      <c r="AL14" s="441">
        <f>'700 South'!AL6</f>
        <v>2034.3994707861862</v>
      </c>
    </row>
    <row r="15" spans="1:38" ht="13">
      <c r="B15" s="400" t="s">
        <v>641</v>
      </c>
      <c r="C15" s="401" t="s">
        <v>642</v>
      </c>
      <c r="D15" s="442">
        <f>'700 South'!D10</f>
        <v>2.021212882214602</v>
      </c>
      <c r="E15" s="442">
        <f>'700 South'!E10</f>
        <v>2.0426507576151294</v>
      </c>
      <c r="F15" s="442">
        <f>'700 South'!F10</f>
        <v>2.064316012578558</v>
      </c>
      <c r="G15" s="442">
        <f>'700 South'!G10</f>
        <v>2.0862110587928311</v>
      </c>
      <c r="H15" s="442">
        <f>'700 South'!H10</f>
        <v>2.1083383335253174</v>
      </c>
      <c r="I15" s="442">
        <f>'700 South'!I10</f>
        <v>2.1307002998941189</v>
      </c>
      <c r="J15" s="442">
        <f>'700 South'!J10</f>
        <v>2.1532994471422544</v>
      </c>
      <c r="K15" s="442">
        <f>'700 South'!K10</f>
        <v>2.1761382909147526</v>
      </c>
      <c r="L15" s="442">
        <f>'700 South'!L10</f>
        <v>2.1992193735386825</v>
      </c>
      <c r="M15" s="442">
        <f>'700 South'!M10</f>
        <v>2.2225452643061563</v>
      </c>
      <c r="N15" s="442">
        <f>'700 South'!N10</f>
        <v>2.2461185597603301</v>
      </c>
      <c r="O15" s="442">
        <f>'700 South'!O10</f>
        <v>2.2699418839844441</v>
      </c>
      <c r="P15" s="442">
        <f>'700 South'!P10</f>
        <v>2.2940178888939209</v>
      </c>
      <c r="Q15" s="442">
        <f>'700 South'!Q10</f>
        <v>2.3183492545315696</v>
      </c>
      <c r="R15" s="442">
        <f>'700 South'!R10</f>
        <v>2.3429386893659134</v>
      </c>
      <c r="S15" s="442">
        <f>'700 South'!S10</f>
        <v>2.3677889305926905</v>
      </c>
      <c r="T15" s="442">
        <f>'700 South'!T10</f>
        <v>2.392902744439541</v>
      </c>
      <c r="U15" s="442">
        <f>'700 South'!U10</f>
        <v>2.4182829264739381</v>
      </c>
      <c r="V15" s="442">
        <f>'700 South'!V10</f>
        <v>2.4439323019143755</v>
      </c>
      <c r="W15" s="442">
        <f>'700 South'!W10</f>
        <v>2.4698537259448612</v>
      </c>
      <c r="X15" s="442">
        <f>'700 South'!X10</f>
        <v>2.4960500840327433</v>
      </c>
      <c r="Y15" s="442">
        <f>'700 South'!Y10</f>
        <v>2.5225242922499103</v>
      </c>
      <c r="Z15" s="442">
        <f>'700 South'!Z10</f>
        <v>2.549279297597395</v>
      </c>
      <c r="AA15" s="442">
        <f>'700 South'!AA10</f>
        <v>2.5763180783334239</v>
      </c>
      <c r="AB15" s="442">
        <f>'700 South'!AB10</f>
        <v>2.6036436443049418</v>
      </c>
      <c r="AC15" s="442">
        <f>'700 South'!AC10</f>
        <v>2.631259037282661</v>
      </c>
      <c r="AD15" s="442">
        <f>'700 South'!AD10</f>
        <v>2.6591673312996531</v>
      </c>
      <c r="AE15" s="442">
        <f>'700 South'!AE10</f>
        <v>2.6873716329935418</v>
      </c>
      <c r="AF15" s="442">
        <f>'700 South'!AF10</f>
        <v>2.7158750819523192</v>
      </c>
      <c r="AG15" s="442">
        <f>'700 South'!AG10</f>
        <v>2.744680851063833</v>
      </c>
      <c r="AH15" s="442">
        <f>'700 South'!AH10</f>
        <v>2.7737921468689781</v>
      </c>
      <c r="AI15" s="442">
        <f>'700 South'!AI10</f>
        <v>2.8032122099186383</v>
      </c>
      <c r="AJ15" s="442">
        <f>'700 South'!AJ10</f>
        <v>2.8329443151344074</v>
      </c>
      <c r="AK15" s="442">
        <f>'700 South'!AK10</f>
        <v>2.8629917721731437</v>
      </c>
      <c r="AL15" s="442">
        <f>'700 South'!AL10</f>
        <v>2.8933579257953856</v>
      </c>
    </row>
    <row r="16" spans="1:38" ht="13">
      <c r="B16" s="400" t="s">
        <v>643</v>
      </c>
      <c r="C16" s="401" t="s">
        <v>644</v>
      </c>
      <c r="D16" s="442">
        <f>'700 South'!D10</f>
        <v>2.021212882214602</v>
      </c>
      <c r="E16" s="442">
        <f>'700 South'!E10</f>
        <v>2.0426507576151294</v>
      </c>
      <c r="F16" s="442">
        <f>'700 South'!F10</f>
        <v>2.064316012578558</v>
      </c>
      <c r="G16" s="442">
        <f>'700 South'!G10</f>
        <v>2.0862110587928311</v>
      </c>
      <c r="H16" s="442">
        <f>'700 South'!H10</f>
        <v>2.1083383335253174</v>
      </c>
      <c r="I16" s="442">
        <f>'700 South'!I10</f>
        <v>2.1307002998941189</v>
      </c>
      <c r="J16" s="442">
        <f>'700 South'!J10</f>
        <v>2.1532994471422544</v>
      </c>
      <c r="K16" s="442">
        <f>'700 South'!K10</f>
        <v>2.1761382909147526</v>
      </c>
      <c r="L16" s="442">
        <f>'700 South'!L10</f>
        <v>2.1992193735386825</v>
      </c>
      <c r="M16" s="442">
        <f>'700 South'!M10</f>
        <v>2.2225452643061563</v>
      </c>
      <c r="N16" s="442">
        <f>'700 South'!N10</f>
        <v>2.2461185597603301</v>
      </c>
      <c r="O16" s="442">
        <f>'700 South'!O10</f>
        <v>2.2699418839844441</v>
      </c>
      <c r="P16" s="442">
        <f>'700 South'!P10</f>
        <v>2.2940178888939209</v>
      </c>
      <c r="Q16" s="442">
        <f>'700 South'!Q10</f>
        <v>2.3183492545315696</v>
      </c>
      <c r="R16" s="442">
        <f>'700 South'!R10</f>
        <v>2.3429386893659134</v>
      </c>
      <c r="S16" s="442">
        <f>'700 South'!S10</f>
        <v>2.3677889305926905</v>
      </c>
      <c r="T16" s="442">
        <f>'700 South'!T10</f>
        <v>2.392902744439541</v>
      </c>
      <c r="U16" s="442">
        <f>'700 South'!U10</f>
        <v>2.4182829264739381</v>
      </c>
      <c r="V16" s="442">
        <f>'700 South'!V10</f>
        <v>2.4439323019143755</v>
      </c>
      <c r="W16" s="442">
        <f>'700 South'!W10</f>
        <v>2.4698537259448612</v>
      </c>
      <c r="X16" s="442">
        <f>'700 South'!X10</f>
        <v>2.4960500840327433</v>
      </c>
      <c r="Y16" s="442">
        <f>'700 South'!Y10</f>
        <v>2.5225242922499103</v>
      </c>
      <c r="Z16" s="442">
        <f>'700 South'!Z10</f>
        <v>2.549279297597395</v>
      </c>
      <c r="AA16" s="442">
        <f>'700 South'!AA10</f>
        <v>2.5763180783334239</v>
      </c>
      <c r="AB16" s="442">
        <f>'700 South'!AB10</f>
        <v>2.6036436443049418</v>
      </c>
      <c r="AC16" s="442">
        <f>'700 South'!AC10</f>
        <v>2.631259037282661</v>
      </c>
      <c r="AD16" s="442">
        <f>'700 South'!AD10</f>
        <v>2.6591673312996531</v>
      </c>
      <c r="AE16" s="442">
        <f>'700 South'!AE10</f>
        <v>2.6873716329935418</v>
      </c>
      <c r="AF16" s="442">
        <f>'700 South'!AF10</f>
        <v>2.7158750819523192</v>
      </c>
      <c r="AG16" s="442">
        <f>'700 South'!AG10</f>
        <v>2.744680851063833</v>
      </c>
      <c r="AH16" s="442">
        <f>'700 South'!AH10</f>
        <v>2.7737921468689781</v>
      </c>
      <c r="AI16" s="442">
        <f>'700 South'!AI10</f>
        <v>2.8032122099186383</v>
      </c>
      <c r="AJ16" s="442">
        <f>'700 South'!AJ10</f>
        <v>2.8329443151344074</v>
      </c>
      <c r="AK16" s="442">
        <f>'700 South'!AK10</f>
        <v>2.8629917721731437</v>
      </c>
      <c r="AL16" s="442">
        <f>'700 South'!AL10</f>
        <v>2.8933579257953856</v>
      </c>
    </row>
    <row r="17" spans="2:38" ht="13">
      <c r="B17" s="400" t="s">
        <v>645</v>
      </c>
      <c r="C17" s="401" t="s">
        <v>646</v>
      </c>
      <c r="D17" s="442">
        <f>'700 South'!D11</f>
        <v>1.010606441107301</v>
      </c>
      <c r="E17" s="442">
        <f>'700 South'!E11</f>
        <v>1.0213253788075647</v>
      </c>
      <c r="F17" s="442">
        <f>'700 South'!F11</f>
        <v>1.032158006289279</v>
      </c>
      <c r="G17" s="442">
        <f>'700 South'!G11</f>
        <v>1.0431055293964155</v>
      </c>
      <c r="H17" s="442">
        <f>'700 South'!H11</f>
        <v>1.0541691667626587</v>
      </c>
      <c r="I17" s="442">
        <f>'700 South'!I11</f>
        <v>1.0653501499470595</v>
      </c>
      <c r="J17" s="442">
        <f>'700 South'!J11</f>
        <v>1.0766497235711272</v>
      </c>
      <c r="K17" s="442">
        <f>'700 South'!K11</f>
        <v>1.0880691454573763</v>
      </c>
      <c r="L17" s="442">
        <f>'700 South'!L11</f>
        <v>1.0996096867693412</v>
      </c>
      <c r="M17" s="442">
        <f>'700 South'!M11</f>
        <v>1.1112726321530781</v>
      </c>
      <c r="N17" s="442">
        <f>'700 South'!N11</f>
        <v>1.1230592798801651</v>
      </c>
      <c r="O17" s="442">
        <f>'700 South'!O11</f>
        <v>1.134970941992222</v>
      </c>
      <c r="P17" s="442">
        <f>'700 South'!P11</f>
        <v>1.1470089444469604</v>
      </c>
      <c r="Q17" s="442">
        <f>'700 South'!Q11</f>
        <v>1.1591746272657848</v>
      </c>
      <c r="R17" s="442">
        <f>'700 South'!R11</f>
        <v>1.1714693446829567</v>
      </c>
      <c r="S17" s="442">
        <f>'700 South'!S11</f>
        <v>1.1838944652963452</v>
      </c>
      <c r="T17" s="442">
        <f>'700 South'!T11</f>
        <v>1.1964513722197705</v>
      </c>
      <c r="U17" s="442">
        <f>'700 South'!U11</f>
        <v>1.209141463236969</v>
      </c>
      <c r="V17" s="442">
        <f>'700 South'!V11</f>
        <v>1.2219661509571877</v>
      </c>
      <c r="W17" s="442">
        <f>'700 South'!W11</f>
        <v>1.2349268629724306</v>
      </c>
      <c r="X17" s="442">
        <f>'700 South'!X11</f>
        <v>1.2480250420163717</v>
      </c>
      <c r="Y17" s="442">
        <f>'700 South'!Y11</f>
        <v>1.2612621461249551</v>
      </c>
      <c r="Z17" s="442">
        <f>'700 South'!Z11</f>
        <v>1.2746396487986975</v>
      </c>
      <c r="AA17" s="442">
        <f>'700 South'!AA11</f>
        <v>1.2881590391667119</v>
      </c>
      <c r="AB17" s="442">
        <f>'700 South'!AB11</f>
        <v>1.3018218221524709</v>
      </c>
      <c r="AC17" s="442">
        <f>'700 South'!AC11</f>
        <v>1.3156295186413305</v>
      </c>
      <c r="AD17" s="442">
        <f>'700 South'!AD11</f>
        <v>1.3295836656498266</v>
      </c>
      <c r="AE17" s="442">
        <f>'700 South'!AE11</f>
        <v>1.3436858164967709</v>
      </c>
      <c r="AF17" s="442">
        <f>'700 South'!AF11</f>
        <v>1.3579375409761596</v>
      </c>
      <c r="AG17" s="442">
        <f>'700 South'!AG11</f>
        <v>1.3723404255319165</v>
      </c>
      <c r="AH17" s="442">
        <f>'700 South'!AH11</f>
        <v>1.3868960734344891</v>
      </c>
      <c r="AI17" s="442">
        <f>'700 South'!AI11</f>
        <v>1.4016061049593191</v>
      </c>
      <c r="AJ17" s="442">
        <f>'700 South'!AJ11</f>
        <v>1.4164721575672037</v>
      </c>
      <c r="AK17" s="442">
        <f>'700 South'!AK11</f>
        <v>1.4314958860865719</v>
      </c>
      <c r="AL17" s="442">
        <f>'700 South'!AL11</f>
        <v>1.4466789628976928</v>
      </c>
    </row>
    <row r="18" spans="2:38" ht="13">
      <c r="B18" s="400" t="s">
        <v>1048</v>
      </c>
      <c r="C18" s="401" t="s">
        <v>647</v>
      </c>
      <c r="D18" s="442">
        <v>0</v>
      </c>
      <c r="E18" s="442">
        <v>0</v>
      </c>
      <c r="F18" s="442">
        <v>0</v>
      </c>
      <c r="G18" s="442">
        <v>0</v>
      </c>
      <c r="H18" s="442">
        <v>0</v>
      </c>
      <c r="I18" s="442">
        <v>0</v>
      </c>
      <c r="J18" s="442">
        <v>0</v>
      </c>
      <c r="K18" s="442">
        <v>0</v>
      </c>
      <c r="L18" s="442">
        <v>0</v>
      </c>
      <c r="M18" s="442">
        <v>0</v>
      </c>
      <c r="N18" s="442">
        <v>0</v>
      </c>
      <c r="O18" s="442">
        <v>0</v>
      </c>
      <c r="P18" s="442">
        <v>0</v>
      </c>
      <c r="Q18" s="442">
        <v>0</v>
      </c>
      <c r="R18" s="442">
        <v>0</v>
      </c>
      <c r="S18" s="442">
        <v>0</v>
      </c>
      <c r="T18" s="442">
        <v>0</v>
      </c>
      <c r="U18" s="442">
        <v>0</v>
      </c>
      <c r="V18" s="442">
        <v>0</v>
      </c>
      <c r="W18" s="442">
        <v>0</v>
      </c>
      <c r="X18" s="442">
        <v>0</v>
      </c>
      <c r="Y18" s="442">
        <v>0</v>
      </c>
      <c r="Z18" s="442">
        <v>0</v>
      </c>
      <c r="AA18" s="442">
        <v>0</v>
      </c>
      <c r="AB18" s="442">
        <v>0</v>
      </c>
      <c r="AC18" s="442">
        <v>0</v>
      </c>
      <c r="AD18" s="442">
        <v>0</v>
      </c>
      <c r="AE18" s="442">
        <v>0</v>
      </c>
      <c r="AF18" s="442">
        <v>0</v>
      </c>
      <c r="AG18" s="442">
        <v>0</v>
      </c>
      <c r="AH18" s="442">
        <v>0</v>
      </c>
      <c r="AI18" s="442">
        <v>0</v>
      </c>
      <c r="AJ18" s="442">
        <v>0</v>
      </c>
      <c r="AK18" s="442">
        <v>0</v>
      </c>
      <c r="AL18" s="442">
        <v>0</v>
      </c>
    </row>
    <row r="19" spans="2:38" ht="13">
      <c r="B19" s="400" t="s">
        <v>648</v>
      </c>
      <c r="C19" s="401" t="s">
        <v>649</v>
      </c>
      <c r="D19" s="441">
        <f>'Crossing Inputs'!$C34</f>
        <v>7.5</v>
      </c>
      <c r="E19" s="441">
        <f>'Crossing Inputs'!$C34</f>
        <v>7.5</v>
      </c>
      <c r="F19" s="441">
        <f>'Crossing Inputs'!$C34</f>
        <v>7.5</v>
      </c>
      <c r="G19" s="441">
        <f>'Crossing Inputs'!$C34</f>
        <v>7.5</v>
      </c>
      <c r="H19" s="441">
        <f>'Crossing Inputs'!$C34</f>
        <v>7.5</v>
      </c>
      <c r="I19" s="441">
        <f>'Crossing Inputs'!$C34</f>
        <v>7.5</v>
      </c>
      <c r="J19" s="441">
        <f>'Crossing Inputs'!$C34</f>
        <v>7.5</v>
      </c>
      <c r="K19" s="441">
        <f>'Crossing Inputs'!$C34</f>
        <v>7.5</v>
      </c>
      <c r="L19" s="441">
        <f>'Crossing Inputs'!$C34</f>
        <v>7.5</v>
      </c>
      <c r="M19" s="441">
        <f>'Crossing Inputs'!$C34</f>
        <v>7.5</v>
      </c>
      <c r="N19" s="441">
        <f>'Crossing Inputs'!$C34</f>
        <v>7.5</v>
      </c>
      <c r="O19" s="441">
        <f>'Crossing Inputs'!$C34</f>
        <v>7.5</v>
      </c>
      <c r="P19" s="441">
        <f>'Crossing Inputs'!$C34</f>
        <v>7.5</v>
      </c>
      <c r="Q19" s="441">
        <f>'Crossing Inputs'!$C34</f>
        <v>7.5</v>
      </c>
      <c r="R19" s="441">
        <f>'Crossing Inputs'!$C34</f>
        <v>7.5</v>
      </c>
      <c r="S19" s="441">
        <f>'Crossing Inputs'!$C34</f>
        <v>7.5</v>
      </c>
      <c r="T19" s="441">
        <f>'Crossing Inputs'!$C34</f>
        <v>7.5</v>
      </c>
      <c r="U19" s="441">
        <f>'Crossing Inputs'!$C34</f>
        <v>7.5</v>
      </c>
      <c r="V19" s="441">
        <f>'Crossing Inputs'!$C34</f>
        <v>7.5</v>
      </c>
      <c r="W19" s="441">
        <f>'Crossing Inputs'!$C34</f>
        <v>7.5</v>
      </c>
      <c r="X19" s="441">
        <f>'Crossing Inputs'!$C34</f>
        <v>7.5</v>
      </c>
      <c r="Y19" s="441">
        <f>'Crossing Inputs'!$C34</f>
        <v>7.5</v>
      </c>
      <c r="Z19" s="441">
        <f>'Crossing Inputs'!$C34</f>
        <v>7.5</v>
      </c>
      <c r="AA19" s="441">
        <f>'Crossing Inputs'!$C34</f>
        <v>7.5</v>
      </c>
      <c r="AB19" s="441">
        <f>'Crossing Inputs'!$C34</f>
        <v>7.5</v>
      </c>
      <c r="AC19" s="441">
        <f>'Crossing Inputs'!$C34</f>
        <v>7.5</v>
      </c>
      <c r="AD19" s="441">
        <f>'Crossing Inputs'!$C34</f>
        <v>7.5</v>
      </c>
      <c r="AE19" s="441">
        <f>'Crossing Inputs'!$C34</f>
        <v>7.5</v>
      </c>
      <c r="AF19" s="441">
        <f>'Crossing Inputs'!$C34</f>
        <v>7.5</v>
      </c>
      <c r="AG19" s="441">
        <f>'Crossing Inputs'!$C34</f>
        <v>7.5</v>
      </c>
      <c r="AH19" s="441">
        <f>'Crossing Inputs'!$C34</f>
        <v>7.5</v>
      </c>
      <c r="AI19" s="441">
        <f>'Crossing Inputs'!$C34</f>
        <v>7.5</v>
      </c>
      <c r="AJ19" s="441">
        <f>'Crossing Inputs'!$C34</f>
        <v>7.5</v>
      </c>
      <c r="AK19" s="441">
        <f>'Crossing Inputs'!$C34</f>
        <v>7.5</v>
      </c>
      <c r="AL19" s="441">
        <f>'Crossing Inputs'!$C34</f>
        <v>7.5</v>
      </c>
    </row>
    <row r="20" spans="2:38" ht="13">
      <c r="B20" s="400"/>
      <c r="C20" s="403"/>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2:38" ht="13">
      <c r="B21" s="400"/>
      <c r="C21" s="404"/>
      <c r="D21" s="440">
        <f>D$1</f>
        <v>2021</v>
      </c>
      <c r="E21" s="440">
        <f t="shared" ref="E21:AL21" si="1">E$1</f>
        <v>2022</v>
      </c>
      <c r="F21" s="440">
        <f t="shared" si="1"/>
        <v>2023</v>
      </c>
      <c r="G21" s="440">
        <f t="shared" si="1"/>
        <v>2024</v>
      </c>
      <c r="H21" s="440">
        <f t="shared" si="1"/>
        <v>2025</v>
      </c>
      <c r="I21" s="440">
        <f t="shared" si="1"/>
        <v>2026</v>
      </c>
      <c r="J21" s="440">
        <f t="shared" si="1"/>
        <v>2027</v>
      </c>
      <c r="K21" s="440">
        <f t="shared" si="1"/>
        <v>2028</v>
      </c>
      <c r="L21" s="440">
        <f t="shared" si="1"/>
        <v>2029</v>
      </c>
      <c r="M21" s="440">
        <f t="shared" si="1"/>
        <v>2030</v>
      </c>
      <c r="N21" s="440">
        <f t="shared" si="1"/>
        <v>2031</v>
      </c>
      <c r="O21" s="440">
        <f t="shared" si="1"/>
        <v>2032</v>
      </c>
      <c r="P21" s="440">
        <f t="shared" si="1"/>
        <v>2033</v>
      </c>
      <c r="Q21" s="440">
        <f t="shared" si="1"/>
        <v>2034</v>
      </c>
      <c r="R21" s="440">
        <f t="shared" si="1"/>
        <v>2035</v>
      </c>
      <c r="S21" s="440">
        <f t="shared" si="1"/>
        <v>2036</v>
      </c>
      <c r="T21" s="440">
        <f t="shared" si="1"/>
        <v>2037</v>
      </c>
      <c r="U21" s="440">
        <f t="shared" si="1"/>
        <v>2038</v>
      </c>
      <c r="V21" s="440">
        <f t="shared" si="1"/>
        <v>2039</v>
      </c>
      <c r="W21" s="440">
        <f t="shared" si="1"/>
        <v>2040</v>
      </c>
      <c r="X21" s="440">
        <f t="shared" si="1"/>
        <v>2041</v>
      </c>
      <c r="Y21" s="440">
        <f t="shared" si="1"/>
        <v>2042</v>
      </c>
      <c r="Z21" s="440">
        <f t="shared" si="1"/>
        <v>2043</v>
      </c>
      <c r="AA21" s="440">
        <f t="shared" si="1"/>
        <v>2044</v>
      </c>
      <c r="AB21" s="440">
        <f t="shared" si="1"/>
        <v>2045</v>
      </c>
      <c r="AC21" s="440">
        <f t="shared" si="1"/>
        <v>2046</v>
      </c>
      <c r="AD21" s="440">
        <f t="shared" si="1"/>
        <v>2047</v>
      </c>
      <c r="AE21" s="440">
        <f t="shared" si="1"/>
        <v>2048</v>
      </c>
      <c r="AF21" s="440">
        <f t="shared" si="1"/>
        <v>2049</v>
      </c>
      <c r="AG21" s="440">
        <f t="shared" si="1"/>
        <v>2050</v>
      </c>
      <c r="AH21" s="440">
        <f t="shared" si="1"/>
        <v>2051</v>
      </c>
      <c r="AI21" s="440">
        <f t="shared" si="1"/>
        <v>2052</v>
      </c>
      <c r="AJ21" s="440">
        <f t="shared" si="1"/>
        <v>2053</v>
      </c>
      <c r="AK21" s="440">
        <f t="shared" si="1"/>
        <v>2054</v>
      </c>
      <c r="AL21" s="440">
        <f t="shared" si="1"/>
        <v>2055</v>
      </c>
    </row>
    <row r="22" spans="2:38" ht="13">
      <c r="B22" s="400" t="s">
        <v>354</v>
      </c>
      <c r="C22" s="404"/>
      <c r="D22" s="405">
        <f>D$55</f>
        <v>3.6553430196310958E-2</v>
      </c>
      <c r="E22" s="405">
        <f t="shared" ref="E22:AL22" si="2">E$55</f>
        <v>3.7083040071946766E-2</v>
      </c>
      <c r="F22" s="405">
        <f t="shared" si="2"/>
        <v>3.762040236751131E-2</v>
      </c>
      <c r="G22" s="405">
        <f t="shared" si="2"/>
        <v>3.8165631049262072E-2</v>
      </c>
      <c r="H22" s="405">
        <f t="shared" si="2"/>
        <v>3.8718841762270438E-2</v>
      </c>
      <c r="I22" s="405">
        <f t="shared" si="2"/>
        <v>3.9280151855110988E-2</v>
      </c>
      <c r="J22" s="405">
        <f t="shared" si="2"/>
        <v>3.9849680404914718E-2</v>
      </c>
      <c r="K22" s="405">
        <f t="shared" si="2"/>
        <v>4.0427548242792037E-2</v>
      </c>
      <c r="L22" s="405">
        <f t="shared" si="2"/>
        <v>4.101387797963043E-2</v>
      </c>
      <c r="M22" s="405">
        <f t="shared" si="2"/>
        <v>4.1608794032273064E-2</v>
      </c>
      <c r="N22" s="405">
        <f t="shared" si="2"/>
        <v>4.2212422650083042E-2</v>
      </c>
      <c r="O22" s="405">
        <f t="shared" si="2"/>
        <v>4.2824891941899527E-2</v>
      </c>
      <c r="P22" s="405">
        <f t="shared" si="2"/>
        <v>4.3446331903391519E-2</v>
      </c>
      <c r="Q22" s="405">
        <f t="shared" si="2"/>
        <v>4.4076874444814861E-2</v>
      </c>
      <c r="R22" s="405">
        <f t="shared" si="2"/>
        <v>4.4716653419178361E-2</v>
      </c>
      <c r="S22" s="405">
        <f t="shared" si="2"/>
        <v>4.5365804650825403E-2</v>
      </c>
      <c r="T22" s="405">
        <f t="shared" si="2"/>
        <v>4.6024465964436954E-2</v>
      </c>
      <c r="U22" s="405">
        <f t="shared" si="2"/>
        <v>4.6692777214461988E-2</v>
      </c>
      <c r="V22" s="405">
        <f t="shared" si="2"/>
        <v>4.7370880314981836E-2</v>
      </c>
      <c r="W22" s="405">
        <f t="shared" si="2"/>
        <v>4.8058919270014801E-2</v>
      </c>
      <c r="X22" s="405">
        <f t="shared" si="2"/>
        <v>4.8757040204267556E-2</v>
      </c>
      <c r="Y22" s="405">
        <f t="shared" si="2"/>
        <v>4.9465391394339572E-2</v>
      </c>
      <c r="Z22" s="405">
        <f t="shared" si="2"/>
        <v>5.0184123300387788E-2</v>
      </c>
      <c r="AA22" s="405">
        <f t="shared" si="2"/>
        <v>5.0913388598257781E-2</v>
      </c>
      <c r="AB22" s="405">
        <f t="shared" si="2"/>
        <v>5.1653342212088643E-2</v>
      </c>
      <c r="AC22" s="405">
        <f t="shared" si="2"/>
        <v>5.2404141347398216E-2</v>
      </c>
      <c r="AD22" s="405">
        <f t="shared" si="2"/>
        <v>5.3165945524656089E-2</v>
      </c>
      <c r="AE22" s="405">
        <f t="shared" si="2"/>
        <v>5.3938916613351262E-2</v>
      </c>
      <c r="AF22" s="405">
        <f t="shared" si="2"/>
        <v>5.4723218866561979E-2</v>
      </c>
      <c r="AG22" s="405">
        <f t="shared" si="2"/>
        <v>5.5519018956034838E-2</v>
      </c>
      <c r="AH22" s="405">
        <f t="shared" si="2"/>
        <v>5.6326486007780847E-2</v>
      </c>
      <c r="AI22" s="405">
        <f t="shared" si="2"/>
        <v>5.7145791638196212E-2</v>
      </c>
      <c r="AJ22" s="405">
        <f t="shared" si="2"/>
        <v>5.7977109990715099E-2</v>
      </c>
      <c r="AK22" s="405">
        <f t="shared" si="2"/>
        <v>5.8820617773002473E-2</v>
      </c>
      <c r="AL22" s="405">
        <f t="shared" si="2"/>
        <v>5.9676494294695286E-2</v>
      </c>
    </row>
    <row r="23" spans="2:38" ht="13">
      <c r="B23" s="400" t="s">
        <v>650</v>
      </c>
      <c r="C23" s="404"/>
      <c r="D23" s="405">
        <f>D$63*D$22</f>
        <v>4.2005938647314209E-4</v>
      </c>
      <c r="E23" s="405">
        <f t="shared" ref="E23:AL23" si="3">E$63*E$22</f>
        <v>4.2645088782326693E-4</v>
      </c>
      <c r="F23" s="405">
        <f t="shared" si="3"/>
        <v>4.329416253388946E-4</v>
      </c>
      <c r="G23" s="405">
        <f t="shared" si="3"/>
        <v>4.3953315793380816E-4</v>
      </c>
      <c r="H23" s="405">
        <f t="shared" si="3"/>
        <v>4.462270691491591E-4</v>
      </c>
      <c r="I23" s="405">
        <f t="shared" si="3"/>
        <v>4.5302496754230258E-4</v>
      </c>
      <c r="J23" s="405">
        <f t="shared" si="3"/>
        <v>4.5992848708177961E-4</v>
      </c>
      <c r="K23" s="405">
        <f t="shared" si="3"/>
        <v>4.6693928754854518E-4</v>
      </c>
      <c r="L23" s="405">
        <f t="shared" si="3"/>
        <v>4.7405905494353928E-4</v>
      </c>
      <c r="M23" s="405">
        <f t="shared" si="3"/>
        <v>4.8128950190170648E-4</v>
      </c>
      <c r="N23" s="405">
        <f t="shared" si="3"/>
        <v>4.8863236811255587E-4</v>
      </c>
      <c r="O23" s="405">
        <f t="shared" si="3"/>
        <v>4.9608942074737467E-4</v>
      </c>
      <c r="P23" s="405">
        <f t="shared" si="3"/>
        <v>5.0366245489319439E-4</v>
      </c>
      <c r="Q23" s="405">
        <f t="shared" si="3"/>
        <v>5.1135329399361936E-4</v>
      </c>
      <c r="R23" s="405">
        <f t="shared" si="3"/>
        <v>5.191637902966222E-4</v>
      </c>
      <c r="S23" s="405">
        <f t="shared" si="3"/>
        <v>5.2709582530942073E-4</v>
      </c>
      <c r="T23" s="405">
        <f t="shared" si="3"/>
        <v>5.3515131026054565E-4</v>
      </c>
      <c r="U23" s="405">
        <f t="shared" si="3"/>
        <v>5.4333218656921244E-4</v>
      </c>
      <c r="V23" s="405">
        <f t="shared" si="3"/>
        <v>5.5164042632211341E-4</v>
      </c>
      <c r="W23" s="405">
        <f t="shared" si="3"/>
        <v>5.6007803275774648E-4</v>
      </c>
      <c r="X23" s="405">
        <f t="shared" si="3"/>
        <v>5.68647040758402E-4</v>
      </c>
      <c r="Y23" s="405">
        <f t="shared" si="3"/>
        <v>5.7734951734992386E-4</v>
      </c>
      <c r="Z23" s="405">
        <f t="shared" si="3"/>
        <v>5.861875622093733E-4</v>
      </c>
      <c r="AA23" s="405">
        <f t="shared" si="3"/>
        <v>5.9516330818071533E-4</v>
      </c>
      <c r="AB23" s="405">
        <f t="shared" si="3"/>
        <v>6.0427892179865919E-4</v>
      </c>
      <c r="AC23" s="405">
        <f t="shared" si="3"/>
        <v>6.135366038207752E-4</v>
      </c>
      <c r="AD23" s="405">
        <f t="shared" si="3"/>
        <v>6.229385897680267E-4</v>
      </c>
      <c r="AE23" s="405">
        <f t="shared" si="3"/>
        <v>6.3248715047384317E-4</v>
      </c>
      <c r="AF23" s="405">
        <f t="shared" si="3"/>
        <v>6.4218459264187369E-4</v>
      </c>
      <c r="AG23" s="405">
        <f t="shared" si="3"/>
        <v>6.5203325941255589E-4</v>
      </c>
      <c r="AH23" s="405">
        <f t="shared" si="3"/>
        <v>6.6203553093863892E-4</v>
      </c>
      <c r="AI23" s="405">
        <f t="shared" si="3"/>
        <v>6.7219382496980652E-4</v>
      </c>
      <c r="AJ23" s="405">
        <f t="shared" si="3"/>
        <v>6.8251059744653679E-4</v>
      </c>
      <c r="AK23" s="405">
        <f t="shared" si="3"/>
        <v>6.9298834310334875E-4</v>
      </c>
      <c r="AL23" s="405">
        <f t="shared" si="3"/>
        <v>7.0362959608158795E-4</v>
      </c>
    </row>
    <row r="24" spans="2:38" ht="13">
      <c r="B24" s="400" t="s">
        <v>651</v>
      </c>
      <c r="C24" s="404"/>
      <c r="D24" s="405">
        <f>D$72*D22</f>
        <v>6.4798971028462984E-3</v>
      </c>
      <c r="E24" s="405">
        <f t="shared" ref="E24:AK24" si="4">E$72*E22</f>
        <v>6.5737272978074251E-3</v>
      </c>
      <c r="F24" s="405">
        <f t="shared" si="4"/>
        <v>6.6689299593329331E-3</v>
      </c>
      <c r="G24" s="405">
        <f t="shared" si="4"/>
        <v>6.7655252457419742E-3</v>
      </c>
      <c r="H24" s="405">
        <f t="shared" si="4"/>
        <v>6.8635336120035362E-3</v>
      </c>
      <c r="I24" s="405">
        <f t="shared" si="4"/>
        <v>6.9629758140943073E-3</v>
      </c>
      <c r="J24" s="405">
        <f t="shared" si="4"/>
        <v>7.0638729134207164E-3</v>
      </c>
      <c r="K24" s="405">
        <f t="shared" si="4"/>
        <v>7.1662462813061418E-3</v>
      </c>
      <c r="L24" s="405">
        <f t="shared" si="4"/>
        <v>7.2701176035442029E-3</v>
      </c>
      <c r="M24" s="405">
        <f t="shared" si="4"/>
        <v>7.3755088850191771E-3</v>
      </c>
      <c r="N24" s="405">
        <f t="shared" si="4"/>
        <v>7.4824424543944359E-3</v>
      </c>
      <c r="O24" s="405">
        <f t="shared" si="4"/>
        <v>7.5909409688699366E-3</v>
      </c>
      <c r="P24" s="405">
        <f t="shared" si="4"/>
        <v>7.7010274190098338E-3</v>
      </c>
      <c r="Q24" s="405">
        <f t="shared" si="4"/>
        <v>7.8127251336411584E-3</v>
      </c>
      <c r="R24" s="405">
        <f t="shared" si="4"/>
        <v>7.9260577848246309E-3</v>
      </c>
      <c r="S24" s="405">
        <f t="shared" si="4"/>
        <v>8.0410493928986942E-3</v>
      </c>
      <c r="T24" s="405">
        <f t="shared" si="4"/>
        <v>8.157724331597848E-3</v>
      </c>
      <c r="U24" s="405">
        <f t="shared" si="4"/>
        <v>8.2761073332463103E-3</v>
      </c>
      <c r="V24" s="405">
        <f t="shared" si="4"/>
        <v>8.3962234940281721E-3</v>
      </c>
      <c r="W24" s="405">
        <f t="shared" si="4"/>
        <v>8.5180982793351453E-3</v>
      </c>
      <c r="X24" s="405">
        <f t="shared" si="4"/>
        <v>8.6417575291930782E-3</v>
      </c>
      <c r="Y24" s="405">
        <f t="shared" si="4"/>
        <v>8.7672274637682953E-3</v>
      </c>
      <c r="Z24" s="405">
        <f t="shared" si="4"/>
        <v>8.8945346889550761E-3</v>
      </c>
      <c r="AA24" s="405">
        <f t="shared" si="4"/>
        <v>9.0237062020453451E-3</v>
      </c>
      <c r="AB24" s="405">
        <f t="shared" si="4"/>
        <v>9.1547693974818566E-3</v>
      </c>
      <c r="AC24" s="405">
        <f t="shared" si="4"/>
        <v>9.2877520726960261E-3</v>
      </c>
      <c r="AD24" s="405">
        <f t="shared" si="4"/>
        <v>9.4226824340317445E-3</v>
      </c>
      <c r="AE24" s="405">
        <f t="shared" si="4"/>
        <v>9.5595891027563506E-3</v>
      </c>
      <c r="AF24" s="405">
        <f t="shared" si="4"/>
        <v>9.6985011211601167E-3</v>
      </c>
      <c r="AG24" s="405">
        <f t="shared" si="4"/>
        <v>9.8394479587454748E-3</v>
      </c>
      <c r="AH24" s="405">
        <f t="shared" si="4"/>
        <v>9.982459518507349E-3</v>
      </c>
      <c r="AI24" s="405">
        <f t="shared" si="4"/>
        <v>1.0127566143305948E-2</v>
      </c>
      <c r="AJ24" s="405">
        <f t="shared" si="4"/>
        <v>1.027479862233331E-2</v>
      </c>
      <c r="AK24" s="405">
        <f t="shared" si="4"/>
        <v>1.0424188197675025E-2</v>
      </c>
      <c r="AL24" s="405">
        <f t="shared" ref="AL24" si="5">AL$72*AL22</f>
        <v>1.0575766570968552E-2</v>
      </c>
    </row>
    <row r="26" spans="2:38" ht="13">
      <c r="B26" s="364" t="s">
        <v>652</v>
      </c>
    </row>
    <row r="27" spans="2:38" ht="13">
      <c r="B27" s="407" t="s">
        <v>615</v>
      </c>
      <c r="C27" s="396" t="s">
        <v>627</v>
      </c>
      <c r="D27" s="440">
        <f>D$1</f>
        <v>2021</v>
      </c>
      <c r="E27" s="440">
        <f t="shared" ref="E27:AL27" si="6">E$1</f>
        <v>2022</v>
      </c>
      <c r="F27" s="440">
        <f t="shared" si="6"/>
        <v>2023</v>
      </c>
      <c r="G27" s="440">
        <f t="shared" si="6"/>
        <v>2024</v>
      </c>
      <c r="H27" s="440">
        <f t="shared" si="6"/>
        <v>2025</v>
      </c>
      <c r="I27" s="440">
        <f t="shared" si="6"/>
        <v>2026</v>
      </c>
      <c r="J27" s="440">
        <f t="shared" si="6"/>
        <v>2027</v>
      </c>
      <c r="K27" s="440">
        <f t="shared" si="6"/>
        <v>2028</v>
      </c>
      <c r="L27" s="440">
        <f t="shared" si="6"/>
        <v>2029</v>
      </c>
      <c r="M27" s="440">
        <f t="shared" si="6"/>
        <v>2030</v>
      </c>
      <c r="N27" s="440">
        <f t="shared" si="6"/>
        <v>2031</v>
      </c>
      <c r="O27" s="440">
        <f t="shared" si="6"/>
        <v>2032</v>
      </c>
      <c r="P27" s="440">
        <f t="shared" si="6"/>
        <v>2033</v>
      </c>
      <c r="Q27" s="440">
        <f t="shared" si="6"/>
        <v>2034</v>
      </c>
      <c r="R27" s="440">
        <f t="shared" si="6"/>
        <v>2035</v>
      </c>
      <c r="S27" s="440">
        <f t="shared" si="6"/>
        <v>2036</v>
      </c>
      <c r="T27" s="440">
        <f t="shared" si="6"/>
        <v>2037</v>
      </c>
      <c r="U27" s="440">
        <f t="shared" si="6"/>
        <v>2038</v>
      </c>
      <c r="V27" s="440">
        <f t="shared" si="6"/>
        <v>2039</v>
      </c>
      <c r="W27" s="440">
        <f t="shared" si="6"/>
        <v>2040</v>
      </c>
      <c r="X27" s="440">
        <f t="shared" si="6"/>
        <v>2041</v>
      </c>
      <c r="Y27" s="440">
        <f t="shared" si="6"/>
        <v>2042</v>
      </c>
      <c r="Z27" s="440">
        <f t="shared" si="6"/>
        <v>2043</v>
      </c>
      <c r="AA27" s="440">
        <f t="shared" si="6"/>
        <v>2044</v>
      </c>
      <c r="AB27" s="440">
        <f t="shared" si="6"/>
        <v>2045</v>
      </c>
      <c r="AC27" s="440">
        <f t="shared" si="6"/>
        <v>2046</v>
      </c>
      <c r="AD27" s="440">
        <f t="shared" si="6"/>
        <v>2047</v>
      </c>
      <c r="AE27" s="440">
        <f t="shared" si="6"/>
        <v>2048</v>
      </c>
      <c r="AF27" s="440">
        <f t="shared" si="6"/>
        <v>2049</v>
      </c>
      <c r="AG27" s="440">
        <f t="shared" si="6"/>
        <v>2050</v>
      </c>
      <c r="AH27" s="440">
        <f t="shared" si="6"/>
        <v>2051</v>
      </c>
      <c r="AI27" s="440">
        <f t="shared" si="6"/>
        <v>2052</v>
      </c>
      <c r="AJ27" s="440">
        <f t="shared" si="6"/>
        <v>2053</v>
      </c>
      <c r="AK27" s="440">
        <f t="shared" si="6"/>
        <v>2054</v>
      </c>
      <c r="AL27" s="440">
        <f t="shared" si="6"/>
        <v>2055</v>
      </c>
    </row>
    <row r="28" spans="2:38" ht="13">
      <c r="B28" s="364" t="s">
        <v>624</v>
      </c>
      <c r="C28" s="408"/>
      <c r="D28" s="358"/>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row>
    <row r="29" spans="2:38">
      <c r="B29" s="411" t="s">
        <v>653</v>
      </c>
      <c r="C29" s="412" t="s">
        <v>654</v>
      </c>
      <c r="D29" s="413">
        <f>((D$14*D$15+0.2)/0.2)^(0.3334)</f>
        <v>19.718788611663747</v>
      </c>
      <c r="E29" s="413">
        <f t="shared" ref="E29:AL29" si="7">((E$14*E$15+0.2)/0.2)^(0.3334)</f>
        <v>19.9809415636465</v>
      </c>
      <c r="F29" s="413">
        <f t="shared" si="7"/>
        <v>20.24658105878817</v>
      </c>
      <c r="G29" s="413">
        <f t="shared" si="7"/>
        <v>20.515753432225381</v>
      </c>
      <c r="H29" s="413">
        <f t="shared" si="7"/>
        <v>20.788505635778122</v>
      </c>
      <c r="I29" s="413">
        <f t="shared" si="7"/>
        <v>21.064885246133866</v>
      </c>
      <c r="J29" s="413">
        <f t="shared" si="7"/>
        <v>21.344940473140753</v>
      </c>
      <c r="K29" s="413">
        <f t="shared" si="7"/>
        <v>21.628720168211636</v>
      </c>
      <c r="L29" s="413">
        <f t="shared" si="7"/>
        <v>21.91627383283997</v>
      </c>
      <c r="M29" s="413">
        <f t="shared" si="7"/>
        <v>22.207651627229644</v>
      </c>
      <c r="N29" s="413">
        <f t="shared" si="7"/>
        <v>22.502904379039656</v>
      </c>
      <c r="O29" s="413">
        <f t="shared" si="7"/>
        <v>22.802083592245488</v>
      </c>
      <c r="P29" s="413">
        <f t="shared" si="7"/>
        <v>23.105241456118719</v>
      </c>
      <c r="Q29" s="413">
        <f t="shared" si="7"/>
        <v>23.412430854326342</v>
      </c>
      <c r="R29" s="413">
        <f t="shared" si="7"/>
        <v>23.723705374151269</v>
      </c>
      <c r="S29" s="413">
        <f t="shared" si="7"/>
        <v>24.039119315835936</v>
      </c>
      <c r="T29" s="413">
        <f t="shared" si="7"/>
        <v>24.35872770205037</v>
      </c>
      <c r="U29" s="413">
        <f t="shared" si="7"/>
        <v>24.682586287486441</v>
      </c>
      <c r="V29" s="413">
        <f t="shared" si="7"/>
        <v>25.010751568579956</v>
      </c>
      <c r="W29" s="413">
        <f t="shared" si="7"/>
        <v>25.343280793362403</v>
      </c>
      <c r="X29" s="413">
        <f t="shared" si="7"/>
        <v>25.68023197144387</v>
      </c>
      <c r="Y29" s="413">
        <f t="shared" si="7"/>
        <v>26.021663884128976</v>
      </c>
      <c r="Z29" s="413">
        <f t="shared" si="7"/>
        <v>26.367636094667674</v>
      </c>
      <c r="AA29" s="413">
        <f t="shared" si="7"/>
        <v>26.718208958642489</v>
      </c>
      <c r="AB29" s="413">
        <f t="shared" si="7"/>
        <v>27.073443634494179</v>
      </c>
      <c r="AC29" s="413">
        <f t="shared" si="7"/>
        <v>27.433402094187599</v>
      </c>
      <c r="AD29" s="413">
        <f t="shared" si="7"/>
        <v>27.798147134019565</v>
      </c>
      <c r="AE29" s="413">
        <f t="shared" si="7"/>
        <v>28.167742385570744</v>
      </c>
      <c r="AF29" s="413">
        <f t="shared" si="7"/>
        <v>28.542252326803315</v>
      </c>
      <c r="AG29" s="413">
        <f t="shared" si="7"/>
        <v>28.921742293306455</v>
      </c>
      <c r="AH29" s="413">
        <f t="shared" si="7"/>
        <v>29.306278489691501</v>
      </c>
      <c r="AI29" s="413">
        <f t="shared" si="7"/>
        <v>29.695928001138942</v>
      </c>
      <c r="AJ29" s="413">
        <f t="shared" si="7"/>
        <v>30.090758805099039</v>
      </c>
      <c r="AK29" s="413">
        <f t="shared" si="7"/>
        <v>30.490839783148257</v>
      </c>
      <c r="AL29" s="413">
        <f t="shared" si="7"/>
        <v>30.896240733003559</v>
      </c>
    </row>
    <row r="30" spans="2:38">
      <c r="B30" s="411" t="s">
        <v>655</v>
      </c>
      <c r="C30" s="412" t="s">
        <v>656</v>
      </c>
      <c r="D30" s="414">
        <f>EXP(0.2094*$D$9)</f>
        <v>1</v>
      </c>
      <c r="E30" s="415">
        <f t="shared" ref="E30:AL30" si="8">EXP(0.2094*$D$9)</f>
        <v>1</v>
      </c>
      <c r="F30" s="415">
        <f t="shared" si="8"/>
        <v>1</v>
      </c>
      <c r="G30" s="415">
        <f t="shared" si="8"/>
        <v>1</v>
      </c>
      <c r="H30" s="415">
        <f t="shared" si="8"/>
        <v>1</v>
      </c>
      <c r="I30" s="415">
        <f t="shared" si="8"/>
        <v>1</v>
      </c>
      <c r="J30" s="415">
        <f t="shared" si="8"/>
        <v>1</v>
      </c>
      <c r="K30" s="415">
        <f t="shared" si="8"/>
        <v>1</v>
      </c>
      <c r="L30" s="415">
        <f t="shared" si="8"/>
        <v>1</v>
      </c>
      <c r="M30" s="415">
        <f t="shared" si="8"/>
        <v>1</v>
      </c>
      <c r="N30" s="415">
        <f t="shared" si="8"/>
        <v>1</v>
      </c>
      <c r="O30" s="415">
        <f t="shared" si="8"/>
        <v>1</v>
      </c>
      <c r="P30" s="415">
        <f t="shared" si="8"/>
        <v>1</v>
      </c>
      <c r="Q30" s="415">
        <f t="shared" si="8"/>
        <v>1</v>
      </c>
      <c r="R30" s="415">
        <f t="shared" si="8"/>
        <v>1</v>
      </c>
      <c r="S30" s="415">
        <f t="shared" si="8"/>
        <v>1</v>
      </c>
      <c r="T30" s="415">
        <f t="shared" si="8"/>
        <v>1</v>
      </c>
      <c r="U30" s="415">
        <f t="shared" si="8"/>
        <v>1</v>
      </c>
      <c r="V30" s="415">
        <f t="shared" si="8"/>
        <v>1</v>
      </c>
      <c r="W30" s="415">
        <f t="shared" si="8"/>
        <v>1</v>
      </c>
      <c r="X30" s="415">
        <f t="shared" si="8"/>
        <v>1</v>
      </c>
      <c r="Y30" s="415">
        <f t="shared" si="8"/>
        <v>1</v>
      </c>
      <c r="Z30" s="415">
        <f t="shared" si="8"/>
        <v>1</v>
      </c>
      <c r="AA30" s="415">
        <f t="shared" si="8"/>
        <v>1</v>
      </c>
      <c r="AB30" s="415">
        <f t="shared" si="8"/>
        <v>1</v>
      </c>
      <c r="AC30" s="415">
        <f t="shared" si="8"/>
        <v>1</v>
      </c>
      <c r="AD30" s="415">
        <f t="shared" si="8"/>
        <v>1</v>
      </c>
      <c r="AE30" s="415">
        <f t="shared" si="8"/>
        <v>1</v>
      </c>
      <c r="AF30" s="415">
        <f t="shared" si="8"/>
        <v>1</v>
      </c>
      <c r="AG30" s="415">
        <f t="shared" si="8"/>
        <v>1</v>
      </c>
      <c r="AH30" s="415">
        <f t="shared" si="8"/>
        <v>1</v>
      </c>
      <c r="AI30" s="415">
        <f t="shared" si="8"/>
        <v>1</v>
      </c>
      <c r="AJ30" s="415">
        <f t="shared" si="8"/>
        <v>1</v>
      </c>
      <c r="AK30" s="415">
        <f t="shared" si="8"/>
        <v>1</v>
      </c>
      <c r="AL30" s="415">
        <f t="shared" si="8"/>
        <v>1</v>
      </c>
    </row>
    <row r="31" spans="2:38">
      <c r="B31" s="411" t="s">
        <v>657</v>
      </c>
      <c r="C31" s="416" t="s">
        <v>658</v>
      </c>
      <c r="D31" s="417">
        <f>((D$17+0.2)/0.2)^(0.1336)</f>
        <v>1.2719545428016041</v>
      </c>
      <c r="E31" s="417">
        <f t="shared" ref="E31:AL31" si="9">((E$17+0.2)/0.2)^(0.1336)</f>
        <v>1.2734534231676795</v>
      </c>
      <c r="F31" s="417">
        <f t="shared" si="9"/>
        <v>1.2749566663159739</v>
      </c>
      <c r="G31" s="417">
        <f t="shared" si="9"/>
        <v>1.2764642651048659</v>
      </c>
      <c r="H31" s="417">
        <f t="shared" si="9"/>
        <v>1.2779762123985068</v>
      </c>
      <c r="I31" s="417">
        <f t="shared" si="9"/>
        <v>1.2794925010679286</v>
      </c>
      <c r="J31" s="417">
        <f t="shared" si="9"/>
        <v>1.2810131239921325</v>
      </c>
      <c r="K31" s="417">
        <f t="shared" si="9"/>
        <v>1.2825380740591648</v>
      </c>
      <c r="L31" s="417">
        <f t="shared" si="9"/>
        <v>1.2840673441671746</v>
      </c>
      <c r="M31" s="417">
        <f t="shared" si="9"/>
        <v>1.2856009272254585</v>
      </c>
      <c r="N31" s="417">
        <f t="shared" si="9"/>
        <v>1.2871388161554864</v>
      </c>
      <c r="O31" s="417">
        <f t="shared" si="9"/>
        <v>1.2886810038919141</v>
      </c>
      <c r="P31" s="417">
        <f t="shared" si="9"/>
        <v>1.2902274833835794</v>
      </c>
      <c r="Q31" s="417">
        <f t="shared" si="9"/>
        <v>1.2917782475944826</v>
      </c>
      <c r="R31" s="417">
        <f t="shared" si="9"/>
        <v>1.2933332895047505</v>
      </c>
      <c r="S31" s="417">
        <f t="shared" si="9"/>
        <v>1.2948926021115859</v>
      </c>
      <c r="T31" s="417">
        <f t="shared" si="9"/>
        <v>1.2964561784302011</v>
      </c>
      <c r="U31" s="417">
        <f t="shared" si="9"/>
        <v>1.2980240114947363</v>
      </c>
      <c r="V31" s="417">
        <f t="shared" si="9"/>
        <v>1.2995960943591611</v>
      </c>
      <c r="W31" s="417">
        <f t="shared" si="9"/>
        <v>1.3011724200981616</v>
      </c>
      <c r="X31" s="417">
        <f t="shared" si="9"/>
        <v>1.3027529818080126</v>
      </c>
      <c r="Y31" s="417">
        <f t="shared" si="9"/>
        <v>1.304337772607433</v>
      </c>
      <c r="Z31" s="417">
        <f t="shared" si="9"/>
        <v>1.3059267856384269</v>
      </c>
      <c r="AA31" s="417">
        <f t="shared" si="9"/>
        <v>1.3075200140671086</v>
      </c>
      <c r="AB31" s="417">
        <f t="shared" si="9"/>
        <v>1.3091174510845145</v>
      </c>
      <c r="AC31" s="417">
        <f t="shared" si="9"/>
        <v>1.3107190899073964</v>
      </c>
      <c r="AD31" s="417">
        <f t="shared" si="9"/>
        <v>1.3123249237790029</v>
      </c>
      <c r="AE31" s="417">
        <f t="shared" si="9"/>
        <v>1.3139349459698444</v>
      </c>
      <c r="AF31" s="417">
        <f t="shared" si="9"/>
        <v>1.3155491497784433</v>
      </c>
      <c r="AG31" s="417">
        <f t="shared" si="9"/>
        <v>1.3171675285320701</v>
      </c>
      <c r="AH31" s="417">
        <f t="shared" si="9"/>
        <v>1.3187900755874631</v>
      </c>
      <c r="AI31" s="417">
        <f t="shared" si="9"/>
        <v>1.3204167843315362</v>
      </c>
      <c r="AJ31" s="417">
        <f t="shared" si="9"/>
        <v>1.3220476481820695</v>
      </c>
      <c r="AK31" s="417">
        <f t="shared" si="9"/>
        <v>1.3236826605883865</v>
      </c>
      <c r="AL31" s="417">
        <f t="shared" si="9"/>
        <v>1.3253218150320181</v>
      </c>
    </row>
    <row r="32" spans="2:38">
      <c r="B32" s="411" t="s">
        <v>659</v>
      </c>
      <c r="C32" s="412" t="s">
        <v>660</v>
      </c>
      <c r="D32" s="414">
        <f t="shared" ref="D32:AL32" si="10">EXP(-0.616*($E$7-1))</f>
        <v>1</v>
      </c>
      <c r="E32" s="415">
        <f t="shared" si="10"/>
        <v>1</v>
      </c>
      <c r="F32" s="415">
        <f t="shared" si="10"/>
        <v>1</v>
      </c>
      <c r="G32" s="415">
        <f t="shared" si="10"/>
        <v>1</v>
      </c>
      <c r="H32" s="415">
        <f t="shared" si="10"/>
        <v>1</v>
      </c>
      <c r="I32" s="415">
        <f t="shared" si="10"/>
        <v>1</v>
      </c>
      <c r="J32" s="415">
        <f t="shared" si="10"/>
        <v>1</v>
      </c>
      <c r="K32" s="415">
        <f t="shared" si="10"/>
        <v>1</v>
      </c>
      <c r="L32" s="415">
        <f t="shared" si="10"/>
        <v>1</v>
      </c>
      <c r="M32" s="415">
        <f t="shared" si="10"/>
        <v>1</v>
      </c>
      <c r="N32" s="415">
        <f t="shared" si="10"/>
        <v>1</v>
      </c>
      <c r="O32" s="415">
        <f t="shared" si="10"/>
        <v>1</v>
      </c>
      <c r="P32" s="415">
        <f t="shared" si="10"/>
        <v>1</v>
      </c>
      <c r="Q32" s="415">
        <f t="shared" si="10"/>
        <v>1</v>
      </c>
      <c r="R32" s="415">
        <f t="shared" si="10"/>
        <v>1</v>
      </c>
      <c r="S32" s="415">
        <f t="shared" si="10"/>
        <v>1</v>
      </c>
      <c r="T32" s="415">
        <f t="shared" si="10"/>
        <v>1</v>
      </c>
      <c r="U32" s="415">
        <f t="shared" si="10"/>
        <v>1</v>
      </c>
      <c r="V32" s="415">
        <f t="shared" si="10"/>
        <v>1</v>
      </c>
      <c r="W32" s="415">
        <f t="shared" si="10"/>
        <v>1</v>
      </c>
      <c r="X32" s="415">
        <f t="shared" si="10"/>
        <v>1</v>
      </c>
      <c r="Y32" s="415">
        <f t="shared" si="10"/>
        <v>1</v>
      </c>
      <c r="Z32" s="415">
        <f t="shared" si="10"/>
        <v>1</v>
      </c>
      <c r="AA32" s="415">
        <f t="shared" si="10"/>
        <v>1</v>
      </c>
      <c r="AB32" s="415">
        <f t="shared" si="10"/>
        <v>1</v>
      </c>
      <c r="AC32" s="415">
        <f t="shared" si="10"/>
        <v>1</v>
      </c>
      <c r="AD32" s="415">
        <f t="shared" si="10"/>
        <v>1</v>
      </c>
      <c r="AE32" s="415">
        <f t="shared" si="10"/>
        <v>1</v>
      </c>
      <c r="AF32" s="415">
        <f t="shared" si="10"/>
        <v>1</v>
      </c>
      <c r="AG32" s="415">
        <f t="shared" si="10"/>
        <v>1</v>
      </c>
      <c r="AH32" s="415">
        <f t="shared" si="10"/>
        <v>1</v>
      </c>
      <c r="AI32" s="415">
        <f t="shared" si="10"/>
        <v>1</v>
      </c>
      <c r="AJ32" s="415">
        <f t="shared" si="10"/>
        <v>1</v>
      </c>
      <c r="AK32" s="415">
        <f t="shared" si="10"/>
        <v>1</v>
      </c>
      <c r="AL32" s="415">
        <f t="shared" si="10"/>
        <v>1</v>
      </c>
    </row>
    <row r="33" spans="2:38">
      <c r="B33" s="411" t="s">
        <v>661</v>
      </c>
      <c r="C33" s="412" t="s">
        <v>662</v>
      </c>
      <c r="D33" s="414">
        <f t="shared" ref="D33:AL33" si="11">EXP(0.0077*D$19)</f>
        <v>1.0594501000746941</v>
      </c>
      <c r="E33" s="415">
        <f t="shared" si="11"/>
        <v>1.0594501000746941</v>
      </c>
      <c r="F33" s="415">
        <f t="shared" si="11"/>
        <v>1.0594501000746941</v>
      </c>
      <c r="G33" s="415">
        <f t="shared" si="11"/>
        <v>1.0594501000746941</v>
      </c>
      <c r="H33" s="415">
        <f t="shared" si="11"/>
        <v>1.0594501000746941</v>
      </c>
      <c r="I33" s="415">
        <f t="shared" si="11"/>
        <v>1.0594501000746941</v>
      </c>
      <c r="J33" s="415">
        <f t="shared" si="11"/>
        <v>1.0594501000746941</v>
      </c>
      <c r="K33" s="415">
        <f t="shared" si="11"/>
        <v>1.0594501000746941</v>
      </c>
      <c r="L33" s="415">
        <f t="shared" si="11"/>
        <v>1.0594501000746941</v>
      </c>
      <c r="M33" s="415">
        <f t="shared" si="11"/>
        <v>1.0594501000746941</v>
      </c>
      <c r="N33" s="415">
        <f t="shared" si="11"/>
        <v>1.0594501000746941</v>
      </c>
      <c r="O33" s="415">
        <f t="shared" si="11"/>
        <v>1.0594501000746941</v>
      </c>
      <c r="P33" s="415">
        <f t="shared" si="11"/>
        <v>1.0594501000746941</v>
      </c>
      <c r="Q33" s="415">
        <f t="shared" si="11"/>
        <v>1.0594501000746941</v>
      </c>
      <c r="R33" s="415">
        <f t="shared" si="11"/>
        <v>1.0594501000746941</v>
      </c>
      <c r="S33" s="415">
        <f t="shared" si="11"/>
        <v>1.0594501000746941</v>
      </c>
      <c r="T33" s="415">
        <f t="shared" si="11"/>
        <v>1.0594501000746941</v>
      </c>
      <c r="U33" s="415">
        <f t="shared" si="11"/>
        <v>1.0594501000746941</v>
      </c>
      <c r="V33" s="415">
        <f t="shared" si="11"/>
        <v>1.0594501000746941</v>
      </c>
      <c r="W33" s="415">
        <f t="shared" si="11"/>
        <v>1.0594501000746941</v>
      </c>
      <c r="X33" s="415">
        <f t="shared" si="11"/>
        <v>1.0594501000746941</v>
      </c>
      <c r="Y33" s="415">
        <f t="shared" si="11"/>
        <v>1.0594501000746941</v>
      </c>
      <c r="Z33" s="415">
        <f t="shared" si="11"/>
        <v>1.0594501000746941</v>
      </c>
      <c r="AA33" s="415">
        <f t="shared" si="11"/>
        <v>1.0594501000746941</v>
      </c>
      <c r="AB33" s="415">
        <f t="shared" si="11"/>
        <v>1.0594501000746941</v>
      </c>
      <c r="AC33" s="415">
        <f t="shared" si="11"/>
        <v>1.0594501000746941</v>
      </c>
      <c r="AD33" s="415">
        <f t="shared" si="11"/>
        <v>1.0594501000746941</v>
      </c>
      <c r="AE33" s="415">
        <f t="shared" si="11"/>
        <v>1.0594501000746941</v>
      </c>
      <c r="AF33" s="415">
        <f t="shared" si="11"/>
        <v>1.0594501000746941</v>
      </c>
      <c r="AG33" s="415">
        <f t="shared" si="11"/>
        <v>1.0594501000746941</v>
      </c>
      <c r="AH33" s="415">
        <f t="shared" si="11"/>
        <v>1.0594501000746941</v>
      </c>
      <c r="AI33" s="415">
        <f t="shared" si="11"/>
        <v>1.0594501000746941</v>
      </c>
      <c r="AJ33" s="415">
        <f t="shared" si="11"/>
        <v>1.0594501000746941</v>
      </c>
      <c r="AK33" s="415">
        <f t="shared" si="11"/>
        <v>1.0594501000746941</v>
      </c>
      <c r="AL33" s="415">
        <f t="shared" si="11"/>
        <v>1.0594501000746941</v>
      </c>
    </row>
    <row r="34" spans="2:38">
      <c r="B34" s="411" t="s">
        <v>663</v>
      </c>
      <c r="C34" s="412" t="s">
        <v>664</v>
      </c>
      <c r="D34" s="414">
        <f t="shared" ref="D34:AL34" si="12">EXP(-0.1*($E$8-1))</f>
        <v>0.60653065971263342</v>
      </c>
      <c r="E34" s="415">
        <f t="shared" si="12"/>
        <v>0.60653065971263342</v>
      </c>
      <c r="F34" s="415">
        <f t="shared" si="12"/>
        <v>0.60653065971263342</v>
      </c>
      <c r="G34" s="415">
        <f t="shared" si="12"/>
        <v>0.60653065971263342</v>
      </c>
      <c r="H34" s="415">
        <f t="shared" si="12"/>
        <v>0.60653065971263342</v>
      </c>
      <c r="I34" s="415">
        <f t="shared" si="12"/>
        <v>0.60653065971263342</v>
      </c>
      <c r="J34" s="415">
        <f t="shared" si="12"/>
        <v>0.60653065971263342</v>
      </c>
      <c r="K34" s="415">
        <f t="shared" si="12"/>
        <v>0.60653065971263342</v>
      </c>
      <c r="L34" s="415">
        <f t="shared" si="12"/>
        <v>0.60653065971263342</v>
      </c>
      <c r="M34" s="415">
        <f t="shared" si="12"/>
        <v>0.60653065971263342</v>
      </c>
      <c r="N34" s="415">
        <f t="shared" si="12"/>
        <v>0.60653065971263342</v>
      </c>
      <c r="O34" s="415">
        <f t="shared" si="12"/>
        <v>0.60653065971263342</v>
      </c>
      <c r="P34" s="415">
        <f t="shared" si="12"/>
        <v>0.60653065971263342</v>
      </c>
      <c r="Q34" s="415">
        <f t="shared" si="12"/>
        <v>0.60653065971263342</v>
      </c>
      <c r="R34" s="415">
        <f t="shared" si="12"/>
        <v>0.60653065971263342</v>
      </c>
      <c r="S34" s="415">
        <f t="shared" si="12"/>
        <v>0.60653065971263342</v>
      </c>
      <c r="T34" s="415">
        <f t="shared" si="12"/>
        <v>0.60653065971263342</v>
      </c>
      <c r="U34" s="415">
        <f t="shared" si="12"/>
        <v>0.60653065971263342</v>
      </c>
      <c r="V34" s="415">
        <f t="shared" si="12"/>
        <v>0.60653065971263342</v>
      </c>
      <c r="W34" s="415">
        <f t="shared" si="12"/>
        <v>0.60653065971263342</v>
      </c>
      <c r="X34" s="415">
        <f t="shared" si="12"/>
        <v>0.60653065971263342</v>
      </c>
      <c r="Y34" s="415">
        <f t="shared" si="12"/>
        <v>0.60653065971263342</v>
      </c>
      <c r="Z34" s="415">
        <f t="shared" si="12"/>
        <v>0.60653065971263342</v>
      </c>
      <c r="AA34" s="415">
        <f t="shared" si="12"/>
        <v>0.60653065971263342</v>
      </c>
      <c r="AB34" s="415">
        <f t="shared" si="12"/>
        <v>0.60653065971263342</v>
      </c>
      <c r="AC34" s="415">
        <f t="shared" si="12"/>
        <v>0.60653065971263342</v>
      </c>
      <c r="AD34" s="415">
        <f t="shared" si="12"/>
        <v>0.60653065971263342</v>
      </c>
      <c r="AE34" s="415">
        <f t="shared" si="12"/>
        <v>0.60653065971263342</v>
      </c>
      <c r="AF34" s="415">
        <f t="shared" si="12"/>
        <v>0.60653065971263342</v>
      </c>
      <c r="AG34" s="415">
        <f t="shared" si="12"/>
        <v>0.60653065971263342</v>
      </c>
      <c r="AH34" s="415">
        <f t="shared" si="12"/>
        <v>0.60653065971263342</v>
      </c>
      <c r="AI34" s="415">
        <f t="shared" si="12"/>
        <v>0.60653065971263342</v>
      </c>
      <c r="AJ34" s="415">
        <f t="shared" si="12"/>
        <v>0.60653065971263342</v>
      </c>
      <c r="AK34" s="415">
        <f t="shared" si="12"/>
        <v>0.60653065971263342</v>
      </c>
      <c r="AL34" s="415">
        <f t="shared" si="12"/>
        <v>0.60653065971263342</v>
      </c>
    </row>
    <row r="35" spans="2:38">
      <c r="B35" s="411" t="s">
        <v>665</v>
      </c>
      <c r="C35" s="412" t="s">
        <v>666</v>
      </c>
      <c r="D35" s="414">
        <v>1</v>
      </c>
      <c r="E35" s="414">
        <v>1</v>
      </c>
      <c r="F35" s="414">
        <v>1</v>
      </c>
      <c r="G35" s="414">
        <v>1</v>
      </c>
      <c r="H35" s="414">
        <v>1</v>
      </c>
      <c r="I35" s="414">
        <v>1</v>
      </c>
      <c r="J35" s="414">
        <v>1</v>
      </c>
      <c r="K35" s="414">
        <v>1</v>
      </c>
      <c r="L35" s="414">
        <v>1</v>
      </c>
      <c r="M35" s="414">
        <v>1</v>
      </c>
      <c r="N35" s="414">
        <v>1</v>
      </c>
      <c r="O35" s="414">
        <v>1</v>
      </c>
      <c r="P35" s="414">
        <v>1</v>
      </c>
      <c r="Q35" s="414">
        <v>1</v>
      </c>
      <c r="R35" s="414">
        <v>1</v>
      </c>
      <c r="S35" s="414">
        <v>1</v>
      </c>
      <c r="T35" s="414">
        <v>1</v>
      </c>
      <c r="U35" s="414">
        <v>1</v>
      </c>
      <c r="V35" s="414">
        <v>1</v>
      </c>
      <c r="W35" s="414">
        <v>1</v>
      </c>
      <c r="X35" s="414">
        <v>1</v>
      </c>
      <c r="Y35" s="414">
        <v>1</v>
      </c>
      <c r="Z35" s="414">
        <v>1</v>
      </c>
      <c r="AA35" s="414">
        <v>1</v>
      </c>
      <c r="AB35" s="414">
        <v>1</v>
      </c>
      <c r="AC35" s="414">
        <v>1</v>
      </c>
      <c r="AD35" s="414">
        <v>1</v>
      </c>
      <c r="AE35" s="414">
        <v>1</v>
      </c>
      <c r="AF35" s="414">
        <v>1</v>
      </c>
      <c r="AG35" s="414">
        <v>1</v>
      </c>
      <c r="AH35" s="414">
        <v>1</v>
      </c>
      <c r="AI35" s="414">
        <v>1</v>
      </c>
      <c r="AJ35" s="414">
        <v>1</v>
      </c>
      <c r="AK35" s="414">
        <v>1</v>
      </c>
      <c r="AL35" s="414">
        <v>1</v>
      </c>
    </row>
    <row r="36" spans="2:38" s="421" customFormat="1" ht="13">
      <c r="B36" s="418"/>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row>
    <row r="37" spans="2:38" s="421" customFormat="1" ht="13">
      <c r="B37" s="422" t="s">
        <v>667</v>
      </c>
      <c r="C37" s="408"/>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c r="B38" s="411" t="s">
        <v>653</v>
      </c>
      <c r="C38" s="412" t="s">
        <v>654</v>
      </c>
      <c r="D38" s="423">
        <f>((D$14*D$15+0.2)/0.2)^(0.2953)</f>
        <v>14.025069302518137</v>
      </c>
      <c r="E38" s="423">
        <f t="shared" ref="E38:AL38" si="13">((E$14*E$15+0.2)/0.2)^(0.2953)</f>
        <v>14.190094012283833</v>
      </c>
      <c r="F38" s="423">
        <f t="shared" si="13"/>
        <v>14.357061306075542</v>
      </c>
      <c r="G38" s="423">
        <f t="shared" si="13"/>
        <v>14.525994027963495</v>
      </c>
      <c r="H38" s="423">
        <f t="shared" si="13"/>
        <v>14.696915291288592</v>
      </c>
      <c r="I38" s="423">
        <f t="shared" si="13"/>
        <v>14.869848481819027</v>
      </c>
      <c r="J38" s="423">
        <f t="shared" si="13"/>
        <v>15.044817260944294</v>
      </c>
      <c r="K38" s="423">
        <f t="shared" si="13"/>
        <v>15.221845568907206</v>
      </c>
      <c r="L38" s="423">
        <f t="shared" si="13"/>
        <v>15.400957628074131</v>
      </c>
      <c r="M38" s="423">
        <f t="shared" si="13"/>
        <v>15.58217794624416</v>
      </c>
      <c r="N38" s="423">
        <f t="shared" si="13"/>
        <v>15.765531319997445</v>
      </c>
      <c r="O38" s="423">
        <f t="shared" si="13"/>
        <v>15.951042838083216</v>
      </c>
      <c r="P38" s="423">
        <f t="shared" si="13"/>
        <v>16.13873788484797</v>
      </c>
      <c r="Q38" s="423">
        <f t="shared" si="13"/>
        <v>16.328642143704347</v>
      </c>
      <c r="R38" s="423">
        <f t="shared" si="13"/>
        <v>16.52078160064093</v>
      </c>
      <c r="S38" s="423">
        <f t="shared" si="13"/>
        <v>16.715182547773782</v>
      </c>
      <c r="T38" s="423">
        <f t="shared" si="13"/>
        <v>16.911871586939959</v>
      </c>
      <c r="U38" s="423">
        <f t="shared" si="13"/>
        <v>17.110875633333517</v>
      </c>
      <c r="V38" s="423">
        <f t="shared" si="13"/>
        <v>17.312221919184584</v>
      </c>
      <c r="W38" s="423">
        <f t="shared" si="13"/>
        <v>17.515937997482034</v>
      </c>
      <c r="X38" s="423">
        <f t="shared" si="13"/>
        <v>17.722051745740039</v>
      </c>
      <c r="Y38" s="423">
        <f t="shared" si="13"/>
        <v>17.930591369809278</v>
      </c>
      <c r="Z38" s="423">
        <f t="shared" si="13"/>
        <v>18.141585407733238</v>
      </c>
      <c r="AA38" s="423">
        <f t="shared" si="13"/>
        <v>18.355062733649959</v>
      </c>
      <c r="AB38" s="423">
        <f t="shared" si="13"/>
        <v>18.571052561740068</v>
      </c>
      <c r="AC38" s="423">
        <f t="shared" si="13"/>
        <v>18.789584450221355</v>
      </c>
      <c r="AD38" s="423">
        <f t="shared" si="13"/>
        <v>19.010688305390577</v>
      </c>
      <c r="AE38" s="423">
        <f t="shared" si="13"/>
        <v>19.234394385713024</v>
      </c>
      <c r="AF38" s="423">
        <f t="shared" si="13"/>
        <v>19.460733305960431</v>
      </c>
      <c r="AG38" s="423">
        <f t="shared" si="13"/>
        <v>19.68973604139768</v>
      </c>
      <c r="AH38" s="423">
        <f t="shared" si="13"/>
        <v>19.921433932018946</v>
      </c>
      <c r="AI38" s="423">
        <f t="shared" si="13"/>
        <v>20.155858686833973</v>
      </c>
      <c r="AJ38" s="423">
        <f t="shared" si="13"/>
        <v>20.393042388204854</v>
      </c>
      <c r="AK38" s="423">
        <f t="shared" si="13"/>
        <v>20.63301749623399</v>
      </c>
      <c r="AL38" s="423">
        <f t="shared" si="13"/>
        <v>20.875816853203876</v>
      </c>
    </row>
    <row r="39" spans="2:38" s="421" customFormat="1">
      <c r="B39" s="411" t="s">
        <v>655</v>
      </c>
      <c r="C39" s="412" t="s">
        <v>656</v>
      </c>
      <c r="D39" s="414">
        <f t="shared" ref="D39:AL39" si="14">EXP(0.1088*$D$9)</f>
        <v>1</v>
      </c>
      <c r="E39" s="414">
        <f t="shared" si="14"/>
        <v>1</v>
      </c>
      <c r="F39" s="414">
        <f t="shared" si="14"/>
        <v>1</v>
      </c>
      <c r="G39" s="414">
        <f t="shared" si="14"/>
        <v>1</v>
      </c>
      <c r="H39" s="414">
        <f t="shared" si="14"/>
        <v>1</v>
      </c>
      <c r="I39" s="414">
        <f t="shared" si="14"/>
        <v>1</v>
      </c>
      <c r="J39" s="414">
        <f t="shared" si="14"/>
        <v>1</v>
      </c>
      <c r="K39" s="414">
        <f t="shared" si="14"/>
        <v>1</v>
      </c>
      <c r="L39" s="414">
        <f t="shared" si="14"/>
        <v>1</v>
      </c>
      <c r="M39" s="414">
        <f t="shared" si="14"/>
        <v>1</v>
      </c>
      <c r="N39" s="414">
        <f t="shared" si="14"/>
        <v>1</v>
      </c>
      <c r="O39" s="414">
        <f t="shared" si="14"/>
        <v>1</v>
      </c>
      <c r="P39" s="414">
        <f t="shared" si="14"/>
        <v>1</v>
      </c>
      <c r="Q39" s="414">
        <f t="shared" si="14"/>
        <v>1</v>
      </c>
      <c r="R39" s="414">
        <f t="shared" si="14"/>
        <v>1</v>
      </c>
      <c r="S39" s="414">
        <f t="shared" si="14"/>
        <v>1</v>
      </c>
      <c r="T39" s="414">
        <f t="shared" si="14"/>
        <v>1</v>
      </c>
      <c r="U39" s="414">
        <f t="shared" si="14"/>
        <v>1</v>
      </c>
      <c r="V39" s="414">
        <f t="shared" si="14"/>
        <v>1</v>
      </c>
      <c r="W39" s="414">
        <f t="shared" si="14"/>
        <v>1</v>
      </c>
      <c r="X39" s="414">
        <f t="shared" si="14"/>
        <v>1</v>
      </c>
      <c r="Y39" s="414">
        <f t="shared" si="14"/>
        <v>1</v>
      </c>
      <c r="Z39" s="414">
        <f t="shared" si="14"/>
        <v>1</v>
      </c>
      <c r="AA39" s="414">
        <f t="shared" si="14"/>
        <v>1</v>
      </c>
      <c r="AB39" s="414">
        <f t="shared" si="14"/>
        <v>1</v>
      </c>
      <c r="AC39" s="414">
        <f t="shared" si="14"/>
        <v>1</v>
      </c>
      <c r="AD39" s="414">
        <f t="shared" si="14"/>
        <v>1</v>
      </c>
      <c r="AE39" s="414">
        <f t="shared" si="14"/>
        <v>1</v>
      </c>
      <c r="AF39" s="414">
        <f t="shared" si="14"/>
        <v>1</v>
      </c>
      <c r="AG39" s="414">
        <f t="shared" si="14"/>
        <v>1</v>
      </c>
      <c r="AH39" s="414">
        <f t="shared" si="14"/>
        <v>1</v>
      </c>
      <c r="AI39" s="414">
        <f t="shared" si="14"/>
        <v>1</v>
      </c>
      <c r="AJ39" s="414">
        <f t="shared" si="14"/>
        <v>1</v>
      </c>
      <c r="AK39" s="414">
        <f t="shared" si="14"/>
        <v>1</v>
      </c>
      <c r="AL39" s="414">
        <f t="shared" si="14"/>
        <v>1</v>
      </c>
    </row>
    <row r="40" spans="2:38" s="421" customFormat="1">
      <c r="B40" s="411" t="s">
        <v>657</v>
      </c>
      <c r="C40" s="416" t="s">
        <v>658</v>
      </c>
      <c r="D40" s="417">
        <f>((D$17+0.2)/0.2)^(0.047)</f>
        <v>1.0883102770199353</v>
      </c>
      <c r="E40" s="417">
        <f t="shared" ref="E40:AL40" si="15">((E$17+0.2)/0.2)^(0.047)</f>
        <v>1.0887612740878003</v>
      </c>
      <c r="F40" s="417">
        <f t="shared" si="15"/>
        <v>1.0892132384111224</v>
      </c>
      <c r="G40" s="417">
        <f t="shared" si="15"/>
        <v>1.0896661655079605</v>
      </c>
      <c r="H40" s="417">
        <f t="shared" si="15"/>
        <v>1.090120050905572</v>
      </c>
      <c r="I40" s="417">
        <f t="shared" si="15"/>
        <v>1.0905748901407866</v>
      </c>
      <c r="J40" s="417">
        <f t="shared" si="15"/>
        <v>1.0910306787603721</v>
      </c>
      <c r="K40" s="417">
        <f t="shared" si="15"/>
        <v>1.0914874123213936</v>
      </c>
      <c r="L40" s="417">
        <f t="shared" si="15"/>
        <v>1.0919450863915652</v>
      </c>
      <c r="M40" s="417">
        <f t="shared" si="15"/>
        <v>1.0924036965495967</v>
      </c>
      <c r="N40" s="417">
        <f t="shared" si="15"/>
        <v>1.0928632383855312</v>
      </c>
      <c r="O40" s="417">
        <f t="shared" si="15"/>
        <v>1.0933237075010782</v>
      </c>
      <c r="P40" s="417">
        <f t="shared" si="15"/>
        <v>1.0937850995099379</v>
      </c>
      <c r="Q40" s="417">
        <f t="shared" si="15"/>
        <v>1.0942474100381201</v>
      </c>
      <c r="R40" s="417">
        <f t="shared" si="15"/>
        <v>1.0947106347242561</v>
      </c>
      <c r="S40" s="417">
        <f t="shared" si="15"/>
        <v>1.0951747692199041</v>
      </c>
      <c r="T40" s="417">
        <f t="shared" si="15"/>
        <v>1.0956398091898469</v>
      </c>
      <c r="U40" s="417">
        <f t="shared" si="15"/>
        <v>1.0961057503123854</v>
      </c>
      <c r="V40" s="417">
        <f t="shared" si="15"/>
        <v>1.0965725882796231</v>
      </c>
      <c r="W40" s="417">
        <f t="shared" si="15"/>
        <v>1.0970403187977449</v>
      </c>
      <c r="X40" s="417">
        <f t="shared" si="15"/>
        <v>1.0975089375872908</v>
      </c>
      <c r="Y40" s="417">
        <f t="shared" si="15"/>
        <v>1.0979784403834214</v>
      </c>
      <c r="Z40" s="417">
        <f t="shared" si="15"/>
        <v>1.0984488229361773</v>
      </c>
      <c r="AA40" s="417">
        <f t="shared" si="15"/>
        <v>1.0989200810107336</v>
      </c>
      <c r="AB40" s="417">
        <f t="shared" si="15"/>
        <v>1.0993922103876466</v>
      </c>
      <c r="AC40" s="417">
        <f t="shared" si="15"/>
        <v>1.0998652068630947</v>
      </c>
      <c r="AD40" s="417">
        <f t="shared" si="15"/>
        <v>1.1003390662491142</v>
      </c>
      <c r="AE40" s="417">
        <f t="shared" si="15"/>
        <v>1.1008137843738262</v>
      </c>
      <c r="AF40" s="417">
        <f t="shared" si="15"/>
        <v>1.101289357081662</v>
      </c>
      <c r="AG40" s="417">
        <f t="shared" si="15"/>
        <v>1.1017657802335772</v>
      </c>
      <c r="AH40" s="417">
        <f t="shared" si="15"/>
        <v>1.1022430497072639</v>
      </c>
      <c r="AI40" s="417">
        <f t="shared" si="15"/>
        <v>1.1027211613973558</v>
      </c>
      <c r="AJ40" s="417">
        <f t="shared" si="15"/>
        <v>1.103200111215626</v>
      </c>
      <c r="AK40" s="417">
        <f t="shared" si="15"/>
        <v>1.1036798950911813</v>
      </c>
      <c r="AL40" s="417">
        <f t="shared" si="15"/>
        <v>1.1041605089706492</v>
      </c>
    </row>
    <row r="41" spans="2:38" s="421" customFormat="1">
      <c r="B41" s="411" t="s">
        <v>659</v>
      </c>
      <c r="C41" s="412" t="s">
        <v>660</v>
      </c>
      <c r="D41" s="414">
        <v>1</v>
      </c>
      <c r="E41" s="414">
        <v>1</v>
      </c>
      <c r="F41" s="414">
        <v>1</v>
      </c>
      <c r="G41" s="414">
        <v>1</v>
      </c>
      <c r="H41" s="414">
        <v>1</v>
      </c>
      <c r="I41" s="414">
        <v>1</v>
      </c>
      <c r="J41" s="414">
        <v>1</v>
      </c>
      <c r="K41" s="414">
        <v>1</v>
      </c>
      <c r="L41" s="414">
        <v>1</v>
      </c>
      <c r="M41" s="414">
        <v>1</v>
      </c>
      <c r="N41" s="414">
        <v>1</v>
      </c>
      <c r="O41" s="414">
        <v>1</v>
      </c>
      <c r="P41" s="414">
        <v>1</v>
      </c>
      <c r="Q41" s="414">
        <v>1</v>
      </c>
      <c r="R41" s="414">
        <v>1</v>
      </c>
      <c r="S41" s="414">
        <v>1</v>
      </c>
      <c r="T41" s="414">
        <v>1</v>
      </c>
      <c r="U41" s="414">
        <v>1</v>
      </c>
      <c r="V41" s="414">
        <v>1</v>
      </c>
      <c r="W41" s="414">
        <v>1</v>
      </c>
      <c r="X41" s="414">
        <v>1</v>
      </c>
      <c r="Y41" s="414">
        <v>1</v>
      </c>
      <c r="Z41" s="414">
        <v>1</v>
      </c>
      <c r="AA41" s="414">
        <v>1</v>
      </c>
      <c r="AB41" s="414">
        <v>1</v>
      </c>
      <c r="AC41" s="414">
        <v>1</v>
      </c>
      <c r="AD41" s="414">
        <v>1</v>
      </c>
      <c r="AE41" s="414">
        <v>1</v>
      </c>
      <c r="AF41" s="414">
        <v>1</v>
      </c>
      <c r="AG41" s="414">
        <v>1</v>
      </c>
      <c r="AH41" s="414">
        <v>1</v>
      </c>
      <c r="AI41" s="414">
        <v>1</v>
      </c>
      <c r="AJ41" s="414">
        <v>1</v>
      </c>
      <c r="AK41" s="414">
        <v>1</v>
      </c>
      <c r="AL41" s="414">
        <v>1</v>
      </c>
    </row>
    <row r="42" spans="2:38" s="421" customFormat="1">
      <c r="B42" s="411" t="s">
        <v>661</v>
      </c>
      <c r="C42" s="412" t="s">
        <v>662</v>
      </c>
      <c r="D42" s="414">
        <v>1</v>
      </c>
      <c r="E42" s="414">
        <v>1</v>
      </c>
      <c r="F42" s="414">
        <v>1</v>
      </c>
      <c r="G42" s="414">
        <v>1</v>
      </c>
      <c r="H42" s="414">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663</v>
      </c>
      <c r="C43" s="412" t="s">
        <v>664</v>
      </c>
      <c r="D43" s="414">
        <v>1</v>
      </c>
      <c r="E43" s="414">
        <v>1</v>
      </c>
      <c r="F43" s="414">
        <v>1</v>
      </c>
      <c r="G43" s="414">
        <v>1</v>
      </c>
      <c r="H43" s="414">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665</v>
      </c>
      <c r="C44" s="412" t="s">
        <v>666</v>
      </c>
      <c r="D44" s="414">
        <f t="shared" ref="D44:AL44" si="16">EXP(0.138*($D$10-1))</f>
        <v>1.1479755502741786</v>
      </c>
      <c r="E44" s="414">
        <f t="shared" si="16"/>
        <v>1.1479755502741786</v>
      </c>
      <c r="F44" s="414">
        <f t="shared" si="16"/>
        <v>1.1479755502741786</v>
      </c>
      <c r="G44" s="414">
        <f t="shared" si="16"/>
        <v>1.1479755502741786</v>
      </c>
      <c r="H44" s="414">
        <f t="shared" si="16"/>
        <v>1.1479755502741786</v>
      </c>
      <c r="I44" s="414">
        <f t="shared" si="16"/>
        <v>1.1479755502741786</v>
      </c>
      <c r="J44" s="414">
        <f t="shared" si="16"/>
        <v>1.1479755502741786</v>
      </c>
      <c r="K44" s="414">
        <f t="shared" si="16"/>
        <v>1.1479755502741786</v>
      </c>
      <c r="L44" s="414">
        <f t="shared" si="16"/>
        <v>1.1479755502741786</v>
      </c>
      <c r="M44" s="414">
        <f t="shared" si="16"/>
        <v>1.1479755502741786</v>
      </c>
      <c r="N44" s="414">
        <f t="shared" si="16"/>
        <v>1.1479755502741786</v>
      </c>
      <c r="O44" s="414">
        <f t="shared" si="16"/>
        <v>1.1479755502741786</v>
      </c>
      <c r="P44" s="414">
        <f t="shared" si="16"/>
        <v>1.1479755502741786</v>
      </c>
      <c r="Q44" s="414">
        <f t="shared" si="16"/>
        <v>1.1479755502741786</v>
      </c>
      <c r="R44" s="414">
        <f t="shared" si="16"/>
        <v>1.1479755502741786</v>
      </c>
      <c r="S44" s="414">
        <f t="shared" si="16"/>
        <v>1.1479755502741786</v>
      </c>
      <c r="T44" s="414">
        <f t="shared" si="16"/>
        <v>1.1479755502741786</v>
      </c>
      <c r="U44" s="414">
        <f t="shared" si="16"/>
        <v>1.1479755502741786</v>
      </c>
      <c r="V44" s="414">
        <f t="shared" si="16"/>
        <v>1.1479755502741786</v>
      </c>
      <c r="W44" s="414">
        <f t="shared" si="16"/>
        <v>1.1479755502741786</v>
      </c>
      <c r="X44" s="414">
        <f t="shared" si="16"/>
        <v>1.1479755502741786</v>
      </c>
      <c r="Y44" s="414">
        <f t="shared" si="16"/>
        <v>1.1479755502741786</v>
      </c>
      <c r="Z44" s="414">
        <f t="shared" si="16"/>
        <v>1.1479755502741786</v>
      </c>
      <c r="AA44" s="414">
        <f t="shared" si="16"/>
        <v>1.1479755502741786</v>
      </c>
      <c r="AB44" s="414">
        <f t="shared" si="16"/>
        <v>1.1479755502741786</v>
      </c>
      <c r="AC44" s="414">
        <f t="shared" si="16"/>
        <v>1.1479755502741786</v>
      </c>
      <c r="AD44" s="414">
        <f t="shared" si="16"/>
        <v>1.1479755502741786</v>
      </c>
      <c r="AE44" s="414">
        <f t="shared" si="16"/>
        <v>1.1479755502741786</v>
      </c>
      <c r="AF44" s="414">
        <f t="shared" si="16"/>
        <v>1.1479755502741786</v>
      </c>
      <c r="AG44" s="414">
        <f t="shared" si="16"/>
        <v>1.1479755502741786</v>
      </c>
      <c r="AH44" s="414">
        <f t="shared" si="16"/>
        <v>1.1479755502741786</v>
      </c>
      <c r="AI44" s="414">
        <f t="shared" si="16"/>
        <v>1.1479755502741786</v>
      </c>
      <c r="AJ44" s="414">
        <f t="shared" si="16"/>
        <v>1.1479755502741786</v>
      </c>
      <c r="AK44" s="414">
        <f t="shared" si="16"/>
        <v>1.1479755502741786</v>
      </c>
      <c r="AL44" s="414">
        <f t="shared" si="16"/>
        <v>1.1479755502741786</v>
      </c>
    </row>
    <row r="45" spans="2:38" s="421" customFormat="1" ht="13">
      <c r="B45" s="418"/>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row>
    <row r="46" spans="2:38" s="421" customFormat="1" ht="13">
      <c r="B46" s="422" t="s">
        <v>668</v>
      </c>
      <c r="C46" s="408"/>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c r="B47" s="411" t="s">
        <v>653</v>
      </c>
      <c r="C47" s="412" t="s">
        <v>654</v>
      </c>
      <c r="D47" s="423">
        <f>((D$14*D$15+0.2)/0.2)^(0.3116)</f>
        <v>16.226019659764887</v>
      </c>
      <c r="E47" s="423">
        <f t="shared" ref="E47:AL47" si="17">((E$14*E$15+0.2)/0.2)^(0.3116)</f>
        <v>16.427545366441784</v>
      </c>
      <c r="F47" s="423">
        <f t="shared" si="17"/>
        <v>16.631575025826844</v>
      </c>
      <c r="G47" s="423">
        <f t="shared" si="17"/>
        <v>16.838139721999571</v>
      </c>
      <c r="H47" s="423">
        <f t="shared" si="17"/>
        <v>17.047270925656068</v>
      </c>
      <c r="I47" s="423">
        <f t="shared" si="17"/>
        <v>17.259000498897866</v>
      </c>
      <c r="J47" s="423">
        <f t="shared" si="17"/>
        <v>17.473360700080498</v>
      </c>
      <c r="K47" s="423">
        <f t="shared" si="17"/>
        <v>17.69038418872281</v>
      </c>
      <c r="L47" s="423">
        <f t="shared" si="17"/>
        <v>17.910104030477385</v>
      </c>
      <c r="M47" s="423">
        <f t="shared" si="17"/>
        <v>18.132553702163261</v>
      </c>
      <c r="N47" s="423">
        <f t="shared" si="17"/>
        <v>18.357767096861366</v>
      </c>
      <c r="O47" s="423">
        <f t="shared" si="17"/>
        <v>18.58577852907354</v>
      </c>
      <c r="P47" s="423">
        <f t="shared" si="17"/>
        <v>18.816622739946062</v>
      </c>
      <c r="Q47" s="423">
        <f t="shared" si="17"/>
        <v>19.050334902558287</v>
      </c>
      <c r="R47" s="423">
        <f t="shared" si="17"/>
        <v>19.286950627277218</v>
      </c>
      <c r="S47" s="423">
        <f t="shared" si="17"/>
        <v>19.526505967178988</v>
      </c>
      <c r="T47" s="423">
        <f t="shared" si="17"/>
        <v>19.769037423537952</v>
      </c>
      <c r="U47" s="423">
        <f t="shared" si="17"/>
        <v>20.014581951384081</v>
      </c>
      <c r="V47" s="423">
        <f t="shared" si="17"/>
        <v>20.263176965129844</v>
      </c>
      <c r="W47" s="423">
        <f t="shared" si="17"/>
        <v>20.514860344267163</v>
      </c>
      <c r="X47" s="423">
        <f t="shared" si="17"/>
        <v>20.769670439135282</v>
      </c>
      <c r="Y47" s="423">
        <f t="shared" si="17"/>
        <v>21.027646076760721</v>
      </c>
      <c r="Z47" s="423">
        <f t="shared" si="17"/>
        <v>21.288826566769849</v>
      </c>
      <c r="AA47" s="423">
        <f t="shared" si="17"/>
        <v>21.553251707375189</v>
      </c>
      <c r="AB47" s="423">
        <f t="shared" si="17"/>
        <v>21.820961791436314</v>
      </c>
      <c r="AC47" s="423">
        <f t="shared" si="17"/>
        <v>22.091997612596238</v>
      </c>
      <c r="AD47" s="423">
        <f t="shared" si="17"/>
        <v>22.366400471494167</v>
      </c>
      <c r="AE47" s="423">
        <f t="shared" si="17"/>
        <v>22.644212182055799</v>
      </c>
      <c r="AF47" s="423">
        <f t="shared" si="17"/>
        <v>22.92547507786178</v>
      </c>
      <c r="AG47" s="423">
        <f t="shared" si="17"/>
        <v>23.210232018595594</v>
      </c>
      <c r="AH47" s="423">
        <f t="shared" si="17"/>
        <v>23.498526396571595</v>
      </c>
      <c r="AI47" s="423">
        <f t="shared" si="17"/>
        <v>23.79040214334448</v>
      </c>
      <c r="AJ47" s="423">
        <f t="shared" si="17"/>
        <v>24.085903736400951</v>
      </c>
      <c r="AK47" s="423">
        <f t="shared" si="17"/>
        <v>24.38507620593461</v>
      </c>
      <c r="AL47" s="423">
        <f t="shared" si="17"/>
        <v>24.687965141705277</v>
      </c>
    </row>
    <row r="48" spans="2:38" s="421" customFormat="1">
      <c r="B48" s="411" t="s">
        <v>655</v>
      </c>
      <c r="C48" s="412" t="s">
        <v>656</v>
      </c>
      <c r="D48" s="414">
        <f t="shared" ref="D48:AL48" si="18">EXP(0.2912*$D$9)</f>
        <v>1</v>
      </c>
      <c r="E48" s="414">
        <f t="shared" si="18"/>
        <v>1</v>
      </c>
      <c r="F48" s="414">
        <f t="shared" si="18"/>
        <v>1</v>
      </c>
      <c r="G48" s="414">
        <f t="shared" si="18"/>
        <v>1</v>
      </c>
      <c r="H48" s="414">
        <f t="shared" si="18"/>
        <v>1</v>
      </c>
      <c r="I48" s="414">
        <f t="shared" si="18"/>
        <v>1</v>
      </c>
      <c r="J48" s="414">
        <f t="shared" si="18"/>
        <v>1</v>
      </c>
      <c r="K48" s="414">
        <f t="shared" si="18"/>
        <v>1</v>
      </c>
      <c r="L48" s="414">
        <f t="shared" si="18"/>
        <v>1</v>
      </c>
      <c r="M48" s="414">
        <f t="shared" si="18"/>
        <v>1</v>
      </c>
      <c r="N48" s="414">
        <f t="shared" si="18"/>
        <v>1</v>
      </c>
      <c r="O48" s="414">
        <f t="shared" si="18"/>
        <v>1</v>
      </c>
      <c r="P48" s="414">
        <f t="shared" si="18"/>
        <v>1</v>
      </c>
      <c r="Q48" s="414">
        <f t="shared" si="18"/>
        <v>1</v>
      </c>
      <c r="R48" s="414">
        <f t="shared" si="18"/>
        <v>1</v>
      </c>
      <c r="S48" s="414">
        <f t="shared" si="18"/>
        <v>1</v>
      </c>
      <c r="T48" s="414">
        <f t="shared" si="18"/>
        <v>1</v>
      </c>
      <c r="U48" s="414">
        <f t="shared" si="18"/>
        <v>1</v>
      </c>
      <c r="V48" s="414">
        <f t="shared" si="18"/>
        <v>1</v>
      </c>
      <c r="W48" s="414">
        <f t="shared" si="18"/>
        <v>1</v>
      </c>
      <c r="X48" s="414">
        <f t="shared" si="18"/>
        <v>1</v>
      </c>
      <c r="Y48" s="414">
        <f t="shared" si="18"/>
        <v>1</v>
      </c>
      <c r="Z48" s="414">
        <f t="shared" si="18"/>
        <v>1</v>
      </c>
      <c r="AA48" s="414">
        <f t="shared" si="18"/>
        <v>1</v>
      </c>
      <c r="AB48" s="414">
        <f t="shared" si="18"/>
        <v>1</v>
      </c>
      <c r="AC48" s="414">
        <f t="shared" si="18"/>
        <v>1</v>
      </c>
      <c r="AD48" s="414">
        <f t="shared" si="18"/>
        <v>1</v>
      </c>
      <c r="AE48" s="414">
        <f t="shared" si="18"/>
        <v>1</v>
      </c>
      <c r="AF48" s="414">
        <f t="shared" si="18"/>
        <v>1</v>
      </c>
      <c r="AG48" s="414">
        <f t="shared" si="18"/>
        <v>1</v>
      </c>
      <c r="AH48" s="414">
        <f t="shared" si="18"/>
        <v>1</v>
      </c>
      <c r="AI48" s="414">
        <f t="shared" si="18"/>
        <v>1</v>
      </c>
      <c r="AJ48" s="414">
        <f t="shared" si="18"/>
        <v>1</v>
      </c>
      <c r="AK48" s="414">
        <f t="shared" si="18"/>
        <v>1</v>
      </c>
      <c r="AL48" s="414">
        <f t="shared" si="18"/>
        <v>1</v>
      </c>
    </row>
    <row r="49" spans="2:38" s="421" customFormat="1">
      <c r="B49" s="411" t="s">
        <v>657</v>
      </c>
      <c r="C49" s="416" t="s">
        <v>658</v>
      </c>
      <c r="D49" s="414">
        <v>1</v>
      </c>
      <c r="E49" s="414">
        <v>1</v>
      </c>
      <c r="F49" s="414">
        <v>1</v>
      </c>
      <c r="G49" s="414">
        <v>1</v>
      </c>
      <c r="H49" s="414">
        <v>1</v>
      </c>
      <c r="I49" s="414">
        <v>1</v>
      </c>
      <c r="J49" s="414">
        <v>1</v>
      </c>
      <c r="K49" s="414">
        <v>1</v>
      </c>
      <c r="L49" s="414">
        <v>1</v>
      </c>
      <c r="M49" s="414">
        <v>1</v>
      </c>
      <c r="N49" s="414">
        <v>1</v>
      </c>
      <c r="O49" s="414">
        <v>1</v>
      </c>
      <c r="P49" s="414">
        <v>1</v>
      </c>
      <c r="Q49" s="414">
        <v>1</v>
      </c>
      <c r="R49" s="414">
        <v>1</v>
      </c>
      <c r="S49" s="414">
        <v>1</v>
      </c>
      <c r="T49" s="414">
        <v>1</v>
      </c>
      <c r="U49" s="414">
        <v>1</v>
      </c>
      <c r="V49" s="414">
        <v>1</v>
      </c>
      <c r="W49" s="414">
        <v>1</v>
      </c>
      <c r="X49" s="414">
        <v>1</v>
      </c>
      <c r="Y49" s="414">
        <v>1</v>
      </c>
      <c r="Z49" s="414">
        <v>1</v>
      </c>
      <c r="AA49" s="414">
        <v>1</v>
      </c>
      <c r="AB49" s="414">
        <v>1</v>
      </c>
      <c r="AC49" s="414">
        <v>1</v>
      </c>
      <c r="AD49" s="414">
        <v>1</v>
      </c>
      <c r="AE49" s="414">
        <v>1</v>
      </c>
      <c r="AF49" s="414">
        <v>1</v>
      </c>
      <c r="AG49" s="414">
        <v>1</v>
      </c>
      <c r="AH49" s="414">
        <v>1</v>
      </c>
      <c r="AI49" s="414">
        <v>1</v>
      </c>
      <c r="AJ49" s="414">
        <v>1</v>
      </c>
      <c r="AK49" s="414">
        <v>1</v>
      </c>
      <c r="AL49" s="414">
        <v>1</v>
      </c>
    </row>
    <row r="50" spans="2:38" s="421" customFormat="1">
      <c r="B50" s="411" t="s">
        <v>659</v>
      </c>
      <c r="C50" s="412" t="s">
        <v>660</v>
      </c>
      <c r="D50" s="414">
        <v>1</v>
      </c>
      <c r="E50" s="414">
        <v>1</v>
      </c>
      <c r="F50" s="414">
        <v>1</v>
      </c>
      <c r="G50" s="414">
        <v>1</v>
      </c>
      <c r="H50" s="414">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661</v>
      </c>
      <c r="C51" s="412" t="s">
        <v>662</v>
      </c>
      <c r="D51" s="414">
        <v>1</v>
      </c>
      <c r="E51" s="414">
        <v>1</v>
      </c>
      <c r="F51" s="414">
        <v>1</v>
      </c>
      <c r="G51" s="414">
        <v>1</v>
      </c>
      <c r="H51" s="414">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663</v>
      </c>
      <c r="C52" s="412" t="s">
        <v>664</v>
      </c>
      <c r="D52" s="414">
        <v>1</v>
      </c>
      <c r="E52" s="414">
        <v>1</v>
      </c>
      <c r="F52" s="414">
        <v>1</v>
      </c>
      <c r="G52" s="414">
        <v>1</v>
      </c>
      <c r="H52" s="414">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24" t="s">
        <v>665</v>
      </c>
      <c r="C53" s="425" t="s">
        <v>666</v>
      </c>
      <c r="D53" s="426">
        <f t="shared" ref="D53:AL53" si="19">EXP(0.1036*($D$10-1))</f>
        <v>1.1091567034898182</v>
      </c>
      <c r="E53" s="426">
        <f t="shared" si="19"/>
        <v>1.1091567034898182</v>
      </c>
      <c r="F53" s="426">
        <f t="shared" si="19"/>
        <v>1.1091567034898182</v>
      </c>
      <c r="G53" s="426">
        <f t="shared" si="19"/>
        <v>1.1091567034898182</v>
      </c>
      <c r="H53" s="426">
        <f t="shared" si="19"/>
        <v>1.1091567034898182</v>
      </c>
      <c r="I53" s="426">
        <f t="shared" si="19"/>
        <v>1.1091567034898182</v>
      </c>
      <c r="J53" s="426">
        <f t="shared" si="19"/>
        <v>1.1091567034898182</v>
      </c>
      <c r="K53" s="426">
        <f t="shared" si="19"/>
        <v>1.1091567034898182</v>
      </c>
      <c r="L53" s="426">
        <f t="shared" si="19"/>
        <v>1.1091567034898182</v>
      </c>
      <c r="M53" s="426">
        <f t="shared" si="19"/>
        <v>1.1091567034898182</v>
      </c>
      <c r="N53" s="426">
        <f t="shared" si="19"/>
        <v>1.1091567034898182</v>
      </c>
      <c r="O53" s="426">
        <f t="shared" si="19"/>
        <v>1.1091567034898182</v>
      </c>
      <c r="P53" s="426">
        <f t="shared" si="19"/>
        <v>1.1091567034898182</v>
      </c>
      <c r="Q53" s="426">
        <f t="shared" si="19"/>
        <v>1.1091567034898182</v>
      </c>
      <c r="R53" s="426">
        <f t="shared" si="19"/>
        <v>1.1091567034898182</v>
      </c>
      <c r="S53" s="426">
        <f t="shared" si="19"/>
        <v>1.1091567034898182</v>
      </c>
      <c r="T53" s="426">
        <f t="shared" si="19"/>
        <v>1.1091567034898182</v>
      </c>
      <c r="U53" s="426">
        <f t="shared" si="19"/>
        <v>1.1091567034898182</v>
      </c>
      <c r="V53" s="426">
        <f t="shared" si="19"/>
        <v>1.1091567034898182</v>
      </c>
      <c r="W53" s="426">
        <f t="shared" si="19"/>
        <v>1.1091567034898182</v>
      </c>
      <c r="X53" s="426">
        <f t="shared" si="19"/>
        <v>1.1091567034898182</v>
      </c>
      <c r="Y53" s="426">
        <f t="shared" si="19"/>
        <v>1.1091567034898182</v>
      </c>
      <c r="Z53" s="426">
        <f t="shared" si="19"/>
        <v>1.1091567034898182</v>
      </c>
      <c r="AA53" s="426">
        <f t="shared" si="19"/>
        <v>1.1091567034898182</v>
      </c>
      <c r="AB53" s="426">
        <f t="shared" si="19"/>
        <v>1.1091567034898182</v>
      </c>
      <c r="AC53" s="426">
        <f t="shared" si="19"/>
        <v>1.1091567034898182</v>
      </c>
      <c r="AD53" s="426">
        <f t="shared" si="19"/>
        <v>1.1091567034898182</v>
      </c>
      <c r="AE53" s="426">
        <f t="shared" si="19"/>
        <v>1.1091567034898182</v>
      </c>
      <c r="AF53" s="426">
        <f t="shared" si="19"/>
        <v>1.1091567034898182</v>
      </c>
      <c r="AG53" s="426">
        <f t="shared" si="19"/>
        <v>1.1091567034898182</v>
      </c>
      <c r="AH53" s="426">
        <f t="shared" si="19"/>
        <v>1.1091567034898182</v>
      </c>
      <c r="AI53" s="426">
        <f t="shared" si="19"/>
        <v>1.1091567034898182</v>
      </c>
      <c r="AJ53" s="426">
        <f t="shared" si="19"/>
        <v>1.1091567034898182</v>
      </c>
      <c r="AK53" s="426">
        <f t="shared" si="19"/>
        <v>1.1091567034898182</v>
      </c>
      <c r="AL53" s="426">
        <f t="shared" si="19"/>
        <v>1.1091567034898182</v>
      </c>
    </row>
    <row r="54" spans="2:38">
      <c r="B54" s="362"/>
      <c r="C54" s="427" t="s">
        <v>290</v>
      </c>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row>
    <row r="55" spans="2:38">
      <c r="B55" s="362" t="s">
        <v>669</v>
      </c>
      <c r="C55" s="428">
        <f>$E$6</f>
        <v>2.2680000000000001E-3</v>
      </c>
      <c r="D55" s="429">
        <f>IF($D$6=$B28,$C$55*PRODUCT(D$29:D$35),IF($D$6=$B37,$C$55*PRODUCT(D$38:D$44), $C$55*PRODUCT(D$47:D$53)))</f>
        <v>3.6553430196310958E-2</v>
      </c>
      <c r="E55" s="429">
        <f>IF($D$6=$B28,$C$55*PRODUCT(E$29:E$35),IF($D$6=$B37,$C$55*PRODUCT(E$38:E$44), $C$55*PRODUCT(E$47:E$53)))</f>
        <v>3.7083040071946766E-2</v>
      </c>
      <c r="F55" s="429">
        <f t="shared" ref="F55:AK55" si="20">IF($D$6=$B28,$C$55*PRODUCT(F$29:F$35),IF($D$6=$B37,$C$55*PRODUCT(F$38:F$44), $C$55*PRODUCT(F$47:F$53)))</f>
        <v>3.762040236751131E-2</v>
      </c>
      <c r="G55" s="429">
        <f t="shared" si="20"/>
        <v>3.8165631049262072E-2</v>
      </c>
      <c r="H55" s="429">
        <f t="shared" si="20"/>
        <v>3.8718841762270438E-2</v>
      </c>
      <c r="I55" s="429">
        <f t="shared" si="20"/>
        <v>3.9280151855110988E-2</v>
      </c>
      <c r="J55" s="429">
        <f t="shared" si="20"/>
        <v>3.9849680404914718E-2</v>
      </c>
      <c r="K55" s="429">
        <f t="shared" si="20"/>
        <v>4.0427548242792037E-2</v>
      </c>
      <c r="L55" s="429">
        <f t="shared" si="20"/>
        <v>4.101387797963043E-2</v>
      </c>
      <c r="M55" s="429">
        <f t="shared" si="20"/>
        <v>4.1608794032273064E-2</v>
      </c>
      <c r="N55" s="429">
        <f t="shared" si="20"/>
        <v>4.2212422650083042E-2</v>
      </c>
      <c r="O55" s="429">
        <f t="shared" si="20"/>
        <v>4.2824891941899527E-2</v>
      </c>
      <c r="P55" s="429">
        <f t="shared" si="20"/>
        <v>4.3446331903391519E-2</v>
      </c>
      <c r="Q55" s="429">
        <f t="shared" si="20"/>
        <v>4.4076874444814861E-2</v>
      </c>
      <c r="R55" s="429">
        <f t="shared" si="20"/>
        <v>4.4716653419178361E-2</v>
      </c>
      <c r="S55" s="429">
        <f t="shared" si="20"/>
        <v>4.5365804650825403E-2</v>
      </c>
      <c r="T55" s="429">
        <f t="shared" si="20"/>
        <v>4.6024465964436954E-2</v>
      </c>
      <c r="U55" s="429">
        <f t="shared" si="20"/>
        <v>4.6692777214461988E-2</v>
      </c>
      <c r="V55" s="429">
        <f t="shared" si="20"/>
        <v>4.7370880314981836E-2</v>
      </c>
      <c r="W55" s="429">
        <f t="shared" si="20"/>
        <v>4.8058919270014801E-2</v>
      </c>
      <c r="X55" s="429">
        <f t="shared" si="20"/>
        <v>4.8757040204267556E-2</v>
      </c>
      <c r="Y55" s="429">
        <f t="shared" si="20"/>
        <v>4.9465391394339572E-2</v>
      </c>
      <c r="Z55" s="429">
        <f t="shared" si="20"/>
        <v>5.0184123300387788E-2</v>
      </c>
      <c r="AA55" s="429">
        <f t="shared" si="20"/>
        <v>5.0913388598257781E-2</v>
      </c>
      <c r="AB55" s="429">
        <f t="shared" si="20"/>
        <v>5.1653342212088643E-2</v>
      </c>
      <c r="AC55" s="429">
        <f t="shared" si="20"/>
        <v>5.2404141347398216E-2</v>
      </c>
      <c r="AD55" s="429">
        <f t="shared" si="20"/>
        <v>5.3165945524656089E-2</v>
      </c>
      <c r="AE55" s="429">
        <f t="shared" si="20"/>
        <v>5.3938916613351262E-2</v>
      </c>
      <c r="AF55" s="429">
        <f t="shared" si="20"/>
        <v>5.4723218866561979E-2</v>
      </c>
      <c r="AG55" s="429">
        <f t="shared" si="20"/>
        <v>5.5519018956034838E-2</v>
      </c>
      <c r="AH55" s="429">
        <f t="shared" si="20"/>
        <v>5.6326486007780847E-2</v>
      </c>
      <c r="AI55" s="429">
        <f t="shared" si="20"/>
        <v>5.7145791638196212E-2</v>
      </c>
      <c r="AJ55" s="429">
        <f t="shared" si="20"/>
        <v>5.7977109990715099E-2</v>
      </c>
      <c r="AK55" s="429">
        <f t="shared" si="20"/>
        <v>5.8820617773002473E-2</v>
      </c>
      <c r="AL55" s="429">
        <f t="shared" ref="AL55" si="21">IF($D$6=$B28,$C$55*PRODUCT(AL$29:AL$35),IF($D$6=$B37,$C$55*PRODUCT(AL$38:AL$44), $C$55*PRODUCT(AL$47:AL$53)))</f>
        <v>5.9676494294695286E-2</v>
      </c>
    </row>
    <row r="57" spans="2:38" ht="13">
      <c r="B57" s="407" t="s">
        <v>670</v>
      </c>
      <c r="C57" s="396" t="s">
        <v>627</v>
      </c>
      <c r="D57" s="397">
        <v>2018</v>
      </c>
      <c r="E57" s="397">
        <v>2020</v>
      </c>
      <c r="F57" s="397">
        <v>2021</v>
      </c>
      <c r="G57" s="397">
        <v>2022</v>
      </c>
      <c r="H57" s="397">
        <v>2023</v>
      </c>
      <c r="I57" s="397">
        <v>2024</v>
      </c>
      <c r="J57" s="397">
        <v>2025</v>
      </c>
      <c r="K57" s="397">
        <v>2026</v>
      </c>
      <c r="L57" s="397">
        <v>2027</v>
      </c>
      <c r="M57" s="397">
        <v>2028</v>
      </c>
      <c r="N57" s="397">
        <v>2029</v>
      </c>
      <c r="O57" s="397">
        <v>2030</v>
      </c>
      <c r="P57" s="397">
        <v>2031</v>
      </c>
      <c r="Q57" s="397">
        <v>2032</v>
      </c>
      <c r="R57" s="397">
        <v>2033</v>
      </c>
      <c r="S57" s="397">
        <v>2034</v>
      </c>
      <c r="T57" s="397">
        <v>2035</v>
      </c>
      <c r="U57" s="397">
        <v>2036</v>
      </c>
      <c r="V57" s="397">
        <v>2037</v>
      </c>
      <c r="W57" s="397">
        <v>2038</v>
      </c>
      <c r="X57" s="397">
        <v>2039</v>
      </c>
      <c r="Y57" s="397">
        <v>2040</v>
      </c>
      <c r="Z57" s="397">
        <v>2041</v>
      </c>
      <c r="AA57" s="397">
        <v>2042</v>
      </c>
      <c r="AB57" s="397">
        <v>2043</v>
      </c>
      <c r="AC57" s="397">
        <v>2044</v>
      </c>
      <c r="AD57" s="397">
        <v>2044</v>
      </c>
      <c r="AE57" s="397">
        <v>2044</v>
      </c>
      <c r="AF57" s="397">
        <v>2044</v>
      </c>
      <c r="AG57" s="397">
        <v>2044</v>
      </c>
      <c r="AH57" s="397">
        <v>2044</v>
      </c>
      <c r="AI57" s="397">
        <v>2044</v>
      </c>
      <c r="AJ57" s="397">
        <v>2044</v>
      </c>
      <c r="AK57" s="397">
        <v>2044</v>
      </c>
      <c r="AL57" s="397">
        <v>2044</v>
      </c>
    </row>
    <row r="58" spans="2:38" s="366" customFormat="1">
      <c r="B58" s="366" t="s">
        <v>671</v>
      </c>
      <c r="C58" s="430" t="s">
        <v>662</v>
      </c>
      <c r="D58" s="431">
        <f>D19^(-1.074)</f>
        <v>0.11486407065121609</v>
      </c>
      <c r="E58" s="432">
        <f t="shared" ref="E58:AK58" si="22">E19^(-1.074)</f>
        <v>0.11486407065121609</v>
      </c>
      <c r="F58" s="432">
        <f t="shared" si="22"/>
        <v>0.11486407065121609</v>
      </c>
      <c r="G58" s="432">
        <f t="shared" si="22"/>
        <v>0.11486407065121609</v>
      </c>
      <c r="H58" s="432">
        <f t="shared" si="22"/>
        <v>0.11486407065121609</v>
      </c>
      <c r="I58" s="432">
        <f t="shared" si="22"/>
        <v>0.11486407065121609</v>
      </c>
      <c r="J58" s="432">
        <f t="shared" si="22"/>
        <v>0.11486407065121609</v>
      </c>
      <c r="K58" s="432">
        <f t="shared" si="22"/>
        <v>0.11486407065121609</v>
      </c>
      <c r="L58" s="432">
        <f t="shared" si="22"/>
        <v>0.11486407065121609</v>
      </c>
      <c r="M58" s="432">
        <f t="shared" si="22"/>
        <v>0.11486407065121609</v>
      </c>
      <c r="N58" s="432">
        <f t="shared" si="22"/>
        <v>0.11486407065121609</v>
      </c>
      <c r="O58" s="432">
        <f t="shared" si="22"/>
        <v>0.11486407065121609</v>
      </c>
      <c r="P58" s="432">
        <f t="shared" si="22"/>
        <v>0.11486407065121609</v>
      </c>
      <c r="Q58" s="432">
        <f t="shared" si="22"/>
        <v>0.11486407065121609</v>
      </c>
      <c r="R58" s="432">
        <f t="shared" si="22"/>
        <v>0.11486407065121609</v>
      </c>
      <c r="S58" s="432">
        <f t="shared" si="22"/>
        <v>0.11486407065121609</v>
      </c>
      <c r="T58" s="432">
        <f t="shared" si="22"/>
        <v>0.11486407065121609</v>
      </c>
      <c r="U58" s="432">
        <f t="shared" si="22"/>
        <v>0.11486407065121609</v>
      </c>
      <c r="V58" s="432">
        <f t="shared" si="22"/>
        <v>0.11486407065121609</v>
      </c>
      <c r="W58" s="432">
        <f t="shared" si="22"/>
        <v>0.11486407065121609</v>
      </c>
      <c r="X58" s="432">
        <f t="shared" si="22"/>
        <v>0.11486407065121609</v>
      </c>
      <c r="Y58" s="432">
        <f t="shared" si="22"/>
        <v>0.11486407065121609</v>
      </c>
      <c r="Z58" s="432">
        <f t="shared" si="22"/>
        <v>0.11486407065121609</v>
      </c>
      <c r="AA58" s="432">
        <f t="shared" si="22"/>
        <v>0.11486407065121609</v>
      </c>
      <c r="AB58" s="432">
        <f t="shared" si="22"/>
        <v>0.11486407065121609</v>
      </c>
      <c r="AC58" s="432">
        <f t="shared" si="22"/>
        <v>0.11486407065121609</v>
      </c>
      <c r="AD58" s="432">
        <f t="shared" si="22"/>
        <v>0.11486407065121609</v>
      </c>
      <c r="AE58" s="432">
        <f t="shared" si="22"/>
        <v>0.11486407065121609</v>
      </c>
      <c r="AF58" s="432">
        <f t="shared" si="22"/>
        <v>0.11486407065121609</v>
      </c>
      <c r="AG58" s="432">
        <f t="shared" si="22"/>
        <v>0.11486407065121609</v>
      </c>
      <c r="AH58" s="432">
        <f t="shared" si="22"/>
        <v>0.11486407065121609</v>
      </c>
      <c r="AI58" s="432">
        <f t="shared" si="22"/>
        <v>0.11486407065121609</v>
      </c>
      <c r="AJ58" s="432">
        <f t="shared" si="22"/>
        <v>0.11486407065121609</v>
      </c>
      <c r="AK58" s="432">
        <f t="shared" si="22"/>
        <v>0.11486407065121609</v>
      </c>
      <c r="AL58" s="432">
        <f t="shared" ref="AL58" si="23">AL19^(-1.074)</f>
        <v>0.11486407065121609</v>
      </c>
    </row>
    <row r="59" spans="2:38">
      <c r="B59" s="358" t="s">
        <v>606</v>
      </c>
      <c r="C59" s="419" t="s">
        <v>672</v>
      </c>
      <c r="D59" s="417">
        <f>(D$16+1)^(-0.1025)</f>
        <v>0.89285598450946391</v>
      </c>
      <c r="E59" s="417">
        <f t="shared" ref="E59:AL59" si="24">(E$16+1)^(-0.1025)</f>
        <v>0.89220912192398749</v>
      </c>
      <c r="F59" s="417">
        <f t="shared" si="24"/>
        <v>0.89156048349501171</v>
      </c>
      <c r="G59" s="417">
        <f t="shared" si="24"/>
        <v>0.89091008192725418</v>
      </c>
      <c r="H59" s="417">
        <f t="shared" si="24"/>
        <v>0.89025792999093223</v>
      </c>
      <c r="I59" s="417">
        <f t="shared" si="24"/>
        <v>0.88960404051976527</v>
      </c>
      <c r="J59" s="417">
        <f t="shared" si="24"/>
        <v>0.88894842640897598</v>
      </c>
      <c r="K59" s="417">
        <f t="shared" si="24"/>
        <v>0.88829110061329519</v>
      </c>
      <c r="L59" s="417">
        <f t="shared" si="24"/>
        <v>0.88763207614496653</v>
      </c>
      <c r="M59" s="417">
        <f t="shared" si="24"/>
        <v>0.88697136607175475</v>
      </c>
      <c r="N59" s="417">
        <f t="shared" si="24"/>
        <v>0.88630898351495846</v>
      </c>
      <c r="O59" s="417">
        <f t="shared" si="24"/>
        <v>0.88564494164742358</v>
      </c>
      <c r="P59" s="417">
        <f t="shared" si="24"/>
        <v>0.88497925369156449</v>
      </c>
      <c r="Q59" s="417">
        <f t="shared" si="24"/>
        <v>0.8843119329173883</v>
      </c>
      <c r="R59" s="417">
        <f t="shared" si="24"/>
        <v>0.88364299264052493</v>
      </c>
      <c r="S59" s="417">
        <f t="shared" si="24"/>
        <v>0.88297244622026427</v>
      </c>
      <c r="T59" s="417">
        <f t="shared" si="24"/>
        <v>0.88230030705759988</v>
      </c>
      <c r="U59" s="417">
        <f t="shared" si="24"/>
        <v>0.88162658859327914</v>
      </c>
      <c r="V59" s="417">
        <f t="shared" si="24"/>
        <v>0.88095130430586199</v>
      </c>
      <c r="W59" s="417">
        <f t="shared" si="24"/>
        <v>0.88027446770978857</v>
      </c>
      <c r="X59" s="417">
        <f t="shared" si="24"/>
        <v>0.87959609235345493</v>
      </c>
      <c r="Y59" s="417">
        <f t="shared" si="24"/>
        <v>0.87891619181729919</v>
      </c>
      <c r="Z59" s="417">
        <f t="shared" si="24"/>
        <v>0.87823477971189645</v>
      </c>
      <c r="AA59" s="417">
        <f t="shared" si="24"/>
        <v>0.87755186967606535</v>
      </c>
      <c r="AB59" s="417">
        <f t="shared" si="24"/>
        <v>0.87686747537498577</v>
      </c>
      <c r="AC59" s="417">
        <f t="shared" si="24"/>
        <v>0.87618161049832688</v>
      </c>
      <c r="AD59" s="417">
        <f t="shared" si="24"/>
        <v>0.87549428875838731</v>
      </c>
      <c r="AE59" s="417">
        <f t="shared" si="24"/>
        <v>0.87480552388824917</v>
      </c>
      <c r="AF59" s="417">
        <f t="shared" si="24"/>
        <v>0.87411532963994387</v>
      </c>
      <c r="AG59" s="417">
        <f t="shared" si="24"/>
        <v>0.87342371978263023</v>
      </c>
      <c r="AH59" s="417">
        <f t="shared" si="24"/>
        <v>0.87273070810078812</v>
      </c>
      <c r="AI59" s="417">
        <f t="shared" si="24"/>
        <v>0.87203630839242585</v>
      </c>
      <c r="AJ59" s="417">
        <f t="shared" si="24"/>
        <v>0.87134053446730064</v>
      </c>
      <c r="AK59" s="417">
        <f t="shared" si="24"/>
        <v>0.87064340014515562</v>
      </c>
      <c r="AL59" s="417">
        <f t="shared" si="24"/>
        <v>0.86994491925397133</v>
      </c>
    </row>
    <row r="60" spans="2:38">
      <c r="B60" s="358" t="s">
        <v>673</v>
      </c>
      <c r="C60" s="419" t="s">
        <v>674</v>
      </c>
      <c r="D60" s="414">
        <f t="shared" ref="D60:AL60" si="25">(D$18+1)^(0.1025)</f>
        <v>1</v>
      </c>
      <c r="E60" s="415">
        <f t="shared" si="25"/>
        <v>1</v>
      </c>
      <c r="F60" s="415">
        <f t="shared" si="25"/>
        <v>1</v>
      </c>
      <c r="G60" s="415">
        <f t="shared" si="25"/>
        <v>1</v>
      </c>
      <c r="H60" s="415">
        <f t="shared" si="25"/>
        <v>1</v>
      </c>
      <c r="I60" s="415">
        <f t="shared" si="25"/>
        <v>1</v>
      </c>
      <c r="J60" s="415">
        <f t="shared" si="25"/>
        <v>1</v>
      </c>
      <c r="K60" s="415">
        <f t="shared" si="25"/>
        <v>1</v>
      </c>
      <c r="L60" s="415">
        <f t="shared" si="25"/>
        <v>1</v>
      </c>
      <c r="M60" s="415">
        <f t="shared" si="25"/>
        <v>1</v>
      </c>
      <c r="N60" s="415">
        <f t="shared" si="25"/>
        <v>1</v>
      </c>
      <c r="O60" s="415">
        <f t="shared" si="25"/>
        <v>1</v>
      </c>
      <c r="P60" s="415">
        <f t="shared" si="25"/>
        <v>1</v>
      </c>
      <c r="Q60" s="415">
        <f t="shared" si="25"/>
        <v>1</v>
      </c>
      <c r="R60" s="415">
        <f t="shared" si="25"/>
        <v>1</v>
      </c>
      <c r="S60" s="415">
        <f t="shared" si="25"/>
        <v>1</v>
      </c>
      <c r="T60" s="415">
        <f t="shared" si="25"/>
        <v>1</v>
      </c>
      <c r="U60" s="415">
        <f t="shared" si="25"/>
        <v>1</v>
      </c>
      <c r="V60" s="415">
        <f t="shared" si="25"/>
        <v>1</v>
      </c>
      <c r="W60" s="415">
        <f t="shared" si="25"/>
        <v>1</v>
      </c>
      <c r="X60" s="415">
        <f t="shared" si="25"/>
        <v>1</v>
      </c>
      <c r="Y60" s="415">
        <f t="shared" si="25"/>
        <v>1</v>
      </c>
      <c r="Z60" s="415">
        <f t="shared" si="25"/>
        <v>1</v>
      </c>
      <c r="AA60" s="415">
        <f t="shared" si="25"/>
        <v>1</v>
      </c>
      <c r="AB60" s="415">
        <f t="shared" si="25"/>
        <v>1</v>
      </c>
      <c r="AC60" s="415">
        <f t="shared" si="25"/>
        <v>1</v>
      </c>
      <c r="AD60" s="415">
        <f t="shared" si="25"/>
        <v>1</v>
      </c>
      <c r="AE60" s="415">
        <f t="shared" si="25"/>
        <v>1</v>
      </c>
      <c r="AF60" s="415">
        <f t="shared" si="25"/>
        <v>1</v>
      </c>
      <c r="AG60" s="415">
        <f t="shared" si="25"/>
        <v>1</v>
      </c>
      <c r="AH60" s="415">
        <f t="shared" si="25"/>
        <v>1</v>
      </c>
      <c r="AI60" s="415">
        <f t="shared" si="25"/>
        <v>1</v>
      </c>
      <c r="AJ60" s="415">
        <f t="shared" si="25"/>
        <v>1</v>
      </c>
      <c r="AK60" s="415">
        <f t="shared" si="25"/>
        <v>1</v>
      </c>
      <c r="AL60" s="415">
        <f t="shared" si="25"/>
        <v>1</v>
      </c>
    </row>
    <row r="61" spans="2:38">
      <c r="B61" s="433" t="s">
        <v>675</v>
      </c>
      <c r="C61" s="434" t="s">
        <v>676</v>
      </c>
      <c r="D61" s="426">
        <f t="shared" ref="D61:AL61" si="26">EXP(0.188*$E$5)</f>
        <v>1.2068335153496053</v>
      </c>
      <c r="E61" s="426">
        <f t="shared" si="26"/>
        <v>1.2068335153496053</v>
      </c>
      <c r="F61" s="426">
        <f t="shared" si="26"/>
        <v>1.2068335153496053</v>
      </c>
      <c r="G61" s="426">
        <f t="shared" si="26"/>
        <v>1.2068335153496053</v>
      </c>
      <c r="H61" s="426">
        <f t="shared" si="26"/>
        <v>1.2068335153496053</v>
      </c>
      <c r="I61" s="426">
        <f t="shared" si="26"/>
        <v>1.2068335153496053</v>
      </c>
      <c r="J61" s="426">
        <f t="shared" si="26"/>
        <v>1.2068335153496053</v>
      </c>
      <c r="K61" s="426">
        <f t="shared" si="26"/>
        <v>1.2068335153496053</v>
      </c>
      <c r="L61" s="426">
        <f t="shared" si="26"/>
        <v>1.2068335153496053</v>
      </c>
      <c r="M61" s="426">
        <f t="shared" si="26"/>
        <v>1.2068335153496053</v>
      </c>
      <c r="N61" s="426">
        <f t="shared" si="26"/>
        <v>1.2068335153496053</v>
      </c>
      <c r="O61" s="426">
        <f t="shared" si="26"/>
        <v>1.2068335153496053</v>
      </c>
      <c r="P61" s="426">
        <f t="shared" si="26"/>
        <v>1.2068335153496053</v>
      </c>
      <c r="Q61" s="426">
        <f t="shared" si="26"/>
        <v>1.2068335153496053</v>
      </c>
      <c r="R61" s="426">
        <f t="shared" si="26"/>
        <v>1.2068335153496053</v>
      </c>
      <c r="S61" s="426">
        <f t="shared" si="26"/>
        <v>1.2068335153496053</v>
      </c>
      <c r="T61" s="426">
        <f t="shared" si="26"/>
        <v>1.2068335153496053</v>
      </c>
      <c r="U61" s="426">
        <f t="shared" si="26"/>
        <v>1.2068335153496053</v>
      </c>
      <c r="V61" s="426">
        <f t="shared" si="26"/>
        <v>1.2068335153496053</v>
      </c>
      <c r="W61" s="426">
        <f t="shared" si="26"/>
        <v>1.2068335153496053</v>
      </c>
      <c r="X61" s="426">
        <f t="shared" si="26"/>
        <v>1.2068335153496053</v>
      </c>
      <c r="Y61" s="426">
        <f t="shared" si="26"/>
        <v>1.2068335153496053</v>
      </c>
      <c r="Z61" s="426">
        <f t="shared" si="26"/>
        <v>1.2068335153496053</v>
      </c>
      <c r="AA61" s="426">
        <f t="shared" si="26"/>
        <v>1.2068335153496053</v>
      </c>
      <c r="AB61" s="426">
        <f t="shared" si="26"/>
        <v>1.2068335153496053</v>
      </c>
      <c r="AC61" s="426">
        <f t="shared" si="26"/>
        <v>1.2068335153496053</v>
      </c>
      <c r="AD61" s="426">
        <f t="shared" si="26"/>
        <v>1.2068335153496053</v>
      </c>
      <c r="AE61" s="426">
        <f t="shared" si="26"/>
        <v>1.2068335153496053</v>
      </c>
      <c r="AF61" s="426">
        <f t="shared" si="26"/>
        <v>1.2068335153496053</v>
      </c>
      <c r="AG61" s="426">
        <f t="shared" si="26"/>
        <v>1.2068335153496053</v>
      </c>
      <c r="AH61" s="426">
        <f t="shared" si="26"/>
        <v>1.2068335153496053</v>
      </c>
      <c r="AI61" s="426">
        <f t="shared" si="26"/>
        <v>1.2068335153496053</v>
      </c>
      <c r="AJ61" s="426">
        <f t="shared" si="26"/>
        <v>1.2068335153496053</v>
      </c>
      <c r="AK61" s="426">
        <f t="shared" si="26"/>
        <v>1.2068335153496053</v>
      </c>
      <c r="AL61" s="426">
        <f t="shared" si="26"/>
        <v>1.2068335153496053</v>
      </c>
    </row>
    <row r="62" spans="2:38">
      <c r="B62" s="362"/>
      <c r="C62" s="427" t="s">
        <v>290</v>
      </c>
    </row>
    <row r="63" spans="2:38">
      <c r="B63" s="362" t="s">
        <v>677</v>
      </c>
      <c r="C63" s="406">
        <v>695</v>
      </c>
      <c r="D63" s="435">
        <f>1/(1+$C$63*PRODUCT(D$58:D$61))</f>
        <v>1.1491654386940005E-2</v>
      </c>
      <c r="E63" s="435">
        <f t="shared" ref="E63:AL63" si="27">1/(1+$C$63*PRODUCT(E$58:E$61))</f>
        <v>1.1499890165312419E-2</v>
      </c>
      <c r="F63" s="435">
        <f t="shared" si="27"/>
        <v>1.150816041544467E-2</v>
      </c>
      <c r="G63" s="435">
        <f t="shared" si="27"/>
        <v>1.1516465098310133E-2</v>
      </c>
      <c r="H63" s="435">
        <f t="shared" si="27"/>
        <v>1.1524804173868261E-2</v>
      </c>
      <c r="I63" s="435">
        <f t="shared" si="27"/>
        <v>1.1533177601077849E-2</v>
      </c>
      <c r="J63" s="435">
        <f t="shared" si="27"/>
        <v>1.1541585337910413E-2</v>
      </c>
      <c r="K63" s="435">
        <f t="shared" si="27"/>
        <v>1.1550027341363629E-2</v>
      </c>
      <c r="L63" s="435">
        <f t="shared" si="27"/>
        <v>1.1558503567474917E-2</v>
      </c>
      <c r="M63" s="435">
        <f t="shared" si="27"/>
        <v>1.1567013971335086E-2</v>
      </c>
      <c r="N63" s="435">
        <f t="shared" si="27"/>
        <v>1.1575558507102048E-2</v>
      </c>
      <c r="O63" s="435">
        <f t="shared" si="27"/>
        <v>1.1584137128014673E-2</v>
      </c>
      <c r="P63" s="435">
        <f t="shared" si="27"/>
        <v>1.1592749786406649E-2</v>
      </c>
      <c r="Q63" s="435">
        <f t="shared" si="27"/>
        <v>1.1601396433720454E-2</v>
      </c>
      <c r="R63" s="435">
        <f t="shared" si="27"/>
        <v>1.1610077020521397E-2</v>
      </c>
      <c r="S63" s="435">
        <f t="shared" si="27"/>
        <v>1.1618791496511691E-2</v>
      </c>
      <c r="T63" s="435">
        <f t="shared" si="27"/>
        <v>1.1627539810544599E-2</v>
      </c>
      <c r="U63" s="435">
        <f t="shared" si="27"/>
        <v>1.1636321910638635E-2</v>
      </c>
      <c r="V63" s="435">
        <f t="shared" si="27"/>
        <v>1.1645137743991806E-2</v>
      </c>
      <c r="W63" s="435">
        <f t="shared" si="27"/>
        <v>1.1653987256995886E-2</v>
      </c>
      <c r="X63" s="435">
        <f t="shared" si="27"/>
        <v>1.1662870395250737E-2</v>
      </c>
      <c r="Y63" s="435">
        <f t="shared" si="27"/>
        <v>1.1671787103578669E-2</v>
      </c>
      <c r="Z63" s="435">
        <f t="shared" si="27"/>
        <v>1.1680737326038804E-2</v>
      </c>
      <c r="AA63" s="435">
        <f t="shared" si="27"/>
        <v>1.1689721005941478E-2</v>
      </c>
      <c r="AB63" s="435">
        <f t="shared" si="27"/>
        <v>1.1698738085862666E-2</v>
      </c>
      <c r="AC63" s="435">
        <f t="shared" si="27"/>
        <v>1.17077885076584E-2</v>
      </c>
      <c r="AD63" s="435">
        <f t="shared" si="27"/>
        <v>1.1716872212479216E-2</v>
      </c>
      <c r="AE63" s="435">
        <f t="shared" si="27"/>
        <v>1.1725989140784604E-2</v>
      </c>
      <c r="AF63" s="435">
        <f t="shared" si="27"/>
        <v>1.1735139232357429E-2</v>
      </c>
      <c r="AG63" s="435">
        <f t="shared" si="27"/>
        <v>1.1744322426318392E-2</v>
      </c>
      <c r="AH63" s="435">
        <f t="shared" si="27"/>
        <v>1.1753538661140452E-2</v>
      </c>
      <c r="AI63" s="435">
        <f t="shared" si="27"/>
        <v>1.1762787874663243E-2</v>
      </c>
      <c r="AJ63" s="435">
        <f t="shared" si="27"/>
        <v>1.177207000410747E-2</v>
      </c>
      <c r="AK63" s="435">
        <f t="shared" si="27"/>
        <v>1.1781384986089299E-2</v>
      </c>
      <c r="AL63" s="435">
        <f t="shared" si="27"/>
        <v>1.1790732756634708E-2</v>
      </c>
    </row>
    <row r="65" spans="2:38" ht="13">
      <c r="B65" s="407" t="s">
        <v>678</v>
      </c>
      <c r="C65" s="396" t="s">
        <v>627</v>
      </c>
      <c r="D65" s="397">
        <v>2018</v>
      </c>
      <c r="E65" s="397">
        <v>2020</v>
      </c>
      <c r="F65" s="397">
        <v>2021</v>
      </c>
      <c r="G65" s="397">
        <v>2022</v>
      </c>
      <c r="H65" s="397">
        <v>2023</v>
      </c>
      <c r="I65" s="397">
        <v>2024</v>
      </c>
      <c r="J65" s="397">
        <v>2025</v>
      </c>
      <c r="K65" s="397">
        <v>2026</v>
      </c>
      <c r="L65" s="397">
        <v>2027</v>
      </c>
      <c r="M65" s="397">
        <v>2028</v>
      </c>
      <c r="N65" s="397">
        <v>2029</v>
      </c>
      <c r="O65" s="397">
        <v>2030</v>
      </c>
      <c r="P65" s="397">
        <v>2031</v>
      </c>
      <c r="Q65" s="397">
        <v>2032</v>
      </c>
      <c r="R65" s="397">
        <v>2033</v>
      </c>
      <c r="S65" s="397">
        <v>2034</v>
      </c>
      <c r="T65" s="397">
        <v>2035</v>
      </c>
      <c r="U65" s="397">
        <v>2036</v>
      </c>
      <c r="V65" s="397">
        <v>2037</v>
      </c>
      <c r="W65" s="397">
        <v>2038</v>
      </c>
      <c r="X65" s="397">
        <v>2039</v>
      </c>
      <c r="Y65" s="397">
        <v>2040</v>
      </c>
      <c r="Z65" s="397">
        <v>2041</v>
      </c>
      <c r="AA65" s="397">
        <v>2042</v>
      </c>
      <c r="AB65" s="397">
        <v>2043</v>
      </c>
      <c r="AC65" s="397">
        <v>2044</v>
      </c>
      <c r="AD65" s="397">
        <v>2044</v>
      </c>
      <c r="AE65" s="397">
        <v>2044</v>
      </c>
      <c r="AF65" s="397">
        <v>2044</v>
      </c>
      <c r="AG65" s="397">
        <v>2044</v>
      </c>
      <c r="AH65" s="397">
        <v>2044</v>
      </c>
      <c r="AI65" s="397">
        <v>2044</v>
      </c>
      <c r="AJ65" s="397">
        <v>2044</v>
      </c>
      <c r="AK65" s="397">
        <v>2044</v>
      </c>
      <c r="AL65" s="397">
        <v>2044</v>
      </c>
    </row>
    <row r="66" spans="2:38">
      <c r="B66" s="358" t="s">
        <v>679</v>
      </c>
      <c r="C66" s="436" t="s">
        <v>680</v>
      </c>
      <c r="D66" s="437">
        <f>D$63</f>
        <v>1.1491654386940005E-2</v>
      </c>
      <c r="E66" s="415">
        <f>E$63</f>
        <v>1.1499890165312419E-2</v>
      </c>
      <c r="F66" s="415">
        <f t="shared" ref="F66:AL66" si="28">F$63</f>
        <v>1.150816041544467E-2</v>
      </c>
      <c r="G66" s="415">
        <f t="shared" si="28"/>
        <v>1.1516465098310133E-2</v>
      </c>
      <c r="H66" s="415">
        <f t="shared" si="28"/>
        <v>1.1524804173868261E-2</v>
      </c>
      <c r="I66" s="415">
        <f t="shared" si="28"/>
        <v>1.1533177601077849E-2</v>
      </c>
      <c r="J66" s="415">
        <f t="shared" si="28"/>
        <v>1.1541585337910413E-2</v>
      </c>
      <c r="K66" s="415">
        <f t="shared" si="28"/>
        <v>1.1550027341363629E-2</v>
      </c>
      <c r="L66" s="415">
        <f t="shared" si="28"/>
        <v>1.1558503567474917E-2</v>
      </c>
      <c r="M66" s="415">
        <f t="shared" si="28"/>
        <v>1.1567013971335086E-2</v>
      </c>
      <c r="N66" s="415">
        <f t="shared" si="28"/>
        <v>1.1575558507102048E-2</v>
      </c>
      <c r="O66" s="415">
        <f t="shared" si="28"/>
        <v>1.1584137128014673E-2</v>
      </c>
      <c r="P66" s="415">
        <f t="shared" si="28"/>
        <v>1.1592749786406649E-2</v>
      </c>
      <c r="Q66" s="415">
        <f t="shared" si="28"/>
        <v>1.1601396433720454E-2</v>
      </c>
      <c r="R66" s="415">
        <f t="shared" si="28"/>
        <v>1.1610077020521397E-2</v>
      </c>
      <c r="S66" s="415">
        <f t="shared" si="28"/>
        <v>1.1618791496511691E-2</v>
      </c>
      <c r="T66" s="415">
        <f t="shared" si="28"/>
        <v>1.1627539810544599E-2</v>
      </c>
      <c r="U66" s="415">
        <f t="shared" si="28"/>
        <v>1.1636321910638635E-2</v>
      </c>
      <c r="V66" s="415">
        <f t="shared" si="28"/>
        <v>1.1645137743991806E-2</v>
      </c>
      <c r="W66" s="415">
        <f t="shared" si="28"/>
        <v>1.1653987256995886E-2</v>
      </c>
      <c r="X66" s="415">
        <f t="shared" si="28"/>
        <v>1.1662870395250737E-2</v>
      </c>
      <c r="Y66" s="415">
        <f t="shared" si="28"/>
        <v>1.1671787103578669E-2</v>
      </c>
      <c r="Z66" s="415">
        <f t="shared" si="28"/>
        <v>1.1680737326038804E-2</v>
      </c>
      <c r="AA66" s="415">
        <f t="shared" si="28"/>
        <v>1.1689721005941478E-2</v>
      </c>
      <c r="AB66" s="415">
        <f t="shared" si="28"/>
        <v>1.1698738085862666E-2</v>
      </c>
      <c r="AC66" s="415">
        <f t="shared" si="28"/>
        <v>1.17077885076584E-2</v>
      </c>
      <c r="AD66" s="415">
        <f t="shared" si="28"/>
        <v>1.1716872212479216E-2</v>
      </c>
      <c r="AE66" s="415">
        <f t="shared" si="28"/>
        <v>1.1725989140784604E-2</v>
      </c>
      <c r="AF66" s="415">
        <f t="shared" si="28"/>
        <v>1.1735139232357429E-2</v>
      </c>
      <c r="AG66" s="415">
        <f t="shared" si="28"/>
        <v>1.1744322426318392E-2</v>
      </c>
      <c r="AH66" s="415">
        <f t="shared" si="28"/>
        <v>1.1753538661140452E-2</v>
      </c>
      <c r="AI66" s="415">
        <f t="shared" si="28"/>
        <v>1.1762787874663243E-2</v>
      </c>
      <c r="AJ66" s="415">
        <f t="shared" si="28"/>
        <v>1.177207000410747E-2</v>
      </c>
      <c r="AK66" s="415">
        <f t="shared" si="28"/>
        <v>1.1781384986089299E-2</v>
      </c>
      <c r="AL66" s="415">
        <f t="shared" si="28"/>
        <v>1.1790732756634708E-2</v>
      </c>
    </row>
    <row r="67" spans="2:38">
      <c r="B67" s="358" t="s">
        <v>681</v>
      </c>
      <c r="C67" s="419" t="s">
        <v>682</v>
      </c>
      <c r="D67" s="414">
        <f>1-D66</f>
        <v>0.98850834561306</v>
      </c>
      <c r="E67" s="414">
        <f t="shared" ref="E67:AK67" si="29">1-E66</f>
        <v>0.98850010983468761</v>
      </c>
      <c r="F67" s="414">
        <f t="shared" si="29"/>
        <v>0.98849183958455533</v>
      </c>
      <c r="G67" s="414">
        <f t="shared" si="29"/>
        <v>0.98848353490168983</v>
      </c>
      <c r="H67" s="414">
        <f t="shared" si="29"/>
        <v>0.98847519582613175</v>
      </c>
      <c r="I67" s="414">
        <f t="shared" si="29"/>
        <v>0.98846682239892214</v>
      </c>
      <c r="J67" s="414">
        <f t="shared" si="29"/>
        <v>0.98845841466208961</v>
      </c>
      <c r="K67" s="414">
        <f t="shared" si="29"/>
        <v>0.98844997265863632</v>
      </c>
      <c r="L67" s="414">
        <f t="shared" si="29"/>
        <v>0.9884414964325251</v>
      </c>
      <c r="M67" s="414">
        <f t="shared" si="29"/>
        <v>0.98843298602866492</v>
      </c>
      <c r="N67" s="414">
        <f t="shared" si="29"/>
        <v>0.98842444149289799</v>
      </c>
      <c r="O67" s="414">
        <f t="shared" si="29"/>
        <v>0.98841586287198535</v>
      </c>
      <c r="P67" s="414">
        <f t="shared" si="29"/>
        <v>0.98840725021359332</v>
      </c>
      <c r="Q67" s="414">
        <f t="shared" si="29"/>
        <v>0.98839860356627951</v>
      </c>
      <c r="R67" s="414">
        <f t="shared" si="29"/>
        <v>0.98838992297947859</v>
      </c>
      <c r="S67" s="414">
        <f t="shared" si="29"/>
        <v>0.98838120850348832</v>
      </c>
      <c r="T67" s="414">
        <f t="shared" si="29"/>
        <v>0.98837246018945535</v>
      </c>
      <c r="U67" s="414">
        <f t="shared" si="29"/>
        <v>0.98836367808936132</v>
      </c>
      <c r="V67" s="414">
        <f t="shared" si="29"/>
        <v>0.98835486225600822</v>
      </c>
      <c r="W67" s="414">
        <f t="shared" si="29"/>
        <v>0.98834601274300415</v>
      </c>
      <c r="X67" s="414">
        <f t="shared" si="29"/>
        <v>0.98833712960474929</v>
      </c>
      <c r="Y67" s="414">
        <f t="shared" si="29"/>
        <v>0.98832821289642137</v>
      </c>
      <c r="Z67" s="414">
        <f t="shared" si="29"/>
        <v>0.9883192626739612</v>
      </c>
      <c r="AA67" s="414">
        <f t="shared" si="29"/>
        <v>0.98831027899405854</v>
      </c>
      <c r="AB67" s="414">
        <f t="shared" si="29"/>
        <v>0.98830126191413736</v>
      </c>
      <c r="AC67" s="414">
        <f t="shared" si="29"/>
        <v>0.98829221149234159</v>
      </c>
      <c r="AD67" s="414">
        <f t="shared" si="29"/>
        <v>0.98828312778752081</v>
      </c>
      <c r="AE67" s="414">
        <f t="shared" si="29"/>
        <v>0.9882740108592154</v>
      </c>
      <c r="AF67" s="414">
        <f t="shared" si="29"/>
        <v>0.98826486076764253</v>
      </c>
      <c r="AG67" s="414">
        <f t="shared" si="29"/>
        <v>0.9882556775736816</v>
      </c>
      <c r="AH67" s="414">
        <f t="shared" si="29"/>
        <v>0.98824646133885952</v>
      </c>
      <c r="AI67" s="414">
        <f t="shared" si="29"/>
        <v>0.98823721212533677</v>
      </c>
      <c r="AJ67" s="414">
        <f t="shared" si="29"/>
        <v>0.98822792999589248</v>
      </c>
      <c r="AK67" s="414">
        <f t="shared" si="29"/>
        <v>0.98821861501391073</v>
      </c>
      <c r="AL67" s="414">
        <f t="shared" ref="AL67" si="30">1-AL66</f>
        <v>0.98820926724336533</v>
      </c>
    </row>
    <row r="68" spans="2:38">
      <c r="B68" s="358" t="s">
        <v>671</v>
      </c>
      <c r="C68" s="419" t="s">
        <v>662</v>
      </c>
      <c r="D68" s="414">
        <f>D$19^(-0.2334)</f>
        <v>0.62482831374223813</v>
      </c>
      <c r="E68" s="414">
        <f t="shared" ref="E68:AL68" si="31">E$19^(-0.2334)</f>
        <v>0.62482831374223813</v>
      </c>
      <c r="F68" s="414">
        <f t="shared" si="31"/>
        <v>0.62482831374223813</v>
      </c>
      <c r="G68" s="414">
        <f t="shared" si="31"/>
        <v>0.62482831374223813</v>
      </c>
      <c r="H68" s="414">
        <f t="shared" si="31"/>
        <v>0.62482831374223813</v>
      </c>
      <c r="I68" s="414">
        <f t="shared" si="31"/>
        <v>0.62482831374223813</v>
      </c>
      <c r="J68" s="414">
        <f t="shared" si="31"/>
        <v>0.62482831374223813</v>
      </c>
      <c r="K68" s="414">
        <f t="shared" si="31"/>
        <v>0.62482831374223813</v>
      </c>
      <c r="L68" s="414">
        <f t="shared" si="31"/>
        <v>0.62482831374223813</v>
      </c>
      <c r="M68" s="414">
        <f t="shared" si="31"/>
        <v>0.62482831374223813</v>
      </c>
      <c r="N68" s="414">
        <f t="shared" si="31"/>
        <v>0.62482831374223813</v>
      </c>
      <c r="O68" s="414">
        <f t="shared" si="31"/>
        <v>0.62482831374223813</v>
      </c>
      <c r="P68" s="414">
        <f t="shared" si="31"/>
        <v>0.62482831374223813</v>
      </c>
      <c r="Q68" s="414">
        <f t="shared" si="31"/>
        <v>0.62482831374223813</v>
      </c>
      <c r="R68" s="414">
        <f t="shared" si="31"/>
        <v>0.62482831374223813</v>
      </c>
      <c r="S68" s="414">
        <f t="shared" si="31"/>
        <v>0.62482831374223813</v>
      </c>
      <c r="T68" s="414">
        <f t="shared" si="31"/>
        <v>0.62482831374223813</v>
      </c>
      <c r="U68" s="414">
        <f t="shared" si="31"/>
        <v>0.62482831374223813</v>
      </c>
      <c r="V68" s="414">
        <f t="shared" si="31"/>
        <v>0.62482831374223813</v>
      </c>
      <c r="W68" s="414">
        <f t="shared" si="31"/>
        <v>0.62482831374223813</v>
      </c>
      <c r="X68" s="414">
        <f t="shared" si="31"/>
        <v>0.62482831374223813</v>
      </c>
      <c r="Y68" s="414">
        <f t="shared" si="31"/>
        <v>0.62482831374223813</v>
      </c>
      <c r="Z68" s="414">
        <f t="shared" si="31"/>
        <v>0.62482831374223813</v>
      </c>
      <c r="AA68" s="414">
        <f t="shared" si="31"/>
        <v>0.62482831374223813</v>
      </c>
      <c r="AB68" s="414">
        <f t="shared" si="31"/>
        <v>0.62482831374223813</v>
      </c>
      <c r="AC68" s="414">
        <f t="shared" si="31"/>
        <v>0.62482831374223813</v>
      </c>
      <c r="AD68" s="414">
        <f t="shared" si="31"/>
        <v>0.62482831374223813</v>
      </c>
      <c r="AE68" s="414">
        <f t="shared" si="31"/>
        <v>0.62482831374223813</v>
      </c>
      <c r="AF68" s="414">
        <f t="shared" si="31"/>
        <v>0.62482831374223813</v>
      </c>
      <c r="AG68" s="414">
        <f t="shared" si="31"/>
        <v>0.62482831374223813</v>
      </c>
      <c r="AH68" s="414">
        <f t="shared" si="31"/>
        <v>0.62482831374223813</v>
      </c>
      <c r="AI68" s="414">
        <f t="shared" si="31"/>
        <v>0.62482831374223813</v>
      </c>
      <c r="AJ68" s="414">
        <f t="shared" si="31"/>
        <v>0.62482831374223813</v>
      </c>
      <c r="AK68" s="414">
        <f t="shared" si="31"/>
        <v>0.62482831374223813</v>
      </c>
      <c r="AL68" s="414">
        <f t="shared" si="31"/>
        <v>0.62482831374223813</v>
      </c>
    </row>
    <row r="69" spans="2:38">
      <c r="B69" s="358" t="s">
        <v>683</v>
      </c>
      <c r="C69" s="419" t="s">
        <v>684</v>
      </c>
      <c r="D69" s="414">
        <f>EXP(0.1176*$D$11)</f>
        <v>1.4230465056696404</v>
      </c>
      <c r="E69" s="415">
        <f t="shared" ref="E69:AL69" si="32">EXP(0.1176*$D$11)</f>
        <v>1.4230465056696404</v>
      </c>
      <c r="F69" s="415">
        <f t="shared" si="32"/>
        <v>1.4230465056696404</v>
      </c>
      <c r="G69" s="415">
        <f t="shared" si="32"/>
        <v>1.4230465056696404</v>
      </c>
      <c r="H69" s="415">
        <f t="shared" si="32"/>
        <v>1.4230465056696404</v>
      </c>
      <c r="I69" s="415">
        <f t="shared" si="32"/>
        <v>1.4230465056696404</v>
      </c>
      <c r="J69" s="415">
        <f t="shared" si="32"/>
        <v>1.4230465056696404</v>
      </c>
      <c r="K69" s="415">
        <f t="shared" si="32"/>
        <v>1.4230465056696404</v>
      </c>
      <c r="L69" s="415">
        <f t="shared" si="32"/>
        <v>1.4230465056696404</v>
      </c>
      <c r="M69" s="415">
        <f t="shared" si="32"/>
        <v>1.4230465056696404</v>
      </c>
      <c r="N69" s="415">
        <f t="shared" si="32"/>
        <v>1.4230465056696404</v>
      </c>
      <c r="O69" s="415">
        <f t="shared" si="32"/>
        <v>1.4230465056696404</v>
      </c>
      <c r="P69" s="415">
        <f t="shared" si="32"/>
        <v>1.4230465056696404</v>
      </c>
      <c r="Q69" s="415">
        <f t="shared" si="32"/>
        <v>1.4230465056696404</v>
      </c>
      <c r="R69" s="415">
        <f t="shared" si="32"/>
        <v>1.4230465056696404</v>
      </c>
      <c r="S69" s="415">
        <f t="shared" si="32"/>
        <v>1.4230465056696404</v>
      </c>
      <c r="T69" s="415">
        <f t="shared" si="32"/>
        <v>1.4230465056696404</v>
      </c>
      <c r="U69" s="415">
        <f t="shared" si="32"/>
        <v>1.4230465056696404</v>
      </c>
      <c r="V69" s="415">
        <f t="shared" si="32"/>
        <v>1.4230465056696404</v>
      </c>
      <c r="W69" s="415">
        <f t="shared" si="32"/>
        <v>1.4230465056696404</v>
      </c>
      <c r="X69" s="415">
        <f t="shared" si="32"/>
        <v>1.4230465056696404</v>
      </c>
      <c r="Y69" s="415">
        <f t="shared" si="32"/>
        <v>1.4230465056696404</v>
      </c>
      <c r="Z69" s="415">
        <f t="shared" si="32"/>
        <v>1.4230465056696404</v>
      </c>
      <c r="AA69" s="415">
        <f t="shared" si="32"/>
        <v>1.4230465056696404</v>
      </c>
      <c r="AB69" s="415">
        <f t="shared" si="32"/>
        <v>1.4230465056696404</v>
      </c>
      <c r="AC69" s="415">
        <f t="shared" si="32"/>
        <v>1.4230465056696404</v>
      </c>
      <c r="AD69" s="415">
        <f t="shared" si="32"/>
        <v>1.4230465056696404</v>
      </c>
      <c r="AE69" s="415">
        <f t="shared" si="32"/>
        <v>1.4230465056696404</v>
      </c>
      <c r="AF69" s="415">
        <f t="shared" si="32"/>
        <v>1.4230465056696404</v>
      </c>
      <c r="AG69" s="415">
        <f t="shared" si="32"/>
        <v>1.4230465056696404</v>
      </c>
      <c r="AH69" s="415">
        <f t="shared" si="32"/>
        <v>1.4230465056696404</v>
      </c>
      <c r="AI69" s="415">
        <f t="shared" si="32"/>
        <v>1.4230465056696404</v>
      </c>
      <c r="AJ69" s="415">
        <f t="shared" si="32"/>
        <v>1.4230465056696404</v>
      </c>
      <c r="AK69" s="415">
        <f t="shared" si="32"/>
        <v>1.4230465056696404</v>
      </c>
      <c r="AL69" s="415">
        <f t="shared" si="32"/>
        <v>1.4230465056696404</v>
      </c>
    </row>
    <row r="70" spans="2:38">
      <c r="B70" s="433" t="s">
        <v>675</v>
      </c>
      <c r="C70" s="434" t="s">
        <v>676</v>
      </c>
      <c r="D70" s="426">
        <f t="shared" ref="D70:AL70" si="33">EXP(0.1844*$E$5)</f>
        <v>1.2024967255996286</v>
      </c>
      <c r="E70" s="426">
        <f t="shared" si="33"/>
        <v>1.2024967255996286</v>
      </c>
      <c r="F70" s="426">
        <f t="shared" si="33"/>
        <v>1.2024967255996286</v>
      </c>
      <c r="G70" s="426">
        <f t="shared" si="33"/>
        <v>1.2024967255996286</v>
      </c>
      <c r="H70" s="426">
        <f t="shared" si="33"/>
        <v>1.2024967255996286</v>
      </c>
      <c r="I70" s="426">
        <f t="shared" si="33"/>
        <v>1.2024967255996286</v>
      </c>
      <c r="J70" s="426">
        <f t="shared" si="33"/>
        <v>1.2024967255996286</v>
      </c>
      <c r="K70" s="426">
        <f t="shared" si="33"/>
        <v>1.2024967255996286</v>
      </c>
      <c r="L70" s="426">
        <f t="shared" si="33"/>
        <v>1.2024967255996286</v>
      </c>
      <c r="M70" s="426">
        <f t="shared" si="33"/>
        <v>1.2024967255996286</v>
      </c>
      <c r="N70" s="426">
        <f t="shared" si="33"/>
        <v>1.2024967255996286</v>
      </c>
      <c r="O70" s="426">
        <f t="shared" si="33"/>
        <v>1.2024967255996286</v>
      </c>
      <c r="P70" s="426">
        <f t="shared" si="33"/>
        <v>1.2024967255996286</v>
      </c>
      <c r="Q70" s="426">
        <f t="shared" si="33"/>
        <v>1.2024967255996286</v>
      </c>
      <c r="R70" s="426">
        <f t="shared" si="33"/>
        <v>1.2024967255996286</v>
      </c>
      <c r="S70" s="426">
        <f t="shared" si="33"/>
        <v>1.2024967255996286</v>
      </c>
      <c r="T70" s="426">
        <f t="shared" si="33"/>
        <v>1.2024967255996286</v>
      </c>
      <c r="U70" s="426">
        <f t="shared" si="33"/>
        <v>1.2024967255996286</v>
      </c>
      <c r="V70" s="426">
        <f t="shared" si="33"/>
        <v>1.2024967255996286</v>
      </c>
      <c r="W70" s="426">
        <f t="shared" si="33"/>
        <v>1.2024967255996286</v>
      </c>
      <c r="X70" s="426">
        <f t="shared" si="33"/>
        <v>1.2024967255996286</v>
      </c>
      <c r="Y70" s="426">
        <f t="shared" si="33"/>
        <v>1.2024967255996286</v>
      </c>
      <c r="Z70" s="426">
        <f t="shared" si="33"/>
        <v>1.2024967255996286</v>
      </c>
      <c r="AA70" s="426">
        <f t="shared" si="33"/>
        <v>1.2024967255996286</v>
      </c>
      <c r="AB70" s="426">
        <f t="shared" si="33"/>
        <v>1.2024967255996286</v>
      </c>
      <c r="AC70" s="426">
        <f t="shared" si="33"/>
        <v>1.2024967255996286</v>
      </c>
      <c r="AD70" s="426">
        <f t="shared" si="33"/>
        <v>1.2024967255996286</v>
      </c>
      <c r="AE70" s="426">
        <f t="shared" si="33"/>
        <v>1.2024967255996286</v>
      </c>
      <c r="AF70" s="426">
        <f t="shared" si="33"/>
        <v>1.2024967255996286</v>
      </c>
      <c r="AG70" s="426">
        <f t="shared" si="33"/>
        <v>1.2024967255996286</v>
      </c>
      <c r="AH70" s="426">
        <f t="shared" si="33"/>
        <v>1.2024967255996286</v>
      </c>
      <c r="AI70" s="426">
        <f t="shared" si="33"/>
        <v>1.2024967255996286</v>
      </c>
      <c r="AJ70" s="426">
        <f t="shared" si="33"/>
        <v>1.2024967255996286</v>
      </c>
      <c r="AK70" s="426">
        <f t="shared" si="33"/>
        <v>1.2024967255996286</v>
      </c>
      <c r="AL70" s="426">
        <f t="shared" si="33"/>
        <v>1.2024967255996286</v>
      </c>
    </row>
    <row r="71" spans="2:38">
      <c r="B71" s="362"/>
      <c r="C71" s="427" t="s">
        <v>290</v>
      </c>
    </row>
    <row r="72" spans="2:38">
      <c r="B72" s="362" t="s">
        <v>685</v>
      </c>
      <c r="C72" s="438">
        <v>4.28</v>
      </c>
      <c r="D72" s="435">
        <f>D$67/(1+$C$72*PRODUCT(D$68:D$70))</f>
        <v>0.17727192955752377</v>
      </c>
      <c r="E72" s="435">
        <f t="shared" ref="E72:AL72" si="34">E$67/(1+$C$72*PRODUCT(E$68:E$70))</f>
        <v>0.17727045261266039</v>
      </c>
      <c r="F72" s="435">
        <f t="shared" si="34"/>
        <v>0.17726896948588114</v>
      </c>
      <c r="G72" s="435">
        <f t="shared" si="34"/>
        <v>0.17726748018418484</v>
      </c>
      <c r="H72" s="435">
        <f t="shared" si="34"/>
        <v>0.17726598471475208</v>
      </c>
      <c r="I72" s="435">
        <f t="shared" si="34"/>
        <v>0.17726448308494283</v>
      </c>
      <c r="J72" s="435">
        <f t="shared" si="34"/>
        <v>0.17726297530229423</v>
      </c>
      <c r="K72" s="435">
        <f t="shared" si="34"/>
        <v>0.17726146137451795</v>
      </c>
      <c r="L72" s="435">
        <f t="shared" si="34"/>
        <v>0.17725994130949801</v>
      </c>
      <c r="M72" s="435">
        <f t="shared" si="34"/>
        <v>0.177258415115288</v>
      </c>
      <c r="N72" s="435">
        <f t="shared" si="34"/>
        <v>0.17725688280010898</v>
      </c>
      <c r="O72" s="435">
        <f t="shared" si="34"/>
        <v>0.17725534437234672</v>
      </c>
      <c r="P72" s="435">
        <f t="shared" si="34"/>
        <v>0.17725379984054934</v>
      </c>
      <c r="Q72" s="435">
        <f t="shared" si="34"/>
        <v>0.17725224921342481</v>
      </c>
      <c r="R72" s="435">
        <f t="shared" si="34"/>
        <v>0.17725069249983841</v>
      </c>
      <c r="S72" s="435">
        <f t="shared" si="34"/>
        <v>0.17724912970881015</v>
      </c>
      <c r="T72" s="435">
        <f t="shared" si="34"/>
        <v>0.17724756084951232</v>
      </c>
      <c r="U72" s="435">
        <f t="shared" si="34"/>
        <v>0.17724598593126692</v>
      </c>
      <c r="V72" s="435">
        <f t="shared" si="34"/>
        <v>0.17724440496354307</v>
      </c>
      <c r="W72" s="435">
        <f t="shared" si="34"/>
        <v>0.17724281795595448</v>
      </c>
      <c r="X72" s="435">
        <f t="shared" si="34"/>
        <v>0.17724122491825686</v>
      </c>
      <c r="Y72" s="435">
        <f t="shared" si="34"/>
        <v>0.17723962586034542</v>
      </c>
      <c r="Z72" s="435">
        <f t="shared" si="34"/>
        <v>0.17723802079225215</v>
      </c>
      <c r="AA72" s="435">
        <f t="shared" si="34"/>
        <v>0.17723640972414337</v>
      </c>
      <c r="AB72" s="435">
        <f t="shared" si="34"/>
        <v>0.17723479266631711</v>
      </c>
      <c r="AC72" s="435">
        <f t="shared" si="34"/>
        <v>0.17723316962920047</v>
      </c>
      <c r="AD72" s="435">
        <f t="shared" si="34"/>
        <v>0.17723154062334709</v>
      </c>
      <c r="AE72" s="435">
        <f t="shared" si="34"/>
        <v>0.17722990565943453</v>
      </c>
      <c r="AF72" s="435">
        <f t="shared" si="34"/>
        <v>0.1772282647482617</v>
      </c>
      <c r="AG72" s="435">
        <f t="shared" si="34"/>
        <v>0.17722661790074626</v>
      </c>
      <c r="AH72" s="435">
        <f t="shared" si="34"/>
        <v>0.17722496512792202</v>
      </c>
      <c r="AI72" s="435">
        <f t="shared" si="34"/>
        <v>0.1772233064409364</v>
      </c>
      <c r="AJ72" s="435">
        <f t="shared" si="34"/>
        <v>0.17722164185104769</v>
      </c>
      <c r="AK72" s="435">
        <f t="shared" si="34"/>
        <v>0.17721997136962281</v>
      </c>
      <c r="AL72" s="435">
        <f t="shared" si="34"/>
        <v>0.1772182950081343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249977111117893"/>
  </sheetPr>
  <dimension ref="A1:AL53"/>
  <sheetViews>
    <sheetView showGridLines="0" workbookViewId="0"/>
  </sheetViews>
  <sheetFormatPr defaultColWidth="8.75" defaultRowHeight="12.5"/>
  <cols>
    <col min="1" max="1" width="0.83203125" style="358" customWidth="1"/>
    <col min="2" max="2" width="39.25" style="358" customWidth="1"/>
    <col min="3" max="3" width="14.75" style="358" customWidth="1"/>
    <col min="4" max="38" width="10.58203125" style="358" customWidth="1"/>
    <col min="39" max="16384" width="8.75" style="358"/>
  </cols>
  <sheetData>
    <row r="1" spans="1:38" ht="25">
      <c r="A1" s="356" t="str">
        <f>'Crossing Inputs'!$D$23</f>
        <v>950 West</v>
      </c>
      <c r="B1" s="520"/>
    </row>
    <row r="2" spans="1:38" ht="13">
      <c r="A2" s="524" t="s">
        <v>457</v>
      </c>
      <c r="B2" s="523"/>
      <c r="C2" s="522" t="s">
        <v>0</v>
      </c>
      <c r="D2" s="376">
        <f>VRCBY</f>
        <v>2021</v>
      </c>
      <c r="E2" s="376">
        <f>D2+1</f>
        <v>2022</v>
      </c>
      <c r="F2" s="376">
        <f t="shared" ref="F2:AE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ref="AF2" si="1">AE2+1</f>
        <v>2049</v>
      </c>
      <c r="AG2" s="376">
        <f t="shared" ref="AG2" si="2">AF2+1</f>
        <v>2050</v>
      </c>
      <c r="AH2" s="376">
        <f t="shared" ref="AH2" si="3">AG2+1</f>
        <v>2051</v>
      </c>
      <c r="AI2" s="376">
        <f t="shared" ref="AI2" si="4">AH2+1</f>
        <v>2052</v>
      </c>
      <c r="AJ2" s="376">
        <f t="shared" ref="AJ2:AK2" si="5">AI2+1</f>
        <v>2053</v>
      </c>
      <c r="AK2" s="376">
        <f t="shared" si="5"/>
        <v>2054</v>
      </c>
      <c r="AL2" s="376">
        <f t="shared" ref="AL2" si="6">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Demand!F8</f>
        <v>757.22529230485088</v>
      </c>
      <c r="E6" s="383">
        <f>Demand!G8</f>
        <v>779.55896095558853</v>
      </c>
      <c r="F6" s="383">
        <f>Demand!H8</f>
        <v>802.55134077256673</v>
      </c>
      <c r="G6" s="383">
        <f>Demand!I8</f>
        <v>826.22185984023133</v>
      </c>
      <c r="H6" s="383">
        <f>Demand!J8</f>
        <v>850.59051925664085</v>
      </c>
      <c r="I6" s="383">
        <f>Demand!K8</f>
        <v>875.67791003398008</v>
      </c>
      <c r="J6" s="383">
        <f>Demand!L8</f>
        <v>901.50523049753895</v>
      </c>
      <c r="K6" s="383">
        <f>Demand!M8</f>
        <v>928.09430419785747</v>
      </c>
      <c r="L6" s="383">
        <f>Demand!N8</f>
        <v>955.46759835117439</v>
      </c>
      <c r="M6" s="383">
        <f>Demand!O8</f>
        <v>983.64824282375798</v>
      </c>
      <c r="N6" s="383">
        <f>Demand!P8</f>
        <v>1012.6600496761655</v>
      </c>
      <c r="O6" s="383">
        <f>Demand!Q8</f>
        <v>1042.5275332839396</v>
      </c>
      <c r="P6" s="383">
        <f>Demand!R8</f>
        <v>1073.2759310517479</v>
      </c>
      <c r="Q6" s="383">
        <f>Demand!S8</f>
        <v>1104.9312247384671</v>
      </c>
      <c r="R6" s="383">
        <f>Demand!T8</f>
        <v>1137.5201624112303</v>
      </c>
      <c r="S6" s="383">
        <f>Demand!U8</f>
        <v>1171.0702810469904</v>
      </c>
      <c r="T6" s="383">
        <f>Demand!V8</f>
        <v>1205.6099298006936</v>
      </c>
      <c r="U6" s="383">
        <f>Demand!W8</f>
        <v>1241.1682939597288</v>
      </c>
      <c r="V6" s="383">
        <f>Demand!X8</f>
        <v>1277.7754196048904</v>
      </c>
      <c r="W6" s="383">
        <f>Demand!Y8</f>
        <v>1315.4622389986941</v>
      </c>
      <c r="X6" s="383">
        <f>Demand!Z8</f>
        <v>1354.2605967224965</v>
      </c>
      <c r="Y6" s="383">
        <f>Demand!AA8</f>
        <v>1394.2032765845079</v>
      </c>
      <c r="Z6" s="383">
        <f>Demand!AB8</f>
        <v>1435.3240293214299</v>
      </c>
      <c r="AA6" s="383">
        <f>Demand!AC8</f>
        <v>1477.6576011171289</v>
      </c>
      <c r="AB6" s="383">
        <f>Demand!AD8</f>
        <v>1521.2397629624411</v>
      </c>
      <c r="AC6" s="383">
        <f>Demand!AE8</f>
        <v>1566.1073408809186</v>
      </c>
      <c r="AD6" s="383">
        <f>Demand!AF8</f>
        <v>1612.2982470460565</v>
      </c>
      <c r="AE6" s="383">
        <f>Demand!AG8</f>
        <v>1659.8515118162927</v>
      </c>
      <c r="AF6" s="383">
        <f>Demand!AH8</f>
        <v>1708.8073167148523</v>
      </c>
      <c r="AG6" s="383">
        <f>Demand!AI8</f>
        <v>1759.2070283823034</v>
      </c>
      <c r="AH6" s="383">
        <f>Demand!AJ8</f>
        <v>1811.0932335305088</v>
      </c>
      <c r="AI6" s="383">
        <f>Demand!AK8</f>
        <v>1864.5097749275169</v>
      </c>
      <c r="AJ6" s="383">
        <f>Demand!AL8</f>
        <v>1919.5017884437907</v>
      </c>
      <c r="AK6" s="383">
        <f>Demand!AM8</f>
        <v>1976.1157411910835</v>
      </c>
      <c r="AL6" s="383">
        <f>Demand!AN8</f>
        <v>2034.3994707861862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Demand!F29</f>
        <v>2.021212882214602</v>
      </c>
      <c r="E10" s="383">
        <f>Demand!G29</f>
        <v>2.0426507576151294</v>
      </c>
      <c r="F10" s="383">
        <f>Demand!H29</f>
        <v>2.064316012578558</v>
      </c>
      <c r="G10" s="383">
        <f>Demand!I29</f>
        <v>2.0862110587928311</v>
      </c>
      <c r="H10" s="383">
        <f>Demand!J29</f>
        <v>2.1083383335253174</v>
      </c>
      <c r="I10" s="383">
        <f>Demand!K29</f>
        <v>2.1307002998941189</v>
      </c>
      <c r="J10" s="383">
        <f>Demand!L29</f>
        <v>2.1532994471422544</v>
      </c>
      <c r="K10" s="383">
        <f>Demand!M29</f>
        <v>2.1761382909147526</v>
      </c>
      <c r="L10" s="383">
        <f>Demand!N29</f>
        <v>2.1992193735386825</v>
      </c>
      <c r="M10" s="383">
        <f>Demand!O29</f>
        <v>2.2225452643061563</v>
      </c>
      <c r="N10" s="383">
        <f>Demand!P29</f>
        <v>2.2461185597603301</v>
      </c>
      <c r="O10" s="383">
        <f>Demand!Q29</f>
        <v>2.2699418839844441</v>
      </c>
      <c r="P10" s="383">
        <f>Demand!R29</f>
        <v>2.2940178888939209</v>
      </c>
      <c r="Q10" s="383">
        <f>Demand!S29</f>
        <v>2.3183492545315696</v>
      </c>
      <c r="R10" s="383">
        <f>Demand!T29</f>
        <v>2.3429386893659134</v>
      </c>
      <c r="S10" s="383">
        <f>Demand!U29</f>
        <v>2.3677889305926905</v>
      </c>
      <c r="T10" s="383">
        <f>Demand!V29</f>
        <v>2.392902744439541</v>
      </c>
      <c r="U10" s="383">
        <f>Demand!W29</f>
        <v>2.4182829264739381</v>
      </c>
      <c r="V10" s="383">
        <f>Demand!X29</f>
        <v>2.4439323019143755</v>
      </c>
      <c r="W10" s="383">
        <f>Demand!Y29</f>
        <v>2.4698537259448612</v>
      </c>
      <c r="X10" s="383">
        <f>Demand!Z29</f>
        <v>2.4960500840327433</v>
      </c>
      <c r="Y10" s="383">
        <f>Demand!AA29</f>
        <v>2.5225242922499103</v>
      </c>
      <c r="Z10" s="383">
        <f>Demand!AB29</f>
        <v>2.549279297597395</v>
      </c>
      <c r="AA10" s="383">
        <f>Demand!AC29</f>
        <v>2.5763180783334239</v>
      </c>
      <c r="AB10" s="383">
        <f>Demand!AD29</f>
        <v>2.6036436443049418</v>
      </c>
      <c r="AC10" s="383">
        <f>Demand!AE29</f>
        <v>2.631259037282661</v>
      </c>
      <c r="AD10" s="383">
        <f>Demand!AF29</f>
        <v>2.6591673312996531</v>
      </c>
      <c r="AE10" s="383">
        <f>Demand!AG29</f>
        <v>2.6873716329935418</v>
      </c>
      <c r="AF10" s="383">
        <f>Demand!AH29</f>
        <v>2.7158750819523192</v>
      </c>
      <c r="AG10" s="383">
        <f>Demand!AI29</f>
        <v>2.744680851063833</v>
      </c>
      <c r="AH10" s="383">
        <f>Demand!AJ29</f>
        <v>2.7737921468689781</v>
      </c>
      <c r="AI10" s="383">
        <f>Demand!AK29</f>
        <v>2.8032122099186383</v>
      </c>
      <c r="AJ10" s="383">
        <f>Demand!AL29</f>
        <v>2.8329443151344074</v>
      </c>
      <c r="AK10" s="383">
        <f>Demand!AM29</f>
        <v>2.8629917721731437</v>
      </c>
      <c r="AL10" s="383">
        <f>Demand!AN29</f>
        <v>2.8933579257953856</v>
      </c>
    </row>
    <row r="11" spans="1:38">
      <c r="B11" s="363" t="s">
        <v>645</v>
      </c>
      <c r="C11" s="358" t="s">
        <v>1054</v>
      </c>
      <c r="D11" s="383">
        <f>Demand!F30</f>
        <v>1.010606441107301</v>
      </c>
      <c r="E11" s="383">
        <f>Demand!G30</f>
        <v>1.0213253788075647</v>
      </c>
      <c r="F11" s="383">
        <f>Demand!H30</f>
        <v>1.032158006289279</v>
      </c>
      <c r="G11" s="383">
        <f>Demand!I30</f>
        <v>1.0431055293964155</v>
      </c>
      <c r="H11" s="383">
        <f>Demand!J30</f>
        <v>1.0541691667626587</v>
      </c>
      <c r="I11" s="383">
        <f>Demand!K30</f>
        <v>1.0653501499470595</v>
      </c>
      <c r="J11" s="383">
        <f>Demand!L30</f>
        <v>1.0766497235711272</v>
      </c>
      <c r="K11" s="383">
        <f>Demand!M30</f>
        <v>1.0880691454573763</v>
      </c>
      <c r="L11" s="383">
        <f>Demand!N30</f>
        <v>1.0996096867693412</v>
      </c>
      <c r="M11" s="383">
        <f>Demand!O30</f>
        <v>1.1112726321530781</v>
      </c>
      <c r="N11" s="383">
        <f>Demand!P30</f>
        <v>1.1230592798801651</v>
      </c>
      <c r="O11" s="383">
        <f>Demand!Q30</f>
        <v>1.134970941992222</v>
      </c>
      <c r="P11" s="383">
        <f>Demand!R30</f>
        <v>1.1470089444469604</v>
      </c>
      <c r="Q11" s="383">
        <f>Demand!S30</f>
        <v>1.1591746272657848</v>
      </c>
      <c r="R11" s="383">
        <f>Demand!T30</f>
        <v>1.1714693446829567</v>
      </c>
      <c r="S11" s="383">
        <f>Demand!U30</f>
        <v>1.1838944652963452</v>
      </c>
      <c r="T11" s="383">
        <f>Demand!V30</f>
        <v>1.1964513722197705</v>
      </c>
      <c r="U11" s="383">
        <f>Demand!W30</f>
        <v>1.209141463236969</v>
      </c>
      <c r="V11" s="383">
        <f>Demand!X30</f>
        <v>1.2219661509571877</v>
      </c>
      <c r="W11" s="383">
        <f>Demand!Y30</f>
        <v>1.2349268629724306</v>
      </c>
      <c r="X11" s="383">
        <f>Demand!Z30</f>
        <v>1.2480250420163717</v>
      </c>
      <c r="Y11" s="383">
        <f>Demand!AA30</f>
        <v>1.2612621461249551</v>
      </c>
      <c r="Z11" s="383">
        <f>Demand!AB30</f>
        <v>1.2746396487986975</v>
      </c>
      <c r="AA11" s="383">
        <f>Demand!AC30</f>
        <v>1.2881590391667119</v>
      </c>
      <c r="AB11" s="383">
        <f>Demand!AD30</f>
        <v>1.3018218221524709</v>
      </c>
      <c r="AC11" s="383">
        <f>Demand!AE30</f>
        <v>1.3156295186413305</v>
      </c>
      <c r="AD11" s="383">
        <f>Demand!AF30</f>
        <v>1.3295836656498266</v>
      </c>
      <c r="AE11" s="383">
        <f>Demand!AG30</f>
        <v>1.3436858164967709</v>
      </c>
      <c r="AF11" s="383">
        <f>Demand!AH30</f>
        <v>1.3579375409761596</v>
      </c>
      <c r="AG11" s="383">
        <f>Demand!AI30</f>
        <v>1.3723404255319165</v>
      </c>
      <c r="AH11" s="383">
        <f>Demand!AJ30</f>
        <v>1.3868960734344891</v>
      </c>
      <c r="AI11" s="383">
        <f>Demand!AK30</f>
        <v>1.4016061049593191</v>
      </c>
      <c r="AJ11" s="383">
        <f>Demand!AL30</f>
        <v>1.4164721575672037</v>
      </c>
      <c r="AK11" s="383">
        <f>Demand!AM30</f>
        <v>1.4314958860865719</v>
      </c>
      <c r="AL11" s="383">
        <f>Demand!AN30</f>
        <v>1.4466789628976928</v>
      </c>
    </row>
    <row r="13" spans="1:38" ht="13">
      <c r="B13" s="502" t="s">
        <v>1059</v>
      </c>
      <c r="C13" s="497">
        <f>IF('Crossing Inputs'!$C$11&gt;0, 'Crossing Inputs'!$C$20/Feet.Per.Mile/'Crossing Inputs'!$D$33*60+IF('Crossing Inputs'!$D$27="Passive",0,'Crossing Inputs'!$C$21),0)</f>
        <v>9</v>
      </c>
    </row>
    <row r="14" spans="1:38">
      <c r="B14" s="571" t="s">
        <v>1058</v>
      </c>
      <c r="C14" s="572" t="s">
        <v>15</v>
      </c>
      <c r="D14" s="570">
        <f t="shared" ref="D14:AL14" si="7">(D$10*$C$13)/Minutes.Per.Day</f>
        <v>1.2632580513841262E-2</v>
      </c>
      <c r="E14" s="570">
        <f t="shared" si="7"/>
        <v>1.2766567235094558E-2</v>
      </c>
      <c r="F14" s="570">
        <f t="shared" si="7"/>
        <v>1.2901975078615988E-2</v>
      </c>
      <c r="G14" s="570">
        <f t="shared" si="7"/>
        <v>1.3038819117455193E-2</v>
      </c>
      <c r="H14" s="570">
        <f t="shared" si="7"/>
        <v>1.3177114584533235E-2</v>
      </c>
      <c r="I14" s="570">
        <f t="shared" si="7"/>
        <v>1.3316876874338244E-2</v>
      </c>
      <c r="J14" s="570">
        <f t="shared" si="7"/>
        <v>1.3458121544639089E-2</v>
      </c>
      <c r="K14" s="570">
        <f t="shared" si="7"/>
        <v>1.3600864318217205E-2</v>
      </c>
      <c r="L14" s="570">
        <f t="shared" si="7"/>
        <v>1.3745121084616766E-2</v>
      </c>
      <c r="M14" s="570">
        <f t="shared" si="7"/>
        <v>1.3890907901913477E-2</v>
      </c>
      <c r="N14" s="570">
        <f t="shared" si="7"/>
        <v>1.4038240998502063E-2</v>
      </c>
      <c r="O14" s="570">
        <f t="shared" si="7"/>
        <v>1.4187136774902775E-2</v>
      </c>
      <c r="P14" s="570">
        <f t="shared" si="7"/>
        <v>1.4337611805587007E-2</v>
      </c>
      <c r="Q14" s="570">
        <f t="shared" si="7"/>
        <v>1.448968284082231E-2</v>
      </c>
      <c r="R14" s="570">
        <f t="shared" si="7"/>
        <v>1.4643366808536958E-2</v>
      </c>
      <c r="S14" s="570">
        <f t="shared" si="7"/>
        <v>1.4798680816204316E-2</v>
      </c>
      <c r="T14" s="570">
        <f t="shared" si="7"/>
        <v>1.4955642152747133E-2</v>
      </c>
      <c r="U14" s="570">
        <f t="shared" si="7"/>
        <v>1.5114268290462113E-2</v>
      </c>
      <c r="V14" s="570">
        <f t="shared" si="7"/>
        <v>1.5274576886964847E-2</v>
      </c>
      <c r="W14" s="570">
        <f t="shared" si="7"/>
        <v>1.5436585787155383E-2</v>
      </c>
      <c r="X14" s="570">
        <f t="shared" si="7"/>
        <v>1.5600313025204645E-2</v>
      </c>
      <c r="Y14" s="570">
        <f t="shared" si="7"/>
        <v>1.5765776826561939E-2</v>
      </c>
      <c r="Z14" s="570">
        <f t="shared" si="7"/>
        <v>1.5932995609983718E-2</v>
      </c>
      <c r="AA14" s="570">
        <f t="shared" si="7"/>
        <v>1.6101987989583899E-2</v>
      </c>
      <c r="AB14" s="570">
        <f t="shared" si="7"/>
        <v>1.6272772776905885E-2</v>
      </c>
      <c r="AC14" s="570">
        <f t="shared" si="7"/>
        <v>1.6445368983016632E-2</v>
      </c>
      <c r="AD14" s="570">
        <f t="shared" si="7"/>
        <v>1.6619795820622833E-2</v>
      </c>
      <c r="AE14" s="570">
        <f t="shared" si="7"/>
        <v>1.6796072706209638E-2</v>
      </c>
      <c r="AF14" s="570">
        <f t="shared" si="7"/>
        <v>1.6974219262201995E-2</v>
      </c>
      <c r="AG14" s="570">
        <f t="shared" si="7"/>
        <v>1.7154255319148957E-2</v>
      </c>
      <c r="AH14" s="570">
        <f t="shared" si="7"/>
        <v>1.7336200917931113E-2</v>
      </c>
      <c r="AI14" s="570">
        <f t="shared" si="7"/>
        <v>1.7520076311991487E-2</v>
      </c>
      <c r="AJ14" s="570">
        <f t="shared" si="7"/>
        <v>1.7705901969590047E-2</v>
      </c>
      <c r="AK14" s="570">
        <f t="shared" si="7"/>
        <v>1.7893698576082147E-2</v>
      </c>
      <c r="AL14" s="570">
        <f t="shared" si="7"/>
        <v>1.808348703622116E-2</v>
      </c>
    </row>
    <row r="16" spans="1:38">
      <c r="B16" s="573" t="s">
        <v>1055</v>
      </c>
      <c r="C16" s="574" t="s">
        <v>505</v>
      </c>
      <c r="D16" s="383">
        <f t="shared" ref="D16:AK16" si="8">D6*D14</f>
        <v>9.5657094721580123</v>
      </c>
      <c r="E16" s="383">
        <f t="shared" si="8"/>
        <v>9.9522918887599747</v>
      </c>
      <c r="F16" s="383">
        <f t="shared" si="8"/>
        <v>10.354497397957504</v>
      </c>
      <c r="G16" s="383">
        <f t="shared" si="8"/>
        <v>10.772957381344193</v>
      </c>
      <c r="H16" s="383">
        <f t="shared" si="8"/>
        <v>11.208328736762379</v>
      </c>
      <c r="I16" s="383">
        <f t="shared" si="8"/>
        <v>11.661294909500356</v>
      </c>
      <c r="J16" s="383">
        <f t="shared" si="8"/>
        <v>12.132566965163758</v>
      </c>
      <c r="K16" s="383">
        <f t="shared" si="8"/>
        <v>12.622884705905264</v>
      </c>
      <c r="L16" s="383">
        <f t="shared" si="8"/>
        <v>13.133017831764871</v>
      </c>
      <c r="M16" s="383">
        <f t="shared" si="8"/>
        <v>13.663767148943846</v>
      </c>
      <c r="N16" s="383">
        <f t="shared" si="8"/>
        <v>14.215965826909082</v>
      </c>
      <c r="O16" s="383">
        <f t="shared" si="8"/>
        <v>14.790480706301256</v>
      </c>
      <c r="P16" s="383">
        <f t="shared" si="8"/>
        <v>15.388213659699927</v>
      </c>
      <c r="Q16" s="383">
        <f t="shared" si="8"/>
        <v>16.010103007381748</v>
      </c>
      <c r="R16" s="383">
        <f t="shared" si="8"/>
        <v>16.657124990294179</v>
      </c>
      <c r="S16" s="383">
        <f t="shared" si="8"/>
        <v>17.330295302557094</v>
      </c>
      <c r="T16" s="383">
        <f t="shared" si="8"/>
        <v>18.030670685897764</v>
      </c>
      <c r="U16" s="383">
        <f t="shared" si="8"/>
        <v>18.759350588522487</v>
      </c>
      <c r="V16" s="383">
        <f t="shared" si="8"/>
        <v>19.517478891028667</v>
      </c>
      <c r="W16" s="383">
        <f t="shared" si="8"/>
        <v>20.306245702066839</v>
      </c>
      <c r="X16" s="383">
        <f t="shared" si="8"/>
        <v>21.126889226571379</v>
      </c>
      <c r="Y16" s="383">
        <f t="shared" si="8"/>
        <v>21.980697709492759</v>
      </c>
      <c r="Z16" s="383">
        <f t="shared" si="8"/>
        <v>22.869011458082483</v>
      </c>
      <c r="AA16" s="383">
        <f t="shared" si="8"/>
        <v>23.793224945905365</v>
      </c>
      <c r="AB16" s="383">
        <f t="shared" si="8"/>
        <v>24.754789001881971</v>
      </c>
      <c r="AC16" s="383">
        <f t="shared" si="8"/>
        <v>25.755213087797713</v>
      </c>
      <c r="AD16" s="383">
        <f t="shared" si="8"/>
        <v>26.796067667853571</v>
      </c>
      <c r="AE16" s="383">
        <f t="shared" si="8"/>
        <v>27.878986673978439</v>
      </c>
      <c r="AF16" s="383">
        <f t="shared" si="8"/>
        <v>29.00567007077295</v>
      </c>
      <c r="AG16" s="383">
        <f t="shared" si="8"/>
        <v>30.177886524111358</v>
      </c>
      <c r="AH16" s="383">
        <f t="shared" si="8"/>
        <v>31.397476177590434</v>
      </c>
      <c r="AI16" s="383">
        <f t="shared" si="8"/>
        <v>32.666353541184165</v>
      </c>
      <c r="AJ16" s="383">
        <f t="shared" si="8"/>
        <v>33.98651049663853</v>
      </c>
      <c r="AK16" s="383">
        <f t="shared" si="8"/>
        <v>35.360019424324406</v>
      </c>
      <c r="AL16" s="383">
        <f t="shared" ref="AL16" si="9">AL6*AL14</f>
        <v>36.78903645645719</v>
      </c>
    </row>
    <row r="17" spans="2:38">
      <c r="B17" s="573" t="s">
        <v>1056</v>
      </c>
      <c r="C17" s="574" t="s">
        <v>490</v>
      </c>
      <c r="D17" s="383">
        <f t="shared" ref="D17:AJ17" si="10">D16*$C13/2</f>
        <v>43.045692624711052</v>
      </c>
      <c r="E17" s="383">
        <f t="shared" si="10"/>
        <v>44.785313499419885</v>
      </c>
      <c r="F17" s="383">
        <f t="shared" si="10"/>
        <v>46.595238290808766</v>
      </c>
      <c r="G17" s="383">
        <f t="shared" si="10"/>
        <v>48.478308216048873</v>
      </c>
      <c r="H17" s="383">
        <f t="shared" si="10"/>
        <v>50.437479315430707</v>
      </c>
      <c r="I17" s="383">
        <f t="shared" si="10"/>
        <v>52.475827092751601</v>
      </c>
      <c r="J17" s="383">
        <f t="shared" si="10"/>
        <v>54.596551343236911</v>
      </c>
      <c r="K17" s="383">
        <f t="shared" si="10"/>
        <v>56.802981176573688</v>
      </c>
      <c r="L17" s="383">
        <f t="shared" si="10"/>
        <v>59.098580242941921</v>
      </c>
      <c r="M17" s="383">
        <f t="shared" si="10"/>
        <v>61.486952170247307</v>
      </c>
      <c r="N17" s="383">
        <f t="shared" si="10"/>
        <v>63.971846221090871</v>
      </c>
      <c r="O17" s="383">
        <f t="shared" si="10"/>
        <v>66.557163178355651</v>
      </c>
      <c r="P17" s="383">
        <f t="shared" si="10"/>
        <v>69.246961468649673</v>
      </c>
      <c r="Q17" s="383">
        <f t="shared" si="10"/>
        <v>72.04546353321787</v>
      </c>
      <c r="R17" s="383">
        <f t="shared" si="10"/>
        <v>74.957062456323797</v>
      </c>
      <c r="S17" s="383">
        <f t="shared" si="10"/>
        <v>77.986328861506919</v>
      </c>
      <c r="T17" s="383">
        <f t="shared" si="10"/>
        <v>81.138018086539944</v>
      </c>
      <c r="U17" s="383">
        <f t="shared" si="10"/>
        <v>84.417077648351196</v>
      </c>
      <c r="V17" s="383">
        <f t="shared" si="10"/>
        <v>87.828655009629003</v>
      </c>
      <c r="W17" s="383">
        <f t="shared" si="10"/>
        <v>91.378105659300772</v>
      </c>
      <c r="X17" s="383">
        <f t="shared" si="10"/>
        <v>95.071001519571212</v>
      </c>
      <c r="Y17" s="383">
        <f t="shared" si="10"/>
        <v>98.913139692717408</v>
      </c>
      <c r="Z17" s="383">
        <f t="shared" si="10"/>
        <v>102.91055156137116</v>
      </c>
      <c r="AA17" s="383">
        <f t="shared" si="10"/>
        <v>107.06951225657414</v>
      </c>
      <c r="AB17" s="383">
        <f t="shared" si="10"/>
        <v>111.39655050846886</v>
      </c>
      <c r="AC17" s="383">
        <f t="shared" si="10"/>
        <v>115.8984588950897</v>
      </c>
      <c r="AD17" s="383">
        <f t="shared" si="10"/>
        <v>120.58230450534107</v>
      </c>
      <c r="AE17" s="383">
        <f t="shared" si="10"/>
        <v>125.45544003290297</v>
      </c>
      <c r="AF17" s="383">
        <f t="shared" si="10"/>
        <v>130.52551531847828</v>
      </c>
      <c r="AG17" s="383">
        <f t="shared" si="10"/>
        <v>135.80048935850112</v>
      </c>
      <c r="AH17" s="383">
        <f t="shared" si="10"/>
        <v>141.28864279915695</v>
      </c>
      <c r="AI17" s="383">
        <f t="shared" si="10"/>
        <v>146.99859093532874</v>
      </c>
      <c r="AJ17" s="383">
        <f t="shared" si="10"/>
        <v>152.93929723487338</v>
      </c>
      <c r="AK17" s="383">
        <f t="shared" ref="AK17:AL17" si="11">AK16*$C13/2</f>
        <v>159.12008740945981</v>
      </c>
      <c r="AL17" s="383">
        <f t="shared" si="11"/>
        <v>165.55066405405736</v>
      </c>
    </row>
    <row r="18" spans="2:38">
      <c r="B18" s="575" t="s">
        <v>1057</v>
      </c>
      <c r="C18" s="574" t="s">
        <v>443</v>
      </c>
      <c r="D18" s="383">
        <f t="shared" ref="D18:AE18" si="12">D17/Minutes.per.Hour*Days.Per.Year</f>
        <v>261.86129680032559</v>
      </c>
      <c r="E18" s="383">
        <f t="shared" si="12"/>
        <v>272.44399045480429</v>
      </c>
      <c r="F18" s="383">
        <f t="shared" si="12"/>
        <v>283.45436626908662</v>
      </c>
      <c r="G18" s="383">
        <f t="shared" si="12"/>
        <v>294.90970831429729</v>
      </c>
      <c r="H18" s="383">
        <f t="shared" si="12"/>
        <v>306.82799916887012</v>
      </c>
      <c r="I18" s="383">
        <f t="shared" si="12"/>
        <v>319.22794814757225</v>
      </c>
      <c r="J18" s="383">
        <f t="shared" si="12"/>
        <v>332.12902067135786</v>
      </c>
      <c r="K18" s="383">
        <f t="shared" si="12"/>
        <v>345.55146882415659</v>
      </c>
      <c r="L18" s="383">
        <f t="shared" si="12"/>
        <v>359.51636314456334</v>
      </c>
      <c r="M18" s="383">
        <f t="shared" si="12"/>
        <v>374.04562570233782</v>
      </c>
      <c r="N18" s="383">
        <f t="shared" si="12"/>
        <v>389.16206451163617</v>
      </c>
      <c r="O18" s="383">
        <f t="shared" si="12"/>
        <v>404.88940933499686</v>
      </c>
      <c r="P18" s="383">
        <f t="shared" si="12"/>
        <v>421.25234893428552</v>
      </c>
      <c r="Q18" s="383">
        <f t="shared" si="12"/>
        <v>438.27656982707543</v>
      </c>
      <c r="R18" s="383">
        <f t="shared" si="12"/>
        <v>455.98879660930305</v>
      </c>
      <c r="S18" s="383">
        <f t="shared" si="12"/>
        <v>474.41683390750046</v>
      </c>
      <c r="T18" s="383">
        <f t="shared" si="12"/>
        <v>493.58961002645134</v>
      </c>
      <c r="U18" s="383">
        <f t="shared" si="12"/>
        <v>513.53722236080307</v>
      </c>
      <c r="V18" s="383">
        <f t="shared" si="12"/>
        <v>534.29098464190974</v>
      </c>
      <c r="W18" s="383">
        <f t="shared" si="12"/>
        <v>555.8834760940797</v>
      </c>
      <c r="X18" s="383">
        <f t="shared" si="12"/>
        <v>578.34859257739151</v>
      </c>
      <c r="Y18" s="383">
        <f t="shared" si="12"/>
        <v>601.72159979736421</v>
      </c>
      <c r="Z18" s="383">
        <f t="shared" si="12"/>
        <v>626.03918866500794</v>
      </c>
      <c r="AA18" s="383">
        <f t="shared" si="12"/>
        <v>651.33953289415933</v>
      </c>
      <c r="AB18" s="383">
        <f t="shared" si="12"/>
        <v>677.66234892651892</v>
      </c>
      <c r="AC18" s="383">
        <f t="shared" si="12"/>
        <v>705.04895827846235</v>
      </c>
      <c r="AD18" s="383">
        <f t="shared" si="12"/>
        <v>733.54235240749153</v>
      </c>
      <c r="AE18" s="383">
        <f t="shared" si="12"/>
        <v>763.18726020015981</v>
      </c>
      <c r="AF18" s="383">
        <f t="shared" ref="AF18:AJ18" si="13">AF17/Minutes.per.Hour*Days.Per.Year</f>
        <v>794.03021818740956</v>
      </c>
      <c r="AG18" s="383">
        <f t="shared" si="13"/>
        <v>826.11964359754847</v>
      </c>
      <c r="AH18" s="383">
        <f t="shared" si="13"/>
        <v>859.5059103615381</v>
      </c>
      <c r="AI18" s="383">
        <f t="shared" si="13"/>
        <v>894.24142818991652</v>
      </c>
      <c r="AJ18" s="383">
        <f t="shared" si="13"/>
        <v>930.38072484547968</v>
      </c>
      <c r="AK18" s="383">
        <f t="shared" ref="AK18:AL18" si="14">AK17/Minutes.per.Hour*Days.Per.Year</f>
        <v>967.98053174088056</v>
      </c>
      <c r="AL18" s="383">
        <f t="shared" si="14"/>
        <v>1007.0998729955157</v>
      </c>
    </row>
    <row r="20" spans="2:38">
      <c r="B20" s="575" t="s">
        <v>745</v>
      </c>
      <c r="C20" s="574" t="s">
        <v>443</v>
      </c>
      <c r="D20" s="383">
        <f>D18</f>
        <v>261.86129680032559</v>
      </c>
      <c r="E20" s="383">
        <f t="shared" ref="E20:AJ20" si="15">E18</f>
        <v>272.44399045480429</v>
      </c>
      <c r="F20" s="383">
        <f t="shared" si="15"/>
        <v>283.45436626908662</v>
      </c>
      <c r="G20" s="383">
        <f t="shared" si="15"/>
        <v>294.90970831429729</v>
      </c>
      <c r="H20" s="383">
        <f t="shared" si="15"/>
        <v>306.82799916887012</v>
      </c>
      <c r="I20" s="383">
        <f t="shared" si="15"/>
        <v>319.22794814757225</v>
      </c>
      <c r="J20" s="383">
        <f t="shared" si="15"/>
        <v>332.12902067135786</v>
      </c>
      <c r="K20" s="383">
        <f t="shared" si="15"/>
        <v>345.55146882415659</v>
      </c>
      <c r="L20" s="383">
        <f t="shared" si="15"/>
        <v>359.51636314456334</v>
      </c>
      <c r="M20" s="383">
        <f t="shared" si="15"/>
        <v>374.04562570233782</v>
      </c>
      <c r="N20" s="383">
        <f t="shared" si="15"/>
        <v>389.16206451163617</v>
      </c>
      <c r="O20" s="383">
        <f t="shared" si="15"/>
        <v>404.88940933499686</v>
      </c>
      <c r="P20" s="383">
        <f t="shared" si="15"/>
        <v>421.25234893428552</v>
      </c>
      <c r="Q20" s="383">
        <f t="shared" si="15"/>
        <v>438.27656982707543</v>
      </c>
      <c r="R20" s="383">
        <f t="shared" si="15"/>
        <v>455.98879660930305</v>
      </c>
      <c r="S20" s="383">
        <f t="shared" si="15"/>
        <v>474.41683390750046</v>
      </c>
      <c r="T20" s="383">
        <f t="shared" si="15"/>
        <v>493.58961002645134</v>
      </c>
      <c r="U20" s="383">
        <f t="shared" si="15"/>
        <v>513.53722236080307</v>
      </c>
      <c r="V20" s="383">
        <f t="shared" si="15"/>
        <v>534.29098464190974</v>
      </c>
      <c r="W20" s="383">
        <f t="shared" si="15"/>
        <v>555.8834760940797</v>
      </c>
      <c r="X20" s="383">
        <f t="shared" si="15"/>
        <v>578.34859257739151</v>
      </c>
      <c r="Y20" s="383">
        <f t="shared" si="15"/>
        <v>601.72159979736421</v>
      </c>
      <c r="Z20" s="383">
        <f t="shared" si="15"/>
        <v>626.03918866500794</v>
      </c>
      <c r="AA20" s="383">
        <f t="shared" si="15"/>
        <v>651.33953289415933</v>
      </c>
      <c r="AB20" s="383">
        <f t="shared" si="15"/>
        <v>677.66234892651892</v>
      </c>
      <c r="AC20" s="383">
        <f t="shared" si="15"/>
        <v>705.04895827846235</v>
      </c>
      <c r="AD20" s="383">
        <f t="shared" si="15"/>
        <v>733.54235240749153</v>
      </c>
      <c r="AE20" s="383">
        <f t="shared" si="15"/>
        <v>763.18726020015981</v>
      </c>
      <c r="AF20" s="383">
        <f t="shared" si="15"/>
        <v>794.03021818740956</v>
      </c>
      <c r="AG20" s="383">
        <f t="shared" si="15"/>
        <v>826.11964359754847</v>
      </c>
      <c r="AH20" s="383">
        <f t="shared" si="15"/>
        <v>859.5059103615381</v>
      </c>
      <c r="AI20" s="383">
        <f t="shared" si="15"/>
        <v>894.24142818991652</v>
      </c>
      <c r="AJ20" s="383">
        <f t="shared" si="15"/>
        <v>930.38072484547968</v>
      </c>
      <c r="AK20" s="383">
        <f t="shared" ref="AK20:AL20" si="16">AK18</f>
        <v>967.98053174088056</v>
      </c>
      <c r="AL20" s="383">
        <f t="shared" si="16"/>
        <v>1007.0998729955157</v>
      </c>
    </row>
    <row r="22" spans="2:38" ht="13">
      <c r="B22" s="502" t="s">
        <v>506</v>
      </c>
      <c r="C22" s="542">
        <f>SUMIFS('Crossing Inputs'!$C$41:$H$41,'Crossing Inputs'!$C$23:$H$23,$A$1)</f>
        <v>1</v>
      </c>
    </row>
    <row r="23" spans="2:38" ht="13">
      <c r="B23" s="502" t="s">
        <v>507</v>
      </c>
      <c r="C23" s="542">
        <f>SUMIFS('Crossing Inputs'!$C$42:$H$42,'Crossing Inputs'!$C$23:$H$23,$A$1)</f>
        <v>0</v>
      </c>
    </row>
    <row r="24" spans="2:38" ht="13">
      <c r="B24" s="502" t="s">
        <v>746</v>
      </c>
      <c r="C24" s="542">
        <f>SUMIFS('Crossing Inputs'!$C$43:$H$43,'Crossing Inputs'!$C$23:$H$23,$A$1)</f>
        <v>0</v>
      </c>
    </row>
    <row r="25" spans="2:38">
      <c r="B25" s="358" t="s">
        <v>508</v>
      </c>
      <c r="C25" s="358" t="s">
        <v>443</v>
      </c>
      <c r="D25" s="576">
        <f>D$20*$C22</f>
        <v>261.86129680032559</v>
      </c>
      <c r="E25" s="576">
        <f t="shared" ref="E25:AE27" si="17">E$20*$C22</f>
        <v>272.44399045480429</v>
      </c>
      <c r="F25" s="576">
        <f t="shared" si="17"/>
        <v>283.45436626908662</v>
      </c>
      <c r="G25" s="576">
        <f t="shared" si="17"/>
        <v>294.90970831429729</v>
      </c>
      <c r="H25" s="576">
        <f t="shared" si="17"/>
        <v>306.82799916887012</v>
      </c>
      <c r="I25" s="576">
        <f t="shared" si="17"/>
        <v>319.22794814757225</v>
      </c>
      <c r="J25" s="576">
        <f t="shared" si="17"/>
        <v>332.12902067135786</v>
      </c>
      <c r="K25" s="576">
        <f t="shared" si="17"/>
        <v>345.55146882415659</v>
      </c>
      <c r="L25" s="576">
        <f t="shared" si="17"/>
        <v>359.51636314456334</v>
      </c>
      <c r="M25" s="576">
        <f t="shared" si="17"/>
        <v>374.04562570233782</v>
      </c>
      <c r="N25" s="576">
        <f t="shared" si="17"/>
        <v>389.16206451163617</v>
      </c>
      <c r="O25" s="576">
        <f t="shared" si="17"/>
        <v>404.88940933499686</v>
      </c>
      <c r="P25" s="576">
        <f t="shared" si="17"/>
        <v>421.25234893428552</v>
      </c>
      <c r="Q25" s="576">
        <f t="shared" si="17"/>
        <v>438.27656982707543</v>
      </c>
      <c r="R25" s="576">
        <f t="shared" si="17"/>
        <v>455.98879660930305</v>
      </c>
      <c r="S25" s="576">
        <f t="shared" si="17"/>
        <v>474.41683390750046</v>
      </c>
      <c r="T25" s="576">
        <f t="shared" si="17"/>
        <v>493.58961002645134</v>
      </c>
      <c r="U25" s="576">
        <f t="shared" si="17"/>
        <v>513.53722236080307</v>
      </c>
      <c r="V25" s="576">
        <f t="shared" si="17"/>
        <v>534.29098464190974</v>
      </c>
      <c r="W25" s="576">
        <f t="shared" si="17"/>
        <v>555.8834760940797</v>
      </c>
      <c r="X25" s="576">
        <f t="shared" si="17"/>
        <v>578.34859257739151</v>
      </c>
      <c r="Y25" s="576">
        <f t="shared" si="17"/>
        <v>601.72159979736421</v>
      </c>
      <c r="Z25" s="576">
        <f t="shared" si="17"/>
        <v>626.03918866500794</v>
      </c>
      <c r="AA25" s="576">
        <f t="shared" si="17"/>
        <v>651.33953289415933</v>
      </c>
      <c r="AB25" s="576">
        <f t="shared" si="17"/>
        <v>677.66234892651892</v>
      </c>
      <c r="AC25" s="576">
        <f t="shared" si="17"/>
        <v>705.04895827846235</v>
      </c>
      <c r="AD25" s="576">
        <f t="shared" si="17"/>
        <v>733.54235240749153</v>
      </c>
      <c r="AE25" s="576">
        <f t="shared" si="17"/>
        <v>763.18726020015981</v>
      </c>
      <c r="AF25" s="576">
        <f t="shared" ref="AF25:AJ25" si="18">AF$20*$C22</f>
        <v>794.03021818740956</v>
      </c>
      <c r="AG25" s="576">
        <f t="shared" si="18"/>
        <v>826.11964359754847</v>
      </c>
      <c r="AH25" s="576">
        <f t="shared" si="18"/>
        <v>859.5059103615381</v>
      </c>
      <c r="AI25" s="576">
        <f t="shared" si="18"/>
        <v>894.24142818991652</v>
      </c>
      <c r="AJ25" s="576">
        <f t="shared" si="18"/>
        <v>930.38072484547968</v>
      </c>
      <c r="AK25" s="576">
        <f t="shared" ref="AK25:AL25" si="19">AK$20*$C22</f>
        <v>967.98053174088056</v>
      </c>
      <c r="AL25" s="576">
        <f t="shared" si="19"/>
        <v>1007.0998729955157</v>
      </c>
    </row>
    <row r="26" spans="2:38">
      <c r="B26" s="358" t="s">
        <v>509</v>
      </c>
      <c r="C26" s="358" t="s">
        <v>443</v>
      </c>
      <c r="D26" s="576">
        <f t="shared" ref="D26:S27" si="20">D$20*$C23</f>
        <v>0</v>
      </c>
      <c r="E26" s="576">
        <f t="shared" si="20"/>
        <v>0</v>
      </c>
      <c r="F26" s="576">
        <f t="shared" si="20"/>
        <v>0</v>
      </c>
      <c r="G26" s="576">
        <f t="shared" si="20"/>
        <v>0</v>
      </c>
      <c r="H26" s="576">
        <f t="shared" si="20"/>
        <v>0</v>
      </c>
      <c r="I26" s="576">
        <f t="shared" si="20"/>
        <v>0</v>
      </c>
      <c r="J26" s="576">
        <f t="shared" si="20"/>
        <v>0</v>
      </c>
      <c r="K26" s="576">
        <f t="shared" si="20"/>
        <v>0</v>
      </c>
      <c r="L26" s="576">
        <f t="shared" si="20"/>
        <v>0</v>
      </c>
      <c r="M26" s="576">
        <f t="shared" si="20"/>
        <v>0</v>
      </c>
      <c r="N26" s="576">
        <f t="shared" si="20"/>
        <v>0</v>
      </c>
      <c r="O26" s="576">
        <f t="shared" si="20"/>
        <v>0</v>
      </c>
      <c r="P26" s="576">
        <f t="shared" si="20"/>
        <v>0</v>
      </c>
      <c r="Q26" s="576">
        <f t="shared" si="20"/>
        <v>0</v>
      </c>
      <c r="R26" s="576">
        <f t="shared" si="20"/>
        <v>0</v>
      </c>
      <c r="S26" s="576">
        <f t="shared" si="20"/>
        <v>0</v>
      </c>
      <c r="T26" s="576">
        <f t="shared" si="17"/>
        <v>0</v>
      </c>
      <c r="U26" s="576">
        <f t="shared" si="17"/>
        <v>0</v>
      </c>
      <c r="V26" s="576">
        <f t="shared" si="17"/>
        <v>0</v>
      </c>
      <c r="W26" s="576">
        <f t="shared" si="17"/>
        <v>0</v>
      </c>
      <c r="X26" s="576">
        <f t="shared" si="17"/>
        <v>0</v>
      </c>
      <c r="Y26" s="576">
        <f t="shared" si="17"/>
        <v>0</v>
      </c>
      <c r="Z26" s="576">
        <f t="shared" si="17"/>
        <v>0</v>
      </c>
      <c r="AA26" s="576">
        <f t="shared" si="17"/>
        <v>0</v>
      </c>
      <c r="AB26" s="576">
        <f t="shared" si="17"/>
        <v>0</v>
      </c>
      <c r="AC26" s="576">
        <f t="shared" si="17"/>
        <v>0</v>
      </c>
      <c r="AD26" s="576">
        <f t="shared" si="17"/>
        <v>0</v>
      </c>
      <c r="AE26" s="576">
        <f t="shared" si="17"/>
        <v>0</v>
      </c>
      <c r="AF26" s="576">
        <f t="shared" ref="AF26:AJ26" si="21">AF$20*$C23</f>
        <v>0</v>
      </c>
      <c r="AG26" s="576">
        <f t="shared" si="21"/>
        <v>0</v>
      </c>
      <c r="AH26" s="576">
        <f t="shared" si="21"/>
        <v>0</v>
      </c>
      <c r="AI26" s="576">
        <f t="shared" si="21"/>
        <v>0</v>
      </c>
      <c r="AJ26" s="576">
        <f t="shared" si="21"/>
        <v>0</v>
      </c>
      <c r="AK26" s="576">
        <f t="shared" ref="AK26:AL26" si="22">AK$20*$C23</f>
        <v>0</v>
      </c>
      <c r="AL26" s="576">
        <f t="shared" si="22"/>
        <v>0</v>
      </c>
    </row>
    <row r="27" spans="2:38">
      <c r="B27" s="358" t="s">
        <v>747</v>
      </c>
      <c r="C27" s="358" t="s">
        <v>443</v>
      </c>
      <c r="D27" s="576">
        <f t="shared" si="20"/>
        <v>0</v>
      </c>
      <c r="E27" s="576">
        <f t="shared" si="17"/>
        <v>0</v>
      </c>
      <c r="F27" s="576">
        <f t="shared" si="17"/>
        <v>0</v>
      </c>
      <c r="G27" s="576">
        <f t="shared" si="17"/>
        <v>0</v>
      </c>
      <c r="H27" s="576">
        <f t="shared" si="17"/>
        <v>0</v>
      </c>
      <c r="I27" s="576">
        <f t="shared" si="17"/>
        <v>0</v>
      </c>
      <c r="J27" s="576">
        <f t="shared" si="17"/>
        <v>0</v>
      </c>
      <c r="K27" s="576">
        <f t="shared" si="17"/>
        <v>0</v>
      </c>
      <c r="L27" s="576">
        <f t="shared" si="17"/>
        <v>0</v>
      </c>
      <c r="M27" s="576">
        <f t="shared" si="17"/>
        <v>0</v>
      </c>
      <c r="N27" s="576">
        <f t="shared" si="17"/>
        <v>0</v>
      </c>
      <c r="O27" s="576">
        <f t="shared" si="17"/>
        <v>0</v>
      </c>
      <c r="P27" s="576">
        <f t="shared" si="17"/>
        <v>0</v>
      </c>
      <c r="Q27" s="576">
        <f t="shared" si="17"/>
        <v>0</v>
      </c>
      <c r="R27" s="576">
        <f t="shared" si="17"/>
        <v>0</v>
      </c>
      <c r="S27" s="576">
        <f t="shared" si="17"/>
        <v>0</v>
      </c>
      <c r="T27" s="576">
        <f t="shared" si="17"/>
        <v>0</v>
      </c>
      <c r="U27" s="576">
        <f t="shared" si="17"/>
        <v>0</v>
      </c>
      <c r="V27" s="576">
        <f t="shared" si="17"/>
        <v>0</v>
      </c>
      <c r="W27" s="576">
        <f t="shared" si="17"/>
        <v>0</v>
      </c>
      <c r="X27" s="576">
        <f t="shared" si="17"/>
        <v>0</v>
      </c>
      <c r="Y27" s="576">
        <f t="shared" si="17"/>
        <v>0</v>
      </c>
      <c r="Z27" s="576">
        <f t="shared" si="17"/>
        <v>0</v>
      </c>
      <c r="AA27" s="576">
        <f t="shared" si="17"/>
        <v>0</v>
      </c>
      <c r="AB27" s="576">
        <f t="shared" si="17"/>
        <v>0</v>
      </c>
      <c r="AC27" s="576">
        <f t="shared" si="17"/>
        <v>0</v>
      </c>
      <c r="AD27" s="576">
        <f t="shared" si="17"/>
        <v>0</v>
      </c>
      <c r="AE27" s="576">
        <f t="shared" si="17"/>
        <v>0</v>
      </c>
      <c r="AF27" s="576">
        <f t="shared" ref="AF27:AJ27" si="23">AF$20*$C24</f>
        <v>0</v>
      </c>
      <c r="AG27" s="576">
        <f t="shared" si="23"/>
        <v>0</v>
      </c>
      <c r="AH27" s="576">
        <f t="shared" si="23"/>
        <v>0</v>
      </c>
      <c r="AI27" s="576">
        <f t="shared" si="23"/>
        <v>0</v>
      </c>
      <c r="AJ27" s="576">
        <f t="shared" si="23"/>
        <v>0</v>
      </c>
      <c r="AK27" s="576">
        <f t="shared" ref="AK27:AL27" si="24">AK$20*$C24</f>
        <v>0</v>
      </c>
      <c r="AL27" s="576">
        <f t="shared" si="24"/>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520" t="s">
        <v>788</v>
      </c>
      <c r="C32" s="358" t="s">
        <v>295</v>
      </c>
      <c r="D32" s="383">
        <f>D25*$C29</f>
        <v>93.615413606116391</v>
      </c>
      <c r="E32" s="383">
        <f t="shared" ref="E32:AE32" si="25">E25*$C29</f>
        <v>97.398726587592535</v>
      </c>
      <c r="F32" s="383">
        <f t="shared" si="25"/>
        <v>101.33493594119847</v>
      </c>
      <c r="G32" s="383">
        <f t="shared" si="25"/>
        <v>105.43022072236127</v>
      </c>
      <c r="H32" s="383">
        <f t="shared" si="25"/>
        <v>109.69100970287106</v>
      </c>
      <c r="I32" s="383">
        <f t="shared" si="25"/>
        <v>114.12399146275708</v>
      </c>
      <c r="J32" s="383">
        <f t="shared" si="25"/>
        <v>118.73612489001043</v>
      </c>
      <c r="K32" s="383">
        <f t="shared" si="25"/>
        <v>123.53465010463597</v>
      </c>
      <c r="L32" s="383">
        <f t="shared" si="25"/>
        <v>128.52709982418139</v>
      </c>
      <c r="M32" s="383">
        <f t="shared" si="25"/>
        <v>133.72131118858576</v>
      </c>
      <c r="N32" s="383">
        <f t="shared" si="25"/>
        <v>139.12543806290992</v>
      </c>
      <c r="O32" s="383">
        <f t="shared" si="25"/>
        <v>144.74796383726138</v>
      </c>
      <c r="P32" s="383">
        <f t="shared" si="25"/>
        <v>150.59771474400708</v>
      </c>
      <c r="Q32" s="383">
        <f t="shared" si="25"/>
        <v>156.68387371317945</v>
      </c>
      <c r="R32" s="383">
        <f t="shared" si="25"/>
        <v>163.01599478782583</v>
      </c>
      <c r="S32" s="383">
        <f t="shared" si="25"/>
        <v>169.6040181219314</v>
      </c>
      <c r="T32" s="383">
        <f t="shared" si="25"/>
        <v>176.45828558445635</v>
      </c>
      <c r="U32" s="383">
        <f t="shared" si="25"/>
        <v>183.58955699398709</v>
      </c>
      <c r="V32" s="383">
        <f t="shared" si="25"/>
        <v>191.00902700948274</v>
      </c>
      <c r="W32" s="383">
        <f t="shared" si="25"/>
        <v>198.72834270363347</v>
      </c>
      <c r="X32" s="383">
        <f t="shared" si="25"/>
        <v>206.75962184641745</v>
      </c>
      <c r="Y32" s="383">
        <f t="shared" si="25"/>
        <v>215.11547192755771</v>
      </c>
      <c r="Z32" s="383">
        <f t="shared" si="25"/>
        <v>223.80900994774032</v>
      </c>
      <c r="AA32" s="383">
        <f t="shared" si="25"/>
        <v>232.85388300966196</v>
      </c>
      <c r="AB32" s="383">
        <f t="shared" si="25"/>
        <v>242.2642897412305</v>
      </c>
      <c r="AC32" s="383">
        <f t="shared" si="25"/>
        <v>252.05500258455027</v>
      </c>
      <c r="AD32" s="383">
        <f t="shared" si="25"/>
        <v>262.24139098567821</v>
      </c>
      <c r="AE32" s="383">
        <f t="shared" si="25"/>
        <v>272.83944552155714</v>
      </c>
      <c r="AF32" s="383">
        <f t="shared" ref="AF32:AJ32" si="26">AF25*$C29</f>
        <v>283.86580300199893</v>
      </c>
      <c r="AG32" s="383">
        <f t="shared" si="26"/>
        <v>295.33777258612355</v>
      </c>
      <c r="AH32" s="383">
        <f t="shared" si="26"/>
        <v>307.27336295424988</v>
      </c>
      <c r="AI32" s="383">
        <f t="shared" si="26"/>
        <v>319.69131057789514</v>
      </c>
      <c r="AJ32" s="383">
        <f t="shared" si="26"/>
        <v>332.61110913225895</v>
      </c>
      <c r="AK32" s="383">
        <f t="shared" ref="AK32:AL32" si="27">AK25*$C29</f>
        <v>346.05304009736477</v>
      </c>
      <c r="AL32" s="383">
        <f t="shared" si="27"/>
        <v>360.03820459589684</v>
      </c>
    </row>
    <row r="33" spans="1:38">
      <c r="B33" s="520" t="s">
        <v>789</v>
      </c>
      <c r="C33" s="358" t="s">
        <v>295</v>
      </c>
      <c r="D33" s="383">
        <f>D26*$C30+D27*$C31</f>
        <v>0</v>
      </c>
      <c r="E33" s="383">
        <f t="shared" ref="E33:AE33" si="28">E26*$C30+E27*$C31</f>
        <v>0</v>
      </c>
      <c r="F33" s="383">
        <f t="shared" si="28"/>
        <v>0</v>
      </c>
      <c r="G33" s="383">
        <f t="shared" si="28"/>
        <v>0</v>
      </c>
      <c r="H33" s="383">
        <f t="shared" si="28"/>
        <v>0</v>
      </c>
      <c r="I33" s="383">
        <f t="shared" si="28"/>
        <v>0</v>
      </c>
      <c r="J33" s="383">
        <f t="shared" si="28"/>
        <v>0</v>
      </c>
      <c r="K33" s="383">
        <f t="shared" si="28"/>
        <v>0</v>
      </c>
      <c r="L33" s="383">
        <f t="shared" si="28"/>
        <v>0</v>
      </c>
      <c r="M33" s="383">
        <f t="shared" si="28"/>
        <v>0</v>
      </c>
      <c r="N33" s="383">
        <f t="shared" si="28"/>
        <v>0</v>
      </c>
      <c r="O33" s="383">
        <f t="shared" si="28"/>
        <v>0</v>
      </c>
      <c r="P33" s="383">
        <f t="shared" si="28"/>
        <v>0</v>
      </c>
      <c r="Q33" s="383">
        <f t="shared" si="28"/>
        <v>0</v>
      </c>
      <c r="R33" s="383">
        <f t="shared" si="28"/>
        <v>0</v>
      </c>
      <c r="S33" s="383">
        <f t="shared" si="28"/>
        <v>0</v>
      </c>
      <c r="T33" s="383">
        <f t="shared" si="28"/>
        <v>0</v>
      </c>
      <c r="U33" s="383">
        <f t="shared" si="28"/>
        <v>0</v>
      </c>
      <c r="V33" s="383">
        <f t="shared" si="28"/>
        <v>0</v>
      </c>
      <c r="W33" s="383">
        <f t="shared" si="28"/>
        <v>0</v>
      </c>
      <c r="X33" s="383">
        <f t="shared" si="28"/>
        <v>0</v>
      </c>
      <c r="Y33" s="383">
        <f t="shared" si="28"/>
        <v>0</v>
      </c>
      <c r="Z33" s="383">
        <f t="shared" si="28"/>
        <v>0</v>
      </c>
      <c r="AA33" s="383">
        <f t="shared" si="28"/>
        <v>0</v>
      </c>
      <c r="AB33" s="383">
        <f t="shared" si="28"/>
        <v>0</v>
      </c>
      <c r="AC33" s="383">
        <f t="shared" si="28"/>
        <v>0</v>
      </c>
      <c r="AD33" s="383">
        <f t="shared" si="28"/>
        <v>0</v>
      </c>
      <c r="AE33" s="383">
        <f t="shared" si="28"/>
        <v>0</v>
      </c>
      <c r="AF33" s="383">
        <f t="shared" ref="AF33:AJ33" si="29">AF26*$C30+AF27*$C31</f>
        <v>0</v>
      </c>
      <c r="AG33" s="383">
        <f t="shared" si="29"/>
        <v>0</v>
      </c>
      <c r="AH33" s="383">
        <f t="shared" si="29"/>
        <v>0</v>
      </c>
      <c r="AI33" s="383">
        <f t="shared" si="29"/>
        <v>0</v>
      </c>
      <c r="AJ33" s="383">
        <f t="shared" si="29"/>
        <v>0</v>
      </c>
      <c r="AK33" s="383">
        <f t="shared" ref="AK33:AL33" si="30">AK26*$C30+AK27*$C31</f>
        <v>0</v>
      </c>
      <c r="AL33" s="383">
        <f t="shared" si="30"/>
        <v>0</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Demand!F51</f>
        <v>2.021212882214602</v>
      </c>
      <c r="E37" s="383">
        <f>Demand!G51</f>
        <v>2.0426507576151294</v>
      </c>
      <c r="F37" s="383">
        <f>Demand!H51</f>
        <v>2.064316012578558</v>
      </c>
      <c r="G37" s="383">
        <f>Demand!I51</f>
        <v>2.0862110587928311</v>
      </c>
      <c r="H37" s="383">
        <f>Demand!J51</f>
        <v>0</v>
      </c>
      <c r="I37" s="383">
        <f>Demand!K51</f>
        <v>0</v>
      </c>
      <c r="J37" s="383">
        <f>Demand!L51</f>
        <v>0</v>
      </c>
      <c r="K37" s="383">
        <f>Demand!M51</f>
        <v>0</v>
      </c>
      <c r="L37" s="383">
        <f>Demand!N51</f>
        <v>0</v>
      </c>
      <c r="M37" s="383">
        <f>Demand!O51</f>
        <v>0</v>
      </c>
      <c r="N37" s="383">
        <f>Demand!P51</f>
        <v>0</v>
      </c>
      <c r="O37" s="383">
        <f>Demand!Q51</f>
        <v>0</v>
      </c>
      <c r="P37" s="383">
        <f>Demand!R51</f>
        <v>0</v>
      </c>
      <c r="Q37" s="383">
        <f>Demand!S51</f>
        <v>0</v>
      </c>
      <c r="R37" s="383">
        <f>Demand!T51</f>
        <v>0</v>
      </c>
      <c r="S37" s="383">
        <f>Demand!U51</f>
        <v>0</v>
      </c>
      <c r="T37" s="383">
        <f>Demand!V51</f>
        <v>0</v>
      </c>
      <c r="U37" s="383">
        <f>Demand!W51</f>
        <v>0</v>
      </c>
      <c r="V37" s="383">
        <f>Demand!X51</f>
        <v>0</v>
      </c>
      <c r="W37" s="383">
        <f>Demand!Y51</f>
        <v>0</v>
      </c>
      <c r="X37" s="383">
        <f>Demand!Z51</f>
        <v>0</v>
      </c>
      <c r="Y37" s="383">
        <f>Demand!AA51</f>
        <v>0</v>
      </c>
      <c r="Z37" s="383">
        <f>Demand!AB51</f>
        <v>0</v>
      </c>
      <c r="AA37" s="383">
        <f>Demand!AC51</f>
        <v>0</v>
      </c>
      <c r="AB37" s="383">
        <f>Demand!AD51</f>
        <v>0</v>
      </c>
      <c r="AC37" s="383">
        <f>Demand!AE51</f>
        <v>0</v>
      </c>
      <c r="AD37" s="383">
        <f>Demand!AF51</f>
        <v>0</v>
      </c>
      <c r="AE37" s="383">
        <f>Demand!AG51</f>
        <v>0</v>
      </c>
      <c r="AF37" s="383">
        <f>Demand!AH51</f>
        <v>0</v>
      </c>
      <c r="AG37" s="383">
        <f>Demand!AI51</f>
        <v>0</v>
      </c>
      <c r="AH37" s="383">
        <f>Demand!AJ51</f>
        <v>0</v>
      </c>
      <c r="AI37" s="383">
        <f>Demand!AK51</f>
        <v>0</v>
      </c>
      <c r="AJ37" s="383">
        <f>Demand!AL51</f>
        <v>0</v>
      </c>
      <c r="AK37" s="383">
        <f>Demand!AM51</f>
        <v>0</v>
      </c>
      <c r="AL37" s="383">
        <f>Demand!AN51</f>
        <v>0</v>
      </c>
    </row>
    <row r="38" spans="1:38">
      <c r="B38" s="363" t="s">
        <v>645</v>
      </c>
      <c r="C38" s="358" t="s">
        <v>1054</v>
      </c>
      <c r="D38" s="383">
        <f>Demand!F52</f>
        <v>1.010606441107301</v>
      </c>
      <c r="E38" s="383">
        <f>Demand!G52</f>
        <v>1.0213253788075647</v>
      </c>
      <c r="F38" s="383">
        <f>Demand!H52</f>
        <v>1.032158006289279</v>
      </c>
      <c r="G38" s="383">
        <f>Demand!I52</f>
        <v>1.0431055293964155</v>
      </c>
      <c r="H38" s="383">
        <f>Demand!J52</f>
        <v>0</v>
      </c>
      <c r="I38" s="383">
        <f>Demand!K52</f>
        <v>0</v>
      </c>
      <c r="J38" s="383">
        <f>Demand!L52</f>
        <v>0</v>
      </c>
      <c r="K38" s="383">
        <f>Demand!M52</f>
        <v>0</v>
      </c>
      <c r="L38" s="383">
        <f>Demand!N52</f>
        <v>0</v>
      </c>
      <c r="M38" s="383">
        <f>Demand!O52</f>
        <v>0</v>
      </c>
      <c r="N38" s="383">
        <f>Demand!P52</f>
        <v>0</v>
      </c>
      <c r="O38" s="383">
        <f>Demand!Q52</f>
        <v>0</v>
      </c>
      <c r="P38" s="383">
        <f>Demand!R52</f>
        <v>0</v>
      </c>
      <c r="Q38" s="383">
        <f>Demand!S52</f>
        <v>0</v>
      </c>
      <c r="R38" s="383">
        <f>Demand!T52</f>
        <v>0</v>
      </c>
      <c r="S38" s="383">
        <f>Demand!U52</f>
        <v>0</v>
      </c>
      <c r="T38" s="383">
        <f>Demand!V52</f>
        <v>0</v>
      </c>
      <c r="U38" s="383">
        <f>Demand!W52</f>
        <v>0</v>
      </c>
      <c r="V38" s="383">
        <f>Demand!X52</f>
        <v>0</v>
      </c>
      <c r="W38" s="383">
        <f>Demand!Y52</f>
        <v>0</v>
      </c>
      <c r="X38" s="383">
        <f>Demand!Z52</f>
        <v>0</v>
      </c>
      <c r="Y38" s="383">
        <f>Demand!AA52</f>
        <v>0</v>
      </c>
      <c r="Z38" s="383">
        <f>Demand!AB52</f>
        <v>0</v>
      </c>
      <c r="AA38" s="383">
        <f>Demand!AC52</f>
        <v>0</v>
      </c>
      <c r="AB38" s="383">
        <f>Demand!AD52</f>
        <v>0</v>
      </c>
      <c r="AC38" s="383">
        <f>Demand!AE52</f>
        <v>0</v>
      </c>
      <c r="AD38" s="383">
        <f>Demand!AF52</f>
        <v>0</v>
      </c>
      <c r="AE38" s="383">
        <f>Demand!AG52</f>
        <v>0</v>
      </c>
      <c r="AF38" s="383">
        <f>Demand!AH52</f>
        <v>0</v>
      </c>
      <c r="AG38" s="383">
        <f>Demand!AI52</f>
        <v>0</v>
      </c>
      <c r="AH38" s="383">
        <f>Demand!AJ52</f>
        <v>0</v>
      </c>
      <c r="AI38" s="383">
        <f>Demand!AK52</f>
        <v>0</v>
      </c>
      <c r="AJ38" s="383">
        <f>Demand!AL52</f>
        <v>0</v>
      </c>
      <c r="AK38" s="383">
        <f>Demand!AM52</f>
        <v>0</v>
      </c>
      <c r="AL38" s="383">
        <f>Demand!AN52</f>
        <v>0</v>
      </c>
    </row>
    <row r="40" spans="1:38">
      <c r="B40" s="571" t="s">
        <v>1058</v>
      </c>
      <c r="C40" s="572" t="s">
        <v>15</v>
      </c>
      <c r="D40" s="570">
        <f t="shared" ref="D40:AL40" si="31">(D$37*$C$13)/Minutes.Per.Day</f>
        <v>1.2632580513841262E-2</v>
      </c>
      <c r="E40" s="570">
        <f t="shared" si="31"/>
        <v>1.2766567235094558E-2</v>
      </c>
      <c r="F40" s="570">
        <f t="shared" si="31"/>
        <v>1.2901975078615988E-2</v>
      </c>
      <c r="G40" s="570">
        <f t="shared" si="31"/>
        <v>1.3038819117455193E-2</v>
      </c>
      <c r="H40" s="570">
        <f t="shared" si="31"/>
        <v>0</v>
      </c>
      <c r="I40" s="570">
        <f t="shared" si="31"/>
        <v>0</v>
      </c>
      <c r="J40" s="570">
        <f t="shared" si="31"/>
        <v>0</v>
      </c>
      <c r="K40" s="570">
        <f t="shared" si="31"/>
        <v>0</v>
      </c>
      <c r="L40" s="570">
        <f t="shared" si="31"/>
        <v>0</v>
      </c>
      <c r="M40" s="570">
        <f t="shared" si="31"/>
        <v>0</v>
      </c>
      <c r="N40" s="570">
        <f t="shared" si="31"/>
        <v>0</v>
      </c>
      <c r="O40" s="570">
        <f t="shared" si="31"/>
        <v>0</v>
      </c>
      <c r="P40" s="570">
        <f t="shared" si="31"/>
        <v>0</v>
      </c>
      <c r="Q40" s="570">
        <f t="shared" si="31"/>
        <v>0</v>
      </c>
      <c r="R40" s="570">
        <f t="shared" si="31"/>
        <v>0</v>
      </c>
      <c r="S40" s="570">
        <f t="shared" si="31"/>
        <v>0</v>
      </c>
      <c r="T40" s="570">
        <f t="shared" si="31"/>
        <v>0</v>
      </c>
      <c r="U40" s="570">
        <f t="shared" si="31"/>
        <v>0</v>
      </c>
      <c r="V40" s="570">
        <f t="shared" si="31"/>
        <v>0</v>
      </c>
      <c r="W40" s="570">
        <f t="shared" si="31"/>
        <v>0</v>
      </c>
      <c r="X40" s="570">
        <f t="shared" si="31"/>
        <v>0</v>
      </c>
      <c r="Y40" s="570">
        <f t="shared" si="31"/>
        <v>0</v>
      </c>
      <c r="Z40" s="570">
        <f t="shared" si="31"/>
        <v>0</v>
      </c>
      <c r="AA40" s="570">
        <f t="shared" si="31"/>
        <v>0</v>
      </c>
      <c r="AB40" s="570">
        <f t="shared" si="31"/>
        <v>0</v>
      </c>
      <c r="AC40" s="570">
        <f t="shared" si="31"/>
        <v>0</v>
      </c>
      <c r="AD40" s="570">
        <f t="shared" si="31"/>
        <v>0</v>
      </c>
      <c r="AE40" s="570">
        <f t="shared" si="31"/>
        <v>0</v>
      </c>
      <c r="AF40" s="570">
        <f t="shared" si="31"/>
        <v>0</v>
      </c>
      <c r="AG40" s="570">
        <f t="shared" si="31"/>
        <v>0</v>
      </c>
      <c r="AH40" s="570">
        <f t="shared" si="31"/>
        <v>0</v>
      </c>
      <c r="AI40" s="570">
        <f t="shared" si="31"/>
        <v>0</v>
      </c>
      <c r="AJ40" s="570">
        <f t="shared" si="31"/>
        <v>0</v>
      </c>
      <c r="AK40" s="570">
        <f t="shared" si="31"/>
        <v>0</v>
      </c>
      <c r="AL40" s="570">
        <f t="shared" si="31"/>
        <v>0</v>
      </c>
    </row>
    <row r="42" spans="1:38">
      <c r="B42" s="573" t="s">
        <v>1055</v>
      </c>
      <c r="C42" s="574" t="s">
        <v>505</v>
      </c>
      <c r="D42" s="383">
        <f t="shared" ref="D42:AK42" si="32">D6*D40</f>
        <v>9.5657094721580123</v>
      </c>
      <c r="E42" s="383">
        <f t="shared" si="32"/>
        <v>9.9522918887599747</v>
      </c>
      <c r="F42" s="383">
        <f t="shared" si="32"/>
        <v>10.354497397957504</v>
      </c>
      <c r="G42" s="383">
        <f t="shared" si="32"/>
        <v>10.772957381344193</v>
      </c>
      <c r="H42" s="383">
        <f t="shared" si="32"/>
        <v>0</v>
      </c>
      <c r="I42" s="383">
        <f t="shared" si="32"/>
        <v>0</v>
      </c>
      <c r="J42" s="383">
        <f t="shared" si="32"/>
        <v>0</v>
      </c>
      <c r="K42" s="383">
        <f t="shared" si="32"/>
        <v>0</v>
      </c>
      <c r="L42" s="383">
        <f t="shared" si="32"/>
        <v>0</v>
      </c>
      <c r="M42" s="383">
        <f t="shared" si="32"/>
        <v>0</v>
      </c>
      <c r="N42" s="383">
        <f t="shared" si="32"/>
        <v>0</v>
      </c>
      <c r="O42" s="383">
        <f t="shared" si="32"/>
        <v>0</v>
      </c>
      <c r="P42" s="383">
        <f t="shared" si="32"/>
        <v>0</v>
      </c>
      <c r="Q42" s="383">
        <f t="shared" si="32"/>
        <v>0</v>
      </c>
      <c r="R42" s="383">
        <f t="shared" si="32"/>
        <v>0</v>
      </c>
      <c r="S42" s="383">
        <f t="shared" si="32"/>
        <v>0</v>
      </c>
      <c r="T42" s="383">
        <f t="shared" si="32"/>
        <v>0</v>
      </c>
      <c r="U42" s="383">
        <f t="shared" si="32"/>
        <v>0</v>
      </c>
      <c r="V42" s="383">
        <f t="shared" si="32"/>
        <v>0</v>
      </c>
      <c r="W42" s="383">
        <f t="shared" si="32"/>
        <v>0</v>
      </c>
      <c r="X42" s="383">
        <f t="shared" si="32"/>
        <v>0</v>
      </c>
      <c r="Y42" s="383">
        <f t="shared" si="32"/>
        <v>0</v>
      </c>
      <c r="Z42" s="383">
        <f t="shared" si="32"/>
        <v>0</v>
      </c>
      <c r="AA42" s="383">
        <f t="shared" si="32"/>
        <v>0</v>
      </c>
      <c r="AB42" s="383">
        <f t="shared" si="32"/>
        <v>0</v>
      </c>
      <c r="AC42" s="383">
        <f t="shared" si="32"/>
        <v>0</v>
      </c>
      <c r="AD42" s="383">
        <f t="shared" si="32"/>
        <v>0</v>
      </c>
      <c r="AE42" s="383">
        <f t="shared" si="32"/>
        <v>0</v>
      </c>
      <c r="AF42" s="383">
        <f t="shared" si="32"/>
        <v>0</v>
      </c>
      <c r="AG42" s="383">
        <f t="shared" si="32"/>
        <v>0</v>
      </c>
      <c r="AH42" s="383">
        <f t="shared" si="32"/>
        <v>0</v>
      </c>
      <c r="AI42" s="383">
        <f t="shared" si="32"/>
        <v>0</v>
      </c>
      <c r="AJ42" s="383">
        <f t="shared" si="32"/>
        <v>0</v>
      </c>
      <c r="AK42" s="383">
        <f t="shared" si="32"/>
        <v>0</v>
      </c>
      <c r="AL42" s="383">
        <f t="shared" ref="AL42" si="33">AL6*AL40</f>
        <v>0</v>
      </c>
    </row>
    <row r="43" spans="1:38">
      <c r="B43" s="573" t="s">
        <v>1056</v>
      </c>
      <c r="C43" s="574" t="s">
        <v>490</v>
      </c>
      <c r="D43" s="383">
        <f t="shared" ref="D43:AE43" si="34">D42*$C$13/2</f>
        <v>43.045692624711052</v>
      </c>
      <c r="E43" s="383">
        <f t="shared" si="34"/>
        <v>44.785313499419885</v>
      </c>
      <c r="F43" s="383">
        <f t="shared" si="34"/>
        <v>46.595238290808766</v>
      </c>
      <c r="G43" s="383">
        <f t="shared" si="34"/>
        <v>48.478308216048873</v>
      </c>
      <c r="H43" s="383">
        <f t="shared" si="34"/>
        <v>0</v>
      </c>
      <c r="I43" s="383">
        <f t="shared" si="34"/>
        <v>0</v>
      </c>
      <c r="J43" s="383">
        <f t="shared" si="34"/>
        <v>0</v>
      </c>
      <c r="K43" s="383">
        <f t="shared" si="34"/>
        <v>0</v>
      </c>
      <c r="L43" s="383">
        <f t="shared" si="34"/>
        <v>0</v>
      </c>
      <c r="M43" s="383">
        <f t="shared" si="34"/>
        <v>0</v>
      </c>
      <c r="N43" s="383">
        <f t="shared" si="34"/>
        <v>0</v>
      </c>
      <c r="O43" s="383">
        <f t="shared" si="34"/>
        <v>0</v>
      </c>
      <c r="P43" s="383">
        <f t="shared" si="34"/>
        <v>0</v>
      </c>
      <c r="Q43" s="383">
        <f t="shared" si="34"/>
        <v>0</v>
      </c>
      <c r="R43" s="383">
        <f t="shared" si="34"/>
        <v>0</v>
      </c>
      <c r="S43" s="383">
        <f t="shared" si="34"/>
        <v>0</v>
      </c>
      <c r="T43" s="383">
        <f t="shared" si="34"/>
        <v>0</v>
      </c>
      <c r="U43" s="383">
        <f t="shared" si="34"/>
        <v>0</v>
      </c>
      <c r="V43" s="383">
        <f t="shared" si="34"/>
        <v>0</v>
      </c>
      <c r="W43" s="383">
        <f t="shared" si="34"/>
        <v>0</v>
      </c>
      <c r="X43" s="383">
        <f t="shared" si="34"/>
        <v>0</v>
      </c>
      <c r="Y43" s="383">
        <f t="shared" si="34"/>
        <v>0</v>
      </c>
      <c r="Z43" s="383">
        <f t="shared" si="34"/>
        <v>0</v>
      </c>
      <c r="AA43" s="383">
        <f t="shared" si="34"/>
        <v>0</v>
      </c>
      <c r="AB43" s="383">
        <f t="shared" si="34"/>
        <v>0</v>
      </c>
      <c r="AC43" s="383">
        <f t="shared" si="34"/>
        <v>0</v>
      </c>
      <c r="AD43" s="383">
        <f t="shared" si="34"/>
        <v>0</v>
      </c>
      <c r="AE43" s="383">
        <f t="shared" si="34"/>
        <v>0</v>
      </c>
      <c r="AF43" s="383">
        <f t="shared" ref="AF43:AJ43" si="35">AF42*$C$13/2</f>
        <v>0</v>
      </c>
      <c r="AG43" s="383">
        <f t="shared" si="35"/>
        <v>0</v>
      </c>
      <c r="AH43" s="383">
        <f t="shared" si="35"/>
        <v>0</v>
      </c>
      <c r="AI43" s="383">
        <f t="shared" si="35"/>
        <v>0</v>
      </c>
      <c r="AJ43" s="383">
        <f t="shared" si="35"/>
        <v>0</v>
      </c>
      <c r="AK43" s="383">
        <f t="shared" ref="AK43:AL43" si="36">AK42*$C$13/2</f>
        <v>0</v>
      </c>
      <c r="AL43" s="383">
        <f t="shared" si="36"/>
        <v>0</v>
      </c>
    </row>
    <row r="44" spans="1:38">
      <c r="B44" s="575" t="s">
        <v>1057</v>
      </c>
      <c r="C44" s="574" t="s">
        <v>443</v>
      </c>
      <c r="D44" s="383">
        <f t="shared" ref="D44:AE44" si="37">D43/Minutes.per.Hour*Days.Per.Year</f>
        <v>261.86129680032559</v>
      </c>
      <c r="E44" s="383">
        <f t="shared" si="37"/>
        <v>272.44399045480429</v>
      </c>
      <c r="F44" s="383">
        <f t="shared" si="37"/>
        <v>283.45436626908662</v>
      </c>
      <c r="G44" s="383">
        <f t="shared" si="37"/>
        <v>294.90970831429729</v>
      </c>
      <c r="H44" s="383">
        <f t="shared" si="37"/>
        <v>0</v>
      </c>
      <c r="I44" s="383">
        <f t="shared" si="37"/>
        <v>0</v>
      </c>
      <c r="J44" s="383">
        <f t="shared" si="37"/>
        <v>0</v>
      </c>
      <c r="K44" s="383">
        <f t="shared" si="37"/>
        <v>0</v>
      </c>
      <c r="L44" s="383">
        <f t="shared" si="37"/>
        <v>0</v>
      </c>
      <c r="M44" s="383">
        <f t="shared" si="37"/>
        <v>0</v>
      </c>
      <c r="N44" s="383">
        <f t="shared" si="37"/>
        <v>0</v>
      </c>
      <c r="O44" s="383">
        <f t="shared" si="37"/>
        <v>0</v>
      </c>
      <c r="P44" s="383">
        <f t="shared" si="37"/>
        <v>0</v>
      </c>
      <c r="Q44" s="383">
        <f t="shared" si="37"/>
        <v>0</v>
      </c>
      <c r="R44" s="383">
        <f t="shared" si="37"/>
        <v>0</v>
      </c>
      <c r="S44" s="383">
        <f t="shared" si="37"/>
        <v>0</v>
      </c>
      <c r="T44" s="383">
        <f t="shared" si="37"/>
        <v>0</v>
      </c>
      <c r="U44" s="383">
        <f t="shared" si="37"/>
        <v>0</v>
      </c>
      <c r="V44" s="383">
        <f t="shared" si="37"/>
        <v>0</v>
      </c>
      <c r="W44" s="383">
        <f t="shared" si="37"/>
        <v>0</v>
      </c>
      <c r="X44" s="383">
        <f t="shared" si="37"/>
        <v>0</v>
      </c>
      <c r="Y44" s="383">
        <f t="shared" si="37"/>
        <v>0</v>
      </c>
      <c r="Z44" s="383">
        <f t="shared" si="37"/>
        <v>0</v>
      </c>
      <c r="AA44" s="383">
        <f t="shared" si="37"/>
        <v>0</v>
      </c>
      <c r="AB44" s="383">
        <f t="shared" si="37"/>
        <v>0</v>
      </c>
      <c r="AC44" s="383">
        <f t="shared" si="37"/>
        <v>0</v>
      </c>
      <c r="AD44" s="383">
        <f t="shared" si="37"/>
        <v>0</v>
      </c>
      <c r="AE44" s="383">
        <f t="shared" si="37"/>
        <v>0</v>
      </c>
      <c r="AF44" s="383">
        <f t="shared" ref="AF44:AJ44" si="38">AF43/Minutes.per.Hour*Days.Per.Year</f>
        <v>0</v>
      </c>
      <c r="AG44" s="383">
        <f t="shared" si="38"/>
        <v>0</v>
      </c>
      <c r="AH44" s="383">
        <f t="shared" si="38"/>
        <v>0</v>
      </c>
      <c r="AI44" s="383">
        <f t="shared" si="38"/>
        <v>0</v>
      </c>
      <c r="AJ44" s="383">
        <f t="shared" si="38"/>
        <v>0</v>
      </c>
      <c r="AK44" s="383">
        <f t="shared" ref="AK44:AL44" si="39">AK43/Minutes.per.Hour*Days.Per.Year</f>
        <v>0</v>
      </c>
      <c r="AL44" s="383">
        <f t="shared" si="39"/>
        <v>0</v>
      </c>
    </row>
    <row r="46" spans="1:38">
      <c r="B46" s="575" t="s">
        <v>745</v>
      </c>
      <c r="C46" s="574" t="s">
        <v>443</v>
      </c>
      <c r="D46" s="383">
        <f>D44</f>
        <v>261.86129680032559</v>
      </c>
      <c r="E46" s="383">
        <f t="shared" ref="E46:AJ46" si="40">E44</f>
        <v>272.44399045480429</v>
      </c>
      <c r="F46" s="383">
        <f t="shared" si="40"/>
        <v>283.45436626908662</v>
      </c>
      <c r="G46" s="383">
        <f t="shared" si="40"/>
        <v>294.90970831429729</v>
      </c>
      <c r="H46" s="383">
        <f t="shared" si="40"/>
        <v>0</v>
      </c>
      <c r="I46" s="383">
        <f t="shared" si="40"/>
        <v>0</v>
      </c>
      <c r="J46" s="383">
        <f t="shared" si="40"/>
        <v>0</v>
      </c>
      <c r="K46" s="383">
        <f t="shared" si="40"/>
        <v>0</v>
      </c>
      <c r="L46" s="383">
        <f t="shared" si="40"/>
        <v>0</v>
      </c>
      <c r="M46" s="383">
        <f t="shared" si="40"/>
        <v>0</v>
      </c>
      <c r="N46" s="383">
        <f t="shared" si="40"/>
        <v>0</v>
      </c>
      <c r="O46" s="383">
        <f t="shared" si="40"/>
        <v>0</v>
      </c>
      <c r="P46" s="383">
        <f t="shared" si="40"/>
        <v>0</v>
      </c>
      <c r="Q46" s="383">
        <f t="shared" si="40"/>
        <v>0</v>
      </c>
      <c r="R46" s="383">
        <f t="shared" si="40"/>
        <v>0</v>
      </c>
      <c r="S46" s="383">
        <f t="shared" si="40"/>
        <v>0</v>
      </c>
      <c r="T46" s="383">
        <f t="shared" si="40"/>
        <v>0</v>
      </c>
      <c r="U46" s="383">
        <f t="shared" si="40"/>
        <v>0</v>
      </c>
      <c r="V46" s="383">
        <f t="shared" si="40"/>
        <v>0</v>
      </c>
      <c r="W46" s="383">
        <f t="shared" si="40"/>
        <v>0</v>
      </c>
      <c r="X46" s="383">
        <f t="shared" si="40"/>
        <v>0</v>
      </c>
      <c r="Y46" s="383">
        <f t="shared" si="40"/>
        <v>0</v>
      </c>
      <c r="Z46" s="383">
        <f t="shared" si="40"/>
        <v>0</v>
      </c>
      <c r="AA46" s="383">
        <f t="shared" si="40"/>
        <v>0</v>
      </c>
      <c r="AB46" s="383">
        <f t="shared" si="40"/>
        <v>0</v>
      </c>
      <c r="AC46" s="383">
        <f t="shared" si="40"/>
        <v>0</v>
      </c>
      <c r="AD46" s="383">
        <f t="shared" si="40"/>
        <v>0</v>
      </c>
      <c r="AE46" s="383">
        <f t="shared" si="40"/>
        <v>0</v>
      </c>
      <c r="AF46" s="383">
        <f t="shared" si="40"/>
        <v>0</v>
      </c>
      <c r="AG46" s="383">
        <f t="shared" si="40"/>
        <v>0</v>
      </c>
      <c r="AH46" s="383">
        <f t="shared" si="40"/>
        <v>0</v>
      </c>
      <c r="AI46" s="383">
        <f t="shared" si="40"/>
        <v>0</v>
      </c>
      <c r="AJ46" s="383">
        <f t="shared" si="40"/>
        <v>0</v>
      </c>
      <c r="AK46" s="383">
        <f t="shared" ref="AK46:AL46" si="41">AK44</f>
        <v>0</v>
      </c>
      <c r="AL46" s="383">
        <f t="shared" si="41"/>
        <v>0</v>
      </c>
    </row>
    <row r="48" spans="1:38">
      <c r="B48" s="358" t="s">
        <v>508</v>
      </c>
      <c r="C48" s="358" t="s">
        <v>443</v>
      </c>
      <c r="D48" s="383">
        <f t="shared" ref="D48:AK48" si="42">D$46*$C22</f>
        <v>261.86129680032559</v>
      </c>
      <c r="E48" s="383">
        <f t="shared" si="42"/>
        <v>272.44399045480429</v>
      </c>
      <c r="F48" s="383">
        <f t="shared" si="42"/>
        <v>283.45436626908662</v>
      </c>
      <c r="G48" s="383">
        <f t="shared" si="42"/>
        <v>294.90970831429729</v>
      </c>
      <c r="H48" s="383">
        <f t="shared" si="42"/>
        <v>0</v>
      </c>
      <c r="I48" s="383">
        <f t="shared" si="42"/>
        <v>0</v>
      </c>
      <c r="J48" s="383">
        <f t="shared" si="42"/>
        <v>0</v>
      </c>
      <c r="K48" s="383">
        <f t="shared" si="42"/>
        <v>0</v>
      </c>
      <c r="L48" s="383">
        <f t="shared" si="42"/>
        <v>0</v>
      </c>
      <c r="M48" s="383">
        <f t="shared" si="42"/>
        <v>0</v>
      </c>
      <c r="N48" s="383">
        <f t="shared" si="42"/>
        <v>0</v>
      </c>
      <c r="O48" s="383">
        <f t="shared" si="42"/>
        <v>0</v>
      </c>
      <c r="P48" s="383">
        <f t="shared" si="42"/>
        <v>0</v>
      </c>
      <c r="Q48" s="383">
        <f t="shared" si="42"/>
        <v>0</v>
      </c>
      <c r="R48" s="383">
        <f t="shared" si="42"/>
        <v>0</v>
      </c>
      <c r="S48" s="383">
        <f t="shared" si="42"/>
        <v>0</v>
      </c>
      <c r="T48" s="383">
        <f t="shared" si="42"/>
        <v>0</v>
      </c>
      <c r="U48" s="383">
        <f t="shared" si="42"/>
        <v>0</v>
      </c>
      <c r="V48" s="383">
        <f t="shared" si="42"/>
        <v>0</v>
      </c>
      <c r="W48" s="383">
        <f t="shared" si="42"/>
        <v>0</v>
      </c>
      <c r="X48" s="383">
        <f t="shared" si="42"/>
        <v>0</v>
      </c>
      <c r="Y48" s="383">
        <f t="shared" si="42"/>
        <v>0</v>
      </c>
      <c r="Z48" s="383">
        <f t="shared" si="42"/>
        <v>0</v>
      </c>
      <c r="AA48" s="383">
        <f t="shared" si="42"/>
        <v>0</v>
      </c>
      <c r="AB48" s="383">
        <f t="shared" si="42"/>
        <v>0</v>
      </c>
      <c r="AC48" s="383">
        <f t="shared" si="42"/>
        <v>0</v>
      </c>
      <c r="AD48" s="383">
        <f t="shared" si="42"/>
        <v>0</v>
      </c>
      <c r="AE48" s="383">
        <f t="shared" si="42"/>
        <v>0</v>
      </c>
      <c r="AF48" s="383">
        <f t="shared" si="42"/>
        <v>0</v>
      </c>
      <c r="AG48" s="383">
        <f t="shared" si="42"/>
        <v>0</v>
      </c>
      <c r="AH48" s="383">
        <f t="shared" si="42"/>
        <v>0</v>
      </c>
      <c r="AI48" s="383">
        <f t="shared" si="42"/>
        <v>0</v>
      </c>
      <c r="AJ48" s="383">
        <f t="shared" si="42"/>
        <v>0</v>
      </c>
      <c r="AK48" s="383">
        <f t="shared" si="42"/>
        <v>0</v>
      </c>
      <c r="AL48" s="383">
        <f t="shared" ref="AL48" si="43">AL$46*$C22</f>
        <v>0</v>
      </c>
    </row>
    <row r="49" spans="2:38">
      <c r="B49" s="358" t="s">
        <v>509</v>
      </c>
      <c r="C49" s="358" t="s">
        <v>443</v>
      </c>
      <c r="D49" s="383">
        <f t="shared" ref="D49:AK49" si="44">D$46*$C23</f>
        <v>0</v>
      </c>
      <c r="E49" s="383">
        <f t="shared" si="44"/>
        <v>0</v>
      </c>
      <c r="F49" s="383">
        <f t="shared" si="44"/>
        <v>0</v>
      </c>
      <c r="G49" s="383">
        <f t="shared" si="44"/>
        <v>0</v>
      </c>
      <c r="H49" s="383">
        <f t="shared" si="44"/>
        <v>0</v>
      </c>
      <c r="I49" s="383">
        <f t="shared" si="44"/>
        <v>0</v>
      </c>
      <c r="J49" s="383">
        <f t="shared" si="44"/>
        <v>0</v>
      </c>
      <c r="K49" s="383">
        <f t="shared" si="44"/>
        <v>0</v>
      </c>
      <c r="L49" s="383">
        <f t="shared" si="44"/>
        <v>0</v>
      </c>
      <c r="M49" s="383">
        <f t="shared" si="44"/>
        <v>0</v>
      </c>
      <c r="N49" s="383">
        <f t="shared" si="44"/>
        <v>0</v>
      </c>
      <c r="O49" s="383">
        <f t="shared" si="44"/>
        <v>0</v>
      </c>
      <c r="P49" s="383">
        <f t="shared" si="44"/>
        <v>0</v>
      </c>
      <c r="Q49" s="383">
        <f t="shared" si="44"/>
        <v>0</v>
      </c>
      <c r="R49" s="383">
        <f t="shared" si="44"/>
        <v>0</v>
      </c>
      <c r="S49" s="383">
        <f t="shared" si="44"/>
        <v>0</v>
      </c>
      <c r="T49" s="383">
        <f t="shared" si="44"/>
        <v>0</v>
      </c>
      <c r="U49" s="383">
        <f t="shared" si="44"/>
        <v>0</v>
      </c>
      <c r="V49" s="383">
        <f t="shared" si="44"/>
        <v>0</v>
      </c>
      <c r="W49" s="383">
        <f t="shared" si="44"/>
        <v>0</v>
      </c>
      <c r="X49" s="383">
        <f t="shared" si="44"/>
        <v>0</v>
      </c>
      <c r="Y49" s="383">
        <f t="shared" si="44"/>
        <v>0</v>
      </c>
      <c r="Z49" s="383">
        <f t="shared" si="44"/>
        <v>0</v>
      </c>
      <c r="AA49" s="383">
        <f t="shared" si="44"/>
        <v>0</v>
      </c>
      <c r="AB49" s="383">
        <f t="shared" si="44"/>
        <v>0</v>
      </c>
      <c r="AC49" s="383">
        <f t="shared" si="44"/>
        <v>0</v>
      </c>
      <c r="AD49" s="383">
        <f t="shared" si="44"/>
        <v>0</v>
      </c>
      <c r="AE49" s="383">
        <f t="shared" si="44"/>
        <v>0</v>
      </c>
      <c r="AF49" s="383">
        <f t="shared" si="44"/>
        <v>0</v>
      </c>
      <c r="AG49" s="383">
        <f t="shared" si="44"/>
        <v>0</v>
      </c>
      <c r="AH49" s="383">
        <f t="shared" si="44"/>
        <v>0</v>
      </c>
      <c r="AI49" s="383">
        <f t="shared" si="44"/>
        <v>0</v>
      </c>
      <c r="AJ49" s="383">
        <f t="shared" si="44"/>
        <v>0</v>
      </c>
      <c r="AK49" s="383">
        <f t="shared" si="44"/>
        <v>0</v>
      </c>
      <c r="AL49" s="383">
        <f t="shared" ref="AL49" si="45">AL$46*$C23</f>
        <v>0</v>
      </c>
    </row>
    <row r="50" spans="2:38">
      <c r="B50" s="358" t="s">
        <v>747</v>
      </c>
      <c r="C50" s="358" t="s">
        <v>443</v>
      </c>
      <c r="D50" s="383">
        <f t="shared" ref="D50:AK50" si="46">D$46*$C24</f>
        <v>0</v>
      </c>
      <c r="E50" s="383">
        <f t="shared" si="46"/>
        <v>0</v>
      </c>
      <c r="F50" s="383">
        <f t="shared" si="46"/>
        <v>0</v>
      </c>
      <c r="G50" s="383">
        <f t="shared" si="46"/>
        <v>0</v>
      </c>
      <c r="H50" s="383">
        <f t="shared" si="46"/>
        <v>0</v>
      </c>
      <c r="I50" s="383">
        <f t="shared" si="46"/>
        <v>0</v>
      </c>
      <c r="J50" s="383">
        <f t="shared" si="46"/>
        <v>0</v>
      </c>
      <c r="K50" s="383">
        <f t="shared" si="46"/>
        <v>0</v>
      </c>
      <c r="L50" s="383">
        <f t="shared" si="46"/>
        <v>0</v>
      </c>
      <c r="M50" s="383">
        <f t="shared" si="46"/>
        <v>0</v>
      </c>
      <c r="N50" s="383">
        <f t="shared" si="46"/>
        <v>0</v>
      </c>
      <c r="O50" s="383">
        <f t="shared" si="46"/>
        <v>0</v>
      </c>
      <c r="P50" s="383">
        <f t="shared" si="46"/>
        <v>0</v>
      </c>
      <c r="Q50" s="383">
        <f t="shared" si="46"/>
        <v>0</v>
      </c>
      <c r="R50" s="383">
        <f t="shared" si="46"/>
        <v>0</v>
      </c>
      <c r="S50" s="383">
        <f t="shared" si="46"/>
        <v>0</v>
      </c>
      <c r="T50" s="383">
        <f t="shared" si="46"/>
        <v>0</v>
      </c>
      <c r="U50" s="383">
        <f t="shared" si="46"/>
        <v>0</v>
      </c>
      <c r="V50" s="383">
        <f t="shared" si="46"/>
        <v>0</v>
      </c>
      <c r="W50" s="383">
        <f t="shared" si="46"/>
        <v>0</v>
      </c>
      <c r="X50" s="383">
        <f t="shared" si="46"/>
        <v>0</v>
      </c>
      <c r="Y50" s="383">
        <f t="shared" si="46"/>
        <v>0</v>
      </c>
      <c r="Z50" s="383">
        <f t="shared" si="46"/>
        <v>0</v>
      </c>
      <c r="AA50" s="383">
        <f t="shared" si="46"/>
        <v>0</v>
      </c>
      <c r="AB50" s="383">
        <f t="shared" si="46"/>
        <v>0</v>
      </c>
      <c r="AC50" s="383">
        <f t="shared" si="46"/>
        <v>0</v>
      </c>
      <c r="AD50" s="383">
        <f t="shared" si="46"/>
        <v>0</v>
      </c>
      <c r="AE50" s="383">
        <f t="shared" si="46"/>
        <v>0</v>
      </c>
      <c r="AF50" s="383">
        <f t="shared" si="46"/>
        <v>0</v>
      </c>
      <c r="AG50" s="383">
        <f t="shared" si="46"/>
        <v>0</v>
      </c>
      <c r="AH50" s="383">
        <f t="shared" si="46"/>
        <v>0</v>
      </c>
      <c r="AI50" s="383">
        <f t="shared" si="46"/>
        <v>0</v>
      </c>
      <c r="AJ50" s="383">
        <f t="shared" si="46"/>
        <v>0</v>
      </c>
      <c r="AK50" s="383">
        <f t="shared" si="46"/>
        <v>0</v>
      </c>
      <c r="AL50" s="383">
        <f t="shared" ref="AL50" si="47">AL$46*$C24</f>
        <v>0</v>
      </c>
    </row>
    <row r="52" spans="2:38">
      <c r="B52" s="520" t="s">
        <v>788</v>
      </c>
      <c r="C52" s="358" t="s">
        <v>295</v>
      </c>
      <c r="D52" s="383">
        <f t="shared" ref="D52:AE52" si="48">IF(D$2&gt;VRCConstEnd,0,D32)</f>
        <v>93.615413606116391</v>
      </c>
      <c r="E52" s="383">
        <f t="shared" si="48"/>
        <v>97.398726587592535</v>
      </c>
      <c r="F52" s="383">
        <f t="shared" si="48"/>
        <v>101.33493594119847</v>
      </c>
      <c r="G52" s="383">
        <f t="shared" si="48"/>
        <v>105.43022072236127</v>
      </c>
      <c r="H52" s="383">
        <f t="shared" si="48"/>
        <v>0</v>
      </c>
      <c r="I52" s="383">
        <f t="shared" si="48"/>
        <v>0</v>
      </c>
      <c r="J52" s="383">
        <f t="shared" si="48"/>
        <v>0</v>
      </c>
      <c r="K52" s="383">
        <f t="shared" si="48"/>
        <v>0</v>
      </c>
      <c r="L52" s="383">
        <f t="shared" si="48"/>
        <v>0</v>
      </c>
      <c r="M52" s="383">
        <f t="shared" si="48"/>
        <v>0</v>
      </c>
      <c r="N52" s="383">
        <f t="shared" si="48"/>
        <v>0</v>
      </c>
      <c r="O52" s="383">
        <f t="shared" si="48"/>
        <v>0</v>
      </c>
      <c r="P52" s="383">
        <f t="shared" si="48"/>
        <v>0</v>
      </c>
      <c r="Q52" s="383">
        <f t="shared" si="48"/>
        <v>0</v>
      </c>
      <c r="R52" s="383">
        <f t="shared" si="48"/>
        <v>0</v>
      </c>
      <c r="S52" s="383">
        <f t="shared" si="48"/>
        <v>0</v>
      </c>
      <c r="T52" s="383">
        <f t="shared" si="48"/>
        <v>0</v>
      </c>
      <c r="U52" s="383">
        <f t="shared" si="48"/>
        <v>0</v>
      </c>
      <c r="V52" s="383">
        <f t="shared" si="48"/>
        <v>0</v>
      </c>
      <c r="W52" s="383">
        <f t="shared" si="48"/>
        <v>0</v>
      </c>
      <c r="X52" s="383">
        <f t="shared" si="48"/>
        <v>0</v>
      </c>
      <c r="Y52" s="383">
        <f t="shared" si="48"/>
        <v>0</v>
      </c>
      <c r="Z52" s="383">
        <f t="shared" si="48"/>
        <v>0</v>
      </c>
      <c r="AA52" s="383">
        <f t="shared" si="48"/>
        <v>0</v>
      </c>
      <c r="AB52" s="383">
        <f t="shared" si="48"/>
        <v>0</v>
      </c>
      <c r="AC52" s="383">
        <f t="shared" si="48"/>
        <v>0</v>
      </c>
      <c r="AD52" s="383">
        <f t="shared" si="48"/>
        <v>0</v>
      </c>
      <c r="AE52" s="383">
        <f t="shared" si="48"/>
        <v>0</v>
      </c>
      <c r="AF52" s="383">
        <f t="shared" ref="AF52:AJ52" si="49">IF(AF$2&gt;VRCConstEnd,0,AF32)</f>
        <v>0</v>
      </c>
      <c r="AG52" s="383">
        <f t="shared" si="49"/>
        <v>0</v>
      </c>
      <c r="AH52" s="383">
        <f t="shared" si="49"/>
        <v>0</v>
      </c>
      <c r="AI52" s="383">
        <f t="shared" si="49"/>
        <v>0</v>
      </c>
      <c r="AJ52" s="383">
        <f t="shared" si="49"/>
        <v>0</v>
      </c>
      <c r="AK52" s="383">
        <f t="shared" ref="AK52:AL52" si="50">IF(AK$2&gt;VRCConstEnd,0,AK32)</f>
        <v>0</v>
      </c>
      <c r="AL52" s="383">
        <f t="shared" si="50"/>
        <v>0</v>
      </c>
    </row>
    <row r="53" spans="2:38">
      <c r="B53" s="520" t="s">
        <v>789</v>
      </c>
      <c r="C53" s="358" t="s">
        <v>295</v>
      </c>
      <c r="D53" s="383">
        <f t="shared" ref="D53:AE53" si="51">IF(D$2&gt;VRCConstEnd,0,D33)</f>
        <v>0</v>
      </c>
      <c r="E53" s="383">
        <f t="shared" si="51"/>
        <v>0</v>
      </c>
      <c r="F53" s="383">
        <f t="shared" si="51"/>
        <v>0</v>
      </c>
      <c r="G53" s="383">
        <f t="shared" si="51"/>
        <v>0</v>
      </c>
      <c r="H53" s="383">
        <f t="shared" si="51"/>
        <v>0</v>
      </c>
      <c r="I53" s="383">
        <f t="shared" si="51"/>
        <v>0</v>
      </c>
      <c r="J53" s="383">
        <f t="shared" si="51"/>
        <v>0</v>
      </c>
      <c r="K53" s="383">
        <f t="shared" si="51"/>
        <v>0</v>
      </c>
      <c r="L53" s="383">
        <f t="shared" si="51"/>
        <v>0</v>
      </c>
      <c r="M53" s="383">
        <f t="shared" si="51"/>
        <v>0</v>
      </c>
      <c r="N53" s="383">
        <f t="shared" si="51"/>
        <v>0</v>
      </c>
      <c r="O53" s="383">
        <f t="shared" si="51"/>
        <v>0</v>
      </c>
      <c r="P53" s="383">
        <f t="shared" si="51"/>
        <v>0</v>
      </c>
      <c r="Q53" s="383">
        <f t="shared" si="51"/>
        <v>0</v>
      </c>
      <c r="R53" s="383">
        <f t="shared" si="51"/>
        <v>0</v>
      </c>
      <c r="S53" s="383">
        <f t="shared" si="51"/>
        <v>0</v>
      </c>
      <c r="T53" s="383">
        <f t="shared" si="51"/>
        <v>0</v>
      </c>
      <c r="U53" s="383">
        <f t="shared" si="51"/>
        <v>0</v>
      </c>
      <c r="V53" s="383">
        <f t="shared" si="51"/>
        <v>0</v>
      </c>
      <c r="W53" s="383">
        <f t="shared" si="51"/>
        <v>0</v>
      </c>
      <c r="X53" s="383">
        <f t="shared" si="51"/>
        <v>0</v>
      </c>
      <c r="Y53" s="383">
        <f t="shared" si="51"/>
        <v>0</v>
      </c>
      <c r="Z53" s="383">
        <f t="shared" si="51"/>
        <v>0</v>
      </c>
      <c r="AA53" s="383">
        <f t="shared" si="51"/>
        <v>0</v>
      </c>
      <c r="AB53" s="383">
        <f t="shared" si="51"/>
        <v>0</v>
      </c>
      <c r="AC53" s="383">
        <f t="shared" si="51"/>
        <v>0</v>
      </c>
      <c r="AD53" s="383">
        <f t="shared" si="51"/>
        <v>0</v>
      </c>
      <c r="AE53" s="383">
        <f t="shared" si="51"/>
        <v>0</v>
      </c>
      <c r="AF53" s="383">
        <f t="shared" ref="AF53:AJ53" si="52">IF(AF$2&gt;VRCConstEnd,0,AF33)</f>
        <v>0</v>
      </c>
      <c r="AG53" s="383">
        <f t="shared" si="52"/>
        <v>0</v>
      </c>
      <c r="AH53" s="383">
        <f t="shared" si="52"/>
        <v>0</v>
      </c>
      <c r="AI53" s="383">
        <f t="shared" si="52"/>
        <v>0</v>
      </c>
      <c r="AJ53" s="383">
        <f t="shared" si="52"/>
        <v>0</v>
      </c>
      <c r="AK53" s="383">
        <f t="shared" ref="AK53:AL53" si="53">IF(AK$2&gt;VRCConstEnd,0,AK33)</f>
        <v>0</v>
      </c>
      <c r="AL53" s="383">
        <f t="shared" si="53"/>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3">
    <tabColor theme="4" tint="-0.249977111117893"/>
    <pageSetUpPr autoPageBreaks="0"/>
  </sheetPr>
  <dimension ref="A1:AL205"/>
  <sheetViews>
    <sheetView showGridLines="0" zoomScaleNormal="100" workbookViewId="0">
      <pane ySplit="4" topLeftCell="A97" activePane="bottomLeft" state="frozen"/>
      <selection activeCell="D116" sqref="D116"/>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D3+1</f>
        <v>2022</v>
      </c>
      <c r="F3" s="508">
        <f t="shared" ref="F3:AE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ref="AF3" si="1">AE3+1</f>
        <v>2049</v>
      </c>
      <c r="AG3" s="508">
        <f t="shared" ref="AG3" si="2">AF3+1</f>
        <v>2050</v>
      </c>
      <c r="AH3" s="508">
        <f t="shared" ref="AH3" si="3">AG3+1</f>
        <v>2051</v>
      </c>
      <c r="AI3" s="508">
        <f t="shared" ref="AI3" si="4">AH3+1</f>
        <v>2052</v>
      </c>
      <c r="AJ3" s="508">
        <f t="shared" ref="AJ3:AL3" si="5">AI3+1</f>
        <v>2053</v>
      </c>
      <c r="AK3" s="508">
        <f t="shared" si="5"/>
        <v>2054</v>
      </c>
      <c r="AL3" s="508">
        <f t="shared" si="5"/>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6">E9*(1+$C$8)</f>
        <v>12071000</v>
      </c>
      <c r="G9" s="498">
        <f t="shared" si="6"/>
        <v>12071000</v>
      </c>
      <c r="H9" s="498">
        <f t="shared" si="6"/>
        <v>12071000</v>
      </c>
      <c r="I9" s="498">
        <f t="shared" si="6"/>
        <v>12071000</v>
      </c>
      <c r="J9" s="498">
        <f t="shared" si="6"/>
        <v>12071000</v>
      </c>
      <c r="K9" s="498">
        <f t="shared" si="6"/>
        <v>12071000</v>
      </c>
      <c r="L9" s="498">
        <f t="shared" si="6"/>
        <v>12071000</v>
      </c>
      <c r="M9" s="498">
        <f t="shared" si="6"/>
        <v>12071000</v>
      </c>
      <c r="N9" s="498">
        <f t="shared" si="6"/>
        <v>12071000</v>
      </c>
      <c r="O9" s="498">
        <f t="shared" si="6"/>
        <v>12071000</v>
      </c>
      <c r="P9" s="498">
        <f t="shared" si="6"/>
        <v>12071000</v>
      </c>
      <c r="Q9" s="498">
        <f t="shared" si="6"/>
        <v>12071000</v>
      </c>
      <c r="R9" s="498">
        <f t="shared" si="6"/>
        <v>12071000</v>
      </c>
      <c r="S9" s="498">
        <f t="shared" si="6"/>
        <v>12071000</v>
      </c>
      <c r="T9" s="498">
        <f t="shared" si="6"/>
        <v>12071000</v>
      </c>
      <c r="U9" s="498">
        <f t="shared" si="6"/>
        <v>12071000</v>
      </c>
      <c r="V9" s="498">
        <f t="shared" ref="U9:AE11" si="7">U9*(1+$C$8)</f>
        <v>12071000</v>
      </c>
      <c r="W9" s="498">
        <f t="shared" si="7"/>
        <v>12071000</v>
      </c>
      <c r="X9" s="498">
        <f t="shared" si="7"/>
        <v>12071000</v>
      </c>
      <c r="Y9" s="498">
        <f t="shared" si="7"/>
        <v>12071000</v>
      </c>
      <c r="Z9" s="498">
        <f t="shared" si="7"/>
        <v>12071000</v>
      </c>
      <c r="AA9" s="498">
        <f t="shared" si="7"/>
        <v>12071000</v>
      </c>
      <c r="AB9" s="498">
        <f t="shared" si="7"/>
        <v>12071000</v>
      </c>
      <c r="AC9" s="498">
        <f t="shared" si="7"/>
        <v>12071000</v>
      </c>
      <c r="AD9" s="498">
        <f t="shared" si="7"/>
        <v>12071000</v>
      </c>
      <c r="AE9" s="498">
        <f t="shared" si="7"/>
        <v>12071000</v>
      </c>
      <c r="AF9" s="498">
        <f t="shared" ref="AF9:AF11" si="8">AE9*(1+$C$8)</f>
        <v>12071000</v>
      </c>
      <c r="AG9" s="498">
        <f t="shared" ref="AG9:AG11" si="9">AF9*(1+$C$8)</f>
        <v>12071000</v>
      </c>
      <c r="AH9" s="498">
        <f t="shared" ref="AH9:AH11" si="10">AG9*(1+$C$8)</f>
        <v>12071000</v>
      </c>
      <c r="AI9" s="498">
        <f t="shared" ref="AI9:AI11" si="11">AH9*(1+$C$8)</f>
        <v>12071000</v>
      </c>
      <c r="AJ9" s="498">
        <f t="shared" ref="AJ9:AL11" si="12">AI9*(1+$C$8)</f>
        <v>12071000</v>
      </c>
      <c r="AK9" s="498">
        <f t="shared" si="12"/>
        <v>12071000</v>
      </c>
      <c r="AL9" s="498">
        <f t="shared" si="12"/>
        <v>12071000</v>
      </c>
    </row>
    <row r="10" spans="1:38">
      <c r="B10" s="476" t="s">
        <v>973</v>
      </c>
      <c r="C10" s="384" t="s">
        <v>1075</v>
      </c>
      <c r="D10" s="498">
        <f>'General Inputs'!D24</f>
        <v>284100</v>
      </c>
      <c r="E10" s="498">
        <f t="shared" ref="E10:T11" si="13">D10*(1+$C$8)</f>
        <v>284100</v>
      </c>
      <c r="F10" s="498">
        <f t="shared" si="13"/>
        <v>284100</v>
      </c>
      <c r="G10" s="498">
        <f t="shared" si="13"/>
        <v>284100</v>
      </c>
      <c r="H10" s="498">
        <f t="shared" si="13"/>
        <v>284100</v>
      </c>
      <c r="I10" s="498">
        <f t="shared" si="13"/>
        <v>284100</v>
      </c>
      <c r="J10" s="498">
        <f t="shared" si="13"/>
        <v>284100</v>
      </c>
      <c r="K10" s="498">
        <f t="shared" si="13"/>
        <v>284100</v>
      </c>
      <c r="L10" s="498">
        <f t="shared" si="13"/>
        <v>284100</v>
      </c>
      <c r="M10" s="498">
        <f t="shared" si="13"/>
        <v>284100</v>
      </c>
      <c r="N10" s="498">
        <f t="shared" si="13"/>
        <v>284100</v>
      </c>
      <c r="O10" s="498">
        <f t="shared" si="13"/>
        <v>284100</v>
      </c>
      <c r="P10" s="498">
        <f t="shared" si="13"/>
        <v>284100</v>
      </c>
      <c r="Q10" s="498">
        <f t="shared" si="13"/>
        <v>284100</v>
      </c>
      <c r="R10" s="498">
        <f t="shared" si="13"/>
        <v>284100</v>
      </c>
      <c r="S10" s="498">
        <f t="shared" si="13"/>
        <v>284100</v>
      </c>
      <c r="T10" s="498">
        <f t="shared" si="13"/>
        <v>284100</v>
      </c>
      <c r="U10" s="498">
        <f t="shared" si="7"/>
        <v>284100</v>
      </c>
      <c r="V10" s="498">
        <f t="shared" si="7"/>
        <v>284100</v>
      </c>
      <c r="W10" s="498">
        <f t="shared" si="7"/>
        <v>284100</v>
      </c>
      <c r="X10" s="498">
        <f t="shared" si="7"/>
        <v>284100</v>
      </c>
      <c r="Y10" s="498">
        <f t="shared" si="7"/>
        <v>284100</v>
      </c>
      <c r="Z10" s="498">
        <f t="shared" si="7"/>
        <v>284100</v>
      </c>
      <c r="AA10" s="498">
        <f t="shared" si="7"/>
        <v>284100</v>
      </c>
      <c r="AB10" s="498">
        <f t="shared" si="7"/>
        <v>284100</v>
      </c>
      <c r="AC10" s="498">
        <f t="shared" si="7"/>
        <v>284100</v>
      </c>
      <c r="AD10" s="498">
        <f t="shared" si="7"/>
        <v>284100</v>
      </c>
      <c r="AE10" s="498">
        <f t="shared" si="7"/>
        <v>284100</v>
      </c>
      <c r="AF10" s="498">
        <f t="shared" si="8"/>
        <v>284100</v>
      </c>
      <c r="AG10" s="498">
        <f t="shared" si="9"/>
        <v>284100</v>
      </c>
      <c r="AH10" s="498">
        <f t="shared" si="10"/>
        <v>284100</v>
      </c>
      <c r="AI10" s="498">
        <f t="shared" si="11"/>
        <v>284100</v>
      </c>
      <c r="AJ10" s="498">
        <f t="shared" si="12"/>
        <v>284100</v>
      </c>
      <c r="AK10" s="498">
        <f t="shared" si="12"/>
        <v>284100</v>
      </c>
      <c r="AL10" s="498">
        <f t="shared" si="12"/>
        <v>284100</v>
      </c>
    </row>
    <row r="11" spans="1:38">
      <c r="B11" s="476" t="s">
        <v>451</v>
      </c>
      <c r="C11" s="473" t="s">
        <v>453</v>
      </c>
      <c r="D11" s="498">
        <f>'General Inputs'!D25</f>
        <v>4500</v>
      </c>
      <c r="E11" s="498">
        <f t="shared" si="13"/>
        <v>4500</v>
      </c>
      <c r="F11" s="498">
        <f t="shared" si="13"/>
        <v>4500</v>
      </c>
      <c r="G11" s="498">
        <f t="shared" si="13"/>
        <v>4500</v>
      </c>
      <c r="H11" s="498">
        <f t="shared" si="13"/>
        <v>4500</v>
      </c>
      <c r="I11" s="498">
        <f t="shared" si="13"/>
        <v>4500</v>
      </c>
      <c r="J11" s="498">
        <f t="shared" si="13"/>
        <v>4500</v>
      </c>
      <c r="K11" s="498">
        <f t="shared" si="13"/>
        <v>4500</v>
      </c>
      <c r="L11" s="498">
        <f t="shared" si="13"/>
        <v>4500</v>
      </c>
      <c r="M11" s="498">
        <f t="shared" si="13"/>
        <v>4500</v>
      </c>
      <c r="N11" s="498">
        <f t="shared" si="13"/>
        <v>4500</v>
      </c>
      <c r="O11" s="498">
        <f t="shared" si="13"/>
        <v>4500</v>
      </c>
      <c r="P11" s="498">
        <f t="shared" si="13"/>
        <v>4500</v>
      </c>
      <c r="Q11" s="498">
        <f t="shared" si="13"/>
        <v>4500</v>
      </c>
      <c r="R11" s="498">
        <f t="shared" si="13"/>
        <v>4500</v>
      </c>
      <c r="S11" s="498">
        <f t="shared" si="13"/>
        <v>4500</v>
      </c>
      <c r="T11" s="498">
        <f t="shared" si="13"/>
        <v>4500</v>
      </c>
      <c r="U11" s="498">
        <f t="shared" si="7"/>
        <v>4500</v>
      </c>
      <c r="V11" s="498">
        <f t="shared" si="7"/>
        <v>4500</v>
      </c>
      <c r="W11" s="498">
        <f t="shared" si="7"/>
        <v>4500</v>
      </c>
      <c r="X11" s="498">
        <f t="shared" si="7"/>
        <v>4500</v>
      </c>
      <c r="Y11" s="498">
        <f t="shared" si="7"/>
        <v>4500</v>
      </c>
      <c r="Z11" s="498">
        <f t="shared" si="7"/>
        <v>4500</v>
      </c>
      <c r="AA11" s="498">
        <f t="shared" si="7"/>
        <v>4500</v>
      </c>
      <c r="AB11" s="498">
        <f t="shared" si="7"/>
        <v>4500</v>
      </c>
      <c r="AC11" s="498">
        <f t="shared" si="7"/>
        <v>4500</v>
      </c>
      <c r="AD11" s="498">
        <f t="shared" si="7"/>
        <v>4500</v>
      </c>
      <c r="AE11" s="498">
        <f t="shared" si="7"/>
        <v>4500</v>
      </c>
      <c r="AF11" s="498">
        <f t="shared" si="8"/>
        <v>4500</v>
      </c>
      <c r="AG11" s="498">
        <f t="shared" si="9"/>
        <v>4500</v>
      </c>
      <c r="AH11" s="498">
        <f t="shared" si="10"/>
        <v>4500</v>
      </c>
      <c r="AI11" s="498">
        <f t="shared" si="11"/>
        <v>4500</v>
      </c>
      <c r="AJ11" s="498">
        <f t="shared" si="12"/>
        <v>4500</v>
      </c>
      <c r="AK11" s="498">
        <f t="shared" si="12"/>
        <v>4500</v>
      </c>
      <c r="AL11" s="498">
        <f t="shared" si="12"/>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'A1.2'!D23</f>
        <v>4.2005938647314209E-4</v>
      </c>
      <c r="E15" s="388">
        <f>'A1.2'!E23</f>
        <v>4.2645088782326693E-4</v>
      </c>
      <c r="F15" s="388">
        <f>'A1.2'!F23</f>
        <v>4.329416253388946E-4</v>
      </c>
      <c r="G15" s="388">
        <f>'A1.2'!G23</f>
        <v>4.3953315793380816E-4</v>
      </c>
      <c r="H15" s="388">
        <f>'A1.2'!H23</f>
        <v>4.462270691491591E-4</v>
      </c>
      <c r="I15" s="388">
        <f>'A1.2'!I23</f>
        <v>4.5302496754230258E-4</v>
      </c>
      <c r="J15" s="388">
        <f>'A1.2'!J23</f>
        <v>4.5992848708177961E-4</v>
      </c>
      <c r="K15" s="388">
        <f>'A1.2'!K23</f>
        <v>4.6693928754854518E-4</v>
      </c>
      <c r="L15" s="388">
        <f>'A1.2'!L23</f>
        <v>4.7405905494353928E-4</v>
      </c>
      <c r="M15" s="388">
        <f>'A1.2'!M23</f>
        <v>4.8128950190170648E-4</v>
      </c>
      <c r="N15" s="388">
        <f>'A1.2'!N23</f>
        <v>4.8863236811255587E-4</v>
      </c>
      <c r="O15" s="388">
        <f>'A1.2'!O23</f>
        <v>4.9608942074737467E-4</v>
      </c>
      <c r="P15" s="388">
        <f>'A1.2'!P23</f>
        <v>5.0366245489319439E-4</v>
      </c>
      <c r="Q15" s="388">
        <f>'A1.2'!Q23</f>
        <v>5.1135329399361936E-4</v>
      </c>
      <c r="R15" s="388">
        <f>'A1.2'!R23</f>
        <v>5.191637902966222E-4</v>
      </c>
      <c r="S15" s="388">
        <f>'A1.2'!S23</f>
        <v>5.2709582530942073E-4</v>
      </c>
      <c r="T15" s="388">
        <f>'A1.2'!T23</f>
        <v>5.3515131026054565E-4</v>
      </c>
      <c r="U15" s="388">
        <f>'A1.2'!U23</f>
        <v>5.4333218656921244E-4</v>
      </c>
      <c r="V15" s="388">
        <f>'A1.2'!V23</f>
        <v>5.5164042632211341E-4</v>
      </c>
      <c r="W15" s="388">
        <f>'A1.2'!W23</f>
        <v>5.6007803275774648E-4</v>
      </c>
      <c r="X15" s="388">
        <f>'A1.2'!X23</f>
        <v>5.68647040758402E-4</v>
      </c>
      <c r="Y15" s="388">
        <f>'A1.2'!Y23</f>
        <v>5.7734951734992386E-4</v>
      </c>
      <c r="Z15" s="388">
        <f>'A1.2'!Z23</f>
        <v>5.861875622093733E-4</v>
      </c>
      <c r="AA15" s="388">
        <f>'A1.2'!AA23</f>
        <v>5.9516330818071533E-4</v>
      </c>
      <c r="AB15" s="388">
        <f>'A1.2'!AB23</f>
        <v>6.0427892179865919E-4</v>
      </c>
      <c r="AC15" s="388">
        <f>'A1.2'!AC23</f>
        <v>6.135366038207752E-4</v>
      </c>
      <c r="AD15" s="388">
        <f>'A1.2'!AD23</f>
        <v>6.229385897680267E-4</v>
      </c>
      <c r="AE15" s="388">
        <f>'A1.2'!AE23</f>
        <v>6.3248715047384317E-4</v>
      </c>
      <c r="AF15" s="388">
        <f>'A1.2'!AF23</f>
        <v>6.4218459264187369E-4</v>
      </c>
      <c r="AG15" s="388">
        <f>'A1.2'!AG23</f>
        <v>6.5203325941255589E-4</v>
      </c>
      <c r="AH15" s="388">
        <f>'A1.2'!AH23</f>
        <v>6.6203553093863892E-4</v>
      </c>
      <c r="AI15" s="388">
        <f>'A1.2'!AI23</f>
        <v>6.7219382496980652E-4</v>
      </c>
      <c r="AJ15" s="388">
        <f>'A1.2'!AJ23</f>
        <v>6.8251059744653679E-4</v>
      </c>
      <c r="AK15" s="388">
        <f>'A1.2'!AK23</f>
        <v>6.9298834310334875E-4</v>
      </c>
      <c r="AL15" s="388">
        <f>'A1.2'!AL23</f>
        <v>7.0362959608158795E-4</v>
      </c>
    </row>
    <row r="16" spans="1:38">
      <c r="B16" s="367" t="s">
        <v>516</v>
      </c>
      <c r="C16" s="367" t="s">
        <v>329</v>
      </c>
      <c r="D16" s="388">
        <f>'A1.2'!D24</f>
        <v>7.8259758132207483E-3</v>
      </c>
      <c r="E16" s="388">
        <f>'A1.2'!E24</f>
        <v>7.9392974948247676E-3</v>
      </c>
      <c r="F16" s="388">
        <f>'A1.2'!F24</f>
        <v>8.0542767475239516E-3</v>
      </c>
      <c r="G16" s="388">
        <f>'A1.2'!G24</f>
        <v>8.170937917155216E-3</v>
      </c>
      <c r="H16" s="388">
        <f>'A1.2'!H24</f>
        <v>8.2893057078288271E-3</v>
      </c>
      <c r="I16" s="388">
        <f>'A1.2'!I24</f>
        <v>8.4094051871915401E-3</v>
      </c>
      <c r="J16" s="388">
        <f>'A1.2'!J24</f>
        <v>8.5312617917672161E-3</v>
      </c>
      <c r="K16" s="388">
        <f>'A1.2'!K24</f>
        <v>8.6549013323761817E-3</v>
      </c>
      <c r="L16" s="388">
        <f>'A1.2'!L24</f>
        <v>8.7803499996343803E-3</v>
      </c>
      <c r="M16" s="388">
        <f>'A1.2'!M24</f>
        <v>8.9076343695335871E-3</v>
      </c>
      <c r="N16" s="388">
        <f>'A1.2'!N24</f>
        <v>9.0367814091037897E-3</v>
      </c>
      <c r="O16" s="388">
        <f>'A1.2'!O24</f>
        <v>9.1678184821589598E-3</v>
      </c>
      <c r="P16" s="388">
        <f>'A1.2'!P24</f>
        <v>9.3007733551275021E-3</v>
      </c>
      <c r="Q16" s="388">
        <f>'A1.2'!Q24</f>
        <v>9.4356742029685619E-3</v>
      </c>
      <c r="R16" s="388">
        <f>'A1.2'!R24</f>
        <v>9.5725496151754085E-3</v>
      </c>
      <c r="S16" s="388">
        <f>'A1.2'!S24</f>
        <v>9.711428601867295E-3</v>
      </c>
      <c r="T16" s="388">
        <f>'A1.2'!T24</f>
        <v>9.8523405999710149E-3</v>
      </c>
      <c r="U16" s="388">
        <f>'A1.2'!U24</f>
        <v>9.9953154794934669E-3</v>
      </c>
      <c r="V16" s="388">
        <f>'A1.2'!V24</f>
        <v>1.0140383549886573E-2</v>
      </c>
      <c r="W16" s="388">
        <f>'A1.2'!W24</f>
        <v>1.0287575566505927E-2</v>
      </c>
      <c r="X16" s="388">
        <f>'A1.2'!X24</f>
        <v>1.0436922737164565E-2</v>
      </c>
      <c r="Y16" s="388">
        <f>'A1.2'!Y24</f>
        <v>1.0588456728783155E-2</v>
      </c>
      <c r="Z16" s="388">
        <f>'A1.2'!Z24</f>
        <v>1.0742209674138161E-2</v>
      </c>
      <c r="AA16" s="388">
        <f>'A1.2'!AA24</f>
        <v>1.0898214178709313E-2</v>
      </c>
      <c r="AB16" s="388">
        <f>'A1.2'!AB24</f>
        <v>1.1056503327627899E-2</v>
      </c>
      <c r="AC16" s="388">
        <f>'A1.2'!AC24</f>
        <v>1.1217110692727315E-2</v>
      </c>
      <c r="AD16" s="388">
        <f>'A1.2'!AD24</f>
        <v>1.1380070339697424E-2</v>
      </c>
      <c r="AE16" s="388">
        <f>'A1.2'!AE24</f>
        <v>1.154541683534421E-2</v>
      </c>
      <c r="AF16" s="388">
        <f>'A1.2'!AF24</f>
        <v>1.171318525495631E-2</v>
      </c>
      <c r="AG16" s="388">
        <f>'A1.2'!AG24</f>
        <v>1.1883411189779945E-2</v>
      </c>
      <c r="AH16" s="388">
        <f>'A1.2'!AH24</f>
        <v>1.2056130754603864E-2</v>
      </c>
      <c r="AI16" s="388">
        <f>'A1.2'!AI24</f>
        <v>1.2231380595455987E-2</v>
      </c>
      <c r="AJ16" s="388">
        <f>'A1.2'!AJ24</f>
        <v>1.2409197897413227E-2</v>
      </c>
      <c r="AK16" s="388">
        <f>'A1.2'!AK24</f>
        <v>1.2589620392526311E-2</v>
      </c>
      <c r="AL16" s="388">
        <f>'A1.2'!AL24</f>
        <v>1.2772686367861233E-2</v>
      </c>
    </row>
    <row r="17" spans="1:38">
      <c r="B17" s="367" t="s">
        <v>517</v>
      </c>
      <c r="C17" s="367" t="s">
        <v>518</v>
      </c>
      <c r="D17" s="388">
        <f>'A1.2'!D22</f>
        <v>3.6553430196310958E-2</v>
      </c>
      <c r="E17" s="388">
        <f>'A1.2'!E22</f>
        <v>3.7083040071946766E-2</v>
      </c>
      <c r="F17" s="388">
        <f>'A1.2'!F22</f>
        <v>3.762040236751131E-2</v>
      </c>
      <c r="G17" s="388">
        <f>'A1.2'!G22</f>
        <v>3.8165631049262072E-2</v>
      </c>
      <c r="H17" s="388">
        <f>'A1.2'!H22</f>
        <v>3.8718841762270438E-2</v>
      </c>
      <c r="I17" s="388">
        <f>'A1.2'!I22</f>
        <v>3.9280151855110988E-2</v>
      </c>
      <c r="J17" s="388">
        <f>'A1.2'!J22</f>
        <v>3.9849680404914718E-2</v>
      </c>
      <c r="K17" s="388">
        <f>'A1.2'!K22</f>
        <v>4.0427548242792037E-2</v>
      </c>
      <c r="L17" s="388">
        <f>'A1.2'!L22</f>
        <v>4.101387797963043E-2</v>
      </c>
      <c r="M17" s="388">
        <f>'A1.2'!M22</f>
        <v>4.1608794032273064E-2</v>
      </c>
      <c r="N17" s="388">
        <f>'A1.2'!N22</f>
        <v>4.2212422650083042E-2</v>
      </c>
      <c r="O17" s="388">
        <f>'A1.2'!O22</f>
        <v>4.2824891941899527E-2</v>
      </c>
      <c r="P17" s="388">
        <f>'A1.2'!P22</f>
        <v>4.3446331903391519E-2</v>
      </c>
      <c r="Q17" s="388">
        <f>'A1.2'!Q22</f>
        <v>4.4076874444814861E-2</v>
      </c>
      <c r="R17" s="388">
        <f>'A1.2'!R22</f>
        <v>4.4716653419178361E-2</v>
      </c>
      <c r="S17" s="388">
        <f>'A1.2'!S22</f>
        <v>4.5365804650825403E-2</v>
      </c>
      <c r="T17" s="388">
        <f>'A1.2'!T22</f>
        <v>4.6024465964436954E-2</v>
      </c>
      <c r="U17" s="388">
        <f>'A1.2'!U22</f>
        <v>4.6692777214461988E-2</v>
      </c>
      <c r="V17" s="388">
        <f>'A1.2'!V22</f>
        <v>4.7370880314981836E-2</v>
      </c>
      <c r="W17" s="388">
        <f>'A1.2'!W22</f>
        <v>4.8058919270014801E-2</v>
      </c>
      <c r="X17" s="388">
        <f>'A1.2'!X22</f>
        <v>4.8757040204267556E-2</v>
      </c>
      <c r="Y17" s="388">
        <f>'A1.2'!Y22</f>
        <v>4.9465391394339572E-2</v>
      </c>
      <c r="Z17" s="388">
        <f>'A1.2'!Z22</f>
        <v>5.0184123300387788E-2</v>
      </c>
      <c r="AA17" s="388">
        <f>'A1.2'!AA22</f>
        <v>5.0913388598257781E-2</v>
      </c>
      <c r="AB17" s="388">
        <f>'A1.2'!AB22</f>
        <v>5.1653342212088643E-2</v>
      </c>
      <c r="AC17" s="388">
        <f>'A1.2'!AC22</f>
        <v>5.2404141347398216E-2</v>
      </c>
      <c r="AD17" s="388">
        <f>'A1.2'!AD22</f>
        <v>5.3165945524656089E-2</v>
      </c>
      <c r="AE17" s="388">
        <f>'A1.2'!AE22</f>
        <v>5.3938916613351262E-2</v>
      </c>
      <c r="AF17" s="388">
        <f>'A1.2'!AF22</f>
        <v>5.4723218866561979E-2</v>
      </c>
      <c r="AG17" s="388">
        <f>'A1.2'!AG22</f>
        <v>5.5519018956034838E-2</v>
      </c>
      <c r="AH17" s="388">
        <f>'A1.2'!AH22</f>
        <v>5.6326486007780847E-2</v>
      </c>
      <c r="AI17" s="388">
        <f>'A1.2'!AI22</f>
        <v>5.7145791638196212E-2</v>
      </c>
      <c r="AJ17" s="388">
        <f>'A1.2'!AJ22</f>
        <v>5.7977109990715099E-2</v>
      </c>
      <c r="AK17" s="388">
        <f>'A1.2'!AK22</f>
        <v>5.8820617773002473E-2</v>
      </c>
      <c r="AL17" s="388">
        <f>'A1.2'!AL22</f>
        <v>5.9676494294695286E-2</v>
      </c>
    </row>
    <row r="18" spans="1:38">
      <c r="D18" s="358"/>
      <c r="F18" s="464"/>
      <c r="G18" s="465"/>
      <c r="H18" s="465"/>
    </row>
    <row r="19" spans="1:38">
      <c r="B19" s="366" t="s">
        <v>719</v>
      </c>
      <c r="C19" s="484" t="s">
        <v>292</v>
      </c>
      <c r="D19" s="485">
        <f t="shared" ref="D19:AK19" si="14">D15*D9</f>
        <v>5070.5368541172984</v>
      </c>
      <c r="E19" s="485">
        <f t="shared" si="14"/>
        <v>5147.6886669146552</v>
      </c>
      <c r="F19" s="485">
        <f t="shared" si="14"/>
        <v>5226.0383594657969</v>
      </c>
      <c r="G19" s="485">
        <f t="shared" si="14"/>
        <v>5305.6047494189979</v>
      </c>
      <c r="H19" s="485">
        <f t="shared" si="14"/>
        <v>5386.4069516994996</v>
      </c>
      <c r="I19" s="485">
        <f t="shared" si="14"/>
        <v>5468.4643832031343</v>
      </c>
      <c r="J19" s="485">
        <f t="shared" si="14"/>
        <v>5551.7967675641612</v>
      </c>
      <c r="K19" s="485">
        <f t="shared" si="14"/>
        <v>5636.4241399984885</v>
      </c>
      <c r="L19" s="485">
        <f t="shared" si="14"/>
        <v>5722.366852223463</v>
      </c>
      <c r="M19" s="485">
        <f t="shared" si="14"/>
        <v>5809.6455774554988</v>
      </c>
      <c r="N19" s="485">
        <f t="shared" si="14"/>
        <v>5898.2813154866617</v>
      </c>
      <c r="O19" s="485">
        <f t="shared" si="14"/>
        <v>5988.2953978415599</v>
      </c>
      <c r="P19" s="485">
        <f t="shared" si="14"/>
        <v>6079.7094930157491</v>
      </c>
      <c r="Q19" s="485">
        <f t="shared" si="14"/>
        <v>6172.5456117969798</v>
      </c>
      <c r="R19" s="485">
        <f t="shared" si="14"/>
        <v>6266.8261126705265</v>
      </c>
      <c r="S19" s="485">
        <f t="shared" si="14"/>
        <v>6362.5737073100181</v>
      </c>
      <c r="T19" s="485">
        <f t="shared" si="14"/>
        <v>6459.8114661550462</v>
      </c>
      <c r="U19" s="485">
        <f t="shared" si="14"/>
        <v>6558.5628240769638</v>
      </c>
      <c r="V19" s="485">
        <f t="shared" si="14"/>
        <v>6658.8515861342312</v>
      </c>
      <c r="W19" s="485">
        <f t="shared" si="14"/>
        <v>6760.701933418758</v>
      </c>
      <c r="X19" s="485">
        <f t="shared" si="14"/>
        <v>6864.1384289946709</v>
      </c>
      <c r="Y19" s="485">
        <f t="shared" si="14"/>
        <v>6969.1860239309308</v>
      </c>
      <c r="Z19" s="485">
        <f t="shared" si="14"/>
        <v>7075.8700634293455</v>
      </c>
      <c r="AA19" s="485">
        <f t="shared" si="14"/>
        <v>7184.2162930494151</v>
      </c>
      <c r="AB19" s="485">
        <f t="shared" si="14"/>
        <v>7294.2508650316149</v>
      </c>
      <c r="AC19" s="485">
        <f t="shared" si="14"/>
        <v>7406.0003447205772</v>
      </c>
      <c r="AD19" s="485">
        <f t="shared" si="14"/>
        <v>7519.4917170898507</v>
      </c>
      <c r="AE19" s="485">
        <f t="shared" si="14"/>
        <v>7634.7523933697612</v>
      </c>
      <c r="AF19" s="485">
        <f t="shared" si="14"/>
        <v>7751.8102177800574</v>
      </c>
      <c r="AG19" s="485">
        <f t="shared" si="14"/>
        <v>7870.6934743689617</v>
      </c>
      <c r="AH19" s="485">
        <f t="shared" si="14"/>
        <v>7991.4308939603106</v>
      </c>
      <c r="AI19" s="485">
        <f t="shared" si="14"/>
        <v>8114.0516612105348</v>
      </c>
      <c r="AJ19" s="485">
        <f t="shared" si="14"/>
        <v>8238.5854217771448</v>
      </c>
      <c r="AK19" s="485">
        <f t="shared" si="14"/>
        <v>8365.0622896005225</v>
      </c>
      <c r="AL19" s="485">
        <f t="shared" ref="AL19" si="15">AL15*AL9</f>
        <v>8493.5128543008486</v>
      </c>
    </row>
    <row r="20" spans="1:38">
      <c r="B20" s="366" t="s">
        <v>720</v>
      </c>
      <c r="C20" s="484" t="s">
        <v>292</v>
      </c>
      <c r="D20" s="485">
        <f t="shared" ref="D20:AK20" si="16">D16*D10</f>
        <v>2223.3597285360147</v>
      </c>
      <c r="E20" s="485">
        <f t="shared" si="16"/>
        <v>2255.5544182797166</v>
      </c>
      <c r="F20" s="485">
        <f t="shared" si="16"/>
        <v>2288.2200239715548</v>
      </c>
      <c r="G20" s="485">
        <f t="shared" si="16"/>
        <v>2321.3634622637969</v>
      </c>
      <c r="H20" s="485">
        <f t="shared" si="16"/>
        <v>2354.9917515941697</v>
      </c>
      <c r="I20" s="485">
        <f t="shared" si="16"/>
        <v>2389.1120136811164</v>
      </c>
      <c r="J20" s="485">
        <f t="shared" si="16"/>
        <v>2423.731475041066</v>
      </c>
      <c r="K20" s="485">
        <f t="shared" si="16"/>
        <v>2458.8574685280732</v>
      </c>
      <c r="L20" s="485">
        <f t="shared" si="16"/>
        <v>2494.4974348961273</v>
      </c>
      <c r="M20" s="485">
        <f t="shared" si="16"/>
        <v>2530.6589243844919</v>
      </c>
      <c r="N20" s="485">
        <f t="shared" si="16"/>
        <v>2567.3495983263865</v>
      </c>
      <c r="O20" s="485">
        <f t="shared" si="16"/>
        <v>2604.5772307813604</v>
      </c>
      <c r="P20" s="485">
        <f t="shared" si="16"/>
        <v>2642.3497101917233</v>
      </c>
      <c r="Q20" s="485">
        <f t="shared" si="16"/>
        <v>2680.6750410633686</v>
      </c>
      <c r="R20" s="485">
        <f t="shared" si="16"/>
        <v>2719.5613456713336</v>
      </c>
      <c r="S20" s="485">
        <f t="shared" si="16"/>
        <v>2759.0168657904983</v>
      </c>
      <c r="T20" s="485">
        <f t="shared" si="16"/>
        <v>2799.0499644517654</v>
      </c>
      <c r="U20" s="485">
        <f t="shared" si="16"/>
        <v>2839.6691277240939</v>
      </c>
      <c r="V20" s="485">
        <f t="shared" si="16"/>
        <v>2880.8829665227754</v>
      </c>
      <c r="W20" s="485">
        <f t="shared" si="16"/>
        <v>2922.700218444334</v>
      </c>
      <c r="X20" s="485">
        <f t="shared" si="16"/>
        <v>2965.1297496284528</v>
      </c>
      <c r="Y20" s="485">
        <f t="shared" si="16"/>
        <v>3008.1805566472945</v>
      </c>
      <c r="Z20" s="485">
        <f t="shared" si="16"/>
        <v>3051.8617684226515</v>
      </c>
      <c r="AA20" s="485">
        <f t="shared" si="16"/>
        <v>3096.1826481713156</v>
      </c>
      <c r="AB20" s="485">
        <f t="shared" si="16"/>
        <v>3141.1525953790861</v>
      </c>
      <c r="AC20" s="485">
        <f t="shared" si="16"/>
        <v>3186.7811478038302</v>
      </c>
      <c r="AD20" s="485">
        <f t="shared" si="16"/>
        <v>3233.077983508038</v>
      </c>
      <c r="AE20" s="485">
        <f t="shared" si="16"/>
        <v>3280.0529229212898</v>
      </c>
      <c r="AF20" s="485">
        <f t="shared" si="16"/>
        <v>3327.7159309330877</v>
      </c>
      <c r="AG20" s="485">
        <f t="shared" si="16"/>
        <v>3376.0771190164824</v>
      </c>
      <c r="AH20" s="485">
        <f t="shared" si="16"/>
        <v>3425.1467473829575</v>
      </c>
      <c r="AI20" s="485">
        <f t="shared" si="16"/>
        <v>3474.9352271690459</v>
      </c>
      <c r="AJ20" s="485">
        <f t="shared" si="16"/>
        <v>3525.453122655098</v>
      </c>
      <c r="AK20" s="485">
        <f t="shared" si="16"/>
        <v>3576.7111535167251</v>
      </c>
      <c r="AL20" s="485">
        <f t="shared" ref="AL20" si="17">AL16*AL10</f>
        <v>3628.7201971093764</v>
      </c>
    </row>
    <row r="21" spans="1:38">
      <c r="B21" s="366" t="s">
        <v>721</v>
      </c>
      <c r="C21" s="484" t="s">
        <v>292</v>
      </c>
      <c r="D21" s="485">
        <f t="shared" ref="D21:AK21" si="18">D17*D11</f>
        <v>164.4904358833993</v>
      </c>
      <c r="E21" s="485">
        <f t="shared" si="18"/>
        <v>166.87368032376045</v>
      </c>
      <c r="F21" s="485">
        <f t="shared" si="18"/>
        <v>169.29181065380089</v>
      </c>
      <c r="G21" s="485">
        <f t="shared" si="18"/>
        <v>171.74533972167933</v>
      </c>
      <c r="H21" s="485">
        <f t="shared" si="18"/>
        <v>174.23478793021698</v>
      </c>
      <c r="I21" s="485">
        <f t="shared" si="18"/>
        <v>176.76068334799945</v>
      </c>
      <c r="J21" s="485">
        <f t="shared" si="18"/>
        <v>179.32356182211623</v>
      </c>
      <c r="K21" s="485">
        <f t="shared" si="18"/>
        <v>181.92396709256417</v>
      </c>
      <c r="L21" s="485">
        <f t="shared" si="18"/>
        <v>184.56245090833693</v>
      </c>
      <c r="M21" s="485">
        <f t="shared" si="18"/>
        <v>187.23957314522877</v>
      </c>
      <c r="N21" s="485">
        <f t="shared" si="18"/>
        <v>189.95590192537369</v>
      </c>
      <c r="O21" s="485">
        <f t="shared" si="18"/>
        <v>192.71201373854788</v>
      </c>
      <c r="P21" s="485">
        <f t="shared" si="18"/>
        <v>195.50849356526183</v>
      </c>
      <c r="Q21" s="485">
        <f t="shared" si="18"/>
        <v>198.34593500166687</v>
      </c>
      <c r="R21" s="485">
        <f t="shared" si="18"/>
        <v>201.22494038630262</v>
      </c>
      <c r="S21" s="485">
        <f t="shared" si="18"/>
        <v>204.14612092871431</v>
      </c>
      <c r="T21" s="485">
        <f t="shared" si="18"/>
        <v>207.1100968399663</v>
      </c>
      <c r="U21" s="485">
        <f t="shared" si="18"/>
        <v>210.11749746507894</v>
      </c>
      <c r="V21" s="485">
        <f t="shared" si="18"/>
        <v>213.16896141741827</v>
      </c>
      <c r="W21" s="485">
        <f t="shared" si="18"/>
        <v>216.2651367150666</v>
      </c>
      <c r="X21" s="485">
        <f t="shared" si="18"/>
        <v>219.40668091920401</v>
      </c>
      <c r="Y21" s="485">
        <f t="shared" si="18"/>
        <v>222.59426127452807</v>
      </c>
      <c r="Z21" s="485">
        <f t="shared" si="18"/>
        <v>225.82855485174505</v>
      </c>
      <c r="AA21" s="485">
        <f t="shared" si="18"/>
        <v>229.11024869216001</v>
      </c>
      <c r="AB21" s="485">
        <f t="shared" si="18"/>
        <v>232.44003995439888</v>
      </c>
      <c r="AC21" s="485">
        <f t="shared" si="18"/>
        <v>235.81863606329196</v>
      </c>
      <c r="AD21" s="485">
        <f t="shared" si="18"/>
        <v>239.24675486095239</v>
      </c>
      <c r="AE21" s="485">
        <f t="shared" si="18"/>
        <v>242.72512476008069</v>
      </c>
      <c r="AF21" s="485">
        <f t="shared" si="18"/>
        <v>246.2544848995289</v>
      </c>
      <c r="AG21" s="485">
        <f t="shared" si="18"/>
        <v>249.83558530215677</v>
      </c>
      <c r="AH21" s="485">
        <f t="shared" si="18"/>
        <v>253.46918703501382</v>
      </c>
      <c r="AI21" s="485">
        <f t="shared" si="18"/>
        <v>257.15606237188297</v>
      </c>
      <c r="AJ21" s="485">
        <f t="shared" si="18"/>
        <v>260.89699495821793</v>
      </c>
      <c r="AK21" s="485">
        <f t="shared" si="18"/>
        <v>264.69277997851111</v>
      </c>
      <c r="AL21" s="485">
        <f t="shared" ref="AL21" si="19">AL17*AL11</f>
        <v>268.54422432612881</v>
      </c>
    </row>
    <row r="22" spans="1:38">
      <c r="D22" s="358"/>
      <c r="F22" s="464"/>
      <c r="G22" s="465"/>
      <c r="H22" s="465"/>
    </row>
    <row r="23" spans="1:38" ht="13">
      <c r="B23" s="486" t="s">
        <v>461</v>
      </c>
      <c r="C23" s="487" t="s">
        <v>292</v>
      </c>
      <c r="D23" s="488">
        <f>SUM(D19:D21)</f>
        <v>7458.3870185367123</v>
      </c>
      <c r="E23" s="488">
        <f t="shared" ref="E23:AE23" si="20">SUM(E19:E21)</f>
        <v>7570.1167655181325</v>
      </c>
      <c r="F23" s="488">
        <f t="shared" si="20"/>
        <v>7683.5501940911527</v>
      </c>
      <c r="G23" s="488">
        <f t="shared" si="20"/>
        <v>7798.7135514044749</v>
      </c>
      <c r="H23" s="488">
        <f t="shared" si="20"/>
        <v>7915.6334912238863</v>
      </c>
      <c r="I23" s="488">
        <f t="shared" si="20"/>
        <v>8034.3370802322506</v>
      </c>
      <c r="J23" s="488">
        <f t="shared" si="20"/>
        <v>8154.8518044273433</v>
      </c>
      <c r="K23" s="488">
        <f t="shared" si="20"/>
        <v>8277.2055756191257</v>
      </c>
      <c r="L23" s="488">
        <f t="shared" si="20"/>
        <v>8401.4267380279271</v>
      </c>
      <c r="M23" s="488">
        <f t="shared" si="20"/>
        <v>8527.5440749852187</v>
      </c>
      <c r="N23" s="488">
        <f t="shared" si="20"/>
        <v>8655.586815738423</v>
      </c>
      <c r="O23" s="488">
        <f t="shared" si="20"/>
        <v>8785.5846423614694</v>
      </c>
      <c r="P23" s="488">
        <f t="shared" si="20"/>
        <v>8917.5676967727341</v>
      </c>
      <c r="Q23" s="488">
        <f t="shared" si="20"/>
        <v>9051.5665878620166</v>
      </c>
      <c r="R23" s="488">
        <f t="shared" si="20"/>
        <v>9187.6123987281626</v>
      </c>
      <c r="S23" s="488">
        <f t="shared" si="20"/>
        <v>9325.7366940292304</v>
      </c>
      <c r="T23" s="488">
        <f t="shared" si="20"/>
        <v>9465.9715274467781</v>
      </c>
      <c r="U23" s="488">
        <f t="shared" si="20"/>
        <v>9608.3494492661357</v>
      </c>
      <c r="V23" s="488">
        <f t="shared" si="20"/>
        <v>9752.9035140744236</v>
      </c>
      <c r="W23" s="488">
        <f t="shared" si="20"/>
        <v>9899.6672885781591</v>
      </c>
      <c r="X23" s="488">
        <f t="shared" si="20"/>
        <v>10048.674859542329</v>
      </c>
      <c r="Y23" s="488">
        <f t="shared" si="20"/>
        <v>10199.960841852753</v>
      </c>
      <c r="Z23" s="488">
        <f t="shared" si="20"/>
        <v>10353.560386703743</v>
      </c>
      <c r="AA23" s="488">
        <f t="shared" si="20"/>
        <v>10509.509189912891</v>
      </c>
      <c r="AB23" s="488">
        <f t="shared" si="20"/>
        <v>10667.843500365099</v>
      </c>
      <c r="AC23" s="488">
        <f t="shared" si="20"/>
        <v>10828.600128587699</v>
      </c>
      <c r="AD23" s="488">
        <f t="shared" si="20"/>
        <v>10991.816455458842</v>
      </c>
      <c r="AE23" s="488">
        <f t="shared" si="20"/>
        <v>11157.530441051131</v>
      </c>
      <c r="AF23" s="488">
        <f t="shared" ref="AF23:AJ23" si="21">SUM(AF19:AF21)</f>
        <v>11325.780633612674</v>
      </c>
      <c r="AG23" s="488">
        <f t="shared" si="21"/>
        <v>11496.606178687602</v>
      </c>
      <c r="AH23" s="488">
        <f t="shared" si="21"/>
        <v>11670.046828378283</v>
      </c>
      <c r="AI23" s="488">
        <f t="shared" si="21"/>
        <v>11846.142950751464</v>
      </c>
      <c r="AJ23" s="488">
        <f t="shared" si="21"/>
        <v>12024.935539390461</v>
      </c>
      <c r="AK23" s="488">
        <f t="shared" ref="AK23:AL23" si="22">SUM(AK19:AK21)</f>
        <v>12206.466223095758</v>
      </c>
      <c r="AL23" s="488">
        <f t="shared" si="22"/>
        <v>12390.777275736355</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 t="shared" ref="D27:AK27" si="23">IF(D$3&gt;VRCConstEnd,0,D15)</f>
        <v>4.2005938647314209E-4</v>
      </c>
      <c r="E27" s="388">
        <f t="shared" si="23"/>
        <v>4.2645088782326693E-4</v>
      </c>
      <c r="F27" s="388">
        <f t="shared" si="23"/>
        <v>4.329416253388946E-4</v>
      </c>
      <c r="G27" s="388">
        <f t="shared" si="23"/>
        <v>4.3953315793380816E-4</v>
      </c>
      <c r="H27" s="388">
        <f t="shared" si="23"/>
        <v>0</v>
      </c>
      <c r="I27" s="388">
        <f t="shared" si="23"/>
        <v>0</v>
      </c>
      <c r="J27" s="388">
        <f t="shared" si="23"/>
        <v>0</v>
      </c>
      <c r="K27" s="388">
        <f t="shared" si="23"/>
        <v>0</v>
      </c>
      <c r="L27" s="388">
        <f t="shared" si="23"/>
        <v>0</v>
      </c>
      <c r="M27" s="388">
        <f t="shared" si="23"/>
        <v>0</v>
      </c>
      <c r="N27" s="388">
        <f t="shared" si="23"/>
        <v>0</v>
      </c>
      <c r="O27" s="388">
        <f t="shared" si="23"/>
        <v>0</v>
      </c>
      <c r="P27" s="388">
        <f t="shared" si="23"/>
        <v>0</v>
      </c>
      <c r="Q27" s="388">
        <f t="shared" si="23"/>
        <v>0</v>
      </c>
      <c r="R27" s="388">
        <f t="shared" si="23"/>
        <v>0</v>
      </c>
      <c r="S27" s="388">
        <f t="shared" si="23"/>
        <v>0</v>
      </c>
      <c r="T27" s="388">
        <f t="shared" si="23"/>
        <v>0</v>
      </c>
      <c r="U27" s="388">
        <f t="shared" si="23"/>
        <v>0</v>
      </c>
      <c r="V27" s="388">
        <f t="shared" si="23"/>
        <v>0</v>
      </c>
      <c r="W27" s="388">
        <f t="shared" si="23"/>
        <v>0</v>
      </c>
      <c r="X27" s="388">
        <f t="shared" si="23"/>
        <v>0</v>
      </c>
      <c r="Y27" s="388">
        <f t="shared" si="23"/>
        <v>0</v>
      </c>
      <c r="Z27" s="388">
        <f t="shared" si="23"/>
        <v>0</v>
      </c>
      <c r="AA27" s="388">
        <f t="shared" si="23"/>
        <v>0</v>
      </c>
      <c r="AB27" s="388">
        <f t="shared" si="23"/>
        <v>0</v>
      </c>
      <c r="AC27" s="388">
        <f t="shared" si="23"/>
        <v>0</v>
      </c>
      <c r="AD27" s="388">
        <f t="shared" si="23"/>
        <v>0</v>
      </c>
      <c r="AE27" s="388">
        <f t="shared" si="23"/>
        <v>0</v>
      </c>
      <c r="AF27" s="388">
        <f t="shared" si="23"/>
        <v>0</v>
      </c>
      <c r="AG27" s="388">
        <f t="shared" si="23"/>
        <v>0</v>
      </c>
      <c r="AH27" s="388">
        <f t="shared" si="23"/>
        <v>0</v>
      </c>
      <c r="AI27" s="388">
        <f t="shared" si="23"/>
        <v>0</v>
      </c>
      <c r="AJ27" s="388">
        <f t="shared" si="23"/>
        <v>0</v>
      </c>
      <c r="AK27" s="388">
        <f t="shared" si="23"/>
        <v>0</v>
      </c>
      <c r="AL27" s="388">
        <f t="shared" ref="AL27" si="24">IF(AL$3&gt;VRCConstEnd,0,AL15)</f>
        <v>0</v>
      </c>
    </row>
    <row r="28" spans="1:38">
      <c r="B28" s="367" t="s">
        <v>516</v>
      </c>
      <c r="C28" s="367" t="s">
        <v>329</v>
      </c>
      <c r="D28" s="388">
        <f t="shared" ref="D28:G28" si="25">IF(D$3&gt;VRCConstEnd,0,D16)</f>
        <v>7.8259758132207483E-3</v>
      </c>
      <c r="E28" s="388">
        <f t="shared" si="25"/>
        <v>7.9392974948247676E-3</v>
      </c>
      <c r="F28" s="388">
        <f t="shared" si="25"/>
        <v>8.0542767475239516E-3</v>
      </c>
      <c r="G28" s="388">
        <f t="shared" si="25"/>
        <v>8.170937917155216E-3</v>
      </c>
      <c r="H28" s="388">
        <f t="shared" ref="H28:L28" si="26">IF(H$3&gt;VRCConstEnd,0,H16)</f>
        <v>0</v>
      </c>
      <c r="I28" s="388">
        <f t="shared" si="26"/>
        <v>0</v>
      </c>
      <c r="J28" s="388">
        <f t="shared" si="26"/>
        <v>0</v>
      </c>
      <c r="K28" s="388">
        <f t="shared" si="26"/>
        <v>0</v>
      </c>
      <c r="L28" s="388">
        <f t="shared" si="26"/>
        <v>0</v>
      </c>
      <c r="M28" s="388">
        <f t="shared" ref="M28:AK28" si="27">IF(M$3&gt;VRCConstEnd,0,M16)</f>
        <v>0</v>
      </c>
      <c r="N28" s="388">
        <f t="shared" si="27"/>
        <v>0</v>
      </c>
      <c r="O28" s="388">
        <f t="shared" si="27"/>
        <v>0</v>
      </c>
      <c r="P28" s="388">
        <f t="shared" si="27"/>
        <v>0</v>
      </c>
      <c r="Q28" s="388">
        <f t="shared" si="27"/>
        <v>0</v>
      </c>
      <c r="R28" s="388">
        <f t="shared" si="27"/>
        <v>0</v>
      </c>
      <c r="S28" s="388">
        <f t="shared" si="27"/>
        <v>0</v>
      </c>
      <c r="T28" s="388">
        <f t="shared" si="27"/>
        <v>0</v>
      </c>
      <c r="U28" s="388">
        <f t="shared" si="27"/>
        <v>0</v>
      </c>
      <c r="V28" s="388">
        <f t="shared" si="27"/>
        <v>0</v>
      </c>
      <c r="W28" s="388">
        <f t="shared" si="27"/>
        <v>0</v>
      </c>
      <c r="X28" s="388">
        <f t="shared" si="27"/>
        <v>0</v>
      </c>
      <c r="Y28" s="388">
        <f t="shared" si="27"/>
        <v>0</v>
      </c>
      <c r="Z28" s="388">
        <f t="shared" si="27"/>
        <v>0</v>
      </c>
      <c r="AA28" s="388">
        <f t="shared" si="27"/>
        <v>0</v>
      </c>
      <c r="AB28" s="388">
        <f t="shared" si="27"/>
        <v>0</v>
      </c>
      <c r="AC28" s="388">
        <f t="shared" si="27"/>
        <v>0</v>
      </c>
      <c r="AD28" s="388">
        <f t="shared" si="27"/>
        <v>0</v>
      </c>
      <c r="AE28" s="388">
        <f t="shared" si="27"/>
        <v>0</v>
      </c>
      <c r="AF28" s="388">
        <f t="shared" si="27"/>
        <v>0</v>
      </c>
      <c r="AG28" s="388">
        <f t="shared" si="27"/>
        <v>0</v>
      </c>
      <c r="AH28" s="388">
        <f t="shared" si="27"/>
        <v>0</v>
      </c>
      <c r="AI28" s="388">
        <f t="shared" si="27"/>
        <v>0</v>
      </c>
      <c r="AJ28" s="388">
        <f t="shared" si="27"/>
        <v>0</v>
      </c>
      <c r="AK28" s="388">
        <f t="shared" si="27"/>
        <v>0</v>
      </c>
      <c r="AL28" s="388">
        <f t="shared" ref="AL28" si="28">IF(AL$3&gt;VRCConstEnd,0,AL16)</f>
        <v>0</v>
      </c>
    </row>
    <row r="29" spans="1:38">
      <c r="B29" s="367" t="s">
        <v>517</v>
      </c>
      <c r="C29" s="367" t="s">
        <v>518</v>
      </c>
      <c r="D29" s="388">
        <f t="shared" ref="D29:AK29" si="29">IF(D$3&gt;VRCConstEnd,0,D17)</f>
        <v>3.6553430196310958E-2</v>
      </c>
      <c r="E29" s="388">
        <f t="shared" si="29"/>
        <v>3.7083040071946766E-2</v>
      </c>
      <c r="F29" s="388">
        <f t="shared" si="29"/>
        <v>3.762040236751131E-2</v>
      </c>
      <c r="G29" s="388">
        <f t="shared" si="29"/>
        <v>3.8165631049262072E-2</v>
      </c>
      <c r="H29" s="388">
        <f t="shared" si="29"/>
        <v>0</v>
      </c>
      <c r="I29" s="388">
        <f t="shared" si="29"/>
        <v>0</v>
      </c>
      <c r="J29" s="388">
        <f t="shared" si="29"/>
        <v>0</v>
      </c>
      <c r="K29" s="388">
        <f t="shared" si="29"/>
        <v>0</v>
      </c>
      <c r="L29" s="388">
        <f t="shared" si="29"/>
        <v>0</v>
      </c>
      <c r="M29" s="388">
        <f t="shared" si="29"/>
        <v>0</v>
      </c>
      <c r="N29" s="388">
        <f t="shared" si="29"/>
        <v>0</v>
      </c>
      <c r="O29" s="388">
        <f t="shared" si="29"/>
        <v>0</v>
      </c>
      <c r="P29" s="388">
        <f t="shared" si="29"/>
        <v>0</v>
      </c>
      <c r="Q29" s="388">
        <f t="shared" si="29"/>
        <v>0</v>
      </c>
      <c r="R29" s="388">
        <f t="shared" si="29"/>
        <v>0</v>
      </c>
      <c r="S29" s="388">
        <f t="shared" si="29"/>
        <v>0</v>
      </c>
      <c r="T29" s="388">
        <f t="shared" si="29"/>
        <v>0</v>
      </c>
      <c r="U29" s="388">
        <f t="shared" si="29"/>
        <v>0</v>
      </c>
      <c r="V29" s="388">
        <f t="shared" si="29"/>
        <v>0</v>
      </c>
      <c r="W29" s="388">
        <f t="shared" si="29"/>
        <v>0</v>
      </c>
      <c r="X29" s="388">
        <f t="shared" si="29"/>
        <v>0</v>
      </c>
      <c r="Y29" s="388">
        <f t="shared" si="29"/>
        <v>0</v>
      </c>
      <c r="Z29" s="388">
        <f t="shared" si="29"/>
        <v>0</v>
      </c>
      <c r="AA29" s="388">
        <f t="shared" si="29"/>
        <v>0</v>
      </c>
      <c r="AB29" s="388">
        <f t="shared" si="29"/>
        <v>0</v>
      </c>
      <c r="AC29" s="388">
        <f t="shared" si="29"/>
        <v>0</v>
      </c>
      <c r="AD29" s="388">
        <f t="shared" si="29"/>
        <v>0</v>
      </c>
      <c r="AE29" s="388">
        <f t="shared" si="29"/>
        <v>0</v>
      </c>
      <c r="AF29" s="388">
        <f t="shared" si="29"/>
        <v>0</v>
      </c>
      <c r="AG29" s="388">
        <f t="shared" si="29"/>
        <v>0</v>
      </c>
      <c r="AH29" s="388">
        <f t="shared" si="29"/>
        <v>0</v>
      </c>
      <c r="AI29" s="388">
        <f t="shared" si="29"/>
        <v>0</v>
      </c>
      <c r="AJ29" s="388">
        <f t="shared" si="29"/>
        <v>0</v>
      </c>
      <c r="AK29" s="388">
        <f t="shared" si="29"/>
        <v>0</v>
      </c>
      <c r="AL29" s="388">
        <f t="shared" ref="AL29" si="30">IF(AL$3&gt;VRCConstEnd,0,AL17)</f>
        <v>0</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31">D27*D9</f>
        <v>5070.5368541172984</v>
      </c>
      <c r="E31" s="485">
        <f t="shared" si="31"/>
        <v>5147.6886669146552</v>
      </c>
      <c r="F31" s="485">
        <f t="shared" si="31"/>
        <v>5226.0383594657969</v>
      </c>
      <c r="G31" s="485">
        <f t="shared" si="31"/>
        <v>5305.6047494189979</v>
      </c>
      <c r="H31" s="485">
        <f t="shared" si="31"/>
        <v>0</v>
      </c>
      <c r="I31" s="485">
        <f t="shared" si="31"/>
        <v>0</v>
      </c>
      <c r="J31" s="485">
        <f t="shared" si="31"/>
        <v>0</v>
      </c>
      <c r="K31" s="485">
        <f t="shared" si="31"/>
        <v>0</v>
      </c>
      <c r="L31" s="485">
        <f t="shared" si="31"/>
        <v>0</v>
      </c>
      <c r="M31" s="485">
        <f t="shared" si="31"/>
        <v>0</v>
      </c>
      <c r="N31" s="485">
        <f t="shared" si="31"/>
        <v>0</v>
      </c>
      <c r="O31" s="485">
        <f t="shared" si="31"/>
        <v>0</v>
      </c>
      <c r="P31" s="485">
        <f t="shared" si="31"/>
        <v>0</v>
      </c>
      <c r="Q31" s="485">
        <f t="shared" si="31"/>
        <v>0</v>
      </c>
      <c r="R31" s="485">
        <f t="shared" si="31"/>
        <v>0</v>
      </c>
      <c r="S31" s="485">
        <f t="shared" si="31"/>
        <v>0</v>
      </c>
      <c r="T31" s="485">
        <f t="shared" si="31"/>
        <v>0</v>
      </c>
      <c r="U31" s="485">
        <f t="shared" si="31"/>
        <v>0</v>
      </c>
      <c r="V31" s="485">
        <f t="shared" si="31"/>
        <v>0</v>
      </c>
      <c r="W31" s="485">
        <f t="shared" si="31"/>
        <v>0</v>
      </c>
      <c r="X31" s="485">
        <f t="shared" si="31"/>
        <v>0</v>
      </c>
      <c r="Y31" s="485">
        <f t="shared" si="31"/>
        <v>0</v>
      </c>
      <c r="Z31" s="485">
        <f t="shared" si="31"/>
        <v>0</v>
      </c>
      <c r="AA31" s="485">
        <f t="shared" si="31"/>
        <v>0</v>
      </c>
      <c r="AB31" s="485">
        <f t="shared" si="31"/>
        <v>0</v>
      </c>
      <c r="AC31" s="485">
        <f t="shared" si="31"/>
        <v>0</v>
      </c>
      <c r="AD31" s="485">
        <f t="shared" si="31"/>
        <v>0</v>
      </c>
      <c r="AE31" s="485">
        <f t="shared" si="31"/>
        <v>0</v>
      </c>
      <c r="AF31" s="485">
        <f t="shared" si="31"/>
        <v>0</v>
      </c>
      <c r="AG31" s="485">
        <f t="shared" si="31"/>
        <v>0</v>
      </c>
      <c r="AH31" s="485">
        <f t="shared" si="31"/>
        <v>0</v>
      </c>
      <c r="AI31" s="485">
        <f t="shared" si="31"/>
        <v>0</v>
      </c>
      <c r="AJ31" s="485">
        <f t="shared" si="31"/>
        <v>0</v>
      </c>
      <c r="AK31" s="485">
        <f t="shared" si="31"/>
        <v>0</v>
      </c>
      <c r="AL31" s="485">
        <f t="shared" ref="AL31" si="32">AL27*AL9</f>
        <v>0</v>
      </c>
    </row>
    <row r="32" spans="1:38">
      <c r="B32" s="366" t="s">
        <v>720</v>
      </c>
      <c r="C32" s="484" t="s">
        <v>292</v>
      </c>
      <c r="D32" s="485">
        <f t="shared" ref="D32:AK32" si="33">D28*D10</f>
        <v>2223.3597285360147</v>
      </c>
      <c r="E32" s="485">
        <f t="shared" si="33"/>
        <v>2255.5544182797166</v>
      </c>
      <c r="F32" s="485">
        <f t="shared" si="33"/>
        <v>2288.2200239715548</v>
      </c>
      <c r="G32" s="485">
        <f t="shared" si="33"/>
        <v>2321.3634622637969</v>
      </c>
      <c r="H32" s="485">
        <f t="shared" si="33"/>
        <v>0</v>
      </c>
      <c r="I32" s="485">
        <f t="shared" si="33"/>
        <v>0</v>
      </c>
      <c r="J32" s="485">
        <f t="shared" si="33"/>
        <v>0</v>
      </c>
      <c r="K32" s="485">
        <f t="shared" si="33"/>
        <v>0</v>
      </c>
      <c r="L32" s="485">
        <f t="shared" si="33"/>
        <v>0</v>
      </c>
      <c r="M32" s="485">
        <f t="shared" si="33"/>
        <v>0</v>
      </c>
      <c r="N32" s="485">
        <f t="shared" si="33"/>
        <v>0</v>
      </c>
      <c r="O32" s="485">
        <f t="shared" si="33"/>
        <v>0</v>
      </c>
      <c r="P32" s="485">
        <f t="shared" si="33"/>
        <v>0</v>
      </c>
      <c r="Q32" s="485">
        <f t="shared" si="33"/>
        <v>0</v>
      </c>
      <c r="R32" s="485">
        <f t="shared" si="33"/>
        <v>0</v>
      </c>
      <c r="S32" s="485">
        <f t="shared" si="33"/>
        <v>0</v>
      </c>
      <c r="T32" s="485">
        <f t="shared" si="33"/>
        <v>0</v>
      </c>
      <c r="U32" s="485">
        <f t="shared" si="33"/>
        <v>0</v>
      </c>
      <c r="V32" s="485">
        <f t="shared" si="33"/>
        <v>0</v>
      </c>
      <c r="W32" s="485">
        <f t="shared" si="33"/>
        <v>0</v>
      </c>
      <c r="X32" s="485">
        <f t="shared" si="33"/>
        <v>0</v>
      </c>
      <c r="Y32" s="485">
        <f t="shared" si="33"/>
        <v>0</v>
      </c>
      <c r="Z32" s="485">
        <f t="shared" si="33"/>
        <v>0</v>
      </c>
      <c r="AA32" s="485">
        <f t="shared" si="33"/>
        <v>0</v>
      </c>
      <c r="AB32" s="485">
        <f t="shared" si="33"/>
        <v>0</v>
      </c>
      <c r="AC32" s="485">
        <f t="shared" si="33"/>
        <v>0</v>
      </c>
      <c r="AD32" s="485">
        <f t="shared" si="33"/>
        <v>0</v>
      </c>
      <c r="AE32" s="485">
        <f t="shared" si="33"/>
        <v>0</v>
      </c>
      <c r="AF32" s="485">
        <f t="shared" si="33"/>
        <v>0</v>
      </c>
      <c r="AG32" s="485">
        <f t="shared" si="33"/>
        <v>0</v>
      </c>
      <c r="AH32" s="485">
        <f t="shared" si="33"/>
        <v>0</v>
      </c>
      <c r="AI32" s="485">
        <f t="shared" si="33"/>
        <v>0</v>
      </c>
      <c r="AJ32" s="485">
        <f t="shared" si="33"/>
        <v>0</v>
      </c>
      <c r="AK32" s="485">
        <f t="shared" si="33"/>
        <v>0</v>
      </c>
      <c r="AL32" s="485">
        <f t="shared" ref="AL32" si="34">AL28*AL10</f>
        <v>0</v>
      </c>
    </row>
    <row r="33" spans="1:38">
      <c r="B33" s="366" t="s">
        <v>721</v>
      </c>
      <c r="C33" s="484" t="s">
        <v>292</v>
      </c>
      <c r="D33" s="485">
        <f t="shared" ref="D33:AK33" si="35">D29*D11</f>
        <v>164.4904358833993</v>
      </c>
      <c r="E33" s="485">
        <f t="shared" si="35"/>
        <v>166.87368032376045</v>
      </c>
      <c r="F33" s="485">
        <f t="shared" si="35"/>
        <v>169.29181065380089</v>
      </c>
      <c r="G33" s="485">
        <f t="shared" si="35"/>
        <v>171.74533972167933</v>
      </c>
      <c r="H33" s="485">
        <f t="shared" si="35"/>
        <v>0</v>
      </c>
      <c r="I33" s="485">
        <f t="shared" si="35"/>
        <v>0</v>
      </c>
      <c r="J33" s="485">
        <f t="shared" si="35"/>
        <v>0</v>
      </c>
      <c r="K33" s="485">
        <f t="shared" si="35"/>
        <v>0</v>
      </c>
      <c r="L33" s="485">
        <f t="shared" si="35"/>
        <v>0</v>
      </c>
      <c r="M33" s="485">
        <f t="shared" si="35"/>
        <v>0</v>
      </c>
      <c r="N33" s="485">
        <f t="shared" si="35"/>
        <v>0</v>
      </c>
      <c r="O33" s="485">
        <f t="shared" si="35"/>
        <v>0</v>
      </c>
      <c r="P33" s="485">
        <f t="shared" si="35"/>
        <v>0</v>
      </c>
      <c r="Q33" s="485">
        <f t="shared" si="35"/>
        <v>0</v>
      </c>
      <c r="R33" s="485">
        <f t="shared" si="35"/>
        <v>0</v>
      </c>
      <c r="S33" s="485">
        <f t="shared" si="35"/>
        <v>0</v>
      </c>
      <c r="T33" s="485">
        <f t="shared" si="35"/>
        <v>0</v>
      </c>
      <c r="U33" s="485">
        <f t="shared" si="35"/>
        <v>0</v>
      </c>
      <c r="V33" s="485">
        <f t="shared" si="35"/>
        <v>0</v>
      </c>
      <c r="W33" s="485">
        <f t="shared" si="35"/>
        <v>0</v>
      </c>
      <c r="X33" s="485">
        <f t="shared" si="35"/>
        <v>0</v>
      </c>
      <c r="Y33" s="485">
        <f t="shared" si="35"/>
        <v>0</v>
      </c>
      <c r="Z33" s="485">
        <f t="shared" si="35"/>
        <v>0</v>
      </c>
      <c r="AA33" s="485">
        <f t="shared" si="35"/>
        <v>0</v>
      </c>
      <c r="AB33" s="485">
        <f t="shared" si="35"/>
        <v>0</v>
      </c>
      <c r="AC33" s="485">
        <f t="shared" si="35"/>
        <v>0</v>
      </c>
      <c r="AD33" s="485">
        <f t="shared" si="35"/>
        <v>0</v>
      </c>
      <c r="AE33" s="485">
        <f t="shared" si="35"/>
        <v>0</v>
      </c>
      <c r="AF33" s="485">
        <f t="shared" si="35"/>
        <v>0</v>
      </c>
      <c r="AG33" s="485">
        <f t="shared" si="35"/>
        <v>0</v>
      </c>
      <c r="AH33" s="485">
        <f t="shared" si="35"/>
        <v>0</v>
      </c>
      <c r="AI33" s="485">
        <f t="shared" si="35"/>
        <v>0</v>
      </c>
      <c r="AJ33" s="485">
        <f t="shared" si="35"/>
        <v>0</v>
      </c>
      <c r="AK33" s="485">
        <f t="shared" si="35"/>
        <v>0</v>
      </c>
      <c r="AL33" s="485">
        <f t="shared" ref="AL33" si="36">AL29*AL11</f>
        <v>0</v>
      </c>
    </row>
    <row r="34" spans="1:38">
      <c r="D34" s="358"/>
      <c r="F34" s="464"/>
      <c r="G34" s="465"/>
      <c r="H34" s="465"/>
    </row>
    <row r="35" spans="1:38" ht="13">
      <c r="B35" s="486" t="s">
        <v>462</v>
      </c>
      <c r="C35" s="487" t="s">
        <v>292</v>
      </c>
      <c r="D35" s="488">
        <f>SUM(D31:D33)</f>
        <v>7458.3870185367123</v>
      </c>
      <c r="E35" s="488">
        <f t="shared" ref="E35:AE35" si="37">SUM(E31:E33)</f>
        <v>7570.1167655181325</v>
      </c>
      <c r="F35" s="488">
        <f t="shared" si="37"/>
        <v>7683.5501940911527</v>
      </c>
      <c r="G35" s="488">
        <f t="shared" si="37"/>
        <v>7798.7135514044749</v>
      </c>
      <c r="H35" s="488">
        <f t="shared" si="37"/>
        <v>0</v>
      </c>
      <c r="I35" s="488">
        <f t="shared" si="37"/>
        <v>0</v>
      </c>
      <c r="J35" s="488">
        <f t="shared" si="37"/>
        <v>0</v>
      </c>
      <c r="K35" s="488">
        <f t="shared" si="37"/>
        <v>0</v>
      </c>
      <c r="L35" s="488">
        <f t="shared" si="37"/>
        <v>0</v>
      </c>
      <c r="M35" s="488">
        <f t="shared" si="37"/>
        <v>0</v>
      </c>
      <c r="N35" s="488">
        <f t="shared" si="37"/>
        <v>0</v>
      </c>
      <c r="O35" s="488">
        <f t="shared" si="37"/>
        <v>0</v>
      </c>
      <c r="P35" s="488">
        <f t="shared" si="37"/>
        <v>0</v>
      </c>
      <c r="Q35" s="488">
        <f t="shared" si="37"/>
        <v>0</v>
      </c>
      <c r="R35" s="488">
        <f t="shared" si="37"/>
        <v>0</v>
      </c>
      <c r="S35" s="488">
        <f t="shared" si="37"/>
        <v>0</v>
      </c>
      <c r="T35" s="488">
        <f t="shared" si="37"/>
        <v>0</v>
      </c>
      <c r="U35" s="488">
        <f t="shared" si="37"/>
        <v>0</v>
      </c>
      <c r="V35" s="488">
        <f t="shared" si="37"/>
        <v>0</v>
      </c>
      <c r="W35" s="488">
        <f t="shared" si="37"/>
        <v>0</v>
      </c>
      <c r="X35" s="488">
        <f t="shared" si="37"/>
        <v>0</v>
      </c>
      <c r="Y35" s="488">
        <f t="shared" si="37"/>
        <v>0</v>
      </c>
      <c r="Z35" s="488">
        <f t="shared" si="37"/>
        <v>0</v>
      </c>
      <c r="AA35" s="488">
        <f t="shared" si="37"/>
        <v>0</v>
      </c>
      <c r="AB35" s="488">
        <f t="shared" si="37"/>
        <v>0</v>
      </c>
      <c r="AC35" s="488">
        <f t="shared" si="37"/>
        <v>0</v>
      </c>
      <c r="AD35" s="488">
        <f t="shared" si="37"/>
        <v>0</v>
      </c>
      <c r="AE35" s="488">
        <f t="shared" si="37"/>
        <v>0</v>
      </c>
      <c r="AF35" s="488">
        <f t="shared" ref="AF35:AJ35" si="38">SUM(AF31:AF33)</f>
        <v>0</v>
      </c>
      <c r="AG35" s="488">
        <f t="shared" si="38"/>
        <v>0</v>
      </c>
      <c r="AH35" s="488">
        <f t="shared" si="38"/>
        <v>0</v>
      </c>
      <c r="AI35" s="488">
        <f t="shared" si="38"/>
        <v>0</v>
      </c>
      <c r="AJ35" s="488">
        <f t="shared" si="38"/>
        <v>0</v>
      </c>
      <c r="AK35" s="488">
        <f t="shared" ref="AK35:AL35" si="39">SUM(AK31:AK33)</f>
        <v>0</v>
      </c>
      <c r="AL35" s="488">
        <f t="shared" si="39"/>
        <v>0</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D15-D27</f>
        <v>0</v>
      </c>
      <c r="E39" s="388">
        <f t="shared" ref="E39:AK39" si="40">E15-E27</f>
        <v>0</v>
      </c>
      <c r="F39" s="388">
        <f t="shared" si="40"/>
        <v>0</v>
      </c>
      <c r="G39" s="388">
        <f t="shared" si="40"/>
        <v>0</v>
      </c>
      <c r="H39" s="388">
        <f t="shared" si="40"/>
        <v>4.462270691491591E-4</v>
      </c>
      <c r="I39" s="388">
        <f t="shared" si="40"/>
        <v>4.5302496754230258E-4</v>
      </c>
      <c r="J39" s="388">
        <f t="shared" si="40"/>
        <v>4.5992848708177961E-4</v>
      </c>
      <c r="K39" s="388">
        <f t="shared" si="40"/>
        <v>4.6693928754854518E-4</v>
      </c>
      <c r="L39" s="388">
        <f t="shared" si="40"/>
        <v>4.7405905494353928E-4</v>
      </c>
      <c r="M39" s="388">
        <f t="shared" si="40"/>
        <v>4.8128950190170648E-4</v>
      </c>
      <c r="N39" s="388">
        <f t="shared" si="40"/>
        <v>4.8863236811255587E-4</v>
      </c>
      <c r="O39" s="388">
        <f t="shared" si="40"/>
        <v>4.9608942074737467E-4</v>
      </c>
      <c r="P39" s="388">
        <f t="shared" si="40"/>
        <v>5.0366245489319439E-4</v>
      </c>
      <c r="Q39" s="388">
        <f t="shared" si="40"/>
        <v>5.1135329399361936E-4</v>
      </c>
      <c r="R39" s="388">
        <f t="shared" si="40"/>
        <v>5.191637902966222E-4</v>
      </c>
      <c r="S39" s="388">
        <f t="shared" si="40"/>
        <v>5.2709582530942073E-4</v>
      </c>
      <c r="T39" s="388">
        <f t="shared" si="40"/>
        <v>5.3515131026054565E-4</v>
      </c>
      <c r="U39" s="388">
        <f t="shared" si="40"/>
        <v>5.4333218656921244E-4</v>
      </c>
      <c r="V39" s="388">
        <f t="shared" si="40"/>
        <v>5.5164042632211341E-4</v>
      </c>
      <c r="W39" s="388">
        <f t="shared" si="40"/>
        <v>5.6007803275774648E-4</v>
      </c>
      <c r="X39" s="388">
        <f t="shared" si="40"/>
        <v>5.68647040758402E-4</v>
      </c>
      <c r="Y39" s="388">
        <f t="shared" si="40"/>
        <v>5.7734951734992386E-4</v>
      </c>
      <c r="Z39" s="388">
        <f t="shared" si="40"/>
        <v>5.861875622093733E-4</v>
      </c>
      <c r="AA39" s="388">
        <f t="shared" si="40"/>
        <v>5.9516330818071533E-4</v>
      </c>
      <c r="AB39" s="388">
        <f t="shared" si="40"/>
        <v>6.0427892179865919E-4</v>
      </c>
      <c r="AC39" s="388">
        <f t="shared" si="40"/>
        <v>6.135366038207752E-4</v>
      </c>
      <c r="AD39" s="388">
        <f t="shared" si="40"/>
        <v>6.229385897680267E-4</v>
      </c>
      <c r="AE39" s="388">
        <f t="shared" si="40"/>
        <v>6.3248715047384317E-4</v>
      </c>
      <c r="AF39" s="388">
        <f t="shared" si="40"/>
        <v>6.4218459264187369E-4</v>
      </c>
      <c r="AG39" s="388">
        <f t="shared" si="40"/>
        <v>6.5203325941255589E-4</v>
      </c>
      <c r="AH39" s="388">
        <f t="shared" si="40"/>
        <v>6.6203553093863892E-4</v>
      </c>
      <c r="AI39" s="388">
        <f t="shared" si="40"/>
        <v>6.7219382496980652E-4</v>
      </c>
      <c r="AJ39" s="388">
        <f t="shared" si="40"/>
        <v>6.8251059744653679E-4</v>
      </c>
      <c r="AK39" s="388">
        <f t="shared" si="40"/>
        <v>6.9298834310334875E-4</v>
      </c>
      <c r="AL39" s="388">
        <f t="shared" ref="AL39" si="41">AL15-AL27</f>
        <v>7.0362959608158795E-4</v>
      </c>
    </row>
    <row r="40" spans="1:38" ht="13">
      <c r="B40" s="581" t="s">
        <v>782</v>
      </c>
      <c r="C40" s="581" t="s">
        <v>329</v>
      </c>
      <c r="D40" s="388">
        <f>D16-D28</f>
        <v>0</v>
      </c>
      <c r="E40" s="388">
        <f t="shared" ref="E40:AK40" si="42">E16-E28</f>
        <v>0</v>
      </c>
      <c r="F40" s="388">
        <f t="shared" si="42"/>
        <v>0</v>
      </c>
      <c r="G40" s="388">
        <f t="shared" si="42"/>
        <v>0</v>
      </c>
      <c r="H40" s="388">
        <f t="shared" si="42"/>
        <v>8.2893057078288271E-3</v>
      </c>
      <c r="I40" s="388">
        <f t="shared" si="42"/>
        <v>8.4094051871915401E-3</v>
      </c>
      <c r="J40" s="388">
        <f t="shared" si="42"/>
        <v>8.5312617917672161E-3</v>
      </c>
      <c r="K40" s="388">
        <f t="shared" si="42"/>
        <v>8.6549013323761817E-3</v>
      </c>
      <c r="L40" s="388">
        <f t="shared" si="42"/>
        <v>8.7803499996343803E-3</v>
      </c>
      <c r="M40" s="388">
        <f t="shared" si="42"/>
        <v>8.9076343695335871E-3</v>
      </c>
      <c r="N40" s="388">
        <f t="shared" si="42"/>
        <v>9.0367814091037897E-3</v>
      </c>
      <c r="O40" s="388">
        <f t="shared" si="42"/>
        <v>9.1678184821589598E-3</v>
      </c>
      <c r="P40" s="388">
        <f t="shared" si="42"/>
        <v>9.3007733551275021E-3</v>
      </c>
      <c r="Q40" s="388">
        <f t="shared" si="42"/>
        <v>9.4356742029685619E-3</v>
      </c>
      <c r="R40" s="388">
        <f t="shared" si="42"/>
        <v>9.5725496151754085E-3</v>
      </c>
      <c r="S40" s="388">
        <f t="shared" si="42"/>
        <v>9.711428601867295E-3</v>
      </c>
      <c r="T40" s="388">
        <f t="shared" si="42"/>
        <v>9.8523405999710149E-3</v>
      </c>
      <c r="U40" s="388">
        <f t="shared" si="42"/>
        <v>9.9953154794934669E-3</v>
      </c>
      <c r="V40" s="388">
        <f t="shared" si="42"/>
        <v>1.0140383549886573E-2</v>
      </c>
      <c r="W40" s="388">
        <f t="shared" si="42"/>
        <v>1.0287575566505927E-2</v>
      </c>
      <c r="X40" s="388">
        <f t="shared" si="42"/>
        <v>1.0436922737164565E-2</v>
      </c>
      <c r="Y40" s="388">
        <f t="shared" si="42"/>
        <v>1.0588456728783155E-2</v>
      </c>
      <c r="Z40" s="388">
        <f t="shared" si="42"/>
        <v>1.0742209674138161E-2</v>
      </c>
      <c r="AA40" s="388">
        <f t="shared" si="42"/>
        <v>1.0898214178709313E-2</v>
      </c>
      <c r="AB40" s="388">
        <f t="shared" si="42"/>
        <v>1.1056503327627899E-2</v>
      </c>
      <c r="AC40" s="388">
        <f t="shared" si="42"/>
        <v>1.1217110692727315E-2</v>
      </c>
      <c r="AD40" s="388">
        <f t="shared" si="42"/>
        <v>1.1380070339697424E-2</v>
      </c>
      <c r="AE40" s="388">
        <f t="shared" si="42"/>
        <v>1.154541683534421E-2</v>
      </c>
      <c r="AF40" s="388">
        <f t="shared" si="42"/>
        <v>1.171318525495631E-2</v>
      </c>
      <c r="AG40" s="388">
        <f t="shared" si="42"/>
        <v>1.1883411189779945E-2</v>
      </c>
      <c r="AH40" s="388">
        <f t="shared" si="42"/>
        <v>1.2056130754603864E-2</v>
      </c>
      <c r="AI40" s="388">
        <f t="shared" si="42"/>
        <v>1.2231380595455987E-2</v>
      </c>
      <c r="AJ40" s="388">
        <f t="shared" si="42"/>
        <v>1.2409197897413227E-2</v>
      </c>
      <c r="AK40" s="388">
        <f t="shared" si="42"/>
        <v>1.2589620392526311E-2</v>
      </c>
      <c r="AL40" s="388">
        <f t="shared" ref="AL40" si="43">AL16-AL28</f>
        <v>1.2772686367861233E-2</v>
      </c>
    </row>
    <row r="41" spans="1:38" ht="13">
      <c r="B41" s="581" t="s">
        <v>783</v>
      </c>
      <c r="C41" s="581" t="s">
        <v>518</v>
      </c>
      <c r="D41" s="388">
        <f>D17-D29</f>
        <v>0</v>
      </c>
      <c r="E41" s="388">
        <f t="shared" ref="E41:AK41" si="44">E17-E29</f>
        <v>0</v>
      </c>
      <c r="F41" s="388">
        <f t="shared" si="44"/>
        <v>0</v>
      </c>
      <c r="G41" s="388">
        <f t="shared" si="44"/>
        <v>0</v>
      </c>
      <c r="H41" s="388">
        <f t="shared" si="44"/>
        <v>3.8718841762270438E-2</v>
      </c>
      <c r="I41" s="388">
        <f t="shared" si="44"/>
        <v>3.9280151855110988E-2</v>
      </c>
      <c r="J41" s="388">
        <f t="shared" si="44"/>
        <v>3.9849680404914718E-2</v>
      </c>
      <c r="K41" s="388">
        <f t="shared" si="44"/>
        <v>4.0427548242792037E-2</v>
      </c>
      <c r="L41" s="388">
        <f t="shared" si="44"/>
        <v>4.101387797963043E-2</v>
      </c>
      <c r="M41" s="388">
        <f t="shared" si="44"/>
        <v>4.1608794032273064E-2</v>
      </c>
      <c r="N41" s="388">
        <f t="shared" si="44"/>
        <v>4.2212422650083042E-2</v>
      </c>
      <c r="O41" s="388">
        <f t="shared" si="44"/>
        <v>4.2824891941899527E-2</v>
      </c>
      <c r="P41" s="388">
        <f t="shared" si="44"/>
        <v>4.3446331903391519E-2</v>
      </c>
      <c r="Q41" s="388">
        <f t="shared" si="44"/>
        <v>4.4076874444814861E-2</v>
      </c>
      <c r="R41" s="388">
        <f t="shared" si="44"/>
        <v>4.4716653419178361E-2</v>
      </c>
      <c r="S41" s="388">
        <f t="shared" si="44"/>
        <v>4.5365804650825403E-2</v>
      </c>
      <c r="T41" s="388">
        <f t="shared" si="44"/>
        <v>4.6024465964436954E-2</v>
      </c>
      <c r="U41" s="388">
        <f t="shared" si="44"/>
        <v>4.6692777214461988E-2</v>
      </c>
      <c r="V41" s="388">
        <f t="shared" si="44"/>
        <v>4.7370880314981836E-2</v>
      </c>
      <c r="W41" s="388">
        <f t="shared" si="44"/>
        <v>4.8058919270014801E-2</v>
      </c>
      <c r="X41" s="388">
        <f t="shared" si="44"/>
        <v>4.8757040204267556E-2</v>
      </c>
      <c r="Y41" s="388">
        <f t="shared" si="44"/>
        <v>4.9465391394339572E-2</v>
      </c>
      <c r="Z41" s="388">
        <f t="shared" si="44"/>
        <v>5.0184123300387788E-2</v>
      </c>
      <c r="AA41" s="388">
        <f t="shared" si="44"/>
        <v>5.0913388598257781E-2</v>
      </c>
      <c r="AB41" s="388">
        <f t="shared" si="44"/>
        <v>5.1653342212088643E-2</v>
      </c>
      <c r="AC41" s="388">
        <f t="shared" si="44"/>
        <v>5.2404141347398216E-2</v>
      </c>
      <c r="AD41" s="388">
        <f t="shared" si="44"/>
        <v>5.3165945524656089E-2</v>
      </c>
      <c r="AE41" s="388">
        <f t="shared" si="44"/>
        <v>5.3938916613351262E-2</v>
      </c>
      <c r="AF41" s="388">
        <f t="shared" si="44"/>
        <v>5.4723218866561979E-2</v>
      </c>
      <c r="AG41" s="388">
        <f t="shared" si="44"/>
        <v>5.5519018956034838E-2</v>
      </c>
      <c r="AH41" s="388">
        <f t="shared" si="44"/>
        <v>5.6326486007780847E-2</v>
      </c>
      <c r="AI41" s="388">
        <f t="shared" si="44"/>
        <v>5.7145791638196212E-2</v>
      </c>
      <c r="AJ41" s="388">
        <f t="shared" si="44"/>
        <v>5.7977109990715099E-2</v>
      </c>
      <c r="AK41" s="388">
        <f t="shared" si="44"/>
        <v>5.8820617773002473E-2</v>
      </c>
      <c r="AL41" s="388">
        <f t="shared" ref="AL41" si="45">AL17-AL29</f>
        <v>5.9676494294695286E-2</v>
      </c>
    </row>
    <row r="42" spans="1:38">
      <c r="D42" s="358"/>
      <c r="F42" s="464"/>
      <c r="G42" s="465"/>
      <c r="H42" s="465"/>
    </row>
    <row r="43" spans="1:38" ht="13">
      <c r="B43" s="492" t="s">
        <v>284</v>
      </c>
      <c r="C43" s="487" t="s">
        <v>292</v>
      </c>
      <c r="D43" s="488">
        <f t="shared" ref="D43:AE43" si="46">D23-D35</f>
        <v>0</v>
      </c>
      <c r="E43" s="488">
        <f t="shared" si="46"/>
        <v>0</v>
      </c>
      <c r="F43" s="488">
        <f t="shared" si="46"/>
        <v>0</v>
      </c>
      <c r="G43" s="488">
        <f t="shared" si="46"/>
        <v>0</v>
      </c>
      <c r="H43" s="488">
        <f t="shared" si="46"/>
        <v>7915.6334912238863</v>
      </c>
      <c r="I43" s="488">
        <f t="shared" si="46"/>
        <v>8034.3370802322506</v>
      </c>
      <c r="J43" s="488">
        <f t="shared" si="46"/>
        <v>8154.8518044273433</v>
      </c>
      <c r="K43" s="488">
        <f t="shared" si="46"/>
        <v>8277.2055756191257</v>
      </c>
      <c r="L43" s="488">
        <f t="shared" si="46"/>
        <v>8401.4267380279271</v>
      </c>
      <c r="M43" s="488">
        <f t="shared" si="46"/>
        <v>8527.5440749852187</v>
      </c>
      <c r="N43" s="488">
        <f t="shared" si="46"/>
        <v>8655.586815738423</v>
      </c>
      <c r="O43" s="488">
        <f t="shared" si="46"/>
        <v>8785.5846423614694</v>
      </c>
      <c r="P43" s="488">
        <f t="shared" si="46"/>
        <v>8917.5676967727341</v>
      </c>
      <c r="Q43" s="488">
        <f t="shared" si="46"/>
        <v>9051.5665878620166</v>
      </c>
      <c r="R43" s="488">
        <f t="shared" si="46"/>
        <v>9187.6123987281626</v>
      </c>
      <c r="S43" s="488">
        <f t="shared" si="46"/>
        <v>9325.7366940292304</v>
      </c>
      <c r="T43" s="488">
        <f t="shared" si="46"/>
        <v>9465.9715274467781</v>
      </c>
      <c r="U43" s="488">
        <f t="shared" si="46"/>
        <v>9608.3494492661357</v>
      </c>
      <c r="V43" s="488">
        <f t="shared" si="46"/>
        <v>9752.9035140744236</v>
      </c>
      <c r="W43" s="488">
        <f t="shared" si="46"/>
        <v>9899.6672885781591</v>
      </c>
      <c r="X43" s="488">
        <f t="shared" si="46"/>
        <v>10048.674859542329</v>
      </c>
      <c r="Y43" s="488">
        <f t="shared" si="46"/>
        <v>10199.960841852753</v>
      </c>
      <c r="Z43" s="488">
        <f t="shared" si="46"/>
        <v>10353.560386703743</v>
      </c>
      <c r="AA43" s="488">
        <f t="shared" si="46"/>
        <v>10509.509189912891</v>
      </c>
      <c r="AB43" s="488">
        <f t="shared" si="46"/>
        <v>10667.843500365099</v>
      </c>
      <c r="AC43" s="488">
        <f t="shared" si="46"/>
        <v>10828.600128587699</v>
      </c>
      <c r="AD43" s="488">
        <f t="shared" si="46"/>
        <v>10991.816455458842</v>
      </c>
      <c r="AE43" s="488">
        <f t="shared" si="46"/>
        <v>11157.530441051131</v>
      </c>
      <c r="AF43" s="488">
        <f t="shared" ref="AF43:AJ43" si="47">AF23-AF35</f>
        <v>11325.780633612674</v>
      </c>
      <c r="AG43" s="488">
        <f t="shared" si="47"/>
        <v>11496.606178687602</v>
      </c>
      <c r="AH43" s="488">
        <f t="shared" si="47"/>
        <v>11670.046828378283</v>
      </c>
      <c r="AI43" s="488">
        <f t="shared" si="47"/>
        <v>11846.142950751464</v>
      </c>
      <c r="AJ43" s="488">
        <f t="shared" si="47"/>
        <v>12024.935539390461</v>
      </c>
      <c r="AK43" s="488">
        <f t="shared" ref="AK43:AL43" si="48">AK23-AK35</f>
        <v>12206.466223095758</v>
      </c>
      <c r="AL43" s="488">
        <f t="shared" si="48"/>
        <v>12390.777275736355</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520" t="s">
        <v>493</v>
      </c>
      <c r="C49" s="384" t="s">
        <v>450</v>
      </c>
      <c r="D49" s="496">
        <f>'General Inputs'!D15</f>
        <v>17.899999999999999</v>
      </c>
      <c r="E49" s="496">
        <f t="shared" ref="E49:T51" si="49">D49*(1+$C$48)</f>
        <v>17.899999999999999</v>
      </c>
      <c r="F49" s="496">
        <f t="shared" si="49"/>
        <v>17.899999999999999</v>
      </c>
      <c r="G49" s="496">
        <f t="shared" si="49"/>
        <v>17.899999999999999</v>
      </c>
      <c r="H49" s="496">
        <f t="shared" si="49"/>
        <v>17.899999999999999</v>
      </c>
      <c r="I49" s="496">
        <f t="shared" si="49"/>
        <v>17.899999999999999</v>
      </c>
      <c r="J49" s="496">
        <f t="shared" si="49"/>
        <v>17.899999999999999</v>
      </c>
      <c r="K49" s="496">
        <f t="shared" si="49"/>
        <v>17.899999999999999</v>
      </c>
      <c r="L49" s="496">
        <f t="shared" si="49"/>
        <v>17.899999999999999</v>
      </c>
      <c r="M49" s="496">
        <f t="shared" si="49"/>
        <v>17.899999999999999</v>
      </c>
      <c r="N49" s="496">
        <f t="shared" si="49"/>
        <v>17.899999999999999</v>
      </c>
      <c r="O49" s="496">
        <f t="shared" si="49"/>
        <v>17.899999999999999</v>
      </c>
      <c r="P49" s="496">
        <f t="shared" si="49"/>
        <v>17.899999999999999</v>
      </c>
      <c r="Q49" s="496">
        <f t="shared" si="49"/>
        <v>17.899999999999999</v>
      </c>
      <c r="R49" s="496">
        <f t="shared" si="49"/>
        <v>17.899999999999999</v>
      </c>
      <c r="S49" s="496">
        <f t="shared" si="49"/>
        <v>17.899999999999999</v>
      </c>
      <c r="T49" s="496">
        <f t="shared" si="49"/>
        <v>17.899999999999999</v>
      </c>
      <c r="U49" s="496">
        <f t="shared" ref="U49:AE51" si="50">T49*(1+$C$48)</f>
        <v>17.899999999999999</v>
      </c>
      <c r="V49" s="496">
        <f t="shared" si="50"/>
        <v>17.899999999999999</v>
      </c>
      <c r="W49" s="496">
        <f t="shared" si="50"/>
        <v>17.899999999999999</v>
      </c>
      <c r="X49" s="496">
        <f t="shared" si="50"/>
        <v>17.899999999999999</v>
      </c>
      <c r="Y49" s="496">
        <f t="shared" si="50"/>
        <v>17.899999999999999</v>
      </c>
      <c r="Z49" s="496">
        <f t="shared" si="50"/>
        <v>17.899999999999999</v>
      </c>
      <c r="AA49" s="496">
        <f t="shared" si="50"/>
        <v>17.899999999999999</v>
      </c>
      <c r="AB49" s="496">
        <f t="shared" si="50"/>
        <v>17.899999999999999</v>
      </c>
      <c r="AC49" s="496">
        <f t="shared" si="50"/>
        <v>17.899999999999999</v>
      </c>
      <c r="AD49" s="496">
        <f t="shared" si="50"/>
        <v>17.899999999999999</v>
      </c>
      <c r="AE49" s="496">
        <f t="shared" si="50"/>
        <v>17.899999999999999</v>
      </c>
      <c r="AF49" s="496">
        <f t="shared" ref="AF49:AF51" si="51">AE49*(1+$C$48)</f>
        <v>17.899999999999999</v>
      </c>
      <c r="AG49" s="496">
        <f t="shared" ref="AG49:AG51" si="52">AF49*(1+$C$48)</f>
        <v>17.899999999999999</v>
      </c>
      <c r="AH49" s="496">
        <f t="shared" ref="AH49:AH51" si="53">AG49*(1+$C$48)</f>
        <v>17.899999999999999</v>
      </c>
      <c r="AI49" s="496">
        <f t="shared" ref="AI49:AI51" si="54">AH49*(1+$C$48)</f>
        <v>17.899999999999999</v>
      </c>
      <c r="AJ49" s="496">
        <f t="shared" ref="AJ49:AL51" si="55">AI49*(1+$C$48)</f>
        <v>17.899999999999999</v>
      </c>
      <c r="AK49" s="496">
        <f t="shared" si="55"/>
        <v>17.899999999999999</v>
      </c>
      <c r="AL49" s="496">
        <f t="shared" si="55"/>
        <v>17.899999999999999</v>
      </c>
    </row>
    <row r="50" spans="1:38">
      <c r="B50" s="475" t="s">
        <v>494</v>
      </c>
      <c r="C50" s="384" t="s">
        <v>450</v>
      </c>
      <c r="D50" s="496">
        <f>'General Inputs'!D16</f>
        <v>30.8</v>
      </c>
      <c r="E50" s="496">
        <f t="shared" si="49"/>
        <v>30.8</v>
      </c>
      <c r="F50" s="496">
        <f t="shared" si="49"/>
        <v>30.8</v>
      </c>
      <c r="G50" s="496">
        <f t="shared" si="49"/>
        <v>30.8</v>
      </c>
      <c r="H50" s="496">
        <f t="shared" si="49"/>
        <v>30.8</v>
      </c>
      <c r="I50" s="496">
        <f t="shared" si="49"/>
        <v>30.8</v>
      </c>
      <c r="J50" s="496">
        <f t="shared" si="49"/>
        <v>30.8</v>
      </c>
      <c r="K50" s="496">
        <f t="shared" si="49"/>
        <v>30.8</v>
      </c>
      <c r="L50" s="496">
        <f t="shared" si="49"/>
        <v>30.8</v>
      </c>
      <c r="M50" s="496">
        <f t="shared" si="49"/>
        <v>30.8</v>
      </c>
      <c r="N50" s="496">
        <f t="shared" si="49"/>
        <v>30.8</v>
      </c>
      <c r="O50" s="496">
        <f t="shared" si="49"/>
        <v>30.8</v>
      </c>
      <c r="P50" s="496">
        <f t="shared" si="49"/>
        <v>30.8</v>
      </c>
      <c r="Q50" s="496">
        <f t="shared" si="49"/>
        <v>30.8</v>
      </c>
      <c r="R50" s="496">
        <f t="shared" si="49"/>
        <v>30.8</v>
      </c>
      <c r="S50" s="496">
        <f t="shared" si="49"/>
        <v>30.8</v>
      </c>
      <c r="T50" s="496">
        <f t="shared" si="49"/>
        <v>30.8</v>
      </c>
      <c r="U50" s="496">
        <f t="shared" si="50"/>
        <v>30.8</v>
      </c>
      <c r="V50" s="496">
        <f t="shared" si="50"/>
        <v>30.8</v>
      </c>
      <c r="W50" s="496">
        <f t="shared" si="50"/>
        <v>30.8</v>
      </c>
      <c r="X50" s="496">
        <f t="shared" si="50"/>
        <v>30.8</v>
      </c>
      <c r="Y50" s="496">
        <f t="shared" si="50"/>
        <v>30.8</v>
      </c>
      <c r="Z50" s="496">
        <f t="shared" si="50"/>
        <v>30.8</v>
      </c>
      <c r="AA50" s="496">
        <f t="shared" si="50"/>
        <v>30.8</v>
      </c>
      <c r="AB50" s="496">
        <f t="shared" si="50"/>
        <v>30.8</v>
      </c>
      <c r="AC50" s="496">
        <f t="shared" si="50"/>
        <v>30.8</v>
      </c>
      <c r="AD50" s="496">
        <f t="shared" si="50"/>
        <v>30.8</v>
      </c>
      <c r="AE50" s="496">
        <f t="shared" si="50"/>
        <v>30.8</v>
      </c>
      <c r="AF50" s="496">
        <f t="shared" si="51"/>
        <v>30.8</v>
      </c>
      <c r="AG50" s="496">
        <f t="shared" si="52"/>
        <v>30.8</v>
      </c>
      <c r="AH50" s="496">
        <f t="shared" si="53"/>
        <v>30.8</v>
      </c>
      <c r="AI50" s="496">
        <f t="shared" si="54"/>
        <v>30.8</v>
      </c>
      <c r="AJ50" s="496">
        <f t="shared" si="55"/>
        <v>30.8</v>
      </c>
      <c r="AK50" s="496">
        <f t="shared" si="55"/>
        <v>30.8</v>
      </c>
      <c r="AL50" s="496">
        <f t="shared" si="55"/>
        <v>30.8</v>
      </c>
    </row>
    <row r="51" spans="1:38">
      <c r="B51" s="475" t="s">
        <v>773</v>
      </c>
      <c r="C51" s="384" t="s">
        <v>450</v>
      </c>
      <c r="D51" s="496">
        <f>'General Inputs'!D17</f>
        <v>31.7</v>
      </c>
      <c r="E51" s="496">
        <f t="shared" si="49"/>
        <v>31.7</v>
      </c>
      <c r="F51" s="496">
        <f t="shared" si="49"/>
        <v>31.7</v>
      </c>
      <c r="G51" s="496">
        <f t="shared" si="49"/>
        <v>31.7</v>
      </c>
      <c r="H51" s="496">
        <f t="shared" si="49"/>
        <v>31.7</v>
      </c>
      <c r="I51" s="496">
        <f t="shared" si="49"/>
        <v>31.7</v>
      </c>
      <c r="J51" s="496">
        <f t="shared" si="49"/>
        <v>31.7</v>
      </c>
      <c r="K51" s="496">
        <f t="shared" si="49"/>
        <v>31.7</v>
      </c>
      <c r="L51" s="496">
        <f t="shared" si="49"/>
        <v>31.7</v>
      </c>
      <c r="M51" s="496">
        <f t="shared" si="49"/>
        <v>31.7</v>
      </c>
      <c r="N51" s="496">
        <f t="shared" si="49"/>
        <v>31.7</v>
      </c>
      <c r="O51" s="496">
        <f t="shared" si="49"/>
        <v>31.7</v>
      </c>
      <c r="P51" s="496">
        <f t="shared" si="49"/>
        <v>31.7</v>
      </c>
      <c r="Q51" s="496">
        <f t="shared" si="49"/>
        <v>31.7</v>
      </c>
      <c r="R51" s="496">
        <f t="shared" si="49"/>
        <v>31.7</v>
      </c>
      <c r="S51" s="496">
        <f t="shared" si="49"/>
        <v>31.7</v>
      </c>
      <c r="T51" s="496">
        <f t="shared" si="49"/>
        <v>31.7</v>
      </c>
      <c r="U51" s="496">
        <f t="shared" si="50"/>
        <v>31.7</v>
      </c>
      <c r="V51" s="496">
        <f t="shared" si="50"/>
        <v>31.7</v>
      </c>
      <c r="W51" s="496">
        <f t="shared" si="50"/>
        <v>31.7</v>
      </c>
      <c r="X51" s="496">
        <f t="shared" si="50"/>
        <v>31.7</v>
      </c>
      <c r="Y51" s="496">
        <f t="shared" si="50"/>
        <v>31.7</v>
      </c>
      <c r="Z51" s="496">
        <f t="shared" si="50"/>
        <v>31.7</v>
      </c>
      <c r="AA51" s="496">
        <f t="shared" si="50"/>
        <v>31.7</v>
      </c>
      <c r="AB51" s="496">
        <f t="shared" si="50"/>
        <v>31.7</v>
      </c>
      <c r="AC51" s="496">
        <f t="shared" si="50"/>
        <v>31.7</v>
      </c>
      <c r="AD51" s="496">
        <f t="shared" si="50"/>
        <v>31.7</v>
      </c>
      <c r="AE51" s="496">
        <f t="shared" si="50"/>
        <v>31.7</v>
      </c>
      <c r="AF51" s="496">
        <f t="shared" si="51"/>
        <v>31.7</v>
      </c>
      <c r="AG51" s="496">
        <f t="shared" si="52"/>
        <v>31.7</v>
      </c>
      <c r="AH51" s="496">
        <f t="shared" si="53"/>
        <v>31.7</v>
      </c>
      <c r="AI51" s="496">
        <f t="shared" si="54"/>
        <v>31.7</v>
      </c>
      <c r="AJ51" s="496">
        <f t="shared" si="55"/>
        <v>31.7</v>
      </c>
      <c r="AK51" s="496">
        <f t="shared" si="55"/>
        <v>31.7</v>
      </c>
      <c r="AL51" s="496">
        <f t="shared" si="55"/>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'950 West'!D25</f>
        <v>261.86129680032559</v>
      </c>
      <c r="E55" s="383">
        <f>'950 West'!E25</f>
        <v>272.44399045480429</v>
      </c>
      <c r="F55" s="383">
        <f>'950 West'!F25</f>
        <v>283.45436626908662</v>
      </c>
      <c r="G55" s="383">
        <f>'950 West'!G25</f>
        <v>294.90970831429729</v>
      </c>
      <c r="H55" s="383">
        <f>'950 West'!H25</f>
        <v>306.82799916887012</v>
      </c>
      <c r="I55" s="383">
        <f>'950 West'!I25</f>
        <v>319.22794814757225</v>
      </c>
      <c r="J55" s="383">
        <f>'950 West'!J25</f>
        <v>332.12902067135786</v>
      </c>
      <c r="K55" s="383">
        <f>'950 West'!K25</f>
        <v>345.55146882415659</v>
      </c>
      <c r="L55" s="383">
        <f>'950 West'!L25</f>
        <v>359.51636314456334</v>
      </c>
      <c r="M55" s="383">
        <f>'950 West'!M25</f>
        <v>374.04562570233782</v>
      </c>
      <c r="N55" s="383">
        <f>'950 West'!N25</f>
        <v>389.16206451163617</v>
      </c>
      <c r="O55" s="383">
        <f>'950 West'!O25</f>
        <v>404.88940933499686</v>
      </c>
      <c r="P55" s="383">
        <f>'950 West'!P25</f>
        <v>421.25234893428552</v>
      </c>
      <c r="Q55" s="383">
        <f>'950 West'!Q25</f>
        <v>438.27656982707543</v>
      </c>
      <c r="R55" s="383">
        <f>'950 West'!R25</f>
        <v>455.98879660930305</v>
      </c>
      <c r="S55" s="383">
        <f>'950 West'!S25</f>
        <v>474.41683390750046</v>
      </c>
      <c r="T55" s="383">
        <f>'950 West'!T25</f>
        <v>493.58961002645134</v>
      </c>
      <c r="U55" s="383">
        <f>'950 West'!U25</f>
        <v>513.53722236080307</v>
      </c>
      <c r="V55" s="383">
        <f>'950 West'!V25</f>
        <v>534.29098464190974</v>
      </c>
      <c r="W55" s="383">
        <f>'950 West'!W25</f>
        <v>555.8834760940797</v>
      </c>
      <c r="X55" s="383">
        <f>'950 West'!X25</f>
        <v>578.34859257739151</v>
      </c>
      <c r="Y55" s="383">
        <f>'950 West'!Y25</f>
        <v>601.72159979736421</v>
      </c>
      <c r="Z55" s="383">
        <f>'950 West'!Z25</f>
        <v>626.03918866500794</v>
      </c>
      <c r="AA55" s="383">
        <f>'950 West'!AA25</f>
        <v>651.33953289415933</v>
      </c>
      <c r="AB55" s="383">
        <f>'950 West'!AB25</f>
        <v>677.66234892651892</v>
      </c>
      <c r="AC55" s="383">
        <f>'950 West'!AC25</f>
        <v>705.04895827846235</v>
      </c>
      <c r="AD55" s="383">
        <f>'950 West'!AD25</f>
        <v>733.54235240749153</v>
      </c>
      <c r="AE55" s="383">
        <f>'950 West'!AE25</f>
        <v>763.18726020015981</v>
      </c>
      <c r="AF55" s="383">
        <f>'950 West'!AF25</f>
        <v>794.03021818740956</v>
      </c>
      <c r="AG55" s="383">
        <f>'950 West'!AG25</f>
        <v>826.11964359754847</v>
      </c>
      <c r="AH55" s="383">
        <f>'950 West'!AH25</f>
        <v>859.5059103615381</v>
      </c>
      <c r="AI55" s="383">
        <f>'950 West'!AI25</f>
        <v>894.24142818991652</v>
      </c>
      <c r="AJ55" s="383">
        <f>'950 West'!AJ25</f>
        <v>930.38072484547968</v>
      </c>
      <c r="AK55" s="383">
        <f>'950 West'!AK25</f>
        <v>967.98053174088056</v>
      </c>
      <c r="AL55" s="383">
        <f>'950 West'!AL25</f>
        <v>1007.0998729955157</v>
      </c>
    </row>
    <row r="56" spans="1:38">
      <c r="B56" s="385" t="s">
        <v>509</v>
      </c>
      <c r="C56" s="386" t="s">
        <v>443</v>
      </c>
      <c r="D56" s="383">
        <f>'950 West'!D26</f>
        <v>0</v>
      </c>
      <c r="E56" s="383">
        <f>'950 West'!E26</f>
        <v>0</v>
      </c>
      <c r="F56" s="383">
        <f>'950 West'!F26</f>
        <v>0</v>
      </c>
      <c r="G56" s="383">
        <f>'950 West'!G26</f>
        <v>0</v>
      </c>
      <c r="H56" s="383">
        <f>'950 West'!H26</f>
        <v>0</v>
      </c>
      <c r="I56" s="383">
        <f>'950 West'!I26</f>
        <v>0</v>
      </c>
      <c r="J56" s="383">
        <f>'950 West'!J26</f>
        <v>0</v>
      </c>
      <c r="K56" s="383">
        <f>'950 West'!K26</f>
        <v>0</v>
      </c>
      <c r="L56" s="383">
        <f>'950 West'!L26</f>
        <v>0</v>
      </c>
      <c r="M56" s="383">
        <f>'950 West'!M26</f>
        <v>0</v>
      </c>
      <c r="N56" s="383">
        <f>'950 West'!N26</f>
        <v>0</v>
      </c>
      <c r="O56" s="383">
        <f>'950 West'!O26</f>
        <v>0</v>
      </c>
      <c r="P56" s="383">
        <f>'950 West'!P26</f>
        <v>0</v>
      </c>
      <c r="Q56" s="383">
        <f>'950 West'!Q26</f>
        <v>0</v>
      </c>
      <c r="R56" s="383">
        <f>'950 West'!R26</f>
        <v>0</v>
      </c>
      <c r="S56" s="383">
        <f>'950 West'!S26</f>
        <v>0</v>
      </c>
      <c r="T56" s="383">
        <f>'950 West'!T26</f>
        <v>0</v>
      </c>
      <c r="U56" s="383">
        <f>'950 West'!U26</f>
        <v>0</v>
      </c>
      <c r="V56" s="383">
        <f>'950 West'!V26</f>
        <v>0</v>
      </c>
      <c r="W56" s="383">
        <f>'950 West'!W26</f>
        <v>0</v>
      </c>
      <c r="X56" s="383">
        <f>'950 West'!X26</f>
        <v>0</v>
      </c>
      <c r="Y56" s="383">
        <f>'950 West'!Y26</f>
        <v>0</v>
      </c>
      <c r="Z56" s="383">
        <f>'950 West'!Z26</f>
        <v>0</v>
      </c>
      <c r="AA56" s="383">
        <f>'950 West'!AA26</f>
        <v>0</v>
      </c>
      <c r="AB56" s="383">
        <f>'950 West'!AB26</f>
        <v>0</v>
      </c>
      <c r="AC56" s="383">
        <f>'950 West'!AC26</f>
        <v>0</v>
      </c>
      <c r="AD56" s="383">
        <f>'950 West'!AD26</f>
        <v>0</v>
      </c>
      <c r="AE56" s="383">
        <f>'950 West'!AE26</f>
        <v>0</v>
      </c>
      <c r="AF56" s="383">
        <f>'950 West'!AF26</f>
        <v>0</v>
      </c>
      <c r="AG56" s="383">
        <f>'950 West'!AG26</f>
        <v>0</v>
      </c>
      <c r="AH56" s="383">
        <f>'950 West'!AH26</f>
        <v>0</v>
      </c>
      <c r="AI56" s="383">
        <f>'950 West'!AI26</f>
        <v>0</v>
      </c>
      <c r="AJ56" s="383">
        <f>'950 West'!AJ26</f>
        <v>0</v>
      </c>
      <c r="AK56" s="383">
        <f>'950 West'!AK26</f>
        <v>0</v>
      </c>
      <c r="AL56" s="383">
        <f>'950 West'!AL26</f>
        <v>0</v>
      </c>
    </row>
    <row r="57" spans="1:38">
      <c r="B57" s="358" t="s">
        <v>769</v>
      </c>
      <c r="C57" s="358" t="s">
        <v>443</v>
      </c>
      <c r="D57" s="383">
        <f>'950 West'!D27</f>
        <v>0</v>
      </c>
      <c r="E57" s="383">
        <f>'950 West'!E27</f>
        <v>0</v>
      </c>
      <c r="F57" s="383">
        <f>'950 West'!F27</f>
        <v>0</v>
      </c>
      <c r="G57" s="383">
        <f>'950 West'!G27</f>
        <v>0</v>
      </c>
      <c r="H57" s="383">
        <f>'950 West'!H27</f>
        <v>0</v>
      </c>
      <c r="I57" s="383">
        <f>'950 West'!I27</f>
        <v>0</v>
      </c>
      <c r="J57" s="383">
        <f>'950 West'!J27</f>
        <v>0</v>
      </c>
      <c r="K57" s="383">
        <f>'950 West'!K27</f>
        <v>0</v>
      </c>
      <c r="L57" s="383">
        <f>'950 West'!L27</f>
        <v>0</v>
      </c>
      <c r="M57" s="383">
        <f>'950 West'!M27</f>
        <v>0</v>
      </c>
      <c r="N57" s="383">
        <f>'950 West'!N27</f>
        <v>0</v>
      </c>
      <c r="O57" s="383">
        <f>'950 West'!O27</f>
        <v>0</v>
      </c>
      <c r="P57" s="383">
        <f>'950 West'!P27</f>
        <v>0</v>
      </c>
      <c r="Q57" s="383">
        <f>'950 West'!Q27</f>
        <v>0</v>
      </c>
      <c r="R57" s="383">
        <f>'950 West'!R27</f>
        <v>0</v>
      </c>
      <c r="S57" s="383">
        <f>'950 West'!S27</f>
        <v>0</v>
      </c>
      <c r="T57" s="383">
        <f>'950 West'!T27</f>
        <v>0</v>
      </c>
      <c r="U57" s="383">
        <f>'950 West'!U27</f>
        <v>0</v>
      </c>
      <c r="V57" s="383">
        <f>'950 West'!V27</f>
        <v>0</v>
      </c>
      <c r="W57" s="383">
        <f>'950 West'!W27</f>
        <v>0</v>
      </c>
      <c r="X57" s="383">
        <f>'950 West'!X27</f>
        <v>0</v>
      </c>
      <c r="Y57" s="383">
        <f>'950 West'!Y27</f>
        <v>0</v>
      </c>
      <c r="Z57" s="383">
        <f>'950 West'!Z27</f>
        <v>0</v>
      </c>
      <c r="AA57" s="383">
        <f>'950 West'!AA27</f>
        <v>0</v>
      </c>
      <c r="AB57" s="383">
        <f>'950 West'!AB27</f>
        <v>0</v>
      </c>
      <c r="AC57" s="383">
        <f>'950 West'!AC27</f>
        <v>0</v>
      </c>
      <c r="AD57" s="383">
        <f>'950 West'!AD27</f>
        <v>0</v>
      </c>
      <c r="AE57" s="383">
        <f>'950 West'!AE27</f>
        <v>0</v>
      </c>
      <c r="AF57" s="383">
        <f>'950 West'!AF27</f>
        <v>0</v>
      </c>
      <c r="AG57" s="383">
        <f>'950 West'!AG27</f>
        <v>0</v>
      </c>
      <c r="AH57" s="383">
        <f>'950 West'!AH27</f>
        <v>0</v>
      </c>
      <c r="AI57" s="383">
        <f>'950 West'!AI27</f>
        <v>0</v>
      </c>
      <c r="AJ57" s="383">
        <f>'950 West'!AJ27</f>
        <v>0</v>
      </c>
      <c r="AK57" s="383">
        <f>'950 West'!AK27</f>
        <v>0</v>
      </c>
      <c r="AL57" s="383">
        <f>'950 West'!AL27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 t="shared" ref="D62:AE64" si="56">D55*$C59</f>
        <v>437.30836565654374</v>
      </c>
      <c r="E62" s="383">
        <f t="shared" si="56"/>
        <v>454.98146405952315</v>
      </c>
      <c r="F62" s="383">
        <f t="shared" si="56"/>
        <v>473.36879166937462</v>
      </c>
      <c r="G62" s="383">
        <f t="shared" si="56"/>
        <v>492.49921288487644</v>
      </c>
      <c r="H62" s="383">
        <f t="shared" si="56"/>
        <v>512.40275861201303</v>
      </c>
      <c r="I62" s="383">
        <f t="shared" si="56"/>
        <v>533.11067340644558</v>
      </c>
      <c r="J62" s="383">
        <f t="shared" si="56"/>
        <v>554.65546452116757</v>
      </c>
      <c r="K62" s="383">
        <f t="shared" si="56"/>
        <v>577.07095293634143</v>
      </c>
      <c r="L62" s="383">
        <f t="shared" si="56"/>
        <v>600.39232645142079</v>
      </c>
      <c r="M62" s="383">
        <f t="shared" si="56"/>
        <v>624.65619492290409</v>
      </c>
      <c r="N62" s="383">
        <f t="shared" si="56"/>
        <v>649.90064773443237</v>
      </c>
      <c r="O62" s="383">
        <f t="shared" si="56"/>
        <v>676.16531358944474</v>
      </c>
      <c r="P62" s="383">
        <f t="shared" si="56"/>
        <v>703.49142272025676</v>
      </c>
      <c r="Q62" s="383">
        <f t="shared" si="56"/>
        <v>731.92187161121592</v>
      </c>
      <c r="R62" s="383">
        <f t="shared" si="56"/>
        <v>761.50129033753603</v>
      </c>
      <c r="S62" s="383">
        <f t="shared" si="56"/>
        <v>792.27611262552568</v>
      </c>
      <c r="T62" s="383">
        <f t="shared" si="56"/>
        <v>824.29464874417374</v>
      </c>
      <c r="U62" s="383">
        <f t="shared" si="56"/>
        <v>857.60716134254108</v>
      </c>
      <c r="V62" s="383">
        <f t="shared" si="56"/>
        <v>892.26594435198922</v>
      </c>
      <c r="W62" s="383">
        <f t="shared" si="56"/>
        <v>928.32540507711303</v>
      </c>
      <c r="X62" s="383">
        <f t="shared" si="56"/>
        <v>965.84214960424379</v>
      </c>
      <c r="Y62" s="383">
        <f t="shared" si="56"/>
        <v>1004.8750716615982</v>
      </c>
      <c r="Z62" s="383">
        <f t="shared" si="56"/>
        <v>1045.4854450705632</v>
      </c>
      <c r="AA62" s="383">
        <f t="shared" si="56"/>
        <v>1087.7370199332461</v>
      </c>
      <c r="AB62" s="383">
        <f t="shared" si="56"/>
        <v>1131.6961227072866</v>
      </c>
      <c r="AC62" s="383">
        <f t="shared" si="56"/>
        <v>1177.431760325032</v>
      </c>
      <c r="AD62" s="383">
        <f t="shared" si="56"/>
        <v>1225.0157285205107</v>
      </c>
      <c r="AE62" s="383">
        <f t="shared" si="56"/>
        <v>1274.5227245342669</v>
      </c>
      <c r="AF62" s="383">
        <f t="shared" ref="AF62:AJ62" si="57">AF55*$C59</f>
        <v>1326.0304643729739</v>
      </c>
      <c r="AG62" s="383">
        <f t="shared" si="57"/>
        <v>1379.6198048079059</v>
      </c>
      <c r="AH62" s="383">
        <f t="shared" si="57"/>
        <v>1435.3748703037686</v>
      </c>
      <c r="AI62" s="383">
        <f t="shared" si="57"/>
        <v>1493.3831850771605</v>
      </c>
      <c r="AJ62" s="383">
        <f t="shared" si="57"/>
        <v>1553.735810491951</v>
      </c>
      <c r="AK62" s="383">
        <f t="shared" ref="AK62:AL62" si="58">AK55*$C59</f>
        <v>1616.5274880072704</v>
      </c>
      <c r="AL62" s="383">
        <f t="shared" si="58"/>
        <v>1681.8567879025113</v>
      </c>
    </row>
    <row r="63" spans="1:38">
      <c r="B63" s="472" t="s">
        <v>513</v>
      </c>
      <c r="C63" s="386" t="s">
        <v>443</v>
      </c>
      <c r="D63" s="383">
        <f t="shared" si="56"/>
        <v>0</v>
      </c>
      <c r="E63" s="383">
        <f t="shared" si="56"/>
        <v>0</v>
      </c>
      <c r="F63" s="383">
        <f t="shared" si="56"/>
        <v>0</v>
      </c>
      <c r="G63" s="383">
        <f t="shared" si="56"/>
        <v>0</v>
      </c>
      <c r="H63" s="383">
        <f t="shared" si="56"/>
        <v>0</v>
      </c>
      <c r="I63" s="383">
        <f t="shared" si="56"/>
        <v>0</v>
      </c>
      <c r="J63" s="383">
        <f t="shared" si="56"/>
        <v>0</v>
      </c>
      <c r="K63" s="383">
        <f t="shared" si="56"/>
        <v>0</v>
      </c>
      <c r="L63" s="383">
        <f t="shared" si="56"/>
        <v>0</v>
      </c>
      <c r="M63" s="383">
        <f t="shared" si="56"/>
        <v>0</v>
      </c>
      <c r="N63" s="383">
        <f t="shared" si="56"/>
        <v>0</v>
      </c>
      <c r="O63" s="383">
        <f t="shared" si="56"/>
        <v>0</v>
      </c>
      <c r="P63" s="383">
        <f t="shared" si="56"/>
        <v>0</v>
      </c>
      <c r="Q63" s="383">
        <f t="shared" si="56"/>
        <v>0</v>
      </c>
      <c r="R63" s="383">
        <f t="shared" si="56"/>
        <v>0</v>
      </c>
      <c r="S63" s="383">
        <f t="shared" si="56"/>
        <v>0</v>
      </c>
      <c r="T63" s="383">
        <f t="shared" si="56"/>
        <v>0</v>
      </c>
      <c r="U63" s="383">
        <f t="shared" si="56"/>
        <v>0</v>
      </c>
      <c r="V63" s="383">
        <f t="shared" si="56"/>
        <v>0</v>
      </c>
      <c r="W63" s="383">
        <f t="shared" si="56"/>
        <v>0</v>
      </c>
      <c r="X63" s="383">
        <f t="shared" si="56"/>
        <v>0</v>
      </c>
      <c r="Y63" s="383">
        <f t="shared" si="56"/>
        <v>0</v>
      </c>
      <c r="Z63" s="383">
        <f t="shared" si="56"/>
        <v>0</v>
      </c>
      <c r="AA63" s="383">
        <f t="shared" si="56"/>
        <v>0</v>
      </c>
      <c r="AB63" s="383">
        <f t="shared" si="56"/>
        <v>0</v>
      </c>
      <c r="AC63" s="383">
        <f t="shared" si="56"/>
        <v>0</v>
      </c>
      <c r="AD63" s="383">
        <f t="shared" si="56"/>
        <v>0</v>
      </c>
      <c r="AE63" s="383">
        <f t="shared" si="56"/>
        <v>0</v>
      </c>
      <c r="AF63" s="383">
        <f t="shared" ref="AF63:AJ63" si="59">AF56*$C60</f>
        <v>0</v>
      </c>
      <c r="AG63" s="383">
        <f t="shared" si="59"/>
        <v>0</v>
      </c>
      <c r="AH63" s="383">
        <f t="shared" si="59"/>
        <v>0</v>
      </c>
      <c r="AI63" s="383">
        <f t="shared" si="59"/>
        <v>0</v>
      </c>
      <c r="AJ63" s="383">
        <f t="shared" si="59"/>
        <v>0</v>
      </c>
      <c r="AK63" s="383">
        <f t="shared" ref="AK63:AL63" si="60">AK56*$C60</f>
        <v>0</v>
      </c>
      <c r="AL63" s="383">
        <f t="shared" si="60"/>
        <v>0</v>
      </c>
    </row>
    <row r="64" spans="1:38">
      <c r="B64" s="472" t="s">
        <v>752</v>
      </c>
      <c r="C64" s="386" t="s">
        <v>443</v>
      </c>
      <c r="D64" s="383">
        <f t="shared" si="56"/>
        <v>0</v>
      </c>
      <c r="E64" s="383">
        <f t="shared" si="56"/>
        <v>0</v>
      </c>
      <c r="F64" s="383">
        <f t="shared" si="56"/>
        <v>0</v>
      </c>
      <c r="G64" s="383">
        <f t="shared" si="56"/>
        <v>0</v>
      </c>
      <c r="H64" s="383">
        <f t="shared" si="56"/>
        <v>0</v>
      </c>
      <c r="I64" s="383">
        <f t="shared" si="56"/>
        <v>0</v>
      </c>
      <c r="J64" s="383">
        <f t="shared" si="56"/>
        <v>0</v>
      </c>
      <c r="K64" s="383">
        <f t="shared" si="56"/>
        <v>0</v>
      </c>
      <c r="L64" s="383">
        <f t="shared" si="56"/>
        <v>0</v>
      </c>
      <c r="M64" s="383">
        <f t="shared" si="56"/>
        <v>0</v>
      </c>
      <c r="N64" s="383">
        <f t="shared" si="56"/>
        <v>0</v>
      </c>
      <c r="O64" s="383">
        <f t="shared" si="56"/>
        <v>0</v>
      </c>
      <c r="P64" s="383">
        <f t="shared" si="56"/>
        <v>0</v>
      </c>
      <c r="Q64" s="383">
        <f t="shared" si="56"/>
        <v>0</v>
      </c>
      <c r="R64" s="383">
        <f t="shared" si="56"/>
        <v>0</v>
      </c>
      <c r="S64" s="383">
        <f t="shared" si="56"/>
        <v>0</v>
      </c>
      <c r="T64" s="383">
        <f t="shared" si="56"/>
        <v>0</v>
      </c>
      <c r="U64" s="383">
        <f t="shared" si="56"/>
        <v>0</v>
      </c>
      <c r="V64" s="383">
        <f t="shared" si="56"/>
        <v>0</v>
      </c>
      <c r="W64" s="383">
        <f t="shared" si="56"/>
        <v>0</v>
      </c>
      <c r="X64" s="383">
        <f t="shared" si="56"/>
        <v>0</v>
      </c>
      <c r="Y64" s="383">
        <f t="shared" si="56"/>
        <v>0</v>
      </c>
      <c r="Z64" s="383">
        <f t="shared" si="56"/>
        <v>0</v>
      </c>
      <c r="AA64" s="383">
        <f t="shared" si="56"/>
        <v>0</v>
      </c>
      <c r="AB64" s="383">
        <f t="shared" si="56"/>
        <v>0</v>
      </c>
      <c r="AC64" s="383">
        <f t="shared" si="56"/>
        <v>0</v>
      </c>
      <c r="AD64" s="383">
        <f t="shared" si="56"/>
        <v>0</v>
      </c>
      <c r="AE64" s="383">
        <f t="shared" si="56"/>
        <v>0</v>
      </c>
      <c r="AF64" s="383">
        <f t="shared" ref="AF64:AJ64" si="61">AF57*$C61</f>
        <v>0</v>
      </c>
      <c r="AG64" s="383">
        <f t="shared" si="61"/>
        <v>0</v>
      </c>
      <c r="AH64" s="383">
        <f t="shared" si="61"/>
        <v>0</v>
      </c>
      <c r="AI64" s="383">
        <f t="shared" si="61"/>
        <v>0</v>
      </c>
      <c r="AJ64" s="383">
        <f t="shared" si="61"/>
        <v>0</v>
      </c>
      <c r="AK64" s="383">
        <f t="shared" ref="AK64:AL64" si="62">AK57*$C61</f>
        <v>0</v>
      </c>
      <c r="AL64" s="383">
        <f t="shared" si="62"/>
        <v>0</v>
      </c>
    </row>
    <row r="65" spans="1:38">
      <c r="D65" s="358"/>
      <c r="F65" s="464"/>
      <c r="G65" s="465"/>
      <c r="H65" s="465"/>
    </row>
    <row r="66" spans="1:38" ht="13">
      <c r="B66" s="364" t="s">
        <v>526</v>
      </c>
      <c r="C66" s="487" t="s">
        <v>292</v>
      </c>
      <c r="D66" s="488">
        <f>SUMPRODUCT(D62:D64,D49:D51)</f>
        <v>7827.8197452521326</v>
      </c>
      <c r="E66" s="488">
        <f t="shared" ref="E66:AE66" si="63">SUMPRODUCT(E62:E64,E49:E51)</f>
        <v>8144.1682066654639</v>
      </c>
      <c r="F66" s="488">
        <f t="shared" si="63"/>
        <v>8473.3013708818053</v>
      </c>
      <c r="G66" s="488">
        <f t="shared" si="63"/>
        <v>8815.7359106392869</v>
      </c>
      <c r="H66" s="488">
        <f t="shared" si="63"/>
        <v>9172.0093791550316</v>
      </c>
      <c r="I66" s="488">
        <f t="shared" si="63"/>
        <v>9542.6810539753751</v>
      </c>
      <c r="J66" s="488">
        <f t="shared" si="63"/>
        <v>9928.3328149288991</v>
      </c>
      <c r="K66" s="488">
        <f t="shared" si="63"/>
        <v>10329.570057560511</v>
      </c>
      <c r="L66" s="488">
        <f t="shared" si="63"/>
        <v>10747.022643480432</v>
      </c>
      <c r="M66" s="488">
        <f t="shared" si="63"/>
        <v>11181.345889119983</v>
      </c>
      <c r="N66" s="488">
        <f t="shared" si="63"/>
        <v>11633.221594446339</v>
      </c>
      <c r="O66" s="488">
        <f t="shared" si="63"/>
        <v>12103.359113251059</v>
      </c>
      <c r="P66" s="488">
        <f t="shared" si="63"/>
        <v>12592.496466692595</v>
      </c>
      <c r="Q66" s="488">
        <f t="shared" si="63"/>
        <v>13101.401501840764</v>
      </c>
      <c r="R66" s="488">
        <f t="shared" si="63"/>
        <v>13630.873097041895</v>
      </c>
      <c r="S66" s="488">
        <f t="shared" si="63"/>
        <v>14181.742415996909</v>
      </c>
      <c r="T66" s="488">
        <f t="shared" si="63"/>
        <v>14754.874212520708</v>
      </c>
      <c r="U66" s="488">
        <f t="shared" si="63"/>
        <v>15351.168188031485</v>
      </c>
      <c r="V66" s="488">
        <f t="shared" si="63"/>
        <v>15971.560403900607</v>
      </c>
      <c r="W66" s="488">
        <f t="shared" si="63"/>
        <v>16617.024750880322</v>
      </c>
      <c r="X66" s="488">
        <f t="shared" si="63"/>
        <v>17288.574477915961</v>
      </c>
      <c r="Y66" s="488">
        <f t="shared" si="63"/>
        <v>17987.263782742608</v>
      </c>
      <c r="Z66" s="488">
        <f t="shared" si="63"/>
        <v>18714.18946676308</v>
      </c>
      <c r="AA66" s="488">
        <f t="shared" si="63"/>
        <v>19470.492656805101</v>
      </c>
      <c r="AB66" s="488">
        <f t="shared" si="63"/>
        <v>20257.360596460428</v>
      </c>
      <c r="AC66" s="488">
        <f t="shared" si="63"/>
        <v>21076.028509818072</v>
      </c>
      <c r="AD66" s="488">
        <f t="shared" si="63"/>
        <v>21927.781540517139</v>
      </c>
      <c r="AE66" s="488">
        <f t="shared" si="63"/>
        <v>22813.956769163375</v>
      </c>
      <c r="AF66" s="488">
        <f t="shared" ref="AF66:AJ66" si="64">SUMPRODUCT(AF62:AF64,AF49:AF51)</f>
        <v>23735.945312276232</v>
      </c>
      <c r="AG66" s="488">
        <f t="shared" si="64"/>
        <v>24695.194506061514</v>
      </c>
      <c r="AH66" s="488">
        <f t="shared" si="64"/>
        <v>25693.210178437457</v>
      </c>
      <c r="AI66" s="488">
        <f t="shared" si="64"/>
        <v>26731.559012881171</v>
      </c>
      <c r="AJ66" s="488">
        <f t="shared" si="64"/>
        <v>27811.871007805923</v>
      </c>
      <c r="AK66" s="488">
        <f t="shared" ref="AK66:AL66" si="65">SUMPRODUCT(AK62:AK64,AK49:AK51)</f>
        <v>28935.842035330137</v>
      </c>
      <c r="AL66" s="488">
        <f t="shared" si="65"/>
        <v>30105.236503454951</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'950 West'!D48</f>
        <v>261.86129680032559</v>
      </c>
      <c r="E70" s="383">
        <f>'950 West'!E48</f>
        <v>272.44399045480429</v>
      </c>
      <c r="F70" s="383">
        <f>'950 West'!F48</f>
        <v>283.45436626908662</v>
      </c>
      <c r="G70" s="383">
        <f>'950 West'!G48</f>
        <v>294.90970831429729</v>
      </c>
      <c r="H70" s="383">
        <f>'950 West'!H48</f>
        <v>0</v>
      </c>
      <c r="I70" s="383">
        <f>'950 West'!I48</f>
        <v>0</v>
      </c>
      <c r="J70" s="383">
        <f>'950 West'!J48</f>
        <v>0</v>
      </c>
      <c r="K70" s="383">
        <f>'950 West'!K48</f>
        <v>0</v>
      </c>
      <c r="L70" s="383">
        <f>'950 West'!L48</f>
        <v>0</v>
      </c>
      <c r="M70" s="383">
        <f>'950 West'!M48</f>
        <v>0</v>
      </c>
      <c r="N70" s="383">
        <f>'950 West'!N48</f>
        <v>0</v>
      </c>
      <c r="O70" s="383">
        <f>'950 West'!O48</f>
        <v>0</v>
      </c>
      <c r="P70" s="383">
        <f>'950 West'!P48</f>
        <v>0</v>
      </c>
      <c r="Q70" s="383">
        <f>'950 West'!Q48</f>
        <v>0</v>
      </c>
      <c r="R70" s="383">
        <f>'950 West'!R48</f>
        <v>0</v>
      </c>
      <c r="S70" s="383">
        <f>'950 West'!S48</f>
        <v>0</v>
      </c>
      <c r="T70" s="383">
        <f>'950 West'!T48</f>
        <v>0</v>
      </c>
      <c r="U70" s="383">
        <f>'950 West'!U48</f>
        <v>0</v>
      </c>
      <c r="V70" s="383">
        <f>'950 West'!V48</f>
        <v>0</v>
      </c>
      <c r="W70" s="383">
        <f>'950 West'!W48</f>
        <v>0</v>
      </c>
      <c r="X70" s="383">
        <f>'950 West'!X48</f>
        <v>0</v>
      </c>
      <c r="Y70" s="383">
        <f>'950 West'!Y48</f>
        <v>0</v>
      </c>
      <c r="Z70" s="383">
        <f>'950 West'!Z48</f>
        <v>0</v>
      </c>
      <c r="AA70" s="383">
        <f>'950 West'!AA48</f>
        <v>0</v>
      </c>
      <c r="AB70" s="383">
        <f>'950 West'!AB48</f>
        <v>0</v>
      </c>
      <c r="AC70" s="383">
        <f>'950 West'!AC48</f>
        <v>0</v>
      </c>
      <c r="AD70" s="383">
        <f>'950 West'!AD48</f>
        <v>0</v>
      </c>
      <c r="AE70" s="383">
        <f>'950 West'!AE48</f>
        <v>0</v>
      </c>
      <c r="AF70" s="383">
        <f>'950 West'!AF48</f>
        <v>0</v>
      </c>
      <c r="AG70" s="383">
        <f>'950 West'!AG48</f>
        <v>0</v>
      </c>
      <c r="AH70" s="383">
        <f>'950 West'!AH48</f>
        <v>0</v>
      </c>
      <c r="AI70" s="383">
        <f>'950 West'!AI48</f>
        <v>0</v>
      </c>
      <c r="AJ70" s="383">
        <f>'950 West'!AJ48</f>
        <v>0</v>
      </c>
      <c r="AK70" s="383">
        <f>'950 West'!AK48</f>
        <v>0</v>
      </c>
      <c r="AL70" s="383">
        <f>'950 West'!AL48</f>
        <v>0</v>
      </c>
    </row>
    <row r="71" spans="1:38">
      <c r="B71" s="385" t="s">
        <v>509</v>
      </c>
      <c r="C71" s="386" t="s">
        <v>443</v>
      </c>
      <c r="D71" s="383">
        <f>'950 West'!D49</f>
        <v>0</v>
      </c>
      <c r="E71" s="383">
        <f>'950 West'!E49</f>
        <v>0</v>
      </c>
      <c r="F71" s="383">
        <f>'950 West'!F49</f>
        <v>0</v>
      </c>
      <c r="G71" s="383">
        <f>'950 West'!G49</f>
        <v>0</v>
      </c>
      <c r="H71" s="383">
        <f>'950 West'!H49</f>
        <v>0</v>
      </c>
      <c r="I71" s="383">
        <f>'950 West'!I49</f>
        <v>0</v>
      </c>
      <c r="J71" s="383">
        <f>'950 West'!J49</f>
        <v>0</v>
      </c>
      <c r="K71" s="383">
        <f>'950 West'!K49</f>
        <v>0</v>
      </c>
      <c r="L71" s="383">
        <f>'950 West'!L49</f>
        <v>0</v>
      </c>
      <c r="M71" s="383">
        <f>'950 West'!M49</f>
        <v>0</v>
      </c>
      <c r="N71" s="383">
        <f>'950 West'!N49</f>
        <v>0</v>
      </c>
      <c r="O71" s="383">
        <f>'950 West'!O49</f>
        <v>0</v>
      </c>
      <c r="P71" s="383">
        <f>'950 West'!P49</f>
        <v>0</v>
      </c>
      <c r="Q71" s="383">
        <f>'950 West'!Q49</f>
        <v>0</v>
      </c>
      <c r="R71" s="383">
        <f>'950 West'!R49</f>
        <v>0</v>
      </c>
      <c r="S71" s="383">
        <f>'950 West'!S49</f>
        <v>0</v>
      </c>
      <c r="T71" s="383">
        <f>'950 West'!T49</f>
        <v>0</v>
      </c>
      <c r="U71" s="383">
        <f>'950 West'!U49</f>
        <v>0</v>
      </c>
      <c r="V71" s="383">
        <f>'950 West'!V49</f>
        <v>0</v>
      </c>
      <c r="W71" s="383">
        <f>'950 West'!W49</f>
        <v>0</v>
      </c>
      <c r="X71" s="383">
        <f>'950 West'!X49</f>
        <v>0</v>
      </c>
      <c r="Y71" s="383">
        <f>'950 West'!Y49</f>
        <v>0</v>
      </c>
      <c r="Z71" s="383">
        <f>'950 West'!Z49</f>
        <v>0</v>
      </c>
      <c r="AA71" s="383">
        <f>'950 West'!AA49</f>
        <v>0</v>
      </c>
      <c r="AB71" s="383">
        <f>'950 West'!AB49</f>
        <v>0</v>
      </c>
      <c r="AC71" s="383">
        <f>'950 West'!AC49</f>
        <v>0</v>
      </c>
      <c r="AD71" s="383">
        <f>'950 West'!AD49</f>
        <v>0</v>
      </c>
      <c r="AE71" s="383">
        <f>'950 West'!AE49</f>
        <v>0</v>
      </c>
      <c r="AF71" s="383">
        <f>'950 West'!AF49</f>
        <v>0</v>
      </c>
      <c r="AG71" s="383">
        <f>'950 West'!AG49</f>
        <v>0</v>
      </c>
      <c r="AH71" s="383">
        <f>'950 West'!AH49</f>
        <v>0</v>
      </c>
      <c r="AI71" s="383">
        <f>'950 West'!AI49</f>
        <v>0</v>
      </c>
      <c r="AJ71" s="383">
        <f>'950 West'!AJ49</f>
        <v>0</v>
      </c>
      <c r="AK71" s="383">
        <f>'950 West'!AK49</f>
        <v>0</v>
      </c>
      <c r="AL71" s="383">
        <f>'950 West'!AL49</f>
        <v>0</v>
      </c>
    </row>
    <row r="72" spans="1:38">
      <c r="B72" s="358" t="s">
        <v>769</v>
      </c>
      <c r="C72" s="358" t="s">
        <v>443</v>
      </c>
      <c r="D72" s="383">
        <f>'950 West'!D50</f>
        <v>0</v>
      </c>
      <c r="E72" s="383">
        <f>'950 West'!E50</f>
        <v>0</v>
      </c>
      <c r="F72" s="383">
        <f>'950 West'!F50</f>
        <v>0</v>
      </c>
      <c r="G72" s="383">
        <f>'950 West'!G50</f>
        <v>0</v>
      </c>
      <c r="H72" s="383">
        <f>'950 West'!H50</f>
        <v>0</v>
      </c>
      <c r="I72" s="383">
        <f>'950 West'!I50</f>
        <v>0</v>
      </c>
      <c r="J72" s="383">
        <f>'950 West'!J50</f>
        <v>0</v>
      </c>
      <c r="K72" s="383">
        <f>'950 West'!K50</f>
        <v>0</v>
      </c>
      <c r="L72" s="383">
        <f>'950 West'!L50</f>
        <v>0</v>
      </c>
      <c r="M72" s="383">
        <f>'950 West'!M50</f>
        <v>0</v>
      </c>
      <c r="N72" s="383">
        <f>'950 West'!N50</f>
        <v>0</v>
      </c>
      <c r="O72" s="383">
        <f>'950 West'!O50</f>
        <v>0</v>
      </c>
      <c r="P72" s="383">
        <f>'950 West'!P50</f>
        <v>0</v>
      </c>
      <c r="Q72" s="383">
        <f>'950 West'!Q50</f>
        <v>0</v>
      </c>
      <c r="R72" s="383">
        <f>'950 West'!R50</f>
        <v>0</v>
      </c>
      <c r="S72" s="383">
        <f>'950 West'!S50</f>
        <v>0</v>
      </c>
      <c r="T72" s="383">
        <f>'950 West'!T50</f>
        <v>0</v>
      </c>
      <c r="U72" s="383">
        <f>'950 West'!U50</f>
        <v>0</v>
      </c>
      <c r="V72" s="383">
        <f>'950 West'!V50</f>
        <v>0</v>
      </c>
      <c r="W72" s="383">
        <f>'950 West'!W50</f>
        <v>0</v>
      </c>
      <c r="X72" s="383">
        <f>'950 West'!X50</f>
        <v>0</v>
      </c>
      <c r="Y72" s="383">
        <f>'950 West'!Y50</f>
        <v>0</v>
      </c>
      <c r="Z72" s="383">
        <f>'950 West'!Z50</f>
        <v>0</v>
      </c>
      <c r="AA72" s="383">
        <f>'950 West'!AA50</f>
        <v>0</v>
      </c>
      <c r="AB72" s="383">
        <f>'950 West'!AB50</f>
        <v>0</v>
      </c>
      <c r="AC72" s="383">
        <f>'950 West'!AC50</f>
        <v>0</v>
      </c>
      <c r="AD72" s="383">
        <f>'950 West'!AD50</f>
        <v>0</v>
      </c>
      <c r="AE72" s="383">
        <f>'950 West'!AE50</f>
        <v>0</v>
      </c>
      <c r="AF72" s="383">
        <f>'950 West'!AF50</f>
        <v>0</v>
      </c>
      <c r="AG72" s="383">
        <f>'950 West'!AG50</f>
        <v>0</v>
      </c>
      <c r="AH72" s="383">
        <f>'950 West'!AH50</f>
        <v>0</v>
      </c>
      <c r="AI72" s="383">
        <f>'950 West'!AI50</f>
        <v>0</v>
      </c>
      <c r="AJ72" s="383">
        <f>'950 West'!AJ50</f>
        <v>0</v>
      </c>
      <c r="AK72" s="383">
        <f>'950 West'!AK50</f>
        <v>0</v>
      </c>
      <c r="AL72" s="383">
        <f>'950 West'!AL50</f>
        <v>0</v>
      </c>
    </row>
    <row r="73" spans="1:38">
      <c r="D73" s="358"/>
      <c r="F73" s="464"/>
      <c r="G73" s="465"/>
      <c r="H73" s="465"/>
    </row>
    <row r="74" spans="1:38">
      <c r="B74" s="472" t="s">
        <v>512</v>
      </c>
      <c r="C74" s="386" t="s">
        <v>443</v>
      </c>
      <c r="D74" s="383">
        <f>D70*$C59</f>
        <v>437.30836565654374</v>
      </c>
      <c r="E74" s="383">
        <f t="shared" ref="E74:AE76" si="66">E70*$C59</f>
        <v>454.98146405952315</v>
      </c>
      <c r="F74" s="383">
        <f t="shared" si="66"/>
        <v>473.36879166937462</v>
      </c>
      <c r="G74" s="383">
        <f t="shared" si="66"/>
        <v>492.49921288487644</v>
      </c>
      <c r="H74" s="383">
        <f t="shared" si="66"/>
        <v>0</v>
      </c>
      <c r="I74" s="383">
        <f t="shared" si="66"/>
        <v>0</v>
      </c>
      <c r="J74" s="383">
        <f t="shared" si="66"/>
        <v>0</v>
      </c>
      <c r="K74" s="383">
        <f t="shared" si="66"/>
        <v>0</v>
      </c>
      <c r="L74" s="383">
        <f t="shared" si="66"/>
        <v>0</v>
      </c>
      <c r="M74" s="383">
        <f t="shared" si="66"/>
        <v>0</v>
      </c>
      <c r="N74" s="383">
        <f t="shared" si="66"/>
        <v>0</v>
      </c>
      <c r="O74" s="383">
        <f t="shared" si="66"/>
        <v>0</v>
      </c>
      <c r="P74" s="383">
        <f t="shared" si="66"/>
        <v>0</v>
      </c>
      <c r="Q74" s="383">
        <f t="shared" si="66"/>
        <v>0</v>
      </c>
      <c r="R74" s="383">
        <f t="shared" si="66"/>
        <v>0</v>
      </c>
      <c r="S74" s="383">
        <f t="shared" si="66"/>
        <v>0</v>
      </c>
      <c r="T74" s="383">
        <f t="shared" si="66"/>
        <v>0</v>
      </c>
      <c r="U74" s="383">
        <f t="shared" si="66"/>
        <v>0</v>
      </c>
      <c r="V74" s="383">
        <f t="shared" si="66"/>
        <v>0</v>
      </c>
      <c r="W74" s="383">
        <f t="shared" si="66"/>
        <v>0</v>
      </c>
      <c r="X74" s="383">
        <f t="shared" si="66"/>
        <v>0</v>
      </c>
      <c r="Y74" s="383">
        <f t="shared" si="66"/>
        <v>0</v>
      </c>
      <c r="Z74" s="383">
        <f t="shared" si="66"/>
        <v>0</v>
      </c>
      <c r="AA74" s="383">
        <f t="shared" si="66"/>
        <v>0</v>
      </c>
      <c r="AB74" s="383">
        <f t="shared" si="66"/>
        <v>0</v>
      </c>
      <c r="AC74" s="383">
        <f t="shared" si="66"/>
        <v>0</v>
      </c>
      <c r="AD74" s="383">
        <f t="shared" si="66"/>
        <v>0</v>
      </c>
      <c r="AE74" s="383">
        <f t="shared" si="66"/>
        <v>0</v>
      </c>
      <c r="AF74" s="383">
        <f t="shared" ref="AF74:AJ74" si="67">AF70*$C59</f>
        <v>0</v>
      </c>
      <c r="AG74" s="383">
        <f t="shared" si="67"/>
        <v>0</v>
      </c>
      <c r="AH74" s="383">
        <f t="shared" si="67"/>
        <v>0</v>
      </c>
      <c r="AI74" s="383">
        <f t="shared" si="67"/>
        <v>0</v>
      </c>
      <c r="AJ74" s="383">
        <f t="shared" si="67"/>
        <v>0</v>
      </c>
      <c r="AK74" s="383">
        <f t="shared" ref="AK74:AL74" si="68">AK70*$C59</f>
        <v>0</v>
      </c>
      <c r="AL74" s="383">
        <f t="shared" si="68"/>
        <v>0</v>
      </c>
    </row>
    <row r="75" spans="1:38">
      <c r="B75" s="472" t="s">
        <v>513</v>
      </c>
      <c r="C75" s="386" t="s">
        <v>443</v>
      </c>
      <c r="D75" s="383">
        <f t="shared" ref="D75:S76" si="69">D71*$C60</f>
        <v>0</v>
      </c>
      <c r="E75" s="383">
        <f t="shared" si="69"/>
        <v>0</v>
      </c>
      <c r="F75" s="383">
        <f t="shared" si="69"/>
        <v>0</v>
      </c>
      <c r="G75" s="383">
        <f t="shared" si="69"/>
        <v>0</v>
      </c>
      <c r="H75" s="383">
        <f t="shared" si="69"/>
        <v>0</v>
      </c>
      <c r="I75" s="383">
        <f t="shared" si="69"/>
        <v>0</v>
      </c>
      <c r="J75" s="383">
        <f t="shared" si="69"/>
        <v>0</v>
      </c>
      <c r="K75" s="383">
        <f t="shared" si="69"/>
        <v>0</v>
      </c>
      <c r="L75" s="383">
        <f t="shared" si="69"/>
        <v>0</v>
      </c>
      <c r="M75" s="383">
        <f t="shared" si="69"/>
        <v>0</v>
      </c>
      <c r="N75" s="383">
        <f t="shared" si="69"/>
        <v>0</v>
      </c>
      <c r="O75" s="383">
        <f t="shared" si="69"/>
        <v>0</v>
      </c>
      <c r="P75" s="383">
        <f t="shared" si="69"/>
        <v>0</v>
      </c>
      <c r="Q75" s="383">
        <f t="shared" si="69"/>
        <v>0</v>
      </c>
      <c r="R75" s="383">
        <f t="shared" si="69"/>
        <v>0</v>
      </c>
      <c r="S75" s="383">
        <f t="shared" si="69"/>
        <v>0</v>
      </c>
      <c r="T75" s="383">
        <f t="shared" si="66"/>
        <v>0</v>
      </c>
      <c r="U75" s="383">
        <f t="shared" si="66"/>
        <v>0</v>
      </c>
      <c r="V75" s="383">
        <f t="shared" si="66"/>
        <v>0</v>
      </c>
      <c r="W75" s="383">
        <f t="shared" si="66"/>
        <v>0</v>
      </c>
      <c r="X75" s="383">
        <f t="shared" si="66"/>
        <v>0</v>
      </c>
      <c r="Y75" s="383">
        <f t="shared" si="66"/>
        <v>0</v>
      </c>
      <c r="Z75" s="383">
        <f t="shared" si="66"/>
        <v>0</v>
      </c>
      <c r="AA75" s="383">
        <f t="shared" si="66"/>
        <v>0</v>
      </c>
      <c r="AB75" s="383">
        <f t="shared" si="66"/>
        <v>0</v>
      </c>
      <c r="AC75" s="383">
        <f t="shared" si="66"/>
        <v>0</v>
      </c>
      <c r="AD75" s="383">
        <f t="shared" si="66"/>
        <v>0</v>
      </c>
      <c r="AE75" s="383">
        <f t="shared" si="66"/>
        <v>0</v>
      </c>
      <c r="AF75" s="383">
        <f t="shared" ref="AF75:AJ75" si="70">AF71*$C60</f>
        <v>0</v>
      </c>
      <c r="AG75" s="383">
        <f t="shared" si="70"/>
        <v>0</v>
      </c>
      <c r="AH75" s="383">
        <f t="shared" si="70"/>
        <v>0</v>
      </c>
      <c r="AI75" s="383">
        <f t="shared" si="70"/>
        <v>0</v>
      </c>
      <c r="AJ75" s="383">
        <f t="shared" si="70"/>
        <v>0</v>
      </c>
      <c r="AK75" s="383">
        <f t="shared" ref="AK75:AL75" si="71">AK71*$C60</f>
        <v>0</v>
      </c>
      <c r="AL75" s="383">
        <f t="shared" si="71"/>
        <v>0</v>
      </c>
    </row>
    <row r="76" spans="1:38">
      <c r="B76" s="472" t="s">
        <v>752</v>
      </c>
      <c r="C76" s="386" t="s">
        <v>443</v>
      </c>
      <c r="D76" s="383">
        <f t="shared" si="69"/>
        <v>0</v>
      </c>
      <c r="E76" s="383">
        <f t="shared" si="66"/>
        <v>0</v>
      </c>
      <c r="F76" s="383">
        <f t="shared" si="66"/>
        <v>0</v>
      </c>
      <c r="G76" s="383">
        <f t="shared" si="66"/>
        <v>0</v>
      </c>
      <c r="H76" s="383">
        <f t="shared" si="66"/>
        <v>0</v>
      </c>
      <c r="I76" s="383">
        <f t="shared" si="66"/>
        <v>0</v>
      </c>
      <c r="J76" s="383">
        <f t="shared" si="66"/>
        <v>0</v>
      </c>
      <c r="K76" s="383">
        <f t="shared" si="66"/>
        <v>0</v>
      </c>
      <c r="L76" s="383">
        <f t="shared" si="66"/>
        <v>0</v>
      </c>
      <c r="M76" s="383">
        <f t="shared" si="66"/>
        <v>0</v>
      </c>
      <c r="N76" s="383">
        <f t="shared" si="66"/>
        <v>0</v>
      </c>
      <c r="O76" s="383">
        <f t="shared" si="66"/>
        <v>0</v>
      </c>
      <c r="P76" s="383">
        <f t="shared" si="66"/>
        <v>0</v>
      </c>
      <c r="Q76" s="383">
        <f t="shared" si="66"/>
        <v>0</v>
      </c>
      <c r="R76" s="383">
        <f t="shared" si="66"/>
        <v>0</v>
      </c>
      <c r="S76" s="383">
        <f t="shared" si="66"/>
        <v>0</v>
      </c>
      <c r="T76" s="383">
        <f t="shared" si="66"/>
        <v>0</v>
      </c>
      <c r="U76" s="383">
        <f t="shared" si="66"/>
        <v>0</v>
      </c>
      <c r="V76" s="383">
        <f t="shared" si="66"/>
        <v>0</v>
      </c>
      <c r="W76" s="383">
        <f t="shared" si="66"/>
        <v>0</v>
      </c>
      <c r="X76" s="383">
        <f t="shared" si="66"/>
        <v>0</v>
      </c>
      <c r="Y76" s="383">
        <f t="shared" si="66"/>
        <v>0</v>
      </c>
      <c r="Z76" s="383">
        <f t="shared" si="66"/>
        <v>0</v>
      </c>
      <c r="AA76" s="383">
        <f t="shared" si="66"/>
        <v>0</v>
      </c>
      <c r="AB76" s="383">
        <f t="shared" si="66"/>
        <v>0</v>
      </c>
      <c r="AC76" s="383">
        <f t="shared" si="66"/>
        <v>0</v>
      </c>
      <c r="AD76" s="383">
        <f t="shared" si="66"/>
        <v>0</v>
      </c>
      <c r="AE76" s="383">
        <f t="shared" si="66"/>
        <v>0</v>
      </c>
      <c r="AF76" s="383">
        <f t="shared" ref="AF76:AJ76" si="72">AF72*$C61</f>
        <v>0</v>
      </c>
      <c r="AG76" s="383">
        <f t="shared" si="72"/>
        <v>0</v>
      </c>
      <c r="AH76" s="383">
        <f t="shared" si="72"/>
        <v>0</v>
      </c>
      <c r="AI76" s="383">
        <f t="shared" si="72"/>
        <v>0</v>
      </c>
      <c r="AJ76" s="383">
        <f t="shared" si="72"/>
        <v>0</v>
      </c>
      <c r="AK76" s="383">
        <f t="shared" ref="AK76:AL76" si="73">AK72*$C61</f>
        <v>0</v>
      </c>
      <c r="AL76" s="383">
        <f t="shared" si="73"/>
        <v>0</v>
      </c>
    </row>
    <row r="77" spans="1:38">
      <c r="D77" s="358"/>
      <c r="F77" s="464"/>
      <c r="G77" s="465"/>
      <c r="H77" s="465"/>
    </row>
    <row r="78" spans="1:38" ht="13">
      <c r="B78" s="364" t="s">
        <v>514</v>
      </c>
      <c r="C78" s="487" t="s">
        <v>292</v>
      </c>
      <c r="D78" s="488">
        <f t="shared" ref="D78:AE78" si="74">D74*D49+D75*D50+D76*D51</f>
        <v>7827.8197452521326</v>
      </c>
      <c r="E78" s="488">
        <f t="shared" si="74"/>
        <v>8144.1682066654639</v>
      </c>
      <c r="F78" s="488">
        <f t="shared" si="74"/>
        <v>8473.3013708818053</v>
      </c>
      <c r="G78" s="488">
        <f t="shared" si="74"/>
        <v>8815.7359106392869</v>
      </c>
      <c r="H78" s="488">
        <f t="shared" si="74"/>
        <v>0</v>
      </c>
      <c r="I78" s="488">
        <f t="shared" si="74"/>
        <v>0</v>
      </c>
      <c r="J78" s="488">
        <f t="shared" si="74"/>
        <v>0</v>
      </c>
      <c r="K78" s="488">
        <f t="shared" si="74"/>
        <v>0</v>
      </c>
      <c r="L78" s="488">
        <f t="shared" si="74"/>
        <v>0</v>
      </c>
      <c r="M78" s="488">
        <f t="shared" si="74"/>
        <v>0</v>
      </c>
      <c r="N78" s="488">
        <f t="shared" si="74"/>
        <v>0</v>
      </c>
      <c r="O78" s="488">
        <f t="shared" si="74"/>
        <v>0</v>
      </c>
      <c r="P78" s="488">
        <f t="shared" si="74"/>
        <v>0</v>
      </c>
      <c r="Q78" s="488">
        <f t="shared" si="74"/>
        <v>0</v>
      </c>
      <c r="R78" s="488">
        <f t="shared" si="74"/>
        <v>0</v>
      </c>
      <c r="S78" s="488">
        <f t="shared" si="74"/>
        <v>0</v>
      </c>
      <c r="T78" s="488">
        <f t="shared" si="74"/>
        <v>0</v>
      </c>
      <c r="U78" s="488">
        <f t="shared" si="74"/>
        <v>0</v>
      </c>
      <c r="V78" s="488">
        <f t="shared" si="74"/>
        <v>0</v>
      </c>
      <c r="W78" s="488">
        <f t="shared" si="74"/>
        <v>0</v>
      </c>
      <c r="X78" s="488">
        <f t="shared" si="74"/>
        <v>0</v>
      </c>
      <c r="Y78" s="488">
        <f t="shared" si="74"/>
        <v>0</v>
      </c>
      <c r="Z78" s="488">
        <f t="shared" si="74"/>
        <v>0</v>
      </c>
      <c r="AA78" s="488">
        <f t="shared" si="74"/>
        <v>0</v>
      </c>
      <c r="AB78" s="488">
        <f t="shared" si="74"/>
        <v>0</v>
      </c>
      <c r="AC78" s="488">
        <f t="shared" si="74"/>
        <v>0</v>
      </c>
      <c r="AD78" s="488">
        <f t="shared" si="74"/>
        <v>0</v>
      </c>
      <c r="AE78" s="488">
        <f t="shared" si="74"/>
        <v>0</v>
      </c>
      <c r="AF78" s="488">
        <f t="shared" ref="AF78:AJ78" si="75">AF74*AF49+AF75*AF50+AF76*AF51</f>
        <v>0</v>
      </c>
      <c r="AG78" s="488">
        <f t="shared" si="75"/>
        <v>0</v>
      </c>
      <c r="AH78" s="488">
        <f t="shared" si="75"/>
        <v>0</v>
      </c>
      <c r="AI78" s="488">
        <f t="shared" si="75"/>
        <v>0</v>
      </c>
      <c r="AJ78" s="488">
        <f t="shared" si="75"/>
        <v>0</v>
      </c>
      <c r="AK78" s="488">
        <f t="shared" ref="AK78:AL78" si="76">AK74*AK49+AK75*AK50+AK76*AK51</f>
        <v>0</v>
      </c>
      <c r="AL78" s="488">
        <f t="shared" si="76"/>
        <v>0</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77">SUM(E62:E64)-SUM(E74:E76)</f>
        <v>0</v>
      </c>
      <c r="F82" s="383">
        <f t="shared" si="77"/>
        <v>0</v>
      </c>
      <c r="G82" s="383">
        <f t="shared" si="77"/>
        <v>0</v>
      </c>
      <c r="H82" s="383">
        <f t="shared" si="77"/>
        <v>512.40275861201303</v>
      </c>
      <c r="I82" s="383">
        <f t="shared" si="77"/>
        <v>533.11067340644558</v>
      </c>
      <c r="J82" s="383">
        <f t="shared" si="77"/>
        <v>554.65546452116757</v>
      </c>
      <c r="K82" s="383">
        <f t="shared" si="77"/>
        <v>577.07095293634143</v>
      </c>
      <c r="L82" s="383">
        <f t="shared" si="77"/>
        <v>600.39232645142079</v>
      </c>
      <c r="M82" s="383">
        <f t="shared" si="77"/>
        <v>624.65619492290409</v>
      </c>
      <c r="N82" s="383">
        <f t="shared" si="77"/>
        <v>649.90064773443237</v>
      </c>
      <c r="O82" s="383">
        <f t="shared" si="77"/>
        <v>676.16531358944474</v>
      </c>
      <c r="P82" s="383">
        <f t="shared" si="77"/>
        <v>703.49142272025676</v>
      </c>
      <c r="Q82" s="383">
        <f t="shared" si="77"/>
        <v>731.92187161121592</v>
      </c>
      <c r="R82" s="383">
        <f t="shared" si="77"/>
        <v>761.50129033753603</v>
      </c>
      <c r="S82" s="383">
        <f t="shared" si="77"/>
        <v>792.27611262552568</v>
      </c>
      <c r="T82" s="383">
        <f t="shared" si="77"/>
        <v>824.29464874417374</v>
      </c>
      <c r="U82" s="383">
        <f t="shared" si="77"/>
        <v>857.60716134254108</v>
      </c>
      <c r="V82" s="383">
        <f t="shared" si="77"/>
        <v>892.26594435198922</v>
      </c>
      <c r="W82" s="383">
        <f t="shared" si="77"/>
        <v>928.32540507711303</v>
      </c>
      <c r="X82" s="383">
        <f t="shared" si="77"/>
        <v>965.84214960424379</v>
      </c>
      <c r="Y82" s="383">
        <f t="shared" si="77"/>
        <v>1004.8750716615982</v>
      </c>
      <c r="Z82" s="383">
        <f t="shared" si="77"/>
        <v>1045.4854450705632</v>
      </c>
      <c r="AA82" s="383">
        <f t="shared" si="77"/>
        <v>1087.7370199332461</v>
      </c>
      <c r="AB82" s="383">
        <f t="shared" si="77"/>
        <v>1131.6961227072866</v>
      </c>
      <c r="AC82" s="383">
        <f t="shared" si="77"/>
        <v>1177.431760325032</v>
      </c>
      <c r="AD82" s="383">
        <f t="shared" si="77"/>
        <v>1225.0157285205107</v>
      </c>
      <c r="AE82" s="383">
        <f t="shared" si="77"/>
        <v>1274.5227245342669</v>
      </c>
      <c r="AF82" s="383">
        <f t="shared" ref="AF82:AJ82" si="78">SUM(AF62:AF64)-SUM(AF74:AF76)</f>
        <v>1326.0304643729739</v>
      </c>
      <c r="AG82" s="383">
        <f t="shared" si="78"/>
        <v>1379.6198048079059</v>
      </c>
      <c r="AH82" s="383">
        <f t="shared" si="78"/>
        <v>1435.3748703037686</v>
      </c>
      <c r="AI82" s="383">
        <f t="shared" si="78"/>
        <v>1493.3831850771605</v>
      </c>
      <c r="AJ82" s="383">
        <f t="shared" si="78"/>
        <v>1553.735810491951</v>
      </c>
      <c r="AK82" s="383">
        <f t="shared" ref="AK82:AL82" si="79">SUM(AK62:AK64)-SUM(AK74:AK76)</f>
        <v>1616.5274880072704</v>
      </c>
      <c r="AL82" s="383">
        <f t="shared" si="79"/>
        <v>1681.8567879025113</v>
      </c>
    </row>
    <row r="83" spans="1:38" ht="13">
      <c r="B83" s="364" t="s">
        <v>813</v>
      </c>
      <c r="C83" s="590" t="s">
        <v>443</v>
      </c>
      <c r="D83" s="383">
        <f>SUM(D55:D57)-SUM(D70:D72)</f>
        <v>0</v>
      </c>
      <c r="E83" s="383">
        <f t="shared" ref="E83:AE83" si="80">SUM(E55:E57)-SUM(E70:E72)</f>
        <v>0</v>
      </c>
      <c r="F83" s="383">
        <f t="shared" si="80"/>
        <v>0</v>
      </c>
      <c r="G83" s="383">
        <f t="shared" si="80"/>
        <v>0</v>
      </c>
      <c r="H83" s="383">
        <f t="shared" si="80"/>
        <v>306.82799916887012</v>
      </c>
      <c r="I83" s="383">
        <f t="shared" si="80"/>
        <v>319.22794814757225</v>
      </c>
      <c r="J83" s="383">
        <f t="shared" si="80"/>
        <v>332.12902067135786</v>
      </c>
      <c r="K83" s="383">
        <f t="shared" si="80"/>
        <v>345.55146882415659</v>
      </c>
      <c r="L83" s="383">
        <f t="shared" si="80"/>
        <v>359.51636314456334</v>
      </c>
      <c r="M83" s="383">
        <f t="shared" si="80"/>
        <v>374.04562570233782</v>
      </c>
      <c r="N83" s="383">
        <f t="shared" si="80"/>
        <v>389.16206451163617</v>
      </c>
      <c r="O83" s="383">
        <f t="shared" si="80"/>
        <v>404.88940933499686</v>
      </c>
      <c r="P83" s="383">
        <f t="shared" si="80"/>
        <v>421.25234893428552</v>
      </c>
      <c r="Q83" s="383">
        <f t="shared" si="80"/>
        <v>438.27656982707543</v>
      </c>
      <c r="R83" s="383">
        <f t="shared" si="80"/>
        <v>455.98879660930305</v>
      </c>
      <c r="S83" s="383">
        <f t="shared" si="80"/>
        <v>474.41683390750046</v>
      </c>
      <c r="T83" s="383">
        <f t="shared" si="80"/>
        <v>493.58961002645134</v>
      </c>
      <c r="U83" s="383">
        <f t="shared" si="80"/>
        <v>513.53722236080307</v>
      </c>
      <c r="V83" s="383">
        <f t="shared" si="80"/>
        <v>534.29098464190974</v>
      </c>
      <c r="W83" s="383">
        <f t="shared" si="80"/>
        <v>555.8834760940797</v>
      </c>
      <c r="X83" s="383">
        <f t="shared" si="80"/>
        <v>578.34859257739151</v>
      </c>
      <c r="Y83" s="383">
        <f t="shared" si="80"/>
        <v>601.72159979736421</v>
      </c>
      <c r="Z83" s="383">
        <f t="shared" si="80"/>
        <v>626.03918866500794</v>
      </c>
      <c r="AA83" s="383">
        <f t="shared" si="80"/>
        <v>651.33953289415933</v>
      </c>
      <c r="AB83" s="383">
        <f t="shared" si="80"/>
        <v>677.66234892651892</v>
      </c>
      <c r="AC83" s="383">
        <f t="shared" si="80"/>
        <v>705.04895827846235</v>
      </c>
      <c r="AD83" s="383">
        <f t="shared" si="80"/>
        <v>733.54235240749153</v>
      </c>
      <c r="AE83" s="383">
        <f t="shared" si="80"/>
        <v>763.18726020015981</v>
      </c>
      <c r="AF83" s="383">
        <f t="shared" ref="AF83:AJ83" si="81">SUM(AF55:AF57)-SUM(AF70:AF72)</f>
        <v>794.03021818740956</v>
      </c>
      <c r="AG83" s="383">
        <f t="shared" si="81"/>
        <v>826.11964359754847</v>
      </c>
      <c r="AH83" s="383">
        <f t="shared" si="81"/>
        <v>859.5059103615381</v>
      </c>
      <c r="AI83" s="383">
        <f t="shared" si="81"/>
        <v>894.24142818991652</v>
      </c>
      <c r="AJ83" s="383">
        <f t="shared" si="81"/>
        <v>930.38072484547968</v>
      </c>
      <c r="AK83" s="383">
        <f t="shared" ref="AK83:AL83" si="82">SUM(AK55:AK57)-SUM(AK70:AK72)</f>
        <v>967.98053174088056</v>
      </c>
      <c r="AL83" s="383">
        <f t="shared" si="82"/>
        <v>1007.0998729955157</v>
      </c>
    </row>
    <row r="84" spans="1:38">
      <c r="D84" s="358"/>
      <c r="F84" s="464"/>
      <c r="G84" s="465"/>
      <c r="H84" s="465"/>
    </row>
    <row r="85" spans="1:38" ht="13">
      <c r="B85" s="492" t="s">
        <v>284</v>
      </c>
      <c r="C85" s="487" t="s">
        <v>292</v>
      </c>
      <c r="D85" s="488">
        <f>D66-D78</f>
        <v>0</v>
      </c>
      <c r="E85" s="488">
        <f t="shared" ref="E85:AE85" si="83">E66-E78</f>
        <v>0</v>
      </c>
      <c r="F85" s="488">
        <f t="shared" si="83"/>
        <v>0</v>
      </c>
      <c r="G85" s="488">
        <f t="shared" si="83"/>
        <v>0</v>
      </c>
      <c r="H85" s="488">
        <f t="shared" si="83"/>
        <v>9172.0093791550316</v>
      </c>
      <c r="I85" s="488">
        <f t="shared" si="83"/>
        <v>9542.6810539753751</v>
      </c>
      <c r="J85" s="488">
        <f t="shared" si="83"/>
        <v>9928.3328149288991</v>
      </c>
      <c r="K85" s="488">
        <f t="shared" si="83"/>
        <v>10329.570057560511</v>
      </c>
      <c r="L85" s="488">
        <f t="shared" si="83"/>
        <v>10747.022643480432</v>
      </c>
      <c r="M85" s="488">
        <f t="shared" si="83"/>
        <v>11181.345889119983</v>
      </c>
      <c r="N85" s="488">
        <f t="shared" si="83"/>
        <v>11633.221594446339</v>
      </c>
      <c r="O85" s="488">
        <f t="shared" si="83"/>
        <v>12103.359113251059</v>
      </c>
      <c r="P85" s="488">
        <f t="shared" si="83"/>
        <v>12592.496466692595</v>
      </c>
      <c r="Q85" s="488">
        <f t="shared" si="83"/>
        <v>13101.401501840764</v>
      </c>
      <c r="R85" s="488">
        <f t="shared" si="83"/>
        <v>13630.873097041895</v>
      </c>
      <c r="S85" s="488">
        <f t="shared" si="83"/>
        <v>14181.742415996909</v>
      </c>
      <c r="T85" s="488">
        <f t="shared" si="83"/>
        <v>14754.874212520708</v>
      </c>
      <c r="U85" s="488">
        <f t="shared" si="83"/>
        <v>15351.168188031485</v>
      </c>
      <c r="V85" s="488">
        <f t="shared" si="83"/>
        <v>15971.560403900607</v>
      </c>
      <c r="W85" s="488">
        <f t="shared" si="83"/>
        <v>16617.024750880322</v>
      </c>
      <c r="X85" s="488">
        <f t="shared" si="83"/>
        <v>17288.574477915961</v>
      </c>
      <c r="Y85" s="488">
        <f t="shared" si="83"/>
        <v>17987.263782742608</v>
      </c>
      <c r="Z85" s="488">
        <f t="shared" si="83"/>
        <v>18714.18946676308</v>
      </c>
      <c r="AA85" s="488">
        <f t="shared" si="83"/>
        <v>19470.492656805101</v>
      </c>
      <c r="AB85" s="488">
        <f t="shared" si="83"/>
        <v>20257.360596460428</v>
      </c>
      <c r="AC85" s="488">
        <f t="shared" si="83"/>
        <v>21076.028509818072</v>
      </c>
      <c r="AD85" s="488">
        <f t="shared" si="83"/>
        <v>21927.781540517139</v>
      </c>
      <c r="AE85" s="488">
        <f t="shared" si="83"/>
        <v>22813.956769163375</v>
      </c>
      <c r="AF85" s="488">
        <f t="shared" ref="AF85:AJ85" si="84">AF66-AF78</f>
        <v>23735.945312276232</v>
      </c>
      <c r="AG85" s="488">
        <f t="shared" si="84"/>
        <v>24695.194506061514</v>
      </c>
      <c r="AH85" s="488">
        <f t="shared" si="84"/>
        <v>25693.210178437457</v>
      </c>
      <c r="AI85" s="488">
        <f t="shared" si="84"/>
        <v>26731.559012881171</v>
      </c>
      <c r="AJ85" s="488">
        <f t="shared" si="84"/>
        <v>27811.871007805923</v>
      </c>
      <c r="AK85" s="488">
        <f t="shared" ref="AK85:AL85" si="85">AK66-AK78</f>
        <v>28935.842035330137</v>
      </c>
      <c r="AL85" s="488">
        <f t="shared" si="85"/>
        <v>30105.236503454951</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485">
        <f>VLOOKUP(D$3,'Emission Costs'!$D$83:$H$118,5,FALSE)</f>
        <v>52</v>
      </c>
      <c r="E105" s="485">
        <f>VLOOKUP(E$3,'Emission Costs'!$D$83:$H$118,5,FALSE)</f>
        <v>53</v>
      </c>
      <c r="F105" s="485">
        <f>VLOOKUP(F$3,'Emission Costs'!$D$83:$H$118,5,FALSE)</f>
        <v>54</v>
      </c>
      <c r="G105" s="485">
        <f>VLOOKUP(G$3,'Emission Costs'!$D$83:$H$118,5,FALSE)</f>
        <v>55</v>
      </c>
      <c r="H105" s="485">
        <f>VLOOKUP(H$3,'Emission Costs'!$D$83:$H$118,5,FALSE)</f>
        <v>56</v>
      </c>
      <c r="I105" s="485">
        <f>VLOOKUP(I$3,'Emission Costs'!$D$83:$H$118,5,FALSE)</f>
        <v>57</v>
      </c>
      <c r="J105" s="485">
        <f>VLOOKUP(J$3,'Emission Costs'!$D$83:$H$118,5,FALSE)</f>
        <v>58</v>
      </c>
      <c r="K105" s="485">
        <f>VLOOKUP(K$3,'Emission Costs'!$D$83:$H$118,5,FALSE)</f>
        <v>59</v>
      </c>
      <c r="L105" s="485">
        <f>VLOOKUP(L$3,'Emission Costs'!$D$83:$H$118,5,FALSE)</f>
        <v>60</v>
      </c>
      <c r="M105" s="485">
        <f>VLOOKUP(M$3,'Emission Costs'!$D$83:$H$118,5,FALSE)</f>
        <v>61</v>
      </c>
      <c r="N105" s="485">
        <f>VLOOKUP(N$3,'Emission Costs'!$D$83:$H$118,5,FALSE)</f>
        <v>62</v>
      </c>
      <c r="O105" s="485">
        <f>VLOOKUP(O$3,'Emission Costs'!$D$83:$H$118,5,FALSE)</f>
        <v>63</v>
      </c>
      <c r="P105" s="485">
        <f>VLOOKUP(P$3,'Emission Costs'!$D$83:$H$118,5,FALSE)</f>
        <v>64</v>
      </c>
      <c r="Q105" s="485">
        <f>VLOOKUP(Q$3,'Emission Costs'!$D$83:$H$118,5,FALSE)</f>
        <v>66</v>
      </c>
      <c r="R105" s="485">
        <f>VLOOKUP(R$3,'Emission Costs'!$D$83:$H$118,5,FALSE)</f>
        <v>67</v>
      </c>
      <c r="S105" s="485">
        <f>VLOOKUP(S$3,'Emission Costs'!$D$83:$H$118,5,FALSE)</f>
        <v>68</v>
      </c>
      <c r="T105" s="485">
        <f>VLOOKUP(T$3,'Emission Costs'!$D$83:$H$118,5,FALSE)</f>
        <v>69</v>
      </c>
      <c r="U105" s="485">
        <f>VLOOKUP(U$3,'Emission Costs'!$D$83:$H$118,5,FALSE)</f>
        <v>70</v>
      </c>
      <c r="V105" s="485">
        <f>VLOOKUP(V$3,'Emission Costs'!$D$83:$H$118,5,FALSE)</f>
        <v>71</v>
      </c>
      <c r="W105" s="485">
        <f>VLOOKUP(W$3,'Emission Costs'!$D$83:$H$118,5,FALSE)</f>
        <v>72</v>
      </c>
      <c r="X105" s="485">
        <f>VLOOKUP(X$3,'Emission Costs'!$D$83:$H$118,5,FALSE)</f>
        <v>73</v>
      </c>
      <c r="Y105" s="485">
        <f>VLOOKUP(Y$3,'Emission Costs'!$D$83:$H$118,5,FALSE)</f>
        <v>75</v>
      </c>
      <c r="Z105" s="485">
        <f>VLOOKUP(Z$3,'Emission Costs'!$D$83:$H$118,5,FALSE)</f>
        <v>76</v>
      </c>
      <c r="AA105" s="485">
        <f>VLOOKUP(AA$3,'Emission Costs'!$D$83:$H$118,5,FALSE)</f>
        <v>77</v>
      </c>
      <c r="AB105" s="485">
        <f>VLOOKUP(AB$3,'Emission Costs'!$D$83:$H$118,5,FALSE)</f>
        <v>78</v>
      </c>
      <c r="AC105" s="485">
        <f>VLOOKUP(AC$3,'Emission Costs'!$D$83:$H$118,5,FALSE)</f>
        <v>79</v>
      </c>
      <c r="AD105" s="485">
        <f>VLOOKUP(AD$3,'Emission Costs'!$D$83:$H$118,5,FALSE)</f>
        <v>80</v>
      </c>
      <c r="AE105" s="485">
        <f>VLOOKUP(AE$3,'Emission Costs'!$D$83:$H$118,5,FALSE)</f>
        <v>81</v>
      </c>
      <c r="AF105" s="485">
        <f>VLOOKUP(AF$3,'Emission Costs'!$D$83:$H$118,5,FALSE)</f>
        <v>83</v>
      </c>
      <c r="AG105" s="485">
        <f>VLOOKUP(AG$3,'Emission Costs'!$D$83:$H$118,5,FALSE)</f>
        <v>84</v>
      </c>
      <c r="AH105" s="485">
        <f>VLOOKUP(AH$3,'Emission Costs'!$D$83:$H$118,5,FALSE)</f>
        <v>84</v>
      </c>
      <c r="AI105" s="485">
        <f>VLOOKUP(AI$3,'Emission Costs'!$D$83:$H$118,5,FALSE)</f>
        <v>84</v>
      </c>
      <c r="AJ105" s="485">
        <f>VLOOKUP(AJ$3,'Emission Costs'!$D$83:$H$118,5,FALSE)</f>
        <v>84</v>
      </c>
      <c r="AK105" s="485">
        <f>VLOOKUP(AK$3,'Emission Costs'!$D$83:$H$118,5,FALSE)</f>
        <v>84</v>
      </c>
      <c r="AL105" s="485">
        <f>VLOOKUP(AL$3,'Emission Costs'!$D$83:$H$118,5,FALSE)</f>
        <v>84</v>
      </c>
    </row>
    <row r="106" spans="1:38">
      <c r="B106" s="481" t="s">
        <v>296</v>
      </c>
      <c r="C106" s="480" t="s">
        <v>1279</v>
      </c>
      <c r="D106" s="485">
        <f>VLOOKUP(D$3,'Emission Costs'!$D$83:$H$118,2,FALSE)</f>
        <v>15900</v>
      </c>
      <c r="E106" s="485">
        <f>VLOOKUP(E$3,'Emission Costs'!$D$83:$H$118,2,FALSE)</f>
        <v>16100</v>
      </c>
      <c r="F106" s="485">
        <f>VLOOKUP(F$3,'Emission Costs'!$D$83:$H$118,2,FALSE)</f>
        <v>16400</v>
      </c>
      <c r="G106" s="485">
        <f>VLOOKUP(G$3,'Emission Costs'!$D$83:$H$118,2,FALSE)</f>
        <v>16600</v>
      </c>
      <c r="H106" s="485">
        <f>VLOOKUP(H$3,'Emission Costs'!$D$83:$H$118,2,FALSE)</f>
        <v>16800</v>
      </c>
      <c r="I106" s="485">
        <f>VLOOKUP(I$3,'Emission Costs'!$D$83:$H$118,2,FALSE)</f>
        <v>17000</v>
      </c>
      <c r="J106" s="485">
        <f>VLOOKUP(J$3,'Emission Costs'!$D$83:$H$118,2,FALSE)</f>
        <v>17300</v>
      </c>
      <c r="K106" s="485">
        <f>VLOOKUP(K$3,'Emission Costs'!$D$83:$H$118,2,FALSE)</f>
        <v>17500</v>
      </c>
      <c r="L106" s="485">
        <f>VLOOKUP(L$3,'Emission Costs'!$D$83:$H$118,2,FALSE)</f>
        <v>17700</v>
      </c>
      <c r="M106" s="485">
        <f>VLOOKUP(M$3,'Emission Costs'!$D$83:$H$118,2,FALSE)</f>
        <v>18000</v>
      </c>
      <c r="N106" s="485">
        <f>VLOOKUP(N$3,'Emission Costs'!$D$83:$H$118,2,FALSE)</f>
        <v>18000</v>
      </c>
      <c r="O106" s="485">
        <f>VLOOKUP(O$3,'Emission Costs'!$D$83:$H$118,2,FALSE)</f>
        <v>18000</v>
      </c>
      <c r="P106" s="485">
        <f>VLOOKUP(P$3,'Emission Costs'!$D$83:$H$118,2,FALSE)</f>
        <v>18000</v>
      </c>
      <c r="Q106" s="485">
        <f>VLOOKUP(Q$3,'Emission Costs'!$D$83:$H$118,2,FALSE)</f>
        <v>18000</v>
      </c>
      <c r="R106" s="485">
        <f>VLOOKUP(R$3,'Emission Costs'!$D$83:$H$118,2,FALSE)</f>
        <v>18000</v>
      </c>
      <c r="S106" s="485">
        <f>VLOOKUP(S$3,'Emission Costs'!$D$83:$H$118,2,FALSE)</f>
        <v>18000</v>
      </c>
      <c r="T106" s="485">
        <f>VLOOKUP(T$3,'Emission Costs'!$D$83:$H$118,2,FALSE)</f>
        <v>18000</v>
      </c>
      <c r="U106" s="485">
        <f>VLOOKUP(U$3,'Emission Costs'!$D$83:$H$118,2,FALSE)</f>
        <v>18000</v>
      </c>
      <c r="V106" s="485">
        <f>VLOOKUP(V$3,'Emission Costs'!$D$83:$H$118,2,FALSE)</f>
        <v>18000</v>
      </c>
      <c r="W106" s="485">
        <f>VLOOKUP(W$3,'Emission Costs'!$D$83:$H$118,2,FALSE)</f>
        <v>18000</v>
      </c>
      <c r="X106" s="485">
        <f>VLOOKUP(X$3,'Emission Costs'!$D$83:$H$118,2,FALSE)</f>
        <v>18000</v>
      </c>
      <c r="Y106" s="485">
        <f>VLOOKUP(Y$3,'Emission Costs'!$D$83:$H$118,2,FALSE)</f>
        <v>18000</v>
      </c>
      <c r="Z106" s="485">
        <f>VLOOKUP(Z$3,'Emission Costs'!$D$83:$H$118,2,FALSE)</f>
        <v>18000</v>
      </c>
      <c r="AA106" s="485">
        <f>VLOOKUP(AA$3,'Emission Costs'!$D$83:$H$118,2,FALSE)</f>
        <v>18000</v>
      </c>
      <c r="AB106" s="485">
        <f>VLOOKUP(AB$3,'Emission Costs'!$D$83:$H$118,2,FALSE)</f>
        <v>18000</v>
      </c>
      <c r="AC106" s="485">
        <f>VLOOKUP(AC$3,'Emission Costs'!$D$83:$H$118,2,FALSE)</f>
        <v>18000</v>
      </c>
      <c r="AD106" s="485">
        <f>VLOOKUP(AD$3,'Emission Costs'!$D$83:$H$118,2,FALSE)</f>
        <v>18000</v>
      </c>
      <c r="AE106" s="485">
        <f>VLOOKUP(AE$3,'Emission Costs'!$D$83:$H$118,2,FALSE)</f>
        <v>18000</v>
      </c>
      <c r="AF106" s="485">
        <f>VLOOKUP(AF$3,'Emission Costs'!$D$83:$H$118,2,FALSE)</f>
        <v>18000</v>
      </c>
      <c r="AG106" s="485">
        <f>VLOOKUP(AG$3,'Emission Costs'!$D$83:$H$118,2,FALSE)</f>
        <v>18000</v>
      </c>
      <c r="AH106" s="485">
        <f>VLOOKUP(AH$3,'Emission Costs'!$D$83:$H$118,2,FALSE)</f>
        <v>18000</v>
      </c>
      <c r="AI106" s="485">
        <f>VLOOKUP(AI$3,'Emission Costs'!$D$83:$H$118,2,FALSE)</f>
        <v>18000</v>
      </c>
      <c r="AJ106" s="485">
        <f>VLOOKUP(AJ$3,'Emission Costs'!$D$83:$H$118,2,FALSE)</f>
        <v>18000</v>
      </c>
      <c r="AK106" s="485">
        <f>VLOOKUP(AK$3,'Emission Costs'!$D$83:$H$118,2,FALSE)</f>
        <v>18000</v>
      </c>
      <c r="AL106" s="485">
        <f>VLOOKUP(AL$3,'Emission Costs'!$D$83:$H$118,2,FALSE)</f>
        <v>18000</v>
      </c>
    </row>
    <row r="107" spans="1:38">
      <c r="B107" s="481" t="s">
        <v>297</v>
      </c>
      <c r="C107" s="480" t="s">
        <v>1279</v>
      </c>
      <c r="D107" s="485">
        <f>VLOOKUP(D$3,'Emission Costs'!$D$83:$H$118,4,FALSE)</f>
        <v>742300</v>
      </c>
      <c r="E107" s="485">
        <f>VLOOKUP(E$3,'Emission Costs'!$D$83:$H$118,4,FALSE)</f>
        <v>755500</v>
      </c>
      <c r="F107" s="485">
        <f>VLOOKUP(F$3,'Emission Costs'!$D$83:$H$118,4,FALSE)</f>
        <v>769000</v>
      </c>
      <c r="G107" s="485">
        <f>VLOOKUP(G$3,'Emission Costs'!$D$83:$H$118,4,FALSE)</f>
        <v>782700</v>
      </c>
      <c r="H107" s="485">
        <f>VLOOKUP(H$3,'Emission Costs'!$D$83:$H$118,4,FALSE)</f>
        <v>796600</v>
      </c>
      <c r="I107" s="485">
        <f>VLOOKUP(I$3,'Emission Costs'!$D$83:$H$118,4,FALSE)</f>
        <v>807500</v>
      </c>
      <c r="J107" s="485">
        <f>VLOOKUP(J$3,'Emission Costs'!$D$83:$H$118,4,FALSE)</f>
        <v>818600</v>
      </c>
      <c r="K107" s="485">
        <f>VLOOKUP(K$3,'Emission Costs'!$D$83:$H$118,4,FALSE)</f>
        <v>829800</v>
      </c>
      <c r="L107" s="485">
        <f>VLOOKUP(L$3,'Emission Costs'!$D$83:$H$118,4,FALSE)</f>
        <v>841200</v>
      </c>
      <c r="M107" s="485">
        <f>VLOOKUP(M$3,'Emission Costs'!$D$83:$H$118,4,FALSE)</f>
        <v>852700</v>
      </c>
      <c r="N107" s="485">
        <f>VLOOKUP(N$3,'Emission Costs'!$D$83:$H$118,4,FALSE)</f>
        <v>852700</v>
      </c>
      <c r="O107" s="485">
        <f>VLOOKUP(O$3,'Emission Costs'!$D$83:$H$118,4,FALSE)</f>
        <v>852700</v>
      </c>
      <c r="P107" s="485">
        <f>VLOOKUP(P$3,'Emission Costs'!$D$83:$H$118,4,FALSE)</f>
        <v>852700</v>
      </c>
      <c r="Q107" s="485">
        <f>VLOOKUP(Q$3,'Emission Costs'!$D$83:$H$118,4,FALSE)</f>
        <v>852700</v>
      </c>
      <c r="R107" s="485">
        <f>VLOOKUP(R$3,'Emission Costs'!$D$83:$H$118,4,FALSE)</f>
        <v>852700</v>
      </c>
      <c r="S107" s="485">
        <f>VLOOKUP(S$3,'Emission Costs'!$D$83:$H$118,4,FALSE)</f>
        <v>852700</v>
      </c>
      <c r="T107" s="485">
        <f>VLOOKUP(T$3,'Emission Costs'!$D$83:$H$118,4,FALSE)</f>
        <v>852700</v>
      </c>
      <c r="U107" s="485">
        <f>VLOOKUP(U$3,'Emission Costs'!$D$83:$H$118,4,FALSE)</f>
        <v>852700</v>
      </c>
      <c r="V107" s="485">
        <f>VLOOKUP(V$3,'Emission Costs'!$D$83:$H$118,4,FALSE)</f>
        <v>852700</v>
      </c>
      <c r="W107" s="485">
        <f>VLOOKUP(W$3,'Emission Costs'!$D$83:$H$118,4,FALSE)</f>
        <v>852700</v>
      </c>
      <c r="X107" s="485">
        <f>VLOOKUP(X$3,'Emission Costs'!$D$83:$H$118,4,FALSE)</f>
        <v>852700</v>
      </c>
      <c r="Y107" s="485">
        <f>VLOOKUP(Y$3,'Emission Costs'!$D$83:$H$118,4,FALSE)</f>
        <v>852700</v>
      </c>
      <c r="Z107" s="485">
        <f>VLOOKUP(Z$3,'Emission Costs'!$D$83:$H$118,4,FALSE)</f>
        <v>852700</v>
      </c>
      <c r="AA107" s="485">
        <f>VLOOKUP(AA$3,'Emission Costs'!$D$83:$H$118,4,FALSE)</f>
        <v>852700</v>
      </c>
      <c r="AB107" s="485">
        <f>VLOOKUP(AB$3,'Emission Costs'!$D$83:$H$118,4,FALSE)</f>
        <v>852700</v>
      </c>
      <c r="AC107" s="485">
        <f>VLOOKUP(AC$3,'Emission Costs'!$D$83:$H$118,4,FALSE)</f>
        <v>852700</v>
      </c>
      <c r="AD107" s="485">
        <f>VLOOKUP(AD$3,'Emission Costs'!$D$83:$H$118,4,FALSE)</f>
        <v>852700</v>
      </c>
      <c r="AE107" s="485">
        <f>VLOOKUP(AE$3,'Emission Costs'!$D$83:$H$118,4,FALSE)</f>
        <v>852700</v>
      </c>
      <c r="AF107" s="485">
        <f>VLOOKUP(AF$3,'Emission Costs'!$D$83:$H$118,4,FALSE)</f>
        <v>852700</v>
      </c>
      <c r="AG107" s="485">
        <f>VLOOKUP(AG$3,'Emission Costs'!$D$83:$H$118,4,FALSE)</f>
        <v>852700</v>
      </c>
      <c r="AH107" s="485">
        <f>VLOOKUP(AH$3,'Emission Costs'!$D$83:$H$118,4,FALSE)</f>
        <v>852700</v>
      </c>
      <c r="AI107" s="485">
        <f>VLOOKUP(AI$3,'Emission Costs'!$D$83:$H$118,4,FALSE)</f>
        <v>852700</v>
      </c>
      <c r="AJ107" s="485">
        <f>VLOOKUP(AJ$3,'Emission Costs'!$D$83:$H$118,4,FALSE)</f>
        <v>852700</v>
      </c>
      <c r="AK107" s="485">
        <f>VLOOKUP(AK$3,'Emission Costs'!$D$83:$H$118,4,FALSE)</f>
        <v>852700</v>
      </c>
      <c r="AL107" s="485">
        <f>VLOOKUP(AL$3,'Emission Costs'!$D$83:$H$118,4,FALSE)</f>
        <v>852700</v>
      </c>
    </row>
    <row r="108" spans="1:38">
      <c r="B108" s="481" t="s">
        <v>308</v>
      </c>
      <c r="C108" s="480" t="s">
        <v>1279</v>
      </c>
      <c r="D108" s="485">
        <f>VLOOKUP(D$3,'Emission Costs'!$D$83:$H$118,3,FALSE)</f>
        <v>41300</v>
      </c>
      <c r="E108" s="485">
        <f>VLOOKUP(E$3,'Emission Costs'!$D$83:$H$118,3,FALSE)</f>
        <v>42100</v>
      </c>
      <c r="F108" s="485">
        <f>VLOOKUP(F$3,'Emission Costs'!$D$83:$H$118,3,FALSE)</f>
        <v>43000</v>
      </c>
      <c r="G108" s="485">
        <f>VLOOKUP(G$3,'Emission Costs'!$D$83:$H$118,3,FALSE)</f>
        <v>43900</v>
      </c>
      <c r="H108" s="485">
        <f>VLOOKUP(H$3,'Emission Costs'!$D$83:$H$118,3,FALSE)</f>
        <v>44900</v>
      </c>
      <c r="I108" s="485">
        <f>VLOOKUP(I$3,'Emission Costs'!$D$83:$H$118,3,FALSE)</f>
        <v>45500</v>
      </c>
      <c r="J108" s="485">
        <f>VLOOKUP(J$3,'Emission Costs'!$D$83:$H$118,3,FALSE)</f>
        <v>46200</v>
      </c>
      <c r="K108" s="485">
        <f>VLOOKUP(K$3,'Emission Costs'!$D$83:$H$118,3,FALSE)</f>
        <v>46900</v>
      </c>
      <c r="L108" s="485">
        <f>VLOOKUP(L$3,'Emission Costs'!$D$83:$H$118,3,FALSE)</f>
        <v>47600</v>
      </c>
      <c r="M108" s="485">
        <f>VLOOKUP(M$3,'Emission Costs'!$D$83:$H$118,3,FALSE)</f>
        <v>48200</v>
      </c>
      <c r="N108" s="485">
        <f>VLOOKUP(N$3,'Emission Costs'!$D$83:$H$118,3,FALSE)</f>
        <v>48200</v>
      </c>
      <c r="O108" s="485">
        <f>VLOOKUP(O$3,'Emission Costs'!$D$83:$H$118,3,FALSE)</f>
        <v>48200</v>
      </c>
      <c r="P108" s="485">
        <f>VLOOKUP(P$3,'Emission Costs'!$D$83:$H$118,3,FALSE)</f>
        <v>48200</v>
      </c>
      <c r="Q108" s="485">
        <f>VLOOKUP(Q$3,'Emission Costs'!$D$83:$H$118,3,FALSE)</f>
        <v>48200</v>
      </c>
      <c r="R108" s="485">
        <f>VLOOKUP(R$3,'Emission Costs'!$D$83:$H$118,3,FALSE)</f>
        <v>48200</v>
      </c>
      <c r="S108" s="485">
        <f>VLOOKUP(S$3,'Emission Costs'!$D$83:$H$118,3,FALSE)</f>
        <v>48200</v>
      </c>
      <c r="T108" s="485">
        <f>VLOOKUP(T$3,'Emission Costs'!$D$83:$H$118,3,FALSE)</f>
        <v>48200</v>
      </c>
      <c r="U108" s="485">
        <f>VLOOKUP(U$3,'Emission Costs'!$D$83:$H$118,3,FALSE)</f>
        <v>48200</v>
      </c>
      <c r="V108" s="485">
        <f>VLOOKUP(V$3,'Emission Costs'!$D$83:$H$118,3,FALSE)</f>
        <v>48200</v>
      </c>
      <c r="W108" s="485">
        <f>VLOOKUP(W$3,'Emission Costs'!$D$83:$H$118,3,FALSE)</f>
        <v>48200</v>
      </c>
      <c r="X108" s="485">
        <f>VLOOKUP(X$3,'Emission Costs'!$D$83:$H$118,3,FALSE)</f>
        <v>48200</v>
      </c>
      <c r="Y108" s="485">
        <f>VLOOKUP(Y$3,'Emission Costs'!$D$83:$H$118,3,FALSE)</f>
        <v>48200</v>
      </c>
      <c r="Z108" s="485">
        <f>VLOOKUP(Z$3,'Emission Costs'!$D$83:$H$118,3,FALSE)</f>
        <v>48200</v>
      </c>
      <c r="AA108" s="485">
        <f>VLOOKUP(AA$3,'Emission Costs'!$D$83:$H$118,3,FALSE)</f>
        <v>48200</v>
      </c>
      <c r="AB108" s="485">
        <f>VLOOKUP(AB$3,'Emission Costs'!$D$83:$H$118,3,FALSE)</f>
        <v>48200</v>
      </c>
      <c r="AC108" s="485">
        <f>VLOOKUP(AC$3,'Emission Costs'!$D$83:$H$118,3,FALSE)</f>
        <v>48200</v>
      </c>
      <c r="AD108" s="485">
        <f>VLOOKUP(AD$3,'Emission Costs'!$D$83:$H$118,3,FALSE)</f>
        <v>48200</v>
      </c>
      <c r="AE108" s="485">
        <f>VLOOKUP(AE$3,'Emission Costs'!$D$83:$H$118,3,FALSE)</f>
        <v>48200</v>
      </c>
      <c r="AF108" s="485">
        <f>VLOOKUP(AF$3,'Emission Costs'!$D$83:$H$118,3,FALSE)</f>
        <v>48200</v>
      </c>
      <c r="AG108" s="485">
        <f>VLOOKUP(AG$3,'Emission Costs'!$D$83:$H$118,3,FALSE)</f>
        <v>48200</v>
      </c>
      <c r="AH108" s="485">
        <f>VLOOKUP(AH$3,'Emission Costs'!$D$83:$H$118,3,FALSE)</f>
        <v>48200</v>
      </c>
      <c r="AI108" s="485">
        <f>VLOOKUP(AI$3,'Emission Costs'!$D$83:$H$118,3,FALSE)</f>
        <v>48200</v>
      </c>
      <c r="AJ108" s="485">
        <f>VLOOKUP(AJ$3,'Emission Costs'!$D$83:$H$118,3,FALSE)</f>
        <v>48200</v>
      </c>
      <c r="AK108" s="485">
        <f>VLOOKUP(AK$3,'Emission Costs'!$D$83:$H$118,3,FALSE)</f>
        <v>48200</v>
      </c>
      <c r="AL108" s="485">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'950 West'!D25</f>
        <v>261.86129680032559</v>
      </c>
      <c r="E112" s="383">
        <f>'950 West'!E25</f>
        <v>272.44399045480429</v>
      </c>
      <c r="F112" s="383">
        <f>'950 West'!F25</f>
        <v>283.45436626908662</v>
      </c>
      <c r="G112" s="383">
        <f>'950 West'!G25</f>
        <v>294.90970831429729</v>
      </c>
      <c r="H112" s="383">
        <f>'950 West'!H25</f>
        <v>306.82799916887012</v>
      </c>
      <c r="I112" s="383">
        <f>'950 West'!I25</f>
        <v>319.22794814757225</v>
      </c>
      <c r="J112" s="383">
        <f>'950 West'!J25</f>
        <v>332.12902067135786</v>
      </c>
      <c r="K112" s="383">
        <f>'950 West'!K25</f>
        <v>345.55146882415659</v>
      </c>
      <c r="L112" s="383">
        <f>'950 West'!L25</f>
        <v>359.51636314456334</v>
      </c>
      <c r="M112" s="383">
        <f>'950 West'!M25</f>
        <v>374.04562570233782</v>
      </c>
      <c r="N112" s="383">
        <f>'950 West'!N25</f>
        <v>389.16206451163617</v>
      </c>
      <c r="O112" s="383">
        <f>'950 West'!O25</f>
        <v>404.88940933499686</v>
      </c>
      <c r="P112" s="383">
        <f>'950 West'!P25</f>
        <v>421.25234893428552</v>
      </c>
      <c r="Q112" s="383">
        <f>'950 West'!Q25</f>
        <v>438.27656982707543</v>
      </c>
      <c r="R112" s="383">
        <f>'950 West'!R25</f>
        <v>455.98879660930305</v>
      </c>
      <c r="S112" s="383">
        <f>'950 West'!S25</f>
        <v>474.41683390750046</v>
      </c>
      <c r="T112" s="383">
        <f>'950 West'!T25</f>
        <v>493.58961002645134</v>
      </c>
      <c r="U112" s="383">
        <f>'950 West'!U25</f>
        <v>513.53722236080307</v>
      </c>
      <c r="V112" s="383">
        <f>'950 West'!V25</f>
        <v>534.29098464190974</v>
      </c>
      <c r="W112" s="383">
        <f>'950 West'!W25</f>
        <v>555.8834760940797</v>
      </c>
      <c r="X112" s="383">
        <f>'950 West'!X25</f>
        <v>578.34859257739151</v>
      </c>
      <c r="Y112" s="383">
        <f>'950 West'!Y25</f>
        <v>601.72159979736421</v>
      </c>
      <c r="Z112" s="383">
        <f>'950 West'!Z25</f>
        <v>626.03918866500794</v>
      </c>
      <c r="AA112" s="383">
        <f>'950 West'!AA25</f>
        <v>651.33953289415933</v>
      </c>
      <c r="AB112" s="383">
        <f>'950 West'!AB25</f>
        <v>677.66234892651892</v>
      </c>
      <c r="AC112" s="383">
        <f>'950 West'!AC25</f>
        <v>705.04895827846235</v>
      </c>
      <c r="AD112" s="383">
        <f>'950 West'!AD25</f>
        <v>733.54235240749153</v>
      </c>
      <c r="AE112" s="383">
        <f>'950 West'!AE25</f>
        <v>763.18726020015981</v>
      </c>
      <c r="AF112" s="383">
        <f>'950 West'!AF25</f>
        <v>794.03021818740956</v>
      </c>
      <c r="AG112" s="383">
        <f>'950 West'!AG25</f>
        <v>826.11964359754847</v>
      </c>
      <c r="AH112" s="383">
        <f>'950 West'!AH25</f>
        <v>859.5059103615381</v>
      </c>
      <c r="AI112" s="383">
        <f>'950 West'!AI25</f>
        <v>894.24142818991652</v>
      </c>
      <c r="AJ112" s="383">
        <f>'950 West'!AJ25</f>
        <v>930.38072484547968</v>
      </c>
      <c r="AK112" s="383">
        <f>'950 West'!AK25</f>
        <v>967.98053174088056</v>
      </c>
      <c r="AL112" s="383">
        <f>'950 West'!AL25</f>
        <v>1007.0998729955157</v>
      </c>
    </row>
    <row r="113" spans="1:38">
      <c r="B113" s="385" t="s">
        <v>509</v>
      </c>
      <c r="C113" s="386" t="s">
        <v>443</v>
      </c>
      <c r="D113" s="383">
        <f>'950 West'!D26</f>
        <v>0</v>
      </c>
      <c r="E113" s="383">
        <f>'950 West'!E26</f>
        <v>0</v>
      </c>
      <c r="F113" s="383">
        <f>'950 West'!F26</f>
        <v>0</v>
      </c>
      <c r="G113" s="383">
        <f>'950 West'!G26</f>
        <v>0</v>
      </c>
      <c r="H113" s="383">
        <f>'950 West'!H26</f>
        <v>0</v>
      </c>
      <c r="I113" s="383">
        <f>'950 West'!I26</f>
        <v>0</v>
      </c>
      <c r="J113" s="383">
        <f>'950 West'!J26</f>
        <v>0</v>
      </c>
      <c r="K113" s="383">
        <f>'950 West'!K26</f>
        <v>0</v>
      </c>
      <c r="L113" s="383">
        <f>'950 West'!L26</f>
        <v>0</v>
      </c>
      <c r="M113" s="383">
        <f>'950 West'!M26</f>
        <v>0</v>
      </c>
      <c r="N113" s="383">
        <f>'950 West'!N26</f>
        <v>0</v>
      </c>
      <c r="O113" s="383">
        <f>'950 West'!O26</f>
        <v>0</v>
      </c>
      <c r="P113" s="383">
        <f>'950 West'!P26</f>
        <v>0</v>
      </c>
      <c r="Q113" s="383">
        <f>'950 West'!Q26</f>
        <v>0</v>
      </c>
      <c r="R113" s="383">
        <f>'950 West'!R26</f>
        <v>0</v>
      </c>
      <c r="S113" s="383">
        <f>'950 West'!S26</f>
        <v>0</v>
      </c>
      <c r="T113" s="383">
        <f>'950 West'!T26</f>
        <v>0</v>
      </c>
      <c r="U113" s="383">
        <f>'950 West'!U26</f>
        <v>0</v>
      </c>
      <c r="V113" s="383">
        <f>'950 West'!V26</f>
        <v>0</v>
      </c>
      <c r="W113" s="383">
        <f>'950 West'!W26</f>
        <v>0</v>
      </c>
      <c r="X113" s="383">
        <f>'950 West'!X26</f>
        <v>0</v>
      </c>
      <c r="Y113" s="383">
        <f>'950 West'!Y26</f>
        <v>0</v>
      </c>
      <c r="Z113" s="383">
        <f>'950 West'!Z26</f>
        <v>0</v>
      </c>
      <c r="AA113" s="383">
        <f>'950 West'!AA26</f>
        <v>0</v>
      </c>
      <c r="AB113" s="383">
        <f>'950 West'!AB26</f>
        <v>0</v>
      </c>
      <c r="AC113" s="383">
        <f>'950 West'!AC26</f>
        <v>0</v>
      </c>
      <c r="AD113" s="383">
        <f>'950 West'!AD26</f>
        <v>0</v>
      </c>
      <c r="AE113" s="383">
        <f>'950 West'!AE26</f>
        <v>0</v>
      </c>
      <c r="AF113" s="383">
        <f>'950 West'!AF26</f>
        <v>0</v>
      </c>
      <c r="AG113" s="383">
        <f>'950 West'!AG26</f>
        <v>0</v>
      </c>
      <c r="AH113" s="383">
        <f>'950 West'!AH26</f>
        <v>0</v>
      </c>
      <c r="AI113" s="383">
        <f>'950 West'!AI26</f>
        <v>0</v>
      </c>
      <c r="AJ113" s="383">
        <f>'950 West'!AJ26</f>
        <v>0</v>
      </c>
      <c r="AK113" s="383">
        <f>'950 West'!AK26</f>
        <v>0</v>
      </c>
      <c r="AL113" s="383">
        <f>'950 West'!AL26</f>
        <v>0</v>
      </c>
    </row>
    <row r="114" spans="1:38">
      <c r="B114" s="358" t="s">
        <v>769</v>
      </c>
      <c r="C114" s="358" t="s">
        <v>443</v>
      </c>
      <c r="D114" s="383">
        <f>'950 West'!D27</f>
        <v>0</v>
      </c>
      <c r="E114" s="383">
        <f>'950 West'!E27</f>
        <v>0</v>
      </c>
      <c r="F114" s="383">
        <f>'950 West'!F27</f>
        <v>0</v>
      </c>
      <c r="G114" s="383">
        <f>'950 West'!G27</f>
        <v>0</v>
      </c>
      <c r="H114" s="383">
        <f>'950 West'!H27</f>
        <v>0</v>
      </c>
      <c r="I114" s="383">
        <f>'950 West'!I27</f>
        <v>0</v>
      </c>
      <c r="J114" s="383">
        <f>'950 West'!J27</f>
        <v>0</v>
      </c>
      <c r="K114" s="383">
        <f>'950 West'!K27</f>
        <v>0</v>
      </c>
      <c r="L114" s="383">
        <f>'950 West'!L27</f>
        <v>0</v>
      </c>
      <c r="M114" s="383">
        <f>'950 West'!M27</f>
        <v>0</v>
      </c>
      <c r="N114" s="383">
        <f>'950 West'!N27</f>
        <v>0</v>
      </c>
      <c r="O114" s="383">
        <f>'950 West'!O27</f>
        <v>0</v>
      </c>
      <c r="P114" s="383">
        <f>'950 West'!P27</f>
        <v>0</v>
      </c>
      <c r="Q114" s="383">
        <f>'950 West'!Q27</f>
        <v>0</v>
      </c>
      <c r="R114" s="383">
        <f>'950 West'!R27</f>
        <v>0</v>
      </c>
      <c r="S114" s="383">
        <f>'950 West'!S27</f>
        <v>0</v>
      </c>
      <c r="T114" s="383">
        <f>'950 West'!T27</f>
        <v>0</v>
      </c>
      <c r="U114" s="383">
        <f>'950 West'!U27</f>
        <v>0</v>
      </c>
      <c r="V114" s="383">
        <f>'950 West'!V27</f>
        <v>0</v>
      </c>
      <c r="W114" s="383">
        <f>'950 West'!W27</f>
        <v>0</v>
      </c>
      <c r="X114" s="383">
        <f>'950 West'!X27</f>
        <v>0</v>
      </c>
      <c r="Y114" s="383">
        <f>'950 West'!Y27</f>
        <v>0</v>
      </c>
      <c r="Z114" s="383">
        <f>'950 West'!Z27</f>
        <v>0</v>
      </c>
      <c r="AA114" s="383">
        <f>'950 West'!AA27</f>
        <v>0</v>
      </c>
      <c r="AB114" s="383">
        <f>'950 West'!AB27</f>
        <v>0</v>
      </c>
      <c r="AC114" s="383">
        <f>'950 West'!AC27</f>
        <v>0</v>
      </c>
      <c r="AD114" s="383">
        <f>'950 West'!AD27</f>
        <v>0</v>
      </c>
      <c r="AE114" s="383">
        <f>'950 West'!AE27</f>
        <v>0</v>
      </c>
      <c r="AF114" s="383">
        <f>'950 West'!AF27</f>
        <v>0</v>
      </c>
      <c r="AG114" s="383">
        <f>'950 West'!AG27</f>
        <v>0</v>
      </c>
      <c r="AH114" s="383">
        <f>'950 West'!AH27</f>
        <v>0</v>
      </c>
      <c r="AI114" s="383">
        <f>'950 West'!AI27</f>
        <v>0</v>
      </c>
      <c r="AJ114" s="383">
        <f>'950 West'!AJ27</f>
        <v>0</v>
      </c>
      <c r="AK114" s="383">
        <f>'950 West'!AK27</f>
        <v>0</v>
      </c>
      <c r="AL114" s="383">
        <f>'950 West'!AL27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86">(D$112*D90+D$113*D95+D$114*D100)/Grams.Per.Metric.Ton*D105</f>
        <v>30.966121162995236</v>
      </c>
      <c r="E116" s="582">
        <f t="shared" si="86"/>
        <v>32.355077153144876</v>
      </c>
      <c r="F116" s="582">
        <f t="shared" si="86"/>
        <v>33.786796801302671</v>
      </c>
      <c r="G116" s="582">
        <f t="shared" si="86"/>
        <v>35.261703192611435</v>
      </c>
      <c r="H116" s="582">
        <f t="shared" si="86"/>
        <v>36.780152854820777</v>
      </c>
      <c r="I116" s="582">
        <f t="shared" si="86"/>
        <v>38.34242843846701</v>
      </c>
      <c r="J116" s="582">
        <f t="shared" si="86"/>
        <v>39.948730863638296</v>
      </c>
      <c r="K116" s="582">
        <f t="shared" si="86"/>
        <v>41.599170900120477</v>
      </c>
      <c r="L116" s="582">
        <f t="shared" si="86"/>
        <v>43.293760145832742</v>
      </c>
      <c r="M116" s="582">
        <f t="shared" si="86"/>
        <v>45.032401366461293</v>
      </c>
      <c r="N116" s="582">
        <f t="shared" si="86"/>
        <v>46.690330612332481</v>
      </c>
      <c r="O116" s="582">
        <f t="shared" si="86"/>
        <v>48.377501996571752</v>
      </c>
      <c r="P116" s="582">
        <f t="shared" si="86"/>
        <v>50.092309801639402</v>
      </c>
      <c r="Q116" s="582">
        <f t="shared" si="86"/>
        <v>52.630349320717222</v>
      </c>
      <c r="R116" s="582">
        <f t="shared" si="86"/>
        <v>54.409330838006646</v>
      </c>
      <c r="S116" s="582">
        <f t="shared" si="86"/>
        <v>56.209569405244096</v>
      </c>
      <c r="T116" s="582">
        <f t="shared" si="86"/>
        <v>58.028399570383996</v>
      </c>
      <c r="U116" s="582">
        <f t="shared" si="86"/>
        <v>59.862845989358533</v>
      </c>
      <c r="V116" s="582">
        <f t="shared" si="86"/>
        <v>61.709600317772505</v>
      </c>
      <c r="W116" s="582">
        <f t="shared" si="86"/>
        <v>63.564996643402118</v>
      </c>
      <c r="X116" s="582">
        <f t="shared" si="86"/>
        <v>65.964335062543739</v>
      </c>
      <c r="Y116" s="582">
        <f t="shared" si="86"/>
        <v>69.347404679034184</v>
      </c>
      <c r="Z116" s="582">
        <f t="shared" si="86"/>
        <v>71.885779514580662</v>
      </c>
      <c r="AA116" s="582">
        <f t="shared" si="86"/>
        <v>74.482489819019719</v>
      </c>
      <c r="AB116" s="582">
        <f t="shared" si="86"/>
        <v>77.13674812114246</v>
      </c>
      <c r="AC116" s="582">
        <f t="shared" si="86"/>
        <v>79.847553193957665</v>
      </c>
      <c r="AD116" s="582">
        <f t="shared" si="86"/>
        <v>82.613671847725513</v>
      </c>
      <c r="AE116" s="582">
        <f t="shared" si="86"/>
        <v>85.433619510948091</v>
      </c>
      <c r="AF116" s="582">
        <f t="shared" si="86"/>
        <v>89.382537570477965</v>
      </c>
      <c r="AG116" s="582">
        <f t="shared" si="86"/>
        <v>92.326809781680325</v>
      </c>
      <c r="AH116" s="582">
        <f t="shared" si="86"/>
        <v>96.058045958822916</v>
      </c>
      <c r="AI116" s="582">
        <f t="shared" si="86"/>
        <v>99.940073909693396</v>
      </c>
      <c r="AJ116" s="582">
        <f t="shared" si="86"/>
        <v>103.97898763583567</v>
      </c>
      <c r="AK116" s="582">
        <f t="shared" si="86"/>
        <v>108.18112741784375</v>
      </c>
      <c r="AL116" s="582">
        <f t="shared" si="86"/>
        <v>112.55308976832484</v>
      </c>
    </row>
    <row r="117" spans="1:38">
      <c r="B117" s="478" t="s">
        <v>709</v>
      </c>
      <c r="C117" s="484" t="s">
        <v>292</v>
      </c>
      <c r="D117" s="582">
        <f t="shared" ref="D117:AL117" si="87">(D$112*D91+D$113*D96+D$114*D101)/Grams.Per.Metric.Ton*D106</f>
        <v>8.2713489115461911</v>
      </c>
      <c r="E117" s="582">
        <f t="shared" si="87"/>
        <v>7.8603984397072351</v>
      </c>
      <c r="F117" s="582">
        <f t="shared" si="87"/>
        <v>7.4259420715219058</v>
      </c>
      <c r="G117" s="582">
        <f t="shared" si="87"/>
        <v>6.867731143773848</v>
      </c>
      <c r="H117" s="582">
        <f t="shared" si="87"/>
        <v>6.228393196009181</v>
      </c>
      <c r="I117" s="582">
        <f t="shared" si="87"/>
        <v>5.501317605946217</v>
      </c>
      <c r="J117" s="582">
        <f t="shared" si="87"/>
        <v>4.7066590557069432</v>
      </c>
      <c r="K117" s="582">
        <f t="shared" si="87"/>
        <v>3.7768625858912173</v>
      </c>
      <c r="L117" s="582">
        <f t="shared" si="87"/>
        <v>2.7362455800358325</v>
      </c>
      <c r="M117" s="582">
        <f t="shared" si="87"/>
        <v>1.5850443528915759</v>
      </c>
      <c r="N117" s="582">
        <f t="shared" si="87"/>
        <v>1.510445097121268</v>
      </c>
      <c r="O117" s="582">
        <f t="shared" si="87"/>
        <v>1.4272274721567499</v>
      </c>
      <c r="P117" s="582">
        <f t="shared" si="87"/>
        <v>1.3348167219992078</v>
      </c>
      <c r="Q117" s="582">
        <f t="shared" si="87"/>
        <v>1.2326057108722477</v>
      </c>
      <c r="R117" s="582">
        <f t="shared" si="87"/>
        <v>1.1199532447851872</v>
      </c>
      <c r="S117" s="582">
        <f t="shared" si="87"/>
        <v>0.99618231031717519</v>
      </c>
      <c r="T117" s="582">
        <f t="shared" si="87"/>
        <v>0.8605782266741544</v>
      </c>
      <c r="U117" s="582">
        <f t="shared" si="87"/>
        <v>0.71238670688341577</v>
      </c>
      <c r="V117" s="582">
        <f t="shared" si="87"/>
        <v>0.55081182380171945</v>
      </c>
      <c r="W117" s="582">
        <f t="shared" si="87"/>
        <v>0.37501387640785988</v>
      </c>
      <c r="X117" s="582">
        <f t="shared" si="87"/>
        <v>0.3615833267486534</v>
      </c>
      <c r="Y117" s="582">
        <f t="shared" si="87"/>
        <v>0.3464547425368954</v>
      </c>
      <c r="Z117" s="582">
        <f t="shared" si="87"/>
        <v>0.32951281252636694</v>
      </c>
      <c r="AA117" s="582">
        <f t="shared" si="87"/>
        <v>0.31063567853881513</v>
      </c>
      <c r="AB117" s="582">
        <f t="shared" si="87"/>
        <v>0.28969459462786862</v>
      </c>
      <c r="AC117" s="582">
        <f t="shared" si="87"/>
        <v>0.26655356938692754</v>
      </c>
      <c r="AD117" s="582">
        <f t="shared" si="87"/>
        <v>0.24106899059546064</v>
      </c>
      <c r="AE117" s="582">
        <f t="shared" si="87"/>
        <v>0.21308923136009933</v>
      </c>
      <c r="AF117" s="582">
        <f t="shared" si="87"/>
        <v>0.1824542368681985</v>
      </c>
      <c r="AG117" s="582">
        <f t="shared" si="87"/>
        <v>0.14899509082980827</v>
      </c>
      <c r="AH117" s="582">
        <f t="shared" si="87"/>
        <v>0.15501648238915505</v>
      </c>
      <c r="AI117" s="582">
        <f t="shared" si="87"/>
        <v>0.16128121858562411</v>
      </c>
      <c r="AJ117" s="582">
        <f t="shared" si="87"/>
        <v>0.1677991337925214</v>
      </c>
      <c r="AK117" s="582">
        <f t="shared" si="87"/>
        <v>0.17458045982317644</v>
      </c>
      <c r="AL117" s="582">
        <f t="shared" si="87"/>
        <v>0.18163584199282748</v>
      </c>
    </row>
    <row r="118" spans="1:38">
      <c r="B118" s="478" t="s">
        <v>710</v>
      </c>
      <c r="C118" s="484" t="s">
        <v>292</v>
      </c>
      <c r="D118" s="582">
        <f t="shared" ref="D118:AL118" si="88">(D$112*D92+D$113*D97+D$114*D102)/Grams.Per.Metric.Ton*D107</f>
        <v>10.638005145389389</v>
      </c>
      <c r="E118" s="582">
        <f t="shared" si="88"/>
        <v>10.885650830660731</v>
      </c>
      <c r="F118" s="582">
        <f t="shared" si="88"/>
        <v>11.126497033920938</v>
      </c>
      <c r="G118" s="582">
        <f t="shared" si="88"/>
        <v>11.357268280269791</v>
      </c>
      <c r="H118" s="582">
        <f t="shared" si="88"/>
        <v>11.575942448370489</v>
      </c>
      <c r="I118" s="582">
        <f t="shared" si="88"/>
        <v>11.733804526411788</v>
      </c>
      <c r="J118" s="582">
        <f t="shared" si="88"/>
        <v>11.875086154969916</v>
      </c>
      <c r="K118" s="582">
        <f t="shared" si="88"/>
        <v>11.995940214162365</v>
      </c>
      <c r="L118" s="582">
        <f t="shared" si="88"/>
        <v>12.095211521433098</v>
      </c>
      <c r="M118" s="582">
        <f t="shared" si="88"/>
        <v>12.168634635192845</v>
      </c>
      <c r="N118" s="582">
        <f t="shared" si="88"/>
        <v>12.239760416764685</v>
      </c>
      <c r="O118" s="582">
        <f t="shared" si="88"/>
        <v>12.296760769060581</v>
      </c>
      <c r="P118" s="582">
        <f t="shared" si="88"/>
        <v>12.338377814672167</v>
      </c>
      <c r="Q118" s="582">
        <f t="shared" si="88"/>
        <v>12.363275076303553</v>
      </c>
      <c r="R118" s="582">
        <f t="shared" si="88"/>
        <v>12.370033178216074</v>
      </c>
      <c r="S118" s="582">
        <f t="shared" si="88"/>
        <v>12.357145328606434</v>
      </c>
      <c r="T118" s="582">
        <f t="shared" si="88"/>
        <v>12.323012572234896</v>
      </c>
      <c r="U118" s="582">
        <f t="shared" si="88"/>
        <v>12.26593880210884</v>
      </c>
      <c r="V118" s="582">
        <f t="shared" si="88"/>
        <v>12.18412551850299</v>
      </c>
      <c r="W118" s="582">
        <f t="shared" si="88"/>
        <v>12.075666323039403</v>
      </c>
      <c r="X118" s="582">
        <f t="shared" si="88"/>
        <v>12.120755683822816</v>
      </c>
      <c r="Y118" s="582">
        <f t="shared" si="88"/>
        <v>12.149767016577551</v>
      </c>
      <c r="Z118" s="582">
        <f t="shared" si="88"/>
        <v>12.161327145465675</v>
      </c>
      <c r="AA118" s="582">
        <f t="shared" si="88"/>
        <v>12.153978164630427</v>
      </c>
      <c r="AB118" s="582">
        <f t="shared" si="88"/>
        <v>12.126172832471873</v>
      </c>
      <c r="AC118" s="582">
        <f t="shared" si="88"/>
        <v>12.0762697320414</v>
      </c>
      <c r="AD118" s="582">
        <f t="shared" si="88"/>
        <v>12.002528186174693</v>
      </c>
      <c r="AE118" s="582">
        <f t="shared" si="88"/>
        <v>11.903102915440591</v>
      </c>
      <c r="AF118" s="582">
        <f t="shared" si="88"/>
        <v>11.776038426427231</v>
      </c>
      <c r="AG118" s="582">
        <f t="shared" si="88"/>
        <v>11.619263117290982</v>
      </c>
      <c r="AH118" s="582">
        <f t="shared" si="88"/>
        <v>12.088836527197504</v>
      </c>
      <c r="AI118" s="582">
        <f t="shared" si="88"/>
        <v>12.577386974207451</v>
      </c>
      <c r="AJ118" s="582">
        <f t="shared" si="88"/>
        <v>13.08568138406582</v>
      </c>
      <c r="AK118" s="582">
        <f t="shared" si="88"/>
        <v>13.614517676560306</v>
      </c>
      <c r="AL118" s="582">
        <f t="shared" si="88"/>
        <v>14.164726018094594</v>
      </c>
    </row>
    <row r="119" spans="1:38">
      <c r="B119" s="478" t="s">
        <v>711</v>
      </c>
      <c r="C119" s="484" t="s">
        <v>292</v>
      </c>
      <c r="D119" s="582">
        <f t="shared" ref="D119:AL119" si="89">(D$112*D93+D$113*D98+D$114*D103)/Grams.Per.Metric.Ton*D108</f>
        <v>0.16352934266308961</v>
      </c>
      <c r="E119" s="582">
        <f t="shared" si="89"/>
        <v>0.17092546688337504</v>
      </c>
      <c r="F119" s="582">
        <f t="shared" si="89"/>
        <v>0.17896934095616998</v>
      </c>
      <c r="G119" s="582">
        <f t="shared" si="89"/>
        <v>0.1872681262804663</v>
      </c>
      <c r="H119" s="582">
        <f t="shared" si="89"/>
        <v>0.19626170595689368</v>
      </c>
      <c r="I119" s="582">
        <f t="shared" si="89"/>
        <v>0.20374556262507595</v>
      </c>
      <c r="J119" s="582">
        <f t="shared" si="89"/>
        <v>0.21188524039373838</v>
      </c>
      <c r="K119" s="582">
        <f t="shared" si="89"/>
        <v>0.22024426236469741</v>
      </c>
      <c r="L119" s="582">
        <f t="shared" si="89"/>
        <v>0.22882278787950133</v>
      </c>
      <c r="M119" s="582">
        <f t="shared" si="89"/>
        <v>0.23712849030817948</v>
      </c>
      <c r="N119" s="582">
        <f t="shared" si="89"/>
        <v>0.24197756324394307</v>
      </c>
      <c r="O119" s="582">
        <f t="shared" si="89"/>
        <v>0.24683128322722378</v>
      </c>
      <c r="P119" s="582">
        <f t="shared" si="89"/>
        <v>0.25168210616712283</v>
      </c>
      <c r="Q119" s="582">
        <f t="shared" si="89"/>
        <v>0.25652187061894838</v>
      </c>
      <c r="R119" s="582">
        <f t="shared" si="89"/>
        <v>0.26134176020684352</v>
      </c>
      <c r="S119" s="582">
        <f t="shared" si="89"/>
        <v>0.26613226401744783</v>
      </c>
      <c r="T119" s="582">
        <f t="shared" si="89"/>
        <v>0.27088313486196464</v>
      </c>
      <c r="U119" s="582">
        <f t="shared" si="89"/>
        <v>0.27558334529903866</v>
      </c>
      <c r="V119" s="582">
        <f t="shared" si="89"/>
        <v>0.28022104130561881</v>
      </c>
      <c r="W119" s="582">
        <f t="shared" si="89"/>
        <v>0.28478349347752901</v>
      </c>
      <c r="X119" s="582">
        <f t="shared" si="89"/>
        <v>0.29139669366197096</v>
      </c>
      <c r="Y119" s="582">
        <f t="shared" si="89"/>
        <v>0.29807929747310907</v>
      </c>
      <c r="Z119" s="582">
        <f t="shared" si="89"/>
        <v>0.3048261136393951</v>
      </c>
      <c r="AA119" s="582">
        <f t="shared" si="89"/>
        <v>0.3116314179431528</v>
      </c>
      <c r="AB119" s="582">
        <f t="shared" si="89"/>
        <v>0.31848891862287715</v>
      </c>
      <c r="AC119" s="582">
        <f t="shared" si="89"/>
        <v>0.3253917198495464</v>
      </c>
      <c r="AD119" s="582">
        <f t="shared" si="89"/>
        <v>0.33233228317779545</v>
      </c>
      <c r="AE119" s="582">
        <f t="shared" si="89"/>
        <v>0.33930238686787434</v>
      </c>
      <c r="AF119" s="582">
        <f t="shared" si="89"/>
        <v>0.34629308296930988</v>
      </c>
      <c r="AG119" s="582">
        <f t="shared" si="89"/>
        <v>0.35329465205174476</v>
      </c>
      <c r="AH119" s="582">
        <f t="shared" si="89"/>
        <v>0.36757247438789609</v>
      </c>
      <c r="AI119" s="582">
        <f t="shared" si="89"/>
        <v>0.38242731143253184</v>
      </c>
      <c r="AJ119" s="582">
        <f t="shared" si="89"/>
        <v>0.39788248228613998</v>
      </c>
      <c r="AK119" s="582">
        <f t="shared" si="89"/>
        <v>0.41396224845230406</v>
      </c>
      <c r="AL119" s="582">
        <f t="shared" si="89"/>
        <v>0.4306918519233755</v>
      </c>
    </row>
    <row r="120" spans="1:38">
      <c r="D120" s="358"/>
      <c r="F120" s="464"/>
      <c r="G120" s="465"/>
      <c r="H120" s="465"/>
    </row>
    <row r="121" spans="1:38" ht="13">
      <c r="B121" s="493" t="s">
        <v>463</v>
      </c>
      <c r="C121" s="487" t="s">
        <v>292</v>
      </c>
      <c r="D121" s="488">
        <f t="shared" ref="D121:AL121" si="90">D116</f>
        <v>30.966121162995236</v>
      </c>
      <c r="E121" s="488">
        <f t="shared" si="90"/>
        <v>32.355077153144876</v>
      </c>
      <c r="F121" s="488">
        <f t="shared" si="90"/>
        <v>33.786796801302671</v>
      </c>
      <c r="G121" s="488">
        <f t="shared" si="90"/>
        <v>35.261703192611435</v>
      </c>
      <c r="H121" s="488">
        <f t="shared" si="90"/>
        <v>36.780152854820777</v>
      </c>
      <c r="I121" s="488">
        <f t="shared" si="90"/>
        <v>38.34242843846701</v>
      </c>
      <c r="J121" s="488">
        <f t="shared" si="90"/>
        <v>39.948730863638296</v>
      </c>
      <c r="K121" s="488">
        <f t="shared" si="90"/>
        <v>41.599170900120477</v>
      </c>
      <c r="L121" s="488">
        <f t="shared" si="90"/>
        <v>43.293760145832742</v>
      </c>
      <c r="M121" s="488">
        <f t="shared" si="90"/>
        <v>45.032401366461293</v>
      </c>
      <c r="N121" s="488">
        <f t="shared" si="90"/>
        <v>46.690330612332481</v>
      </c>
      <c r="O121" s="488">
        <f t="shared" si="90"/>
        <v>48.377501996571752</v>
      </c>
      <c r="P121" s="488">
        <f t="shared" si="90"/>
        <v>50.092309801639402</v>
      </c>
      <c r="Q121" s="488">
        <f t="shared" si="90"/>
        <v>52.630349320717222</v>
      </c>
      <c r="R121" s="488">
        <f t="shared" si="90"/>
        <v>54.409330838006646</v>
      </c>
      <c r="S121" s="488">
        <f t="shared" si="90"/>
        <v>56.209569405244096</v>
      </c>
      <c r="T121" s="488">
        <f t="shared" si="90"/>
        <v>58.028399570383996</v>
      </c>
      <c r="U121" s="488">
        <f t="shared" si="90"/>
        <v>59.862845989358533</v>
      </c>
      <c r="V121" s="488">
        <f t="shared" si="90"/>
        <v>61.709600317772505</v>
      </c>
      <c r="W121" s="488">
        <f t="shared" si="90"/>
        <v>63.564996643402118</v>
      </c>
      <c r="X121" s="488">
        <f t="shared" si="90"/>
        <v>65.964335062543739</v>
      </c>
      <c r="Y121" s="488">
        <f t="shared" si="90"/>
        <v>69.347404679034184</v>
      </c>
      <c r="Z121" s="488">
        <f t="shared" si="90"/>
        <v>71.885779514580662</v>
      </c>
      <c r="AA121" s="488">
        <f t="shared" si="90"/>
        <v>74.482489819019719</v>
      </c>
      <c r="AB121" s="488">
        <f t="shared" si="90"/>
        <v>77.13674812114246</v>
      </c>
      <c r="AC121" s="488">
        <f t="shared" si="90"/>
        <v>79.847553193957665</v>
      </c>
      <c r="AD121" s="488">
        <f t="shared" si="90"/>
        <v>82.613671847725513</v>
      </c>
      <c r="AE121" s="488">
        <f t="shared" si="90"/>
        <v>85.433619510948091</v>
      </c>
      <c r="AF121" s="488">
        <f t="shared" si="90"/>
        <v>89.382537570477965</v>
      </c>
      <c r="AG121" s="488">
        <f t="shared" si="90"/>
        <v>92.326809781680325</v>
      </c>
      <c r="AH121" s="488">
        <f t="shared" si="90"/>
        <v>96.058045958822916</v>
      </c>
      <c r="AI121" s="488">
        <f t="shared" si="90"/>
        <v>99.940073909693396</v>
      </c>
      <c r="AJ121" s="488">
        <f t="shared" si="90"/>
        <v>103.97898763583567</v>
      </c>
      <c r="AK121" s="488">
        <f t="shared" si="90"/>
        <v>108.18112741784375</v>
      </c>
      <c r="AL121" s="488">
        <f t="shared" si="90"/>
        <v>112.55308976832484</v>
      </c>
    </row>
    <row r="122" spans="1:38" ht="13">
      <c r="B122" s="494" t="s">
        <v>464</v>
      </c>
      <c r="C122" s="487" t="s">
        <v>292</v>
      </c>
      <c r="D122" s="488">
        <f t="shared" ref="D122:AL122" si="91">SUM(D116:D119)</f>
        <v>50.039004562593909</v>
      </c>
      <c r="E122" s="488">
        <f t="shared" si="91"/>
        <v>51.272051890396213</v>
      </c>
      <c r="F122" s="488">
        <f t="shared" si="91"/>
        <v>52.518205247701687</v>
      </c>
      <c r="G122" s="488">
        <f t="shared" si="91"/>
        <v>53.673970742935538</v>
      </c>
      <c r="H122" s="488">
        <f t="shared" si="91"/>
        <v>54.780750205157339</v>
      </c>
      <c r="I122" s="488">
        <f t="shared" si="91"/>
        <v>55.781296133450091</v>
      </c>
      <c r="J122" s="488">
        <f t="shared" si="91"/>
        <v>56.742361314708894</v>
      </c>
      <c r="K122" s="488">
        <f t="shared" si="91"/>
        <v>57.592217962538754</v>
      </c>
      <c r="L122" s="488">
        <f t="shared" si="91"/>
        <v>58.354040035181178</v>
      </c>
      <c r="M122" s="488">
        <f t="shared" si="91"/>
        <v>59.023208844853897</v>
      </c>
      <c r="N122" s="488">
        <f t="shared" si="91"/>
        <v>60.682513689462375</v>
      </c>
      <c r="O122" s="488">
        <f t="shared" si="91"/>
        <v>62.34832152101631</v>
      </c>
      <c r="P122" s="488">
        <f t="shared" si="91"/>
        <v>64.0171864444779</v>
      </c>
      <c r="Q122" s="488">
        <f t="shared" si="91"/>
        <v>66.482751978511985</v>
      </c>
      <c r="R122" s="488">
        <f t="shared" si="91"/>
        <v>68.160659021214755</v>
      </c>
      <c r="S122" s="488">
        <f t="shared" si="91"/>
        <v>69.829029308185142</v>
      </c>
      <c r="T122" s="488">
        <f t="shared" si="91"/>
        <v>71.482873504155009</v>
      </c>
      <c r="U122" s="488">
        <f t="shared" si="91"/>
        <v>73.116754843649829</v>
      </c>
      <c r="V122" s="488">
        <f t="shared" si="91"/>
        <v>74.724758701382839</v>
      </c>
      <c r="W122" s="488">
        <f t="shared" si="91"/>
        <v>76.300460336326921</v>
      </c>
      <c r="X122" s="488">
        <f t="shared" si="91"/>
        <v>78.738070766777184</v>
      </c>
      <c r="Y122" s="488">
        <f t="shared" si="91"/>
        <v>82.141705735621741</v>
      </c>
      <c r="Z122" s="488">
        <f t="shared" si="91"/>
        <v>84.681445586212092</v>
      </c>
      <c r="AA122" s="488">
        <f t="shared" si="91"/>
        <v>87.258735080132112</v>
      </c>
      <c r="AB122" s="488">
        <f t="shared" si="91"/>
        <v>89.871104466865091</v>
      </c>
      <c r="AC122" s="488">
        <f t="shared" si="91"/>
        <v>92.515768215235539</v>
      </c>
      <c r="AD122" s="488">
        <f t="shared" si="91"/>
        <v>95.18960130767347</v>
      </c>
      <c r="AE122" s="488">
        <f t="shared" si="91"/>
        <v>97.889114044616662</v>
      </c>
      <c r="AF122" s="488">
        <f t="shared" si="91"/>
        <v>101.68732331674271</v>
      </c>
      <c r="AG122" s="488">
        <f t="shared" si="91"/>
        <v>104.44836264185287</v>
      </c>
      <c r="AH122" s="488">
        <f t="shared" si="91"/>
        <v>108.66947144279747</v>
      </c>
      <c r="AI122" s="488">
        <f t="shared" si="91"/>
        <v>113.06116941391902</v>
      </c>
      <c r="AJ122" s="488">
        <f t="shared" si="91"/>
        <v>117.63035063598015</v>
      </c>
      <c r="AK122" s="488">
        <f t="shared" si="91"/>
        <v>122.38418780267955</v>
      </c>
      <c r="AL122" s="488">
        <f t="shared" si="91"/>
        <v>127.33014348033564</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'950 West'!D48</f>
        <v>261.86129680032559</v>
      </c>
      <c r="E126" s="383">
        <f>'950 West'!E48</f>
        <v>272.44399045480429</v>
      </c>
      <c r="F126" s="383">
        <f>'950 West'!F48</f>
        <v>283.45436626908662</v>
      </c>
      <c r="G126" s="383">
        <f>'950 West'!G48</f>
        <v>294.90970831429729</v>
      </c>
      <c r="H126" s="383">
        <f>'950 West'!H48</f>
        <v>0</v>
      </c>
      <c r="I126" s="383">
        <f>'950 West'!I48</f>
        <v>0</v>
      </c>
      <c r="J126" s="383">
        <f>'950 West'!J48</f>
        <v>0</v>
      </c>
      <c r="K126" s="383">
        <f>'950 West'!K48</f>
        <v>0</v>
      </c>
      <c r="L126" s="383">
        <f>'950 West'!L48</f>
        <v>0</v>
      </c>
      <c r="M126" s="383">
        <f>'950 West'!M48</f>
        <v>0</v>
      </c>
      <c r="N126" s="383">
        <f>'950 West'!N48</f>
        <v>0</v>
      </c>
      <c r="O126" s="383">
        <f>'950 West'!O48</f>
        <v>0</v>
      </c>
      <c r="P126" s="383">
        <f>'950 West'!P48</f>
        <v>0</v>
      </c>
      <c r="Q126" s="383">
        <f>'950 West'!Q48</f>
        <v>0</v>
      </c>
      <c r="R126" s="383">
        <f>'950 West'!R48</f>
        <v>0</v>
      </c>
      <c r="S126" s="383">
        <f>'950 West'!S48</f>
        <v>0</v>
      </c>
      <c r="T126" s="383">
        <f>'950 West'!T48</f>
        <v>0</v>
      </c>
      <c r="U126" s="383">
        <f>'950 West'!U48</f>
        <v>0</v>
      </c>
      <c r="V126" s="383">
        <f>'950 West'!V48</f>
        <v>0</v>
      </c>
      <c r="W126" s="383">
        <f>'950 West'!W48</f>
        <v>0</v>
      </c>
      <c r="X126" s="383">
        <f>'950 West'!X48</f>
        <v>0</v>
      </c>
      <c r="Y126" s="383">
        <f>'950 West'!Y48</f>
        <v>0</v>
      </c>
      <c r="Z126" s="383">
        <f>'950 West'!Z48</f>
        <v>0</v>
      </c>
      <c r="AA126" s="383">
        <f>'950 West'!AA48</f>
        <v>0</v>
      </c>
      <c r="AB126" s="383">
        <f>'950 West'!AB48</f>
        <v>0</v>
      </c>
      <c r="AC126" s="383">
        <f>'950 West'!AC48</f>
        <v>0</v>
      </c>
      <c r="AD126" s="383">
        <f>'950 West'!AD48</f>
        <v>0</v>
      </c>
      <c r="AE126" s="383">
        <f>'950 West'!AE48</f>
        <v>0</v>
      </c>
      <c r="AF126" s="383">
        <f>'950 West'!AF48</f>
        <v>0</v>
      </c>
      <c r="AG126" s="383">
        <f>'950 West'!AG48</f>
        <v>0</v>
      </c>
      <c r="AH126" s="383">
        <f>'950 West'!AH48</f>
        <v>0</v>
      </c>
      <c r="AI126" s="383">
        <f>'950 West'!AI48</f>
        <v>0</v>
      </c>
      <c r="AJ126" s="383">
        <f>'950 West'!AJ48</f>
        <v>0</v>
      </c>
      <c r="AK126" s="383">
        <f>'950 West'!AK48</f>
        <v>0</v>
      </c>
      <c r="AL126" s="383">
        <f>'950 West'!AL48</f>
        <v>0</v>
      </c>
    </row>
    <row r="127" spans="1:38">
      <c r="B127" s="385" t="s">
        <v>509</v>
      </c>
      <c r="C127" s="386" t="s">
        <v>443</v>
      </c>
      <c r="D127" s="383">
        <f>'950 West'!D49</f>
        <v>0</v>
      </c>
      <c r="E127" s="383">
        <f>'950 West'!E49</f>
        <v>0</v>
      </c>
      <c r="F127" s="383">
        <f>'950 West'!F49</f>
        <v>0</v>
      </c>
      <c r="G127" s="383">
        <f>'950 West'!G49</f>
        <v>0</v>
      </c>
      <c r="H127" s="383">
        <f>'950 West'!H49</f>
        <v>0</v>
      </c>
      <c r="I127" s="383">
        <f>'950 West'!I49</f>
        <v>0</v>
      </c>
      <c r="J127" s="383">
        <f>'950 West'!J49</f>
        <v>0</v>
      </c>
      <c r="K127" s="383">
        <f>'950 West'!K49</f>
        <v>0</v>
      </c>
      <c r="L127" s="383">
        <f>'950 West'!L49</f>
        <v>0</v>
      </c>
      <c r="M127" s="383">
        <f>'950 West'!M49</f>
        <v>0</v>
      </c>
      <c r="N127" s="383">
        <f>'950 West'!N49</f>
        <v>0</v>
      </c>
      <c r="O127" s="383">
        <f>'950 West'!O49</f>
        <v>0</v>
      </c>
      <c r="P127" s="383">
        <f>'950 West'!P49</f>
        <v>0</v>
      </c>
      <c r="Q127" s="383">
        <f>'950 West'!Q49</f>
        <v>0</v>
      </c>
      <c r="R127" s="383">
        <f>'950 West'!R49</f>
        <v>0</v>
      </c>
      <c r="S127" s="383">
        <f>'950 West'!S49</f>
        <v>0</v>
      </c>
      <c r="T127" s="383">
        <f>'950 West'!T49</f>
        <v>0</v>
      </c>
      <c r="U127" s="383">
        <f>'950 West'!U49</f>
        <v>0</v>
      </c>
      <c r="V127" s="383">
        <f>'950 West'!V49</f>
        <v>0</v>
      </c>
      <c r="W127" s="383">
        <f>'950 West'!W49</f>
        <v>0</v>
      </c>
      <c r="X127" s="383">
        <f>'950 West'!X49</f>
        <v>0</v>
      </c>
      <c r="Y127" s="383">
        <f>'950 West'!Y49</f>
        <v>0</v>
      </c>
      <c r="Z127" s="383">
        <f>'950 West'!Z49</f>
        <v>0</v>
      </c>
      <c r="AA127" s="383">
        <f>'950 West'!AA49</f>
        <v>0</v>
      </c>
      <c r="AB127" s="383">
        <f>'950 West'!AB49</f>
        <v>0</v>
      </c>
      <c r="AC127" s="383">
        <f>'950 West'!AC49</f>
        <v>0</v>
      </c>
      <c r="AD127" s="383">
        <f>'950 West'!AD49</f>
        <v>0</v>
      </c>
      <c r="AE127" s="383">
        <f>'950 West'!AE49</f>
        <v>0</v>
      </c>
      <c r="AF127" s="383">
        <f>'950 West'!AF49</f>
        <v>0</v>
      </c>
      <c r="AG127" s="383">
        <f>'950 West'!AG49</f>
        <v>0</v>
      </c>
      <c r="AH127" s="383">
        <f>'950 West'!AH49</f>
        <v>0</v>
      </c>
      <c r="AI127" s="383">
        <f>'950 West'!AI49</f>
        <v>0</v>
      </c>
      <c r="AJ127" s="383">
        <f>'950 West'!AJ49</f>
        <v>0</v>
      </c>
      <c r="AK127" s="383">
        <f>'950 West'!AK49</f>
        <v>0</v>
      </c>
      <c r="AL127" s="383">
        <f>'950 West'!AL49</f>
        <v>0</v>
      </c>
    </row>
    <row r="128" spans="1:38">
      <c r="B128" s="358" t="s">
        <v>769</v>
      </c>
      <c r="C128" s="358" t="s">
        <v>443</v>
      </c>
      <c r="D128" s="383">
        <f>'950 West'!D50</f>
        <v>0</v>
      </c>
      <c r="E128" s="383">
        <f>'950 West'!E50</f>
        <v>0</v>
      </c>
      <c r="F128" s="383">
        <f>'950 West'!F50</f>
        <v>0</v>
      </c>
      <c r="G128" s="383">
        <f>'950 West'!G50</f>
        <v>0</v>
      </c>
      <c r="H128" s="383">
        <f>'950 West'!H50</f>
        <v>0</v>
      </c>
      <c r="I128" s="383">
        <f>'950 West'!I50</f>
        <v>0</v>
      </c>
      <c r="J128" s="383">
        <f>'950 West'!J50</f>
        <v>0</v>
      </c>
      <c r="K128" s="383">
        <f>'950 West'!K50</f>
        <v>0</v>
      </c>
      <c r="L128" s="383">
        <f>'950 West'!L50</f>
        <v>0</v>
      </c>
      <c r="M128" s="383">
        <f>'950 West'!M50</f>
        <v>0</v>
      </c>
      <c r="N128" s="383">
        <f>'950 West'!N50</f>
        <v>0</v>
      </c>
      <c r="O128" s="383">
        <f>'950 West'!O50</f>
        <v>0</v>
      </c>
      <c r="P128" s="383">
        <f>'950 West'!P50</f>
        <v>0</v>
      </c>
      <c r="Q128" s="383">
        <f>'950 West'!Q50</f>
        <v>0</v>
      </c>
      <c r="R128" s="383">
        <f>'950 West'!R50</f>
        <v>0</v>
      </c>
      <c r="S128" s="383">
        <f>'950 West'!S50</f>
        <v>0</v>
      </c>
      <c r="T128" s="383">
        <f>'950 West'!T50</f>
        <v>0</v>
      </c>
      <c r="U128" s="383">
        <f>'950 West'!U50</f>
        <v>0</v>
      </c>
      <c r="V128" s="383">
        <f>'950 West'!V50</f>
        <v>0</v>
      </c>
      <c r="W128" s="383">
        <f>'950 West'!W50</f>
        <v>0</v>
      </c>
      <c r="X128" s="383">
        <f>'950 West'!X50</f>
        <v>0</v>
      </c>
      <c r="Y128" s="383">
        <f>'950 West'!Y50</f>
        <v>0</v>
      </c>
      <c r="Z128" s="383">
        <f>'950 West'!Z50</f>
        <v>0</v>
      </c>
      <c r="AA128" s="383">
        <f>'950 West'!AA50</f>
        <v>0</v>
      </c>
      <c r="AB128" s="383">
        <f>'950 West'!AB50</f>
        <v>0</v>
      </c>
      <c r="AC128" s="383">
        <f>'950 West'!AC50</f>
        <v>0</v>
      </c>
      <c r="AD128" s="383">
        <f>'950 West'!AD50</f>
        <v>0</v>
      </c>
      <c r="AE128" s="383">
        <f>'950 West'!AE50</f>
        <v>0</v>
      </c>
      <c r="AF128" s="383">
        <f>'950 West'!AF50</f>
        <v>0</v>
      </c>
      <c r="AG128" s="383">
        <f>'950 West'!AG50</f>
        <v>0</v>
      </c>
      <c r="AH128" s="383">
        <f>'950 West'!AH50</f>
        <v>0</v>
      </c>
      <c r="AI128" s="383">
        <f>'950 West'!AI50</f>
        <v>0</v>
      </c>
      <c r="AJ128" s="383">
        <f>'950 West'!AJ50</f>
        <v>0</v>
      </c>
      <c r="AK128" s="383">
        <f>'950 West'!AK50</f>
        <v>0</v>
      </c>
      <c r="AL128" s="383">
        <f>'950 West'!AL50</f>
        <v>0</v>
      </c>
    </row>
    <row r="129" spans="1:38">
      <c r="D129" s="358"/>
      <c r="F129" s="464"/>
      <c r="G129" s="465"/>
      <c r="H129" s="465"/>
    </row>
    <row r="130" spans="1:38">
      <c r="B130" s="476" t="s">
        <v>708</v>
      </c>
      <c r="C130" s="484" t="s">
        <v>292</v>
      </c>
      <c r="D130" s="582">
        <f t="shared" ref="D130:AL130" si="92">(D$126*D90+D$127*D95+D$128*D100)/Grams.Per.Metric.Ton*D105</f>
        <v>30.966121162995236</v>
      </c>
      <c r="E130" s="582">
        <f t="shared" si="92"/>
        <v>32.355077153144876</v>
      </c>
      <c r="F130" s="582">
        <f t="shared" si="92"/>
        <v>33.786796801302671</v>
      </c>
      <c r="G130" s="582">
        <f t="shared" si="92"/>
        <v>35.261703192611435</v>
      </c>
      <c r="H130" s="582">
        <f t="shared" si="92"/>
        <v>0</v>
      </c>
      <c r="I130" s="582">
        <f t="shared" si="92"/>
        <v>0</v>
      </c>
      <c r="J130" s="582">
        <f t="shared" si="92"/>
        <v>0</v>
      </c>
      <c r="K130" s="582">
        <f t="shared" si="92"/>
        <v>0</v>
      </c>
      <c r="L130" s="582">
        <f t="shared" si="92"/>
        <v>0</v>
      </c>
      <c r="M130" s="582">
        <f t="shared" si="92"/>
        <v>0</v>
      </c>
      <c r="N130" s="582">
        <f t="shared" si="92"/>
        <v>0</v>
      </c>
      <c r="O130" s="582">
        <f t="shared" si="92"/>
        <v>0</v>
      </c>
      <c r="P130" s="582">
        <f t="shared" si="92"/>
        <v>0</v>
      </c>
      <c r="Q130" s="582">
        <f t="shared" si="92"/>
        <v>0</v>
      </c>
      <c r="R130" s="582">
        <f t="shared" si="92"/>
        <v>0</v>
      </c>
      <c r="S130" s="582">
        <f t="shared" si="92"/>
        <v>0</v>
      </c>
      <c r="T130" s="582">
        <f t="shared" si="92"/>
        <v>0</v>
      </c>
      <c r="U130" s="582">
        <f t="shared" si="92"/>
        <v>0</v>
      </c>
      <c r="V130" s="582">
        <f t="shared" si="92"/>
        <v>0</v>
      </c>
      <c r="W130" s="582">
        <f t="shared" si="92"/>
        <v>0</v>
      </c>
      <c r="X130" s="582">
        <f t="shared" si="92"/>
        <v>0</v>
      </c>
      <c r="Y130" s="582">
        <f t="shared" si="92"/>
        <v>0</v>
      </c>
      <c r="Z130" s="582">
        <f t="shared" si="92"/>
        <v>0</v>
      </c>
      <c r="AA130" s="582">
        <f t="shared" si="92"/>
        <v>0</v>
      </c>
      <c r="AB130" s="582">
        <f t="shared" si="92"/>
        <v>0</v>
      </c>
      <c r="AC130" s="582">
        <f t="shared" si="92"/>
        <v>0</v>
      </c>
      <c r="AD130" s="582">
        <f t="shared" si="92"/>
        <v>0</v>
      </c>
      <c r="AE130" s="582">
        <f t="shared" si="92"/>
        <v>0</v>
      </c>
      <c r="AF130" s="582">
        <f t="shared" si="92"/>
        <v>0</v>
      </c>
      <c r="AG130" s="582">
        <f t="shared" si="92"/>
        <v>0</v>
      </c>
      <c r="AH130" s="582">
        <f t="shared" si="92"/>
        <v>0</v>
      </c>
      <c r="AI130" s="582">
        <f t="shared" si="92"/>
        <v>0</v>
      </c>
      <c r="AJ130" s="582">
        <f t="shared" si="92"/>
        <v>0</v>
      </c>
      <c r="AK130" s="582">
        <f t="shared" si="92"/>
        <v>0</v>
      </c>
      <c r="AL130" s="582">
        <f t="shared" si="92"/>
        <v>0</v>
      </c>
    </row>
    <row r="131" spans="1:38">
      <c r="B131" s="478" t="s">
        <v>709</v>
      </c>
      <c r="C131" s="484" t="s">
        <v>292</v>
      </c>
      <c r="D131" s="582">
        <f t="shared" ref="D131:AL131" si="93">(D$126*D91+D$127*D96+D$128*D101)/Grams.Per.Metric.Ton*D106</f>
        <v>8.2713489115461911</v>
      </c>
      <c r="E131" s="582">
        <f t="shared" si="93"/>
        <v>7.8603984397072351</v>
      </c>
      <c r="F131" s="582">
        <f t="shared" si="93"/>
        <v>7.4259420715219058</v>
      </c>
      <c r="G131" s="582">
        <f t="shared" si="93"/>
        <v>6.867731143773848</v>
      </c>
      <c r="H131" s="582">
        <f t="shared" si="93"/>
        <v>0</v>
      </c>
      <c r="I131" s="582">
        <f t="shared" si="93"/>
        <v>0</v>
      </c>
      <c r="J131" s="582">
        <f t="shared" si="93"/>
        <v>0</v>
      </c>
      <c r="K131" s="582">
        <f t="shared" si="93"/>
        <v>0</v>
      </c>
      <c r="L131" s="582">
        <f t="shared" si="93"/>
        <v>0</v>
      </c>
      <c r="M131" s="582">
        <f t="shared" si="93"/>
        <v>0</v>
      </c>
      <c r="N131" s="582">
        <f t="shared" si="93"/>
        <v>0</v>
      </c>
      <c r="O131" s="582">
        <f t="shared" si="93"/>
        <v>0</v>
      </c>
      <c r="P131" s="582">
        <f t="shared" si="93"/>
        <v>0</v>
      </c>
      <c r="Q131" s="582">
        <f t="shared" si="93"/>
        <v>0</v>
      </c>
      <c r="R131" s="582">
        <f t="shared" si="93"/>
        <v>0</v>
      </c>
      <c r="S131" s="582">
        <f t="shared" si="93"/>
        <v>0</v>
      </c>
      <c r="T131" s="582">
        <f t="shared" si="93"/>
        <v>0</v>
      </c>
      <c r="U131" s="582">
        <f t="shared" si="93"/>
        <v>0</v>
      </c>
      <c r="V131" s="582">
        <f t="shared" si="93"/>
        <v>0</v>
      </c>
      <c r="W131" s="582">
        <f t="shared" si="93"/>
        <v>0</v>
      </c>
      <c r="X131" s="582">
        <f t="shared" si="93"/>
        <v>0</v>
      </c>
      <c r="Y131" s="582">
        <f t="shared" si="93"/>
        <v>0</v>
      </c>
      <c r="Z131" s="582">
        <f t="shared" si="93"/>
        <v>0</v>
      </c>
      <c r="AA131" s="582">
        <f t="shared" si="93"/>
        <v>0</v>
      </c>
      <c r="AB131" s="582">
        <f t="shared" si="93"/>
        <v>0</v>
      </c>
      <c r="AC131" s="582">
        <f t="shared" si="93"/>
        <v>0</v>
      </c>
      <c r="AD131" s="582">
        <f t="shared" si="93"/>
        <v>0</v>
      </c>
      <c r="AE131" s="582">
        <f t="shared" si="93"/>
        <v>0</v>
      </c>
      <c r="AF131" s="582">
        <f t="shared" si="93"/>
        <v>0</v>
      </c>
      <c r="AG131" s="582">
        <f t="shared" si="93"/>
        <v>0</v>
      </c>
      <c r="AH131" s="582">
        <f t="shared" si="93"/>
        <v>0</v>
      </c>
      <c r="AI131" s="582">
        <f t="shared" si="93"/>
        <v>0</v>
      </c>
      <c r="AJ131" s="582">
        <f t="shared" si="93"/>
        <v>0</v>
      </c>
      <c r="AK131" s="582">
        <f t="shared" si="93"/>
        <v>0</v>
      </c>
      <c r="AL131" s="582">
        <f t="shared" si="93"/>
        <v>0</v>
      </c>
    </row>
    <row r="132" spans="1:38">
      <c r="B132" s="478" t="s">
        <v>710</v>
      </c>
      <c r="C132" s="484" t="s">
        <v>292</v>
      </c>
      <c r="D132" s="582">
        <f t="shared" ref="D132:AL132" si="94">(D$126*D92+D$127*D97+D$128*D102)/Grams.Per.Metric.Ton*D107</f>
        <v>10.638005145389389</v>
      </c>
      <c r="E132" s="582">
        <f t="shared" si="94"/>
        <v>10.885650830660731</v>
      </c>
      <c r="F132" s="582">
        <f t="shared" si="94"/>
        <v>11.126497033920938</v>
      </c>
      <c r="G132" s="582">
        <f t="shared" si="94"/>
        <v>11.357268280269791</v>
      </c>
      <c r="H132" s="582">
        <f t="shared" si="94"/>
        <v>0</v>
      </c>
      <c r="I132" s="582">
        <f t="shared" si="94"/>
        <v>0</v>
      </c>
      <c r="J132" s="582">
        <f t="shared" si="94"/>
        <v>0</v>
      </c>
      <c r="K132" s="582">
        <f t="shared" si="94"/>
        <v>0</v>
      </c>
      <c r="L132" s="582">
        <f t="shared" si="94"/>
        <v>0</v>
      </c>
      <c r="M132" s="582">
        <f t="shared" si="94"/>
        <v>0</v>
      </c>
      <c r="N132" s="582">
        <f t="shared" si="94"/>
        <v>0</v>
      </c>
      <c r="O132" s="582">
        <f t="shared" si="94"/>
        <v>0</v>
      </c>
      <c r="P132" s="582">
        <f t="shared" si="94"/>
        <v>0</v>
      </c>
      <c r="Q132" s="582">
        <f t="shared" si="94"/>
        <v>0</v>
      </c>
      <c r="R132" s="582">
        <f t="shared" si="94"/>
        <v>0</v>
      </c>
      <c r="S132" s="582">
        <f t="shared" si="94"/>
        <v>0</v>
      </c>
      <c r="T132" s="582">
        <f t="shared" si="94"/>
        <v>0</v>
      </c>
      <c r="U132" s="582">
        <f t="shared" si="94"/>
        <v>0</v>
      </c>
      <c r="V132" s="582">
        <f t="shared" si="94"/>
        <v>0</v>
      </c>
      <c r="W132" s="582">
        <f t="shared" si="94"/>
        <v>0</v>
      </c>
      <c r="X132" s="582">
        <f t="shared" si="94"/>
        <v>0</v>
      </c>
      <c r="Y132" s="582">
        <f t="shared" si="94"/>
        <v>0</v>
      </c>
      <c r="Z132" s="582">
        <f t="shared" si="94"/>
        <v>0</v>
      </c>
      <c r="AA132" s="582">
        <f t="shared" si="94"/>
        <v>0</v>
      </c>
      <c r="AB132" s="582">
        <f t="shared" si="94"/>
        <v>0</v>
      </c>
      <c r="AC132" s="582">
        <f t="shared" si="94"/>
        <v>0</v>
      </c>
      <c r="AD132" s="582">
        <f t="shared" si="94"/>
        <v>0</v>
      </c>
      <c r="AE132" s="582">
        <f t="shared" si="94"/>
        <v>0</v>
      </c>
      <c r="AF132" s="582">
        <f t="shared" si="94"/>
        <v>0</v>
      </c>
      <c r="AG132" s="582">
        <f t="shared" si="94"/>
        <v>0</v>
      </c>
      <c r="AH132" s="582">
        <f t="shared" si="94"/>
        <v>0</v>
      </c>
      <c r="AI132" s="582">
        <f t="shared" si="94"/>
        <v>0</v>
      </c>
      <c r="AJ132" s="582">
        <f t="shared" si="94"/>
        <v>0</v>
      </c>
      <c r="AK132" s="582">
        <f t="shared" si="94"/>
        <v>0</v>
      </c>
      <c r="AL132" s="582">
        <f t="shared" si="94"/>
        <v>0</v>
      </c>
    </row>
    <row r="133" spans="1:38">
      <c r="B133" s="478" t="s">
        <v>711</v>
      </c>
      <c r="C133" s="484" t="s">
        <v>292</v>
      </c>
      <c r="D133" s="582">
        <f t="shared" ref="D133:AL133" si="95">(D$126*D93+D$127*D98+D$128*D103)/Grams.Per.Metric.Ton*D108</f>
        <v>0.16352934266308961</v>
      </c>
      <c r="E133" s="582">
        <f t="shared" si="95"/>
        <v>0.17092546688337504</v>
      </c>
      <c r="F133" s="582">
        <f t="shared" si="95"/>
        <v>0.17896934095616998</v>
      </c>
      <c r="G133" s="582">
        <f t="shared" si="95"/>
        <v>0.1872681262804663</v>
      </c>
      <c r="H133" s="582">
        <f t="shared" si="95"/>
        <v>0</v>
      </c>
      <c r="I133" s="582">
        <f t="shared" si="95"/>
        <v>0</v>
      </c>
      <c r="J133" s="582">
        <f t="shared" si="95"/>
        <v>0</v>
      </c>
      <c r="K133" s="582">
        <f t="shared" si="95"/>
        <v>0</v>
      </c>
      <c r="L133" s="582">
        <f t="shared" si="95"/>
        <v>0</v>
      </c>
      <c r="M133" s="582">
        <f t="shared" si="95"/>
        <v>0</v>
      </c>
      <c r="N133" s="582">
        <f t="shared" si="95"/>
        <v>0</v>
      </c>
      <c r="O133" s="582">
        <f t="shared" si="95"/>
        <v>0</v>
      </c>
      <c r="P133" s="582">
        <f t="shared" si="95"/>
        <v>0</v>
      </c>
      <c r="Q133" s="582">
        <f t="shared" si="95"/>
        <v>0</v>
      </c>
      <c r="R133" s="582">
        <f t="shared" si="95"/>
        <v>0</v>
      </c>
      <c r="S133" s="582">
        <f t="shared" si="95"/>
        <v>0</v>
      </c>
      <c r="T133" s="582">
        <f t="shared" si="95"/>
        <v>0</v>
      </c>
      <c r="U133" s="582">
        <f t="shared" si="95"/>
        <v>0</v>
      </c>
      <c r="V133" s="582">
        <f t="shared" si="95"/>
        <v>0</v>
      </c>
      <c r="W133" s="582">
        <f t="shared" si="95"/>
        <v>0</v>
      </c>
      <c r="X133" s="582">
        <f t="shared" si="95"/>
        <v>0</v>
      </c>
      <c r="Y133" s="582">
        <f t="shared" si="95"/>
        <v>0</v>
      </c>
      <c r="Z133" s="582">
        <f t="shared" si="95"/>
        <v>0</v>
      </c>
      <c r="AA133" s="582">
        <f t="shared" si="95"/>
        <v>0</v>
      </c>
      <c r="AB133" s="582">
        <f t="shared" si="95"/>
        <v>0</v>
      </c>
      <c r="AC133" s="582">
        <f t="shared" si="95"/>
        <v>0</v>
      </c>
      <c r="AD133" s="582">
        <f t="shared" si="95"/>
        <v>0</v>
      </c>
      <c r="AE133" s="582">
        <f t="shared" si="95"/>
        <v>0</v>
      </c>
      <c r="AF133" s="582">
        <f t="shared" si="95"/>
        <v>0</v>
      </c>
      <c r="AG133" s="582">
        <f t="shared" si="95"/>
        <v>0</v>
      </c>
      <c r="AH133" s="582">
        <f t="shared" si="95"/>
        <v>0</v>
      </c>
      <c r="AI133" s="582">
        <f t="shared" si="95"/>
        <v>0</v>
      </c>
      <c r="AJ133" s="582">
        <f t="shared" si="95"/>
        <v>0</v>
      </c>
      <c r="AK133" s="582">
        <f t="shared" si="95"/>
        <v>0</v>
      </c>
      <c r="AL133" s="582">
        <f t="shared" si="95"/>
        <v>0</v>
      </c>
    </row>
    <row r="134" spans="1:38">
      <c r="D134" s="358"/>
      <c r="F134" s="464"/>
      <c r="G134" s="465"/>
      <c r="H134" s="465"/>
    </row>
    <row r="135" spans="1:38" ht="13">
      <c r="B135" s="493" t="s">
        <v>465</v>
      </c>
      <c r="C135" s="487" t="s">
        <v>292</v>
      </c>
      <c r="D135" s="488">
        <f t="shared" ref="D135:AL135" si="96">D130</f>
        <v>30.966121162995236</v>
      </c>
      <c r="E135" s="488">
        <f t="shared" si="96"/>
        <v>32.355077153144876</v>
      </c>
      <c r="F135" s="488">
        <f t="shared" si="96"/>
        <v>33.786796801302671</v>
      </c>
      <c r="G135" s="488">
        <f t="shared" si="96"/>
        <v>35.261703192611435</v>
      </c>
      <c r="H135" s="488">
        <f t="shared" si="96"/>
        <v>0</v>
      </c>
      <c r="I135" s="488">
        <f t="shared" si="96"/>
        <v>0</v>
      </c>
      <c r="J135" s="488">
        <f t="shared" si="96"/>
        <v>0</v>
      </c>
      <c r="K135" s="488">
        <f t="shared" si="96"/>
        <v>0</v>
      </c>
      <c r="L135" s="488">
        <f t="shared" si="96"/>
        <v>0</v>
      </c>
      <c r="M135" s="488">
        <f t="shared" si="96"/>
        <v>0</v>
      </c>
      <c r="N135" s="488">
        <f t="shared" si="96"/>
        <v>0</v>
      </c>
      <c r="O135" s="488">
        <f t="shared" si="96"/>
        <v>0</v>
      </c>
      <c r="P135" s="488">
        <f t="shared" si="96"/>
        <v>0</v>
      </c>
      <c r="Q135" s="488">
        <f t="shared" si="96"/>
        <v>0</v>
      </c>
      <c r="R135" s="488">
        <f t="shared" si="96"/>
        <v>0</v>
      </c>
      <c r="S135" s="488">
        <f t="shared" si="96"/>
        <v>0</v>
      </c>
      <c r="T135" s="488">
        <f t="shared" si="96"/>
        <v>0</v>
      </c>
      <c r="U135" s="488">
        <f t="shared" si="96"/>
        <v>0</v>
      </c>
      <c r="V135" s="488">
        <f t="shared" si="96"/>
        <v>0</v>
      </c>
      <c r="W135" s="488">
        <f t="shared" si="96"/>
        <v>0</v>
      </c>
      <c r="X135" s="488">
        <f t="shared" si="96"/>
        <v>0</v>
      </c>
      <c r="Y135" s="488">
        <f t="shared" si="96"/>
        <v>0</v>
      </c>
      <c r="Z135" s="488">
        <f t="shared" si="96"/>
        <v>0</v>
      </c>
      <c r="AA135" s="488">
        <f t="shared" si="96"/>
        <v>0</v>
      </c>
      <c r="AB135" s="488">
        <f t="shared" si="96"/>
        <v>0</v>
      </c>
      <c r="AC135" s="488">
        <f t="shared" si="96"/>
        <v>0</v>
      </c>
      <c r="AD135" s="488">
        <f t="shared" si="96"/>
        <v>0</v>
      </c>
      <c r="AE135" s="488">
        <f t="shared" si="96"/>
        <v>0</v>
      </c>
      <c r="AF135" s="488">
        <f t="shared" si="96"/>
        <v>0</v>
      </c>
      <c r="AG135" s="488">
        <f t="shared" si="96"/>
        <v>0</v>
      </c>
      <c r="AH135" s="488">
        <f t="shared" si="96"/>
        <v>0</v>
      </c>
      <c r="AI135" s="488">
        <f t="shared" si="96"/>
        <v>0</v>
      </c>
      <c r="AJ135" s="488">
        <f t="shared" si="96"/>
        <v>0</v>
      </c>
      <c r="AK135" s="488">
        <f t="shared" si="96"/>
        <v>0</v>
      </c>
      <c r="AL135" s="488">
        <f t="shared" si="96"/>
        <v>0</v>
      </c>
    </row>
    <row r="136" spans="1:38" ht="13">
      <c r="B136" s="494" t="s">
        <v>466</v>
      </c>
      <c r="C136" s="487" t="s">
        <v>292</v>
      </c>
      <c r="D136" s="488">
        <f t="shared" ref="D136:AL136" si="97">SUM(D130:D133)</f>
        <v>50.039004562593909</v>
      </c>
      <c r="E136" s="488">
        <f t="shared" si="97"/>
        <v>51.272051890396213</v>
      </c>
      <c r="F136" s="488">
        <f t="shared" si="97"/>
        <v>52.518205247701687</v>
      </c>
      <c r="G136" s="488">
        <f t="shared" si="97"/>
        <v>53.673970742935538</v>
      </c>
      <c r="H136" s="488">
        <f t="shared" si="97"/>
        <v>0</v>
      </c>
      <c r="I136" s="488">
        <f t="shared" si="97"/>
        <v>0</v>
      </c>
      <c r="J136" s="488">
        <f t="shared" si="97"/>
        <v>0</v>
      </c>
      <c r="K136" s="488">
        <f t="shared" si="97"/>
        <v>0</v>
      </c>
      <c r="L136" s="488">
        <f t="shared" si="97"/>
        <v>0</v>
      </c>
      <c r="M136" s="488">
        <f t="shared" si="97"/>
        <v>0</v>
      </c>
      <c r="N136" s="488">
        <f t="shared" si="97"/>
        <v>0</v>
      </c>
      <c r="O136" s="488">
        <f t="shared" si="97"/>
        <v>0</v>
      </c>
      <c r="P136" s="488">
        <f t="shared" si="97"/>
        <v>0</v>
      </c>
      <c r="Q136" s="488">
        <f t="shared" si="97"/>
        <v>0</v>
      </c>
      <c r="R136" s="488">
        <f t="shared" si="97"/>
        <v>0</v>
      </c>
      <c r="S136" s="488">
        <f t="shared" si="97"/>
        <v>0</v>
      </c>
      <c r="T136" s="488">
        <f t="shared" si="97"/>
        <v>0</v>
      </c>
      <c r="U136" s="488">
        <f t="shared" si="97"/>
        <v>0</v>
      </c>
      <c r="V136" s="488">
        <f t="shared" si="97"/>
        <v>0</v>
      </c>
      <c r="W136" s="488">
        <f t="shared" si="97"/>
        <v>0</v>
      </c>
      <c r="X136" s="488">
        <f t="shared" si="97"/>
        <v>0</v>
      </c>
      <c r="Y136" s="488">
        <f t="shared" si="97"/>
        <v>0</v>
      </c>
      <c r="Z136" s="488">
        <f t="shared" si="97"/>
        <v>0</v>
      </c>
      <c r="AA136" s="488">
        <f t="shared" si="97"/>
        <v>0</v>
      </c>
      <c r="AB136" s="488">
        <f t="shared" si="97"/>
        <v>0</v>
      </c>
      <c r="AC136" s="488">
        <f t="shared" si="97"/>
        <v>0</v>
      </c>
      <c r="AD136" s="488">
        <f t="shared" si="97"/>
        <v>0</v>
      </c>
      <c r="AE136" s="488">
        <f t="shared" si="97"/>
        <v>0</v>
      </c>
      <c r="AF136" s="488">
        <f t="shared" si="97"/>
        <v>0</v>
      </c>
      <c r="AG136" s="488">
        <f t="shared" si="97"/>
        <v>0</v>
      </c>
      <c r="AH136" s="488">
        <f t="shared" si="97"/>
        <v>0</v>
      </c>
      <c r="AI136" s="488">
        <f t="shared" si="97"/>
        <v>0</v>
      </c>
      <c r="AJ136" s="488">
        <f t="shared" si="97"/>
        <v>0</v>
      </c>
      <c r="AK136" s="488">
        <f t="shared" si="97"/>
        <v>0</v>
      </c>
      <c r="AL136" s="488">
        <f t="shared" si="97"/>
        <v>0</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98">((D$112*D90+D$113*D95+D$114*D100)-(D$126*D90+D$127*D95+D$128*D100))/Grams.Per.Metric.Ton</f>
        <v>0</v>
      </c>
      <c r="E140" s="474">
        <f t="shared" si="98"/>
        <v>0</v>
      </c>
      <c r="F140" s="474">
        <f t="shared" si="98"/>
        <v>0</v>
      </c>
      <c r="G140" s="474">
        <f t="shared" si="98"/>
        <v>0</v>
      </c>
      <c r="H140" s="474">
        <f t="shared" si="98"/>
        <v>0.65678844383608526</v>
      </c>
      <c r="I140" s="474">
        <f t="shared" si="98"/>
        <v>0.67267418313100014</v>
      </c>
      <c r="J140" s="474">
        <f t="shared" si="98"/>
        <v>0.68877122178686723</v>
      </c>
      <c r="K140" s="474">
        <f t="shared" si="98"/>
        <v>0.70507069322238092</v>
      </c>
      <c r="L140" s="474">
        <f t="shared" si="98"/>
        <v>0.72156266909721234</v>
      </c>
      <c r="M140" s="474">
        <f t="shared" si="98"/>
        <v>0.73823608797477525</v>
      </c>
      <c r="N140" s="474">
        <f t="shared" si="98"/>
        <v>0.75306984858600778</v>
      </c>
      <c r="O140" s="474">
        <f t="shared" si="98"/>
        <v>0.76789685708844047</v>
      </c>
      <c r="P140" s="474">
        <f t="shared" si="98"/>
        <v>0.78269234065061566</v>
      </c>
      <c r="Q140" s="474">
        <f t="shared" si="98"/>
        <v>0.79742953516238213</v>
      </c>
      <c r="R140" s="474">
        <f t="shared" si="98"/>
        <v>0.81207956474636789</v>
      </c>
      <c r="S140" s="474">
        <f t="shared" si="98"/>
        <v>0.82661131478300143</v>
      </c>
      <c r="T140" s="474">
        <f t="shared" si="98"/>
        <v>0.84099129812150719</v>
      </c>
      <c r="U140" s="474">
        <f t="shared" si="98"/>
        <v>0.85518351413369331</v>
      </c>
      <c r="V140" s="474">
        <f t="shared" si="98"/>
        <v>0.869149300250317</v>
      </c>
      <c r="W140" s="474">
        <f t="shared" si="98"/>
        <v>0.88284717560280723</v>
      </c>
      <c r="X140" s="474">
        <f t="shared" si="98"/>
        <v>0.90362102825402391</v>
      </c>
      <c r="Y140" s="474">
        <f t="shared" si="98"/>
        <v>0.92463206238712248</v>
      </c>
      <c r="Z140" s="474">
        <f t="shared" si="98"/>
        <v>0.94586551992869283</v>
      </c>
      <c r="AA140" s="474">
        <f t="shared" si="98"/>
        <v>0.96730506258467175</v>
      </c>
      <c r="AB140" s="474">
        <f t="shared" si="98"/>
        <v>0.98893266821977521</v>
      </c>
      <c r="AC140" s="474">
        <f t="shared" si="98"/>
        <v>1.0107285214425021</v>
      </c>
      <c r="AD140" s="474">
        <f t="shared" si="98"/>
        <v>1.0326708980965689</v>
      </c>
      <c r="AE140" s="474">
        <f t="shared" si="98"/>
        <v>1.0547360433450381</v>
      </c>
      <c r="AF140" s="474">
        <f t="shared" si="98"/>
        <v>1.0768980430178068</v>
      </c>
      <c r="AG140" s="474">
        <f t="shared" si="98"/>
        <v>1.0991286878771467</v>
      </c>
      <c r="AH140" s="474">
        <f t="shared" si="98"/>
        <v>1.1435481661764633</v>
      </c>
      <c r="AI140" s="474">
        <f t="shared" si="98"/>
        <v>1.1897627846392071</v>
      </c>
      <c r="AJ140" s="474">
        <f t="shared" si="98"/>
        <v>1.2378450909028056</v>
      </c>
      <c r="AK140" s="474">
        <f t="shared" si="98"/>
        <v>1.2878705644981399</v>
      </c>
      <c r="AL140" s="474">
        <f t="shared" si="98"/>
        <v>1.3399177353372005</v>
      </c>
    </row>
    <row r="141" spans="1:38" ht="13">
      <c r="B141" s="494" t="s">
        <v>815</v>
      </c>
      <c r="C141" s="387" t="s">
        <v>818</v>
      </c>
      <c r="D141" s="541">
        <f t="shared" ref="D141:AL141" si="99">((D$112*D91+D$113*D96+D$114*D101)-(D$126*D91+D$127*D96+D$128*D101))/Grams.Per.Metric.Ton</f>
        <v>0</v>
      </c>
      <c r="E141" s="541">
        <f t="shared" si="99"/>
        <v>0</v>
      </c>
      <c r="F141" s="541">
        <f t="shared" si="99"/>
        <v>0</v>
      </c>
      <c r="G141" s="541">
        <f t="shared" si="99"/>
        <v>0</v>
      </c>
      <c r="H141" s="541">
        <f t="shared" si="99"/>
        <v>3.7073769023864174E-4</v>
      </c>
      <c r="I141" s="541">
        <f t="shared" si="99"/>
        <v>3.2360691799683631E-4</v>
      </c>
      <c r="J141" s="541">
        <f t="shared" si="99"/>
        <v>2.7206121709288689E-4</v>
      </c>
      <c r="K141" s="541">
        <f t="shared" si="99"/>
        <v>2.1582071919378385E-4</v>
      </c>
      <c r="L141" s="541">
        <f t="shared" si="99"/>
        <v>1.545901457647363E-4</v>
      </c>
      <c r="M141" s="541">
        <f t="shared" si="99"/>
        <v>8.8058019605087549E-5</v>
      </c>
      <c r="N141" s="541">
        <f t="shared" si="99"/>
        <v>8.3913616506737108E-5</v>
      </c>
      <c r="O141" s="541">
        <f t="shared" si="99"/>
        <v>7.9290415119819441E-5</v>
      </c>
      <c r="P141" s="541">
        <f t="shared" si="99"/>
        <v>7.4156484555511546E-5</v>
      </c>
      <c r="Q141" s="541">
        <f t="shared" si="99"/>
        <v>6.8478095048458203E-5</v>
      </c>
      <c r="R141" s="541">
        <f t="shared" si="99"/>
        <v>6.2219624710288174E-5</v>
      </c>
      <c r="S141" s="541">
        <f t="shared" si="99"/>
        <v>5.5343461684287509E-5</v>
      </c>
      <c r="T141" s="541">
        <f t="shared" si="99"/>
        <v>4.7809901481897468E-5</v>
      </c>
      <c r="U141" s="541">
        <f t="shared" si="99"/>
        <v>3.9577039271300876E-5</v>
      </c>
      <c r="V141" s="541">
        <f t="shared" si="99"/>
        <v>3.0600656877873301E-5</v>
      </c>
      <c r="W141" s="541">
        <f t="shared" si="99"/>
        <v>2.0834104244881103E-5</v>
      </c>
      <c r="X141" s="541">
        <f t="shared" si="99"/>
        <v>2.008796259714741E-5</v>
      </c>
      <c r="Y141" s="541">
        <f t="shared" si="99"/>
        <v>1.924748569649419E-5</v>
      </c>
      <c r="Z141" s="541">
        <f t="shared" si="99"/>
        <v>1.830626736257594E-5</v>
      </c>
      <c r="AA141" s="541">
        <f t="shared" si="99"/>
        <v>1.7257537696600841E-5</v>
      </c>
      <c r="AB141" s="541">
        <f t="shared" si="99"/>
        <v>1.6094144145992701E-5</v>
      </c>
      <c r="AC141" s="541">
        <f t="shared" si="99"/>
        <v>1.4808531632607084E-5</v>
      </c>
      <c r="AD141" s="541">
        <f t="shared" si="99"/>
        <v>1.3392721699747813E-5</v>
      </c>
      <c r="AE141" s="541">
        <f t="shared" si="99"/>
        <v>1.183829063111663E-5</v>
      </c>
      <c r="AF141" s="541">
        <f t="shared" si="99"/>
        <v>1.0136346492677695E-5</v>
      </c>
      <c r="AG141" s="541">
        <f t="shared" si="99"/>
        <v>8.2775050461004596E-6</v>
      </c>
      <c r="AH141" s="541">
        <f t="shared" si="99"/>
        <v>8.6120267993975026E-6</v>
      </c>
      <c r="AI141" s="541">
        <f t="shared" si="99"/>
        <v>8.9600676992013395E-6</v>
      </c>
      <c r="AJ141" s="541">
        <f t="shared" si="99"/>
        <v>9.3221740995845227E-6</v>
      </c>
      <c r="AK141" s="541">
        <f t="shared" si="99"/>
        <v>9.6989144346209125E-6</v>
      </c>
      <c r="AL141" s="541">
        <f t="shared" si="99"/>
        <v>1.0090880110712638E-5</v>
      </c>
    </row>
    <row r="142" spans="1:38" ht="13">
      <c r="B142" s="494" t="s">
        <v>816</v>
      </c>
      <c r="C142" s="387" t="s">
        <v>818</v>
      </c>
      <c r="D142" s="541">
        <f t="shared" ref="D142:AL142" si="100">((D$112*D92+D$113*D97+D$114*D102)-(D$126*D92+D$127*D97+D$128*D102))/Grams.Per.Metric.Ton</f>
        <v>0</v>
      </c>
      <c r="E142" s="541">
        <f t="shared" si="100"/>
        <v>0</v>
      </c>
      <c r="F142" s="541">
        <f t="shared" si="100"/>
        <v>0</v>
      </c>
      <c r="G142" s="541">
        <f t="shared" si="100"/>
        <v>0</v>
      </c>
      <c r="H142" s="541">
        <f t="shared" si="100"/>
        <v>1.4531687733329761E-5</v>
      </c>
      <c r="I142" s="541">
        <f t="shared" si="100"/>
        <v>1.4531027277290139E-5</v>
      </c>
      <c r="J142" s="541">
        <f t="shared" si="100"/>
        <v>1.4506579715330949E-5</v>
      </c>
      <c r="K142" s="541">
        <f t="shared" si="100"/>
        <v>1.4456423492603477E-5</v>
      </c>
      <c r="L142" s="541">
        <f t="shared" si="100"/>
        <v>1.4378520591337493E-5</v>
      </c>
      <c r="M142" s="541">
        <f t="shared" si="100"/>
        <v>1.4270710255884655E-5</v>
      </c>
      <c r="N142" s="541">
        <f t="shared" si="100"/>
        <v>1.4354122688829231E-5</v>
      </c>
      <c r="O142" s="541">
        <f t="shared" si="100"/>
        <v>1.4420969589610158E-5</v>
      </c>
      <c r="P142" s="541">
        <f t="shared" si="100"/>
        <v>1.4469775788286814E-5</v>
      </c>
      <c r="Q142" s="541">
        <f t="shared" si="100"/>
        <v>1.4498973937262289E-5</v>
      </c>
      <c r="R142" s="541">
        <f t="shared" si="100"/>
        <v>1.450689947017248E-5</v>
      </c>
      <c r="S142" s="541">
        <f t="shared" si="100"/>
        <v>1.4491785303865877E-5</v>
      </c>
      <c r="T142" s="541">
        <f t="shared" si="100"/>
        <v>1.4451756270945112E-5</v>
      </c>
      <c r="U142" s="541">
        <f t="shared" si="100"/>
        <v>1.4384823269741809E-5</v>
      </c>
      <c r="V142" s="541">
        <f t="shared" si="100"/>
        <v>1.4288877117981693E-5</v>
      </c>
      <c r="W142" s="541">
        <f t="shared" si="100"/>
        <v>1.4161682095742234E-5</v>
      </c>
      <c r="X142" s="541">
        <f t="shared" si="100"/>
        <v>1.4214560436053496E-5</v>
      </c>
      <c r="Y142" s="541">
        <f t="shared" si="100"/>
        <v>1.42485833430017E-5</v>
      </c>
      <c r="Z142" s="541">
        <f t="shared" si="100"/>
        <v>1.4262140430943678E-5</v>
      </c>
      <c r="AA142" s="541">
        <f t="shared" si="100"/>
        <v>1.4253521947496688E-5</v>
      </c>
      <c r="AB142" s="541">
        <f t="shared" si="100"/>
        <v>1.4220913372196404E-5</v>
      </c>
      <c r="AC142" s="541">
        <f t="shared" si="100"/>
        <v>1.4162389740871819E-5</v>
      </c>
      <c r="AD142" s="541">
        <f t="shared" si="100"/>
        <v>1.4075909682390869E-5</v>
      </c>
      <c r="AE142" s="541">
        <f t="shared" si="100"/>
        <v>1.3959309153794525E-5</v>
      </c>
      <c r="AF142" s="541">
        <f t="shared" si="100"/>
        <v>1.3810294859185213E-5</v>
      </c>
      <c r="AG142" s="541">
        <f t="shared" si="100"/>
        <v>1.3626437337036451E-5</v>
      </c>
      <c r="AH142" s="541">
        <f t="shared" si="100"/>
        <v>1.417712739204586E-5</v>
      </c>
      <c r="AI142" s="541">
        <f t="shared" si="100"/>
        <v>1.475007267996652E-5</v>
      </c>
      <c r="AJ142" s="541">
        <f t="shared" si="100"/>
        <v>1.5346172609435698E-5</v>
      </c>
      <c r="AK142" s="541">
        <f t="shared" si="100"/>
        <v>1.5966362937211571E-5</v>
      </c>
      <c r="AL142" s="541">
        <f t="shared" si="100"/>
        <v>1.6611617237122779E-5</v>
      </c>
    </row>
    <row r="143" spans="1:38" ht="13">
      <c r="B143" s="494" t="s">
        <v>817</v>
      </c>
      <c r="C143" s="387" t="s">
        <v>818</v>
      </c>
      <c r="D143" s="541">
        <f t="shared" ref="D143:AL143" si="101">((D$112*D93+D$113*D98+D$114*D103)-(D$126*D93+D$127*D98+D$128*D103))/Grams.Per.Metric.Ton</f>
        <v>0</v>
      </c>
      <c r="E143" s="541">
        <f t="shared" si="101"/>
        <v>0</v>
      </c>
      <c r="F143" s="541">
        <f t="shared" si="101"/>
        <v>0</v>
      </c>
      <c r="G143" s="541">
        <f t="shared" si="101"/>
        <v>0</v>
      </c>
      <c r="H143" s="541">
        <f t="shared" si="101"/>
        <v>4.3710847651869419E-6</v>
      </c>
      <c r="I143" s="541">
        <f t="shared" si="101"/>
        <v>4.4779244532983729E-6</v>
      </c>
      <c r="J143" s="541">
        <f t="shared" si="101"/>
        <v>4.5862606145830815E-6</v>
      </c>
      <c r="K143" s="541">
        <f t="shared" si="101"/>
        <v>4.6960397092686013E-6</v>
      </c>
      <c r="L143" s="541">
        <f t="shared" si="101"/>
        <v>4.8072014260399437E-6</v>
      </c>
      <c r="M143" s="541">
        <f t="shared" si="101"/>
        <v>4.9196782221614001E-6</v>
      </c>
      <c r="N143" s="541">
        <f t="shared" si="101"/>
        <v>5.0202813951025532E-6</v>
      </c>
      <c r="O143" s="541">
        <f t="shared" si="101"/>
        <v>5.1209809798179207E-6</v>
      </c>
      <c r="P143" s="541">
        <f t="shared" si="101"/>
        <v>5.2216204598988137E-6</v>
      </c>
      <c r="Q143" s="541">
        <f t="shared" si="101"/>
        <v>5.3220305107665639E-6</v>
      </c>
      <c r="R143" s="541">
        <f t="shared" si="101"/>
        <v>5.4220282200589944E-6</v>
      </c>
      <c r="S143" s="541">
        <f t="shared" si="101"/>
        <v>5.521416265922154E-6</v>
      </c>
      <c r="T143" s="541">
        <f t="shared" si="101"/>
        <v>5.6199820510781047E-6</v>
      </c>
      <c r="U143" s="541">
        <f t="shared" si="101"/>
        <v>5.7174967904364866E-6</v>
      </c>
      <c r="V143" s="541">
        <f t="shared" si="101"/>
        <v>5.8137145499091044E-6</v>
      </c>
      <c r="W143" s="541">
        <f t="shared" si="101"/>
        <v>5.9083712339736315E-6</v>
      </c>
      <c r="X143" s="541">
        <f t="shared" si="101"/>
        <v>6.0455745573023019E-6</v>
      </c>
      <c r="Y143" s="541">
        <f t="shared" si="101"/>
        <v>6.1842177898985284E-6</v>
      </c>
      <c r="Z143" s="541">
        <f t="shared" si="101"/>
        <v>6.3241932290330938E-6</v>
      </c>
      <c r="AA143" s="541">
        <f t="shared" si="101"/>
        <v>6.46538211500317E-6</v>
      </c>
      <c r="AB143" s="541">
        <f t="shared" si="101"/>
        <v>6.6076539133376996E-6</v>
      </c>
      <c r="AC143" s="541">
        <f t="shared" si="101"/>
        <v>6.7508655570445314E-6</v>
      </c>
      <c r="AD143" s="541">
        <f t="shared" si="101"/>
        <v>6.894860646842229E-6</v>
      </c>
      <c r="AE143" s="541">
        <f t="shared" si="101"/>
        <v>7.03946860721731E-6</v>
      </c>
      <c r="AF143" s="541">
        <f t="shared" si="101"/>
        <v>7.184503796043774E-6</v>
      </c>
      <c r="AG143" s="541">
        <f t="shared" si="101"/>
        <v>7.3297645653888955E-6</v>
      </c>
      <c r="AH143" s="541">
        <f t="shared" si="101"/>
        <v>7.6259849458069728E-6</v>
      </c>
      <c r="AI143" s="541">
        <f t="shared" si="101"/>
        <v>7.9341765857371748E-6</v>
      </c>
      <c r="AJ143" s="541">
        <f t="shared" si="101"/>
        <v>8.2548232839448127E-6</v>
      </c>
      <c r="AK143" s="541">
        <f t="shared" si="101"/>
        <v>8.5884283911266407E-6</v>
      </c>
      <c r="AL143" s="541">
        <f t="shared" si="101"/>
        <v>8.9355156000700311E-6</v>
      </c>
    </row>
    <row r="144" spans="1:38">
      <c r="D144" s="358"/>
      <c r="F144" s="464"/>
      <c r="G144" s="465"/>
      <c r="H144" s="465"/>
    </row>
    <row r="145" spans="1:38" ht="13">
      <c r="B145" s="492" t="s">
        <v>284</v>
      </c>
      <c r="C145" s="487" t="s">
        <v>292</v>
      </c>
      <c r="D145" s="583">
        <f t="shared" ref="D145:AL145" si="102">D122-D136</f>
        <v>0</v>
      </c>
      <c r="E145" s="583">
        <f t="shared" si="102"/>
        <v>0</v>
      </c>
      <c r="F145" s="583">
        <f t="shared" si="102"/>
        <v>0</v>
      </c>
      <c r="G145" s="583">
        <f t="shared" si="102"/>
        <v>0</v>
      </c>
      <c r="H145" s="583">
        <f t="shared" si="102"/>
        <v>54.780750205157339</v>
      </c>
      <c r="I145" s="583">
        <f t="shared" si="102"/>
        <v>55.781296133450091</v>
      </c>
      <c r="J145" s="583">
        <f t="shared" si="102"/>
        <v>56.742361314708894</v>
      </c>
      <c r="K145" s="583">
        <f t="shared" si="102"/>
        <v>57.592217962538754</v>
      </c>
      <c r="L145" s="583">
        <f t="shared" si="102"/>
        <v>58.354040035181178</v>
      </c>
      <c r="M145" s="583">
        <f t="shared" si="102"/>
        <v>59.023208844853897</v>
      </c>
      <c r="N145" s="583">
        <f t="shared" si="102"/>
        <v>60.682513689462375</v>
      </c>
      <c r="O145" s="583">
        <f t="shared" si="102"/>
        <v>62.34832152101631</v>
      </c>
      <c r="P145" s="583">
        <f t="shared" si="102"/>
        <v>64.0171864444779</v>
      </c>
      <c r="Q145" s="583">
        <f t="shared" si="102"/>
        <v>66.482751978511985</v>
      </c>
      <c r="R145" s="583">
        <f t="shared" si="102"/>
        <v>68.160659021214755</v>
      </c>
      <c r="S145" s="583">
        <f t="shared" si="102"/>
        <v>69.829029308185142</v>
      </c>
      <c r="T145" s="583">
        <f t="shared" si="102"/>
        <v>71.482873504155009</v>
      </c>
      <c r="U145" s="583">
        <f t="shared" si="102"/>
        <v>73.116754843649829</v>
      </c>
      <c r="V145" s="583">
        <f t="shared" si="102"/>
        <v>74.724758701382839</v>
      </c>
      <c r="W145" s="583">
        <f t="shared" si="102"/>
        <v>76.300460336326921</v>
      </c>
      <c r="X145" s="583">
        <f t="shared" si="102"/>
        <v>78.738070766777184</v>
      </c>
      <c r="Y145" s="583">
        <f t="shared" si="102"/>
        <v>82.141705735621741</v>
      </c>
      <c r="Z145" s="583">
        <f t="shared" si="102"/>
        <v>84.681445586212092</v>
      </c>
      <c r="AA145" s="583">
        <f t="shared" si="102"/>
        <v>87.258735080132112</v>
      </c>
      <c r="AB145" s="583">
        <f t="shared" si="102"/>
        <v>89.871104466865091</v>
      </c>
      <c r="AC145" s="583">
        <f t="shared" si="102"/>
        <v>92.515768215235539</v>
      </c>
      <c r="AD145" s="583">
        <f t="shared" si="102"/>
        <v>95.18960130767347</v>
      </c>
      <c r="AE145" s="583">
        <f t="shared" si="102"/>
        <v>97.889114044616662</v>
      </c>
      <c r="AF145" s="583">
        <f t="shared" si="102"/>
        <v>101.68732331674271</v>
      </c>
      <c r="AG145" s="583">
        <f t="shared" si="102"/>
        <v>104.44836264185287</v>
      </c>
      <c r="AH145" s="583">
        <f t="shared" si="102"/>
        <v>108.66947144279747</v>
      </c>
      <c r="AI145" s="583">
        <f t="shared" si="102"/>
        <v>113.06116941391902</v>
      </c>
      <c r="AJ145" s="583">
        <f t="shared" si="102"/>
        <v>117.63035063598015</v>
      </c>
      <c r="AK145" s="583">
        <f t="shared" si="102"/>
        <v>122.38418780267955</v>
      </c>
      <c r="AL145" s="583">
        <f t="shared" si="102"/>
        <v>127.33014348033564</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'950 West'!D25</f>
        <v>261.86129680032559</v>
      </c>
      <c r="E159" s="383">
        <f>'950 West'!E25</f>
        <v>272.44399045480429</v>
      </c>
      <c r="F159" s="383">
        <f>'950 West'!F25</f>
        <v>283.45436626908662</v>
      </c>
      <c r="G159" s="383">
        <f>'950 West'!G25</f>
        <v>294.90970831429729</v>
      </c>
      <c r="H159" s="383">
        <f>'950 West'!H25</f>
        <v>306.82799916887012</v>
      </c>
      <c r="I159" s="383">
        <f>'950 West'!I25</f>
        <v>319.22794814757225</v>
      </c>
      <c r="J159" s="383">
        <f>'950 West'!J25</f>
        <v>332.12902067135786</v>
      </c>
      <c r="K159" s="383">
        <f>'950 West'!K25</f>
        <v>345.55146882415659</v>
      </c>
      <c r="L159" s="383">
        <f>'950 West'!L25</f>
        <v>359.51636314456334</v>
      </c>
      <c r="M159" s="383">
        <f>'950 West'!M25</f>
        <v>374.04562570233782</v>
      </c>
      <c r="N159" s="383">
        <f>'950 West'!N25</f>
        <v>389.16206451163617</v>
      </c>
      <c r="O159" s="383">
        <f>'950 West'!O25</f>
        <v>404.88940933499686</v>
      </c>
      <c r="P159" s="383">
        <f>'950 West'!P25</f>
        <v>421.25234893428552</v>
      </c>
      <c r="Q159" s="383">
        <f>'950 West'!Q25</f>
        <v>438.27656982707543</v>
      </c>
      <c r="R159" s="383">
        <f>'950 West'!R25</f>
        <v>455.98879660930305</v>
      </c>
      <c r="S159" s="383">
        <f>'950 West'!S25</f>
        <v>474.41683390750046</v>
      </c>
      <c r="T159" s="383">
        <f>'950 West'!T25</f>
        <v>493.58961002645134</v>
      </c>
      <c r="U159" s="383">
        <f>'950 West'!U25</f>
        <v>513.53722236080307</v>
      </c>
      <c r="V159" s="383">
        <f>'950 West'!V25</f>
        <v>534.29098464190974</v>
      </c>
      <c r="W159" s="383">
        <f>'950 West'!W25</f>
        <v>555.8834760940797</v>
      </c>
      <c r="X159" s="383">
        <f>'950 West'!X25</f>
        <v>578.34859257739151</v>
      </c>
      <c r="Y159" s="383">
        <f>'950 West'!Y25</f>
        <v>601.72159979736421</v>
      </c>
      <c r="Z159" s="383">
        <f>'950 West'!Z25</f>
        <v>626.03918866500794</v>
      </c>
      <c r="AA159" s="383">
        <f>'950 West'!AA25</f>
        <v>651.33953289415933</v>
      </c>
      <c r="AB159" s="383">
        <f>'950 West'!AB25</f>
        <v>677.66234892651892</v>
      </c>
      <c r="AC159" s="383">
        <f>'950 West'!AC25</f>
        <v>705.04895827846235</v>
      </c>
      <c r="AD159" s="383">
        <f>'950 West'!AD25</f>
        <v>733.54235240749153</v>
      </c>
      <c r="AE159" s="383">
        <f>'950 West'!AE25</f>
        <v>763.18726020015981</v>
      </c>
      <c r="AF159" s="383">
        <f>'950 West'!AF25</f>
        <v>794.03021818740956</v>
      </c>
      <c r="AG159" s="383">
        <f>'950 West'!AG25</f>
        <v>826.11964359754847</v>
      </c>
      <c r="AH159" s="383">
        <f>'950 West'!AH25</f>
        <v>859.5059103615381</v>
      </c>
      <c r="AI159" s="383">
        <f>'950 West'!AI25</f>
        <v>894.24142818991652</v>
      </c>
      <c r="AJ159" s="383">
        <f>'950 West'!AJ25</f>
        <v>930.38072484547968</v>
      </c>
      <c r="AK159" s="383">
        <f>'950 West'!AK25</f>
        <v>967.98053174088056</v>
      </c>
      <c r="AL159" s="383">
        <f>'950 West'!AL25</f>
        <v>1007.0998729955157</v>
      </c>
    </row>
    <row r="160" spans="1:38">
      <c r="B160" s="385" t="s">
        <v>509</v>
      </c>
      <c r="C160" s="386" t="s">
        <v>443</v>
      </c>
      <c r="D160" s="383">
        <f>'950 West'!D26</f>
        <v>0</v>
      </c>
      <c r="E160" s="383">
        <f>'950 West'!E26</f>
        <v>0</v>
      </c>
      <c r="F160" s="383">
        <f>'950 West'!F26</f>
        <v>0</v>
      </c>
      <c r="G160" s="383">
        <f>'950 West'!G26</f>
        <v>0</v>
      </c>
      <c r="H160" s="383">
        <f>'950 West'!H26</f>
        <v>0</v>
      </c>
      <c r="I160" s="383">
        <f>'950 West'!I26</f>
        <v>0</v>
      </c>
      <c r="J160" s="383">
        <f>'950 West'!J26</f>
        <v>0</v>
      </c>
      <c r="K160" s="383">
        <f>'950 West'!K26</f>
        <v>0</v>
      </c>
      <c r="L160" s="383">
        <f>'950 West'!L26</f>
        <v>0</v>
      </c>
      <c r="M160" s="383">
        <f>'950 West'!M26</f>
        <v>0</v>
      </c>
      <c r="N160" s="383">
        <f>'950 West'!N26</f>
        <v>0</v>
      </c>
      <c r="O160" s="383">
        <f>'950 West'!O26</f>
        <v>0</v>
      </c>
      <c r="P160" s="383">
        <f>'950 West'!P26</f>
        <v>0</v>
      </c>
      <c r="Q160" s="383">
        <f>'950 West'!Q26</f>
        <v>0</v>
      </c>
      <c r="R160" s="383">
        <f>'950 West'!R26</f>
        <v>0</v>
      </c>
      <c r="S160" s="383">
        <f>'950 West'!S26</f>
        <v>0</v>
      </c>
      <c r="T160" s="383">
        <f>'950 West'!T26</f>
        <v>0</v>
      </c>
      <c r="U160" s="383">
        <f>'950 West'!U26</f>
        <v>0</v>
      </c>
      <c r="V160" s="383">
        <f>'950 West'!V26</f>
        <v>0</v>
      </c>
      <c r="W160" s="383">
        <f>'950 West'!W26</f>
        <v>0</v>
      </c>
      <c r="X160" s="383">
        <f>'950 West'!X26</f>
        <v>0</v>
      </c>
      <c r="Y160" s="383">
        <f>'950 West'!Y26</f>
        <v>0</v>
      </c>
      <c r="Z160" s="383">
        <f>'950 West'!Z26</f>
        <v>0</v>
      </c>
      <c r="AA160" s="383">
        <f>'950 West'!AA26</f>
        <v>0</v>
      </c>
      <c r="AB160" s="383">
        <f>'950 West'!AB26</f>
        <v>0</v>
      </c>
      <c r="AC160" s="383">
        <f>'950 West'!AC26</f>
        <v>0</v>
      </c>
      <c r="AD160" s="383">
        <f>'950 West'!AD26</f>
        <v>0</v>
      </c>
      <c r="AE160" s="383">
        <f>'950 West'!AE26</f>
        <v>0</v>
      </c>
      <c r="AF160" s="383">
        <f>'950 West'!AF26</f>
        <v>0</v>
      </c>
      <c r="AG160" s="383">
        <f>'950 West'!AG26</f>
        <v>0</v>
      </c>
      <c r="AH160" s="383">
        <f>'950 West'!AH26</f>
        <v>0</v>
      </c>
      <c r="AI160" s="383">
        <f>'950 West'!AI26</f>
        <v>0</v>
      </c>
      <c r="AJ160" s="383">
        <f>'950 West'!AJ26</f>
        <v>0</v>
      </c>
      <c r="AK160" s="383">
        <f>'950 West'!AK26</f>
        <v>0</v>
      </c>
      <c r="AL160" s="383">
        <f>'950 West'!AL26</f>
        <v>0</v>
      </c>
    </row>
    <row r="161" spans="2:38">
      <c r="B161" s="358" t="s">
        <v>769</v>
      </c>
      <c r="C161" s="358" t="s">
        <v>443</v>
      </c>
      <c r="D161" s="383">
        <f>'950 West'!D27</f>
        <v>0</v>
      </c>
      <c r="E161" s="383">
        <f>'950 West'!E27</f>
        <v>0</v>
      </c>
      <c r="F161" s="383">
        <f>'950 West'!F27</f>
        <v>0</v>
      </c>
      <c r="G161" s="383">
        <f>'950 West'!G27</f>
        <v>0</v>
      </c>
      <c r="H161" s="383">
        <f>'950 West'!H27</f>
        <v>0</v>
      </c>
      <c r="I161" s="383">
        <f>'950 West'!I27</f>
        <v>0</v>
      </c>
      <c r="J161" s="383">
        <f>'950 West'!J27</f>
        <v>0</v>
      </c>
      <c r="K161" s="383">
        <f>'950 West'!K27</f>
        <v>0</v>
      </c>
      <c r="L161" s="383">
        <f>'950 West'!L27</f>
        <v>0</v>
      </c>
      <c r="M161" s="383">
        <f>'950 West'!M27</f>
        <v>0</v>
      </c>
      <c r="N161" s="383">
        <f>'950 West'!N27</f>
        <v>0</v>
      </c>
      <c r="O161" s="383">
        <f>'950 West'!O27</f>
        <v>0</v>
      </c>
      <c r="P161" s="383">
        <f>'950 West'!P27</f>
        <v>0</v>
      </c>
      <c r="Q161" s="383">
        <f>'950 West'!Q27</f>
        <v>0</v>
      </c>
      <c r="R161" s="383">
        <f>'950 West'!R27</f>
        <v>0</v>
      </c>
      <c r="S161" s="383">
        <f>'950 West'!S27</f>
        <v>0</v>
      </c>
      <c r="T161" s="383">
        <f>'950 West'!T27</f>
        <v>0</v>
      </c>
      <c r="U161" s="383">
        <f>'950 West'!U27</f>
        <v>0</v>
      </c>
      <c r="V161" s="383">
        <f>'950 West'!V27</f>
        <v>0</v>
      </c>
      <c r="W161" s="383">
        <f>'950 West'!W27</f>
        <v>0</v>
      </c>
      <c r="X161" s="383">
        <f>'950 West'!X27</f>
        <v>0</v>
      </c>
      <c r="Y161" s="383">
        <f>'950 West'!Y27</f>
        <v>0</v>
      </c>
      <c r="Z161" s="383">
        <f>'950 West'!Z27</f>
        <v>0</v>
      </c>
      <c r="AA161" s="383">
        <f>'950 West'!AA27</f>
        <v>0</v>
      </c>
      <c r="AB161" s="383">
        <f>'950 West'!AB27</f>
        <v>0</v>
      </c>
      <c r="AC161" s="383">
        <f>'950 West'!AC27</f>
        <v>0</v>
      </c>
      <c r="AD161" s="383">
        <f>'950 West'!AD27</f>
        <v>0</v>
      </c>
      <c r="AE161" s="383">
        <f>'950 West'!AE27</f>
        <v>0</v>
      </c>
      <c r="AF161" s="383">
        <f>'950 West'!AF27</f>
        <v>0</v>
      </c>
      <c r="AG161" s="383">
        <f>'950 West'!AG27</f>
        <v>0</v>
      </c>
      <c r="AH161" s="383">
        <f>'950 West'!AH27</f>
        <v>0</v>
      </c>
      <c r="AI161" s="383">
        <f>'950 West'!AI27</f>
        <v>0</v>
      </c>
      <c r="AJ161" s="383">
        <f>'950 West'!AJ27</f>
        <v>0</v>
      </c>
      <c r="AK161" s="383">
        <f>'950 West'!AK27</f>
        <v>0</v>
      </c>
      <c r="AL161" s="383">
        <f>'950 West'!AL27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9.0342147396112313</v>
      </c>
      <c r="E166" s="383">
        <f t="shared" ref="E166:AE168" si="103">E159*$C163</f>
        <v>9.3993176706907473</v>
      </c>
      <c r="F166" s="383">
        <f t="shared" si="103"/>
        <v>9.7791756362834867</v>
      </c>
      <c r="G166" s="383">
        <f t="shared" si="103"/>
        <v>10.174384936843255</v>
      </c>
      <c r="H166" s="383">
        <f t="shared" si="103"/>
        <v>10.585565971326018</v>
      </c>
      <c r="I166" s="383">
        <f t="shared" si="103"/>
        <v>11.013364211091242</v>
      </c>
      <c r="J166" s="383">
        <f t="shared" si="103"/>
        <v>11.458451213161846</v>
      </c>
      <c r="K166" s="383">
        <f t="shared" si="103"/>
        <v>11.921525674433401</v>
      </c>
      <c r="L166" s="383">
        <f t="shared" si="103"/>
        <v>12.403314528487433</v>
      </c>
      <c r="M166" s="383">
        <f t="shared" si="103"/>
        <v>12.904574086730653</v>
      </c>
      <c r="N166" s="383">
        <f t="shared" si="103"/>
        <v>13.426091225651447</v>
      </c>
      <c r="O166" s="383">
        <f t="shared" si="103"/>
        <v>13.96868462205739</v>
      </c>
      <c r="P166" s="383">
        <f t="shared" si="103"/>
        <v>14.53320603823285</v>
      </c>
      <c r="Q166" s="383">
        <f t="shared" si="103"/>
        <v>15.120541659034101</v>
      </c>
      <c r="R166" s="383">
        <f t="shared" si="103"/>
        <v>15.731613483020954</v>
      </c>
      <c r="S166" s="383">
        <f t="shared" si="103"/>
        <v>16.367380769808765</v>
      </c>
      <c r="T166" s="383">
        <f t="shared" si="103"/>
        <v>17.02884154591257</v>
      </c>
      <c r="U166" s="383">
        <f t="shared" si="103"/>
        <v>17.717034171447704</v>
      </c>
      <c r="V166" s="383">
        <f t="shared" si="103"/>
        <v>18.433038970145883</v>
      </c>
      <c r="W166" s="383">
        <f t="shared" si="103"/>
        <v>19.177979925245747</v>
      </c>
      <c r="X166" s="383">
        <f t="shared" si="103"/>
        <v>19.953026443920006</v>
      </c>
      <c r="Y166" s="383">
        <f t="shared" si="103"/>
        <v>20.759395193009063</v>
      </c>
      <c r="Z166" s="383">
        <f t="shared" si="103"/>
        <v>21.598352008942772</v>
      </c>
      <c r="AA166" s="383">
        <f t="shared" si="103"/>
        <v>22.471213884848495</v>
      </c>
      <c r="AB166" s="383">
        <f t="shared" si="103"/>
        <v>23.379351037964899</v>
      </c>
      <c r="AC166" s="383">
        <f t="shared" si="103"/>
        <v>24.324189060606948</v>
      </c>
      <c r="AD166" s="383">
        <f t="shared" si="103"/>
        <v>25.307211158058454</v>
      </c>
      <c r="AE166" s="383">
        <f t="shared" si="103"/>
        <v>26.329960476905509</v>
      </c>
      <c r="AF166" s="383">
        <f t="shared" ref="AF166:AJ166" si="104">AF159*$C163</f>
        <v>27.394042527465626</v>
      </c>
      <c r="AG166" s="383">
        <f t="shared" si="104"/>
        <v>28.501127704115419</v>
      </c>
      <c r="AH166" s="383">
        <f t="shared" si="104"/>
        <v>29.652953907473062</v>
      </c>
      <c r="AI166" s="383">
        <f t="shared" si="104"/>
        <v>30.851329272552118</v>
      </c>
      <c r="AJ166" s="383">
        <f t="shared" si="104"/>
        <v>32.098135007169049</v>
      </c>
      <c r="AK166" s="383">
        <f t="shared" ref="AK166:AL166" si="105">AK159*$C163</f>
        <v>33.395328345060378</v>
      </c>
      <c r="AL166" s="383">
        <f t="shared" si="105"/>
        <v>34.744945618345291</v>
      </c>
    </row>
    <row r="167" spans="2:38">
      <c r="B167" s="385" t="s">
        <v>501</v>
      </c>
      <c r="C167" s="386" t="s">
        <v>479</v>
      </c>
      <c r="D167" s="383">
        <f t="shared" ref="D167:S168" si="106">D160*$C164</f>
        <v>0</v>
      </c>
      <c r="E167" s="383">
        <f t="shared" si="106"/>
        <v>0</v>
      </c>
      <c r="F167" s="383">
        <f t="shared" si="106"/>
        <v>0</v>
      </c>
      <c r="G167" s="383">
        <f t="shared" si="106"/>
        <v>0</v>
      </c>
      <c r="H167" s="383">
        <f t="shared" si="106"/>
        <v>0</v>
      </c>
      <c r="I167" s="383">
        <f t="shared" si="106"/>
        <v>0</v>
      </c>
      <c r="J167" s="383">
        <f t="shared" si="106"/>
        <v>0</v>
      </c>
      <c r="K167" s="383">
        <f t="shared" si="106"/>
        <v>0</v>
      </c>
      <c r="L167" s="383">
        <f t="shared" si="106"/>
        <v>0</v>
      </c>
      <c r="M167" s="383">
        <f t="shared" si="106"/>
        <v>0</v>
      </c>
      <c r="N167" s="383">
        <f t="shared" si="106"/>
        <v>0</v>
      </c>
      <c r="O167" s="383">
        <f t="shared" si="106"/>
        <v>0</v>
      </c>
      <c r="P167" s="383">
        <f t="shared" si="106"/>
        <v>0</v>
      </c>
      <c r="Q167" s="383">
        <f t="shared" si="106"/>
        <v>0</v>
      </c>
      <c r="R167" s="383">
        <f t="shared" si="106"/>
        <v>0</v>
      </c>
      <c r="S167" s="383">
        <f t="shared" si="106"/>
        <v>0</v>
      </c>
      <c r="T167" s="383">
        <f t="shared" si="103"/>
        <v>0</v>
      </c>
      <c r="U167" s="383">
        <f t="shared" si="103"/>
        <v>0</v>
      </c>
      <c r="V167" s="383">
        <f t="shared" si="103"/>
        <v>0</v>
      </c>
      <c r="W167" s="383">
        <f t="shared" si="103"/>
        <v>0</v>
      </c>
      <c r="X167" s="383">
        <f t="shared" si="103"/>
        <v>0</v>
      </c>
      <c r="Y167" s="383">
        <f t="shared" si="103"/>
        <v>0</v>
      </c>
      <c r="Z167" s="383">
        <f t="shared" si="103"/>
        <v>0</v>
      </c>
      <c r="AA167" s="383">
        <f t="shared" si="103"/>
        <v>0</v>
      </c>
      <c r="AB167" s="383">
        <f t="shared" si="103"/>
        <v>0</v>
      </c>
      <c r="AC167" s="383">
        <f t="shared" si="103"/>
        <v>0</v>
      </c>
      <c r="AD167" s="383">
        <f t="shared" si="103"/>
        <v>0</v>
      </c>
      <c r="AE167" s="383">
        <f t="shared" si="103"/>
        <v>0</v>
      </c>
      <c r="AF167" s="383">
        <f t="shared" ref="AF167:AJ167" si="107">AF160*$C164</f>
        <v>0</v>
      </c>
      <c r="AG167" s="383">
        <f t="shared" si="107"/>
        <v>0</v>
      </c>
      <c r="AH167" s="383">
        <f t="shared" si="107"/>
        <v>0</v>
      </c>
      <c r="AI167" s="383">
        <f t="shared" si="107"/>
        <v>0</v>
      </c>
      <c r="AJ167" s="383">
        <f t="shared" si="107"/>
        <v>0</v>
      </c>
      <c r="AK167" s="383">
        <f t="shared" ref="AK167:AL167" si="108">AK160*$C164</f>
        <v>0</v>
      </c>
      <c r="AL167" s="383">
        <f t="shared" si="108"/>
        <v>0</v>
      </c>
    </row>
    <row r="168" spans="2:38">
      <c r="B168" s="385" t="s">
        <v>768</v>
      </c>
      <c r="C168" s="386" t="s">
        <v>479</v>
      </c>
      <c r="D168" s="383">
        <f t="shared" si="106"/>
        <v>0</v>
      </c>
      <c r="E168" s="383">
        <f t="shared" si="103"/>
        <v>0</v>
      </c>
      <c r="F168" s="383">
        <f t="shared" si="103"/>
        <v>0</v>
      </c>
      <c r="G168" s="383">
        <f t="shared" si="103"/>
        <v>0</v>
      </c>
      <c r="H168" s="383">
        <f t="shared" si="103"/>
        <v>0</v>
      </c>
      <c r="I168" s="383">
        <f t="shared" si="103"/>
        <v>0</v>
      </c>
      <c r="J168" s="383">
        <f t="shared" si="103"/>
        <v>0</v>
      </c>
      <c r="K168" s="383">
        <f t="shared" si="103"/>
        <v>0</v>
      </c>
      <c r="L168" s="383">
        <f t="shared" si="103"/>
        <v>0</v>
      </c>
      <c r="M168" s="383">
        <f t="shared" si="103"/>
        <v>0</v>
      </c>
      <c r="N168" s="383">
        <f t="shared" si="103"/>
        <v>0</v>
      </c>
      <c r="O168" s="383">
        <f t="shared" si="103"/>
        <v>0</v>
      </c>
      <c r="P168" s="383">
        <f t="shared" si="103"/>
        <v>0</v>
      </c>
      <c r="Q168" s="383">
        <f t="shared" si="103"/>
        <v>0</v>
      </c>
      <c r="R168" s="383">
        <f t="shared" si="103"/>
        <v>0</v>
      </c>
      <c r="S168" s="383">
        <f t="shared" si="103"/>
        <v>0</v>
      </c>
      <c r="T168" s="383">
        <f t="shared" si="103"/>
        <v>0</v>
      </c>
      <c r="U168" s="383">
        <f t="shared" si="103"/>
        <v>0</v>
      </c>
      <c r="V168" s="383">
        <f t="shared" si="103"/>
        <v>0</v>
      </c>
      <c r="W168" s="383">
        <f t="shared" si="103"/>
        <v>0</v>
      </c>
      <c r="X168" s="383">
        <f t="shared" si="103"/>
        <v>0</v>
      </c>
      <c r="Y168" s="383">
        <f t="shared" si="103"/>
        <v>0</v>
      </c>
      <c r="Z168" s="383">
        <f t="shared" si="103"/>
        <v>0</v>
      </c>
      <c r="AA168" s="383">
        <f t="shared" si="103"/>
        <v>0</v>
      </c>
      <c r="AB168" s="383">
        <f t="shared" si="103"/>
        <v>0</v>
      </c>
      <c r="AC168" s="383">
        <f t="shared" si="103"/>
        <v>0</v>
      </c>
      <c r="AD168" s="383">
        <f t="shared" si="103"/>
        <v>0</v>
      </c>
      <c r="AE168" s="383">
        <f t="shared" si="103"/>
        <v>0</v>
      </c>
      <c r="AF168" s="383">
        <f t="shared" ref="AF168:AJ168" si="109">AF161*$C165</f>
        <v>0</v>
      </c>
      <c r="AG168" s="383">
        <f t="shared" si="109"/>
        <v>0</v>
      </c>
      <c r="AH168" s="383">
        <f t="shared" si="109"/>
        <v>0</v>
      </c>
      <c r="AI168" s="383">
        <f t="shared" si="109"/>
        <v>0</v>
      </c>
      <c r="AJ168" s="383">
        <f t="shared" si="109"/>
        <v>0</v>
      </c>
      <c r="AK168" s="383">
        <f t="shared" ref="AK168:AL168" si="110">AK161*$C165</f>
        <v>0</v>
      </c>
      <c r="AL168" s="383">
        <f t="shared" si="110"/>
        <v>0</v>
      </c>
    </row>
    <row r="169" spans="2:38">
      <c r="D169" s="358"/>
      <c r="F169" s="464"/>
      <c r="G169" s="465"/>
      <c r="H169" s="465"/>
    </row>
    <row r="170" spans="2:38">
      <c r="B170" s="358" t="s">
        <v>459</v>
      </c>
      <c r="C170" s="362" t="s">
        <v>292</v>
      </c>
      <c r="D170" s="485">
        <f>SUMPRODUCT($C$153:$C$155,D166:D168)</f>
        <v>96.804414628365151</v>
      </c>
      <c r="E170" s="485">
        <f t="shared" ref="E170:AE170" si="111">SUMPRODUCT($C$153:$C$155,E166:E168)</f>
        <v>100.71660584154124</v>
      </c>
      <c r="F170" s="485">
        <f t="shared" si="111"/>
        <v>104.78690182862879</v>
      </c>
      <c r="G170" s="485">
        <f t="shared" si="111"/>
        <v>109.02169213404723</v>
      </c>
      <c r="H170" s="485">
        <f t="shared" si="111"/>
        <v>113.42762452514538</v>
      </c>
      <c r="I170" s="485">
        <f t="shared" si="111"/>
        <v>118.0116154278566</v>
      </c>
      <c r="J170" s="485">
        <f t="shared" si="111"/>
        <v>122.7808607840936</v>
      </c>
      <c r="K170" s="485">
        <f t="shared" si="111"/>
        <v>127.7428473479272</v>
      </c>
      <c r="L170" s="485">
        <f t="shared" si="111"/>
        <v>132.90536443828125</v>
      </c>
      <c r="M170" s="485">
        <f t="shared" si="111"/>
        <v>138.27651616659361</v>
      </c>
      <c r="N170" s="485">
        <f t="shared" si="111"/>
        <v>143.8647341586379</v>
      </c>
      <c r="O170" s="485">
        <f t="shared" si="111"/>
        <v>149.67879079047685</v>
      </c>
      <c r="P170" s="485">
        <f t="shared" si="111"/>
        <v>155.72781295932478</v>
      </c>
      <c r="Q170" s="485">
        <f t="shared" si="111"/>
        <v>162.0212964109368</v>
      </c>
      <c r="R170" s="485">
        <f t="shared" si="111"/>
        <v>168.56912064601582</v>
      </c>
      <c r="S170" s="485">
        <f t="shared" si="111"/>
        <v>175.38156442903869</v>
      </c>
      <c r="T170" s="485">
        <f t="shared" si="111"/>
        <v>182.46932192384321</v>
      </c>
      <c r="U170" s="485">
        <f t="shared" si="111"/>
        <v>189.84351948131163</v>
      </c>
      <c r="V170" s="485">
        <f t="shared" si="111"/>
        <v>197.51573310549878</v>
      </c>
      <c r="W170" s="485">
        <f t="shared" si="111"/>
        <v>205.49800662562552</v>
      </c>
      <c r="X170" s="485">
        <f t="shared" si="111"/>
        <v>213.80287060246329</v>
      </c>
      <c r="Y170" s="485">
        <f t="shared" si="111"/>
        <v>222.44336199878936</v>
      </c>
      <c r="Z170" s="485">
        <f t="shared" si="111"/>
        <v>231.43304464479149</v>
      </c>
      <c r="AA170" s="485">
        <f t="shared" si="111"/>
        <v>240.78603053054724</v>
      </c>
      <c r="AB170" s="485">
        <f t="shared" si="111"/>
        <v>250.5170019590044</v>
      </c>
      <c r="AC170" s="485">
        <f t="shared" si="111"/>
        <v>260.64123459423854</v>
      </c>
      <c r="AD170" s="485">
        <f t="shared" si="111"/>
        <v>271.17462144116621</v>
      </c>
      <c r="AE170" s="485">
        <f t="shared" si="111"/>
        <v>282.13369779435999</v>
      </c>
      <c r="AF170" s="485">
        <f t="shared" ref="AF170:AJ170" si="112">SUMPRODUCT($C$153:$C$155,AF166:AF168)</f>
        <v>293.53566719512889</v>
      </c>
      <c r="AG170" s="485">
        <f t="shared" si="112"/>
        <v>305.3984284376113</v>
      </c>
      <c r="AH170" s="485">
        <f t="shared" si="112"/>
        <v>317.74060366627401</v>
      </c>
      <c r="AI170" s="485">
        <f t="shared" si="112"/>
        <v>330.58156760892689</v>
      </c>
      <c r="AJ170" s="485">
        <f t="shared" si="112"/>
        <v>343.94147799114069</v>
      </c>
      <c r="AK170" s="485">
        <f t="shared" ref="AK170:AL170" si="113">SUMPRODUCT($C$153:$C$155,AK166:AK168)</f>
        <v>357.84130717981338</v>
      </c>
      <c r="AL170" s="485">
        <f t="shared" si="113"/>
        <v>372.30287510556076</v>
      </c>
    </row>
    <row r="171" spans="2:38">
      <c r="D171" s="358"/>
      <c r="F171" s="464"/>
      <c r="G171" s="465"/>
      <c r="H171" s="465"/>
    </row>
    <row r="172" spans="2:38">
      <c r="B172" s="520" t="s">
        <v>715</v>
      </c>
      <c r="C172" s="358" t="s">
        <v>295</v>
      </c>
      <c r="D172" s="383">
        <f>'950 West'!D32</f>
        <v>93.615413606116391</v>
      </c>
      <c r="E172" s="383">
        <f>'950 West'!E32</f>
        <v>97.398726587592535</v>
      </c>
      <c r="F172" s="383">
        <f>'950 West'!F32</f>
        <v>101.33493594119847</v>
      </c>
      <c r="G172" s="383">
        <f>'950 West'!G32</f>
        <v>105.43022072236127</v>
      </c>
      <c r="H172" s="383">
        <f>'950 West'!H32</f>
        <v>109.69100970287106</v>
      </c>
      <c r="I172" s="383">
        <f>'950 West'!I32</f>
        <v>114.12399146275708</v>
      </c>
      <c r="J172" s="383">
        <f>'950 West'!J32</f>
        <v>118.73612489001043</v>
      </c>
      <c r="K172" s="383">
        <f>'950 West'!K32</f>
        <v>123.53465010463597</v>
      </c>
      <c r="L172" s="383">
        <f>'950 West'!L32</f>
        <v>128.52709982418139</v>
      </c>
      <c r="M172" s="383">
        <f>'950 West'!M32</f>
        <v>133.72131118858576</v>
      </c>
      <c r="N172" s="383">
        <f>'950 West'!N32</f>
        <v>139.12543806290992</v>
      </c>
      <c r="O172" s="383">
        <f>'950 West'!O32</f>
        <v>144.74796383726138</v>
      </c>
      <c r="P172" s="383">
        <f>'950 West'!P32</f>
        <v>150.59771474400708</v>
      </c>
      <c r="Q172" s="383">
        <f>'950 West'!Q32</f>
        <v>156.68387371317945</v>
      </c>
      <c r="R172" s="383">
        <f>'950 West'!R32</f>
        <v>163.01599478782583</v>
      </c>
      <c r="S172" s="383">
        <f>'950 West'!S32</f>
        <v>169.6040181219314</v>
      </c>
      <c r="T172" s="383">
        <f>'950 West'!T32</f>
        <v>176.45828558445635</v>
      </c>
      <c r="U172" s="383">
        <f>'950 West'!U32</f>
        <v>183.58955699398709</v>
      </c>
      <c r="V172" s="383">
        <f>'950 West'!V32</f>
        <v>191.00902700948274</v>
      </c>
      <c r="W172" s="383">
        <f>'950 West'!W32</f>
        <v>198.72834270363347</v>
      </c>
      <c r="X172" s="383">
        <f>'950 West'!X32</f>
        <v>206.75962184641745</v>
      </c>
      <c r="Y172" s="383">
        <f>'950 West'!Y32</f>
        <v>215.11547192755771</v>
      </c>
      <c r="Z172" s="383">
        <f>'950 West'!Z32</f>
        <v>223.80900994774032</v>
      </c>
      <c r="AA172" s="383">
        <f>'950 West'!AA32</f>
        <v>232.85388300966196</v>
      </c>
      <c r="AB172" s="383">
        <f>'950 West'!AB32</f>
        <v>242.2642897412305</v>
      </c>
      <c r="AC172" s="383">
        <f>'950 West'!AC32</f>
        <v>252.05500258455027</v>
      </c>
      <c r="AD172" s="383">
        <f>'950 West'!AD32</f>
        <v>262.24139098567821</v>
      </c>
      <c r="AE172" s="383">
        <f>'950 West'!AE32</f>
        <v>272.83944552155714</v>
      </c>
      <c r="AF172" s="383">
        <f>'950 West'!AF32</f>
        <v>283.86580300199893</v>
      </c>
      <c r="AG172" s="383">
        <f>'950 West'!AG32</f>
        <v>295.33777258612355</v>
      </c>
      <c r="AH172" s="383">
        <f>'950 West'!AH32</f>
        <v>307.27336295424988</v>
      </c>
      <c r="AI172" s="383">
        <f>'950 West'!AI32</f>
        <v>319.69131057789514</v>
      </c>
      <c r="AJ172" s="383">
        <f>'950 West'!AJ32</f>
        <v>332.61110913225895</v>
      </c>
      <c r="AK172" s="383">
        <f>'950 West'!AK32</f>
        <v>346.05304009736477</v>
      </c>
      <c r="AL172" s="383">
        <f>'950 West'!AL32</f>
        <v>360.03820459589684</v>
      </c>
    </row>
    <row r="173" spans="2:38">
      <c r="B173" s="520" t="s">
        <v>716</v>
      </c>
      <c r="C173" s="358" t="s">
        <v>295</v>
      </c>
      <c r="D173" s="383">
        <f>'950 West'!D33</f>
        <v>0</v>
      </c>
      <c r="E173" s="383">
        <f>'950 West'!E33</f>
        <v>0</v>
      </c>
      <c r="F173" s="383">
        <f>'950 West'!F33</f>
        <v>0</v>
      </c>
      <c r="G173" s="383">
        <f>'950 West'!G33</f>
        <v>0</v>
      </c>
      <c r="H173" s="383">
        <f>'950 West'!H33</f>
        <v>0</v>
      </c>
      <c r="I173" s="383">
        <f>'950 West'!I33</f>
        <v>0</v>
      </c>
      <c r="J173" s="383">
        <f>'950 West'!J33</f>
        <v>0</v>
      </c>
      <c r="K173" s="383">
        <f>'950 West'!K33</f>
        <v>0</v>
      </c>
      <c r="L173" s="383">
        <f>'950 West'!L33</f>
        <v>0</v>
      </c>
      <c r="M173" s="383">
        <f>'950 West'!M33</f>
        <v>0</v>
      </c>
      <c r="N173" s="383">
        <f>'950 West'!N33</f>
        <v>0</v>
      </c>
      <c r="O173" s="383">
        <f>'950 West'!O33</f>
        <v>0</v>
      </c>
      <c r="P173" s="383">
        <f>'950 West'!P33</f>
        <v>0</v>
      </c>
      <c r="Q173" s="383">
        <f>'950 West'!Q33</f>
        <v>0</v>
      </c>
      <c r="R173" s="383">
        <f>'950 West'!R33</f>
        <v>0</v>
      </c>
      <c r="S173" s="383">
        <f>'950 West'!S33</f>
        <v>0</v>
      </c>
      <c r="T173" s="383">
        <f>'950 West'!T33</f>
        <v>0</v>
      </c>
      <c r="U173" s="383">
        <f>'950 West'!U33</f>
        <v>0</v>
      </c>
      <c r="V173" s="383">
        <f>'950 West'!V33</f>
        <v>0</v>
      </c>
      <c r="W173" s="383">
        <f>'950 West'!W33</f>
        <v>0</v>
      </c>
      <c r="X173" s="383">
        <f>'950 West'!X33</f>
        <v>0</v>
      </c>
      <c r="Y173" s="383">
        <f>'950 West'!Y33</f>
        <v>0</v>
      </c>
      <c r="Z173" s="383">
        <f>'950 West'!Z33</f>
        <v>0</v>
      </c>
      <c r="AA173" s="383">
        <f>'950 West'!AA33</f>
        <v>0</v>
      </c>
      <c r="AB173" s="383">
        <f>'950 West'!AB33</f>
        <v>0</v>
      </c>
      <c r="AC173" s="383">
        <f>'950 West'!AC33</f>
        <v>0</v>
      </c>
      <c r="AD173" s="383">
        <f>'950 West'!AD33</f>
        <v>0</v>
      </c>
      <c r="AE173" s="383">
        <f>'950 West'!AE33</f>
        <v>0</v>
      </c>
      <c r="AF173" s="383">
        <f>'950 West'!AF33</f>
        <v>0</v>
      </c>
      <c r="AG173" s="383">
        <f>'950 West'!AG33</f>
        <v>0</v>
      </c>
      <c r="AH173" s="383">
        <f>'950 West'!AH33</f>
        <v>0</v>
      </c>
      <c r="AI173" s="383">
        <f>'950 West'!AI33</f>
        <v>0</v>
      </c>
      <c r="AJ173" s="383">
        <f>'950 West'!AJ33</f>
        <v>0</v>
      </c>
      <c r="AK173" s="383">
        <f>'950 West'!AK33</f>
        <v>0</v>
      </c>
      <c r="AL173" s="383">
        <f>'950 West'!AL33</f>
        <v>0</v>
      </c>
    </row>
    <row r="174" spans="2:38">
      <c r="D174" s="358"/>
      <c r="F174" s="464"/>
      <c r="G174" s="465"/>
      <c r="H174" s="465"/>
    </row>
    <row r="175" spans="2:38">
      <c r="B175" s="358" t="s">
        <v>208</v>
      </c>
      <c r="C175" s="362" t="s">
        <v>292</v>
      </c>
      <c r="D175" s="485">
        <f>SUMPRODUCT(D172:D173,D$150:D$151)</f>
        <v>197.43481367988588</v>
      </c>
      <c r="E175" s="485">
        <f t="shared" ref="E175:AE175" si="114">SUMPRODUCT(E172:E173,E$150:E$151)</f>
        <v>205.9159074100651</v>
      </c>
      <c r="F175" s="485">
        <f t="shared" si="114"/>
        <v>213.62367178296074</v>
      </c>
      <c r="G175" s="485">
        <f t="shared" si="114"/>
        <v>219.05690309434107</v>
      </c>
      <c r="H175" s="485">
        <f t="shared" si="114"/>
        <v>231.54466825260616</v>
      </c>
      <c r="I175" s="485">
        <f t="shared" si="114"/>
        <v>243.82716312408658</v>
      </c>
      <c r="J175" s="485">
        <f t="shared" si="114"/>
        <v>257.90103753959698</v>
      </c>
      <c r="K175" s="485">
        <f t="shared" si="114"/>
        <v>270.39647172318047</v>
      </c>
      <c r="L175" s="485">
        <f t="shared" si="114"/>
        <v>286.28408974457773</v>
      </c>
      <c r="M175" s="485">
        <f t="shared" si="114"/>
        <v>309.52792831968799</v>
      </c>
      <c r="N175" s="485">
        <f t="shared" si="114"/>
        <v>325.15520893803512</v>
      </c>
      <c r="O175" s="485">
        <f t="shared" si="114"/>
        <v>342.310406735752</v>
      </c>
      <c r="P175" s="485">
        <f t="shared" si="114"/>
        <v>364.15581609104123</v>
      </c>
      <c r="Q175" s="485">
        <f t="shared" si="114"/>
        <v>386.52047106944184</v>
      </c>
      <c r="R175" s="485">
        <f t="shared" si="114"/>
        <v>407.54732268933003</v>
      </c>
      <c r="S175" s="485">
        <f t="shared" si="114"/>
        <v>430.42107718983749</v>
      </c>
      <c r="T175" s="485">
        <f t="shared" si="114"/>
        <v>449.86839993415168</v>
      </c>
      <c r="U175" s="485">
        <f t="shared" si="114"/>
        <v>474.51566643229364</v>
      </c>
      <c r="V175" s="485">
        <f t="shared" si="114"/>
        <v>501.88920708125255</v>
      </c>
      <c r="W175" s="485">
        <f t="shared" si="114"/>
        <v>524.79524937644601</v>
      </c>
      <c r="X175" s="485">
        <f t="shared" si="114"/>
        <v>551.02514372103849</v>
      </c>
      <c r="Y175" s="485">
        <f t="shared" si="114"/>
        <v>584.07012825769255</v>
      </c>
      <c r="Z175" s="485">
        <f t="shared" si="114"/>
        <v>613.89155241991557</v>
      </c>
      <c r="AA175" s="485">
        <f t="shared" si="114"/>
        <v>645.03412981825682</v>
      </c>
      <c r="AB175" s="485">
        <f t="shared" si="114"/>
        <v>681.62269240143905</v>
      </c>
      <c r="AC175" s="485">
        <f t="shared" si="114"/>
        <v>712.24165094826446</v>
      </c>
      <c r="AD175" s="485">
        <f t="shared" si="114"/>
        <v>756.39936522762378</v>
      </c>
      <c r="AE175" s="485">
        <f t="shared" si="114"/>
        <v>797.94078558343551</v>
      </c>
      <c r="AF175" s="485">
        <f t="shared" ref="AF175:AJ175" si="115">SUMPRODUCT(AF172:AF173,AF$150:AF$151)</f>
        <v>839.01477342213025</v>
      </c>
      <c r="AG175" s="485">
        <f t="shared" si="115"/>
        <v>880.83634194270849</v>
      </c>
      <c r="AH175" s="485">
        <f t="shared" si="115"/>
        <v>925.87107473421031</v>
      </c>
      <c r="AI175" s="485">
        <f t="shared" si="115"/>
        <v>973.17348183228592</v>
      </c>
      <c r="AJ175" s="485">
        <f t="shared" si="115"/>
        <v>1022.8566283881406</v>
      </c>
      <c r="AK175" s="485">
        <f t="shared" ref="AK175:AL175" si="116">SUMPRODUCT(AK172:AK173,AK$150:AK$151)</f>
        <v>1075.0391802852052</v>
      </c>
      <c r="AL175" s="485">
        <f t="shared" si="116"/>
        <v>1129.8456803643951</v>
      </c>
    </row>
    <row r="177" spans="1:38" ht="13">
      <c r="B177" s="364" t="s">
        <v>527</v>
      </c>
      <c r="C177" s="387" t="s">
        <v>292</v>
      </c>
      <c r="D177" s="488">
        <f>D170+D175</f>
        <v>294.23922830825103</v>
      </c>
      <c r="E177" s="488">
        <f t="shared" ref="E177:AE177" si="117">E170+E175</f>
        <v>306.63251325160633</v>
      </c>
      <c r="F177" s="488">
        <f t="shared" si="117"/>
        <v>318.41057361158954</v>
      </c>
      <c r="G177" s="488">
        <f t="shared" si="117"/>
        <v>328.07859522838828</v>
      </c>
      <c r="H177" s="488">
        <f t="shared" si="117"/>
        <v>344.97229277775153</v>
      </c>
      <c r="I177" s="488">
        <f t="shared" si="117"/>
        <v>361.83877855194316</v>
      </c>
      <c r="J177" s="488">
        <f t="shared" si="117"/>
        <v>380.68189832369058</v>
      </c>
      <c r="K177" s="488">
        <f t="shared" si="117"/>
        <v>398.13931907110765</v>
      </c>
      <c r="L177" s="488">
        <f t="shared" si="117"/>
        <v>419.18945418285898</v>
      </c>
      <c r="M177" s="488">
        <f t="shared" si="117"/>
        <v>447.80444448628157</v>
      </c>
      <c r="N177" s="488">
        <f t="shared" si="117"/>
        <v>469.01994309667305</v>
      </c>
      <c r="O177" s="488">
        <f t="shared" si="117"/>
        <v>491.98919752622885</v>
      </c>
      <c r="P177" s="488">
        <f t="shared" si="117"/>
        <v>519.88362905036604</v>
      </c>
      <c r="Q177" s="488">
        <f t="shared" si="117"/>
        <v>548.54176748037867</v>
      </c>
      <c r="R177" s="488">
        <f t="shared" si="117"/>
        <v>576.11644333534582</v>
      </c>
      <c r="S177" s="488">
        <f t="shared" si="117"/>
        <v>605.80264161887612</v>
      </c>
      <c r="T177" s="488">
        <f t="shared" si="117"/>
        <v>632.33772185799489</v>
      </c>
      <c r="U177" s="488">
        <f t="shared" si="117"/>
        <v>664.3591859136053</v>
      </c>
      <c r="V177" s="488">
        <f t="shared" si="117"/>
        <v>699.40494018675133</v>
      </c>
      <c r="W177" s="488">
        <f t="shared" si="117"/>
        <v>730.29325600207153</v>
      </c>
      <c r="X177" s="488">
        <f t="shared" si="117"/>
        <v>764.82801432350175</v>
      </c>
      <c r="Y177" s="488">
        <f t="shared" si="117"/>
        <v>806.51349025648187</v>
      </c>
      <c r="Z177" s="488">
        <f t="shared" si="117"/>
        <v>845.32459706470706</v>
      </c>
      <c r="AA177" s="488">
        <f t="shared" si="117"/>
        <v>885.82016034880405</v>
      </c>
      <c r="AB177" s="488">
        <f t="shared" si="117"/>
        <v>932.1396943604434</v>
      </c>
      <c r="AC177" s="488">
        <f t="shared" si="117"/>
        <v>972.882885542503</v>
      </c>
      <c r="AD177" s="488">
        <f t="shared" si="117"/>
        <v>1027.57398666879</v>
      </c>
      <c r="AE177" s="488">
        <f t="shared" si="117"/>
        <v>1080.0744833777956</v>
      </c>
      <c r="AF177" s="488">
        <f t="shared" ref="AF177:AJ177" si="118">AF170+AF175</f>
        <v>1132.550440617259</v>
      </c>
      <c r="AG177" s="488">
        <f t="shared" si="118"/>
        <v>1186.2347703803198</v>
      </c>
      <c r="AH177" s="488">
        <f t="shared" si="118"/>
        <v>1243.6116784004844</v>
      </c>
      <c r="AI177" s="488">
        <f t="shared" si="118"/>
        <v>1303.7550494412128</v>
      </c>
      <c r="AJ177" s="488">
        <f t="shared" si="118"/>
        <v>1366.7981063792813</v>
      </c>
      <c r="AK177" s="488">
        <f t="shared" ref="AK177:AL177" si="119">AK170+AK175</f>
        <v>1432.8804874650186</v>
      </c>
      <c r="AL177" s="488">
        <f t="shared" si="119"/>
        <v>1502.1485554699559</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'950 West'!D48</f>
        <v>261.86129680032559</v>
      </c>
      <c r="E181" s="383">
        <f>'950 West'!E48</f>
        <v>272.44399045480429</v>
      </c>
      <c r="F181" s="383">
        <f>'950 West'!F48</f>
        <v>283.45436626908662</v>
      </c>
      <c r="G181" s="383">
        <f>'950 West'!G48</f>
        <v>294.90970831429729</v>
      </c>
      <c r="H181" s="383">
        <f>'950 West'!H48</f>
        <v>0</v>
      </c>
      <c r="I181" s="383">
        <f>'950 West'!I48</f>
        <v>0</v>
      </c>
      <c r="J181" s="383">
        <f>'950 West'!J48</f>
        <v>0</v>
      </c>
      <c r="K181" s="383">
        <f>'950 West'!K48</f>
        <v>0</v>
      </c>
      <c r="L181" s="383">
        <f>'950 West'!L48</f>
        <v>0</v>
      </c>
      <c r="M181" s="383">
        <f>'950 West'!M48</f>
        <v>0</v>
      </c>
      <c r="N181" s="383">
        <f>'950 West'!N48</f>
        <v>0</v>
      </c>
      <c r="O181" s="383">
        <f>'950 West'!O48</f>
        <v>0</v>
      </c>
      <c r="P181" s="383">
        <f>'950 West'!P48</f>
        <v>0</v>
      </c>
      <c r="Q181" s="383">
        <f>'950 West'!Q48</f>
        <v>0</v>
      </c>
      <c r="R181" s="383">
        <f>'950 West'!R48</f>
        <v>0</v>
      </c>
      <c r="S181" s="383">
        <f>'950 West'!S48</f>
        <v>0</v>
      </c>
      <c r="T181" s="383">
        <f>'950 West'!T48</f>
        <v>0</v>
      </c>
      <c r="U181" s="383">
        <f>'950 West'!U48</f>
        <v>0</v>
      </c>
      <c r="V181" s="383">
        <f>'950 West'!V48</f>
        <v>0</v>
      </c>
      <c r="W181" s="383">
        <f>'950 West'!W48</f>
        <v>0</v>
      </c>
      <c r="X181" s="383">
        <f>'950 West'!X48</f>
        <v>0</v>
      </c>
      <c r="Y181" s="383">
        <f>'950 West'!Y48</f>
        <v>0</v>
      </c>
      <c r="Z181" s="383">
        <f>'950 West'!Z48</f>
        <v>0</v>
      </c>
      <c r="AA181" s="383">
        <f>'950 West'!AA48</f>
        <v>0</v>
      </c>
      <c r="AB181" s="383">
        <f>'950 West'!AB48</f>
        <v>0</v>
      </c>
      <c r="AC181" s="383">
        <f>'950 West'!AC48</f>
        <v>0</v>
      </c>
      <c r="AD181" s="383">
        <f>'950 West'!AD48</f>
        <v>0</v>
      </c>
      <c r="AE181" s="383">
        <f>'950 West'!AE48</f>
        <v>0</v>
      </c>
      <c r="AF181" s="383">
        <f>'950 West'!AF48</f>
        <v>0</v>
      </c>
      <c r="AG181" s="383">
        <f>'950 West'!AG48</f>
        <v>0</v>
      </c>
      <c r="AH181" s="383">
        <f>'950 West'!AH48</f>
        <v>0</v>
      </c>
      <c r="AI181" s="383">
        <f>'950 West'!AI48</f>
        <v>0</v>
      </c>
      <c r="AJ181" s="383">
        <f>'950 West'!AJ48</f>
        <v>0</v>
      </c>
      <c r="AK181" s="383">
        <f>'950 West'!AK48</f>
        <v>0</v>
      </c>
      <c r="AL181" s="383">
        <f>'950 West'!AL48</f>
        <v>0</v>
      </c>
    </row>
    <row r="182" spans="1:38">
      <c r="B182" s="385" t="s">
        <v>509</v>
      </c>
      <c r="C182" s="386" t="s">
        <v>443</v>
      </c>
      <c r="D182" s="383">
        <f>'950 West'!D49</f>
        <v>0</v>
      </c>
      <c r="E182" s="383">
        <f>'950 West'!E49</f>
        <v>0</v>
      </c>
      <c r="F182" s="383">
        <f>'950 West'!F49</f>
        <v>0</v>
      </c>
      <c r="G182" s="383">
        <f>'950 West'!G49</f>
        <v>0</v>
      </c>
      <c r="H182" s="383">
        <f>'950 West'!H49</f>
        <v>0</v>
      </c>
      <c r="I182" s="383">
        <f>'950 West'!I49</f>
        <v>0</v>
      </c>
      <c r="J182" s="383">
        <f>'950 West'!J49</f>
        <v>0</v>
      </c>
      <c r="K182" s="383">
        <f>'950 West'!K49</f>
        <v>0</v>
      </c>
      <c r="L182" s="383">
        <f>'950 West'!L49</f>
        <v>0</v>
      </c>
      <c r="M182" s="383">
        <f>'950 West'!M49</f>
        <v>0</v>
      </c>
      <c r="N182" s="383">
        <f>'950 West'!N49</f>
        <v>0</v>
      </c>
      <c r="O182" s="383">
        <f>'950 West'!O49</f>
        <v>0</v>
      </c>
      <c r="P182" s="383">
        <f>'950 West'!P49</f>
        <v>0</v>
      </c>
      <c r="Q182" s="383">
        <f>'950 West'!Q49</f>
        <v>0</v>
      </c>
      <c r="R182" s="383">
        <f>'950 West'!R49</f>
        <v>0</v>
      </c>
      <c r="S182" s="383">
        <f>'950 West'!S49</f>
        <v>0</v>
      </c>
      <c r="T182" s="383">
        <f>'950 West'!T49</f>
        <v>0</v>
      </c>
      <c r="U182" s="383">
        <f>'950 West'!U49</f>
        <v>0</v>
      </c>
      <c r="V182" s="383">
        <f>'950 West'!V49</f>
        <v>0</v>
      </c>
      <c r="W182" s="383">
        <f>'950 West'!W49</f>
        <v>0</v>
      </c>
      <c r="X182" s="383">
        <f>'950 West'!X49</f>
        <v>0</v>
      </c>
      <c r="Y182" s="383">
        <f>'950 West'!Y49</f>
        <v>0</v>
      </c>
      <c r="Z182" s="383">
        <f>'950 West'!Z49</f>
        <v>0</v>
      </c>
      <c r="AA182" s="383">
        <f>'950 West'!AA49</f>
        <v>0</v>
      </c>
      <c r="AB182" s="383">
        <f>'950 West'!AB49</f>
        <v>0</v>
      </c>
      <c r="AC182" s="383">
        <f>'950 West'!AC49</f>
        <v>0</v>
      </c>
      <c r="AD182" s="383">
        <f>'950 West'!AD49</f>
        <v>0</v>
      </c>
      <c r="AE182" s="383">
        <f>'950 West'!AE49</f>
        <v>0</v>
      </c>
      <c r="AF182" s="383">
        <f>'950 West'!AF49</f>
        <v>0</v>
      </c>
      <c r="AG182" s="383">
        <f>'950 West'!AG49</f>
        <v>0</v>
      </c>
      <c r="AH182" s="383">
        <f>'950 West'!AH49</f>
        <v>0</v>
      </c>
      <c r="AI182" s="383">
        <f>'950 West'!AI49</f>
        <v>0</v>
      </c>
      <c r="AJ182" s="383">
        <f>'950 West'!AJ49</f>
        <v>0</v>
      </c>
      <c r="AK182" s="383">
        <f>'950 West'!AK49</f>
        <v>0</v>
      </c>
      <c r="AL182" s="383">
        <f>'950 West'!AL49</f>
        <v>0</v>
      </c>
    </row>
    <row r="183" spans="1:38">
      <c r="B183" s="358" t="s">
        <v>769</v>
      </c>
      <c r="C183" s="358" t="s">
        <v>443</v>
      </c>
      <c r="D183" s="383">
        <f>'950 West'!D50</f>
        <v>0</v>
      </c>
      <c r="E183" s="383">
        <f>'950 West'!E50</f>
        <v>0</v>
      </c>
      <c r="F183" s="383">
        <f>'950 West'!F50</f>
        <v>0</v>
      </c>
      <c r="G183" s="383">
        <f>'950 West'!G50</f>
        <v>0</v>
      </c>
      <c r="H183" s="383">
        <f>'950 West'!H50</f>
        <v>0</v>
      </c>
      <c r="I183" s="383">
        <f>'950 West'!I50</f>
        <v>0</v>
      </c>
      <c r="J183" s="383">
        <f>'950 West'!J50</f>
        <v>0</v>
      </c>
      <c r="K183" s="383">
        <f>'950 West'!K50</f>
        <v>0</v>
      </c>
      <c r="L183" s="383">
        <f>'950 West'!L50</f>
        <v>0</v>
      </c>
      <c r="M183" s="383">
        <f>'950 West'!M50</f>
        <v>0</v>
      </c>
      <c r="N183" s="383">
        <f>'950 West'!N50</f>
        <v>0</v>
      </c>
      <c r="O183" s="383">
        <f>'950 West'!O50</f>
        <v>0</v>
      </c>
      <c r="P183" s="383">
        <f>'950 West'!P50</f>
        <v>0</v>
      </c>
      <c r="Q183" s="383">
        <f>'950 West'!Q50</f>
        <v>0</v>
      </c>
      <c r="R183" s="383">
        <f>'950 West'!R50</f>
        <v>0</v>
      </c>
      <c r="S183" s="383">
        <f>'950 West'!S50</f>
        <v>0</v>
      </c>
      <c r="T183" s="383">
        <f>'950 West'!T50</f>
        <v>0</v>
      </c>
      <c r="U183" s="383">
        <f>'950 West'!U50</f>
        <v>0</v>
      </c>
      <c r="V183" s="383">
        <f>'950 West'!V50</f>
        <v>0</v>
      </c>
      <c r="W183" s="383">
        <f>'950 West'!W50</f>
        <v>0</v>
      </c>
      <c r="X183" s="383">
        <f>'950 West'!X50</f>
        <v>0</v>
      </c>
      <c r="Y183" s="383">
        <f>'950 West'!Y50</f>
        <v>0</v>
      </c>
      <c r="Z183" s="383">
        <f>'950 West'!Z50</f>
        <v>0</v>
      </c>
      <c r="AA183" s="383">
        <f>'950 West'!AA50</f>
        <v>0</v>
      </c>
      <c r="AB183" s="383">
        <f>'950 West'!AB50</f>
        <v>0</v>
      </c>
      <c r="AC183" s="383">
        <f>'950 West'!AC50</f>
        <v>0</v>
      </c>
      <c r="AD183" s="383">
        <f>'950 West'!AD50</f>
        <v>0</v>
      </c>
      <c r="AE183" s="383">
        <f>'950 West'!AE50</f>
        <v>0</v>
      </c>
      <c r="AF183" s="383">
        <f>'950 West'!AF50</f>
        <v>0</v>
      </c>
      <c r="AG183" s="383">
        <f>'950 West'!AG50</f>
        <v>0</v>
      </c>
      <c r="AH183" s="383">
        <f>'950 West'!AH50</f>
        <v>0</v>
      </c>
      <c r="AI183" s="383">
        <f>'950 West'!AI50</f>
        <v>0</v>
      </c>
      <c r="AJ183" s="383">
        <f>'950 West'!AJ50</f>
        <v>0</v>
      </c>
      <c r="AK183" s="383">
        <f>'950 West'!AK50</f>
        <v>0</v>
      </c>
      <c r="AL183" s="383">
        <f>'950 West'!AL50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9.0342147396112313</v>
      </c>
      <c r="E185" s="383">
        <f t="shared" ref="E185:AE187" si="120">E181*$C163</f>
        <v>9.3993176706907473</v>
      </c>
      <c r="F185" s="383">
        <f t="shared" si="120"/>
        <v>9.7791756362834867</v>
      </c>
      <c r="G185" s="383">
        <f t="shared" si="120"/>
        <v>10.174384936843255</v>
      </c>
      <c r="H185" s="383">
        <f t="shared" si="120"/>
        <v>0</v>
      </c>
      <c r="I185" s="383">
        <f t="shared" si="120"/>
        <v>0</v>
      </c>
      <c r="J185" s="383">
        <f t="shared" si="120"/>
        <v>0</v>
      </c>
      <c r="K185" s="383">
        <f t="shared" si="120"/>
        <v>0</v>
      </c>
      <c r="L185" s="383">
        <f t="shared" si="120"/>
        <v>0</v>
      </c>
      <c r="M185" s="383">
        <f t="shared" si="120"/>
        <v>0</v>
      </c>
      <c r="N185" s="383">
        <f t="shared" si="120"/>
        <v>0</v>
      </c>
      <c r="O185" s="383">
        <f t="shared" si="120"/>
        <v>0</v>
      </c>
      <c r="P185" s="383">
        <f t="shared" si="120"/>
        <v>0</v>
      </c>
      <c r="Q185" s="383">
        <f t="shared" si="120"/>
        <v>0</v>
      </c>
      <c r="R185" s="383">
        <f t="shared" si="120"/>
        <v>0</v>
      </c>
      <c r="S185" s="383">
        <f t="shared" si="120"/>
        <v>0</v>
      </c>
      <c r="T185" s="383">
        <f t="shared" si="120"/>
        <v>0</v>
      </c>
      <c r="U185" s="383">
        <f t="shared" si="120"/>
        <v>0</v>
      </c>
      <c r="V185" s="383">
        <f t="shared" si="120"/>
        <v>0</v>
      </c>
      <c r="W185" s="383">
        <f t="shared" si="120"/>
        <v>0</v>
      </c>
      <c r="X185" s="383">
        <f t="shared" si="120"/>
        <v>0</v>
      </c>
      <c r="Y185" s="383">
        <f t="shared" si="120"/>
        <v>0</v>
      </c>
      <c r="Z185" s="383">
        <f t="shared" si="120"/>
        <v>0</v>
      </c>
      <c r="AA185" s="383">
        <f t="shared" si="120"/>
        <v>0</v>
      </c>
      <c r="AB185" s="383">
        <f t="shared" si="120"/>
        <v>0</v>
      </c>
      <c r="AC185" s="383">
        <f t="shared" si="120"/>
        <v>0</v>
      </c>
      <c r="AD185" s="383">
        <f t="shared" si="120"/>
        <v>0</v>
      </c>
      <c r="AE185" s="383">
        <f t="shared" si="120"/>
        <v>0</v>
      </c>
      <c r="AF185" s="383">
        <f t="shared" ref="AF185:AJ185" si="121">AF181*$C163</f>
        <v>0</v>
      </c>
      <c r="AG185" s="383">
        <f t="shared" si="121"/>
        <v>0</v>
      </c>
      <c r="AH185" s="383">
        <f t="shared" si="121"/>
        <v>0</v>
      </c>
      <c r="AI185" s="383">
        <f t="shared" si="121"/>
        <v>0</v>
      </c>
      <c r="AJ185" s="383">
        <f t="shared" si="121"/>
        <v>0</v>
      </c>
      <c r="AK185" s="383">
        <f t="shared" ref="AK185:AL185" si="122">AK181*$C163</f>
        <v>0</v>
      </c>
      <c r="AL185" s="383">
        <f t="shared" si="122"/>
        <v>0</v>
      </c>
    </row>
    <row r="186" spans="1:38">
      <c r="B186" s="385" t="s">
        <v>501</v>
      </c>
      <c r="C186" s="386" t="s">
        <v>479</v>
      </c>
      <c r="D186" s="383">
        <f>D182*$C164</f>
        <v>0</v>
      </c>
      <c r="E186" s="383">
        <f t="shared" si="120"/>
        <v>0</v>
      </c>
      <c r="F186" s="383">
        <f t="shared" si="120"/>
        <v>0</v>
      </c>
      <c r="G186" s="383">
        <f t="shared" si="120"/>
        <v>0</v>
      </c>
      <c r="H186" s="383">
        <f t="shared" si="120"/>
        <v>0</v>
      </c>
      <c r="I186" s="383">
        <f t="shared" si="120"/>
        <v>0</v>
      </c>
      <c r="J186" s="383">
        <f t="shared" si="120"/>
        <v>0</v>
      </c>
      <c r="K186" s="383">
        <f t="shared" si="120"/>
        <v>0</v>
      </c>
      <c r="L186" s="383">
        <f t="shared" si="120"/>
        <v>0</v>
      </c>
      <c r="M186" s="383">
        <f t="shared" si="120"/>
        <v>0</v>
      </c>
      <c r="N186" s="383">
        <f t="shared" si="120"/>
        <v>0</v>
      </c>
      <c r="O186" s="383">
        <f t="shared" si="120"/>
        <v>0</v>
      </c>
      <c r="P186" s="383">
        <f t="shared" si="120"/>
        <v>0</v>
      </c>
      <c r="Q186" s="383">
        <f t="shared" si="120"/>
        <v>0</v>
      </c>
      <c r="R186" s="383">
        <f t="shared" si="120"/>
        <v>0</v>
      </c>
      <c r="S186" s="383">
        <f t="shared" si="120"/>
        <v>0</v>
      </c>
      <c r="T186" s="383">
        <f t="shared" si="120"/>
        <v>0</v>
      </c>
      <c r="U186" s="383">
        <f t="shared" si="120"/>
        <v>0</v>
      </c>
      <c r="V186" s="383">
        <f t="shared" si="120"/>
        <v>0</v>
      </c>
      <c r="W186" s="383">
        <f t="shared" si="120"/>
        <v>0</v>
      </c>
      <c r="X186" s="383">
        <f t="shared" si="120"/>
        <v>0</v>
      </c>
      <c r="Y186" s="383">
        <f t="shared" si="120"/>
        <v>0</v>
      </c>
      <c r="Z186" s="383">
        <f t="shared" si="120"/>
        <v>0</v>
      </c>
      <c r="AA186" s="383">
        <f t="shared" si="120"/>
        <v>0</v>
      </c>
      <c r="AB186" s="383">
        <f t="shared" si="120"/>
        <v>0</v>
      </c>
      <c r="AC186" s="383">
        <f t="shared" si="120"/>
        <v>0</v>
      </c>
      <c r="AD186" s="383">
        <f t="shared" si="120"/>
        <v>0</v>
      </c>
      <c r="AE186" s="383">
        <f t="shared" si="120"/>
        <v>0</v>
      </c>
      <c r="AF186" s="383">
        <f t="shared" ref="AF186:AJ186" si="123">AF182*$C164</f>
        <v>0</v>
      </c>
      <c r="AG186" s="383">
        <f t="shared" si="123"/>
        <v>0</v>
      </c>
      <c r="AH186" s="383">
        <f t="shared" si="123"/>
        <v>0</v>
      </c>
      <c r="AI186" s="383">
        <f t="shared" si="123"/>
        <v>0</v>
      </c>
      <c r="AJ186" s="383">
        <f t="shared" si="123"/>
        <v>0</v>
      </c>
      <c r="AK186" s="383">
        <f t="shared" ref="AK186:AL186" si="124">AK182*$C164</f>
        <v>0</v>
      </c>
      <c r="AL186" s="383">
        <f t="shared" si="124"/>
        <v>0</v>
      </c>
    </row>
    <row r="187" spans="1:38">
      <c r="B187" s="385" t="s">
        <v>768</v>
      </c>
      <c r="C187" s="386" t="s">
        <v>479</v>
      </c>
      <c r="D187" s="383">
        <f>D183*$C165</f>
        <v>0</v>
      </c>
      <c r="E187" s="383">
        <f t="shared" si="120"/>
        <v>0</v>
      </c>
      <c r="F187" s="383">
        <f t="shared" si="120"/>
        <v>0</v>
      </c>
      <c r="G187" s="383">
        <f t="shared" si="120"/>
        <v>0</v>
      </c>
      <c r="H187" s="383">
        <f t="shared" si="120"/>
        <v>0</v>
      </c>
      <c r="I187" s="383">
        <f t="shared" si="120"/>
        <v>0</v>
      </c>
      <c r="J187" s="383">
        <f t="shared" si="120"/>
        <v>0</v>
      </c>
      <c r="K187" s="383">
        <f t="shared" si="120"/>
        <v>0</v>
      </c>
      <c r="L187" s="383">
        <f t="shared" si="120"/>
        <v>0</v>
      </c>
      <c r="M187" s="383">
        <f t="shared" si="120"/>
        <v>0</v>
      </c>
      <c r="N187" s="383">
        <f t="shared" si="120"/>
        <v>0</v>
      </c>
      <c r="O187" s="383">
        <f t="shared" si="120"/>
        <v>0</v>
      </c>
      <c r="P187" s="383">
        <f t="shared" si="120"/>
        <v>0</v>
      </c>
      <c r="Q187" s="383">
        <f t="shared" si="120"/>
        <v>0</v>
      </c>
      <c r="R187" s="383">
        <f t="shared" si="120"/>
        <v>0</v>
      </c>
      <c r="S187" s="383">
        <f t="shared" si="120"/>
        <v>0</v>
      </c>
      <c r="T187" s="383">
        <f t="shared" si="120"/>
        <v>0</v>
      </c>
      <c r="U187" s="383">
        <f t="shared" si="120"/>
        <v>0</v>
      </c>
      <c r="V187" s="383">
        <f t="shared" si="120"/>
        <v>0</v>
      </c>
      <c r="W187" s="383">
        <f t="shared" si="120"/>
        <v>0</v>
      </c>
      <c r="X187" s="383">
        <f t="shared" si="120"/>
        <v>0</v>
      </c>
      <c r="Y187" s="383">
        <f t="shared" si="120"/>
        <v>0</v>
      </c>
      <c r="Z187" s="383">
        <f t="shared" si="120"/>
        <v>0</v>
      </c>
      <c r="AA187" s="383">
        <f t="shared" si="120"/>
        <v>0</v>
      </c>
      <c r="AB187" s="383">
        <f t="shared" si="120"/>
        <v>0</v>
      </c>
      <c r="AC187" s="383">
        <f t="shared" si="120"/>
        <v>0</v>
      </c>
      <c r="AD187" s="383">
        <f t="shared" si="120"/>
        <v>0</v>
      </c>
      <c r="AE187" s="383">
        <f t="shared" si="120"/>
        <v>0</v>
      </c>
      <c r="AF187" s="383">
        <f t="shared" ref="AF187:AJ187" si="125">AF183*$C165</f>
        <v>0</v>
      </c>
      <c r="AG187" s="383">
        <f t="shared" si="125"/>
        <v>0</v>
      </c>
      <c r="AH187" s="383">
        <f t="shared" si="125"/>
        <v>0</v>
      </c>
      <c r="AI187" s="383">
        <f t="shared" si="125"/>
        <v>0</v>
      </c>
      <c r="AJ187" s="383">
        <f t="shared" si="125"/>
        <v>0</v>
      </c>
      <c r="AK187" s="383">
        <f t="shared" ref="AK187:AL187" si="126">AK183*$C165</f>
        <v>0</v>
      </c>
      <c r="AL187" s="383">
        <f t="shared" si="126"/>
        <v>0</v>
      </c>
    </row>
    <row r="188" spans="1:38">
      <c r="D188" s="358"/>
      <c r="F188" s="464"/>
      <c r="G188" s="465"/>
      <c r="H188" s="465"/>
    </row>
    <row r="189" spans="1:38">
      <c r="B189" s="358" t="s">
        <v>459</v>
      </c>
      <c r="C189" s="362" t="s">
        <v>292</v>
      </c>
      <c r="D189" s="485">
        <f>SUMPRODUCT($C$153:$C$155,D185:D187)</f>
        <v>96.804414628365151</v>
      </c>
      <c r="E189" s="485">
        <f t="shared" ref="E189:AE189" si="127">SUMPRODUCT($C$153:$C$155,E185:E187)</f>
        <v>100.71660584154124</v>
      </c>
      <c r="F189" s="485">
        <f t="shared" si="127"/>
        <v>104.78690182862879</v>
      </c>
      <c r="G189" s="485">
        <f t="shared" si="127"/>
        <v>109.02169213404723</v>
      </c>
      <c r="H189" s="485">
        <f t="shared" si="127"/>
        <v>0</v>
      </c>
      <c r="I189" s="485">
        <f t="shared" si="127"/>
        <v>0</v>
      </c>
      <c r="J189" s="485">
        <f t="shared" si="127"/>
        <v>0</v>
      </c>
      <c r="K189" s="485">
        <f t="shared" si="127"/>
        <v>0</v>
      </c>
      <c r="L189" s="485">
        <f t="shared" si="127"/>
        <v>0</v>
      </c>
      <c r="M189" s="485">
        <f t="shared" si="127"/>
        <v>0</v>
      </c>
      <c r="N189" s="485">
        <f t="shared" si="127"/>
        <v>0</v>
      </c>
      <c r="O189" s="485">
        <f t="shared" si="127"/>
        <v>0</v>
      </c>
      <c r="P189" s="485">
        <f t="shared" si="127"/>
        <v>0</v>
      </c>
      <c r="Q189" s="485">
        <f t="shared" si="127"/>
        <v>0</v>
      </c>
      <c r="R189" s="485">
        <f t="shared" si="127"/>
        <v>0</v>
      </c>
      <c r="S189" s="485">
        <f t="shared" si="127"/>
        <v>0</v>
      </c>
      <c r="T189" s="485">
        <f t="shared" si="127"/>
        <v>0</v>
      </c>
      <c r="U189" s="485">
        <f t="shared" si="127"/>
        <v>0</v>
      </c>
      <c r="V189" s="485">
        <f t="shared" si="127"/>
        <v>0</v>
      </c>
      <c r="W189" s="485">
        <f t="shared" si="127"/>
        <v>0</v>
      </c>
      <c r="X189" s="485">
        <f t="shared" si="127"/>
        <v>0</v>
      </c>
      <c r="Y189" s="485">
        <f t="shared" si="127"/>
        <v>0</v>
      </c>
      <c r="Z189" s="485">
        <f t="shared" si="127"/>
        <v>0</v>
      </c>
      <c r="AA189" s="485">
        <f t="shared" si="127"/>
        <v>0</v>
      </c>
      <c r="AB189" s="485">
        <f t="shared" si="127"/>
        <v>0</v>
      </c>
      <c r="AC189" s="485">
        <f t="shared" si="127"/>
        <v>0</v>
      </c>
      <c r="AD189" s="485">
        <f t="shared" si="127"/>
        <v>0</v>
      </c>
      <c r="AE189" s="485">
        <f t="shared" si="127"/>
        <v>0</v>
      </c>
      <c r="AF189" s="485">
        <f t="shared" ref="AF189:AJ189" si="128">SUMPRODUCT($C$153:$C$155,AF185:AF187)</f>
        <v>0</v>
      </c>
      <c r="AG189" s="485">
        <f t="shared" si="128"/>
        <v>0</v>
      </c>
      <c r="AH189" s="485">
        <f t="shared" si="128"/>
        <v>0</v>
      </c>
      <c r="AI189" s="485">
        <f t="shared" si="128"/>
        <v>0</v>
      </c>
      <c r="AJ189" s="485">
        <f t="shared" si="128"/>
        <v>0</v>
      </c>
      <c r="AK189" s="485">
        <f t="shared" ref="AK189:AL189" si="129">SUMPRODUCT($C$153:$C$155,AK185:AK187)</f>
        <v>0</v>
      </c>
      <c r="AL189" s="485">
        <f t="shared" si="129"/>
        <v>0</v>
      </c>
    </row>
    <row r="190" spans="1:38">
      <c r="D190" s="358"/>
      <c r="F190" s="464"/>
      <c r="G190" s="465"/>
      <c r="H190" s="465"/>
    </row>
    <row r="191" spans="1:38">
      <c r="B191" s="520" t="s">
        <v>715</v>
      </c>
      <c r="C191" s="358" t="s">
        <v>295</v>
      </c>
      <c r="D191" s="383">
        <f>'950 West'!D52</f>
        <v>93.615413606116391</v>
      </c>
      <c r="E191" s="383">
        <f>'950 West'!E52</f>
        <v>97.398726587592535</v>
      </c>
      <c r="F191" s="383">
        <f>'950 West'!F52</f>
        <v>101.33493594119847</v>
      </c>
      <c r="G191" s="383">
        <f>'950 West'!G52</f>
        <v>105.43022072236127</v>
      </c>
      <c r="H191" s="383">
        <f>'950 West'!H52</f>
        <v>0</v>
      </c>
      <c r="I191" s="383">
        <f>'950 West'!I52</f>
        <v>0</v>
      </c>
      <c r="J191" s="383">
        <f>'950 West'!J52</f>
        <v>0</v>
      </c>
      <c r="K191" s="383">
        <f>'950 West'!K52</f>
        <v>0</v>
      </c>
      <c r="L191" s="383">
        <f>'950 West'!L52</f>
        <v>0</v>
      </c>
      <c r="M191" s="383">
        <f>'950 West'!M52</f>
        <v>0</v>
      </c>
      <c r="N191" s="383">
        <f>'950 West'!N52</f>
        <v>0</v>
      </c>
      <c r="O191" s="383">
        <f>'950 West'!O52</f>
        <v>0</v>
      </c>
      <c r="P191" s="383">
        <f>'950 West'!P52</f>
        <v>0</v>
      </c>
      <c r="Q191" s="383">
        <f>'950 West'!Q52</f>
        <v>0</v>
      </c>
      <c r="R191" s="383">
        <f>'950 West'!R52</f>
        <v>0</v>
      </c>
      <c r="S191" s="383">
        <f>'950 West'!S52</f>
        <v>0</v>
      </c>
      <c r="T191" s="383">
        <f>'950 West'!T52</f>
        <v>0</v>
      </c>
      <c r="U191" s="383">
        <f>'950 West'!U52</f>
        <v>0</v>
      </c>
      <c r="V191" s="383">
        <f>'950 West'!V52</f>
        <v>0</v>
      </c>
      <c r="W191" s="383">
        <f>'950 West'!W52</f>
        <v>0</v>
      </c>
      <c r="X191" s="383">
        <f>'950 West'!X52</f>
        <v>0</v>
      </c>
      <c r="Y191" s="383">
        <f>'950 West'!Y52</f>
        <v>0</v>
      </c>
      <c r="Z191" s="383">
        <f>'950 West'!Z52</f>
        <v>0</v>
      </c>
      <c r="AA191" s="383">
        <f>'950 West'!AA52</f>
        <v>0</v>
      </c>
      <c r="AB191" s="383">
        <f>'950 West'!AB52</f>
        <v>0</v>
      </c>
      <c r="AC191" s="383">
        <f>'950 West'!AC52</f>
        <v>0</v>
      </c>
      <c r="AD191" s="383">
        <f>'950 West'!AD52</f>
        <v>0</v>
      </c>
      <c r="AE191" s="383">
        <f>'950 West'!AE52</f>
        <v>0</v>
      </c>
      <c r="AF191" s="383">
        <f>'950 West'!AF52</f>
        <v>0</v>
      </c>
      <c r="AG191" s="383">
        <f>'950 West'!AG52</f>
        <v>0</v>
      </c>
      <c r="AH191" s="383">
        <f>'950 West'!AH52</f>
        <v>0</v>
      </c>
      <c r="AI191" s="383">
        <f>'950 West'!AI52</f>
        <v>0</v>
      </c>
      <c r="AJ191" s="383">
        <f>'950 West'!AJ52</f>
        <v>0</v>
      </c>
      <c r="AK191" s="383">
        <f>'950 West'!AK52</f>
        <v>0</v>
      </c>
      <c r="AL191" s="383">
        <f>'950 West'!AL52</f>
        <v>0</v>
      </c>
    </row>
    <row r="192" spans="1:38">
      <c r="B192" s="520" t="s">
        <v>716</v>
      </c>
      <c r="C192" s="358" t="s">
        <v>295</v>
      </c>
      <c r="D192" s="383">
        <f>'950 West'!D53</f>
        <v>0</v>
      </c>
      <c r="E192" s="383">
        <f>'950 West'!E53</f>
        <v>0</v>
      </c>
      <c r="F192" s="383">
        <f>'950 West'!F53</f>
        <v>0</v>
      </c>
      <c r="G192" s="383">
        <f>'950 West'!G53</f>
        <v>0</v>
      </c>
      <c r="H192" s="383">
        <f>'950 West'!H53</f>
        <v>0</v>
      </c>
      <c r="I192" s="383">
        <f>'950 West'!I53</f>
        <v>0</v>
      </c>
      <c r="J192" s="383">
        <f>'950 West'!J53</f>
        <v>0</v>
      </c>
      <c r="K192" s="383">
        <f>'950 West'!K53</f>
        <v>0</v>
      </c>
      <c r="L192" s="383">
        <f>'950 West'!L53</f>
        <v>0</v>
      </c>
      <c r="M192" s="383">
        <f>'950 West'!M53</f>
        <v>0</v>
      </c>
      <c r="N192" s="383">
        <f>'950 West'!N53</f>
        <v>0</v>
      </c>
      <c r="O192" s="383">
        <f>'950 West'!O53</f>
        <v>0</v>
      </c>
      <c r="P192" s="383">
        <f>'950 West'!P53</f>
        <v>0</v>
      </c>
      <c r="Q192" s="383">
        <f>'950 West'!Q53</f>
        <v>0</v>
      </c>
      <c r="R192" s="383">
        <f>'950 West'!R53</f>
        <v>0</v>
      </c>
      <c r="S192" s="383">
        <f>'950 West'!S53</f>
        <v>0</v>
      </c>
      <c r="T192" s="383">
        <f>'950 West'!T53</f>
        <v>0</v>
      </c>
      <c r="U192" s="383">
        <f>'950 West'!U53</f>
        <v>0</v>
      </c>
      <c r="V192" s="383">
        <f>'950 West'!V53</f>
        <v>0</v>
      </c>
      <c r="W192" s="383">
        <f>'950 West'!W53</f>
        <v>0</v>
      </c>
      <c r="X192" s="383">
        <f>'950 West'!X53</f>
        <v>0</v>
      </c>
      <c r="Y192" s="383">
        <f>'950 West'!Y53</f>
        <v>0</v>
      </c>
      <c r="Z192" s="383">
        <f>'950 West'!Z53</f>
        <v>0</v>
      </c>
      <c r="AA192" s="383">
        <f>'950 West'!AA53</f>
        <v>0</v>
      </c>
      <c r="AB192" s="383">
        <f>'950 West'!AB53</f>
        <v>0</v>
      </c>
      <c r="AC192" s="383">
        <f>'950 West'!AC53</f>
        <v>0</v>
      </c>
      <c r="AD192" s="383">
        <f>'950 West'!AD53</f>
        <v>0</v>
      </c>
      <c r="AE192" s="383">
        <f>'950 West'!AE53</f>
        <v>0</v>
      </c>
      <c r="AF192" s="383">
        <f>'950 West'!AF53</f>
        <v>0</v>
      </c>
      <c r="AG192" s="383">
        <f>'950 West'!AG53</f>
        <v>0</v>
      </c>
      <c r="AH192" s="383">
        <f>'950 West'!AH53</f>
        <v>0</v>
      </c>
      <c r="AI192" s="383">
        <f>'950 West'!AI53</f>
        <v>0</v>
      </c>
      <c r="AJ192" s="383">
        <f>'950 West'!AJ53</f>
        <v>0</v>
      </c>
      <c r="AK192" s="383">
        <f>'950 West'!AK53</f>
        <v>0</v>
      </c>
      <c r="AL192" s="383">
        <f>'950 West'!AL53</f>
        <v>0</v>
      </c>
    </row>
    <row r="193" spans="1:38">
      <c r="D193" s="358"/>
      <c r="F193" s="464"/>
      <c r="G193" s="465"/>
      <c r="H193" s="465"/>
    </row>
    <row r="194" spans="1:38">
      <c r="B194" s="358" t="s">
        <v>208</v>
      </c>
      <c r="C194" s="362" t="s">
        <v>292</v>
      </c>
      <c r="D194" s="485">
        <f>SUMPRODUCT(D191:D192,D$150:D$151)</f>
        <v>197.43481367988588</v>
      </c>
      <c r="E194" s="485">
        <f t="shared" ref="E194:AE194" si="130">SUMPRODUCT(E191:E192,E$150:E$151)</f>
        <v>205.9159074100651</v>
      </c>
      <c r="F194" s="485">
        <f t="shared" si="130"/>
        <v>213.62367178296074</v>
      </c>
      <c r="G194" s="485">
        <f t="shared" si="130"/>
        <v>219.05690309434107</v>
      </c>
      <c r="H194" s="485">
        <f t="shared" si="130"/>
        <v>0</v>
      </c>
      <c r="I194" s="485">
        <f t="shared" si="130"/>
        <v>0</v>
      </c>
      <c r="J194" s="485">
        <f t="shared" si="130"/>
        <v>0</v>
      </c>
      <c r="K194" s="485">
        <f t="shared" si="130"/>
        <v>0</v>
      </c>
      <c r="L194" s="485">
        <f t="shared" si="130"/>
        <v>0</v>
      </c>
      <c r="M194" s="485">
        <f t="shared" si="130"/>
        <v>0</v>
      </c>
      <c r="N194" s="485">
        <f t="shared" si="130"/>
        <v>0</v>
      </c>
      <c r="O194" s="485">
        <f t="shared" si="130"/>
        <v>0</v>
      </c>
      <c r="P194" s="485">
        <f t="shared" si="130"/>
        <v>0</v>
      </c>
      <c r="Q194" s="485">
        <f t="shared" si="130"/>
        <v>0</v>
      </c>
      <c r="R194" s="485">
        <f t="shared" si="130"/>
        <v>0</v>
      </c>
      <c r="S194" s="485">
        <f t="shared" si="130"/>
        <v>0</v>
      </c>
      <c r="T194" s="485">
        <f t="shared" si="130"/>
        <v>0</v>
      </c>
      <c r="U194" s="485">
        <f t="shared" si="130"/>
        <v>0</v>
      </c>
      <c r="V194" s="485">
        <f t="shared" si="130"/>
        <v>0</v>
      </c>
      <c r="W194" s="485">
        <f t="shared" si="130"/>
        <v>0</v>
      </c>
      <c r="X194" s="485">
        <f t="shared" si="130"/>
        <v>0</v>
      </c>
      <c r="Y194" s="485">
        <f t="shared" si="130"/>
        <v>0</v>
      </c>
      <c r="Z194" s="485">
        <f t="shared" si="130"/>
        <v>0</v>
      </c>
      <c r="AA194" s="485">
        <f t="shared" si="130"/>
        <v>0</v>
      </c>
      <c r="AB194" s="485">
        <f t="shared" si="130"/>
        <v>0</v>
      </c>
      <c r="AC194" s="485">
        <f t="shared" si="130"/>
        <v>0</v>
      </c>
      <c r="AD194" s="485">
        <f t="shared" si="130"/>
        <v>0</v>
      </c>
      <c r="AE194" s="485">
        <f t="shared" si="130"/>
        <v>0</v>
      </c>
      <c r="AF194" s="485">
        <f t="shared" ref="AF194:AJ194" si="131">SUMPRODUCT(AF191:AF192,AF$150:AF$151)</f>
        <v>0</v>
      </c>
      <c r="AG194" s="485">
        <f t="shared" si="131"/>
        <v>0</v>
      </c>
      <c r="AH194" s="485">
        <f t="shared" si="131"/>
        <v>0</v>
      </c>
      <c r="AI194" s="485">
        <f t="shared" si="131"/>
        <v>0</v>
      </c>
      <c r="AJ194" s="485">
        <f t="shared" si="131"/>
        <v>0</v>
      </c>
      <c r="AK194" s="485">
        <f t="shared" ref="AK194:AL194" si="132">SUMPRODUCT(AK191:AK192,AK$150:AK$151)</f>
        <v>0</v>
      </c>
      <c r="AL194" s="485">
        <f t="shared" si="132"/>
        <v>0</v>
      </c>
    </row>
    <row r="196" spans="1:38" ht="13">
      <c r="B196" s="364" t="s">
        <v>520</v>
      </c>
      <c r="C196" s="387" t="s">
        <v>292</v>
      </c>
      <c r="D196" s="488">
        <f>D189+D194</f>
        <v>294.23922830825103</v>
      </c>
      <c r="E196" s="488">
        <f t="shared" ref="E196:AE196" si="133">E189+E194</f>
        <v>306.63251325160633</v>
      </c>
      <c r="F196" s="488">
        <f t="shared" si="133"/>
        <v>318.41057361158954</v>
      </c>
      <c r="G196" s="488">
        <f t="shared" si="133"/>
        <v>328.07859522838828</v>
      </c>
      <c r="H196" s="488">
        <f t="shared" si="133"/>
        <v>0</v>
      </c>
      <c r="I196" s="488">
        <f t="shared" si="133"/>
        <v>0</v>
      </c>
      <c r="J196" s="488">
        <f t="shared" si="133"/>
        <v>0</v>
      </c>
      <c r="K196" s="488">
        <f t="shared" si="133"/>
        <v>0</v>
      </c>
      <c r="L196" s="488">
        <f t="shared" si="133"/>
        <v>0</v>
      </c>
      <c r="M196" s="488">
        <f t="shared" si="133"/>
        <v>0</v>
      </c>
      <c r="N196" s="488">
        <f t="shared" si="133"/>
        <v>0</v>
      </c>
      <c r="O196" s="488">
        <f t="shared" si="133"/>
        <v>0</v>
      </c>
      <c r="P196" s="488">
        <f t="shared" si="133"/>
        <v>0</v>
      </c>
      <c r="Q196" s="488">
        <f t="shared" si="133"/>
        <v>0</v>
      </c>
      <c r="R196" s="488">
        <f t="shared" si="133"/>
        <v>0</v>
      </c>
      <c r="S196" s="488">
        <f t="shared" si="133"/>
        <v>0</v>
      </c>
      <c r="T196" s="488">
        <f t="shared" si="133"/>
        <v>0</v>
      </c>
      <c r="U196" s="488">
        <f t="shared" si="133"/>
        <v>0</v>
      </c>
      <c r="V196" s="488">
        <f t="shared" si="133"/>
        <v>0</v>
      </c>
      <c r="W196" s="488">
        <f t="shared" si="133"/>
        <v>0</v>
      </c>
      <c r="X196" s="488">
        <f t="shared" si="133"/>
        <v>0</v>
      </c>
      <c r="Y196" s="488">
        <f t="shared" si="133"/>
        <v>0</v>
      </c>
      <c r="Z196" s="488">
        <f t="shared" si="133"/>
        <v>0</v>
      </c>
      <c r="AA196" s="488">
        <f t="shared" si="133"/>
        <v>0</v>
      </c>
      <c r="AB196" s="488">
        <f t="shared" si="133"/>
        <v>0</v>
      </c>
      <c r="AC196" s="488">
        <f t="shared" si="133"/>
        <v>0</v>
      </c>
      <c r="AD196" s="488">
        <f t="shared" si="133"/>
        <v>0</v>
      </c>
      <c r="AE196" s="488">
        <f t="shared" si="133"/>
        <v>0</v>
      </c>
      <c r="AF196" s="488">
        <f t="shared" ref="AF196:AJ196" si="134">AF189+AF194</f>
        <v>0</v>
      </c>
      <c r="AG196" s="488">
        <f t="shared" si="134"/>
        <v>0</v>
      </c>
      <c r="AH196" s="488">
        <f t="shared" si="134"/>
        <v>0</v>
      </c>
      <c r="AI196" s="488">
        <f t="shared" si="134"/>
        <v>0</v>
      </c>
      <c r="AJ196" s="488">
        <f t="shared" si="134"/>
        <v>0</v>
      </c>
      <c r="AK196" s="488">
        <f t="shared" ref="AK196:AL196" si="135">AK189+AK194</f>
        <v>0</v>
      </c>
      <c r="AL196" s="488">
        <f t="shared" si="135"/>
        <v>0</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E201" si="136">E172-E191</f>
        <v>0</v>
      </c>
      <c r="F200" s="383">
        <f t="shared" si="136"/>
        <v>0</v>
      </c>
      <c r="G200" s="383">
        <f t="shared" si="136"/>
        <v>0</v>
      </c>
      <c r="H200" s="383">
        <f t="shared" si="136"/>
        <v>109.69100970287106</v>
      </c>
      <c r="I200" s="383">
        <f t="shared" si="136"/>
        <v>114.12399146275708</v>
      </c>
      <c r="J200" s="383">
        <f t="shared" si="136"/>
        <v>118.73612489001043</v>
      </c>
      <c r="K200" s="383">
        <f t="shared" si="136"/>
        <v>123.53465010463597</v>
      </c>
      <c r="L200" s="383">
        <f t="shared" si="136"/>
        <v>128.52709982418139</v>
      </c>
      <c r="M200" s="383">
        <f t="shared" si="136"/>
        <v>133.72131118858576</v>
      </c>
      <c r="N200" s="383">
        <f t="shared" si="136"/>
        <v>139.12543806290992</v>
      </c>
      <c r="O200" s="383">
        <f t="shared" si="136"/>
        <v>144.74796383726138</v>
      </c>
      <c r="P200" s="383">
        <f t="shared" si="136"/>
        <v>150.59771474400708</v>
      </c>
      <c r="Q200" s="383">
        <f t="shared" si="136"/>
        <v>156.68387371317945</v>
      </c>
      <c r="R200" s="383">
        <f t="shared" si="136"/>
        <v>163.01599478782583</v>
      </c>
      <c r="S200" s="383">
        <f t="shared" si="136"/>
        <v>169.6040181219314</v>
      </c>
      <c r="T200" s="383">
        <f t="shared" si="136"/>
        <v>176.45828558445635</v>
      </c>
      <c r="U200" s="383">
        <f t="shared" si="136"/>
        <v>183.58955699398709</v>
      </c>
      <c r="V200" s="383">
        <f t="shared" si="136"/>
        <v>191.00902700948274</v>
      </c>
      <c r="W200" s="383">
        <f t="shared" si="136"/>
        <v>198.72834270363347</v>
      </c>
      <c r="X200" s="383">
        <f t="shared" si="136"/>
        <v>206.75962184641745</v>
      </c>
      <c r="Y200" s="383">
        <f t="shared" si="136"/>
        <v>215.11547192755771</v>
      </c>
      <c r="Z200" s="383">
        <f t="shared" si="136"/>
        <v>223.80900994774032</v>
      </c>
      <c r="AA200" s="383">
        <f t="shared" si="136"/>
        <v>232.85388300966196</v>
      </c>
      <c r="AB200" s="383">
        <f t="shared" si="136"/>
        <v>242.2642897412305</v>
      </c>
      <c r="AC200" s="383">
        <f t="shared" si="136"/>
        <v>252.05500258455027</v>
      </c>
      <c r="AD200" s="383">
        <f t="shared" si="136"/>
        <v>262.24139098567821</v>
      </c>
      <c r="AE200" s="383">
        <f t="shared" si="136"/>
        <v>272.83944552155714</v>
      </c>
      <c r="AF200" s="383">
        <f t="shared" ref="AF200:AJ200" si="137">AF172-AF191</f>
        <v>283.86580300199893</v>
      </c>
      <c r="AG200" s="383">
        <f t="shared" si="137"/>
        <v>295.33777258612355</v>
      </c>
      <c r="AH200" s="383">
        <f t="shared" si="137"/>
        <v>307.27336295424988</v>
      </c>
      <c r="AI200" s="383">
        <f t="shared" si="137"/>
        <v>319.69131057789514</v>
      </c>
      <c r="AJ200" s="383">
        <f t="shared" si="137"/>
        <v>332.61110913225895</v>
      </c>
      <c r="AK200" s="383">
        <f t="shared" ref="AK200:AL200" si="138">AK172-AK191</f>
        <v>346.05304009736477</v>
      </c>
      <c r="AL200" s="383">
        <f t="shared" si="138"/>
        <v>360.03820459589684</v>
      </c>
    </row>
    <row r="201" spans="1:38" ht="13">
      <c r="B201" s="364" t="s">
        <v>820</v>
      </c>
      <c r="C201" s="387" t="s">
        <v>295</v>
      </c>
      <c r="D201" s="383">
        <f>D173-D192</f>
        <v>0</v>
      </c>
      <c r="E201" s="383">
        <f t="shared" si="136"/>
        <v>0</v>
      </c>
      <c r="F201" s="383">
        <f t="shared" si="136"/>
        <v>0</v>
      </c>
      <c r="G201" s="383">
        <f t="shared" si="136"/>
        <v>0</v>
      </c>
      <c r="H201" s="383">
        <f t="shared" si="136"/>
        <v>0</v>
      </c>
      <c r="I201" s="383">
        <f t="shared" si="136"/>
        <v>0</v>
      </c>
      <c r="J201" s="383">
        <f t="shared" si="136"/>
        <v>0</v>
      </c>
      <c r="K201" s="383">
        <f t="shared" si="136"/>
        <v>0</v>
      </c>
      <c r="L201" s="383">
        <f t="shared" si="136"/>
        <v>0</v>
      </c>
      <c r="M201" s="383">
        <f t="shared" si="136"/>
        <v>0</v>
      </c>
      <c r="N201" s="383">
        <f t="shared" si="136"/>
        <v>0</v>
      </c>
      <c r="O201" s="383">
        <f t="shared" si="136"/>
        <v>0</v>
      </c>
      <c r="P201" s="383">
        <f t="shared" si="136"/>
        <v>0</v>
      </c>
      <c r="Q201" s="383">
        <f t="shared" si="136"/>
        <v>0</v>
      </c>
      <c r="R201" s="383">
        <f t="shared" si="136"/>
        <v>0</v>
      </c>
      <c r="S201" s="383">
        <f t="shared" si="136"/>
        <v>0</v>
      </c>
      <c r="T201" s="383">
        <f t="shared" si="136"/>
        <v>0</v>
      </c>
      <c r="U201" s="383">
        <f t="shared" si="136"/>
        <v>0</v>
      </c>
      <c r="V201" s="383">
        <f t="shared" si="136"/>
        <v>0</v>
      </c>
      <c r="W201" s="383">
        <f t="shared" si="136"/>
        <v>0</v>
      </c>
      <c r="X201" s="383">
        <f t="shared" si="136"/>
        <v>0</v>
      </c>
      <c r="Y201" s="383">
        <f t="shared" si="136"/>
        <v>0</v>
      </c>
      <c r="Z201" s="383">
        <f t="shared" si="136"/>
        <v>0</v>
      </c>
      <c r="AA201" s="383">
        <f t="shared" si="136"/>
        <v>0</v>
      </c>
      <c r="AB201" s="383">
        <f t="shared" si="136"/>
        <v>0</v>
      </c>
      <c r="AC201" s="383">
        <f t="shared" si="136"/>
        <v>0</v>
      </c>
      <c r="AD201" s="383">
        <f t="shared" si="136"/>
        <v>0</v>
      </c>
      <c r="AE201" s="383">
        <f t="shared" si="136"/>
        <v>0</v>
      </c>
      <c r="AF201" s="383">
        <f t="shared" ref="AF201:AJ201" si="139">AF173-AF192</f>
        <v>0</v>
      </c>
      <c r="AG201" s="383">
        <f t="shared" si="139"/>
        <v>0</v>
      </c>
      <c r="AH201" s="383">
        <f t="shared" si="139"/>
        <v>0</v>
      </c>
      <c r="AI201" s="383">
        <f t="shared" si="139"/>
        <v>0</v>
      </c>
      <c r="AJ201" s="383">
        <f t="shared" si="139"/>
        <v>0</v>
      </c>
      <c r="AK201" s="383">
        <f t="shared" ref="AK201:AL201" si="140">AK173-AK192</f>
        <v>0</v>
      </c>
      <c r="AL201" s="383">
        <f t="shared" si="140"/>
        <v>0</v>
      </c>
    </row>
    <row r="202" spans="1:38" ht="13">
      <c r="B202" s="364" t="s">
        <v>821</v>
      </c>
      <c r="C202" s="387" t="s">
        <v>479</v>
      </c>
      <c r="D202" s="383">
        <f>SUM(D166:D168)-SUM(D185:D187)</f>
        <v>0</v>
      </c>
      <c r="E202" s="383">
        <f t="shared" ref="E202:AE202" si="141">SUM(E166:E168)-SUM(E185:E187)</f>
        <v>0</v>
      </c>
      <c r="F202" s="383">
        <f t="shared" si="141"/>
        <v>0</v>
      </c>
      <c r="G202" s="383">
        <f t="shared" si="141"/>
        <v>0</v>
      </c>
      <c r="H202" s="383">
        <f t="shared" si="141"/>
        <v>10.585565971326018</v>
      </c>
      <c r="I202" s="383">
        <f t="shared" si="141"/>
        <v>11.013364211091242</v>
      </c>
      <c r="J202" s="383">
        <f t="shared" si="141"/>
        <v>11.458451213161846</v>
      </c>
      <c r="K202" s="383">
        <f t="shared" si="141"/>
        <v>11.921525674433401</v>
      </c>
      <c r="L202" s="383">
        <f t="shared" si="141"/>
        <v>12.403314528487433</v>
      </c>
      <c r="M202" s="383">
        <f t="shared" si="141"/>
        <v>12.904574086730653</v>
      </c>
      <c r="N202" s="383">
        <f t="shared" si="141"/>
        <v>13.426091225651447</v>
      </c>
      <c r="O202" s="383">
        <f t="shared" si="141"/>
        <v>13.96868462205739</v>
      </c>
      <c r="P202" s="383">
        <f t="shared" si="141"/>
        <v>14.53320603823285</v>
      </c>
      <c r="Q202" s="383">
        <f t="shared" si="141"/>
        <v>15.120541659034101</v>
      </c>
      <c r="R202" s="383">
        <f t="shared" si="141"/>
        <v>15.731613483020954</v>
      </c>
      <c r="S202" s="383">
        <f t="shared" si="141"/>
        <v>16.367380769808765</v>
      </c>
      <c r="T202" s="383">
        <f t="shared" si="141"/>
        <v>17.02884154591257</v>
      </c>
      <c r="U202" s="383">
        <f t="shared" si="141"/>
        <v>17.717034171447704</v>
      </c>
      <c r="V202" s="383">
        <f t="shared" si="141"/>
        <v>18.433038970145883</v>
      </c>
      <c r="W202" s="383">
        <f t="shared" si="141"/>
        <v>19.177979925245747</v>
      </c>
      <c r="X202" s="383">
        <f t="shared" si="141"/>
        <v>19.953026443920006</v>
      </c>
      <c r="Y202" s="383">
        <f t="shared" si="141"/>
        <v>20.759395193009063</v>
      </c>
      <c r="Z202" s="383">
        <f t="shared" si="141"/>
        <v>21.598352008942772</v>
      </c>
      <c r="AA202" s="383">
        <f t="shared" si="141"/>
        <v>22.471213884848495</v>
      </c>
      <c r="AB202" s="383">
        <f t="shared" si="141"/>
        <v>23.379351037964899</v>
      </c>
      <c r="AC202" s="383">
        <f t="shared" si="141"/>
        <v>24.324189060606948</v>
      </c>
      <c r="AD202" s="383">
        <f t="shared" si="141"/>
        <v>25.307211158058454</v>
      </c>
      <c r="AE202" s="383">
        <f t="shared" si="141"/>
        <v>26.329960476905509</v>
      </c>
      <c r="AF202" s="383">
        <f t="shared" ref="AF202:AJ202" si="142">SUM(AF166:AF168)-SUM(AF185:AF187)</f>
        <v>27.394042527465626</v>
      </c>
      <c r="AG202" s="383">
        <f t="shared" si="142"/>
        <v>28.501127704115419</v>
      </c>
      <c r="AH202" s="383">
        <f t="shared" si="142"/>
        <v>29.652953907473062</v>
      </c>
      <c r="AI202" s="383">
        <f t="shared" si="142"/>
        <v>30.851329272552118</v>
      </c>
      <c r="AJ202" s="383">
        <f t="shared" si="142"/>
        <v>32.098135007169049</v>
      </c>
      <c r="AK202" s="383">
        <f t="shared" ref="AK202:AL202" si="143">SUM(AK166:AK168)-SUM(AK185:AK187)</f>
        <v>33.395328345060378</v>
      </c>
      <c r="AL202" s="383">
        <f t="shared" si="143"/>
        <v>34.744945618345291</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E204" si="144">D177-D196</f>
        <v>0</v>
      </c>
      <c r="E204" s="488">
        <f t="shared" si="144"/>
        <v>0</v>
      </c>
      <c r="F204" s="488">
        <f t="shared" si="144"/>
        <v>0</v>
      </c>
      <c r="G204" s="488">
        <f t="shared" si="144"/>
        <v>0</v>
      </c>
      <c r="H204" s="488">
        <f t="shared" si="144"/>
        <v>344.97229277775153</v>
      </c>
      <c r="I204" s="488">
        <f t="shared" si="144"/>
        <v>361.83877855194316</v>
      </c>
      <c r="J204" s="488">
        <f t="shared" si="144"/>
        <v>380.68189832369058</v>
      </c>
      <c r="K204" s="488">
        <f t="shared" si="144"/>
        <v>398.13931907110765</v>
      </c>
      <c r="L204" s="488">
        <f t="shared" si="144"/>
        <v>419.18945418285898</v>
      </c>
      <c r="M204" s="488">
        <f t="shared" si="144"/>
        <v>447.80444448628157</v>
      </c>
      <c r="N204" s="488">
        <f t="shared" si="144"/>
        <v>469.01994309667305</v>
      </c>
      <c r="O204" s="488">
        <f t="shared" si="144"/>
        <v>491.98919752622885</v>
      </c>
      <c r="P204" s="488">
        <f t="shared" si="144"/>
        <v>519.88362905036604</v>
      </c>
      <c r="Q204" s="488">
        <f t="shared" si="144"/>
        <v>548.54176748037867</v>
      </c>
      <c r="R204" s="488">
        <f t="shared" si="144"/>
        <v>576.11644333534582</v>
      </c>
      <c r="S204" s="488">
        <f t="shared" si="144"/>
        <v>605.80264161887612</v>
      </c>
      <c r="T204" s="488">
        <f t="shared" si="144"/>
        <v>632.33772185799489</v>
      </c>
      <c r="U204" s="488">
        <f t="shared" si="144"/>
        <v>664.3591859136053</v>
      </c>
      <c r="V204" s="488">
        <f t="shared" si="144"/>
        <v>699.40494018675133</v>
      </c>
      <c r="W204" s="488">
        <f t="shared" si="144"/>
        <v>730.29325600207153</v>
      </c>
      <c r="X204" s="488">
        <f t="shared" si="144"/>
        <v>764.82801432350175</v>
      </c>
      <c r="Y204" s="488">
        <f t="shared" si="144"/>
        <v>806.51349025648187</v>
      </c>
      <c r="Z204" s="488">
        <f t="shared" si="144"/>
        <v>845.32459706470706</v>
      </c>
      <c r="AA204" s="488">
        <f t="shared" si="144"/>
        <v>885.82016034880405</v>
      </c>
      <c r="AB204" s="488">
        <f t="shared" si="144"/>
        <v>932.1396943604434</v>
      </c>
      <c r="AC204" s="488">
        <f t="shared" si="144"/>
        <v>972.882885542503</v>
      </c>
      <c r="AD204" s="488">
        <f t="shared" si="144"/>
        <v>1027.57398666879</v>
      </c>
      <c r="AE204" s="488">
        <f t="shared" si="144"/>
        <v>1080.0744833777956</v>
      </c>
      <c r="AF204" s="488">
        <f t="shared" ref="AF204:AJ204" si="145">AF177-AF196</f>
        <v>1132.550440617259</v>
      </c>
      <c r="AG204" s="488">
        <f t="shared" si="145"/>
        <v>1186.2347703803198</v>
      </c>
      <c r="AH204" s="488">
        <f t="shared" si="145"/>
        <v>1243.6116784004844</v>
      </c>
      <c r="AI204" s="488">
        <f t="shared" si="145"/>
        <v>1303.7550494412128</v>
      </c>
      <c r="AJ204" s="488">
        <f t="shared" si="145"/>
        <v>1366.7981063792813</v>
      </c>
      <c r="AK204" s="488">
        <f t="shared" ref="AK204:AL204" si="146">AK177-AK196</f>
        <v>1432.8804874650186</v>
      </c>
      <c r="AL204" s="488">
        <f t="shared" si="146"/>
        <v>1502.1485554699559</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4" tint="-0.249977111117893"/>
  </sheetPr>
  <dimension ref="A1:AL72"/>
  <sheetViews>
    <sheetView showGridLines="0" zoomScaleNormal="10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Inputs'!D24</f>
        <v>968062Y</v>
      </c>
      <c r="E4" s="410"/>
    </row>
    <row r="5" spans="1:38">
      <c r="B5" s="358" t="s">
        <v>628</v>
      </c>
      <c r="C5" s="399" t="s">
        <v>629</v>
      </c>
      <c r="D5" s="439" t="str">
        <f>'Crossing Inputs'!D26</f>
        <v>Urban</v>
      </c>
      <c r="E5" s="398">
        <f>SUMIFS('Accidents Methodology'!$C$22:$C$23,'Accidents Methodology'!$B$22:$B$23,$D5)</f>
        <v>1</v>
      </c>
    </row>
    <row r="6" spans="1:38">
      <c r="B6" s="358" t="s">
        <v>615</v>
      </c>
      <c r="C6" s="399" t="s">
        <v>150</v>
      </c>
      <c r="D6" s="439" t="str">
        <f>'Crossing Inputs'!D27</f>
        <v>Passive</v>
      </c>
      <c r="E6" s="398">
        <f>SUMIFS('Accidents Methodology'!$C$3:$C$5,'Accidents Methodology'!$B$3:$B$5,$D6)</f>
        <v>2.2680000000000001E-3</v>
      </c>
    </row>
    <row r="7" spans="1:38">
      <c r="B7" s="358" t="s">
        <v>630</v>
      </c>
      <c r="C7" s="399" t="s">
        <v>631</v>
      </c>
      <c r="D7" s="439" t="str">
        <f>'Crossing Inputs'!D29</f>
        <v>Yes</v>
      </c>
      <c r="E7" s="398">
        <f>SUMIFS('Accidents Methodology'!$C$26:$C$27,'Accidents Methodology'!$B$26:$B$27,$D7)</f>
        <v>1</v>
      </c>
    </row>
    <row r="8" spans="1:38">
      <c r="B8" s="358" t="s">
        <v>632</v>
      </c>
      <c r="C8" s="399" t="s">
        <v>633</v>
      </c>
      <c r="D8" s="439" t="str">
        <f>'Crossing Inputs'!$D$26&amp;" - "&amp;'Crossing Inputs'!$D$28</f>
        <v>Urban - Local</v>
      </c>
      <c r="E8" s="398">
        <f>SUMIFS('Accidents Methodology'!$C$8:$C$19,'Accidents Methodology'!$B$8:$B$19,$D8)</f>
        <v>6</v>
      </c>
    </row>
    <row r="9" spans="1:38">
      <c r="B9" s="358" t="s">
        <v>607</v>
      </c>
      <c r="C9" s="399" t="s">
        <v>635</v>
      </c>
      <c r="D9" s="439">
        <f>'Crossing Inputs'!D30</f>
        <v>0</v>
      </c>
    </row>
    <row r="10" spans="1:38">
      <c r="B10" s="358" t="s">
        <v>636</v>
      </c>
      <c r="C10" s="399" t="s">
        <v>637</v>
      </c>
      <c r="D10" s="439">
        <f>'Crossing Inputs'!D35</f>
        <v>2</v>
      </c>
    </row>
    <row r="11" spans="1:38">
      <c r="B11" s="358" t="s">
        <v>610</v>
      </c>
      <c r="C11" s="399" t="s">
        <v>638</v>
      </c>
      <c r="D11" s="439">
        <f>'Crossing Inputs'!D31</f>
        <v>1</v>
      </c>
    </row>
    <row r="12" spans="1:38">
      <c r="C12" s="399"/>
    </row>
    <row r="13" spans="1:38" ht="13">
      <c r="C13" s="399"/>
      <c r="D13" s="440">
        <f>D$1</f>
        <v>2021</v>
      </c>
      <c r="E13" s="440">
        <f t="shared" ref="E13:AL13" si="0">E$1</f>
        <v>2022</v>
      </c>
      <c r="F13" s="440">
        <f t="shared" si="0"/>
        <v>2023</v>
      </c>
      <c r="G13" s="440">
        <f t="shared" si="0"/>
        <v>2024</v>
      </c>
      <c r="H13" s="440">
        <f t="shared" si="0"/>
        <v>2025</v>
      </c>
      <c r="I13" s="440">
        <f t="shared" si="0"/>
        <v>2026</v>
      </c>
      <c r="J13" s="440">
        <f t="shared" si="0"/>
        <v>2027</v>
      </c>
      <c r="K13" s="440">
        <f t="shared" si="0"/>
        <v>2028</v>
      </c>
      <c r="L13" s="440">
        <f t="shared" si="0"/>
        <v>2029</v>
      </c>
      <c r="M13" s="440">
        <f t="shared" si="0"/>
        <v>2030</v>
      </c>
      <c r="N13" s="440">
        <f t="shared" si="0"/>
        <v>2031</v>
      </c>
      <c r="O13" s="440">
        <f t="shared" si="0"/>
        <v>2032</v>
      </c>
      <c r="P13" s="440">
        <f t="shared" si="0"/>
        <v>2033</v>
      </c>
      <c r="Q13" s="440">
        <f t="shared" si="0"/>
        <v>2034</v>
      </c>
      <c r="R13" s="440">
        <f t="shared" si="0"/>
        <v>2035</v>
      </c>
      <c r="S13" s="440">
        <f t="shared" si="0"/>
        <v>2036</v>
      </c>
      <c r="T13" s="440">
        <f t="shared" si="0"/>
        <v>2037</v>
      </c>
      <c r="U13" s="440">
        <f t="shared" si="0"/>
        <v>2038</v>
      </c>
      <c r="V13" s="440">
        <f t="shared" si="0"/>
        <v>2039</v>
      </c>
      <c r="W13" s="440">
        <f t="shared" si="0"/>
        <v>2040</v>
      </c>
      <c r="X13" s="440">
        <f t="shared" si="0"/>
        <v>2041</v>
      </c>
      <c r="Y13" s="440">
        <f t="shared" si="0"/>
        <v>2042</v>
      </c>
      <c r="Z13" s="440">
        <f t="shared" si="0"/>
        <v>2043</v>
      </c>
      <c r="AA13" s="440">
        <f t="shared" si="0"/>
        <v>2044</v>
      </c>
      <c r="AB13" s="440">
        <f t="shared" si="0"/>
        <v>2045</v>
      </c>
      <c r="AC13" s="440">
        <f t="shared" si="0"/>
        <v>2046</v>
      </c>
      <c r="AD13" s="440">
        <f t="shared" si="0"/>
        <v>2047</v>
      </c>
      <c r="AE13" s="440">
        <f t="shared" si="0"/>
        <v>2048</v>
      </c>
      <c r="AF13" s="440">
        <f t="shared" si="0"/>
        <v>2049</v>
      </c>
      <c r="AG13" s="440">
        <f t="shared" si="0"/>
        <v>2050</v>
      </c>
      <c r="AH13" s="440">
        <f t="shared" si="0"/>
        <v>2051</v>
      </c>
      <c r="AI13" s="440">
        <f t="shared" si="0"/>
        <v>2052</v>
      </c>
      <c r="AJ13" s="440">
        <f t="shared" si="0"/>
        <v>2053</v>
      </c>
      <c r="AK13" s="440">
        <f t="shared" si="0"/>
        <v>2054</v>
      </c>
      <c r="AL13" s="440">
        <f t="shared" si="0"/>
        <v>2055</v>
      </c>
    </row>
    <row r="14" spans="1:38" ht="13">
      <c r="B14" s="400" t="s">
        <v>639</v>
      </c>
      <c r="C14" s="401" t="s">
        <v>640</v>
      </c>
      <c r="D14" s="441">
        <f>'950 West'!D6</f>
        <v>757.22529230485088</v>
      </c>
      <c r="E14" s="441">
        <f>'950 West'!E6</f>
        <v>779.55896095558853</v>
      </c>
      <c r="F14" s="441">
        <f>'950 West'!F6</f>
        <v>802.55134077256673</v>
      </c>
      <c r="G14" s="441">
        <f>'950 West'!G6</f>
        <v>826.22185984023133</v>
      </c>
      <c r="H14" s="441">
        <f>'950 West'!H6</f>
        <v>850.59051925664085</v>
      </c>
      <c r="I14" s="441">
        <f>'950 West'!I6</f>
        <v>875.67791003398008</v>
      </c>
      <c r="J14" s="441">
        <f>'950 West'!J6</f>
        <v>901.50523049753895</v>
      </c>
      <c r="K14" s="441">
        <f>'950 West'!K6</f>
        <v>928.09430419785747</v>
      </c>
      <c r="L14" s="441">
        <f>'950 West'!L6</f>
        <v>955.46759835117439</v>
      </c>
      <c r="M14" s="441">
        <f>'950 West'!M6</f>
        <v>983.64824282375798</v>
      </c>
      <c r="N14" s="441">
        <f>'950 West'!N6</f>
        <v>1012.6600496761655</v>
      </c>
      <c r="O14" s="441">
        <f>'950 West'!O6</f>
        <v>1042.5275332839396</v>
      </c>
      <c r="P14" s="441">
        <f>'950 West'!P6</f>
        <v>1073.2759310517479</v>
      </c>
      <c r="Q14" s="441">
        <f>'950 West'!Q6</f>
        <v>1104.9312247384671</v>
      </c>
      <c r="R14" s="441">
        <f>'950 West'!R6</f>
        <v>1137.5201624112303</v>
      </c>
      <c r="S14" s="441">
        <f>'950 West'!S6</f>
        <v>1171.0702810469904</v>
      </c>
      <c r="T14" s="441">
        <f>'950 West'!T6</f>
        <v>1205.6099298006936</v>
      </c>
      <c r="U14" s="441">
        <f>'950 West'!U6</f>
        <v>1241.1682939597288</v>
      </c>
      <c r="V14" s="441">
        <f>'950 West'!V6</f>
        <v>1277.7754196048904</v>
      </c>
      <c r="W14" s="441">
        <f>'950 West'!W6</f>
        <v>1315.4622389986941</v>
      </c>
      <c r="X14" s="441">
        <f>'950 West'!X6</f>
        <v>1354.2605967224965</v>
      </c>
      <c r="Y14" s="441">
        <f>'950 West'!Y6</f>
        <v>1394.2032765845079</v>
      </c>
      <c r="Z14" s="441">
        <f>'950 West'!Z6</f>
        <v>1435.3240293214299</v>
      </c>
      <c r="AA14" s="441">
        <f>'950 West'!AA6</f>
        <v>1477.6576011171289</v>
      </c>
      <c r="AB14" s="441">
        <f>'950 West'!AB6</f>
        <v>1521.2397629624411</v>
      </c>
      <c r="AC14" s="441">
        <f>'950 West'!AC6</f>
        <v>1566.1073408809186</v>
      </c>
      <c r="AD14" s="441">
        <f>'950 West'!AD6</f>
        <v>1612.2982470460565</v>
      </c>
      <c r="AE14" s="441">
        <f>'950 West'!AE6</f>
        <v>1659.8515118162927</v>
      </c>
      <c r="AF14" s="441">
        <f>'950 West'!AF6</f>
        <v>1708.8073167148523</v>
      </c>
      <c r="AG14" s="441">
        <f>'950 West'!AG6</f>
        <v>1759.2070283823034</v>
      </c>
      <c r="AH14" s="441">
        <f>'950 West'!AH6</f>
        <v>1811.0932335305088</v>
      </c>
      <c r="AI14" s="441">
        <f>'950 West'!AI6</f>
        <v>1864.5097749275169</v>
      </c>
      <c r="AJ14" s="441">
        <f>'950 West'!AJ6</f>
        <v>1919.5017884437907</v>
      </c>
      <c r="AK14" s="441">
        <f>'950 West'!AK6</f>
        <v>1976.1157411910835</v>
      </c>
      <c r="AL14" s="441">
        <f>'950 West'!AL6</f>
        <v>2034.3994707861862</v>
      </c>
    </row>
    <row r="15" spans="1:38" ht="13">
      <c r="B15" s="400" t="s">
        <v>641</v>
      </c>
      <c r="C15" s="401" t="s">
        <v>642</v>
      </c>
      <c r="D15" s="442">
        <f>'950 West'!D10</f>
        <v>2.021212882214602</v>
      </c>
      <c r="E15" s="442">
        <f>'950 West'!E10</f>
        <v>2.0426507576151294</v>
      </c>
      <c r="F15" s="442">
        <f>'950 West'!F10</f>
        <v>2.064316012578558</v>
      </c>
      <c r="G15" s="442">
        <f>'950 West'!G10</f>
        <v>2.0862110587928311</v>
      </c>
      <c r="H15" s="442">
        <f>'950 West'!H10</f>
        <v>2.1083383335253174</v>
      </c>
      <c r="I15" s="442">
        <f>'950 West'!I10</f>
        <v>2.1307002998941189</v>
      </c>
      <c r="J15" s="442">
        <f>'950 West'!J10</f>
        <v>2.1532994471422544</v>
      </c>
      <c r="K15" s="442">
        <f>'950 West'!K10</f>
        <v>2.1761382909147526</v>
      </c>
      <c r="L15" s="442">
        <f>'950 West'!L10</f>
        <v>2.1992193735386825</v>
      </c>
      <c r="M15" s="442">
        <f>'950 West'!M10</f>
        <v>2.2225452643061563</v>
      </c>
      <c r="N15" s="442">
        <f>'950 West'!N10</f>
        <v>2.2461185597603301</v>
      </c>
      <c r="O15" s="442">
        <f>'950 West'!O10</f>
        <v>2.2699418839844441</v>
      </c>
      <c r="P15" s="442">
        <f>'950 West'!P10</f>
        <v>2.2940178888939209</v>
      </c>
      <c r="Q15" s="442">
        <f>'950 West'!Q10</f>
        <v>2.3183492545315696</v>
      </c>
      <c r="R15" s="442">
        <f>'950 West'!R10</f>
        <v>2.3429386893659134</v>
      </c>
      <c r="S15" s="442">
        <f>'950 West'!S10</f>
        <v>2.3677889305926905</v>
      </c>
      <c r="T15" s="442">
        <f>'950 West'!T10</f>
        <v>2.392902744439541</v>
      </c>
      <c r="U15" s="442">
        <f>'950 West'!U10</f>
        <v>2.4182829264739381</v>
      </c>
      <c r="V15" s="442">
        <f>'950 West'!V10</f>
        <v>2.4439323019143755</v>
      </c>
      <c r="W15" s="442">
        <f>'950 West'!W10</f>
        <v>2.4698537259448612</v>
      </c>
      <c r="X15" s="442">
        <f>'950 West'!X10</f>
        <v>2.4960500840327433</v>
      </c>
      <c r="Y15" s="442">
        <f>'950 West'!Y10</f>
        <v>2.5225242922499103</v>
      </c>
      <c r="Z15" s="442">
        <f>'950 West'!Z10</f>
        <v>2.549279297597395</v>
      </c>
      <c r="AA15" s="442">
        <f>'950 West'!AA10</f>
        <v>2.5763180783334239</v>
      </c>
      <c r="AB15" s="442">
        <f>'950 West'!AB10</f>
        <v>2.6036436443049418</v>
      </c>
      <c r="AC15" s="442">
        <f>'950 West'!AC10</f>
        <v>2.631259037282661</v>
      </c>
      <c r="AD15" s="442">
        <f>'950 West'!AD10</f>
        <v>2.6591673312996531</v>
      </c>
      <c r="AE15" s="442">
        <f>'950 West'!AE10</f>
        <v>2.6873716329935418</v>
      </c>
      <c r="AF15" s="442">
        <f>'950 West'!AF10</f>
        <v>2.7158750819523192</v>
      </c>
      <c r="AG15" s="442">
        <f>'950 West'!AG10</f>
        <v>2.744680851063833</v>
      </c>
      <c r="AH15" s="442">
        <f>'950 West'!AH10</f>
        <v>2.7737921468689781</v>
      </c>
      <c r="AI15" s="442">
        <f>'950 West'!AI10</f>
        <v>2.8032122099186383</v>
      </c>
      <c r="AJ15" s="442">
        <f>'950 West'!AJ10</f>
        <v>2.8329443151344074</v>
      </c>
      <c r="AK15" s="442">
        <f>'950 West'!AK10</f>
        <v>2.8629917721731437</v>
      </c>
      <c r="AL15" s="442">
        <f>'950 West'!AL10</f>
        <v>2.8933579257953856</v>
      </c>
    </row>
    <row r="16" spans="1:38" ht="13">
      <c r="B16" s="400" t="s">
        <v>643</v>
      </c>
      <c r="C16" s="401" t="s">
        <v>644</v>
      </c>
      <c r="D16" s="442">
        <f>'950 West'!D10</f>
        <v>2.021212882214602</v>
      </c>
      <c r="E16" s="442">
        <f>'950 West'!E10</f>
        <v>2.0426507576151294</v>
      </c>
      <c r="F16" s="442">
        <f>'950 West'!F10</f>
        <v>2.064316012578558</v>
      </c>
      <c r="G16" s="442">
        <f>'950 West'!G10</f>
        <v>2.0862110587928311</v>
      </c>
      <c r="H16" s="442">
        <f>'950 West'!H10</f>
        <v>2.1083383335253174</v>
      </c>
      <c r="I16" s="442">
        <f>'950 West'!I10</f>
        <v>2.1307002998941189</v>
      </c>
      <c r="J16" s="442">
        <f>'950 West'!J10</f>
        <v>2.1532994471422544</v>
      </c>
      <c r="K16" s="442">
        <f>'950 West'!K10</f>
        <v>2.1761382909147526</v>
      </c>
      <c r="L16" s="442">
        <f>'950 West'!L10</f>
        <v>2.1992193735386825</v>
      </c>
      <c r="M16" s="442">
        <f>'950 West'!M10</f>
        <v>2.2225452643061563</v>
      </c>
      <c r="N16" s="442">
        <f>'950 West'!N10</f>
        <v>2.2461185597603301</v>
      </c>
      <c r="O16" s="442">
        <f>'950 West'!O10</f>
        <v>2.2699418839844441</v>
      </c>
      <c r="P16" s="442">
        <f>'950 West'!P10</f>
        <v>2.2940178888939209</v>
      </c>
      <c r="Q16" s="442">
        <f>'950 West'!Q10</f>
        <v>2.3183492545315696</v>
      </c>
      <c r="R16" s="442">
        <f>'950 West'!R10</f>
        <v>2.3429386893659134</v>
      </c>
      <c r="S16" s="442">
        <f>'950 West'!S10</f>
        <v>2.3677889305926905</v>
      </c>
      <c r="T16" s="442">
        <f>'950 West'!T10</f>
        <v>2.392902744439541</v>
      </c>
      <c r="U16" s="442">
        <f>'950 West'!U10</f>
        <v>2.4182829264739381</v>
      </c>
      <c r="V16" s="442">
        <f>'950 West'!V10</f>
        <v>2.4439323019143755</v>
      </c>
      <c r="W16" s="442">
        <f>'950 West'!W10</f>
        <v>2.4698537259448612</v>
      </c>
      <c r="X16" s="442">
        <f>'950 West'!X10</f>
        <v>2.4960500840327433</v>
      </c>
      <c r="Y16" s="442">
        <f>'950 West'!Y10</f>
        <v>2.5225242922499103</v>
      </c>
      <c r="Z16" s="442">
        <f>'950 West'!Z10</f>
        <v>2.549279297597395</v>
      </c>
      <c r="AA16" s="442">
        <f>'950 West'!AA10</f>
        <v>2.5763180783334239</v>
      </c>
      <c r="AB16" s="442">
        <f>'950 West'!AB10</f>
        <v>2.6036436443049418</v>
      </c>
      <c r="AC16" s="442">
        <f>'950 West'!AC10</f>
        <v>2.631259037282661</v>
      </c>
      <c r="AD16" s="442">
        <f>'950 West'!AD10</f>
        <v>2.6591673312996531</v>
      </c>
      <c r="AE16" s="442">
        <f>'950 West'!AE10</f>
        <v>2.6873716329935418</v>
      </c>
      <c r="AF16" s="442">
        <f>'950 West'!AF10</f>
        <v>2.7158750819523192</v>
      </c>
      <c r="AG16" s="442">
        <f>'950 West'!AG10</f>
        <v>2.744680851063833</v>
      </c>
      <c r="AH16" s="442">
        <f>'950 West'!AH10</f>
        <v>2.7737921468689781</v>
      </c>
      <c r="AI16" s="442">
        <f>'950 West'!AI10</f>
        <v>2.8032122099186383</v>
      </c>
      <c r="AJ16" s="442">
        <f>'950 West'!AJ10</f>
        <v>2.8329443151344074</v>
      </c>
      <c r="AK16" s="442">
        <f>'950 West'!AK10</f>
        <v>2.8629917721731437</v>
      </c>
      <c r="AL16" s="442">
        <f>'950 West'!AL10</f>
        <v>2.8933579257953856</v>
      </c>
    </row>
    <row r="17" spans="2:38" ht="13">
      <c r="B17" s="400" t="s">
        <v>645</v>
      </c>
      <c r="C17" s="401" t="s">
        <v>646</v>
      </c>
      <c r="D17" s="442">
        <f>'950 West'!D11</f>
        <v>1.010606441107301</v>
      </c>
      <c r="E17" s="442">
        <f>'950 West'!E11</f>
        <v>1.0213253788075647</v>
      </c>
      <c r="F17" s="442">
        <f>'950 West'!F11</f>
        <v>1.032158006289279</v>
      </c>
      <c r="G17" s="442">
        <f>'950 West'!G11</f>
        <v>1.0431055293964155</v>
      </c>
      <c r="H17" s="442">
        <f>'950 West'!H11</f>
        <v>1.0541691667626587</v>
      </c>
      <c r="I17" s="442">
        <f>'950 West'!I11</f>
        <v>1.0653501499470595</v>
      </c>
      <c r="J17" s="442">
        <f>'950 West'!J11</f>
        <v>1.0766497235711272</v>
      </c>
      <c r="K17" s="442">
        <f>'950 West'!K11</f>
        <v>1.0880691454573763</v>
      </c>
      <c r="L17" s="442">
        <f>'950 West'!L11</f>
        <v>1.0996096867693412</v>
      </c>
      <c r="M17" s="442">
        <f>'950 West'!M11</f>
        <v>1.1112726321530781</v>
      </c>
      <c r="N17" s="442">
        <f>'950 West'!N11</f>
        <v>1.1230592798801651</v>
      </c>
      <c r="O17" s="442">
        <f>'950 West'!O11</f>
        <v>1.134970941992222</v>
      </c>
      <c r="P17" s="442">
        <f>'950 West'!P11</f>
        <v>1.1470089444469604</v>
      </c>
      <c r="Q17" s="442">
        <f>'950 West'!Q11</f>
        <v>1.1591746272657848</v>
      </c>
      <c r="R17" s="442">
        <f>'950 West'!R11</f>
        <v>1.1714693446829567</v>
      </c>
      <c r="S17" s="442">
        <f>'950 West'!S11</f>
        <v>1.1838944652963452</v>
      </c>
      <c r="T17" s="442">
        <f>'950 West'!T11</f>
        <v>1.1964513722197705</v>
      </c>
      <c r="U17" s="442">
        <f>'950 West'!U11</f>
        <v>1.209141463236969</v>
      </c>
      <c r="V17" s="442">
        <f>'950 West'!V11</f>
        <v>1.2219661509571877</v>
      </c>
      <c r="W17" s="442">
        <f>'950 West'!W11</f>
        <v>1.2349268629724306</v>
      </c>
      <c r="X17" s="442">
        <f>'950 West'!X11</f>
        <v>1.2480250420163717</v>
      </c>
      <c r="Y17" s="442">
        <f>'950 West'!Y11</f>
        <v>1.2612621461249551</v>
      </c>
      <c r="Z17" s="442">
        <f>'950 West'!Z11</f>
        <v>1.2746396487986975</v>
      </c>
      <c r="AA17" s="442">
        <f>'950 West'!AA11</f>
        <v>1.2881590391667119</v>
      </c>
      <c r="AB17" s="442">
        <f>'950 West'!AB11</f>
        <v>1.3018218221524709</v>
      </c>
      <c r="AC17" s="442">
        <f>'950 West'!AC11</f>
        <v>1.3156295186413305</v>
      </c>
      <c r="AD17" s="442">
        <f>'950 West'!AD11</f>
        <v>1.3295836656498266</v>
      </c>
      <c r="AE17" s="442">
        <f>'950 West'!AE11</f>
        <v>1.3436858164967709</v>
      </c>
      <c r="AF17" s="442">
        <f>'950 West'!AF11</f>
        <v>1.3579375409761596</v>
      </c>
      <c r="AG17" s="442">
        <f>'950 West'!AG11</f>
        <v>1.3723404255319165</v>
      </c>
      <c r="AH17" s="442">
        <f>'950 West'!AH11</f>
        <v>1.3868960734344891</v>
      </c>
      <c r="AI17" s="442">
        <f>'950 West'!AI11</f>
        <v>1.4016061049593191</v>
      </c>
      <c r="AJ17" s="442">
        <f>'950 West'!AJ11</f>
        <v>1.4164721575672037</v>
      </c>
      <c r="AK17" s="442">
        <f>'950 West'!AK11</f>
        <v>1.4314958860865719</v>
      </c>
      <c r="AL17" s="442">
        <f>'950 West'!AL11</f>
        <v>1.4466789628976928</v>
      </c>
    </row>
    <row r="18" spans="2:38" ht="13">
      <c r="B18" s="400" t="s">
        <v>1048</v>
      </c>
      <c r="C18" s="401" t="s">
        <v>647</v>
      </c>
      <c r="D18" s="442">
        <v>0</v>
      </c>
      <c r="E18" s="442">
        <v>0</v>
      </c>
      <c r="F18" s="442">
        <v>0</v>
      </c>
      <c r="G18" s="442">
        <v>0</v>
      </c>
      <c r="H18" s="442">
        <v>0</v>
      </c>
      <c r="I18" s="442">
        <v>0</v>
      </c>
      <c r="J18" s="442">
        <v>0</v>
      </c>
      <c r="K18" s="442">
        <v>0</v>
      </c>
      <c r="L18" s="442">
        <v>0</v>
      </c>
      <c r="M18" s="442">
        <v>0</v>
      </c>
      <c r="N18" s="442">
        <v>0</v>
      </c>
      <c r="O18" s="442">
        <v>0</v>
      </c>
      <c r="P18" s="442">
        <v>0</v>
      </c>
      <c r="Q18" s="442">
        <v>0</v>
      </c>
      <c r="R18" s="442">
        <v>0</v>
      </c>
      <c r="S18" s="442">
        <v>0</v>
      </c>
      <c r="T18" s="442">
        <v>0</v>
      </c>
      <c r="U18" s="442">
        <v>0</v>
      </c>
      <c r="V18" s="442">
        <v>0</v>
      </c>
      <c r="W18" s="442">
        <v>0</v>
      </c>
      <c r="X18" s="442">
        <v>0</v>
      </c>
      <c r="Y18" s="442">
        <v>0</v>
      </c>
      <c r="Z18" s="442">
        <v>0</v>
      </c>
      <c r="AA18" s="442">
        <v>0</v>
      </c>
      <c r="AB18" s="442">
        <v>0</v>
      </c>
      <c r="AC18" s="442">
        <v>0</v>
      </c>
      <c r="AD18" s="442">
        <v>0</v>
      </c>
      <c r="AE18" s="442">
        <v>0</v>
      </c>
      <c r="AF18" s="442">
        <v>0</v>
      </c>
      <c r="AG18" s="442">
        <v>0</v>
      </c>
      <c r="AH18" s="442">
        <v>0</v>
      </c>
      <c r="AI18" s="442">
        <v>0</v>
      </c>
      <c r="AJ18" s="442">
        <v>0</v>
      </c>
      <c r="AK18" s="442">
        <v>0</v>
      </c>
      <c r="AL18" s="442">
        <v>0</v>
      </c>
    </row>
    <row r="19" spans="2:38" ht="13">
      <c r="B19" s="400" t="s">
        <v>648</v>
      </c>
      <c r="C19" s="401" t="s">
        <v>649</v>
      </c>
      <c r="D19" s="441">
        <f>'Crossing Inputs'!$D34</f>
        <v>7.5</v>
      </c>
      <c r="E19" s="441">
        <f>'Crossing Inputs'!$D34</f>
        <v>7.5</v>
      </c>
      <c r="F19" s="441">
        <f>'Crossing Inputs'!$D34</f>
        <v>7.5</v>
      </c>
      <c r="G19" s="441">
        <f>'Crossing Inputs'!$D34</f>
        <v>7.5</v>
      </c>
      <c r="H19" s="441">
        <f>'Crossing Inputs'!$D34</f>
        <v>7.5</v>
      </c>
      <c r="I19" s="441">
        <f>'Crossing Inputs'!$D34</f>
        <v>7.5</v>
      </c>
      <c r="J19" s="441">
        <f>'Crossing Inputs'!$D34</f>
        <v>7.5</v>
      </c>
      <c r="K19" s="441">
        <f>'Crossing Inputs'!$D34</f>
        <v>7.5</v>
      </c>
      <c r="L19" s="441">
        <f>'Crossing Inputs'!$D34</f>
        <v>7.5</v>
      </c>
      <c r="M19" s="441">
        <f>'Crossing Inputs'!$D34</f>
        <v>7.5</v>
      </c>
      <c r="N19" s="441">
        <f>'Crossing Inputs'!$D34</f>
        <v>7.5</v>
      </c>
      <c r="O19" s="441">
        <f>'Crossing Inputs'!$D34</f>
        <v>7.5</v>
      </c>
      <c r="P19" s="441">
        <f>'Crossing Inputs'!$D34</f>
        <v>7.5</v>
      </c>
      <c r="Q19" s="441">
        <f>'Crossing Inputs'!$D34</f>
        <v>7.5</v>
      </c>
      <c r="R19" s="441">
        <f>'Crossing Inputs'!$D34</f>
        <v>7.5</v>
      </c>
      <c r="S19" s="441">
        <f>'Crossing Inputs'!$D34</f>
        <v>7.5</v>
      </c>
      <c r="T19" s="441">
        <f>'Crossing Inputs'!$D34</f>
        <v>7.5</v>
      </c>
      <c r="U19" s="441">
        <f>'Crossing Inputs'!$D34</f>
        <v>7.5</v>
      </c>
      <c r="V19" s="441">
        <f>'Crossing Inputs'!$D34</f>
        <v>7.5</v>
      </c>
      <c r="W19" s="441">
        <f>'Crossing Inputs'!$D34</f>
        <v>7.5</v>
      </c>
      <c r="X19" s="441">
        <f>'Crossing Inputs'!$D34</f>
        <v>7.5</v>
      </c>
      <c r="Y19" s="441">
        <f>'Crossing Inputs'!$D34</f>
        <v>7.5</v>
      </c>
      <c r="Z19" s="441">
        <f>'Crossing Inputs'!$D34</f>
        <v>7.5</v>
      </c>
      <c r="AA19" s="441">
        <f>'Crossing Inputs'!$D34</f>
        <v>7.5</v>
      </c>
      <c r="AB19" s="441">
        <f>'Crossing Inputs'!$D34</f>
        <v>7.5</v>
      </c>
      <c r="AC19" s="441">
        <f>'Crossing Inputs'!$D34</f>
        <v>7.5</v>
      </c>
      <c r="AD19" s="441">
        <f>'Crossing Inputs'!$D34</f>
        <v>7.5</v>
      </c>
      <c r="AE19" s="441">
        <f>'Crossing Inputs'!$D34</f>
        <v>7.5</v>
      </c>
      <c r="AF19" s="441">
        <f>'Crossing Inputs'!$D34</f>
        <v>7.5</v>
      </c>
      <c r="AG19" s="441">
        <f>'Crossing Inputs'!$D34</f>
        <v>7.5</v>
      </c>
      <c r="AH19" s="441">
        <f>'Crossing Inputs'!$D34</f>
        <v>7.5</v>
      </c>
      <c r="AI19" s="441">
        <f>'Crossing Inputs'!$D34</f>
        <v>7.5</v>
      </c>
      <c r="AJ19" s="441">
        <f>'Crossing Inputs'!$D34</f>
        <v>7.5</v>
      </c>
      <c r="AK19" s="441">
        <f>'Crossing Inputs'!$D34</f>
        <v>7.5</v>
      </c>
      <c r="AL19" s="441">
        <f>'Crossing Inputs'!$D34</f>
        <v>7.5</v>
      </c>
    </row>
    <row r="20" spans="2:38" ht="13">
      <c r="B20" s="400"/>
      <c r="C20" s="403"/>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2:38" ht="13">
      <c r="B21" s="400"/>
      <c r="C21" s="404"/>
      <c r="D21" s="440">
        <f>D$1</f>
        <v>2021</v>
      </c>
      <c r="E21" s="440">
        <f t="shared" ref="E21:AL21" si="1">E$1</f>
        <v>2022</v>
      </c>
      <c r="F21" s="440">
        <f t="shared" si="1"/>
        <v>2023</v>
      </c>
      <c r="G21" s="440">
        <f t="shared" si="1"/>
        <v>2024</v>
      </c>
      <c r="H21" s="440">
        <f t="shared" si="1"/>
        <v>2025</v>
      </c>
      <c r="I21" s="440">
        <f t="shared" si="1"/>
        <v>2026</v>
      </c>
      <c r="J21" s="440">
        <f t="shared" si="1"/>
        <v>2027</v>
      </c>
      <c r="K21" s="440">
        <f t="shared" si="1"/>
        <v>2028</v>
      </c>
      <c r="L21" s="440">
        <f t="shared" si="1"/>
        <v>2029</v>
      </c>
      <c r="M21" s="440">
        <f t="shared" si="1"/>
        <v>2030</v>
      </c>
      <c r="N21" s="440">
        <f t="shared" si="1"/>
        <v>2031</v>
      </c>
      <c r="O21" s="440">
        <f t="shared" si="1"/>
        <v>2032</v>
      </c>
      <c r="P21" s="440">
        <f t="shared" si="1"/>
        <v>2033</v>
      </c>
      <c r="Q21" s="440">
        <f t="shared" si="1"/>
        <v>2034</v>
      </c>
      <c r="R21" s="440">
        <f t="shared" si="1"/>
        <v>2035</v>
      </c>
      <c r="S21" s="440">
        <f t="shared" si="1"/>
        <v>2036</v>
      </c>
      <c r="T21" s="440">
        <f t="shared" si="1"/>
        <v>2037</v>
      </c>
      <c r="U21" s="440">
        <f t="shared" si="1"/>
        <v>2038</v>
      </c>
      <c r="V21" s="440">
        <f t="shared" si="1"/>
        <v>2039</v>
      </c>
      <c r="W21" s="440">
        <f t="shared" si="1"/>
        <v>2040</v>
      </c>
      <c r="X21" s="440">
        <f t="shared" si="1"/>
        <v>2041</v>
      </c>
      <c r="Y21" s="440">
        <f t="shared" si="1"/>
        <v>2042</v>
      </c>
      <c r="Z21" s="440">
        <f t="shared" si="1"/>
        <v>2043</v>
      </c>
      <c r="AA21" s="440">
        <f t="shared" si="1"/>
        <v>2044</v>
      </c>
      <c r="AB21" s="440">
        <f t="shared" si="1"/>
        <v>2045</v>
      </c>
      <c r="AC21" s="440">
        <f t="shared" si="1"/>
        <v>2046</v>
      </c>
      <c r="AD21" s="440">
        <f t="shared" si="1"/>
        <v>2047</v>
      </c>
      <c r="AE21" s="440">
        <f t="shared" si="1"/>
        <v>2048</v>
      </c>
      <c r="AF21" s="440">
        <f t="shared" si="1"/>
        <v>2049</v>
      </c>
      <c r="AG21" s="440">
        <f t="shared" si="1"/>
        <v>2050</v>
      </c>
      <c r="AH21" s="440">
        <f t="shared" si="1"/>
        <v>2051</v>
      </c>
      <c r="AI21" s="440">
        <f t="shared" si="1"/>
        <v>2052</v>
      </c>
      <c r="AJ21" s="440">
        <f t="shared" si="1"/>
        <v>2053</v>
      </c>
      <c r="AK21" s="440">
        <f t="shared" si="1"/>
        <v>2054</v>
      </c>
      <c r="AL21" s="440">
        <f t="shared" si="1"/>
        <v>2055</v>
      </c>
    </row>
    <row r="22" spans="2:38" ht="13">
      <c r="B22" s="400" t="s">
        <v>354</v>
      </c>
      <c r="C22" s="404"/>
      <c r="D22" s="405">
        <f>D$55</f>
        <v>3.6553430196310958E-2</v>
      </c>
      <c r="E22" s="405">
        <f t="shared" ref="E22:AL22" si="2">E$55</f>
        <v>3.7083040071946766E-2</v>
      </c>
      <c r="F22" s="405">
        <f t="shared" si="2"/>
        <v>3.762040236751131E-2</v>
      </c>
      <c r="G22" s="405">
        <f t="shared" si="2"/>
        <v>3.8165631049262072E-2</v>
      </c>
      <c r="H22" s="405">
        <f t="shared" si="2"/>
        <v>3.8718841762270438E-2</v>
      </c>
      <c r="I22" s="405">
        <f t="shared" si="2"/>
        <v>3.9280151855110988E-2</v>
      </c>
      <c r="J22" s="405">
        <f t="shared" si="2"/>
        <v>3.9849680404914718E-2</v>
      </c>
      <c r="K22" s="405">
        <f t="shared" si="2"/>
        <v>4.0427548242792037E-2</v>
      </c>
      <c r="L22" s="405">
        <f t="shared" si="2"/>
        <v>4.101387797963043E-2</v>
      </c>
      <c r="M22" s="405">
        <f t="shared" si="2"/>
        <v>4.1608794032273064E-2</v>
      </c>
      <c r="N22" s="405">
        <f t="shared" si="2"/>
        <v>4.2212422650083042E-2</v>
      </c>
      <c r="O22" s="405">
        <f t="shared" si="2"/>
        <v>4.2824891941899527E-2</v>
      </c>
      <c r="P22" s="405">
        <f t="shared" si="2"/>
        <v>4.3446331903391519E-2</v>
      </c>
      <c r="Q22" s="405">
        <f t="shared" si="2"/>
        <v>4.4076874444814861E-2</v>
      </c>
      <c r="R22" s="405">
        <f t="shared" si="2"/>
        <v>4.4716653419178361E-2</v>
      </c>
      <c r="S22" s="405">
        <f t="shared" si="2"/>
        <v>4.5365804650825403E-2</v>
      </c>
      <c r="T22" s="405">
        <f t="shared" si="2"/>
        <v>4.6024465964436954E-2</v>
      </c>
      <c r="U22" s="405">
        <f t="shared" si="2"/>
        <v>4.6692777214461988E-2</v>
      </c>
      <c r="V22" s="405">
        <f t="shared" si="2"/>
        <v>4.7370880314981836E-2</v>
      </c>
      <c r="W22" s="405">
        <f t="shared" si="2"/>
        <v>4.8058919270014801E-2</v>
      </c>
      <c r="X22" s="405">
        <f t="shared" si="2"/>
        <v>4.8757040204267556E-2</v>
      </c>
      <c r="Y22" s="405">
        <f t="shared" si="2"/>
        <v>4.9465391394339572E-2</v>
      </c>
      <c r="Z22" s="405">
        <f t="shared" si="2"/>
        <v>5.0184123300387788E-2</v>
      </c>
      <c r="AA22" s="405">
        <f t="shared" si="2"/>
        <v>5.0913388598257781E-2</v>
      </c>
      <c r="AB22" s="405">
        <f t="shared" si="2"/>
        <v>5.1653342212088643E-2</v>
      </c>
      <c r="AC22" s="405">
        <f t="shared" si="2"/>
        <v>5.2404141347398216E-2</v>
      </c>
      <c r="AD22" s="405">
        <f t="shared" si="2"/>
        <v>5.3165945524656089E-2</v>
      </c>
      <c r="AE22" s="405">
        <f t="shared" si="2"/>
        <v>5.3938916613351262E-2</v>
      </c>
      <c r="AF22" s="405">
        <f t="shared" si="2"/>
        <v>5.4723218866561979E-2</v>
      </c>
      <c r="AG22" s="405">
        <f t="shared" si="2"/>
        <v>5.5519018956034838E-2</v>
      </c>
      <c r="AH22" s="405">
        <f t="shared" si="2"/>
        <v>5.6326486007780847E-2</v>
      </c>
      <c r="AI22" s="405">
        <f t="shared" si="2"/>
        <v>5.7145791638196212E-2</v>
      </c>
      <c r="AJ22" s="405">
        <f t="shared" si="2"/>
        <v>5.7977109990715099E-2</v>
      </c>
      <c r="AK22" s="405">
        <f t="shared" si="2"/>
        <v>5.8820617773002473E-2</v>
      </c>
      <c r="AL22" s="405">
        <f t="shared" si="2"/>
        <v>5.9676494294695286E-2</v>
      </c>
    </row>
    <row r="23" spans="2:38" ht="13">
      <c r="B23" s="400" t="s">
        <v>650</v>
      </c>
      <c r="C23" s="404"/>
      <c r="D23" s="405">
        <f t="shared" ref="D23:AL23" si="3">D$63*D$22</f>
        <v>4.2005938647314209E-4</v>
      </c>
      <c r="E23" s="405">
        <f t="shared" si="3"/>
        <v>4.2645088782326693E-4</v>
      </c>
      <c r="F23" s="405">
        <f t="shared" si="3"/>
        <v>4.329416253388946E-4</v>
      </c>
      <c r="G23" s="405">
        <f t="shared" si="3"/>
        <v>4.3953315793380816E-4</v>
      </c>
      <c r="H23" s="405">
        <f t="shared" si="3"/>
        <v>4.462270691491591E-4</v>
      </c>
      <c r="I23" s="405">
        <f t="shared" si="3"/>
        <v>4.5302496754230258E-4</v>
      </c>
      <c r="J23" s="405">
        <f t="shared" si="3"/>
        <v>4.5992848708177961E-4</v>
      </c>
      <c r="K23" s="405">
        <f t="shared" si="3"/>
        <v>4.6693928754854518E-4</v>
      </c>
      <c r="L23" s="405">
        <f t="shared" si="3"/>
        <v>4.7405905494353928E-4</v>
      </c>
      <c r="M23" s="405">
        <f t="shared" si="3"/>
        <v>4.8128950190170648E-4</v>
      </c>
      <c r="N23" s="405">
        <f t="shared" si="3"/>
        <v>4.8863236811255587E-4</v>
      </c>
      <c r="O23" s="405">
        <f t="shared" si="3"/>
        <v>4.9608942074737467E-4</v>
      </c>
      <c r="P23" s="405">
        <f t="shared" si="3"/>
        <v>5.0366245489319439E-4</v>
      </c>
      <c r="Q23" s="405">
        <f t="shared" si="3"/>
        <v>5.1135329399361936E-4</v>
      </c>
      <c r="R23" s="405">
        <f t="shared" si="3"/>
        <v>5.191637902966222E-4</v>
      </c>
      <c r="S23" s="405">
        <f t="shared" si="3"/>
        <v>5.2709582530942073E-4</v>
      </c>
      <c r="T23" s="405">
        <f t="shared" si="3"/>
        <v>5.3515131026054565E-4</v>
      </c>
      <c r="U23" s="405">
        <f t="shared" si="3"/>
        <v>5.4333218656921244E-4</v>
      </c>
      <c r="V23" s="405">
        <f t="shared" si="3"/>
        <v>5.5164042632211341E-4</v>
      </c>
      <c r="W23" s="405">
        <f t="shared" si="3"/>
        <v>5.6007803275774648E-4</v>
      </c>
      <c r="X23" s="405">
        <f t="shared" si="3"/>
        <v>5.68647040758402E-4</v>
      </c>
      <c r="Y23" s="405">
        <f t="shared" si="3"/>
        <v>5.7734951734992386E-4</v>
      </c>
      <c r="Z23" s="405">
        <f t="shared" si="3"/>
        <v>5.861875622093733E-4</v>
      </c>
      <c r="AA23" s="405">
        <f t="shared" si="3"/>
        <v>5.9516330818071533E-4</v>
      </c>
      <c r="AB23" s="405">
        <f t="shared" si="3"/>
        <v>6.0427892179865919E-4</v>
      </c>
      <c r="AC23" s="405">
        <f t="shared" si="3"/>
        <v>6.135366038207752E-4</v>
      </c>
      <c r="AD23" s="405">
        <f t="shared" si="3"/>
        <v>6.229385897680267E-4</v>
      </c>
      <c r="AE23" s="405">
        <f t="shared" si="3"/>
        <v>6.3248715047384317E-4</v>
      </c>
      <c r="AF23" s="405">
        <f t="shared" si="3"/>
        <v>6.4218459264187369E-4</v>
      </c>
      <c r="AG23" s="405">
        <f t="shared" si="3"/>
        <v>6.5203325941255589E-4</v>
      </c>
      <c r="AH23" s="405">
        <f t="shared" si="3"/>
        <v>6.6203553093863892E-4</v>
      </c>
      <c r="AI23" s="405">
        <f t="shared" si="3"/>
        <v>6.7219382496980652E-4</v>
      </c>
      <c r="AJ23" s="405">
        <f t="shared" si="3"/>
        <v>6.8251059744653679E-4</v>
      </c>
      <c r="AK23" s="405">
        <f t="shared" si="3"/>
        <v>6.9298834310334875E-4</v>
      </c>
      <c r="AL23" s="405">
        <f t="shared" si="3"/>
        <v>7.0362959608158795E-4</v>
      </c>
    </row>
    <row r="24" spans="2:38" ht="13">
      <c r="B24" s="400" t="s">
        <v>651</v>
      </c>
      <c r="C24" s="404"/>
      <c r="D24" s="405">
        <f t="shared" ref="D24:AE24" si="4">D$72*D22</f>
        <v>7.8259758132207483E-3</v>
      </c>
      <c r="E24" s="405">
        <f t="shared" si="4"/>
        <v>7.9392974948247676E-3</v>
      </c>
      <c r="F24" s="405">
        <f t="shared" si="4"/>
        <v>8.0542767475239516E-3</v>
      </c>
      <c r="G24" s="405">
        <f t="shared" si="4"/>
        <v>8.170937917155216E-3</v>
      </c>
      <c r="H24" s="405">
        <f t="shared" si="4"/>
        <v>8.2893057078288271E-3</v>
      </c>
      <c r="I24" s="405">
        <f t="shared" si="4"/>
        <v>8.4094051871915401E-3</v>
      </c>
      <c r="J24" s="405">
        <f t="shared" si="4"/>
        <v>8.5312617917672161E-3</v>
      </c>
      <c r="K24" s="405">
        <f t="shared" si="4"/>
        <v>8.6549013323761817E-3</v>
      </c>
      <c r="L24" s="405">
        <f t="shared" si="4"/>
        <v>8.7803499996343803E-3</v>
      </c>
      <c r="M24" s="405">
        <f t="shared" si="4"/>
        <v>8.9076343695335871E-3</v>
      </c>
      <c r="N24" s="405">
        <f t="shared" si="4"/>
        <v>9.0367814091037897E-3</v>
      </c>
      <c r="O24" s="405">
        <f t="shared" si="4"/>
        <v>9.1678184821589598E-3</v>
      </c>
      <c r="P24" s="405">
        <f t="shared" si="4"/>
        <v>9.3007733551275021E-3</v>
      </c>
      <c r="Q24" s="405">
        <f t="shared" si="4"/>
        <v>9.4356742029685619E-3</v>
      </c>
      <c r="R24" s="405">
        <f t="shared" si="4"/>
        <v>9.5725496151754085E-3</v>
      </c>
      <c r="S24" s="405">
        <f t="shared" si="4"/>
        <v>9.711428601867295E-3</v>
      </c>
      <c r="T24" s="405">
        <f t="shared" si="4"/>
        <v>9.8523405999710149E-3</v>
      </c>
      <c r="U24" s="405">
        <f t="shared" si="4"/>
        <v>9.9953154794934669E-3</v>
      </c>
      <c r="V24" s="405">
        <f t="shared" si="4"/>
        <v>1.0140383549886573E-2</v>
      </c>
      <c r="W24" s="405">
        <f t="shared" si="4"/>
        <v>1.0287575566505927E-2</v>
      </c>
      <c r="X24" s="405">
        <f t="shared" si="4"/>
        <v>1.0436922737164565E-2</v>
      </c>
      <c r="Y24" s="405">
        <f t="shared" si="4"/>
        <v>1.0588456728783155E-2</v>
      </c>
      <c r="Z24" s="405">
        <f t="shared" si="4"/>
        <v>1.0742209674138161E-2</v>
      </c>
      <c r="AA24" s="405">
        <f t="shared" si="4"/>
        <v>1.0898214178709313E-2</v>
      </c>
      <c r="AB24" s="405">
        <f t="shared" si="4"/>
        <v>1.1056503327627899E-2</v>
      </c>
      <c r="AC24" s="405">
        <f t="shared" si="4"/>
        <v>1.1217110692727315E-2</v>
      </c>
      <c r="AD24" s="405">
        <f t="shared" si="4"/>
        <v>1.1380070339697424E-2</v>
      </c>
      <c r="AE24" s="405">
        <f t="shared" si="4"/>
        <v>1.154541683534421E-2</v>
      </c>
      <c r="AF24" s="405">
        <f t="shared" ref="AF24:AJ24" si="5">AF$72*AF22</f>
        <v>1.171318525495631E-2</v>
      </c>
      <c r="AG24" s="405">
        <f t="shared" si="5"/>
        <v>1.1883411189779945E-2</v>
      </c>
      <c r="AH24" s="405">
        <f t="shared" si="5"/>
        <v>1.2056130754603864E-2</v>
      </c>
      <c r="AI24" s="405">
        <f t="shared" si="5"/>
        <v>1.2231380595455987E-2</v>
      </c>
      <c r="AJ24" s="405">
        <f t="shared" si="5"/>
        <v>1.2409197897413227E-2</v>
      </c>
      <c r="AK24" s="405">
        <f t="shared" ref="AK24:AL24" si="6">AK$72*AK22</f>
        <v>1.2589620392526311E-2</v>
      </c>
      <c r="AL24" s="405">
        <f t="shared" si="6"/>
        <v>1.2772686367861233E-2</v>
      </c>
    </row>
    <row r="26" spans="2:38" ht="13">
      <c r="B26" s="364" t="s">
        <v>652</v>
      </c>
    </row>
    <row r="27" spans="2:38" ht="13">
      <c r="B27" s="407" t="s">
        <v>615</v>
      </c>
      <c r="C27" s="396" t="s">
        <v>627</v>
      </c>
      <c r="D27" s="440">
        <f>D$1</f>
        <v>2021</v>
      </c>
      <c r="E27" s="440">
        <f t="shared" ref="E27:AL27" si="7">E$1</f>
        <v>2022</v>
      </c>
      <c r="F27" s="440">
        <f t="shared" si="7"/>
        <v>2023</v>
      </c>
      <c r="G27" s="440">
        <f t="shared" si="7"/>
        <v>2024</v>
      </c>
      <c r="H27" s="440">
        <f t="shared" si="7"/>
        <v>2025</v>
      </c>
      <c r="I27" s="440">
        <f t="shared" si="7"/>
        <v>2026</v>
      </c>
      <c r="J27" s="440">
        <f t="shared" si="7"/>
        <v>2027</v>
      </c>
      <c r="K27" s="440">
        <f t="shared" si="7"/>
        <v>2028</v>
      </c>
      <c r="L27" s="440">
        <f t="shared" si="7"/>
        <v>2029</v>
      </c>
      <c r="M27" s="440">
        <f t="shared" si="7"/>
        <v>2030</v>
      </c>
      <c r="N27" s="440">
        <f t="shared" si="7"/>
        <v>2031</v>
      </c>
      <c r="O27" s="440">
        <f t="shared" si="7"/>
        <v>2032</v>
      </c>
      <c r="P27" s="440">
        <f t="shared" si="7"/>
        <v>2033</v>
      </c>
      <c r="Q27" s="440">
        <f t="shared" si="7"/>
        <v>2034</v>
      </c>
      <c r="R27" s="440">
        <f t="shared" si="7"/>
        <v>2035</v>
      </c>
      <c r="S27" s="440">
        <f t="shared" si="7"/>
        <v>2036</v>
      </c>
      <c r="T27" s="440">
        <f t="shared" si="7"/>
        <v>2037</v>
      </c>
      <c r="U27" s="440">
        <f t="shared" si="7"/>
        <v>2038</v>
      </c>
      <c r="V27" s="440">
        <f t="shared" si="7"/>
        <v>2039</v>
      </c>
      <c r="W27" s="440">
        <f t="shared" si="7"/>
        <v>2040</v>
      </c>
      <c r="X27" s="440">
        <f t="shared" si="7"/>
        <v>2041</v>
      </c>
      <c r="Y27" s="440">
        <f t="shared" si="7"/>
        <v>2042</v>
      </c>
      <c r="Z27" s="440">
        <f t="shared" si="7"/>
        <v>2043</v>
      </c>
      <c r="AA27" s="440">
        <f t="shared" si="7"/>
        <v>2044</v>
      </c>
      <c r="AB27" s="440">
        <f t="shared" si="7"/>
        <v>2045</v>
      </c>
      <c r="AC27" s="440">
        <f t="shared" si="7"/>
        <v>2046</v>
      </c>
      <c r="AD27" s="440">
        <f t="shared" si="7"/>
        <v>2047</v>
      </c>
      <c r="AE27" s="440">
        <f t="shared" si="7"/>
        <v>2048</v>
      </c>
      <c r="AF27" s="440">
        <f t="shared" si="7"/>
        <v>2049</v>
      </c>
      <c r="AG27" s="440">
        <f t="shared" si="7"/>
        <v>2050</v>
      </c>
      <c r="AH27" s="440">
        <f t="shared" si="7"/>
        <v>2051</v>
      </c>
      <c r="AI27" s="440">
        <f t="shared" si="7"/>
        <v>2052</v>
      </c>
      <c r="AJ27" s="440">
        <f t="shared" si="7"/>
        <v>2053</v>
      </c>
      <c r="AK27" s="440">
        <f t="shared" si="7"/>
        <v>2054</v>
      </c>
      <c r="AL27" s="440">
        <f t="shared" si="7"/>
        <v>2055</v>
      </c>
    </row>
    <row r="28" spans="2:38" ht="13">
      <c r="B28" s="364" t="s">
        <v>624</v>
      </c>
      <c r="C28" s="408"/>
      <c r="D28" s="358"/>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row>
    <row r="29" spans="2:38">
      <c r="B29" s="411" t="s">
        <v>653</v>
      </c>
      <c r="C29" s="412" t="s">
        <v>654</v>
      </c>
      <c r="D29" s="413">
        <f t="shared" ref="D29:AL29" si="8">((D$14*D$15+0.2)/0.2)^(0.3334)</f>
        <v>19.718788611663747</v>
      </c>
      <c r="E29" s="413">
        <f t="shared" si="8"/>
        <v>19.9809415636465</v>
      </c>
      <c r="F29" s="413">
        <f t="shared" si="8"/>
        <v>20.24658105878817</v>
      </c>
      <c r="G29" s="413">
        <f t="shared" si="8"/>
        <v>20.515753432225381</v>
      </c>
      <c r="H29" s="413">
        <f t="shared" si="8"/>
        <v>20.788505635778122</v>
      </c>
      <c r="I29" s="413">
        <f t="shared" si="8"/>
        <v>21.064885246133866</v>
      </c>
      <c r="J29" s="413">
        <f t="shared" si="8"/>
        <v>21.344940473140753</v>
      </c>
      <c r="K29" s="413">
        <f t="shared" si="8"/>
        <v>21.628720168211636</v>
      </c>
      <c r="L29" s="413">
        <f t="shared" si="8"/>
        <v>21.91627383283997</v>
      </c>
      <c r="M29" s="413">
        <f t="shared" si="8"/>
        <v>22.207651627229644</v>
      </c>
      <c r="N29" s="413">
        <f t="shared" si="8"/>
        <v>22.502904379039656</v>
      </c>
      <c r="O29" s="413">
        <f t="shared" si="8"/>
        <v>22.802083592245488</v>
      </c>
      <c r="P29" s="413">
        <f t="shared" si="8"/>
        <v>23.105241456118719</v>
      </c>
      <c r="Q29" s="413">
        <f t="shared" si="8"/>
        <v>23.412430854326342</v>
      </c>
      <c r="R29" s="413">
        <f t="shared" si="8"/>
        <v>23.723705374151269</v>
      </c>
      <c r="S29" s="413">
        <f t="shared" si="8"/>
        <v>24.039119315835936</v>
      </c>
      <c r="T29" s="413">
        <f t="shared" si="8"/>
        <v>24.35872770205037</v>
      </c>
      <c r="U29" s="413">
        <f t="shared" si="8"/>
        <v>24.682586287486441</v>
      </c>
      <c r="V29" s="413">
        <f t="shared" si="8"/>
        <v>25.010751568579956</v>
      </c>
      <c r="W29" s="413">
        <f t="shared" si="8"/>
        <v>25.343280793362403</v>
      </c>
      <c r="X29" s="413">
        <f t="shared" si="8"/>
        <v>25.68023197144387</v>
      </c>
      <c r="Y29" s="413">
        <f t="shared" si="8"/>
        <v>26.021663884128976</v>
      </c>
      <c r="Z29" s="413">
        <f t="shared" si="8"/>
        <v>26.367636094667674</v>
      </c>
      <c r="AA29" s="413">
        <f t="shared" si="8"/>
        <v>26.718208958642489</v>
      </c>
      <c r="AB29" s="413">
        <f t="shared" si="8"/>
        <v>27.073443634494179</v>
      </c>
      <c r="AC29" s="413">
        <f t="shared" si="8"/>
        <v>27.433402094187599</v>
      </c>
      <c r="AD29" s="413">
        <f t="shared" si="8"/>
        <v>27.798147134019565</v>
      </c>
      <c r="AE29" s="413">
        <f t="shared" si="8"/>
        <v>28.167742385570744</v>
      </c>
      <c r="AF29" s="413">
        <f t="shared" si="8"/>
        <v>28.542252326803315</v>
      </c>
      <c r="AG29" s="413">
        <f t="shared" si="8"/>
        <v>28.921742293306455</v>
      </c>
      <c r="AH29" s="413">
        <f t="shared" si="8"/>
        <v>29.306278489691501</v>
      </c>
      <c r="AI29" s="413">
        <f t="shared" si="8"/>
        <v>29.695928001138942</v>
      </c>
      <c r="AJ29" s="413">
        <f t="shared" si="8"/>
        <v>30.090758805099039</v>
      </c>
      <c r="AK29" s="413">
        <f t="shared" si="8"/>
        <v>30.490839783148257</v>
      </c>
      <c r="AL29" s="413">
        <f t="shared" si="8"/>
        <v>30.896240733003559</v>
      </c>
    </row>
    <row r="30" spans="2:38">
      <c r="B30" s="411" t="s">
        <v>655</v>
      </c>
      <c r="C30" s="412" t="s">
        <v>656</v>
      </c>
      <c r="D30" s="414">
        <f t="shared" ref="D30:AL30" si="9">EXP(0.2094*$D$9)</f>
        <v>1</v>
      </c>
      <c r="E30" s="415">
        <f t="shared" si="9"/>
        <v>1</v>
      </c>
      <c r="F30" s="415">
        <f t="shared" si="9"/>
        <v>1</v>
      </c>
      <c r="G30" s="415">
        <f t="shared" si="9"/>
        <v>1</v>
      </c>
      <c r="H30" s="415">
        <f t="shared" si="9"/>
        <v>1</v>
      </c>
      <c r="I30" s="415">
        <f t="shared" si="9"/>
        <v>1</v>
      </c>
      <c r="J30" s="415">
        <f t="shared" si="9"/>
        <v>1</v>
      </c>
      <c r="K30" s="415">
        <f t="shared" si="9"/>
        <v>1</v>
      </c>
      <c r="L30" s="415">
        <f t="shared" si="9"/>
        <v>1</v>
      </c>
      <c r="M30" s="415">
        <f t="shared" si="9"/>
        <v>1</v>
      </c>
      <c r="N30" s="415">
        <f t="shared" si="9"/>
        <v>1</v>
      </c>
      <c r="O30" s="415">
        <f t="shared" si="9"/>
        <v>1</v>
      </c>
      <c r="P30" s="415">
        <f t="shared" si="9"/>
        <v>1</v>
      </c>
      <c r="Q30" s="415">
        <f t="shared" si="9"/>
        <v>1</v>
      </c>
      <c r="R30" s="415">
        <f t="shared" si="9"/>
        <v>1</v>
      </c>
      <c r="S30" s="415">
        <f t="shared" si="9"/>
        <v>1</v>
      </c>
      <c r="T30" s="415">
        <f t="shared" si="9"/>
        <v>1</v>
      </c>
      <c r="U30" s="415">
        <f t="shared" si="9"/>
        <v>1</v>
      </c>
      <c r="V30" s="415">
        <f t="shared" si="9"/>
        <v>1</v>
      </c>
      <c r="W30" s="415">
        <f t="shared" si="9"/>
        <v>1</v>
      </c>
      <c r="X30" s="415">
        <f t="shared" si="9"/>
        <v>1</v>
      </c>
      <c r="Y30" s="415">
        <f t="shared" si="9"/>
        <v>1</v>
      </c>
      <c r="Z30" s="415">
        <f t="shared" si="9"/>
        <v>1</v>
      </c>
      <c r="AA30" s="415">
        <f t="shared" si="9"/>
        <v>1</v>
      </c>
      <c r="AB30" s="415">
        <f t="shared" si="9"/>
        <v>1</v>
      </c>
      <c r="AC30" s="415">
        <f t="shared" si="9"/>
        <v>1</v>
      </c>
      <c r="AD30" s="415">
        <f t="shared" si="9"/>
        <v>1</v>
      </c>
      <c r="AE30" s="415">
        <f t="shared" si="9"/>
        <v>1</v>
      </c>
      <c r="AF30" s="415">
        <f t="shared" si="9"/>
        <v>1</v>
      </c>
      <c r="AG30" s="415">
        <f t="shared" si="9"/>
        <v>1</v>
      </c>
      <c r="AH30" s="415">
        <f t="shared" si="9"/>
        <v>1</v>
      </c>
      <c r="AI30" s="415">
        <f t="shared" si="9"/>
        <v>1</v>
      </c>
      <c r="AJ30" s="415">
        <f t="shared" si="9"/>
        <v>1</v>
      </c>
      <c r="AK30" s="415">
        <f t="shared" si="9"/>
        <v>1</v>
      </c>
      <c r="AL30" s="415">
        <f t="shared" si="9"/>
        <v>1</v>
      </c>
    </row>
    <row r="31" spans="2:38">
      <c r="B31" s="411" t="s">
        <v>657</v>
      </c>
      <c r="C31" s="416" t="s">
        <v>658</v>
      </c>
      <c r="D31" s="417">
        <f>((D$17+0.2)/0.2)^(0.1336)</f>
        <v>1.2719545428016041</v>
      </c>
      <c r="E31" s="417">
        <f t="shared" ref="E31:AL31" si="10">((E$17+0.2)/0.2)^(0.1336)</f>
        <v>1.2734534231676795</v>
      </c>
      <c r="F31" s="417">
        <f t="shared" si="10"/>
        <v>1.2749566663159739</v>
      </c>
      <c r="G31" s="417">
        <f t="shared" si="10"/>
        <v>1.2764642651048659</v>
      </c>
      <c r="H31" s="417">
        <f t="shared" si="10"/>
        <v>1.2779762123985068</v>
      </c>
      <c r="I31" s="417">
        <f t="shared" si="10"/>
        <v>1.2794925010679286</v>
      </c>
      <c r="J31" s="417">
        <f t="shared" si="10"/>
        <v>1.2810131239921325</v>
      </c>
      <c r="K31" s="417">
        <f t="shared" si="10"/>
        <v>1.2825380740591648</v>
      </c>
      <c r="L31" s="417">
        <f t="shared" si="10"/>
        <v>1.2840673441671746</v>
      </c>
      <c r="M31" s="417">
        <f t="shared" si="10"/>
        <v>1.2856009272254585</v>
      </c>
      <c r="N31" s="417">
        <f t="shared" si="10"/>
        <v>1.2871388161554864</v>
      </c>
      <c r="O31" s="417">
        <f t="shared" si="10"/>
        <v>1.2886810038919141</v>
      </c>
      <c r="P31" s="417">
        <f t="shared" si="10"/>
        <v>1.2902274833835794</v>
      </c>
      <c r="Q31" s="417">
        <f t="shared" si="10"/>
        <v>1.2917782475944826</v>
      </c>
      <c r="R31" s="417">
        <f t="shared" si="10"/>
        <v>1.2933332895047505</v>
      </c>
      <c r="S31" s="417">
        <f t="shared" si="10"/>
        <v>1.2948926021115859</v>
      </c>
      <c r="T31" s="417">
        <f t="shared" si="10"/>
        <v>1.2964561784302011</v>
      </c>
      <c r="U31" s="417">
        <f t="shared" si="10"/>
        <v>1.2980240114947363</v>
      </c>
      <c r="V31" s="417">
        <f t="shared" si="10"/>
        <v>1.2995960943591611</v>
      </c>
      <c r="W31" s="417">
        <f t="shared" si="10"/>
        <v>1.3011724200981616</v>
      </c>
      <c r="X31" s="417">
        <f t="shared" si="10"/>
        <v>1.3027529818080126</v>
      </c>
      <c r="Y31" s="417">
        <f t="shared" si="10"/>
        <v>1.304337772607433</v>
      </c>
      <c r="Z31" s="417">
        <f t="shared" si="10"/>
        <v>1.3059267856384269</v>
      </c>
      <c r="AA31" s="417">
        <f t="shared" si="10"/>
        <v>1.3075200140671086</v>
      </c>
      <c r="AB31" s="417">
        <f t="shared" si="10"/>
        <v>1.3091174510845145</v>
      </c>
      <c r="AC31" s="417">
        <f t="shared" si="10"/>
        <v>1.3107190899073964</v>
      </c>
      <c r="AD31" s="417">
        <f t="shared" si="10"/>
        <v>1.3123249237790029</v>
      </c>
      <c r="AE31" s="417">
        <f t="shared" si="10"/>
        <v>1.3139349459698444</v>
      </c>
      <c r="AF31" s="417">
        <f t="shared" si="10"/>
        <v>1.3155491497784433</v>
      </c>
      <c r="AG31" s="417">
        <f t="shared" si="10"/>
        <v>1.3171675285320701</v>
      </c>
      <c r="AH31" s="417">
        <f t="shared" si="10"/>
        <v>1.3187900755874631</v>
      </c>
      <c r="AI31" s="417">
        <f t="shared" si="10"/>
        <v>1.3204167843315362</v>
      </c>
      <c r="AJ31" s="417">
        <f t="shared" si="10"/>
        <v>1.3220476481820695</v>
      </c>
      <c r="AK31" s="417">
        <f t="shared" si="10"/>
        <v>1.3236826605883865</v>
      </c>
      <c r="AL31" s="417">
        <f t="shared" si="10"/>
        <v>1.3253218150320181</v>
      </c>
    </row>
    <row r="32" spans="2:38">
      <c r="B32" s="411" t="s">
        <v>659</v>
      </c>
      <c r="C32" s="412" t="s">
        <v>660</v>
      </c>
      <c r="D32" s="414">
        <f t="shared" ref="D32:AL32" si="11">EXP(-0.616*($E$7-1))</f>
        <v>1</v>
      </c>
      <c r="E32" s="415">
        <f t="shared" si="11"/>
        <v>1</v>
      </c>
      <c r="F32" s="415">
        <f t="shared" si="11"/>
        <v>1</v>
      </c>
      <c r="G32" s="415">
        <f t="shared" si="11"/>
        <v>1</v>
      </c>
      <c r="H32" s="415">
        <f t="shared" si="11"/>
        <v>1</v>
      </c>
      <c r="I32" s="415">
        <f t="shared" si="11"/>
        <v>1</v>
      </c>
      <c r="J32" s="415">
        <f t="shared" si="11"/>
        <v>1</v>
      </c>
      <c r="K32" s="415">
        <f t="shared" si="11"/>
        <v>1</v>
      </c>
      <c r="L32" s="415">
        <f t="shared" si="11"/>
        <v>1</v>
      </c>
      <c r="M32" s="415">
        <f t="shared" si="11"/>
        <v>1</v>
      </c>
      <c r="N32" s="415">
        <f t="shared" si="11"/>
        <v>1</v>
      </c>
      <c r="O32" s="415">
        <f t="shared" si="11"/>
        <v>1</v>
      </c>
      <c r="P32" s="415">
        <f t="shared" si="11"/>
        <v>1</v>
      </c>
      <c r="Q32" s="415">
        <f t="shared" si="11"/>
        <v>1</v>
      </c>
      <c r="R32" s="415">
        <f t="shared" si="11"/>
        <v>1</v>
      </c>
      <c r="S32" s="415">
        <f t="shared" si="11"/>
        <v>1</v>
      </c>
      <c r="T32" s="415">
        <f t="shared" si="11"/>
        <v>1</v>
      </c>
      <c r="U32" s="415">
        <f t="shared" si="11"/>
        <v>1</v>
      </c>
      <c r="V32" s="415">
        <f t="shared" si="11"/>
        <v>1</v>
      </c>
      <c r="W32" s="415">
        <f t="shared" si="11"/>
        <v>1</v>
      </c>
      <c r="X32" s="415">
        <f t="shared" si="11"/>
        <v>1</v>
      </c>
      <c r="Y32" s="415">
        <f t="shared" si="11"/>
        <v>1</v>
      </c>
      <c r="Z32" s="415">
        <f t="shared" si="11"/>
        <v>1</v>
      </c>
      <c r="AA32" s="415">
        <f t="shared" si="11"/>
        <v>1</v>
      </c>
      <c r="AB32" s="415">
        <f t="shared" si="11"/>
        <v>1</v>
      </c>
      <c r="AC32" s="415">
        <f t="shared" si="11"/>
        <v>1</v>
      </c>
      <c r="AD32" s="415">
        <f t="shared" si="11"/>
        <v>1</v>
      </c>
      <c r="AE32" s="415">
        <f t="shared" si="11"/>
        <v>1</v>
      </c>
      <c r="AF32" s="415">
        <f t="shared" si="11"/>
        <v>1</v>
      </c>
      <c r="AG32" s="415">
        <f t="shared" si="11"/>
        <v>1</v>
      </c>
      <c r="AH32" s="415">
        <f t="shared" si="11"/>
        <v>1</v>
      </c>
      <c r="AI32" s="415">
        <f t="shared" si="11"/>
        <v>1</v>
      </c>
      <c r="AJ32" s="415">
        <f t="shared" si="11"/>
        <v>1</v>
      </c>
      <c r="AK32" s="415">
        <f t="shared" si="11"/>
        <v>1</v>
      </c>
      <c r="AL32" s="415">
        <f t="shared" si="11"/>
        <v>1</v>
      </c>
    </row>
    <row r="33" spans="2:38">
      <c r="B33" s="411" t="s">
        <v>661</v>
      </c>
      <c r="C33" s="412" t="s">
        <v>662</v>
      </c>
      <c r="D33" s="414">
        <f t="shared" ref="D33:AL33" si="12">EXP(0.0077*D$19)</f>
        <v>1.0594501000746941</v>
      </c>
      <c r="E33" s="415">
        <f t="shared" si="12"/>
        <v>1.0594501000746941</v>
      </c>
      <c r="F33" s="415">
        <f t="shared" si="12"/>
        <v>1.0594501000746941</v>
      </c>
      <c r="G33" s="415">
        <f t="shared" si="12"/>
        <v>1.0594501000746941</v>
      </c>
      <c r="H33" s="415">
        <f t="shared" si="12"/>
        <v>1.0594501000746941</v>
      </c>
      <c r="I33" s="415">
        <f t="shared" si="12"/>
        <v>1.0594501000746941</v>
      </c>
      <c r="J33" s="415">
        <f t="shared" si="12"/>
        <v>1.0594501000746941</v>
      </c>
      <c r="K33" s="415">
        <f t="shared" si="12"/>
        <v>1.0594501000746941</v>
      </c>
      <c r="L33" s="415">
        <f t="shared" si="12"/>
        <v>1.0594501000746941</v>
      </c>
      <c r="M33" s="415">
        <f t="shared" si="12"/>
        <v>1.0594501000746941</v>
      </c>
      <c r="N33" s="415">
        <f t="shared" si="12"/>
        <v>1.0594501000746941</v>
      </c>
      <c r="O33" s="415">
        <f t="shared" si="12"/>
        <v>1.0594501000746941</v>
      </c>
      <c r="P33" s="415">
        <f t="shared" si="12"/>
        <v>1.0594501000746941</v>
      </c>
      <c r="Q33" s="415">
        <f t="shared" si="12"/>
        <v>1.0594501000746941</v>
      </c>
      <c r="R33" s="415">
        <f t="shared" si="12"/>
        <v>1.0594501000746941</v>
      </c>
      <c r="S33" s="415">
        <f t="shared" si="12"/>
        <v>1.0594501000746941</v>
      </c>
      <c r="T33" s="415">
        <f t="shared" si="12"/>
        <v>1.0594501000746941</v>
      </c>
      <c r="U33" s="415">
        <f t="shared" si="12"/>
        <v>1.0594501000746941</v>
      </c>
      <c r="V33" s="415">
        <f t="shared" si="12"/>
        <v>1.0594501000746941</v>
      </c>
      <c r="W33" s="415">
        <f t="shared" si="12"/>
        <v>1.0594501000746941</v>
      </c>
      <c r="X33" s="415">
        <f t="shared" si="12"/>
        <v>1.0594501000746941</v>
      </c>
      <c r="Y33" s="415">
        <f t="shared" si="12"/>
        <v>1.0594501000746941</v>
      </c>
      <c r="Z33" s="415">
        <f t="shared" si="12"/>
        <v>1.0594501000746941</v>
      </c>
      <c r="AA33" s="415">
        <f t="shared" si="12"/>
        <v>1.0594501000746941</v>
      </c>
      <c r="AB33" s="415">
        <f t="shared" si="12"/>
        <v>1.0594501000746941</v>
      </c>
      <c r="AC33" s="415">
        <f t="shared" si="12"/>
        <v>1.0594501000746941</v>
      </c>
      <c r="AD33" s="415">
        <f t="shared" si="12"/>
        <v>1.0594501000746941</v>
      </c>
      <c r="AE33" s="415">
        <f t="shared" si="12"/>
        <v>1.0594501000746941</v>
      </c>
      <c r="AF33" s="415">
        <f t="shared" si="12"/>
        <v>1.0594501000746941</v>
      </c>
      <c r="AG33" s="415">
        <f t="shared" si="12"/>
        <v>1.0594501000746941</v>
      </c>
      <c r="AH33" s="415">
        <f t="shared" si="12"/>
        <v>1.0594501000746941</v>
      </c>
      <c r="AI33" s="415">
        <f t="shared" si="12"/>
        <v>1.0594501000746941</v>
      </c>
      <c r="AJ33" s="415">
        <f t="shared" si="12"/>
        <v>1.0594501000746941</v>
      </c>
      <c r="AK33" s="415">
        <f t="shared" si="12"/>
        <v>1.0594501000746941</v>
      </c>
      <c r="AL33" s="415">
        <f t="shared" si="12"/>
        <v>1.0594501000746941</v>
      </c>
    </row>
    <row r="34" spans="2:38">
      <c r="B34" s="411" t="s">
        <v>663</v>
      </c>
      <c r="C34" s="412" t="s">
        <v>664</v>
      </c>
      <c r="D34" s="414">
        <f t="shared" ref="D34:AL34" si="13">EXP(-0.1*($E$8-1))</f>
        <v>0.60653065971263342</v>
      </c>
      <c r="E34" s="415">
        <f t="shared" si="13"/>
        <v>0.60653065971263342</v>
      </c>
      <c r="F34" s="415">
        <f t="shared" si="13"/>
        <v>0.60653065971263342</v>
      </c>
      <c r="G34" s="415">
        <f t="shared" si="13"/>
        <v>0.60653065971263342</v>
      </c>
      <c r="H34" s="415">
        <f t="shared" si="13"/>
        <v>0.60653065971263342</v>
      </c>
      <c r="I34" s="415">
        <f t="shared" si="13"/>
        <v>0.60653065971263342</v>
      </c>
      <c r="J34" s="415">
        <f t="shared" si="13"/>
        <v>0.60653065971263342</v>
      </c>
      <c r="K34" s="415">
        <f t="shared" si="13"/>
        <v>0.60653065971263342</v>
      </c>
      <c r="L34" s="415">
        <f t="shared" si="13"/>
        <v>0.60653065971263342</v>
      </c>
      <c r="M34" s="415">
        <f t="shared" si="13"/>
        <v>0.60653065971263342</v>
      </c>
      <c r="N34" s="415">
        <f t="shared" si="13"/>
        <v>0.60653065971263342</v>
      </c>
      <c r="O34" s="415">
        <f t="shared" si="13"/>
        <v>0.60653065971263342</v>
      </c>
      <c r="P34" s="415">
        <f t="shared" si="13"/>
        <v>0.60653065971263342</v>
      </c>
      <c r="Q34" s="415">
        <f t="shared" si="13"/>
        <v>0.60653065971263342</v>
      </c>
      <c r="R34" s="415">
        <f t="shared" si="13"/>
        <v>0.60653065971263342</v>
      </c>
      <c r="S34" s="415">
        <f t="shared" si="13"/>
        <v>0.60653065971263342</v>
      </c>
      <c r="T34" s="415">
        <f t="shared" si="13"/>
        <v>0.60653065971263342</v>
      </c>
      <c r="U34" s="415">
        <f t="shared" si="13"/>
        <v>0.60653065971263342</v>
      </c>
      <c r="V34" s="415">
        <f t="shared" si="13"/>
        <v>0.60653065971263342</v>
      </c>
      <c r="W34" s="415">
        <f t="shared" si="13"/>
        <v>0.60653065971263342</v>
      </c>
      <c r="X34" s="415">
        <f t="shared" si="13"/>
        <v>0.60653065971263342</v>
      </c>
      <c r="Y34" s="415">
        <f t="shared" si="13"/>
        <v>0.60653065971263342</v>
      </c>
      <c r="Z34" s="415">
        <f t="shared" si="13"/>
        <v>0.60653065971263342</v>
      </c>
      <c r="AA34" s="415">
        <f t="shared" si="13"/>
        <v>0.60653065971263342</v>
      </c>
      <c r="AB34" s="415">
        <f t="shared" si="13"/>
        <v>0.60653065971263342</v>
      </c>
      <c r="AC34" s="415">
        <f t="shared" si="13"/>
        <v>0.60653065971263342</v>
      </c>
      <c r="AD34" s="415">
        <f t="shared" si="13"/>
        <v>0.60653065971263342</v>
      </c>
      <c r="AE34" s="415">
        <f t="shared" si="13"/>
        <v>0.60653065971263342</v>
      </c>
      <c r="AF34" s="415">
        <f t="shared" si="13"/>
        <v>0.60653065971263342</v>
      </c>
      <c r="AG34" s="415">
        <f t="shared" si="13"/>
        <v>0.60653065971263342</v>
      </c>
      <c r="AH34" s="415">
        <f t="shared" si="13"/>
        <v>0.60653065971263342</v>
      </c>
      <c r="AI34" s="415">
        <f t="shared" si="13"/>
        <v>0.60653065971263342</v>
      </c>
      <c r="AJ34" s="415">
        <f t="shared" si="13"/>
        <v>0.60653065971263342</v>
      </c>
      <c r="AK34" s="415">
        <f t="shared" si="13"/>
        <v>0.60653065971263342</v>
      </c>
      <c r="AL34" s="415">
        <f t="shared" si="13"/>
        <v>0.60653065971263342</v>
      </c>
    </row>
    <row r="35" spans="2:38">
      <c r="B35" s="411" t="s">
        <v>665</v>
      </c>
      <c r="C35" s="412" t="s">
        <v>666</v>
      </c>
      <c r="D35" s="414">
        <v>1</v>
      </c>
      <c r="E35" s="414">
        <v>1</v>
      </c>
      <c r="F35" s="414">
        <v>1</v>
      </c>
      <c r="G35" s="414">
        <v>1</v>
      </c>
      <c r="H35" s="414">
        <v>1</v>
      </c>
      <c r="I35" s="414">
        <v>1</v>
      </c>
      <c r="J35" s="414">
        <v>1</v>
      </c>
      <c r="K35" s="414">
        <v>1</v>
      </c>
      <c r="L35" s="414">
        <v>1</v>
      </c>
      <c r="M35" s="414">
        <v>1</v>
      </c>
      <c r="N35" s="414">
        <v>1</v>
      </c>
      <c r="O35" s="414">
        <v>1</v>
      </c>
      <c r="P35" s="414">
        <v>1</v>
      </c>
      <c r="Q35" s="414">
        <v>1</v>
      </c>
      <c r="R35" s="414">
        <v>1</v>
      </c>
      <c r="S35" s="414">
        <v>1</v>
      </c>
      <c r="T35" s="414">
        <v>1</v>
      </c>
      <c r="U35" s="414">
        <v>1</v>
      </c>
      <c r="V35" s="414">
        <v>1</v>
      </c>
      <c r="W35" s="414">
        <v>1</v>
      </c>
      <c r="X35" s="414">
        <v>1</v>
      </c>
      <c r="Y35" s="414">
        <v>1</v>
      </c>
      <c r="Z35" s="414">
        <v>1</v>
      </c>
      <c r="AA35" s="414">
        <v>1</v>
      </c>
      <c r="AB35" s="414">
        <v>1</v>
      </c>
      <c r="AC35" s="414">
        <v>1</v>
      </c>
      <c r="AD35" s="414">
        <v>1</v>
      </c>
      <c r="AE35" s="414">
        <v>1</v>
      </c>
      <c r="AF35" s="414">
        <v>1</v>
      </c>
      <c r="AG35" s="414">
        <v>1</v>
      </c>
      <c r="AH35" s="414">
        <v>1</v>
      </c>
      <c r="AI35" s="414">
        <v>1</v>
      </c>
      <c r="AJ35" s="414">
        <v>1</v>
      </c>
      <c r="AK35" s="414">
        <v>1</v>
      </c>
      <c r="AL35" s="414">
        <v>1</v>
      </c>
    </row>
    <row r="36" spans="2:38" s="421" customFormat="1" ht="13">
      <c r="B36" s="418"/>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row>
    <row r="37" spans="2:38" s="421" customFormat="1" ht="13">
      <c r="B37" s="422" t="s">
        <v>667</v>
      </c>
      <c r="C37" s="408"/>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c r="B38" s="411" t="s">
        <v>653</v>
      </c>
      <c r="C38" s="412" t="s">
        <v>654</v>
      </c>
      <c r="D38" s="423">
        <f>((D$14*D$15+0.2)/0.2)^(0.2953)</f>
        <v>14.025069302518137</v>
      </c>
      <c r="E38" s="423">
        <f t="shared" ref="E38:AL38" si="14">((E$14*E$15+0.2)/0.2)^(0.2953)</f>
        <v>14.190094012283833</v>
      </c>
      <c r="F38" s="423">
        <f t="shared" si="14"/>
        <v>14.357061306075542</v>
      </c>
      <c r="G38" s="423">
        <f t="shared" si="14"/>
        <v>14.525994027963495</v>
      </c>
      <c r="H38" s="423">
        <f t="shared" si="14"/>
        <v>14.696915291288592</v>
      </c>
      <c r="I38" s="423">
        <f t="shared" si="14"/>
        <v>14.869848481819027</v>
      </c>
      <c r="J38" s="423">
        <f t="shared" si="14"/>
        <v>15.044817260944294</v>
      </c>
      <c r="K38" s="423">
        <f t="shared" si="14"/>
        <v>15.221845568907206</v>
      </c>
      <c r="L38" s="423">
        <f t="shared" si="14"/>
        <v>15.400957628074131</v>
      </c>
      <c r="M38" s="423">
        <f t="shared" si="14"/>
        <v>15.58217794624416</v>
      </c>
      <c r="N38" s="423">
        <f t="shared" si="14"/>
        <v>15.765531319997445</v>
      </c>
      <c r="O38" s="423">
        <f t="shared" si="14"/>
        <v>15.951042838083216</v>
      </c>
      <c r="P38" s="423">
        <f t="shared" si="14"/>
        <v>16.13873788484797</v>
      </c>
      <c r="Q38" s="423">
        <f t="shared" si="14"/>
        <v>16.328642143704347</v>
      </c>
      <c r="R38" s="423">
        <f t="shared" si="14"/>
        <v>16.52078160064093</v>
      </c>
      <c r="S38" s="423">
        <f t="shared" si="14"/>
        <v>16.715182547773782</v>
      </c>
      <c r="T38" s="423">
        <f t="shared" si="14"/>
        <v>16.911871586939959</v>
      </c>
      <c r="U38" s="423">
        <f t="shared" si="14"/>
        <v>17.110875633333517</v>
      </c>
      <c r="V38" s="423">
        <f t="shared" si="14"/>
        <v>17.312221919184584</v>
      </c>
      <c r="W38" s="423">
        <f t="shared" si="14"/>
        <v>17.515937997482034</v>
      </c>
      <c r="X38" s="423">
        <f t="shared" si="14"/>
        <v>17.722051745740039</v>
      </c>
      <c r="Y38" s="423">
        <f t="shared" si="14"/>
        <v>17.930591369809278</v>
      </c>
      <c r="Z38" s="423">
        <f t="shared" si="14"/>
        <v>18.141585407733238</v>
      </c>
      <c r="AA38" s="423">
        <f t="shared" si="14"/>
        <v>18.355062733649959</v>
      </c>
      <c r="AB38" s="423">
        <f t="shared" si="14"/>
        <v>18.571052561740068</v>
      </c>
      <c r="AC38" s="423">
        <f t="shared" si="14"/>
        <v>18.789584450221355</v>
      </c>
      <c r="AD38" s="423">
        <f t="shared" si="14"/>
        <v>19.010688305390577</v>
      </c>
      <c r="AE38" s="423">
        <f t="shared" si="14"/>
        <v>19.234394385713024</v>
      </c>
      <c r="AF38" s="423">
        <f t="shared" si="14"/>
        <v>19.460733305960431</v>
      </c>
      <c r="AG38" s="423">
        <f t="shared" si="14"/>
        <v>19.68973604139768</v>
      </c>
      <c r="AH38" s="423">
        <f t="shared" si="14"/>
        <v>19.921433932018946</v>
      </c>
      <c r="AI38" s="423">
        <f t="shared" si="14"/>
        <v>20.155858686833973</v>
      </c>
      <c r="AJ38" s="423">
        <f t="shared" si="14"/>
        <v>20.393042388204854</v>
      </c>
      <c r="AK38" s="423">
        <f t="shared" si="14"/>
        <v>20.63301749623399</v>
      </c>
      <c r="AL38" s="423">
        <f t="shared" si="14"/>
        <v>20.875816853203876</v>
      </c>
    </row>
    <row r="39" spans="2:38" s="421" customFormat="1">
      <c r="B39" s="411" t="s">
        <v>655</v>
      </c>
      <c r="C39" s="412" t="s">
        <v>656</v>
      </c>
      <c r="D39" s="414">
        <f t="shared" ref="D39:AL39" si="15">EXP(0.1088*$D$9)</f>
        <v>1</v>
      </c>
      <c r="E39" s="414">
        <f t="shared" si="15"/>
        <v>1</v>
      </c>
      <c r="F39" s="414">
        <f t="shared" si="15"/>
        <v>1</v>
      </c>
      <c r="G39" s="414">
        <f t="shared" si="15"/>
        <v>1</v>
      </c>
      <c r="H39" s="414">
        <f t="shared" si="15"/>
        <v>1</v>
      </c>
      <c r="I39" s="414">
        <f t="shared" si="15"/>
        <v>1</v>
      </c>
      <c r="J39" s="414">
        <f t="shared" si="15"/>
        <v>1</v>
      </c>
      <c r="K39" s="414">
        <f t="shared" si="15"/>
        <v>1</v>
      </c>
      <c r="L39" s="414">
        <f t="shared" si="15"/>
        <v>1</v>
      </c>
      <c r="M39" s="414">
        <f t="shared" si="15"/>
        <v>1</v>
      </c>
      <c r="N39" s="414">
        <f t="shared" si="15"/>
        <v>1</v>
      </c>
      <c r="O39" s="414">
        <f t="shared" si="15"/>
        <v>1</v>
      </c>
      <c r="P39" s="414">
        <f t="shared" si="15"/>
        <v>1</v>
      </c>
      <c r="Q39" s="414">
        <f t="shared" si="15"/>
        <v>1</v>
      </c>
      <c r="R39" s="414">
        <f t="shared" si="15"/>
        <v>1</v>
      </c>
      <c r="S39" s="414">
        <f t="shared" si="15"/>
        <v>1</v>
      </c>
      <c r="T39" s="414">
        <f t="shared" si="15"/>
        <v>1</v>
      </c>
      <c r="U39" s="414">
        <f t="shared" si="15"/>
        <v>1</v>
      </c>
      <c r="V39" s="414">
        <f t="shared" si="15"/>
        <v>1</v>
      </c>
      <c r="W39" s="414">
        <f t="shared" si="15"/>
        <v>1</v>
      </c>
      <c r="X39" s="414">
        <f t="shared" si="15"/>
        <v>1</v>
      </c>
      <c r="Y39" s="414">
        <f t="shared" si="15"/>
        <v>1</v>
      </c>
      <c r="Z39" s="414">
        <f t="shared" si="15"/>
        <v>1</v>
      </c>
      <c r="AA39" s="414">
        <f t="shared" si="15"/>
        <v>1</v>
      </c>
      <c r="AB39" s="414">
        <f t="shared" si="15"/>
        <v>1</v>
      </c>
      <c r="AC39" s="414">
        <f t="shared" si="15"/>
        <v>1</v>
      </c>
      <c r="AD39" s="414">
        <f t="shared" si="15"/>
        <v>1</v>
      </c>
      <c r="AE39" s="414">
        <f t="shared" si="15"/>
        <v>1</v>
      </c>
      <c r="AF39" s="414">
        <f t="shared" si="15"/>
        <v>1</v>
      </c>
      <c r="AG39" s="414">
        <f t="shared" si="15"/>
        <v>1</v>
      </c>
      <c r="AH39" s="414">
        <f t="shared" si="15"/>
        <v>1</v>
      </c>
      <c r="AI39" s="414">
        <f t="shared" si="15"/>
        <v>1</v>
      </c>
      <c r="AJ39" s="414">
        <f t="shared" si="15"/>
        <v>1</v>
      </c>
      <c r="AK39" s="414">
        <f t="shared" si="15"/>
        <v>1</v>
      </c>
      <c r="AL39" s="414">
        <f t="shared" si="15"/>
        <v>1</v>
      </c>
    </row>
    <row r="40" spans="2:38" s="421" customFormat="1">
      <c r="B40" s="411" t="s">
        <v>657</v>
      </c>
      <c r="C40" s="416" t="s">
        <v>658</v>
      </c>
      <c r="D40" s="417">
        <f>((D$17+0.2)/0.2)^(0.047)</f>
        <v>1.0883102770199353</v>
      </c>
      <c r="E40" s="417">
        <f t="shared" ref="E40:AL40" si="16">((E$17+0.2)/0.2)^(0.047)</f>
        <v>1.0887612740878003</v>
      </c>
      <c r="F40" s="417">
        <f t="shared" si="16"/>
        <v>1.0892132384111224</v>
      </c>
      <c r="G40" s="417">
        <f t="shared" si="16"/>
        <v>1.0896661655079605</v>
      </c>
      <c r="H40" s="417">
        <f t="shared" si="16"/>
        <v>1.090120050905572</v>
      </c>
      <c r="I40" s="417">
        <f t="shared" si="16"/>
        <v>1.0905748901407866</v>
      </c>
      <c r="J40" s="417">
        <f t="shared" si="16"/>
        <v>1.0910306787603721</v>
      </c>
      <c r="K40" s="417">
        <f t="shared" si="16"/>
        <v>1.0914874123213936</v>
      </c>
      <c r="L40" s="417">
        <f t="shared" si="16"/>
        <v>1.0919450863915652</v>
      </c>
      <c r="M40" s="417">
        <f t="shared" si="16"/>
        <v>1.0924036965495967</v>
      </c>
      <c r="N40" s="417">
        <f t="shared" si="16"/>
        <v>1.0928632383855312</v>
      </c>
      <c r="O40" s="417">
        <f t="shared" si="16"/>
        <v>1.0933237075010782</v>
      </c>
      <c r="P40" s="417">
        <f t="shared" si="16"/>
        <v>1.0937850995099379</v>
      </c>
      <c r="Q40" s="417">
        <f t="shared" si="16"/>
        <v>1.0942474100381201</v>
      </c>
      <c r="R40" s="417">
        <f t="shared" si="16"/>
        <v>1.0947106347242561</v>
      </c>
      <c r="S40" s="417">
        <f t="shared" si="16"/>
        <v>1.0951747692199041</v>
      </c>
      <c r="T40" s="417">
        <f t="shared" si="16"/>
        <v>1.0956398091898469</v>
      </c>
      <c r="U40" s="417">
        <f t="shared" si="16"/>
        <v>1.0961057503123854</v>
      </c>
      <c r="V40" s="417">
        <f t="shared" si="16"/>
        <v>1.0965725882796231</v>
      </c>
      <c r="W40" s="417">
        <f t="shared" si="16"/>
        <v>1.0970403187977449</v>
      </c>
      <c r="X40" s="417">
        <f t="shared" si="16"/>
        <v>1.0975089375872908</v>
      </c>
      <c r="Y40" s="417">
        <f t="shared" si="16"/>
        <v>1.0979784403834214</v>
      </c>
      <c r="Z40" s="417">
        <f t="shared" si="16"/>
        <v>1.0984488229361773</v>
      </c>
      <c r="AA40" s="417">
        <f t="shared" si="16"/>
        <v>1.0989200810107336</v>
      </c>
      <c r="AB40" s="417">
        <f t="shared" si="16"/>
        <v>1.0993922103876466</v>
      </c>
      <c r="AC40" s="417">
        <f t="shared" si="16"/>
        <v>1.0998652068630947</v>
      </c>
      <c r="AD40" s="417">
        <f t="shared" si="16"/>
        <v>1.1003390662491142</v>
      </c>
      <c r="AE40" s="417">
        <f t="shared" si="16"/>
        <v>1.1008137843738262</v>
      </c>
      <c r="AF40" s="417">
        <f t="shared" si="16"/>
        <v>1.101289357081662</v>
      </c>
      <c r="AG40" s="417">
        <f t="shared" si="16"/>
        <v>1.1017657802335772</v>
      </c>
      <c r="AH40" s="417">
        <f t="shared" si="16"/>
        <v>1.1022430497072639</v>
      </c>
      <c r="AI40" s="417">
        <f t="shared" si="16"/>
        <v>1.1027211613973558</v>
      </c>
      <c r="AJ40" s="417">
        <f t="shared" si="16"/>
        <v>1.103200111215626</v>
      </c>
      <c r="AK40" s="417">
        <f t="shared" si="16"/>
        <v>1.1036798950911813</v>
      </c>
      <c r="AL40" s="417">
        <f t="shared" si="16"/>
        <v>1.1041605089706492</v>
      </c>
    </row>
    <row r="41" spans="2:38" s="421" customFormat="1">
      <c r="B41" s="411" t="s">
        <v>659</v>
      </c>
      <c r="C41" s="412" t="s">
        <v>660</v>
      </c>
      <c r="D41" s="414">
        <v>1</v>
      </c>
      <c r="E41" s="414">
        <v>1</v>
      </c>
      <c r="F41" s="414">
        <v>1</v>
      </c>
      <c r="G41" s="414">
        <v>1</v>
      </c>
      <c r="H41" s="414">
        <v>1</v>
      </c>
      <c r="I41" s="414">
        <v>1</v>
      </c>
      <c r="J41" s="414">
        <v>1</v>
      </c>
      <c r="K41" s="414">
        <v>1</v>
      </c>
      <c r="L41" s="414">
        <v>1</v>
      </c>
      <c r="M41" s="414">
        <v>1</v>
      </c>
      <c r="N41" s="414">
        <v>1</v>
      </c>
      <c r="O41" s="414">
        <v>1</v>
      </c>
      <c r="P41" s="414">
        <v>1</v>
      </c>
      <c r="Q41" s="414">
        <v>1</v>
      </c>
      <c r="R41" s="414">
        <v>1</v>
      </c>
      <c r="S41" s="414">
        <v>1</v>
      </c>
      <c r="T41" s="414">
        <v>1</v>
      </c>
      <c r="U41" s="414">
        <v>1</v>
      </c>
      <c r="V41" s="414">
        <v>1</v>
      </c>
      <c r="W41" s="414">
        <v>1</v>
      </c>
      <c r="X41" s="414">
        <v>1</v>
      </c>
      <c r="Y41" s="414">
        <v>1</v>
      </c>
      <c r="Z41" s="414">
        <v>1</v>
      </c>
      <c r="AA41" s="414">
        <v>1</v>
      </c>
      <c r="AB41" s="414">
        <v>1</v>
      </c>
      <c r="AC41" s="414">
        <v>1</v>
      </c>
      <c r="AD41" s="414">
        <v>1</v>
      </c>
      <c r="AE41" s="414">
        <v>1</v>
      </c>
      <c r="AF41" s="414">
        <v>1</v>
      </c>
      <c r="AG41" s="414">
        <v>1</v>
      </c>
      <c r="AH41" s="414">
        <v>1</v>
      </c>
      <c r="AI41" s="414">
        <v>1</v>
      </c>
      <c r="AJ41" s="414">
        <v>1</v>
      </c>
      <c r="AK41" s="414">
        <v>1</v>
      </c>
      <c r="AL41" s="414">
        <v>1</v>
      </c>
    </row>
    <row r="42" spans="2:38" s="421" customFormat="1">
      <c r="B42" s="411" t="s">
        <v>661</v>
      </c>
      <c r="C42" s="412" t="s">
        <v>662</v>
      </c>
      <c r="D42" s="414">
        <v>1</v>
      </c>
      <c r="E42" s="414">
        <v>1</v>
      </c>
      <c r="F42" s="414">
        <v>1</v>
      </c>
      <c r="G42" s="414">
        <v>1</v>
      </c>
      <c r="H42" s="414">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663</v>
      </c>
      <c r="C43" s="412" t="s">
        <v>664</v>
      </c>
      <c r="D43" s="414">
        <v>1</v>
      </c>
      <c r="E43" s="414">
        <v>1</v>
      </c>
      <c r="F43" s="414">
        <v>1</v>
      </c>
      <c r="G43" s="414">
        <v>1</v>
      </c>
      <c r="H43" s="414">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665</v>
      </c>
      <c r="C44" s="412" t="s">
        <v>666</v>
      </c>
      <c r="D44" s="414">
        <f t="shared" ref="D44:AL44" si="17">EXP(0.138*($D$10-1))</f>
        <v>1.1479755502741786</v>
      </c>
      <c r="E44" s="414">
        <f t="shared" si="17"/>
        <v>1.1479755502741786</v>
      </c>
      <c r="F44" s="414">
        <f t="shared" si="17"/>
        <v>1.1479755502741786</v>
      </c>
      <c r="G44" s="414">
        <f t="shared" si="17"/>
        <v>1.1479755502741786</v>
      </c>
      <c r="H44" s="414">
        <f t="shared" si="17"/>
        <v>1.1479755502741786</v>
      </c>
      <c r="I44" s="414">
        <f t="shared" si="17"/>
        <v>1.1479755502741786</v>
      </c>
      <c r="J44" s="414">
        <f t="shared" si="17"/>
        <v>1.1479755502741786</v>
      </c>
      <c r="K44" s="414">
        <f t="shared" si="17"/>
        <v>1.1479755502741786</v>
      </c>
      <c r="L44" s="414">
        <f t="shared" si="17"/>
        <v>1.1479755502741786</v>
      </c>
      <c r="M44" s="414">
        <f t="shared" si="17"/>
        <v>1.1479755502741786</v>
      </c>
      <c r="N44" s="414">
        <f t="shared" si="17"/>
        <v>1.1479755502741786</v>
      </c>
      <c r="O44" s="414">
        <f t="shared" si="17"/>
        <v>1.1479755502741786</v>
      </c>
      <c r="P44" s="414">
        <f t="shared" si="17"/>
        <v>1.1479755502741786</v>
      </c>
      <c r="Q44" s="414">
        <f t="shared" si="17"/>
        <v>1.1479755502741786</v>
      </c>
      <c r="R44" s="414">
        <f t="shared" si="17"/>
        <v>1.1479755502741786</v>
      </c>
      <c r="S44" s="414">
        <f t="shared" si="17"/>
        <v>1.1479755502741786</v>
      </c>
      <c r="T44" s="414">
        <f t="shared" si="17"/>
        <v>1.1479755502741786</v>
      </c>
      <c r="U44" s="414">
        <f t="shared" si="17"/>
        <v>1.1479755502741786</v>
      </c>
      <c r="V44" s="414">
        <f t="shared" si="17"/>
        <v>1.1479755502741786</v>
      </c>
      <c r="W44" s="414">
        <f t="shared" si="17"/>
        <v>1.1479755502741786</v>
      </c>
      <c r="X44" s="414">
        <f t="shared" si="17"/>
        <v>1.1479755502741786</v>
      </c>
      <c r="Y44" s="414">
        <f t="shared" si="17"/>
        <v>1.1479755502741786</v>
      </c>
      <c r="Z44" s="414">
        <f t="shared" si="17"/>
        <v>1.1479755502741786</v>
      </c>
      <c r="AA44" s="414">
        <f t="shared" si="17"/>
        <v>1.1479755502741786</v>
      </c>
      <c r="AB44" s="414">
        <f t="shared" si="17"/>
        <v>1.1479755502741786</v>
      </c>
      <c r="AC44" s="414">
        <f t="shared" si="17"/>
        <v>1.1479755502741786</v>
      </c>
      <c r="AD44" s="414">
        <f t="shared" si="17"/>
        <v>1.1479755502741786</v>
      </c>
      <c r="AE44" s="414">
        <f t="shared" si="17"/>
        <v>1.1479755502741786</v>
      </c>
      <c r="AF44" s="414">
        <f t="shared" si="17"/>
        <v>1.1479755502741786</v>
      </c>
      <c r="AG44" s="414">
        <f t="shared" si="17"/>
        <v>1.1479755502741786</v>
      </c>
      <c r="AH44" s="414">
        <f t="shared" si="17"/>
        <v>1.1479755502741786</v>
      </c>
      <c r="AI44" s="414">
        <f t="shared" si="17"/>
        <v>1.1479755502741786</v>
      </c>
      <c r="AJ44" s="414">
        <f t="shared" si="17"/>
        <v>1.1479755502741786</v>
      </c>
      <c r="AK44" s="414">
        <f t="shared" si="17"/>
        <v>1.1479755502741786</v>
      </c>
      <c r="AL44" s="414">
        <f t="shared" si="17"/>
        <v>1.1479755502741786</v>
      </c>
    </row>
    <row r="45" spans="2:38" s="421" customFormat="1" ht="13">
      <c r="B45" s="418"/>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row>
    <row r="46" spans="2:38" s="421" customFormat="1" ht="13">
      <c r="B46" s="422" t="s">
        <v>668</v>
      </c>
      <c r="C46" s="408"/>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c r="B47" s="411" t="s">
        <v>653</v>
      </c>
      <c r="C47" s="412" t="s">
        <v>654</v>
      </c>
      <c r="D47" s="423">
        <f>((D$14*D$15+0.2)/0.2)^(0.3116)</f>
        <v>16.226019659764887</v>
      </c>
      <c r="E47" s="423">
        <f t="shared" ref="E47:AL47" si="18">((E$14*E$15+0.2)/0.2)^(0.3116)</f>
        <v>16.427545366441784</v>
      </c>
      <c r="F47" s="423">
        <f t="shared" si="18"/>
        <v>16.631575025826844</v>
      </c>
      <c r="G47" s="423">
        <f t="shared" si="18"/>
        <v>16.838139721999571</v>
      </c>
      <c r="H47" s="423">
        <f t="shared" si="18"/>
        <v>17.047270925656068</v>
      </c>
      <c r="I47" s="423">
        <f t="shared" si="18"/>
        <v>17.259000498897866</v>
      </c>
      <c r="J47" s="423">
        <f t="shared" si="18"/>
        <v>17.473360700080498</v>
      </c>
      <c r="K47" s="423">
        <f t="shared" si="18"/>
        <v>17.69038418872281</v>
      </c>
      <c r="L47" s="423">
        <f t="shared" si="18"/>
        <v>17.910104030477385</v>
      </c>
      <c r="M47" s="423">
        <f t="shared" si="18"/>
        <v>18.132553702163261</v>
      </c>
      <c r="N47" s="423">
        <f t="shared" si="18"/>
        <v>18.357767096861366</v>
      </c>
      <c r="O47" s="423">
        <f t="shared" si="18"/>
        <v>18.58577852907354</v>
      </c>
      <c r="P47" s="423">
        <f t="shared" si="18"/>
        <v>18.816622739946062</v>
      </c>
      <c r="Q47" s="423">
        <f t="shared" si="18"/>
        <v>19.050334902558287</v>
      </c>
      <c r="R47" s="423">
        <f t="shared" si="18"/>
        <v>19.286950627277218</v>
      </c>
      <c r="S47" s="423">
        <f t="shared" si="18"/>
        <v>19.526505967178988</v>
      </c>
      <c r="T47" s="423">
        <f t="shared" si="18"/>
        <v>19.769037423537952</v>
      </c>
      <c r="U47" s="423">
        <f t="shared" si="18"/>
        <v>20.014581951384081</v>
      </c>
      <c r="V47" s="423">
        <f t="shared" si="18"/>
        <v>20.263176965129844</v>
      </c>
      <c r="W47" s="423">
        <f t="shared" si="18"/>
        <v>20.514860344267163</v>
      </c>
      <c r="X47" s="423">
        <f t="shared" si="18"/>
        <v>20.769670439135282</v>
      </c>
      <c r="Y47" s="423">
        <f t="shared" si="18"/>
        <v>21.027646076760721</v>
      </c>
      <c r="Z47" s="423">
        <f t="shared" si="18"/>
        <v>21.288826566769849</v>
      </c>
      <c r="AA47" s="423">
        <f t="shared" si="18"/>
        <v>21.553251707375189</v>
      </c>
      <c r="AB47" s="423">
        <f t="shared" si="18"/>
        <v>21.820961791436314</v>
      </c>
      <c r="AC47" s="423">
        <f t="shared" si="18"/>
        <v>22.091997612596238</v>
      </c>
      <c r="AD47" s="423">
        <f t="shared" si="18"/>
        <v>22.366400471494167</v>
      </c>
      <c r="AE47" s="423">
        <f t="shared" si="18"/>
        <v>22.644212182055799</v>
      </c>
      <c r="AF47" s="423">
        <f t="shared" si="18"/>
        <v>22.92547507786178</v>
      </c>
      <c r="AG47" s="423">
        <f t="shared" si="18"/>
        <v>23.210232018595594</v>
      </c>
      <c r="AH47" s="423">
        <f t="shared" si="18"/>
        <v>23.498526396571595</v>
      </c>
      <c r="AI47" s="423">
        <f t="shared" si="18"/>
        <v>23.79040214334448</v>
      </c>
      <c r="AJ47" s="423">
        <f t="shared" si="18"/>
        <v>24.085903736400951</v>
      </c>
      <c r="AK47" s="423">
        <f t="shared" si="18"/>
        <v>24.38507620593461</v>
      </c>
      <c r="AL47" s="423">
        <f t="shared" si="18"/>
        <v>24.687965141705277</v>
      </c>
    </row>
    <row r="48" spans="2:38" s="421" customFormat="1">
      <c r="B48" s="411" t="s">
        <v>655</v>
      </c>
      <c r="C48" s="412" t="s">
        <v>656</v>
      </c>
      <c r="D48" s="414">
        <f t="shared" ref="D48:AL48" si="19">EXP(0.2912*$D$9)</f>
        <v>1</v>
      </c>
      <c r="E48" s="414">
        <f t="shared" si="19"/>
        <v>1</v>
      </c>
      <c r="F48" s="414">
        <f t="shared" si="19"/>
        <v>1</v>
      </c>
      <c r="G48" s="414">
        <f t="shared" si="19"/>
        <v>1</v>
      </c>
      <c r="H48" s="414">
        <f t="shared" si="19"/>
        <v>1</v>
      </c>
      <c r="I48" s="414">
        <f t="shared" si="19"/>
        <v>1</v>
      </c>
      <c r="J48" s="414">
        <f t="shared" si="19"/>
        <v>1</v>
      </c>
      <c r="K48" s="414">
        <f t="shared" si="19"/>
        <v>1</v>
      </c>
      <c r="L48" s="414">
        <f t="shared" si="19"/>
        <v>1</v>
      </c>
      <c r="M48" s="414">
        <f t="shared" si="19"/>
        <v>1</v>
      </c>
      <c r="N48" s="414">
        <f t="shared" si="19"/>
        <v>1</v>
      </c>
      <c r="O48" s="414">
        <f t="shared" si="19"/>
        <v>1</v>
      </c>
      <c r="P48" s="414">
        <f t="shared" si="19"/>
        <v>1</v>
      </c>
      <c r="Q48" s="414">
        <f t="shared" si="19"/>
        <v>1</v>
      </c>
      <c r="R48" s="414">
        <f t="shared" si="19"/>
        <v>1</v>
      </c>
      <c r="S48" s="414">
        <f t="shared" si="19"/>
        <v>1</v>
      </c>
      <c r="T48" s="414">
        <f t="shared" si="19"/>
        <v>1</v>
      </c>
      <c r="U48" s="414">
        <f t="shared" si="19"/>
        <v>1</v>
      </c>
      <c r="V48" s="414">
        <f t="shared" si="19"/>
        <v>1</v>
      </c>
      <c r="W48" s="414">
        <f t="shared" si="19"/>
        <v>1</v>
      </c>
      <c r="X48" s="414">
        <f t="shared" si="19"/>
        <v>1</v>
      </c>
      <c r="Y48" s="414">
        <f t="shared" si="19"/>
        <v>1</v>
      </c>
      <c r="Z48" s="414">
        <f t="shared" si="19"/>
        <v>1</v>
      </c>
      <c r="AA48" s="414">
        <f t="shared" si="19"/>
        <v>1</v>
      </c>
      <c r="AB48" s="414">
        <f t="shared" si="19"/>
        <v>1</v>
      </c>
      <c r="AC48" s="414">
        <f t="shared" si="19"/>
        <v>1</v>
      </c>
      <c r="AD48" s="414">
        <f t="shared" si="19"/>
        <v>1</v>
      </c>
      <c r="AE48" s="414">
        <f t="shared" si="19"/>
        <v>1</v>
      </c>
      <c r="AF48" s="414">
        <f t="shared" si="19"/>
        <v>1</v>
      </c>
      <c r="AG48" s="414">
        <f t="shared" si="19"/>
        <v>1</v>
      </c>
      <c r="AH48" s="414">
        <f t="shared" si="19"/>
        <v>1</v>
      </c>
      <c r="AI48" s="414">
        <f t="shared" si="19"/>
        <v>1</v>
      </c>
      <c r="AJ48" s="414">
        <f t="shared" si="19"/>
        <v>1</v>
      </c>
      <c r="AK48" s="414">
        <f t="shared" si="19"/>
        <v>1</v>
      </c>
      <c r="AL48" s="414">
        <f t="shared" si="19"/>
        <v>1</v>
      </c>
    </row>
    <row r="49" spans="2:38" s="421" customFormat="1">
      <c r="B49" s="411" t="s">
        <v>657</v>
      </c>
      <c r="C49" s="416" t="s">
        <v>658</v>
      </c>
      <c r="D49" s="414">
        <v>1</v>
      </c>
      <c r="E49" s="414">
        <v>1</v>
      </c>
      <c r="F49" s="414">
        <v>1</v>
      </c>
      <c r="G49" s="414">
        <v>1</v>
      </c>
      <c r="H49" s="414">
        <v>1</v>
      </c>
      <c r="I49" s="414">
        <v>1</v>
      </c>
      <c r="J49" s="414">
        <v>1</v>
      </c>
      <c r="K49" s="414">
        <v>1</v>
      </c>
      <c r="L49" s="414">
        <v>1</v>
      </c>
      <c r="M49" s="414">
        <v>1</v>
      </c>
      <c r="N49" s="414">
        <v>1</v>
      </c>
      <c r="O49" s="414">
        <v>1</v>
      </c>
      <c r="P49" s="414">
        <v>1</v>
      </c>
      <c r="Q49" s="414">
        <v>1</v>
      </c>
      <c r="R49" s="414">
        <v>1</v>
      </c>
      <c r="S49" s="414">
        <v>1</v>
      </c>
      <c r="T49" s="414">
        <v>1</v>
      </c>
      <c r="U49" s="414">
        <v>1</v>
      </c>
      <c r="V49" s="414">
        <v>1</v>
      </c>
      <c r="W49" s="414">
        <v>1</v>
      </c>
      <c r="X49" s="414">
        <v>1</v>
      </c>
      <c r="Y49" s="414">
        <v>1</v>
      </c>
      <c r="Z49" s="414">
        <v>1</v>
      </c>
      <c r="AA49" s="414">
        <v>1</v>
      </c>
      <c r="AB49" s="414">
        <v>1</v>
      </c>
      <c r="AC49" s="414">
        <v>1</v>
      </c>
      <c r="AD49" s="414">
        <v>1</v>
      </c>
      <c r="AE49" s="414">
        <v>1</v>
      </c>
      <c r="AF49" s="414">
        <v>1</v>
      </c>
      <c r="AG49" s="414">
        <v>1</v>
      </c>
      <c r="AH49" s="414">
        <v>1</v>
      </c>
      <c r="AI49" s="414">
        <v>1</v>
      </c>
      <c r="AJ49" s="414">
        <v>1</v>
      </c>
      <c r="AK49" s="414">
        <v>1</v>
      </c>
      <c r="AL49" s="414">
        <v>1</v>
      </c>
    </row>
    <row r="50" spans="2:38" s="421" customFormat="1">
      <c r="B50" s="411" t="s">
        <v>659</v>
      </c>
      <c r="C50" s="412" t="s">
        <v>660</v>
      </c>
      <c r="D50" s="414">
        <v>1</v>
      </c>
      <c r="E50" s="414">
        <v>1</v>
      </c>
      <c r="F50" s="414">
        <v>1</v>
      </c>
      <c r="G50" s="414">
        <v>1</v>
      </c>
      <c r="H50" s="414">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661</v>
      </c>
      <c r="C51" s="412" t="s">
        <v>662</v>
      </c>
      <c r="D51" s="414">
        <v>1</v>
      </c>
      <c r="E51" s="414">
        <v>1</v>
      </c>
      <c r="F51" s="414">
        <v>1</v>
      </c>
      <c r="G51" s="414">
        <v>1</v>
      </c>
      <c r="H51" s="414">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663</v>
      </c>
      <c r="C52" s="412" t="s">
        <v>664</v>
      </c>
      <c r="D52" s="414">
        <v>1</v>
      </c>
      <c r="E52" s="414">
        <v>1</v>
      </c>
      <c r="F52" s="414">
        <v>1</v>
      </c>
      <c r="G52" s="414">
        <v>1</v>
      </c>
      <c r="H52" s="414">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24" t="s">
        <v>665</v>
      </c>
      <c r="C53" s="425" t="s">
        <v>666</v>
      </c>
      <c r="D53" s="426">
        <f t="shared" ref="D53:AL53" si="20">EXP(0.1036*($D$10-1))</f>
        <v>1.1091567034898182</v>
      </c>
      <c r="E53" s="426">
        <f t="shared" si="20"/>
        <v>1.1091567034898182</v>
      </c>
      <c r="F53" s="426">
        <f t="shared" si="20"/>
        <v>1.1091567034898182</v>
      </c>
      <c r="G53" s="426">
        <f t="shared" si="20"/>
        <v>1.1091567034898182</v>
      </c>
      <c r="H53" s="426">
        <f t="shared" si="20"/>
        <v>1.1091567034898182</v>
      </c>
      <c r="I53" s="426">
        <f t="shared" si="20"/>
        <v>1.1091567034898182</v>
      </c>
      <c r="J53" s="426">
        <f t="shared" si="20"/>
        <v>1.1091567034898182</v>
      </c>
      <c r="K53" s="426">
        <f t="shared" si="20"/>
        <v>1.1091567034898182</v>
      </c>
      <c r="L53" s="426">
        <f t="shared" si="20"/>
        <v>1.1091567034898182</v>
      </c>
      <c r="M53" s="426">
        <f t="shared" si="20"/>
        <v>1.1091567034898182</v>
      </c>
      <c r="N53" s="426">
        <f t="shared" si="20"/>
        <v>1.1091567034898182</v>
      </c>
      <c r="O53" s="426">
        <f t="shared" si="20"/>
        <v>1.1091567034898182</v>
      </c>
      <c r="P53" s="426">
        <f t="shared" si="20"/>
        <v>1.1091567034898182</v>
      </c>
      <c r="Q53" s="426">
        <f t="shared" si="20"/>
        <v>1.1091567034898182</v>
      </c>
      <c r="R53" s="426">
        <f t="shared" si="20"/>
        <v>1.1091567034898182</v>
      </c>
      <c r="S53" s="426">
        <f t="shared" si="20"/>
        <v>1.1091567034898182</v>
      </c>
      <c r="T53" s="426">
        <f t="shared" si="20"/>
        <v>1.1091567034898182</v>
      </c>
      <c r="U53" s="426">
        <f t="shared" si="20"/>
        <v>1.1091567034898182</v>
      </c>
      <c r="V53" s="426">
        <f t="shared" si="20"/>
        <v>1.1091567034898182</v>
      </c>
      <c r="W53" s="426">
        <f t="shared" si="20"/>
        <v>1.1091567034898182</v>
      </c>
      <c r="X53" s="426">
        <f t="shared" si="20"/>
        <v>1.1091567034898182</v>
      </c>
      <c r="Y53" s="426">
        <f t="shared" si="20"/>
        <v>1.1091567034898182</v>
      </c>
      <c r="Z53" s="426">
        <f t="shared" si="20"/>
        <v>1.1091567034898182</v>
      </c>
      <c r="AA53" s="426">
        <f t="shared" si="20"/>
        <v>1.1091567034898182</v>
      </c>
      <c r="AB53" s="426">
        <f t="shared" si="20"/>
        <v>1.1091567034898182</v>
      </c>
      <c r="AC53" s="426">
        <f t="shared" si="20"/>
        <v>1.1091567034898182</v>
      </c>
      <c r="AD53" s="426">
        <f t="shared" si="20"/>
        <v>1.1091567034898182</v>
      </c>
      <c r="AE53" s="426">
        <f t="shared" si="20"/>
        <v>1.1091567034898182</v>
      </c>
      <c r="AF53" s="426">
        <f t="shared" si="20"/>
        <v>1.1091567034898182</v>
      </c>
      <c r="AG53" s="426">
        <f t="shared" si="20"/>
        <v>1.1091567034898182</v>
      </c>
      <c r="AH53" s="426">
        <f t="shared" si="20"/>
        <v>1.1091567034898182</v>
      </c>
      <c r="AI53" s="426">
        <f t="shared" si="20"/>
        <v>1.1091567034898182</v>
      </c>
      <c r="AJ53" s="426">
        <f t="shared" si="20"/>
        <v>1.1091567034898182</v>
      </c>
      <c r="AK53" s="426">
        <f t="shared" si="20"/>
        <v>1.1091567034898182</v>
      </c>
      <c r="AL53" s="426">
        <f t="shared" si="20"/>
        <v>1.1091567034898182</v>
      </c>
    </row>
    <row r="54" spans="2:38">
      <c r="B54" s="362"/>
      <c r="C54" s="427" t="s">
        <v>290</v>
      </c>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row>
    <row r="55" spans="2:38">
      <c r="B55" s="362" t="s">
        <v>669</v>
      </c>
      <c r="C55" s="428">
        <f>$E$6</f>
        <v>2.2680000000000001E-3</v>
      </c>
      <c r="D55" s="429">
        <f t="shared" ref="D55:AJ55" si="21">IF($D$6=$B28,$C$55*PRODUCT(D$29:D$35),IF($D$6=$B37,$C$55*PRODUCT(D$38:D$44), $C$55*PRODUCT(D$47:D$53)))</f>
        <v>3.6553430196310958E-2</v>
      </c>
      <c r="E55" s="429">
        <f t="shared" si="21"/>
        <v>3.7083040071946766E-2</v>
      </c>
      <c r="F55" s="429">
        <f t="shared" si="21"/>
        <v>3.762040236751131E-2</v>
      </c>
      <c r="G55" s="429">
        <f t="shared" si="21"/>
        <v>3.8165631049262072E-2</v>
      </c>
      <c r="H55" s="429">
        <f t="shared" si="21"/>
        <v>3.8718841762270438E-2</v>
      </c>
      <c r="I55" s="429">
        <f t="shared" si="21"/>
        <v>3.9280151855110988E-2</v>
      </c>
      <c r="J55" s="429">
        <f t="shared" si="21"/>
        <v>3.9849680404914718E-2</v>
      </c>
      <c r="K55" s="429">
        <f t="shared" si="21"/>
        <v>4.0427548242792037E-2</v>
      </c>
      <c r="L55" s="429">
        <f t="shared" si="21"/>
        <v>4.101387797963043E-2</v>
      </c>
      <c r="M55" s="429">
        <f t="shared" si="21"/>
        <v>4.1608794032273064E-2</v>
      </c>
      <c r="N55" s="429">
        <f t="shared" si="21"/>
        <v>4.2212422650083042E-2</v>
      </c>
      <c r="O55" s="429">
        <f t="shared" si="21"/>
        <v>4.2824891941899527E-2</v>
      </c>
      <c r="P55" s="429">
        <f t="shared" si="21"/>
        <v>4.3446331903391519E-2</v>
      </c>
      <c r="Q55" s="429">
        <f t="shared" si="21"/>
        <v>4.4076874444814861E-2</v>
      </c>
      <c r="R55" s="429">
        <f t="shared" si="21"/>
        <v>4.4716653419178361E-2</v>
      </c>
      <c r="S55" s="429">
        <f t="shared" si="21"/>
        <v>4.5365804650825403E-2</v>
      </c>
      <c r="T55" s="429">
        <f t="shared" si="21"/>
        <v>4.6024465964436954E-2</v>
      </c>
      <c r="U55" s="429">
        <f t="shared" si="21"/>
        <v>4.6692777214461988E-2</v>
      </c>
      <c r="V55" s="429">
        <f t="shared" si="21"/>
        <v>4.7370880314981836E-2</v>
      </c>
      <c r="W55" s="429">
        <f t="shared" si="21"/>
        <v>4.8058919270014801E-2</v>
      </c>
      <c r="X55" s="429">
        <f t="shared" si="21"/>
        <v>4.8757040204267556E-2</v>
      </c>
      <c r="Y55" s="429">
        <f t="shared" si="21"/>
        <v>4.9465391394339572E-2</v>
      </c>
      <c r="Z55" s="429">
        <f t="shared" si="21"/>
        <v>5.0184123300387788E-2</v>
      </c>
      <c r="AA55" s="429">
        <f t="shared" si="21"/>
        <v>5.0913388598257781E-2</v>
      </c>
      <c r="AB55" s="429">
        <f t="shared" si="21"/>
        <v>5.1653342212088643E-2</v>
      </c>
      <c r="AC55" s="429">
        <f t="shared" si="21"/>
        <v>5.2404141347398216E-2</v>
      </c>
      <c r="AD55" s="429">
        <f t="shared" si="21"/>
        <v>5.3165945524656089E-2</v>
      </c>
      <c r="AE55" s="429">
        <f t="shared" si="21"/>
        <v>5.3938916613351262E-2</v>
      </c>
      <c r="AF55" s="429">
        <f t="shared" si="21"/>
        <v>5.4723218866561979E-2</v>
      </c>
      <c r="AG55" s="429">
        <f t="shared" si="21"/>
        <v>5.5519018956034838E-2</v>
      </c>
      <c r="AH55" s="429">
        <f t="shared" si="21"/>
        <v>5.6326486007780847E-2</v>
      </c>
      <c r="AI55" s="429">
        <f t="shared" si="21"/>
        <v>5.7145791638196212E-2</v>
      </c>
      <c r="AJ55" s="429">
        <f t="shared" si="21"/>
        <v>5.7977109990715099E-2</v>
      </c>
      <c r="AK55" s="429">
        <f t="shared" ref="AK55:AL55" si="22">IF($D$6=$B28,$C$55*PRODUCT(AK$29:AK$35),IF($D$6=$B37,$C$55*PRODUCT(AK$38:AK$44), $C$55*PRODUCT(AK$47:AK$53)))</f>
        <v>5.8820617773002473E-2</v>
      </c>
      <c r="AL55" s="429">
        <f t="shared" si="22"/>
        <v>5.9676494294695286E-2</v>
      </c>
    </row>
    <row r="57" spans="2:38" ht="13">
      <c r="B57" s="407" t="s">
        <v>670</v>
      </c>
      <c r="C57" s="396" t="s">
        <v>627</v>
      </c>
      <c r="D57" s="397">
        <v>2018</v>
      </c>
      <c r="E57" s="397">
        <v>2020</v>
      </c>
      <c r="F57" s="397">
        <v>2021</v>
      </c>
      <c r="G57" s="397">
        <v>2022</v>
      </c>
      <c r="H57" s="397">
        <v>2023</v>
      </c>
      <c r="I57" s="397">
        <v>2024</v>
      </c>
      <c r="J57" s="397">
        <v>2025</v>
      </c>
      <c r="K57" s="397">
        <v>2026</v>
      </c>
      <c r="L57" s="397">
        <v>2027</v>
      </c>
      <c r="M57" s="397">
        <v>2028</v>
      </c>
      <c r="N57" s="397">
        <v>2029</v>
      </c>
      <c r="O57" s="397">
        <v>2030</v>
      </c>
      <c r="P57" s="397">
        <v>2031</v>
      </c>
      <c r="Q57" s="397">
        <v>2032</v>
      </c>
      <c r="R57" s="397">
        <v>2033</v>
      </c>
      <c r="S57" s="397">
        <v>2034</v>
      </c>
      <c r="T57" s="397">
        <v>2035</v>
      </c>
      <c r="U57" s="397">
        <v>2036</v>
      </c>
      <c r="V57" s="397">
        <v>2037</v>
      </c>
      <c r="W57" s="397">
        <v>2038</v>
      </c>
      <c r="X57" s="397">
        <v>2039</v>
      </c>
      <c r="Y57" s="397">
        <v>2040</v>
      </c>
      <c r="Z57" s="397">
        <v>2041</v>
      </c>
      <c r="AA57" s="397">
        <v>2042</v>
      </c>
      <c r="AB57" s="397">
        <v>2043</v>
      </c>
      <c r="AC57" s="397">
        <v>2044</v>
      </c>
      <c r="AD57" s="397">
        <v>2044</v>
      </c>
      <c r="AE57" s="397">
        <v>2044</v>
      </c>
      <c r="AF57" s="397">
        <v>2044</v>
      </c>
      <c r="AG57" s="397">
        <v>2044</v>
      </c>
      <c r="AH57" s="397">
        <v>2044</v>
      </c>
      <c r="AI57" s="397">
        <v>2044</v>
      </c>
      <c r="AJ57" s="397">
        <v>2044</v>
      </c>
      <c r="AK57" s="397">
        <v>2044</v>
      </c>
      <c r="AL57" s="397">
        <v>2044</v>
      </c>
    </row>
    <row r="58" spans="2:38" s="366" customFormat="1">
      <c r="B58" s="366" t="s">
        <v>671</v>
      </c>
      <c r="C58" s="430" t="s">
        <v>662</v>
      </c>
      <c r="D58" s="431">
        <f t="shared" ref="D58:AE58" si="23">D19^(-1.074)</f>
        <v>0.11486407065121609</v>
      </c>
      <c r="E58" s="432">
        <f t="shared" si="23"/>
        <v>0.11486407065121609</v>
      </c>
      <c r="F58" s="432">
        <f t="shared" si="23"/>
        <v>0.11486407065121609</v>
      </c>
      <c r="G58" s="432">
        <f t="shared" si="23"/>
        <v>0.11486407065121609</v>
      </c>
      <c r="H58" s="432">
        <f t="shared" si="23"/>
        <v>0.11486407065121609</v>
      </c>
      <c r="I58" s="432">
        <f t="shared" si="23"/>
        <v>0.11486407065121609</v>
      </c>
      <c r="J58" s="432">
        <f t="shared" si="23"/>
        <v>0.11486407065121609</v>
      </c>
      <c r="K58" s="432">
        <f t="shared" si="23"/>
        <v>0.11486407065121609</v>
      </c>
      <c r="L58" s="432">
        <f t="shared" si="23"/>
        <v>0.11486407065121609</v>
      </c>
      <c r="M58" s="432">
        <f t="shared" si="23"/>
        <v>0.11486407065121609</v>
      </c>
      <c r="N58" s="432">
        <f t="shared" si="23"/>
        <v>0.11486407065121609</v>
      </c>
      <c r="O58" s="432">
        <f t="shared" si="23"/>
        <v>0.11486407065121609</v>
      </c>
      <c r="P58" s="432">
        <f t="shared" si="23"/>
        <v>0.11486407065121609</v>
      </c>
      <c r="Q58" s="432">
        <f t="shared" si="23"/>
        <v>0.11486407065121609</v>
      </c>
      <c r="R58" s="432">
        <f t="shared" si="23"/>
        <v>0.11486407065121609</v>
      </c>
      <c r="S58" s="432">
        <f t="shared" si="23"/>
        <v>0.11486407065121609</v>
      </c>
      <c r="T58" s="432">
        <f t="shared" si="23"/>
        <v>0.11486407065121609</v>
      </c>
      <c r="U58" s="432">
        <f t="shared" si="23"/>
        <v>0.11486407065121609</v>
      </c>
      <c r="V58" s="432">
        <f t="shared" si="23"/>
        <v>0.11486407065121609</v>
      </c>
      <c r="W58" s="432">
        <f t="shared" si="23"/>
        <v>0.11486407065121609</v>
      </c>
      <c r="X58" s="432">
        <f t="shared" si="23"/>
        <v>0.11486407065121609</v>
      </c>
      <c r="Y58" s="432">
        <f t="shared" si="23"/>
        <v>0.11486407065121609</v>
      </c>
      <c r="Z58" s="432">
        <f t="shared" si="23"/>
        <v>0.11486407065121609</v>
      </c>
      <c r="AA58" s="432">
        <f t="shared" si="23"/>
        <v>0.11486407065121609</v>
      </c>
      <c r="AB58" s="432">
        <f t="shared" si="23"/>
        <v>0.11486407065121609</v>
      </c>
      <c r="AC58" s="432">
        <f t="shared" si="23"/>
        <v>0.11486407065121609</v>
      </c>
      <c r="AD58" s="432">
        <f t="shared" si="23"/>
        <v>0.11486407065121609</v>
      </c>
      <c r="AE58" s="432">
        <f t="shared" si="23"/>
        <v>0.11486407065121609</v>
      </c>
      <c r="AF58" s="432">
        <f t="shared" ref="AF58:AJ58" si="24">AF19^(-1.074)</f>
        <v>0.11486407065121609</v>
      </c>
      <c r="AG58" s="432">
        <f t="shared" si="24"/>
        <v>0.11486407065121609</v>
      </c>
      <c r="AH58" s="432">
        <f t="shared" si="24"/>
        <v>0.11486407065121609</v>
      </c>
      <c r="AI58" s="432">
        <f t="shared" si="24"/>
        <v>0.11486407065121609</v>
      </c>
      <c r="AJ58" s="432">
        <f t="shared" si="24"/>
        <v>0.11486407065121609</v>
      </c>
      <c r="AK58" s="432">
        <f t="shared" ref="AK58:AL58" si="25">AK19^(-1.074)</f>
        <v>0.11486407065121609</v>
      </c>
      <c r="AL58" s="432">
        <f t="shared" si="25"/>
        <v>0.11486407065121609</v>
      </c>
    </row>
    <row r="59" spans="2:38">
      <c r="B59" s="358" t="s">
        <v>606</v>
      </c>
      <c r="C59" s="419" t="s">
        <v>672</v>
      </c>
      <c r="D59" s="417">
        <f>(D$16+1)^(-0.1025)</f>
        <v>0.89285598450946391</v>
      </c>
      <c r="E59" s="417">
        <f t="shared" ref="E59:AL59" si="26">(E$16+1)^(-0.1025)</f>
        <v>0.89220912192398749</v>
      </c>
      <c r="F59" s="417">
        <f t="shared" si="26"/>
        <v>0.89156048349501171</v>
      </c>
      <c r="G59" s="417">
        <f t="shared" si="26"/>
        <v>0.89091008192725418</v>
      </c>
      <c r="H59" s="417">
        <f t="shared" si="26"/>
        <v>0.89025792999093223</v>
      </c>
      <c r="I59" s="417">
        <f t="shared" si="26"/>
        <v>0.88960404051976527</v>
      </c>
      <c r="J59" s="417">
        <f t="shared" si="26"/>
        <v>0.88894842640897598</v>
      </c>
      <c r="K59" s="417">
        <f t="shared" si="26"/>
        <v>0.88829110061329519</v>
      </c>
      <c r="L59" s="417">
        <f t="shared" si="26"/>
        <v>0.88763207614496653</v>
      </c>
      <c r="M59" s="417">
        <f t="shared" si="26"/>
        <v>0.88697136607175475</v>
      </c>
      <c r="N59" s="417">
        <f t="shared" si="26"/>
        <v>0.88630898351495846</v>
      </c>
      <c r="O59" s="417">
        <f t="shared" si="26"/>
        <v>0.88564494164742358</v>
      </c>
      <c r="P59" s="417">
        <f t="shared" si="26"/>
        <v>0.88497925369156449</v>
      </c>
      <c r="Q59" s="417">
        <f t="shared" si="26"/>
        <v>0.8843119329173883</v>
      </c>
      <c r="R59" s="417">
        <f t="shared" si="26"/>
        <v>0.88364299264052493</v>
      </c>
      <c r="S59" s="417">
        <f t="shared" si="26"/>
        <v>0.88297244622026427</v>
      </c>
      <c r="T59" s="417">
        <f t="shared" si="26"/>
        <v>0.88230030705759988</v>
      </c>
      <c r="U59" s="417">
        <f t="shared" si="26"/>
        <v>0.88162658859327914</v>
      </c>
      <c r="V59" s="417">
        <f t="shared" si="26"/>
        <v>0.88095130430586199</v>
      </c>
      <c r="W59" s="417">
        <f t="shared" si="26"/>
        <v>0.88027446770978857</v>
      </c>
      <c r="X59" s="417">
        <f t="shared" si="26"/>
        <v>0.87959609235345493</v>
      </c>
      <c r="Y59" s="417">
        <f t="shared" si="26"/>
        <v>0.87891619181729919</v>
      </c>
      <c r="Z59" s="417">
        <f t="shared" si="26"/>
        <v>0.87823477971189645</v>
      </c>
      <c r="AA59" s="417">
        <f t="shared" si="26"/>
        <v>0.87755186967606535</v>
      </c>
      <c r="AB59" s="417">
        <f t="shared" si="26"/>
        <v>0.87686747537498577</v>
      </c>
      <c r="AC59" s="417">
        <f t="shared" si="26"/>
        <v>0.87618161049832688</v>
      </c>
      <c r="AD59" s="417">
        <f t="shared" si="26"/>
        <v>0.87549428875838731</v>
      </c>
      <c r="AE59" s="417">
        <f t="shared" si="26"/>
        <v>0.87480552388824917</v>
      </c>
      <c r="AF59" s="417">
        <f t="shared" si="26"/>
        <v>0.87411532963994387</v>
      </c>
      <c r="AG59" s="417">
        <f t="shared" si="26"/>
        <v>0.87342371978263023</v>
      </c>
      <c r="AH59" s="417">
        <f t="shared" si="26"/>
        <v>0.87273070810078812</v>
      </c>
      <c r="AI59" s="417">
        <f t="shared" si="26"/>
        <v>0.87203630839242585</v>
      </c>
      <c r="AJ59" s="417">
        <f t="shared" si="26"/>
        <v>0.87134053446730064</v>
      </c>
      <c r="AK59" s="417">
        <f t="shared" si="26"/>
        <v>0.87064340014515562</v>
      </c>
      <c r="AL59" s="417">
        <f t="shared" si="26"/>
        <v>0.86994491925397133</v>
      </c>
    </row>
    <row r="60" spans="2:38">
      <c r="B60" s="358" t="s">
        <v>673</v>
      </c>
      <c r="C60" s="419" t="s">
        <v>674</v>
      </c>
      <c r="D60" s="414">
        <f t="shared" ref="D60:AL60" si="27">(D$18+1)^(0.1025)</f>
        <v>1</v>
      </c>
      <c r="E60" s="415">
        <f t="shared" si="27"/>
        <v>1</v>
      </c>
      <c r="F60" s="415">
        <f t="shared" si="27"/>
        <v>1</v>
      </c>
      <c r="G60" s="415">
        <f t="shared" si="27"/>
        <v>1</v>
      </c>
      <c r="H60" s="415">
        <f t="shared" si="27"/>
        <v>1</v>
      </c>
      <c r="I60" s="415">
        <f t="shared" si="27"/>
        <v>1</v>
      </c>
      <c r="J60" s="415">
        <f t="shared" si="27"/>
        <v>1</v>
      </c>
      <c r="K60" s="415">
        <f t="shared" si="27"/>
        <v>1</v>
      </c>
      <c r="L60" s="415">
        <f t="shared" si="27"/>
        <v>1</v>
      </c>
      <c r="M60" s="415">
        <f t="shared" si="27"/>
        <v>1</v>
      </c>
      <c r="N60" s="415">
        <f t="shared" si="27"/>
        <v>1</v>
      </c>
      <c r="O60" s="415">
        <f t="shared" si="27"/>
        <v>1</v>
      </c>
      <c r="P60" s="415">
        <f t="shared" si="27"/>
        <v>1</v>
      </c>
      <c r="Q60" s="415">
        <f t="shared" si="27"/>
        <v>1</v>
      </c>
      <c r="R60" s="415">
        <f t="shared" si="27"/>
        <v>1</v>
      </c>
      <c r="S60" s="415">
        <f t="shared" si="27"/>
        <v>1</v>
      </c>
      <c r="T60" s="415">
        <f t="shared" si="27"/>
        <v>1</v>
      </c>
      <c r="U60" s="415">
        <f t="shared" si="27"/>
        <v>1</v>
      </c>
      <c r="V60" s="415">
        <f t="shared" si="27"/>
        <v>1</v>
      </c>
      <c r="W60" s="415">
        <f t="shared" si="27"/>
        <v>1</v>
      </c>
      <c r="X60" s="415">
        <f t="shared" si="27"/>
        <v>1</v>
      </c>
      <c r="Y60" s="415">
        <f t="shared" si="27"/>
        <v>1</v>
      </c>
      <c r="Z60" s="415">
        <f t="shared" si="27"/>
        <v>1</v>
      </c>
      <c r="AA60" s="415">
        <f t="shared" si="27"/>
        <v>1</v>
      </c>
      <c r="AB60" s="415">
        <f t="shared" si="27"/>
        <v>1</v>
      </c>
      <c r="AC60" s="415">
        <f t="shared" si="27"/>
        <v>1</v>
      </c>
      <c r="AD60" s="415">
        <f t="shared" si="27"/>
        <v>1</v>
      </c>
      <c r="AE60" s="415">
        <f t="shared" si="27"/>
        <v>1</v>
      </c>
      <c r="AF60" s="415">
        <f t="shared" si="27"/>
        <v>1</v>
      </c>
      <c r="AG60" s="415">
        <f t="shared" si="27"/>
        <v>1</v>
      </c>
      <c r="AH60" s="415">
        <f t="shared" si="27"/>
        <v>1</v>
      </c>
      <c r="AI60" s="415">
        <f t="shared" si="27"/>
        <v>1</v>
      </c>
      <c r="AJ60" s="415">
        <f t="shared" si="27"/>
        <v>1</v>
      </c>
      <c r="AK60" s="415">
        <f t="shared" si="27"/>
        <v>1</v>
      </c>
      <c r="AL60" s="415">
        <f t="shared" si="27"/>
        <v>1</v>
      </c>
    </row>
    <row r="61" spans="2:38">
      <c r="B61" s="433" t="s">
        <v>675</v>
      </c>
      <c r="C61" s="434" t="s">
        <v>676</v>
      </c>
      <c r="D61" s="426">
        <f t="shared" ref="D61:AL61" si="28">EXP(0.188*$E$5)</f>
        <v>1.2068335153496053</v>
      </c>
      <c r="E61" s="426">
        <f t="shared" si="28"/>
        <v>1.2068335153496053</v>
      </c>
      <c r="F61" s="426">
        <f t="shared" si="28"/>
        <v>1.2068335153496053</v>
      </c>
      <c r="G61" s="426">
        <f t="shared" si="28"/>
        <v>1.2068335153496053</v>
      </c>
      <c r="H61" s="426">
        <f t="shared" si="28"/>
        <v>1.2068335153496053</v>
      </c>
      <c r="I61" s="426">
        <f t="shared" si="28"/>
        <v>1.2068335153496053</v>
      </c>
      <c r="J61" s="426">
        <f t="shared" si="28"/>
        <v>1.2068335153496053</v>
      </c>
      <c r="K61" s="426">
        <f t="shared" si="28"/>
        <v>1.2068335153496053</v>
      </c>
      <c r="L61" s="426">
        <f t="shared" si="28"/>
        <v>1.2068335153496053</v>
      </c>
      <c r="M61" s="426">
        <f t="shared" si="28"/>
        <v>1.2068335153496053</v>
      </c>
      <c r="N61" s="426">
        <f t="shared" si="28"/>
        <v>1.2068335153496053</v>
      </c>
      <c r="O61" s="426">
        <f t="shared" si="28"/>
        <v>1.2068335153496053</v>
      </c>
      <c r="P61" s="426">
        <f t="shared" si="28"/>
        <v>1.2068335153496053</v>
      </c>
      <c r="Q61" s="426">
        <f t="shared" si="28"/>
        <v>1.2068335153496053</v>
      </c>
      <c r="R61" s="426">
        <f t="shared" si="28"/>
        <v>1.2068335153496053</v>
      </c>
      <c r="S61" s="426">
        <f t="shared" si="28"/>
        <v>1.2068335153496053</v>
      </c>
      <c r="T61" s="426">
        <f t="shared" si="28"/>
        <v>1.2068335153496053</v>
      </c>
      <c r="U61" s="426">
        <f t="shared" si="28"/>
        <v>1.2068335153496053</v>
      </c>
      <c r="V61" s="426">
        <f t="shared" si="28"/>
        <v>1.2068335153496053</v>
      </c>
      <c r="W61" s="426">
        <f t="shared" si="28"/>
        <v>1.2068335153496053</v>
      </c>
      <c r="X61" s="426">
        <f t="shared" si="28"/>
        <v>1.2068335153496053</v>
      </c>
      <c r="Y61" s="426">
        <f t="shared" si="28"/>
        <v>1.2068335153496053</v>
      </c>
      <c r="Z61" s="426">
        <f t="shared" si="28"/>
        <v>1.2068335153496053</v>
      </c>
      <c r="AA61" s="426">
        <f t="shared" si="28"/>
        <v>1.2068335153496053</v>
      </c>
      <c r="AB61" s="426">
        <f t="shared" si="28"/>
        <v>1.2068335153496053</v>
      </c>
      <c r="AC61" s="426">
        <f t="shared" si="28"/>
        <v>1.2068335153496053</v>
      </c>
      <c r="AD61" s="426">
        <f t="shared" si="28"/>
        <v>1.2068335153496053</v>
      </c>
      <c r="AE61" s="426">
        <f t="shared" si="28"/>
        <v>1.2068335153496053</v>
      </c>
      <c r="AF61" s="426">
        <f t="shared" si="28"/>
        <v>1.2068335153496053</v>
      </c>
      <c r="AG61" s="426">
        <f t="shared" si="28"/>
        <v>1.2068335153496053</v>
      </c>
      <c r="AH61" s="426">
        <f t="shared" si="28"/>
        <v>1.2068335153496053</v>
      </c>
      <c r="AI61" s="426">
        <f t="shared" si="28"/>
        <v>1.2068335153496053</v>
      </c>
      <c r="AJ61" s="426">
        <f t="shared" si="28"/>
        <v>1.2068335153496053</v>
      </c>
      <c r="AK61" s="426">
        <f t="shared" si="28"/>
        <v>1.2068335153496053</v>
      </c>
      <c r="AL61" s="426">
        <f t="shared" si="28"/>
        <v>1.2068335153496053</v>
      </c>
    </row>
    <row r="62" spans="2:38">
      <c r="B62" s="362"/>
      <c r="C62" s="427" t="s">
        <v>290</v>
      </c>
    </row>
    <row r="63" spans="2:38">
      <c r="B63" s="362" t="s">
        <v>677</v>
      </c>
      <c r="C63" s="406">
        <v>695</v>
      </c>
      <c r="D63" s="435">
        <f>1/(1+$C$63*PRODUCT(D$58:D$61))</f>
        <v>1.1491654386940005E-2</v>
      </c>
      <c r="E63" s="435">
        <f t="shared" ref="E63:AL63" si="29">1/(1+$C$63*PRODUCT(E$58:E$61))</f>
        <v>1.1499890165312419E-2</v>
      </c>
      <c r="F63" s="435">
        <f t="shared" si="29"/>
        <v>1.150816041544467E-2</v>
      </c>
      <c r="G63" s="435">
        <f t="shared" si="29"/>
        <v>1.1516465098310133E-2</v>
      </c>
      <c r="H63" s="435">
        <f t="shared" si="29"/>
        <v>1.1524804173868261E-2</v>
      </c>
      <c r="I63" s="435">
        <f t="shared" si="29"/>
        <v>1.1533177601077849E-2</v>
      </c>
      <c r="J63" s="435">
        <f t="shared" si="29"/>
        <v>1.1541585337910413E-2</v>
      </c>
      <c r="K63" s="435">
        <f t="shared" si="29"/>
        <v>1.1550027341363629E-2</v>
      </c>
      <c r="L63" s="435">
        <f t="shared" si="29"/>
        <v>1.1558503567474917E-2</v>
      </c>
      <c r="M63" s="435">
        <f t="shared" si="29"/>
        <v>1.1567013971335086E-2</v>
      </c>
      <c r="N63" s="435">
        <f t="shared" si="29"/>
        <v>1.1575558507102048E-2</v>
      </c>
      <c r="O63" s="435">
        <f t="shared" si="29"/>
        <v>1.1584137128014673E-2</v>
      </c>
      <c r="P63" s="435">
        <f t="shared" si="29"/>
        <v>1.1592749786406649E-2</v>
      </c>
      <c r="Q63" s="435">
        <f t="shared" si="29"/>
        <v>1.1601396433720454E-2</v>
      </c>
      <c r="R63" s="435">
        <f t="shared" si="29"/>
        <v>1.1610077020521397E-2</v>
      </c>
      <c r="S63" s="435">
        <f t="shared" si="29"/>
        <v>1.1618791496511691E-2</v>
      </c>
      <c r="T63" s="435">
        <f t="shared" si="29"/>
        <v>1.1627539810544599E-2</v>
      </c>
      <c r="U63" s="435">
        <f t="shared" si="29"/>
        <v>1.1636321910638635E-2</v>
      </c>
      <c r="V63" s="435">
        <f t="shared" si="29"/>
        <v>1.1645137743991806E-2</v>
      </c>
      <c r="W63" s="435">
        <f t="shared" si="29"/>
        <v>1.1653987256995886E-2</v>
      </c>
      <c r="X63" s="435">
        <f t="shared" si="29"/>
        <v>1.1662870395250737E-2</v>
      </c>
      <c r="Y63" s="435">
        <f t="shared" si="29"/>
        <v>1.1671787103578669E-2</v>
      </c>
      <c r="Z63" s="435">
        <f t="shared" si="29"/>
        <v>1.1680737326038804E-2</v>
      </c>
      <c r="AA63" s="435">
        <f t="shared" si="29"/>
        <v>1.1689721005941478E-2</v>
      </c>
      <c r="AB63" s="435">
        <f t="shared" si="29"/>
        <v>1.1698738085862666E-2</v>
      </c>
      <c r="AC63" s="435">
        <f t="shared" si="29"/>
        <v>1.17077885076584E-2</v>
      </c>
      <c r="AD63" s="435">
        <f t="shared" si="29"/>
        <v>1.1716872212479216E-2</v>
      </c>
      <c r="AE63" s="435">
        <f t="shared" si="29"/>
        <v>1.1725989140784604E-2</v>
      </c>
      <c r="AF63" s="435">
        <f t="shared" si="29"/>
        <v>1.1735139232357429E-2</v>
      </c>
      <c r="AG63" s="435">
        <f t="shared" si="29"/>
        <v>1.1744322426318392E-2</v>
      </c>
      <c r="AH63" s="435">
        <f t="shared" si="29"/>
        <v>1.1753538661140452E-2</v>
      </c>
      <c r="AI63" s="435">
        <f t="shared" si="29"/>
        <v>1.1762787874663243E-2</v>
      </c>
      <c r="AJ63" s="435">
        <f t="shared" si="29"/>
        <v>1.177207000410747E-2</v>
      </c>
      <c r="AK63" s="435">
        <f t="shared" si="29"/>
        <v>1.1781384986089299E-2</v>
      </c>
      <c r="AL63" s="435">
        <f t="shared" si="29"/>
        <v>1.1790732756634708E-2</v>
      </c>
    </row>
    <row r="65" spans="2:38" ht="13">
      <c r="B65" s="407" t="s">
        <v>678</v>
      </c>
      <c r="C65" s="396" t="s">
        <v>627</v>
      </c>
      <c r="D65" s="397">
        <v>2018</v>
      </c>
      <c r="E65" s="397">
        <v>2020</v>
      </c>
      <c r="F65" s="397">
        <v>2021</v>
      </c>
      <c r="G65" s="397">
        <v>2022</v>
      </c>
      <c r="H65" s="397">
        <v>2023</v>
      </c>
      <c r="I65" s="397">
        <v>2024</v>
      </c>
      <c r="J65" s="397">
        <v>2025</v>
      </c>
      <c r="K65" s="397">
        <v>2026</v>
      </c>
      <c r="L65" s="397">
        <v>2027</v>
      </c>
      <c r="M65" s="397">
        <v>2028</v>
      </c>
      <c r="N65" s="397">
        <v>2029</v>
      </c>
      <c r="O65" s="397">
        <v>2030</v>
      </c>
      <c r="P65" s="397">
        <v>2031</v>
      </c>
      <c r="Q65" s="397">
        <v>2032</v>
      </c>
      <c r="R65" s="397">
        <v>2033</v>
      </c>
      <c r="S65" s="397">
        <v>2034</v>
      </c>
      <c r="T65" s="397">
        <v>2035</v>
      </c>
      <c r="U65" s="397">
        <v>2036</v>
      </c>
      <c r="V65" s="397">
        <v>2037</v>
      </c>
      <c r="W65" s="397">
        <v>2038</v>
      </c>
      <c r="X65" s="397">
        <v>2039</v>
      </c>
      <c r="Y65" s="397">
        <v>2040</v>
      </c>
      <c r="Z65" s="397">
        <v>2041</v>
      </c>
      <c r="AA65" s="397">
        <v>2042</v>
      </c>
      <c r="AB65" s="397">
        <v>2043</v>
      </c>
      <c r="AC65" s="397">
        <v>2044</v>
      </c>
      <c r="AD65" s="397">
        <v>2044</v>
      </c>
      <c r="AE65" s="397">
        <v>2044</v>
      </c>
      <c r="AF65" s="397">
        <v>2044</v>
      </c>
      <c r="AG65" s="397">
        <v>2044</v>
      </c>
      <c r="AH65" s="397">
        <v>2044</v>
      </c>
      <c r="AI65" s="397">
        <v>2044</v>
      </c>
      <c r="AJ65" s="397">
        <v>2044</v>
      </c>
      <c r="AK65" s="397">
        <v>2044</v>
      </c>
      <c r="AL65" s="397">
        <v>2044</v>
      </c>
    </row>
    <row r="66" spans="2:38">
      <c r="B66" s="358" t="s">
        <v>679</v>
      </c>
      <c r="C66" s="436" t="s">
        <v>680</v>
      </c>
      <c r="D66" s="437">
        <f>D$63</f>
        <v>1.1491654386940005E-2</v>
      </c>
      <c r="E66" s="415">
        <f>E$63</f>
        <v>1.1499890165312419E-2</v>
      </c>
      <c r="F66" s="415">
        <f t="shared" ref="F66:AL66" si="30">F$63</f>
        <v>1.150816041544467E-2</v>
      </c>
      <c r="G66" s="415">
        <f t="shared" si="30"/>
        <v>1.1516465098310133E-2</v>
      </c>
      <c r="H66" s="415">
        <f t="shared" si="30"/>
        <v>1.1524804173868261E-2</v>
      </c>
      <c r="I66" s="415">
        <f t="shared" si="30"/>
        <v>1.1533177601077849E-2</v>
      </c>
      <c r="J66" s="415">
        <f t="shared" si="30"/>
        <v>1.1541585337910413E-2</v>
      </c>
      <c r="K66" s="415">
        <f t="shared" si="30"/>
        <v>1.1550027341363629E-2</v>
      </c>
      <c r="L66" s="415">
        <f t="shared" si="30"/>
        <v>1.1558503567474917E-2</v>
      </c>
      <c r="M66" s="415">
        <f t="shared" si="30"/>
        <v>1.1567013971335086E-2</v>
      </c>
      <c r="N66" s="415">
        <f t="shared" si="30"/>
        <v>1.1575558507102048E-2</v>
      </c>
      <c r="O66" s="415">
        <f t="shared" si="30"/>
        <v>1.1584137128014673E-2</v>
      </c>
      <c r="P66" s="415">
        <f t="shared" si="30"/>
        <v>1.1592749786406649E-2</v>
      </c>
      <c r="Q66" s="415">
        <f t="shared" si="30"/>
        <v>1.1601396433720454E-2</v>
      </c>
      <c r="R66" s="415">
        <f t="shared" si="30"/>
        <v>1.1610077020521397E-2</v>
      </c>
      <c r="S66" s="415">
        <f t="shared" si="30"/>
        <v>1.1618791496511691E-2</v>
      </c>
      <c r="T66" s="415">
        <f t="shared" si="30"/>
        <v>1.1627539810544599E-2</v>
      </c>
      <c r="U66" s="415">
        <f t="shared" si="30"/>
        <v>1.1636321910638635E-2</v>
      </c>
      <c r="V66" s="415">
        <f t="shared" si="30"/>
        <v>1.1645137743991806E-2</v>
      </c>
      <c r="W66" s="415">
        <f t="shared" si="30"/>
        <v>1.1653987256995886E-2</v>
      </c>
      <c r="X66" s="415">
        <f t="shared" si="30"/>
        <v>1.1662870395250737E-2</v>
      </c>
      <c r="Y66" s="415">
        <f t="shared" si="30"/>
        <v>1.1671787103578669E-2</v>
      </c>
      <c r="Z66" s="415">
        <f t="shared" si="30"/>
        <v>1.1680737326038804E-2</v>
      </c>
      <c r="AA66" s="415">
        <f t="shared" si="30"/>
        <v>1.1689721005941478E-2</v>
      </c>
      <c r="AB66" s="415">
        <f t="shared" si="30"/>
        <v>1.1698738085862666E-2</v>
      </c>
      <c r="AC66" s="415">
        <f t="shared" si="30"/>
        <v>1.17077885076584E-2</v>
      </c>
      <c r="AD66" s="415">
        <f t="shared" si="30"/>
        <v>1.1716872212479216E-2</v>
      </c>
      <c r="AE66" s="415">
        <f t="shared" si="30"/>
        <v>1.1725989140784604E-2</v>
      </c>
      <c r="AF66" s="415">
        <f t="shared" si="30"/>
        <v>1.1735139232357429E-2</v>
      </c>
      <c r="AG66" s="415">
        <f t="shared" si="30"/>
        <v>1.1744322426318392E-2</v>
      </c>
      <c r="AH66" s="415">
        <f t="shared" si="30"/>
        <v>1.1753538661140452E-2</v>
      </c>
      <c r="AI66" s="415">
        <f t="shared" si="30"/>
        <v>1.1762787874663243E-2</v>
      </c>
      <c r="AJ66" s="415">
        <f t="shared" si="30"/>
        <v>1.177207000410747E-2</v>
      </c>
      <c r="AK66" s="415">
        <f t="shared" si="30"/>
        <v>1.1781384986089299E-2</v>
      </c>
      <c r="AL66" s="415">
        <f t="shared" si="30"/>
        <v>1.1790732756634708E-2</v>
      </c>
    </row>
    <row r="67" spans="2:38">
      <c r="B67" s="358" t="s">
        <v>681</v>
      </c>
      <c r="C67" s="419" t="s">
        <v>682</v>
      </c>
      <c r="D67" s="414">
        <f>1-D66</f>
        <v>0.98850834561306</v>
      </c>
      <c r="E67" s="414">
        <f t="shared" ref="E67:AE67" si="31">1-E66</f>
        <v>0.98850010983468761</v>
      </c>
      <c r="F67" s="414">
        <f t="shared" si="31"/>
        <v>0.98849183958455533</v>
      </c>
      <c r="G67" s="414">
        <f t="shared" si="31"/>
        <v>0.98848353490168983</v>
      </c>
      <c r="H67" s="414">
        <f t="shared" si="31"/>
        <v>0.98847519582613175</v>
      </c>
      <c r="I67" s="414">
        <f t="shared" si="31"/>
        <v>0.98846682239892214</v>
      </c>
      <c r="J67" s="414">
        <f t="shared" si="31"/>
        <v>0.98845841466208961</v>
      </c>
      <c r="K67" s="414">
        <f t="shared" si="31"/>
        <v>0.98844997265863632</v>
      </c>
      <c r="L67" s="414">
        <f t="shared" si="31"/>
        <v>0.9884414964325251</v>
      </c>
      <c r="M67" s="414">
        <f t="shared" si="31"/>
        <v>0.98843298602866492</v>
      </c>
      <c r="N67" s="414">
        <f t="shared" si="31"/>
        <v>0.98842444149289799</v>
      </c>
      <c r="O67" s="414">
        <f t="shared" si="31"/>
        <v>0.98841586287198535</v>
      </c>
      <c r="P67" s="414">
        <f t="shared" si="31"/>
        <v>0.98840725021359332</v>
      </c>
      <c r="Q67" s="414">
        <f t="shared" si="31"/>
        <v>0.98839860356627951</v>
      </c>
      <c r="R67" s="414">
        <f t="shared" si="31"/>
        <v>0.98838992297947859</v>
      </c>
      <c r="S67" s="414">
        <f t="shared" si="31"/>
        <v>0.98838120850348832</v>
      </c>
      <c r="T67" s="414">
        <f t="shared" si="31"/>
        <v>0.98837246018945535</v>
      </c>
      <c r="U67" s="414">
        <f t="shared" si="31"/>
        <v>0.98836367808936132</v>
      </c>
      <c r="V67" s="414">
        <f t="shared" si="31"/>
        <v>0.98835486225600822</v>
      </c>
      <c r="W67" s="414">
        <f t="shared" si="31"/>
        <v>0.98834601274300415</v>
      </c>
      <c r="X67" s="414">
        <f t="shared" si="31"/>
        <v>0.98833712960474929</v>
      </c>
      <c r="Y67" s="414">
        <f t="shared" si="31"/>
        <v>0.98832821289642137</v>
      </c>
      <c r="Z67" s="414">
        <f t="shared" si="31"/>
        <v>0.9883192626739612</v>
      </c>
      <c r="AA67" s="414">
        <f t="shared" si="31"/>
        <v>0.98831027899405854</v>
      </c>
      <c r="AB67" s="414">
        <f t="shared" si="31"/>
        <v>0.98830126191413736</v>
      </c>
      <c r="AC67" s="414">
        <f t="shared" si="31"/>
        <v>0.98829221149234159</v>
      </c>
      <c r="AD67" s="414">
        <f t="shared" si="31"/>
        <v>0.98828312778752081</v>
      </c>
      <c r="AE67" s="414">
        <f t="shared" si="31"/>
        <v>0.9882740108592154</v>
      </c>
      <c r="AF67" s="414">
        <f t="shared" ref="AF67:AJ67" si="32">1-AF66</f>
        <v>0.98826486076764253</v>
      </c>
      <c r="AG67" s="414">
        <f t="shared" si="32"/>
        <v>0.9882556775736816</v>
      </c>
      <c r="AH67" s="414">
        <f t="shared" si="32"/>
        <v>0.98824646133885952</v>
      </c>
      <c r="AI67" s="414">
        <f t="shared" si="32"/>
        <v>0.98823721212533677</v>
      </c>
      <c r="AJ67" s="414">
        <f t="shared" si="32"/>
        <v>0.98822792999589248</v>
      </c>
      <c r="AK67" s="414">
        <f t="shared" ref="AK67:AL67" si="33">1-AK66</f>
        <v>0.98821861501391073</v>
      </c>
      <c r="AL67" s="414">
        <f t="shared" si="33"/>
        <v>0.98820926724336533</v>
      </c>
    </row>
    <row r="68" spans="2:38">
      <c r="B68" s="358" t="s">
        <v>671</v>
      </c>
      <c r="C68" s="419" t="s">
        <v>662</v>
      </c>
      <c r="D68" s="414">
        <f>D$19^(-0.2334)</f>
        <v>0.62482831374223813</v>
      </c>
      <c r="E68" s="414">
        <f t="shared" ref="E68:AL68" si="34">E$19^(-0.2334)</f>
        <v>0.62482831374223813</v>
      </c>
      <c r="F68" s="414">
        <f t="shared" si="34"/>
        <v>0.62482831374223813</v>
      </c>
      <c r="G68" s="414">
        <f t="shared" si="34"/>
        <v>0.62482831374223813</v>
      </c>
      <c r="H68" s="414">
        <f t="shared" si="34"/>
        <v>0.62482831374223813</v>
      </c>
      <c r="I68" s="414">
        <f t="shared" si="34"/>
        <v>0.62482831374223813</v>
      </c>
      <c r="J68" s="414">
        <f t="shared" si="34"/>
        <v>0.62482831374223813</v>
      </c>
      <c r="K68" s="414">
        <f t="shared" si="34"/>
        <v>0.62482831374223813</v>
      </c>
      <c r="L68" s="414">
        <f t="shared" si="34"/>
        <v>0.62482831374223813</v>
      </c>
      <c r="M68" s="414">
        <f t="shared" si="34"/>
        <v>0.62482831374223813</v>
      </c>
      <c r="N68" s="414">
        <f t="shared" si="34"/>
        <v>0.62482831374223813</v>
      </c>
      <c r="O68" s="414">
        <f t="shared" si="34"/>
        <v>0.62482831374223813</v>
      </c>
      <c r="P68" s="414">
        <f t="shared" si="34"/>
        <v>0.62482831374223813</v>
      </c>
      <c r="Q68" s="414">
        <f t="shared" si="34"/>
        <v>0.62482831374223813</v>
      </c>
      <c r="R68" s="414">
        <f t="shared" si="34"/>
        <v>0.62482831374223813</v>
      </c>
      <c r="S68" s="414">
        <f t="shared" si="34"/>
        <v>0.62482831374223813</v>
      </c>
      <c r="T68" s="414">
        <f t="shared" si="34"/>
        <v>0.62482831374223813</v>
      </c>
      <c r="U68" s="414">
        <f t="shared" si="34"/>
        <v>0.62482831374223813</v>
      </c>
      <c r="V68" s="414">
        <f t="shared" si="34"/>
        <v>0.62482831374223813</v>
      </c>
      <c r="W68" s="414">
        <f t="shared" si="34"/>
        <v>0.62482831374223813</v>
      </c>
      <c r="X68" s="414">
        <f t="shared" si="34"/>
        <v>0.62482831374223813</v>
      </c>
      <c r="Y68" s="414">
        <f t="shared" si="34"/>
        <v>0.62482831374223813</v>
      </c>
      <c r="Z68" s="414">
        <f t="shared" si="34"/>
        <v>0.62482831374223813</v>
      </c>
      <c r="AA68" s="414">
        <f t="shared" si="34"/>
        <v>0.62482831374223813</v>
      </c>
      <c r="AB68" s="414">
        <f t="shared" si="34"/>
        <v>0.62482831374223813</v>
      </c>
      <c r="AC68" s="414">
        <f t="shared" si="34"/>
        <v>0.62482831374223813</v>
      </c>
      <c r="AD68" s="414">
        <f t="shared" si="34"/>
        <v>0.62482831374223813</v>
      </c>
      <c r="AE68" s="414">
        <f t="shared" si="34"/>
        <v>0.62482831374223813</v>
      </c>
      <c r="AF68" s="414">
        <f t="shared" si="34"/>
        <v>0.62482831374223813</v>
      </c>
      <c r="AG68" s="414">
        <f t="shared" si="34"/>
        <v>0.62482831374223813</v>
      </c>
      <c r="AH68" s="414">
        <f t="shared" si="34"/>
        <v>0.62482831374223813</v>
      </c>
      <c r="AI68" s="414">
        <f t="shared" si="34"/>
        <v>0.62482831374223813</v>
      </c>
      <c r="AJ68" s="414">
        <f t="shared" si="34"/>
        <v>0.62482831374223813</v>
      </c>
      <c r="AK68" s="414">
        <f t="shared" si="34"/>
        <v>0.62482831374223813</v>
      </c>
      <c r="AL68" s="414">
        <f t="shared" si="34"/>
        <v>0.62482831374223813</v>
      </c>
    </row>
    <row r="69" spans="2:38">
      <c r="B69" s="358" t="s">
        <v>683</v>
      </c>
      <c r="C69" s="419" t="s">
        <v>684</v>
      </c>
      <c r="D69" s="414">
        <f t="shared" ref="D69:AL69" si="35">EXP(0.1176*$D$11)</f>
        <v>1.1247941037303228</v>
      </c>
      <c r="E69" s="415">
        <f t="shared" si="35"/>
        <v>1.1247941037303228</v>
      </c>
      <c r="F69" s="415">
        <f t="shared" si="35"/>
        <v>1.1247941037303228</v>
      </c>
      <c r="G69" s="415">
        <f t="shared" si="35"/>
        <v>1.1247941037303228</v>
      </c>
      <c r="H69" s="415">
        <f t="shared" si="35"/>
        <v>1.1247941037303228</v>
      </c>
      <c r="I69" s="415">
        <f t="shared" si="35"/>
        <v>1.1247941037303228</v>
      </c>
      <c r="J69" s="415">
        <f t="shared" si="35"/>
        <v>1.1247941037303228</v>
      </c>
      <c r="K69" s="415">
        <f t="shared" si="35"/>
        <v>1.1247941037303228</v>
      </c>
      <c r="L69" s="415">
        <f t="shared" si="35"/>
        <v>1.1247941037303228</v>
      </c>
      <c r="M69" s="415">
        <f t="shared" si="35"/>
        <v>1.1247941037303228</v>
      </c>
      <c r="N69" s="415">
        <f t="shared" si="35"/>
        <v>1.1247941037303228</v>
      </c>
      <c r="O69" s="415">
        <f t="shared" si="35"/>
        <v>1.1247941037303228</v>
      </c>
      <c r="P69" s="415">
        <f t="shared" si="35"/>
        <v>1.1247941037303228</v>
      </c>
      <c r="Q69" s="415">
        <f t="shared" si="35"/>
        <v>1.1247941037303228</v>
      </c>
      <c r="R69" s="415">
        <f t="shared" si="35"/>
        <v>1.1247941037303228</v>
      </c>
      <c r="S69" s="415">
        <f t="shared" si="35"/>
        <v>1.1247941037303228</v>
      </c>
      <c r="T69" s="415">
        <f t="shared" si="35"/>
        <v>1.1247941037303228</v>
      </c>
      <c r="U69" s="415">
        <f t="shared" si="35"/>
        <v>1.1247941037303228</v>
      </c>
      <c r="V69" s="415">
        <f t="shared" si="35"/>
        <v>1.1247941037303228</v>
      </c>
      <c r="W69" s="415">
        <f t="shared" si="35"/>
        <v>1.1247941037303228</v>
      </c>
      <c r="X69" s="415">
        <f t="shared" si="35"/>
        <v>1.1247941037303228</v>
      </c>
      <c r="Y69" s="415">
        <f t="shared" si="35"/>
        <v>1.1247941037303228</v>
      </c>
      <c r="Z69" s="415">
        <f t="shared" si="35"/>
        <v>1.1247941037303228</v>
      </c>
      <c r="AA69" s="415">
        <f t="shared" si="35"/>
        <v>1.1247941037303228</v>
      </c>
      <c r="AB69" s="415">
        <f t="shared" si="35"/>
        <v>1.1247941037303228</v>
      </c>
      <c r="AC69" s="415">
        <f t="shared" si="35"/>
        <v>1.1247941037303228</v>
      </c>
      <c r="AD69" s="415">
        <f t="shared" si="35"/>
        <v>1.1247941037303228</v>
      </c>
      <c r="AE69" s="415">
        <f t="shared" si="35"/>
        <v>1.1247941037303228</v>
      </c>
      <c r="AF69" s="415">
        <f t="shared" si="35"/>
        <v>1.1247941037303228</v>
      </c>
      <c r="AG69" s="415">
        <f t="shared" si="35"/>
        <v>1.1247941037303228</v>
      </c>
      <c r="AH69" s="415">
        <f t="shared" si="35"/>
        <v>1.1247941037303228</v>
      </c>
      <c r="AI69" s="415">
        <f t="shared" si="35"/>
        <v>1.1247941037303228</v>
      </c>
      <c r="AJ69" s="415">
        <f t="shared" si="35"/>
        <v>1.1247941037303228</v>
      </c>
      <c r="AK69" s="415">
        <f t="shared" si="35"/>
        <v>1.1247941037303228</v>
      </c>
      <c r="AL69" s="415">
        <f t="shared" si="35"/>
        <v>1.1247941037303228</v>
      </c>
    </row>
    <row r="70" spans="2:38">
      <c r="B70" s="433" t="s">
        <v>675</v>
      </c>
      <c r="C70" s="434" t="s">
        <v>676</v>
      </c>
      <c r="D70" s="426">
        <f t="shared" ref="D70:AL70" si="36">EXP(0.1844*$E$5)</f>
        <v>1.2024967255996286</v>
      </c>
      <c r="E70" s="426">
        <f t="shared" si="36"/>
        <v>1.2024967255996286</v>
      </c>
      <c r="F70" s="426">
        <f t="shared" si="36"/>
        <v>1.2024967255996286</v>
      </c>
      <c r="G70" s="426">
        <f t="shared" si="36"/>
        <v>1.2024967255996286</v>
      </c>
      <c r="H70" s="426">
        <f t="shared" si="36"/>
        <v>1.2024967255996286</v>
      </c>
      <c r="I70" s="426">
        <f t="shared" si="36"/>
        <v>1.2024967255996286</v>
      </c>
      <c r="J70" s="426">
        <f t="shared" si="36"/>
        <v>1.2024967255996286</v>
      </c>
      <c r="K70" s="426">
        <f t="shared" si="36"/>
        <v>1.2024967255996286</v>
      </c>
      <c r="L70" s="426">
        <f t="shared" si="36"/>
        <v>1.2024967255996286</v>
      </c>
      <c r="M70" s="426">
        <f t="shared" si="36"/>
        <v>1.2024967255996286</v>
      </c>
      <c r="N70" s="426">
        <f t="shared" si="36"/>
        <v>1.2024967255996286</v>
      </c>
      <c r="O70" s="426">
        <f t="shared" si="36"/>
        <v>1.2024967255996286</v>
      </c>
      <c r="P70" s="426">
        <f t="shared" si="36"/>
        <v>1.2024967255996286</v>
      </c>
      <c r="Q70" s="426">
        <f t="shared" si="36"/>
        <v>1.2024967255996286</v>
      </c>
      <c r="R70" s="426">
        <f t="shared" si="36"/>
        <v>1.2024967255996286</v>
      </c>
      <c r="S70" s="426">
        <f t="shared" si="36"/>
        <v>1.2024967255996286</v>
      </c>
      <c r="T70" s="426">
        <f t="shared" si="36"/>
        <v>1.2024967255996286</v>
      </c>
      <c r="U70" s="426">
        <f t="shared" si="36"/>
        <v>1.2024967255996286</v>
      </c>
      <c r="V70" s="426">
        <f t="shared" si="36"/>
        <v>1.2024967255996286</v>
      </c>
      <c r="W70" s="426">
        <f t="shared" si="36"/>
        <v>1.2024967255996286</v>
      </c>
      <c r="X70" s="426">
        <f t="shared" si="36"/>
        <v>1.2024967255996286</v>
      </c>
      <c r="Y70" s="426">
        <f t="shared" si="36"/>
        <v>1.2024967255996286</v>
      </c>
      <c r="Z70" s="426">
        <f t="shared" si="36"/>
        <v>1.2024967255996286</v>
      </c>
      <c r="AA70" s="426">
        <f t="shared" si="36"/>
        <v>1.2024967255996286</v>
      </c>
      <c r="AB70" s="426">
        <f t="shared" si="36"/>
        <v>1.2024967255996286</v>
      </c>
      <c r="AC70" s="426">
        <f t="shared" si="36"/>
        <v>1.2024967255996286</v>
      </c>
      <c r="AD70" s="426">
        <f t="shared" si="36"/>
        <v>1.2024967255996286</v>
      </c>
      <c r="AE70" s="426">
        <f t="shared" si="36"/>
        <v>1.2024967255996286</v>
      </c>
      <c r="AF70" s="426">
        <f t="shared" si="36"/>
        <v>1.2024967255996286</v>
      </c>
      <c r="AG70" s="426">
        <f t="shared" si="36"/>
        <v>1.2024967255996286</v>
      </c>
      <c r="AH70" s="426">
        <f t="shared" si="36"/>
        <v>1.2024967255996286</v>
      </c>
      <c r="AI70" s="426">
        <f t="shared" si="36"/>
        <v>1.2024967255996286</v>
      </c>
      <c r="AJ70" s="426">
        <f t="shared" si="36"/>
        <v>1.2024967255996286</v>
      </c>
      <c r="AK70" s="426">
        <f t="shared" si="36"/>
        <v>1.2024967255996286</v>
      </c>
      <c r="AL70" s="426">
        <f t="shared" si="36"/>
        <v>1.2024967255996286</v>
      </c>
    </row>
    <row r="71" spans="2:38">
      <c r="B71" s="362"/>
      <c r="C71" s="427" t="s">
        <v>290</v>
      </c>
    </row>
    <row r="72" spans="2:38">
      <c r="B72" s="362" t="s">
        <v>685</v>
      </c>
      <c r="C72" s="438">
        <v>4.28</v>
      </c>
      <c r="D72" s="435">
        <f>D$67/(1+$C$72*PRODUCT(D$68:D$70))</f>
        <v>0.21409689244459909</v>
      </c>
      <c r="E72" s="435">
        <f t="shared" ref="E72:AL72" si="37">E$67/(1+$C$72*PRODUCT(E$68:E$70))</f>
        <v>0.2140951086917717</v>
      </c>
      <c r="F72" s="435">
        <f t="shared" si="37"/>
        <v>0.21409331747284988</v>
      </c>
      <c r="G72" s="435">
        <f t="shared" si="37"/>
        <v>0.21409151879628621</v>
      </c>
      <c r="H72" s="435">
        <f t="shared" si="37"/>
        <v>0.21408971267075294</v>
      </c>
      <c r="I72" s="435">
        <f t="shared" si="37"/>
        <v>0.21408789910513901</v>
      </c>
      <c r="J72" s="435">
        <f t="shared" si="37"/>
        <v>0.21408607810854721</v>
      </c>
      <c r="K72" s="435">
        <f t="shared" si="37"/>
        <v>0.21408424969029116</v>
      </c>
      <c r="L72" s="435">
        <f t="shared" si="37"/>
        <v>0.21408241385989266</v>
      </c>
      <c r="M72" s="435">
        <f t="shared" si="37"/>
        <v>0.21408057062707828</v>
      </c>
      <c r="N72" s="435">
        <f t="shared" si="37"/>
        <v>0.21407872000177683</v>
      </c>
      <c r="O72" s="435">
        <f t="shared" si="37"/>
        <v>0.2140768619941161</v>
      </c>
      <c r="P72" s="435">
        <f t="shared" si="37"/>
        <v>0.21407499661441989</v>
      </c>
      <c r="Q72" s="435">
        <f t="shared" si="37"/>
        <v>0.21407312387320515</v>
      </c>
      <c r="R72" s="435">
        <f t="shared" si="37"/>
        <v>0.2140712437811787</v>
      </c>
      <c r="S72" s="435">
        <f t="shared" si="37"/>
        <v>0.21406935634923432</v>
      </c>
      <c r="T72" s="435">
        <f t="shared" si="37"/>
        <v>0.21406746158844964</v>
      </c>
      <c r="U72" s="435">
        <f t="shared" si="37"/>
        <v>0.21406555951008316</v>
      </c>
      <c r="V72" s="435">
        <f t="shared" si="37"/>
        <v>0.21406365012557105</v>
      </c>
      <c r="W72" s="435">
        <f t="shared" si="37"/>
        <v>0.21406173344652407</v>
      </c>
      <c r="X72" s="435">
        <f t="shared" si="37"/>
        <v>0.21405980948472447</v>
      </c>
      <c r="Y72" s="435">
        <f t="shared" si="37"/>
        <v>0.21405787825212305</v>
      </c>
      <c r="Z72" s="435">
        <f t="shared" si="37"/>
        <v>0.21405593976083573</v>
      </c>
      <c r="AA72" s="435">
        <f t="shared" si="37"/>
        <v>0.21405399402314074</v>
      </c>
      <c r="AB72" s="435">
        <f t="shared" si="37"/>
        <v>0.21405204105147527</v>
      </c>
      <c r="AC72" s="435">
        <f t="shared" si="37"/>
        <v>0.21405008085843252</v>
      </c>
      <c r="AD72" s="435">
        <f t="shared" si="37"/>
        <v>0.21404811345675842</v>
      </c>
      <c r="AE72" s="435">
        <f t="shared" si="37"/>
        <v>0.21404613885934862</v>
      </c>
      <c r="AF72" s="435">
        <f t="shared" si="37"/>
        <v>0.21404415707924526</v>
      </c>
      <c r="AG72" s="435">
        <f t="shared" si="37"/>
        <v>0.21404216812963398</v>
      </c>
      <c r="AH72" s="435">
        <f t="shared" si="37"/>
        <v>0.21404017202384062</v>
      </c>
      <c r="AI72" s="435">
        <f t="shared" si="37"/>
        <v>0.2140381687753283</v>
      </c>
      <c r="AJ72" s="435">
        <f t="shared" si="37"/>
        <v>0.21403615839769405</v>
      </c>
      <c r="AK72" s="435">
        <f t="shared" si="37"/>
        <v>0.21403414090466596</v>
      </c>
      <c r="AL72" s="435">
        <f t="shared" si="37"/>
        <v>0.21403211631009988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4" tint="0.39997558519241921"/>
  </sheetPr>
  <dimension ref="A1:AL53"/>
  <sheetViews>
    <sheetView showGridLines="0" workbookViewId="0"/>
  </sheetViews>
  <sheetFormatPr defaultColWidth="8.75" defaultRowHeight="12.5"/>
  <cols>
    <col min="1" max="1" width="0.83203125" style="358" customWidth="1"/>
    <col min="2" max="2" width="39.25" style="358" customWidth="1"/>
    <col min="3" max="3" width="14.58203125" style="358" customWidth="1"/>
    <col min="4" max="38" width="10.58203125" style="358" customWidth="1"/>
    <col min="39" max="16384" width="8.75" style="358"/>
  </cols>
  <sheetData>
    <row r="1" spans="1:38" ht="25">
      <c r="A1" s="356" t="str">
        <f>'Crossing Inputs'!$E$23</f>
        <v>1600 South</v>
      </c>
      <c r="B1" s="520"/>
    </row>
    <row r="2" spans="1:38" ht="13">
      <c r="A2" s="524" t="s">
        <v>457</v>
      </c>
      <c r="B2" s="523"/>
      <c r="C2" s="522" t="s">
        <v>0</v>
      </c>
      <c r="D2" s="376">
        <f>VRCBY</f>
        <v>2021</v>
      </c>
      <c r="E2" s="376">
        <f>D2+1</f>
        <v>2022</v>
      </c>
      <c r="F2" s="376">
        <f t="shared" ref="F2:AE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ref="AF2" si="1">AE2+1</f>
        <v>2049</v>
      </c>
      <c r="AG2" s="376">
        <f t="shared" ref="AG2" si="2">AF2+1</f>
        <v>2050</v>
      </c>
      <c r="AH2" s="376">
        <f t="shared" ref="AH2" si="3">AG2+1</f>
        <v>2051</v>
      </c>
      <c r="AI2" s="376">
        <f t="shared" ref="AI2" si="4">AH2+1</f>
        <v>2052</v>
      </c>
      <c r="AJ2" s="376">
        <f t="shared" ref="AJ2:AK2" si="5">AI2+1</f>
        <v>2053</v>
      </c>
      <c r="AK2" s="376">
        <f t="shared" si="5"/>
        <v>2054</v>
      </c>
      <c r="AL2" s="376">
        <f t="shared" ref="AL2" si="6">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Demand!F9</f>
        <v>5369.4157090707613</v>
      </c>
      <c r="E6" s="383">
        <f>Demand!G9</f>
        <v>5527.7817231396275</v>
      </c>
      <c r="F6" s="383">
        <f>Demand!H9</f>
        <v>5690.8185982054729</v>
      </c>
      <c r="G6" s="383">
        <f>Demand!I9</f>
        <v>5858.6640970489125</v>
      </c>
      <c r="H6" s="383">
        <f>Demand!J9</f>
        <v>6031.4600456379985</v>
      </c>
      <c r="I6" s="383">
        <f>Demand!K9</f>
        <v>6209.3524529682218</v>
      </c>
      <c r="J6" s="383">
        <f>Demand!L9</f>
        <v>6392.491634437094</v>
      </c>
      <c r="K6" s="383">
        <f>Demand!M9</f>
        <v>6581.0323388575353</v>
      </c>
      <c r="L6" s="383">
        <f>Demand!N9</f>
        <v>6775.1338792174183</v>
      </c>
      <c r="M6" s="383">
        <f>Demand!O9</f>
        <v>6974.960267295738</v>
      </c>
      <c r="N6" s="383">
        <f>Demand!P9</f>
        <v>7180.6803522491737</v>
      </c>
      <c r="O6" s="383">
        <f>Demand!Q9</f>
        <v>7392.467963286118</v>
      </c>
      <c r="P6" s="383">
        <f>Demand!R9</f>
        <v>7610.5020565487584</v>
      </c>
      <c r="Q6" s="383">
        <f>Demand!S9</f>
        <v>7834.9668663273123</v>
      </c>
      <c r="R6" s="383">
        <f>Demand!T9</f>
        <v>8066.0520607341778</v>
      </c>
      <c r="S6" s="383">
        <f>Demand!U9</f>
        <v>8303.9529019695674</v>
      </c>
      <c r="T6" s="383">
        <f>Demand!V9</f>
        <v>8548.8704113140102</v>
      </c>
      <c r="U6" s="383">
        <f>Demand!W9</f>
        <v>8801.011538987168</v>
      </c>
      <c r="V6" s="383">
        <f>Demand!X9</f>
        <v>9060.5893390164965</v>
      </c>
      <c r="W6" s="383">
        <f>Demand!Y9</f>
        <v>9327.8231492634677</v>
      </c>
      <c r="X6" s="383">
        <f>Demand!Z9</f>
        <v>9602.9387767595217</v>
      </c>
      <c r="Y6" s="383">
        <f>Demand!AA9</f>
        <v>9886.1686885083291</v>
      </c>
      <c r="Z6" s="383">
        <f>Demand!AB9</f>
        <v>10177.752207915593</v>
      </c>
      <c r="AA6" s="383">
        <f>Demand!AC9</f>
        <v>10477.935717012369</v>
      </c>
      <c r="AB6" s="383">
        <f>Demand!AD9</f>
        <v>10786.972864642765</v>
      </c>
      <c r="AC6" s="383">
        <f>Demand!AE9</f>
        <v>11105.124780791968</v>
      </c>
      <c r="AD6" s="383">
        <f>Demand!AF9</f>
        <v>11432.660297235674</v>
      </c>
      <c r="AE6" s="383">
        <f>Demand!AG9</f>
        <v>11769.856174697348</v>
      </c>
      <c r="AF6" s="383">
        <f>Demand!AH9</f>
        <v>12116.997336705317</v>
      </c>
      <c r="AG6" s="383">
        <f>Demand!AI9</f>
        <v>12474.377110347241</v>
      </c>
      <c r="AH6" s="383">
        <f>Demand!AJ9</f>
        <v>12842.297474125426</v>
      </c>
      <c r="AI6" s="383">
        <f>Demand!AK9</f>
        <v>13221.069313122392</v>
      </c>
      <c r="AJ6" s="383">
        <f>Demand!AL9</f>
        <v>13611.012681692333</v>
      </c>
      <c r="AK6" s="383">
        <f>Demand!AM9</f>
        <v>14012.45707390041</v>
      </c>
      <c r="AL6" s="383">
        <f>Demand!AN9</f>
        <v>14425.741701938412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Demand!F29</f>
        <v>2.021212882214602</v>
      </c>
      <c r="E10" s="383">
        <f>Demand!G29</f>
        <v>2.0426507576151294</v>
      </c>
      <c r="F10" s="383">
        <f>Demand!H29</f>
        <v>2.064316012578558</v>
      </c>
      <c r="G10" s="383">
        <f>Demand!I29</f>
        <v>2.0862110587928311</v>
      </c>
      <c r="H10" s="383">
        <f>Demand!J29</f>
        <v>2.1083383335253174</v>
      </c>
      <c r="I10" s="383">
        <f>Demand!K29</f>
        <v>2.1307002998941189</v>
      </c>
      <c r="J10" s="383">
        <f>Demand!L29</f>
        <v>2.1532994471422544</v>
      </c>
      <c r="K10" s="383">
        <f>Demand!M29</f>
        <v>2.1761382909147526</v>
      </c>
      <c r="L10" s="383">
        <f>Demand!N29</f>
        <v>2.1992193735386825</v>
      </c>
      <c r="M10" s="383">
        <f>Demand!O29</f>
        <v>2.2225452643061563</v>
      </c>
      <c r="N10" s="383">
        <f>Demand!P29</f>
        <v>2.2461185597603301</v>
      </c>
      <c r="O10" s="383">
        <f>Demand!Q29</f>
        <v>2.2699418839844441</v>
      </c>
      <c r="P10" s="383">
        <f>Demand!R29</f>
        <v>2.2940178888939209</v>
      </c>
      <c r="Q10" s="383">
        <f>Demand!S29</f>
        <v>2.3183492545315696</v>
      </c>
      <c r="R10" s="383">
        <f>Demand!T29</f>
        <v>2.3429386893659134</v>
      </c>
      <c r="S10" s="383">
        <f>Demand!U29</f>
        <v>2.3677889305926905</v>
      </c>
      <c r="T10" s="383">
        <f>Demand!V29</f>
        <v>2.392902744439541</v>
      </c>
      <c r="U10" s="383">
        <f>Demand!W29</f>
        <v>2.4182829264739381</v>
      </c>
      <c r="V10" s="383">
        <f>Demand!X29</f>
        <v>2.4439323019143755</v>
      </c>
      <c r="W10" s="383">
        <f>Demand!Y29</f>
        <v>2.4698537259448612</v>
      </c>
      <c r="X10" s="383">
        <f>Demand!Z29</f>
        <v>2.4960500840327433</v>
      </c>
      <c r="Y10" s="383">
        <f>Demand!AA29</f>
        <v>2.5225242922499103</v>
      </c>
      <c r="Z10" s="383">
        <f>Demand!AB29</f>
        <v>2.549279297597395</v>
      </c>
      <c r="AA10" s="383">
        <f>Demand!AC29</f>
        <v>2.5763180783334239</v>
      </c>
      <c r="AB10" s="383">
        <f>Demand!AD29</f>
        <v>2.6036436443049418</v>
      </c>
      <c r="AC10" s="383">
        <f>Demand!AE29</f>
        <v>2.631259037282661</v>
      </c>
      <c r="AD10" s="383">
        <f>Demand!AF29</f>
        <v>2.6591673312996531</v>
      </c>
      <c r="AE10" s="383">
        <f>Demand!AG29</f>
        <v>2.6873716329935418</v>
      </c>
      <c r="AF10" s="383">
        <f>Demand!AH29</f>
        <v>2.7158750819523192</v>
      </c>
      <c r="AG10" s="383">
        <f>Demand!AI29</f>
        <v>2.744680851063833</v>
      </c>
      <c r="AH10" s="383">
        <f>Demand!AJ29</f>
        <v>2.7737921468689781</v>
      </c>
      <c r="AI10" s="383">
        <f>Demand!AK29</f>
        <v>2.8032122099186383</v>
      </c>
      <c r="AJ10" s="383">
        <f>Demand!AL29</f>
        <v>2.8329443151344074</v>
      </c>
      <c r="AK10" s="383">
        <f>Demand!AM29</f>
        <v>2.8629917721731437</v>
      </c>
      <c r="AL10" s="383">
        <f>Demand!AN29</f>
        <v>2.8933579257953856</v>
      </c>
    </row>
    <row r="11" spans="1:38">
      <c r="B11" s="363" t="s">
        <v>645</v>
      </c>
      <c r="C11" s="358" t="s">
        <v>1054</v>
      </c>
      <c r="D11" s="383">
        <v>1</v>
      </c>
      <c r="E11" s="383">
        <v>1</v>
      </c>
      <c r="F11" s="383">
        <v>1</v>
      </c>
      <c r="G11" s="383">
        <v>1</v>
      </c>
      <c r="H11" s="383">
        <v>1</v>
      </c>
      <c r="I11" s="383">
        <v>1</v>
      </c>
      <c r="J11" s="383">
        <v>1</v>
      </c>
      <c r="K11" s="383">
        <v>1</v>
      </c>
      <c r="L11" s="383">
        <v>1</v>
      </c>
      <c r="M11" s="383">
        <v>1</v>
      </c>
      <c r="N11" s="383">
        <v>1</v>
      </c>
      <c r="O11" s="383">
        <v>1</v>
      </c>
      <c r="P11" s="383">
        <v>1</v>
      </c>
      <c r="Q11" s="383">
        <v>1</v>
      </c>
      <c r="R11" s="383">
        <v>1</v>
      </c>
      <c r="S11" s="383">
        <v>1</v>
      </c>
      <c r="T11" s="383">
        <v>1</v>
      </c>
      <c r="U11" s="383">
        <v>1</v>
      </c>
      <c r="V11" s="383">
        <v>1</v>
      </c>
      <c r="W11" s="383">
        <v>1</v>
      </c>
      <c r="X11" s="383">
        <v>1</v>
      </c>
      <c r="Y11" s="383">
        <v>1</v>
      </c>
      <c r="Z11" s="383">
        <v>1</v>
      </c>
      <c r="AA11" s="383">
        <v>1</v>
      </c>
      <c r="AB11" s="383">
        <v>1</v>
      </c>
      <c r="AC11" s="383">
        <v>1</v>
      </c>
      <c r="AD11" s="383">
        <v>1</v>
      </c>
      <c r="AE11" s="383">
        <v>1</v>
      </c>
      <c r="AF11" s="383">
        <v>1</v>
      </c>
      <c r="AG11" s="383">
        <v>1</v>
      </c>
      <c r="AH11" s="383">
        <v>1</v>
      </c>
      <c r="AI11" s="383">
        <v>1</v>
      </c>
      <c r="AJ11" s="383">
        <v>1</v>
      </c>
      <c r="AK11" s="383">
        <v>1</v>
      </c>
      <c r="AL11" s="383">
        <v>1</v>
      </c>
    </row>
    <row r="13" spans="1:38" ht="13">
      <c r="B13" s="502" t="s">
        <v>1059</v>
      </c>
      <c r="C13" s="497">
        <f>IF('Crossing Inputs'!$C$11&gt;0, 'Crossing Inputs'!$C$20/Feet.Per.Mile/'Crossing Inputs'!$E$33*60+IF('Crossing Inputs'!$E$27="Passive",0,'Crossing Inputs'!$C$21),0)</f>
        <v>9</v>
      </c>
    </row>
    <row r="14" spans="1:38">
      <c r="B14" s="571" t="s">
        <v>1058</v>
      </c>
      <c r="C14" s="572" t="s">
        <v>15</v>
      </c>
      <c r="D14" s="570">
        <f t="shared" ref="D14:AL14" si="7">(D$10*$C$13)/Minutes.Per.Day</f>
        <v>1.2632580513841262E-2</v>
      </c>
      <c r="E14" s="570">
        <f t="shared" si="7"/>
        <v>1.2766567235094558E-2</v>
      </c>
      <c r="F14" s="570">
        <f t="shared" si="7"/>
        <v>1.2901975078615988E-2</v>
      </c>
      <c r="G14" s="570">
        <f t="shared" si="7"/>
        <v>1.3038819117455193E-2</v>
      </c>
      <c r="H14" s="570">
        <f t="shared" si="7"/>
        <v>1.3177114584533235E-2</v>
      </c>
      <c r="I14" s="570">
        <f t="shared" si="7"/>
        <v>1.3316876874338244E-2</v>
      </c>
      <c r="J14" s="570">
        <f t="shared" si="7"/>
        <v>1.3458121544639089E-2</v>
      </c>
      <c r="K14" s="570">
        <f t="shared" si="7"/>
        <v>1.3600864318217205E-2</v>
      </c>
      <c r="L14" s="570">
        <f t="shared" si="7"/>
        <v>1.3745121084616766E-2</v>
      </c>
      <c r="M14" s="570">
        <f t="shared" si="7"/>
        <v>1.3890907901913477E-2</v>
      </c>
      <c r="N14" s="570">
        <f t="shared" si="7"/>
        <v>1.4038240998502063E-2</v>
      </c>
      <c r="O14" s="570">
        <f t="shared" si="7"/>
        <v>1.4187136774902775E-2</v>
      </c>
      <c r="P14" s="570">
        <f t="shared" si="7"/>
        <v>1.4337611805587007E-2</v>
      </c>
      <c r="Q14" s="570">
        <f t="shared" si="7"/>
        <v>1.448968284082231E-2</v>
      </c>
      <c r="R14" s="570">
        <f t="shared" si="7"/>
        <v>1.4643366808536958E-2</v>
      </c>
      <c r="S14" s="570">
        <f t="shared" si="7"/>
        <v>1.4798680816204316E-2</v>
      </c>
      <c r="T14" s="570">
        <f t="shared" si="7"/>
        <v>1.4955642152747133E-2</v>
      </c>
      <c r="U14" s="570">
        <f t="shared" si="7"/>
        <v>1.5114268290462113E-2</v>
      </c>
      <c r="V14" s="570">
        <f t="shared" si="7"/>
        <v>1.5274576886964847E-2</v>
      </c>
      <c r="W14" s="570">
        <f t="shared" si="7"/>
        <v>1.5436585787155383E-2</v>
      </c>
      <c r="X14" s="570">
        <f t="shared" si="7"/>
        <v>1.5600313025204645E-2</v>
      </c>
      <c r="Y14" s="570">
        <f t="shared" si="7"/>
        <v>1.5765776826561939E-2</v>
      </c>
      <c r="Z14" s="570">
        <f t="shared" si="7"/>
        <v>1.5932995609983718E-2</v>
      </c>
      <c r="AA14" s="570">
        <f t="shared" si="7"/>
        <v>1.6101987989583899E-2</v>
      </c>
      <c r="AB14" s="570">
        <f t="shared" si="7"/>
        <v>1.6272772776905885E-2</v>
      </c>
      <c r="AC14" s="570">
        <f t="shared" si="7"/>
        <v>1.6445368983016632E-2</v>
      </c>
      <c r="AD14" s="570">
        <f t="shared" si="7"/>
        <v>1.6619795820622833E-2</v>
      </c>
      <c r="AE14" s="570">
        <f t="shared" si="7"/>
        <v>1.6796072706209638E-2</v>
      </c>
      <c r="AF14" s="570">
        <f t="shared" si="7"/>
        <v>1.6974219262201995E-2</v>
      </c>
      <c r="AG14" s="570">
        <f t="shared" si="7"/>
        <v>1.7154255319148957E-2</v>
      </c>
      <c r="AH14" s="570">
        <f t="shared" si="7"/>
        <v>1.7336200917931113E-2</v>
      </c>
      <c r="AI14" s="570">
        <f t="shared" si="7"/>
        <v>1.7520076311991487E-2</v>
      </c>
      <c r="AJ14" s="570">
        <f t="shared" si="7"/>
        <v>1.7705901969590047E-2</v>
      </c>
      <c r="AK14" s="570">
        <f t="shared" si="7"/>
        <v>1.7893698576082147E-2</v>
      </c>
      <c r="AL14" s="570">
        <f t="shared" si="7"/>
        <v>1.808348703622116E-2</v>
      </c>
    </row>
    <row r="16" spans="1:38">
      <c r="B16" s="573" t="s">
        <v>1055</v>
      </c>
      <c r="C16" s="574" t="s">
        <v>505</v>
      </c>
      <c r="D16" s="383">
        <f t="shared" ref="D16:AK16" si="8">D6*D14</f>
        <v>67.829576257120465</v>
      </c>
      <c r="E16" s="383">
        <f t="shared" si="8"/>
        <v>70.570797029388899</v>
      </c>
      <c r="F16" s="383">
        <f t="shared" si="8"/>
        <v>73.422799730971377</v>
      </c>
      <c r="G16" s="383">
        <f t="shared" si="8"/>
        <v>76.390061431349721</v>
      </c>
      <c r="H16" s="383">
        <f t="shared" si="8"/>
        <v>79.477240133405957</v>
      </c>
      <c r="I16" s="383">
        <f t="shared" si="8"/>
        <v>82.689182085547969</v>
      </c>
      <c r="J16" s="383">
        <f t="shared" si="8"/>
        <v>86.030929389343001</v>
      </c>
      <c r="K16" s="383">
        <f t="shared" si="8"/>
        <v>89.507727914600963</v>
      </c>
      <c r="L16" s="383">
        <f t="shared" si="8"/>
        <v>93.12503553433271</v>
      </c>
      <c r="M16" s="383">
        <f t="shared" si="8"/>
        <v>96.888530692510912</v>
      </c>
      <c r="N16" s="383">
        <f t="shared" si="8"/>
        <v>100.80412131808258</v>
      </c>
      <c r="O16" s="383">
        <f t="shared" si="8"/>
        <v>104.8779540992271</v>
      </c>
      <c r="P16" s="383">
        <f t="shared" si="8"/>
        <v>109.11642413241768</v>
      </c>
      <c r="Q16" s="383">
        <f t="shared" si="8"/>
        <v>113.5261849614342</v>
      </c>
      <c r="R16" s="383">
        <f t="shared" si="8"/>
        <v>118.11415902208599</v>
      </c>
      <c r="S16" s="383">
        <f t="shared" si="8"/>
        <v>122.8875485090412</v>
      </c>
      <c r="T16" s="383">
        <f t="shared" si="8"/>
        <v>127.85384668182053</v>
      </c>
      <c r="U16" s="383">
        <f t="shared" si="8"/>
        <v>133.02084962770491</v>
      </c>
      <c r="V16" s="383">
        <f t="shared" si="8"/>
        <v>138.39666850002149</v>
      </c>
      <c r="W16" s="383">
        <f t="shared" si="8"/>
        <v>143.98974225101941</v>
      </c>
      <c r="X16" s="383">
        <f t="shared" si="8"/>
        <v>149.80885087932432</v>
      </c>
      <c r="Y16" s="383">
        <f t="shared" si="8"/>
        <v>155.86312921276686</v>
      </c>
      <c r="Z16" s="383">
        <f t="shared" si="8"/>
        <v>162.16208124822126</v>
      </c>
      <c r="AA16" s="383">
        <f t="shared" si="8"/>
        <v>168.71559507096532</v>
      </c>
      <c r="AB16" s="383">
        <f t="shared" si="8"/>
        <v>175.53395837698127</v>
      </c>
      <c r="AC16" s="383">
        <f t="shared" si="8"/>
        <v>182.6278746225656</v>
      </c>
      <c r="AD16" s="383">
        <f t="shared" si="8"/>
        <v>190.00847982659806</v>
      </c>
      <c r="AE16" s="383">
        <f t="shared" si="8"/>
        <v>197.68736005184712</v>
      </c>
      <c r="AF16" s="383">
        <f t="shared" si="8"/>
        <v>205.67656959275368</v>
      </c>
      <c r="AG16" s="383">
        <f t="shared" si="8"/>
        <v>213.98864989824415</v>
      </c>
      <c r="AH16" s="383">
        <f t="shared" si="8"/>
        <v>222.63664925927762</v>
      </c>
      <c r="AI16" s="383">
        <f t="shared" si="8"/>
        <v>231.6341432920332</v>
      </c>
      <c r="AJ16" s="383">
        <f t="shared" si="8"/>
        <v>240.99525624889139</v>
      </c>
      <c r="AK16" s="383">
        <f t="shared" si="8"/>
        <v>250.73468319066399</v>
      </c>
      <c r="AL16" s="383">
        <f t="shared" ref="AL16" si="9">AL6*AL14</f>
        <v>260.86771305487827</v>
      </c>
    </row>
    <row r="17" spans="2:38">
      <c r="B17" s="573" t="s">
        <v>1056</v>
      </c>
      <c r="C17" s="574" t="s">
        <v>490</v>
      </c>
      <c r="D17" s="383">
        <f>D16*$C13/2</f>
        <v>305.23309315704211</v>
      </c>
      <c r="E17" s="383">
        <f t="shared" ref="E17:AJ17" si="10">E16*$C13/2</f>
        <v>317.56858663225006</v>
      </c>
      <c r="F17" s="383">
        <f t="shared" si="10"/>
        <v>330.40259878937121</v>
      </c>
      <c r="G17" s="383">
        <f t="shared" si="10"/>
        <v>343.75527644107376</v>
      </c>
      <c r="H17" s="383">
        <f t="shared" si="10"/>
        <v>357.64758060032682</v>
      </c>
      <c r="I17" s="383">
        <f t="shared" si="10"/>
        <v>372.10131938496585</v>
      </c>
      <c r="J17" s="383">
        <f t="shared" si="10"/>
        <v>387.1391822520435</v>
      </c>
      <c r="K17" s="383">
        <f t="shared" si="10"/>
        <v>402.78477561570435</v>
      </c>
      <c r="L17" s="383">
        <f t="shared" si="10"/>
        <v>419.0626599044972</v>
      </c>
      <c r="M17" s="383">
        <f t="shared" si="10"/>
        <v>435.99838811629911</v>
      </c>
      <c r="N17" s="383">
        <f t="shared" si="10"/>
        <v>453.61854593137161</v>
      </c>
      <c r="O17" s="383">
        <f t="shared" si="10"/>
        <v>471.95079344652191</v>
      </c>
      <c r="P17" s="383">
        <f t="shared" si="10"/>
        <v>491.02390859587956</v>
      </c>
      <c r="Q17" s="383">
        <f t="shared" si="10"/>
        <v>510.86783232645388</v>
      </c>
      <c r="R17" s="383">
        <f t="shared" si="10"/>
        <v>531.51371559938696</v>
      </c>
      <c r="S17" s="383">
        <f t="shared" si="10"/>
        <v>552.99396829068542</v>
      </c>
      <c r="T17" s="383">
        <f t="shared" si="10"/>
        <v>575.34231006819232</v>
      </c>
      <c r="U17" s="383">
        <f t="shared" si="10"/>
        <v>598.59382332467203</v>
      </c>
      <c r="V17" s="383">
        <f t="shared" si="10"/>
        <v>622.78500825009667</v>
      </c>
      <c r="W17" s="383">
        <f t="shared" si="10"/>
        <v>647.95384012958732</v>
      </c>
      <c r="X17" s="383">
        <f t="shared" si="10"/>
        <v>674.13982895695949</v>
      </c>
      <c r="Y17" s="383">
        <f t="shared" si="10"/>
        <v>701.38408145745086</v>
      </c>
      <c r="Z17" s="383">
        <f t="shared" si="10"/>
        <v>729.72936561699566</v>
      </c>
      <c r="AA17" s="383">
        <f t="shared" si="10"/>
        <v>759.22017781934392</v>
      </c>
      <c r="AB17" s="383">
        <f t="shared" si="10"/>
        <v>789.90281269641571</v>
      </c>
      <c r="AC17" s="383">
        <f t="shared" si="10"/>
        <v>821.82543580154515</v>
      </c>
      <c r="AD17" s="383">
        <f t="shared" si="10"/>
        <v>855.03815921969124</v>
      </c>
      <c r="AE17" s="383">
        <f t="shared" si="10"/>
        <v>889.59312023331199</v>
      </c>
      <c r="AF17" s="383">
        <f t="shared" si="10"/>
        <v>925.54456316739152</v>
      </c>
      <c r="AG17" s="383">
        <f t="shared" si="10"/>
        <v>962.94892454209867</v>
      </c>
      <c r="AH17" s="383">
        <f t="shared" si="10"/>
        <v>1001.8649216667493</v>
      </c>
      <c r="AI17" s="383">
        <f t="shared" si="10"/>
        <v>1042.3536448141494</v>
      </c>
      <c r="AJ17" s="383">
        <f t="shared" si="10"/>
        <v>1084.4786531200114</v>
      </c>
      <c r="AK17" s="383">
        <f t="shared" ref="AK17:AL17" si="11">AK16*$C13/2</f>
        <v>1128.3060743579879</v>
      </c>
      <c r="AL17" s="383">
        <f t="shared" si="11"/>
        <v>1173.9047087469521</v>
      </c>
    </row>
    <row r="18" spans="2:38">
      <c r="B18" s="575" t="s">
        <v>1057</v>
      </c>
      <c r="C18" s="574" t="s">
        <v>443</v>
      </c>
      <c r="D18" s="383">
        <f>D17/Minutes.per.Hour*Days.Per.Year</f>
        <v>1856.8346500386729</v>
      </c>
      <c r="E18" s="383">
        <f t="shared" ref="E18:AJ18" si="12">E17/Minutes.per.Hour*Days.Per.Year</f>
        <v>1931.8755686795212</v>
      </c>
      <c r="F18" s="383">
        <f t="shared" si="12"/>
        <v>2009.9491426353416</v>
      </c>
      <c r="G18" s="383">
        <f t="shared" si="12"/>
        <v>2091.1779316831985</v>
      </c>
      <c r="H18" s="383">
        <f t="shared" si="12"/>
        <v>2175.6894486519882</v>
      </c>
      <c r="I18" s="383">
        <f t="shared" si="12"/>
        <v>2263.6163595918756</v>
      </c>
      <c r="J18" s="383">
        <f t="shared" si="12"/>
        <v>2355.0966920332644</v>
      </c>
      <c r="K18" s="383">
        <f t="shared" si="12"/>
        <v>2450.2740516622011</v>
      </c>
      <c r="L18" s="383">
        <f t="shared" si="12"/>
        <v>2549.2978477523579</v>
      </c>
      <c r="M18" s="383">
        <f t="shared" si="12"/>
        <v>2652.3235277074864</v>
      </c>
      <c r="N18" s="383">
        <f t="shared" si="12"/>
        <v>2759.5128210825105</v>
      </c>
      <c r="O18" s="383">
        <f t="shared" si="12"/>
        <v>2871.0339934663416</v>
      </c>
      <c r="P18" s="383">
        <f t="shared" si="12"/>
        <v>2987.0621106249337</v>
      </c>
      <c r="Q18" s="383">
        <f t="shared" si="12"/>
        <v>3107.7793133192608</v>
      </c>
      <c r="R18" s="383">
        <f t="shared" si="12"/>
        <v>3233.3751032296041</v>
      </c>
      <c r="S18" s="383">
        <f t="shared" si="12"/>
        <v>3364.0466404350027</v>
      </c>
      <c r="T18" s="383">
        <f t="shared" si="12"/>
        <v>3499.9990529148367</v>
      </c>
      <c r="U18" s="383">
        <f t="shared" si="12"/>
        <v>3641.4457585584214</v>
      </c>
      <c r="V18" s="383">
        <f t="shared" si="12"/>
        <v>3788.608800188088</v>
      </c>
      <c r="W18" s="383">
        <f t="shared" si="12"/>
        <v>3941.7191941216561</v>
      </c>
      <c r="X18" s="383">
        <f t="shared" si="12"/>
        <v>4101.0172928215034</v>
      </c>
      <c r="Y18" s="383">
        <f t="shared" si="12"/>
        <v>4266.7531621994931</v>
      </c>
      <c r="Z18" s="383">
        <f t="shared" si="12"/>
        <v>4439.1869741700575</v>
      </c>
      <c r="AA18" s="383">
        <f t="shared" si="12"/>
        <v>4618.5894150676759</v>
      </c>
      <c r="AB18" s="383">
        <f t="shared" si="12"/>
        <v>4805.2421105698622</v>
      </c>
      <c r="AC18" s="383">
        <f t="shared" si="12"/>
        <v>4999.4380677927329</v>
      </c>
      <c r="AD18" s="383">
        <f t="shared" si="12"/>
        <v>5201.4821352531217</v>
      </c>
      <c r="AE18" s="383">
        <f t="shared" si="12"/>
        <v>5411.6914814193151</v>
      </c>
      <c r="AF18" s="383">
        <f t="shared" si="12"/>
        <v>5630.3960926016316</v>
      </c>
      <c r="AG18" s="383">
        <f t="shared" si="12"/>
        <v>5857.939290964433</v>
      </c>
      <c r="AH18" s="383">
        <f t="shared" si="12"/>
        <v>6094.6782734727249</v>
      </c>
      <c r="AI18" s="383">
        <f t="shared" si="12"/>
        <v>6340.9846726194091</v>
      </c>
      <c r="AJ18" s="383">
        <f t="shared" si="12"/>
        <v>6597.2451398134017</v>
      </c>
      <c r="AK18" s="383">
        <f t="shared" ref="AK18:AL18" si="13">AK17/Minutes.per.Hour*Days.Per.Year</f>
        <v>6863.8619523444268</v>
      </c>
      <c r="AL18" s="383">
        <f t="shared" si="13"/>
        <v>7141.2536448772917</v>
      </c>
    </row>
    <row r="20" spans="2:38">
      <c r="B20" s="575" t="s">
        <v>745</v>
      </c>
      <c r="C20" s="574" t="s">
        <v>443</v>
      </c>
      <c r="D20" s="383">
        <f>D18</f>
        <v>1856.8346500386729</v>
      </c>
      <c r="E20" s="383">
        <f t="shared" ref="E20:AJ20" si="14">E18</f>
        <v>1931.8755686795212</v>
      </c>
      <c r="F20" s="383">
        <f t="shared" si="14"/>
        <v>2009.9491426353416</v>
      </c>
      <c r="G20" s="383">
        <f t="shared" si="14"/>
        <v>2091.1779316831985</v>
      </c>
      <c r="H20" s="383">
        <f t="shared" si="14"/>
        <v>2175.6894486519882</v>
      </c>
      <c r="I20" s="383">
        <f t="shared" si="14"/>
        <v>2263.6163595918756</v>
      </c>
      <c r="J20" s="383">
        <f t="shared" si="14"/>
        <v>2355.0966920332644</v>
      </c>
      <c r="K20" s="383">
        <f t="shared" si="14"/>
        <v>2450.2740516622011</v>
      </c>
      <c r="L20" s="383">
        <f t="shared" si="14"/>
        <v>2549.2978477523579</v>
      </c>
      <c r="M20" s="383">
        <f t="shared" si="14"/>
        <v>2652.3235277074864</v>
      </c>
      <c r="N20" s="383">
        <f t="shared" si="14"/>
        <v>2759.5128210825105</v>
      </c>
      <c r="O20" s="383">
        <f t="shared" si="14"/>
        <v>2871.0339934663416</v>
      </c>
      <c r="P20" s="383">
        <f t="shared" si="14"/>
        <v>2987.0621106249337</v>
      </c>
      <c r="Q20" s="383">
        <f t="shared" si="14"/>
        <v>3107.7793133192608</v>
      </c>
      <c r="R20" s="383">
        <f t="shared" si="14"/>
        <v>3233.3751032296041</v>
      </c>
      <c r="S20" s="383">
        <f t="shared" si="14"/>
        <v>3364.0466404350027</v>
      </c>
      <c r="T20" s="383">
        <f t="shared" si="14"/>
        <v>3499.9990529148367</v>
      </c>
      <c r="U20" s="383">
        <f t="shared" si="14"/>
        <v>3641.4457585584214</v>
      </c>
      <c r="V20" s="383">
        <f t="shared" si="14"/>
        <v>3788.608800188088</v>
      </c>
      <c r="W20" s="383">
        <f t="shared" si="14"/>
        <v>3941.7191941216561</v>
      </c>
      <c r="X20" s="383">
        <f t="shared" si="14"/>
        <v>4101.0172928215034</v>
      </c>
      <c r="Y20" s="383">
        <f t="shared" si="14"/>
        <v>4266.7531621994931</v>
      </c>
      <c r="Z20" s="383">
        <f t="shared" si="14"/>
        <v>4439.1869741700575</v>
      </c>
      <c r="AA20" s="383">
        <f t="shared" si="14"/>
        <v>4618.5894150676759</v>
      </c>
      <c r="AB20" s="383">
        <f t="shared" si="14"/>
        <v>4805.2421105698622</v>
      </c>
      <c r="AC20" s="383">
        <f t="shared" si="14"/>
        <v>4999.4380677927329</v>
      </c>
      <c r="AD20" s="383">
        <f t="shared" si="14"/>
        <v>5201.4821352531217</v>
      </c>
      <c r="AE20" s="383">
        <f t="shared" si="14"/>
        <v>5411.6914814193151</v>
      </c>
      <c r="AF20" s="383">
        <f t="shared" si="14"/>
        <v>5630.3960926016316</v>
      </c>
      <c r="AG20" s="383">
        <f t="shared" si="14"/>
        <v>5857.939290964433</v>
      </c>
      <c r="AH20" s="383">
        <f t="shared" si="14"/>
        <v>6094.6782734727249</v>
      </c>
      <c r="AI20" s="383">
        <f t="shared" si="14"/>
        <v>6340.9846726194091</v>
      </c>
      <c r="AJ20" s="383">
        <f t="shared" si="14"/>
        <v>6597.2451398134017</v>
      </c>
      <c r="AK20" s="383">
        <f t="shared" ref="AK20:AL20" si="15">AK18</f>
        <v>6863.8619523444268</v>
      </c>
      <c r="AL20" s="383">
        <f t="shared" si="15"/>
        <v>7141.2536448772917</v>
      </c>
    </row>
    <row r="22" spans="2:38" ht="13">
      <c r="B22" s="502" t="s">
        <v>506</v>
      </c>
      <c r="C22" s="542">
        <f>SUMIFS('Crossing Inputs'!$C$41:$H$41,'Crossing Inputs'!$C$23:$H$23,$A$1)</f>
        <v>0.88919999999999999</v>
      </c>
    </row>
    <row r="23" spans="2:38" ht="13">
      <c r="B23" s="502" t="s">
        <v>507</v>
      </c>
      <c r="C23" s="542">
        <f>SUMIFS('Crossing Inputs'!$C$42:$H$42,'Crossing Inputs'!$C$23:$H$23,$A$1)</f>
        <v>0.1</v>
      </c>
    </row>
    <row r="24" spans="2:38" ht="13">
      <c r="B24" s="502" t="s">
        <v>746</v>
      </c>
      <c r="C24" s="542">
        <f>SUMIFS('Crossing Inputs'!$C$43:$H$43,'Crossing Inputs'!$C$23:$H$23,$A$1)</f>
        <v>1.0699999999999999E-2</v>
      </c>
    </row>
    <row r="25" spans="2:38">
      <c r="B25" s="358" t="s">
        <v>508</v>
      </c>
      <c r="C25" s="358" t="s">
        <v>443</v>
      </c>
      <c r="D25" s="576">
        <f>D$20*$C22</f>
        <v>1651.0973708143879</v>
      </c>
      <c r="E25" s="576">
        <f t="shared" ref="E25:AJ27" si="16">E$20*$C22</f>
        <v>1717.8237556698302</v>
      </c>
      <c r="F25" s="576">
        <f t="shared" si="16"/>
        <v>1787.2467776313456</v>
      </c>
      <c r="G25" s="576">
        <f t="shared" si="16"/>
        <v>1859.4754168527002</v>
      </c>
      <c r="H25" s="576">
        <f t="shared" si="16"/>
        <v>1934.6230577413478</v>
      </c>
      <c r="I25" s="576">
        <f t="shared" si="16"/>
        <v>2012.8076669490958</v>
      </c>
      <c r="J25" s="576">
        <f t="shared" si="16"/>
        <v>2094.1519785559785</v>
      </c>
      <c r="K25" s="576">
        <f t="shared" si="16"/>
        <v>2178.7836867380292</v>
      </c>
      <c r="L25" s="576">
        <f t="shared" si="16"/>
        <v>2266.8356462213965</v>
      </c>
      <c r="M25" s="576">
        <f t="shared" si="16"/>
        <v>2358.446080837497</v>
      </c>
      <c r="N25" s="576">
        <f t="shared" si="16"/>
        <v>2453.7588005065682</v>
      </c>
      <c r="O25" s="576">
        <f t="shared" si="16"/>
        <v>2552.9234269902709</v>
      </c>
      <c r="P25" s="576">
        <f t="shared" si="16"/>
        <v>2656.0956287676909</v>
      </c>
      <c r="Q25" s="576">
        <f t="shared" si="16"/>
        <v>2763.4373654034866</v>
      </c>
      <c r="R25" s="576">
        <f t="shared" si="16"/>
        <v>2875.117141791764</v>
      </c>
      <c r="S25" s="576">
        <f t="shared" si="16"/>
        <v>2991.3102726748043</v>
      </c>
      <c r="T25" s="576">
        <f t="shared" si="16"/>
        <v>3112.1991578518728</v>
      </c>
      <c r="U25" s="576">
        <f t="shared" si="16"/>
        <v>3237.9735685101482</v>
      </c>
      <c r="V25" s="576">
        <f t="shared" si="16"/>
        <v>3368.830945127248</v>
      </c>
      <c r="W25" s="576">
        <f t="shared" si="16"/>
        <v>3504.9767074129763</v>
      </c>
      <c r="X25" s="576">
        <f t="shared" si="16"/>
        <v>3646.6245767768805</v>
      </c>
      <c r="Y25" s="576">
        <f t="shared" si="16"/>
        <v>3793.9969118277891</v>
      </c>
      <c r="Z25" s="576">
        <f t="shared" si="16"/>
        <v>3947.325057432015</v>
      </c>
      <c r="AA25" s="576">
        <f t="shared" si="16"/>
        <v>4106.8497078781775</v>
      </c>
      <c r="AB25" s="576">
        <f t="shared" si="16"/>
        <v>4272.8212847187215</v>
      </c>
      <c r="AC25" s="576">
        <f t="shared" si="16"/>
        <v>4445.5003298812981</v>
      </c>
      <c r="AD25" s="576">
        <f t="shared" si="16"/>
        <v>4625.1579146670756</v>
      </c>
      <c r="AE25" s="576">
        <f t="shared" si="16"/>
        <v>4812.0760652780546</v>
      </c>
      <c r="AF25" s="576">
        <f t="shared" si="16"/>
        <v>5006.5482055413704</v>
      </c>
      <c r="AG25" s="576">
        <f t="shared" si="16"/>
        <v>5208.8796175255738</v>
      </c>
      <c r="AH25" s="576">
        <f t="shared" si="16"/>
        <v>5419.3879207719465</v>
      </c>
      <c r="AI25" s="576">
        <f t="shared" si="16"/>
        <v>5638.4035708931788</v>
      </c>
      <c r="AJ25" s="576">
        <f t="shared" si="16"/>
        <v>5866.2703783220768</v>
      </c>
      <c r="AK25" s="576">
        <f t="shared" ref="AK25:AL25" si="17">AK$20*$C22</f>
        <v>6103.346048024664</v>
      </c>
      <c r="AL25" s="576">
        <f t="shared" si="17"/>
        <v>6350.0027410248877</v>
      </c>
    </row>
    <row r="26" spans="2:38">
      <c r="B26" s="358" t="s">
        <v>509</v>
      </c>
      <c r="C26" s="358" t="s">
        <v>443</v>
      </c>
      <c r="D26" s="576">
        <f>D$20*$C23</f>
        <v>185.6834650038673</v>
      </c>
      <c r="E26" s="576">
        <f t="shared" ref="E26:S26" si="18">E$20*$C23</f>
        <v>193.18755686795214</v>
      </c>
      <c r="F26" s="576">
        <f t="shared" si="18"/>
        <v>200.99491426353416</v>
      </c>
      <c r="G26" s="576">
        <f t="shared" si="18"/>
        <v>209.11779316831985</v>
      </c>
      <c r="H26" s="576">
        <f t="shared" si="18"/>
        <v>217.56894486519883</v>
      </c>
      <c r="I26" s="576">
        <f t="shared" si="18"/>
        <v>226.36163595918757</v>
      </c>
      <c r="J26" s="576">
        <f t="shared" si="18"/>
        <v>235.50966920332644</v>
      </c>
      <c r="K26" s="576">
        <f t="shared" si="18"/>
        <v>245.02740516622012</v>
      </c>
      <c r="L26" s="576">
        <f t="shared" si="18"/>
        <v>254.92978477523582</v>
      </c>
      <c r="M26" s="576">
        <f t="shared" si="18"/>
        <v>265.23235277074866</v>
      </c>
      <c r="N26" s="576">
        <f t="shared" si="18"/>
        <v>275.95128210825106</v>
      </c>
      <c r="O26" s="576">
        <f t="shared" si="18"/>
        <v>287.10339934663415</v>
      </c>
      <c r="P26" s="576">
        <f t="shared" si="18"/>
        <v>298.70621106249337</v>
      </c>
      <c r="Q26" s="576">
        <f t="shared" si="18"/>
        <v>310.77793133192608</v>
      </c>
      <c r="R26" s="576">
        <f t="shared" si="18"/>
        <v>323.33751032296044</v>
      </c>
      <c r="S26" s="576">
        <f t="shared" si="18"/>
        <v>336.4046640435003</v>
      </c>
      <c r="T26" s="576">
        <f t="shared" si="16"/>
        <v>349.99990529148369</v>
      </c>
      <c r="U26" s="576">
        <f t="shared" si="16"/>
        <v>364.14457585584216</v>
      </c>
      <c r="V26" s="576">
        <f t="shared" si="16"/>
        <v>378.86088001880881</v>
      </c>
      <c r="W26" s="576">
        <f t="shared" si="16"/>
        <v>394.17191941216561</v>
      </c>
      <c r="X26" s="576">
        <f t="shared" si="16"/>
        <v>410.10172928215036</v>
      </c>
      <c r="Y26" s="576">
        <f t="shared" si="16"/>
        <v>426.67531621994931</v>
      </c>
      <c r="Z26" s="576">
        <f t="shared" si="16"/>
        <v>443.91869741700577</v>
      </c>
      <c r="AA26" s="576">
        <f t="shared" si="16"/>
        <v>461.85894150676762</v>
      </c>
      <c r="AB26" s="576">
        <f t="shared" si="16"/>
        <v>480.52421105698625</v>
      </c>
      <c r="AC26" s="576">
        <f t="shared" si="16"/>
        <v>499.9438067792733</v>
      </c>
      <c r="AD26" s="576">
        <f t="shared" si="16"/>
        <v>520.14821352531214</v>
      </c>
      <c r="AE26" s="576">
        <f t="shared" si="16"/>
        <v>541.16914814193149</v>
      </c>
      <c r="AF26" s="576">
        <f t="shared" si="16"/>
        <v>563.03960926016316</v>
      </c>
      <c r="AG26" s="576">
        <f t="shared" si="16"/>
        <v>585.79392909644332</v>
      </c>
      <c r="AH26" s="576">
        <f t="shared" si="16"/>
        <v>609.46782734727253</v>
      </c>
      <c r="AI26" s="576">
        <f t="shared" si="16"/>
        <v>634.09846726194098</v>
      </c>
      <c r="AJ26" s="576">
        <f t="shared" si="16"/>
        <v>659.72451398134024</v>
      </c>
      <c r="AK26" s="576">
        <f t="shared" ref="AK26:AL26" si="19">AK$20*$C23</f>
        <v>686.38619523444277</v>
      </c>
      <c r="AL26" s="576">
        <f t="shared" si="19"/>
        <v>714.12536448772926</v>
      </c>
    </row>
    <row r="27" spans="2:38">
      <c r="B27" s="358" t="s">
        <v>747</v>
      </c>
      <c r="C27" s="358" t="s">
        <v>443</v>
      </c>
      <c r="D27" s="576">
        <f>D$20*$C24</f>
        <v>19.868130755413798</v>
      </c>
      <c r="E27" s="576">
        <f t="shared" si="16"/>
        <v>20.671068584870877</v>
      </c>
      <c r="F27" s="576">
        <f t="shared" si="16"/>
        <v>21.506455826198152</v>
      </c>
      <c r="G27" s="576">
        <f t="shared" si="16"/>
        <v>22.375603869010224</v>
      </c>
      <c r="H27" s="576">
        <f t="shared" si="16"/>
        <v>23.279877100576272</v>
      </c>
      <c r="I27" s="576">
        <f t="shared" si="16"/>
        <v>24.220695047633068</v>
      </c>
      <c r="J27" s="576">
        <f t="shared" si="16"/>
        <v>25.199534604755929</v>
      </c>
      <c r="K27" s="576">
        <f t="shared" si="16"/>
        <v>26.217932352785549</v>
      </c>
      <c r="L27" s="576">
        <f t="shared" si="16"/>
        <v>27.277486970950228</v>
      </c>
      <c r="M27" s="576">
        <f t="shared" si="16"/>
        <v>28.379861746470102</v>
      </c>
      <c r="N27" s="576">
        <f t="shared" si="16"/>
        <v>29.526787185582862</v>
      </c>
      <c r="O27" s="576">
        <f t="shared" si="16"/>
        <v>30.720063730089855</v>
      </c>
      <c r="P27" s="576">
        <f t="shared" si="16"/>
        <v>31.961564583686787</v>
      </c>
      <c r="Q27" s="576">
        <f t="shared" si="16"/>
        <v>33.253238652516089</v>
      </c>
      <c r="R27" s="576">
        <f t="shared" si="16"/>
        <v>34.59711360455676</v>
      </c>
      <c r="S27" s="576">
        <f t="shared" si="16"/>
        <v>35.995299052654524</v>
      </c>
      <c r="T27" s="576">
        <f t="shared" si="16"/>
        <v>37.449989866188751</v>
      </c>
      <c r="U27" s="576">
        <f t="shared" si="16"/>
        <v>38.963469616575104</v>
      </c>
      <c r="V27" s="576">
        <f t="shared" si="16"/>
        <v>40.53811416201254</v>
      </c>
      <c r="W27" s="576">
        <f t="shared" si="16"/>
        <v>42.17639537710172</v>
      </c>
      <c r="X27" s="576">
        <f t="shared" si="16"/>
        <v>43.880885033190083</v>
      </c>
      <c r="Y27" s="576">
        <f t="shared" si="16"/>
        <v>45.654258835534577</v>
      </c>
      <c r="Z27" s="576">
        <f t="shared" si="16"/>
        <v>47.499300623619611</v>
      </c>
      <c r="AA27" s="576">
        <f t="shared" si="16"/>
        <v>49.418906741224127</v>
      </c>
      <c r="AB27" s="576">
        <f t="shared" si="16"/>
        <v>51.416090583097521</v>
      </c>
      <c r="AC27" s="576">
        <f t="shared" si="16"/>
        <v>53.493987325382243</v>
      </c>
      <c r="AD27" s="576">
        <f t="shared" si="16"/>
        <v>55.6558588472084</v>
      </c>
      <c r="AE27" s="576">
        <f t="shared" si="16"/>
        <v>57.905098851186672</v>
      </c>
      <c r="AF27" s="576">
        <f t="shared" si="16"/>
        <v>60.245238190837455</v>
      </c>
      <c r="AG27" s="576">
        <f t="shared" si="16"/>
        <v>62.679950413319432</v>
      </c>
      <c r="AH27" s="576">
        <f t="shared" si="16"/>
        <v>65.213057526158153</v>
      </c>
      <c r="AI27" s="576">
        <f t="shared" si="16"/>
        <v>67.848535997027668</v>
      </c>
      <c r="AJ27" s="576">
        <f t="shared" si="16"/>
        <v>70.590522996003401</v>
      </c>
      <c r="AK27" s="576">
        <f t="shared" ref="AK27:AL27" si="20">AK$20*$C24</f>
        <v>73.443322890085369</v>
      </c>
      <c r="AL27" s="576">
        <f t="shared" si="20"/>
        <v>76.411414000187023</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647" t="s">
        <v>788</v>
      </c>
      <c r="C32" s="358" t="s">
        <v>295</v>
      </c>
      <c r="D32" s="383">
        <f>D25*$C29</f>
        <v>590.26731006614364</v>
      </c>
      <c r="E32" s="383">
        <f t="shared" ref="E32:AJ32" si="21">E25*$C29</f>
        <v>614.12199265196432</v>
      </c>
      <c r="F32" s="383">
        <f t="shared" si="21"/>
        <v>638.94072300320602</v>
      </c>
      <c r="G32" s="383">
        <f t="shared" si="21"/>
        <v>664.76246152484032</v>
      </c>
      <c r="H32" s="383">
        <f t="shared" si="21"/>
        <v>691.62774314253181</v>
      </c>
      <c r="I32" s="383">
        <f t="shared" si="21"/>
        <v>719.57874093430178</v>
      </c>
      <c r="J32" s="383">
        <f t="shared" si="21"/>
        <v>748.65933233376234</v>
      </c>
      <c r="K32" s="383">
        <f t="shared" si="21"/>
        <v>778.9151680088454</v>
      </c>
      <c r="L32" s="383">
        <f t="shared" si="21"/>
        <v>810.39374352414916</v>
      </c>
      <c r="M32" s="383">
        <f t="shared" si="21"/>
        <v>843.14447389940517</v>
      </c>
      <c r="N32" s="383">
        <f t="shared" si="21"/>
        <v>877.21877118109808</v>
      </c>
      <c r="O32" s="383">
        <f t="shared" si="21"/>
        <v>912.67012514902183</v>
      </c>
      <c r="P32" s="383">
        <f t="shared" si="21"/>
        <v>949.55418728444943</v>
      </c>
      <c r="Q32" s="383">
        <f t="shared" si="21"/>
        <v>987.92885813174644</v>
      </c>
      <c r="R32" s="383">
        <f t="shared" si="21"/>
        <v>1027.8543781905555</v>
      </c>
      <c r="S32" s="383">
        <f t="shared" si="21"/>
        <v>1069.3934224812424</v>
      </c>
      <c r="T32" s="383">
        <f t="shared" si="21"/>
        <v>1112.6111989320445</v>
      </c>
      <c r="U32" s="383">
        <f t="shared" si="21"/>
        <v>1157.575550742378</v>
      </c>
      <c r="V32" s="383">
        <f t="shared" si="21"/>
        <v>1204.3570628829912</v>
      </c>
      <c r="W32" s="383">
        <f t="shared" si="21"/>
        <v>1253.029172900139</v>
      </c>
      <c r="X32" s="383">
        <f t="shared" si="21"/>
        <v>1303.6682861977347</v>
      </c>
      <c r="Y32" s="383">
        <f t="shared" si="21"/>
        <v>1356.3538959784346</v>
      </c>
      <c r="Z32" s="383">
        <f t="shared" si="21"/>
        <v>1411.1687080319452</v>
      </c>
      <c r="AA32" s="383">
        <f t="shared" si="21"/>
        <v>1468.1987705664483</v>
      </c>
      <c r="AB32" s="383">
        <f t="shared" si="21"/>
        <v>1527.5336092869429</v>
      </c>
      <c r="AC32" s="383">
        <f t="shared" si="21"/>
        <v>1589.266367932564</v>
      </c>
      <c r="AD32" s="383">
        <f t="shared" si="21"/>
        <v>1653.4939544934794</v>
      </c>
      <c r="AE32" s="383">
        <f t="shared" si="21"/>
        <v>1720.3171933369044</v>
      </c>
      <c r="AF32" s="383">
        <f t="shared" si="21"/>
        <v>1789.8409834810398</v>
      </c>
      <c r="AG32" s="383">
        <f t="shared" si="21"/>
        <v>1862.1744632653927</v>
      </c>
      <c r="AH32" s="383">
        <f t="shared" si="21"/>
        <v>1937.4311816759707</v>
      </c>
      <c r="AI32" s="383">
        <f t="shared" si="21"/>
        <v>2015.7292765943114</v>
      </c>
      <c r="AJ32" s="383">
        <f t="shared" si="21"/>
        <v>2097.1916602501424</v>
      </c>
      <c r="AK32" s="383">
        <f t="shared" ref="AK32:AL32" si="22">AK25*$C29</f>
        <v>2181.9462121688175</v>
      </c>
      <c r="AL32" s="383">
        <f t="shared" si="22"/>
        <v>2270.1259799163972</v>
      </c>
    </row>
    <row r="33" spans="1:38">
      <c r="B33" s="647" t="s">
        <v>789</v>
      </c>
      <c r="C33" s="358" t="s">
        <v>295</v>
      </c>
      <c r="D33" s="383">
        <f>D26*$C30+D27*$C31</f>
        <v>175.24619743599993</v>
      </c>
      <c r="E33" s="383">
        <f t="shared" ref="E33:AJ33" si="23">E26*$C30+E27*$C31</f>
        <v>182.32848429640455</v>
      </c>
      <c r="F33" s="383">
        <f t="shared" si="23"/>
        <v>189.69699013278088</v>
      </c>
      <c r="G33" s="383">
        <f t="shared" si="23"/>
        <v>197.3632820143286</v>
      </c>
      <c r="H33" s="383">
        <f t="shared" si="23"/>
        <v>205.33939447432599</v>
      </c>
      <c r="I33" s="383">
        <f t="shared" si="23"/>
        <v>213.63784840192164</v>
      </c>
      <c r="J33" s="383">
        <f t="shared" si="23"/>
        <v>222.27167069740747</v>
      </c>
      <c r="K33" s="383">
        <f t="shared" si="23"/>
        <v>231.25441472182686</v>
      </c>
      <c r="L33" s="383">
        <f t="shared" si="23"/>
        <v>240.6001815730198</v>
      </c>
      <c r="M33" s="383">
        <f t="shared" si="23"/>
        <v>250.32364222150485</v>
      </c>
      <c r="N33" s="383">
        <f t="shared" si="23"/>
        <v>260.44006054094626</v>
      </c>
      <c r="O33" s="383">
        <f t="shared" si="23"/>
        <v>270.96531726935984</v>
      </c>
      <c r="P33" s="383">
        <f t="shared" si="23"/>
        <v>281.9159349386706</v>
      </c>
      <c r="Q33" s="383">
        <f t="shared" si="23"/>
        <v>293.30910381175846</v>
      </c>
      <c r="R33" s="383">
        <f t="shared" si="23"/>
        <v>305.16270886770684</v>
      </c>
      <c r="S33" s="383">
        <f t="shared" si="23"/>
        <v>317.49535787761516</v>
      </c>
      <c r="T33" s="383">
        <f t="shared" si="23"/>
        <v>330.32641061504938</v>
      </c>
      <c r="U33" s="383">
        <f t="shared" si="23"/>
        <v>343.67600924698525</v>
      </c>
      <c r="V33" s="383">
        <f t="shared" si="23"/>
        <v>357.56510995295156</v>
      </c>
      <c r="W33" s="383">
        <f t="shared" si="23"/>
        <v>372.01551582200779</v>
      </c>
      <c r="X33" s="383">
        <f t="shared" si="23"/>
        <v>387.04991107920068</v>
      </c>
      <c r="Y33" s="383">
        <f t="shared" si="23"/>
        <v>402.69189669522598</v>
      </c>
      <c r="Z33" s="383">
        <f t="shared" si="23"/>
        <v>418.96602743519583</v>
      </c>
      <c r="AA33" s="383">
        <f t="shared" si="23"/>
        <v>435.89785040467217</v>
      </c>
      <c r="AB33" s="383">
        <f t="shared" si="23"/>
        <v>453.513945153473</v>
      </c>
      <c r="AC33" s="383">
        <f t="shared" si="23"/>
        <v>471.84196540021031</v>
      </c>
      <c r="AD33" s="383">
        <f t="shared" si="23"/>
        <v>490.91068244305433</v>
      </c>
      <c r="AE33" s="383">
        <f t="shared" si="23"/>
        <v>510.75003032487353</v>
      </c>
      <c r="AF33" s="383">
        <f t="shared" si="23"/>
        <v>531.39115282364935</v>
      </c>
      <c r="AG33" s="383">
        <f t="shared" si="23"/>
        <v>552.86645234193224</v>
      </c>
      <c r="AH33" s="383">
        <f t="shared" si="23"/>
        <v>575.20964077208225</v>
      </c>
      <c r="AI33" s="383">
        <f t="shared" si="23"/>
        <v>598.45579241714722</v>
      </c>
      <c r="AJ33" s="383">
        <f t="shared" si="23"/>
        <v>622.64139905044908</v>
      </c>
      <c r="AK33" s="383">
        <f t="shared" ref="AK33:AL33" si="24">AK26*$C30+AK27*$C31</f>
        <v>647.80442720031465</v>
      </c>
      <c r="AL33" s="383">
        <f t="shared" si="24"/>
        <v>673.98437774987394</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Demand!F51</f>
        <v>2.021212882214602</v>
      </c>
      <c r="E37" s="383">
        <f>Demand!G51</f>
        <v>2.0426507576151294</v>
      </c>
      <c r="F37" s="383">
        <f>Demand!H51</f>
        <v>2.064316012578558</v>
      </c>
      <c r="G37" s="383">
        <f>Demand!I51</f>
        <v>2.0862110587928311</v>
      </c>
      <c r="H37" s="383">
        <f>Demand!J51</f>
        <v>0</v>
      </c>
      <c r="I37" s="383">
        <f>Demand!K51</f>
        <v>0</v>
      </c>
      <c r="J37" s="383">
        <f>Demand!L51</f>
        <v>0</v>
      </c>
      <c r="K37" s="383">
        <f>Demand!M51</f>
        <v>0</v>
      </c>
      <c r="L37" s="383">
        <f>Demand!N51</f>
        <v>0</v>
      </c>
      <c r="M37" s="383">
        <f>Demand!O51</f>
        <v>0</v>
      </c>
      <c r="N37" s="383">
        <f>Demand!P51</f>
        <v>0</v>
      </c>
      <c r="O37" s="383">
        <f>Demand!Q51</f>
        <v>0</v>
      </c>
      <c r="P37" s="383">
        <f>Demand!R51</f>
        <v>0</v>
      </c>
      <c r="Q37" s="383">
        <f>Demand!S51</f>
        <v>0</v>
      </c>
      <c r="R37" s="383">
        <f>Demand!T51</f>
        <v>0</v>
      </c>
      <c r="S37" s="383">
        <f>Demand!U51</f>
        <v>0</v>
      </c>
      <c r="T37" s="383">
        <f>Demand!V51</f>
        <v>0</v>
      </c>
      <c r="U37" s="383">
        <f>Demand!W51</f>
        <v>0</v>
      </c>
      <c r="V37" s="383">
        <f>Demand!X51</f>
        <v>0</v>
      </c>
      <c r="W37" s="383">
        <f>Demand!Y51</f>
        <v>0</v>
      </c>
      <c r="X37" s="383">
        <f>Demand!Z51</f>
        <v>0</v>
      </c>
      <c r="Y37" s="383">
        <f>Demand!AA51</f>
        <v>0</v>
      </c>
      <c r="Z37" s="383">
        <f>Demand!AB51</f>
        <v>0</v>
      </c>
      <c r="AA37" s="383">
        <f>Demand!AC51</f>
        <v>0</v>
      </c>
      <c r="AB37" s="383">
        <f>Demand!AD51</f>
        <v>0</v>
      </c>
      <c r="AC37" s="383">
        <f>Demand!AE51</f>
        <v>0</v>
      </c>
      <c r="AD37" s="383">
        <f>Demand!AF51</f>
        <v>0</v>
      </c>
      <c r="AE37" s="383">
        <f>Demand!AG51</f>
        <v>0</v>
      </c>
      <c r="AF37" s="383">
        <f>Demand!AH51</f>
        <v>0</v>
      </c>
      <c r="AG37" s="383">
        <f>Demand!AI51</f>
        <v>0</v>
      </c>
      <c r="AH37" s="383">
        <f>Demand!AJ51</f>
        <v>0</v>
      </c>
      <c r="AI37" s="383">
        <f>Demand!AK51</f>
        <v>0</v>
      </c>
      <c r="AJ37" s="383">
        <f>Demand!AL51</f>
        <v>0</v>
      </c>
      <c r="AK37" s="383">
        <f>Demand!AM51</f>
        <v>0</v>
      </c>
      <c r="AL37" s="383">
        <f>Demand!AN51</f>
        <v>0</v>
      </c>
    </row>
    <row r="38" spans="1:38">
      <c r="B38" s="363" t="s">
        <v>645</v>
      </c>
      <c r="C38" s="358" t="s">
        <v>1054</v>
      </c>
      <c r="D38" s="383">
        <f>Demand!F52</f>
        <v>1.010606441107301</v>
      </c>
      <c r="E38" s="383">
        <f>Demand!G52</f>
        <v>1.0213253788075647</v>
      </c>
      <c r="F38" s="383">
        <f>Demand!H52</f>
        <v>1.032158006289279</v>
      </c>
      <c r="G38" s="383">
        <f>Demand!I52</f>
        <v>1.0431055293964155</v>
      </c>
      <c r="H38" s="383">
        <f>Demand!J52</f>
        <v>0</v>
      </c>
      <c r="I38" s="383">
        <f>Demand!K52</f>
        <v>0</v>
      </c>
      <c r="J38" s="383">
        <f>Demand!L52</f>
        <v>0</v>
      </c>
      <c r="K38" s="383">
        <f>Demand!M52</f>
        <v>0</v>
      </c>
      <c r="L38" s="383">
        <f>Demand!N52</f>
        <v>0</v>
      </c>
      <c r="M38" s="383">
        <f>Demand!O52</f>
        <v>0</v>
      </c>
      <c r="N38" s="383">
        <f>Demand!P52</f>
        <v>0</v>
      </c>
      <c r="O38" s="383">
        <f>Demand!Q52</f>
        <v>0</v>
      </c>
      <c r="P38" s="383">
        <f>Demand!R52</f>
        <v>0</v>
      </c>
      <c r="Q38" s="383">
        <f>Demand!S52</f>
        <v>0</v>
      </c>
      <c r="R38" s="383">
        <f>Demand!T52</f>
        <v>0</v>
      </c>
      <c r="S38" s="383">
        <f>Demand!U52</f>
        <v>0</v>
      </c>
      <c r="T38" s="383">
        <f>Demand!V52</f>
        <v>0</v>
      </c>
      <c r="U38" s="383">
        <f>Demand!W52</f>
        <v>0</v>
      </c>
      <c r="V38" s="383">
        <f>Demand!X52</f>
        <v>0</v>
      </c>
      <c r="W38" s="383">
        <f>Demand!Y52</f>
        <v>0</v>
      </c>
      <c r="X38" s="383">
        <f>Demand!Z52</f>
        <v>0</v>
      </c>
      <c r="Y38" s="383">
        <f>Demand!AA52</f>
        <v>0</v>
      </c>
      <c r="Z38" s="383">
        <f>Demand!AB52</f>
        <v>0</v>
      </c>
      <c r="AA38" s="383">
        <f>Demand!AC52</f>
        <v>0</v>
      </c>
      <c r="AB38" s="383">
        <f>Demand!AD52</f>
        <v>0</v>
      </c>
      <c r="AC38" s="383">
        <f>Demand!AE52</f>
        <v>0</v>
      </c>
      <c r="AD38" s="383">
        <f>Demand!AF52</f>
        <v>0</v>
      </c>
      <c r="AE38" s="383">
        <f>Demand!AG52</f>
        <v>0</v>
      </c>
      <c r="AF38" s="383">
        <f>Demand!AH52</f>
        <v>0</v>
      </c>
      <c r="AG38" s="383">
        <f>Demand!AI52</f>
        <v>0</v>
      </c>
      <c r="AH38" s="383">
        <f>Demand!AJ52</f>
        <v>0</v>
      </c>
      <c r="AI38" s="383">
        <f>Demand!AK52</f>
        <v>0</v>
      </c>
      <c r="AJ38" s="383">
        <f>Demand!AL52</f>
        <v>0</v>
      </c>
      <c r="AK38" s="383">
        <f>Demand!AM52</f>
        <v>0</v>
      </c>
      <c r="AL38" s="383">
        <f>Demand!AN52</f>
        <v>0</v>
      </c>
    </row>
    <row r="40" spans="1:38">
      <c r="B40" s="571" t="s">
        <v>1058</v>
      </c>
      <c r="C40" s="572" t="s">
        <v>15</v>
      </c>
      <c r="D40" s="570">
        <f t="shared" ref="D40:AL40" si="25">(D$37*$C$13)/Minutes.Per.Day</f>
        <v>1.2632580513841262E-2</v>
      </c>
      <c r="E40" s="570">
        <f t="shared" si="25"/>
        <v>1.2766567235094558E-2</v>
      </c>
      <c r="F40" s="570">
        <f t="shared" si="25"/>
        <v>1.2901975078615988E-2</v>
      </c>
      <c r="G40" s="570">
        <f t="shared" si="25"/>
        <v>1.3038819117455193E-2</v>
      </c>
      <c r="H40" s="570">
        <f t="shared" si="25"/>
        <v>0</v>
      </c>
      <c r="I40" s="570">
        <f t="shared" si="25"/>
        <v>0</v>
      </c>
      <c r="J40" s="570">
        <f t="shared" si="25"/>
        <v>0</v>
      </c>
      <c r="K40" s="570">
        <f t="shared" si="25"/>
        <v>0</v>
      </c>
      <c r="L40" s="570">
        <f t="shared" si="25"/>
        <v>0</v>
      </c>
      <c r="M40" s="570">
        <f t="shared" si="25"/>
        <v>0</v>
      </c>
      <c r="N40" s="570">
        <f t="shared" si="25"/>
        <v>0</v>
      </c>
      <c r="O40" s="570">
        <f t="shared" si="25"/>
        <v>0</v>
      </c>
      <c r="P40" s="570">
        <f t="shared" si="25"/>
        <v>0</v>
      </c>
      <c r="Q40" s="570">
        <f t="shared" si="25"/>
        <v>0</v>
      </c>
      <c r="R40" s="570">
        <f t="shared" si="25"/>
        <v>0</v>
      </c>
      <c r="S40" s="570">
        <f t="shared" si="25"/>
        <v>0</v>
      </c>
      <c r="T40" s="570">
        <f t="shared" si="25"/>
        <v>0</v>
      </c>
      <c r="U40" s="570">
        <f t="shared" si="25"/>
        <v>0</v>
      </c>
      <c r="V40" s="570">
        <f t="shared" si="25"/>
        <v>0</v>
      </c>
      <c r="W40" s="570">
        <f t="shared" si="25"/>
        <v>0</v>
      </c>
      <c r="X40" s="570">
        <f t="shared" si="25"/>
        <v>0</v>
      </c>
      <c r="Y40" s="570">
        <f t="shared" si="25"/>
        <v>0</v>
      </c>
      <c r="Z40" s="570">
        <f t="shared" si="25"/>
        <v>0</v>
      </c>
      <c r="AA40" s="570">
        <f t="shared" si="25"/>
        <v>0</v>
      </c>
      <c r="AB40" s="570">
        <f t="shared" si="25"/>
        <v>0</v>
      </c>
      <c r="AC40" s="570">
        <f t="shared" si="25"/>
        <v>0</v>
      </c>
      <c r="AD40" s="570">
        <f t="shared" si="25"/>
        <v>0</v>
      </c>
      <c r="AE40" s="570">
        <f t="shared" si="25"/>
        <v>0</v>
      </c>
      <c r="AF40" s="570">
        <f t="shared" si="25"/>
        <v>0</v>
      </c>
      <c r="AG40" s="570">
        <f t="shared" si="25"/>
        <v>0</v>
      </c>
      <c r="AH40" s="570">
        <f t="shared" si="25"/>
        <v>0</v>
      </c>
      <c r="AI40" s="570">
        <f t="shared" si="25"/>
        <v>0</v>
      </c>
      <c r="AJ40" s="570">
        <f t="shared" si="25"/>
        <v>0</v>
      </c>
      <c r="AK40" s="570">
        <f t="shared" si="25"/>
        <v>0</v>
      </c>
      <c r="AL40" s="570">
        <f t="shared" si="25"/>
        <v>0</v>
      </c>
    </row>
    <row r="42" spans="1:38">
      <c r="B42" s="573" t="s">
        <v>1055</v>
      </c>
      <c r="C42" s="574" t="s">
        <v>505</v>
      </c>
      <c r="D42" s="383">
        <f t="shared" ref="D42:AK42" si="26">D6*D40</f>
        <v>67.829576257120465</v>
      </c>
      <c r="E42" s="383">
        <f t="shared" si="26"/>
        <v>70.570797029388899</v>
      </c>
      <c r="F42" s="383">
        <f t="shared" si="26"/>
        <v>73.422799730971377</v>
      </c>
      <c r="G42" s="383">
        <f t="shared" si="26"/>
        <v>76.390061431349721</v>
      </c>
      <c r="H42" s="383">
        <f t="shared" si="26"/>
        <v>0</v>
      </c>
      <c r="I42" s="383">
        <f t="shared" si="26"/>
        <v>0</v>
      </c>
      <c r="J42" s="383">
        <f t="shared" si="26"/>
        <v>0</v>
      </c>
      <c r="K42" s="383">
        <f t="shared" si="26"/>
        <v>0</v>
      </c>
      <c r="L42" s="383">
        <f t="shared" si="26"/>
        <v>0</v>
      </c>
      <c r="M42" s="383">
        <f t="shared" si="26"/>
        <v>0</v>
      </c>
      <c r="N42" s="383">
        <f t="shared" si="26"/>
        <v>0</v>
      </c>
      <c r="O42" s="383">
        <f t="shared" si="26"/>
        <v>0</v>
      </c>
      <c r="P42" s="383">
        <f t="shared" si="26"/>
        <v>0</v>
      </c>
      <c r="Q42" s="383">
        <f t="shared" si="26"/>
        <v>0</v>
      </c>
      <c r="R42" s="383">
        <f t="shared" si="26"/>
        <v>0</v>
      </c>
      <c r="S42" s="383">
        <f t="shared" si="26"/>
        <v>0</v>
      </c>
      <c r="T42" s="383">
        <f t="shared" si="26"/>
        <v>0</v>
      </c>
      <c r="U42" s="383">
        <f t="shared" si="26"/>
        <v>0</v>
      </c>
      <c r="V42" s="383">
        <f t="shared" si="26"/>
        <v>0</v>
      </c>
      <c r="W42" s="383">
        <f t="shared" si="26"/>
        <v>0</v>
      </c>
      <c r="X42" s="383">
        <f t="shared" si="26"/>
        <v>0</v>
      </c>
      <c r="Y42" s="383">
        <f t="shared" si="26"/>
        <v>0</v>
      </c>
      <c r="Z42" s="383">
        <f t="shared" si="26"/>
        <v>0</v>
      </c>
      <c r="AA42" s="383">
        <f t="shared" si="26"/>
        <v>0</v>
      </c>
      <c r="AB42" s="383">
        <f t="shared" si="26"/>
        <v>0</v>
      </c>
      <c r="AC42" s="383">
        <f t="shared" si="26"/>
        <v>0</v>
      </c>
      <c r="AD42" s="383">
        <f t="shared" si="26"/>
        <v>0</v>
      </c>
      <c r="AE42" s="383">
        <f t="shared" si="26"/>
        <v>0</v>
      </c>
      <c r="AF42" s="383">
        <f t="shared" si="26"/>
        <v>0</v>
      </c>
      <c r="AG42" s="383">
        <f t="shared" si="26"/>
        <v>0</v>
      </c>
      <c r="AH42" s="383">
        <f t="shared" si="26"/>
        <v>0</v>
      </c>
      <c r="AI42" s="383">
        <f t="shared" si="26"/>
        <v>0</v>
      </c>
      <c r="AJ42" s="383">
        <f t="shared" si="26"/>
        <v>0</v>
      </c>
      <c r="AK42" s="383">
        <f t="shared" si="26"/>
        <v>0</v>
      </c>
      <c r="AL42" s="383">
        <f t="shared" ref="AL42" si="27">AL6*AL40</f>
        <v>0</v>
      </c>
    </row>
    <row r="43" spans="1:38">
      <c r="B43" s="573" t="s">
        <v>1056</v>
      </c>
      <c r="C43" s="574" t="s">
        <v>490</v>
      </c>
      <c r="D43" s="383">
        <f t="shared" ref="D43:AJ43" si="28">D42*$C$13/2</f>
        <v>305.23309315704211</v>
      </c>
      <c r="E43" s="383">
        <f t="shared" si="28"/>
        <v>317.56858663225006</v>
      </c>
      <c r="F43" s="383">
        <f t="shared" si="28"/>
        <v>330.40259878937121</v>
      </c>
      <c r="G43" s="383">
        <f t="shared" si="28"/>
        <v>343.75527644107376</v>
      </c>
      <c r="H43" s="383">
        <f t="shared" si="28"/>
        <v>0</v>
      </c>
      <c r="I43" s="383">
        <f t="shared" si="28"/>
        <v>0</v>
      </c>
      <c r="J43" s="383">
        <f t="shared" si="28"/>
        <v>0</v>
      </c>
      <c r="K43" s="383">
        <f t="shared" si="28"/>
        <v>0</v>
      </c>
      <c r="L43" s="383">
        <f t="shared" si="28"/>
        <v>0</v>
      </c>
      <c r="M43" s="383">
        <f t="shared" si="28"/>
        <v>0</v>
      </c>
      <c r="N43" s="383">
        <f t="shared" si="28"/>
        <v>0</v>
      </c>
      <c r="O43" s="383">
        <f t="shared" si="28"/>
        <v>0</v>
      </c>
      <c r="P43" s="383">
        <f t="shared" si="28"/>
        <v>0</v>
      </c>
      <c r="Q43" s="383">
        <f t="shared" si="28"/>
        <v>0</v>
      </c>
      <c r="R43" s="383">
        <f t="shared" si="28"/>
        <v>0</v>
      </c>
      <c r="S43" s="383">
        <f t="shared" si="28"/>
        <v>0</v>
      </c>
      <c r="T43" s="383">
        <f t="shared" si="28"/>
        <v>0</v>
      </c>
      <c r="U43" s="383">
        <f t="shared" si="28"/>
        <v>0</v>
      </c>
      <c r="V43" s="383">
        <f t="shared" si="28"/>
        <v>0</v>
      </c>
      <c r="W43" s="383">
        <f t="shared" si="28"/>
        <v>0</v>
      </c>
      <c r="X43" s="383">
        <f t="shared" si="28"/>
        <v>0</v>
      </c>
      <c r="Y43" s="383">
        <f t="shared" si="28"/>
        <v>0</v>
      </c>
      <c r="Z43" s="383">
        <f t="shared" si="28"/>
        <v>0</v>
      </c>
      <c r="AA43" s="383">
        <f t="shared" si="28"/>
        <v>0</v>
      </c>
      <c r="AB43" s="383">
        <f t="shared" si="28"/>
        <v>0</v>
      </c>
      <c r="AC43" s="383">
        <f t="shared" si="28"/>
        <v>0</v>
      </c>
      <c r="AD43" s="383">
        <f t="shared" si="28"/>
        <v>0</v>
      </c>
      <c r="AE43" s="383">
        <f t="shared" si="28"/>
        <v>0</v>
      </c>
      <c r="AF43" s="383">
        <f t="shared" si="28"/>
        <v>0</v>
      </c>
      <c r="AG43" s="383">
        <f t="shared" si="28"/>
        <v>0</v>
      </c>
      <c r="AH43" s="383">
        <f t="shared" si="28"/>
        <v>0</v>
      </c>
      <c r="AI43" s="383">
        <f t="shared" si="28"/>
        <v>0</v>
      </c>
      <c r="AJ43" s="383">
        <f t="shared" si="28"/>
        <v>0</v>
      </c>
      <c r="AK43" s="383">
        <f t="shared" ref="AK43:AL43" si="29">AK42*$C$13/2</f>
        <v>0</v>
      </c>
      <c r="AL43" s="383">
        <f t="shared" si="29"/>
        <v>0</v>
      </c>
    </row>
    <row r="44" spans="1:38">
      <c r="B44" s="575" t="s">
        <v>1057</v>
      </c>
      <c r="C44" s="574" t="s">
        <v>443</v>
      </c>
      <c r="D44" s="383">
        <f t="shared" ref="D44:AJ44" si="30">D43/Minutes.per.Hour*Days.Per.Year</f>
        <v>1856.8346500386729</v>
      </c>
      <c r="E44" s="383">
        <f t="shared" si="30"/>
        <v>1931.8755686795212</v>
      </c>
      <c r="F44" s="383">
        <f t="shared" si="30"/>
        <v>2009.9491426353416</v>
      </c>
      <c r="G44" s="383">
        <f t="shared" si="30"/>
        <v>2091.1779316831985</v>
      </c>
      <c r="H44" s="383">
        <f t="shared" si="30"/>
        <v>0</v>
      </c>
      <c r="I44" s="383">
        <f t="shared" si="30"/>
        <v>0</v>
      </c>
      <c r="J44" s="383">
        <f t="shared" si="30"/>
        <v>0</v>
      </c>
      <c r="K44" s="383">
        <f t="shared" si="30"/>
        <v>0</v>
      </c>
      <c r="L44" s="383">
        <f t="shared" si="30"/>
        <v>0</v>
      </c>
      <c r="M44" s="383">
        <f t="shared" si="30"/>
        <v>0</v>
      </c>
      <c r="N44" s="383">
        <f t="shared" si="30"/>
        <v>0</v>
      </c>
      <c r="O44" s="383">
        <f t="shared" si="30"/>
        <v>0</v>
      </c>
      <c r="P44" s="383">
        <f t="shared" si="30"/>
        <v>0</v>
      </c>
      <c r="Q44" s="383">
        <f t="shared" si="30"/>
        <v>0</v>
      </c>
      <c r="R44" s="383">
        <f t="shared" si="30"/>
        <v>0</v>
      </c>
      <c r="S44" s="383">
        <f t="shared" si="30"/>
        <v>0</v>
      </c>
      <c r="T44" s="383">
        <f t="shared" si="30"/>
        <v>0</v>
      </c>
      <c r="U44" s="383">
        <f t="shared" si="30"/>
        <v>0</v>
      </c>
      <c r="V44" s="383">
        <f t="shared" si="30"/>
        <v>0</v>
      </c>
      <c r="W44" s="383">
        <f t="shared" si="30"/>
        <v>0</v>
      </c>
      <c r="X44" s="383">
        <f t="shared" si="30"/>
        <v>0</v>
      </c>
      <c r="Y44" s="383">
        <f t="shared" si="30"/>
        <v>0</v>
      </c>
      <c r="Z44" s="383">
        <f t="shared" si="30"/>
        <v>0</v>
      </c>
      <c r="AA44" s="383">
        <f t="shared" si="30"/>
        <v>0</v>
      </c>
      <c r="AB44" s="383">
        <f t="shared" si="30"/>
        <v>0</v>
      </c>
      <c r="AC44" s="383">
        <f t="shared" si="30"/>
        <v>0</v>
      </c>
      <c r="AD44" s="383">
        <f t="shared" si="30"/>
        <v>0</v>
      </c>
      <c r="AE44" s="383">
        <f t="shared" si="30"/>
        <v>0</v>
      </c>
      <c r="AF44" s="383">
        <f t="shared" si="30"/>
        <v>0</v>
      </c>
      <c r="AG44" s="383">
        <f t="shared" si="30"/>
        <v>0</v>
      </c>
      <c r="AH44" s="383">
        <f t="shared" si="30"/>
        <v>0</v>
      </c>
      <c r="AI44" s="383">
        <f t="shared" si="30"/>
        <v>0</v>
      </c>
      <c r="AJ44" s="383">
        <f t="shared" si="30"/>
        <v>0</v>
      </c>
      <c r="AK44" s="383">
        <f t="shared" ref="AK44:AL44" si="31">AK43/Minutes.per.Hour*Days.Per.Year</f>
        <v>0</v>
      </c>
      <c r="AL44" s="383">
        <f t="shared" si="31"/>
        <v>0</v>
      </c>
    </row>
    <row r="46" spans="1:38">
      <c r="B46" s="575" t="s">
        <v>745</v>
      </c>
      <c r="C46" s="574" t="s">
        <v>443</v>
      </c>
      <c r="D46" s="383">
        <f>D44</f>
        <v>1856.8346500386729</v>
      </c>
      <c r="E46" s="383">
        <f t="shared" ref="E46:AJ46" si="32">E44</f>
        <v>1931.8755686795212</v>
      </c>
      <c r="F46" s="383">
        <f t="shared" si="32"/>
        <v>2009.9491426353416</v>
      </c>
      <c r="G46" s="383">
        <f t="shared" si="32"/>
        <v>2091.1779316831985</v>
      </c>
      <c r="H46" s="383">
        <f t="shared" si="32"/>
        <v>0</v>
      </c>
      <c r="I46" s="383">
        <f t="shared" si="32"/>
        <v>0</v>
      </c>
      <c r="J46" s="383">
        <f t="shared" si="32"/>
        <v>0</v>
      </c>
      <c r="K46" s="383">
        <f t="shared" si="32"/>
        <v>0</v>
      </c>
      <c r="L46" s="383">
        <f t="shared" si="32"/>
        <v>0</v>
      </c>
      <c r="M46" s="383">
        <f t="shared" si="32"/>
        <v>0</v>
      </c>
      <c r="N46" s="383">
        <f t="shared" si="32"/>
        <v>0</v>
      </c>
      <c r="O46" s="383">
        <f t="shared" si="32"/>
        <v>0</v>
      </c>
      <c r="P46" s="383">
        <f t="shared" si="32"/>
        <v>0</v>
      </c>
      <c r="Q46" s="383">
        <f t="shared" si="32"/>
        <v>0</v>
      </c>
      <c r="R46" s="383">
        <f t="shared" si="32"/>
        <v>0</v>
      </c>
      <c r="S46" s="383">
        <f t="shared" si="32"/>
        <v>0</v>
      </c>
      <c r="T46" s="383">
        <f t="shared" si="32"/>
        <v>0</v>
      </c>
      <c r="U46" s="383">
        <f t="shared" si="32"/>
        <v>0</v>
      </c>
      <c r="V46" s="383">
        <f t="shared" si="32"/>
        <v>0</v>
      </c>
      <c r="W46" s="383">
        <f t="shared" si="32"/>
        <v>0</v>
      </c>
      <c r="X46" s="383">
        <f t="shared" si="32"/>
        <v>0</v>
      </c>
      <c r="Y46" s="383">
        <f t="shared" si="32"/>
        <v>0</v>
      </c>
      <c r="Z46" s="383">
        <f t="shared" si="32"/>
        <v>0</v>
      </c>
      <c r="AA46" s="383">
        <f t="shared" si="32"/>
        <v>0</v>
      </c>
      <c r="AB46" s="383">
        <f t="shared" si="32"/>
        <v>0</v>
      </c>
      <c r="AC46" s="383">
        <f t="shared" si="32"/>
        <v>0</v>
      </c>
      <c r="AD46" s="383">
        <f t="shared" si="32"/>
        <v>0</v>
      </c>
      <c r="AE46" s="383">
        <f t="shared" si="32"/>
        <v>0</v>
      </c>
      <c r="AF46" s="383">
        <f t="shared" si="32"/>
        <v>0</v>
      </c>
      <c r="AG46" s="383">
        <f t="shared" si="32"/>
        <v>0</v>
      </c>
      <c r="AH46" s="383">
        <f t="shared" si="32"/>
        <v>0</v>
      </c>
      <c r="AI46" s="383">
        <f t="shared" si="32"/>
        <v>0</v>
      </c>
      <c r="AJ46" s="383">
        <f t="shared" si="32"/>
        <v>0</v>
      </c>
      <c r="AK46" s="383">
        <f t="shared" ref="AK46:AL46" si="33">AK44</f>
        <v>0</v>
      </c>
      <c r="AL46" s="383">
        <f t="shared" si="33"/>
        <v>0</v>
      </c>
    </row>
    <row r="48" spans="1:38">
      <c r="B48" s="358" t="s">
        <v>508</v>
      </c>
      <c r="C48" s="358" t="s">
        <v>443</v>
      </c>
      <c r="D48" s="383">
        <f t="shared" ref="D48:AK48" si="34">D$46*$C22</f>
        <v>1651.0973708143879</v>
      </c>
      <c r="E48" s="383">
        <f t="shared" si="34"/>
        <v>1717.8237556698302</v>
      </c>
      <c r="F48" s="383">
        <f t="shared" si="34"/>
        <v>1787.2467776313456</v>
      </c>
      <c r="G48" s="383">
        <f t="shared" si="34"/>
        <v>1859.4754168527002</v>
      </c>
      <c r="H48" s="383">
        <f t="shared" si="34"/>
        <v>0</v>
      </c>
      <c r="I48" s="383">
        <f t="shared" si="34"/>
        <v>0</v>
      </c>
      <c r="J48" s="383">
        <f t="shared" si="34"/>
        <v>0</v>
      </c>
      <c r="K48" s="383">
        <f t="shared" si="34"/>
        <v>0</v>
      </c>
      <c r="L48" s="383">
        <f t="shared" si="34"/>
        <v>0</v>
      </c>
      <c r="M48" s="383">
        <f t="shared" si="34"/>
        <v>0</v>
      </c>
      <c r="N48" s="383">
        <f t="shared" si="34"/>
        <v>0</v>
      </c>
      <c r="O48" s="383">
        <f t="shared" si="34"/>
        <v>0</v>
      </c>
      <c r="P48" s="383">
        <f t="shared" si="34"/>
        <v>0</v>
      </c>
      <c r="Q48" s="383">
        <f t="shared" si="34"/>
        <v>0</v>
      </c>
      <c r="R48" s="383">
        <f t="shared" si="34"/>
        <v>0</v>
      </c>
      <c r="S48" s="383">
        <f t="shared" si="34"/>
        <v>0</v>
      </c>
      <c r="T48" s="383">
        <f t="shared" si="34"/>
        <v>0</v>
      </c>
      <c r="U48" s="383">
        <f t="shared" si="34"/>
        <v>0</v>
      </c>
      <c r="V48" s="383">
        <f t="shared" si="34"/>
        <v>0</v>
      </c>
      <c r="W48" s="383">
        <f t="shared" si="34"/>
        <v>0</v>
      </c>
      <c r="X48" s="383">
        <f t="shared" si="34"/>
        <v>0</v>
      </c>
      <c r="Y48" s="383">
        <f t="shared" si="34"/>
        <v>0</v>
      </c>
      <c r="Z48" s="383">
        <f t="shared" si="34"/>
        <v>0</v>
      </c>
      <c r="AA48" s="383">
        <f t="shared" si="34"/>
        <v>0</v>
      </c>
      <c r="AB48" s="383">
        <f t="shared" si="34"/>
        <v>0</v>
      </c>
      <c r="AC48" s="383">
        <f t="shared" si="34"/>
        <v>0</v>
      </c>
      <c r="AD48" s="383">
        <f t="shared" si="34"/>
        <v>0</v>
      </c>
      <c r="AE48" s="383">
        <f t="shared" si="34"/>
        <v>0</v>
      </c>
      <c r="AF48" s="383">
        <f t="shared" si="34"/>
        <v>0</v>
      </c>
      <c r="AG48" s="383">
        <f t="shared" si="34"/>
        <v>0</v>
      </c>
      <c r="AH48" s="383">
        <f t="shared" si="34"/>
        <v>0</v>
      </c>
      <c r="AI48" s="383">
        <f t="shared" si="34"/>
        <v>0</v>
      </c>
      <c r="AJ48" s="383">
        <f t="shared" si="34"/>
        <v>0</v>
      </c>
      <c r="AK48" s="383">
        <f t="shared" si="34"/>
        <v>0</v>
      </c>
      <c r="AL48" s="383">
        <f t="shared" ref="AL48" si="35">AL$46*$C22</f>
        <v>0</v>
      </c>
    </row>
    <row r="49" spans="2:38">
      <c r="B49" s="358" t="s">
        <v>509</v>
      </c>
      <c r="C49" s="358" t="s">
        <v>443</v>
      </c>
      <c r="D49" s="383">
        <f t="shared" ref="D49:AK49" si="36">D$46*$C23</f>
        <v>185.6834650038673</v>
      </c>
      <c r="E49" s="383">
        <f t="shared" si="36"/>
        <v>193.18755686795214</v>
      </c>
      <c r="F49" s="383">
        <f t="shared" si="36"/>
        <v>200.99491426353416</v>
      </c>
      <c r="G49" s="383">
        <f t="shared" si="36"/>
        <v>209.11779316831985</v>
      </c>
      <c r="H49" s="383">
        <f t="shared" si="36"/>
        <v>0</v>
      </c>
      <c r="I49" s="383">
        <f t="shared" si="36"/>
        <v>0</v>
      </c>
      <c r="J49" s="383">
        <f t="shared" si="36"/>
        <v>0</v>
      </c>
      <c r="K49" s="383">
        <f t="shared" si="36"/>
        <v>0</v>
      </c>
      <c r="L49" s="383">
        <f t="shared" si="36"/>
        <v>0</v>
      </c>
      <c r="M49" s="383">
        <f t="shared" si="36"/>
        <v>0</v>
      </c>
      <c r="N49" s="383">
        <f t="shared" si="36"/>
        <v>0</v>
      </c>
      <c r="O49" s="383">
        <f t="shared" si="36"/>
        <v>0</v>
      </c>
      <c r="P49" s="383">
        <f t="shared" si="36"/>
        <v>0</v>
      </c>
      <c r="Q49" s="383">
        <f t="shared" si="36"/>
        <v>0</v>
      </c>
      <c r="R49" s="383">
        <f t="shared" si="36"/>
        <v>0</v>
      </c>
      <c r="S49" s="383">
        <f t="shared" si="36"/>
        <v>0</v>
      </c>
      <c r="T49" s="383">
        <f t="shared" si="36"/>
        <v>0</v>
      </c>
      <c r="U49" s="383">
        <f t="shared" si="36"/>
        <v>0</v>
      </c>
      <c r="V49" s="383">
        <f t="shared" si="36"/>
        <v>0</v>
      </c>
      <c r="W49" s="383">
        <f t="shared" si="36"/>
        <v>0</v>
      </c>
      <c r="X49" s="383">
        <f t="shared" si="36"/>
        <v>0</v>
      </c>
      <c r="Y49" s="383">
        <f t="shared" si="36"/>
        <v>0</v>
      </c>
      <c r="Z49" s="383">
        <f t="shared" si="36"/>
        <v>0</v>
      </c>
      <c r="AA49" s="383">
        <f t="shared" si="36"/>
        <v>0</v>
      </c>
      <c r="AB49" s="383">
        <f t="shared" si="36"/>
        <v>0</v>
      </c>
      <c r="AC49" s="383">
        <f t="shared" si="36"/>
        <v>0</v>
      </c>
      <c r="AD49" s="383">
        <f t="shared" si="36"/>
        <v>0</v>
      </c>
      <c r="AE49" s="383">
        <f t="shared" si="36"/>
        <v>0</v>
      </c>
      <c r="AF49" s="383">
        <f t="shared" si="36"/>
        <v>0</v>
      </c>
      <c r="AG49" s="383">
        <f t="shared" si="36"/>
        <v>0</v>
      </c>
      <c r="AH49" s="383">
        <f t="shared" si="36"/>
        <v>0</v>
      </c>
      <c r="AI49" s="383">
        <f t="shared" si="36"/>
        <v>0</v>
      </c>
      <c r="AJ49" s="383">
        <f t="shared" si="36"/>
        <v>0</v>
      </c>
      <c r="AK49" s="383">
        <f t="shared" si="36"/>
        <v>0</v>
      </c>
      <c r="AL49" s="383">
        <f t="shared" ref="AL49" si="37">AL$46*$C23</f>
        <v>0</v>
      </c>
    </row>
    <row r="50" spans="2:38">
      <c r="B50" s="358" t="s">
        <v>747</v>
      </c>
      <c r="C50" s="358" t="s">
        <v>443</v>
      </c>
      <c r="D50" s="383">
        <f t="shared" ref="D50:AK50" si="38">D$46*$C24</f>
        <v>19.868130755413798</v>
      </c>
      <c r="E50" s="383">
        <f t="shared" si="38"/>
        <v>20.671068584870877</v>
      </c>
      <c r="F50" s="383">
        <f t="shared" si="38"/>
        <v>21.506455826198152</v>
      </c>
      <c r="G50" s="383">
        <f t="shared" si="38"/>
        <v>22.375603869010224</v>
      </c>
      <c r="H50" s="383">
        <f t="shared" si="38"/>
        <v>0</v>
      </c>
      <c r="I50" s="383">
        <f t="shared" si="38"/>
        <v>0</v>
      </c>
      <c r="J50" s="383">
        <f t="shared" si="38"/>
        <v>0</v>
      </c>
      <c r="K50" s="383">
        <f t="shared" si="38"/>
        <v>0</v>
      </c>
      <c r="L50" s="383">
        <f t="shared" si="38"/>
        <v>0</v>
      </c>
      <c r="M50" s="383">
        <f t="shared" si="38"/>
        <v>0</v>
      </c>
      <c r="N50" s="383">
        <f t="shared" si="38"/>
        <v>0</v>
      </c>
      <c r="O50" s="383">
        <f t="shared" si="38"/>
        <v>0</v>
      </c>
      <c r="P50" s="383">
        <f t="shared" si="38"/>
        <v>0</v>
      </c>
      <c r="Q50" s="383">
        <f t="shared" si="38"/>
        <v>0</v>
      </c>
      <c r="R50" s="383">
        <f t="shared" si="38"/>
        <v>0</v>
      </c>
      <c r="S50" s="383">
        <f t="shared" si="38"/>
        <v>0</v>
      </c>
      <c r="T50" s="383">
        <f t="shared" si="38"/>
        <v>0</v>
      </c>
      <c r="U50" s="383">
        <f t="shared" si="38"/>
        <v>0</v>
      </c>
      <c r="V50" s="383">
        <f t="shared" si="38"/>
        <v>0</v>
      </c>
      <c r="W50" s="383">
        <f t="shared" si="38"/>
        <v>0</v>
      </c>
      <c r="X50" s="383">
        <f t="shared" si="38"/>
        <v>0</v>
      </c>
      <c r="Y50" s="383">
        <f t="shared" si="38"/>
        <v>0</v>
      </c>
      <c r="Z50" s="383">
        <f t="shared" si="38"/>
        <v>0</v>
      </c>
      <c r="AA50" s="383">
        <f t="shared" si="38"/>
        <v>0</v>
      </c>
      <c r="AB50" s="383">
        <f t="shared" si="38"/>
        <v>0</v>
      </c>
      <c r="AC50" s="383">
        <f t="shared" si="38"/>
        <v>0</v>
      </c>
      <c r="AD50" s="383">
        <f t="shared" si="38"/>
        <v>0</v>
      </c>
      <c r="AE50" s="383">
        <f t="shared" si="38"/>
        <v>0</v>
      </c>
      <c r="AF50" s="383">
        <f t="shared" si="38"/>
        <v>0</v>
      </c>
      <c r="AG50" s="383">
        <f t="shared" si="38"/>
        <v>0</v>
      </c>
      <c r="AH50" s="383">
        <f t="shared" si="38"/>
        <v>0</v>
      </c>
      <c r="AI50" s="383">
        <f t="shared" si="38"/>
        <v>0</v>
      </c>
      <c r="AJ50" s="383">
        <f t="shared" si="38"/>
        <v>0</v>
      </c>
      <c r="AK50" s="383">
        <f t="shared" si="38"/>
        <v>0</v>
      </c>
      <c r="AL50" s="383">
        <f t="shared" ref="AL50" si="39">AL$46*$C24</f>
        <v>0</v>
      </c>
    </row>
    <row r="52" spans="2:38">
      <c r="B52" s="647" t="s">
        <v>788</v>
      </c>
      <c r="C52" s="358" t="s">
        <v>295</v>
      </c>
      <c r="D52" s="383">
        <f t="shared" ref="D52:AJ53" si="40">IF(D$2&gt;VRCConstEnd,0,D32)</f>
        <v>590.26731006614364</v>
      </c>
      <c r="E52" s="383">
        <f t="shared" si="40"/>
        <v>614.12199265196432</v>
      </c>
      <c r="F52" s="383">
        <f t="shared" si="40"/>
        <v>638.94072300320602</v>
      </c>
      <c r="G52" s="383">
        <f t="shared" si="40"/>
        <v>664.76246152484032</v>
      </c>
      <c r="H52" s="383">
        <f t="shared" si="40"/>
        <v>0</v>
      </c>
      <c r="I52" s="383">
        <f t="shared" si="40"/>
        <v>0</v>
      </c>
      <c r="J52" s="383">
        <f t="shared" si="40"/>
        <v>0</v>
      </c>
      <c r="K52" s="383">
        <f t="shared" si="40"/>
        <v>0</v>
      </c>
      <c r="L52" s="383">
        <f t="shared" si="40"/>
        <v>0</v>
      </c>
      <c r="M52" s="383">
        <f t="shared" si="40"/>
        <v>0</v>
      </c>
      <c r="N52" s="383">
        <f t="shared" si="40"/>
        <v>0</v>
      </c>
      <c r="O52" s="383">
        <f t="shared" si="40"/>
        <v>0</v>
      </c>
      <c r="P52" s="383">
        <f t="shared" si="40"/>
        <v>0</v>
      </c>
      <c r="Q52" s="383">
        <f t="shared" si="40"/>
        <v>0</v>
      </c>
      <c r="R52" s="383">
        <f t="shared" si="40"/>
        <v>0</v>
      </c>
      <c r="S52" s="383">
        <f t="shared" si="40"/>
        <v>0</v>
      </c>
      <c r="T52" s="383">
        <f t="shared" si="40"/>
        <v>0</v>
      </c>
      <c r="U52" s="383">
        <f t="shared" si="40"/>
        <v>0</v>
      </c>
      <c r="V52" s="383">
        <f t="shared" si="40"/>
        <v>0</v>
      </c>
      <c r="W52" s="383">
        <f t="shared" si="40"/>
        <v>0</v>
      </c>
      <c r="X52" s="383">
        <f t="shared" si="40"/>
        <v>0</v>
      </c>
      <c r="Y52" s="383">
        <f t="shared" si="40"/>
        <v>0</v>
      </c>
      <c r="Z52" s="383">
        <f t="shared" si="40"/>
        <v>0</v>
      </c>
      <c r="AA52" s="383">
        <f t="shared" si="40"/>
        <v>0</v>
      </c>
      <c r="AB52" s="383">
        <f t="shared" si="40"/>
        <v>0</v>
      </c>
      <c r="AC52" s="383">
        <f t="shared" si="40"/>
        <v>0</v>
      </c>
      <c r="AD52" s="383">
        <f t="shared" si="40"/>
        <v>0</v>
      </c>
      <c r="AE52" s="383">
        <f t="shared" si="40"/>
        <v>0</v>
      </c>
      <c r="AF52" s="383">
        <f t="shared" si="40"/>
        <v>0</v>
      </c>
      <c r="AG52" s="383">
        <f t="shared" si="40"/>
        <v>0</v>
      </c>
      <c r="AH52" s="383">
        <f t="shared" si="40"/>
        <v>0</v>
      </c>
      <c r="AI52" s="383">
        <f t="shared" si="40"/>
        <v>0</v>
      </c>
      <c r="AJ52" s="383">
        <f t="shared" si="40"/>
        <v>0</v>
      </c>
      <c r="AK52" s="383">
        <f t="shared" ref="AK52:AL52" si="41">IF(AK$2&gt;VRCConstEnd,0,AK32)</f>
        <v>0</v>
      </c>
      <c r="AL52" s="383">
        <f t="shared" si="41"/>
        <v>0</v>
      </c>
    </row>
    <row r="53" spans="2:38">
      <c r="B53" s="647" t="s">
        <v>789</v>
      </c>
      <c r="C53" s="358" t="s">
        <v>295</v>
      </c>
      <c r="D53" s="383">
        <f t="shared" si="40"/>
        <v>175.24619743599993</v>
      </c>
      <c r="E53" s="383">
        <f t="shared" si="40"/>
        <v>182.32848429640455</v>
      </c>
      <c r="F53" s="383">
        <f t="shared" si="40"/>
        <v>189.69699013278088</v>
      </c>
      <c r="G53" s="383">
        <f t="shared" si="40"/>
        <v>197.3632820143286</v>
      </c>
      <c r="H53" s="383">
        <f t="shared" si="40"/>
        <v>0</v>
      </c>
      <c r="I53" s="383">
        <f t="shared" si="40"/>
        <v>0</v>
      </c>
      <c r="J53" s="383">
        <f t="shared" si="40"/>
        <v>0</v>
      </c>
      <c r="K53" s="383">
        <f t="shared" si="40"/>
        <v>0</v>
      </c>
      <c r="L53" s="383">
        <f t="shared" si="40"/>
        <v>0</v>
      </c>
      <c r="M53" s="383">
        <f t="shared" si="40"/>
        <v>0</v>
      </c>
      <c r="N53" s="383">
        <f t="shared" si="40"/>
        <v>0</v>
      </c>
      <c r="O53" s="383">
        <f t="shared" si="40"/>
        <v>0</v>
      </c>
      <c r="P53" s="383">
        <f t="shared" si="40"/>
        <v>0</v>
      </c>
      <c r="Q53" s="383">
        <f t="shared" si="40"/>
        <v>0</v>
      </c>
      <c r="R53" s="383">
        <f t="shared" si="40"/>
        <v>0</v>
      </c>
      <c r="S53" s="383">
        <f t="shared" si="40"/>
        <v>0</v>
      </c>
      <c r="T53" s="383">
        <f t="shared" si="40"/>
        <v>0</v>
      </c>
      <c r="U53" s="383">
        <f t="shared" si="40"/>
        <v>0</v>
      </c>
      <c r="V53" s="383">
        <f t="shared" si="40"/>
        <v>0</v>
      </c>
      <c r="W53" s="383">
        <f t="shared" si="40"/>
        <v>0</v>
      </c>
      <c r="X53" s="383">
        <f t="shared" si="40"/>
        <v>0</v>
      </c>
      <c r="Y53" s="383">
        <f t="shared" si="40"/>
        <v>0</v>
      </c>
      <c r="Z53" s="383">
        <f t="shared" si="40"/>
        <v>0</v>
      </c>
      <c r="AA53" s="383">
        <f t="shared" si="40"/>
        <v>0</v>
      </c>
      <c r="AB53" s="383">
        <f t="shared" si="40"/>
        <v>0</v>
      </c>
      <c r="AC53" s="383">
        <f t="shared" si="40"/>
        <v>0</v>
      </c>
      <c r="AD53" s="383">
        <f t="shared" si="40"/>
        <v>0</v>
      </c>
      <c r="AE53" s="383">
        <f t="shared" si="40"/>
        <v>0</v>
      </c>
      <c r="AF53" s="383">
        <f t="shared" si="40"/>
        <v>0</v>
      </c>
      <c r="AG53" s="383">
        <f t="shared" si="40"/>
        <v>0</v>
      </c>
      <c r="AH53" s="383">
        <f t="shared" si="40"/>
        <v>0</v>
      </c>
      <c r="AI53" s="383">
        <f t="shared" si="40"/>
        <v>0</v>
      </c>
      <c r="AJ53" s="383">
        <f t="shared" si="40"/>
        <v>0</v>
      </c>
      <c r="AK53" s="383">
        <f t="shared" ref="AK53:AL53" si="42">IF(AK$2&gt;VRCConstEnd,0,AK33)</f>
        <v>0</v>
      </c>
      <c r="AL53" s="383">
        <f t="shared" si="42"/>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7">
    <tabColor theme="4" tint="0.39997558519241921"/>
    <pageSetUpPr autoPageBreaks="0"/>
  </sheetPr>
  <dimension ref="A1:AL205"/>
  <sheetViews>
    <sheetView showGridLines="0" zoomScaleNormal="100" workbookViewId="0">
      <pane ySplit="4" topLeftCell="A97"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U9:AE11"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ref="AF9:AF11" si="2">AE9*(1+$C$8)</f>
        <v>12071000</v>
      </c>
      <c r="AG9" s="498">
        <f t="shared" ref="AG9:AG11" si="3">AF9*(1+$C$8)</f>
        <v>12071000</v>
      </c>
      <c r="AH9" s="498">
        <f t="shared" ref="AH9:AH11" si="4">AG9*(1+$C$8)</f>
        <v>12071000</v>
      </c>
      <c r="AI9" s="498">
        <f t="shared" ref="AI9:AI11" si="5">AH9*(1+$C$8)</f>
        <v>12071000</v>
      </c>
      <c r="AJ9" s="498">
        <f t="shared" ref="AJ9:AL11" si="6">AI9*(1+$C$8)</f>
        <v>12071000</v>
      </c>
      <c r="AK9" s="498">
        <f t="shared" si="6"/>
        <v>12071000</v>
      </c>
      <c r="AL9" s="498">
        <f t="shared" si="6"/>
        <v>12071000</v>
      </c>
    </row>
    <row r="10" spans="1:38">
      <c r="B10" s="476" t="s">
        <v>973</v>
      </c>
      <c r="C10" s="384" t="s">
        <v>1075</v>
      </c>
      <c r="D10" s="498">
        <f>'General Inputs'!D24</f>
        <v>284100</v>
      </c>
      <c r="E10" s="498">
        <f t="shared" ref="E10:T11" si="7">D10*(1+$C$8)</f>
        <v>284100</v>
      </c>
      <c r="F10" s="498">
        <f t="shared" si="7"/>
        <v>284100</v>
      </c>
      <c r="G10" s="498">
        <f t="shared" si="7"/>
        <v>284100</v>
      </c>
      <c r="H10" s="498">
        <f t="shared" si="7"/>
        <v>284100</v>
      </c>
      <c r="I10" s="498">
        <f t="shared" si="7"/>
        <v>284100</v>
      </c>
      <c r="J10" s="498">
        <f t="shared" si="7"/>
        <v>284100</v>
      </c>
      <c r="K10" s="498">
        <f t="shared" si="7"/>
        <v>284100</v>
      </c>
      <c r="L10" s="498">
        <f t="shared" si="7"/>
        <v>284100</v>
      </c>
      <c r="M10" s="498">
        <f t="shared" si="7"/>
        <v>284100</v>
      </c>
      <c r="N10" s="498">
        <f t="shared" si="7"/>
        <v>284100</v>
      </c>
      <c r="O10" s="498">
        <f t="shared" si="7"/>
        <v>284100</v>
      </c>
      <c r="P10" s="498">
        <f t="shared" si="7"/>
        <v>284100</v>
      </c>
      <c r="Q10" s="498">
        <f t="shared" si="7"/>
        <v>284100</v>
      </c>
      <c r="R10" s="498">
        <f t="shared" si="7"/>
        <v>284100</v>
      </c>
      <c r="S10" s="498">
        <f t="shared" si="7"/>
        <v>284100</v>
      </c>
      <c r="T10" s="498">
        <f t="shared" si="7"/>
        <v>284100</v>
      </c>
      <c r="U10" s="498">
        <f t="shared" si="1"/>
        <v>284100</v>
      </c>
      <c r="V10" s="498">
        <f t="shared" si="1"/>
        <v>284100</v>
      </c>
      <c r="W10" s="498">
        <f t="shared" si="1"/>
        <v>284100</v>
      </c>
      <c r="X10" s="498">
        <f t="shared" si="1"/>
        <v>284100</v>
      </c>
      <c r="Y10" s="498">
        <f t="shared" si="1"/>
        <v>284100</v>
      </c>
      <c r="Z10" s="498">
        <f t="shared" si="1"/>
        <v>284100</v>
      </c>
      <c r="AA10" s="498">
        <f t="shared" si="1"/>
        <v>284100</v>
      </c>
      <c r="AB10" s="498">
        <f t="shared" si="1"/>
        <v>284100</v>
      </c>
      <c r="AC10" s="498">
        <f t="shared" si="1"/>
        <v>284100</v>
      </c>
      <c r="AD10" s="498">
        <f t="shared" si="1"/>
        <v>284100</v>
      </c>
      <c r="AE10" s="498">
        <f t="shared" si="1"/>
        <v>284100</v>
      </c>
      <c r="AF10" s="498">
        <f t="shared" si="2"/>
        <v>284100</v>
      </c>
      <c r="AG10" s="498">
        <f t="shared" si="3"/>
        <v>284100</v>
      </c>
      <c r="AH10" s="498">
        <f t="shared" si="4"/>
        <v>284100</v>
      </c>
      <c r="AI10" s="498">
        <f t="shared" si="5"/>
        <v>284100</v>
      </c>
      <c r="AJ10" s="498">
        <f t="shared" si="6"/>
        <v>284100</v>
      </c>
      <c r="AK10" s="498">
        <f t="shared" si="6"/>
        <v>284100</v>
      </c>
      <c r="AL10" s="498">
        <f t="shared" si="6"/>
        <v>284100</v>
      </c>
    </row>
    <row r="11" spans="1:38">
      <c r="B11" s="476" t="s">
        <v>451</v>
      </c>
      <c r="C11" s="473" t="s">
        <v>453</v>
      </c>
      <c r="D11" s="498">
        <f>'General Inputs'!D25</f>
        <v>4500</v>
      </c>
      <c r="E11" s="498">
        <f t="shared" si="7"/>
        <v>4500</v>
      </c>
      <c r="F11" s="498">
        <f t="shared" si="7"/>
        <v>4500</v>
      </c>
      <c r="G11" s="498">
        <f t="shared" si="7"/>
        <v>4500</v>
      </c>
      <c r="H11" s="498">
        <f t="shared" si="7"/>
        <v>4500</v>
      </c>
      <c r="I11" s="498">
        <f t="shared" si="7"/>
        <v>4500</v>
      </c>
      <c r="J11" s="498">
        <f t="shared" si="7"/>
        <v>4500</v>
      </c>
      <c r="K11" s="498">
        <f t="shared" si="7"/>
        <v>4500</v>
      </c>
      <c r="L11" s="498">
        <f t="shared" si="7"/>
        <v>4500</v>
      </c>
      <c r="M11" s="498">
        <f t="shared" si="7"/>
        <v>4500</v>
      </c>
      <c r="N11" s="498">
        <f t="shared" si="7"/>
        <v>4500</v>
      </c>
      <c r="O11" s="498">
        <f t="shared" si="7"/>
        <v>4500</v>
      </c>
      <c r="P11" s="498">
        <f t="shared" si="7"/>
        <v>4500</v>
      </c>
      <c r="Q11" s="498">
        <f t="shared" si="7"/>
        <v>4500</v>
      </c>
      <c r="R11" s="498">
        <f t="shared" si="7"/>
        <v>4500</v>
      </c>
      <c r="S11" s="498">
        <f t="shared" si="7"/>
        <v>4500</v>
      </c>
      <c r="T11" s="498">
        <f t="shared" si="7"/>
        <v>4500</v>
      </c>
      <c r="U11" s="498">
        <f t="shared" si="1"/>
        <v>4500</v>
      </c>
      <c r="V11" s="498">
        <f t="shared" si="1"/>
        <v>4500</v>
      </c>
      <c r="W11" s="498">
        <f t="shared" si="1"/>
        <v>4500</v>
      </c>
      <c r="X11" s="498">
        <f t="shared" si="1"/>
        <v>4500</v>
      </c>
      <c r="Y11" s="498">
        <f t="shared" si="1"/>
        <v>4500</v>
      </c>
      <c r="Z11" s="498">
        <f t="shared" si="1"/>
        <v>4500</v>
      </c>
      <c r="AA11" s="498">
        <f t="shared" si="1"/>
        <v>4500</v>
      </c>
      <c r="AB11" s="498">
        <f t="shared" si="1"/>
        <v>4500</v>
      </c>
      <c r="AC11" s="498">
        <f t="shared" si="1"/>
        <v>4500</v>
      </c>
      <c r="AD11" s="498">
        <f t="shared" si="1"/>
        <v>4500</v>
      </c>
      <c r="AE11" s="498">
        <f t="shared" si="1"/>
        <v>4500</v>
      </c>
      <c r="AF11" s="498">
        <f t="shared" si="2"/>
        <v>4500</v>
      </c>
      <c r="AG11" s="498">
        <f t="shared" si="3"/>
        <v>4500</v>
      </c>
      <c r="AH11" s="498">
        <f t="shared" si="4"/>
        <v>4500</v>
      </c>
      <c r="AI11" s="498">
        <f t="shared" si="5"/>
        <v>4500</v>
      </c>
      <c r="AJ11" s="498">
        <f t="shared" si="6"/>
        <v>4500</v>
      </c>
      <c r="AK11" s="498">
        <f t="shared" si="6"/>
        <v>4500</v>
      </c>
      <c r="AL11" s="498">
        <f t="shared" si="6"/>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'A1.3'!D23</f>
        <v>8.0613518672078795E-4</v>
      </c>
      <c r="E15" s="388">
        <f>'A1.3'!E23</f>
        <v>8.1743901854604501E-4</v>
      </c>
      <c r="F15" s="388">
        <f>'A1.3'!F23</f>
        <v>8.2890342102884468E-4</v>
      </c>
      <c r="G15" s="388">
        <f>'A1.3'!G23</f>
        <v>8.4053069571381135E-4</v>
      </c>
      <c r="H15" s="388">
        <f>'A1.3'!H23</f>
        <v>8.5232317725514567E-4</v>
      </c>
      <c r="I15" s="388">
        <f>'A1.3'!I23</f>
        <v>8.6428323389240152E-4</v>
      </c>
      <c r="J15" s="388">
        <f>'A1.3'!J23</f>
        <v>8.7641326793310315E-4</v>
      </c>
      <c r="K15" s="388">
        <f>'A1.3'!K23</f>
        <v>8.8871571624228932E-4</v>
      </c>
      <c r="L15" s="388">
        <f>'A1.3'!L23</f>
        <v>9.0119305073909034E-4</v>
      </c>
      <c r="M15" s="388">
        <f>'A1.3'!M23</f>
        <v>9.1384777890044519E-4</v>
      </c>
      <c r="N15" s="388">
        <f>'A1.3'!N23</f>
        <v>9.2668244427203937E-4</v>
      </c>
      <c r="O15" s="388">
        <f>'A1.3'!O23</f>
        <v>9.3969962698660294E-4</v>
      </c>
      <c r="P15" s="388">
        <f>'A1.3'!P23</f>
        <v>9.5290194428963274E-4</v>
      </c>
      <c r="Q15" s="388">
        <f>'A1.3'!Q23</f>
        <v>9.6629205107268265E-4</v>
      </c>
      <c r="R15" s="388">
        <f>'A1.3'!R23</f>
        <v>9.7987264041430829E-4</v>
      </c>
      <c r="S15" s="388">
        <f>'A1.3'!S23</f>
        <v>9.9364644412878317E-4</v>
      </c>
      <c r="T15" s="388">
        <f>'A1.3'!T23</f>
        <v>1.0076162333226978E-3</v>
      </c>
      <c r="U15" s="388">
        <f>'A1.3'!U23</f>
        <v>1.0217848189595579E-3</v>
      </c>
      <c r="V15" s="388">
        <f>'A1.3'!V23</f>
        <v>1.0361550524324887E-3</v>
      </c>
      <c r="W15" s="388">
        <f>'A1.3'!W23</f>
        <v>1.0507298261451738E-3</v>
      </c>
      <c r="X15" s="388">
        <f>'A1.3'!X23</f>
        <v>1.0655120741011328E-3</v>
      </c>
      <c r="Y15" s="388">
        <f>'A1.3'!Y23</f>
        <v>1.0805047725014724E-3</v>
      </c>
      <c r="Z15" s="388">
        <f>'A1.3'!Z23</f>
        <v>1.0957109403512207E-3</v>
      </c>
      <c r="AA15" s="388">
        <f>'A1.3'!AA23</f>
        <v>1.1111336400743744E-3</v>
      </c>
      <c r="AB15" s="388">
        <f>'A1.3'!AB23</f>
        <v>1.1267759781377843E-3</v>
      </c>
      <c r="AC15" s="388">
        <f>'A1.3'!AC23</f>
        <v>1.1426411056840032E-3</v>
      </c>
      <c r="AD15" s="388">
        <f>'A1.3'!AD23</f>
        <v>1.1587322191732267E-3</v>
      </c>
      <c r="AE15" s="388">
        <f>'A1.3'!AE23</f>
        <v>1.1750525610344593E-3</v>
      </c>
      <c r="AF15" s="388">
        <f>'A1.3'!AF23</f>
        <v>1.1916054203260354E-3</v>
      </c>
      <c r="AG15" s="388">
        <f>'A1.3'!AG23</f>
        <v>1.2083941334056301E-3</v>
      </c>
      <c r="AH15" s="388">
        <f>'A1.3'!AH23</f>
        <v>1.225422084609901E-3</v>
      </c>
      <c r="AI15" s="388">
        <f>'A1.3'!AI23</f>
        <v>1.2426927069438931E-3</v>
      </c>
      <c r="AJ15" s="388">
        <f>'A1.3'!AJ23</f>
        <v>1.2602094827803502E-3</v>
      </c>
      <c r="AK15" s="388">
        <f>'A1.3'!AK23</f>
        <v>1.2779759445690736E-3</v>
      </c>
      <c r="AL15" s="388">
        <f>'A1.3'!AL23</f>
        <v>1.2959956755564832E-3</v>
      </c>
    </row>
    <row r="16" spans="1:38">
      <c r="B16" s="367" t="s">
        <v>516</v>
      </c>
      <c r="C16" s="367" t="s">
        <v>329</v>
      </c>
      <c r="D16" s="388">
        <f>'A1.3'!D24</f>
        <v>1.5018815616601991E-2</v>
      </c>
      <c r="E16" s="388">
        <f>'A1.3'!E24</f>
        <v>1.5218379741782183E-2</v>
      </c>
      <c r="F16" s="388">
        <f>'A1.3'!F24</f>
        <v>1.5420595200818871E-2</v>
      </c>
      <c r="G16" s="388">
        <f>'A1.3'!G24</f>
        <v>1.5625497208051627E-2</v>
      </c>
      <c r="H16" s="388">
        <f>'A1.3'!H24</f>
        <v>1.5833121445562117E-2</v>
      </c>
      <c r="I16" s="388">
        <f>'A1.3'!I24</f>
        <v>1.6043504069383902E-2</v>
      </c>
      <c r="J16" s="388">
        <f>'A1.3'!J24</f>
        <v>1.625668171579479E-2</v>
      </c>
      <c r="K16" s="388">
        <f>'A1.3'!K24</f>
        <v>1.6472691507692792E-2</v>
      </c>
      <c r="L16" s="388">
        <f>'A1.3'!L24</f>
        <v>1.6691571061056721E-2</v>
      </c>
      <c r="M16" s="388">
        <f>'A1.3'!M24</f>
        <v>1.6913358491492732E-2</v>
      </c>
      <c r="N16" s="388">
        <f>'A1.3'!N24</f>
        <v>1.7138092420867689E-2</v>
      </c>
      <c r="O16" s="388">
        <f>'A1.3'!O24</f>
        <v>1.7365811984030803E-2</v>
      </c>
      <c r="P16" s="388">
        <f>'A1.3'!P24</f>
        <v>1.7596556835624402E-2</v>
      </c>
      <c r="Q16" s="388">
        <f>'A1.3'!Q24</f>
        <v>1.7830367156985327E-2</v>
      </c>
      <c r="R16" s="388">
        <f>'A1.3'!R24</f>
        <v>1.8067283663137871E-2</v>
      </c>
      <c r="S16" s="388">
        <f>'A1.3'!S24</f>
        <v>1.8307347609879714E-2</v>
      </c>
      <c r="T16" s="388">
        <f>'A1.3'!T24</f>
        <v>1.8550600800961891E-2</v>
      </c>
      <c r="U16" s="388">
        <f>'A1.3'!U24</f>
        <v>1.8797085595364239E-2</v>
      </c>
      <c r="V16" s="388">
        <f>'A1.3'!V24</f>
        <v>1.9046844914667335E-2</v>
      </c>
      <c r="W16" s="388">
        <f>'A1.3'!W24</f>
        <v>1.9299922250522517E-2</v>
      </c>
      <c r="X16" s="388">
        <f>'A1.3'!X24</f>
        <v>1.9556361672220968E-2</v>
      </c>
      <c r="Y16" s="388">
        <f>'A1.3'!Y24</f>
        <v>1.9816207834363466E-2</v>
      </c>
      <c r="Z16" s="388">
        <f>'A1.3'!Z24</f>
        <v>2.0079505984631915E-2</v>
      </c>
      <c r="AA16" s="388">
        <f>'A1.3'!AA24</f>
        <v>2.0346301971664132E-2</v>
      </c>
      <c r="AB16" s="388">
        <f>'A1.3'!AB24</f>
        <v>2.061664225303322E-2</v>
      </c>
      <c r="AC16" s="388">
        <f>'A1.3'!AC24</f>
        <v>2.0890573903332921E-2</v>
      </c>
      <c r="AD16" s="388">
        <f>'A1.3'!AD24</f>
        <v>2.1168144622370329E-2</v>
      </c>
      <c r="AE16" s="388">
        <f>'A1.3'!AE24</f>
        <v>2.1449402743467474E-2</v>
      </c>
      <c r="AF16" s="388">
        <f>'A1.3'!AF24</f>
        <v>2.1734397241873087E-2</v>
      </c>
      <c r="AG16" s="388">
        <f>'A1.3'!AG24</f>
        <v>2.2023177743286115E-2</v>
      </c>
      <c r="AH16" s="388">
        <f>'A1.3'!AH24</f>
        <v>2.2315794532492439E-2</v>
      </c>
      <c r="AI16" s="388">
        <f>'A1.3'!AI24</f>
        <v>2.261229856211629E-2</v>
      </c>
      <c r="AJ16" s="388">
        <f>'A1.3'!AJ24</f>
        <v>2.2912741461487886E-2</v>
      </c>
      <c r="AK16" s="388">
        <f>'A1.3'!AK24</f>
        <v>2.3217175545628788E-2</v>
      </c>
      <c r="AL16" s="388">
        <f>'A1.3'!AL24</f>
        <v>2.3525653824356747E-2</v>
      </c>
    </row>
    <row r="17" spans="1:38">
      <c r="B17" s="367" t="s">
        <v>517</v>
      </c>
      <c r="C17" s="367" t="s">
        <v>518</v>
      </c>
      <c r="D17" s="388">
        <f>'A1.3'!D22</f>
        <v>7.0149619852555051E-2</v>
      </c>
      <c r="E17" s="388">
        <f>'A1.3'!E22</f>
        <v>7.1082332682769367E-2</v>
      </c>
      <c r="F17" s="388">
        <f>'A1.3'!F22</f>
        <v>7.2027447576799894E-2</v>
      </c>
      <c r="G17" s="388">
        <f>'A1.3'!G22</f>
        <v>7.2985129424578951E-2</v>
      </c>
      <c r="H17" s="388">
        <f>'A1.3'!H22</f>
        <v>7.3955545308763915E-2</v>
      </c>
      <c r="I17" s="388">
        <f>'A1.3'!I22</f>
        <v>7.4938864533884292E-2</v>
      </c>
      <c r="J17" s="388">
        <f>'A1.3'!J22</f>
        <v>7.5935258655876858E-2</v>
      </c>
      <c r="K17" s="388">
        <f>'A1.3'!K22</f>
        <v>7.694490151201365E-2</v>
      </c>
      <c r="L17" s="388">
        <f>'A1.3'!L22</f>
        <v>7.7967969251227731E-2</v>
      </c>
      <c r="M17" s="388">
        <f>'A1.3'!M22</f>
        <v>7.9004640364843198E-2</v>
      </c>
      <c r="N17" s="388">
        <f>'A1.3'!N22</f>
        <v>8.0055095717712826E-2</v>
      </c>
      <c r="O17" s="388">
        <f>'A1.3'!O22</f>
        <v>8.1119518579771135E-2</v>
      </c>
      <c r="P17" s="388">
        <f>'A1.3'!P22</f>
        <v>8.219809465800601E-2</v>
      </c>
      <c r="Q17" s="388">
        <f>'A1.3'!Q22</f>
        <v>8.3291012128856479E-2</v>
      </c>
      <c r="R17" s="388">
        <f>'A1.3'!R22</f>
        <v>8.4398461671040939E-2</v>
      </c>
      <c r="S17" s="388">
        <f>'A1.3'!S22</f>
        <v>8.5520636498822244E-2</v>
      </c>
      <c r="T17" s="388">
        <f>'A1.3'!T22</f>
        <v>8.6657732395715101E-2</v>
      </c>
      <c r="U17" s="388">
        <f>'A1.3'!U22</f>
        <v>8.7809947748642106E-2</v>
      </c>
      <c r="V17" s="388">
        <f>'A1.3'!V22</f>
        <v>8.897748358254351E-2</v>
      </c>
      <c r="W17" s="388">
        <f>'A1.3'!W22</f>
        <v>9.0160543595448062E-2</v>
      </c>
      <c r="X17" s="388">
        <f>'A1.3'!X22</f>
        <v>9.1359334194009587E-2</v>
      </c>
      <c r="Y17" s="388">
        <f>'A1.3'!Y22</f>
        <v>9.2574064529516692E-2</v>
      </c>
      <c r="Z17" s="388">
        <f>'A1.3'!Z22</f>
        <v>9.3804946534381192E-2</v>
      </c>
      <c r="AA17" s="388">
        <f>'A1.3'!AA22</f>
        <v>9.5052194959111838E-2</v>
      </c>
      <c r="AB17" s="388">
        <f>'A1.3'!AB22</f>
        <v>9.6316027409779875E-2</v>
      </c>
      <c r="AC17" s="388">
        <f>'A1.3'!AC22</f>
        <v>9.7596664385982801E-2</v>
      </c>
      <c r="AD17" s="388">
        <f>'A1.3'!AD22</f>
        <v>9.8894329319312954E-2</v>
      </c>
      <c r="AE17" s="388">
        <f>'A1.3'!AE22</f>
        <v>0.10020924861233795</v>
      </c>
      <c r="AF17" s="388">
        <f>'A1.3'!AF22</f>
        <v>0.10154165167809927</v>
      </c>
      <c r="AG17" s="388">
        <f>'A1.3'!AG22</f>
        <v>0.10289177098013624</v>
      </c>
      <c r="AH17" s="388">
        <f>'A1.3'!AH22</f>
        <v>0.10425984207304234</v>
      </c>
      <c r="AI17" s="388">
        <f>'A1.3'!AI22</f>
        <v>0.10564610364356079</v>
      </c>
      <c r="AJ17" s="388">
        <f>'A1.3'!AJ22</f>
        <v>0.10705079755222677</v>
      </c>
      <c r="AK17" s="388">
        <f>'A1.3'!AK22</f>
        <v>0.10847416887556303</v>
      </c>
      <c r="AL17" s="388">
        <f>'A1.3'!AL22</f>
        <v>0.10991646594883762</v>
      </c>
    </row>
    <row r="18" spans="1:38">
      <c r="D18" s="358"/>
      <c r="F18" s="464"/>
      <c r="G18" s="465"/>
      <c r="H18" s="465"/>
    </row>
    <row r="19" spans="1:38">
      <c r="B19" s="366" t="s">
        <v>719</v>
      </c>
      <c r="C19" s="484" t="s">
        <v>292</v>
      </c>
      <c r="D19" s="485">
        <f t="shared" ref="D19:AK19" si="8">D15*D9</f>
        <v>9730.8578389066315</v>
      </c>
      <c r="E19" s="485">
        <f t="shared" si="8"/>
        <v>9867.30639286931</v>
      </c>
      <c r="F19" s="485">
        <f t="shared" si="8"/>
        <v>10005.693195239184</v>
      </c>
      <c r="G19" s="485">
        <f t="shared" si="8"/>
        <v>10146.046027961416</v>
      </c>
      <c r="H19" s="485">
        <f t="shared" si="8"/>
        <v>10288.393072646862</v>
      </c>
      <c r="I19" s="485">
        <f t="shared" si="8"/>
        <v>10432.76291631518</v>
      </c>
      <c r="J19" s="485">
        <f t="shared" si="8"/>
        <v>10579.184557220487</v>
      </c>
      <c r="K19" s="485">
        <f t="shared" si="8"/>
        <v>10727.687410760675</v>
      </c>
      <c r="L19" s="485">
        <f t="shared" si="8"/>
        <v>10878.301315471559</v>
      </c>
      <c r="M19" s="485">
        <f t="shared" si="8"/>
        <v>11031.056539107274</v>
      </c>
      <c r="N19" s="485">
        <f t="shared" si="8"/>
        <v>11185.983784807788</v>
      </c>
      <c r="O19" s="485">
        <f t="shared" si="8"/>
        <v>11343.114197355284</v>
      </c>
      <c r="P19" s="485">
        <f t="shared" si="8"/>
        <v>11502.479369520157</v>
      </c>
      <c r="Q19" s="485">
        <f t="shared" si="8"/>
        <v>11664.111348498353</v>
      </c>
      <c r="R19" s="485">
        <f t="shared" si="8"/>
        <v>11828.042642441116</v>
      </c>
      <c r="S19" s="485">
        <f t="shared" si="8"/>
        <v>11994.306227078541</v>
      </c>
      <c r="T19" s="485">
        <f t="shared" si="8"/>
        <v>12162.935552438285</v>
      </c>
      <c r="U19" s="485">
        <f t="shared" si="8"/>
        <v>12333.964549660823</v>
      </c>
      <c r="V19" s="485">
        <f t="shared" si="8"/>
        <v>12507.427637912571</v>
      </c>
      <c r="W19" s="485">
        <f t="shared" si="8"/>
        <v>12683.359731398392</v>
      </c>
      <c r="X19" s="485">
        <f t="shared" si="8"/>
        <v>12861.796246474774</v>
      </c>
      <c r="Y19" s="485">
        <f t="shared" si="8"/>
        <v>13042.773108865274</v>
      </c>
      <c r="Z19" s="485">
        <f t="shared" si="8"/>
        <v>13226.326760979584</v>
      </c>
      <c r="AA19" s="485">
        <f t="shared" si="8"/>
        <v>13412.494169337773</v>
      </c>
      <c r="AB19" s="485">
        <f t="shared" si="8"/>
        <v>13601.312832101194</v>
      </c>
      <c r="AC19" s="485">
        <f t="shared" si="8"/>
        <v>13792.820786711603</v>
      </c>
      <c r="AD19" s="485">
        <f t="shared" si="8"/>
        <v>13987.056617640019</v>
      </c>
      <c r="AE19" s="485">
        <f t="shared" si="8"/>
        <v>14184.059464246959</v>
      </c>
      <c r="AF19" s="485">
        <f t="shared" si="8"/>
        <v>14383.869028755573</v>
      </c>
      <c r="AG19" s="485">
        <f t="shared" si="8"/>
        <v>14586.525584339361</v>
      </c>
      <c r="AH19" s="485">
        <f t="shared" si="8"/>
        <v>14792.069983326115</v>
      </c>
      <c r="AI19" s="485">
        <f t="shared" si="8"/>
        <v>15000.543665519734</v>
      </c>
      <c r="AJ19" s="485">
        <f t="shared" si="8"/>
        <v>15211.988666641608</v>
      </c>
      <c r="AK19" s="485">
        <f t="shared" si="8"/>
        <v>15426.447626893287</v>
      </c>
      <c r="AL19" s="485">
        <f t="shared" ref="AL19" si="9">AL15*AL9</f>
        <v>15643.96379964231</v>
      </c>
    </row>
    <row r="20" spans="1:38">
      <c r="B20" s="366" t="s">
        <v>720</v>
      </c>
      <c r="C20" s="484" t="s">
        <v>292</v>
      </c>
      <c r="D20" s="485">
        <f t="shared" ref="D20:AK20" si="10">D16*D10</f>
        <v>4266.8455166766262</v>
      </c>
      <c r="E20" s="485">
        <f t="shared" si="10"/>
        <v>4323.5416846403186</v>
      </c>
      <c r="F20" s="485">
        <f t="shared" si="10"/>
        <v>4380.9910965526415</v>
      </c>
      <c r="G20" s="485">
        <f t="shared" si="10"/>
        <v>4439.2037568074675</v>
      </c>
      <c r="H20" s="485">
        <f t="shared" si="10"/>
        <v>4498.1898026841973</v>
      </c>
      <c r="I20" s="485">
        <f t="shared" si="10"/>
        <v>4557.9595061119662</v>
      </c>
      <c r="J20" s="485">
        <f t="shared" si="10"/>
        <v>4618.5232754572999</v>
      </c>
      <c r="K20" s="485">
        <f t="shared" si="10"/>
        <v>4679.8916573355218</v>
      </c>
      <c r="L20" s="485">
        <f t="shared" si="10"/>
        <v>4742.0753384462141</v>
      </c>
      <c r="M20" s="485">
        <f t="shared" si="10"/>
        <v>4805.0851474330848</v>
      </c>
      <c r="N20" s="485">
        <f t="shared" si="10"/>
        <v>4868.9320567685099</v>
      </c>
      <c r="O20" s="485">
        <f t="shared" si="10"/>
        <v>4933.6271846631507</v>
      </c>
      <c r="P20" s="485">
        <f t="shared" si="10"/>
        <v>4999.1817970008924</v>
      </c>
      <c r="Q20" s="485">
        <f t="shared" si="10"/>
        <v>5065.6073092995312</v>
      </c>
      <c r="R20" s="485">
        <f t="shared" si="10"/>
        <v>5132.9152886974689</v>
      </c>
      <c r="S20" s="485">
        <f t="shared" si="10"/>
        <v>5201.117455966827</v>
      </c>
      <c r="T20" s="485">
        <f t="shared" si="10"/>
        <v>5270.225687553273</v>
      </c>
      <c r="U20" s="485">
        <f t="shared" si="10"/>
        <v>5340.2520176429798</v>
      </c>
      <c r="V20" s="485">
        <f t="shared" si="10"/>
        <v>5411.2086402569903</v>
      </c>
      <c r="W20" s="485">
        <f t="shared" si="10"/>
        <v>5483.1079113734468</v>
      </c>
      <c r="X20" s="485">
        <f t="shared" si="10"/>
        <v>5555.9623510779766</v>
      </c>
      <c r="Y20" s="485">
        <f t="shared" si="10"/>
        <v>5629.7846457426604</v>
      </c>
      <c r="Z20" s="485">
        <f t="shared" si="10"/>
        <v>5704.587650233927</v>
      </c>
      <c r="AA20" s="485">
        <f t="shared" si="10"/>
        <v>5780.3843901497794</v>
      </c>
      <c r="AB20" s="485">
        <f t="shared" si="10"/>
        <v>5857.1880640867375</v>
      </c>
      <c r="AC20" s="485">
        <f t="shared" si="10"/>
        <v>5935.0120459368827</v>
      </c>
      <c r="AD20" s="485">
        <f t="shared" si="10"/>
        <v>6013.86988721541</v>
      </c>
      <c r="AE20" s="485">
        <f t="shared" si="10"/>
        <v>6093.7753194191091</v>
      </c>
      <c r="AF20" s="485">
        <f t="shared" si="10"/>
        <v>6174.7422564161443</v>
      </c>
      <c r="AG20" s="485">
        <f t="shared" si="10"/>
        <v>6256.7847968675851</v>
      </c>
      <c r="AH20" s="485">
        <f t="shared" si="10"/>
        <v>6339.917226681102</v>
      </c>
      <c r="AI20" s="485">
        <f t="shared" si="10"/>
        <v>6424.1540214972383</v>
      </c>
      <c r="AJ20" s="485">
        <f t="shared" si="10"/>
        <v>6509.5098492087081</v>
      </c>
      <c r="AK20" s="485">
        <f t="shared" si="10"/>
        <v>6595.9995725131384</v>
      </c>
      <c r="AL20" s="485">
        <f t="shared" ref="AL20" si="11">AL16*AL10</f>
        <v>6683.6382514997513</v>
      </c>
    </row>
    <row r="21" spans="1:38">
      <c r="B21" s="366" t="s">
        <v>721</v>
      </c>
      <c r="C21" s="484" t="s">
        <v>292</v>
      </c>
      <c r="D21" s="485">
        <f t="shared" ref="D21:AK21" si="12">D17*D11</f>
        <v>315.6732893364977</v>
      </c>
      <c r="E21" s="485">
        <f t="shared" si="12"/>
        <v>319.87049707246217</v>
      </c>
      <c r="F21" s="485">
        <f t="shared" si="12"/>
        <v>324.12351409559955</v>
      </c>
      <c r="G21" s="485">
        <f t="shared" si="12"/>
        <v>328.43308241060527</v>
      </c>
      <c r="H21" s="485">
        <f t="shared" si="12"/>
        <v>332.79995388943763</v>
      </c>
      <c r="I21" s="485">
        <f t="shared" si="12"/>
        <v>337.22489040247933</v>
      </c>
      <c r="J21" s="485">
        <f t="shared" si="12"/>
        <v>341.70866395144589</v>
      </c>
      <c r="K21" s="485">
        <f t="shared" si="12"/>
        <v>346.2520568040614</v>
      </c>
      <c r="L21" s="485">
        <f t="shared" si="12"/>
        <v>350.85586163052477</v>
      </c>
      <c r="M21" s="485">
        <f t="shared" si="12"/>
        <v>355.5208816417944</v>
      </c>
      <c r="N21" s="485">
        <f t="shared" si="12"/>
        <v>360.24793072970772</v>
      </c>
      <c r="O21" s="485">
        <f t="shared" si="12"/>
        <v>365.03783360897012</v>
      </c>
      <c r="P21" s="485">
        <f t="shared" si="12"/>
        <v>369.89142596102704</v>
      </c>
      <c r="Q21" s="485">
        <f t="shared" si="12"/>
        <v>374.80955457985414</v>
      </c>
      <c r="R21" s="485">
        <f t="shared" si="12"/>
        <v>379.79307751968423</v>
      </c>
      <c r="S21" s="485">
        <f t="shared" si="12"/>
        <v>384.84286424470008</v>
      </c>
      <c r="T21" s="485">
        <f t="shared" si="12"/>
        <v>389.95979578071797</v>
      </c>
      <c r="U21" s="485">
        <f t="shared" si="12"/>
        <v>395.14476486888947</v>
      </c>
      <c r="V21" s="485">
        <f t="shared" si="12"/>
        <v>400.39867612144582</v>
      </c>
      <c r="W21" s="485">
        <f t="shared" si="12"/>
        <v>405.72244617951628</v>
      </c>
      <c r="X21" s="485">
        <f t="shared" si="12"/>
        <v>411.11700387304313</v>
      </c>
      <c r="Y21" s="485">
        <f t="shared" si="12"/>
        <v>416.58329038282511</v>
      </c>
      <c r="Z21" s="485">
        <f t="shared" si="12"/>
        <v>422.12225940471535</v>
      </c>
      <c r="AA21" s="485">
        <f t="shared" si="12"/>
        <v>427.73487731600329</v>
      </c>
      <c r="AB21" s="485">
        <f t="shared" si="12"/>
        <v>433.42212334400944</v>
      </c>
      <c r="AC21" s="485">
        <f t="shared" si="12"/>
        <v>439.1849897369226</v>
      </c>
      <c r="AD21" s="485">
        <f t="shared" si="12"/>
        <v>445.02448193690827</v>
      </c>
      <c r="AE21" s="485">
        <f t="shared" si="12"/>
        <v>450.94161875552078</v>
      </c>
      <c r="AF21" s="485">
        <f t="shared" si="12"/>
        <v>456.9374325514467</v>
      </c>
      <c r="AG21" s="485">
        <f t="shared" si="12"/>
        <v>463.0129694106131</v>
      </c>
      <c r="AH21" s="485">
        <f t="shared" si="12"/>
        <v>469.16928932869052</v>
      </c>
      <c r="AI21" s="485">
        <f t="shared" si="12"/>
        <v>475.40746639602355</v>
      </c>
      <c r="AJ21" s="485">
        <f t="shared" si="12"/>
        <v>481.72858898502045</v>
      </c>
      <c r="AK21" s="485">
        <f t="shared" si="12"/>
        <v>488.13375994003366</v>
      </c>
      <c r="AL21" s="485">
        <f t="shared" ref="AL21" si="13">AL17*AL11</f>
        <v>494.62409676976932</v>
      </c>
    </row>
    <row r="22" spans="1:38">
      <c r="D22" s="358"/>
      <c r="F22" s="464"/>
      <c r="G22" s="465"/>
      <c r="H22" s="465"/>
    </row>
    <row r="23" spans="1:38" ht="13">
      <c r="B23" s="486" t="s">
        <v>461</v>
      </c>
      <c r="C23" s="487" t="s">
        <v>292</v>
      </c>
      <c r="D23" s="488">
        <f>SUM(D19:D21)</f>
        <v>14313.376644919754</v>
      </c>
      <c r="E23" s="488">
        <f t="shared" ref="E23:AE23" si="14">SUM(E19:E21)</f>
        <v>14510.718574582092</v>
      </c>
      <c r="F23" s="488">
        <f t="shared" si="14"/>
        <v>14710.807805887425</v>
      </c>
      <c r="G23" s="488">
        <f t="shared" si="14"/>
        <v>14913.682867179488</v>
      </c>
      <c r="H23" s="488">
        <f t="shared" si="14"/>
        <v>15119.382829220498</v>
      </c>
      <c r="I23" s="488">
        <f t="shared" si="14"/>
        <v>15327.947312829625</v>
      </c>
      <c r="J23" s="488">
        <f t="shared" si="14"/>
        <v>15539.416496629234</v>
      </c>
      <c r="K23" s="488">
        <f t="shared" si="14"/>
        <v>15753.831124900258</v>
      </c>
      <c r="L23" s="488">
        <f t="shared" si="14"/>
        <v>15971.232515548299</v>
      </c>
      <c r="M23" s="488">
        <f t="shared" si="14"/>
        <v>16191.662568182153</v>
      </c>
      <c r="N23" s="488">
        <f t="shared" si="14"/>
        <v>16415.163772306005</v>
      </c>
      <c r="O23" s="488">
        <f t="shared" si="14"/>
        <v>16641.779215627404</v>
      </c>
      <c r="P23" s="488">
        <f t="shared" si="14"/>
        <v>16871.552592482079</v>
      </c>
      <c r="Q23" s="488">
        <f t="shared" si="14"/>
        <v>17104.528212377736</v>
      </c>
      <c r="R23" s="488">
        <f t="shared" si="14"/>
        <v>17340.75100865827</v>
      </c>
      <c r="S23" s="488">
        <f t="shared" si="14"/>
        <v>17580.266547290066</v>
      </c>
      <c r="T23" s="488">
        <f t="shared" si="14"/>
        <v>17823.121035772274</v>
      </c>
      <c r="U23" s="488">
        <f t="shared" si="14"/>
        <v>18069.361332172692</v>
      </c>
      <c r="V23" s="488">
        <f t="shared" si="14"/>
        <v>18319.034954291008</v>
      </c>
      <c r="W23" s="488">
        <f t="shared" si="14"/>
        <v>18572.190088951353</v>
      </c>
      <c r="X23" s="488">
        <f t="shared" si="14"/>
        <v>18828.875601425792</v>
      </c>
      <c r="Y23" s="488">
        <f t="shared" si="14"/>
        <v>19089.141044990763</v>
      </c>
      <c r="Z23" s="488">
        <f t="shared" si="14"/>
        <v>19353.036670618225</v>
      </c>
      <c r="AA23" s="488">
        <f t="shared" si="14"/>
        <v>19620.613436803556</v>
      </c>
      <c r="AB23" s="488">
        <f t="shared" si="14"/>
        <v>19891.923019531943</v>
      </c>
      <c r="AC23" s="488">
        <f t="shared" si="14"/>
        <v>20167.017822385405</v>
      </c>
      <c r="AD23" s="488">
        <f t="shared" si="14"/>
        <v>20445.950986792337</v>
      </c>
      <c r="AE23" s="488">
        <f t="shared" si="14"/>
        <v>20728.77640242159</v>
      </c>
      <c r="AF23" s="488">
        <f t="shared" ref="AF23:AJ23" si="15">SUM(AF19:AF21)</f>
        <v>21015.548717723166</v>
      </c>
      <c r="AG23" s="488">
        <f t="shared" si="15"/>
        <v>21306.32335061756</v>
      </c>
      <c r="AH23" s="488">
        <f t="shared" si="15"/>
        <v>21601.156499335906</v>
      </c>
      <c r="AI23" s="488">
        <f t="shared" si="15"/>
        <v>21900.105153412995</v>
      </c>
      <c r="AJ23" s="488">
        <f t="shared" si="15"/>
        <v>22203.227104835336</v>
      </c>
      <c r="AK23" s="488">
        <f t="shared" ref="AK23:AL23" si="16">SUM(AK19:AK21)</f>
        <v>22510.580959346458</v>
      </c>
      <c r="AL23" s="488">
        <f t="shared" si="16"/>
        <v>22822.226147911832</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 t="shared" ref="D27:AK27" si="17">IF(D$3&gt;VRCConstEnd,0,D15)</f>
        <v>8.0613518672078795E-4</v>
      </c>
      <c r="E27" s="388">
        <f t="shared" si="17"/>
        <v>8.1743901854604501E-4</v>
      </c>
      <c r="F27" s="388">
        <f t="shared" si="17"/>
        <v>8.2890342102884468E-4</v>
      </c>
      <c r="G27" s="388">
        <f t="shared" si="17"/>
        <v>8.4053069571381135E-4</v>
      </c>
      <c r="H27" s="388">
        <f>IF(H$3&gt;VRCConstEnd,0,H15)</f>
        <v>0</v>
      </c>
      <c r="I27" s="388">
        <f t="shared" si="17"/>
        <v>0</v>
      </c>
      <c r="J27" s="388">
        <f t="shared" si="17"/>
        <v>0</v>
      </c>
      <c r="K27" s="388">
        <f t="shared" si="17"/>
        <v>0</v>
      </c>
      <c r="L27" s="388">
        <f t="shared" si="17"/>
        <v>0</v>
      </c>
      <c r="M27" s="388">
        <f t="shared" si="17"/>
        <v>0</v>
      </c>
      <c r="N27" s="388">
        <f t="shared" si="17"/>
        <v>0</v>
      </c>
      <c r="O27" s="388">
        <f t="shared" si="17"/>
        <v>0</v>
      </c>
      <c r="P27" s="388">
        <f t="shared" si="17"/>
        <v>0</v>
      </c>
      <c r="Q27" s="388">
        <f t="shared" si="17"/>
        <v>0</v>
      </c>
      <c r="R27" s="388">
        <f t="shared" si="17"/>
        <v>0</v>
      </c>
      <c r="S27" s="388">
        <f t="shared" si="17"/>
        <v>0</v>
      </c>
      <c r="T27" s="388">
        <f t="shared" si="17"/>
        <v>0</v>
      </c>
      <c r="U27" s="388">
        <f t="shared" si="17"/>
        <v>0</v>
      </c>
      <c r="V27" s="388">
        <f t="shared" si="17"/>
        <v>0</v>
      </c>
      <c r="W27" s="388">
        <f t="shared" si="17"/>
        <v>0</v>
      </c>
      <c r="X27" s="388">
        <f t="shared" si="17"/>
        <v>0</v>
      </c>
      <c r="Y27" s="388">
        <f t="shared" si="17"/>
        <v>0</v>
      </c>
      <c r="Z27" s="388">
        <f t="shared" si="17"/>
        <v>0</v>
      </c>
      <c r="AA27" s="388">
        <f t="shared" si="17"/>
        <v>0</v>
      </c>
      <c r="AB27" s="388">
        <f t="shared" si="17"/>
        <v>0</v>
      </c>
      <c r="AC27" s="388">
        <f t="shared" si="17"/>
        <v>0</v>
      </c>
      <c r="AD27" s="388">
        <f t="shared" si="17"/>
        <v>0</v>
      </c>
      <c r="AE27" s="388">
        <f t="shared" si="17"/>
        <v>0</v>
      </c>
      <c r="AF27" s="388">
        <f t="shared" si="17"/>
        <v>0</v>
      </c>
      <c r="AG27" s="388">
        <f t="shared" si="17"/>
        <v>0</v>
      </c>
      <c r="AH27" s="388">
        <f t="shared" si="17"/>
        <v>0</v>
      </c>
      <c r="AI27" s="388">
        <f t="shared" si="17"/>
        <v>0</v>
      </c>
      <c r="AJ27" s="388">
        <f t="shared" si="17"/>
        <v>0</v>
      </c>
      <c r="AK27" s="388">
        <f t="shared" si="17"/>
        <v>0</v>
      </c>
      <c r="AL27" s="388">
        <f t="shared" ref="AL27" si="18">IF(AL$3&gt;VRCConstEnd,0,AL15)</f>
        <v>0</v>
      </c>
    </row>
    <row r="28" spans="1:38">
      <c r="B28" s="367" t="s">
        <v>516</v>
      </c>
      <c r="C28" s="367" t="s">
        <v>329</v>
      </c>
      <c r="D28" s="388">
        <f t="shared" ref="D28:AK28" si="19">IF(D$3&gt;VRCConstEnd,0,D16)</f>
        <v>1.5018815616601991E-2</v>
      </c>
      <c r="E28" s="388">
        <f t="shared" si="19"/>
        <v>1.5218379741782183E-2</v>
      </c>
      <c r="F28" s="388">
        <f t="shared" si="19"/>
        <v>1.5420595200818871E-2</v>
      </c>
      <c r="G28" s="388">
        <f t="shared" si="19"/>
        <v>1.5625497208051627E-2</v>
      </c>
      <c r="H28" s="388">
        <f t="shared" si="19"/>
        <v>0</v>
      </c>
      <c r="I28" s="388">
        <f t="shared" si="19"/>
        <v>0</v>
      </c>
      <c r="J28" s="388">
        <f t="shared" si="19"/>
        <v>0</v>
      </c>
      <c r="K28" s="388">
        <f t="shared" si="19"/>
        <v>0</v>
      </c>
      <c r="L28" s="388">
        <f t="shared" si="19"/>
        <v>0</v>
      </c>
      <c r="M28" s="388">
        <f t="shared" si="19"/>
        <v>0</v>
      </c>
      <c r="N28" s="388">
        <f t="shared" si="19"/>
        <v>0</v>
      </c>
      <c r="O28" s="388">
        <f t="shared" si="19"/>
        <v>0</v>
      </c>
      <c r="P28" s="388">
        <f t="shared" si="19"/>
        <v>0</v>
      </c>
      <c r="Q28" s="388">
        <f t="shared" si="19"/>
        <v>0</v>
      </c>
      <c r="R28" s="388">
        <f t="shared" si="19"/>
        <v>0</v>
      </c>
      <c r="S28" s="388">
        <f t="shared" si="19"/>
        <v>0</v>
      </c>
      <c r="T28" s="388">
        <f t="shared" si="19"/>
        <v>0</v>
      </c>
      <c r="U28" s="388">
        <f t="shared" si="19"/>
        <v>0</v>
      </c>
      <c r="V28" s="388">
        <f t="shared" si="19"/>
        <v>0</v>
      </c>
      <c r="W28" s="388">
        <f t="shared" si="19"/>
        <v>0</v>
      </c>
      <c r="X28" s="388">
        <f t="shared" si="19"/>
        <v>0</v>
      </c>
      <c r="Y28" s="388">
        <f t="shared" si="19"/>
        <v>0</v>
      </c>
      <c r="Z28" s="388">
        <f t="shared" si="19"/>
        <v>0</v>
      </c>
      <c r="AA28" s="388">
        <f t="shared" si="19"/>
        <v>0</v>
      </c>
      <c r="AB28" s="388">
        <f t="shared" si="19"/>
        <v>0</v>
      </c>
      <c r="AC28" s="388">
        <f t="shared" si="19"/>
        <v>0</v>
      </c>
      <c r="AD28" s="388">
        <f t="shared" si="19"/>
        <v>0</v>
      </c>
      <c r="AE28" s="388">
        <f t="shared" si="19"/>
        <v>0</v>
      </c>
      <c r="AF28" s="388">
        <f t="shared" si="19"/>
        <v>0</v>
      </c>
      <c r="AG28" s="388">
        <f t="shared" si="19"/>
        <v>0</v>
      </c>
      <c r="AH28" s="388">
        <f t="shared" si="19"/>
        <v>0</v>
      </c>
      <c r="AI28" s="388">
        <f t="shared" si="19"/>
        <v>0</v>
      </c>
      <c r="AJ28" s="388">
        <f t="shared" si="19"/>
        <v>0</v>
      </c>
      <c r="AK28" s="388">
        <f t="shared" si="19"/>
        <v>0</v>
      </c>
      <c r="AL28" s="388">
        <f t="shared" ref="AL28" si="20">IF(AL$3&gt;VRCConstEnd,0,AL16)</f>
        <v>0</v>
      </c>
    </row>
    <row r="29" spans="1:38">
      <c r="B29" s="367" t="s">
        <v>517</v>
      </c>
      <c r="C29" s="367" t="s">
        <v>518</v>
      </c>
      <c r="D29" s="388">
        <f t="shared" ref="D29:AK29" si="21">IF(D$3&gt;VRCConstEnd,0,D17)</f>
        <v>7.0149619852555051E-2</v>
      </c>
      <c r="E29" s="388">
        <f t="shared" si="21"/>
        <v>7.1082332682769367E-2</v>
      </c>
      <c r="F29" s="388">
        <f t="shared" si="21"/>
        <v>7.2027447576799894E-2</v>
      </c>
      <c r="G29" s="388">
        <f t="shared" si="21"/>
        <v>7.2985129424578951E-2</v>
      </c>
      <c r="H29" s="388">
        <f t="shared" si="21"/>
        <v>0</v>
      </c>
      <c r="I29" s="388">
        <f t="shared" si="21"/>
        <v>0</v>
      </c>
      <c r="J29" s="388">
        <f t="shared" si="21"/>
        <v>0</v>
      </c>
      <c r="K29" s="388">
        <f t="shared" si="21"/>
        <v>0</v>
      </c>
      <c r="L29" s="388">
        <f t="shared" si="21"/>
        <v>0</v>
      </c>
      <c r="M29" s="388">
        <f t="shared" si="21"/>
        <v>0</v>
      </c>
      <c r="N29" s="388">
        <f t="shared" si="21"/>
        <v>0</v>
      </c>
      <c r="O29" s="388">
        <f t="shared" si="21"/>
        <v>0</v>
      </c>
      <c r="P29" s="388">
        <f t="shared" si="21"/>
        <v>0</v>
      </c>
      <c r="Q29" s="388">
        <f t="shared" si="21"/>
        <v>0</v>
      </c>
      <c r="R29" s="388">
        <f t="shared" si="21"/>
        <v>0</v>
      </c>
      <c r="S29" s="388">
        <f t="shared" si="21"/>
        <v>0</v>
      </c>
      <c r="T29" s="388">
        <f t="shared" si="21"/>
        <v>0</v>
      </c>
      <c r="U29" s="388">
        <f t="shared" si="21"/>
        <v>0</v>
      </c>
      <c r="V29" s="388">
        <f t="shared" si="21"/>
        <v>0</v>
      </c>
      <c r="W29" s="388">
        <f t="shared" si="21"/>
        <v>0</v>
      </c>
      <c r="X29" s="388">
        <f t="shared" si="21"/>
        <v>0</v>
      </c>
      <c r="Y29" s="388">
        <f t="shared" si="21"/>
        <v>0</v>
      </c>
      <c r="Z29" s="388">
        <f t="shared" si="21"/>
        <v>0</v>
      </c>
      <c r="AA29" s="388">
        <f t="shared" si="21"/>
        <v>0</v>
      </c>
      <c r="AB29" s="388">
        <f t="shared" si="21"/>
        <v>0</v>
      </c>
      <c r="AC29" s="388">
        <f t="shared" si="21"/>
        <v>0</v>
      </c>
      <c r="AD29" s="388">
        <f t="shared" si="21"/>
        <v>0</v>
      </c>
      <c r="AE29" s="388">
        <f t="shared" si="21"/>
        <v>0</v>
      </c>
      <c r="AF29" s="388">
        <f t="shared" si="21"/>
        <v>0</v>
      </c>
      <c r="AG29" s="388">
        <f t="shared" si="21"/>
        <v>0</v>
      </c>
      <c r="AH29" s="388">
        <f t="shared" si="21"/>
        <v>0</v>
      </c>
      <c r="AI29" s="388">
        <f t="shared" si="21"/>
        <v>0</v>
      </c>
      <c r="AJ29" s="388">
        <f t="shared" si="21"/>
        <v>0</v>
      </c>
      <c r="AK29" s="388">
        <f t="shared" si="21"/>
        <v>0</v>
      </c>
      <c r="AL29" s="388">
        <f t="shared" ref="AL29" si="22">IF(AL$3&gt;VRCConstEnd,0,AL17)</f>
        <v>0</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23">D27*D9</f>
        <v>9730.8578389066315</v>
      </c>
      <c r="E31" s="485">
        <f t="shared" si="23"/>
        <v>9867.30639286931</v>
      </c>
      <c r="F31" s="485">
        <f t="shared" si="23"/>
        <v>10005.693195239184</v>
      </c>
      <c r="G31" s="485">
        <f t="shared" si="23"/>
        <v>10146.046027961416</v>
      </c>
      <c r="H31" s="485">
        <f t="shared" si="23"/>
        <v>0</v>
      </c>
      <c r="I31" s="485">
        <f t="shared" si="23"/>
        <v>0</v>
      </c>
      <c r="J31" s="485">
        <f t="shared" si="23"/>
        <v>0</v>
      </c>
      <c r="K31" s="485">
        <f t="shared" si="23"/>
        <v>0</v>
      </c>
      <c r="L31" s="485">
        <f t="shared" si="23"/>
        <v>0</v>
      </c>
      <c r="M31" s="485">
        <f t="shared" si="23"/>
        <v>0</v>
      </c>
      <c r="N31" s="485">
        <f t="shared" si="23"/>
        <v>0</v>
      </c>
      <c r="O31" s="485">
        <f t="shared" si="23"/>
        <v>0</v>
      </c>
      <c r="P31" s="485">
        <f t="shared" si="23"/>
        <v>0</v>
      </c>
      <c r="Q31" s="485">
        <f t="shared" si="23"/>
        <v>0</v>
      </c>
      <c r="R31" s="485">
        <f t="shared" si="23"/>
        <v>0</v>
      </c>
      <c r="S31" s="485">
        <f t="shared" si="23"/>
        <v>0</v>
      </c>
      <c r="T31" s="485">
        <f t="shared" si="23"/>
        <v>0</v>
      </c>
      <c r="U31" s="485">
        <f t="shared" si="23"/>
        <v>0</v>
      </c>
      <c r="V31" s="485">
        <f t="shared" si="23"/>
        <v>0</v>
      </c>
      <c r="W31" s="485">
        <f t="shared" si="23"/>
        <v>0</v>
      </c>
      <c r="X31" s="485">
        <f t="shared" si="23"/>
        <v>0</v>
      </c>
      <c r="Y31" s="485">
        <f t="shared" si="23"/>
        <v>0</v>
      </c>
      <c r="Z31" s="485">
        <f t="shared" si="23"/>
        <v>0</v>
      </c>
      <c r="AA31" s="485">
        <f t="shared" si="23"/>
        <v>0</v>
      </c>
      <c r="AB31" s="485">
        <f t="shared" si="23"/>
        <v>0</v>
      </c>
      <c r="AC31" s="485">
        <f t="shared" si="23"/>
        <v>0</v>
      </c>
      <c r="AD31" s="485">
        <f t="shared" si="23"/>
        <v>0</v>
      </c>
      <c r="AE31" s="485">
        <f t="shared" si="23"/>
        <v>0</v>
      </c>
      <c r="AF31" s="485">
        <f t="shared" si="23"/>
        <v>0</v>
      </c>
      <c r="AG31" s="485">
        <f t="shared" si="23"/>
        <v>0</v>
      </c>
      <c r="AH31" s="485">
        <f t="shared" si="23"/>
        <v>0</v>
      </c>
      <c r="AI31" s="485">
        <f t="shared" si="23"/>
        <v>0</v>
      </c>
      <c r="AJ31" s="485">
        <f t="shared" si="23"/>
        <v>0</v>
      </c>
      <c r="AK31" s="485">
        <f t="shared" si="23"/>
        <v>0</v>
      </c>
      <c r="AL31" s="485">
        <f t="shared" ref="AL31" si="24">AL27*AL9</f>
        <v>0</v>
      </c>
    </row>
    <row r="32" spans="1:38">
      <c r="B32" s="366" t="s">
        <v>720</v>
      </c>
      <c r="C32" s="484" t="s">
        <v>292</v>
      </c>
      <c r="D32" s="485">
        <f t="shared" ref="D32:AK32" si="25">D28*D10</f>
        <v>4266.8455166766262</v>
      </c>
      <c r="E32" s="485">
        <f t="shared" si="25"/>
        <v>4323.5416846403186</v>
      </c>
      <c r="F32" s="485">
        <f t="shared" si="25"/>
        <v>4380.9910965526415</v>
      </c>
      <c r="G32" s="485">
        <f t="shared" si="25"/>
        <v>4439.2037568074675</v>
      </c>
      <c r="H32" s="485">
        <f t="shared" si="25"/>
        <v>0</v>
      </c>
      <c r="I32" s="485">
        <f t="shared" si="25"/>
        <v>0</v>
      </c>
      <c r="J32" s="485">
        <f t="shared" si="25"/>
        <v>0</v>
      </c>
      <c r="K32" s="485">
        <f t="shared" si="25"/>
        <v>0</v>
      </c>
      <c r="L32" s="485">
        <f t="shared" si="25"/>
        <v>0</v>
      </c>
      <c r="M32" s="485">
        <f t="shared" si="25"/>
        <v>0</v>
      </c>
      <c r="N32" s="485">
        <f t="shared" si="25"/>
        <v>0</v>
      </c>
      <c r="O32" s="485">
        <f t="shared" si="25"/>
        <v>0</v>
      </c>
      <c r="P32" s="485">
        <f t="shared" si="25"/>
        <v>0</v>
      </c>
      <c r="Q32" s="485">
        <f t="shared" si="25"/>
        <v>0</v>
      </c>
      <c r="R32" s="485">
        <f t="shared" si="25"/>
        <v>0</v>
      </c>
      <c r="S32" s="485">
        <f t="shared" si="25"/>
        <v>0</v>
      </c>
      <c r="T32" s="485">
        <f t="shared" si="25"/>
        <v>0</v>
      </c>
      <c r="U32" s="485">
        <f t="shared" si="25"/>
        <v>0</v>
      </c>
      <c r="V32" s="485">
        <f t="shared" si="25"/>
        <v>0</v>
      </c>
      <c r="W32" s="485">
        <f t="shared" si="25"/>
        <v>0</v>
      </c>
      <c r="X32" s="485">
        <f t="shared" si="25"/>
        <v>0</v>
      </c>
      <c r="Y32" s="485">
        <f t="shared" si="25"/>
        <v>0</v>
      </c>
      <c r="Z32" s="485">
        <f t="shared" si="25"/>
        <v>0</v>
      </c>
      <c r="AA32" s="485">
        <f t="shared" si="25"/>
        <v>0</v>
      </c>
      <c r="AB32" s="485">
        <f t="shared" si="25"/>
        <v>0</v>
      </c>
      <c r="AC32" s="485">
        <f t="shared" si="25"/>
        <v>0</v>
      </c>
      <c r="AD32" s="485">
        <f t="shared" si="25"/>
        <v>0</v>
      </c>
      <c r="AE32" s="485">
        <f t="shared" si="25"/>
        <v>0</v>
      </c>
      <c r="AF32" s="485">
        <f t="shared" si="25"/>
        <v>0</v>
      </c>
      <c r="AG32" s="485">
        <f t="shared" si="25"/>
        <v>0</v>
      </c>
      <c r="AH32" s="485">
        <f t="shared" si="25"/>
        <v>0</v>
      </c>
      <c r="AI32" s="485">
        <f t="shared" si="25"/>
        <v>0</v>
      </c>
      <c r="AJ32" s="485">
        <f t="shared" si="25"/>
        <v>0</v>
      </c>
      <c r="AK32" s="485">
        <f t="shared" si="25"/>
        <v>0</v>
      </c>
      <c r="AL32" s="485">
        <f t="shared" ref="AL32" si="26">AL28*AL10</f>
        <v>0</v>
      </c>
    </row>
    <row r="33" spans="1:38">
      <c r="B33" s="366" t="s">
        <v>721</v>
      </c>
      <c r="C33" s="484" t="s">
        <v>292</v>
      </c>
      <c r="D33" s="485">
        <f t="shared" ref="D33:AK33" si="27">D29*D11</f>
        <v>315.6732893364977</v>
      </c>
      <c r="E33" s="485">
        <f t="shared" si="27"/>
        <v>319.87049707246217</v>
      </c>
      <c r="F33" s="485">
        <f t="shared" si="27"/>
        <v>324.12351409559955</v>
      </c>
      <c r="G33" s="485">
        <f t="shared" si="27"/>
        <v>328.43308241060527</v>
      </c>
      <c r="H33" s="485">
        <f t="shared" si="27"/>
        <v>0</v>
      </c>
      <c r="I33" s="485">
        <f t="shared" si="27"/>
        <v>0</v>
      </c>
      <c r="J33" s="485">
        <f t="shared" si="27"/>
        <v>0</v>
      </c>
      <c r="K33" s="485">
        <f t="shared" si="27"/>
        <v>0</v>
      </c>
      <c r="L33" s="485">
        <f t="shared" si="27"/>
        <v>0</v>
      </c>
      <c r="M33" s="485">
        <f t="shared" si="27"/>
        <v>0</v>
      </c>
      <c r="N33" s="485">
        <f t="shared" si="27"/>
        <v>0</v>
      </c>
      <c r="O33" s="485">
        <f t="shared" si="27"/>
        <v>0</v>
      </c>
      <c r="P33" s="485">
        <f t="shared" si="27"/>
        <v>0</v>
      </c>
      <c r="Q33" s="485">
        <f t="shared" si="27"/>
        <v>0</v>
      </c>
      <c r="R33" s="485">
        <f t="shared" si="27"/>
        <v>0</v>
      </c>
      <c r="S33" s="485">
        <f t="shared" si="27"/>
        <v>0</v>
      </c>
      <c r="T33" s="485">
        <f t="shared" si="27"/>
        <v>0</v>
      </c>
      <c r="U33" s="485">
        <f t="shared" si="27"/>
        <v>0</v>
      </c>
      <c r="V33" s="485">
        <f t="shared" si="27"/>
        <v>0</v>
      </c>
      <c r="W33" s="485">
        <f t="shared" si="27"/>
        <v>0</v>
      </c>
      <c r="X33" s="485">
        <f t="shared" si="27"/>
        <v>0</v>
      </c>
      <c r="Y33" s="485">
        <f t="shared" si="27"/>
        <v>0</v>
      </c>
      <c r="Z33" s="485">
        <f t="shared" si="27"/>
        <v>0</v>
      </c>
      <c r="AA33" s="485">
        <f t="shared" si="27"/>
        <v>0</v>
      </c>
      <c r="AB33" s="485">
        <f t="shared" si="27"/>
        <v>0</v>
      </c>
      <c r="AC33" s="485">
        <f t="shared" si="27"/>
        <v>0</v>
      </c>
      <c r="AD33" s="485">
        <f t="shared" si="27"/>
        <v>0</v>
      </c>
      <c r="AE33" s="485">
        <f t="shared" si="27"/>
        <v>0</v>
      </c>
      <c r="AF33" s="485">
        <f t="shared" si="27"/>
        <v>0</v>
      </c>
      <c r="AG33" s="485">
        <f t="shared" si="27"/>
        <v>0</v>
      </c>
      <c r="AH33" s="485">
        <f t="shared" si="27"/>
        <v>0</v>
      </c>
      <c r="AI33" s="485">
        <f t="shared" si="27"/>
        <v>0</v>
      </c>
      <c r="AJ33" s="485">
        <f t="shared" si="27"/>
        <v>0</v>
      </c>
      <c r="AK33" s="485">
        <f t="shared" si="27"/>
        <v>0</v>
      </c>
      <c r="AL33" s="485">
        <f t="shared" ref="AL33" si="28">AL29*AL11</f>
        <v>0</v>
      </c>
    </row>
    <row r="34" spans="1:38">
      <c r="D34" s="358"/>
      <c r="F34" s="464"/>
      <c r="G34" s="465"/>
      <c r="H34" s="465"/>
    </row>
    <row r="35" spans="1:38" ht="13">
      <c r="B35" s="486" t="s">
        <v>462</v>
      </c>
      <c r="C35" s="487" t="s">
        <v>292</v>
      </c>
      <c r="D35" s="488">
        <f>SUM(D31:D33)</f>
        <v>14313.376644919754</v>
      </c>
      <c r="E35" s="488">
        <f t="shared" ref="E35:AE35" si="29">SUM(E31:E33)</f>
        <v>14510.718574582092</v>
      </c>
      <c r="F35" s="488">
        <f t="shared" si="29"/>
        <v>14710.807805887425</v>
      </c>
      <c r="G35" s="488">
        <f t="shared" si="29"/>
        <v>14913.682867179488</v>
      </c>
      <c r="H35" s="488">
        <f t="shared" si="29"/>
        <v>0</v>
      </c>
      <c r="I35" s="488">
        <f t="shared" si="29"/>
        <v>0</v>
      </c>
      <c r="J35" s="488">
        <f t="shared" si="29"/>
        <v>0</v>
      </c>
      <c r="K35" s="488">
        <f t="shared" si="29"/>
        <v>0</v>
      </c>
      <c r="L35" s="488">
        <f t="shared" si="29"/>
        <v>0</v>
      </c>
      <c r="M35" s="488">
        <f t="shared" si="29"/>
        <v>0</v>
      </c>
      <c r="N35" s="488">
        <f t="shared" si="29"/>
        <v>0</v>
      </c>
      <c r="O35" s="488">
        <f t="shared" si="29"/>
        <v>0</v>
      </c>
      <c r="P35" s="488">
        <f t="shared" si="29"/>
        <v>0</v>
      </c>
      <c r="Q35" s="488">
        <f t="shared" si="29"/>
        <v>0</v>
      </c>
      <c r="R35" s="488">
        <f t="shared" si="29"/>
        <v>0</v>
      </c>
      <c r="S35" s="488">
        <f t="shared" si="29"/>
        <v>0</v>
      </c>
      <c r="T35" s="488">
        <f t="shared" si="29"/>
        <v>0</v>
      </c>
      <c r="U35" s="488">
        <f t="shared" si="29"/>
        <v>0</v>
      </c>
      <c r="V35" s="488">
        <f t="shared" si="29"/>
        <v>0</v>
      </c>
      <c r="W35" s="488">
        <f t="shared" si="29"/>
        <v>0</v>
      </c>
      <c r="X35" s="488">
        <f t="shared" si="29"/>
        <v>0</v>
      </c>
      <c r="Y35" s="488">
        <f t="shared" si="29"/>
        <v>0</v>
      </c>
      <c r="Z35" s="488">
        <f t="shared" si="29"/>
        <v>0</v>
      </c>
      <c r="AA35" s="488">
        <f t="shared" si="29"/>
        <v>0</v>
      </c>
      <c r="AB35" s="488">
        <f t="shared" si="29"/>
        <v>0</v>
      </c>
      <c r="AC35" s="488">
        <f t="shared" si="29"/>
        <v>0</v>
      </c>
      <c r="AD35" s="488">
        <f t="shared" si="29"/>
        <v>0</v>
      </c>
      <c r="AE35" s="488">
        <f t="shared" si="29"/>
        <v>0</v>
      </c>
      <c r="AF35" s="488">
        <f t="shared" ref="AF35:AJ35" si="30">SUM(AF31:AF33)</f>
        <v>0</v>
      </c>
      <c r="AG35" s="488">
        <f t="shared" si="30"/>
        <v>0</v>
      </c>
      <c r="AH35" s="488">
        <f t="shared" si="30"/>
        <v>0</v>
      </c>
      <c r="AI35" s="488">
        <f t="shared" si="30"/>
        <v>0</v>
      </c>
      <c r="AJ35" s="488">
        <f t="shared" si="30"/>
        <v>0</v>
      </c>
      <c r="AK35" s="488">
        <f t="shared" ref="AK35:AL35" si="31">SUM(AK31:AK33)</f>
        <v>0</v>
      </c>
      <c r="AL35" s="488">
        <f t="shared" si="31"/>
        <v>0</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D15-D27</f>
        <v>0</v>
      </c>
      <c r="E39" s="388">
        <f t="shared" ref="E39:AK39" si="32">E15-E27</f>
        <v>0</v>
      </c>
      <c r="F39" s="388">
        <f t="shared" si="32"/>
        <v>0</v>
      </c>
      <c r="G39" s="388">
        <f t="shared" si="32"/>
        <v>0</v>
      </c>
      <c r="H39" s="388">
        <f t="shared" si="32"/>
        <v>8.5232317725514567E-4</v>
      </c>
      <c r="I39" s="388">
        <f t="shared" si="32"/>
        <v>8.6428323389240152E-4</v>
      </c>
      <c r="J39" s="388">
        <f t="shared" si="32"/>
        <v>8.7641326793310315E-4</v>
      </c>
      <c r="K39" s="388">
        <f t="shared" si="32"/>
        <v>8.8871571624228932E-4</v>
      </c>
      <c r="L39" s="388">
        <f t="shared" si="32"/>
        <v>9.0119305073909034E-4</v>
      </c>
      <c r="M39" s="388">
        <f t="shared" si="32"/>
        <v>9.1384777890044519E-4</v>
      </c>
      <c r="N39" s="388">
        <f t="shared" si="32"/>
        <v>9.2668244427203937E-4</v>
      </c>
      <c r="O39" s="388">
        <f t="shared" si="32"/>
        <v>9.3969962698660294E-4</v>
      </c>
      <c r="P39" s="388">
        <f t="shared" si="32"/>
        <v>9.5290194428963274E-4</v>
      </c>
      <c r="Q39" s="388">
        <f t="shared" si="32"/>
        <v>9.6629205107268265E-4</v>
      </c>
      <c r="R39" s="388">
        <f t="shared" si="32"/>
        <v>9.7987264041430829E-4</v>
      </c>
      <c r="S39" s="388">
        <f t="shared" si="32"/>
        <v>9.9364644412878317E-4</v>
      </c>
      <c r="T39" s="388">
        <f t="shared" si="32"/>
        <v>1.0076162333226978E-3</v>
      </c>
      <c r="U39" s="388">
        <f t="shared" si="32"/>
        <v>1.0217848189595579E-3</v>
      </c>
      <c r="V39" s="388">
        <f t="shared" si="32"/>
        <v>1.0361550524324887E-3</v>
      </c>
      <c r="W39" s="388">
        <f t="shared" si="32"/>
        <v>1.0507298261451738E-3</v>
      </c>
      <c r="X39" s="388">
        <f t="shared" si="32"/>
        <v>1.0655120741011328E-3</v>
      </c>
      <c r="Y39" s="388">
        <f t="shared" si="32"/>
        <v>1.0805047725014724E-3</v>
      </c>
      <c r="Z39" s="388">
        <f t="shared" si="32"/>
        <v>1.0957109403512207E-3</v>
      </c>
      <c r="AA39" s="388">
        <f t="shared" si="32"/>
        <v>1.1111336400743744E-3</v>
      </c>
      <c r="AB39" s="388">
        <f t="shared" si="32"/>
        <v>1.1267759781377843E-3</v>
      </c>
      <c r="AC39" s="388">
        <f t="shared" si="32"/>
        <v>1.1426411056840032E-3</v>
      </c>
      <c r="AD39" s="388">
        <f t="shared" si="32"/>
        <v>1.1587322191732267E-3</v>
      </c>
      <c r="AE39" s="388">
        <f t="shared" si="32"/>
        <v>1.1750525610344593E-3</v>
      </c>
      <c r="AF39" s="388">
        <f t="shared" si="32"/>
        <v>1.1916054203260354E-3</v>
      </c>
      <c r="AG39" s="388">
        <f t="shared" si="32"/>
        <v>1.2083941334056301E-3</v>
      </c>
      <c r="AH39" s="388">
        <f t="shared" si="32"/>
        <v>1.225422084609901E-3</v>
      </c>
      <c r="AI39" s="388">
        <f t="shared" si="32"/>
        <v>1.2426927069438931E-3</v>
      </c>
      <c r="AJ39" s="388">
        <f t="shared" si="32"/>
        <v>1.2602094827803502E-3</v>
      </c>
      <c r="AK39" s="388">
        <f t="shared" si="32"/>
        <v>1.2779759445690736E-3</v>
      </c>
      <c r="AL39" s="388">
        <f t="shared" ref="AL39" si="33">AL15-AL27</f>
        <v>1.2959956755564832E-3</v>
      </c>
    </row>
    <row r="40" spans="1:38" ht="13">
      <c r="B40" s="581" t="s">
        <v>782</v>
      </c>
      <c r="C40" s="581" t="s">
        <v>329</v>
      </c>
      <c r="D40" s="388">
        <f>D16-D28</f>
        <v>0</v>
      </c>
      <c r="E40" s="388">
        <f t="shared" ref="E40:AK40" si="34">E16-E28</f>
        <v>0</v>
      </c>
      <c r="F40" s="388">
        <f t="shared" si="34"/>
        <v>0</v>
      </c>
      <c r="G40" s="388">
        <f t="shared" si="34"/>
        <v>0</v>
      </c>
      <c r="H40" s="388">
        <f t="shared" si="34"/>
        <v>1.5833121445562117E-2</v>
      </c>
      <c r="I40" s="388">
        <f t="shared" si="34"/>
        <v>1.6043504069383902E-2</v>
      </c>
      <c r="J40" s="388">
        <f t="shared" si="34"/>
        <v>1.625668171579479E-2</v>
      </c>
      <c r="K40" s="388">
        <f t="shared" si="34"/>
        <v>1.6472691507692792E-2</v>
      </c>
      <c r="L40" s="388">
        <f t="shared" si="34"/>
        <v>1.6691571061056721E-2</v>
      </c>
      <c r="M40" s="388">
        <f t="shared" si="34"/>
        <v>1.6913358491492732E-2</v>
      </c>
      <c r="N40" s="388">
        <f t="shared" si="34"/>
        <v>1.7138092420867689E-2</v>
      </c>
      <c r="O40" s="388">
        <f t="shared" si="34"/>
        <v>1.7365811984030803E-2</v>
      </c>
      <c r="P40" s="388">
        <f t="shared" si="34"/>
        <v>1.7596556835624402E-2</v>
      </c>
      <c r="Q40" s="388">
        <f t="shared" si="34"/>
        <v>1.7830367156985327E-2</v>
      </c>
      <c r="R40" s="388">
        <f t="shared" si="34"/>
        <v>1.8067283663137871E-2</v>
      </c>
      <c r="S40" s="388">
        <f t="shared" si="34"/>
        <v>1.8307347609879714E-2</v>
      </c>
      <c r="T40" s="388">
        <f t="shared" si="34"/>
        <v>1.8550600800961891E-2</v>
      </c>
      <c r="U40" s="388">
        <f t="shared" si="34"/>
        <v>1.8797085595364239E-2</v>
      </c>
      <c r="V40" s="388">
        <f t="shared" si="34"/>
        <v>1.9046844914667335E-2</v>
      </c>
      <c r="W40" s="388">
        <f t="shared" si="34"/>
        <v>1.9299922250522517E-2</v>
      </c>
      <c r="X40" s="388">
        <f t="shared" si="34"/>
        <v>1.9556361672220968E-2</v>
      </c>
      <c r="Y40" s="388">
        <f t="shared" si="34"/>
        <v>1.9816207834363466E-2</v>
      </c>
      <c r="Z40" s="388">
        <f t="shared" si="34"/>
        <v>2.0079505984631915E-2</v>
      </c>
      <c r="AA40" s="388">
        <f t="shared" si="34"/>
        <v>2.0346301971664132E-2</v>
      </c>
      <c r="AB40" s="388">
        <f t="shared" si="34"/>
        <v>2.061664225303322E-2</v>
      </c>
      <c r="AC40" s="388">
        <f t="shared" si="34"/>
        <v>2.0890573903332921E-2</v>
      </c>
      <c r="AD40" s="388">
        <f t="shared" si="34"/>
        <v>2.1168144622370329E-2</v>
      </c>
      <c r="AE40" s="388">
        <f t="shared" si="34"/>
        <v>2.1449402743467474E-2</v>
      </c>
      <c r="AF40" s="388">
        <f t="shared" si="34"/>
        <v>2.1734397241873087E-2</v>
      </c>
      <c r="AG40" s="388">
        <f t="shared" si="34"/>
        <v>2.2023177743286115E-2</v>
      </c>
      <c r="AH40" s="388">
        <f t="shared" si="34"/>
        <v>2.2315794532492439E-2</v>
      </c>
      <c r="AI40" s="388">
        <f t="shared" si="34"/>
        <v>2.261229856211629E-2</v>
      </c>
      <c r="AJ40" s="388">
        <f t="shared" si="34"/>
        <v>2.2912741461487886E-2</v>
      </c>
      <c r="AK40" s="388">
        <f t="shared" si="34"/>
        <v>2.3217175545628788E-2</v>
      </c>
      <c r="AL40" s="388">
        <f t="shared" ref="AL40" si="35">AL16-AL28</f>
        <v>2.3525653824356747E-2</v>
      </c>
    </row>
    <row r="41" spans="1:38" ht="13">
      <c r="B41" s="581" t="s">
        <v>783</v>
      </c>
      <c r="C41" s="581" t="s">
        <v>518</v>
      </c>
      <c r="D41" s="388">
        <f>D17-D29</f>
        <v>0</v>
      </c>
      <c r="E41" s="388">
        <f t="shared" ref="E41:AK41" si="36">E17-E29</f>
        <v>0</v>
      </c>
      <c r="F41" s="388">
        <f t="shared" si="36"/>
        <v>0</v>
      </c>
      <c r="G41" s="388">
        <f t="shared" si="36"/>
        <v>0</v>
      </c>
      <c r="H41" s="388">
        <f t="shared" si="36"/>
        <v>7.3955545308763915E-2</v>
      </c>
      <c r="I41" s="388">
        <f t="shared" si="36"/>
        <v>7.4938864533884292E-2</v>
      </c>
      <c r="J41" s="388">
        <f t="shared" si="36"/>
        <v>7.5935258655876858E-2</v>
      </c>
      <c r="K41" s="388">
        <f t="shared" si="36"/>
        <v>7.694490151201365E-2</v>
      </c>
      <c r="L41" s="388">
        <f t="shared" si="36"/>
        <v>7.7967969251227731E-2</v>
      </c>
      <c r="M41" s="388">
        <f t="shared" si="36"/>
        <v>7.9004640364843198E-2</v>
      </c>
      <c r="N41" s="388">
        <f t="shared" si="36"/>
        <v>8.0055095717712826E-2</v>
      </c>
      <c r="O41" s="388">
        <f t="shared" si="36"/>
        <v>8.1119518579771135E-2</v>
      </c>
      <c r="P41" s="388">
        <f t="shared" si="36"/>
        <v>8.219809465800601E-2</v>
      </c>
      <c r="Q41" s="388">
        <f t="shared" si="36"/>
        <v>8.3291012128856479E-2</v>
      </c>
      <c r="R41" s="388">
        <f t="shared" si="36"/>
        <v>8.4398461671040939E-2</v>
      </c>
      <c r="S41" s="388">
        <f t="shared" si="36"/>
        <v>8.5520636498822244E-2</v>
      </c>
      <c r="T41" s="388">
        <f t="shared" si="36"/>
        <v>8.6657732395715101E-2</v>
      </c>
      <c r="U41" s="388">
        <f t="shared" si="36"/>
        <v>8.7809947748642106E-2</v>
      </c>
      <c r="V41" s="388">
        <f t="shared" si="36"/>
        <v>8.897748358254351E-2</v>
      </c>
      <c r="W41" s="388">
        <f t="shared" si="36"/>
        <v>9.0160543595448062E-2</v>
      </c>
      <c r="X41" s="388">
        <f t="shared" si="36"/>
        <v>9.1359334194009587E-2</v>
      </c>
      <c r="Y41" s="388">
        <f t="shared" si="36"/>
        <v>9.2574064529516692E-2</v>
      </c>
      <c r="Z41" s="388">
        <f t="shared" si="36"/>
        <v>9.3804946534381192E-2</v>
      </c>
      <c r="AA41" s="388">
        <f t="shared" si="36"/>
        <v>9.5052194959111838E-2</v>
      </c>
      <c r="AB41" s="388">
        <f t="shared" si="36"/>
        <v>9.6316027409779875E-2</v>
      </c>
      <c r="AC41" s="388">
        <f t="shared" si="36"/>
        <v>9.7596664385982801E-2</v>
      </c>
      <c r="AD41" s="388">
        <f t="shared" si="36"/>
        <v>9.8894329319312954E-2</v>
      </c>
      <c r="AE41" s="388">
        <f t="shared" si="36"/>
        <v>0.10020924861233795</v>
      </c>
      <c r="AF41" s="388">
        <f t="shared" si="36"/>
        <v>0.10154165167809927</v>
      </c>
      <c r="AG41" s="388">
        <f t="shared" si="36"/>
        <v>0.10289177098013624</v>
      </c>
      <c r="AH41" s="388">
        <f t="shared" si="36"/>
        <v>0.10425984207304234</v>
      </c>
      <c r="AI41" s="388">
        <f t="shared" si="36"/>
        <v>0.10564610364356079</v>
      </c>
      <c r="AJ41" s="388">
        <f t="shared" si="36"/>
        <v>0.10705079755222677</v>
      </c>
      <c r="AK41" s="388">
        <f t="shared" si="36"/>
        <v>0.10847416887556303</v>
      </c>
      <c r="AL41" s="388">
        <f t="shared" ref="AL41" si="37">AL17-AL29</f>
        <v>0.10991646594883762</v>
      </c>
    </row>
    <row r="42" spans="1:38">
      <c r="D42" s="358"/>
      <c r="F42" s="464"/>
      <c r="G42" s="465"/>
      <c r="H42" s="465"/>
    </row>
    <row r="43" spans="1:38" ht="13">
      <c r="B43" s="492" t="s">
        <v>284</v>
      </c>
      <c r="C43" s="487" t="s">
        <v>292</v>
      </c>
      <c r="D43" s="488">
        <f t="shared" ref="D43:AE43" si="38">D23-D35</f>
        <v>0</v>
      </c>
      <c r="E43" s="488">
        <f t="shared" si="38"/>
        <v>0</v>
      </c>
      <c r="F43" s="488">
        <f t="shared" si="38"/>
        <v>0</v>
      </c>
      <c r="G43" s="488">
        <f t="shared" si="38"/>
        <v>0</v>
      </c>
      <c r="H43" s="488">
        <f t="shared" si="38"/>
        <v>15119.382829220498</v>
      </c>
      <c r="I43" s="488">
        <f t="shared" si="38"/>
        <v>15327.947312829625</v>
      </c>
      <c r="J43" s="488">
        <f t="shared" si="38"/>
        <v>15539.416496629234</v>
      </c>
      <c r="K43" s="488">
        <f t="shared" si="38"/>
        <v>15753.831124900258</v>
      </c>
      <c r="L43" s="488">
        <f t="shared" si="38"/>
        <v>15971.232515548299</v>
      </c>
      <c r="M43" s="488">
        <f t="shared" si="38"/>
        <v>16191.662568182153</v>
      </c>
      <c r="N43" s="488">
        <f t="shared" si="38"/>
        <v>16415.163772306005</v>
      </c>
      <c r="O43" s="488">
        <f t="shared" si="38"/>
        <v>16641.779215627404</v>
      </c>
      <c r="P43" s="488">
        <f t="shared" si="38"/>
        <v>16871.552592482079</v>
      </c>
      <c r="Q43" s="488">
        <f t="shared" si="38"/>
        <v>17104.528212377736</v>
      </c>
      <c r="R43" s="488">
        <f t="shared" si="38"/>
        <v>17340.75100865827</v>
      </c>
      <c r="S43" s="488">
        <f t="shared" si="38"/>
        <v>17580.266547290066</v>
      </c>
      <c r="T43" s="488">
        <f t="shared" si="38"/>
        <v>17823.121035772274</v>
      </c>
      <c r="U43" s="488">
        <f t="shared" si="38"/>
        <v>18069.361332172692</v>
      </c>
      <c r="V43" s="488">
        <f t="shared" si="38"/>
        <v>18319.034954291008</v>
      </c>
      <c r="W43" s="488">
        <f t="shared" si="38"/>
        <v>18572.190088951353</v>
      </c>
      <c r="X43" s="488">
        <f t="shared" si="38"/>
        <v>18828.875601425792</v>
      </c>
      <c r="Y43" s="488">
        <f t="shared" si="38"/>
        <v>19089.141044990763</v>
      </c>
      <c r="Z43" s="488">
        <f t="shared" si="38"/>
        <v>19353.036670618225</v>
      </c>
      <c r="AA43" s="488">
        <f t="shared" si="38"/>
        <v>19620.613436803556</v>
      </c>
      <c r="AB43" s="488">
        <f t="shared" si="38"/>
        <v>19891.923019531943</v>
      </c>
      <c r="AC43" s="488">
        <f t="shared" si="38"/>
        <v>20167.017822385405</v>
      </c>
      <c r="AD43" s="488">
        <f t="shared" si="38"/>
        <v>20445.950986792337</v>
      </c>
      <c r="AE43" s="488">
        <f t="shared" si="38"/>
        <v>20728.77640242159</v>
      </c>
      <c r="AF43" s="488">
        <f t="shared" ref="AF43:AJ43" si="39">AF23-AF35</f>
        <v>21015.548717723166</v>
      </c>
      <c r="AG43" s="488">
        <f t="shared" si="39"/>
        <v>21306.32335061756</v>
      </c>
      <c r="AH43" s="488">
        <f t="shared" si="39"/>
        <v>21601.156499335906</v>
      </c>
      <c r="AI43" s="488">
        <f t="shared" si="39"/>
        <v>21900.105153412995</v>
      </c>
      <c r="AJ43" s="488">
        <f t="shared" si="39"/>
        <v>22203.227104835336</v>
      </c>
      <c r="AK43" s="488">
        <f t="shared" ref="AK43:AL43" si="40">AK23-AK35</f>
        <v>22510.580959346458</v>
      </c>
      <c r="AL43" s="488">
        <f t="shared" si="40"/>
        <v>22822.226147911832</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520" t="s">
        <v>493</v>
      </c>
      <c r="C49" s="384" t="s">
        <v>450</v>
      </c>
      <c r="D49" s="496">
        <f>'General Inputs'!D15</f>
        <v>17.899999999999999</v>
      </c>
      <c r="E49" s="496">
        <f t="shared" ref="E49:T51" si="41">D49*(1+$C$48)</f>
        <v>17.899999999999999</v>
      </c>
      <c r="F49" s="496">
        <f t="shared" si="41"/>
        <v>17.899999999999999</v>
      </c>
      <c r="G49" s="496">
        <f t="shared" si="41"/>
        <v>17.899999999999999</v>
      </c>
      <c r="H49" s="496">
        <f t="shared" si="41"/>
        <v>17.899999999999999</v>
      </c>
      <c r="I49" s="496">
        <f t="shared" si="41"/>
        <v>17.899999999999999</v>
      </c>
      <c r="J49" s="496">
        <f t="shared" si="41"/>
        <v>17.899999999999999</v>
      </c>
      <c r="K49" s="496">
        <f t="shared" si="41"/>
        <v>17.899999999999999</v>
      </c>
      <c r="L49" s="496">
        <f t="shared" si="41"/>
        <v>17.899999999999999</v>
      </c>
      <c r="M49" s="496">
        <f t="shared" si="41"/>
        <v>17.899999999999999</v>
      </c>
      <c r="N49" s="496">
        <f t="shared" si="41"/>
        <v>17.899999999999999</v>
      </c>
      <c r="O49" s="496">
        <f t="shared" si="41"/>
        <v>17.899999999999999</v>
      </c>
      <c r="P49" s="496">
        <f t="shared" si="41"/>
        <v>17.899999999999999</v>
      </c>
      <c r="Q49" s="496">
        <f t="shared" si="41"/>
        <v>17.899999999999999</v>
      </c>
      <c r="R49" s="496">
        <f t="shared" si="41"/>
        <v>17.899999999999999</v>
      </c>
      <c r="S49" s="496">
        <f t="shared" si="41"/>
        <v>17.899999999999999</v>
      </c>
      <c r="T49" s="496">
        <f t="shared" si="41"/>
        <v>17.899999999999999</v>
      </c>
      <c r="U49" s="496">
        <f t="shared" ref="U49:AE51" si="42">T49*(1+$C$48)</f>
        <v>17.899999999999999</v>
      </c>
      <c r="V49" s="496">
        <f t="shared" si="42"/>
        <v>17.899999999999999</v>
      </c>
      <c r="W49" s="496">
        <f t="shared" si="42"/>
        <v>17.899999999999999</v>
      </c>
      <c r="X49" s="496">
        <f t="shared" si="42"/>
        <v>17.899999999999999</v>
      </c>
      <c r="Y49" s="496">
        <f t="shared" si="42"/>
        <v>17.899999999999999</v>
      </c>
      <c r="Z49" s="496">
        <f t="shared" si="42"/>
        <v>17.899999999999999</v>
      </c>
      <c r="AA49" s="496">
        <f t="shared" si="42"/>
        <v>17.899999999999999</v>
      </c>
      <c r="AB49" s="496">
        <f t="shared" si="42"/>
        <v>17.899999999999999</v>
      </c>
      <c r="AC49" s="496">
        <f t="shared" si="42"/>
        <v>17.899999999999999</v>
      </c>
      <c r="AD49" s="496">
        <f t="shared" si="42"/>
        <v>17.899999999999999</v>
      </c>
      <c r="AE49" s="496">
        <f t="shared" si="42"/>
        <v>17.899999999999999</v>
      </c>
      <c r="AF49" s="496">
        <f t="shared" ref="AF49:AF51" si="43">AE49*(1+$C$48)</f>
        <v>17.899999999999999</v>
      </c>
      <c r="AG49" s="496">
        <f t="shared" ref="AG49:AG51" si="44">AF49*(1+$C$48)</f>
        <v>17.899999999999999</v>
      </c>
      <c r="AH49" s="496">
        <f t="shared" ref="AH49:AH51" si="45">AG49*(1+$C$48)</f>
        <v>17.899999999999999</v>
      </c>
      <c r="AI49" s="496">
        <f t="shared" ref="AI49:AI51" si="46">AH49*(1+$C$48)</f>
        <v>17.899999999999999</v>
      </c>
      <c r="AJ49" s="496">
        <f t="shared" ref="AJ49:AL51" si="47">AI49*(1+$C$48)</f>
        <v>17.899999999999999</v>
      </c>
      <c r="AK49" s="496">
        <f t="shared" si="47"/>
        <v>17.899999999999999</v>
      </c>
      <c r="AL49" s="496">
        <f t="shared" si="47"/>
        <v>17.899999999999999</v>
      </c>
    </row>
    <row r="50" spans="1:38">
      <c r="B50" s="475" t="s">
        <v>494</v>
      </c>
      <c r="C50" s="384" t="s">
        <v>450</v>
      </c>
      <c r="D50" s="496">
        <f>'General Inputs'!D16</f>
        <v>30.8</v>
      </c>
      <c r="E50" s="496">
        <f t="shared" si="41"/>
        <v>30.8</v>
      </c>
      <c r="F50" s="496">
        <f t="shared" si="41"/>
        <v>30.8</v>
      </c>
      <c r="G50" s="496">
        <f t="shared" si="41"/>
        <v>30.8</v>
      </c>
      <c r="H50" s="496">
        <f t="shared" si="41"/>
        <v>30.8</v>
      </c>
      <c r="I50" s="496">
        <f t="shared" si="41"/>
        <v>30.8</v>
      </c>
      <c r="J50" s="496">
        <f t="shared" si="41"/>
        <v>30.8</v>
      </c>
      <c r="K50" s="496">
        <f t="shared" si="41"/>
        <v>30.8</v>
      </c>
      <c r="L50" s="496">
        <f t="shared" si="41"/>
        <v>30.8</v>
      </c>
      <c r="M50" s="496">
        <f t="shared" si="41"/>
        <v>30.8</v>
      </c>
      <c r="N50" s="496">
        <f t="shared" si="41"/>
        <v>30.8</v>
      </c>
      <c r="O50" s="496">
        <f t="shared" si="41"/>
        <v>30.8</v>
      </c>
      <c r="P50" s="496">
        <f t="shared" si="41"/>
        <v>30.8</v>
      </c>
      <c r="Q50" s="496">
        <f t="shared" si="41"/>
        <v>30.8</v>
      </c>
      <c r="R50" s="496">
        <f t="shared" si="41"/>
        <v>30.8</v>
      </c>
      <c r="S50" s="496">
        <f t="shared" si="41"/>
        <v>30.8</v>
      </c>
      <c r="T50" s="496">
        <f t="shared" si="41"/>
        <v>30.8</v>
      </c>
      <c r="U50" s="496">
        <f t="shared" si="42"/>
        <v>30.8</v>
      </c>
      <c r="V50" s="496">
        <f t="shared" si="42"/>
        <v>30.8</v>
      </c>
      <c r="W50" s="496">
        <f t="shared" si="42"/>
        <v>30.8</v>
      </c>
      <c r="X50" s="496">
        <f t="shared" si="42"/>
        <v>30.8</v>
      </c>
      <c r="Y50" s="496">
        <f t="shared" si="42"/>
        <v>30.8</v>
      </c>
      <c r="Z50" s="496">
        <f t="shared" si="42"/>
        <v>30.8</v>
      </c>
      <c r="AA50" s="496">
        <f t="shared" si="42"/>
        <v>30.8</v>
      </c>
      <c r="AB50" s="496">
        <f t="shared" si="42"/>
        <v>30.8</v>
      </c>
      <c r="AC50" s="496">
        <f t="shared" si="42"/>
        <v>30.8</v>
      </c>
      <c r="AD50" s="496">
        <f t="shared" si="42"/>
        <v>30.8</v>
      </c>
      <c r="AE50" s="496">
        <f t="shared" si="42"/>
        <v>30.8</v>
      </c>
      <c r="AF50" s="496">
        <f t="shared" si="43"/>
        <v>30.8</v>
      </c>
      <c r="AG50" s="496">
        <f t="shared" si="44"/>
        <v>30.8</v>
      </c>
      <c r="AH50" s="496">
        <f t="shared" si="45"/>
        <v>30.8</v>
      </c>
      <c r="AI50" s="496">
        <f t="shared" si="46"/>
        <v>30.8</v>
      </c>
      <c r="AJ50" s="496">
        <f t="shared" si="47"/>
        <v>30.8</v>
      </c>
      <c r="AK50" s="496">
        <f t="shared" si="47"/>
        <v>30.8</v>
      </c>
      <c r="AL50" s="496">
        <f t="shared" si="47"/>
        <v>30.8</v>
      </c>
    </row>
    <row r="51" spans="1:38">
      <c r="B51" s="475" t="s">
        <v>773</v>
      </c>
      <c r="C51" s="384" t="s">
        <v>450</v>
      </c>
      <c r="D51" s="496">
        <f>'General Inputs'!D17</f>
        <v>31.7</v>
      </c>
      <c r="E51" s="496">
        <f t="shared" si="41"/>
        <v>31.7</v>
      </c>
      <c r="F51" s="496">
        <f t="shared" si="41"/>
        <v>31.7</v>
      </c>
      <c r="G51" s="496">
        <f t="shared" si="41"/>
        <v>31.7</v>
      </c>
      <c r="H51" s="496">
        <f t="shared" si="41"/>
        <v>31.7</v>
      </c>
      <c r="I51" s="496">
        <f t="shared" si="41"/>
        <v>31.7</v>
      </c>
      <c r="J51" s="496">
        <f t="shared" si="41"/>
        <v>31.7</v>
      </c>
      <c r="K51" s="496">
        <f t="shared" si="41"/>
        <v>31.7</v>
      </c>
      <c r="L51" s="496">
        <f t="shared" si="41"/>
        <v>31.7</v>
      </c>
      <c r="M51" s="496">
        <f t="shared" si="41"/>
        <v>31.7</v>
      </c>
      <c r="N51" s="496">
        <f t="shared" si="41"/>
        <v>31.7</v>
      </c>
      <c r="O51" s="496">
        <f t="shared" si="41"/>
        <v>31.7</v>
      </c>
      <c r="P51" s="496">
        <f t="shared" si="41"/>
        <v>31.7</v>
      </c>
      <c r="Q51" s="496">
        <f t="shared" si="41"/>
        <v>31.7</v>
      </c>
      <c r="R51" s="496">
        <f t="shared" si="41"/>
        <v>31.7</v>
      </c>
      <c r="S51" s="496">
        <f t="shared" si="41"/>
        <v>31.7</v>
      </c>
      <c r="T51" s="496">
        <f t="shared" si="41"/>
        <v>31.7</v>
      </c>
      <c r="U51" s="496">
        <f t="shared" si="42"/>
        <v>31.7</v>
      </c>
      <c r="V51" s="496">
        <f t="shared" si="42"/>
        <v>31.7</v>
      </c>
      <c r="W51" s="496">
        <f t="shared" si="42"/>
        <v>31.7</v>
      </c>
      <c r="X51" s="496">
        <f t="shared" si="42"/>
        <v>31.7</v>
      </c>
      <c r="Y51" s="496">
        <f t="shared" si="42"/>
        <v>31.7</v>
      </c>
      <c r="Z51" s="496">
        <f t="shared" si="42"/>
        <v>31.7</v>
      </c>
      <c r="AA51" s="496">
        <f t="shared" si="42"/>
        <v>31.7</v>
      </c>
      <c r="AB51" s="496">
        <f t="shared" si="42"/>
        <v>31.7</v>
      </c>
      <c r="AC51" s="496">
        <f t="shared" si="42"/>
        <v>31.7</v>
      </c>
      <c r="AD51" s="496">
        <f t="shared" si="42"/>
        <v>31.7</v>
      </c>
      <c r="AE51" s="496">
        <f t="shared" si="42"/>
        <v>31.7</v>
      </c>
      <c r="AF51" s="496">
        <f t="shared" si="43"/>
        <v>31.7</v>
      </c>
      <c r="AG51" s="496">
        <f t="shared" si="44"/>
        <v>31.7</v>
      </c>
      <c r="AH51" s="496">
        <f t="shared" si="45"/>
        <v>31.7</v>
      </c>
      <c r="AI51" s="496">
        <f t="shared" si="46"/>
        <v>31.7</v>
      </c>
      <c r="AJ51" s="496">
        <f t="shared" si="47"/>
        <v>31.7</v>
      </c>
      <c r="AK51" s="496">
        <f t="shared" si="47"/>
        <v>31.7</v>
      </c>
      <c r="AL51" s="496">
        <f t="shared" si="47"/>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'1600 South'!D25</f>
        <v>1651.0973708143879</v>
      </c>
      <c r="E55" s="383">
        <f>'1600 South'!E25</f>
        <v>1717.8237556698302</v>
      </c>
      <c r="F55" s="383">
        <f>'1600 South'!F25</f>
        <v>1787.2467776313456</v>
      </c>
      <c r="G55" s="383">
        <f>'1600 South'!G25</f>
        <v>1859.4754168527002</v>
      </c>
      <c r="H55" s="383">
        <f>'1600 South'!H25</f>
        <v>1934.6230577413478</v>
      </c>
      <c r="I55" s="383">
        <f>'1600 South'!I25</f>
        <v>2012.8076669490958</v>
      </c>
      <c r="J55" s="383">
        <f>'1600 South'!J25</f>
        <v>2094.1519785559785</v>
      </c>
      <c r="K55" s="383">
        <f>'1600 South'!K25</f>
        <v>2178.7836867380292</v>
      </c>
      <c r="L55" s="383">
        <f>'1600 South'!L25</f>
        <v>2266.8356462213965</v>
      </c>
      <c r="M55" s="383">
        <f>'1600 South'!M25</f>
        <v>2358.446080837497</v>
      </c>
      <c r="N55" s="383">
        <f>'1600 South'!N25</f>
        <v>2453.7588005065682</v>
      </c>
      <c r="O55" s="383">
        <f>'1600 South'!O25</f>
        <v>2552.9234269902709</v>
      </c>
      <c r="P55" s="383">
        <f>'1600 South'!P25</f>
        <v>2656.0956287676909</v>
      </c>
      <c r="Q55" s="383">
        <f>'1600 South'!Q25</f>
        <v>2763.4373654034866</v>
      </c>
      <c r="R55" s="383">
        <f>'1600 South'!R25</f>
        <v>2875.117141791764</v>
      </c>
      <c r="S55" s="383">
        <f>'1600 South'!S25</f>
        <v>2991.3102726748043</v>
      </c>
      <c r="T55" s="383">
        <f>'1600 South'!T25</f>
        <v>3112.1991578518728</v>
      </c>
      <c r="U55" s="383">
        <f>'1600 South'!U25</f>
        <v>3237.9735685101482</v>
      </c>
      <c r="V55" s="383">
        <f>'1600 South'!V25</f>
        <v>3368.830945127248</v>
      </c>
      <c r="W55" s="383">
        <f>'1600 South'!W25</f>
        <v>3504.9767074129763</v>
      </c>
      <c r="X55" s="383">
        <f>'1600 South'!X25</f>
        <v>3646.6245767768805</v>
      </c>
      <c r="Y55" s="383">
        <f>'1600 South'!Y25</f>
        <v>3793.9969118277891</v>
      </c>
      <c r="Z55" s="383">
        <f>'1600 South'!Z25</f>
        <v>3947.325057432015</v>
      </c>
      <c r="AA55" s="383">
        <f>'1600 South'!AA25</f>
        <v>4106.8497078781775</v>
      </c>
      <c r="AB55" s="383">
        <f>'1600 South'!AB25</f>
        <v>4272.8212847187215</v>
      </c>
      <c r="AC55" s="383">
        <f>'1600 South'!AC25</f>
        <v>4445.5003298812981</v>
      </c>
      <c r="AD55" s="383">
        <f>'1600 South'!AD25</f>
        <v>4625.1579146670756</v>
      </c>
      <c r="AE55" s="383">
        <f>'1600 South'!AE25</f>
        <v>4812.0760652780546</v>
      </c>
      <c r="AF55" s="383">
        <f>'1600 South'!AF25</f>
        <v>5006.5482055413704</v>
      </c>
      <c r="AG55" s="383">
        <f>'1600 South'!AG25</f>
        <v>5208.8796175255738</v>
      </c>
      <c r="AH55" s="383">
        <f>'1600 South'!AH25</f>
        <v>5419.3879207719465</v>
      </c>
      <c r="AI55" s="383">
        <f>'1600 South'!AI25</f>
        <v>5638.4035708931788</v>
      </c>
      <c r="AJ55" s="383">
        <f>'1600 South'!AJ25</f>
        <v>5866.2703783220768</v>
      </c>
      <c r="AK55" s="383">
        <f>'1600 South'!AK25</f>
        <v>6103.346048024664</v>
      </c>
      <c r="AL55" s="383">
        <f>'1600 South'!AL25</f>
        <v>6350.0027410248877</v>
      </c>
    </row>
    <row r="56" spans="1:38">
      <c r="B56" s="385" t="s">
        <v>509</v>
      </c>
      <c r="C56" s="386" t="s">
        <v>443</v>
      </c>
      <c r="D56" s="383">
        <f>'1600 South'!D26</f>
        <v>185.6834650038673</v>
      </c>
      <c r="E56" s="383">
        <f>'1600 South'!E26</f>
        <v>193.18755686795214</v>
      </c>
      <c r="F56" s="383">
        <f>'1600 South'!F26</f>
        <v>200.99491426353416</v>
      </c>
      <c r="G56" s="383">
        <f>'1600 South'!G26</f>
        <v>209.11779316831985</v>
      </c>
      <c r="H56" s="383">
        <f>'1600 South'!H26</f>
        <v>217.56894486519883</v>
      </c>
      <c r="I56" s="383">
        <f>'1600 South'!I26</f>
        <v>226.36163595918757</v>
      </c>
      <c r="J56" s="383">
        <f>'1600 South'!J26</f>
        <v>235.50966920332644</v>
      </c>
      <c r="K56" s="383">
        <f>'1600 South'!K26</f>
        <v>245.02740516622012</v>
      </c>
      <c r="L56" s="383">
        <f>'1600 South'!L26</f>
        <v>254.92978477523582</v>
      </c>
      <c r="M56" s="383">
        <f>'1600 South'!M26</f>
        <v>265.23235277074866</v>
      </c>
      <c r="N56" s="383">
        <f>'1600 South'!N26</f>
        <v>275.95128210825106</v>
      </c>
      <c r="O56" s="383">
        <f>'1600 South'!O26</f>
        <v>287.10339934663415</v>
      </c>
      <c r="P56" s="383">
        <f>'1600 South'!P26</f>
        <v>298.70621106249337</v>
      </c>
      <c r="Q56" s="383">
        <f>'1600 South'!Q26</f>
        <v>310.77793133192608</v>
      </c>
      <c r="R56" s="383">
        <f>'1600 South'!R26</f>
        <v>323.33751032296044</v>
      </c>
      <c r="S56" s="383">
        <f>'1600 South'!S26</f>
        <v>336.4046640435003</v>
      </c>
      <c r="T56" s="383">
        <f>'1600 South'!T26</f>
        <v>349.99990529148369</v>
      </c>
      <c r="U56" s="383">
        <f>'1600 South'!U26</f>
        <v>364.14457585584216</v>
      </c>
      <c r="V56" s="383">
        <f>'1600 South'!V26</f>
        <v>378.86088001880881</v>
      </c>
      <c r="W56" s="383">
        <f>'1600 South'!W26</f>
        <v>394.17191941216561</v>
      </c>
      <c r="X56" s="383">
        <f>'1600 South'!X26</f>
        <v>410.10172928215036</v>
      </c>
      <c r="Y56" s="383">
        <f>'1600 South'!Y26</f>
        <v>426.67531621994931</v>
      </c>
      <c r="Z56" s="383">
        <f>'1600 South'!Z26</f>
        <v>443.91869741700577</v>
      </c>
      <c r="AA56" s="383">
        <f>'1600 South'!AA26</f>
        <v>461.85894150676762</v>
      </c>
      <c r="AB56" s="383">
        <f>'1600 South'!AB26</f>
        <v>480.52421105698625</v>
      </c>
      <c r="AC56" s="383">
        <f>'1600 South'!AC26</f>
        <v>499.9438067792733</v>
      </c>
      <c r="AD56" s="383">
        <f>'1600 South'!AD26</f>
        <v>520.14821352531214</v>
      </c>
      <c r="AE56" s="383">
        <f>'1600 South'!AE26</f>
        <v>541.16914814193149</v>
      </c>
      <c r="AF56" s="383">
        <f>'1600 South'!AF26</f>
        <v>563.03960926016316</v>
      </c>
      <c r="AG56" s="383">
        <f>'1600 South'!AG26</f>
        <v>585.79392909644332</v>
      </c>
      <c r="AH56" s="383">
        <f>'1600 South'!AH26</f>
        <v>609.46782734727253</v>
      </c>
      <c r="AI56" s="383">
        <f>'1600 South'!AI26</f>
        <v>634.09846726194098</v>
      </c>
      <c r="AJ56" s="383">
        <f>'1600 South'!AJ26</f>
        <v>659.72451398134024</v>
      </c>
      <c r="AK56" s="383">
        <f>'1600 South'!AK26</f>
        <v>686.38619523444277</v>
      </c>
      <c r="AL56" s="383">
        <f>'1600 South'!AL26</f>
        <v>714.12536448772926</v>
      </c>
    </row>
    <row r="57" spans="1:38">
      <c r="B57" s="358" t="s">
        <v>769</v>
      </c>
      <c r="C57" s="358" t="s">
        <v>443</v>
      </c>
      <c r="D57" s="383">
        <f>'1600 South'!D27</f>
        <v>19.868130755413798</v>
      </c>
      <c r="E57" s="383">
        <f>'1600 South'!E27</f>
        <v>20.671068584870877</v>
      </c>
      <c r="F57" s="383">
        <f>'1600 South'!F27</f>
        <v>21.506455826198152</v>
      </c>
      <c r="G57" s="383">
        <f>'1600 South'!G27</f>
        <v>22.375603869010224</v>
      </c>
      <c r="H57" s="383">
        <f>'1600 South'!H27</f>
        <v>23.279877100576272</v>
      </c>
      <c r="I57" s="383">
        <f>'1600 South'!I27</f>
        <v>24.220695047633068</v>
      </c>
      <c r="J57" s="383">
        <f>'1600 South'!J27</f>
        <v>25.199534604755929</v>
      </c>
      <c r="K57" s="383">
        <f>'1600 South'!K27</f>
        <v>26.217932352785549</v>
      </c>
      <c r="L57" s="383">
        <f>'1600 South'!L27</f>
        <v>27.277486970950228</v>
      </c>
      <c r="M57" s="383">
        <f>'1600 South'!M27</f>
        <v>28.379861746470102</v>
      </c>
      <c r="N57" s="383">
        <f>'1600 South'!N27</f>
        <v>29.526787185582862</v>
      </c>
      <c r="O57" s="383">
        <f>'1600 South'!O27</f>
        <v>30.720063730089855</v>
      </c>
      <c r="P57" s="383">
        <f>'1600 South'!P27</f>
        <v>31.961564583686787</v>
      </c>
      <c r="Q57" s="383">
        <f>'1600 South'!Q27</f>
        <v>33.253238652516089</v>
      </c>
      <c r="R57" s="383">
        <f>'1600 South'!R27</f>
        <v>34.59711360455676</v>
      </c>
      <c r="S57" s="383">
        <f>'1600 South'!S27</f>
        <v>35.995299052654524</v>
      </c>
      <c r="T57" s="383">
        <f>'1600 South'!T27</f>
        <v>37.449989866188751</v>
      </c>
      <c r="U57" s="383">
        <f>'1600 South'!U27</f>
        <v>38.963469616575104</v>
      </c>
      <c r="V57" s="383">
        <f>'1600 South'!V27</f>
        <v>40.53811416201254</v>
      </c>
      <c r="W57" s="383">
        <f>'1600 South'!W27</f>
        <v>42.17639537710172</v>
      </c>
      <c r="X57" s="383">
        <f>'1600 South'!X27</f>
        <v>43.880885033190083</v>
      </c>
      <c r="Y57" s="383">
        <f>'1600 South'!Y27</f>
        <v>45.654258835534577</v>
      </c>
      <c r="Z57" s="383">
        <f>'1600 South'!Z27</f>
        <v>47.499300623619611</v>
      </c>
      <c r="AA57" s="383">
        <f>'1600 South'!AA27</f>
        <v>49.418906741224127</v>
      </c>
      <c r="AB57" s="383">
        <f>'1600 South'!AB27</f>
        <v>51.416090583097521</v>
      </c>
      <c r="AC57" s="383">
        <f>'1600 South'!AC27</f>
        <v>53.493987325382243</v>
      </c>
      <c r="AD57" s="383">
        <f>'1600 South'!AD27</f>
        <v>55.6558588472084</v>
      </c>
      <c r="AE57" s="383">
        <f>'1600 South'!AE27</f>
        <v>57.905098851186672</v>
      </c>
      <c r="AF57" s="383">
        <f>'1600 South'!AF27</f>
        <v>60.245238190837455</v>
      </c>
      <c r="AG57" s="383">
        <f>'1600 South'!AG27</f>
        <v>62.679950413319432</v>
      </c>
      <c r="AH57" s="383">
        <f>'1600 South'!AH27</f>
        <v>65.213057526158153</v>
      </c>
      <c r="AI57" s="383">
        <f>'1600 South'!AI27</f>
        <v>67.848535997027668</v>
      </c>
      <c r="AJ57" s="383">
        <f>'1600 South'!AJ27</f>
        <v>70.590522996003401</v>
      </c>
      <c r="AK57" s="383">
        <f>'1600 South'!AK27</f>
        <v>73.443322890085369</v>
      </c>
      <c r="AL57" s="383">
        <f>'1600 South'!AL27</f>
        <v>76.411414000187023</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 t="shared" ref="D62:AE64" si="48">D55*$C59</f>
        <v>2757.3326092600278</v>
      </c>
      <c r="E62" s="383">
        <f t="shared" si="48"/>
        <v>2868.7656719686165</v>
      </c>
      <c r="F62" s="383">
        <f t="shared" si="48"/>
        <v>2984.7021186443471</v>
      </c>
      <c r="G62" s="383">
        <f t="shared" si="48"/>
        <v>3105.3239461440089</v>
      </c>
      <c r="H62" s="383">
        <f t="shared" si="48"/>
        <v>3230.8205064280505</v>
      </c>
      <c r="I62" s="383">
        <f t="shared" si="48"/>
        <v>3361.3888038049899</v>
      </c>
      <c r="J62" s="383">
        <f t="shared" si="48"/>
        <v>3497.2338041884841</v>
      </c>
      <c r="K62" s="383">
        <f t="shared" si="48"/>
        <v>3638.5687568525086</v>
      </c>
      <c r="L62" s="383">
        <f t="shared" si="48"/>
        <v>3785.6155291897321</v>
      </c>
      <c r="M62" s="383">
        <f t="shared" si="48"/>
        <v>3938.6049549986196</v>
      </c>
      <c r="N62" s="383">
        <f t="shared" si="48"/>
        <v>4097.7771968459683</v>
      </c>
      <c r="O62" s="383">
        <f t="shared" si="48"/>
        <v>4263.3821230737522</v>
      </c>
      <c r="P62" s="383">
        <f t="shared" si="48"/>
        <v>4435.6797000420438</v>
      </c>
      <c r="Q62" s="383">
        <f t="shared" si="48"/>
        <v>4614.9404002238225</v>
      </c>
      <c r="R62" s="383">
        <f t="shared" si="48"/>
        <v>4801.445626792246</v>
      </c>
      <c r="S62" s="383">
        <f t="shared" si="48"/>
        <v>4995.4881553669229</v>
      </c>
      <c r="T62" s="383">
        <f t="shared" si="48"/>
        <v>5197.3725936126275</v>
      </c>
      <c r="U62" s="383">
        <f t="shared" si="48"/>
        <v>5407.4158594119472</v>
      </c>
      <c r="V62" s="383">
        <f t="shared" si="48"/>
        <v>5625.9476783625041</v>
      </c>
      <c r="W62" s="383">
        <f t="shared" si="48"/>
        <v>5853.3111013796706</v>
      </c>
      <c r="X62" s="383">
        <f t="shared" si="48"/>
        <v>6089.8630432173904</v>
      </c>
      <c r="Y62" s="383">
        <f t="shared" si="48"/>
        <v>6335.9748427524073</v>
      </c>
      <c r="Z62" s="383">
        <f t="shared" si="48"/>
        <v>6592.0328459114644</v>
      </c>
      <c r="AA62" s="383">
        <f t="shared" si="48"/>
        <v>6858.4390121565557</v>
      </c>
      <c r="AB62" s="383">
        <f t="shared" si="48"/>
        <v>7135.6115454802648</v>
      </c>
      <c r="AC62" s="383">
        <f t="shared" si="48"/>
        <v>7423.9855509017671</v>
      </c>
      <c r="AD62" s="383">
        <f t="shared" si="48"/>
        <v>7724.0137174940155</v>
      </c>
      <c r="AE62" s="383">
        <f t="shared" si="48"/>
        <v>8036.1670290143511</v>
      </c>
      <c r="AF62" s="383">
        <f t="shared" ref="AF62:AJ62" si="49">AF55*$C59</f>
        <v>8360.935503254088</v>
      </c>
      <c r="AG62" s="383">
        <f t="shared" si="49"/>
        <v>8698.8289612677072</v>
      </c>
      <c r="AH62" s="383">
        <f t="shared" si="49"/>
        <v>9050.3778276891499</v>
      </c>
      <c r="AI62" s="383">
        <f t="shared" si="49"/>
        <v>9416.1339633916086</v>
      </c>
      <c r="AJ62" s="383">
        <f t="shared" si="49"/>
        <v>9796.6715317978687</v>
      </c>
      <c r="AK62" s="383">
        <f t="shared" ref="AK62:AL62" si="50">AK55*$C59</f>
        <v>10192.587900201188</v>
      </c>
      <c r="AL62" s="383">
        <f t="shared" si="50"/>
        <v>10604.504577511561</v>
      </c>
    </row>
    <row r="63" spans="1:38">
      <c r="B63" s="472" t="s">
        <v>513</v>
      </c>
      <c r="C63" s="386" t="s">
        <v>443</v>
      </c>
      <c r="D63" s="383">
        <f t="shared" si="48"/>
        <v>185.6834650038673</v>
      </c>
      <c r="E63" s="383">
        <f t="shared" si="48"/>
        <v>193.18755686795214</v>
      </c>
      <c r="F63" s="383">
        <f t="shared" si="48"/>
        <v>200.99491426353416</v>
      </c>
      <c r="G63" s="383">
        <f t="shared" si="48"/>
        <v>209.11779316831985</v>
      </c>
      <c r="H63" s="383">
        <f t="shared" si="48"/>
        <v>217.56894486519883</v>
      </c>
      <c r="I63" s="383">
        <f t="shared" si="48"/>
        <v>226.36163595918757</v>
      </c>
      <c r="J63" s="383">
        <f t="shared" si="48"/>
        <v>235.50966920332644</v>
      </c>
      <c r="K63" s="383">
        <f t="shared" si="48"/>
        <v>245.02740516622012</v>
      </c>
      <c r="L63" s="383">
        <f t="shared" si="48"/>
        <v>254.92978477523582</v>
      </c>
      <c r="M63" s="383">
        <f t="shared" si="48"/>
        <v>265.23235277074866</v>
      </c>
      <c r="N63" s="383">
        <f t="shared" si="48"/>
        <v>275.95128210825106</v>
      </c>
      <c r="O63" s="383">
        <f t="shared" si="48"/>
        <v>287.10339934663415</v>
      </c>
      <c r="P63" s="383">
        <f t="shared" si="48"/>
        <v>298.70621106249337</v>
      </c>
      <c r="Q63" s="383">
        <f t="shared" si="48"/>
        <v>310.77793133192608</v>
      </c>
      <c r="R63" s="383">
        <f t="shared" si="48"/>
        <v>323.33751032296044</v>
      </c>
      <c r="S63" s="383">
        <f t="shared" si="48"/>
        <v>336.4046640435003</v>
      </c>
      <c r="T63" s="383">
        <f t="shared" si="48"/>
        <v>349.99990529148369</v>
      </c>
      <c r="U63" s="383">
        <f t="shared" si="48"/>
        <v>364.14457585584216</v>
      </c>
      <c r="V63" s="383">
        <f t="shared" si="48"/>
        <v>378.86088001880881</v>
      </c>
      <c r="W63" s="383">
        <f t="shared" si="48"/>
        <v>394.17191941216561</v>
      </c>
      <c r="X63" s="383">
        <f t="shared" si="48"/>
        <v>410.10172928215036</v>
      </c>
      <c r="Y63" s="383">
        <f t="shared" si="48"/>
        <v>426.67531621994931</v>
      </c>
      <c r="Z63" s="383">
        <f t="shared" si="48"/>
        <v>443.91869741700577</v>
      </c>
      <c r="AA63" s="383">
        <f t="shared" si="48"/>
        <v>461.85894150676762</v>
      </c>
      <c r="AB63" s="383">
        <f t="shared" si="48"/>
        <v>480.52421105698625</v>
      </c>
      <c r="AC63" s="383">
        <f t="shared" si="48"/>
        <v>499.9438067792733</v>
      </c>
      <c r="AD63" s="383">
        <f t="shared" si="48"/>
        <v>520.14821352531214</v>
      </c>
      <c r="AE63" s="383">
        <f t="shared" si="48"/>
        <v>541.16914814193149</v>
      </c>
      <c r="AF63" s="383">
        <f t="shared" ref="AF63:AJ63" si="51">AF56*$C60</f>
        <v>563.03960926016316</v>
      </c>
      <c r="AG63" s="383">
        <f t="shared" si="51"/>
        <v>585.79392909644332</v>
      </c>
      <c r="AH63" s="383">
        <f t="shared" si="51"/>
        <v>609.46782734727253</v>
      </c>
      <c r="AI63" s="383">
        <f t="shared" si="51"/>
        <v>634.09846726194098</v>
      </c>
      <c r="AJ63" s="383">
        <f t="shared" si="51"/>
        <v>659.72451398134024</v>
      </c>
      <c r="AK63" s="383">
        <f t="shared" ref="AK63:AL63" si="52">AK56*$C60</f>
        <v>686.38619523444277</v>
      </c>
      <c r="AL63" s="383">
        <f t="shared" si="52"/>
        <v>714.12536448772926</v>
      </c>
    </row>
    <row r="64" spans="1:38">
      <c r="B64" s="472" t="s">
        <v>752</v>
      </c>
      <c r="C64" s="386" t="s">
        <v>443</v>
      </c>
      <c r="D64" s="383">
        <f t="shared" si="48"/>
        <v>19.868130755413798</v>
      </c>
      <c r="E64" s="383">
        <f t="shared" si="48"/>
        <v>20.671068584870877</v>
      </c>
      <c r="F64" s="383">
        <f t="shared" si="48"/>
        <v>21.506455826198152</v>
      </c>
      <c r="G64" s="383">
        <f t="shared" si="48"/>
        <v>22.375603869010224</v>
      </c>
      <c r="H64" s="383">
        <f t="shared" si="48"/>
        <v>23.279877100576272</v>
      </c>
      <c r="I64" s="383">
        <f t="shared" si="48"/>
        <v>24.220695047633068</v>
      </c>
      <c r="J64" s="383">
        <f t="shared" si="48"/>
        <v>25.199534604755929</v>
      </c>
      <c r="K64" s="383">
        <f t="shared" si="48"/>
        <v>26.217932352785549</v>
      </c>
      <c r="L64" s="383">
        <f t="shared" si="48"/>
        <v>27.277486970950228</v>
      </c>
      <c r="M64" s="383">
        <f t="shared" si="48"/>
        <v>28.379861746470102</v>
      </c>
      <c r="N64" s="383">
        <f t="shared" si="48"/>
        <v>29.526787185582862</v>
      </c>
      <c r="O64" s="383">
        <f t="shared" si="48"/>
        <v>30.720063730089855</v>
      </c>
      <c r="P64" s="383">
        <f t="shared" si="48"/>
        <v>31.961564583686787</v>
      </c>
      <c r="Q64" s="383">
        <f t="shared" si="48"/>
        <v>33.253238652516089</v>
      </c>
      <c r="R64" s="383">
        <f t="shared" si="48"/>
        <v>34.59711360455676</v>
      </c>
      <c r="S64" s="383">
        <f t="shared" si="48"/>
        <v>35.995299052654524</v>
      </c>
      <c r="T64" s="383">
        <f t="shared" si="48"/>
        <v>37.449989866188751</v>
      </c>
      <c r="U64" s="383">
        <f t="shared" si="48"/>
        <v>38.963469616575104</v>
      </c>
      <c r="V64" s="383">
        <f t="shared" si="48"/>
        <v>40.53811416201254</v>
      </c>
      <c r="W64" s="383">
        <f t="shared" si="48"/>
        <v>42.17639537710172</v>
      </c>
      <c r="X64" s="383">
        <f t="shared" si="48"/>
        <v>43.880885033190083</v>
      </c>
      <c r="Y64" s="383">
        <f t="shared" si="48"/>
        <v>45.654258835534577</v>
      </c>
      <c r="Z64" s="383">
        <f t="shared" si="48"/>
        <v>47.499300623619611</v>
      </c>
      <c r="AA64" s="383">
        <f t="shared" si="48"/>
        <v>49.418906741224127</v>
      </c>
      <c r="AB64" s="383">
        <f t="shared" si="48"/>
        <v>51.416090583097521</v>
      </c>
      <c r="AC64" s="383">
        <f t="shared" si="48"/>
        <v>53.493987325382243</v>
      </c>
      <c r="AD64" s="383">
        <f t="shared" si="48"/>
        <v>55.6558588472084</v>
      </c>
      <c r="AE64" s="383">
        <f t="shared" si="48"/>
        <v>57.905098851186672</v>
      </c>
      <c r="AF64" s="383">
        <f t="shared" ref="AF64:AJ64" si="53">AF57*$C61</f>
        <v>60.245238190837455</v>
      </c>
      <c r="AG64" s="383">
        <f t="shared" si="53"/>
        <v>62.679950413319432</v>
      </c>
      <c r="AH64" s="383">
        <f t="shared" si="53"/>
        <v>65.213057526158153</v>
      </c>
      <c r="AI64" s="383">
        <f t="shared" si="53"/>
        <v>67.848535997027668</v>
      </c>
      <c r="AJ64" s="383">
        <f t="shared" si="53"/>
        <v>70.590522996003401</v>
      </c>
      <c r="AK64" s="383">
        <f t="shared" ref="AK64:AL64" si="54">AK57*$C61</f>
        <v>73.443322890085369</v>
      </c>
      <c r="AL64" s="383">
        <f t="shared" si="54"/>
        <v>76.411414000187023</v>
      </c>
    </row>
    <row r="65" spans="1:38">
      <c r="D65" s="358"/>
      <c r="F65" s="464"/>
      <c r="G65" s="465"/>
      <c r="H65" s="465"/>
    </row>
    <row r="66" spans="1:38" ht="13">
      <c r="B66" s="364" t="s">
        <v>526</v>
      </c>
      <c r="C66" s="487" t="s">
        <v>292</v>
      </c>
      <c r="D66" s="488">
        <f>SUMPRODUCT(D62:D64,D49:D51)</f>
        <v>55705.124172820222</v>
      </c>
      <c r="E66" s="488">
        <f t="shared" ref="E66:AE66" si="55">SUMPRODUCT(E62:E64,E49:E51)</f>
        <v>57956.355153911565</v>
      </c>
      <c r="F66" s="488">
        <f t="shared" si="55"/>
        <v>60298.565932741149</v>
      </c>
      <c r="G66" s="488">
        <f t="shared" si="55"/>
        <v>62735.433308209627</v>
      </c>
      <c r="H66" s="488">
        <f t="shared" si="55"/>
        <v>65270.782670998487</v>
      </c>
      <c r="I66" s="488">
        <f t="shared" si="55"/>
        <v>67908.594008662272</v>
      </c>
      <c r="J66" s="488">
        <f t="shared" si="55"/>
        <v>70653.008153407078</v>
      </c>
      <c r="K66" s="488">
        <f t="shared" si="55"/>
        <v>73508.333282362786</v>
      </c>
      <c r="L66" s="488">
        <f t="shared" si="55"/>
        <v>76479.051680552569</v>
      </c>
      <c r="M66" s="488">
        <f t="shared" si="55"/>
        <v>79569.826777177441</v>
      </c>
      <c r="N66" s="488">
        <f t="shared" si="55"/>
        <v>82785.510466259933</v>
      </c>
      <c r="O66" s="488">
        <f t="shared" si="55"/>
        <v>86131.150723140338</v>
      </c>
      <c r="P66" s="488">
        <f t="shared" si="55"/>
        <v>89611.999528780245</v>
      </c>
      <c r="Q66" s="488">
        <f t="shared" si="55"/>
        <v>93233.521114314499</v>
      </c>
      <c r="R66" s="488">
        <f t="shared" si="55"/>
        <v>97001.400538792819</v>
      </c>
      <c r="S66" s="488">
        <f t="shared" si="55"/>
        <v>100921.55261357687</v>
      </c>
      <c r="T66" s="488">
        <f t="shared" si="55"/>
        <v>105000.13118740192</v>
      </c>
      <c r="U66" s="488">
        <f t="shared" si="55"/>
        <v>109243.53880667921</v>
      </c>
      <c r="V66" s="488">
        <f t="shared" si="55"/>
        <v>113658.43676620393</v>
      </c>
      <c r="W66" s="488">
        <f t="shared" si="55"/>
        <v>118251.75556604493</v>
      </c>
      <c r="X66" s="488">
        <f t="shared" si="55"/>
        <v>123030.70579103364</v>
      </c>
      <c r="Y66" s="488">
        <f t="shared" si="55"/>
        <v>128002.78942992896</v>
      </c>
      <c r="Z66" s="488">
        <f t="shared" si="55"/>
        <v>133175.81165202771</v>
      </c>
      <c r="AA66" s="488">
        <f t="shared" si="55"/>
        <v>138557.89305970757</v>
      </c>
      <c r="AB66" s="488">
        <f t="shared" si="55"/>
        <v>144157.48243613611</v>
      </c>
      <c r="AC66" s="488">
        <f t="shared" si="55"/>
        <v>149983.37000815783</v>
      </c>
      <c r="AD66" s="488">
        <f t="shared" si="55"/>
        <v>156044.70124517899</v>
      </c>
      <c r="AE66" s="488">
        <f t="shared" si="55"/>
        <v>162350.99121571096</v>
      </c>
      <c r="AF66" s="488">
        <f t="shared" ref="AF66:AJ66" si="56">SUMPRODUCT(AF62:AF64,AF49:AF51)</f>
        <v>168912.13952411074</v>
      </c>
      <c r="AG66" s="488">
        <f t="shared" si="56"/>
        <v>175738.44585096464</v>
      </c>
      <c r="AH66" s="488">
        <f t="shared" si="56"/>
        <v>182840.62612151098</v>
      </c>
      <c r="AI66" s="488">
        <f t="shared" si="56"/>
        <v>190229.82932748334</v>
      </c>
      <c r="AJ66" s="488">
        <f t="shared" si="56"/>
        <v>197917.65502878043</v>
      </c>
      <c r="AK66" s="488">
        <f t="shared" ref="AK66:AL66" si="57">SUMPRODUCT(AK62:AK64,AK49:AK51)</f>
        <v>205916.17156243781</v>
      </c>
      <c r="AL66" s="488">
        <f t="shared" si="57"/>
        <v>214237.93498748491</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'1600 South'!D48</f>
        <v>1651.0973708143879</v>
      </c>
      <c r="E70" s="383">
        <f>'1600 South'!E48</f>
        <v>1717.8237556698302</v>
      </c>
      <c r="F70" s="383">
        <f>'1600 South'!F48</f>
        <v>1787.2467776313456</v>
      </c>
      <c r="G70" s="383">
        <f>'1600 South'!G48</f>
        <v>1859.4754168527002</v>
      </c>
      <c r="H70" s="383">
        <f>'1600 South'!H48</f>
        <v>0</v>
      </c>
      <c r="I70" s="383">
        <f>'1600 South'!I48</f>
        <v>0</v>
      </c>
      <c r="J70" s="383">
        <f>'1600 South'!J48</f>
        <v>0</v>
      </c>
      <c r="K70" s="383">
        <f>'1600 South'!K48</f>
        <v>0</v>
      </c>
      <c r="L70" s="383">
        <f>'1600 South'!L48</f>
        <v>0</v>
      </c>
      <c r="M70" s="383">
        <f>'1600 South'!M48</f>
        <v>0</v>
      </c>
      <c r="N70" s="383">
        <f>'1600 South'!N48</f>
        <v>0</v>
      </c>
      <c r="O70" s="383">
        <f>'1600 South'!O48</f>
        <v>0</v>
      </c>
      <c r="P70" s="383">
        <f>'1600 South'!P48</f>
        <v>0</v>
      </c>
      <c r="Q70" s="383">
        <f>'1600 South'!Q48</f>
        <v>0</v>
      </c>
      <c r="R70" s="383">
        <f>'1600 South'!R48</f>
        <v>0</v>
      </c>
      <c r="S70" s="383">
        <f>'1600 South'!S48</f>
        <v>0</v>
      </c>
      <c r="T70" s="383">
        <f>'1600 South'!T48</f>
        <v>0</v>
      </c>
      <c r="U70" s="383">
        <f>'1600 South'!U48</f>
        <v>0</v>
      </c>
      <c r="V70" s="383">
        <f>'1600 South'!V48</f>
        <v>0</v>
      </c>
      <c r="W70" s="383">
        <f>'1600 South'!W48</f>
        <v>0</v>
      </c>
      <c r="X70" s="383">
        <f>'1600 South'!X48</f>
        <v>0</v>
      </c>
      <c r="Y70" s="383">
        <f>'1600 South'!Y48</f>
        <v>0</v>
      </c>
      <c r="Z70" s="383">
        <f>'1600 South'!Z48</f>
        <v>0</v>
      </c>
      <c r="AA70" s="383">
        <f>'1600 South'!AA48</f>
        <v>0</v>
      </c>
      <c r="AB70" s="383">
        <f>'1600 South'!AB48</f>
        <v>0</v>
      </c>
      <c r="AC70" s="383">
        <f>'1600 South'!AC48</f>
        <v>0</v>
      </c>
      <c r="AD70" s="383">
        <f>'1600 South'!AD48</f>
        <v>0</v>
      </c>
      <c r="AE70" s="383">
        <f>'1600 South'!AE48</f>
        <v>0</v>
      </c>
      <c r="AF70" s="383">
        <f>'1600 South'!AF48</f>
        <v>0</v>
      </c>
      <c r="AG70" s="383">
        <f>'1600 South'!AG48</f>
        <v>0</v>
      </c>
      <c r="AH70" s="383">
        <f>'1600 South'!AH48</f>
        <v>0</v>
      </c>
      <c r="AI70" s="383">
        <f>'1600 South'!AI48</f>
        <v>0</v>
      </c>
      <c r="AJ70" s="383">
        <f>'1600 South'!AJ48</f>
        <v>0</v>
      </c>
      <c r="AK70" s="383">
        <f>'1600 South'!AK48</f>
        <v>0</v>
      </c>
      <c r="AL70" s="383">
        <f>'1600 South'!AL48</f>
        <v>0</v>
      </c>
    </row>
    <row r="71" spans="1:38">
      <c r="B71" s="385" t="s">
        <v>509</v>
      </c>
      <c r="C71" s="386" t="s">
        <v>443</v>
      </c>
      <c r="D71" s="383">
        <f>'1600 South'!D49</f>
        <v>185.6834650038673</v>
      </c>
      <c r="E71" s="383">
        <f>'1600 South'!E49</f>
        <v>193.18755686795214</v>
      </c>
      <c r="F71" s="383">
        <f>'1600 South'!F49</f>
        <v>200.99491426353416</v>
      </c>
      <c r="G71" s="383">
        <f>'1600 South'!G49</f>
        <v>209.11779316831985</v>
      </c>
      <c r="H71" s="383">
        <f>'1600 South'!H49</f>
        <v>0</v>
      </c>
      <c r="I71" s="383">
        <f>'1600 South'!I49</f>
        <v>0</v>
      </c>
      <c r="J71" s="383">
        <f>'1600 South'!J49</f>
        <v>0</v>
      </c>
      <c r="K71" s="383">
        <f>'1600 South'!K49</f>
        <v>0</v>
      </c>
      <c r="L71" s="383">
        <f>'1600 South'!L49</f>
        <v>0</v>
      </c>
      <c r="M71" s="383">
        <f>'1600 South'!M49</f>
        <v>0</v>
      </c>
      <c r="N71" s="383">
        <f>'1600 South'!N49</f>
        <v>0</v>
      </c>
      <c r="O71" s="383">
        <f>'1600 South'!O49</f>
        <v>0</v>
      </c>
      <c r="P71" s="383">
        <f>'1600 South'!P49</f>
        <v>0</v>
      </c>
      <c r="Q71" s="383">
        <f>'1600 South'!Q49</f>
        <v>0</v>
      </c>
      <c r="R71" s="383">
        <f>'1600 South'!R49</f>
        <v>0</v>
      </c>
      <c r="S71" s="383">
        <f>'1600 South'!S49</f>
        <v>0</v>
      </c>
      <c r="T71" s="383">
        <f>'1600 South'!T49</f>
        <v>0</v>
      </c>
      <c r="U71" s="383">
        <f>'1600 South'!U49</f>
        <v>0</v>
      </c>
      <c r="V71" s="383">
        <f>'1600 South'!V49</f>
        <v>0</v>
      </c>
      <c r="W71" s="383">
        <f>'1600 South'!W49</f>
        <v>0</v>
      </c>
      <c r="X71" s="383">
        <f>'1600 South'!X49</f>
        <v>0</v>
      </c>
      <c r="Y71" s="383">
        <f>'1600 South'!Y49</f>
        <v>0</v>
      </c>
      <c r="Z71" s="383">
        <f>'1600 South'!Z49</f>
        <v>0</v>
      </c>
      <c r="AA71" s="383">
        <f>'1600 South'!AA49</f>
        <v>0</v>
      </c>
      <c r="AB71" s="383">
        <f>'1600 South'!AB49</f>
        <v>0</v>
      </c>
      <c r="AC71" s="383">
        <f>'1600 South'!AC49</f>
        <v>0</v>
      </c>
      <c r="AD71" s="383">
        <f>'1600 South'!AD49</f>
        <v>0</v>
      </c>
      <c r="AE71" s="383">
        <f>'1600 South'!AE49</f>
        <v>0</v>
      </c>
      <c r="AF71" s="383">
        <f>'1600 South'!AF49</f>
        <v>0</v>
      </c>
      <c r="AG71" s="383">
        <f>'1600 South'!AG49</f>
        <v>0</v>
      </c>
      <c r="AH71" s="383">
        <f>'1600 South'!AH49</f>
        <v>0</v>
      </c>
      <c r="AI71" s="383">
        <f>'1600 South'!AI49</f>
        <v>0</v>
      </c>
      <c r="AJ71" s="383">
        <f>'1600 South'!AJ49</f>
        <v>0</v>
      </c>
      <c r="AK71" s="383">
        <f>'1600 South'!AK49</f>
        <v>0</v>
      </c>
      <c r="AL71" s="383">
        <f>'1600 South'!AL49</f>
        <v>0</v>
      </c>
    </row>
    <row r="72" spans="1:38">
      <c r="B72" s="358" t="s">
        <v>769</v>
      </c>
      <c r="C72" s="358" t="s">
        <v>443</v>
      </c>
      <c r="D72" s="383">
        <f>'1600 South'!D50</f>
        <v>19.868130755413798</v>
      </c>
      <c r="E72" s="383">
        <f>'1600 South'!E50</f>
        <v>20.671068584870877</v>
      </c>
      <c r="F72" s="383">
        <f>'1600 South'!F50</f>
        <v>21.506455826198152</v>
      </c>
      <c r="G72" s="383">
        <f>'1600 South'!G50</f>
        <v>22.375603869010224</v>
      </c>
      <c r="H72" s="383">
        <f>'1600 South'!H50</f>
        <v>0</v>
      </c>
      <c r="I72" s="383">
        <f>'1600 South'!I50</f>
        <v>0</v>
      </c>
      <c r="J72" s="383">
        <f>'1600 South'!J50</f>
        <v>0</v>
      </c>
      <c r="K72" s="383">
        <f>'1600 South'!K50</f>
        <v>0</v>
      </c>
      <c r="L72" s="383">
        <f>'1600 South'!L50</f>
        <v>0</v>
      </c>
      <c r="M72" s="383">
        <f>'1600 South'!M50</f>
        <v>0</v>
      </c>
      <c r="N72" s="383">
        <f>'1600 South'!N50</f>
        <v>0</v>
      </c>
      <c r="O72" s="383">
        <f>'1600 South'!O50</f>
        <v>0</v>
      </c>
      <c r="P72" s="383">
        <f>'1600 South'!P50</f>
        <v>0</v>
      </c>
      <c r="Q72" s="383">
        <f>'1600 South'!Q50</f>
        <v>0</v>
      </c>
      <c r="R72" s="383">
        <f>'1600 South'!R50</f>
        <v>0</v>
      </c>
      <c r="S72" s="383">
        <f>'1600 South'!S50</f>
        <v>0</v>
      </c>
      <c r="T72" s="383">
        <f>'1600 South'!T50</f>
        <v>0</v>
      </c>
      <c r="U72" s="383">
        <f>'1600 South'!U50</f>
        <v>0</v>
      </c>
      <c r="V72" s="383">
        <f>'1600 South'!V50</f>
        <v>0</v>
      </c>
      <c r="W72" s="383">
        <f>'1600 South'!W50</f>
        <v>0</v>
      </c>
      <c r="X72" s="383">
        <f>'1600 South'!X50</f>
        <v>0</v>
      </c>
      <c r="Y72" s="383">
        <f>'1600 South'!Y50</f>
        <v>0</v>
      </c>
      <c r="Z72" s="383">
        <f>'1600 South'!Z50</f>
        <v>0</v>
      </c>
      <c r="AA72" s="383">
        <f>'1600 South'!AA50</f>
        <v>0</v>
      </c>
      <c r="AB72" s="383">
        <f>'1600 South'!AB50</f>
        <v>0</v>
      </c>
      <c r="AC72" s="383">
        <f>'1600 South'!AC50</f>
        <v>0</v>
      </c>
      <c r="AD72" s="383">
        <f>'1600 South'!AD50</f>
        <v>0</v>
      </c>
      <c r="AE72" s="383">
        <f>'1600 South'!AE50</f>
        <v>0</v>
      </c>
      <c r="AF72" s="383">
        <f>'1600 South'!AF50</f>
        <v>0</v>
      </c>
      <c r="AG72" s="383">
        <f>'1600 South'!AG50</f>
        <v>0</v>
      </c>
      <c r="AH72" s="383">
        <f>'1600 South'!AH50</f>
        <v>0</v>
      </c>
      <c r="AI72" s="383">
        <f>'1600 South'!AI50</f>
        <v>0</v>
      </c>
      <c r="AJ72" s="383">
        <f>'1600 South'!AJ50</f>
        <v>0</v>
      </c>
      <c r="AK72" s="383">
        <f>'1600 South'!AK50</f>
        <v>0</v>
      </c>
      <c r="AL72" s="383">
        <f>'1600 South'!AL50</f>
        <v>0</v>
      </c>
    </row>
    <row r="73" spans="1:38">
      <c r="D73" s="358"/>
      <c r="F73" s="464"/>
      <c r="G73" s="465"/>
      <c r="H73" s="465"/>
    </row>
    <row r="74" spans="1:38">
      <c r="B74" s="472" t="s">
        <v>512</v>
      </c>
      <c r="C74" s="386" t="s">
        <v>443</v>
      </c>
      <c r="D74" s="383">
        <f>D70*$C59</f>
        <v>2757.3326092600278</v>
      </c>
      <c r="E74" s="383">
        <f t="shared" ref="E74:AE76" si="58">E70*$C59</f>
        <v>2868.7656719686165</v>
      </c>
      <c r="F74" s="383">
        <f t="shared" si="58"/>
        <v>2984.7021186443471</v>
      </c>
      <c r="G74" s="383">
        <f t="shared" si="58"/>
        <v>3105.3239461440089</v>
      </c>
      <c r="H74" s="383">
        <f t="shared" si="58"/>
        <v>0</v>
      </c>
      <c r="I74" s="383">
        <f t="shared" si="58"/>
        <v>0</v>
      </c>
      <c r="J74" s="383">
        <f t="shared" si="58"/>
        <v>0</v>
      </c>
      <c r="K74" s="383">
        <f t="shared" si="58"/>
        <v>0</v>
      </c>
      <c r="L74" s="383">
        <f t="shared" si="58"/>
        <v>0</v>
      </c>
      <c r="M74" s="383">
        <f t="shared" si="58"/>
        <v>0</v>
      </c>
      <c r="N74" s="383">
        <f t="shared" si="58"/>
        <v>0</v>
      </c>
      <c r="O74" s="383">
        <f t="shared" si="58"/>
        <v>0</v>
      </c>
      <c r="P74" s="383">
        <f t="shared" si="58"/>
        <v>0</v>
      </c>
      <c r="Q74" s="383">
        <f t="shared" si="58"/>
        <v>0</v>
      </c>
      <c r="R74" s="383">
        <f t="shared" si="58"/>
        <v>0</v>
      </c>
      <c r="S74" s="383">
        <f t="shared" si="58"/>
        <v>0</v>
      </c>
      <c r="T74" s="383">
        <f t="shared" si="58"/>
        <v>0</v>
      </c>
      <c r="U74" s="383">
        <f t="shared" si="58"/>
        <v>0</v>
      </c>
      <c r="V74" s="383">
        <f t="shared" si="58"/>
        <v>0</v>
      </c>
      <c r="W74" s="383">
        <f t="shared" si="58"/>
        <v>0</v>
      </c>
      <c r="X74" s="383">
        <f t="shared" si="58"/>
        <v>0</v>
      </c>
      <c r="Y74" s="383">
        <f t="shared" si="58"/>
        <v>0</v>
      </c>
      <c r="Z74" s="383">
        <f t="shared" si="58"/>
        <v>0</v>
      </c>
      <c r="AA74" s="383">
        <f t="shared" si="58"/>
        <v>0</v>
      </c>
      <c r="AB74" s="383">
        <f t="shared" si="58"/>
        <v>0</v>
      </c>
      <c r="AC74" s="383">
        <f t="shared" si="58"/>
        <v>0</v>
      </c>
      <c r="AD74" s="383">
        <f t="shared" si="58"/>
        <v>0</v>
      </c>
      <c r="AE74" s="383">
        <f t="shared" si="58"/>
        <v>0</v>
      </c>
      <c r="AF74" s="383">
        <f t="shared" ref="AF74:AJ74" si="59">AF70*$C59</f>
        <v>0</v>
      </c>
      <c r="AG74" s="383">
        <f t="shared" si="59"/>
        <v>0</v>
      </c>
      <c r="AH74" s="383">
        <f t="shared" si="59"/>
        <v>0</v>
      </c>
      <c r="AI74" s="383">
        <f t="shared" si="59"/>
        <v>0</v>
      </c>
      <c r="AJ74" s="383">
        <f t="shared" si="59"/>
        <v>0</v>
      </c>
      <c r="AK74" s="383">
        <f t="shared" ref="AK74:AL74" si="60">AK70*$C59</f>
        <v>0</v>
      </c>
      <c r="AL74" s="383">
        <f t="shared" si="60"/>
        <v>0</v>
      </c>
    </row>
    <row r="75" spans="1:38">
      <c r="B75" s="472" t="s">
        <v>513</v>
      </c>
      <c r="C75" s="386" t="s">
        <v>443</v>
      </c>
      <c r="D75" s="383">
        <f t="shared" ref="D75:S76" si="61">D71*$C60</f>
        <v>185.6834650038673</v>
      </c>
      <c r="E75" s="383">
        <f t="shared" si="61"/>
        <v>193.18755686795214</v>
      </c>
      <c r="F75" s="383">
        <f t="shared" si="61"/>
        <v>200.99491426353416</v>
      </c>
      <c r="G75" s="383">
        <f t="shared" si="61"/>
        <v>209.11779316831985</v>
      </c>
      <c r="H75" s="383">
        <f t="shared" si="61"/>
        <v>0</v>
      </c>
      <c r="I75" s="383">
        <f t="shared" si="61"/>
        <v>0</v>
      </c>
      <c r="J75" s="383">
        <f t="shared" si="61"/>
        <v>0</v>
      </c>
      <c r="K75" s="383">
        <f t="shared" si="61"/>
        <v>0</v>
      </c>
      <c r="L75" s="383">
        <f t="shared" si="61"/>
        <v>0</v>
      </c>
      <c r="M75" s="383">
        <f t="shared" si="61"/>
        <v>0</v>
      </c>
      <c r="N75" s="383">
        <f t="shared" si="61"/>
        <v>0</v>
      </c>
      <c r="O75" s="383">
        <f t="shared" si="61"/>
        <v>0</v>
      </c>
      <c r="P75" s="383">
        <f t="shared" si="61"/>
        <v>0</v>
      </c>
      <c r="Q75" s="383">
        <f t="shared" si="61"/>
        <v>0</v>
      </c>
      <c r="R75" s="383">
        <f t="shared" si="61"/>
        <v>0</v>
      </c>
      <c r="S75" s="383">
        <f t="shared" si="61"/>
        <v>0</v>
      </c>
      <c r="T75" s="383">
        <f t="shared" si="58"/>
        <v>0</v>
      </c>
      <c r="U75" s="383">
        <f t="shared" si="58"/>
        <v>0</v>
      </c>
      <c r="V75" s="383">
        <f t="shared" si="58"/>
        <v>0</v>
      </c>
      <c r="W75" s="383">
        <f t="shared" si="58"/>
        <v>0</v>
      </c>
      <c r="X75" s="383">
        <f t="shared" si="58"/>
        <v>0</v>
      </c>
      <c r="Y75" s="383">
        <f t="shared" si="58"/>
        <v>0</v>
      </c>
      <c r="Z75" s="383">
        <f t="shared" si="58"/>
        <v>0</v>
      </c>
      <c r="AA75" s="383">
        <f t="shared" si="58"/>
        <v>0</v>
      </c>
      <c r="AB75" s="383">
        <f t="shared" si="58"/>
        <v>0</v>
      </c>
      <c r="AC75" s="383">
        <f t="shared" si="58"/>
        <v>0</v>
      </c>
      <c r="AD75" s="383">
        <f t="shared" si="58"/>
        <v>0</v>
      </c>
      <c r="AE75" s="383">
        <f t="shared" si="58"/>
        <v>0</v>
      </c>
      <c r="AF75" s="383">
        <f t="shared" ref="AF75:AJ75" si="62">AF71*$C60</f>
        <v>0</v>
      </c>
      <c r="AG75" s="383">
        <f t="shared" si="62"/>
        <v>0</v>
      </c>
      <c r="AH75" s="383">
        <f t="shared" si="62"/>
        <v>0</v>
      </c>
      <c r="AI75" s="383">
        <f t="shared" si="62"/>
        <v>0</v>
      </c>
      <c r="AJ75" s="383">
        <f t="shared" si="62"/>
        <v>0</v>
      </c>
      <c r="AK75" s="383">
        <f t="shared" ref="AK75:AL75" si="63">AK71*$C60</f>
        <v>0</v>
      </c>
      <c r="AL75" s="383">
        <f t="shared" si="63"/>
        <v>0</v>
      </c>
    </row>
    <row r="76" spans="1:38">
      <c r="B76" s="472" t="s">
        <v>752</v>
      </c>
      <c r="C76" s="386" t="s">
        <v>443</v>
      </c>
      <c r="D76" s="383">
        <f t="shared" si="61"/>
        <v>19.868130755413798</v>
      </c>
      <c r="E76" s="383">
        <f t="shared" si="58"/>
        <v>20.671068584870877</v>
      </c>
      <c r="F76" s="383">
        <f t="shared" si="58"/>
        <v>21.506455826198152</v>
      </c>
      <c r="G76" s="383">
        <f t="shared" si="58"/>
        <v>22.375603869010224</v>
      </c>
      <c r="H76" s="383">
        <f t="shared" si="58"/>
        <v>0</v>
      </c>
      <c r="I76" s="383">
        <f t="shared" si="58"/>
        <v>0</v>
      </c>
      <c r="J76" s="383">
        <f t="shared" si="58"/>
        <v>0</v>
      </c>
      <c r="K76" s="383">
        <f t="shared" si="58"/>
        <v>0</v>
      </c>
      <c r="L76" s="383">
        <f t="shared" si="58"/>
        <v>0</v>
      </c>
      <c r="M76" s="383">
        <f t="shared" si="58"/>
        <v>0</v>
      </c>
      <c r="N76" s="383">
        <f t="shared" si="58"/>
        <v>0</v>
      </c>
      <c r="O76" s="383">
        <f t="shared" si="58"/>
        <v>0</v>
      </c>
      <c r="P76" s="383">
        <f t="shared" si="58"/>
        <v>0</v>
      </c>
      <c r="Q76" s="383">
        <f t="shared" si="58"/>
        <v>0</v>
      </c>
      <c r="R76" s="383">
        <f t="shared" si="58"/>
        <v>0</v>
      </c>
      <c r="S76" s="383">
        <f t="shared" si="58"/>
        <v>0</v>
      </c>
      <c r="T76" s="383">
        <f t="shared" si="58"/>
        <v>0</v>
      </c>
      <c r="U76" s="383">
        <f t="shared" si="58"/>
        <v>0</v>
      </c>
      <c r="V76" s="383">
        <f t="shared" si="58"/>
        <v>0</v>
      </c>
      <c r="W76" s="383">
        <f t="shared" si="58"/>
        <v>0</v>
      </c>
      <c r="X76" s="383">
        <f t="shared" si="58"/>
        <v>0</v>
      </c>
      <c r="Y76" s="383">
        <f t="shared" si="58"/>
        <v>0</v>
      </c>
      <c r="Z76" s="383">
        <f t="shared" si="58"/>
        <v>0</v>
      </c>
      <c r="AA76" s="383">
        <f t="shared" si="58"/>
        <v>0</v>
      </c>
      <c r="AB76" s="383">
        <f t="shared" si="58"/>
        <v>0</v>
      </c>
      <c r="AC76" s="383">
        <f t="shared" si="58"/>
        <v>0</v>
      </c>
      <c r="AD76" s="383">
        <f t="shared" si="58"/>
        <v>0</v>
      </c>
      <c r="AE76" s="383">
        <f t="shared" si="58"/>
        <v>0</v>
      </c>
      <c r="AF76" s="383">
        <f t="shared" ref="AF76:AJ76" si="64">AF72*$C61</f>
        <v>0</v>
      </c>
      <c r="AG76" s="383">
        <f t="shared" si="64"/>
        <v>0</v>
      </c>
      <c r="AH76" s="383">
        <f t="shared" si="64"/>
        <v>0</v>
      </c>
      <c r="AI76" s="383">
        <f t="shared" si="64"/>
        <v>0</v>
      </c>
      <c r="AJ76" s="383">
        <f t="shared" si="64"/>
        <v>0</v>
      </c>
      <c r="AK76" s="383">
        <f t="shared" ref="AK76:AL76" si="65">AK72*$C61</f>
        <v>0</v>
      </c>
      <c r="AL76" s="383">
        <f t="shared" si="65"/>
        <v>0</v>
      </c>
    </row>
    <row r="77" spans="1:38">
      <c r="D77" s="358"/>
      <c r="F77" s="464"/>
      <c r="G77" s="465"/>
      <c r="H77" s="465"/>
    </row>
    <row r="78" spans="1:38" ht="13">
      <c r="B78" s="364" t="s">
        <v>514</v>
      </c>
      <c r="C78" s="487" t="s">
        <v>292</v>
      </c>
      <c r="D78" s="488">
        <f t="shared" ref="D78:AE78" si="66">D74*D49+D75*D50+D76*D51</f>
        <v>55705.124172820222</v>
      </c>
      <c r="E78" s="488">
        <f t="shared" si="66"/>
        <v>57956.355153911565</v>
      </c>
      <c r="F78" s="488">
        <f t="shared" si="66"/>
        <v>60298.565932741149</v>
      </c>
      <c r="G78" s="488">
        <f t="shared" si="66"/>
        <v>62735.433308209627</v>
      </c>
      <c r="H78" s="488">
        <f t="shared" si="66"/>
        <v>0</v>
      </c>
      <c r="I78" s="488">
        <f t="shared" si="66"/>
        <v>0</v>
      </c>
      <c r="J78" s="488">
        <f t="shared" si="66"/>
        <v>0</v>
      </c>
      <c r="K78" s="488">
        <f t="shared" si="66"/>
        <v>0</v>
      </c>
      <c r="L78" s="488">
        <f t="shared" si="66"/>
        <v>0</v>
      </c>
      <c r="M78" s="488">
        <f t="shared" si="66"/>
        <v>0</v>
      </c>
      <c r="N78" s="488">
        <f t="shared" si="66"/>
        <v>0</v>
      </c>
      <c r="O78" s="488">
        <f t="shared" si="66"/>
        <v>0</v>
      </c>
      <c r="P78" s="488">
        <f t="shared" si="66"/>
        <v>0</v>
      </c>
      <c r="Q78" s="488">
        <f t="shared" si="66"/>
        <v>0</v>
      </c>
      <c r="R78" s="488">
        <f t="shared" si="66"/>
        <v>0</v>
      </c>
      <c r="S78" s="488">
        <f t="shared" si="66"/>
        <v>0</v>
      </c>
      <c r="T78" s="488">
        <f t="shared" si="66"/>
        <v>0</v>
      </c>
      <c r="U78" s="488">
        <f t="shared" si="66"/>
        <v>0</v>
      </c>
      <c r="V78" s="488">
        <f t="shared" si="66"/>
        <v>0</v>
      </c>
      <c r="W78" s="488">
        <f t="shared" si="66"/>
        <v>0</v>
      </c>
      <c r="X78" s="488">
        <f t="shared" si="66"/>
        <v>0</v>
      </c>
      <c r="Y78" s="488">
        <f t="shared" si="66"/>
        <v>0</v>
      </c>
      <c r="Z78" s="488">
        <f t="shared" si="66"/>
        <v>0</v>
      </c>
      <c r="AA78" s="488">
        <f t="shared" si="66"/>
        <v>0</v>
      </c>
      <c r="AB78" s="488">
        <f t="shared" si="66"/>
        <v>0</v>
      </c>
      <c r="AC78" s="488">
        <f t="shared" si="66"/>
        <v>0</v>
      </c>
      <c r="AD78" s="488">
        <f t="shared" si="66"/>
        <v>0</v>
      </c>
      <c r="AE78" s="488">
        <f t="shared" si="66"/>
        <v>0</v>
      </c>
      <c r="AF78" s="488">
        <f t="shared" ref="AF78:AJ78" si="67">AF74*AF49+AF75*AF50+AF76*AF51</f>
        <v>0</v>
      </c>
      <c r="AG78" s="488">
        <f t="shared" si="67"/>
        <v>0</v>
      </c>
      <c r="AH78" s="488">
        <f t="shared" si="67"/>
        <v>0</v>
      </c>
      <c r="AI78" s="488">
        <f t="shared" si="67"/>
        <v>0</v>
      </c>
      <c r="AJ78" s="488">
        <f t="shared" si="67"/>
        <v>0</v>
      </c>
      <c r="AK78" s="488">
        <f t="shared" ref="AK78:AL78" si="68">AK74*AK49+AK75*AK50+AK76*AK51</f>
        <v>0</v>
      </c>
      <c r="AL78" s="488">
        <f t="shared" si="68"/>
        <v>0</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69">SUM(E62:E64)-SUM(E74:E76)</f>
        <v>0</v>
      </c>
      <c r="F82" s="383">
        <f t="shared" si="69"/>
        <v>0</v>
      </c>
      <c r="G82" s="383">
        <f t="shared" si="69"/>
        <v>0</v>
      </c>
      <c r="H82" s="383">
        <f t="shared" si="69"/>
        <v>3471.6693283938257</v>
      </c>
      <c r="I82" s="383">
        <f t="shared" si="69"/>
        <v>3611.9711348118103</v>
      </c>
      <c r="J82" s="383">
        <f t="shared" si="69"/>
        <v>3757.9430079965668</v>
      </c>
      <c r="K82" s="383">
        <f t="shared" si="69"/>
        <v>3909.8140943715143</v>
      </c>
      <c r="L82" s="383">
        <f t="shared" si="69"/>
        <v>4067.8228009359182</v>
      </c>
      <c r="M82" s="383">
        <f t="shared" si="69"/>
        <v>4232.2171695158386</v>
      </c>
      <c r="N82" s="383">
        <f t="shared" si="69"/>
        <v>4403.2552661398022</v>
      </c>
      <c r="O82" s="383">
        <f t="shared" si="69"/>
        <v>4581.2055861504768</v>
      </c>
      <c r="P82" s="383">
        <f t="shared" si="69"/>
        <v>4766.3474756882233</v>
      </c>
      <c r="Q82" s="383">
        <f t="shared" si="69"/>
        <v>4958.9715702082649</v>
      </c>
      <c r="R82" s="383">
        <f t="shared" si="69"/>
        <v>5159.3802507197624</v>
      </c>
      <c r="S82" s="383">
        <f t="shared" si="69"/>
        <v>5367.8881184630773</v>
      </c>
      <c r="T82" s="383">
        <f t="shared" si="69"/>
        <v>5584.8224887703</v>
      </c>
      <c r="U82" s="383">
        <f t="shared" si="69"/>
        <v>5810.5239048843641</v>
      </c>
      <c r="V82" s="383">
        <f t="shared" si="69"/>
        <v>6045.3466725433254</v>
      </c>
      <c r="W82" s="383">
        <f t="shared" si="69"/>
        <v>6289.6594161689382</v>
      </c>
      <c r="X82" s="383">
        <f t="shared" si="69"/>
        <v>6543.8456575327309</v>
      </c>
      <c r="Y82" s="383">
        <f t="shared" si="69"/>
        <v>6808.3044178078908</v>
      </c>
      <c r="Z82" s="383">
        <f t="shared" si="69"/>
        <v>7083.4508439520905</v>
      </c>
      <c r="AA82" s="383">
        <f t="shared" si="69"/>
        <v>7369.7168604045473</v>
      </c>
      <c r="AB82" s="383">
        <f t="shared" si="69"/>
        <v>7667.5518471203486</v>
      </c>
      <c r="AC82" s="383">
        <f t="shared" si="69"/>
        <v>7977.423345006423</v>
      </c>
      <c r="AD82" s="383">
        <f t="shared" si="69"/>
        <v>8299.8177898665363</v>
      </c>
      <c r="AE82" s="383">
        <f t="shared" si="69"/>
        <v>8635.2412760074694</v>
      </c>
      <c r="AF82" s="383">
        <f t="shared" ref="AF82:AJ82" si="70">SUM(AF62:AF64)-SUM(AF74:AF76)</f>
        <v>8984.2203507050872</v>
      </c>
      <c r="AG82" s="383">
        <f t="shared" si="70"/>
        <v>9347.3028407774709</v>
      </c>
      <c r="AH82" s="383">
        <f t="shared" si="70"/>
        <v>9725.0587125625807</v>
      </c>
      <c r="AI82" s="383">
        <f t="shared" si="70"/>
        <v>10118.080966650577</v>
      </c>
      <c r="AJ82" s="383">
        <f t="shared" si="70"/>
        <v>10526.986568775212</v>
      </c>
      <c r="AK82" s="383">
        <f t="shared" ref="AK82:AL82" si="71">SUM(AK62:AK64)-SUM(AK74:AK76)</f>
        <v>10952.417418325716</v>
      </c>
      <c r="AL82" s="383">
        <f t="shared" si="71"/>
        <v>11395.041355999478</v>
      </c>
    </row>
    <row r="83" spans="1:38" ht="13">
      <c r="B83" s="364" t="s">
        <v>813</v>
      </c>
      <c r="C83" s="590" t="s">
        <v>443</v>
      </c>
      <c r="D83" s="383">
        <f>SUM(D55:D57)-SUM(D70:D72)</f>
        <v>0</v>
      </c>
      <c r="E83" s="383">
        <f t="shared" ref="E83:AE83" si="72">SUM(E55:E57)-SUM(E70:E72)</f>
        <v>0</v>
      </c>
      <c r="F83" s="383">
        <f t="shared" si="72"/>
        <v>0</v>
      </c>
      <c r="G83" s="383">
        <f t="shared" si="72"/>
        <v>0</v>
      </c>
      <c r="H83" s="383">
        <f t="shared" si="72"/>
        <v>2175.4718797071232</v>
      </c>
      <c r="I83" s="383">
        <f t="shared" si="72"/>
        <v>2263.3899979559164</v>
      </c>
      <c r="J83" s="383">
        <f t="shared" si="72"/>
        <v>2354.8611823640613</v>
      </c>
      <c r="K83" s="383">
        <f t="shared" si="72"/>
        <v>2450.029024257035</v>
      </c>
      <c r="L83" s="383">
        <f t="shared" si="72"/>
        <v>2549.0429179675825</v>
      </c>
      <c r="M83" s="383">
        <f t="shared" si="72"/>
        <v>2652.0582953547155</v>
      </c>
      <c r="N83" s="383">
        <f t="shared" si="72"/>
        <v>2759.236869800402</v>
      </c>
      <c r="O83" s="383">
        <f t="shared" si="72"/>
        <v>2870.7468900669946</v>
      </c>
      <c r="P83" s="383">
        <f t="shared" si="72"/>
        <v>2986.7634044138708</v>
      </c>
      <c r="Q83" s="383">
        <f t="shared" si="72"/>
        <v>3107.468535387929</v>
      </c>
      <c r="R83" s="383">
        <f t="shared" si="72"/>
        <v>3233.0517657192813</v>
      </c>
      <c r="S83" s="383">
        <f t="shared" si="72"/>
        <v>3363.7102357709591</v>
      </c>
      <c r="T83" s="383">
        <f t="shared" si="72"/>
        <v>3499.6490530095452</v>
      </c>
      <c r="U83" s="383">
        <f t="shared" si="72"/>
        <v>3641.0816139825652</v>
      </c>
      <c r="V83" s="383">
        <f t="shared" si="72"/>
        <v>3788.2299393080693</v>
      </c>
      <c r="W83" s="383">
        <f t="shared" si="72"/>
        <v>3941.3250222022439</v>
      </c>
      <c r="X83" s="383">
        <f t="shared" si="72"/>
        <v>4100.607191092221</v>
      </c>
      <c r="Y83" s="383">
        <f t="shared" si="72"/>
        <v>4266.326486883273</v>
      </c>
      <c r="Z83" s="383">
        <f t="shared" si="72"/>
        <v>4438.7430554726407</v>
      </c>
      <c r="AA83" s="383">
        <f t="shared" si="72"/>
        <v>4618.1275561261691</v>
      </c>
      <c r="AB83" s="383">
        <f t="shared" si="72"/>
        <v>4804.7615863588053</v>
      </c>
      <c r="AC83" s="383">
        <f t="shared" si="72"/>
        <v>4998.938123985954</v>
      </c>
      <c r="AD83" s="383">
        <f t="shared" si="72"/>
        <v>5200.9619870395954</v>
      </c>
      <c r="AE83" s="383">
        <f t="shared" si="72"/>
        <v>5411.150312271172</v>
      </c>
      <c r="AF83" s="383">
        <f t="shared" ref="AF83:AJ83" si="73">SUM(AF55:AF57)-SUM(AF70:AF72)</f>
        <v>5629.8330529923714</v>
      </c>
      <c r="AG83" s="383">
        <f t="shared" si="73"/>
        <v>5857.3534970353367</v>
      </c>
      <c r="AH83" s="383">
        <f t="shared" si="73"/>
        <v>6094.0688056453773</v>
      </c>
      <c r="AI83" s="383">
        <f t="shared" si="73"/>
        <v>6340.3505741521467</v>
      </c>
      <c r="AJ83" s="383">
        <f t="shared" si="73"/>
        <v>6596.5854152994207</v>
      </c>
      <c r="AK83" s="383">
        <f t="shared" ref="AK83:AL83" si="74">SUM(AK55:AK57)-SUM(AK70:AK72)</f>
        <v>6863.1755661491916</v>
      </c>
      <c r="AL83" s="383">
        <f t="shared" si="74"/>
        <v>7140.5395195128031</v>
      </c>
    </row>
    <row r="84" spans="1:38">
      <c r="D84" s="358"/>
      <c r="F84" s="464"/>
      <c r="G84" s="465"/>
      <c r="H84" s="465"/>
    </row>
    <row r="85" spans="1:38" ht="13">
      <c r="B85" s="492" t="s">
        <v>284</v>
      </c>
      <c r="C85" s="487" t="s">
        <v>292</v>
      </c>
      <c r="D85" s="488">
        <f>D66-D78</f>
        <v>0</v>
      </c>
      <c r="E85" s="488">
        <f t="shared" ref="E85:AE85" si="75">E66-E78</f>
        <v>0</v>
      </c>
      <c r="F85" s="488">
        <f t="shared" si="75"/>
        <v>0</v>
      </c>
      <c r="G85" s="488">
        <f t="shared" si="75"/>
        <v>0</v>
      </c>
      <c r="H85" s="488">
        <f t="shared" si="75"/>
        <v>65270.782670998487</v>
      </c>
      <c r="I85" s="488">
        <f t="shared" si="75"/>
        <v>67908.594008662272</v>
      </c>
      <c r="J85" s="488">
        <f t="shared" si="75"/>
        <v>70653.008153407078</v>
      </c>
      <c r="K85" s="488">
        <f t="shared" si="75"/>
        <v>73508.333282362786</v>
      </c>
      <c r="L85" s="488">
        <f t="shared" si="75"/>
        <v>76479.051680552569</v>
      </c>
      <c r="M85" s="488">
        <f t="shared" si="75"/>
        <v>79569.826777177441</v>
      </c>
      <c r="N85" s="488">
        <f t="shared" si="75"/>
        <v>82785.510466259933</v>
      </c>
      <c r="O85" s="488">
        <f t="shared" si="75"/>
        <v>86131.150723140338</v>
      </c>
      <c r="P85" s="488">
        <f t="shared" si="75"/>
        <v>89611.999528780245</v>
      </c>
      <c r="Q85" s="488">
        <f t="shared" si="75"/>
        <v>93233.521114314499</v>
      </c>
      <c r="R85" s="488">
        <f t="shared" si="75"/>
        <v>97001.400538792819</v>
      </c>
      <c r="S85" s="488">
        <f t="shared" si="75"/>
        <v>100921.55261357687</v>
      </c>
      <c r="T85" s="488">
        <f t="shared" si="75"/>
        <v>105000.13118740192</v>
      </c>
      <c r="U85" s="488">
        <f t="shared" si="75"/>
        <v>109243.53880667921</v>
      </c>
      <c r="V85" s="488">
        <f t="shared" si="75"/>
        <v>113658.43676620393</v>
      </c>
      <c r="W85" s="488">
        <f t="shared" si="75"/>
        <v>118251.75556604493</v>
      </c>
      <c r="X85" s="488">
        <f t="shared" si="75"/>
        <v>123030.70579103364</v>
      </c>
      <c r="Y85" s="488">
        <f t="shared" si="75"/>
        <v>128002.78942992896</v>
      </c>
      <c r="Z85" s="488">
        <f t="shared" si="75"/>
        <v>133175.81165202771</v>
      </c>
      <c r="AA85" s="488">
        <f t="shared" si="75"/>
        <v>138557.89305970757</v>
      </c>
      <c r="AB85" s="488">
        <f t="shared" si="75"/>
        <v>144157.48243613611</v>
      </c>
      <c r="AC85" s="488">
        <f t="shared" si="75"/>
        <v>149983.37000815783</v>
      </c>
      <c r="AD85" s="488">
        <f t="shared" si="75"/>
        <v>156044.70124517899</v>
      </c>
      <c r="AE85" s="488">
        <f t="shared" si="75"/>
        <v>162350.99121571096</v>
      </c>
      <c r="AF85" s="488">
        <f t="shared" ref="AF85:AJ85" si="76">AF66-AF78</f>
        <v>168912.13952411074</v>
      </c>
      <c r="AG85" s="488">
        <f t="shared" si="76"/>
        <v>175738.44585096464</v>
      </c>
      <c r="AH85" s="488">
        <f t="shared" si="76"/>
        <v>182840.62612151098</v>
      </c>
      <c r="AI85" s="488">
        <f t="shared" si="76"/>
        <v>190229.82932748334</v>
      </c>
      <c r="AJ85" s="488">
        <f t="shared" si="76"/>
        <v>197917.65502878043</v>
      </c>
      <c r="AK85" s="488">
        <f t="shared" ref="AK85:AL85" si="77">AK66-AK78</f>
        <v>205916.17156243781</v>
      </c>
      <c r="AL85" s="488">
        <f t="shared" si="77"/>
        <v>214237.93498748491</v>
      </c>
    </row>
    <row r="86" spans="1:38">
      <c r="D86" s="358"/>
      <c r="F86" s="464"/>
      <c r="G86" s="465"/>
      <c r="H86" s="465"/>
      <c r="I86" s="1158"/>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'1600 South'!D25</f>
        <v>1651.0973708143879</v>
      </c>
      <c r="E112" s="383">
        <f>'1600 South'!E25</f>
        <v>1717.8237556698302</v>
      </c>
      <c r="F112" s="383">
        <f>'1600 South'!F25</f>
        <v>1787.2467776313456</v>
      </c>
      <c r="G112" s="383">
        <f>'1600 South'!G25</f>
        <v>1859.4754168527002</v>
      </c>
      <c r="H112" s="383">
        <f>'1600 South'!H25</f>
        <v>1934.6230577413478</v>
      </c>
      <c r="I112" s="383">
        <f>'1600 South'!I25</f>
        <v>2012.8076669490958</v>
      </c>
      <c r="J112" s="383">
        <f>'1600 South'!J25</f>
        <v>2094.1519785559785</v>
      </c>
      <c r="K112" s="383">
        <f>'1600 South'!K25</f>
        <v>2178.7836867380292</v>
      </c>
      <c r="L112" s="383">
        <f>'1600 South'!L25</f>
        <v>2266.8356462213965</v>
      </c>
      <c r="M112" s="383">
        <f>'1600 South'!M25</f>
        <v>2358.446080837497</v>
      </c>
      <c r="N112" s="383">
        <f>'1600 South'!N25</f>
        <v>2453.7588005065682</v>
      </c>
      <c r="O112" s="383">
        <f>'1600 South'!O25</f>
        <v>2552.9234269902709</v>
      </c>
      <c r="P112" s="383">
        <f>'1600 South'!P25</f>
        <v>2656.0956287676909</v>
      </c>
      <c r="Q112" s="383">
        <f>'1600 South'!Q25</f>
        <v>2763.4373654034866</v>
      </c>
      <c r="R112" s="383">
        <f>'1600 South'!R25</f>
        <v>2875.117141791764</v>
      </c>
      <c r="S112" s="383">
        <f>'1600 South'!S25</f>
        <v>2991.3102726748043</v>
      </c>
      <c r="T112" s="383">
        <f>'1600 South'!T25</f>
        <v>3112.1991578518728</v>
      </c>
      <c r="U112" s="383">
        <f>'1600 South'!U25</f>
        <v>3237.9735685101482</v>
      </c>
      <c r="V112" s="383">
        <f>'1600 South'!V25</f>
        <v>3368.830945127248</v>
      </c>
      <c r="W112" s="383">
        <f>'1600 South'!W25</f>
        <v>3504.9767074129763</v>
      </c>
      <c r="X112" s="383">
        <f>'1600 South'!X25</f>
        <v>3646.6245767768805</v>
      </c>
      <c r="Y112" s="383">
        <f>'1600 South'!Y25</f>
        <v>3793.9969118277891</v>
      </c>
      <c r="Z112" s="383">
        <f>'1600 South'!Z25</f>
        <v>3947.325057432015</v>
      </c>
      <c r="AA112" s="383">
        <f>'1600 South'!AA25</f>
        <v>4106.8497078781775</v>
      </c>
      <c r="AB112" s="383">
        <f>'1600 South'!AB25</f>
        <v>4272.8212847187215</v>
      </c>
      <c r="AC112" s="383">
        <f>'1600 South'!AC25</f>
        <v>4445.5003298812981</v>
      </c>
      <c r="AD112" s="383">
        <f>'1600 South'!AD25</f>
        <v>4625.1579146670756</v>
      </c>
      <c r="AE112" s="383">
        <f>'1600 South'!AE25</f>
        <v>4812.0760652780546</v>
      </c>
      <c r="AF112" s="383">
        <f>'1600 South'!AF25</f>
        <v>5006.5482055413704</v>
      </c>
      <c r="AG112" s="383">
        <f>'1600 South'!AG25</f>
        <v>5208.8796175255738</v>
      </c>
      <c r="AH112" s="383">
        <f>'1600 South'!AH25</f>
        <v>5419.3879207719465</v>
      </c>
      <c r="AI112" s="383">
        <f>'1600 South'!AI25</f>
        <v>5638.4035708931788</v>
      </c>
      <c r="AJ112" s="383">
        <f>'1600 South'!AJ25</f>
        <v>5866.2703783220768</v>
      </c>
      <c r="AK112" s="383">
        <f>'1600 South'!AK25</f>
        <v>6103.346048024664</v>
      </c>
      <c r="AL112" s="383">
        <f>'1600 South'!AL25</f>
        <v>6350.0027410248877</v>
      </c>
    </row>
    <row r="113" spans="1:38">
      <c r="B113" s="385" t="s">
        <v>509</v>
      </c>
      <c r="C113" s="386" t="s">
        <v>443</v>
      </c>
      <c r="D113" s="383">
        <f>'1600 South'!D26</f>
        <v>185.6834650038673</v>
      </c>
      <c r="E113" s="383">
        <f>'1600 South'!E26</f>
        <v>193.18755686795214</v>
      </c>
      <c r="F113" s="383">
        <f>'1600 South'!F26</f>
        <v>200.99491426353416</v>
      </c>
      <c r="G113" s="383">
        <f>'1600 South'!G26</f>
        <v>209.11779316831985</v>
      </c>
      <c r="H113" s="383">
        <f>'1600 South'!H26</f>
        <v>217.56894486519883</v>
      </c>
      <c r="I113" s="383">
        <f>'1600 South'!I26</f>
        <v>226.36163595918757</v>
      </c>
      <c r="J113" s="383">
        <f>'1600 South'!J26</f>
        <v>235.50966920332644</v>
      </c>
      <c r="K113" s="383">
        <f>'1600 South'!K26</f>
        <v>245.02740516622012</v>
      </c>
      <c r="L113" s="383">
        <f>'1600 South'!L26</f>
        <v>254.92978477523582</v>
      </c>
      <c r="M113" s="383">
        <f>'1600 South'!M26</f>
        <v>265.23235277074866</v>
      </c>
      <c r="N113" s="383">
        <f>'1600 South'!N26</f>
        <v>275.95128210825106</v>
      </c>
      <c r="O113" s="383">
        <f>'1600 South'!O26</f>
        <v>287.10339934663415</v>
      </c>
      <c r="P113" s="383">
        <f>'1600 South'!P26</f>
        <v>298.70621106249337</v>
      </c>
      <c r="Q113" s="383">
        <f>'1600 South'!Q26</f>
        <v>310.77793133192608</v>
      </c>
      <c r="R113" s="383">
        <f>'1600 South'!R26</f>
        <v>323.33751032296044</v>
      </c>
      <c r="S113" s="383">
        <f>'1600 South'!S26</f>
        <v>336.4046640435003</v>
      </c>
      <c r="T113" s="383">
        <f>'1600 South'!T26</f>
        <v>349.99990529148369</v>
      </c>
      <c r="U113" s="383">
        <f>'1600 South'!U26</f>
        <v>364.14457585584216</v>
      </c>
      <c r="V113" s="383">
        <f>'1600 South'!V26</f>
        <v>378.86088001880881</v>
      </c>
      <c r="W113" s="383">
        <f>'1600 South'!W26</f>
        <v>394.17191941216561</v>
      </c>
      <c r="X113" s="383">
        <f>'1600 South'!X26</f>
        <v>410.10172928215036</v>
      </c>
      <c r="Y113" s="383">
        <f>'1600 South'!Y26</f>
        <v>426.67531621994931</v>
      </c>
      <c r="Z113" s="383">
        <f>'1600 South'!Z26</f>
        <v>443.91869741700577</v>
      </c>
      <c r="AA113" s="383">
        <f>'1600 South'!AA26</f>
        <v>461.85894150676762</v>
      </c>
      <c r="AB113" s="383">
        <f>'1600 South'!AB26</f>
        <v>480.52421105698625</v>
      </c>
      <c r="AC113" s="383">
        <f>'1600 South'!AC26</f>
        <v>499.9438067792733</v>
      </c>
      <c r="AD113" s="383">
        <f>'1600 South'!AD26</f>
        <v>520.14821352531214</v>
      </c>
      <c r="AE113" s="383">
        <f>'1600 South'!AE26</f>
        <v>541.16914814193149</v>
      </c>
      <c r="AF113" s="383">
        <f>'1600 South'!AF26</f>
        <v>563.03960926016316</v>
      </c>
      <c r="AG113" s="383">
        <f>'1600 South'!AG26</f>
        <v>585.79392909644332</v>
      </c>
      <c r="AH113" s="383">
        <f>'1600 South'!AH26</f>
        <v>609.46782734727253</v>
      </c>
      <c r="AI113" s="383">
        <f>'1600 South'!AI26</f>
        <v>634.09846726194098</v>
      </c>
      <c r="AJ113" s="383">
        <f>'1600 South'!AJ26</f>
        <v>659.72451398134024</v>
      </c>
      <c r="AK113" s="383">
        <f>'1600 South'!AK26</f>
        <v>686.38619523444277</v>
      </c>
      <c r="AL113" s="383">
        <f>'1600 South'!AL26</f>
        <v>714.12536448772926</v>
      </c>
    </row>
    <row r="114" spans="1:38">
      <c r="B114" s="358" t="s">
        <v>769</v>
      </c>
      <c r="C114" s="358" t="s">
        <v>443</v>
      </c>
      <c r="D114" s="383">
        <f>'1600 South'!D27</f>
        <v>19.868130755413798</v>
      </c>
      <c r="E114" s="383">
        <f>'1600 South'!E27</f>
        <v>20.671068584870877</v>
      </c>
      <c r="F114" s="383">
        <f>'1600 South'!F27</f>
        <v>21.506455826198152</v>
      </c>
      <c r="G114" s="383">
        <f>'1600 South'!G27</f>
        <v>22.375603869010224</v>
      </c>
      <c r="H114" s="383">
        <f>'1600 South'!H27</f>
        <v>23.279877100576272</v>
      </c>
      <c r="I114" s="383">
        <f>'1600 South'!I27</f>
        <v>24.220695047633068</v>
      </c>
      <c r="J114" s="383">
        <f>'1600 South'!J27</f>
        <v>25.199534604755929</v>
      </c>
      <c r="K114" s="383">
        <f>'1600 South'!K27</f>
        <v>26.217932352785549</v>
      </c>
      <c r="L114" s="383">
        <f>'1600 South'!L27</f>
        <v>27.277486970950228</v>
      </c>
      <c r="M114" s="383">
        <f>'1600 South'!M27</f>
        <v>28.379861746470102</v>
      </c>
      <c r="N114" s="383">
        <f>'1600 South'!N27</f>
        <v>29.526787185582862</v>
      </c>
      <c r="O114" s="383">
        <f>'1600 South'!O27</f>
        <v>30.720063730089855</v>
      </c>
      <c r="P114" s="383">
        <f>'1600 South'!P27</f>
        <v>31.961564583686787</v>
      </c>
      <c r="Q114" s="383">
        <f>'1600 South'!Q27</f>
        <v>33.253238652516089</v>
      </c>
      <c r="R114" s="383">
        <f>'1600 South'!R27</f>
        <v>34.59711360455676</v>
      </c>
      <c r="S114" s="383">
        <f>'1600 South'!S27</f>
        <v>35.995299052654524</v>
      </c>
      <c r="T114" s="383">
        <f>'1600 South'!T27</f>
        <v>37.449989866188751</v>
      </c>
      <c r="U114" s="383">
        <f>'1600 South'!U27</f>
        <v>38.963469616575104</v>
      </c>
      <c r="V114" s="383">
        <f>'1600 South'!V27</f>
        <v>40.53811416201254</v>
      </c>
      <c r="W114" s="383">
        <f>'1600 South'!W27</f>
        <v>42.17639537710172</v>
      </c>
      <c r="X114" s="383">
        <f>'1600 South'!X27</f>
        <v>43.880885033190083</v>
      </c>
      <c r="Y114" s="383">
        <f>'1600 South'!Y27</f>
        <v>45.654258835534577</v>
      </c>
      <c r="Z114" s="383">
        <f>'1600 South'!Z27</f>
        <v>47.499300623619611</v>
      </c>
      <c r="AA114" s="383">
        <f>'1600 South'!AA27</f>
        <v>49.418906741224127</v>
      </c>
      <c r="AB114" s="383">
        <f>'1600 South'!AB27</f>
        <v>51.416090583097521</v>
      </c>
      <c r="AC114" s="383">
        <f>'1600 South'!AC27</f>
        <v>53.493987325382243</v>
      </c>
      <c r="AD114" s="383">
        <f>'1600 South'!AD27</f>
        <v>55.6558588472084</v>
      </c>
      <c r="AE114" s="383">
        <f>'1600 South'!AE27</f>
        <v>57.905098851186672</v>
      </c>
      <c r="AF114" s="383">
        <f>'1600 South'!AF27</f>
        <v>60.245238190837455</v>
      </c>
      <c r="AG114" s="383">
        <f>'1600 South'!AG27</f>
        <v>62.679950413319432</v>
      </c>
      <c r="AH114" s="383">
        <f>'1600 South'!AH27</f>
        <v>65.213057526158153</v>
      </c>
      <c r="AI114" s="383">
        <f>'1600 South'!AI27</f>
        <v>67.848535997027668</v>
      </c>
      <c r="AJ114" s="383">
        <f>'1600 South'!AJ27</f>
        <v>70.590522996003401</v>
      </c>
      <c r="AK114" s="383">
        <f>'1600 South'!AK27</f>
        <v>73.443322890085369</v>
      </c>
      <c r="AL114" s="383">
        <f>'1600 South'!AL27</f>
        <v>76.411414000187023</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78">(D$112*D90+D$113*D95+D$114*D100)/Grams.Per.Metric.Ton*D105</f>
        <v>294.11063501895484</v>
      </c>
      <c r="E116" s="582">
        <f t="shared" si="78"/>
        <v>308.54157326174374</v>
      </c>
      <c r="F116" s="582">
        <f t="shared" si="78"/>
        <v>323.52744769821379</v>
      </c>
      <c r="G116" s="582">
        <f t="shared" si="78"/>
        <v>339.08424398139891</v>
      </c>
      <c r="H116" s="582">
        <f t="shared" si="78"/>
        <v>355.22811934463618</v>
      </c>
      <c r="I116" s="582">
        <f t="shared" si="78"/>
        <v>371.97538170716138</v>
      </c>
      <c r="J116" s="582">
        <f t="shared" si="78"/>
        <v>389.34246646091714</v>
      </c>
      <c r="K116" s="582">
        <f t="shared" si="78"/>
        <v>407.34591077110878</v>
      </c>
      <c r="L116" s="582">
        <f t="shared" si="78"/>
        <v>426.00232521278394</v>
      </c>
      <c r="M116" s="582">
        <f t="shared" si="78"/>
        <v>445.32836255478503</v>
      </c>
      <c r="N116" s="582">
        <f t="shared" si="78"/>
        <v>464.54110175541422</v>
      </c>
      <c r="O116" s="582">
        <f t="shared" si="78"/>
        <v>484.36529273398372</v>
      </c>
      <c r="P116" s="582">
        <f t="shared" si="78"/>
        <v>504.81032469876317</v>
      </c>
      <c r="Q116" s="582">
        <f t="shared" si="78"/>
        <v>533.97553581721309</v>
      </c>
      <c r="R116" s="582">
        <f t="shared" si="78"/>
        <v>555.89437496602989</v>
      </c>
      <c r="S116" s="582">
        <f t="shared" si="78"/>
        <v>578.46183990762017</v>
      </c>
      <c r="T116" s="582">
        <f t="shared" si="78"/>
        <v>601.73973151868393</v>
      </c>
      <c r="U116" s="582">
        <f t="shared" si="78"/>
        <v>625.68441939642503</v>
      </c>
      <c r="V116" s="582">
        <f t="shared" si="78"/>
        <v>650.30087205119571</v>
      </c>
      <c r="W116" s="582">
        <f t="shared" si="78"/>
        <v>675.59292971206673</v>
      </c>
      <c r="X116" s="582">
        <f t="shared" si="78"/>
        <v>705.3264226757949</v>
      </c>
      <c r="Y116" s="582">
        <f t="shared" si="78"/>
        <v>746.09876190456055</v>
      </c>
      <c r="Z116" s="582">
        <f t="shared" si="78"/>
        <v>778.33845522847605</v>
      </c>
      <c r="AA116" s="582">
        <f t="shared" si="78"/>
        <v>811.73919283021257</v>
      </c>
      <c r="AB116" s="582">
        <f t="shared" si="78"/>
        <v>846.33302040299338</v>
      </c>
      <c r="AC116" s="582">
        <f t="shared" si="78"/>
        <v>882.15230804324506</v>
      </c>
      <c r="AD116" s="582">
        <f t="shared" si="78"/>
        <v>919.22970920075045</v>
      </c>
      <c r="AE116" s="582">
        <f t="shared" si="78"/>
        <v>957.59811517762535</v>
      </c>
      <c r="AF116" s="582">
        <f t="shared" si="78"/>
        <v>1009.4526854060097</v>
      </c>
      <c r="AG116" s="582">
        <f t="shared" si="78"/>
        <v>1050.8505145113727</v>
      </c>
      <c r="AH116" s="582">
        <f t="shared" si="78"/>
        <v>1093.3189098321409</v>
      </c>
      <c r="AI116" s="582">
        <f t="shared" si="78"/>
        <v>1137.5035955064993</v>
      </c>
      <c r="AJ116" s="582">
        <f t="shared" si="78"/>
        <v>1183.4739325864857</v>
      </c>
      <c r="AK116" s="582">
        <f t="shared" si="78"/>
        <v>1231.3020852369857</v>
      </c>
      <c r="AL116" s="582">
        <f t="shared" si="78"/>
        <v>1281.0631340189288</v>
      </c>
    </row>
    <row r="117" spans="1:38">
      <c r="B117" s="478" t="s">
        <v>709</v>
      </c>
      <c r="C117" s="484" t="s">
        <v>292</v>
      </c>
      <c r="D117" s="582">
        <f t="shared" ref="D117:AL117" si="79">(D$112*D91+D$113*D96+D$114*D101)/Grams.Per.Metric.Ton*D106</f>
        <v>274.43897725855157</v>
      </c>
      <c r="E117" s="582">
        <f t="shared" si="79"/>
        <v>268.73884175518907</v>
      </c>
      <c r="F117" s="582">
        <f t="shared" si="79"/>
        <v>263.20781613317661</v>
      </c>
      <c r="G117" s="582">
        <f t="shared" si="79"/>
        <v>254.43583416391974</v>
      </c>
      <c r="H117" s="582">
        <f t="shared" si="79"/>
        <v>243.95464677827019</v>
      </c>
      <c r="I117" s="582">
        <f t="shared" si="79"/>
        <v>231.61738298302666</v>
      </c>
      <c r="J117" s="582">
        <f t="shared" si="79"/>
        <v>218.53034193577187</v>
      </c>
      <c r="K117" s="582">
        <f t="shared" si="79"/>
        <v>201.890138115257</v>
      </c>
      <c r="L117" s="582">
        <f t="shared" si="79"/>
        <v>182.87980139840849</v>
      </c>
      <c r="M117" s="582">
        <f t="shared" si="79"/>
        <v>162.20909468263531</v>
      </c>
      <c r="N117" s="582">
        <f t="shared" si="79"/>
        <v>157.20203258907395</v>
      </c>
      <c r="O117" s="582">
        <f t="shared" si="79"/>
        <v>151.52533986821157</v>
      </c>
      <c r="P117" s="582">
        <f t="shared" si="79"/>
        <v>145.13307020954383</v>
      </c>
      <c r="Q117" s="582">
        <f t="shared" si="79"/>
        <v>137.97665728047332</v>
      </c>
      <c r="R117" s="582">
        <f t="shared" si="79"/>
        <v>130.00477799985228</v>
      </c>
      <c r="S117" s="582">
        <f t="shared" si="79"/>
        <v>121.16320903952614</v>
      </c>
      <c r="T117" s="582">
        <f t="shared" si="79"/>
        <v>111.96083244355115</v>
      </c>
      <c r="U117" s="582">
        <f t="shared" si="79"/>
        <v>101.81676950155759</v>
      </c>
      <c r="V117" s="582">
        <f t="shared" si="79"/>
        <v>90.669936486641262</v>
      </c>
      <c r="W117" s="582">
        <f t="shared" si="79"/>
        <v>78.455850474329296</v>
      </c>
      <c r="X117" s="582">
        <f t="shared" si="79"/>
        <v>81.156667411664458</v>
      </c>
      <c r="Y117" s="582">
        <f t="shared" si="79"/>
        <v>83.947645320618491</v>
      </c>
      <c r="Z117" s="582">
        <f t="shared" si="79"/>
        <v>86.831660535620969</v>
      </c>
      <c r="AA117" s="582">
        <f t="shared" si="79"/>
        <v>89.811674621309962</v>
      </c>
      <c r="AB117" s="582">
        <f t="shared" si="79"/>
        <v>92.890736563667488</v>
      </c>
      <c r="AC117" s="582">
        <f t="shared" si="79"/>
        <v>96.071984999056255</v>
      </c>
      <c r="AD117" s="582">
        <f t="shared" si="79"/>
        <v>99.358650480641174</v>
      </c>
      <c r="AE117" s="582">
        <f t="shared" si="79"/>
        <v>102.75405778157696</v>
      </c>
      <c r="AF117" s="582">
        <f t="shared" si="79"/>
        <v>106.26162823423506</v>
      </c>
      <c r="AG117" s="582">
        <f t="shared" si="79"/>
        <v>109.88488210461685</v>
      </c>
      <c r="AH117" s="582">
        <f t="shared" si="79"/>
        <v>114.3256988987779</v>
      </c>
      <c r="AI117" s="582">
        <f t="shared" si="79"/>
        <v>118.94598400033111</v>
      </c>
      <c r="AJ117" s="582">
        <f t="shared" si="79"/>
        <v>123.75299032576709</v>
      </c>
      <c r="AK117" s="582">
        <f t="shared" si="79"/>
        <v>128.75426390626828</v>
      </c>
      <c r="AL117" s="582">
        <f t="shared" si="79"/>
        <v>133.95765573345733</v>
      </c>
    </row>
    <row r="118" spans="1:38">
      <c r="B118" s="478" t="s">
        <v>710</v>
      </c>
      <c r="C118" s="484" t="s">
        <v>292</v>
      </c>
      <c r="D118" s="582">
        <f t="shared" ref="D118:AL118" si="80">(D$112*D92+D$113*D97+D$114*D102)/Grams.Per.Metric.Ton*D107</f>
        <v>438.17700075907095</v>
      </c>
      <c r="E118" s="582">
        <f t="shared" si="80"/>
        <v>434.26819910975456</v>
      </c>
      <c r="F118" s="582">
        <f t="shared" si="80"/>
        <v>428.41430850875673</v>
      </c>
      <c r="G118" s="582">
        <f t="shared" si="80"/>
        <v>420.33554799549034</v>
      </c>
      <c r="H118" s="582">
        <f t="shared" si="80"/>
        <v>409.79293519315411</v>
      </c>
      <c r="I118" s="582">
        <f t="shared" si="80"/>
        <v>394.96277637562082</v>
      </c>
      <c r="J118" s="582">
        <f t="shared" si="80"/>
        <v>377.31126188557829</v>
      </c>
      <c r="K118" s="582">
        <f t="shared" si="80"/>
        <v>356.52313692581293</v>
      </c>
      <c r="L118" s="582">
        <f t="shared" si="80"/>
        <v>332.35460988257887</v>
      </c>
      <c r="M118" s="582">
        <f t="shared" si="80"/>
        <v>304.45448685405421</v>
      </c>
      <c r="N118" s="582">
        <f t="shared" si="80"/>
        <v>293.28329661922032</v>
      </c>
      <c r="O118" s="582">
        <f t="shared" si="80"/>
        <v>280.71192879036141</v>
      </c>
      <c r="P118" s="582">
        <f t="shared" si="80"/>
        <v>266.64545684485995</v>
      </c>
      <c r="Q118" s="582">
        <f t="shared" si="80"/>
        <v>250.98356848659466</v>
      </c>
      <c r="R118" s="582">
        <f t="shared" si="80"/>
        <v>233.62028536925931</v>
      </c>
      <c r="S118" s="582">
        <f t="shared" si="80"/>
        <v>214.44366896220441</v>
      </c>
      <c r="T118" s="582">
        <f t="shared" si="80"/>
        <v>193.34078094133147</v>
      </c>
      <c r="U118" s="582">
        <f t="shared" si="80"/>
        <v>170.18197806639043</v>
      </c>
      <c r="V118" s="582">
        <f t="shared" si="80"/>
        <v>144.83555356798709</v>
      </c>
      <c r="W118" s="582">
        <f t="shared" si="80"/>
        <v>117.16251305266061</v>
      </c>
      <c r="X118" s="582">
        <f t="shared" si="80"/>
        <v>119.05106351734632</v>
      </c>
      <c r="Y118" s="582">
        <f t="shared" si="80"/>
        <v>120.90090488405833</v>
      </c>
      <c r="Z118" s="582">
        <f t="shared" si="80"/>
        <v>122.70582396890063</v>
      </c>
      <c r="AA118" s="582">
        <f t="shared" si="80"/>
        <v>124.45916861797861</v>
      </c>
      <c r="AB118" s="582">
        <f t="shared" si="80"/>
        <v>126.15382237451423</v>
      </c>
      <c r="AC118" s="582">
        <f t="shared" si="80"/>
        <v>127.78217781532858</v>
      </c>
      <c r="AD118" s="582">
        <f t="shared" si="80"/>
        <v>129.33610849052457</v>
      </c>
      <c r="AE118" s="582">
        <f t="shared" si="80"/>
        <v>130.80693939700018</v>
      </c>
      <c r="AF118" s="582">
        <f t="shared" si="80"/>
        <v>132.18541591314093</v>
      </c>
      <c r="AG118" s="582">
        <f t="shared" si="80"/>
        <v>133.46167111851523</v>
      </c>
      <c r="AH118" s="582">
        <f t="shared" si="80"/>
        <v>138.85530506641021</v>
      </c>
      <c r="AI118" s="582">
        <f t="shared" si="80"/>
        <v>144.46691385996743</v>
      </c>
      <c r="AJ118" s="582">
        <f t="shared" si="80"/>
        <v>150.30530659409411</v>
      </c>
      <c r="AK118" s="582">
        <f t="shared" si="80"/>
        <v>156.37964836878058</v>
      </c>
      <c r="AL118" s="582">
        <f t="shared" si="80"/>
        <v>162.6994746764606</v>
      </c>
    </row>
    <row r="119" spans="1:38">
      <c r="B119" s="478" t="s">
        <v>711</v>
      </c>
      <c r="C119" s="484" t="s">
        <v>292</v>
      </c>
      <c r="D119" s="582">
        <f t="shared" ref="D119:AL119" si="81">(D$112*D93+D$113*D98+D$114*D103)/Grams.Per.Metric.Ton*D108</f>
        <v>3.6821554013373854</v>
      </c>
      <c r="E119" s="582">
        <f t="shared" si="81"/>
        <v>3.767326169117811</v>
      </c>
      <c r="F119" s="582">
        <f t="shared" si="81"/>
        <v>3.8568861902645226</v>
      </c>
      <c r="G119" s="582">
        <f t="shared" si="81"/>
        <v>3.9411525102084815</v>
      </c>
      <c r="H119" s="582">
        <f t="shared" si="81"/>
        <v>4.0282647991100955</v>
      </c>
      <c r="I119" s="582">
        <f t="shared" si="81"/>
        <v>4.0725060369642669</v>
      </c>
      <c r="J119" s="582">
        <f t="shared" si="81"/>
        <v>4.1178673341583627</v>
      </c>
      <c r="K119" s="582">
        <f t="shared" si="81"/>
        <v>4.154429692518196</v>
      </c>
      <c r="L119" s="582">
        <f t="shared" si="81"/>
        <v>4.1811728750157853</v>
      </c>
      <c r="M119" s="582">
        <f t="shared" si="81"/>
        <v>4.188309618352223</v>
      </c>
      <c r="N119" s="582">
        <f t="shared" si="81"/>
        <v>4.1288827855197603</v>
      </c>
      <c r="O119" s="582">
        <f t="shared" si="81"/>
        <v>4.0578121654067747</v>
      </c>
      <c r="P119" s="582">
        <f t="shared" si="81"/>
        <v>3.9742536872245631</v>
      </c>
      <c r="Q119" s="582">
        <f t="shared" si="81"/>
        <v>3.8773140738097238</v>
      </c>
      <c r="R119" s="582">
        <f t="shared" si="81"/>
        <v>3.7660482430046853</v>
      </c>
      <c r="S119" s="582">
        <f t="shared" si="81"/>
        <v>3.6394565793652327</v>
      </c>
      <c r="T119" s="582">
        <f t="shared" si="81"/>
        <v>3.7423262359855651</v>
      </c>
      <c r="U119" s="582">
        <f t="shared" si="81"/>
        <v>3.8475664050944505</v>
      </c>
      <c r="V119" s="582">
        <f t="shared" si="81"/>
        <v>3.9552006766538104</v>
      </c>
      <c r="W119" s="582">
        <f t="shared" si="81"/>
        <v>4.0652506757104465</v>
      </c>
      <c r="X119" s="582">
        <f t="shared" si="81"/>
        <v>4.1960764101465546</v>
      </c>
      <c r="Y119" s="582">
        <f t="shared" si="81"/>
        <v>4.3308368312384724</v>
      </c>
      <c r="Z119" s="582">
        <f t="shared" si="81"/>
        <v>4.4696362970363372</v>
      </c>
      <c r="AA119" s="582">
        <f t="shared" si="81"/>
        <v>4.6125811742234024</v>
      </c>
      <c r="AB119" s="582">
        <f t="shared" si="81"/>
        <v>4.7597798300255425</v>
      </c>
      <c r="AC119" s="582">
        <f t="shared" si="81"/>
        <v>4.9113426201862511</v>
      </c>
      <c r="AD119" s="582">
        <f t="shared" si="81"/>
        <v>5.0673818727024491</v>
      </c>
      <c r="AE119" s="582">
        <f t="shared" si="81"/>
        <v>5.2280118669978055</v>
      </c>
      <c r="AF119" s="582">
        <f t="shared" si="81"/>
        <v>5.3933488081917265</v>
      </c>
      <c r="AG119" s="582">
        <f t="shared" si="81"/>
        <v>5.5635107961013475</v>
      </c>
      <c r="AH119" s="582">
        <f t="shared" si="81"/>
        <v>5.7883509352052958</v>
      </c>
      <c r="AI119" s="582">
        <f t="shared" si="81"/>
        <v>6.022277618760226</v>
      </c>
      <c r="AJ119" s="582">
        <f t="shared" si="81"/>
        <v>6.2656580645164386</v>
      </c>
      <c r="AK119" s="582">
        <f t="shared" si="81"/>
        <v>6.5188743307256898</v>
      </c>
      <c r="AL119" s="582">
        <f t="shared" si="81"/>
        <v>6.7823239158956552</v>
      </c>
    </row>
    <row r="120" spans="1:38">
      <c r="D120" s="358"/>
      <c r="F120" s="464"/>
      <c r="G120" s="465"/>
      <c r="H120" s="465"/>
    </row>
    <row r="121" spans="1:38" ht="13">
      <c r="B121" s="493" t="s">
        <v>463</v>
      </c>
      <c r="C121" s="487" t="s">
        <v>292</v>
      </c>
      <c r="D121" s="488">
        <f t="shared" ref="D121:AL121" si="82">D116</f>
        <v>294.11063501895484</v>
      </c>
      <c r="E121" s="488">
        <f t="shared" si="82"/>
        <v>308.54157326174374</v>
      </c>
      <c r="F121" s="488">
        <f t="shared" si="82"/>
        <v>323.52744769821379</v>
      </c>
      <c r="G121" s="488">
        <f t="shared" si="82"/>
        <v>339.08424398139891</v>
      </c>
      <c r="H121" s="488">
        <f t="shared" si="82"/>
        <v>355.22811934463618</v>
      </c>
      <c r="I121" s="488">
        <f t="shared" si="82"/>
        <v>371.97538170716138</v>
      </c>
      <c r="J121" s="488">
        <f t="shared" si="82"/>
        <v>389.34246646091714</v>
      </c>
      <c r="K121" s="488">
        <f t="shared" si="82"/>
        <v>407.34591077110878</v>
      </c>
      <c r="L121" s="488">
        <f t="shared" si="82"/>
        <v>426.00232521278394</v>
      </c>
      <c r="M121" s="488">
        <f t="shared" si="82"/>
        <v>445.32836255478503</v>
      </c>
      <c r="N121" s="488">
        <f t="shared" si="82"/>
        <v>464.54110175541422</v>
      </c>
      <c r="O121" s="488">
        <f t="shared" si="82"/>
        <v>484.36529273398372</v>
      </c>
      <c r="P121" s="488">
        <f t="shared" si="82"/>
        <v>504.81032469876317</v>
      </c>
      <c r="Q121" s="488">
        <f t="shared" si="82"/>
        <v>533.97553581721309</v>
      </c>
      <c r="R121" s="488">
        <f t="shared" si="82"/>
        <v>555.89437496602989</v>
      </c>
      <c r="S121" s="488">
        <f t="shared" si="82"/>
        <v>578.46183990762017</v>
      </c>
      <c r="T121" s="488">
        <f t="shared" si="82"/>
        <v>601.73973151868393</v>
      </c>
      <c r="U121" s="488">
        <f t="shared" si="82"/>
        <v>625.68441939642503</v>
      </c>
      <c r="V121" s="488">
        <f t="shared" si="82"/>
        <v>650.30087205119571</v>
      </c>
      <c r="W121" s="488">
        <f t="shared" si="82"/>
        <v>675.59292971206673</v>
      </c>
      <c r="X121" s="488">
        <f t="shared" si="82"/>
        <v>705.3264226757949</v>
      </c>
      <c r="Y121" s="488">
        <f t="shared" si="82"/>
        <v>746.09876190456055</v>
      </c>
      <c r="Z121" s="488">
        <f t="shared" si="82"/>
        <v>778.33845522847605</v>
      </c>
      <c r="AA121" s="488">
        <f t="shared" si="82"/>
        <v>811.73919283021257</v>
      </c>
      <c r="AB121" s="488">
        <f t="shared" si="82"/>
        <v>846.33302040299338</v>
      </c>
      <c r="AC121" s="488">
        <f t="shared" si="82"/>
        <v>882.15230804324506</v>
      </c>
      <c r="AD121" s="488">
        <f t="shared" si="82"/>
        <v>919.22970920075045</v>
      </c>
      <c r="AE121" s="488">
        <f t="shared" si="82"/>
        <v>957.59811517762535</v>
      </c>
      <c r="AF121" s="488">
        <f t="shared" si="82"/>
        <v>1009.4526854060097</v>
      </c>
      <c r="AG121" s="488">
        <f t="shared" si="82"/>
        <v>1050.8505145113727</v>
      </c>
      <c r="AH121" s="488">
        <f t="shared" si="82"/>
        <v>1093.3189098321409</v>
      </c>
      <c r="AI121" s="488">
        <f t="shared" si="82"/>
        <v>1137.5035955064993</v>
      </c>
      <c r="AJ121" s="488">
        <f t="shared" si="82"/>
        <v>1183.4739325864857</v>
      </c>
      <c r="AK121" s="488">
        <f t="shared" si="82"/>
        <v>1231.3020852369857</v>
      </c>
      <c r="AL121" s="488">
        <f t="shared" si="82"/>
        <v>1281.0631340189288</v>
      </c>
    </row>
    <row r="122" spans="1:38" ht="13">
      <c r="B122" s="494" t="s">
        <v>464</v>
      </c>
      <c r="C122" s="487" t="s">
        <v>292</v>
      </c>
      <c r="D122" s="488">
        <f t="shared" ref="D122:AL122" si="83">SUM(D116:D119)</f>
        <v>1010.4087684379148</v>
      </c>
      <c r="E122" s="488">
        <f t="shared" si="83"/>
        <v>1015.3159402958053</v>
      </c>
      <c r="F122" s="488">
        <f t="shared" si="83"/>
        <v>1019.0064585304117</v>
      </c>
      <c r="G122" s="488">
        <f t="shared" si="83"/>
        <v>1017.7967786510173</v>
      </c>
      <c r="H122" s="488">
        <f t="shared" si="83"/>
        <v>1013.0039661151706</v>
      </c>
      <c r="I122" s="488">
        <f t="shared" si="83"/>
        <v>1002.6280471027731</v>
      </c>
      <c r="J122" s="488">
        <f t="shared" si="83"/>
        <v>989.30193761642579</v>
      </c>
      <c r="K122" s="488">
        <f t="shared" si="83"/>
        <v>969.91361550469685</v>
      </c>
      <c r="L122" s="488">
        <f t="shared" si="83"/>
        <v>945.41790936878715</v>
      </c>
      <c r="M122" s="488">
        <f t="shared" si="83"/>
        <v>916.18025370982684</v>
      </c>
      <c r="N122" s="488">
        <f t="shared" si="83"/>
        <v>919.1553137492283</v>
      </c>
      <c r="O122" s="488">
        <f t="shared" si="83"/>
        <v>920.66037355796345</v>
      </c>
      <c r="P122" s="488">
        <f t="shared" si="83"/>
        <v>920.5631054403915</v>
      </c>
      <c r="Q122" s="488">
        <f t="shared" si="83"/>
        <v>926.81307565809084</v>
      </c>
      <c r="R122" s="488">
        <f t="shared" si="83"/>
        <v>923.28548657814622</v>
      </c>
      <c r="S122" s="488">
        <f t="shared" si="83"/>
        <v>917.70817448871594</v>
      </c>
      <c r="T122" s="488">
        <f t="shared" si="83"/>
        <v>910.7836711395521</v>
      </c>
      <c r="U122" s="488">
        <f t="shared" si="83"/>
        <v>901.5307333694675</v>
      </c>
      <c r="V122" s="488">
        <f t="shared" si="83"/>
        <v>889.76156278247788</v>
      </c>
      <c r="W122" s="488">
        <f t="shared" si="83"/>
        <v>875.2765439147671</v>
      </c>
      <c r="X122" s="488">
        <f t="shared" si="83"/>
        <v>909.73023001495221</v>
      </c>
      <c r="Y122" s="488">
        <f t="shared" si="83"/>
        <v>955.27814894047583</v>
      </c>
      <c r="Z122" s="488">
        <f t="shared" si="83"/>
        <v>992.34557603003395</v>
      </c>
      <c r="AA122" s="488">
        <f t="shared" si="83"/>
        <v>1030.6226172437246</v>
      </c>
      <c r="AB122" s="488">
        <f t="shared" si="83"/>
        <v>1070.1373591712006</v>
      </c>
      <c r="AC122" s="488">
        <f t="shared" si="83"/>
        <v>1110.9178134778163</v>
      </c>
      <c r="AD122" s="488">
        <f t="shared" si="83"/>
        <v>1152.9918500446186</v>
      </c>
      <c r="AE122" s="488">
        <f t="shared" si="83"/>
        <v>1196.3871242232003</v>
      </c>
      <c r="AF122" s="488">
        <f t="shared" si="83"/>
        <v>1253.2930783615775</v>
      </c>
      <c r="AG122" s="488">
        <f t="shared" si="83"/>
        <v>1299.7605785306059</v>
      </c>
      <c r="AH122" s="488">
        <f t="shared" si="83"/>
        <v>1352.2882647325343</v>
      </c>
      <c r="AI122" s="488">
        <f t="shared" si="83"/>
        <v>1406.938770985558</v>
      </c>
      <c r="AJ122" s="488">
        <f t="shared" si="83"/>
        <v>1463.7978875708634</v>
      </c>
      <c r="AK122" s="488">
        <f t="shared" si="83"/>
        <v>1522.9548718427604</v>
      </c>
      <c r="AL122" s="488">
        <f t="shared" si="83"/>
        <v>1584.5025883447424</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'1600 South'!D48</f>
        <v>1651.0973708143879</v>
      </c>
      <c r="E126" s="383">
        <f>'1600 South'!E48</f>
        <v>1717.8237556698302</v>
      </c>
      <c r="F126" s="383">
        <f>'1600 South'!F48</f>
        <v>1787.2467776313456</v>
      </c>
      <c r="G126" s="383">
        <f>'1600 South'!G48</f>
        <v>1859.4754168527002</v>
      </c>
      <c r="H126" s="383">
        <f>'1600 South'!H48</f>
        <v>0</v>
      </c>
      <c r="I126" s="383">
        <f>'1600 South'!I48</f>
        <v>0</v>
      </c>
      <c r="J126" s="383">
        <f>'1600 South'!J48</f>
        <v>0</v>
      </c>
      <c r="K126" s="383">
        <f>'1600 South'!K48</f>
        <v>0</v>
      </c>
      <c r="L126" s="383">
        <f>'1600 South'!L48</f>
        <v>0</v>
      </c>
      <c r="M126" s="383">
        <f>'1600 South'!M48</f>
        <v>0</v>
      </c>
      <c r="N126" s="383">
        <f>'1600 South'!N48</f>
        <v>0</v>
      </c>
      <c r="O126" s="383">
        <f>'1600 South'!O48</f>
        <v>0</v>
      </c>
      <c r="P126" s="383">
        <f>'1600 South'!P48</f>
        <v>0</v>
      </c>
      <c r="Q126" s="383">
        <f>'1600 South'!Q48</f>
        <v>0</v>
      </c>
      <c r="R126" s="383">
        <f>'1600 South'!R48</f>
        <v>0</v>
      </c>
      <c r="S126" s="383">
        <f>'1600 South'!S48</f>
        <v>0</v>
      </c>
      <c r="T126" s="383">
        <f>'1600 South'!T48</f>
        <v>0</v>
      </c>
      <c r="U126" s="383">
        <f>'1600 South'!U48</f>
        <v>0</v>
      </c>
      <c r="V126" s="383">
        <f>'1600 South'!V48</f>
        <v>0</v>
      </c>
      <c r="W126" s="383">
        <f>'1600 South'!W48</f>
        <v>0</v>
      </c>
      <c r="X126" s="383">
        <f>'1600 South'!X48</f>
        <v>0</v>
      </c>
      <c r="Y126" s="383">
        <f>'1600 South'!Y48</f>
        <v>0</v>
      </c>
      <c r="Z126" s="383">
        <f>'1600 South'!Z48</f>
        <v>0</v>
      </c>
      <c r="AA126" s="383">
        <f>'1600 South'!AA48</f>
        <v>0</v>
      </c>
      <c r="AB126" s="383">
        <f>'1600 South'!AB48</f>
        <v>0</v>
      </c>
      <c r="AC126" s="383">
        <f>'1600 South'!AC48</f>
        <v>0</v>
      </c>
      <c r="AD126" s="383">
        <f>'1600 South'!AD48</f>
        <v>0</v>
      </c>
      <c r="AE126" s="383">
        <f>'1600 South'!AE48</f>
        <v>0</v>
      </c>
      <c r="AF126" s="383">
        <f>'1600 South'!AF48</f>
        <v>0</v>
      </c>
      <c r="AG126" s="383">
        <f>'1600 South'!AG48</f>
        <v>0</v>
      </c>
      <c r="AH126" s="383">
        <f>'1600 South'!AH48</f>
        <v>0</v>
      </c>
      <c r="AI126" s="383">
        <f>'1600 South'!AI48</f>
        <v>0</v>
      </c>
      <c r="AJ126" s="383">
        <f>'1600 South'!AJ48</f>
        <v>0</v>
      </c>
      <c r="AK126" s="383">
        <f>'1600 South'!AK48</f>
        <v>0</v>
      </c>
      <c r="AL126" s="383">
        <f>'1600 South'!AL48</f>
        <v>0</v>
      </c>
    </row>
    <row r="127" spans="1:38">
      <c r="B127" s="385" t="s">
        <v>509</v>
      </c>
      <c r="C127" s="386" t="s">
        <v>443</v>
      </c>
      <c r="D127" s="383">
        <f>'1600 South'!D49</f>
        <v>185.6834650038673</v>
      </c>
      <c r="E127" s="383">
        <f>'1600 South'!E49</f>
        <v>193.18755686795214</v>
      </c>
      <c r="F127" s="383">
        <f>'1600 South'!F49</f>
        <v>200.99491426353416</v>
      </c>
      <c r="G127" s="383">
        <f>'1600 South'!G49</f>
        <v>209.11779316831985</v>
      </c>
      <c r="H127" s="383">
        <f>'1600 South'!H49</f>
        <v>0</v>
      </c>
      <c r="I127" s="383">
        <f>'1600 South'!I49</f>
        <v>0</v>
      </c>
      <c r="J127" s="383">
        <f>'1600 South'!J49</f>
        <v>0</v>
      </c>
      <c r="K127" s="383">
        <f>'1600 South'!K49</f>
        <v>0</v>
      </c>
      <c r="L127" s="383">
        <f>'1600 South'!L49</f>
        <v>0</v>
      </c>
      <c r="M127" s="383">
        <f>'1600 South'!M49</f>
        <v>0</v>
      </c>
      <c r="N127" s="383">
        <f>'1600 South'!N49</f>
        <v>0</v>
      </c>
      <c r="O127" s="383">
        <f>'1600 South'!O49</f>
        <v>0</v>
      </c>
      <c r="P127" s="383">
        <f>'1600 South'!P49</f>
        <v>0</v>
      </c>
      <c r="Q127" s="383">
        <f>'1600 South'!Q49</f>
        <v>0</v>
      </c>
      <c r="R127" s="383">
        <f>'1600 South'!R49</f>
        <v>0</v>
      </c>
      <c r="S127" s="383">
        <f>'1600 South'!S49</f>
        <v>0</v>
      </c>
      <c r="T127" s="383">
        <f>'1600 South'!T49</f>
        <v>0</v>
      </c>
      <c r="U127" s="383">
        <f>'1600 South'!U49</f>
        <v>0</v>
      </c>
      <c r="V127" s="383">
        <f>'1600 South'!V49</f>
        <v>0</v>
      </c>
      <c r="W127" s="383">
        <f>'1600 South'!W49</f>
        <v>0</v>
      </c>
      <c r="X127" s="383">
        <f>'1600 South'!X49</f>
        <v>0</v>
      </c>
      <c r="Y127" s="383">
        <f>'1600 South'!Y49</f>
        <v>0</v>
      </c>
      <c r="Z127" s="383">
        <f>'1600 South'!Z49</f>
        <v>0</v>
      </c>
      <c r="AA127" s="383">
        <f>'1600 South'!AA49</f>
        <v>0</v>
      </c>
      <c r="AB127" s="383">
        <f>'1600 South'!AB49</f>
        <v>0</v>
      </c>
      <c r="AC127" s="383">
        <f>'1600 South'!AC49</f>
        <v>0</v>
      </c>
      <c r="AD127" s="383">
        <f>'1600 South'!AD49</f>
        <v>0</v>
      </c>
      <c r="AE127" s="383">
        <f>'1600 South'!AE49</f>
        <v>0</v>
      </c>
      <c r="AF127" s="383">
        <f>'1600 South'!AF49</f>
        <v>0</v>
      </c>
      <c r="AG127" s="383">
        <f>'1600 South'!AG49</f>
        <v>0</v>
      </c>
      <c r="AH127" s="383">
        <f>'1600 South'!AH49</f>
        <v>0</v>
      </c>
      <c r="AI127" s="383">
        <f>'1600 South'!AI49</f>
        <v>0</v>
      </c>
      <c r="AJ127" s="383">
        <f>'1600 South'!AJ49</f>
        <v>0</v>
      </c>
      <c r="AK127" s="383">
        <f>'1600 South'!AK49</f>
        <v>0</v>
      </c>
      <c r="AL127" s="383">
        <f>'1600 South'!AL49</f>
        <v>0</v>
      </c>
    </row>
    <row r="128" spans="1:38">
      <c r="B128" s="358" t="s">
        <v>769</v>
      </c>
      <c r="C128" s="358" t="s">
        <v>443</v>
      </c>
      <c r="D128" s="383">
        <f>'1600 South'!D50</f>
        <v>19.868130755413798</v>
      </c>
      <c r="E128" s="383">
        <f>'1600 South'!E50</f>
        <v>20.671068584870877</v>
      </c>
      <c r="F128" s="383">
        <f>'1600 South'!F50</f>
        <v>21.506455826198152</v>
      </c>
      <c r="G128" s="383">
        <f>'1600 South'!G50</f>
        <v>22.375603869010224</v>
      </c>
      <c r="H128" s="383">
        <f>'1600 South'!H50</f>
        <v>0</v>
      </c>
      <c r="I128" s="383">
        <f>'1600 South'!I50</f>
        <v>0</v>
      </c>
      <c r="J128" s="383">
        <f>'1600 South'!J50</f>
        <v>0</v>
      </c>
      <c r="K128" s="383">
        <f>'1600 South'!K50</f>
        <v>0</v>
      </c>
      <c r="L128" s="383">
        <f>'1600 South'!L50</f>
        <v>0</v>
      </c>
      <c r="M128" s="383">
        <f>'1600 South'!M50</f>
        <v>0</v>
      </c>
      <c r="N128" s="383">
        <f>'1600 South'!N50</f>
        <v>0</v>
      </c>
      <c r="O128" s="383">
        <f>'1600 South'!O50</f>
        <v>0</v>
      </c>
      <c r="P128" s="383">
        <f>'1600 South'!P50</f>
        <v>0</v>
      </c>
      <c r="Q128" s="383">
        <f>'1600 South'!Q50</f>
        <v>0</v>
      </c>
      <c r="R128" s="383">
        <f>'1600 South'!R50</f>
        <v>0</v>
      </c>
      <c r="S128" s="383">
        <f>'1600 South'!S50</f>
        <v>0</v>
      </c>
      <c r="T128" s="383">
        <f>'1600 South'!T50</f>
        <v>0</v>
      </c>
      <c r="U128" s="383">
        <f>'1600 South'!U50</f>
        <v>0</v>
      </c>
      <c r="V128" s="383">
        <f>'1600 South'!V50</f>
        <v>0</v>
      </c>
      <c r="W128" s="383">
        <f>'1600 South'!W50</f>
        <v>0</v>
      </c>
      <c r="X128" s="383">
        <f>'1600 South'!X50</f>
        <v>0</v>
      </c>
      <c r="Y128" s="383">
        <f>'1600 South'!Y50</f>
        <v>0</v>
      </c>
      <c r="Z128" s="383">
        <f>'1600 South'!Z50</f>
        <v>0</v>
      </c>
      <c r="AA128" s="383">
        <f>'1600 South'!AA50</f>
        <v>0</v>
      </c>
      <c r="AB128" s="383">
        <f>'1600 South'!AB50</f>
        <v>0</v>
      </c>
      <c r="AC128" s="383">
        <f>'1600 South'!AC50</f>
        <v>0</v>
      </c>
      <c r="AD128" s="383">
        <f>'1600 South'!AD50</f>
        <v>0</v>
      </c>
      <c r="AE128" s="383">
        <f>'1600 South'!AE50</f>
        <v>0</v>
      </c>
      <c r="AF128" s="383">
        <f>'1600 South'!AF50</f>
        <v>0</v>
      </c>
      <c r="AG128" s="383">
        <f>'1600 South'!AG50</f>
        <v>0</v>
      </c>
      <c r="AH128" s="383">
        <f>'1600 South'!AH50</f>
        <v>0</v>
      </c>
      <c r="AI128" s="383">
        <f>'1600 South'!AI50</f>
        <v>0</v>
      </c>
      <c r="AJ128" s="383">
        <f>'1600 South'!AJ50</f>
        <v>0</v>
      </c>
      <c r="AK128" s="383">
        <f>'1600 South'!AK50</f>
        <v>0</v>
      </c>
      <c r="AL128" s="383">
        <f>'1600 South'!AL50</f>
        <v>0</v>
      </c>
    </row>
    <row r="129" spans="1:38">
      <c r="D129" s="358"/>
      <c r="F129" s="464"/>
      <c r="G129" s="465"/>
      <c r="H129" s="465"/>
    </row>
    <row r="130" spans="1:38">
      <c r="B130" s="476" t="s">
        <v>708</v>
      </c>
      <c r="C130" s="484" t="s">
        <v>292</v>
      </c>
      <c r="D130" s="582">
        <f t="shared" ref="D130:AL130" si="84">(D$126*D90+D$127*D95+D$128*D100)/Grams.Per.Metric.Ton*D105</f>
        <v>294.11063501895484</v>
      </c>
      <c r="E130" s="582">
        <f t="shared" si="84"/>
        <v>308.54157326174374</v>
      </c>
      <c r="F130" s="582">
        <f t="shared" si="84"/>
        <v>323.52744769821379</v>
      </c>
      <c r="G130" s="582">
        <f t="shared" si="84"/>
        <v>339.08424398139891</v>
      </c>
      <c r="H130" s="582">
        <f t="shared" si="84"/>
        <v>0</v>
      </c>
      <c r="I130" s="582">
        <f t="shared" si="84"/>
        <v>0</v>
      </c>
      <c r="J130" s="582">
        <f t="shared" si="84"/>
        <v>0</v>
      </c>
      <c r="K130" s="582">
        <f t="shared" si="84"/>
        <v>0</v>
      </c>
      <c r="L130" s="582">
        <f t="shared" si="84"/>
        <v>0</v>
      </c>
      <c r="M130" s="582">
        <f t="shared" si="84"/>
        <v>0</v>
      </c>
      <c r="N130" s="582">
        <f t="shared" si="84"/>
        <v>0</v>
      </c>
      <c r="O130" s="582">
        <f t="shared" si="84"/>
        <v>0</v>
      </c>
      <c r="P130" s="582">
        <f t="shared" si="84"/>
        <v>0</v>
      </c>
      <c r="Q130" s="582">
        <f t="shared" si="84"/>
        <v>0</v>
      </c>
      <c r="R130" s="582">
        <f t="shared" si="84"/>
        <v>0</v>
      </c>
      <c r="S130" s="582">
        <f t="shared" si="84"/>
        <v>0</v>
      </c>
      <c r="T130" s="582">
        <f t="shared" si="84"/>
        <v>0</v>
      </c>
      <c r="U130" s="582">
        <f t="shared" si="84"/>
        <v>0</v>
      </c>
      <c r="V130" s="582">
        <f t="shared" si="84"/>
        <v>0</v>
      </c>
      <c r="W130" s="582">
        <f t="shared" si="84"/>
        <v>0</v>
      </c>
      <c r="X130" s="582">
        <f t="shared" si="84"/>
        <v>0</v>
      </c>
      <c r="Y130" s="582">
        <f t="shared" si="84"/>
        <v>0</v>
      </c>
      <c r="Z130" s="582">
        <f t="shared" si="84"/>
        <v>0</v>
      </c>
      <c r="AA130" s="582">
        <f t="shared" si="84"/>
        <v>0</v>
      </c>
      <c r="AB130" s="582">
        <f t="shared" si="84"/>
        <v>0</v>
      </c>
      <c r="AC130" s="582">
        <f t="shared" si="84"/>
        <v>0</v>
      </c>
      <c r="AD130" s="582">
        <f t="shared" si="84"/>
        <v>0</v>
      </c>
      <c r="AE130" s="582">
        <f t="shared" si="84"/>
        <v>0</v>
      </c>
      <c r="AF130" s="582">
        <f t="shared" si="84"/>
        <v>0</v>
      </c>
      <c r="AG130" s="582">
        <f t="shared" si="84"/>
        <v>0</v>
      </c>
      <c r="AH130" s="582">
        <f t="shared" si="84"/>
        <v>0</v>
      </c>
      <c r="AI130" s="582">
        <f t="shared" si="84"/>
        <v>0</v>
      </c>
      <c r="AJ130" s="582">
        <f t="shared" si="84"/>
        <v>0</v>
      </c>
      <c r="AK130" s="582">
        <f t="shared" si="84"/>
        <v>0</v>
      </c>
      <c r="AL130" s="582">
        <f t="shared" si="84"/>
        <v>0</v>
      </c>
    </row>
    <row r="131" spans="1:38">
      <c r="B131" s="478" t="s">
        <v>709</v>
      </c>
      <c r="C131" s="484" t="s">
        <v>292</v>
      </c>
      <c r="D131" s="582">
        <f t="shared" ref="D131:AL131" si="85">(D$126*D91+D$127*D96+D$128*D101)/Grams.Per.Metric.Ton*D106</f>
        <v>274.43897725855157</v>
      </c>
      <c r="E131" s="582">
        <f t="shared" si="85"/>
        <v>268.73884175518907</v>
      </c>
      <c r="F131" s="582">
        <f t="shared" si="85"/>
        <v>263.20781613317661</v>
      </c>
      <c r="G131" s="582">
        <f t="shared" si="85"/>
        <v>254.43583416391974</v>
      </c>
      <c r="H131" s="582">
        <f t="shared" si="85"/>
        <v>0</v>
      </c>
      <c r="I131" s="582">
        <f t="shared" si="85"/>
        <v>0</v>
      </c>
      <c r="J131" s="582">
        <f t="shared" si="85"/>
        <v>0</v>
      </c>
      <c r="K131" s="582">
        <f t="shared" si="85"/>
        <v>0</v>
      </c>
      <c r="L131" s="582">
        <f t="shared" si="85"/>
        <v>0</v>
      </c>
      <c r="M131" s="582">
        <f t="shared" si="85"/>
        <v>0</v>
      </c>
      <c r="N131" s="582">
        <f t="shared" si="85"/>
        <v>0</v>
      </c>
      <c r="O131" s="582">
        <f t="shared" si="85"/>
        <v>0</v>
      </c>
      <c r="P131" s="582">
        <f t="shared" si="85"/>
        <v>0</v>
      </c>
      <c r="Q131" s="582">
        <f t="shared" si="85"/>
        <v>0</v>
      </c>
      <c r="R131" s="582">
        <f t="shared" si="85"/>
        <v>0</v>
      </c>
      <c r="S131" s="582">
        <f t="shared" si="85"/>
        <v>0</v>
      </c>
      <c r="T131" s="582">
        <f t="shared" si="85"/>
        <v>0</v>
      </c>
      <c r="U131" s="582">
        <f t="shared" si="85"/>
        <v>0</v>
      </c>
      <c r="V131" s="582">
        <f t="shared" si="85"/>
        <v>0</v>
      </c>
      <c r="W131" s="582">
        <f t="shared" si="85"/>
        <v>0</v>
      </c>
      <c r="X131" s="582">
        <f t="shared" si="85"/>
        <v>0</v>
      </c>
      <c r="Y131" s="582">
        <f t="shared" si="85"/>
        <v>0</v>
      </c>
      <c r="Z131" s="582">
        <f t="shared" si="85"/>
        <v>0</v>
      </c>
      <c r="AA131" s="582">
        <f t="shared" si="85"/>
        <v>0</v>
      </c>
      <c r="AB131" s="582">
        <f t="shared" si="85"/>
        <v>0</v>
      </c>
      <c r="AC131" s="582">
        <f t="shared" si="85"/>
        <v>0</v>
      </c>
      <c r="AD131" s="582">
        <f t="shared" si="85"/>
        <v>0</v>
      </c>
      <c r="AE131" s="582">
        <f t="shared" si="85"/>
        <v>0</v>
      </c>
      <c r="AF131" s="582">
        <f t="shared" si="85"/>
        <v>0</v>
      </c>
      <c r="AG131" s="582">
        <f t="shared" si="85"/>
        <v>0</v>
      </c>
      <c r="AH131" s="582">
        <f t="shared" si="85"/>
        <v>0</v>
      </c>
      <c r="AI131" s="582">
        <f t="shared" si="85"/>
        <v>0</v>
      </c>
      <c r="AJ131" s="582">
        <f t="shared" si="85"/>
        <v>0</v>
      </c>
      <c r="AK131" s="582">
        <f t="shared" si="85"/>
        <v>0</v>
      </c>
      <c r="AL131" s="582">
        <f t="shared" si="85"/>
        <v>0</v>
      </c>
    </row>
    <row r="132" spans="1:38">
      <c r="B132" s="478" t="s">
        <v>710</v>
      </c>
      <c r="C132" s="484" t="s">
        <v>292</v>
      </c>
      <c r="D132" s="582">
        <f t="shared" ref="D132:AL132" si="86">(D$126*D92+D$127*D97+D$128*D102)/Grams.Per.Metric.Ton*D107</f>
        <v>438.17700075907095</v>
      </c>
      <c r="E132" s="582">
        <f t="shared" si="86"/>
        <v>434.26819910975456</v>
      </c>
      <c r="F132" s="582">
        <f t="shared" si="86"/>
        <v>428.41430850875673</v>
      </c>
      <c r="G132" s="582">
        <f t="shared" si="86"/>
        <v>420.33554799549034</v>
      </c>
      <c r="H132" s="582">
        <f t="shared" si="86"/>
        <v>0</v>
      </c>
      <c r="I132" s="582">
        <f t="shared" si="86"/>
        <v>0</v>
      </c>
      <c r="J132" s="582">
        <f t="shared" si="86"/>
        <v>0</v>
      </c>
      <c r="K132" s="582">
        <f t="shared" si="86"/>
        <v>0</v>
      </c>
      <c r="L132" s="582">
        <f t="shared" si="86"/>
        <v>0</v>
      </c>
      <c r="M132" s="582">
        <f t="shared" si="86"/>
        <v>0</v>
      </c>
      <c r="N132" s="582">
        <f t="shared" si="86"/>
        <v>0</v>
      </c>
      <c r="O132" s="582">
        <f t="shared" si="86"/>
        <v>0</v>
      </c>
      <c r="P132" s="582">
        <f t="shared" si="86"/>
        <v>0</v>
      </c>
      <c r="Q132" s="582">
        <f t="shared" si="86"/>
        <v>0</v>
      </c>
      <c r="R132" s="582">
        <f t="shared" si="86"/>
        <v>0</v>
      </c>
      <c r="S132" s="582">
        <f t="shared" si="86"/>
        <v>0</v>
      </c>
      <c r="T132" s="582">
        <f t="shared" si="86"/>
        <v>0</v>
      </c>
      <c r="U132" s="582">
        <f t="shared" si="86"/>
        <v>0</v>
      </c>
      <c r="V132" s="582">
        <f t="shared" si="86"/>
        <v>0</v>
      </c>
      <c r="W132" s="582">
        <f t="shared" si="86"/>
        <v>0</v>
      </c>
      <c r="X132" s="582">
        <f t="shared" si="86"/>
        <v>0</v>
      </c>
      <c r="Y132" s="582">
        <f t="shared" si="86"/>
        <v>0</v>
      </c>
      <c r="Z132" s="582">
        <f t="shared" si="86"/>
        <v>0</v>
      </c>
      <c r="AA132" s="582">
        <f t="shared" si="86"/>
        <v>0</v>
      </c>
      <c r="AB132" s="582">
        <f t="shared" si="86"/>
        <v>0</v>
      </c>
      <c r="AC132" s="582">
        <f t="shared" si="86"/>
        <v>0</v>
      </c>
      <c r="AD132" s="582">
        <f t="shared" si="86"/>
        <v>0</v>
      </c>
      <c r="AE132" s="582">
        <f t="shared" si="86"/>
        <v>0</v>
      </c>
      <c r="AF132" s="582">
        <f t="shared" si="86"/>
        <v>0</v>
      </c>
      <c r="AG132" s="582">
        <f t="shared" si="86"/>
        <v>0</v>
      </c>
      <c r="AH132" s="582">
        <f t="shared" si="86"/>
        <v>0</v>
      </c>
      <c r="AI132" s="582">
        <f t="shared" si="86"/>
        <v>0</v>
      </c>
      <c r="AJ132" s="582">
        <f t="shared" si="86"/>
        <v>0</v>
      </c>
      <c r="AK132" s="582">
        <f t="shared" si="86"/>
        <v>0</v>
      </c>
      <c r="AL132" s="582">
        <f t="shared" si="86"/>
        <v>0</v>
      </c>
    </row>
    <row r="133" spans="1:38">
      <c r="B133" s="478" t="s">
        <v>711</v>
      </c>
      <c r="C133" s="484" t="s">
        <v>292</v>
      </c>
      <c r="D133" s="582">
        <f t="shared" ref="D133:AL133" si="87">(D$126*D93+D$127*D98+D$128*D103)/Grams.Per.Metric.Ton*D108</f>
        <v>3.6821554013373854</v>
      </c>
      <c r="E133" s="582">
        <f t="shared" si="87"/>
        <v>3.767326169117811</v>
      </c>
      <c r="F133" s="582">
        <f t="shared" si="87"/>
        <v>3.8568861902645226</v>
      </c>
      <c r="G133" s="582">
        <f t="shared" si="87"/>
        <v>3.9411525102084815</v>
      </c>
      <c r="H133" s="582">
        <f t="shared" si="87"/>
        <v>0</v>
      </c>
      <c r="I133" s="582">
        <f t="shared" si="87"/>
        <v>0</v>
      </c>
      <c r="J133" s="582">
        <f t="shared" si="87"/>
        <v>0</v>
      </c>
      <c r="K133" s="582">
        <f t="shared" si="87"/>
        <v>0</v>
      </c>
      <c r="L133" s="582">
        <f t="shared" si="87"/>
        <v>0</v>
      </c>
      <c r="M133" s="582">
        <f t="shared" si="87"/>
        <v>0</v>
      </c>
      <c r="N133" s="582">
        <f t="shared" si="87"/>
        <v>0</v>
      </c>
      <c r="O133" s="582">
        <f t="shared" si="87"/>
        <v>0</v>
      </c>
      <c r="P133" s="582">
        <f t="shared" si="87"/>
        <v>0</v>
      </c>
      <c r="Q133" s="582">
        <f t="shared" si="87"/>
        <v>0</v>
      </c>
      <c r="R133" s="582">
        <f t="shared" si="87"/>
        <v>0</v>
      </c>
      <c r="S133" s="582">
        <f t="shared" si="87"/>
        <v>0</v>
      </c>
      <c r="T133" s="582">
        <f t="shared" si="87"/>
        <v>0</v>
      </c>
      <c r="U133" s="582">
        <f t="shared" si="87"/>
        <v>0</v>
      </c>
      <c r="V133" s="582">
        <f t="shared" si="87"/>
        <v>0</v>
      </c>
      <c r="W133" s="582">
        <f t="shared" si="87"/>
        <v>0</v>
      </c>
      <c r="X133" s="582">
        <f t="shared" si="87"/>
        <v>0</v>
      </c>
      <c r="Y133" s="582">
        <f t="shared" si="87"/>
        <v>0</v>
      </c>
      <c r="Z133" s="582">
        <f t="shared" si="87"/>
        <v>0</v>
      </c>
      <c r="AA133" s="582">
        <f t="shared" si="87"/>
        <v>0</v>
      </c>
      <c r="AB133" s="582">
        <f t="shared" si="87"/>
        <v>0</v>
      </c>
      <c r="AC133" s="582">
        <f t="shared" si="87"/>
        <v>0</v>
      </c>
      <c r="AD133" s="582">
        <f t="shared" si="87"/>
        <v>0</v>
      </c>
      <c r="AE133" s="582">
        <f t="shared" si="87"/>
        <v>0</v>
      </c>
      <c r="AF133" s="582">
        <f t="shared" si="87"/>
        <v>0</v>
      </c>
      <c r="AG133" s="582">
        <f t="shared" si="87"/>
        <v>0</v>
      </c>
      <c r="AH133" s="582">
        <f t="shared" si="87"/>
        <v>0</v>
      </c>
      <c r="AI133" s="582">
        <f t="shared" si="87"/>
        <v>0</v>
      </c>
      <c r="AJ133" s="582">
        <f t="shared" si="87"/>
        <v>0</v>
      </c>
      <c r="AK133" s="582">
        <f t="shared" si="87"/>
        <v>0</v>
      </c>
      <c r="AL133" s="582">
        <f t="shared" si="87"/>
        <v>0</v>
      </c>
    </row>
    <row r="134" spans="1:38">
      <c r="D134" s="358"/>
      <c r="F134" s="464"/>
      <c r="G134" s="465"/>
      <c r="H134" s="465"/>
    </row>
    <row r="135" spans="1:38" ht="13">
      <c r="B135" s="493" t="s">
        <v>465</v>
      </c>
      <c r="C135" s="487" t="s">
        <v>292</v>
      </c>
      <c r="D135" s="488">
        <f t="shared" ref="D135:AL135" si="88">D130</f>
        <v>294.11063501895484</v>
      </c>
      <c r="E135" s="488">
        <f t="shared" si="88"/>
        <v>308.54157326174374</v>
      </c>
      <c r="F135" s="488">
        <f t="shared" si="88"/>
        <v>323.52744769821379</v>
      </c>
      <c r="G135" s="488">
        <f t="shared" si="88"/>
        <v>339.08424398139891</v>
      </c>
      <c r="H135" s="488">
        <f t="shared" si="88"/>
        <v>0</v>
      </c>
      <c r="I135" s="488">
        <f t="shared" si="88"/>
        <v>0</v>
      </c>
      <c r="J135" s="488">
        <f t="shared" si="88"/>
        <v>0</v>
      </c>
      <c r="K135" s="488">
        <f t="shared" si="88"/>
        <v>0</v>
      </c>
      <c r="L135" s="488">
        <f t="shared" si="88"/>
        <v>0</v>
      </c>
      <c r="M135" s="488">
        <f t="shared" si="88"/>
        <v>0</v>
      </c>
      <c r="N135" s="488">
        <f t="shared" si="88"/>
        <v>0</v>
      </c>
      <c r="O135" s="488">
        <f t="shared" si="88"/>
        <v>0</v>
      </c>
      <c r="P135" s="488">
        <f t="shared" si="88"/>
        <v>0</v>
      </c>
      <c r="Q135" s="488">
        <f t="shared" si="88"/>
        <v>0</v>
      </c>
      <c r="R135" s="488">
        <f t="shared" si="88"/>
        <v>0</v>
      </c>
      <c r="S135" s="488">
        <f t="shared" si="88"/>
        <v>0</v>
      </c>
      <c r="T135" s="488">
        <f t="shared" si="88"/>
        <v>0</v>
      </c>
      <c r="U135" s="488">
        <f t="shared" si="88"/>
        <v>0</v>
      </c>
      <c r="V135" s="488">
        <f t="shared" si="88"/>
        <v>0</v>
      </c>
      <c r="W135" s="488">
        <f t="shared" si="88"/>
        <v>0</v>
      </c>
      <c r="X135" s="488">
        <f t="shared" si="88"/>
        <v>0</v>
      </c>
      <c r="Y135" s="488">
        <f t="shared" si="88"/>
        <v>0</v>
      </c>
      <c r="Z135" s="488">
        <f t="shared" si="88"/>
        <v>0</v>
      </c>
      <c r="AA135" s="488">
        <f t="shared" si="88"/>
        <v>0</v>
      </c>
      <c r="AB135" s="488">
        <f t="shared" si="88"/>
        <v>0</v>
      </c>
      <c r="AC135" s="488">
        <f t="shared" si="88"/>
        <v>0</v>
      </c>
      <c r="AD135" s="488">
        <f t="shared" si="88"/>
        <v>0</v>
      </c>
      <c r="AE135" s="488">
        <f t="shared" si="88"/>
        <v>0</v>
      </c>
      <c r="AF135" s="488">
        <f t="shared" si="88"/>
        <v>0</v>
      </c>
      <c r="AG135" s="488">
        <f t="shared" si="88"/>
        <v>0</v>
      </c>
      <c r="AH135" s="488">
        <f t="shared" si="88"/>
        <v>0</v>
      </c>
      <c r="AI135" s="488">
        <f t="shared" si="88"/>
        <v>0</v>
      </c>
      <c r="AJ135" s="488">
        <f t="shared" si="88"/>
        <v>0</v>
      </c>
      <c r="AK135" s="488">
        <f t="shared" si="88"/>
        <v>0</v>
      </c>
      <c r="AL135" s="488">
        <f t="shared" si="88"/>
        <v>0</v>
      </c>
    </row>
    <row r="136" spans="1:38" ht="13">
      <c r="B136" s="494" t="s">
        <v>466</v>
      </c>
      <c r="C136" s="487" t="s">
        <v>292</v>
      </c>
      <c r="D136" s="488">
        <f t="shared" ref="D136:AL136" si="89">SUM(D130:D133)</f>
        <v>1010.4087684379148</v>
      </c>
      <c r="E136" s="488">
        <f t="shared" si="89"/>
        <v>1015.3159402958053</v>
      </c>
      <c r="F136" s="488">
        <f t="shared" si="89"/>
        <v>1019.0064585304117</v>
      </c>
      <c r="G136" s="488">
        <f t="shared" si="89"/>
        <v>1017.7967786510173</v>
      </c>
      <c r="H136" s="488">
        <f t="shared" si="89"/>
        <v>0</v>
      </c>
      <c r="I136" s="488">
        <f t="shared" si="89"/>
        <v>0</v>
      </c>
      <c r="J136" s="488">
        <f t="shared" si="89"/>
        <v>0</v>
      </c>
      <c r="K136" s="488">
        <f t="shared" si="89"/>
        <v>0</v>
      </c>
      <c r="L136" s="488">
        <f t="shared" si="89"/>
        <v>0</v>
      </c>
      <c r="M136" s="488">
        <f t="shared" si="89"/>
        <v>0</v>
      </c>
      <c r="N136" s="488">
        <f t="shared" si="89"/>
        <v>0</v>
      </c>
      <c r="O136" s="488">
        <f t="shared" si="89"/>
        <v>0</v>
      </c>
      <c r="P136" s="488">
        <f t="shared" si="89"/>
        <v>0</v>
      </c>
      <c r="Q136" s="488">
        <f t="shared" si="89"/>
        <v>0</v>
      </c>
      <c r="R136" s="488">
        <f t="shared" si="89"/>
        <v>0</v>
      </c>
      <c r="S136" s="488">
        <f t="shared" si="89"/>
        <v>0</v>
      </c>
      <c r="T136" s="488">
        <f t="shared" si="89"/>
        <v>0</v>
      </c>
      <c r="U136" s="488">
        <f t="shared" si="89"/>
        <v>0</v>
      </c>
      <c r="V136" s="488">
        <f t="shared" si="89"/>
        <v>0</v>
      </c>
      <c r="W136" s="488">
        <f t="shared" si="89"/>
        <v>0</v>
      </c>
      <c r="X136" s="488">
        <f t="shared" si="89"/>
        <v>0</v>
      </c>
      <c r="Y136" s="488">
        <f t="shared" si="89"/>
        <v>0</v>
      </c>
      <c r="Z136" s="488">
        <f t="shared" si="89"/>
        <v>0</v>
      </c>
      <c r="AA136" s="488">
        <f t="shared" si="89"/>
        <v>0</v>
      </c>
      <c r="AB136" s="488">
        <f t="shared" si="89"/>
        <v>0</v>
      </c>
      <c r="AC136" s="488">
        <f t="shared" si="89"/>
        <v>0</v>
      </c>
      <c r="AD136" s="488">
        <f t="shared" si="89"/>
        <v>0</v>
      </c>
      <c r="AE136" s="488">
        <f t="shared" si="89"/>
        <v>0</v>
      </c>
      <c r="AF136" s="488">
        <f t="shared" si="89"/>
        <v>0</v>
      </c>
      <c r="AG136" s="488">
        <f t="shared" si="89"/>
        <v>0</v>
      </c>
      <c r="AH136" s="488">
        <f t="shared" si="89"/>
        <v>0</v>
      </c>
      <c r="AI136" s="488">
        <f t="shared" si="89"/>
        <v>0</v>
      </c>
      <c r="AJ136" s="488">
        <f t="shared" si="89"/>
        <v>0</v>
      </c>
      <c r="AK136" s="488">
        <f t="shared" si="89"/>
        <v>0</v>
      </c>
      <c r="AL136" s="488">
        <f t="shared" si="89"/>
        <v>0</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90">((D$112*D90+D$113*D95+D$114*D100)-(D$126*D90+D$127*D95+D$128*D100))/Grams.Per.Metric.Ton</f>
        <v>0</v>
      </c>
      <c r="E140" s="474">
        <f t="shared" si="90"/>
        <v>0</v>
      </c>
      <c r="F140" s="474">
        <f t="shared" si="90"/>
        <v>0</v>
      </c>
      <c r="G140" s="474">
        <f t="shared" si="90"/>
        <v>0</v>
      </c>
      <c r="H140" s="474">
        <f t="shared" si="90"/>
        <v>6.3433592740113607</v>
      </c>
      <c r="I140" s="474">
        <f t="shared" si="90"/>
        <v>6.5258838895993225</v>
      </c>
      <c r="J140" s="474">
        <f t="shared" si="90"/>
        <v>6.712801145877882</v>
      </c>
      <c r="K140" s="474">
        <f t="shared" si="90"/>
        <v>6.9041679791713353</v>
      </c>
      <c r="L140" s="474">
        <f t="shared" si="90"/>
        <v>7.1000387535463991</v>
      </c>
      <c r="M140" s="474">
        <f t="shared" si="90"/>
        <v>7.3004649599145086</v>
      </c>
      <c r="N140" s="474">
        <f t="shared" si="90"/>
        <v>7.4925984154099066</v>
      </c>
      <c r="O140" s="474">
        <f t="shared" si="90"/>
        <v>7.688337979904504</v>
      </c>
      <c r="P140" s="474">
        <f t="shared" si="90"/>
        <v>7.8876613234181745</v>
      </c>
      <c r="Q140" s="474">
        <f t="shared" si="90"/>
        <v>8.0905384214729263</v>
      </c>
      <c r="R140" s="474">
        <f t="shared" si="90"/>
        <v>8.2969309696422364</v>
      </c>
      <c r="S140" s="474">
        <f t="shared" si="90"/>
        <v>8.5067917633473549</v>
      </c>
      <c r="T140" s="474">
        <f t="shared" si="90"/>
        <v>8.7208656741838251</v>
      </c>
      <c r="U140" s="474">
        <f t="shared" si="90"/>
        <v>8.9383488485203575</v>
      </c>
      <c r="V140" s="474">
        <f t="shared" si="90"/>
        <v>9.159167211988672</v>
      </c>
      <c r="W140" s="474">
        <f t="shared" si="90"/>
        <v>9.3832351348898158</v>
      </c>
      <c r="X140" s="474">
        <f t="shared" si="90"/>
        <v>9.6620057900793821</v>
      </c>
      <c r="Y140" s="474">
        <f t="shared" si="90"/>
        <v>9.947983492060807</v>
      </c>
      <c r="Z140" s="474">
        <f t="shared" si="90"/>
        <v>10.24129546353258</v>
      </c>
      <c r="AA140" s="474">
        <f t="shared" si="90"/>
        <v>10.54206743935341</v>
      </c>
      <c r="AB140" s="474">
        <f t="shared" si="90"/>
        <v>10.850423338499915</v>
      </c>
      <c r="AC140" s="474">
        <f t="shared" si="90"/>
        <v>11.166484911939811</v>
      </c>
      <c r="AD140" s="474">
        <f t="shared" si="90"/>
        <v>11.490371365009381</v>
      </c>
      <c r="AE140" s="474">
        <f t="shared" si="90"/>
        <v>11.82219895281019</v>
      </c>
      <c r="AF140" s="474">
        <f t="shared" si="90"/>
        <v>12.162080547060357</v>
      </c>
      <c r="AG140" s="474">
        <f t="shared" si="90"/>
        <v>12.510125172754437</v>
      </c>
      <c r="AH140" s="474">
        <f t="shared" si="90"/>
        <v>13.015701307525486</v>
      </c>
      <c r="AI140" s="474">
        <f t="shared" si="90"/>
        <v>13.541709470315467</v>
      </c>
      <c r="AJ140" s="474">
        <f t="shared" si="90"/>
        <v>14.088975387934354</v>
      </c>
      <c r="AK140" s="474">
        <f t="shared" si="90"/>
        <v>14.658358157583164</v>
      </c>
      <c r="AL140" s="474">
        <f t="shared" si="90"/>
        <v>15.250751595463438</v>
      </c>
    </row>
    <row r="141" spans="1:38" ht="13">
      <c r="B141" s="494" t="s">
        <v>815</v>
      </c>
      <c r="C141" s="387" t="s">
        <v>818</v>
      </c>
      <c r="D141" s="541">
        <f t="shared" ref="D141:AL141" si="91">((D$112*D91+D$113*D96+D$114*D101)-(D$126*D91+D$127*D96+D$128*D101))/Grams.Per.Metric.Ton</f>
        <v>0</v>
      </c>
      <c r="E141" s="541">
        <f t="shared" si="91"/>
        <v>0</v>
      </c>
      <c r="F141" s="541">
        <f t="shared" si="91"/>
        <v>0</v>
      </c>
      <c r="G141" s="541">
        <f t="shared" si="91"/>
        <v>0</v>
      </c>
      <c r="H141" s="541">
        <f t="shared" si="91"/>
        <v>1.4521109927277988E-2</v>
      </c>
      <c r="I141" s="541">
        <f t="shared" si="91"/>
        <v>1.3624551940178038E-2</v>
      </c>
      <c r="J141" s="541">
        <f t="shared" si="91"/>
        <v>1.2631811672587969E-2</v>
      </c>
      <c r="K141" s="541">
        <f t="shared" si="91"/>
        <v>1.1536579320871829E-2</v>
      </c>
      <c r="L141" s="541">
        <f t="shared" si="91"/>
        <v>1.033219216940161E-2</v>
      </c>
      <c r="M141" s="541">
        <f t="shared" si="91"/>
        <v>9.0116163712575179E-3</v>
      </c>
      <c r="N141" s="541">
        <f t="shared" si="91"/>
        <v>8.7334462549485525E-3</v>
      </c>
      <c r="O141" s="541">
        <f t="shared" si="91"/>
        <v>8.418074437122865E-3</v>
      </c>
      <c r="P141" s="541">
        <f t="shared" si="91"/>
        <v>8.0629483449746568E-3</v>
      </c>
      <c r="Q141" s="541">
        <f t="shared" si="91"/>
        <v>7.6653698489151847E-3</v>
      </c>
      <c r="R141" s="541">
        <f t="shared" si="91"/>
        <v>7.2224876666584607E-3</v>
      </c>
      <c r="S141" s="541">
        <f t="shared" si="91"/>
        <v>6.7312893910847858E-3</v>
      </c>
      <c r="T141" s="541">
        <f t="shared" si="91"/>
        <v>6.2200462468639528E-3</v>
      </c>
      <c r="U141" s="541">
        <f t="shared" si="91"/>
        <v>5.6564871945309772E-3</v>
      </c>
      <c r="V141" s="541">
        <f t="shared" si="91"/>
        <v>5.0372186937022922E-3</v>
      </c>
      <c r="W141" s="541">
        <f t="shared" si="91"/>
        <v>4.3586583596849611E-3</v>
      </c>
      <c r="X141" s="541">
        <f t="shared" si="91"/>
        <v>4.5087037450924697E-3</v>
      </c>
      <c r="Y141" s="541">
        <f t="shared" si="91"/>
        <v>4.6637580733676944E-3</v>
      </c>
      <c r="Z141" s="541">
        <f t="shared" si="91"/>
        <v>4.8239811408678319E-3</v>
      </c>
      <c r="AA141" s="541">
        <f t="shared" si="91"/>
        <v>4.9895374789616642E-3</v>
      </c>
      <c r="AB141" s="541">
        <f t="shared" si="91"/>
        <v>5.1605964757593051E-3</v>
      </c>
      <c r="AC141" s="541">
        <f t="shared" si="91"/>
        <v>5.3373324999475696E-3</v>
      </c>
      <c r="AD141" s="541">
        <f t="shared" si="91"/>
        <v>5.5199250267022873E-3</v>
      </c>
      <c r="AE141" s="541">
        <f t="shared" si="91"/>
        <v>5.7085587656431642E-3</v>
      </c>
      <c r="AF141" s="541">
        <f t="shared" si="91"/>
        <v>5.903423790790837E-3</v>
      </c>
      <c r="AG141" s="541">
        <f t="shared" si="91"/>
        <v>6.1047156724787135E-3</v>
      </c>
      <c r="AH141" s="541">
        <f t="shared" si="91"/>
        <v>6.3514277165987723E-3</v>
      </c>
      <c r="AI141" s="541">
        <f t="shared" si="91"/>
        <v>6.6081102222406169E-3</v>
      </c>
      <c r="AJ141" s="541">
        <f t="shared" si="91"/>
        <v>6.8751661292092824E-3</v>
      </c>
      <c r="AK141" s="541">
        <f t="shared" si="91"/>
        <v>7.1530146614593483E-3</v>
      </c>
      <c r="AL141" s="541">
        <f t="shared" si="91"/>
        <v>7.4420919851920743E-3</v>
      </c>
    </row>
    <row r="142" spans="1:38" ht="13">
      <c r="B142" s="494" t="s">
        <v>816</v>
      </c>
      <c r="C142" s="387" t="s">
        <v>818</v>
      </c>
      <c r="D142" s="541">
        <f t="shared" ref="D142:AL142" si="92">((D$112*D92+D$113*D97+D$114*D102)-(D$126*D92+D$127*D97+D$128*D102))/Grams.Per.Metric.Ton</f>
        <v>0</v>
      </c>
      <c r="E142" s="541">
        <f t="shared" si="92"/>
        <v>0</v>
      </c>
      <c r="F142" s="541">
        <f t="shared" si="92"/>
        <v>0</v>
      </c>
      <c r="G142" s="541">
        <f t="shared" si="92"/>
        <v>0</v>
      </c>
      <c r="H142" s="541">
        <f t="shared" si="92"/>
        <v>5.1442748580611867E-4</v>
      </c>
      <c r="I142" s="541">
        <f t="shared" si="92"/>
        <v>4.8911798931965426E-4</v>
      </c>
      <c r="J142" s="541">
        <f t="shared" si="92"/>
        <v>4.6092262629560013E-4</v>
      </c>
      <c r="K142" s="541">
        <f t="shared" si="92"/>
        <v>4.2964947809811155E-4</v>
      </c>
      <c r="L142" s="541">
        <f t="shared" si="92"/>
        <v>3.95095827249856E-4</v>
      </c>
      <c r="M142" s="541">
        <f t="shared" si="92"/>
        <v>3.5704759804626972E-4</v>
      </c>
      <c r="N142" s="541">
        <f t="shared" si="92"/>
        <v>3.4394663611964386E-4</v>
      </c>
      <c r="O142" s="541">
        <f t="shared" si="92"/>
        <v>3.2920362236467854E-4</v>
      </c>
      <c r="P142" s="541">
        <f t="shared" si="92"/>
        <v>3.1270723213892339E-4</v>
      </c>
      <c r="Q142" s="541">
        <f t="shared" si="92"/>
        <v>2.943398246588421E-4</v>
      </c>
      <c r="R142" s="541">
        <f t="shared" si="92"/>
        <v>2.7397711430662521E-4</v>
      </c>
      <c r="S142" s="541">
        <f t="shared" si="92"/>
        <v>2.5148782568570942E-4</v>
      </c>
      <c r="T142" s="541">
        <f t="shared" si="92"/>
        <v>2.2673951089636623E-4</v>
      </c>
      <c r="U142" s="541">
        <f t="shared" si="92"/>
        <v>1.9958013142534352E-4</v>
      </c>
      <c r="V142" s="541">
        <f t="shared" si="92"/>
        <v>1.6985522876508395E-4</v>
      </c>
      <c r="W142" s="541">
        <f t="shared" si="92"/>
        <v>1.3740179788045105E-4</v>
      </c>
      <c r="X142" s="541">
        <f t="shared" si="92"/>
        <v>1.3961658674486492E-4</v>
      </c>
      <c r="Y142" s="541">
        <f t="shared" si="92"/>
        <v>1.4178597969280912E-4</v>
      </c>
      <c r="Z142" s="541">
        <f t="shared" si="92"/>
        <v>1.4390269024146902E-4</v>
      </c>
      <c r="AA142" s="541">
        <f t="shared" si="92"/>
        <v>1.4595891710798476E-4</v>
      </c>
      <c r="AB142" s="541">
        <f t="shared" si="92"/>
        <v>1.4794631450042715E-4</v>
      </c>
      <c r="AC142" s="541">
        <f t="shared" si="92"/>
        <v>1.4985596084828026E-4</v>
      </c>
      <c r="AD142" s="541">
        <f t="shared" si="92"/>
        <v>1.5167832589483356E-4</v>
      </c>
      <c r="AE142" s="541">
        <f t="shared" si="92"/>
        <v>1.5340323607013038E-4</v>
      </c>
      <c r="AF142" s="541">
        <f t="shared" si="92"/>
        <v>1.5501983805927164E-4</v>
      </c>
      <c r="AG142" s="541">
        <f t="shared" si="92"/>
        <v>1.5651656047673888E-4</v>
      </c>
      <c r="AH142" s="541">
        <f t="shared" si="92"/>
        <v>1.6284191986209711E-4</v>
      </c>
      <c r="AI142" s="541">
        <f t="shared" si="92"/>
        <v>1.6942290824436195E-4</v>
      </c>
      <c r="AJ142" s="541">
        <f t="shared" si="92"/>
        <v>1.7626985644903732E-4</v>
      </c>
      <c r="AK142" s="541">
        <f t="shared" si="92"/>
        <v>1.8339351280494966E-4</v>
      </c>
      <c r="AL142" s="541">
        <f t="shared" si="92"/>
        <v>1.9080506001695861E-4</v>
      </c>
    </row>
    <row r="143" spans="1:38" ht="13">
      <c r="B143" s="494" t="s">
        <v>817</v>
      </c>
      <c r="C143" s="387" t="s">
        <v>818</v>
      </c>
      <c r="D143" s="541">
        <f t="shared" ref="D143:AL143" si="93">((D$112*D93+D$113*D98+D$114*D103)-(D$126*D93+D$127*D98+D$128*D103))/Grams.Per.Metric.Ton</f>
        <v>0</v>
      </c>
      <c r="E143" s="541">
        <f t="shared" si="93"/>
        <v>0</v>
      </c>
      <c r="F143" s="541">
        <f t="shared" si="93"/>
        <v>0</v>
      </c>
      <c r="G143" s="541">
        <f t="shared" si="93"/>
        <v>0</v>
      </c>
      <c r="H143" s="541">
        <f t="shared" si="93"/>
        <v>8.9716365236305019E-5</v>
      </c>
      <c r="I143" s="541">
        <f t="shared" si="93"/>
        <v>8.9505627186027849E-5</v>
      </c>
      <c r="J143" s="541">
        <f t="shared" si="93"/>
        <v>8.9131327579185346E-5</v>
      </c>
      <c r="K143" s="541">
        <f t="shared" si="93"/>
        <v>8.8580590458810151E-5</v>
      </c>
      <c r="L143" s="541">
        <f t="shared" si="93"/>
        <v>8.7839766281844222E-5</v>
      </c>
      <c r="M143" s="541">
        <f t="shared" si="93"/>
        <v>8.6894390422245286E-5</v>
      </c>
      <c r="N143" s="541">
        <f t="shared" si="93"/>
        <v>8.5661468579248135E-5</v>
      </c>
      <c r="O143" s="541">
        <f t="shared" si="93"/>
        <v>8.4186974386032671E-5</v>
      </c>
      <c r="P143" s="541">
        <f t="shared" si="93"/>
        <v>8.245339600050961E-5</v>
      </c>
      <c r="Q143" s="541">
        <f t="shared" si="93"/>
        <v>8.0442200701446551E-5</v>
      </c>
      <c r="R143" s="541">
        <f t="shared" si="93"/>
        <v>7.8133780975200937E-5</v>
      </c>
      <c r="S143" s="541">
        <f t="shared" si="93"/>
        <v>7.5507397912141761E-5</v>
      </c>
      <c r="T143" s="541">
        <f t="shared" si="93"/>
        <v>7.7641623153227489E-5</v>
      </c>
      <c r="U143" s="541">
        <f t="shared" si="93"/>
        <v>7.9825029151337149E-5</v>
      </c>
      <c r="V143" s="541">
        <f t="shared" si="93"/>
        <v>8.2058105324767848E-5</v>
      </c>
      <c r="W143" s="541">
        <f t="shared" si="93"/>
        <v>8.4341300325942878E-5</v>
      </c>
      <c r="X143" s="541">
        <f t="shared" si="93"/>
        <v>8.7055527181463793E-5</v>
      </c>
      <c r="Y143" s="541">
        <f t="shared" si="93"/>
        <v>8.9851386540217278E-5</v>
      </c>
      <c r="Z143" s="541">
        <f t="shared" si="93"/>
        <v>9.2731043506977958E-5</v>
      </c>
      <c r="AA143" s="541">
        <f t="shared" si="93"/>
        <v>9.5696704859406695E-5</v>
      </c>
      <c r="AB143" s="541">
        <f t="shared" si="93"/>
        <v>9.8750618880197972E-5</v>
      </c>
      <c r="AC143" s="541">
        <f t="shared" si="93"/>
        <v>1.0189507510759857E-4</v>
      </c>
      <c r="AD143" s="541">
        <f t="shared" si="93"/>
        <v>1.0513240399797613E-4</v>
      </c>
      <c r="AE143" s="541">
        <f t="shared" si="93"/>
        <v>1.0846497649373041E-4</v>
      </c>
      <c r="AF143" s="541">
        <f t="shared" si="93"/>
        <v>1.118952034894549E-4</v>
      </c>
      <c r="AG143" s="541">
        <f t="shared" si="93"/>
        <v>1.1542553518882464E-4</v>
      </c>
      <c r="AH143" s="541">
        <f t="shared" si="93"/>
        <v>1.200902683652551E-4</v>
      </c>
      <c r="AI143" s="541">
        <f t="shared" si="93"/>
        <v>1.2494351906141549E-4</v>
      </c>
      <c r="AJ143" s="541">
        <f t="shared" si="93"/>
        <v>1.2999290590283067E-4</v>
      </c>
      <c r="AK143" s="541">
        <f t="shared" si="93"/>
        <v>1.3524635540924668E-4</v>
      </c>
      <c r="AL143" s="541">
        <f t="shared" si="93"/>
        <v>1.407121144376692E-4</v>
      </c>
    </row>
    <row r="144" spans="1:38">
      <c r="D144" s="358"/>
      <c r="F144" s="464"/>
      <c r="G144" s="465"/>
      <c r="H144" s="465"/>
    </row>
    <row r="145" spans="1:38" ht="13">
      <c r="B145" s="492" t="s">
        <v>284</v>
      </c>
      <c r="C145" s="487" t="s">
        <v>292</v>
      </c>
      <c r="D145" s="583">
        <f t="shared" ref="D145:AL145" si="94">D122-D136</f>
        <v>0</v>
      </c>
      <c r="E145" s="583">
        <f t="shared" si="94"/>
        <v>0</v>
      </c>
      <c r="F145" s="583">
        <f t="shared" si="94"/>
        <v>0</v>
      </c>
      <c r="G145" s="583">
        <f t="shared" si="94"/>
        <v>0</v>
      </c>
      <c r="H145" s="583">
        <f t="shared" si="94"/>
        <v>1013.0039661151706</v>
      </c>
      <c r="I145" s="583">
        <f t="shared" si="94"/>
        <v>1002.6280471027731</v>
      </c>
      <c r="J145" s="583">
        <f t="shared" si="94"/>
        <v>989.30193761642579</v>
      </c>
      <c r="K145" s="583">
        <f t="shared" si="94"/>
        <v>969.91361550469685</v>
      </c>
      <c r="L145" s="583">
        <f t="shared" si="94"/>
        <v>945.41790936878715</v>
      </c>
      <c r="M145" s="583">
        <f t="shared" si="94"/>
        <v>916.18025370982684</v>
      </c>
      <c r="N145" s="583">
        <f t="shared" si="94"/>
        <v>919.1553137492283</v>
      </c>
      <c r="O145" s="583">
        <f t="shared" si="94"/>
        <v>920.66037355796345</v>
      </c>
      <c r="P145" s="583">
        <f t="shared" si="94"/>
        <v>920.5631054403915</v>
      </c>
      <c r="Q145" s="583">
        <f t="shared" si="94"/>
        <v>926.81307565809084</v>
      </c>
      <c r="R145" s="583">
        <f t="shared" si="94"/>
        <v>923.28548657814622</v>
      </c>
      <c r="S145" s="583">
        <f t="shared" si="94"/>
        <v>917.70817448871594</v>
      </c>
      <c r="T145" s="583">
        <f t="shared" si="94"/>
        <v>910.7836711395521</v>
      </c>
      <c r="U145" s="583">
        <f t="shared" si="94"/>
        <v>901.5307333694675</v>
      </c>
      <c r="V145" s="583">
        <f t="shared" si="94"/>
        <v>889.76156278247788</v>
      </c>
      <c r="W145" s="583">
        <f t="shared" si="94"/>
        <v>875.2765439147671</v>
      </c>
      <c r="X145" s="583">
        <f t="shared" si="94"/>
        <v>909.73023001495221</v>
      </c>
      <c r="Y145" s="583">
        <f t="shared" si="94"/>
        <v>955.27814894047583</v>
      </c>
      <c r="Z145" s="583">
        <f t="shared" si="94"/>
        <v>992.34557603003395</v>
      </c>
      <c r="AA145" s="583">
        <f t="shared" si="94"/>
        <v>1030.6226172437246</v>
      </c>
      <c r="AB145" s="583">
        <f t="shared" si="94"/>
        <v>1070.1373591712006</v>
      </c>
      <c r="AC145" s="583">
        <f t="shared" si="94"/>
        <v>1110.9178134778163</v>
      </c>
      <c r="AD145" s="583">
        <f t="shared" si="94"/>
        <v>1152.9918500446186</v>
      </c>
      <c r="AE145" s="583">
        <f t="shared" si="94"/>
        <v>1196.3871242232003</v>
      </c>
      <c r="AF145" s="583">
        <f t="shared" si="94"/>
        <v>1253.2930783615775</v>
      </c>
      <c r="AG145" s="583">
        <f t="shared" si="94"/>
        <v>1299.7605785306059</v>
      </c>
      <c r="AH145" s="583">
        <f t="shared" si="94"/>
        <v>1352.2882647325343</v>
      </c>
      <c r="AI145" s="583">
        <f t="shared" si="94"/>
        <v>1406.938770985558</v>
      </c>
      <c r="AJ145" s="583">
        <f t="shared" si="94"/>
        <v>1463.7978875708634</v>
      </c>
      <c r="AK145" s="583">
        <f t="shared" si="94"/>
        <v>1522.9548718427604</v>
      </c>
      <c r="AL145" s="583">
        <f t="shared" si="94"/>
        <v>1584.5025883447424</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'1600 South'!D25</f>
        <v>1651.0973708143879</v>
      </c>
      <c r="E159" s="383">
        <f>'1600 South'!E25</f>
        <v>1717.8237556698302</v>
      </c>
      <c r="F159" s="383">
        <f>'1600 South'!F25</f>
        <v>1787.2467776313456</v>
      </c>
      <c r="G159" s="383">
        <f>'1600 South'!G25</f>
        <v>1859.4754168527002</v>
      </c>
      <c r="H159" s="383">
        <f>'1600 South'!H25</f>
        <v>1934.6230577413478</v>
      </c>
      <c r="I159" s="383">
        <f>'1600 South'!I25</f>
        <v>2012.8076669490958</v>
      </c>
      <c r="J159" s="383">
        <f>'1600 South'!J25</f>
        <v>2094.1519785559785</v>
      </c>
      <c r="K159" s="383">
        <f>'1600 South'!K25</f>
        <v>2178.7836867380292</v>
      </c>
      <c r="L159" s="383">
        <f>'1600 South'!L25</f>
        <v>2266.8356462213965</v>
      </c>
      <c r="M159" s="383">
        <f>'1600 South'!M25</f>
        <v>2358.446080837497</v>
      </c>
      <c r="N159" s="383">
        <f>'1600 South'!N25</f>
        <v>2453.7588005065682</v>
      </c>
      <c r="O159" s="383">
        <f>'1600 South'!O25</f>
        <v>2552.9234269902709</v>
      </c>
      <c r="P159" s="383">
        <f>'1600 South'!P25</f>
        <v>2656.0956287676909</v>
      </c>
      <c r="Q159" s="383">
        <f>'1600 South'!Q25</f>
        <v>2763.4373654034866</v>
      </c>
      <c r="R159" s="383">
        <f>'1600 South'!R25</f>
        <v>2875.117141791764</v>
      </c>
      <c r="S159" s="383">
        <f>'1600 South'!S25</f>
        <v>2991.3102726748043</v>
      </c>
      <c r="T159" s="383">
        <f>'1600 South'!T25</f>
        <v>3112.1991578518728</v>
      </c>
      <c r="U159" s="383">
        <f>'1600 South'!U25</f>
        <v>3237.9735685101482</v>
      </c>
      <c r="V159" s="383">
        <f>'1600 South'!V25</f>
        <v>3368.830945127248</v>
      </c>
      <c r="W159" s="383">
        <f>'1600 South'!W25</f>
        <v>3504.9767074129763</v>
      </c>
      <c r="X159" s="383">
        <f>'1600 South'!X25</f>
        <v>3646.6245767768805</v>
      </c>
      <c r="Y159" s="383">
        <f>'1600 South'!Y25</f>
        <v>3793.9969118277891</v>
      </c>
      <c r="Z159" s="383">
        <f>'1600 South'!Z25</f>
        <v>3947.325057432015</v>
      </c>
      <c r="AA159" s="383">
        <f>'1600 South'!AA25</f>
        <v>4106.8497078781775</v>
      </c>
      <c r="AB159" s="383">
        <f>'1600 South'!AB25</f>
        <v>4272.8212847187215</v>
      </c>
      <c r="AC159" s="383">
        <f>'1600 South'!AC25</f>
        <v>4445.5003298812981</v>
      </c>
      <c r="AD159" s="383">
        <f>'1600 South'!AD25</f>
        <v>4625.1579146670756</v>
      </c>
      <c r="AE159" s="383">
        <f>'1600 South'!AE25</f>
        <v>4812.0760652780546</v>
      </c>
      <c r="AF159" s="383">
        <f>'1600 South'!AF25</f>
        <v>5006.5482055413704</v>
      </c>
      <c r="AG159" s="383">
        <f>'1600 South'!AG25</f>
        <v>5208.8796175255738</v>
      </c>
      <c r="AH159" s="383">
        <f>'1600 South'!AH25</f>
        <v>5419.3879207719465</v>
      </c>
      <c r="AI159" s="383">
        <f>'1600 South'!AI25</f>
        <v>5638.4035708931788</v>
      </c>
      <c r="AJ159" s="383">
        <f>'1600 South'!AJ25</f>
        <v>5866.2703783220768</v>
      </c>
      <c r="AK159" s="383">
        <f>'1600 South'!AK25</f>
        <v>6103.346048024664</v>
      </c>
      <c r="AL159" s="383">
        <f>'1600 South'!AL25</f>
        <v>6350.0027410248877</v>
      </c>
    </row>
    <row r="160" spans="1:38">
      <c r="B160" s="385" t="s">
        <v>509</v>
      </c>
      <c r="C160" s="386" t="s">
        <v>443</v>
      </c>
      <c r="D160" s="383">
        <f>'1600 South'!D26</f>
        <v>185.6834650038673</v>
      </c>
      <c r="E160" s="383">
        <f>'1600 South'!E26</f>
        <v>193.18755686795214</v>
      </c>
      <c r="F160" s="383">
        <f>'1600 South'!F26</f>
        <v>200.99491426353416</v>
      </c>
      <c r="G160" s="383">
        <f>'1600 South'!G26</f>
        <v>209.11779316831985</v>
      </c>
      <c r="H160" s="383">
        <f>'1600 South'!H26</f>
        <v>217.56894486519883</v>
      </c>
      <c r="I160" s="383">
        <f>'1600 South'!I26</f>
        <v>226.36163595918757</v>
      </c>
      <c r="J160" s="383">
        <f>'1600 South'!J26</f>
        <v>235.50966920332644</v>
      </c>
      <c r="K160" s="383">
        <f>'1600 South'!K26</f>
        <v>245.02740516622012</v>
      </c>
      <c r="L160" s="383">
        <f>'1600 South'!L26</f>
        <v>254.92978477523582</v>
      </c>
      <c r="M160" s="383">
        <f>'1600 South'!M26</f>
        <v>265.23235277074866</v>
      </c>
      <c r="N160" s="383">
        <f>'1600 South'!N26</f>
        <v>275.95128210825106</v>
      </c>
      <c r="O160" s="383">
        <f>'1600 South'!O26</f>
        <v>287.10339934663415</v>
      </c>
      <c r="P160" s="383">
        <f>'1600 South'!P26</f>
        <v>298.70621106249337</v>
      </c>
      <c r="Q160" s="383">
        <f>'1600 South'!Q26</f>
        <v>310.77793133192608</v>
      </c>
      <c r="R160" s="383">
        <f>'1600 South'!R26</f>
        <v>323.33751032296044</v>
      </c>
      <c r="S160" s="383">
        <f>'1600 South'!S26</f>
        <v>336.4046640435003</v>
      </c>
      <c r="T160" s="383">
        <f>'1600 South'!T26</f>
        <v>349.99990529148369</v>
      </c>
      <c r="U160" s="383">
        <f>'1600 South'!U26</f>
        <v>364.14457585584216</v>
      </c>
      <c r="V160" s="383">
        <f>'1600 South'!V26</f>
        <v>378.86088001880881</v>
      </c>
      <c r="W160" s="383">
        <f>'1600 South'!W26</f>
        <v>394.17191941216561</v>
      </c>
      <c r="X160" s="383">
        <f>'1600 South'!X26</f>
        <v>410.10172928215036</v>
      </c>
      <c r="Y160" s="383">
        <f>'1600 South'!Y26</f>
        <v>426.67531621994931</v>
      </c>
      <c r="Z160" s="383">
        <f>'1600 South'!Z26</f>
        <v>443.91869741700577</v>
      </c>
      <c r="AA160" s="383">
        <f>'1600 South'!AA26</f>
        <v>461.85894150676762</v>
      </c>
      <c r="AB160" s="383">
        <f>'1600 South'!AB26</f>
        <v>480.52421105698625</v>
      </c>
      <c r="AC160" s="383">
        <f>'1600 South'!AC26</f>
        <v>499.9438067792733</v>
      </c>
      <c r="AD160" s="383">
        <f>'1600 South'!AD26</f>
        <v>520.14821352531214</v>
      </c>
      <c r="AE160" s="383">
        <f>'1600 South'!AE26</f>
        <v>541.16914814193149</v>
      </c>
      <c r="AF160" s="383">
        <f>'1600 South'!AF26</f>
        <v>563.03960926016316</v>
      </c>
      <c r="AG160" s="383">
        <f>'1600 South'!AG26</f>
        <v>585.79392909644332</v>
      </c>
      <c r="AH160" s="383">
        <f>'1600 South'!AH26</f>
        <v>609.46782734727253</v>
      </c>
      <c r="AI160" s="383">
        <f>'1600 South'!AI26</f>
        <v>634.09846726194098</v>
      </c>
      <c r="AJ160" s="383">
        <f>'1600 South'!AJ26</f>
        <v>659.72451398134024</v>
      </c>
      <c r="AK160" s="383">
        <f>'1600 South'!AK26</f>
        <v>686.38619523444277</v>
      </c>
      <c r="AL160" s="383">
        <f>'1600 South'!AL26</f>
        <v>714.12536448772926</v>
      </c>
    </row>
    <row r="161" spans="2:38">
      <c r="B161" s="358" t="s">
        <v>769</v>
      </c>
      <c r="C161" s="358" t="s">
        <v>443</v>
      </c>
      <c r="D161" s="383">
        <f>'1600 South'!D27</f>
        <v>19.868130755413798</v>
      </c>
      <c r="E161" s="383">
        <f>'1600 South'!E27</f>
        <v>20.671068584870877</v>
      </c>
      <c r="F161" s="383">
        <f>'1600 South'!F27</f>
        <v>21.506455826198152</v>
      </c>
      <c r="G161" s="383">
        <f>'1600 South'!G27</f>
        <v>22.375603869010224</v>
      </c>
      <c r="H161" s="383">
        <f>'1600 South'!H27</f>
        <v>23.279877100576272</v>
      </c>
      <c r="I161" s="383">
        <f>'1600 South'!I27</f>
        <v>24.220695047633068</v>
      </c>
      <c r="J161" s="383">
        <f>'1600 South'!J27</f>
        <v>25.199534604755929</v>
      </c>
      <c r="K161" s="383">
        <f>'1600 South'!K27</f>
        <v>26.217932352785549</v>
      </c>
      <c r="L161" s="383">
        <f>'1600 South'!L27</f>
        <v>27.277486970950228</v>
      </c>
      <c r="M161" s="383">
        <f>'1600 South'!M27</f>
        <v>28.379861746470102</v>
      </c>
      <c r="N161" s="383">
        <f>'1600 South'!N27</f>
        <v>29.526787185582862</v>
      </c>
      <c r="O161" s="383">
        <f>'1600 South'!O27</f>
        <v>30.720063730089855</v>
      </c>
      <c r="P161" s="383">
        <f>'1600 South'!P27</f>
        <v>31.961564583686787</v>
      </c>
      <c r="Q161" s="383">
        <f>'1600 South'!Q27</f>
        <v>33.253238652516089</v>
      </c>
      <c r="R161" s="383">
        <f>'1600 South'!R27</f>
        <v>34.59711360455676</v>
      </c>
      <c r="S161" s="383">
        <f>'1600 South'!S27</f>
        <v>35.995299052654524</v>
      </c>
      <c r="T161" s="383">
        <f>'1600 South'!T27</f>
        <v>37.449989866188751</v>
      </c>
      <c r="U161" s="383">
        <f>'1600 South'!U27</f>
        <v>38.963469616575104</v>
      </c>
      <c r="V161" s="383">
        <f>'1600 South'!V27</f>
        <v>40.53811416201254</v>
      </c>
      <c r="W161" s="383">
        <f>'1600 South'!W27</f>
        <v>42.17639537710172</v>
      </c>
      <c r="X161" s="383">
        <f>'1600 South'!X27</f>
        <v>43.880885033190083</v>
      </c>
      <c r="Y161" s="383">
        <f>'1600 South'!Y27</f>
        <v>45.654258835534577</v>
      </c>
      <c r="Z161" s="383">
        <f>'1600 South'!Z27</f>
        <v>47.499300623619611</v>
      </c>
      <c r="AA161" s="383">
        <f>'1600 South'!AA27</f>
        <v>49.418906741224127</v>
      </c>
      <c r="AB161" s="383">
        <f>'1600 South'!AB27</f>
        <v>51.416090583097521</v>
      </c>
      <c r="AC161" s="383">
        <f>'1600 South'!AC27</f>
        <v>53.493987325382243</v>
      </c>
      <c r="AD161" s="383">
        <f>'1600 South'!AD27</f>
        <v>55.6558588472084</v>
      </c>
      <c r="AE161" s="383">
        <f>'1600 South'!AE27</f>
        <v>57.905098851186672</v>
      </c>
      <c r="AF161" s="383">
        <f>'1600 South'!AF27</f>
        <v>60.245238190837455</v>
      </c>
      <c r="AG161" s="383">
        <f>'1600 South'!AG27</f>
        <v>62.679950413319432</v>
      </c>
      <c r="AH161" s="383">
        <f>'1600 South'!AH27</f>
        <v>65.213057526158153</v>
      </c>
      <c r="AI161" s="383">
        <f>'1600 South'!AI27</f>
        <v>67.848535997027668</v>
      </c>
      <c r="AJ161" s="383">
        <f>'1600 South'!AJ27</f>
        <v>70.590522996003401</v>
      </c>
      <c r="AK161" s="383">
        <f>'1600 South'!AK27</f>
        <v>73.443322890085369</v>
      </c>
      <c r="AL161" s="383">
        <f>'1600 South'!AL27</f>
        <v>76.411414000187023</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56.962859293096372</v>
      </c>
      <c r="E166" s="383">
        <f t="shared" ref="E166:AE168" si="95">E159*$C163</f>
        <v>59.264919570609138</v>
      </c>
      <c r="F166" s="383">
        <f t="shared" si="95"/>
        <v>61.660013828281414</v>
      </c>
      <c r="G166" s="383">
        <f t="shared" si="95"/>
        <v>64.151901881418155</v>
      </c>
      <c r="H166" s="383">
        <f t="shared" si="95"/>
        <v>66.744495492076496</v>
      </c>
      <c r="I166" s="383">
        <f t="shared" si="95"/>
        <v>69.441864509743795</v>
      </c>
      <c r="J166" s="383">
        <f t="shared" si="95"/>
        <v>72.248243260181255</v>
      </c>
      <c r="K166" s="383">
        <f t="shared" si="95"/>
        <v>75.168037192461995</v>
      </c>
      <c r="L166" s="383">
        <f t="shared" si="95"/>
        <v>78.205829794638163</v>
      </c>
      <c r="M166" s="383">
        <f t="shared" si="95"/>
        <v>81.366389788893642</v>
      </c>
      <c r="N166" s="383">
        <f t="shared" si="95"/>
        <v>84.654678617476591</v>
      </c>
      <c r="O166" s="383">
        <f t="shared" si="95"/>
        <v>88.075858231164332</v>
      </c>
      <c r="P166" s="383">
        <f t="shared" si="95"/>
        <v>91.63529919248532</v>
      </c>
      <c r="Q166" s="383">
        <f t="shared" si="95"/>
        <v>95.338589106420272</v>
      </c>
      <c r="R166" s="383">
        <f t="shared" si="95"/>
        <v>99.191541391815846</v>
      </c>
      <c r="S166" s="383">
        <f t="shared" si="95"/>
        <v>103.20020440728074</v>
      </c>
      <c r="T166" s="383">
        <f t="shared" si="95"/>
        <v>107.37087094588959</v>
      </c>
      <c r="U166" s="383">
        <f t="shared" si="95"/>
        <v>111.71008811360009</v>
      </c>
      <c r="V166" s="383">
        <f t="shared" si="95"/>
        <v>116.22466760689004</v>
      </c>
      <c r="W166" s="383">
        <f t="shared" si="95"/>
        <v>120.92169640574767</v>
      </c>
      <c r="X166" s="383">
        <f t="shared" si="95"/>
        <v>125.80854789880236</v>
      </c>
      <c r="Y166" s="383">
        <f t="shared" si="95"/>
        <v>130.89289345805869</v>
      </c>
      <c r="Z166" s="383">
        <f t="shared" si="95"/>
        <v>136.1827144814045</v>
      </c>
      <c r="AA166" s="383">
        <f t="shared" si="95"/>
        <v>141.68631492179711</v>
      </c>
      <c r="AB166" s="383">
        <f t="shared" si="95"/>
        <v>147.41233432279589</v>
      </c>
      <c r="AC166" s="383">
        <f t="shared" si="95"/>
        <v>153.36976138090478</v>
      </c>
      <c r="AD166" s="383">
        <f t="shared" si="95"/>
        <v>159.5679480560141</v>
      </c>
      <c r="AE166" s="383">
        <f t="shared" si="95"/>
        <v>166.01662425209287</v>
      </c>
      <c r="AF166" s="383">
        <f t="shared" ref="AF166:AJ166" si="96">AF159*$C163</f>
        <v>172.72591309117726</v>
      </c>
      <c r="AG166" s="383">
        <f t="shared" si="96"/>
        <v>179.70634680463229</v>
      </c>
      <c r="AH166" s="383">
        <f t="shared" si="96"/>
        <v>186.96888326663213</v>
      </c>
      <c r="AI166" s="383">
        <f t="shared" si="96"/>
        <v>194.52492319581464</v>
      </c>
      <c r="AJ166" s="383">
        <f t="shared" si="96"/>
        <v>202.38632805211162</v>
      </c>
      <c r="AK166" s="383">
        <f t="shared" ref="AK166:AL166" si="97">AK159*$C163</f>
        <v>210.56543865685089</v>
      </c>
      <c r="AL166" s="383">
        <f t="shared" si="97"/>
        <v>219.0750945653586</v>
      </c>
    </row>
    <row r="167" spans="2:38">
      <c r="B167" s="385" t="s">
        <v>501</v>
      </c>
      <c r="C167" s="386" t="s">
        <v>479</v>
      </c>
      <c r="D167" s="383">
        <f t="shared" ref="D167:S168" si="98">D160*$C164</f>
        <v>6.4060795426334209</v>
      </c>
      <c r="E167" s="383">
        <f t="shared" si="98"/>
        <v>6.6649707119443482</v>
      </c>
      <c r="F167" s="383">
        <f t="shared" si="98"/>
        <v>6.9343245420919279</v>
      </c>
      <c r="G167" s="383">
        <f t="shared" si="98"/>
        <v>7.214563864307034</v>
      </c>
      <c r="H167" s="383">
        <f t="shared" si="98"/>
        <v>7.5061285978493588</v>
      </c>
      <c r="I167" s="383">
        <f t="shared" si="98"/>
        <v>7.8094764405919701</v>
      </c>
      <c r="J167" s="383">
        <f t="shared" si="98"/>
        <v>8.1250835875147605</v>
      </c>
      <c r="K167" s="383">
        <f t="shared" si="98"/>
        <v>8.4534454782345936</v>
      </c>
      <c r="L167" s="383">
        <f t="shared" si="98"/>
        <v>8.7950775747456351</v>
      </c>
      <c r="M167" s="383">
        <f t="shared" si="98"/>
        <v>9.1505161705908282</v>
      </c>
      <c r="N167" s="383">
        <f t="shared" si="98"/>
        <v>9.5203192327346606</v>
      </c>
      <c r="O167" s="383">
        <f t="shared" si="98"/>
        <v>9.9050672774588762</v>
      </c>
      <c r="P167" s="383">
        <f t="shared" si="98"/>
        <v>10.30536428165602</v>
      </c>
      <c r="Q167" s="383">
        <f t="shared" si="98"/>
        <v>10.721838630951449</v>
      </c>
      <c r="R167" s="383">
        <f t="shared" si="98"/>
        <v>11.155144106142133</v>
      </c>
      <c r="S167" s="383">
        <f t="shared" si="98"/>
        <v>11.605960909500759</v>
      </c>
      <c r="T167" s="383">
        <f t="shared" si="95"/>
        <v>12.074996732556185</v>
      </c>
      <c r="U167" s="383">
        <f t="shared" si="95"/>
        <v>12.562987867026553</v>
      </c>
      <c r="V167" s="383">
        <f t="shared" si="95"/>
        <v>13.070700360648903</v>
      </c>
      <c r="W167" s="383">
        <f t="shared" si="95"/>
        <v>13.598931219719711</v>
      </c>
      <c r="X167" s="383">
        <f t="shared" si="95"/>
        <v>14.148509660234186</v>
      </c>
      <c r="Y167" s="383">
        <f t="shared" si="95"/>
        <v>14.720298409588249</v>
      </c>
      <c r="Z167" s="383">
        <f t="shared" si="95"/>
        <v>15.315195060886698</v>
      </c>
      <c r="AA167" s="383">
        <f t="shared" si="95"/>
        <v>15.934133481983482</v>
      </c>
      <c r="AB167" s="383">
        <f t="shared" si="95"/>
        <v>16.578085281466024</v>
      </c>
      <c r="AC167" s="383">
        <f t="shared" si="95"/>
        <v>17.248061333884927</v>
      </c>
      <c r="AD167" s="383">
        <f t="shared" si="95"/>
        <v>17.945113366623268</v>
      </c>
      <c r="AE167" s="383">
        <f t="shared" si="95"/>
        <v>18.670335610896633</v>
      </c>
      <c r="AF167" s="383">
        <f t="shared" ref="AF167:AJ167" si="99">AF160*$C164</f>
        <v>19.424866519475628</v>
      </c>
      <c r="AG167" s="383">
        <f t="shared" si="99"/>
        <v>20.209890553827293</v>
      </c>
      <c r="AH167" s="383">
        <f t="shared" si="99"/>
        <v>21.026640043480899</v>
      </c>
      <c r="AI167" s="383">
        <f t="shared" si="99"/>
        <v>21.876397120536961</v>
      </c>
      <c r="AJ167" s="383">
        <f t="shared" si="99"/>
        <v>22.760495732356237</v>
      </c>
      <c r="AK167" s="383">
        <f t="shared" ref="AK167:AL167" si="100">AK160*$C164</f>
        <v>23.680323735588274</v>
      </c>
      <c r="AL167" s="383">
        <f t="shared" si="100"/>
        <v>24.637325074826656</v>
      </c>
    </row>
    <row r="168" spans="2:38">
      <c r="B168" s="385" t="s">
        <v>768</v>
      </c>
      <c r="C168" s="386" t="s">
        <v>479</v>
      </c>
      <c r="D168" s="383">
        <f t="shared" si="98"/>
        <v>0.6854505110617759</v>
      </c>
      <c r="E168" s="383">
        <f t="shared" si="95"/>
        <v>0.71315186617804516</v>
      </c>
      <c r="F168" s="383">
        <f t="shared" si="95"/>
        <v>0.74197272600383612</v>
      </c>
      <c r="G168" s="383">
        <f t="shared" si="95"/>
        <v>0.77195833348085263</v>
      </c>
      <c r="H168" s="383">
        <f t="shared" si="95"/>
        <v>0.80315575996988131</v>
      </c>
      <c r="I168" s="383">
        <f t="shared" si="95"/>
        <v>0.83561397914334079</v>
      </c>
      <c r="J168" s="383">
        <f t="shared" si="95"/>
        <v>0.86938394386407947</v>
      </c>
      <c r="K168" s="383">
        <f t="shared" si="95"/>
        <v>0.90451866617110133</v>
      </c>
      <c r="L168" s="383">
        <f t="shared" si="95"/>
        <v>0.94107330049778282</v>
      </c>
      <c r="M168" s="383">
        <f t="shared" si="95"/>
        <v>0.97910523025321838</v>
      </c>
      <c r="N168" s="383">
        <f t="shared" si="95"/>
        <v>1.0186741579026086</v>
      </c>
      <c r="O168" s="383">
        <f t="shared" si="95"/>
        <v>1.0598421986880999</v>
      </c>
      <c r="P168" s="383">
        <f t="shared" si="95"/>
        <v>1.1026739781371939</v>
      </c>
      <c r="Q168" s="383">
        <f t="shared" si="95"/>
        <v>1.147236733511805</v>
      </c>
      <c r="R168" s="383">
        <f t="shared" si="95"/>
        <v>1.1936004193572081</v>
      </c>
      <c r="S168" s="383">
        <f t="shared" si="95"/>
        <v>1.2418378173165809</v>
      </c>
      <c r="T168" s="383">
        <f t="shared" si="95"/>
        <v>1.2920246503835118</v>
      </c>
      <c r="U168" s="383">
        <f t="shared" si="95"/>
        <v>1.3442397017718408</v>
      </c>
      <c r="V168" s="383">
        <f t="shared" si="95"/>
        <v>1.3985649385894325</v>
      </c>
      <c r="W168" s="383">
        <f t="shared" si="95"/>
        <v>1.4550856405100092</v>
      </c>
      <c r="X168" s="383">
        <f t="shared" si="95"/>
        <v>1.5138905336450577</v>
      </c>
      <c r="Y168" s="383">
        <f t="shared" si="95"/>
        <v>1.5750719298259428</v>
      </c>
      <c r="Z168" s="383">
        <f t="shared" si="95"/>
        <v>1.6387258715148765</v>
      </c>
      <c r="AA168" s="383">
        <f t="shared" si="95"/>
        <v>1.7049522825722321</v>
      </c>
      <c r="AB168" s="383">
        <f t="shared" si="95"/>
        <v>1.7738551251168642</v>
      </c>
      <c r="AC168" s="383">
        <f t="shared" si="95"/>
        <v>1.8455425627256872</v>
      </c>
      <c r="AD168" s="383">
        <f t="shared" si="95"/>
        <v>1.9201271302286895</v>
      </c>
      <c r="AE168" s="383">
        <f t="shared" si="95"/>
        <v>1.9977259103659399</v>
      </c>
      <c r="AF168" s="383">
        <f t="shared" ref="AF168:AJ168" si="101">AF161*$C165</f>
        <v>2.0784607175838921</v>
      </c>
      <c r="AG168" s="383">
        <f t="shared" si="101"/>
        <v>2.1624582892595203</v>
      </c>
      <c r="AH168" s="383">
        <f t="shared" si="101"/>
        <v>2.2498504846524559</v>
      </c>
      <c r="AI168" s="383">
        <f t="shared" si="101"/>
        <v>2.3407744918974545</v>
      </c>
      <c r="AJ168" s="383">
        <f t="shared" si="101"/>
        <v>2.4353730433621172</v>
      </c>
      <c r="AK168" s="383">
        <f t="shared" ref="AK168:AL168" si="102">AK161*$C165</f>
        <v>2.5337946397079447</v>
      </c>
      <c r="AL168" s="383">
        <f t="shared" si="102"/>
        <v>2.6361937830064521</v>
      </c>
    </row>
    <row r="169" spans="2:38">
      <c r="D169" s="358"/>
      <c r="F169" s="464"/>
      <c r="G169" s="465"/>
      <c r="H169" s="465"/>
    </row>
    <row r="170" spans="2:38">
      <c r="B170" s="358" t="s">
        <v>459</v>
      </c>
      <c r="C170" s="362" t="s">
        <v>292</v>
      </c>
      <c r="D170" s="485">
        <f>SUMPRODUCT($C$153:$C$155,D166:D168)</f>
        <v>645.1729400496522</v>
      </c>
      <c r="E170" s="485">
        <f t="shared" ref="E170:AE170" si="103">SUMPRODUCT($C$153:$C$155,E166:E168)</f>
        <v>671.24654337374716</v>
      </c>
      <c r="F170" s="485">
        <f t="shared" si="103"/>
        <v>698.3738684956752</v>
      </c>
      <c r="G170" s="485">
        <f t="shared" si="103"/>
        <v>726.59749984895029</v>
      </c>
      <c r="H170" s="485">
        <f t="shared" si="103"/>
        <v>755.96174284693313</v>
      </c>
      <c r="I170" s="485">
        <f t="shared" si="103"/>
        <v>786.51269343340005</v>
      </c>
      <c r="J170" s="485">
        <f t="shared" si="103"/>
        <v>818.29831044388675</v>
      </c>
      <c r="K170" s="485">
        <f t="shared" si="103"/>
        <v>851.36849089139469</v>
      </c>
      <c r="L170" s="485">
        <f t="shared" si="103"/>
        <v>885.7751482946444</v>
      </c>
      <c r="M170" s="485">
        <f t="shared" si="103"/>
        <v>921.57229417183953</v>
      </c>
      <c r="N170" s="485">
        <f t="shared" si="103"/>
        <v>958.81612282786375</v>
      </c>
      <c r="O170" s="485">
        <f t="shared" si="103"/>
        <v>997.56509956801767</v>
      </c>
      <c r="P170" s="485">
        <f t="shared" si="103"/>
        <v>1037.8800524767621</v>
      </c>
      <c r="Q170" s="485">
        <f t="shared" si="103"/>
        <v>1079.824267905555</v>
      </c>
      <c r="R170" s="485">
        <f t="shared" si="103"/>
        <v>1123.4635898196666</v>
      </c>
      <c r="S170" s="485">
        <f t="shared" si="103"/>
        <v>1168.8665231599393</v>
      </c>
      <c r="T170" s="485">
        <f t="shared" si="103"/>
        <v>1216.1043413817347</v>
      </c>
      <c r="U170" s="485">
        <f t="shared" si="103"/>
        <v>1265.2511983398965</v>
      </c>
      <c r="V170" s="485">
        <f t="shared" si="103"/>
        <v>1316.3842446953615</v>
      </c>
      <c r="W170" s="485">
        <f t="shared" si="103"/>
        <v>1369.5837490261445</v>
      </c>
      <c r="X170" s="485">
        <f t="shared" si="103"/>
        <v>1424.9332238328323</v>
      </c>
      <c r="Y170" s="485">
        <f t="shared" si="103"/>
        <v>1482.5195566363782</v>
      </c>
      <c r="Z170" s="485">
        <f t="shared" si="103"/>
        <v>1542.4331463740004</v>
      </c>
      <c r="AA170" s="485">
        <f t="shared" si="103"/>
        <v>1604.7680453072951</v>
      </c>
      <c r="AB170" s="485">
        <f t="shared" si="103"/>
        <v>1669.6221066653327</v>
      </c>
      <c r="AC170" s="485">
        <f t="shared" si="103"/>
        <v>1737.0971382545085</v>
      </c>
      <c r="AD170" s="485">
        <f t="shared" si="103"/>
        <v>1807.2990622762811</v>
      </c>
      <c r="AE170" s="485">
        <f t="shared" si="103"/>
        <v>1880.3380816036795</v>
      </c>
      <c r="AF170" s="485">
        <f t="shared" ref="AF170:AJ170" si="104">SUMPRODUCT($C$153:$C$155,AF166:AF168)</f>
        <v>1956.3288527776085</v>
      </c>
      <c r="AG170" s="485">
        <f t="shared" si="104"/>
        <v>2035.390665994511</v>
      </c>
      <c r="AH170" s="485">
        <f t="shared" si="104"/>
        <v>2117.647632367934</v>
      </c>
      <c r="AI170" s="485">
        <f t="shared" si="104"/>
        <v>2203.2288787579669</v>
      </c>
      <c r="AJ170" s="485">
        <f t="shared" si="104"/>
        <v>2292.2687504743858</v>
      </c>
      <c r="AK170" s="485">
        <f t="shared" ref="AK170:AL170" si="105">SUMPRODUCT($C$153:$C$155,AK166:AK168)</f>
        <v>2384.9070221717211</v>
      </c>
      <c r="AL170" s="485">
        <f t="shared" si="105"/>
        <v>2481.2891172672912</v>
      </c>
    </row>
    <row r="171" spans="2:38">
      <c r="D171" s="358"/>
      <c r="F171" s="464"/>
      <c r="G171" s="465"/>
      <c r="H171" s="465"/>
    </row>
    <row r="172" spans="2:38">
      <c r="B172" s="520" t="s">
        <v>715</v>
      </c>
      <c r="C172" s="358" t="s">
        <v>295</v>
      </c>
      <c r="D172" s="383">
        <f>'1600 South'!D32</f>
        <v>590.26731006614364</v>
      </c>
      <c r="E172" s="383">
        <f>'1600 South'!E32</f>
        <v>614.12199265196432</v>
      </c>
      <c r="F172" s="383">
        <f>'1600 South'!F32</f>
        <v>638.94072300320602</v>
      </c>
      <c r="G172" s="383">
        <f>'1600 South'!G32</f>
        <v>664.76246152484032</v>
      </c>
      <c r="H172" s="383">
        <f>'1600 South'!H32</f>
        <v>691.62774314253181</v>
      </c>
      <c r="I172" s="383">
        <f>'1600 South'!I32</f>
        <v>719.57874093430178</v>
      </c>
      <c r="J172" s="383">
        <f>'1600 South'!J32</f>
        <v>748.65933233376234</v>
      </c>
      <c r="K172" s="383">
        <f>'1600 South'!K32</f>
        <v>778.9151680088454</v>
      </c>
      <c r="L172" s="383">
        <f>'1600 South'!L32</f>
        <v>810.39374352414916</v>
      </c>
      <c r="M172" s="383">
        <f>'1600 South'!M32</f>
        <v>843.14447389940517</v>
      </c>
      <c r="N172" s="383">
        <f>'1600 South'!N32</f>
        <v>877.21877118109808</v>
      </c>
      <c r="O172" s="383">
        <f>'1600 South'!O32</f>
        <v>912.67012514902183</v>
      </c>
      <c r="P172" s="383">
        <f>'1600 South'!P32</f>
        <v>949.55418728444943</v>
      </c>
      <c r="Q172" s="383">
        <f>'1600 South'!Q32</f>
        <v>987.92885813174644</v>
      </c>
      <c r="R172" s="383">
        <f>'1600 South'!R32</f>
        <v>1027.8543781905555</v>
      </c>
      <c r="S172" s="383">
        <f>'1600 South'!S32</f>
        <v>1069.3934224812424</v>
      </c>
      <c r="T172" s="383">
        <f>'1600 South'!T32</f>
        <v>1112.6111989320445</v>
      </c>
      <c r="U172" s="383">
        <f>'1600 South'!U32</f>
        <v>1157.575550742378</v>
      </c>
      <c r="V172" s="383">
        <f>'1600 South'!V32</f>
        <v>1204.3570628829912</v>
      </c>
      <c r="W172" s="383">
        <f>'1600 South'!W32</f>
        <v>1253.029172900139</v>
      </c>
      <c r="X172" s="383">
        <f>'1600 South'!X32</f>
        <v>1303.6682861977347</v>
      </c>
      <c r="Y172" s="383">
        <f>'1600 South'!Y32</f>
        <v>1356.3538959784346</v>
      </c>
      <c r="Z172" s="383">
        <f>'1600 South'!Z32</f>
        <v>1411.1687080319452</v>
      </c>
      <c r="AA172" s="383">
        <f>'1600 South'!AA32</f>
        <v>1468.1987705664483</v>
      </c>
      <c r="AB172" s="383">
        <f>'1600 South'!AB32</f>
        <v>1527.5336092869429</v>
      </c>
      <c r="AC172" s="383">
        <f>'1600 South'!AC32</f>
        <v>1589.266367932564</v>
      </c>
      <c r="AD172" s="383">
        <f>'1600 South'!AD32</f>
        <v>1653.4939544934794</v>
      </c>
      <c r="AE172" s="383">
        <f>'1600 South'!AE32</f>
        <v>1720.3171933369044</v>
      </c>
      <c r="AF172" s="383">
        <f>'1600 South'!AF32</f>
        <v>1789.8409834810398</v>
      </c>
      <c r="AG172" s="383">
        <f>'1600 South'!AG32</f>
        <v>1862.1744632653927</v>
      </c>
      <c r="AH172" s="383">
        <f>'1600 South'!AH32</f>
        <v>1937.4311816759707</v>
      </c>
      <c r="AI172" s="383">
        <f>'1600 South'!AI32</f>
        <v>2015.7292765943114</v>
      </c>
      <c r="AJ172" s="383">
        <f>'1600 South'!AJ32</f>
        <v>2097.1916602501424</v>
      </c>
      <c r="AK172" s="383">
        <f>'1600 South'!AK32</f>
        <v>2181.9462121688175</v>
      </c>
      <c r="AL172" s="383">
        <f>'1600 South'!AL32</f>
        <v>2270.1259799163972</v>
      </c>
    </row>
    <row r="173" spans="2:38">
      <c r="B173" s="520" t="s">
        <v>716</v>
      </c>
      <c r="C173" s="358" t="s">
        <v>295</v>
      </c>
      <c r="D173" s="383">
        <f>'1600 South'!D33</f>
        <v>175.24619743599993</v>
      </c>
      <c r="E173" s="383">
        <f>'1600 South'!E33</f>
        <v>182.32848429640455</v>
      </c>
      <c r="F173" s="383">
        <f>'1600 South'!F33</f>
        <v>189.69699013278088</v>
      </c>
      <c r="G173" s="383">
        <f>'1600 South'!G33</f>
        <v>197.3632820143286</v>
      </c>
      <c r="H173" s="383">
        <f>'1600 South'!H33</f>
        <v>205.33939447432599</v>
      </c>
      <c r="I173" s="383">
        <f>'1600 South'!I33</f>
        <v>213.63784840192164</v>
      </c>
      <c r="J173" s="383">
        <f>'1600 South'!J33</f>
        <v>222.27167069740747</v>
      </c>
      <c r="K173" s="383">
        <f>'1600 South'!K33</f>
        <v>231.25441472182686</v>
      </c>
      <c r="L173" s="383">
        <f>'1600 South'!L33</f>
        <v>240.6001815730198</v>
      </c>
      <c r="M173" s="383">
        <f>'1600 South'!M33</f>
        <v>250.32364222150485</v>
      </c>
      <c r="N173" s="383">
        <f>'1600 South'!N33</f>
        <v>260.44006054094626</v>
      </c>
      <c r="O173" s="383">
        <f>'1600 South'!O33</f>
        <v>270.96531726935984</v>
      </c>
      <c r="P173" s="383">
        <f>'1600 South'!P33</f>
        <v>281.9159349386706</v>
      </c>
      <c r="Q173" s="383">
        <f>'1600 South'!Q33</f>
        <v>293.30910381175846</v>
      </c>
      <c r="R173" s="383">
        <f>'1600 South'!R33</f>
        <v>305.16270886770684</v>
      </c>
      <c r="S173" s="383">
        <f>'1600 South'!S33</f>
        <v>317.49535787761516</v>
      </c>
      <c r="T173" s="383">
        <f>'1600 South'!T33</f>
        <v>330.32641061504938</v>
      </c>
      <c r="U173" s="383">
        <f>'1600 South'!U33</f>
        <v>343.67600924698525</v>
      </c>
      <c r="V173" s="383">
        <f>'1600 South'!V33</f>
        <v>357.56510995295156</v>
      </c>
      <c r="W173" s="383">
        <f>'1600 South'!W33</f>
        <v>372.01551582200779</v>
      </c>
      <c r="X173" s="383">
        <f>'1600 South'!X33</f>
        <v>387.04991107920068</v>
      </c>
      <c r="Y173" s="383">
        <f>'1600 South'!Y33</f>
        <v>402.69189669522598</v>
      </c>
      <c r="Z173" s="383">
        <f>'1600 South'!Z33</f>
        <v>418.96602743519583</v>
      </c>
      <c r="AA173" s="383">
        <f>'1600 South'!AA33</f>
        <v>435.89785040467217</v>
      </c>
      <c r="AB173" s="383">
        <f>'1600 South'!AB33</f>
        <v>453.513945153473</v>
      </c>
      <c r="AC173" s="383">
        <f>'1600 South'!AC33</f>
        <v>471.84196540021031</v>
      </c>
      <c r="AD173" s="383">
        <f>'1600 South'!AD33</f>
        <v>490.91068244305433</v>
      </c>
      <c r="AE173" s="383">
        <f>'1600 South'!AE33</f>
        <v>510.75003032487353</v>
      </c>
      <c r="AF173" s="383">
        <f>'1600 South'!AF33</f>
        <v>531.39115282364935</v>
      </c>
      <c r="AG173" s="383">
        <f>'1600 South'!AG33</f>
        <v>552.86645234193224</v>
      </c>
      <c r="AH173" s="383">
        <f>'1600 South'!AH33</f>
        <v>575.20964077208225</v>
      </c>
      <c r="AI173" s="383">
        <f>'1600 South'!AI33</f>
        <v>598.45579241714722</v>
      </c>
      <c r="AJ173" s="383">
        <f>'1600 South'!AJ33</f>
        <v>622.64139905044908</v>
      </c>
      <c r="AK173" s="383">
        <f>'1600 South'!AK33</f>
        <v>647.80442720031465</v>
      </c>
      <c r="AL173" s="383">
        <f>'1600 South'!AL33</f>
        <v>673.98437774987394</v>
      </c>
    </row>
    <row r="174" spans="2:38">
      <c r="D174" s="358"/>
      <c r="F174" s="464"/>
      <c r="G174" s="465"/>
      <c r="H174" s="465"/>
    </row>
    <row r="175" spans="2:38">
      <c r="B175" s="358" t="s">
        <v>208</v>
      </c>
      <c r="C175" s="362" t="s">
        <v>292</v>
      </c>
      <c r="D175" s="485">
        <f>SUMPRODUCT(D172:D173,D$150:D$151)</f>
        <v>1659.6293936111526</v>
      </c>
      <c r="E175" s="485">
        <f t="shared" ref="E175:AE175" si="106">SUMPRODUCT(E172:E173,E$150:E$151)</f>
        <v>1738.8292886393701</v>
      </c>
      <c r="F175" s="485">
        <f t="shared" si="106"/>
        <v>1809.6304636066841</v>
      </c>
      <c r="G175" s="485">
        <f t="shared" si="106"/>
        <v>1874.3052773220393</v>
      </c>
      <c r="H175" s="485">
        <f t="shared" si="106"/>
        <v>1977.7085826152249</v>
      </c>
      <c r="I175" s="485">
        <f t="shared" si="106"/>
        <v>2089.1890348904899</v>
      </c>
      <c r="J175" s="485">
        <f t="shared" si="106"/>
        <v>2203.0589049231353</v>
      </c>
      <c r="K175" s="485">
        <f t="shared" si="106"/>
        <v>2317.3278510435084</v>
      </c>
      <c r="L175" s="485">
        <f t="shared" si="106"/>
        <v>2450.4673214338868</v>
      </c>
      <c r="M175" s="485">
        <f t="shared" si="106"/>
        <v>2640.9429368963069</v>
      </c>
      <c r="N175" s="485">
        <f t="shared" si="106"/>
        <v>2778.0736943852867</v>
      </c>
      <c r="O175" s="485">
        <f t="shared" si="106"/>
        <v>2923.2424700552301</v>
      </c>
      <c r="P175" s="485">
        <f t="shared" si="106"/>
        <v>3108.2319190182311</v>
      </c>
      <c r="Q175" s="485">
        <f t="shared" si="106"/>
        <v>3291.2029077760317</v>
      </c>
      <c r="R175" s="485">
        <f t="shared" si="106"/>
        <v>3468.8239798633203</v>
      </c>
      <c r="S175" s="485">
        <f t="shared" si="106"/>
        <v>3661.6061411903793</v>
      </c>
      <c r="T175" s="485">
        <f t="shared" si="106"/>
        <v>3831.7789284085843</v>
      </c>
      <c r="U175" s="485">
        <f t="shared" si="106"/>
        <v>4038.6000959697712</v>
      </c>
      <c r="V175" s="485">
        <f t="shared" si="106"/>
        <v>4265.795576279651</v>
      </c>
      <c r="W175" s="485">
        <f t="shared" si="106"/>
        <v>4455.7866891391805</v>
      </c>
      <c r="X175" s="485">
        <f t="shared" si="106"/>
        <v>4677.7372951503639</v>
      </c>
      <c r="Y175" s="485">
        <f t="shared" si="106"/>
        <v>4957.3191268511355</v>
      </c>
      <c r="Z175" s="485">
        <f t="shared" si="106"/>
        <v>5207.957778392969</v>
      </c>
      <c r="AA175" s="485">
        <f t="shared" si="106"/>
        <v>5471.808345873701</v>
      </c>
      <c r="AB175" s="485">
        <f t="shared" si="106"/>
        <v>5783.7469542066574</v>
      </c>
      <c r="AC175" s="485">
        <f t="shared" si="106"/>
        <v>6039.2999816869542</v>
      </c>
      <c r="AD175" s="485">
        <f t="shared" si="106"/>
        <v>6399.5430502111794</v>
      </c>
      <c r="AE175" s="485">
        <f t="shared" si="106"/>
        <v>6745.6255830798973</v>
      </c>
      <c r="AF175" s="485">
        <f t="shared" ref="AF175:AJ175" si="107">SUMPRODUCT(AF172:AF173,AF$150:AF$151)</f>
        <v>7087.9773166369478</v>
      </c>
      <c r="AG175" s="485">
        <f t="shared" si="107"/>
        <v>7437.620073110982</v>
      </c>
      <c r="AH175" s="485">
        <f t="shared" si="107"/>
        <v>7817.2952365125602</v>
      </c>
      <c r="AI175" s="485">
        <f t="shared" si="107"/>
        <v>8216.0595582916358</v>
      </c>
      <c r="AJ175" s="485">
        <f t="shared" si="107"/>
        <v>8634.8634277897181</v>
      </c>
      <c r="AK175" s="485">
        <f t="shared" ref="AK175:AL175" si="108">SUMPRODUCT(AK172:AK173,AK$150:AK$151)</f>
        <v>9074.7042466036</v>
      </c>
      <c r="AL175" s="485">
        <f t="shared" si="108"/>
        <v>9536.6287441031764</v>
      </c>
    </row>
    <row r="177" spans="1:38" ht="13">
      <c r="B177" s="364" t="s">
        <v>527</v>
      </c>
      <c r="C177" s="387" t="s">
        <v>292</v>
      </c>
      <c r="D177" s="488">
        <f>D170+D175</f>
        <v>2304.8023336608048</v>
      </c>
      <c r="E177" s="488">
        <f t="shared" ref="E177:AE177" si="109">E170+E175</f>
        <v>2410.0758320131172</v>
      </c>
      <c r="F177" s="488">
        <f t="shared" si="109"/>
        <v>2508.0043321023595</v>
      </c>
      <c r="G177" s="488">
        <f t="shared" si="109"/>
        <v>2600.9027771709898</v>
      </c>
      <c r="H177" s="488">
        <f t="shared" si="109"/>
        <v>2733.670325462158</v>
      </c>
      <c r="I177" s="488">
        <f t="shared" si="109"/>
        <v>2875.7017283238902</v>
      </c>
      <c r="J177" s="488">
        <f t="shared" si="109"/>
        <v>3021.357215367022</v>
      </c>
      <c r="K177" s="488">
        <f t="shared" si="109"/>
        <v>3168.6963419349031</v>
      </c>
      <c r="L177" s="488">
        <f t="shared" si="109"/>
        <v>3336.2424697285314</v>
      </c>
      <c r="M177" s="488">
        <f t="shared" si="109"/>
        <v>3562.5152310681465</v>
      </c>
      <c r="N177" s="488">
        <f t="shared" si="109"/>
        <v>3736.8898172131503</v>
      </c>
      <c r="O177" s="488">
        <f t="shared" si="109"/>
        <v>3920.8075696232477</v>
      </c>
      <c r="P177" s="488">
        <f t="shared" si="109"/>
        <v>4146.1119714949928</v>
      </c>
      <c r="Q177" s="488">
        <f t="shared" si="109"/>
        <v>4371.0271756815864</v>
      </c>
      <c r="R177" s="488">
        <f t="shared" si="109"/>
        <v>4592.2875696829869</v>
      </c>
      <c r="S177" s="488">
        <f t="shared" si="109"/>
        <v>4830.4726643503182</v>
      </c>
      <c r="T177" s="488">
        <f t="shared" si="109"/>
        <v>5047.883269790319</v>
      </c>
      <c r="U177" s="488">
        <f t="shared" si="109"/>
        <v>5303.8512943096675</v>
      </c>
      <c r="V177" s="488">
        <f t="shared" si="109"/>
        <v>5582.1798209750123</v>
      </c>
      <c r="W177" s="488">
        <f t="shared" si="109"/>
        <v>5825.3704381653251</v>
      </c>
      <c r="X177" s="488">
        <f t="shared" si="109"/>
        <v>6102.6705189831964</v>
      </c>
      <c r="Y177" s="488">
        <f t="shared" si="109"/>
        <v>6439.8386834875137</v>
      </c>
      <c r="Z177" s="488">
        <f t="shared" si="109"/>
        <v>6750.390924766969</v>
      </c>
      <c r="AA177" s="488">
        <f t="shared" si="109"/>
        <v>7076.5763911809963</v>
      </c>
      <c r="AB177" s="488">
        <f t="shared" si="109"/>
        <v>7453.3690608719899</v>
      </c>
      <c r="AC177" s="488">
        <f t="shared" si="109"/>
        <v>7776.3971199414627</v>
      </c>
      <c r="AD177" s="488">
        <f t="shared" si="109"/>
        <v>8206.8421124874603</v>
      </c>
      <c r="AE177" s="488">
        <f t="shared" si="109"/>
        <v>8625.963664683577</v>
      </c>
      <c r="AF177" s="488">
        <f t="shared" ref="AF177:AJ177" si="110">AF170+AF175</f>
        <v>9044.3061694145563</v>
      </c>
      <c r="AG177" s="488">
        <f t="shared" si="110"/>
        <v>9473.0107391054935</v>
      </c>
      <c r="AH177" s="488">
        <f t="shared" si="110"/>
        <v>9934.9428688804946</v>
      </c>
      <c r="AI177" s="488">
        <f t="shared" si="110"/>
        <v>10419.288437049603</v>
      </c>
      <c r="AJ177" s="488">
        <f t="shared" si="110"/>
        <v>10927.132178264104</v>
      </c>
      <c r="AK177" s="488">
        <f t="shared" ref="AK177:AL177" si="111">AK170+AK175</f>
        <v>11459.611268775321</v>
      </c>
      <c r="AL177" s="488">
        <f t="shared" si="111"/>
        <v>12017.917861370468</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'1600 South'!D48</f>
        <v>1651.0973708143879</v>
      </c>
      <c r="E181" s="383">
        <f>'1600 South'!E48</f>
        <v>1717.8237556698302</v>
      </c>
      <c r="F181" s="383">
        <f>'1600 South'!F48</f>
        <v>1787.2467776313456</v>
      </c>
      <c r="G181" s="383">
        <f>'1600 South'!G48</f>
        <v>1859.4754168527002</v>
      </c>
      <c r="H181" s="383">
        <f>'1600 South'!H48</f>
        <v>0</v>
      </c>
      <c r="I181" s="383">
        <f>'1600 South'!I48</f>
        <v>0</v>
      </c>
      <c r="J181" s="383">
        <f>'1600 South'!J48</f>
        <v>0</v>
      </c>
      <c r="K181" s="383">
        <f>'1600 South'!K48</f>
        <v>0</v>
      </c>
      <c r="L181" s="383">
        <f>'1600 South'!L48</f>
        <v>0</v>
      </c>
      <c r="M181" s="383">
        <f>'1600 South'!M48</f>
        <v>0</v>
      </c>
      <c r="N181" s="383">
        <f>'1600 South'!N48</f>
        <v>0</v>
      </c>
      <c r="O181" s="383">
        <f>'1600 South'!O48</f>
        <v>0</v>
      </c>
      <c r="P181" s="383">
        <f>'1600 South'!P48</f>
        <v>0</v>
      </c>
      <c r="Q181" s="383">
        <f>'1600 South'!Q48</f>
        <v>0</v>
      </c>
      <c r="R181" s="383">
        <f>'1600 South'!R48</f>
        <v>0</v>
      </c>
      <c r="S181" s="383">
        <f>'1600 South'!S48</f>
        <v>0</v>
      </c>
      <c r="T181" s="383">
        <f>'1600 South'!T48</f>
        <v>0</v>
      </c>
      <c r="U181" s="383">
        <f>'1600 South'!U48</f>
        <v>0</v>
      </c>
      <c r="V181" s="383">
        <f>'1600 South'!V48</f>
        <v>0</v>
      </c>
      <c r="W181" s="383">
        <f>'1600 South'!W48</f>
        <v>0</v>
      </c>
      <c r="X181" s="383">
        <f>'1600 South'!X48</f>
        <v>0</v>
      </c>
      <c r="Y181" s="383">
        <f>'1600 South'!Y48</f>
        <v>0</v>
      </c>
      <c r="Z181" s="383">
        <f>'1600 South'!Z48</f>
        <v>0</v>
      </c>
      <c r="AA181" s="383">
        <f>'1600 South'!AA48</f>
        <v>0</v>
      </c>
      <c r="AB181" s="383">
        <f>'1600 South'!AB48</f>
        <v>0</v>
      </c>
      <c r="AC181" s="383">
        <f>'1600 South'!AC48</f>
        <v>0</v>
      </c>
      <c r="AD181" s="383">
        <f>'1600 South'!AD48</f>
        <v>0</v>
      </c>
      <c r="AE181" s="383">
        <f>'1600 South'!AE48</f>
        <v>0</v>
      </c>
      <c r="AF181" s="383">
        <f>'1600 South'!AF48</f>
        <v>0</v>
      </c>
      <c r="AG181" s="383">
        <f>'1600 South'!AG48</f>
        <v>0</v>
      </c>
      <c r="AH181" s="383">
        <f>'1600 South'!AH48</f>
        <v>0</v>
      </c>
      <c r="AI181" s="383">
        <f>'1600 South'!AI48</f>
        <v>0</v>
      </c>
      <c r="AJ181" s="383">
        <f>'1600 South'!AJ48</f>
        <v>0</v>
      </c>
      <c r="AK181" s="383">
        <f>'1600 South'!AK48</f>
        <v>0</v>
      </c>
      <c r="AL181" s="383">
        <f>'1600 South'!AL48</f>
        <v>0</v>
      </c>
    </row>
    <row r="182" spans="1:38">
      <c r="B182" s="385" t="s">
        <v>509</v>
      </c>
      <c r="C182" s="386" t="s">
        <v>443</v>
      </c>
      <c r="D182" s="383">
        <f>'1600 South'!D49</f>
        <v>185.6834650038673</v>
      </c>
      <c r="E182" s="383">
        <f>'1600 South'!E49</f>
        <v>193.18755686795214</v>
      </c>
      <c r="F182" s="383">
        <f>'1600 South'!F49</f>
        <v>200.99491426353416</v>
      </c>
      <c r="G182" s="383">
        <f>'1600 South'!G49</f>
        <v>209.11779316831985</v>
      </c>
      <c r="H182" s="383">
        <f>'1600 South'!H49</f>
        <v>0</v>
      </c>
      <c r="I182" s="383">
        <f>'1600 South'!I49</f>
        <v>0</v>
      </c>
      <c r="J182" s="383">
        <f>'1600 South'!J49</f>
        <v>0</v>
      </c>
      <c r="K182" s="383">
        <f>'1600 South'!K49</f>
        <v>0</v>
      </c>
      <c r="L182" s="383">
        <f>'1600 South'!L49</f>
        <v>0</v>
      </c>
      <c r="M182" s="383">
        <f>'1600 South'!M49</f>
        <v>0</v>
      </c>
      <c r="N182" s="383">
        <f>'1600 South'!N49</f>
        <v>0</v>
      </c>
      <c r="O182" s="383">
        <f>'1600 South'!O49</f>
        <v>0</v>
      </c>
      <c r="P182" s="383">
        <f>'1600 South'!P49</f>
        <v>0</v>
      </c>
      <c r="Q182" s="383">
        <f>'1600 South'!Q49</f>
        <v>0</v>
      </c>
      <c r="R182" s="383">
        <f>'1600 South'!R49</f>
        <v>0</v>
      </c>
      <c r="S182" s="383">
        <f>'1600 South'!S49</f>
        <v>0</v>
      </c>
      <c r="T182" s="383">
        <f>'1600 South'!T49</f>
        <v>0</v>
      </c>
      <c r="U182" s="383">
        <f>'1600 South'!U49</f>
        <v>0</v>
      </c>
      <c r="V182" s="383">
        <f>'1600 South'!V49</f>
        <v>0</v>
      </c>
      <c r="W182" s="383">
        <f>'1600 South'!W49</f>
        <v>0</v>
      </c>
      <c r="X182" s="383">
        <f>'1600 South'!X49</f>
        <v>0</v>
      </c>
      <c r="Y182" s="383">
        <f>'1600 South'!Y49</f>
        <v>0</v>
      </c>
      <c r="Z182" s="383">
        <f>'1600 South'!Z49</f>
        <v>0</v>
      </c>
      <c r="AA182" s="383">
        <f>'1600 South'!AA49</f>
        <v>0</v>
      </c>
      <c r="AB182" s="383">
        <f>'1600 South'!AB49</f>
        <v>0</v>
      </c>
      <c r="AC182" s="383">
        <f>'1600 South'!AC49</f>
        <v>0</v>
      </c>
      <c r="AD182" s="383">
        <f>'1600 South'!AD49</f>
        <v>0</v>
      </c>
      <c r="AE182" s="383">
        <f>'1600 South'!AE49</f>
        <v>0</v>
      </c>
      <c r="AF182" s="383">
        <f>'1600 South'!AF49</f>
        <v>0</v>
      </c>
      <c r="AG182" s="383">
        <f>'1600 South'!AG49</f>
        <v>0</v>
      </c>
      <c r="AH182" s="383">
        <f>'1600 South'!AH49</f>
        <v>0</v>
      </c>
      <c r="AI182" s="383">
        <f>'1600 South'!AI49</f>
        <v>0</v>
      </c>
      <c r="AJ182" s="383">
        <f>'1600 South'!AJ49</f>
        <v>0</v>
      </c>
      <c r="AK182" s="383">
        <f>'1600 South'!AK49</f>
        <v>0</v>
      </c>
      <c r="AL182" s="383">
        <f>'1600 South'!AL49</f>
        <v>0</v>
      </c>
    </row>
    <row r="183" spans="1:38">
      <c r="B183" s="358" t="s">
        <v>769</v>
      </c>
      <c r="C183" s="358" t="s">
        <v>443</v>
      </c>
      <c r="D183" s="383">
        <f>'1600 South'!D50</f>
        <v>19.868130755413798</v>
      </c>
      <c r="E183" s="383">
        <f>'1600 South'!E50</f>
        <v>20.671068584870877</v>
      </c>
      <c r="F183" s="383">
        <f>'1600 South'!F50</f>
        <v>21.506455826198152</v>
      </c>
      <c r="G183" s="383">
        <f>'1600 South'!G50</f>
        <v>22.375603869010224</v>
      </c>
      <c r="H183" s="383">
        <f>'1600 South'!H50</f>
        <v>0</v>
      </c>
      <c r="I183" s="383">
        <f>'1600 South'!I50</f>
        <v>0</v>
      </c>
      <c r="J183" s="383">
        <f>'1600 South'!J50</f>
        <v>0</v>
      </c>
      <c r="K183" s="383">
        <f>'1600 South'!K50</f>
        <v>0</v>
      </c>
      <c r="L183" s="383">
        <f>'1600 South'!L50</f>
        <v>0</v>
      </c>
      <c r="M183" s="383">
        <f>'1600 South'!M50</f>
        <v>0</v>
      </c>
      <c r="N183" s="383">
        <f>'1600 South'!N50</f>
        <v>0</v>
      </c>
      <c r="O183" s="383">
        <f>'1600 South'!O50</f>
        <v>0</v>
      </c>
      <c r="P183" s="383">
        <f>'1600 South'!P50</f>
        <v>0</v>
      </c>
      <c r="Q183" s="383">
        <f>'1600 South'!Q50</f>
        <v>0</v>
      </c>
      <c r="R183" s="383">
        <f>'1600 South'!R50</f>
        <v>0</v>
      </c>
      <c r="S183" s="383">
        <f>'1600 South'!S50</f>
        <v>0</v>
      </c>
      <c r="T183" s="383">
        <f>'1600 South'!T50</f>
        <v>0</v>
      </c>
      <c r="U183" s="383">
        <f>'1600 South'!U50</f>
        <v>0</v>
      </c>
      <c r="V183" s="383">
        <f>'1600 South'!V50</f>
        <v>0</v>
      </c>
      <c r="W183" s="383">
        <f>'1600 South'!W50</f>
        <v>0</v>
      </c>
      <c r="X183" s="383">
        <f>'1600 South'!X50</f>
        <v>0</v>
      </c>
      <c r="Y183" s="383">
        <f>'1600 South'!Y50</f>
        <v>0</v>
      </c>
      <c r="Z183" s="383">
        <f>'1600 South'!Z50</f>
        <v>0</v>
      </c>
      <c r="AA183" s="383">
        <f>'1600 South'!AA50</f>
        <v>0</v>
      </c>
      <c r="AB183" s="383">
        <f>'1600 South'!AB50</f>
        <v>0</v>
      </c>
      <c r="AC183" s="383">
        <f>'1600 South'!AC50</f>
        <v>0</v>
      </c>
      <c r="AD183" s="383">
        <f>'1600 South'!AD50</f>
        <v>0</v>
      </c>
      <c r="AE183" s="383">
        <f>'1600 South'!AE50</f>
        <v>0</v>
      </c>
      <c r="AF183" s="383">
        <f>'1600 South'!AF50</f>
        <v>0</v>
      </c>
      <c r="AG183" s="383">
        <f>'1600 South'!AG50</f>
        <v>0</v>
      </c>
      <c r="AH183" s="383">
        <f>'1600 South'!AH50</f>
        <v>0</v>
      </c>
      <c r="AI183" s="383">
        <f>'1600 South'!AI50</f>
        <v>0</v>
      </c>
      <c r="AJ183" s="383">
        <f>'1600 South'!AJ50</f>
        <v>0</v>
      </c>
      <c r="AK183" s="383">
        <f>'1600 South'!AK50</f>
        <v>0</v>
      </c>
      <c r="AL183" s="383">
        <f>'1600 South'!AL50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56.962859293096372</v>
      </c>
      <c r="E185" s="383">
        <f t="shared" ref="E185:AE187" si="112">E181*$C163</f>
        <v>59.264919570609138</v>
      </c>
      <c r="F185" s="383">
        <f t="shared" si="112"/>
        <v>61.660013828281414</v>
      </c>
      <c r="G185" s="383">
        <f t="shared" si="112"/>
        <v>64.151901881418155</v>
      </c>
      <c r="H185" s="383">
        <f t="shared" si="112"/>
        <v>0</v>
      </c>
      <c r="I185" s="383">
        <f t="shared" si="112"/>
        <v>0</v>
      </c>
      <c r="J185" s="383">
        <f t="shared" si="112"/>
        <v>0</v>
      </c>
      <c r="K185" s="383">
        <f t="shared" si="112"/>
        <v>0</v>
      </c>
      <c r="L185" s="383">
        <f t="shared" si="112"/>
        <v>0</v>
      </c>
      <c r="M185" s="383">
        <f t="shared" si="112"/>
        <v>0</v>
      </c>
      <c r="N185" s="383">
        <f t="shared" si="112"/>
        <v>0</v>
      </c>
      <c r="O185" s="383">
        <f t="shared" si="112"/>
        <v>0</v>
      </c>
      <c r="P185" s="383">
        <f t="shared" si="112"/>
        <v>0</v>
      </c>
      <c r="Q185" s="383">
        <f t="shared" si="112"/>
        <v>0</v>
      </c>
      <c r="R185" s="383">
        <f t="shared" si="112"/>
        <v>0</v>
      </c>
      <c r="S185" s="383">
        <f t="shared" si="112"/>
        <v>0</v>
      </c>
      <c r="T185" s="383">
        <f t="shared" si="112"/>
        <v>0</v>
      </c>
      <c r="U185" s="383">
        <f t="shared" si="112"/>
        <v>0</v>
      </c>
      <c r="V185" s="383">
        <f t="shared" si="112"/>
        <v>0</v>
      </c>
      <c r="W185" s="383">
        <f t="shared" si="112"/>
        <v>0</v>
      </c>
      <c r="X185" s="383">
        <f t="shared" si="112"/>
        <v>0</v>
      </c>
      <c r="Y185" s="383">
        <f t="shared" si="112"/>
        <v>0</v>
      </c>
      <c r="Z185" s="383">
        <f t="shared" si="112"/>
        <v>0</v>
      </c>
      <c r="AA185" s="383">
        <f t="shared" si="112"/>
        <v>0</v>
      </c>
      <c r="AB185" s="383">
        <f t="shared" si="112"/>
        <v>0</v>
      </c>
      <c r="AC185" s="383">
        <f t="shared" si="112"/>
        <v>0</v>
      </c>
      <c r="AD185" s="383">
        <f t="shared" si="112"/>
        <v>0</v>
      </c>
      <c r="AE185" s="383">
        <f t="shared" si="112"/>
        <v>0</v>
      </c>
      <c r="AF185" s="383">
        <f t="shared" ref="AF185:AJ185" si="113">AF181*$C163</f>
        <v>0</v>
      </c>
      <c r="AG185" s="383">
        <f t="shared" si="113"/>
        <v>0</v>
      </c>
      <c r="AH185" s="383">
        <f t="shared" si="113"/>
        <v>0</v>
      </c>
      <c r="AI185" s="383">
        <f t="shared" si="113"/>
        <v>0</v>
      </c>
      <c r="AJ185" s="383">
        <f t="shared" si="113"/>
        <v>0</v>
      </c>
      <c r="AK185" s="383">
        <f t="shared" ref="AK185:AL185" si="114">AK181*$C163</f>
        <v>0</v>
      </c>
      <c r="AL185" s="383">
        <f t="shared" si="114"/>
        <v>0</v>
      </c>
    </row>
    <row r="186" spans="1:38">
      <c r="B186" s="385" t="s">
        <v>501</v>
      </c>
      <c r="C186" s="386" t="s">
        <v>479</v>
      </c>
      <c r="D186" s="383">
        <f>D182*$C164</f>
        <v>6.4060795426334209</v>
      </c>
      <c r="E186" s="383">
        <f t="shared" si="112"/>
        <v>6.6649707119443482</v>
      </c>
      <c r="F186" s="383">
        <f t="shared" si="112"/>
        <v>6.9343245420919279</v>
      </c>
      <c r="G186" s="383">
        <f t="shared" si="112"/>
        <v>7.214563864307034</v>
      </c>
      <c r="H186" s="383">
        <f t="shared" si="112"/>
        <v>0</v>
      </c>
      <c r="I186" s="383">
        <f t="shared" si="112"/>
        <v>0</v>
      </c>
      <c r="J186" s="383">
        <f t="shared" si="112"/>
        <v>0</v>
      </c>
      <c r="K186" s="383">
        <f t="shared" si="112"/>
        <v>0</v>
      </c>
      <c r="L186" s="383">
        <f t="shared" si="112"/>
        <v>0</v>
      </c>
      <c r="M186" s="383">
        <f t="shared" si="112"/>
        <v>0</v>
      </c>
      <c r="N186" s="383">
        <f t="shared" si="112"/>
        <v>0</v>
      </c>
      <c r="O186" s="383">
        <f t="shared" si="112"/>
        <v>0</v>
      </c>
      <c r="P186" s="383">
        <f t="shared" si="112"/>
        <v>0</v>
      </c>
      <c r="Q186" s="383">
        <f t="shared" si="112"/>
        <v>0</v>
      </c>
      <c r="R186" s="383">
        <f t="shared" si="112"/>
        <v>0</v>
      </c>
      <c r="S186" s="383">
        <f t="shared" si="112"/>
        <v>0</v>
      </c>
      <c r="T186" s="383">
        <f t="shared" si="112"/>
        <v>0</v>
      </c>
      <c r="U186" s="383">
        <f t="shared" si="112"/>
        <v>0</v>
      </c>
      <c r="V186" s="383">
        <f t="shared" si="112"/>
        <v>0</v>
      </c>
      <c r="W186" s="383">
        <f t="shared" si="112"/>
        <v>0</v>
      </c>
      <c r="X186" s="383">
        <f t="shared" si="112"/>
        <v>0</v>
      </c>
      <c r="Y186" s="383">
        <f t="shared" si="112"/>
        <v>0</v>
      </c>
      <c r="Z186" s="383">
        <f t="shared" si="112"/>
        <v>0</v>
      </c>
      <c r="AA186" s="383">
        <f t="shared" si="112"/>
        <v>0</v>
      </c>
      <c r="AB186" s="383">
        <f t="shared" si="112"/>
        <v>0</v>
      </c>
      <c r="AC186" s="383">
        <f t="shared" si="112"/>
        <v>0</v>
      </c>
      <c r="AD186" s="383">
        <f t="shared" si="112"/>
        <v>0</v>
      </c>
      <c r="AE186" s="383">
        <f t="shared" si="112"/>
        <v>0</v>
      </c>
      <c r="AF186" s="383">
        <f t="shared" ref="AF186:AJ186" si="115">AF182*$C164</f>
        <v>0</v>
      </c>
      <c r="AG186" s="383">
        <f t="shared" si="115"/>
        <v>0</v>
      </c>
      <c r="AH186" s="383">
        <f t="shared" si="115"/>
        <v>0</v>
      </c>
      <c r="AI186" s="383">
        <f t="shared" si="115"/>
        <v>0</v>
      </c>
      <c r="AJ186" s="383">
        <f t="shared" si="115"/>
        <v>0</v>
      </c>
      <c r="AK186" s="383">
        <f t="shared" ref="AK186:AL186" si="116">AK182*$C164</f>
        <v>0</v>
      </c>
      <c r="AL186" s="383">
        <f t="shared" si="116"/>
        <v>0</v>
      </c>
    </row>
    <row r="187" spans="1:38">
      <c r="B187" s="385" t="s">
        <v>768</v>
      </c>
      <c r="C187" s="386" t="s">
        <v>479</v>
      </c>
      <c r="D187" s="383">
        <f>D183*$C165</f>
        <v>0.6854505110617759</v>
      </c>
      <c r="E187" s="383">
        <f t="shared" si="112"/>
        <v>0.71315186617804516</v>
      </c>
      <c r="F187" s="383">
        <f t="shared" si="112"/>
        <v>0.74197272600383612</v>
      </c>
      <c r="G187" s="383">
        <f t="shared" si="112"/>
        <v>0.77195833348085263</v>
      </c>
      <c r="H187" s="383">
        <f t="shared" si="112"/>
        <v>0</v>
      </c>
      <c r="I187" s="383">
        <f t="shared" si="112"/>
        <v>0</v>
      </c>
      <c r="J187" s="383">
        <f t="shared" si="112"/>
        <v>0</v>
      </c>
      <c r="K187" s="383">
        <f t="shared" si="112"/>
        <v>0</v>
      </c>
      <c r="L187" s="383">
        <f t="shared" si="112"/>
        <v>0</v>
      </c>
      <c r="M187" s="383">
        <f t="shared" si="112"/>
        <v>0</v>
      </c>
      <c r="N187" s="383">
        <f t="shared" si="112"/>
        <v>0</v>
      </c>
      <c r="O187" s="383">
        <f t="shared" si="112"/>
        <v>0</v>
      </c>
      <c r="P187" s="383">
        <f t="shared" si="112"/>
        <v>0</v>
      </c>
      <c r="Q187" s="383">
        <f t="shared" si="112"/>
        <v>0</v>
      </c>
      <c r="R187" s="383">
        <f t="shared" si="112"/>
        <v>0</v>
      </c>
      <c r="S187" s="383">
        <f t="shared" si="112"/>
        <v>0</v>
      </c>
      <c r="T187" s="383">
        <f t="shared" si="112"/>
        <v>0</v>
      </c>
      <c r="U187" s="383">
        <f t="shared" si="112"/>
        <v>0</v>
      </c>
      <c r="V187" s="383">
        <f t="shared" si="112"/>
        <v>0</v>
      </c>
      <c r="W187" s="383">
        <f t="shared" si="112"/>
        <v>0</v>
      </c>
      <c r="X187" s="383">
        <f t="shared" si="112"/>
        <v>0</v>
      </c>
      <c r="Y187" s="383">
        <f t="shared" si="112"/>
        <v>0</v>
      </c>
      <c r="Z187" s="383">
        <f t="shared" si="112"/>
        <v>0</v>
      </c>
      <c r="AA187" s="383">
        <f t="shared" si="112"/>
        <v>0</v>
      </c>
      <c r="AB187" s="383">
        <f t="shared" si="112"/>
        <v>0</v>
      </c>
      <c r="AC187" s="383">
        <f t="shared" si="112"/>
        <v>0</v>
      </c>
      <c r="AD187" s="383">
        <f t="shared" si="112"/>
        <v>0</v>
      </c>
      <c r="AE187" s="383">
        <f t="shared" si="112"/>
        <v>0</v>
      </c>
      <c r="AF187" s="383">
        <f t="shared" ref="AF187:AJ187" si="117">AF183*$C165</f>
        <v>0</v>
      </c>
      <c r="AG187" s="383">
        <f t="shared" si="117"/>
        <v>0</v>
      </c>
      <c r="AH187" s="383">
        <f t="shared" si="117"/>
        <v>0</v>
      </c>
      <c r="AI187" s="383">
        <f t="shared" si="117"/>
        <v>0</v>
      </c>
      <c r="AJ187" s="383">
        <f t="shared" si="117"/>
        <v>0</v>
      </c>
      <c r="AK187" s="383">
        <f t="shared" ref="AK187:AL187" si="118">AK183*$C165</f>
        <v>0</v>
      </c>
      <c r="AL187" s="383">
        <f t="shared" si="118"/>
        <v>0</v>
      </c>
    </row>
    <row r="188" spans="1:38">
      <c r="D188" s="358"/>
      <c r="F188" s="464"/>
      <c r="G188" s="465"/>
      <c r="H188" s="465"/>
    </row>
    <row r="189" spans="1:38">
      <c r="B189" s="358" t="s">
        <v>459</v>
      </c>
      <c r="C189" s="362" t="s">
        <v>292</v>
      </c>
      <c r="D189" s="485">
        <f>SUMPRODUCT($C$153:$C$155,D185:D187)</f>
        <v>645.1729400496522</v>
      </c>
      <c r="E189" s="485">
        <f t="shared" ref="E189:AE189" si="119">SUMPRODUCT($C$153:$C$155,E185:E187)</f>
        <v>671.24654337374716</v>
      </c>
      <c r="F189" s="485">
        <f t="shared" si="119"/>
        <v>698.3738684956752</v>
      </c>
      <c r="G189" s="485">
        <f t="shared" si="119"/>
        <v>726.59749984895029</v>
      </c>
      <c r="H189" s="485">
        <f t="shared" si="119"/>
        <v>0</v>
      </c>
      <c r="I189" s="485">
        <f t="shared" si="119"/>
        <v>0</v>
      </c>
      <c r="J189" s="485">
        <f t="shared" si="119"/>
        <v>0</v>
      </c>
      <c r="K189" s="485">
        <f t="shared" si="119"/>
        <v>0</v>
      </c>
      <c r="L189" s="485">
        <f t="shared" si="119"/>
        <v>0</v>
      </c>
      <c r="M189" s="485">
        <f t="shared" si="119"/>
        <v>0</v>
      </c>
      <c r="N189" s="485">
        <f t="shared" si="119"/>
        <v>0</v>
      </c>
      <c r="O189" s="485">
        <f t="shared" si="119"/>
        <v>0</v>
      </c>
      <c r="P189" s="485">
        <f t="shared" si="119"/>
        <v>0</v>
      </c>
      <c r="Q189" s="485">
        <f t="shared" si="119"/>
        <v>0</v>
      </c>
      <c r="R189" s="485">
        <f t="shared" si="119"/>
        <v>0</v>
      </c>
      <c r="S189" s="485">
        <f t="shared" si="119"/>
        <v>0</v>
      </c>
      <c r="T189" s="485">
        <f t="shared" si="119"/>
        <v>0</v>
      </c>
      <c r="U189" s="485">
        <f t="shared" si="119"/>
        <v>0</v>
      </c>
      <c r="V189" s="485">
        <f t="shared" si="119"/>
        <v>0</v>
      </c>
      <c r="W189" s="485">
        <f t="shared" si="119"/>
        <v>0</v>
      </c>
      <c r="X189" s="485">
        <f t="shared" si="119"/>
        <v>0</v>
      </c>
      <c r="Y189" s="485">
        <f t="shared" si="119"/>
        <v>0</v>
      </c>
      <c r="Z189" s="485">
        <f t="shared" si="119"/>
        <v>0</v>
      </c>
      <c r="AA189" s="485">
        <f t="shared" si="119"/>
        <v>0</v>
      </c>
      <c r="AB189" s="485">
        <f t="shared" si="119"/>
        <v>0</v>
      </c>
      <c r="AC189" s="485">
        <f t="shared" si="119"/>
        <v>0</v>
      </c>
      <c r="AD189" s="485">
        <f t="shared" si="119"/>
        <v>0</v>
      </c>
      <c r="AE189" s="485">
        <f t="shared" si="119"/>
        <v>0</v>
      </c>
      <c r="AF189" s="485">
        <f t="shared" ref="AF189:AJ189" si="120">SUMPRODUCT($C$153:$C$155,AF185:AF187)</f>
        <v>0</v>
      </c>
      <c r="AG189" s="485">
        <f t="shared" si="120"/>
        <v>0</v>
      </c>
      <c r="AH189" s="485">
        <f t="shared" si="120"/>
        <v>0</v>
      </c>
      <c r="AI189" s="485">
        <f t="shared" si="120"/>
        <v>0</v>
      </c>
      <c r="AJ189" s="485">
        <f t="shared" si="120"/>
        <v>0</v>
      </c>
      <c r="AK189" s="485">
        <f t="shared" ref="AK189:AL189" si="121">SUMPRODUCT($C$153:$C$155,AK185:AK187)</f>
        <v>0</v>
      </c>
      <c r="AL189" s="485">
        <f t="shared" si="121"/>
        <v>0</v>
      </c>
    </row>
    <row r="190" spans="1:38">
      <c r="D190" s="358"/>
      <c r="F190" s="464"/>
      <c r="G190" s="465"/>
      <c r="H190" s="465"/>
    </row>
    <row r="191" spans="1:38">
      <c r="B191" s="520" t="s">
        <v>715</v>
      </c>
      <c r="C191" s="358" t="s">
        <v>295</v>
      </c>
      <c r="D191" s="383">
        <f>'1600 South'!D52</f>
        <v>590.26731006614364</v>
      </c>
      <c r="E191" s="383">
        <f>'1600 South'!E52</f>
        <v>614.12199265196432</v>
      </c>
      <c r="F191" s="383">
        <f>'1600 South'!F52</f>
        <v>638.94072300320602</v>
      </c>
      <c r="G191" s="383">
        <f>'1600 South'!G52</f>
        <v>664.76246152484032</v>
      </c>
      <c r="H191" s="383">
        <f>'1600 South'!H52</f>
        <v>0</v>
      </c>
      <c r="I191" s="383">
        <f>'1600 South'!I52</f>
        <v>0</v>
      </c>
      <c r="J191" s="383">
        <f>'1600 South'!J52</f>
        <v>0</v>
      </c>
      <c r="K191" s="383">
        <f>'1600 South'!K52</f>
        <v>0</v>
      </c>
      <c r="L191" s="383">
        <f>'1600 South'!L52</f>
        <v>0</v>
      </c>
      <c r="M191" s="383">
        <f>'1600 South'!M52</f>
        <v>0</v>
      </c>
      <c r="N191" s="383">
        <f>'1600 South'!N52</f>
        <v>0</v>
      </c>
      <c r="O191" s="383">
        <f>'1600 South'!O52</f>
        <v>0</v>
      </c>
      <c r="P191" s="383">
        <f>'1600 South'!P52</f>
        <v>0</v>
      </c>
      <c r="Q191" s="383">
        <f>'1600 South'!Q52</f>
        <v>0</v>
      </c>
      <c r="R191" s="383">
        <f>'1600 South'!R52</f>
        <v>0</v>
      </c>
      <c r="S191" s="383">
        <f>'1600 South'!S52</f>
        <v>0</v>
      </c>
      <c r="T191" s="383">
        <f>'1600 South'!T52</f>
        <v>0</v>
      </c>
      <c r="U191" s="383">
        <f>'1600 South'!U52</f>
        <v>0</v>
      </c>
      <c r="V191" s="383">
        <f>'1600 South'!V52</f>
        <v>0</v>
      </c>
      <c r="W191" s="383">
        <f>'1600 South'!W52</f>
        <v>0</v>
      </c>
      <c r="X191" s="383">
        <f>'1600 South'!X52</f>
        <v>0</v>
      </c>
      <c r="Y191" s="383">
        <f>'1600 South'!Y52</f>
        <v>0</v>
      </c>
      <c r="Z191" s="383">
        <f>'1600 South'!Z52</f>
        <v>0</v>
      </c>
      <c r="AA191" s="383">
        <f>'1600 South'!AA52</f>
        <v>0</v>
      </c>
      <c r="AB191" s="383">
        <f>'1600 South'!AB52</f>
        <v>0</v>
      </c>
      <c r="AC191" s="383">
        <f>'1600 South'!AC52</f>
        <v>0</v>
      </c>
      <c r="AD191" s="383">
        <f>'1600 South'!AD52</f>
        <v>0</v>
      </c>
      <c r="AE191" s="383">
        <f>'1600 South'!AE52</f>
        <v>0</v>
      </c>
      <c r="AF191" s="383">
        <f>'1600 South'!AF52</f>
        <v>0</v>
      </c>
      <c r="AG191" s="383">
        <f>'1600 South'!AG52</f>
        <v>0</v>
      </c>
      <c r="AH191" s="383">
        <f>'1600 South'!AH52</f>
        <v>0</v>
      </c>
      <c r="AI191" s="383">
        <f>'1600 South'!AI52</f>
        <v>0</v>
      </c>
      <c r="AJ191" s="383">
        <f>'1600 South'!AJ52</f>
        <v>0</v>
      </c>
      <c r="AK191" s="383">
        <f>'1600 South'!AK52</f>
        <v>0</v>
      </c>
      <c r="AL191" s="383">
        <f>'1600 South'!AL52</f>
        <v>0</v>
      </c>
    </row>
    <row r="192" spans="1:38">
      <c r="B192" s="520" t="s">
        <v>716</v>
      </c>
      <c r="C192" s="358" t="s">
        <v>295</v>
      </c>
      <c r="D192" s="383">
        <f>'1600 South'!D53</f>
        <v>175.24619743599993</v>
      </c>
      <c r="E192" s="383">
        <f>'1600 South'!E53</f>
        <v>182.32848429640455</v>
      </c>
      <c r="F192" s="383">
        <f>'1600 South'!F53</f>
        <v>189.69699013278088</v>
      </c>
      <c r="G192" s="383">
        <f>'1600 South'!G53</f>
        <v>197.3632820143286</v>
      </c>
      <c r="H192" s="383">
        <f>'1600 South'!H53</f>
        <v>0</v>
      </c>
      <c r="I192" s="383">
        <f>'1600 South'!I53</f>
        <v>0</v>
      </c>
      <c r="J192" s="383">
        <f>'1600 South'!J53</f>
        <v>0</v>
      </c>
      <c r="K192" s="383">
        <f>'1600 South'!K53</f>
        <v>0</v>
      </c>
      <c r="L192" s="383">
        <f>'1600 South'!L53</f>
        <v>0</v>
      </c>
      <c r="M192" s="383">
        <f>'1600 South'!M53</f>
        <v>0</v>
      </c>
      <c r="N192" s="383">
        <f>'1600 South'!N53</f>
        <v>0</v>
      </c>
      <c r="O192" s="383">
        <f>'1600 South'!O53</f>
        <v>0</v>
      </c>
      <c r="P192" s="383">
        <f>'1600 South'!P53</f>
        <v>0</v>
      </c>
      <c r="Q192" s="383">
        <f>'1600 South'!Q53</f>
        <v>0</v>
      </c>
      <c r="R192" s="383">
        <f>'1600 South'!R53</f>
        <v>0</v>
      </c>
      <c r="S192" s="383">
        <f>'1600 South'!S53</f>
        <v>0</v>
      </c>
      <c r="T192" s="383">
        <f>'1600 South'!T53</f>
        <v>0</v>
      </c>
      <c r="U192" s="383">
        <f>'1600 South'!U53</f>
        <v>0</v>
      </c>
      <c r="V192" s="383">
        <f>'1600 South'!V53</f>
        <v>0</v>
      </c>
      <c r="W192" s="383">
        <f>'1600 South'!W53</f>
        <v>0</v>
      </c>
      <c r="X192" s="383">
        <f>'1600 South'!X53</f>
        <v>0</v>
      </c>
      <c r="Y192" s="383">
        <f>'1600 South'!Y53</f>
        <v>0</v>
      </c>
      <c r="Z192" s="383">
        <f>'1600 South'!Z53</f>
        <v>0</v>
      </c>
      <c r="AA192" s="383">
        <f>'1600 South'!AA53</f>
        <v>0</v>
      </c>
      <c r="AB192" s="383">
        <f>'1600 South'!AB53</f>
        <v>0</v>
      </c>
      <c r="AC192" s="383">
        <f>'1600 South'!AC53</f>
        <v>0</v>
      </c>
      <c r="AD192" s="383">
        <f>'1600 South'!AD53</f>
        <v>0</v>
      </c>
      <c r="AE192" s="383">
        <f>'1600 South'!AE53</f>
        <v>0</v>
      </c>
      <c r="AF192" s="383">
        <f>'1600 South'!AF53</f>
        <v>0</v>
      </c>
      <c r="AG192" s="383">
        <f>'1600 South'!AG53</f>
        <v>0</v>
      </c>
      <c r="AH192" s="383">
        <f>'1600 South'!AH53</f>
        <v>0</v>
      </c>
      <c r="AI192" s="383">
        <f>'1600 South'!AI53</f>
        <v>0</v>
      </c>
      <c r="AJ192" s="383">
        <f>'1600 South'!AJ53</f>
        <v>0</v>
      </c>
      <c r="AK192" s="383">
        <f>'1600 South'!AK53</f>
        <v>0</v>
      </c>
      <c r="AL192" s="383">
        <f>'1600 South'!AL53</f>
        <v>0</v>
      </c>
    </row>
    <row r="193" spans="1:38">
      <c r="D193" s="358"/>
      <c r="F193" s="464"/>
      <c r="G193" s="465"/>
      <c r="H193" s="465"/>
    </row>
    <row r="194" spans="1:38">
      <c r="B194" s="358" t="s">
        <v>208</v>
      </c>
      <c r="C194" s="362" t="s">
        <v>292</v>
      </c>
      <c r="D194" s="485">
        <f>SUMPRODUCT(D191:D192,D$150:D$151)</f>
        <v>1659.6293936111526</v>
      </c>
      <c r="E194" s="485">
        <f t="shared" ref="E194:AE194" si="122">SUMPRODUCT(E191:E192,E$150:E$151)</f>
        <v>1738.8292886393701</v>
      </c>
      <c r="F194" s="485">
        <f t="shared" si="122"/>
        <v>1809.6304636066841</v>
      </c>
      <c r="G194" s="485">
        <f t="shared" si="122"/>
        <v>1874.3052773220393</v>
      </c>
      <c r="H194" s="485">
        <f t="shared" si="122"/>
        <v>0</v>
      </c>
      <c r="I194" s="485">
        <f t="shared" si="122"/>
        <v>0</v>
      </c>
      <c r="J194" s="485">
        <f t="shared" si="122"/>
        <v>0</v>
      </c>
      <c r="K194" s="485">
        <f t="shared" si="122"/>
        <v>0</v>
      </c>
      <c r="L194" s="485">
        <f t="shared" si="122"/>
        <v>0</v>
      </c>
      <c r="M194" s="485">
        <f t="shared" si="122"/>
        <v>0</v>
      </c>
      <c r="N194" s="485">
        <f t="shared" si="122"/>
        <v>0</v>
      </c>
      <c r="O194" s="485">
        <f t="shared" si="122"/>
        <v>0</v>
      </c>
      <c r="P194" s="485">
        <f t="shared" si="122"/>
        <v>0</v>
      </c>
      <c r="Q194" s="485">
        <f t="shared" si="122"/>
        <v>0</v>
      </c>
      <c r="R194" s="485">
        <f t="shared" si="122"/>
        <v>0</v>
      </c>
      <c r="S194" s="485">
        <f t="shared" si="122"/>
        <v>0</v>
      </c>
      <c r="T194" s="485">
        <f t="shared" si="122"/>
        <v>0</v>
      </c>
      <c r="U194" s="485">
        <f t="shared" si="122"/>
        <v>0</v>
      </c>
      <c r="V194" s="485">
        <f t="shared" si="122"/>
        <v>0</v>
      </c>
      <c r="W194" s="485">
        <f t="shared" si="122"/>
        <v>0</v>
      </c>
      <c r="X194" s="485">
        <f t="shared" si="122"/>
        <v>0</v>
      </c>
      <c r="Y194" s="485">
        <f t="shared" si="122"/>
        <v>0</v>
      </c>
      <c r="Z194" s="485">
        <f t="shared" si="122"/>
        <v>0</v>
      </c>
      <c r="AA194" s="485">
        <f t="shared" si="122"/>
        <v>0</v>
      </c>
      <c r="AB194" s="485">
        <f t="shared" si="122"/>
        <v>0</v>
      </c>
      <c r="AC194" s="485">
        <f t="shared" si="122"/>
        <v>0</v>
      </c>
      <c r="AD194" s="485">
        <f t="shared" si="122"/>
        <v>0</v>
      </c>
      <c r="AE194" s="485">
        <f t="shared" si="122"/>
        <v>0</v>
      </c>
      <c r="AF194" s="485">
        <f t="shared" ref="AF194:AJ194" si="123">SUMPRODUCT(AF191:AF192,AF$150:AF$151)</f>
        <v>0</v>
      </c>
      <c r="AG194" s="485">
        <f t="shared" si="123"/>
        <v>0</v>
      </c>
      <c r="AH194" s="485">
        <f t="shared" si="123"/>
        <v>0</v>
      </c>
      <c r="AI194" s="485">
        <f t="shared" si="123"/>
        <v>0</v>
      </c>
      <c r="AJ194" s="485">
        <f t="shared" si="123"/>
        <v>0</v>
      </c>
      <c r="AK194" s="485">
        <f t="shared" ref="AK194:AL194" si="124">SUMPRODUCT(AK191:AK192,AK$150:AK$151)</f>
        <v>0</v>
      </c>
      <c r="AL194" s="485">
        <f t="shared" si="124"/>
        <v>0</v>
      </c>
    </row>
    <row r="196" spans="1:38" ht="13">
      <c r="B196" s="364" t="s">
        <v>520</v>
      </c>
      <c r="C196" s="387" t="s">
        <v>292</v>
      </c>
      <c r="D196" s="488">
        <f>D189+D194</f>
        <v>2304.8023336608048</v>
      </c>
      <c r="E196" s="488">
        <f t="shared" ref="E196:AE196" si="125">E189+E194</f>
        <v>2410.0758320131172</v>
      </c>
      <c r="F196" s="488">
        <f t="shared" si="125"/>
        <v>2508.0043321023595</v>
      </c>
      <c r="G196" s="488">
        <f t="shared" si="125"/>
        <v>2600.9027771709898</v>
      </c>
      <c r="H196" s="488">
        <f t="shared" si="125"/>
        <v>0</v>
      </c>
      <c r="I196" s="488">
        <f t="shared" si="125"/>
        <v>0</v>
      </c>
      <c r="J196" s="488">
        <f t="shared" si="125"/>
        <v>0</v>
      </c>
      <c r="K196" s="488">
        <f t="shared" si="125"/>
        <v>0</v>
      </c>
      <c r="L196" s="488">
        <f t="shared" si="125"/>
        <v>0</v>
      </c>
      <c r="M196" s="488">
        <f t="shared" si="125"/>
        <v>0</v>
      </c>
      <c r="N196" s="488">
        <f t="shared" si="125"/>
        <v>0</v>
      </c>
      <c r="O196" s="488">
        <f t="shared" si="125"/>
        <v>0</v>
      </c>
      <c r="P196" s="488">
        <f t="shared" si="125"/>
        <v>0</v>
      </c>
      <c r="Q196" s="488">
        <f t="shared" si="125"/>
        <v>0</v>
      </c>
      <c r="R196" s="488">
        <f t="shared" si="125"/>
        <v>0</v>
      </c>
      <c r="S196" s="488">
        <f t="shared" si="125"/>
        <v>0</v>
      </c>
      <c r="T196" s="488">
        <f t="shared" si="125"/>
        <v>0</v>
      </c>
      <c r="U196" s="488">
        <f t="shared" si="125"/>
        <v>0</v>
      </c>
      <c r="V196" s="488">
        <f t="shared" si="125"/>
        <v>0</v>
      </c>
      <c r="W196" s="488">
        <f t="shared" si="125"/>
        <v>0</v>
      </c>
      <c r="X196" s="488">
        <f t="shared" si="125"/>
        <v>0</v>
      </c>
      <c r="Y196" s="488">
        <f t="shared" si="125"/>
        <v>0</v>
      </c>
      <c r="Z196" s="488">
        <f t="shared" si="125"/>
        <v>0</v>
      </c>
      <c r="AA196" s="488">
        <f t="shared" si="125"/>
        <v>0</v>
      </c>
      <c r="AB196" s="488">
        <f t="shared" si="125"/>
        <v>0</v>
      </c>
      <c r="AC196" s="488">
        <f t="shared" si="125"/>
        <v>0</v>
      </c>
      <c r="AD196" s="488">
        <f t="shared" si="125"/>
        <v>0</v>
      </c>
      <c r="AE196" s="488">
        <f t="shared" si="125"/>
        <v>0</v>
      </c>
      <c r="AF196" s="488">
        <f t="shared" ref="AF196:AJ196" si="126">AF189+AF194</f>
        <v>0</v>
      </c>
      <c r="AG196" s="488">
        <f t="shared" si="126"/>
        <v>0</v>
      </c>
      <c r="AH196" s="488">
        <f t="shared" si="126"/>
        <v>0</v>
      </c>
      <c r="AI196" s="488">
        <f t="shared" si="126"/>
        <v>0</v>
      </c>
      <c r="AJ196" s="488">
        <f t="shared" si="126"/>
        <v>0</v>
      </c>
      <c r="AK196" s="488">
        <f t="shared" ref="AK196:AL196" si="127">AK189+AK194</f>
        <v>0</v>
      </c>
      <c r="AL196" s="488">
        <f t="shared" si="127"/>
        <v>0</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E201" si="128">E172-E191</f>
        <v>0</v>
      </c>
      <c r="F200" s="383">
        <f t="shared" si="128"/>
        <v>0</v>
      </c>
      <c r="G200" s="383">
        <f t="shared" si="128"/>
        <v>0</v>
      </c>
      <c r="H200" s="383">
        <f t="shared" si="128"/>
        <v>691.62774314253181</v>
      </c>
      <c r="I200" s="383">
        <f t="shared" si="128"/>
        <v>719.57874093430178</v>
      </c>
      <c r="J200" s="383">
        <f t="shared" si="128"/>
        <v>748.65933233376234</v>
      </c>
      <c r="K200" s="383">
        <f t="shared" si="128"/>
        <v>778.9151680088454</v>
      </c>
      <c r="L200" s="383">
        <f t="shared" si="128"/>
        <v>810.39374352414916</v>
      </c>
      <c r="M200" s="383">
        <f t="shared" si="128"/>
        <v>843.14447389940517</v>
      </c>
      <c r="N200" s="383">
        <f t="shared" si="128"/>
        <v>877.21877118109808</v>
      </c>
      <c r="O200" s="383">
        <f t="shared" si="128"/>
        <v>912.67012514902183</v>
      </c>
      <c r="P200" s="383">
        <f t="shared" si="128"/>
        <v>949.55418728444943</v>
      </c>
      <c r="Q200" s="383">
        <f t="shared" si="128"/>
        <v>987.92885813174644</v>
      </c>
      <c r="R200" s="383">
        <f t="shared" si="128"/>
        <v>1027.8543781905555</v>
      </c>
      <c r="S200" s="383">
        <f t="shared" si="128"/>
        <v>1069.3934224812424</v>
      </c>
      <c r="T200" s="383">
        <f t="shared" si="128"/>
        <v>1112.6111989320445</v>
      </c>
      <c r="U200" s="383">
        <f t="shared" si="128"/>
        <v>1157.575550742378</v>
      </c>
      <c r="V200" s="383">
        <f t="shared" si="128"/>
        <v>1204.3570628829912</v>
      </c>
      <c r="W200" s="383">
        <f t="shared" si="128"/>
        <v>1253.029172900139</v>
      </c>
      <c r="X200" s="383">
        <f t="shared" si="128"/>
        <v>1303.6682861977347</v>
      </c>
      <c r="Y200" s="383">
        <f t="shared" si="128"/>
        <v>1356.3538959784346</v>
      </c>
      <c r="Z200" s="383">
        <f t="shared" si="128"/>
        <v>1411.1687080319452</v>
      </c>
      <c r="AA200" s="383">
        <f t="shared" si="128"/>
        <v>1468.1987705664483</v>
      </c>
      <c r="AB200" s="383">
        <f t="shared" si="128"/>
        <v>1527.5336092869429</v>
      </c>
      <c r="AC200" s="383">
        <f t="shared" si="128"/>
        <v>1589.266367932564</v>
      </c>
      <c r="AD200" s="383">
        <f t="shared" si="128"/>
        <v>1653.4939544934794</v>
      </c>
      <c r="AE200" s="383">
        <f t="shared" si="128"/>
        <v>1720.3171933369044</v>
      </c>
      <c r="AF200" s="383">
        <f t="shared" ref="AF200:AJ200" si="129">AF172-AF191</f>
        <v>1789.8409834810398</v>
      </c>
      <c r="AG200" s="383">
        <f t="shared" si="129"/>
        <v>1862.1744632653927</v>
      </c>
      <c r="AH200" s="383">
        <f t="shared" si="129"/>
        <v>1937.4311816759707</v>
      </c>
      <c r="AI200" s="383">
        <f t="shared" si="129"/>
        <v>2015.7292765943114</v>
      </c>
      <c r="AJ200" s="383">
        <f t="shared" si="129"/>
        <v>2097.1916602501424</v>
      </c>
      <c r="AK200" s="383">
        <f t="shared" ref="AK200:AL200" si="130">AK172-AK191</f>
        <v>2181.9462121688175</v>
      </c>
      <c r="AL200" s="383">
        <f t="shared" si="130"/>
        <v>2270.1259799163972</v>
      </c>
    </row>
    <row r="201" spans="1:38" ht="13">
      <c r="B201" s="364" t="s">
        <v>820</v>
      </c>
      <c r="C201" s="387" t="s">
        <v>295</v>
      </c>
      <c r="D201" s="383">
        <f>D173-D192</f>
        <v>0</v>
      </c>
      <c r="E201" s="383">
        <f t="shared" si="128"/>
        <v>0</v>
      </c>
      <c r="F201" s="383">
        <f t="shared" si="128"/>
        <v>0</v>
      </c>
      <c r="G201" s="383">
        <f t="shared" si="128"/>
        <v>0</v>
      </c>
      <c r="H201" s="383">
        <f t="shared" si="128"/>
        <v>205.33939447432599</v>
      </c>
      <c r="I201" s="383">
        <f t="shared" si="128"/>
        <v>213.63784840192164</v>
      </c>
      <c r="J201" s="383">
        <f t="shared" si="128"/>
        <v>222.27167069740747</v>
      </c>
      <c r="K201" s="383">
        <f t="shared" si="128"/>
        <v>231.25441472182686</v>
      </c>
      <c r="L201" s="383">
        <f t="shared" si="128"/>
        <v>240.6001815730198</v>
      </c>
      <c r="M201" s="383">
        <f t="shared" si="128"/>
        <v>250.32364222150485</v>
      </c>
      <c r="N201" s="383">
        <f t="shared" si="128"/>
        <v>260.44006054094626</v>
      </c>
      <c r="O201" s="383">
        <f t="shared" si="128"/>
        <v>270.96531726935984</v>
      </c>
      <c r="P201" s="383">
        <f t="shared" si="128"/>
        <v>281.9159349386706</v>
      </c>
      <c r="Q201" s="383">
        <f t="shared" si="128"/>
        <v>293.30910381175846</v>
      </c>
      <c r="R201" s="383">
        <f t="shared" si="128"/>
        <v>305.16270886770684</v>
      </c>
      <c r="S201" s="383">
        <f t="shared" si="128"/>
        <v>317.49535787761516</v>
      </c>
      <c r="T201" s="383">
        <f t="shared" si="128"/>
        <v>330.32641061504938</v>
      </c>
      <c r="U201" s="383">
        <f t="shared" si="128"/>
        <v>343.67600924698525</v>
      </c>
      <c r="V201" s="383">
        <f t="shared" si="128"/>
        <v>357.56510995295156</v>
      </c>
      <c r="W201" s="383">
        <f t="shared" si="128"/>
        <v>372.01551582200779</v>
      </c>
      <c r="X201" s="383">
        <f t="shared" si="128"/>
        <v>387.04991107920068</v>
      </c>
      <c r="Y201" s="383">
        <f t="shared" si="128"/>
        <v>402.69189669522598</v>
      </c>
      <c r="Z201" s="383">
        <f t="shared" si="128"/>
        <v>418.96602743519583</v>
      </c>
      <c r="AA201" s="383">
        <f t="shared" si="128"/>
        <v>435.89785040467217</v>
      </c>
      <c r="AB201" s="383">
        <f t="shared" si="128"/>
        <v>453.513945153473</v>
      </c>
      <c r="AC201" s="383">
        <f t="shared" si="128"/>
        <v>471.84196540021031</v>
      </c>
      <c r="AD201" s="383">
        <f t="shared" si="128"/>
        <v>490.91068244305433</v>
      </c>
      <c r="AE201" s="383">
        <f t="shared" si="128"/>
        <v>510.75003032487353</v>
      </c>
      <c r="AF201" s="383">
        <f t="shared" ref="AF201:AJ201" si="131">AF173-AF192</f>
        <v>531.39115282364935</v>
      </c>
      <c r="AG201" s="383">
        <f t="shared" si="131"/>
        <v>552.86645234193224</v>
      </c>
      <c r="AH201" s="383">
        <f t="shared" si="131"/>
        <v>575.20964077208225</v>
      </c>
      <c r="AI201" s="383">
        <f t="shared" si="131"/>
        <v>598.45579241714722</v>
      </c>
      <c r="AJ201" s="383">
        <f t="shared" si="131"/>
        <v>622.64139905044908</v>
      </c>
      <c r="AK201" s="383">
        <f t="shared" ref="AK201:AL201" si="132">AK173-AK192</f>
        <v>647.80442720031465</v>
      </c>
      <c r="AL201" s="383">
        <f t="shared" si="132"/>
        <v>673.98437774987394</v>
      </c>
    </row>
    <row r="202" spans="1:38" ht="13">
      <c r="B202" s="364" t="s">
        <v>821</v>
      </c>
      <c r="C202" s="387" t="s">
        <v>479</v>
      </c>
      <c r="D202" s="383">
        <f>SUM(D166:D168)-SUM(D185:D187)</f>
        <v>0</v>
      </c>
      <c r="E202" s="383">
        <f t="shared" ref="E202:AE202" si="133">SUM(E166:E168)-SUM(E185:E187)</f>
        <v>0</v>
      </c>
      <c r="F202" s="383">
        <f t="shared" si="133"/>
        <v>0</v>
      </c>
      <c r="G202" s="383">
        <f t="shared" si="133"/>
        <v>0</v>
      </c>
      <c r="H202" s="383">
        <f t="shared" si="133"/>
        <v>75.053779849895733</v>
      </c>
      <c r="I202" s="383">
        <f t="shared" si="133"/>
        <v>78.086954929479106</v>
      </c>
      <c r="J202" s="383">
        <f t="shared" si="133"/>
        <v>81.2427107915601</v>
      </c>
      <c r="K202" s="383">
        <f t="shared" si="133"/>
        <v>84.526001336867694</v>
      </c>
      <c r="L202" s="383">
        <f t="shared" si="133"/>
        <v>87.941980669881573</v>
      </c>
      <c r="M202" s="383">
        <f t="shared" si="133"/>
        <v>91.4960111897377</v>
      </c>
      <c r="N202" s="383">
        <f t="shared" si="133"/>
        <v>95.193672008113865</v>
      </c>
      <c r="O202" s="383">
        <f t="shared" si="133"/>
        <v>99.040767707311318</v>
      </c>
      <c r="P202" s="383">
        <f t="shared" si="133"/>
        <v>103.04333745227854</v>
      </c>
      <c r="Q202" s="383">
        <f t="shared" si="133"/>
        <v>107.20766447088353</v>
      </c>
      <c r="R202" s="383">
        <f t="shared" si="133"/>
        <v>111.54028591731519</v>
      </c>
      <c r="S202" s="383">
        <f t="shared" si="133"/>
        <v>116.04800313409807</v>
      </c>
      <c r="T202" s="383">
        <f t="shared" si="133"/>
        <v>120.73789232882929</v>
      </c>
      <c r="U202" s="383">
        <f t="shared" si="133"/>
        <v>125.61731568239848</v>
      </c>
      <c r="V202" s="383">
        <f t="shared" si="133"/>
        <v>130.69393290612837</v>
      </c>
      <c r="W202" s="383">
        <f t="shared" si="133"/>
        <v>135.97571326597739</v>
      </c>
      <c r="X202" s="383">
        <f t="shared" si="133"/>
        <v>141.4709480926816</v>
      </c>
      <c r="Y202" s="383">
        <f t="shared" si="133"/>
        <v>147.1882637974729</v>
      </c>
      <c r="Z202" s="383">
        <f t="shared" si="133"/>
        <v>153.13663541380609</v>
      </c>
      <c r="AA202" s="383">
        <f t="shared" si="133"/>
        <v>159.32540068635282</v>
      </c>
      <c r="AB202" s="383">
        <f t="shared" si="133"/>
        <v>165.76427472937877</v>
      </c>
      <c r="AC202" s="383">
        <f t="shared" si="133"/>
        <v>172.46336527751538</v>
      </c>
      <c r="AD202" s="383">
        <f t="shared" si="133"/>
        <v>179.43318855286606</v>
      </c>
      <c r="AE202" s="383">
        <f t="shared" si="133"/>
        <v>186.68468577335545</v>
      </c>
      <c r="AF202" s="383">
        <f t="shared" ref="AF202:AJ202" si="134">SUM(AF166:AF168)-SUM(AF185:AF187)</f>
        <v>194.22924032823676</v>
      </c>
      <c r="AG202" s="383">
        <f t="shared" si="134"/>
        <v>202.07869564771909</v>
      </c>
      <c r="AH202" s="383">
        <f t="shared" si="134"/>
        <v>210.2453737947655</v>
      </c>
      <c r="AI202" s="383">
        <f t="shared" si="134"/>
        <v>218.74209480824905</v>
      </c>
      <c r="AJ202" s="383">
        <f t="shared" si="134"/>
        <v>227.58219682782999</v>
      </c>
      <c r="AK202" s="383">
        <f t="shared" ref="AK202:AL202" si="135">SUM(AK166:AK168)-SUM(AK185:AK187)</f>
        <v>236.7795570321471</v>
      </c>
      <c r="AL202" s="383">
        <f t="shared" si="135"/>
        <v>246.34861342319172</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E204" si="136">D177-D196</f>
        <v>0</v>
      </c>
      <c r="E204" s="488">
        <f t="shared" si="136"/>
        <v>0</v>
      </c>
      <c r="F204" s="488">
        <f t="shared" si="136"/>
        <v>0</v>
      </c>
      <c r="G204" s="488">
        <f t="shared" si="136"/>
        <v>0</v>
      </c>
      <c r="H204" s="488">
        <f t="shared" si="136"/>
        <v>2733.670325462158</v>
      </c>
      <c r="I204" s="488">
        <f t="shared" si="136"/>
        <v>2875.7017283238902</v>
      </c>
      <c r="J204" s="488">
        <f t="shared" si="136"/>
        <v>3021.357215367022</v>
      </c>
      <c r="K204" s="488">
        <f t="shared" si="136"/>
        <v>3168.6963419349031</v>
      </c>
      <c r="L204" s="488">
        <f t="shared" si="136"/>
        <v>3336.2424697285314</v>
      </c>
      <c r="M204" s="488">
        <f t="shared" si="136"/>
        <v>3562.5152310681465</v>
      </c>
      <c r="N204" s="488">
        <f t="shared" si="136"/>
        <v>3736.8898172131503</v>
      </c>
      <c r="O204" s="488">
        <f t="shared" si="136"/>
        <v>3920.8075696232477</v>
      </c>
      <c r="P204" s="488">
        <f t="shared" si="136"/>
        <v>4146.1119714949928</v>
      </c>
      <c r="Q204" s="488">
        <f t="shared" si="136"/>
        <v>4371.0271756815864</v>
      </c>
      <c r="R204" s="488">
        <f t="shared" si="136"/>
        <v>4592.2875696829869</v>
      </c>
      <c r="S204" s="488">
        <f t="shared" si="136"/>
        <v>4830.4726643503182</v>
      </c>
      <c r="T204" s="488">
        <f t="shared" si="136"/>
        <v>5047.883269790319</v>
      </c>
      <c r="U204" s="488">
        <f t="shared" si="136"/>
        <v>5303.8512943096675</v>
      </c>
      <c r="V204" s="488">
        <f t="shared" si="136"/>
        <v>5582.1798209750123</v>
      </c>
      <c r="W204" s="488">
        <f t="shared" si="136"/>
        <v>5825.3704381653251</v>
      </c>
      <c r="X204" s="488">
        <f t="shared" si="136"/>
        <v>6102.6705189831964</v>
      </c>
      <c r="Y204" s="488">
        <f t="shared" si="136"/>
        <v>6439.8386834875137</v>
      </c>
      <c r="Z204" s="488">
        <f t="shared" si="136"/>
        <v>6750.390924766969</v>
      </c>
      <c r="AA204" s="488">
        <f t="shared" si="136"/>
        <v>7076.5763911809963</v>
      </c>
      <c r="AB204" s="488">
        <f t="shared" si="136"/>
        <v>7453.3690608719899</v>
      </c>
      <c r="AC204" s="488">
        <f t="shared" si="136"/>
        <v>7776.3971199414627</v>
      </c>
      <c r="AD204" s="488">
        <f t="shared" si="136"/>
        <v>8206.8421124874603</v>
      </c>
      <c r="AE204" s="488">
        <f t="shared" si="136"/>
        <v>8625.963664683577</v>
      </c>
      <c r="AF204" s="488">
        <f t="shared" ref="AF204:AJ204" si="137">AF177-AF196</f>
        <v>9044.3061694145563</v>
      </c>
      <c r="AG204" s="488">
        <f t="shared" si="137"/>
        <v>9473.0107391054935</v>
      </c>
      <c r="AH204" s="488">
        <f t="shared" si="137"/>
        <v>9934.9428688804946</v>
      </c>
      <c r="AI204" s="488">
        <f t="shared" si="137"/>
        <v>10419.288437049603</v>
      </c>
      <c r="AJ204" s="488">
        <f t="shared" si="137"/>
        <v>10927.132178264104</v>
      </c>
      <c r="AK204" s="488">
        <f t="shared" ref="AK204:AL204" si="138">AK177-AK196</f>
        <v>11459.611268775321</v>
      </c>
      <c r="AL204" s="488">
        <f t="shared" si="138"/>
        <v>12017.917861370468</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70C0"/>
    <pageSetUpPr autoPageBreaks="0"/>
  </sheetPr>
  <dimension ref="A2:O1171"/>
  <sheetViews>
    <sheetView showGridLines="0" topLeftCell="A329" zoomScale="85" zoomScaleNormal="85" workbookViewId="0">
      <selection activeCell="B357" sqref="B357"/>
    </sheetView>
  </sheetViews>
  <sheetFormatPr defaultColWidth="9" defaultRowHeight="11.5"/>
  <cols>
    <col min="1" max="1" width="0.83203125" style="649" customWidth="1"/>
    <col min="2" max="2" width="24.58203125" style="649" customWidth="1"/>
    <col min="3" max="3" width="14.58203125" style="649" customWidth="1"/>
    <col min="4" max="4" width="17.5" style="649" customWidth="1"/>
    <col min="5" max="8" width="27.33203125" style="649" customWidth="1"/>
    <col min="9" max="10" width="17.5" style="649" customWidth="1"/>
    <col min="11" max="11" width="14.58203125" style="649" customWidth="1"/>
    <col min="12" max="13" width="13.5" style="649" customWidth="1"/>
    <col min="14" max="14" width="14" style="649" customWidth="1"/>
    <col min="15" max="15" width="11.08203125" style="649" bestFit="1" customWidth="1"/>
    <col min="16" max="17" width="9.25" style="649" bestFit="1" customWidth="1"/>
    <col min="18" max="16384" width="9" style="649"/>
  </cols>
  <sheetData>
    <row r="2" spans="1:10">
      <c r="A2" s="648" t="s">
        <v>791</v>
      </c>
      <c r="C2" s="650"/>
      <c r="D2" s="650"/>
      <c r="E2" s="650"/>
      <c r="F2" s="650"/>
      <c r="G2" s="650"/>
      <c r="H2" s="650"/>
      <c r="I2" s="651"/>
    </row>
    <row r="3" spans="1:10" ht="34.5">
      <c r="B3" s="652" t="s">
        <v>792</v>
      </c>
      <c r="C3" s="652" t="s">
        <v>793</v>
      </c>
      <c r="D3" s="652" t="s">
        <v>794</v>
      </c>
      <c r="E3" s="652" t="s">
        <v>795</v>
      </c>
      <c r="F3" s="652" t="s">
        <v>796</v>
      </c>
      <c r="G3" s="652" t="s">
        <v>1285</v>
      </c>
      <c r="H3" s="652" t="s">
        <v>1286</v>
      </c>
    </row>
    <row r="4" spans="1:10" ht="45.65" customHeight="1">
      <c r="B4" s="1392" t="s">
        <v>1244</v>
      </c>
      <c r="C4" s="1393" t="s">
        <v>1189</v>
      </c>
      <c r="D4" s="653" t="s">
        <v>1062</v>
      </c>
      <c r="E4" s="1214" t="s">
        <v>906</v>
      </c>
      <c r="F4" s="1214" t="str">
        <f>Results!B18</f>
        <v>Accident Cost Savings</v>
      </c>
      <c r="G4" s="655">
        <f>Results!C18*10^6</f>
        <v>2312423.1964359824</v>
      </c>
      <c r="H4" s="655">
        <f>Results!E18*10^6</f>
        <v>729807.2450610376</v>
      </c>
    </row>
    <row r="5" spans="1:10" ht="23">
      <c r="B5" s="1392"/>
      <c r="C5" s="1393"/>
      <c r="D5" s="653" t="s">
        <v>936</v>
      </c>
      <c r="E5" s="1214" t="s">
        <v>906</v>
      </c>
      <c r="F5" s="1214" t="str">
        <f>Results!B19</f>
        <v xml:space="preserve">Travel Time Savings </v>
      </c>
      <c r="G5" s="655">
        <f>Results!C19*10^6</f>
        <v>21212498.166079305</v>
      </c>
      <c r="H5" s="655">
        <f>Results!E19*10^6</f>
        <v>5894793.3747501848</v>
      </c>
    </row>
    <row r="6" spans="1:10" ht="34.5">
      <c r="B6" s="1392"/>
      <c r="C6" s="1393"/>
      <c r="D6" s="653" t="s">
        <v>909</v>
      </c>
      <c r="E6" s="1214" t="s">
        <v>905</v>
      </c>
      <c r="F6" s="1214" t="str">
        <f>Results!B20</f>
        <v>Emissions Cost Savings</v>
      </c>
      <c r="G6" s="655">
        <f>Results!C20*10^6</f>
        <v>172966.61782575978</v>
      </c>
      <c r="H6" s="655">
        <f>Results!E20*10^6</f>
        <v>54756.430371836868</v>
      </c>
    </row>
    <row r="7" spans="1:10" ht="57.5">
      <c r="B7" s="1392"/>
      <c r="C7" s="1393"/>
      <c r="D7" s="653" t="s">
        <v>937</v>
      </c>
      <c r="E7" s="1214" t="s">
        <v>907</v>
      </c>
      <c r="F7" s="1214" t="str">
        <f>Results!B21</f>
        <v xml:space="preserve">Vehicle Operating Cost Savings </v>
      </c>
      <c r="G7" s="655">
        <f>Results!C21*10^6</f>
        <v>2501627.2379844449</v>
      </c>
      <c r="H7" s="655">
        <f>Results!E21*10^6</f>
        <v>657182.90077804809</v>
      </c>
    </row>
    <row r="8" spans="1:10" ht="46">
      <c r="B8" s="1392"/>
      <c r="C8" s="1393"/>
      <c r="D8" s="653" t="s">
        <v>911</v>
      </c>
      <c r="E8" s="1214" t="s">
        <v>908</v>
      </c>
      <c r="F8" s="1214" t="str">
        <f>Results!B22</f>
        <v>Land Value Increase</v>
      </c>
      <c r="G8" s="655">
        <f>Results!C22*10^6</f>
        <v>12248163.847270133</v>
      </c>
      <c r="H8" s="655">
        <f>Results!E22*10^6</f>
        <v>9344065.5554559808</v>
      </c>
    </row>
    <row r="9" spans="1:10" ht="34.5">
      <c r="B9" s="1392"/>
      <c r="C9" s="1393"/>
      <c r="D9" s="1289" t="s">
        <v>956</v>
      </c>
      <c r="E9" s="1214" t="s">
        <v>904</v>
      </c>
      <c r="F9" s="1214" t="str">
        <f>Results!B23</f>
        <v>O&amp;M Costs Savings</v>
      </c>
      <c r="G9" s="655">
        <f>Results!C23*10^6</f>
        <v>734235.44349718816</v>
      </c>
      <c r="H9" s="655">
        <f>Results!E23*10^6</f>
        <v>247913.96048264703</v>
      </c>
    </row>
    <row r="10" spans="1:10" ht="34.5">
      <c r="B10" s="1392"/>
      <c r="C10" s="1393"/>
      <c r="D10" s="653" t="s">
        <v>952</v>
      </c>
      <c r="E10" s="1214" t="s">
        <v>930</v>
      </c>
      <c r="F10" s="1214" t="str">
        <f>Results!B24</f>
        <v>Residual Value</v>
      </c>
      <c r="G10" s="655">
        <f>Results!C24*10^6</f>
        <v>3620160.1115634376</v>
      </c>
      <c r="H10" s="655">
        <f>Results!E24*10^6</f>
        <v>388206.77926744364</v>
      </c>
    </row>
    <row r="11" spans="1:10" ht="69">
      <c r="B11" s="1392"/>
      <c r="C11" s="1393"/>
      <c r="D11" s="653" t="s">
        <v>912</v>
      </c>
      <c r="E11" s="653" t="s">
        <v>903</v>
      </c>
      <c r="F11" s="653" t="s">
        <v>902</v>
      </c>
      <c r="G11" s="1290" t="s">
        <v>910</v>
      </c>
      <c r="H11" s="1290" t="s">
        <v>910</v>
      </c>
    </row>
    <row r="12" spans="1:10">
      <c r="G12" s="1271"/>
      <c r="H12" s="1271"/>
    </row>
    <row r="13" spans="1:10">
      <c r="A13" s="656" t="s">
        <v>797</v>
      </c>
      <c r="C13" s="651"/>
      <c r="D13" s="651"/>
      <c r="E13" s="651"/>
      <c r="F13" s="651"/>
      <c r="G13" s="651"/>
      <c r="H13" s="651"/>
      <c r="I13" s="657"/>
      <c r="J13" s="657"/>
    </row>
    <row r="14" spans="1:10" ht="23">
      <c r="B14" s="658" t="s">
        <v>7</v>
      </c>
      <c r="C14" s="658" t="s">
        <v>798</v>
      </c>
      <c r="D14" s="658" t="s">
        <v>799</v>
      </c>
      <c r="E14" s="659" t="s">
        <v>800</v>
      </c>
      <c r="F14" s="659" t="s">
        <v>10</v>
      </c>
      <c r="G14" s="659" t="s">
        <v>801</v>
      </c>
      <c r="H14" s="659" t="s">
        <v>802</v>
      </c>
      <c r="I14" s="659" t="s">
        <v>803</v>
      </c>
      <c r="J14" s="659" t="s">
        <v>804</v>
      </c>
    </row>
    <row r="15" spans="1:10">
      <c r="B15" s="660">
        <f>VRCBY</f>
        <v>2021</v>
      </c>
      <c r="C15" s="661">
        <v>1</v>
      </c>
      <c r="D15" s="1407" t="s">
        <v>805</v>
      </c>
      <c r="E15" s="662">
        <f>SUMIFS(Results!$D$51:$AK$51,Results!$D$42:$AK$42,$B15)</f>
        <v>0</v>
      </c>
      <c r="F15" s="662">
        <f>SUMIFS(Results!$D$52:$AK$52,Results!$D$42:$AK$42,$B15)</f>
        <v>442825.37544530147</v>
      </c>
      <c r="G15" s="662">
        <f t="shared" ref="G15" si="0">E15-F15</f>
        <v>-442825.37544530147</v>
      </c>
      <c r="H15" s="662">
        <f>SUMIFS(Results!$D$68:$AK$68,Results!$D$59:$AK$59,$B15)</f>
        <v>0</v>
      </c>
      <c r="I15" s="662">
        <f>SUMIFS(Results!$D$69:$AK$69,Results!$D$59:$AK$59,$B15)</f>
        <v>442825.37544530147</v>
      </c>
      <c r="J15" s="662">
        <f t="shared" ref="J15" si="1">H15-I15</f>
        <v>-442825.37544530147</v>
      </c>
    </row>
    <row r="16" spans="1:10">
      <c r="B16" s="660">
        <f>B15+1</f>
        <v>2022</v>
      </c>
      <c r="C16" s="661">
        <f>C15+1</f>
        <v>2</v>
      </c>
      <c r="D16" s="1408"/>
      <c r="E16" s="662">
        <f>SUMIFS(Results!$D$51:$AK$51,Results!$D$42:$AK$42,$B16)</f>
        <v>0</v>
      </c>
      <c r="F16" s="662">
        <f>SUMIFS(Results!$D$52:$AK$52,Results!$D$42:$AK$42,$B16)</f>
        <v>1962150.2161634064</v>
      </c>
      <c r="G16" s="662">
        <f t="shared" ref="G16:G47" si="2">E16-F16</f>
        <v>-1962150.2161634064</v>
      </c>
      <c r="H16" s="662">
        <f>SUMIFS(Results!$D$68:$AK$68,Results!$D$59:$AK$59,$B16)</f>
        <v>0</v>
      </c>
      <c r="I16" s="662">
        <f>SUMIFS(Results!$D$69:$AK$69,Results!$D$59:$AK$59,$B16)</f>
        <v>1833785.2487508471</v>
      </c>
      <c r="J16" s="662">
        <f t="shared" ref="J16:J47" si="3">H16-I16</f>
        <v>-1833785.2487508471</v>
      </c>
    </row>
    <row r="17" spans="2:10">
      <c r="B17" s="660">
        <f t="shared" ref="B17:C47" si="4">B16+1</f>
        <v>2023</v>
      </c>
      <c r="C17" s="661">
        <f t="shared" si="4"/>
        <v>3</v>
      </c>
      <c r="D17" s="1408"/>
      <c r="E17" s="662">
        <f>SUMIFS(Results!$D$51:$AK$51,Results!$D$42:$AK$42,$B17)</f>
        <v>0</v>
      </c>
      <c r="F17" s="662">
        <f>SUMIFS(Results!$D$52:$AK$52,Results!$D$42:$AK$42,$B17)</f>
        <v>2275820.4866522225</v>
      </c>
      <c r="G17" s="662">
        <f t="shared" si="2"/>
        <v>-2275820.4866522225</v>
      </c>
      <c r="H17" s="662">
        <f>SUMIFS(Results!$D$68:$AK$68,Results!$D$59:$AK$59,$B17)</f>
        <v>0</v>
      </c>
      <c r="I17" s="662">
        <f>SUMIFS(Results!$D$69:$AK$69,Results!$D$59:$AK$59,$B17)</f>
        <v>1987789.7516396386</v>
      </c>
      <c r="J17" s="662">
        <f t="shared" si="3"/>
        <v>-1987789.7516396386</v>
      </c>
    </row>
    <row r="18" spans="2:10" ht="12" customHeight="1">
      <c r="B18" s="660">
        <f t="shared" si="4"/>
        <v>2024</v>
      </c>
      <c r="C18" s="661">
        <f t="shared" si="4"/>
        <v>4</v>
      </c>
      <c r="D18" s="1409"/>
      <c r="E18" s="662">
        <f>SUMIFS(Results!$D$51:$AK$51,Results!$D$42:$AK$42,$B18)</f>
        <v>0</v>
      </c>
      <c r="F18" s="662">
        <f>SUMIFS(Results!$D$52:$AK$52,Results!$D$42:$AK$42,$B18)</f>
        <v>10122707.686724186</v>
      </c>
      <c r="G18" s="662">
        <f t="shared" si="2"/>
        <v>-10122707.686724186</v>
      </c>
      <c r="H18" s="662">
        <f>SUMIFS(Results!$D$68:$AK$68,Results!$D$59:$AK$59,$B18)</f>
        <v>0</v>
      </c>
      <c r="I18" s="662">
        <f>SUMIFS(Results!$D$69:$AK$69,Results!$D$59:$AK$59,$B18)</f>
        <v>8263144.7930596592</v>
      </c>
      <c r="J18" s="662">
        <f t="shared" si="3"/>
        <v>-8263144.7930596592</v>
      </c>
    </row>
    <row r="19" spans="2:10">
      <c r="B19" s="660">
        <f t="shared" si="4"/>
        <v>2025</v>
      </c>
      <c r="C19" s="661">
        <f t="shared" si="4"/>
        <v>5</v>
      </c>
      <c r="D19" s="1405" t="s">
        <v>806</v>
      </c>
      <c r="E19" s="662">
        <f>SUMIFS(Results!$D$51:$AK$51,Results!$D$42:$AK$42,$B19)</f>
        <v>12751803.565808287</v>
      </c>
      <c r="F19" s="662">
        <f>SUMIFS(Results!$D$52:$AK$52,Results!$D$42:$AK$42,$B19)</f>
        <v>0</v>
      </c>
      <c r="G19" s="662">
        <f t="shared" si="2"/>
        <v>12751803.565808287</v>
      </c>
      <c r="H19" s="662">
        <f>SUMIFS(Results!$D$68:$AK$68,Results!$D$59:$AK$59,$B19)</f>
        <v>9728289.8853257019</v>
      </c>
      <c r="I19" s="662">
        <f>SUMIFS(Results!$D$69:$AK$69,Results!$D$59:$AK$59,$B19)</f>
        <v>0</v>
      </c>
      <c r="J19" s="662">
        <f t="shared" si="3"/>
        <v>9728289.8853257019</v>
      </c>
    </row>
    <row r="20" spans="2:10">
      <c r="B20" s="660">
        <f t="shared" si="4"/>
        <v>2026</v>
      </c>
      <c r="C20" s="661">
        <f t="shared" si="4"/>
        <v>6</v>
      </c>
      <c r="D20" s="1406"/>
      <c r="E20" s="662">
        <f>SUMIFS(Results!$D$51:$AK$51,Results!$D$42:$AK$42,$B20)</f>
        <v>521547.58925392752</v>
      </c>
      <c r="F20" s="662">
        <f>SUMIFS(Results!$D$52:$AK$52,Results!$D$42:$AK$42,$B20)</f>
        <v>0</v>
      </c>
      <c r="G20" s="662">
        <f t="shared" si="2"/>
        <v>521547.58925392752</v>
      </c>
      <c r="H20" s="662">
        <f>SUMIFS(Results!$D$68:$AK$68,Results!$D$59:$AK$59,$B20)</f>
        <v>371856.2230810753</v>
      </c>
      <c r="I20" s="662">
        <f>SUMIFS(Results!$D$69:$AK$69,Results!$D$59:$AK$59,$B20)</f>
        <v>0</v>
      </c>
      <c r="J20" s="662">
        <f t="shared" si="3"/>
        <v>371856.2230810753</v>
      </c>
    </row>
    <row r="21" spans="2:10">
      <c r="B21" s="660">
        <f t="shared" si="4"/>
        <v>2027</v>
      </c>
      <c r="C21" s="661">
        <f t="shared" si="4"/>
        <v>7</v>
      </c>
      <c r="D21" s="1406"/>
      <c r="E21" s="662">
        <f>SUMIFS(Results!$D$51:$AK$51,Results!$D$42:$AK$42,$B21)</f>
        <v>540131.63164006686</v>
      </c>
      <c r="F21" s="662">
        <f>SUMIFS(Results!$D$52:$AK$52,Results!$D$42:$AK$42,$B21)</f>
        <v>0</v>
      </c>
      <c r="G21" s="662">
        <f t="shared" si="2"/>
        <v>540131.63164006686</v>
      </c>
      <c r="H21" s="662">
        <f>SUMIFS(Results!$D$68:$AK$68,Results!$D$59:$AK$59,$B21)</f>
        <v>359912.51258068351</v>
      </c>
      <c r="I21" s="662">
        <f>SUMIFS(Results!$D$69:$AK$69,Results!$D$59:$AK$59,$B21)</f>
        <v>0</v>
      </c>
      <c r="J21" s="662">
        <f t="shared" si="3"/>
        <v>359912.51258068351</v>
      </c>
    </row>
    <row r="22" spans="2:10">
      <c r="B22" s="660">
        <f t="shared" si="4"/>
        <v>2028</v>
      </c>
      <c r="C22" s="661">
        <f t="shared" si="4"/>
        <v>8</v>
      </c>
      <c r="D22" s="1406"/>
      <c r="E22" s="662">
        <f>SUMIFS(Results!$D$51:$AK$51,Results!$D$42:$AK$42,$B22)</f>
        <v>559335.41879496467</v>
      </c>
      <c r="F22" s="662">
        <f>SUMIFS(Results!$D$52:$AK$52,Results!$D$42:$AK$42,$B22)</f>
        <v>0</v>
      </c>
      <c r="G22" s="662">
        <f t="shared" si="2"/>
        <v>559335.41879496467</v>
      </c>
      <c r="H22" s="662">
        <f>SUMIFS(Results!$D$68:$AK$68,Results!$D$59:$AK$59,$B22)</f>
        <v>348325.98768147401</v>
      </c>
      <c r="I22" s="662">
        <f>SUMIFS(Results!$D$69:$AK$69,Results!$D$59:$AK$59,$B22)</f>
        <v>0</v>
      </c>
      <c r="J22" s="662">
        <f t="shared" si="3"/>
        <v>348325.98768147401</v>
      </c>
    </row>
    <row r="23" spans="2:10">
      <c r="B23" s="660">
        <f t="shared" si="4"/>
        <v>2029</v>
      </c>
      <c r="C23" s="661">
        <f t="shared" si="4"/>
        <v>9</v>
      </c>
      <c r="D23" s="1406"/>
      <c r="E23" s="662">
        <f>SUMIFS(Results!$D$51:$AK$51,Results!$D$42:$AK$42,$B23)</f>
        <v>579509.43723087583</v>
      </c>
      <c r="F23" s="662">
        <f>SUMIFS(Results!$D$52:$AK$52,Results!$D$42:$AK$42,$B23)</f>
        <v>0</v>
      </c>
      <c r="G23" s="662">
        <f t="shared" si="2"/>
        <v>579509.43723087583</v>
      </c>
      <c r="H23" s="662">
        <f>SUMIFS(Results!$D$68:$AK$68,Results!$D$59:$AK$59,$B23)</f>
        <v>337279.76864973136</v>
      </c>
      <c r="I23" s="662">
        <f>SUMIFS(Results!$D$69:$AK$69,Results!$D$59:$AK$59,$B23)</f>
        <v>0</v>
      </c>
      <c r="J23" s="662">
        <f t="shared" si="3"/>
        <v>337279.76864973136</v>
      </c>
    </row>
    <row r="24" spans="2:10">
      <c r="B24" s="660">
        <f t="shared" si="4"/>
        <v>2030</v>
      </c>
      <c r="C24" s="661">
        <f t="shared" si="4"/>
        <v>10</v>
      </c>
      <c r="D24" s="1406"/>
      <c r="E24" s="662">
        <f>SUMIFS(Results!$D$51:$AK$51,Results!$D$42:$AK$42,$B24)</f>
        <v>601282.39931228955</v>
      </c>
      <c r="F24" s="662">
        <f>SUMIFS(Results!$D$52:$AK$52,Results!$D$42:$AK$42,$B24)</f>
        <v>0</v>
      </c>
      <c r="G24" s="662">
        <f t="shared" si="2"/>
        <v>601282.39931228955</v>
      </c>
      <c r="H24" s="662">
        <f>SUMIFS(Results!$D$68:$AK$68,Results!$D$59:$AK$59,$B24)</f>
        <v>327057.78580790985</v>
      </c>
      <c r="I24" s="662">
        <f>SUMIFS(Results!$D$69:$AK$69,Results!$D$59:$AK$59,$B24)</f>
        <v>0</v>
      </c>
      <c r="J24" s="662">
        <f t="shared" si="3"/>
        <v>327057.78580790985</v>
      </c>
    </row>
    <row r="25" spans="2:10">
      <c r="B25" s="660">
        <f t="shared" si="4"/>
        <v>2031</v>
      </c>
      <c r="C25" s="661">
        <f t="shared" si="4"/>
        <v>11</v>
      </c>
      <c r="D25" s="1406"/>
      <c r="E25" s="662">
        <f>SUMIFS(Results!$D$51:$AK$51,Results!$D$42:$AK$42,$B25)</f>
        <v>623115.90131968423</v>
      </c>
      <c r="F25" s="662">
        <f>SUMIFS(Results!$D$52:$AK$52,Results!$D$42:$AK$42,$B25)</f>
        <v>0</v>
      </c>
      <c r="G25" s="662">
        <f t="shared" si="2"/>
        <v>623115.90131968423</v>
      </c>
      <c r="H25" s="662">
        <f>SUMIFS(Results!$D$68:$AK$68,Results!$D$59:$AK$59,$B25)</f>
        <v>316760.52735374816</v>
      </c>
      <c r="I25" s="662">
        <f>SUMIFS(Results!$D$69:$AK$69,Results!$D$59:$AK$59,$B25)</f>
        <v>0</v>
      </c>
      <c r="J25" s="662">
        <f t="shared" si="3"/>
        <v>316760.52735374816</v>
      </c>
    </row>
    <row r="26" spans="2:10">
      <c r="B26" s="660">
        <f t="shared" si="4"/>
        <v>2032</v>
      </c>
      <c r="C26" s="661">
        <f t="shared" si="4"/>
        <v>12</v>
      </c>
      <c r="D26" s="1406"/>
      <c r="E26" s="662">
        <f>SUMIFS(Results!$D$51:$AK$51,Results!$D$42:$AK$42,$B26)</f>
        <v>645846.18443813559</v>
      </c>
      <c r="F26" s="662">
        <f>SUMIFS(Results!$D$52:$AK$52,Results!$D$42:$AK$42,$B26)</f>
        <v>0</v>
      </c>
      <c r="G26" s="662">
        <f t="shared" si="2"/>
        <v>645846.18443813559</v>
      </c>
      <c r="H26" s="662">
        <f>SUMIFS(Results!$D$68:$AK$68,Results!$D$59:$AK$59,$B26)</f>
        <v>306836.86980096693</v>
      </c>
      <c r="I26" s="662">
        <f>SUMIFS(Results!$D$69:$AK$69,Results!$D$59:$AK$59,$B26)</f>
        <v>0</v>
      </c>
      <c r="J26" s="662">
        <f t="shared" si="3"/>
        <v>306836.86980096693</v>
      </c>
    </row>
    <row r="27" spans="2:10">
      <c r="B27" s="660">
        <f t="shared" si="4"/>
        <v>2033</v>
      </c>
      <c r="C27" s="661">
        <f t="shared" si="4"/>
        <v>13</v>
      </c>
      <c r="D27" s="1406"/>
      <c r="E27" s="662">
        <f>SUMIFS(Results!$D$51:$AK$51,Results!$D$42:$AK$42,$B27)</f>
        <v>669997.83701598633</v>
      </c>
      <c r="F27" s="662">
        <f>SUMIFS(Results!$D$52:$AK$52,Results!$D$42:$AK$42,$B27)</f>
        <v>0</v>
      </c>
      <c r="G27" s="662">
        <f t="shared" si="2"/>
        <v>669997.83701598633</v>
      </c>
      <c r="H27" s="662">
        <f>SUMIFS(Results!$D$68:$AK$68,Results!$D$59:$AK$59,$B27)</f>
        <v>297487.05230052298</v>
      </c>
      <c r="I27" s="662">
        <f>SUMIFS(Results!$D$69:$AK$69,Results!$D$59:$AK$59,$B27)</f>
        <v>0</v>
      </c>
      <c r="J27" s="662">
        <f t="shared" si="3"/>
        <v>297487.05230052298</v>
      </c>
    </row>
    <row r="28" spans="2:10">
      <c r="B28" s="660">
        <f t="shared" si="4"/>
        <v>2034</v>
      </c>
      <c r="C28" s="661">
        <f t="shared" si="4"/>
        <v>14</v>
      </c>
      <c r="D28" s="1406"/>
      <c r="E28" s="662">
        <f>SUMIFS(Results!$D$51:$AK$51,Results!$D$42:$AK$42,$B28)</f>
        <v>694995.67592028831</v>
      </c>
      <c r="F28" s="662">
        <f>SUMIFS(Results!$D$52:$AK$52,Results!$D$42:$AK$42,$B28)</f>
        <v>0</v>
      </c>
      <c r="G28" s="662">
        <f t="shared" si="2"/>
        <v>694995.67592028831</v>
      </c>
      <c r="H28" s="662">
        <f>SUMIFS(Results!$D$68:$AK$68,Results!$D$59:$AK$59,$B28)</f>
        <v>288398.49694318342</v>
      </c>
      <c r="I28" s="662">
        <f>SUMIFS(Results!$D$69:$AK$69,Results!$D$59:$AK$59,$B28)</f>
        <v>0</v>
      </c>
      <c r="J28" s="662">
        <f t="shared" si="3"/>
        <v>288398.49694318342</v>
      </c>
    </row>
    <row r="29" spans="2:10">
      <c r="B29" s="660">
        <f t="shared" si="4"/>
        <v>2035</v>
      </c>
      <c r="C29" s="661">
        <f t="shared" si="4"/>
        <v>15</v>
      </c>
      <c r="D29" s="1406"/>
      <c r="E29" s="662">
        <f>SUMIFS(Results!$D$51:$AK$51,Results!$D$42:$AK$42,$B29)</f>
        <v>720715.26089157758</v>
      </c>
      <c r="F29" s="662">
        <f>SUMIFS(Results!$D$52:$AK$52,Results!$D$42:$AK$42,$B29)</f>
        <v>0</v>
      </c>
      <c r="G29" s="662">
        <f t="shared" si="2"/>
        <v>720715.26089157758</v>
      </c>
      <c r="H29" s="662">
        <f>SUMIFS(Results!$D$68:$AK$68,Results!$D$59:$AK$59,$B29)</f>
        <v>279505.80403805309</v>
      </c>
      <c r="I29" s="662">
        <f>SUMIFS(Results!$D$69:$AK$69,Results!$D$59:$AK$59,$B29)</f>
        <v>0</v>
      </c>
      <c r="J29" s="662">
        <f t="shared" si="3"/>
        <v>279505.80403805309</v>
      </c>
    </row>
    <row r="30" spans="2:10">
      <c r="B30" s="660">
        <f t="shared" si="4"/>
        <v>2036</v>
      </c>
      <c r="C30" s="661">
        <f t="shared" si="4"/>
        <v>16</v>
      </c>
      <c r="D30" s="1406"/>
      <c r="E30" s="662">
        <f>SUMIFS(Results!$D$51:$AK$51,Results!$D$42:$AK$42,$B30)</f>
        <v>747565.46944138652</v>
      </c>
      <c r="F30" s="662">
        <f>SUMIFS(Results!$D$52:$AK$52,Results!$D$42:$AK$42,$B30)</f>
        <v>0</v>
      </c>
      <c r="G30" s="662">
        <f t="shared" si="2"/>
        <v>747565.46944138652</v>
      </c>
      <c r="H30" s="662">
        <f>SUMIFS(Results!$D$68:$AK$68,Results!$D$59:$AK$59,$B30)</f>
        <v>270952.12882110261</v>
      </c>
      <c r="I30" s="662">
        <f>SUMIFS(Results!$D$69:$AK$69,Results!$D$59:$AK$59,$B30)</f>
        <v>0</v>
      </c>
      <c r="J30" s="662">
        <f t="shared" si="3"/>
        <v>270952.12882110261</v>
      </c>
    </row>
    <row r="31" spans="2:10">
      <c r="B31" s="660">
        <f t="shared" si="4"/>
        <v>2037</v>
      </c>
      <c r="C31" s="661">
        <f t="shared" si="4"/>
        <v>17</v>
      </c>
      <c r="D31" s="1406"/>
      <c r="E31" s="662">
        <f>SUMIFS(Results!$D$51:$AK$51,Results!$D$42:$AK$42,$B31)</f>
        <v>774978.48913436348</v>
      </c>
      <c r="F31" s="662">
        <f>SUMIFS(Results!$D$52:$AK$52,Results!$D$42:$AK$42,$B31)</f>
        <v>0</v>
      </c>
      <c r="G31" s="662">
        <f t="shared" si="2"/>
        <v>774978.48913436348</v>
      </c>
      <c r="H31" s="662">
        <f>SUMIFS(Results!$D$68:$AK$68,Results!$D$59:$AK$59,$B31)</f>
        <v>262512.02681794373</v>
      </c>
      <c r="I31" s="662">
        <f>SUMIFS(Results!$D$69:$AK$69,Results!$D$59:$AK$59,$B31)</f>
        <v>0</v>
      </c>
      <c r="J31" s="662">
        <f t="shared" si="3"/>
        <v>262512.02681794373</v>
      </c>
    </row>
    <row r="32" spans="2:10">
      <c r="B32" s="660">
        <f t="shared" si="4"/>
        <v>2038</v>
      </c>
      <c r="C32" s="661">
        <f t="shared" si="4"/>
        <v>18</v>
      </c>
      <c r="D32" s="1406"/>
      <c r="E32" s="662">
        <f>SUMIFS(Results!$D$51:$AK$51,Results!$D$42:$AK$42,$B32)</f>
        <v>803940.85937783692</v>
      </c>
      <c r="F32" s="662">
        <f>SUMIFS(Results!$D$52:$AK$52,Results!$D$42:$AK$42,$B32)</f>
        <v>0</v>
      </c>
      <c r="G32" s="662">
        <f t="shared" si="2"/>
        <v>803940.85937783692</v>
      </c>
      <c r="H32" s="662">
        <f>SUMIFS(Results!$D$68:$AK$68,Results!$D$59:$AK$59,$B32)</f>
        <v>254507.08752673169</v>
      </c>
      <c r="I32" s="662">
        <f>SUMIFS(Results!$D$69:$AK$69,Results!$D$59:$AK$59,$B32)</f>
        <v>0</v>
      </c>
      <c r="J32" s="662">
        <f t="shared" si="3"/>
        <v>254507.08752673169</v>
      </c>
    </row>
    <row r="33" spans="2:10">
      <c r="B33" s="660">
        <f t="shared" si="4"/>
        <v>2039</v>
      </c>
      <c r="C33" s="661">
        <f t="shared" si="4"/>
        <v>19</v>
      </c>
      <c r="D33" s="1406"/>
      <c r="E33" s="662">
        <f>SUMIFS(Results!$D$51:$AK$51,Results!$D$42:$AK$42,$B33)</f>
        <v>834228.27754415991</v>
      </c>
      <c r="F33" s="662">
        <f>SUMIFS(Results!$D$52:$AK$52,Results!$D$42:$AK$42,$B33)</f>
        <v>0</v>
      </c>
      <c r="G33" s="662">
        <f t="shared" si="2"/>
        <v>834228.27754415991</v>
      </c>
      <c r="H33" s="662">
        <f>SUMIFS(Results!$D$68:$AK$68,Results!$D$59:$AK$59,$B33)</f>
        <v>246818.04530043638</v>
      </c>
      <c r="I33" s="662">
        <f>SUMIFS(Results!$D$69:$AK$69,Results!$D$59:$AK$59,$B33)</f>
        <v>0</v>
      </c>
      <c r="J33" s="662">
        <f t="shared" si="3"/>
        <v>246818.04530043638</v>
      </c>
    </row>
    <row r="34" spans="2:10">
      <c r="B34" s="660">
        <f t="shared" si="4"/>
        <v>2040</v>
      </c>
      <c r="C34" s="661">
        <f t="shared" si="4"/>
        <v>20</v>
      </c>
      <c r="D34" s="1406"/>
      <c r="E34" s="662">
        <f>SUMIFS(Results!$D$51:$AK$51,Results!$D$42:$AK$42,$B34)</f>
        <v>864968.63368267438</v>
      </c>
      <c r="F34" s="662">
        <f>SUMIFS(Results!$D$52:$AK$52,Results!$D$42:$AK$42,$B34)</f>
        <v>0</v>
      </c>
      <c r="G34" s="662">
        <f t="shared" si="2"/>
        <v>864968.63368267438</v>
      </c>
      <c r="H34" s="662">
        <f>SUMIFS(Results!$D$68:$AK$68,Results!$D$59:$AK$59,$B34)</f>
        <v>239171.03500625977</v>
      </c>
      <c r="I34" s="662">
        <f>SUMIFS(Results!$D$69:$AK$69,Results!$D$59:$AK$59,$B34)</f>
        <v>0</v>
      </c>
      <c r="J34" s="662">
        <f t="shared" si="3"/>
        <v>239171.03500625977</v>
      </c>
    </row>
    <row r="35" spans="2:10">
      <c r="B35" s="660">
        <f t="shared" si="4"/>
        <v>2041</v>
      </c>
      <c r="C35" s="661">
        <f t="shared" si="4"/>
        <v>21</v>
      </c>
      <c r="D35" s="1406"/>
      <c r="E35" s="662">
        <f>SUMIFS(Results!$D$51:$AK$51,Results!$D$42:$AK$42,$B35)</f>
        <v>897563.16475377011</v>
      </c>
      <c r="F35" s="662">
        <f>SUMIFS(Results!$D$52:$AK$52,Results!$D$42:$AK$42,$B35)</f>
        <v>0</v>
      </c>
      <c r="G35" s="662">
        <f t="shared" si="2"/>
        <v>897563.16475377011</v>
      </c>
      <c r="H35" s="662">
        <f>SUMIFS(Results!$D$68:$AK$68,Results!$D$59:$AK$59,$B35)</f>
        <v>231947.37799812941</v>
      </c>
      <c r="I35" s="662">
        <f>SUMIFS(Results!$D$69:$AK$69,Results!$D$59:$AK$59,$B35)</f>
        <v>0</v>
      </c>
      <c r="J35" s="662">
        <f t="shared" si="3"/>
        <v>231947.37799812941</v>
      </c>
    </row>
    <row r="36" spans="2:10">
      <c r="B36" s="660">
        <f t="shared" si="4"/>
        <v>2042</v>
      </c>
      <c r="C36" s="661">
        <f t="shared" si="4"/>
        <v>22</v>
      </c>
      <c r="D36" s="1406"/>
      <c r="E36" s="662">
        <f>SUMIFS(Results!$D$51:$AK$51,Results!$D$42:$AK$42,$B36)</f>
        <v>932267.73085931409</v>
      </c>
      <c r="F36" s="662">
        <f>SUMIFS(Results!$D$52:$AK$52,Results!$D$42:$AK$42,$B36)</f>
        <v>0</v>
      </c>
      <c r="G36" s="662">
        <f t="shared" si="2"/>
        <v>932267.73085931409</v>
      </c>
      <c r="H36" s="662">
        <f>SUMIFS(Results!$D$68:$AK$68,Results!$D$59:$AK$59,$B36)</f>
        <v>225154.85734973094</v>
      </c>
      <c r="I36" s="662">
        <f>SUMIFS(Results!$D$69:$AK$69,Results!$D$59:$AK$59,$B36)</f>
        <v>0</v>
      </c>
      <c r="J36" s="662">
        <f t="shared" si="3"/>
        <v>225154.85734973094</v>
      </c>
    </row>
    <row r="37" spans="2:10">
      <c r="B37" s="660">
        <f t="shared" si="4"/>
        <v>2043</v>
      </c>
      <c r="C37" s="661">
        <f t="shared" si="4"/>
        <v>23</v>
      </c>
      <c r="D37" s="1406"/>
      <c r="E37" s="662">
        <f>SUMIFS(Results!$D$51:$AK$51,Results!$D$42:$AK$42,$B37)</f>
        <v>967656.88923456811</v>
      </c>
      <c r="F37" s="662">
        <f>SUMIFS(Results!$D$52:$AK$52,Results!$D$42:$AK$42,$B37)</f>
        <v>0</v>
      </c>
      <c r="G37" s="662">
        <f t="shared" si="2"/>
        <v>967656.88923456811</v>
      </c>
      <c r="H37" s="662">
        <f>SUMIFS(Results!$D$68:$AK$68,Results!$D$59:$AK$59,$B37)</f>
        <v>218412.89927676422</v>
      </c>
      <c r="I37" s="662">
        <f>SUMIFS(Results!$D$69:$AK$69,Results!$D$59:$AK$59,$B37)</f>
        <v>0</v>
      </c>
      <c r="J37" s="662">
        <f t="shared" si="3"/>
        <v>218412.89927676422</v>
      </c>
    </row>
    <row r="38" spans="2:10">
      <c r="B38" s="660">
        <f t="shared" si="4"/>
        <v>2044</v>
      </c>
      <c r="C38" s="661">
        <f t="shared" si="4"/>
        <v>24</v>
      </c>
      <c r="D38" s="1406"/>
      <c r="E38" s="662">
        <f>SUMIFS(Results!$D$51:$AK$51,Results!$D$42:$AK$42,$B38)</f>
        <v>1004491.7075320509</v>
      </c>
      <c r="F38" s="662">
        <f>SUMIFS(Results!$D$52:$AK$52,Results!$D$42:$AK$42,$B38)</f>
        <v>0</v>
      </c>
      <c r="G38" s="662">
        <f t="shared" si="2"/>
        <v>1004491.7075320509</v>
      </c>
      <c r="H38" s="662">
        <f>SUMIFS(Results!$D$68:$AK$68,Results!$D$59:$AK$59,$B38)</f>
        <v>211894.3950499965</v>
      </c>
      <c r="I38" s="662">
        <f>SUMIFS(Results!$D$69:$AK$69,Results!$D$59:$AK$59,$B38)</f>
        <v>0</v>
      </c>
      <c r="J38" s="662">
        <f t="shared" si="3"/>
        <v>211894.3950499965</v>
      </c>
    </row>
    <row r="39" spans="2:10">
      <c r="B39" s="660">
        <f t="shared" si="4"/>
        <v>2045</v>
      </c>
      <c r="C39" s="661">
        <f t="shared" si="4"/>
        <v>25</v>
      </c>
      <c r="D39" s="1406"/>
      <c r="E39" s="662">
        <f>SUMIFS(Results!$D$51:$AK$51,Results!$D$42:$AK$42,$B39)</f>
        <v>1043371.4333334237</v>
      </c>
      <c r="F39" s="662">
        <f>SUMIFS(Results!$D$52:$AK$52,Results!$D$42:$AK$42,$B39)</f>
        <v>0</v>
      </c>
      <c r="G39" s="662">
        <f t="shared" si="2"/>
        <v>1043371.4333334237</v>
      </c>
      <c r="H39" s="662">
        <f>SUMIFS(Results!$D$68:$AK$68,Results!$D$59:$AK$59,$B39)</f>
        <v>205697.15143281542</v>
      </c>
      <c r="I39" s="662">
        <f>SUMIFS(Results!$D$69:$AK$69,Results!$D$59:$AK$59,$B39)</f>
        <v>0</v>
      </c>
      <c r="J39" s="662">
        <f t="shared" si="3"/>
        <v>205697.15143281542</v>
      </c>
    </row>
    <row r="40" spans="2:10">
      <c r="B40" s="660">
        <f t="shared" si="4"/>
        <v>2046</v>
      </c>
      <c r="C40" s="661">
        <f t="shared" si="4"/>
        <v>26</v>
      </c>
      <c r="D40" s="1406"/>
      <c r="E40" s="662">
        <f>SUMIFS(Results!$D$51:$AK$51,Results!$D$42:$AK$42,$B40)</f>
        <v>1082710.675987686</v>
      </c>
      <c r="F40" s="662">
        <f>SUMIFS(Results!$D$52:$AK$52,Results!$D$42:$AK$42,$B40)</f>
        <v>0</v>
      </c>
      <c r="G40" s="662">
        <f t="shared" si="2"/>
        <v>1082710.675987686</v>
      </c>
      <c r="H40" s="662">
        <f>SUMIFS(Results!$D$68:$AK$68,Results!$D$59:$AK$59,$B40)</f>
        <v>199488.55154527916</v>
      </c>
      <c r="I40" s="662">
        <f>SUMIFS(Results!$D$69:$AK$69,Results!$D$59:$AK$59,$B40)</f>
        <v>0</v>
      </c>
      <c r="J40" s="662">
        <f t="shared" si="3"/>
        <v>199488.55154527916</v>
      </c>
    </row>
    <row r="41" spans="2:10">
      <c r="B41" s="660">
        <f t="shared" si="4"/>
        <v>2047</v>
      </c>
      <c r="C41" s="661">
        <f t="shared" si="4"/>
        <v>27</v>
      </c>
      <c r="D41" s="1406"/>
      <c r="E41" s="662">
        <f>SUMIFS(Results!$D$51:$AK$51,Results!$D$42:$AK$42,$B41)</f>
        <v>1125106.6730903261</v>
      </c>
      <c r="F41" s="662">
        <f>SUMIFS(Results!$D$52:$AK$52,Results!$D$42:$AK$42,$B41)</f>
        <v>0</v>
      </c>
      <c r="G41" s="662">
        <f t="shared" si="2"/>
        <v>1125106.6730903261</v>
      </c>
      <c r="H41" s="662">
        <f>SUMIFS(Results!$D$68:$AK$68,Results!$D$59:$AK$59,$B41)</f>
        <v>193738.29826324849</v>
      </c>
      <c r="I41" s="662">
        <f>SUMIFS(Results!$D$69:$AK$69,Results!$D$59:$AK$59,$B41)</f>
        <v>0</v>
      </c>
      <c r="J41" s="662">
        <f t="shared" si="3"/>
        <v>193738.29826324849</v>
      </c>
    </row>
    <row r="42" spans="2:10">
      <c r="B42" s="660">
        <f t="shared" si="4"/>
        <v>2048</v>
      </c>
      <c r="C42" s="661">
        <f t="shared" si="4"/>
        <v>28</v>
      </c>
      <c r="D42" s="1406"/>
      <c r="E42" s="662">
        <f>SUMIFS(Results!$D$51:$AK$51,Results!$D$42:$AK$42,$B42)</f>
        <v>1168719.9868048551</v>
      </c>
      <c r="F42" s="662">
        <f>SUMIFS(Results!$D$52:$AK$52,Results!$D$42:$AK$42,$B42)</f>
        <v>0</v>
      </c>
      <c r="G42" s="662">
        <f t="shared" si="2"/>
        <v>1168719.9868048551</v>
      </c>
      <c r="H42" s="662">
        <f>SUMIFS(Results!$D$68:$AK$68,Results!$D$59:$AK$59,$B42)</f>
        <v>188082.53674783581</v>
      </c>
      <c r="I42" s="662">
        <f>SUMIFS(Results!$D$69:$AK$69,Results!$D$59:$AK$59,$B42)</f>
        <v>0</v>
      </c>
      <c r="J42" s="662">
        <f t="shared" si="3"/>
        <v>188082.53674783581</v>
      </c>
    </row>
    <row r="43" spans="2:10">
      <c r="B43" s="660">
        <f t="shared" si="4"/>
        <v>2049</v>
      </c>
      <c r="C43" s="661">
        <f t="shared" si="4"/>
        <v>29</v>
      </c>
      <c r="D43" s="1406"/>
      <c r="E43" s="662">
        <f>SUMIFS(Results!$D$51:$AK$51,Results!$D$42:$AK$42,$B43)</f>
        <v>1213849.6877109909</v>
      </c>
      <c r="F43" s="662">
        <f>SUMIFS(Results!$D$52:$AK$52,Results!$D$42:$AK$42,$B43)</f>
        <v>0</v>
      </c>
      <c r="G43" s="662">
        <f t="shared" si="2"/>
        <v>1213849.6877109909</v>
      </c>
      <c r="H43" s="662">
        <f>SUMIFS(Results!$D$68:$AK$68,Results!$D$59:$AK$59,$B43)</f>
        <v>182565.67858954947</v>
      </c>
      <c r="I43" s="662">
        <f>SUMIFS(Results!$D$69:$AK$69,Results!$D$59:$AK$59,$B43)</f>
        <v>0</v>
      </c>
      <c r="J43" s="662">
        <f t="shared" si="3"/>
        <v>182565.67858954947</v>
      </c>
    </row>
    <row r="44" spans="2:10">
      <c r="B44" s="660">
        <f t="shared" si="4"/>
        <v>2050</v>
      </c>
      <c r="C44" s="661">
        <f t="shared" si="4"/>
        <v>30</v>
      </c>
      <c r="D44" s="1406"/>
      <c r="E44" s="662">
        <f>SUMIFS(Results!$D$51:$AK$51,Results!$D$42:$AK$42,$B44)</f>
        <v>1260596.4729947762</v>
      </c>
      <c r="F44" s="662">
        <f>SUMIFS(Results!$D$52:$AK$52,Results!$D$42:$AK$42,$B44)</f>
        <v>0</v>
      </c>
      <c r="G44" s="662">
        <f t="shared" si="2"/>
        <v>1260596.4729947762</v>
      </c>
      <c r="H44" s="662">
        <f>SUMIFS(Results!$D$68:$AK$68,Results!$D$59:$AK$59,$B44)</f>
        <v>177192.98927124721</v>
      </c>
      <c r="I44" s="662">
        <f>SUMIFS(Results!$D$69:$AK$69,Results!$D$59:$AK$59,$B44)</f>
        <v>0</v>
      </c>
      <c r="J44" s="662">
        <f t="shared" si="3"/>
        <v>177192.98927124721</v>
      </c>
    </row>
    <row r="45" spans="2:10">
      <c r="B45" s="660">
        <f t="shared" si="4"/>
        <v>2051</v>
      </c>
      <c r="C45" s="661">
        <f t="shared" si="4"/>
        <v>31</v>
      </c>
      <c r="D45" s="1406"/>
      <c r="E45" s="662">
        <f>SUMIFS(Results!$D$51:$AK$51,Results!$D$42:$AK$42,$B45)</f>
        <v>1309475.6577490198</v>
      </c>
      <c r="F45" s="662">
        <f>SUMIFS(Results!$D$52:$AK$52,Results!$D$42:$AK$42,$B45)</f>
        <v>0</v>
      </c>
      <c r="G45" s="662">
        <f t="shared" si="2"/>
        <v>1309475.6577490198</v>
      </c>
      <c r="H45" s="662">
        <f>SUMIFS(Results!$D$68:$AK$68,Results!$D$59:$AK$59,$B45)</f>
        <v>172022.04214259906</v>
      </c>
      <c r="I45" s="662">
        <f>SUMIFS(Results!$D$69:$AK$69,Results!$D$59:$AK$59,$B45)</f>
        <v>0</v>
      </c>
      <c r="J45" s="662">
        <f t="shared" si="3"/>
        <v>172022.04214259906</v>
      </c>
    </row>
    <row r="46" spans="2:10">
      <c r="B46" s="660">
        <f t="shared" si="4"/>
        <v>2052</v>
      </c>
      <c r="C46" s="661">
        <f t="shared" si="4"/>
        <v>32</v>
      </c>
      <c r="D46" s="1406"/>
      <c r="E46" s="662">
        <f>SUMIFS(Results!$D$51:$AK$51,Results!$D$42:$AK$42,$B46)</f>
        <v>1360356.842010553</v>
      </c>
      <c r="F46" s="662">
        <f>SUMIFS(Results!$D$52:$AK$52,Results!$D$42:$AK$42,$B46)</f>
        <v>0</v>
      </c>
      <c r="G46" s="662">
        <f t="shared" si="2"/>
        <v>1360356.842010553</v>
      </c>
      <c r="H46" s="662">
        <f>SUMIFS(Results!$D$68:$AK$68,Results!$D$59:$AK$59,$B46)</f>
        <v>167015.09966023185</v>
      </c>
      <c r="I46" s="662">
        <f>SUMIFS(Results!$D$69:$AK$69,Results!$D$59:$AK$59,$B46)</f>
        <v>0</v>
      </c>
      <c r="J46" s="662">
        <f t="shared" si="3"/>
        <v>167015.09966023185</v>
      </c>
    </row>
    <row r="47" spans="2:10">
      <c r="B47" s="660">
        <f t="shared" si="4"/>
        <v>2053</v>
      </c>
      <c r="C47" s="661">
        <f t="shared" si="4"/>
        <v>33</v>
      </c>
      <c r="D47" s="1406"/>
      <c r="E47" s="662">
        <f>SUMIFS(Results!$D$51:$AK$51,Results!$D$42:$AK$42,$B47)</f>
        <v>1413323.271180616</v>
      </c>
      <c r="F47" s="662">
        <f>SUMIFS(Results!$D$52:$AK$52,Results!$D$42:$AK$42,$B47)</f>
        <v>0</v>
      </c>
      <c r="G47" s="662">
        <f t="shared" si="2"/>
        <v>1413323.271180616</v>
      </c>
      <c r="H47" s="662">
        <f>SUMIFS(Results!$D$68:$AK$68,Results!$D$59:$AK$59,$B47)</f>
        <v>162166.3060027007</v>
      </c>
      <c r="I47" s="662">
        <f>SUMIFS(Results!$D$69:$AK$69,Results!$D$59:$AK$59,$B47)</f>
        <v>0</v>
      </c>
      <c r="J47" s="662">
        <f t="shared" si="3"/>
        <v>162166.3060027007</v>
      </c>
    </row>
    <row r="48" spans="2:10">
      <c r="B48" s="660">
        <f t="shared" ref="B48:C48" si="5">B47+1</f>
        <v>2054</v>
      </c>
      <c r="C48" s="661">
        <f t="shared" si="5"/>
        <v>34</v>
      </c>
      <c r="D48" s="1406"/>
      <c r="E48" s="662">
        <f>SUMIFS(Results!$D$51:$AK$51,Results!$D$42:$AK$42,$B48)</f>
        <v>5088621.7966078008</v>
      </c>
      <c r="F48" s="662">
        <f>SUMIFS(Results!$D$52:$AK$52,Results!$D$42:$AK$42,$B48)</f>
        <v>0</v>
      </c>
      <c r="G48" s="662">
        <f t="shared" ref="G48" si="6">E48-F48</f>
        <v>5088621.7966078008</v>
      </c>
      <c r="H48" s="662">
        <f>SUMIFS(Results!$D$68:$AK$68,Results!$D$59:$AK$59,$B48)</f>
        <v>545676.82580152387</v>
      </c>
      <c r="I48" s="662">
        <f>SUMIFS(Results!$D$69:$AK$69,Results!$D$59:$AK$59,$B48)</f>
        <v>0</v>
      </c>
      <c r="J48" s="662">
        <f t="shared" ref="J48" si="7">H48-I48</f>
        <v>545676.82580152387</v>
      </c>
    </row>
    <row r="49" spans="1:10">
      <c r="B49" s="663" t="s">
        <v>5</v>
      </c>
      <c r="C49" s="663"/>
      <c r="D49" s="663"/>
      <c r="E49" s="664">
        <f t="shared" ref="E49:J49" si="8">SUM(E15:E48)</f>
        <v>42802074.620656259</v>
      </c>
      <c r="F49" s="664">
        <f t="shared" si="8"/>
        <v>14803503.764985116</v>
      </c>
      <c r="G49" s="664">
        <f t="shared" si="8"/>
        <v>27998570.855671134</v>
      </c>
      <c r="H49" s="664">
        <f t="shared" si="8"/>
        <v>17316726.246167179</v>
      </c>
      <c r="I49" s="664">
        <f t="shared" si="8"/>
        <v>12527545.168895446</v>
      </c>
      <c r="J49" s="664">
        <f t="shared" si="8"/>
        <v>4789181.0772717316</v>
      </c>
    </row>
    <row r="51" spans="1:10">
      <c r="E51" s="665" t="b">
        <f>Results!C51*10^6=E49</f>
        <v>1</v>
      </c>
      <c r="F51" s="665" t="b">
        <f>Results!C52*10^6=F49</f>
        <v>1</v>
      </c>
      <c r="G51" s="665" t="b">
        <f>Results!C53*10^6=G49</f>
        <v>1</v>
      </c>
      <c r="H51" s="665" t="b">
        <f>Results!C68*10^6=H49</f>
        <v>1</v>
      </c>
      <c r="I51" s="665" t="b">
        <f>Results!C69*10^6=I49</f>
        <v>1</v>
      </c>
      <c r="J51" s="665" t="b">
        <f>Results!C70*10^6=J49</f>
        <v>1</v>
      </c>
    </row>
    <row r="53" spans="1:10">
      <c r="A53" s="656" t="s">
        <v>807</v>
      </c>
      <c r="B53" s="656"/>
    </row>
    <row r="54" spans="1:10">
      <c r="B54" s="658" t="s">
        <v>7</v>
      </c>
      <c r="C54" s="658" t="s">
        <v>798</v>
      </c>
      <c r="D54" s="659" t="str">
        <f>Results!$B$18</f>
        <v>Accident Cost Savings</v>
      </c>
      <c r="E54" s="659" t="str">
        <f>Results!$B$19</f>
        <v xml:space="preserve">Travel Time Savings </v>
      </c>
      <c r="F54" s="659" t="str">
        <f>Results!$B$20</f>
        <v>Emissions Cost Savings</v>
      </c>
      <c r="G54" s="659" t="str">
        <f>Results!$B$21</f>
        <v xml:space="preserve">Vehicle Operating Cost Savings </v>
      </c>
      <c r="H54" s="659" t="str">
        <f>Results!$B$22</f>
        <v>Land Value Increase</v>
      </c>
      <c r="I54" s="659" t="str">
        <f>Results!$B$23</f>
        <v>O&amp;M Costs Savings</v>
      </c>
      <c r="J54" s="659" t="str">
        <f>Results!$B$24</f>
        <v>Residual Value</v>
      </c>
    </row>
    <row r="55" spans="1:10">
      <c r="B55" s="660">
        <f>VRCBY</f>
        <v>2021</v>
      </c>
      <c r="C55" s="661">
        <v>1</v>
      </c>
      <c r="D55" s="662">
        <f>SUMIFS(Results!$D$43:$AK$43,Results!$D$42:$AK$42,$B55)</f>
        <v>0</v>
      </c>
      <c r="E55" s="662">
        <f>SUMIFS(Results!$D$44:$AK$44,Results!$D$42:$AK$42,$B55)</f>
        <v>0</v>
      </c>
      <c r="F55" s="662">
        <f>SUMIFS(Results!$D$45:$AK$45,Results!$D$42:$AK$42,$B55)</f>
        <v>0</v>
      </c>
      <c r="G55" s="662">
        <f>SUMIFS(Results!$D$46:$AK$46,Results!$D$42:$AK$42,$B55)</f>
        <v>0</v>
      </c>
      <c r="H55" s="662">
        <f>SUMIFS(Results!$D$47:$AK$47,Results!$D$42:$AK$42,$B55)</f>
        <v>0</v>
      </c>
      <c r="I55" s="662">
        <f>SUMIFS(Results!$D$48:$AK$48,Results!$D$42:$AK$42,$B55)</f>
        <v>0</v>
      </c>
      <c r="J55" s="662">
        <f>SUMIFS(Results!$D$49:$AK$49,Results!$D$42:$AK$42,$B55)</f>
        <v>0</v>
      </c>
    </row>
    <row r="56" spans="1:10">
      <c r="B56" s="660">
        <f>B55+1</f>
        <v>2022</v>
      </c>
      <c r="C56" s="661">
        <f>C55+1</f>
        <v>2</v>
      </c>
      <c r="D56" s="662">
        <f>SUMIFS(Results!$D$43:$AK$43,Results!$D$42:$AK$42,$B56)</f>
        <v>0</v>
      </c>
      <c r="E56" s="662">
        <f>SUMIFS(Results!$D$44:$AK$44,Results!$D$42:$AK$42,$B56)</f>
        <v>0</v>
      </c>
      <c r="F56" s="662">
        <f>SUMIFS(Results!$D$45:$AK$45,Results!$D$42:$AK$42,$B56)</f>
        <v>0</v>
      </c>
      <c r="G56" s="662">
        <f>SUMIFS(Results!$D$46:$AK$46,Results!$D$42:$AK$42,$B56)</f>
        <v>0</v>
      </c>
      <c r="H56" s="662">
        <f>SUMIFS(Results!$D$47:$AK$47,Results!$D$42:$AK$42,$B56)</f>
        <v>0</v>
      </c>
      <c r="I56" s="662">
        <f>SUMIFS(Results!$D$48:$AK$48,Results!$D$42:$AK$42,$B56)</f>
        <v>0</v>
      </c>
      <c r="J56" s="662">
        <f>SUMIFS(Results!$D$49:$AK$49,Results!$D$42:$AK$42,$B56)</f>
        <v>0</v>
      </c>
    </row>
    <row r="57" spans="1:10">
      <c r="B57" s="660">
        <f t="shared" ref="B57:C57" si="9">B56+1</f>
        <v>2023</v>
      </c>
      <c r="C57" s="661">
        <f t="shared" si="9"/>
        <v>3</v>
      </c>
      <c r="D57" s="662">
        <f>SUMIFS(Results!$D$43:$AK$43,Results!$D$42:$AK$42,$B57)</f>
        <v>0</v>
      </c>
      <c r="E57" s="662">
        <f>SUMIFS(Results!$D$44:$AK$44,Results!$D$42:$AK$42,$B57)</f>
        <v>0</v>
      </c>
      <c r="F57" s="662">
        <f>SUMIFS(Results!$D$45:$AK$45,Results!$D$42:$AK$42,$B57)</f>
        <v>0</v>
      </c>
      <c r="G57" s="662">
        <f>SUMIFS(Results!$D$46:$AK$46,Results!$D$42:$AK$42,$B57)</f>
        <v>0</v>
      </c>
      <c r="H57" s="662">
        <f>SUMIFS(Results!$D$47:$AK$47,Results!$D$42:$AK$42,$B57)</f>
        <v>0</v>
      </c>
      <c r="I57" s="662">
        <f>SUMIFS(Results!$D$48:$AK$48,Results!$D$42:$AK$42,$B57)</f>
        <v>0</v>
      </c>
      <c r="J57" s="662">
        <f>SUMIFS(Results!$D$49:$AK$49,Results!$D$42:$AK$42,$B57)</f>
        <v>0</v>
      </c>
    </row>
    <row r="58" spans="1:10">
      <c r="B58" s="660">
        <f t="shared" ref="B58:C58" si="10">B57+1</f>
        <v>2024</v>
      </c>
      <c r="C58" s="661">
        <f t="shared" si="10"/>
        <v>4</v>
      </c>
      <c r="D58" s="662">
        <f>SUMIFS(Results!$D$43:$AK$43,Results!$D$42:$AK$42,$B58)</f>
        <v>0</v>
      </c>
      <c r="E58" s="662">
        <f>SUMIFS(Results!$D$44:$AK$44,Results!$D$42:$AK$42,$B58)</f>
        <v>0</v>
      </c>
      <c r="F58" s="662">
        <f>SUMIFS(Results!$D$45:$AK$45,Results!$D$42:$AK$42,$B58)</f>
        <v>0</v>
      </c>
      <c r="G58" s="662">
        <f>SUMIFS(Results!$D$46:$AK$46,Results!$D$42:$AK$42,$B58)</f>
        <v>0</v>
      </c>
      <c r="H58" s="662">
        <f>SUMIFS(Results!$D$47:$AK$47,Results!$D$42:$AK$42,$B58)</f>
        <v>0</v>
      </c>
      <c r="I58" s="662">
        <f>SUMIFS(Results!$D$48:$AK$48,Results!$D$42:$AK$42,$B58)</f>
        <v>0</v>
      </c>
      <c r="J58" s="662">
        <f>SUMIFS(Results!$D$49:$AK$49,Results!$D$42:$AK$42,$B58)</f>
        <v>0</v>
      </c>
    </row>
    <row r="59" spans="1:10">
      <c r="B59" s="660">
        <f t="shared" ref="B59:C59" si="11">B58+1</f>
        <v>2025</v>
      </c>
      <c r="C59" s="661">
        <f t="shared" si="11"/>
        <v>5</v>
      </c>
      <c r="D59" s="662">
        <f>SUMIFS(Results!$D$43:$AK$43,Results!$D$42:$AK$42,$B59)</f>
        <v>62562.159129894724</v>
      </c>
      <c r="E59" s="662">
        <f>SUMIFS(Results!$D$44:$AK$44,Results!$D$42:$AK$42,$B59)</f>
        <v>375616.8208396585</v>
      </c>
      <c r="F59" s="662">
        <f>SUMIFS(Results!$D$45:$AK$45,Results!$D$42:$AK$42,$B59)</f>
        <v>5457.8106984496044</v>
      </c>
      <c r="G59" s="662">
        <f>SUMIFS(Results!$D$46:$AK$46,Results!$D$42:$AK$42,$B59)</f>
        <v>35528.413086912224</v>
      </c>
      <c r="H59" s="662">
        <f>SUMIFS(Results!$D$47:$AK$47,Results!$D$42:$AK$42,$B59)</f>
        <v>12248163.847270133</v>
      </c>
      <c r="I59" s="662">
        <f>SUMIFS(Results!$D$48:$AK$48,Results!$D$42:$AK$42,$B59)</f>
        <v>24474.514783239611</v>
      </c>
      <c r="J59" s="662">
        <f>SUMIFS(Results!$D$49:$AK$49,Results!$D$42:$AK$42,$B59)</f>
        <v>0</v>
      </c>
    </row>
    <row r="60" spans="1:10">
      <c r="B60" s="660">
        <f t="shared" ref="B60:C60" si="12">B59+1</f>
        <v>2026</v>
      </c>
      <c r="C60" s="661">
        <f t="shared" si="12"/>
        <v>6</v>
      </c>
      <c r="D60" s="662">
        <f>SUMIFS(Results!$D$43:$AK$43,Results!$D$42:$AK$42,$B60)</f>
        <v>63415.833852628079</v>
      </c>
      <c r="E60" s="662">
        <f>SUMIFS(Results!$D$44:$AK$44,Results!$D$42:$AK$42,$B60)</f>
        <v>390796.75691645296</v>
      </c>
      <c r="F60" s="662">
        <f>SUMIFS(Results!$D$45:$AK$45,Results!$D$42:$AK$42,$B60)</f>
        <v>5407.2924520999932</v>
      </c>
      <c r="G60" s="662">
        <f>SUMIFS(Results!$D$46:$AK$46,Results!$D$42:$AK$42,$B60)</f>
        <v>37453.191249506868</v>
      </c>
      <c r="H60" s="662">
        <f>SUMIFS(Results!$D$47:$AK$47,Results!$D$42:$AK$42,$B60)</f>
        <v>0</v>
      </c>
      <c r="I60" s="662">
        <f>SUMIFS(Results!$D$48:$AK$48,Results!$D$42:$AK$42,$B60)</f>
        <v>24474.514783239611</v>
      </c>
      <c r="J60" s="662">
        <f>SUMIFS(Results!$D$49:$AK$49,Results!$D$42:$AK$42,$B60)</f>
        <v>0</v>
      </c>
    </row>
    <row r="61" spans="1:10">
      <c r="B61" s="660">
        <f t="shared" ref="B61:C61" si="13">B60+1</f>
        <v>2027</v>
      </c>
      <c r="C61" s="661">
        <f t="shared" si="13"/>
        <v>7</v>
      </c>
      <c r="D61" s="662">
        <f>SUMIFS(Results!$D$43:$AK$43,Results!$D$42:$AK$42,$B61)</f>
        <v>64287.277267143632</v>
      </c>
      <c r="E61" s="662">
        <f>SUMIFS(Results!$D$44:$AK$44,Results!$D$42:$AK$42,$B61)</f>
        <v>406590.16514494753</v>
      </c>
      <c r="F61" s="662">
        <f>SUMIFS(Results!$D$45:$AK$45,Results!$D$42:$AK$42,$B61)</f>
        <v>5341.1690466284035</v>
      </c>
      <c r="G61" s="662">
        <f>SUMIFS(Results!$D$46:$AK$46,Results!$D$42:$AK$42,$B61)</f>
        <v>39438.505398107627</v>
      </c>
      <c r="H61" s="662">
        <f>SUMIFS(Results!$D$47:$AK$47,Results!$D$42:$AK$42,$B61)</f>
        <v>0</v>
      </c>
      <c r="I61" s="662">
        <f>SUMIFS(Results!$D$48:$AK$48,Results!$D$42:$AK$42,$B61)</f>
        <v>24474.514783239611</v>
      </c>
      <c r="J61" s="662">
        <f>SUMIFS(Results!$D$49:$AK$49,Results!$D$42:$AK$42,$B61)</f>
        <v>0</v>
      </c>
    </row>
    <row r="62" spans="1:10">
      <c r="B62" s="660">
        <f t="shared" ref="B62:C62" si="14">B61+1</f>
        <v>2028</v>
      </c>
      <c r="C62" s="661">
        <f t="shared" si="14"/>
        <v>8</v>
      </c>
      <c r="D62" s="662">
        <f>SUMIFS(Results!$D$43:$AK$43,Results!$D$42:$AK$42,$B62)</f>
        <v>65175.224284618991</v>
      </c>
      <c r="E62" s="662">
        <f>SUMIFS(Results!$D$44:$AK$44,Results!$D$42:$AK$42,$B62)</f>
        <v>423021.83799324109</v>
      </c>
      <c r="F62" s="662">
        <f>SUMIFS(Results!$D$45:$AK$45,Results!$D$42:$AK$42,$B62)</f>
        <v>5243.2259619314509</v>
      </c>
      <c r="G62" s="662">
        <f>SUMIFS(Results!$D$46:$AK$46,Results!$D$42:$AK$42,$B62)</f>
        <v>41420.615771933597</v>
      </c>
      <c r="H62" s="662">
        <f>SUMIFS(Results!$D$47:$AK$47,Results!$D$42:$AK$42,$B62)</f>
        <v>0</v>
      </c>
      <c r="I62" s="662">
        <f>SUMIFS(Results!$D$48:$AK$48,Results!$D$42:$AK$42,$B62)</f>
        <v>24474.514783239611</v>
      </c>
      <c r="J62" s="662">
        <f>SUMIFS(Results!$D$49:$AK$49,Results!$D$42:$AK$42,$B62)</f>
        <v>0</v>
      </c>
    </row>
    <row r="63" spans="1:10">
      <c r="B63" s="660">
        <f t="shared" ref="B63:C63" si="15">B62+1</f>
        <v>2029</v>
      </c>
      <c r="C63" s="661">
        <f t="shared" si="15"/>
        <v>9</v>
      </c>
      <c r="D63" s="662">
        <f>SUMIFS(Results!$D$43:$AK$43,Results!$D$42:$AK$42,$B63)</f>
        <v>66078.946726568567</v>
      </c>
      <c r="E63" s="662">
        <f>SUMIFS(Results!$D$44:$AK$44,Results!$D$42:$AK$42,$B63)</f>
        <v>440117.56987625611</v>
      </c>
      <c r="F63" s="662">
        <f>SUMIFS(Results!$D$45:$AK$45,Results!$D$42:$AK$42,$B63)</f>
        <v>5118.4088627153533</v>
      </c>
      <c r="G63" s="662">
        <f>SUMIFS(Results!$D$46:$AK$46,Results!$D$42:$AK$42,$B63)</f>
        <v>43719.996982096178</v>
      </c>
      <c r="H63" s="662">
        <f>SUMIFS(Results!$D$47:$AK$47,Results!$D$42:$AK$42,$B63)</f>
        <v>0</v>
      </c>
      <c r="I63" s="662">
        <f>SUMIFS(Results!$D$48:$AK$48,Results!$D$42:$AK$42,$B63)</f>
        <v>24474.514783239611</v>
      </c>
      <c r="J63" s="662">
        <f>SUMIFS(Results!$D$49:$AK$49,Results!$D$42:$AK$42,$B63)</f>
        <v>0</v>
      </c>
    </row>
    <row r="64" spans="1:10">
      <c r="B64" s="660">
        <f t="shared" ref="B64:C64" si="16">B63+1</f>
        <v>2030</v>
      </c>
      <c r="C64" s="661">
        <f t="shared" si="16"/>
        <v>10</v>
      </c>
      <c r="D64" s="662">
        <f>SUMIFS(Results!$D$43:$AK$43,Results!$D$42:$AK$42,$B64)</f>
        <v>66998.02147089396</v>
      </c>
      <c r="E64" s="662">
        <f>SUMIFS(Results!$D$44:$AK$44,Results!$D$42:$AK$42,$B64)</f>
        <v>457904.19764777325</v>
      </c>
      <c r="F64" s="662">
        <f>SUMIFS(Results!$D$45:$AK$45,Results!$D$42:$AK$42,$B64)</f>
        <v>4968.5068088239386</v>
      </c>
      <c r="G64" s="662">
        <f>SUMIFS(Results!$D$46:$AK$46,Results!$D$42:$AK$42,$B64)</f>
        <v>46937.158601558855</v>
      </c>
      <c r="H64" s="662">
        <f>SUMIFS(Results!$D$47:$AK$47,Results!$D$42:$AK$42,$B64)</f>
        <v>0</v>
      </c>
      <c r="I64" s="662">
        <f>SUMIFS(Results!$D$48:$AK$48,Results!$D$42:$AK$42,$B64)</f>
        <v>24474.514783239611</v>
      </c>
      <c r="J64" s="662">
        <f>SUMIFS(Results!$D$49:$AK$49,Results!$D$42:$AK$42,$B64)</f>
        <v>0</v>
      </c>
    </row>
    <row r="65" spans="2:10">
      <c r="B65" s="660">
        <f t="shared" ref="B65:C65" si="17">B64+1</f>
        <v>2031</v>
      </c>
      <c r="C65" s="661">
        <f t="shared" si="17"/>
        <v>11</v>
      </c>
      <c r="D65" s="662">
        <f>SUMIFS(Results!$D$43:$AK$43,Results!$D$42:$AK$42,$B65)</f>
        <v>67932.211730192794</v>
      </c>
      <c r="E65" s="662">
        <f>SUMIFS(Results!$D$44:$AK$44,Results!$D$42:$AK$42,$B65)</f>
        <v>476409.64272888162</v>
      </c>
      <c r="F65" s="662">
        <f>SUMIFS(Results!$D$45:$AK$45,Results!$D$42:$AK$42,$B65)</f>
        <v>4991.2724897990292</v>
      </c>
      <c r="G65" s="662">
        <f>SUMIFS(Results!$D$46:$AK$46,Results!$D$42:$AK$42,$B65)</f>
        <v>49308.259587571149</v>
      </c>
      <c r="H65" s="662">
        <f>SUMIFS(Results!$D$47:$AK$47,Results!$D$42:$AK$42,$B65)</f>
        <v>0</v>
      </c>
      <c r="I65" s="662">
        <f>SUMIFS(Results!$D$48:$AK$48,Results!$D$42:$AK$42,$B65)</f>
        <v>24474.514783239611</v>
      </c>
      <c r="J65" s="662">
        <f>SUMIFS(Results!$D$49:$AK$49,Results!$D$42:$AK$42,$B65)</f>
        <v>0</v>
      </c>
    </row>
    <row r="66" spans="2:10">
      <c r="B66" s="660">
        <f t="shared" ref="B66:C66" si="18">B65+1</f>
        <v>2032</v>
      </c>
      <c r="C66" s="661">
        <f t="shared" si="18"/>
        <v>12</v>
      </c>
      <c r="D66" s="662">
        <f>SUMIFS(Results!$D$43:$AK$43,Results!$D$42:$AK$42,$B66)</f>
        <v>68881.401226187008</v>
      </c>
      <c r="E66" s="662">
        <f>SUMIFS(Results!$D$44:$AK$44,Results!$D$42:$AK$42,$B66)</f>
        <v>495662.95493898506</v>
      </c>
      <c r="F66" s="662">
        <f>SUMIFS(Results!$D$45:$AK$45,Results!$D$42:$AK$42,$B66)</f>
        <v>5006.5218765476393</v>
      </c>
      <c r="G66" s="662">
        <f>SUMIFS(Results!$D$46:$AK$46,Results!$D$42:$AK$42,$B66)</f>
        <v>51820.791613176407</v>
      </c>
      <c r="H66" s="662">
        <f>SUMIFS(Results!$D$47:$AK$47,Results!$D$42:$AK$42,$B66)</f>
        <v>0</v>
      </c>
      <c r="I66" s="662">
        <f>SUMIFS(Results!$D$48:$AK$48,Results!$D$42:$AK$42,$B66)</f>
        <v>24474.514783239611</v>
      </c>
      <c r="J66" s="662">
        <f>SUMIFS(Results!$D$49:$AK$49,Results!$D$42:$AK$42,$B66)</f>
        <v>0</v>
      </c>
    </row>
    <row r="67" spans="2:10">
      <c r="B67" s="660">
        <f t="shared" ref="B67:C67" si="19">B66+1</f>
        <v>2033</v>
      </c>
      <c r="C67" s="661">
        <f t="shared" si="19"/>
        <v>13</v>
      </c>
      <c r="D67" s="662">
        <f>SUMIFS(Results!$D$43:$AK$43,Results!$D$42:$AK$42,$B67)</f>
        <v>69845.555357655103</v>
      </c>
      <c r="E67" s="662">
        <f>SUMIFS(Results!$D$44:$AK$44,Results!$D$42:$AK$42,$B67)</f>
        <v>515694.35809816513</v>
      </c>
      <c r="F67" s="662">
        <f>SUMIFS(Results!$D$45:$AK$45,Results!$D$42:$AK$42,$B67)</f>
        <v>5013.5600923482398</v>
      </c>
      <c r="G67" s="662">
        <f>SUMIFS(Results!$D$46:$AK$46,Results!$D$42:$AK$42,$B67)</f>
        <v>54969.848684578363</v>
      </c>
      <c r="H67" s="662">
        <f>SUMIFS(Results!$D$47:$AK$47,Results!$D$42:$AK$42,$B67)</f>
        <v>0</v>
      </c>
      <c r="I67" s="662">
        <f>SUMIFS(Results!$D$48:$AK$48,Results!$D$42:$AK$42,$B67)</f>
        <v>24474.514783239611</v>
      </c>
      <c r="J67" s="662">
        <f>SUMIFS(Results!$D$49:$AK$49,Results!$D$42:$AK$42,$B67)</f>
        <v>0</v>
      </c>
    </row>
    <row r="68" spans="2:10">
      <c r="B68" s="660">
        <f t="shared" ref="B68:C68" si="20">B67+1</f>
        <v>2034</v>
      </c>
      <c r="C68" s="661">
        <f t="shared" si="20"/>
        <v>14</v>
      </c>
      <c r="D68" s="662">
        <f>SUMIFS(Results!$D$43:$AK$43,Results!$D$42:$AK$42,$B68)</f>
        <v>70824.697123838559</v>
      </c>
      <c r="E68" s="662">
        <f>SUMIFS(Results!$D$44:$AK$44,Results!$D$42:$AK$42,$B68)</f>
        <v>536535.29747248348</v>
      </c>
      <c r="F68" s="662">
        <f>SUMIFS(Results!$D$45:$AK$45,Results!$D$42:$AK$42,$B68)</f>
        <v>5056.7378990913739</v>
      </c>
      <c r="G68" s="662">
        <f>SUMIFS(Results!$D$46:$AK$46,Results!$D$42:$AK$42,$B68)</f>
        <v>58104.428641635364</v>
      </c>
      <c r="H68" s="662">
        <f>SUMIFS(Results!$D$47:$AK$47,Results!$D$42:$AK$42,$B68)</f>
        <v>0</v>
      </c>
      <c r="I68" s="662">
        <f>SUMIFS(Results!$D$48:$AK$48,Results!$D$42:$AK$42,$B68)</f>
        <v>24474.514783239611</v>
      </c>
      <c r="J68" s="662">
        <f>SUMIFS(Results!$D$49:$AK$49,Results!$D$42:$AK$42,$B68)</f>
        <v>0</v>
      </c>
    </row>
    <row r="69" spans="2:10">
      <c r="B69" s="660">
        <f t="shared" ref="B69:C69" si="21">B68+1</f>
        <v>2035</v>
      </c>
      <c r="C69" s="661">
        <f t="shared" si="21"/>
        <v>15</v>
      </c>
      <c r="D69" s="662">
        <f>SUMIFS(Results!$D$43:$AK$43,Results!$D$42:$AK$42,$B69)</f>
        <v>71818.891574791807</v>
      </c>
      <c r="E69" s="662">
        <f>SUMIFS(Results!$D$44:$AK$44,Results!$D$42:$AK$42,$B69)</f>
        <v>558218.48913671612</v>
      </c>
      <c r="F69" s="662">
        <f>SUMIFS(Results!$D$45:$AK$45,Results!$D$42:$AK$42,$B69)</f>
        <v>5046.20596589466</v>
      </c>
      <c r="G69" s="662">
        <f>SUMIFS(Results!$D$46:$AK$46,Results!$D$42:$AK$42,$B69)</f>
        <v>61157.159430935411</v>
      </c>
      <c r="H69" s="662">
        <f>SUMIFS(Results!$D$47:$AK$47,Results!$D$42:$AK$42,$B69)</f>
        <v>0</v>
      </c>
      <c r="I69" s="662">
        <f>SUMIFS(Results!$D$48:$AK$48,Results!$D$42:$AK$42,$B69)</f>
        <v>24474.514783239611</v>
      </c>
      <c r="J69" s="662">
        <f>SUMIFS(Results!$D$49:$AK$49,Results!$D$42:$AK$42,$B69)</f>
        <v>0</v>
      </c>
    </row>
    <row r="70" spans="2:10">
      <c r="B70" s="660">
        <f t="shared" ref="B70:C70" si="22">B69+1</f>
        <v>2036</v>
      </c>
      <c r="C70" s="661">
        <f t="shared" si="22"/>
        <v>16</v>
      </c>
      <c r="D70" s="662">
        <f>SUMIFS(Results!$D$43:$AK$43,Results!$D$42:$AK$42,$B70)</f>
        <v>72828.235421132675</v>
      </c>
      <c r="E70" s="662">
        <f>SUMIFS(Results!$D$44:$AK$44,Results!$D$42:$AK$42,$B70)</f>
        <v>580777.97133199568</v>
      </c>
      <c r="F70" s="662">
        <f>SUMIFS(Results!$D$45:$AK$45,Results!$D$42:$AK$42,$B70)</f>
        <v>5025.1090908633478</v>
      </c>
      <c r="G70" s="662">
        <f>SUMIFS(Results!$D$46:$AK$46,Results!$D$42:$AK$42,$B70)</f>
        <v>64459.638814155282</v>
      </c>
      <c r="H70" s="662">
        <f>SUMIFS(Results!$D$47:$AK$47,Results!$D$42:$AK$42,$B70)</f>
        <v>0</v>
      </c>
      <c r="I70" s="662">
        <f>SUMIFS(Results!$D$48:$AK$48,Results!$D$42:$AK$42,$B70)</f>
        <v>24474.514783239611</v>
      </c>
      <c r="J70" s="662">
        <f>SUMIFS(Results!$D$49:$AK$49,Results!$D$42:$AK$42,$B70)</f>
        <v>0</v>
      </c>
    </row>
    <row r="71" spans="2:10">
      <c r="B71" s="660">
        <f t="shared" ref="B71:C71" si="23">B70+1</f>
        <v>2037</v>
      </c>
      <c r="C71" s="661">
        <f t="shared" si="23"/>
        <v>17</v>
      </c>
      <c r="D71" s="662">
        <f>SUMIFS(Results!$D$43:$AK$43,Results!$D$42:$AK$42,$B71)</f>
        <v>73852.849888778408</v>
      </c>
      <c r="E71" s="662">
        <f>SUMIFS(Results!$D$44:$AK$44,Results!$D$42:$AK$42,$B71)</f>
        <v>604249.15789899253</v>
      </c>
      <c r="F71" s="662">
        <f>SUMIFS(Results!$D$45:$AK$45,Results!$D$42:$AK$42,$B71)</f>
        <v>4993.4243337298039</v>
      </c>
      <c r="G71" s="662">
        <f>SUMIFS(Results!$D$46:$AK$46,Results!$D$42:$AK$42,$B71)</f>
        <v>67408.542229623214</v>
      </c>
      <c r="H71" s="662">
        <f>SUMIFS(Results!$D$47:$AK$47,Results!$D$42:$AK$42,$B71)</f>
        <v>0</v>
      </c>
      <c r="I71" s="662">
        <f>SUMIFS(Results!$D$48:$AK$48,Results!$D$42:$AK$42,$B71)</f>
        <v>24474.514783239611</v>
      </c>
      <c r="J71" s="662">
        <f>SUMIFS(Results!$D$49:$AK$49,Results!$D$42:$AK$42,$B71)</f>
        <v>0</v>
      </c>
    </row>
    <row r="72" spans="2:10">
      <c r="B72" s="660">
        <f t="shared" ref="B72:C72" si="24">B71+1</f>
        <v>2038</v>
      </c>
      <c r="C72" s="661">
        <f t="shared" si="24"/>
        <v>18</v>
      </c>
      <c r="D72" s="662">
        <f>SUMIFS(Results!$D$43:$AK$43,Results!$D$42:$AK$42,$B72)</f>
        <v>74892.875683198567</v>
      </c>
      <c r="E72" s="662">
        <f>SUMIFS(Results!$D$44:$AK$44,Results!$D$42:$AK$42,$B72)</f>
        <v>628668.89387050457</v>
      </c>
      <c r="F72" s="662">
        <f>SUMIFS(Results!$D$45:$AK$45,Results!$D$42:$AK$42,$B72)</f>
        <v>4949.3982828907083</v>
      </c>
      <c r="G72" s="662">
        <f>SUMIFS(Results!$D$46:$AK$46,Results!$D$42:$AK$42,$B72)</f>
        <v>70955.176758003581</v>
      </c>
      <c r="H72" s="662">
        <f>SUMIFS(Results!$D$47:$AK$47,Results!$D$42:$AK$42,$B72)</f>
        <v>0</v>
      </c>
      <c r="I72" s="662">
        <f>SUMIFS(Results!$D$48:$AK$48,Results!$D$42:$AK$42,$B72)</f>
        <v>24474.514783239611</v>
      </c>
      <c r="J72" s="662">
        <f>SUMIFS(Results!$D$49:$AK$49,Results!$D$42:$AK$42,$B72)</f>
        <v>0</v>
      </c>
    </row>
    <row r="73" spans="2:10">
      <c r="B73" s="660">
        <f t="shared" ref="B73:C73" si="25">B72+1</f>
        <v>2039</v>
      </c>
      <c r="C73" s="661">
        <f t="shared" si="25"/>
        <v>19</v>
      </c>
      <c r="D73" s="662">
        <f>SUMIFS(Results!$D$43:$AK$43,Results!$D$42:$AK$42,$B73)</f>
        <v>75948.469364817458</v>
      </c>
      <c r="E73" s="662">
        <f>SUMIFS(Results!$D$44:$AK$44,Results!$D$42:$AK$42,$B73)</f>
        <v>654075.51331073698</v>
      </c>
      <c r="F73" s="662">
        <f>SUMIFS(Results!$D$45:$AK$45,Results!$D$42:$AK$42,$B73)</f>
        <v>4892.0216061692126</v>
      </c>
      <c r="G73" s="662">
        <f>SUMIFS(Results!$D$46:$AK$46,Results!$D$42:$AK$42,$B73)</f>
        <v>74837.758479196651</v>
      </c>
      <c r="H73" s="662">
        <f>SUMIFS(Results!$D$47:$AK$47,Results!$D$42:$AK$42,$B73)</f>
        <v>0</v>
      </c>
      <c r="I73" s="662">
        <f>SUMIFS(Results!$D$48:$AK$48,Results!$D$42:$AK$42,$B73)</f>
        <v>24474.514783239611</v>
      </c>
      <c r="J73" s="662">
        <f>SUMIFS(Results!$D$49:$AK$49,Results!$D$42:$AK$42,$B73)</f>
        <v>0</v>
      </c>
    </row>
    <row r="74" spans="2:10">
      <c r="B74" s="660">
        <f t="shared" ref="B74:C74" si="26">B73+1</f>
        <v>2040</v>
      </c>
      <c r="C74" s="661">
        <f t="shared" si="26"/>
        <v>20</v>
      </c>
      <c r="D74" s="662">
        <f>SUMIFS(Results!$D$43:$AK$43,Results!$D$42:$AK$42,$B74)</f>
        <v>77019.80069228611</v>
      </c>
      <c r="E74" s="662">
        <f>SUMIFS(Results!$D$44:$AK$44,Results!$D$42:$AK$42,$B74)</f>
        <v>680508.89949205448</v>
      </c>
      <c r="F74" s="662">
        <f>SUMIFS(Results!$D$45:$AK$45,Results!$D$42:$AK$42,$B74)</f>
        <v>4820.2209774036946</v>
      </c>
      <c r="G74" s="662">
        <f>SUMIFS(Results!$D$46:$AK$46,Results!$D$42:$AK$42,$B74)</f>
        <v>78145.197737690498</v>
      </c>
      <c r="H74" s="662">
        <f>SUMIFS(Results!$D$47:$AK$47,Results!$D$42:$AK$42,$B74)</f>
        <v>0</v>
      </c>
      <c r="I74" s="662">
        <f>SUMIFS(Results!$D$48:$AK$48,Results!$D$42:$AK$42,$B74)</f>
        <v>24474.514783239611</v>
      </c>
      <c r="J74" s="662">
        <f>SUMIFS(Results!$D$49:$AK$49,Results!$D$42:$AK$42,$B74)</f>
        <v>0</v>
      </c>
    </row>
    <row r="75" spans="2:10">
      <c r="B75" s="660">
        <f t="shared" ref="B75:C75" si="27">B74+1</f>
        <v>2041</v>
      </c>
      <c r="C75" s="661">
        <f t="shared" si="27"/>
        <v>21</v>
      </c>
      <c r="D75" s="662">
        <f>SUMIFS(Results!$D$43:$AK$43,Results!$D$42:$AK$42,$B75)</f>
        <v>78107.050644399016</v>
      </c>
      <c r="E75" s="662">
        <f>SUMIFS(Results!$D$44:$AK$44,Results!$D$42:$AK$42,$B75)</f>
        <v>708010.54750368139</v>
      </c>
      <c r="F75" s="662">
        <f>SUMIFS(Results!$D$45:$AK$45,Results!$D$42:$AK$42,$B75)</f>
        <v>5006.9627638671782</v>
      </c>
      <c r="G75" s="662">
        <f>SUMIFS(Results!$D$46:$AK$46,Results!$D$42:$AK$42,$B75)</f>
        <v>81964.08905858286</v>
      </c>
      <c r="H75" s="662">
        <f>SUMIFS(Results!$D$47:$AK$47,Results!$D$42:$AK$42,$B75)</f>
        <v>0</v>
      </c>
      <c r="I75" s="662">
        <f>SUMIFS(Results!$D$48:$AK$48,Results!$D$42:$AK$42,$B75)</f>
        <v>24474.514783239611</v>
      </c>
      <c r="J75" s="662">
        <f>SUMIFS(Results!$D$49:$AK$49,Results!$D$42:$AK$42,$B75)</f>
        <v>0</v>
      </c>
    </row>
    <row r="76" spans="2:10">
      <c r="B76" s="660">
        <f t="shared" ref="B76:C76" si="28">B75+1</f>
        <v>2042</v>
      </c>
      <c r="C76" s="661">
        <f t="shared" si="28"/>
        <v>22</v>
      </c>
      <c r="D76" s="662">
        <f>SUMIFS(Results!$D$43:$AK$43,Results!$D$42:$AK$42,$B76)</f>
        <v>79210.409927287837</v>
      </c>
      <c r="E76" s="662">
        <f>SUMIFS(Results!$D$44:$AK$44,Results!$D$42:$AK$42,$B76)</f>
        <v>736623.6293906332</v>
      </c>
      <c r="F76" s="662">
        <f>SUMIFS(Results!$D$45:$AK$45,Results!$D$42:$AK$42,$B76)</f>
        <v>5254.8622587005921</v>
      </c>
      <c r="G76" s="662">
        <f>SUMIFS(Results!$D$46:$AK$46,Results!$D$42:$AK$42,$B76)</f>
        <v>86704.314499452972</v>
      </c>
      <c r="H76" s="662">
        <f>SUMIFS(Results!$D$47:$AK$47,Results!$D$42:$AK$42,$B76)</f>
        <v>0</v>
      </c>
      <c r="I76" s="662">
        <f>SUMIFS(Results!$D$48:$AK$48,Results!$D$42:$AK$42,$B76)</f>
        <v>24474.514783239611</v>
      </c>
      <c r="J76" s="662">
        <f>SUMIFS(Results!$D$49:$AK$49,Results!$D$42:$AK$42,$B76)</f>
        <v>0</v>
      </c>
    </row>
    <row r="77" spans="2:10">
      <c r="B77" s="660">
        <f t="shared" ref="B77:C77" si="29">B76+1</f>
        <v>2043</v>
      </c>
      <c r="C77" s="661">
        <f t="shared" si="29"/>
        <v>23</v>
      </c>
      <c r="D77" s="662">
        <f>SUMIFS(Results!$D$43:$AK$43,Results!$D$42:$AK$42,$B77)</f>
        <v>80330.077834780619</v>
      </c>
      <c r="E77" s="662">
        <f>SUMIFS(Results!$D$44:$AK$44,Results!$D$42:$AK$42,$B77)</f>
        <v>766393.06192512321</v>
      </c>
      <c r="F77" s="662">
        <f>SUMIFS(Results!$D$45:$AK$45,Results!$D$42:$AK$42,$B77)</f>
        <v>5455.3326233421885</v>
      </c>
      <c r="G77" s="662">
        <f>SUMIFS(Results!$D$46:$AK$46,Results!$D$42:$AK$42,$B77)</f>
        <v>91003.902068082578</v>
      </c>
      <c r="H77" s="662">
        <f>SUMIFS(Results!$D$47:$AK$47,Results!$D$42:$AK$42,$B77)</f>
        <v>0</v>
      </c>
      <c r="I77" s="662">
        <f>SUMIFS(Results!$D$48:$AK$48,Results!$D$42:$AK$42,$B77)</f>
        <v>24474.514783239611</v>
      </c>
      <c r="J77" s="662">
        <f>SUMIFS(Results!$D$49:$AK$49,Results!$D$42:$AK$42,$B77)</f>
        <v>0</v>
      </c>
    </row>
    <row r="78" spans="2:10">
      <c r="B78" s="660">
        <f t="shared" ref="B78:C78" si="30">B77+1</f>
        <v>2044</v>
      </c>
      <c r="C78" s="661">
        <f t="shared" si="30"/>
        <v>24</v>
      </c>
      <c r="D78" s="662">
        <f>SUMIFS(Results!$D$43:$AK$43,Results!$D$42:$AK$42,$B78)</f>
        <v>81466.261369896471</v>
      </c>
      <c r="E78" s="662">
        <f>SUMIFS(Results!$D$44:$AK$44,Results!$D$42:$AK$42,$B78)</f>
        <v>797365.57711684343</v>
      </c>
      <c r="F78" s="662">
        <f>SUMIFS(Results!$D$45:$AK$45,Results!$D$42:$AK$42,$B78)</f>
        <v>5662.1037629895345</v>
      </c>
      <c r="G78" s="662">
        <f>SUMIFS(Results!$D$46:$AK$46,Results!$D$42:$AK$42,$B78)</f>
        <v>95523.250499081973</v>
      </c>
      <c r="H78" s="662">
        <f>SUMIFS(Results!$D$47:$AK$47,Results!$D$42:$AK$42,$B78)</f>
        <v>0</v>
      </c>
      <c r="I78" s="662">
        <f>SUMIFS(Results!$D$48:$AK$48,Results!$D$42:$AK$42,$B78)</f>
        <v>24474.514783239611</v>
      </c>
      <c r="J78" s="662">
        <f>SUMIFS(Results!$D$49:$AK$49,Results!$D$42:$AK$42,$B78)</f>
        <v>0</v>
      </c>
    </row>
    <row r="79" spans="2:10">
      <c r="B79" s="660">
        <f t="shared" ref="B79:C79" si="31">B78+1</f>
        <v>2045</v>
      </c>
      <c r="C79" s="661">
        <f t="shared" si="31"/>
        <v>25</v>
      </c>
      <c r="D79" s="662">
        <f>SUMIFS(Results!$D$43:$AK$43,Results!$D$42:$AK$42,$B79)</f>
        <v>82619.17456223254</v>
      </c>
      <c r="E79" s="662">
        <f>SUMIFS(Results!$D$44:$AK$44,Results!$D$42:$AK$42,$B79)</f>
        <v>829589.79557280126</v>
      </c>
      <c r="F79" s="662">
        <f>SUMIFS(Results!$D$45:$AK$45,Results!$D$42:$AK$42,$B79)</f>
        <v>5875.3041812927377</v>
      </c>
      <c r="G79" s="662">
        <f>SUMIFS(Results!$D$46:$AK$46,Results!$D$42:$AK$42,$B79)</f>
        <v>100812.64423385753</v>
      </c>
      <c r="H79" s="662">
        <f>SUMIFS(Results!$D$47:$AK$47,Results!$D$42:$AK$42,$B79)</f>
        <v>0</v>
      </c>
      <c r="I79" s="662">
        <f>SUMIFS(Results!$D$48:$AK$48,Results!$D$42:$AK$42,$B79)</f>
        <v>24474.514783239611</v>
      </c>
      <c r="J79" s="662">
        <f>SUMIFS(Results!$D$49:$AK$49,Results!$D$42:$AK$42,$B79)</f>
        <v>0</v>
      </c>
    </row>
    <row r="80" spans="2:10">
      <c r="B80" s="660">
        <f t="shared" ref="B80:C80" si="32">B79+1</f>
        <v>2046</v>
      </c>
      <c r="C80" s="661">
        <f t="shared" si="32"/>
        <v>26</v>
      </c>
      <c r="D80" s="662">
        <f>SUMIFS(Results!$D$43:$AK$43,Results!$D$42:$AK$42,$B80)</f>
        <v>83789.037934254098</v>
      </c>
      <c r="E80" s="662">
        <f>SUMIFS(Results!$D$44:$AK$44,Results!$D$42:$AK$42,$B80)</f>
        <v>863116.30282187625</v>
      </c>
      <c r="F80" s="662">
        <f>SUMIFS(Results!$D$45:$AK$45,Results!$D$42:$AK$42,$B80)</f>
        <v>6095.0603216552836</v>
      </c>
      <c r="G80" s="662">
        <f>SUMIFS(Results!$D$46:$AK$46,Results!$D$42:$AK$42,$B80)</f>
        <v>105235.76012666071</v>
      </c>
      <c r="H80" s="662">
        <f>SUMIFS(Results!$D$47:$AK$47,Results!$D$42:$AK$42,$B80)</f>
        <v>0</v>
      </c>
      <c r="I80" s="662">
        <f>SUMIFS(Results!$D$48:$AK$48,Results!$D$42:$AK$42,$B80)</f>
        <v>24474.514783239611</v>
      </c>
      <c r="J80" s="662">
        <f>SUMIFS(Results!$D$49:$AK$49,Results!$D$42:$AK$42,$B80)</f>
        <v>0</v>
      </c>
    </row>
    <row r="81" spans="1:10">
      <c r="B81" s="660">
        <f t="shared" ref="B81:C81" si="33">B80+1</f>
        <v>2047</v>
      </c>
      <c r="C81" s="661">
        <f t="shared" si="33"/>
        <v>27</v>
      </c>
      <c r="D81" s="662">
        <f>SUMIFS(Results!$D$43:$AK$43,Results!$D$42:$AK$42,$B81)</f>
        <v>84976.078082151726</v>
      </c>
      <c r="E81" s="662">
        <f>SUMIFS(Results!$D$44:$AK$44,Results!$D$42:$AK$42,$B81)</f>
        <v>897997.72872390808</v>
      </c>
      <c r="F81" s="662">
        <f>SUMIFS(Results!$D$45:$AK$45,Results!$D$42:$AK$42,$B81)</f>
        <v>6321.4961036985524</v>
      </c>
      <c r="G81" s="662">
        <f>SUMIFS(Results!$D$46:$AK$46,Results!$D$42:$AK$42,$B81)</f>
        <v>111336.85539732815</v>
      </c>
      <c r="H81" s="662">
        <f>SUMIFS(Results!$D$47:$AK$47,Results!$D$42:$AK$42,$B81)</f>
        <v>0</v>
      </c>
      <c r="I81" s="662">
        <f>SUMIFS(Results!$D$48:$AK$48,Results!$D$42:$AK$42,$B81)</f>
        <v>24474.514783239611</v>
      </c>
      <c r="J81" s="662">
        <f>SUMIFS(Results!$D$49:$AK$49,Results!$D$42:$AK$42,$B81)</f>
        <v>0</v>
      </c>
    </row>
    <row r="82" spans="1:10">
      <c r="B82" s="660">
        <f t="shared" ref="B82:C82" si="34">B81+1</f>
        <v>2048</v>
      </c>
      <c r="C82" s="661">
        <f t="shared" si="34"/>
        <v>28</v>
      </c>
      <c r="D82" s="662">
        <f>SUMIFS(Results!$D$43:$AK$43,Results!$D$42:$AK$42,$B82)</f>
        <v>86180.527345841765</v>
      </c>
      <c r="E82" s="662">
        <f>SUMIFS(Results!$D$44:$AK$44,Results!$D$42:$AK$42,$B82)</f>
        <v>934288.83008796023</v>
      </c>
      <c r="F82" s="662">
        <f>SUMIFS(Results!$D$45:$AK$45,Results!$D$42:$AK$42,$B82)</f>
        <v>6554.732422103797</v>
      </c>
      <c r="G82" s="662">
        <f>SUMIFS(Results!$D$46:$AK$46,Results!$D$42:$AK$42,$B82)</f>
        <v>117221.38216570969</v>
      </c>
      <c r="H82" s="662">
        <f>SUMIFS(Results!$D$47:$AK$47,Results!$D$42:$AK$42,$B82)</f>
        <v>0</v>
      </c>
      <c r="I82" s="662">
        <f>SUMIFS(Results!$D$48:$AK$48,Results!$D$42:$AK$42,$B82)</f>
        <v>24474.514783239611</v>
      </c>
      <c r="J82" s="662">
        <f>SUMIFS(Results!$D$49:$AK$49,Results!$D$42:$AK$42,$B82)</f>
        <v>0</v>
      </c>
    </row>
    <row r="83" spans="1:10">
      <c r="B83" s="660">
        <f t="shared" ref="B83:C83" si="35">B82+1</f>
        <v>2049</v>
      </c>
      <c r="C83" s="661">
        <f t="shared" si="35"/>
        <v>29</v>
      </c>
      <c r="D83" s="662">
        <f>SUMIFS(Results!$D$43:$AK$43,Results!$D$42:$AK$42,$B83)</f>
        <v>87402.623549058146</v>
      </c>
      <c r="E83" s="662">
        <f>SUMIFS(Results!$D$44:$AK$44,Results!$D$42:$AK$42,$B83)</f>
        <v>972046.57662948675</v>
      </c>
      <c r="F83" s="662">
        <f>SUMIFS(Results!$D$45:$AK$45,Results!$D$42:$AK$42,$B83)</f>
        <v>6862.0377845895509</v>
      </c>
      <c r="G83" s="662">
        <f>SUMIFS(Results!$D$46:$AK$46,Results!$D$42:$AK$42,$B83)</f>
        <v>123063.93496461672</v>
      </c>
      <c r="H83" s="662">
        <f>SUMIFS(Results!$D$47:$AK$47,Results!$D$42:$AK$42,$B83)</f>
        <v>0</v>
      </c>
      <c r="I83" s="662">
        <f>SUMIFS(Results!$D$48:$AK$48,Results!$D$42:$AK$42,$B83)</f>
        <v>24474.514783239611</v>
      </c>
      <c r="J83" s="662">
        <f>SUMIFS(Results!$D$49:$AK$49,Results!$D$42:$AK$42,$B83)</f>
        <v>0</v>
      </c>
    </row>
    <row r="84" spans="1:10">
      <c r="B84" s="660">
        <f t="shared" ref="B84:C84" si="36">B83+1</f>
        <v>2050</v>
      </c>
      <c r="C84" s="661">
        <f t="shared" si="36"/>
        <v>30</v>
      </c>
      <c r="D84" s="662">
        <f>SUMIFS(Results!$D$43:$AK$43,Results!$D$42:$AK$42,$B84)</f>
        <v>88642.609795096971</v>
      </c>
      <c r="E84" s="662">
        <f>SUMIFS(Results!$D$44:$AK$44,Results!$D$42:$AK$42,$B84)</f>
        <v>1011330.2404012997</v>
      </c>
      <c r="F84" s="662">
        <f>SUMIFS(Results!$D$45:$AK$45,Results!$D$42:$AK$42,$B84)</f>
        <v>7111.0996244725084</v>
      </c>
      <c r="G84" s="662">
        <f>SUMIFS(Results!$D$46:$AK$46,Results!$D$42:$AK$42,$B84)</f>
        <v>129038.0083906675</v>
      </c>
      <c r="H84" s="662">
        <f>SUMIFS(Results!$D$47:$AK$47,Results!$D$42:$AK$42,$B84)</f>
        <v>0</v>
      </c>
      <c r="I84" s="662">
        <f>SUMIFS(Results!$D$48:$AK$48,Results!$D$42:$AK$42,$B84)</f>
        <v>24474.514783239611</v>
      </c>
      <c r="J84" s="662">
        <f>SUMIFS(Results!$D$49:$AK$49,Results!$D$42:$AK$42,$B84)</f>
        <v>0</v>
      </c>
    </row>
    <row r="85" spans="1:10">
      <c r="B85" s="660">
        <f t="shared" ref="B85:C85" si="37">B84+1</f>
        <v>2051</v>
      </c>
      <c r="C85" s="661">
        <f t="shared" si="37"/>
        <v>31</v>
      </c>
      <c r="D85" s="662">
        <f>SUMIFS(Results!$D$43:$AK$43,Results!$D$42:$AK$42,$B85)</f>
        <v>89900.734307160354</v>
      </c>
      <c r="E85" s="662">
        <f>SUMIFS(Results!$D$44:$AK$44,Results!$D$42:$AK$42,$B85)</f>
        <v>1052201.4888387427</v>
      </c>
      <c r="F85" s="662">
        <f>SUMIFS(Results!$D$45:$AK$45,Results!$D$42:$AK$42,$B85)</f>
        <v>7398.4830209186575</v>
      </c>
      <c r="G85" s="662">
        <f>SUMIFS(Results!$D$46:$AK$46,Results!$D$42:$AK$42,$B85)</f>
        <v>135500.43679895846</v>
      </c>
      <c r="H85" s="662">
        <f>SUMIFS(Results!$D$47:$AK$47,Results!$D$42:$AK$42,$B85)</f>
        <v>0</v>
      </c>
      <c r="I85" s="662">
        <f>SUMIFS(Results!$D$48:$AK$48,Results!$D$42:$AK$42,$B85)</f>
        <v>24474.514783239611</v>
      </c>
      <c r="J85" s="662">
        <f>SUMIFS(Results!$D$49:$AK$49,Results!$D$42:$AK$42,$B85)</f>
        <v>0</v>
      </c>
    </row>
    <row r="86" spans="1:10">
      <c r="B86" s="660">
        <f t="shared" ref="B86:C86" si="38">B85+1</f>
        <v>2052</v>
      </c>
      <c r="C86" s="661">
        <f t="shared" si="38"/>
        <v>32</v>
      </c>
      <c r="D86" s="662">
        <f>SUMIFS(Results!$D$43:$AK$43,Results!$D$42:$AK$42,$B86)</f>
        <v>91177.25030475462</v>
      </c>
      <c r="E86" s="662">
        <f>SUMIFS(Results!$D$44:$AK$44,Results!$D$42:$AK$42,$B86)</f>
        <v>1094724.4815651465</v>
      </c>
      <c r="F86" s="662">
        <f>SUMIFS(Results!$D$45:$AK$45,Results!$D$42:$AK$42,$B86)</f>
        <v>7697.4805447029576</v>
      </c>
      <c r="G86" s="662">
        <f>SUMIFS(Results!$D$46:$AK$46,Results!$D$42:$AK$42,$B86)</f>
        <v>142283.1148127093</v>
      </c>
      <c r="H86" s="662">
        <f>SUMIFS(Results!$D$47:$AK$47,Results!$D$42:$AK$42,$B86)</f>
        <v>0</v>
      </c>
      <c r="I86" s="662">
        <f>SUMIFS(Results!$D$48:$AK$48,Results!$D$42:$AK$42,$B86)</f>
        <v>24474.514783239611</v>
      </c>
      <c r="J86" s="662">
        <f>SUMIFS(Results!$D$49:$AK$49,Results!$D$42:$AK$42,$B86)</f>
        <v>0</v>
      </c>
    </row>
    <row r="87" spans="1:10">
      <c r="B87" s="660">
        <f t="shared" ref="B87:C88" si="39">B86+1</f>
        <v>2053</v>
      </c>
      <c r="C87" s="661">
        <f t="shared" si="39"/>
        <v>33</v>
      </c>
      <c r="D87" s="662">
        <f>SUMIFS(Results!$D$43:$AK$43,Results!$D$42:$AK$42,$B87)</f>
        <v>92472.415909478164</v>
      </c>
      <c r="E87" s="662">
        <f>SUMIFS(Results!$D$44:$AK$44,Results!$D$42:$AK$42,$B87)</f>
        <v>1138965.9711094988</v>
      </c>
      <c r="F87" s="662">
        <f>SUMIFS(Results!$D$45:$AK$45,Results!$D$42:$AK$42,$B87)</f>
        <v>8008.5615616812629</v>
      </c>
      <c r="G87" s="662">
        <f>SUMIFS(Results!$D$46:$AK$46,Results!$D$42:$AK$42,$B87)</f>
        <v>149401.80781671798</v>
      </c>
      <c r="H87" s="662">
        <f>SUMIFS(Results!$D$47:$AK$47,Results!$D$42:$AK$42,$B87)</f>
        <v>0</v>
      </c>
      <c r="I87" s="662">
        <f>SUMIFS(Results!$D$48:$AK$48,Results!$D$42:$AK$42,$B87)</f>
        <v>24474.514783239611</v>
      </c>
      <c r="J87" s="662">
        <f>SUMIFS(Results!$D$49:$AK$49,Results!$D$42:$AK$42,$B87)</f>
        <v>0</v>
      </c>
    </row>
    <row r="88" spans="1:10">
      <c r="B88" s="660">
        <f t="shared" si="39"/>
        <v>2054</v>
      </c>
      <c r="C88" s="661">
        <f t="shared" si="39"/>
        <v>34</v>
      </c>
      <c r="D88" s="662">
        <f>SUMIFS(Results!$D$43:$AK$43,Results!$D$42:$AK$42,$B88)</f>
        <v>93786.494074963353</v>
      </c>
      <c r="E88" s="662">
        <f>SUMIFS(Results!$D$44:$AK$44,Results!$D$42:$AK$42,$B88)</f>
        <v>1184995.4076944643</v>
      </c>
      <c r="F88" s="662">
        <f>SUMIFS(Results!$D$45:$AK$45,Results!$D$42:$AK$42,$B88)</f>
        <v>8332.2144063585383</v>
      </c>
      <c r="G88" s="662">
        <f>SUMIFS(Results!$D$46:$AK$46,Results!$D$42:$AK$42,$B88)</f>
        <v>156873.05408533715</v>
      </c>
      <c r="H88" s="662">
        <f>SUMIFS(Results!$D$47:$AK$47,Results!$D$42:$AK$42,$B88)</f>
        <v>0</v>
      </c>
      <c r="I88" s="662">
        <f>SUMIFS(Results!$D$48:$AK$48,Results!$D$42:$AK$42,$B88)</f>
        <v>24474.514783239611</v>
      </c>
      <c r="J88" s="662">
        <f>SUMIFS(Results!$D$49:$AK$49,Results!$D$42:$AK$42,$B88)</f>
        <v>3620160.1115634376</v>
      </c>
    </row>
    <row r="89" spans="1:10">
      <c r="B89" s="663" t="s">
        <v>5</v>
      </c>
      <c r="C89" s="663"/>
      <c r="D89" s="664">
        <f>SUM(D55:D88)</f>
        <v>2312423.1964359824</v>
      </c>
      <c r="E89" s="664">
        <f t="shared" ref="E89:J89" si="40">SUM(E55:E88)</f>
        <v>21212498.166079305</v>
      </c>
      <c r="F89" s="664">
        <f t="shared" si="40"/>
        <v>172966.61782575978</v>
      </c>
      <c r="G89" s="664">
        <f t="shared" si="40"/>
        <v>2501627.2379844449</v>
      </c>
      <c r="H89" s="664">
        <f t="shared" si="40"/>
        <v>12248163.847270133</v>
      </c>
      <c r="I89" s="664">
        <f t="shared" si="40"/>
        <v>734235.44349718816</v>
      </c>
      <c r="J89" s="664">
        <f t="shared" si="40"/>
        <v>3620160.1115634376</v>
      </c>
    </row>
    <row r="91" spans="1:10">
      <c r="D91" s="665" t="b">
        <f>Results!$C$43*10^6=D89</f>
        <v>1</v>
      </c>
      <c r="E91" s="665" t="b">
        <f>Results!$C$44*10^6=E89</f>
        <v>1</v>
      </c>
      <c r="F91" s="665" t="b">
        <f>Results!$C$45*10^6=F89</f>
        <v>1</v>
      </c>
      <c r="G91" s="665" t="b">
        <f>Results!$C$46*10^6=G89</f>
        <v>1</v>
      </c>
      <c r="H91" s="665" t="b">
        <f>Results!$C$47*10^6=H89</f>
        <v>1</v>
      </c>
      <c r="I91" s="665" t="b">
        <f>Results!$C$48*10^6=I89</f>
        <v>1</v>
      </c>
      <c r="J91" s="665" t="b">
        <f>Results!$C$49*10^6=J89</f>
        <v>1</v>
      </c>
    </row>
    <row r="93" spans="1:10">
      <c r="A93" s="656" t="s">
        <v>838</v>
      </c>
    </row>
    <row r="94" spans="1:10" ht="34.5">
      <c r="B94" s="658" t="s">
        <v>7</v>
      </c>
      <c r="C94" s="658" t="s">
        <v>798</v>
      </c>
      <c r="D94" s="659" t="str">
        <f>Results!$B$99</f>
        <v>Fatalities Avoided</v>
      </c>
      <c r="E94" s="659" t="str">
        <f>Results!$B$100</f>
        <v>Injuries Avoided</v>
      </c>
      <c r="F94" s="659" t="str">
        <f>Results!$B$101</f>
        <v>PDO-Accidents Avoided</v>
      </c>
      <c r="G94" s="659" t="str">
        <f>Results!$B$103 &amp;"(Hours)"</f>
        <v>Avoided Person Hours of Travel Time(Hours)</v>
      </c>
      <c r="H94" s="659" t="str">
        <f>Results!$B$111 &amp;" (Gallons)"</f>
        <v>Avoided Gasoline Consumption (Gallons)</v>
      </c>
      <c r="I94" s="659" t="str">
        <f>Results!$B$112 &amp;" (Gallons)"</f>
        <v>Avoided Diesel Consumption (Gallons)</v>
      </c>
      <c r="J94" s="659" t="str">
        <f>Results!$B$113&amp;" (Quarts)"</f>
        <v>Avoided Motor Oil Consumption (Quarts)</v>
      </c>
    </row>
    <row r="95" spans="1:10">
      <c r="B95" s="660">
        <f>VRCBY</f>
        <v>2021</v>
      </c>
      <c r="C95" s="661">
        <v>1</v>
      </c>
      <c r="D95" s="666">
        <f>SUMIFS(Results!$D$99:$AK$99,Results!$D$98:$AK$98,$B95)</f>
        <v>0</v>
      </c>
      <c r="E95" s="666">
        <f>SUMIFS(Results!$D$100:$AK$100,Results!$D$98:$AK$98,$B95)</f>
        <v>0</v>
      </c>
      <c r="F95" s="666">
        <f>SUMIFS(Results!$D$101:$AK$101,Results!$D$98:$AK$98,$B95)</f>
        <v>0</v>
      </c>
      <c r="G95" s="667">
        <f>SUMIFS(Results!$D$103:$AK$103,Results!$D$98:$AK$98,$B95)</f>
        <v>0</v>
      </c>
      <c r="H95" s="667">
        <f>SUMIFS(Results!$D$111:$AK$111,Results!$D$98:$AK$98,$B95)</f>
        <v>0</v>
      </c>
      <c r="I95" s="667">
        <f>SUMIFS(Results!$D$112:$AK$112,Results!$D$98:$AK$98,$B95)</f>
        <v>0</v>
      </c>
      <c r="J95" s="667">
        <f>SUMIFS(Results!$D$113:$AK$113,Results!$D$98:$AK$98,$B95)</f>
        <v>0</v>
      </c>
    </row>
    <row r="96" spans="1:10">
      <c r="B96" s="660">
        <f>B95+1</f>
        <v>2022</v>
      </c>
      <c r="C96" s="661">
        <f>C95+1</f>
        <v>2</v>
      </c>
      <c r="D96" s="666">
        <f>SUMIFS(Results!$D$99:$AK$99,Results!$D$98:$AK$98,$B96)</f>
        <v>0</v>
      </c>
      <c r="E96" s="666">
        <f>SUMIFS(Results!$D$100:$AK$100,Results!$D$98:$AK$98,$B96)</f>
        <v>0</v>
      </c>
      <c r="F96" s="666">
        <f>SUMIFS(Results!$D$101:$AK$101,Results!$D$98:$AK$98,$B96)</f>
        <v>0</v>
      </c>
      <c r="G96" s="667">
        <f>SUMIFS(Results!$D$103:$AK$103,Results!$D$98:$AK$98,$B96)</f>
        <v>0</v>
      </c>
      <c r="H96" s="667">
        <f>SUMIFS(Results!$D$111:$AK$111,Results!$D$98:$AK$98,$B96)</f>
        <v>0</v>
      </c>
      <c r="I96" s="667">
        <f>SUMIFS(Results!$D$112:$AK$112,Results!$D$98:$AK$98,$B96)</f>
        <v>0</v>
      </c>
      <c r="J96" s="667">
        <f>SUMIFS(Results!$D$113:$AK$113,Results!$D$98:$AK$98,$B96)</f>
        <v>0</v>
      </c>
    </row>
    <row r="97" spans="2:10">
      <c r="B97" s="660">
        <f t="shared" ref="B97:C97" si="41">B96+1</f>
        <v>2023</v>
      </c>
      <c r="C97" s="661">
        <f t="shared" si="41"/>
        <v>3</v>
      </c>
      <c r="D97" s="666">
        <f>SUMIFS(Results!$D$99:$AK$99,Results!$D$98:$AK$98,$B97)</f>
        <v>0</v>
      </c>
      <c r="E97" s="666">
        <f>SUMIFS(Results!$D$100:$AK$100,Results!$D$98:$AK$98,$B97)</f>
        <v>0</v>
      </c>
      <c r="F97" s="666">
        <f>SUMIFS(Results!$D$101:$AK$101,Results!$D$98:$AK$98,$B97)</f>
        <v>0</v>
      </c>
      <c r="G97" s="667">
        <f>SUMIFS(Results!$D$103:$AK$103,Results!$D$98:$AK$98,$B97)</f>
        <v>0</v>
      </c>
      <c r="H97" s="667">
        <f>SUMIFS(Results!$D$111:$AK$111,Results!$D$98:$AK$98,$B97)</f>
        <v>0</v>
      </c>
      <c r="I97" s="667">
        <f>SUMIFS(Results!$D$112:$AK$112,Results!$D$98:$AK$98,$B97)</f>
        <v>0</v>
      </c>
      <c r="J97" s="667">
        <f>SUMIFS(Results!$D$113:$AK$113,Results!$D$98:$AK$98,$B97)</f>
        <v>0</v>
      </c>
    </row>
    <row r="98" spans="2:10">
      <c r="B98" s="660">
        <f t="shared" ref="B98:C98" si="42">B97+1</f>
        <v>2024</v>
      </c>
      <c r="C98" s="661">
        <f t="shared" si="42"/>
        <v>4</v>
      </c>
      <c r="D98" s="666">
        <f>SUMIFS(Results!$D$99:$AK$99,Results!$D$98:$AK$98,$B98)</f>
        <v>0</v>
      </c>
      <c r="E98" s="666">
        <f>SUMIFS(Results!$D$100:$AK$100,Results!$D$98:$AK$98,$B98)</f>
        <v>0</v>
      </c>
      <c r="F98" s="666">
        <f>SUMIFS(Results!$D$101:$AK$101,Results!$D$98:$AK$98,$B98)</f>
        <v>0</v>
      </c>
      <c r="G98" s="667">
        <f>SUMIFS(Results!$D$103:$AK$103,Results!$D$98:$AK$98,$B98)</f>
        <v>0</v>
      </c>
      <c r="H98" s="667">
        <f>SUMIFS(Results!$D$111:$AK$111,Results!$D$98:$AK$98,$B98)</f>
        <v>0</v>
      </c>
      <c r="I98" s="667">
        <f>SUMIFS(Results!$D$112:$AK$112,Results!$D$98:$AK$98,$B98)</f>
        <v>0</v>
      </c>
      <c r="J98" s="667">
        <f>SUMIFS(Results!$D$113:$AK$113,Results!$D$98:$AK$98,$B98)</f>
        <v>0</v>
      </c>
    </row>
    <row r="99" spans="2:10">
      <c r="B99" s="660">
        <f t="shared" ref="B99:C99" si="43">B98+1</f>
        <v>2025</v>
      </c>
      <c r="C99" s="661">
        <f t="shared" si="43"/>
        <v>5</v>
      </c>
      <c r="D99" s="666">
        <f>SUMIFS(Results!$D$99:$AK$99,Results!$D$98:$AK$98,$B99)</f>
        <v>3.5909750737879121E-3</v>
      </c>
      <c r="E99" s="666">
        <f>SUMIFS(Results!$D$100:$AK$100,Results!$D$98:$AK$98,$B99)</f>
        <v>6.2732200959584927E-2</v>
      </c>
      <c r="F99" s="666">
        <f>SUMIFS(Results!$D$101:$AK$101,Results!$D$98:$AK$98,$B99)</f>
        <v>0.30961793812950134</v>
      </c>
      <c r="G99" s="667">
        <f>SUMIFS(Results!$D$103:$AK$103,Results!$D$98:$AK$98,$B99)</f>
        <v>20149.040889000644</v>
      </c>
      <c r="H99" s="667">
        <f>SUMIFS(Results!$D$111:$AK$111,Results!$D$98:$AK$98,$B99)</f>
        <v>11192.034103032629</v>
      </c>
      <c r="I99" s="667">
        <f>SUMIFS(Results!$D$112:$AK$112,Results!$D$98:$AK$98,$B99)</f>
        <v>2983.5298641852164</v>
      </c>
      <c r="J99" s="667">
        <f>SUMIFS(Results!$D$113:$AK$113,Results!$D$98:$AK$98,$B99)</f>
        <v>432.26998207137387</v>
      </c>
    </row>
    <row r="100" spans="2:10">
      <c r="B100" s="660">
        <f t="shared" ref="B100:C100" si="44">B99+1</f>
        <v>2026</v>
      </c>
      <c r="C100" s="661">
        <f t="shared" si="44"/>
        <v>6</v>
      </c>
      <c r="D100" s="666">
        <f>SUMIFS(Results!$D$99:$AK$99,Results!$D$98:$AK$98,$B100)</f>
        <v>3.639861439259969E-3</v>
      </c>
      <c r="E100" s="666">
        <f>SUMIFS(Results!$D$100:$AK$100,Results!$D$98:$AK$98,$B100)</f>
        <v>6.3592740784195079E-2</v>
      </c>
      <c r="F100" s="666">
        <f>SUMIFS(Results!$D$101:$AK$101,Results!$D$98:$AK$98,$B100)</f>
        <v>0.31385972500692838</v>
      </c>
      <c r="G100" s="667">
        <f>SUMIFS(Results!$D$103:$AK$103,Results!$D$98:$AK$98,$B100)</f>
        <v>20963.331239523337</v>
      </c>
      <c r="H100" s="667">
        <f>SUMIFS(Results!$D$111:$AK$111,Results!$D$98:$AK$98,$B100)</f>
        <v>11644.341754946487</v>
      </c>
      <c r="I100" s="667">
        <f>SUMIFS(Results!$D$112:$AK$112,Results!$D$98:$AK$98,$B100)</f>
        <v>3104.1043169487966</v>
      </c>
      <c r="J100" s="667">
        <f>SUMIFS(Results!$D$113:$AK$113,Results!$D$98:$AK$98,$B100)</f>
        <v>449.73946248785819</v>
      </c>
    </row>
    <row r="101" spans="2:10">
      <c r="B101" s="660">
        <f t="shared" ref="B101:C101" si="45">B100+1</f>
        <v>2027</v>
      </c>
      <c r="C101" s="661">
        <f t="shared" si="45"/>
        <v>7</v>
      </c>
      <c r="D101" s="666">
        <f>SUMIFS(Results!$D$99:$AK$99,Results!$D$98:$AK$98,$B101)</f>
        <v>3.6899200026393772E-3</v>
      </c>
      <c r="E101" s="666">
        <f>SUMIFS(Results!$D$100:$AK$100,Results!$D$98:$AK$98,$B101)</f>
        <v>6.4465090116230972E-2</v>
      </c>
      <c r="F101" s="666">
        <f>SUMIFS(Results!$D$101:$AK$101,Results!$D$98:$AK$98,$B101)</f>
        <v>0.31816018072499813</v>
      </c>
      <c r="G101" s="667">
        <f>SUMIFS(Results!$D$103:$AK$103,Results!$D$98:$AK$98,$B101)</f>
        <v>21810.529795384758</v>
      </c>
      <c r="H101" s="667">
        <f>SUMIFS(Results!$D$111:$AK$111,Results!$D$98:$AK$98,$B101)</f>
        <v>12114.928676749661</v>
      </c>
      <c r="I101" s="667">
        <f>SUMIFS(Results!$D$112:$AK$112,Results!$D$98:$AK$98,$B101)</f>
        <v>3229.5515879247073</v>
      </c>
      <c r="J101" s="667">
        <f>SUMIFS(Results!$D$113:$AK$113,Results!$D$98:$AK$98,$B101)</f>
        <v>467.91494322515859</v>
      </c>
    </row>
    <row r="102" spans="2:10">
      <c r="B102" s="660">
        <f t="shared" ref="B102:C102" si="46">B101+1</f>
        <v>2028</v>
      </c>
      <c r="C102" s="661">
        <f t="shared" si="46"/>
        <v>8</v>
      </c>
      <c r="D102" s="666">
        <f>SUMIFS(Results!$D$99:$AK$99,Results!$D$98:$AK$98,$B102)</f>
        <v>3.7410411382934419E-3</v>
      </c>
      <c r="E102" s="666">
        <f>SUMIFS(Results!$D$100:$AK$100,Results!$D$98:$AK$98,$B102)</f>
        <v>6.5349440880812543E-2</v>
      </c>
      <c r="F102" s="666">
        <f>SUMIFS(Results!$D$101:$AK$101,Results!$D$98:$AK$98,$B102)</f>
        <v>0.32252012223111531</v>
      </c>
      <c r="G102" s="667">
        <f>SUMIFS(Results!$D$103:$AK$103,Results!$D$98:$AK$98,$B102)</f>
        <v>22691.966487583053</v>
      </c>
      <c r="H102" s="667">
        <f>SUMIFS(Results!$D$111:$AK$111,Results!$D$98:$AK$98,$B102)</f>
        <v>12604.533595072748</v>
      </c>
      <c r="I102" s="667">
        <f>SUMIFS(Results!$D$112:$AK$112,Results!$D$98:$AK$98,$B102)</f>
        <v>3360.0686040471901</v>
      </c>
      <c r="J102" s="667">
        <f>SUMIFS(Results!$D$113:$AK$113,Results!$D$98:$AK$98,$B102)</f>
        <v>486.8249561251576</v>
      </c>
    </row>
    <row r="103" spans="2:10">
      <c r="B103" s="660">
        <f t="shared" ref="B103:C103" si="47">B102+1</f>
        <v>2029</v>
      </c>
      <c r="C103" s="661">
        <f t="shared" si="47"/>
        <v>9</v>
      </c>
      <c r="D103" s="666">
        <f>SUMIFS(Results!$D$99:$AK$99,Results!$D$98:$AK$98,$B103)</f>
        <v>3.7931598677929486E-3</v>
      </c>
      <c r="E103" s="666">
        <f>SUMIFS(Results!$D$100:$AK$100,Results!$D$98:$AK$98,$B103)</f>
        <v>6.6245977690402885E-2</v>
      </c>
      <c r="F103" s="666">
        <f>SUMIFS(Results!$D$101:$AK$101,Results!$D$98:$AK$98,$B103)</f>
        <v>0.32694037791031505</v>
      </c>
      <c r="G103" s="667">
        <f>SUMIFS(Results!$D$103:$AK$103,Results!$D$98:$AK$98,$B103)</f>
        <v>23609.024994090425</v>
      </c>
      <c r="H103" s="667">
        <f>SUMIFS(Results!$D$111:$AK$111,Results!$D$98:$AK$98,$B103)</f>
        <v>13113.9250909682</v>
      </c>
      <c r="I103" s="667">
        <f>SUMIFS(Results!$D$112:$AK$112,Results!$D$98:$AK$98,$B103)</f>
        <v>3495.8602507286687</v>
      </c>
      <c r="J103" s="667">
        <f>SUMIFS(Results!$D$113:$AK$113,Results!$D$98:$AK$98,$B103)</f>
        <v>506.49918609720299</v>
      </c>
    </row>
    <row r="104" spans="2:10">
      <c r="B104" s="660">
        <f t="shared" ref="B104:C104" si="48">B103+1</f>
        <v>2030</v>
      </c>
      <c r="C104" s="661">
        <f t="shared" si="48"/>
        <v>10</v>
      </c>
      <c r="D104" s="666">
        <f>SUMIFS(Results!$D$99:$AK$99,Results!$D$98:$AK$98,$B104)</f>
        <v>3.8462365531379801E-3</v>
      </c>
      <c r="E104" s="666">
        <f>SUMIFS(Results!$D$100:$AK$100,Results!$D$98:$AK$98,$B104)</f>
        <v>6.715488205951789E-2</v>
      </c>
      <c r="F104" s="666">
        <f>SUMIFS(Results!$D$101:$AK$101,Results!$D$98:$AK$98,$B104)</f>
        <v>0.33142178774586295</v>
      </c>
      <c r="G104" s="667">
        <f>SUMIFS(Results!$D$103:$AK$103,Results!$D$98:$AK$98,$B104)</f>
        <v>24563.144911948726</v>
      </c>
      <c r="H104" s="667">
        <f>SUMIFS(Results!$D$111:$AK$111,Results!$D$98:$AK$98,$B104)</f>
        <v>13643.902806427701</v>
      </c>
      <c r="I104" s="667">
        <f>SUMIFS(Results!$D$112:$AK$112,Results!$D$98:$AK$98,$B104)</f>
        <v>3637.1396934885533</v>
      </c>
      <c r="J104" s="667">
        <f>SUMIFS(Results!$D$113:$AK$113,Results!$D$98:$AK$98,$B104)</f>
        <v>526.96851771743411</v>
      </c>
    </row>
    <row r="105" spans="2:10">
      <c r="B105" s="660">
        <f t="shared" ref="B105:C105" si="49">B104+1</f>
        <v>2031</v>
      </c>
      <c r="C105" s="661">
        <f t="shared" si="49"/>
        <v>11</v>
      </c>
      <c r="D105" s="666">
        <f>SUMIFS(Results!$D$99:$AK$99,Results!$D$98:$AK$98,$B105)</f>
        <v>3.9002470102274403E-3</v>
      </c>
      <c r="E105" s="666">
        <f>SUMIFS(Results!$D$100:$AK$100,Results!$D$98:$AK$98,$B105)</f>
        <v>6.807633457961218E-2</v>
      </c>
      <c r="F105" s="666">
        <f>SUMIFS(Results!$D$101:$AK$101,Results!$D$98:$AK$98,$B105)</f>
        <v>0.33596520348211861</v>
      </c>
      <c r="G105" s="667">
        <f>SUMIFS(Results!$D$103:$AK$103,Results!$D$98:$AK$98,$B105)</f>
        <v>25555.824017146671</v>
      </c>
      <c r="H105" s="667">
        <f>SUMIFS(Results!$D$111:$AK$111,Results!$D$98:$AK$98,$B105)</f>
        <v>14195.298699658942</v>
      </c>
      <c r="I105" s="667">
        <f>SUMIFS(Results!$D$112:$AK$112,Results!$D$98:$AK$98,$B105)</f>
        <v>3784.1287125801523</v>
      </c>
      <c r="J105" s="667">
        <f>SUMIFS(Results!$D$113:$AK$113,Results!$D$98:$AK$98,$B105)</f>
        <v>548.26508371134139</v>
      </c>
    </row>
    <row r="106" spans="2:10">
      <c r="B106" s="660">
        <f t="shared" ref="B106:C106" si="50">B105+1</f>
        <v>2032</v>
      </c>
      <c r="C106" s="661">
        <f t="shared" si="50"/>
        <v>12</v>
      </c>
      <c r="D106" s="666">
        <f>SUMIFS(Results!$D$99:$AK$99,Results!$D$98:$AK$98,$B106)</f>
        <v>3.955177026851284E-3</v>
      </c>
      <c r="E106" s="666">
        <f>SUMIFS(Results!$D$100:$AK$100,Results!$D$98:$AK$98,$B106)</f>
        <v>6.901051614048398E-2</v>
      </c>
      <c r="F106" s="666">
        <f>SUMIFS(Results!$D$101:$AK$101,Results!$D$98:$AK$98,$B106)</f>
        <v>0.34057148878970417</v>
      </c>
      <c r="G106" s="667">
        <f>SUMIFS(Results!$D$103:$AK$103,Results!$D$98:$AK$98,$B106)</f>
        <v>26588.620615826341</v>
      </c>
      <c r="H106" s="667">
        <f>SUMIFS(Results!$D$111:$AK$111,Results!$D$98:$AK$98,$B106)</f>
        <v>14768.978351092346</v>
      </c>
      <c r="I106" s="667">
        <f>SUMIFS(Results!$D$112:$AK$112,Results!$D$98:$AK$98,$B106)</f>
        <v>3937.0580511409726</v>
      </c>
      <c r="J106" s="667">
        <f>SUMIFS(Results!$D$113:$AK$113,Results!$D$98:$AK$98,$B106)</f>
        <v>570.42231539567206</v>
      </c>
    </row>
    <row r="107" spans="2:10">
      <c r="B107" s="660">
        <f t="shared" ref="B107:C107" si="51">B106+1</f>
        <v>2033</v>
      </c>
      <c r="C107" s="661">
        <f t="shared" si="51"/>
        <v>13</v>
      </c>
      <c r="D107" s="666">
        <f>SUMIFS(Results!$D$99:$AK$99,Results!$D$98:$AK$98,$B107)</f>
        <v>4.0110191283556709E-3</v>
      </c>
      <c r="E107" s="666">
        <f>SUMIFS(Results!$D$100:$AK$100,Results!$D$98:$AK$98,$B107)</f>
        <v>6.9957608665347615E-2</v>
      </c>
      <c r="F107" s="666">
        <f>SUMIFS(Results!$D$101:$AK$101,Results!$D$98:$AK$98,$B107)</f>
        <v>0.34524151943300596</v>
      </c>
      <c r="G107" s="667">
        <f>SUMIFS(Results!$D$103:$AK$103,Results!$D$98:$AK$98,$B107)</f>
        <v>27663.155990509862</v>
      </c>
      <c r="H107" s="667">
        <f>SUMIFS(Results!$D$111:$AK$111,Results!$D$98:$AK$98,$B107)</f>
        <v>15365.842322167908</v>
      </c>
      <c r="I107" s="667">
        <f>SUMIFS(Results!$D$112:$AK$112,Results!$D$98:$AK$98,$B107)</f>
        <v>4096.1677774129466</v>
      </c>
      <c r="J107" s="667">
        <f>SUMIFS(Results!$D$113:$AK$113,Results!$D$98:$AK$98,$B107)</f>
        <v>593.47499515885943</v>
      </c>
    </row>
    <row r="108" spans="2:10">
      <c r="B108" s="660">
        <f t="shared" ref="B108:C108" si="52">B107+1</f>
        <v>2034</v>
      </c>
      <c r="C108" s="661">
        <f t="shared" si="52"/>
        <v>14</v>
      </c>
      <c r="D108" s="666">
        <f>SUMIFS(Results!$D$99:$AK$99,Results!$D$98:$AK$98,$B108)</f>
        <v>4.0677705719491947E-3</v>
      </c>
      <c r="E108" s="666">
        <f>SUMIFS(Results!$D$100:$AK$100,Results!$D$98:$AK$98,$B108)</f>
        <v>7.0917795580287449E-2</v>
      </c>
      <c r="F108" s="666">
        <f>SUMIFS(Results!$D$101:$AK$101,Results!$D$98:$AK$98,$B108)</f>
        <v>0.349976183440036</v>
      </c>
      <c r="G108" s="667">
        <f>SUMIFS(Results!$D$103:$AK$103,Results!$D$98:$AK$98,$B108)</f>
        <v>28781.116945186011</v>
      </c>
      <c r="H108" s="667">
        <f>SUMIFS(Results!$D$111:$AK$111,Results!$D$98:$AK$98,$B108)</f>
        <v>15986.827569035155</v>
      </c>
      <c r="I108" s="667">
        <f>SUMIFS(Results!$D$112:$AK$112,Results!$D$98:$AK$98,$B108)</f>
        <v>4261.7076616011873</v>
      </c>
      <c r="J108" s="667">
        <f>SUMIFS(Results!$D$113:$AK$113,Results!$D$98:$AK$98,$B108)</f>
        <v>617.45931106236071</v>
      </c>
    </row>
    <row r="109" spans="2:10">
      <c r="B109" s="660">
        <f t="shared" ref="B109:C109" si="53">B108+1</f>
        <v>2035</v>
      </c>
      <c r="C109" s="661">
        <f t="shared" si="53"/>
        <v>15</v>
      </c>
      <c r="D109" s="666">
        <f>SUMIFS(Results!$D$99:$AK$99,Results!$D$98:$AK$98,$B109)</f>
        <v>4.1254320510148365E-3</v>
      </c>
      <c r="E109" s="666">
        <f>SUMIFS(Results!$D$100:$AK$100,Results!$D$98:$AK$98,$B109)</f>
        <v>7.1891262130431385E-2</v>
      </c>
      <c r="F109" s="666">
        <f>SUMIFS(Results!$D$101:$AK$101,Results!$D$98:$AK$98,$B109)</f>
        <v>0.35477638127470068</v>
      </c>
      <c r="G109" s="667">
        <f>SUMIFS(Results!$D$103:$AK$103,Results!$D$98:$AK$98,$B109)</f>
        <v>29944.258453252703</v>
      </c>
      <c r="H109" s="667">
        <f>SUMIFS(Results!$D$111:$AK$111,Results!$D$98:$AK$98,$B109)</f>
        <v>16632.908913385472</v>
      </c>
      <c r="I109" s="667">
        <f>SUMIFS(Results!$D$112:$AK$112,Results!$D$98:$AK$98,$B109)</f>
        <v>4433.9375679628738</v>
      </c>
      <c r="J109" s="667">
        <f>SUMIFS(Results!$D$113:$AK$113,Results!$D$98:$AK$98,$B109)</f>
        <v>642.41291364862241</v>
      </c>
    </row>
    <row r="110" spans="2:10">
      <c r="B110" s="660">
        <f t="shared" ref="B110:C110" si="54">B109+1</f>
        <v>2036</v>
      </c>
      <c r="C110" s="661">
        <f t="shared" si="54"/>
        <v>16</v>
      </c>
      <c r="D110" s="666">
        <f>SUMIFS(Results!$D$99:$AK$99,Results!$D$98:$AK$98,$B110)</f>
        <v>4.1840068290202592E-3</v>
      </c>
      <c r="E110" s="666">
        <f>SUMIFS(Results!$D$100:$AK$100,Results!$D$98:$AK$98,$B110)</f>
        <v>7.2878195603581081E-2</v>
      </c>
      <c r="F110" s="666">
        <f>SUMIFS(Results!$D$101:$AK$101,Results!$D$98:$AK$98,$B110)</f>
        <v>0.35964302601149539</v>
      </c>
      <c r="G110" s="667">
        <f>SUMIFS(Results!$D$103:$AK$103,Results!$D$98:$AK$98,$B110)</f>
        <v>31154.406412471522</v>
      </c>
      <c r="H110" s="667">
        <f>SUMIFS(Results!$D$111:$AK$111,Results!$D$98:$AK$98,$B110)</f>
        <v>17305.100572725751</v>
      </c>
      <c r="I110" s="667">
        <f>SUMIFS(Results!$D$112:$AK$112,Results!$D$98:$AK$98,$B110)</f>
        <v>4613.1278627417751</v>
      </c>
      <c r="J110" s="667">
        <f>SUMIFS(Results!$D$113:$AK$113,Results!$D$98:$AK$98,$B110)</f>
        <v>668.37497504484497</v>
      </c>
    </row>
    <row r="111" spans="2:10">
      <c r="B111" s="660">
        <f t="shared" ref="B111:C111" si="55">B110+1</f>
        <v>2037</v>
      </c>
      <c r="C111" s="661">
        <f t="shared" si="55"/>
        <v>17</v>
      </c>
      <c r="D111" s="666">
        <f>SUMIFS(Results!$D$99:$AK$99,Results!$D$98:$AK$98,$B111)</f>
        <v>4.2435001436173523E-3</v>
      </c>
      <c r="E111" s="666">
        <f>SUMIFS(Results!$D$100:$AK$100,Results!$D$98:$AK$98,$B111)</f>
        <v>7.3878785495833627E-2</v>
      </c>
      <c r="F111" s="666">
        <f>SUMIFS(Results!$D$101:$AK$101,Results!$D$98:$AK$98,$B111)</f>
        <v>0.364577043512674</v>
      </c>
      <c r="G111" s="667">
        <f>SUMIFS(Results!$D$103:$AK$103,Results!$D$98:$AK$98,$B111)</f>
        <v>32413.460511259225</v>
      </c>
      <c r="H111" s="667">
        <f>SUMIFS(Results!$D$111:$AK$111,Results!$D$98:$AK$98,$B111)</f>
        <v>18004.457752495411</v>
      </c>
      <c r="I111" s="667">
        <f>SUMIFS(Results!$D$112:$AK$112,Results!$D$98:$AK$98,$B111)</f>
        <v>4799.5598385887533</v>
      </c>
      <c r="J111" s="667">
        <f>SUMIFS(Results!$D$113:$AK$113,Results!$D$98:$AK$98,$B111)</f>
        <v>695.38625045532604</v>
      </c>
    </row>
    <row r="112" spans="2:10">
      <c r="B112" s="660">
        <f t="shared" ref="B112:C112" si="56">B111+1</f>
        <v>2038</v>
      </c>
      <c r="C112" s="661">
        <f t="shared" si="56"/>
        <v>18</v>
      </c>
      <c r="D112" s="666">
        <f>SUMIFS(Results!$D$99:$AK$99,Results!$D$98:$AK$98,$B112)</f>
        <v>4.3039187863831247E-3</v>
      </c>
      <c r="E112" s="666">
        <f>SUMIFS(Results!$D$100:$AK$100,Results!$D$98:$AK$98,$B112)</f>
        <v>7.4893223639677153E-2</v>
      </c>
      <c r="F112" s="666">
        <f>SUMIFS(Results!$D$101:$AK$101,Results!$D$98:$AK$98,$B112)</f>
        <v>0.36957937260791118</v>
      </c>
      <c r="G112" s="667">
        <f>SUMIFS(Results!$D$103:$AK$103,Results!$D$98:$AK$98,$B112)</f>
        <v>33723.397210815718</v>
      </c>
      <c r="H112" s="667">
        <f>SUMIFS(Results!$D$111:$AK$111,Results!$D$98:$AK$98,$B112)</f>
        <v>18732.078302526326</v>
      </c>
      <c r="I112" s="667">
        <f>SUMIFS(Results!$D$112:$AK$112,Results!$D$98:$AK$98,$B112)</f>
        <v>4993.5261561345396</v>
      </c>
      <c r="J112" s="667">
        <f>SUMIFS(Results!$D$113:$AK$113,Results!$D$98:$AK$98,$B112)</f>
        <v>723.48914213892158</v>
      </c>
    </row>
    <row r="113" spans="2:10">
      <c r="B113" s="660">
        <f t="shared" ref="B113:C113" si="57">B112+1</f>
        <v>2039</v>
      </c>
      <c r="C113" s="661">
        <f t="shared" si="57"/>
        <v>19</v>
      </c>
      <c r="D113" s="666">
        <f>SUMIFS(Results!$D$99:$AK$99,Results!$D$98:$AK$98,$B113)</f>
        <v>4.3652708000503117E-3</v>
      </c>
      <c r="E113" s="666">
        <f>SUMIFS(Results!$D$100:$AK$100,Results!$D$98:$AK$98,$B113)</f>
        <v>7.5921704307165813E-2</v>
      </c>
      <c r="F113" s="666">
        <f>SUMIFS(Results!$D$101:$AK$101,Results!$D$98:$AK$98,$B113)</f>
        <v>0.37465096527651309</v>
      </c>
      <c r="G113" s="667">
        <f>SUMIFS(Results!$D$103:$AK$103,Results!$D$98:$AK$98,$B113)</f>
        <v>35086.272847769811</v>
      </c>
      <c r="H113" s="667">
        <f>SUMIFS(Results!$D$111:$AK$111,Results!$D$98:$AK$98,$B113)</f>
        <v>19489.104440445837</v>
      </c>
      <c r="I113" s="667">
        <f>SUMIFS(Results!$D$112:$AK$112,Results!$D$98:$AK$98,$B113)</f>
        <v>5195.331303407962</v>
      </c>
      <c r="J113" s="667">
        <f>SUMIFS(Results!$D$113:$AK$113,Results!$D$98:$AK$98,$B113)</f>
        <v>752.72776597204222</v>
      </c>
    </row>
    <row r="114" spans="2:10">
      <c r="B114" s="660">
        <f t="shared" ref="B114:C114" si="58">B113+1</f>
        <v>2040</v>
      </c>
      <c r="C114" s="661">
        <f t="shared" si="58"/>
        <v>20</v>
      </c>
      <c r="D114" s="666">
        <f>SUMIFS(Results!$D$99:$AK$99,Results!$D$98:$AK$98,$B114)</f>
        <v>4.4275652563166672E-3</v>
      </c>
      <c r="E114" s="666">
        <f>SUMIFS(Results!$D$100:$AK$100,Results!$D$98:$AK$98,$B114)</f>
        <v>7.6964424296172923E-2</v>
      </c>
      <c r="F114" s="666">
        <f>SUMIFS(Results!$D$101:$AK$101,Results!$D$98:$AK$98,$B114)</f>
        <v>0.37979278683219425</v>
      </c>
      <c r="G114" s="667">
        <f>SUMIFS(Results!$D$103:$AK$103,Results!$D$98:$AK$98,$B114)</f>
        <v>36504.226862213327</v>
      </c>
      <c r="H114" s="667">
        <f>SUMIFS(Results!$D$111:$AK$111,Results!$D$98:$AK$98,$B114)</f>
        <v>20276.724544728175</v>
      </c>
      <c r="I114" s="667">
        <f>SUMIFS(Results!$D$112:$AK$112,Results!$D$98:$AK$98,$B114)</f>
        <v>5405.2920738207586</v>
      </c>
      <c r="J114" s="667">
        <f>SUMIFS(Results!$D$113:$AK$113,Results!$D$98:$AK$98,$B114)</f>
        <v>783.14802070169219</v>
      </c>
    </row>
    <row r="115" spans="2:10">
      <c r="B115" s="660">
        <f t="shared" ref="B115:C115" si="59">B114+1</f>
        <v>2041</v>
      </c>
      <c r="C115" s="661">
        <f t="shared" si="59"/>
        <v>21</v>
      </c>
      <c r="D115" s="666">
        <f>SUMIFS(Results!$D$99:$AK$99,Results!$D$98:$AK$98,$B115)</f>
        <v>4.4908120901496432E-3</v>
      </c>
      <c r="E115" s="666">
        <f>SUMIFS(Results!$D$100:$AK$100,Results!$D$98:$AK$98,$B115)</f>
        <v>7.8021583004947478E-2</v>
      </c>
      <c r="F115" s="666">
        <f>SUMIFS(Results!$D$101:$AK$101,Results!$D$98:$AK$98,$B115)</f>
        <v>0.38500581611046675</v>
      </c>
      <c r="G115" s="667">
        <f>SUMIFS(Results!$D$103:$AK$103,Results!$D$98:$AK$98,$B115)</f>
        <v>37979.485156190851</v>
      </c>
      <c r="H115" s="667">
        <f>SUMIFS(Results!$D$111:$AK$111,Results!$D$98:$AK$98,$B115)</f>
        <v>21096.175020209204</v>
      </c>
      <c r="I115" s="667">
        <f>SUMIFS(Results!$D$112:$AK$112,Results!$D$98:$AK$98,$B115)</f>
        <v>5623.7380634694127</v>
      </c>
      <c r="J115" s="667">
        <f>SUMIFS(Results!$D$113:$AK$113,Results!$D$98:$AK$98,$B115)</f>
        <v>814.79765999724987</v>
      </c>
    </row>
    <row r="116" spans="2:10">
      <c r="B116" s="660">
        <f t="shared" ref="B116:C116" si="60">B115+1</f>
        <v>2042</v>
      </c>
      <c r="C116" s="661">
        <f t="shared" si="60"/>
        <v>22</v>
      </c>
      <c r="D116" s="666">
        <f>SUMIFS(Results!$D$99:$AK$99,Results!$D$98:$AK$98,$B116)</f>
        <v>4.5550219744850346E-3</v>
      </c>
      <c r="E116" s="666">
        <f>SUMIFS(Results!$D$100:$AK$100,Results!$D$98:$AK$98,$B116)</f>
        <v>7.9093382498468784E-2</v>
      </c>
      <c r="F116" s="666">
        <f>SUMIFS(Results!$D$101:$AK$101,Results!$D$98:$AK$98,$B116)</f>
        <v>0.39029104565867684</v>
      </c>
      <c r="G116" s="667">
        <f>SUMIFS(Results!$D$103:$AK$103,Results!$D$98:$AK$98,$B116)</f>
        <v>39514.363587917476</v>
      </c>
      <c r="H116" s="667">
        <f>SUMIFS(Results!$D$111:$AK$111,Results!$D$98:$AK$98,$B116)</f>
        <v>21948.742238992883</v>
      </c>
      <c r="I116" s="667">
        <f>SUMIFS(Results!$D$112:$AK$112,Results!$D$98:$AK$98,$B116)</f>
        <v>5851.0121885345943</v>
      </c>
      <c r="J116" s="667">
        <f>SUMIFS(Results!$D$113:$AK$113,Results!$D$98:$AK$98,$B116)</f>
        <v>847.7263674141077</v>
      </c>
    </row>
    <row r="117" spans="2:10">
      <c r="B117" s="660">
        <f t="shared" ref="B117:C117" si="61">B116+1</f>
        <v>2043</v>
      </c>
      <c r="C117" s="661">
        <f t="shared" si="61"/>
        <v>23</v>
      </c>
      <c r="D117" s="666">
        <f>SUMIFS(Results!$D$99:$AK$99,Results!$D$98:$AK$98,$B117)</f>
        <v>4.6202062243187441E-3</v>
      </c>
      <c r="E117" s="666">
        <f>SUMIFS(Results!$D$100:$AK$100,Results!$D$98:$AK$98,$B117)</f>
        <v>8.0180027568989176E-2</v>
      </c>
      <c r="F117" s="666">
        <f>SUMIFS(Results!$D$101:$AK$101,Results!$D$98:$AK$98,$B117)</f>
        <v>0.3956494819287254</v>
      </c>
      <c r="G117" s="667">
        <f>SUMIFS(Results!$D$103:$AK$103,Results!$D$98:$AK$98,$B117)</f>
        <v>41111.27160720939</v>
      </c>
      <c r="H117" s="667">
        <f>SUMIFS(Results!$D$111:$AK$111,Results!$D$98:$AK$98,$B117)</f>
        <v>22835.764559796149</v>
      </c>
      <c r="I117" s="667">
        <f>SUMIFS(Results!$D$112:$AK$112,Results!$D$98:$AK$98,$B117)</f>
        <v>6087.471223590459</v>
      </c>
      <c r="J117" s="667">
        <f>SUMIFS(Results!$D$113:$AK$113,Results!$D$98:$AK$98,$B117)</f>
        <v>881.98583438684</v>
      </c>
    </row>
    <row r="118" spans="2:10">
      <c r="B118" s="660">
        <f t="shared" ref="B118:C118" si="62">B117+1</f>
        <v>2044</v>
      </c>
      <c r="C118" s="661">
        <f t="shared" si="62"/>
        <v>24</v>
      </c>
      <c r="D118" s="666">
        <f>SUMIFS(Results!$D$99:$AK$99,Results!$D$98:$AK$98,$B118)</f>
        <v>4.6863767225283591E-3</v>
      </c>
      <c r="E118" s="666">
        <f>SUMIFS(Results!$D$100:$AK$100,Results!$D$98:$AK$98,$B118)</f>
        <v>8.1281725792433424E-2</v>
      </c>
      <c r="F118" s="666">
        <f>SUMIFS(Results!$D$101:$AK$101,Results!$D$98:$AK$98,$B118)</f>
        <v>0.40108214547251259</v>
      </c>
      <c r="G118" s="667">
        <f>SUMIFS(Results!$D$103:$AK$103,Results!$D$98:$AK$98,$B118)</f>
        <v>42772.716037834507</v>
      </c>
      <c r="H118" s="667">
        <f>SUMIFS(Results!$D$111:$AK$111,Results!$D$98:$AK$98,$B118)</f>
        <v>23758.634428902467</v>
      </c>
      <c r="I118" s="667">
        <f>SUMIFS(Results!$D$112:$AK$112,Results!$D$98:$AK$98,$B118)</f>
        <v>6333.4863616688308</v>
      </c>
      <c r="J118" s="667">
        <f>SUMIFS(Results!$D$113:$AK$113,Results!$D$98:$AK$98,$B118)</f>
        <v>917.62984137433705</v>
      </c>
    </row>
    <row r="119" spans="2:10">
      <c r="B119" s="660">
        <f t="shared" ref="B119:C119" si="63">B118+1</f>
        <v>2045</v>
      </c>
      <c r="C119" s="661">
        <f t="shared" si="63"/>
        <v>25</v>
      </c>
      <c r="D119" s="666">
        <f>SUMIFS(Results!$D$99:$AK$99,Results!$D$98:$AK$98,$B119)</f>
        <v>4.7535458619916929E-3</v>
      </c>
      <c r="E119" s="666">
        <f>SUMIFS(Results!$D$100:$AK$100,Results!$D$98:$AK$98,$B119)</f>
        <v>8.2398687581837937E-2</v>
      </c>
      <c r="F119" s="666">
        <f>SUMIFS(Results!$D$101:$AK$101,Results!$D$98:$AK$98,$B119)</f>
        <v>0.4065900711401404</v>
      </c>
      <c r="G119" s="667">
        <f>SUMIFS(Results!$D$103:$AK$103,Results!$D$98:$AK$98,$B119)</f>
        <v>44501.305012720572</v>
      </c>
      <c r="H119" s="667">
        <f>SUMIFS(Results!$D$111:$AK$111,Results!$D$98:$AK$98,$B119)</f>
        <v>24718.800566021793</v>
      </c>
      <c r="I119" s="667">
        <f>SUMIFS(Results!$D$112:$AK$112,Results!$D$98:$AK$98,$B119)</f>
        <v>6589.4437969574365</v>
      </c>
      <c r="J119" s="667">
        <f>SUMIFS(Results!$D$113:$AK$113,Results!$D$98:$AK$98,$B119)</f>
        <v>954.71434228428723</v>
      </c>
    </row>
    <row r="120" spans="2:10">
      <c r="B120" s="660">
        <f t="shared" ref="B120:C120" si="64">B119+1</f>
        <v>2046</v>
      </c>
      <c r="C120" s="661">
        <f t="shared" si="64"/>
        <v>26</v>
      </c>
      <c r="D120" s="666">
        <f>SUMIFS(Results!$D$99:$AK$99,Results!$D$98:$AK$98,$B120)</f>
        <v>4.8217265000894041E-3</v>
      </c>
      <c r="E120" s="666">
        <f>SUMIFS(Results!$D$100:$AK$100,Results!$D$98:$AK$98,$B120)</f>
        <v>8.3531126238686276E-2</v>
      </c>
      <c r="F120" s="666">
        <f>SUMIFS(Results!$D$101:$AK$101,Results!$D$98:$AK$98,$B120)</f>
        <v>0.41217430828091617</v>
      </c>
      <c r="G120" s="667">
        <f>SUMIFS(Results!$D$103:$AK$103,Results!$D$98:$AK$98,$B120)</f>
        <v>46299.752068198315</v>
      </c>
      <c r="H120" s="667">
        <f>SUMIFS(Results!$D$111:$AK$111,Results!$D$98:$AK$98,$B120)</f>
        <v>25717.770238488622</v>
      </c>
      <c r="I120" s="667">
        <f>SUMIFS(Results!$D$112:$AK$112,Results!$D$98:$AK$98,$B120)</f>
        <v>6855.7453310469846</v>
      </c>
      <c r="J120" s="667">
        <f>SUMIFS(Results!$D$113:$AK$113,Results!$D$98:$AK$98,$B120)</f>
        <v>993.2975523095381</v>
      </c>
    </row>
    <row r="121" spans="2:10">
      <c r="B121" s="660">
        <f t="shared" ref="B121:C121" si="65">B120+1</f>
        <v>2047</v>
      </c>
      <c r="C121" s="661">
        <f t="shared" si="65"/>
        <v>27</v>
      </c>
      <c r="D121" s="666">
        <f>SUMIFS(Results!$D$99:$AK$99,Results!$D$98:$AK$98,$B121)</f>
        <v>4.890931922732389E-3</v>
      </c>
      <c r="E121" s="666">
        <f>SUMIFS(Results!$D$100:$AK$100,Results!$D$98:$AK$98,$B121)</f>
        <v>8.4679258002768903E-2</v>
      </c>
      <c r="F121" s="666">
        <f>SUMIFS(Results!$D$101:$AK$101,Results!$D$98:$AK$98,$B121)</f>
        <v>0.41783592094719768</v>
      </c>
      <c r="G121" s="667">
        <f>SUMIFS(Results!$D$103:$AK$103,Results!$D$98:$AK$98,$B121)</f>
        <v>48170.880403706746</v>
      </c>
      <c r="H121" s="667">
        <f>SUMIFS(Results!$D$111:$AK$111,Results!$D$98:$AK$98,$B121)</f>
        <v>26757.111627367965</v>
      </c>
      <c r="I121" s="667">
        <f>SUMIFS(Results!$D$112:$AK$112,Results!$D$98:$AK$98,$B121)</f>
        <v>7132.809003678668</v>
      </c>
      <c r="J121" s="667">
        <f>SUMIFS(Results!$D$113:$AK$113,Results!$D$98:$AK$98,$B121)</f>
        <v>1033.440039314218</v>
      </c>
    </row>
    <row r="122" spans="2:10">
      <c r="B122" s="660">
        <f t="shared" ref="B122:C122" si="66">B121+1</f>
        <v>2048</v>
      </c>
      <c r="C122" s="661">
        <f t="shared" si="66"/>
        <v>28</v>
      </c>
      <c r="D122" s="666">
        <f>SUMIFS(Results!$D$99:$AK$99,Results!$D$98:$AK$98,$B122)</f>
        <v>4.9611758157968068E-3</v>
      </c>
      <c r="E122" s="666">
        <f>SUMIFS(Results!$D$100:$AK$100,Results!$D$98:$AK$98,$B122)</f>
        <v>8.5843302101033109E-2</v>
      </c>
      <c r="F122" s="666">
        <f>SUMIFS(Results!$D$101:$AK$101,Results!$D$98:$AK$98,$B122)</f>
        <v>0.42357598810111652</v>
      </c>
      <c r="G122" s="667">
        <f>SUMIFS(Results!$D$103:$AK$103,Results!$D$98:$AK$98,$B122)</f>
        <v>50117.627313646924</v>
      </c>
      <c r="H122" s="667">
        <f>SUMIFS(Results!$D$111:$AK$111,Results!$D$98:$AK$98,$B122)</f>
        <v>27838.456289183505</v>
      </c>
      <c r="I122" s="667">
        <f>SUMIFS(Results!$D$112:$AK$112,Results!$D$98:$AK$98,$B122)</f>
        <v>7421.0697489823051</v>
      </c>
      <c r="J122" s="667">
        <f>SUMIFS(Results!$D$113:$AK$113,Results!$D$98:$AK$98,$B122)</f>
        <v>1075.2048189130687</v>
      </c>
    </row>
    <row r="123" spans="2:10">
      <c r="B123" s="660">
        <f t="shared" ref="B123:C123" si="67">B122+1</f>
        <v>2049</v>
      </c>
      <c r="C123" s="661">
        <f t="shared" si="67"/>
        <v>29</v>
      </c>
      <c r="D123" s="666">
        <f>SUMIFS(Results!$D$99:$AK$99,Results!$D$98:$AK$98,$B123)</f>
        <v>5.0324722423800358E-3</v>
      </c>
      <c r="E123" s="666">
        <f>SUMIFS(Results!$D$100:$AK$100,Results!$D$98:$AK$98,$B123)</f>
        <v>8.7023480795775279E-2</v>
      </c>
      <c r="F123" s="666">
        <f>SUMIFS(Results!$D$101:$AK$101,Results!$D$98:$AK$98,$B123)</f>
        <v>0.42939560382422143</v>
      </c>
      <c r="G123" s="667">
        <f>SUMIFS(Results!$D$103:$AK$103,Results!$D$98:$AK$98,$B123)</f>
        <v>52143.048798342599</v>
      </c>
      <c r="H123" s="667">
        <f>SUMIFS(Results!$D$111:$AK$111,Results!$D$98:$AK$98,$B123)</f>
        <v>28963.501717132593</v>
      </c>
      <c r="I123" s="667">
        <f>SUMIFS(Results!$D$112:$AK$112,Results!$D$98:$AK$98,$B123)</f>
        <v>7720.9800782352895</v>
      </c>
      <c r="J123" s="667">
        <f>SUMIFS(Results!$D$113:$AK$113,Results!$D$98:$AK$98,$B123)</f>
        <v>1118.6574533932703</v>
      </c>
    </row>
    <row r="124" spans="2:10">
      <c r="B124" s="660">
        <f t="shared" ref="B124:C124" si="68">B123+1</f>
        <v>2050</v>
      </c>
      <c r="C124" s="661">
        <f t="shared" si="68"/>
        <v>30</v>
      </c>
      <c r="D124" s="666">
        <f>SUMIFS(Results!$D$99:$AK$99,Results!$D$98:$AK$98,$B124)</f>
        <v>5.104835624675166E-3</v>
      </c>
      <c r="E124" s="666">
        <f>SUMIFS(Results!$D$100:$AK$100,Results!$D$98:$AK$98,$B124)</f>
        <v>8.8220019432445007E-2</v>
      </c>
      <c r="F124" s="666">
        <f>SUMIFS(Results!$D$101:$AK$101,Results!$D$98:$AK$98,$B124)</f>
        <v>0.43529587753008381</v>
      </c>
      <c r="G124" s="667">
        <f>SUMIFS(Results!$D$103:$AK$103,Results!$D$98:$AK$98,$B124)</f>
        <v>54250.324361344879</v>
      </c>
      <c r="H124" s="667">
        <f>SUMIFS(Results!$D$111:$AK$111,Results!$D$98:$AK$98,$B124)</f>
        <v>30134.014005808476</v>
      </c>
      <c r="I124" s="667">
        <f>SUMIFS(Results!$D$112:$AK$112,Results!$D$98:$AK$98,$B124)</f>
        <v>8033.0107902140899</v>
      </c>
      <c r="J124" s="667">
        <f>SUMIFS(Results!$D$113:$AK$113,Results!$D$98:$AK$98,$B124)</f>
        <v>1163.8661546340177</v>
      </c>
    </row>
    <row r="125" spans="2:10">
      <c r="B125" s="660">
        <f t="shared" ref="B125:C125" si="69">B124+1</f>
        <v>2051</v>
      </c>
      <c r="C125" s="661">
        <f t="shared" si="69"/>
        <v>31</v>
      </c>
      <c r="D125" s="666">
        <f>SUMIFS(Results!$D$99:$AK$99,Results!$D$98:$AK$98,$B125)</f>
        <v>5.1782807295433428E-3</v>
      </c>
      <c r="E125" s="666">
        <f>SUMIFS(Results!$D$100:$AK$100,Results!$D$98:$AK$98,$B125)</f>
        <v>8.9433146487268855E-2</v>
      </c>
      <c r="F125" s="666">
        <f>SUMIFS(Results!$D$101:$AK$101,Results!$D$98:$AK$98,$B125)</f>
        <v>0.44127793417990774</v>
      </c>
      <c r="G125" s="667">
        <f>SUMIFS(Results!$D$103:$AK$103,Results!$D$98:$AK$98,$B125)</f>
        <v>56442.762000611539</v>
      </c>
      <c r="H125" s="667">
        <f>SUMIFS(Results!$D$111:$AK$111,Results!$D$98:$AK$98,$B125)</f>
        <v>31351.830623612859</v>
      </c>
      <c r="I125" s="667">
        <f>SUMIFS(Results!$D$112:$AK$112,Results!$D$98:$AK$98,$B125)</f>
        <v>8357.6517102534472</v>
      </c>
      <c r="J125" s="667">
        <f>SUMIFS(Results!$D$113:$AK$113,Results!$D$98:$AK$98,$B125)</f>
        <v>1210.9018911854173</v>
      </c>
    </row>
    <row r="126" spans="2:10">
      <c r="B126" s="660">
        <f t="shared" ref="B126:C126" si="70">B125+1</f>
        <v>2052</v>
      </c>
      <c r="C126" s="661">
        <f t="shared" si="70"/>
        <v>32</v>
      </c>
      <c r="D126" s="666">
        <f>SUMIFS(Results!$D$99:$AK$99,Results!$D$98:$AK$98,$B126)</f>
        <v>5.2528226570721899E-3</v>
      </c>
      <c r="E126" s="666">
        <f>SUMIFS(Results!$D$100:$AK$100,Results!$D$98:$AK$98,$B126)</f>
        <v>9.0663093614857013E-2</v>
      </c>
      <c r="F126" s="666">
        <f>SUMIFS(Results!$D$101:$AK$101,Results!$D$98:$AK$98,$B126)</f>
        <v>0.44734291450118835</v>
      </c>
      <c r="G126" s="667">
        <f>SUMIFS(Results!$D$103:$AK$103,Results!$D$98:$AK$98,$B126)</f>
        <v>58723.803401397796</v>
      </c>
      <c r="H126" s="667">
        <f>SUMIFS(Results!$D$111:$AK$111,Results!$D$98:$AK$98,$B126)</f>
        <v>32618.863297211028</v>
      </c>
      <c r="I126" s="667">
        <f>SUMIFS(Results!$D$112:$AK$112,Results!$D$98:$AK$98,$B126)</f>
        <v>8695.412459173458</v>
      </c>
      <c r="J126" s="667">
        <f>SUMIFS(Results!$D$113:$AK$113,Results!$D$98:$AK$98,$B126)</f>
        <v>1259.8384996748166</v>
      </c>
    </row>
    <row r="127" spans="2:10">
      <c r="B127" s="660">
        <f t="shared" ref="B127:C128" si="71">B126+1</f>
        <v>2053</v>
      </c>
      <c r="C127" s="661">
        <f t="shared" si="71"/>
        <v>33</v>
      </c>
      <c r="D127" s="666">
        <f>SUMIFS(Results!$D$99:$AK$99,Results!$D$98:$AK$98,$B127)</f>
        <v>5.328476831565284E-3</v>
      </c>
      <c r="E127" s="666">
        <f>SUMIFS(Results!$D$100:$AK$100,Results!$D$98:$AK$98,$B127)</f>
        <v>9.1910095695920679E-2</v>
      </c>
      <c r="F127" s="666">
        <f>SUMIFS(Results!$D$101:$AK$101,Results!$D$98:$AK$98,$B127)</f>
        <v>0.45349197520945372</v>
      </c>
      <c r="G127" s="667">
        <f>SUMIFS(Results!$D$103:$AK$103,Results!$D$98:$AK$98,$B127)</f>
        <v>61097.029339008215</v>
      </c>
      <c r="H127" s="667">
        <f>SUMIFS(Results!$D$111:$AK$111,Results!$D$98:$AK$98,$B127)</f>
        <v>33937.101012557418</v>
      </c>
      <c r="I127" s="667">
        <f>SUMIFS(Results!$D$112:$AK$112,Results!$D$98:$AK$98,$B127)</f>
        <v>9046.8232532815218</v>
      </c>
      <c r="J127" s="667">
        <f>SUMIFS(Results!$D$113:$AK$113,Results!$D$98:$AK$98,$B127)</f>
        <v>1310.7528007154283</v>
      </c>
    </row>
    <row r="128" spans="2:10">
      <c r="B128" s="660">
        <f t="shared" si="71"/>
        <v>2054</v>
      </c>
      <c r="C128" s="661">
        <f t="shared" si="71"/>
        <v>34</v>
      </c>
      <c r="D128" s="666">
        <f>SUMIFS(Results!$D$99:$AK$99,Results!$D$98:$AK$98,$B128)</f>
        <v>5.405258994526322E-3</v>
      </c>
      <c r="E128" s="666">
        <f>SUMIFS(Results!$D$100:$AK$100,Results!$D$98:$AK$98,$B128)</f>
        <v>9.317439088520578E-2</v>
      </c>
      <c r="F128" s="666">
        <f>SUMIFS(Results!$D$101:$AK$101,Results!$D$98:$AK$98,$B128)</f>
        <v>0.45972628923314462</v>
      </c>
      <c r="G128" s="667">
        <f>SUMIFS(Results!$D$103:$AK$103,Results!$D$98:$AK$98,$B128)</f>
        <v>63566.165299892273</v>
      </c>
      <c r="H128" s="667">
        <f>SUMIFS(Results!$D$111:$AK$111,Results!$D$98:$AK$98,$B128)</f>
        <v>35308.61313720273</v>
      </c>
      <c r="I128" s="667">
        <f>SUMIFS(Results!$D$112:$AK$112,Results!$D$98:$AK$98,$B128)</f>
        <v>9412.4357367051252</v>
      </c>
      <c r="J128" s="667">
        <f>SUMIFS(Results!$D$113:$AK$113,Results!$D$98:$AK$98,$B128)</f>
        <v>1363.7247194992053</v>
      </c>
    </row>
    <row r="129" spans="1:10">
      <c r="B129" s="663" t="s">
        <v>5</v>
      </c>
      <c r="C129" s="663"/>
      <c r="D129" s="668">
        <f>SUM(D95:D128)</f>
        <v>0.13296704587055219</v>
      </c>
      <c r="E129" s="668">
        <f t="shared" ref="E129:J129" si="72">SUM(E95:E128)</f>
        <v>2.3093835026299749</v>
      </c>
      <c r="F129" s="668">
        <f t="shared" si="72"/>
        <v>11.396029474526829</v>
      </c>
      <c r="G129" s="669">
        <f t="shared" si="72"/>
        <v>1137892.312572004</v>
      </c>
      <c r="H129" s="669">
        <f t="shared" si="72"/>
        <v>632056.36625794636</v>
      </c>
      <c r="I129" s="669">
        <f t="shared" si="72"/>
        <v>168491.18106850664</v>
      </c>
      <c r="J129" s="669">
        <f t="shared" si="72"/>
        <v>24411.915796109672</v>
      </c>
    </row>
    <row r="132" spans="1:10">
      <c r="A132" s="656" t="s">
        <v>1305</v>
      </c>
      <c r="C132" s="651"/>
    </row>
    <row r="133" spans="1:10">
      <c r="B133" s="658" t="s">
        <v>839</v>
      </c>
      <c r="C133" s="659" t="s">
        <v>1328</v>
      </c>
      <c r="D133" s="659" t="s">
        <v>1304</v>
      </c>
    </row>
    <row r="134" spans="1:10">
      <c r="B134" s="661">
        <v>2021</v>
      </c>
      <c r="C134" s="670">
        <f>SUMIF('Capital Cost'!$E$2:$H$2,'CRISI Tables'!B134,'Capital Cost'!$E$39:$H$39)</f>
        <v>455979.38428545889</v>
      </c>
      <c r="D134" s="670">
        <f>SUMIF('Capital Cost'!$E$2:$H$2,'CRISI Tables'!B134,'Capital Cost'!$E$5:$H$5)</f>
        <v>442825.37544530147</v>
      </c>
    </row>
    <row r="135" spans="1:10">
      <c r="B135" s="661">
        <f>B134+1</f>
        <v>2022</v>
      </c>
      <c r="C135" s="670">
        <f>SUMIF('Capital Cost'!$E$2:$H$2,'CRISI Tables'!B135,'Capital Cost'!$E$39:$H$39)</f>
        <v>2057605.2293474497</v>
      </c>
      <c r="D135" s="670">
        <f>SUMIF('Capital Cost'!$E$2:$H$2,'CRISI Tables'!B135,'Capital Cost'!$E$5:$H$5)</f>
        <v>1962150.2161634064</v>
      </c>
    </row>
    <row r="136" spans="1:10">
      <c r="B136" s="661">
        <f t="shared" ref="B136:B137" si="73">B135+1</f>
        <v>2023</v>
      </c>
      <c r="C136" s="670">
        <f>SUMIF('Capital Cost'!$E$2:$H$2,'CRISI Tables'!B136,'Capital Cost'!$E$39:$H$39)</f>
        <v>2432682.8912373763</v>
      </c>
      <c r="D136" s="670">
        <f>SUMIF('Capital Cost'!$E$2:$H$2,'CRISI Tables'!B136,'Capital Cost'!$E$5:$H$5)</f>
        <v>2275820.4866522225</v>
      </c>
    </row>
    <row r="137" spans="1:10">
      <c r="B137" s="661">
        <f t="shared" si="73"/>
        <v>2024</v>
      </c>
      <c r="C137" s="670">
        <f>SUMIF('Capital Cost'!$E$2:$H$2,'CRISI Tables'!B137,'Capital Cost'!$E$39:$H$39)</f>
        <v>11037388.495129716</v>
      </c>
      <c r="D137" s="670">
        <f>SUMIF('Capital Cost'!$E$2:$H$2,'CRISI Tables'!B137,'Capital Cost'!$E$5:$H$5)</f>
        <v>10122707.686724186</v>
      </c>
    </row>
    <row r="138" spans="1:10">
      <c r="B138" s="658" t="s">
        <v>5</v>
      </c>
      <c r="C138" s="664">
        <f>SUM(C134:C137)</f>
        <v>15983656</v>
      </c>
      <c r="D138" s="664">
        <f>SUM(D134:D137)</f>
        <v>14803503.764985116</v>
      </c>
    </row>
    <row r="140" spans="1:10">
      <c r="C140" s="665" t="b">
        <f>Results!C50*10^6=D138</f>
        <v>1</v>
      </c>
    </row>
    <row r="142" spans="1:10">
      <c r="A142" s="656" t="s">
        <v>1306</v>
      </c>
    </row>
    <row r="143" spans="1:10" ht="23">
      <c r="B143" s="658" t="s">
        <v>839</v>
      </c>
      <c r="C143" s="659" t="s">
        <v>1304</v>
      </c>
      <c r="D143" s="659" t="s">
        <v>854</v>
      </c>
    </row>
    <row r="144" spans="1:10" ht="23">
      <c r="B144" s="671" t="str">
        <f>'Capital Cost'!B7</f>
        <v>Engineering and Environmental Permitting</v>
      </c>
      <c r="C144" s="701">
        <f>'Capital Cost'!C7</f>
        <v>1244252.6001200238</v>
      </c>
      <c r="D144" s="672">
        <f t="shared" ref="D144:D151" si="74">C144/$C$152</f>
        <v>8.4051223269390296E-2</v>
      </c>
    </row>
    <row r="145" spans="1:5">
      <c r="B145" s="1213" t="str">
        <f>'Capital Cost'!B8</f>
        <v>Right of Way</v>
      </c>
      <c r="C145" s="701">
        <f>'Capital Cost'!C8</f>
        <v>1820135.1151523446</v>
      </c>
      <c r="D145" s="672">
        <f t="shared" si="74"/>
        <v>0.12295299437539438</v>
      </c>
    </row>
    <row r="146" spans="1:5">
      <c r="B146" s="1213" t="str">
        <f>'Capital Cost'!B9</f>
        <v>Utilities</v>
      </c>
      <c r="C146" s="701">
        <f>'Capital Cost'!C9</f>
        <v>465460.64503361797</v>
      </c>
      <c r="D146" s="672">
        <f t="shared" si="74"/>
        <v>3.1442599834680826E-2</v>
      </c>
    </row>
    <row r="147" spans="1:5">
      <c r="B147" s="1213" t="str">
        <f>'Capital Cost'!B10</f>
        <v>Construction</v>
      </c>
      <c r="C147" s="701">
        <f>'Capital Cost'!C10</f>
        <v>7200099.9856443722</v>
      </c>
      <c r="D147" s="672">
        <f t="shared" si="74"/>
        <v>0.48637809669592175</v>
      </c>
    </row>
    <row r="148" spans="1:5">
      <c r="B148" s="1213" t="str">
        <f>'Capital Cost'!B11</f>
        <v>C.E.</v>
      </c>
      <c r="C148" s="701">
        <f>'Capital Cost'!C11</f>
        <v>641990.21207177814</v>
      </c>
      <c r="D148" s="672">
        <f t="shared" si="74"/>
        <v>4.3367450183671004E-2</v>
      </c>
    </row>
    <row r="149" spans="1:5">
      <c r="B149" s="1213" t="str">
        <f>'Capital Cost'!B12</f>
        <v>Contingency</v>
      </c>
      <c r="C149" s="701">
        <f>'Capital Cost'!C12</f>
        <v>2959389.1436983282</v>
      </c>
      <c r="D149" s="672">
        <f t="shared" si="74"/>
        <v>0.1999113987256316</v>
      </c>
    </row>
    <row r="150" spans="1:5">
      <c r="B150" s="1213" t="str">
        <f>'Capital Cost'!B13</f>
        <v>UPRR Coordination</v>
      </c>
      <c r="C150" s="701">
        <f>'Capital Cost'!C13</f>
        <v>283305.63795879099</v>
      </c>
      <c r="D150" s="672">
        <f t="shared" si="74"/>
        <v>1.9137742149186114E-2</v>
      </c>
    </row>
    <row r="151" spans="1:5">
      <c r="B151" s="1213" t="str">
        <f>'Capital Cost'!B14</f>
        <v>Agency Coordination</v>
      </c>
      <c r="C151" s="701">
        <f>'Capital Cost'!C14</f>
        <v>188870.42530586064</v>
      </c>
      <c r="D151" s="672">
        <f t="shared" si="74"/>
        <v>1.2758494766124074E-2</v>
      </c>
    </row>
    <row r="152" spans="1:5">
      <c r="B152" s="658" t="s">
        <v>5</v>
      </c>
      <c r="C152" s="664">
        <f>SUM(C144:C151)</f>
        <v>14803503.764985116</v>
      </c>
      <c r="D152" s="664"/>
    </row>
    <row r="154" spans="1:5">
      <c r="C154" s="665" t="b">
        <f>C152=D138</f>
        <v>1</v>
      </c>
    </row>
    <row r="156" spans="1:5" ht="12" thickBot="1">
      <c r="A156" s="656" t="s">
        <v>855</v>
      </c>
    </row>
    <row r="157" spans="1:5">
      <c r="B157" s="674" t="s">
        <v>856</v>
      </c>
      <c r="C157" s="674" t="s">
        <v>857</v>
      </c>
      <c r="D157" s="675" t="s">
        <v>858</v>
      </c>
      <c r="E157" s="675" t="s">
        <v>859</v>
      </c>
    </row>
    <row r="158" spans="1:5" ht="57.5">
      <c r="B158" s="671" t="str">
        <f>F4</f>
        <v>Accident Cost Savings</v>
      </c>
      <c r="C158" s="671" t="str">
        <f>D4</f>
        <v>Improve safety and avoided accident costs Thru a net reduction in active crossings.</v>
      </c>
      <c r="D158" s="676" t="s">
        <v>614</v>
      </c>
      <c r="E158" s="677" t="s">
        <v>193</v>
      </c>
    </row>
    <row r="159" spans="1:5" ht="23">
      <c r="B159" s="671" t="str">
        <f>F5</f>
        <v xml:space="preserve">Travel Time Savings </v>
      </c>
      <c r="C159" s="671" t="str">
        <f>D5</f>
        <v>Reduce vehicle delay at crossings.</v>
      </c>
      <c r="D159" s="676" t="s">
        <v>614</v>
      </c>
      <c r="E159" s="677" t="s">
        <v>193</v>
      </c>
    </row>
    <row r="160" spans="1:5" ht="46">
      <c r="B160" s="671" t="str">
        <f>F6</f>
        <v>Emissions Cost Savings</v>
      </c>
      <c r="C160" s="671" t="str">
        <f>D6</f>
        <v>Reduce emissions from idling vehicles delayed at grade crossings.</v>
      </c>
      <c r="D160" s="676" t="s">
        <v>614</v>
      </c>
      <c r="E160" s="677" t="s">
        <v>193</v>
      </c>
    </row>
    <row r="161" spans="1:5" ht="69">
      <c r="B161" s="671" t="str">
        <f>F7</f>
        <v xml:space="preserve">Vehicle Operating Cost Savings </v>
      </c>
      <c r="C161" s="671" t="str">
        <f>D7</f>
        <v>Reduce out-of-pocket transportation costs from vehicle idling and delay along the grade crossings.</v>
      </c>
      <c r="D161" s="676" t="s">
        <v>614</v>
      </c>
      <c r="E161" s="677" t="s">
        <v>193</v>
      </c>
    </row>
    <row r="162" spans="1:5" ht="57.5">
      <c r="B162" s="671" t="str">
        <f>F8</f>
        <v>Land Value Increase</v>
      </c>
      <c r="C162" s="671" t="str">
        <f>D8</f>
        <v>Increase the land value of prosperities due to the removal of the Provo Industrial Lead.</v>
      </c>
      <c r="D162" s="676" t="s">
        <v>614</v>
      </c>
      <c r="E162" s="677" t="s">
        <v>193</v>
      </c>
    </row>
    <row r="163" spans="1:5" ht="46">
      <c r="B163" s="1213" t="str">
        <f t="shared" ref="B163:B165" si="75">F9</f>
        <v>O&amp;M Costs Savings</v>
      </c>
      <c r="C163" s="1213" t="str">
        <f t="shared" ref="C163:C165" si="76">D9</f>
        <v>Avoided future maintenance once crossings are closed.</v>
      </c>
      <c r="D163" s="676" t="s">
        <v>614</v>
      </c>
      <c r="E163" s="677" t="s">
        <v>193</v>
      </c>
    </row>
    <row r="164" spans="1:5" ht="34.5">
      <c r="B164" s="1213" t="str">
        <f t="shared" si="75"/>
        <v>Residual Value</v>
      </c>
      <c r="C164" s="1213" t="str">
        <f t="shared" si="76"/>
        <v>Residual value of infrastructure assets and land.</v>
      </c>
      <c r="D164" s="676" t="s">
        <v>614</v>
      </c>
      <c r="E164" s="677" t="s">
        <v>193</v>
      </c>
    </row>
    <row r="165" spans="1:5" ht="92">
      <c r="B165" s="1213" t="str">
        <f t="shared" si="75"/>
        <v>Quality of Life</v>
      </c>
      <c r="C165" s="1213" t="str">
        <f t="shared" si="76"/>
        <v>The removal of the Provo Industrial Lead will reduce the noise levels, improve air quality, and support the promotion of public transportation.</v>
      </c>
      <c r="D165" s="677" t="s">
        <v>193</v>
      </c>
      <c r="E165" s="677" t="s">
        <v>614</v>
      </c>
    </row>
    <row r="167" spans="1:5">
      <c r="A167" s="656" t="s">
        <v>860</v>
      </c>
    </row>
    <row r="168" spans="1:5">
      <c r="B168" s="663" t="s">
        <v>861</v>
      </c>
      <c r="C168" s="652" t="s">
        <v>449</v>
      </c>
      <c r="D168" s="663" t="s">
        <v>8</v>
      </c>
      <c r="E168" s="663" t="s">
        <v>1</v>
      </c>
    </row>
    <row r="169" spans="1:5">
      <c r="B169" s="1394" t="s">
        <v>913</v>
      </c>
      <c r="C169" s="1395"/>
      <c r="D169" s="1395"/>
      <c r="E169" s="1396"/>
    </row>
    <row r="170" spans="1:5" ht="46">
      <c r="B170" s="678" t="s">
        <v>1186</v>
      </c>
      <c r="C170" s="679" t="s">
        <v>486</v>
      </c>
      <c r="D170" s="679">
        <f>'Crossing Inputs'!$C$11</f>
        <v>2</v>
      </c>
      <c r="E170" s="680" t="str">
        <f>'Crossing Inputs'!D10</f>
        <v>Based on Federal Railroad Administration's Grade Crossing Inventory for the impacted crossings on the Tintic line.</v>
      </c>
    </row>
    <row r="171" spans="1:5" ht="23">
      <c r="B171" s="678" t="s">
        <v>1063</v>
      </c>
      <c r="C171" s="679" t="s">
        <v>15</v>
      </c>
      <c r="D171" s="681">
        <f>'Crossing Inputs'!C19</f>
        <v>1.0606441107301023E-2</v>
      </c>
      <c r="E171" s="733" t="str">
        <f>'Crossing Inputs'!D19</f>
        <v>Based on statewide freight rail forecast (see project narrative)</v>
      </c>
    </row>
    <row r="172" spans="1:5">
      <c r="B172" s="678" t="str">
        <f>'Crossing Inputs'!A20</f>
        <v>Average Thru Train Length</v>
      </c>
      <c r="C172" s="679" t="str">
        <f>'Crossing Inputs'!B20</f>
        <v>feet</v>
      </c>
      <c r="D172" s="667">
        <f>'Crossing Inputs'!C20</f>
        <v>3960</v>
      </c>
      <c r="E172" s="682" t="str">
        <f>'Crossing Inputs'!D20</f>
        <v>Observed train lengths exiting yards along the project corridor</v>
      </c>
    </row>
    <row r="173" spans="1:5">
      <c r="B173" s="678" t="str">
        <f>'Crossing Inputs'!A21</f>
        <v>Lead and Lag Time</v>
      </c>
      <c r="C173" s="679" t="str">
        <f>'Crossing Inputs'!B21</f>
        <v>minutes</v>
      </c>
      <c r="D173" s="683">
        <f>'Crossing Inputs'!C21</f>
        <v>0.5</v>
      </c>
      <c r="E173" s="682" t="str">
        <f>'Crossing Inputs'!D21</f>
        <v>Assumption.</v>
      </c>
    </row>
    <row r="174" spans="1:5">
      <c r="B174" s="1394" t="s">
        <v>1166</v>
      </c>
      <c r="C174" s="1395"/>
      <c r="D174" s="1395"/>
      <c r="E174" s="1396"/>
    </row>
    <row r="175" spans="1:5">
      <c r="B175" s="678" t="s">
        <v>1123</v>
      </c>
      <c r="C175" s="679"/>
      <c r="D175" s="683"/>
      <c r="E175" s="1384" t="s">
        <v>1050</v>
      </c>
    </row>
    <row r="176" spans="1:5">
      <c r="B176" s="1262" t="s">
        <v>1167</v>
      </c>
      <c r="C176" s="679" t="s">
        <v>1061</v>
      </c>
      <c r="D176" s="683">
        <f>'Crossing Inputs'!C11</f>
        <v>2</v>
      </c>
      <c r="E176" s="1400"/>
    </row>
    <row r="177" spans="2:5">
      <c r="B177" s="1262" t="s">
        <v>1168</v>
      </c>
      <c r="C177" s="679" t="s">
        <v>1066</v>
      </c>
      <c r="D177" s="683">
        <f>'Crossing Inputs'!C12</f>
        <v>1</v>
      </c>
      <c r="E177" s="1385"/>
    </row>
    <row r="178" spans="2:5">
      <c r="B178" s="682" t="s">
        <v>1180</v>
      </c>
      <c r="C178" s="679"/>
      <c r="D178" s="683"/>
      <c r="E178" s="1384" t="s">
        <v>1171</v>
      </c>
    </row>
    <row r="179" spans="2:5">
      <c r="B179" s="1262" t="s">
        <v>1167</v>
      </c>
      <c r="C179" s="679" t="s">
        <v>1061</v>
      </c>
      <c r="D179" s="683">
        <f>'Crossing Inputs'!C14</f>
        <v>6</v>
      </c>
      <c r="E179" s="1400"/>
    </row>
    <row r="180" spans="2:5">
      <c r="B180" s="1262" t="s">
        <v>1168</v>
      </c>
      <c r="C180" s="679" t="s">
        <v>1066</v>
      </c>
      <c r="D180" s="683">
        <f>'Crossing Inputs'!C15</f>
        <v>2</v>
      </c>
      <c r="E180" s="1385"/>
    </row>
    <row r="181" spans="2:5">
      <c r="B181" s="682" t="s">
        <v>1169</v>
      </c>
      <c r="C181" s="679"/>
      <c r="D181" s="683"/>
      <c r="E181" s="1410" t="s">
        <v>1170</v>
      </c>
    </row>
    <row r="182" spans="2:5">
      <c r="B182" s="1262" t="s">
        <v>1167</v>
      </c>
      <c r="C182" s="679" t="s">
        <v>1061</v>
      </c>
      <c r="D182" s="683">
        <f>'Crossing Inputs'!C17</f>
        <v>8</v>
      </c>
      <c r="E182" s="1411"/>
    </row>
    <row r="183" spans="2:5">
      <c r="B183" s="1262" t="s">
        <v>1168</v>
      </c>
      <c r="C183" s="679" t="s">
        <v>1066</v>
      </c>
      <c r="D183" s="683">
        <f>'Crossing Inputs'!C18</f>
        <v>4</v>
      </c>
      <c r="E183" s="1412"/>
    </row>
    <row r="184" spans="2:5">
      <c r="B184" s="1394" t="s">
        <v>1027</v>
      </c>
      <c r="C184" s="1395"/>
      <c r="D184" s="1395"/>
      <c r="E184" s="1396"/>
    </row>
    <row r="185" spans="2:5" ht="22.9" customHeight="1">
      <c r="B185" s="678" t="s">
        <v>744</v>
      </c>
      <c r="C185" s="679" t="s">
        <v>603</v>
      </c>
      <c r="D185" s="679" t="str">
        <f>'Crossing Inputs'!$C$24</f>
        <v>254400V</v>
      </c>
      <c r="E185" s="1384" t="s">
        <v>950</v>
      </c>
    </row>
    <row r="186" spans="2:5" ht="12" customHeight="1">
      <c r="B186" s="678" t="s">
        <v>1173</v>
      </c>
      <c r="C186" s="679" t="s">
        <v>505</v>
      </c>
      <c r="D186" s="667">
        <f>'Crossing Inputs'!$C$38</f>
        <v>550</v>
      </c>
      <c r="E186" s="1385"/>
    </row>
    <row r="187" spans="2:5" ht="23">
      <c r="B187" s="678" t="s">
        <v>914</v>
      </c>
      <c r="C187" s="679" t="s">
        <v>15</v>
      </c>
      <c r="D187" s="735">
        <f>'Crossing Inputs'!$C$40</f>
        <v>2.9494087001185904E-2</v>
      </c>
      <c r="E187" s="732" t="s">
        <v>1177</v>
      </c>
    </row>
    <row r="188" spans="2:5">
      <c r="B188" s="678" t="s">
        <v>575</v>
      </c>
      <c r="C188" s="679" t="s">
        <v>15</v>
      </c>
      <c r="D188" s="735">
        <f>'Crossing Inputs'!$C$41</f>
        <v>0.995</v>
      </c>
      <c r="E188" s="1373" t="s">
        <v>950</v>
      </c>
    </row>
    <row r="189" spans="2:5">
      <c r="B189" s="678" t="s">
        <v>576</v>
      </c>
      <c r="C189" s="679" t="s">
        <v>15</v>
      </c>
      <c r="D189" s="735">
        <f>'Crossing Inputs'!$C$42</f>
        <v>5.0000000000000001E-3</v>
      </c>
      <c r="E189" s="1374"/>
    </row>
    <row r="190" spans="2:5">
      <c r="B190" s="678" t="s">
        <v>764</v>
      </c>
      <c r="C190" s="679" t="s">
        <v>915</v>
      </c>
      <c r="D190" s="684">
        <f>'Crossing Inputs'!$C$43</f>
        <v>0</v>
      </c>
      <c r="E190" s="1375"/>
    </row>
    <row r="191" spans="2:5">
      <c r="B191" s="1394" t="s">
        <v>1033</v>
      </c>
      <c r="C191" s="1395"/>
      <c r="D191" s="1395"/>
      <c r="E191" s="1396"/>
    </row>
    <row r="192" spans="2:5">
      <c r="B192" s="678" t="s">
        <v>744</v>
      </c>
      <c r="C192" s="679" t="s">
        <v>603</v>
      </c>
      <c r="D192" s="679" t="str">
        <f>'Crossing Inputs'!$D$24</f>
        <v>968062Y</v>
      </c>
      <c r="E192" s="1384" t="s">
        <v>950</v>
      </c>
    </row>
    <row r="193" spans="2:5">
      <c r="B193" s="678" t="s">
        <v>1173</v>
      </c>
      <c r="C193" s="679" t="s">
        <v>505</v>
      </c>
      <c r="D193" s="667">
        <f>'Crossing Inputs'!$D$38</f>
        <v>550</v>
      </c>
      <c r="E193" s="1400"/>
    </row>
    <row r="194" spans="2:5" ht="23">
      <c r="B194" s="678" t="s">
        <v>914</v>
      </c>
      <c r="C194" s="679" t="s">
        <v>15</v>
      </c>
      <c r="D194" s="735">
        <f>'Crossing Inputs'!$D$40</f>
        <v>2.9494087001185904E-2</v>
      </c>
      <c r="E194" s="1278" t="s">
        <v>1178</v>
      </c>
    </row>
    <row r="195" spans="2:5">
      <c r="B195" s="678" t="s">
        <v>575</v>
      </c>
      <c r="C195" s="679" t="s">
        <v>15</v>
      </c>
      <c r="D195" s="735">
        <f>'Crossing Inputs'!$D$41</f>
        <v>1</v>
      </c>
      <c r="E195" s="1373" t="s">
        <v>950</v>
      </c>
    </row>
    <row r="196" spans="2:5">
      <c r="B196" s="678" t="s">
        <v>576</v>
      </c>
      <c r="C196" s="679" t="s">
        <v>15</v>
      </c>
      <c r="D196" s="735">
        <f>'Crossing Inputs'!$D$42</f>
        <v>0</v>
      </c>
      <c r="E196" s="1374"/>
    </row>
    <row r="197" spans="2:5">
      <c r="B197" s="678" t="s">
        <v>764</v>
      </c>
      <c r="C197" s="679" t="s">
        <v>915</v>
      </c>
      <c r="D197" s="735">
        <v>0</v>
      </c>
      <c r="E197" s="1375"/>
    </row>
    <row r="198" spans="2:5">
      <c r="B198" s="1394" t="s">
        <v>1035</v>
      </c>
      <c r="C198" s="1395"/>
      <c r="D198" s="1395"/>
      <c r="E198" s="1396"/>
    </row>
    <row r="199" spans="2:5">
      <c r="B199" s="678" t="s">
        <v>744</v>
      </c>
      <c r="C199" s="679" t="s">
        <v>603</v>
      </c>
      <c r="D199" s="679" t="str">
        <f>'Crossing Inputs'!$E$24</f>
        <v>254408A</v>
      </c>
      <c r="E199" s="1384" t="s">
        <v>950</v>
      </c>
    </row>
    <row r="200" spans="2:5" ht="12" customHeight="1">
      <c r="B200" s="678" t="s">
        <v>1173</v>
      </c>
      <c r="C200" s="679" t="s">
        <v>505</v>
      </c>
      <c r="D200" s="667">
        <f>'Crossing Inputs'!$E$38</f>
        <v>3900</v>
      </c>
      <c r="E200" s="1385"/>
    </row>
    <row r="201" spans="2:5" ht="23">
      <c r="B201" s="678" t="s">
        <v>914</v>
      </c>
      <c r="C201" s="679" t="s">
        <v>15</v>
      </c>
      <c r="D201" s="735">
        <f>'Crossing Inputs'!$E$40</f>
        <v>2.9494087001185904E-2</v>
      </c>
      <c r="E201" s="732" t="s">
        <v>1177</v>
      </c>
    </row>
    <row r="202" spans="2:5">
      <c r="B202" s="678" t="s">
        <v>575</v>
      </c>
      <c r="C202" s="679" t="s">
        <v>15</v>
      </c>
      <c r="D202" s="681">
        <f>'Crossing Inputs'!$E$41</f>
        <v>0.88919999999999999</v>
      </c>
      <c r="E202" s="1373" t="s">
        <v>950</v>
      </c>
    </row>
    <row r="203" spans="2:5">
      <c r="B203" s="678" t="s">
        <v>576</v>
      </c>
      <c r="C203" s="679" t="s">
        <v>15</v>
      </c>
      <c r="D203" s="681">
        <f>'Crossing Inputs'!$E$42</f>
        <v>0.1</v>
      </c>
      <c r="E203" s="1374"/>
    </row>
    <row r="204" spans="2:5">
      <c r="B204" s="678" t="s">
        <v>764</v>
      </c>
      <c r="C204" s="679" t="s">
        <v>915</v>
      </c>
      <c r="D204" s="684">
        <f>'Crossing Inputs'!$E$43*D200</f>
        <v>41.73</v>
      </c>
      <c r="E204" s="1375"/>
    </row>
    <row r="205" spans="2:5">
      <c r="B205" s="1394" t="s">
        <v>1029</v>
      </c>
      <c r="C205" s="1395"/>
      <c r="D205" s="1395"/>
      <c r="E205" s="1396"/>
    </row>
    <row r="206" spans="2:5">
      <c r="B206" s="678" t="s">
        <v>744</v>
      </c>
      <c r="C206" s="679" t="s">
        <v>603</v>
      </c>
      <c r="D206" s="679" t="str">
        <f>'Crossing Inputs'!$F$24</f>
        <v>254401C</v>
      </c>
      <c r="E206" s="1384" t="s">
        <v>950</v>
      </c>
    </row>
    <row r="207" spans="2:5" ht="12" customHeight="1">
      <c r="B207" s="678" t="s">
        <v>1173</v>
      </c>
      <c r="C207" s="679" t="s">
        <v>505</v>
      </c>
      <c r="D207" s="667">
        <f>'Crossing Inputs'!$F$38</f>
        <v>550</v>
      </c>
      <c r="E207" s="1385"/>
    </row>
    <row r="208" spans="2:5" ht="23">
      <c r="B208" s="678" t="s">
        <v>914</v>
      </c>
      <c r="C208" s="679" t="s">
        <v>15</v>
      </c>
      <c r="D208" s="735">
        <f>'Crossing Inputs'!$F$40</f>
        <v>2.9494087001185904E-2</v>
      </c>
      <c r="E208" s="713" t="s">
        <v>1177</v>
      </c>
    </row>
    <row r="209" spans="2:5">
      <c r="B209" s="678" t="s">
        <v>575</v>
      </c>
      <c r="C209" s="679" t="s">
        <v>15</v>
      </c>
      <c r="D209" s="681">
        <f>'Crossing Inputs'!$F$41</f>
        <v>0.95</v>
      </c>
      <c r="E209" s="1373" t="s">
        <v>950</v>
      </c>
    </row>
    <row r="210" spans="2:5">
      <c r="B210" s="678" t="s">
        <v>576</v>
      </c>
      <c r="C210" s="679" t="s">
        <v>15</v>
      </c>
      <c r="D210" s="681">
        <f>'Crossing Inputs'!$F$42</f>
        <v>0.05</v>
      </c>
      <c r="E210" s="1374"/>
    </row>
    <row r="211" spans="2:5">
      <c r="B211" s="678" t="s">
        <v>764</v>
      </c>
      <c r="C211" s="679" t="s">
        <v>915</v>
      </c>
      <c r="D211" s="684">
        <f>'Crossing Inputs'!$F$43*D207</f>
        <v>0</v>
      </c>
      <c r="E211" s="1375"/>
    </row>
    <row r="212" spans="2:5">
      <c r="B212" s="1394" t="s">
        <v>1032</v>
      </c>
      <c r="C212" s="1395"/>
      <c r="D212" s="1395"/>
      <c r="E212" s="1396"/>
    </row>
    <row r="213" spans="2:5">
      <c r="B213" s="1263" t="s">
        <v>744</v>
      </c>
      <c r="C213" s="676" t="s">
        <v>603</v>
      </c>
      <c r="D213" s="676" t="str">
        <f>'Crossing Inputs'!$G$24</f>
        <v>254402J</v>
      </c>
      <c r="E213" s="1401" t="s">
        <v>950</v>
      </c>
    </row>
    <row r="214" spans="2:5" ht="11.5" customHeight="1">
      <c r="B214" s="678" t="s">
        <v>1308</v>
      </c>
      <c r="C214" s="679" t="s">
        <v>505</v>
      </c>
      <c r="D214" s="667">
        <f>'Crossing Inputs'!$G$38</f>
        <v>130</v>
      </c>
      <c r="E214" s="1402"/>
    </row>
    <row r="215" spans="2:5" ht="23">
      <c r="B215" s="678" t="s">
        <v>914</v>
      </c>
      <c r="C215" s="679" t="s">
        <v>15</v>
      </c>
      <c r="D215" s="681">
        <f>'Crossing Inputs'!$G$40</f>
        <v>2.9494087001185904E-2</v>
      </c>
      <c r="E215" s="1275" t="s">
        <v>1178</v>
      </c>
    </row>
    <row r="216" spans="2:5">
      <c r="B216" s="678" t="s">
        <v>575</v>
      </c>
      <c r="C216" s="679" t="s">
        <v>15</v>
      </c>
      <c r="D216" s="735">
        <f>'Crossing Inputs'!$G$41</f>
        <v>0.995</v>
      </c>
      <c r="E216" s="1373" t="s">
        <v>950</v>
      </c>
    </row>
    <row r="217" spans="2:5">
      <c r="B217" s="678" t="s">
        <v>576</v>
      </c>
      <c r="C217" s="679" t="s">
        <v>15</v>
      </c>
      <c r="D217" s="735">
        <f>'Crossing Inputs'!$G$42</f>
        <v>5.0000000000000001E-3</v>
      </c>
      <c r="E217" s="1374"/>
    </row>
    <row r="218" spans="2:5">
      <c r="B218" s="678" t="s">
        <v>764</v>
      </c>
      <c r="C218" s="679" t="s">
        <v>915</v>
      </c>
      <c r="D218" s="684">
        <f>'Crossing Inputs'!$G$43*D214</f>
        <v>0</v>
      </c>
      <c r="E218" s="1375"/>
    </row>
    <row r="219" spans="2:5">
      <c r="B219" s="1394" t="s">
        <v>1037</v>
      </c>
      <c r="C219" s="1395"/>
      <c r="D219" s="1395"/>
      <c r="E219" s="1396"/>
    </row>
    <row r="220" spans="2:5">
      <c r="B220" s="1263" t="s">
        <v>744</v>
      </c>
      <c r="C220" s="676" t="s">
        <v>603</v>
      </c>
      <c r="D220" s="676" t="str">
        <f>'Crossing Inputs'!$H$24</f>
        <v>967139F</v>
      </c>
      <c r="E220" s="1403" t="s">
        <v>950</v>
      </c>
    </row>
    <row r="221" spans="2:5">
      <c r="B221" s="678" t="s">
        <v>1173</v>
      </c>
      <c r="C221" s="679" t="s">
        <v>505</v>
      </c>
      <c r="D221" s="667">
        <f>'Crossing Inputs'!$H$38</f>
        <v>3900</v>
      </c>
      <c r="E221" s="1404"/>
    </row>
    <row r="222" spans="2:5" ht="23">
      <c r="B222" s="678" t="s">
        <v>914</v>
      </c>
      <c r="C222" s="679" t="s">
        <v>15</v>
      </c>
      <c r="D222" s="681">
        <f>'Crossing Inputs'!$H$40</f>
        <v>2.9494087001185904E-2</v>
      </c>
      <c r="E222" s="1277" t="s">
        <v>1177</v>
      </c>
    </row>
    <row r="223" spans="2:5">
      <c r="B223" s="678" t="s">
        <v>575</v>
      </c>
      <c r="C223" s="679" t="s">
        <v>15</v>
      </c>
      <c r="D223" s="735">
        <f>'Crossing Inputs'!$H$41</f>
        <v>0.9</v>
      </c>
      <c r="E223" s="1373" t="s">
        <v>950</v>
      </c>
    </row>
    <row r="224" spans="2:5">
      <c r="B224" s="678" t="s">
        <v>576</v>
      </c>
      <c r="C224" s="679" t="s">
        <v>15</v>
      </c>
      <c r="D224" s="735">
        <f>'Crossing Inputs'!$H$42</f>
        <v>0.1</v>
      </c>
      <c r="E224" s="1374"/>
    </row>
    <row r="225" spans="2:5">
      <c r="B225" s="678" t="s">
        <v>764</v>
      </c>
      <c r="C225" s="679" t="s">
        <v>915</v>
      </c>
      <c r="D225" s="684">
        <f>'Crossing Inputs'!$H$43*D221</f>
        <v>0</v>
      </c>
      <c r="E225" s="1375"/>
    </row>
    <row r="226" spans="2:5">
      <c r="B226" s="1394" t="s">
        <v>1127</v>
      </c>
      <c r="C226" s="1395"/>
      <c r="D226" s="1395"/>
      <c r="E226" s="1396"/>
    </row>
    <row r="227" spans="2:5">
      <c r="B227" s="1263" t="s">
        <v>744</v>
      </c>
      <c r="C227" s="676" t="s">
        <v>603</v>
      </c>
      <c r="D227" s="676" t="str">
        <f>'Crossing Inputs'!$C$50</f>
        <v>975187R</v>
      </c>
      <c r="E227" s="1403" t="s">
        <v>950</v>
      </c>
    </row>
    <row r="228" spans="2:5">
      <c r="B228" s="678" t="s">
        <v>1174</v>
      </c>
      <c r="C228" s="679" t="s">
        <v>505</v>
      </c>
      <c r="D228" s="667">
        <f>'Crossing Inputs'!$C$64</f>
        <v>250</v>
      </c>
      <c r="E228" s="1404"/>
    </row>
    <row r="229" spans="2:5" ht="23">
      <c r="B229" s="678" t="s">
        <v>914</v>
      </c>
      <c r="C229" s="679" t="s">
        <v>15</v>
      </c>
      <c r="D229" s="681">
        <f>'Crossing Inputs'!$C$66</f>
        <v>2.9494087001185904E-2</v>
      </c>
      <c r="E229" s="1276" t="s">
        <v>1177</v>
      </c>
    </row>
    <row r="230" spans="2:5">
      <c r="B230" s="678" t="s">
        <v>575</v>
      </c>
      <c r="C230" s="679" t="s">
        <v>15</v>
      </c>
      <c r="D230" s="735">
        <f>'Crossing Inputs'!$C$67</f>
        <v>0.998</v>
      </c>
      <c r="E230" s="1373" t="s">
        <v>950</v>
      </c>
    </row>
    <row r="231" spans="2:5">
      <c r="B231" s="678" t="s">
        <v>576</v>
      </c>
      <c r="C231" s="679" t="s">
        <v>15</v>
      </c>
      <c r="D231" s="735">
        <f>'Crossing Inputs'!$C$68</f>
        <v>2E-3</v>
      </c>
      <c r="E231" s="1374"/>
    </row>
    <row r="232" spans="2:5">
      <c r="B232" s="678" t="s">
        <v>764</v>
      </c>
      <c r="C232" s="679" t="s">
        <v>915</v>
      </c>
      <c r="D232" s="684">
        <f>'Crossing Inputs'!$C$69*D228</f>
        <v>0</v>
      </c>
      <c r="E232" s="1375"/>
    </row>
    <row r="233" spans="2:5">
      <c r="B233" s="1394" t="s">
        <v>1129</v>
      </c>
      <c r="C233" s="1395"/>
      <c r="D233" s="1395"/>
      <c r="E233" s="1396"/>
    </row>
    <row r="234" spans="2:5">
      <c r="B234" s="1263" t="s">
        <v>744</v>
      </c>
      <c r="C234" s="676" t="s">
        <v>603</v>
      </c>
      <c r="D234" s="676" t="str">
        <f>'Crossing Inputs'!$D$50</f>
        <v>806921N</v>
      </c>
      <c r="E234" s="1403" t="s">
        <v>950</v>
      </c>
    </row>
    <row r="235" spans="2:5">
      <c r="B235" s="678" t="s">
        <v>1173</v>
      </c>
      <c r="C235" s="679" t="s">
        <v>505</v>
      </c>
      <c r="D235" s="667">
        <f>'Crossing Inputs'!$D$64</f>
        <v>520</v>
      </c>
      <c r="E235" s="1404"/>
    </row>
    <row r="236" spans="2:5" ht="23">
      <c r="B236" s="678" t="s">
        <v>914</v>
      </c>
      <c r="C236" s="679" t="s">
        <v>15</v>
      </c>
      <c r="D236" s="681">
        <f>'Crossing Inputs'!$D$66</f>
        <v>2.9494087001185904E-2</v>
      </c>
      <c r="E236" s="1276" t="s">
        <v>1177</v>
      </c>
    </row>
    <row r="237" spans="2:5">
      <c r="B237" s="678" t="s">
        <v>575</v>
      </c>
      <c r="C237" s="679" t="s">
        <v>15</v>
      </c>
      <c r="D237" s="735">
        <f>'Crossing Inputs'!$D$67</f>
        <v>0.9</v>
      </c>
      <c r="E237" s="1373" t="s">
        <v>950</v>
      </c>
    </row>
    <row r="238" spans="2:5">
      <c r="B238" s="678" t="s">
        <v>576</v>
      </c>
      <c r="C238" s="679" t="s">
        <v>15</v>
      </c>
      <c r="D238" s="735">
        <f>'Crossing Inputs'!$D$68</f>
        <v>0.1</v>
      </c>
      <c r="E238" s="1374"/>
    </row>
    <row r="239" spans="2:5">
      <c r="B239" s="678" t="s">
        <v>764</v>
      </c>
      <c r="C239" s="679" t="s">
        <v>915</v>
      </c>
      <c r="D239" s="684">
        <f>'Crossing Inputs'!$D$69*D235</f>
        <v>0</v>
      </c>
      <c r="E239" s="1375"/>
    </row>
    <row r="240" spans="2:5">
      <c r="B240" s="1394" t="s">
        <v>1131</v>
      </c>
      <c r="C240" s="1395"/>
      <c r="D240" s="1395"/>
      <c r="E240" s="1396"/>
    </row>
    <row r="241" spans="2:5">
      <c r="B241" s="1263" t="s">
        <v>744</v>
      </c>
      <c r="C241" s="676" t="s">
        <v>603</v>
      </c>
      <c r="D241" s="676" t="str">
        <f>'Crossing Inputs'!$E$50</f>
        <v>806913W</v>
      </c>
      <c r="E241" s="1403" t="s">
        <v>950</v>
      </c>
    </row>
    <row r="242" spans="2:5">
      <c r="B242" s="678" t="s">
        <v>1173</v>
      </c>
      <c r="C242" s="679" t="s">
        <v>505</v>
      </c>
      <c r="D242" s="667">
        <f>'Crossing Inputs'!$E$64</f>
        <v>850</v>
      </c>
      <c r="E242" s="1404"/>
    </row>
    <row r="243" spans="2:5" ht="23">
      <c r="B243" s="678" t="s">
        <v>914</v>
      </c>
      <c r="C243" s="679" t="s">
        <v>15</v>
      </c>
      <c r="D243" s="681">
        <f>'Crossing Inputs'!$E$66</f>
        <v>2.9494087001185904E-2</v>
      </c>
      <c r="E243" s="1276" t="s">
        <v>1177</v>
      </c>
    </row>
    <row r="244" spans="2:5">
      <c r="B244" s="678" t="s">
        <v>575</v>
      </c>
      <c r="C244" s="679" t="s">
        <v>15</v>
      </c>
      <c r="D244" s="735">
        <f>'Crossing Inputs'!$E$67</f>
        <v>0.9</v>
      </c>
      <c r="E244" s="1373" t="s">
        <v>950</v>
      </c>
    </row>
    <row r="245" spans="2:5">
      <c r="B245" s="678" t="s">
        <v>576</v>
      </c>
      <c r="C245" s="679" t="s">
        <v>15</v>
      </c>
      <c r="D245" s="735">
        <f>'Crossing Inputs'!$E$68</f>
        <v>0.1</v>
      </c>
      <c r="E245" s="1374"/>
    </row>
    <row r="246" spans="2:5">
      <c r="B246" s="678" t="s">
        <v>764</v>
      </c>
      <c r="C246" s="679" t="s">
        <v>915</v>
      </c>
      <c r="D246" s="684">
        <f>'Crossing Inputs'!$E$69*D242</f>
        <v>0</v>
      </c>
      <c r="E246" s="1375"/>
    </row>
    <row r="247" spans="2:5">
      <c r="B247" s="1394" t="s">
        <v>1143</v>
      </c>
      <c r="C247" s="1395"/>
      <c r="D247" s="1395"/>
      <c r="E247" s="1396"/>
    </row>
    <row r="248" spans="2:5">
      <c r="B248" s="1263" t="s">
        <v>744</v>
      </c>
      <c r="C248" s="676" t="s">
        <v>603</v>
      </c>
      <c r="D248" s="676" t="str">
        <f>'Crossing Inputs'!$F$50</f>
        <v>254733W</v>
      </c>
      <c r="E248" s="1403" t="s">
        <v>950</v>
      </c>
    </row>
    <row r="249" spans="2:5">
      <c r="B249" s="678" t="s">
        <v>1173</v>
      </c>
      <c r="C249" s="679" t="s">
        <v>505</v>
      </c>
      <c r="D249" s="667">
        <f>'Crossing Inputs'!$F$64</f>
        <v>10500</v>
      </c>
      <c r="E249" s="1404"/>
    </row>
    <row r="250" spans="2:5" ht="23">
      <c r="B250" s="678" t="s">
        <v>914</v>
      </c>
      <c r="C250" s="679" t="s">
        <v>15</v>
      </c>
      <c r="D250" s="681">
        <f>'Crossing Inputs'!$F$66</f>
        <v>2.9494087001185904E-2</v>
      </c>
      <c r="E250" s="1276" t="s">
        <v>1177</v>
      </c>
    </row>
    <row r="251" spans="2:5">
      <c r="B251" s="678" t="s">
        <v>575</v>
      </c>
      <c r="C251" s="679" t="s">
        <v>15</v>
      </c>
      <c r="D251" s="735">
        <f>'Crossing Inputs'!$F$67</f>
        <v>0.9</v>
      </c>
      <c r="E251" s="1373" t="s">
        <v>950</v>
      </c>
    </row>
    <row r="252" spans="2:5">
      <c r="B252" s="678" t="s">
        <v>576</v>
      </c>
      <c r="C252" s="679" t="s">
        <v>15</v>
      </c>
      <c r="D252" s="735">
        <f>'Crossing Inputs'!$F$68</f>
        <v>0.1</v>
      </c>
      <c r="E252" s="1374"/>
    </row>
    <row r="253" spans="2:5">
      <c r="B253" s="678" t="s">
        <v>764</v>
      </c>
      <c r="C253" s="679" t="s">
        <v>915</v>
      </c>
      <c r="D253" s="684">
        <f>'Crossing Inputs'!$F$69*D249</f>
        <v>0</v>
      </c>
      <c r="E253" s="1375"/>
    </row>
    <row r="254" spans="2:5">
      <c r="B254" s="1394" t="s">
        <v>1134</v>
      </c>
      <c r="C254" s="1395"/>
      <c r="D254" s="1395"/>
      <c r="E254" s="1396"/>
    </row>
    <row r="255" spans="2:5">
      <c r="B255" s="1263" t="s">
        <v>744</v>
      </c>
      <c r="C255" s="676" t="s">
        <v>603</v>
      </c>
      <c r="D255" s="676" t="str">
        <f>'Crossing Inputs'!$G$50</f>
        <v>254729G</v>
      </c>
      <c r="E255" s="1403" t="s">
        <v>950</v>
      </c>
    </row>
    <row r="256" spans="2:5">
      <c r="B256" s="678" t="s">
        <v>1173</v>
      </c>
      <c r="C256" s="679" t="s">
        <v>505</v>
      </c>
      <c r="D256" s="667">
        <f>'Crossing Inputs'!$G$64</f>
        <v>850</v>
      </c>
      <c r="E256" s="1404"/>
    </row>
    <row r="257" spans="1:11" ht="23">
      <c r="B257" s="678" t="s">
        <v>914</v>
      </c>
      <c r="C257" s="679" t="s">
        <v>15</v>
      </c>
      <c r="D257" s="681">
        <f>'Crossing Inputs'!$G$66</f>
        <v>2.9494087001185904E-2</v>
      </c>
      <c r="E257" s="1276" t="s">
        <v>1177</v>
      </c>
    </row>
    <row r="258" spans="1:11">
      <c r="B258" s="678" t="s">
        <v>575</v>
      </c>
      <c r="C258" s="679" t="s">
        <v>15</v>
      </c>
      <c r="D258" s="735">
        <f>'Crossing Inputs'!$G$67</f>
        <v>0.8</v>
      </c>
      <c r="E258" s="1373" t="s">
        <v>950</v>
      </c>
    </row>
    <row r="259" spans="1:11">
      <c r="B259" s="678" t="s">
        <v>576</v>
      </c>
      <c r="C259" s="679" t="s">
        <v>15</v>
      </c>
      <c r="D259" s="735">
        <f>'Crossing Inputs'!$G$68</f>
        <v>0.2</v>
      </c>
      <c r="E259" s="1374"/>
    </row>
    <row r="260" spans="1:11">
      <c r="B260" s="678" t="s">
        <v>764</v>
      </c>
      <c r="C260" s="679" t="s">
        <v>915</v>
      </c>
      <c r="D260" s="684">
        <f>'Crossing Inputs'!$G$69*D256</f>
        <v>0</v>
      </c>
      <c r="E260" s="1375"/>
    </row>
    <row r="261" spans="1:11">
      <c r="B261" s="1394" t="s">
        <v>1172</v>
      </c>
      <c r="C261" s="1395"/>
      <c r="D261" s="1395"/>
      <c r="E261" s="1396"/>
    </row>
    <row r="262" spans="1:11">
      <c r="B262" s="1263" t="s">
        <v>744</v>
      </c>
      <c r="C262" s="676" t="s">
        <v>603</v>
      </c>
      <c r="D262" s="676" t="str">
        <f>'Crossing Inputs'!$H$50</f>
        <v>254731H</v>
      </c>
      <c r="E262" s="1403" t="s">
        <v>950</v>
      </c>
    </row>
    <row r="263" spans="1:11">
      <c r="B263" s="678" t="s">
        <v>1173</v>
      </c>
      <c r="C263" s="679" t="s">
        <v>505</v>
      </c>
      <c r="D263" s="667">
        <f>'Crossing Inputs'!$H$64</f>
        <v>1600</v>
      </c>
      <c r="E263" s="1404"/>
    </row>
    <row r="264" spans="1:11" ht="23">
      <c r="B264" s="678" t="s">
        <v>914</v>
      </c>
      <c r="C264" s="679" t="s">
        <v>15</v>
      </c>
      <c r="D264" s="681">
        <f>'Crossing Inputs'!$H$66</f>
        <v>2.9494087001185904E-2</v>
      </c>
      <c r="E264" s="1276" t="s">
        <v>1177</v>
      </c>
    </row>
    <row r="265" spans="1:11">
      <c r="B265" s="678" t="s">
        <v>575</v>
      </c>
      <c r="C265" s="679" t="s">
        <v>15</v>
      </c>
      <c r="D265" s="735">
        <f>'Crossing Inputs'!$H$67</f>
        <v>0.995</v>
      </c>
      <c r="E265" s="1373" t="s">
        <v>950</v>
      </c>
    </row>
    <row r="266" spans="1:11">
      <c r="B266" s="678" t="s">
        <v>576</v>
      </c>
      <c r="C266" s="679" t="s">
        <v>15</v>
      </c>
      <c r="D266" s="735">
        <f>'Crossing Inputs'!$H$68</f>
        <v>5.0000000000000001E-3</v>
      </c>
      <c r="E266" s="1374"/>
    </row>
    <row r="267" spans="1:11">
      <c r="B267" s="678" t="s">
        <v>764</v>
      </c>
      <c r="C267" s="679" t="s">
        <v>915</v>
      </c>
      <c r="D267" s="684">
        <f>'Crossing Inputs'!$H$69*D263</f>
        <v>0</v>
      </c>
      <c r="E267" s="1375"/>
    </row>
    <row r="268" spans="1:11">
      <c r="B268" s="721"/>
      <c r="C268" s="722"/>
      <c r="D268" s="723"/>
      <c r="E268" s="1264"/>
    </row>
    <row r="269" spans="1:11">
      <c r="A269" s="656" t="s">
        <v>864</v>
      </c>
    </row>
    <row r="270" spans="1:11">
      <c r="B270" s="685" t="s">
        <v>863</v>
      </c>
      <c r="C270" s="658" t="s">
        <v>449</v>
      </c>
      <c r="D270" s="659">
        <v>2020</v>
      </c>
      <c r="E270" s="659">
        <v>2025</v>
      </c>
      <c r="F270" s="659">
        <v>2030</v>
      </c>
      <c r="G270" s="659">
        <v>2035</v>
      </c>
      <c r="H270" s="659">
        <v>2040</v>
      </c>
      <c r="I270" s="659">
        <v>2045</v>
      </c>
      <c r="J270" s="659">
        <v>2050</v>
      </c>
      <c r="K270" s="659">
        <v>2055</v>
      </c>
    </row>
    <row r="271" spans="1:11">
      <c r="B271" s="1421" t="s">
        <v>1181</v>
      </c>
      <c r="C271" s="1422"/>
      <c r="D271" s="1422"/>
      <c r="E271" s="1422"/>
      <c r="F271" s="1422"/>
      <c r="G271" s="1422"/>
      <c r="H271" s="1422"/>
      <c r="I271" s="1422"/>
      <c r="J271" s="1422"/>
      <c r="K271" s="1422"/>
    </row>
    <row r="272" spans="1:11">
      <c r="B272" s="678" t="s">
        <v>1179</v>
      </c>
      <c r="C272" s="679" t="s">
        <v>486</v>
      </c>
      <c r="D272" s="684">
        <f>SUMIFS(Demand!$E$29:$AN$29,Demand!$E$2:$AN$2,D$270)</f>
        <v>2</v>
      </c>
      <c r="E272" s="684">
        <f>SUMIFS(Demand!$E$29:$AN$29,Demand!$E$2:$AN$2,E$270)</f>
        <v>2.1083383335253174</v>
      </c>
      <c r="F272" s="684">
        <f>SUMIFS(Demand!$E$29:$AN$29,Demand!$E$2:$AN$2,F$270)</f>
        <v>2.2225452643061563</v>
      </c>
      <c r="G272" s="684">
        <f>SUMIFS(Demand!$E$29:$AN$29,Demand!$E$2:$AN$2,G$270)</f>
        <v>2.3429386893659134</v>
      </c>
      <c r="H272" s="684">
        <f>SUMIFS(Demand!$E$29:$AN$29,Demand!$E$2:$AN$2,H$270)</f>
        <v>2.4698537259448612</v>
      </c>
      <c r="I272" s="684">
        <f>SUMIFS(Demand!$E$29:$AN$29,Demand!$E$2:$AN$2,I$270)</f>
        <v>2.6036436443049418</v>
      </c>
      <c r="J272" s="684">
        <f>SUMIFS(Demand!$E$29:$AN$29,Demand!$E$2:$AN$2,J$270)</f>
        <v>2.744680851063833</v>
      </c>
      <c r="K272" s="684">
        <f>SUMIFS(Demand!$E$29:$AN$29,Demand!$E$2:$AN$2,K$270)</f>
        <v>2.8933579257953856</v>
      </c>
    </row>
    <row r="273" spans="1:15">
      <c r="B273" s="678" t="s">
        <v>1183</v>
      </c>
      <c r="C273" s="679" t="s">
        <v>486</v>
      </c>
      <c r="D273" s="684">
        <f>SUMIFS(Demand!$E$34:$AN$34,Demand!$E$2:$AN$2,D$270)</f>
        <v>0</v>
      </c>
      <c r="E273" s="684">
        <f>SUMIFS(Demand!$E$34:$AN$34,Demand!$E$2:$AN$2,E$270)</f>
        <v>0</v>
      </c>
      <c r="F273" s="684">
        <f>SUMIFS(Demand!$E$34:$AN$34,Demand!$E$2:$AN$2,F$270)</f>
        <v>0</v>
      </c>
      <c r="G273" s="684">
        <f>SUMIFS(Demand!$E$34:$AN$34,Demand!$E$2:$AN$2,G$270)</f>
        <v>0</v>
      </c>
      <c r="H273" s="684">
        <f>SUMIFS(Demand!$E$34:$AN$34,Demand!$E$2:$AN$2,H$270)</f>
        <v>0</v>
      </c>
      <c r="I273" s="684">
        <f>SUMIFS(Demand!$E$34:$AN$34,Demand!$E$2:$AN$2,I$270)</f>
        <v>0</v>
      </c>
      <c r="J273" s="684">
        <f>SUMIFS(Demand!$E$34:$AN$34,Demand!$E$2:$AN$2,J$270)</f>
        <v>0</v>
      </c>
      <c r="K273" s="684">
        <f>SUMIFS(Demand!$E$34:$AN$34,Demand!$E$2:$AN$2,K$270)</f>
        <v>0</v>
      </c>
    </row>
    <row r="274" spans="1:15">
      <c r="B274" s="678" t="s">
        <v>1184</v>
      </c>
      <c r="C274" s="679" t="s">
        <v>486</v>
      </c>
      <c r="D274" s="684">
        <f>SUMIFS(Demand!$E$39:$AN$39,Demand!$E$2:$AN$2,D$270)</f>
        <v>6</v>
      </c>
      <c r="E274" s="684">
        <f>SUMIFS(Demand!$E$39:$AN$39,Demand!$E$2:$AN$2,E$270)</f>
        <v>6.3250150005759522</v>
      </c>
      <c r="F274" s="684">
        <f>SUMIFS(Demand!$E$39:$AN$39,Demand!$E$2:$AN$2,F$270)</f>
        <v>6.6676357929184693</v>
      </c>
      <c r="G274" s="684">
        <f>SUMIFS(Demand!$E$39:$AN$39,Demand!$E$2:$AN$2,G$270)</f>
        <v>7.0288160680977398</v>
      </c>
      <c r="H274" s="684">
        <f>SUMIFS(Demand!$E$39:$AN$39,Demand!$E$2:$AN$2,H$270)</f>
        <v>7.4095611778345836</v>
      </c>
      <c r="I274" s="684">
        <f>SUMIFS(Demand!$E$39:$AN$39,Demand!$E$2:$AN$2,I$270)</f>
        <v>7.8109309329148253</v>
      </c>
      <c r="J274" s="684">
        <f>SUMIFS(Demand!$E$39:$AN$39,Demand!$E$2:$AN$2,J$270)</f>
        <v>8.2340425531914985</v>
      </c>
      <c r="K274" s="684">
        <f>SUMIFS(Demand!$E$39:$AN$39,Demand!$E$2:$AN$2,K$270)</f>
        <v>8.6800737773861574</v>
      </c>
    </row>
    <row r="275" spans="1:15">
      <c r="B275" s="678" t="s">
        <v>1185</v>
      </c>
      <c r="C275" s="679" t="s">
        <v>917</v>
      </c>
      <c r="D275" s="684">
        <f>SUMIFS(Demand!$E$44:$AN$44,Demand!$E$2:$AN$2,D$270)</f>
        <v>8</v>
      </c>
      <c r="E275" s="684">
        <f>SUMIFS(Demand!$E$44:$AN$44,Demand!$E$2:$AN$2,E$270)</f>
        <v>8.4333533341012696</v>
      </c>
      <c r="F275" s="684">
        <f>SUMIFS(Demand!$E$44:$AN$44,Demand!$E$2:$AN$2,F$270)</f>
        <v>8.8901810572246251</v>
      </c>
      <c r="G275" s="684">
        <f>SUMIFS(Demand!$E$44:$AN$44,Demand!$E$2:$AN$2,G$270)</f>
        <v>9.3717547574636537</v>
      </c>
      <c r="H275" s="684">
        <f>SUMIFS(Demand!$E$44:$AN$44,Demand!$E$2:$AN$2,H$270)</f>
        <v>9.8794149037794448</v>
      </c>
      <c r="I275" s="684">
        <f>SUMIFS(Demand!$E$44:$AN$44,Demand!$E$2:$AN$2,I$270)</f>
        <v>10.414574577219767</v>
      </c>
      <c r="J275" s="684">
        <f>SUMIFS(Demand!$E$44:$AN$44,Demand!$E$2:$AN$2,J$270)</f>
        <v>10.978723404255332</v>
      </c>
      <c r="K275" s="684">
        <f>SUMIFS(Demand!$E$44:$AN$44,Demand!$E$2:$AN$2,K$270)</f>
        <v>11.573431703181543</v>
      </c>
    </row>
    <row r="276" spans="1:15">
      <c r="B276" s="1390" t="s">
        <v>1182</v>
      </c>
      <c r="C276" s="1391"/>
      <c r="D276" s="1391"/>
      <c r="E276" s="1391"/>
      <c r="F276" s="1391"/>
      <c r="G276" s="1391"/>
      <c r="H276" s="1391"/>
      <c r="I276" s="1391"/>
      <c r="J276" s="1391"/>
      <c r="K276" s="1391"/>
    </row>
    <row r="277" spans="1:15">
      <c r="B277" s="678" t="s">
        <v>1179</v>
      </c>
      <c r="C277" s="679" t="s">
        <v>486</v>
      </c>
      <c r="D277" s="684">
        <f>SUMIFS(Demand!$E$51:$AN$51,Demand!$E$2:$AN$2,D$270)</f>
        <v>2</v>
      </c>
      <c r="E277" s="684">
        <f>SUMIFS(Demand!$E$51:$AN$51,Demand!$E$2:$AN$2,E$270)</f>
        <v>0</v>
      </c>
      <c r="F277" s="684">
        <f>SUMIFS(Demand!$E$51:$AN$51,Demand!$E$2:$AN$2,F$270)</f>
        <v>0</v>
      </c>
      <c r="G277" s="684">
        <f>SUMIFS(Demand!$E$51:$AN$51,Demand!$E$2:$AN$2,G$270)</f>
        <v>0</v>
      </c>
      <c r="H277" s="684">
        <f>SUMIFS(Demand!$E$51:$AN$51,Demand!$E$2:$AN$2,H$270)</f>
        <v>0</v>
      </c>
      <c r="I277" s="684">
        <f>SUMIFS(Demand!$E$51:$AN$51,Demand!$E$2:$AN$2,I$270)</f>
        <v>0</v>
      </c>
      <c r="J277" s="684">
        <f>SUMIFS(Demand!$E$51:$AN$51,Demand!$E$2:$AN$2,J$270)</f>
        <v>0</v>
      </c>
      <c r="K277" s="684">
        <f>SUMIFS(Demand!$E$51:$AN$51,Demand!$E$2:$AN$2,K$270)</f>
        <v>0</v>
      </c>
    </row>
    <row r="278" spans="1:15">
      <c r="B278" s="678" t="s">
        <v>1183</v>
      </c>
      <c r="C278" s="679" t="s">
        <v>486</v>
      </c>
      <c r="D278" s="684">
        <f>SUMIFS(Demand!$E$56:$AN$56,Demand!$E$2:$AN$2,D$270)</f>
        <v>0</v>
      </c>
      <c r="E278" s="684">
        <f>SUMIFS(Demand!$E$56:$AN$56,Demand!$E$2:$AN$2,E$270)</f>
        <v>2.1083383335253174</v>
      </c>
      <c r="F278" s="684">
        <f>SUMIFS(Demand!$E$56:$AN$56,Demand!$E$2:$AN$2,F$270)</f>
        <v>2.2225452643061563</v>
      </c>
      <c r="G278" s="684">
        <f>SUMIFS(Demand!$E$56:$AN$56,Demand!$E$2:$AN$2,G$270)</f>
        <v>2.3429386893659134</v>
      </c>
      <c r="H278" s="684">
        <f>SUMIFS(Demand!$E$56:$AN$56,Demand!$E$2:$AN$2,H$270)</f>
        <v>2.4698537259448612</v>
      </c>
      <c r="I278" s="684">
        <f>SUMIFS(Demand!$E$56:$AN$56,Demand!$E$2:$AN$2,I$270)</f>
        <v>2.6036436443049418</v>
      </c>
      <c r="J278" s="684">
        <f>SUMIFS(Demand!$E$56:$AN$56,Demand!$E$2:$AN$2,J$270)</f>
        <v>2.744680851063833</v>
      </c>
      <c r="K278" s="684">
        <f>SUMIFS(Demand!$E$56:$AN$56,Demand!$E$2:$AN$2,K$270)</f>
        <v>2.8933579257953856</v>
      </c>
    </row>
    <row r="279" spans="1:15">
      <c r="B279" s="678" t="s">
        <v>1184</v>
      </c>
      <c r="C279" s="679" t="s">
        <v>486</v>
      </c>
      <c r="D279" s="684">
        <f>SUMIFS(Demand!$E$61:$AN$61,Demand!$E$2:$AN$2,D$270)</f>
        <v>6</v>
      </c>
      <c r="E279" s="684">
        <f>SUMIFS(Demand!$E$61:$AN$61,Demand!$E$2:$AN$2,E$270)</f>
        <v>8.4333533341012696</v>
      </c>
      <c r="F279" s="684">
        <f>SUMIFS(Demand!$E$61:$AN$61,Demand!$E$2:$AN$2,F$270)</f>
        <v>8.8901810572246251</v>
      </c>
      <c r="G279" s="684">
        <f>SUMIFS(Demand!$E$61:$AN$61,Demand!$E$2:$AN$2,G$270)</f>
        <v>9.3717547574636537</v>
      </c>
      <c r="H279" s="684">
        <f>SUMIFS(Demand!$E$61:$AN$61,Demand!$E$2:$AN$2,H$270)</f>
        <v>9.8794149037794448</v>
      </c>
      <c r="I279" s="684">
        <f>SUMIFS(Demand!$E$61:$AN$61,Demand!$E$2:$AN$2,I$270)</f>
        <v>10.414574577219767</v>
      </c>
      <c r="J279" s="684">
        <f>SUMIFS(Demand!$E$61:$AN$61,Demand!$E$2:$AN$2,J$270)</f>
        <v>10.978723404255332</v>
      </c>
      <c r="K279" s="684">
        <f>SUMIFS(Demand!$E$61:$AN$61,Demand!$E$2:$AN$2,K$270)</f>
        <v>11.573431703181543</v>
      </c>
    </row>
    <row r="280" spans="1:15">
      <c r="B280" s="678" t="s">
        <v>1185</v>
      </c>
      <c r="C280" s="679" t="s">
        <v>917</v>
      </c>
      <c r="D280" s="684">
        <f>SUMIFS(Demand!$E$66:$AN$66,Demand!$E$2:$AN$2,D$270)</f>
        <v>8</v>
      </c>
      <c r="E280" s="684">
        <f>SUMIFS(Demand!$E$66:$AN$66,Demand!$E$2:$AN$2,E$270)</f>
        <v>6.3250150005759522</v>
      </c>
      <c r="F280" s="684">
        <f>SUMIFS(Demand!$E$66:$AN$66,Demand!$E$2:$AN$2,F$270)</f>
        <v>6.6676357929184693</v>
      </c>
      <c r="G280" s="684">
        <f>SUMIFS(Demand!$E$66:$AN$66,Demand!$E$2:$AN$2,G$270)</f>
        <v>7.0288160680977398</v>
      </c>
      <c r="H280" s="684">
        <f>SUMIFS(Demand!$E$66:$AN$66,Demand!$E$2:$AN$2,H$270)</f>
        <v>7.4095611778345836</v>
      </c>
      <c r="I280" s="684">
        <f>SUMIFS(Demand!$E$66:$AN$66,Demand!$E$2:$AN$2,I$270)</f>
        <v>7.8109309329148253</v>
      </c>
      <c r="J280" s="684">
        <f>SUMIFS(Demand!$E$66:$AN$66,Demand!$E$2:$AN$2,J$270)</f>
        <v>8.2340425531914985</v>
      </c>
      <c r="K280" s="684">
        <f>SUMIFS(Demand!$E$66:$AN$66,Demand!$E$2:$AN$2,K$270)</f>
        <v>8.6800737773861574</v>
      </c>
    </row>
    <row r="282" spans="1:15">
      <c r="A282" s="656" t="s">
        <v>865</v>
      </c>
    </row>
    <row r="283" spans="1:15" ht="23">
      <c r="B283" s="658" t="s">
        <v>866</v>
      </c>
      <c r="C283" s="658" t="s">
        <v>0</v>
      </c>
      <c r="D283" s="659" t="str">
        <f>'Crossing Inputs'!C$23</f>
        <v>700 South</v>
      </c>
      <c r="E283" s="659" t="str">
        <f>'Crossing Inputs'!D$23</f>
        <v>950 West</v>
      </c>
      <c r="F283" s="659" t="str">
        <f>'Crossing Inputs'!E$23</f>
        <v>1600 South</v>
      </c>
      <c r="G283" s="659" t="str">
        <f>'Crossing Inputs'!F$23</f>
        <v>400 West</v>
      </c>
      <c r="H283" s="659" t="str">
        <f>'Crossing Inputs'!G$23</f>
        <v>Private</v>
      </c>
      <c r="I283" s="659" t="str">
        <f>'Crossing Inputs'!H$23</f>
        <v>Canyon Creek Parkway</v>
      </c>
      <c r="J283" s="659" t="str">
        <f>'Crossing Inputs'!C$49</f>
        <v>Colorado Avenue</v>
      </c>
      <c r="K283" s="659" t="str">
        <f>'Crossing Inputs'!D$49</f>
        <v>900 South</v>
      </c>
      <c r="L283" s="659" t="str">
        <f>'Crossing Inputs'!E$49</f>
        <v>1000 North</v>
      </c>
      <c r="M283" s="659" t="str">
        <f>'Crossing Inputs'!F$49</f>
        <v>West Center</v>
      </c>
      <c r="N283" s="659" t="str">
        <f>'Crossing Inputs'!G$49</f>
        <v>2000 South</v>
      </c>
      <c r="O283" s="659" t="str">
        <f>'Crossing Inputs'!H$49</f>
        <v xml:space="preserve">400 North </v>
      </c>
    </row>
    <row r="284" spans="1:15">
      <c r="B284" s="1397" t="s">
        <v>900</v>
      </c>
      <c r="C284" s="679">
        <v>2020</v>
      </c>
      <c r="D284" s="667">
        <f>SUMIFS(Demand!$E$7:$AN$7,Demand!$E$2:$AN$2,$C284)</f>
        <v>735.53146333319216</v>
      </c>
      <c r="E284" s="667">
        <f>SUMIFS(Demand!$E$8:$AN$8,Demand!$E$2:$AN$2,$C284)</f>
        <v>735.53146333319216</v>
      </c>
      <c r="F284" s="667">
        <f>SUMIFS(Demand!$E$9:$AN$9,Demand!$E$2:$AN$2,$C284)</f>
        <v>5215.5867399989984</v>
      </c>
      <c r="G284" s="667">
        <f>SUMIFS(Demand!$E$10:$AN$10,Demand!$E$2:$AN$2,$C284)</f>
        <v>735.53146333319216</v>
      </c>
      <c r="H284" s="667">
        <f>SUMIFS(Demand!$E$11:$AN$11,Demand!$E$2:$AN$2,$C284)</f>
        <v>329.53895628361096</v>
      </c>
      <c r="I284" s="667">
        <f>SUMIFS(Demand!$E$12:$AN$12,Demand!$E$2:$AN$2,$C284)</f>
        <v>5215.5867399989984</v>
      </c>
      <c r="J284" s="667">
        <f>SUMIFS(Demand!$E$15:$AN$15,Demand!$E$2:$AN$2,$C284)</f>
        <v>264.96451879260138</v>
      </c>
      <c r="K284" s="667">
        <f>SUMIFS(Demand!$E$16:$AN$16,Demand!$E$2:$AN$2,$C284)</f>
        <v>695.41156533319986</v>
      </c>
      <c r="L284" s="667">
        <f>SUMIFS(Demand!$E$17:$AN$17,Demand!$E$2:$AN$2,$C284)</f>
        <v>1136.7304433331151</v>
      </c>
      <c r="M284" s="667">
        <f>SUMIFS(Demand!$E$20:$AN$20,Demand!$E$2:$AN$2,$C284)</f>
        <v>14041.964299997304</v>
      </c>
      <c r="N284" s="667">
        <f>SUMIFS(Demand!$E$21:$AN$21,Demand!$E$2:$AN$2,$C284)</f>
        <v>1136.7304433331151</v>
      </c>
      <c r="O284" s="667">
        <f>SUMIFS(Demand!$E$22:$AN$22,Demand!$E$2:$AN$2,$C284)</f>
        <v>2139.7278933329226</v>
      </c>
    </row>
    <row r="285" spans="1:15">
      <c r="B285" s="1398"/>
      <c r="C285" s="679">
        <v>2025</v>
      </c>
      <c r="D285" s="667">
        <f>SUMIFS(Demand!$E$7:$AN$7,Demand!$E$2:$AN$2,$C285)</f>
        <v>850.59051925664085</v>
      </c>
      <c r="E285" s="667">
        <f>SUMIFS(Demand!$E$8:$AN$8,Demand!$E$2:$AN$2,$C285)</f>
        <v>850.59051925664085</v>
      </c>
      <c r="F285" s="667">
        <f>SUMIFS(Demand!$E$9:$AN$9,Demand!$E$2:$AN$2,$C285)</f>
        <v>6031.4600456379985</v>
      </c>
      <c r="G285" s="667">
        <f>SUMIFS(Demand!$E$10:$AN$10,Demand!$E$2:$AN$2,$C285)</f>
        <v>850.59051925664085</v>
      </c>
      <c r="H285" s="667">
        <f>SUMIFS(Demand!$E$11:$AN$11,Demand!$E$2:$AN$2,$C285)</f>
        <v>381.08867657452242</v>
      </c>
      <c r="I285" s="667">
        <f>SUMIFS(Demand!$E$12:$AN$12,Demand!$E$2:$AN$2,$C285)</f>
        <v>6031.4600456379985</v>
      </c>
      <c r="J285" s="667">
        <f>SUMIFS(Demand!$E$15:$AN$15,Demand!$E$2:$AN$2,$C285)</f>
        <v>306.41287131763443</v>
      </c>
      <c r="K285" s="667">
        <f>SUMIFS(Demand!$E$16:$AN$16,Demand!$E$2:$AN$2,$C285)</f>
        <v>804.19467275173315</v>
      </c>
      <c r="L285" s="667">
        <f>SUMIFS(Demand!$E$17:$AN$17,Demand!$E$2:$AN$2,$C285)</f>
        <v>1314.5489843057178</v>
      </c>
      <c r="M285" s="667">
        <f>SUMIFS(Demand!$E$20:$AN$20,Demand!$E$2:$AN$2,$C285)</f>
        <v>16238.546276717689</v>
      </c>
      <c r="N285" s="667">
        <f>SUMIFS(Demand!$E$21:$AN$21,Demand!$E$2:$AN$2,$C285)</f>
        <v>1314.5489843057178</v>
      </c>
      <c r="O285" s="667">
        <f>SUMIFS(Demand!$E$22:$AN$22,Demand!$E$2:$AN$2,$C285)</f>
        <v>2474.4451469284099</v>
      </c>
    </row>
    <row r="286" spans="1:15">
      <c r="B286" s="1398"/>
      <c r="C286" s="679">
        <v>2030</v>
      </c>
      <c r="D286" s="667">
        <f>SUMIFS(Demand!$E$7:$AN$7,Demand!$E$2:$AN$2,$C286)</f>
        <v>983.64824282375798</v>
      </c>
      <c r="E286" s="667">
        <f>SUMIFS(Demand!$E$8:$AN$8,Demand!$E$2:$AN$2,$C286)</f>
        <v>983.64824282375798</v>
      </c>
      <c r="F286" s="667">
        <f>SUMIFS(Demand!$E$9:$AN$9,Demand!$E$2:$AN$2,$C286)</f>
        <v>6974.960267295738</v>
      </c>
      <c r="G286" s="667">
        <f>SUMIFS(Demand!$E$10:$AN$10,Demand!$E$2:$AN$2,$C286)</f>
        <v>983.64824282375798</v>
      </c>
      <c r="H286" s="667">
        <f>SUMIFS(Demand!$E$11:$AN$11,Demand!$E$2:$AN$2,$C286)</f>
        <v>440.70231043741308</v>
      </c>
      <c r="I286" s="667">
        <f>SUMIFS(Demand!$E$12:$AN$12,Demand!$E$2:$AN$2,$C286)</f>
        <v>6974.960267295738</v>
      </c>
      <c r="J286" s="667">
        <f>SUMIFS(Demand!$E$15:$AN$15,Demand!$E$2:$AN$2,$C286)</f>
        <v>354.34498225254026</v>
      </c>
      <c r="K286" s="667">
        <f>SUMIFS(Demand!$E$16:$AN$16,Demand!$E$2:$AN$2,$C286)</f>
        <v>929.99470230609836</v>
      </c>
      <c r="L286" s="667">
        <f>SUMIFS(Demand!$E$17:$AN$17,Demand!$E$2:$AN$2,$C286)</f>
        <v>1520.1836480003531</v>
      </c>
      <c r="M286" s="667">
        <f>SUMIFS(Demand!$E$20:$AN$20,Demand!$E$2:$AN$2,$C286)</f>
        <v>18778.739181180834</v>
      </c>
      <c r="N286" s="667">
        <f>SUMIFS(Demand!$E$21:$AN$21,Demand!$E$2:$AN$2,$C286)</f>
        <v>1520.1836480003531</v>
      </c>
      <c r="O286" s="667">
        <f>SUMIFS(Demand!$E$22:$AN$22,Demand!$E$2:$AN$2,$C286)</f>
        <v>2861.5221609418413</v>
      </c>
    </row>
    <row r="287" spans="1:15">
      <c r="B287" s="1398"/>
      <c r="C287" s="679">
        <v>2035</v>
      </c>
      <c r="D287" s="667">
        <f>SUMIFS(Demand!$E$7:$AN$7,Demand!$E$2:$AN$2,$C287)</f>
        <v>1137.5201624112303</v>
      </c>
      <c r="E287" s="667">
        <f>SUMIFS(Demand!$E$8:$AN$8,Demand!$E$2:$AN$2,$C287)</f>
        <v>1137.5201624112303</v>
      </c>
      <c r="F287" s="667">
        <f>SUMIFS(Demand!$E$9:$AN$9,Demand!$E$2:$AN$2,$C287)</f>
        <v>8066.0520607341778</v>
      </c>
      <c r="G287" s="667">
        <f>SUMIFS(Demand!$E$10:$AN$10,Demand!$E$2:$AN$2,$C287)</f>
        <v>1137.5201624112303</v>
      </c>
      <c r="H287" s="667">
        <f>SUMIFS(Demand!$E$11:$AN$11,Demand!$E$2:$AN$2,$C287)</f>
        <v>509.64129443739654</v>
      </c>
      <c r="I287" s="667">
        <f>SUMIFS(Demand!$E$12:$AN$12,Demand!$E$2:$AN$2,$C287)</f>
        <v>8066.0520607341778</v>
      </c>
      <c r="J287" s="667">
        <f>SUMIFS(Demand!$E$15:$AN$15,Demand!$E$2:$AN$2,$C287)</f>
        <v>409.7751047716086</v>
      </c>
      <c r="K287" s="667">
        <f>SUMIFS(Demand!$E$16:$AN$16,Demand!$E$2:$AN$2,$C287)</f>
        <v>1075.4736080978903</v>
      </c>
      <c r="L287" s="667">
        <f>SUMIFS(Demand!$E$17:$AN$17,Demand!$E$2:$AN$2,$C287)</f>
        <v>1757.9857055446284</v>
      </c>
      <c r="M287" s="667">
        <f>SUMIFS(Demand!$E$20:$AN$20,Demand!$E$2:$AN$2,$C287)</f>
        <v>21716.294009668942</v>
      </c>
      <c r="N287" s="667">
        <f>SUMIFS(Demand!$E$21:$AN$21,Demand!$E$2:$AN$2,$C287)</f>
        <v>1757.9857055446284</v>
      </c>
      <c r="O287" s="667">
        <f>SUMIFS(Demand!$E$22:$AN$22,Demand!$E$2:$AN$2,$C287)</f>
        <v>3309.1495633781242</v>
      </c>
    </row>
    <row r="288" spans="1:15">
      <c r="B288" s="1398"/>
      <c r="C288" s="679">
        <v>2040</v>
      </c>
      <c r="D288" s="667">
        <f>SUMIFS(Demand!$E$7:$AN$7,Demand!$E$2:$AN$2,$C288)</f>
        <v>1315.4622389986941</v>
      </c>
      <c r="E288" s="667">
        <f>SUMIFS(Demand!$E$8:$AN$8,Demand!$E$2:$AN$2,$C288)</f>
        <v>1315.4622389986941</v>
      </c>
      <c r="F288" s="667">
        <f>SUMIFS(Demand!$E$9:$AN$9,Demand!$E$2:$AN$2,$C288)</f>
        <v>9327.8231492634677</v>
      </c>
      <c r="G288" s="667">
        <f>SUMIFS(Demand!$E$10:$AN$10,Demand!$E$2:$AN$2,$C288)</f>
        <v>1315.4622389986941</v>
      </c>
      <c r="H288" s="667">
        <f>SUMIFS(Demand!$E$11:$AN$11,Demand!$E$2:$AN$2,$C288)</f>
        <v>589.36439143699829</v>
      </c>
      <c r="I288" s="667">
        <f>SUMIFS(Demand!$E$12:$AN$12,Demand!$E$2:$AN$2,$C288)</f>
        <v>9327.8231492634677</v>
      </c>
      <c r="J288" s="667">
        <f>SUMIFS(Demand!$E$15:$AN$15,Demand!$E$2:$AN$2,$C288)</f>
        <v>473.87615149269988</v>
      </c>
      <c r="K288" s="667">
        <f>SUMIFS(Demand!$E$16:$AN$16,Demand!$E$2:$AN$2,$C288)</f>
        <v>1243.709753235129</v>
      </c>
      <c r="L288" s="667">
        <f>SUMIFS(Demand!$E$17:$AN$17,Demand!$E$2:$AN$2,$C288)</f>
        <v>2032.9870966343453</v>
      </c>
      <c r="M288" s="667">
        <f>SUMIFS(Demand!$E$20:$AN$20,Demand!$E$2:$AN$2,$C288)</f>
        <v>25113.370017247795</v>
      </c>
      <c r="N288" s="667">
        <f>SUMIFS(Demand!$E$21:$AN$21,Demand!$E$2:$AN$2,$C288)</f>
        <v>2032.9870966343453</v>
      </c>
      <c r="O288" s="667">
        <f>SUMIFS(Demand!$E$22:$AN$22,Demand!$E$2:$AN$2,$C288)</f>
        <v>3826.7992407234738</v>
      </c>
    </row>
    <row r="289" spans="1:15">
      <c r="B289" s="1398"/>
      <c r="C289" s="679">
        <v>2045</v>
      </c>
      <c r="D289" s="667">
        <f>SUMIFS(Demand!$E$7:$AN$7,Demand!$E$2:$AN$2,$C289)</f>
        <v>1521.2397629624411</v>
      </c>
      <c r="E289" s="667">
        <f>SUMIFS(Demand!$E$8:$AN$8,Demand!$E$2:$AN$2,$C289)</f>
        <v>1521.2397629624411</v>
      </c>
      <c r="F289" s="667">
        <f>SUMIFS(Demand!$E$9:$AN$9,Demand!$E$2:$AN$2,$C289)</f>
        <v>10786.972864642765</v>
      </c>
      <c r="G289" s="667">
        <f>SUMIFS(Demand!$E$10:$AN$10,Demand!$E$2:$AN$2,$C289)</f>
        <v>1521.2397629624411</v>
      </c>
      <c r="H289" s="667">
        <f>SUMIFS(Demand!$E$11:$AN$11,Demand!$E$2:$AN$2,$C289)</f>
        <v>681.55855831374618</v>
      </c>
      <c r="I289" s="667">
        <f>SUMIFS(Demand!$E$12:$AN$12,Demand!$E$2:$AN$2,$C289)</f>
        <v>10786.972864642765</v>
      </c>
      <c r="J289" s="667">
        <f>SUMIFS(Demand!$E$15:$AN$15,Demand!$E$2:$AN$2,$C289)</f>
        <v>548.0045135457699</v>
      </c>
      <c r="K289" s="667">
        <f>SUMIFS(Demand!$E$16:$AN$16,Demand!$E$2:$AN$2,$C289)</f>
        <v>1438.2630486190353</v>
      </c>
      <c r="L289" s="667">
        <f>SUMIFS(Demand!$E$17:$AN$17,Demand!$E$2:$AN$2,$C289)</f>
        <v>2351.0069063965002</v>
      </c>
      <c r="M289" s="667">
        <f>SUMIFS(Demand!$E$20:$AN$20,Demand!$E$2:$AN$2,$C289)</f>
        <v>29041.850020192058</v>
      </c>
      <c r="N289" s="667">
        <f>SUMIFS(Demand!$E$21:$AN$21,Demand!$E$2:$AN$2,$C289)</f>
        <v>2351.0069063965002</v>
      </c>
      <c r="O289" s="667">
        <f>SUMIFS(Demand!$E$22:$AN$22,Demand!$E$2:$AN$2,$C289)</f>
        <v>4425.4247649816471</v>
      </c>
    </row>
    <row r="290" spans="1:15">
      <c r="B290" s="1398"/>
      <c r="C290" s="679">
        <v>2050</v>
      </c>
      <c r="D290" s="667">
        <f>SUMIFS(Demand!$E$7:$AN$7,Demand!$E$2:$AN$2,$C290)</f>
        <v>1759.2070283823034</v>
      </c>
      <c r="E290" s="667">
        <f>SUMIFS(Demand!$E$8:$AN$8,Demand!$E$2:$AN$2,$C290)</f>
        <v>1759.2070283823034</v>
      </c>
      <c r="F290" s="667">
        <f>SUMIFS(Demand!$E$9:$AN$9,Demand!$E$2:$AN$2,$C290)</f>
        <v>12474.377110347241</v>
      </c>
      <c r="G290" s="667">
        <f>SUMIFS(Demand!$E$10:$AN$10,Demand!$E$2:$AN$2,$C290)</f>
        <v>1759.2070283823034</v>
      </c>
      <c r="H290" s="667">
        <f>SUMIFS(Demand!$E$11:$AN$11,Demand!$E$2:$AN$2,$C290)</f>
        <v>788.17464230933024</v>
      </c>
      <c r="I290" s="667">
        <f>SUMIFS(Demand!$E$12:$AN$12,Demand!$E$2:$AN$2,$C290)</f>
        <v>12474.377110347241</v>
      </c>
      <c r="J290" s="667">
        <f>SUMIFS(Demand!$E$15:$AN$15,Demand!$E$2:$AN$2,$C290)</f>
        <v>633.7287620838672</v>
      </c>
      <c r="K290" s="667">
        <f>SUMIFS(Demand!$E$16:$AN$16,Demand!$E$2:$AN$2,$C290)</f>
        <v>1663.2502813796323</v>
      </c>
      <c r="L290" s="667">
        <f>SUMIFS(Demand!$E$17:$AN$17,Demand!$E$2:$AN$2,$C290)</f>
        <v>2718.7744984090141</v>
      </c>
      <c r="M290" s="667">
        <f>SUMIFS(Demand!$E$20:$AN$20,Demand!$E$2:$AN$2,$C290)</f>
        <v>33584.861450934884</v>
      </c>
      <c r="N290" s="667">
        <f>SUMIFS(Demand!$E$21:$AN$21,Demand!$E$2:$AN$2,$C290)</f>
        <v>2718.7744984090141</v>
      </c>
      <c r="O290" s="667">
        <f>SUMIFS(Demand!$E$22:$AN$22,Demand!$E$2:$AN$2,$C290)</f>
        <v>5117.6931734757918</v>
      </c>
    </row>
    <row r="291" spans="1:15">
      <c r="B291" s="1399"/>
      <c r="C291" s="679">
        <v>2055</v>
      </c>
      <c r="D291" s="667">
        <f>SUMIFS(Demand!$E$7:$AN$7,Demand!$E$2:$AN$2,$C291)</f>
        <v>2034.3994707861862</v>
      </c>
      <c r="E291" s="667">
        <f>SUMIFS(Demand!$E$8:$AN$8,Demand!$E$2:$AN$2,$C291)</f>
        <v>2034.3994707861862</v>
      </c>
      <c r="F291" s="667">
        <f>SUMIFS(Demand!$E$9:$AN$9,Demand!$E$2:$AN$2,$C291)</f>
        <v>14425.741701938412</v>
      </c>
      <c r="G291" s="667">
        <f>SUMIFS(Demand!$E$10:$AN$10,Demand!$E$2:$AN$2,$C291)</f>
        <v>2034.3994707861862</v>
      </c>
      <c r="H291" s="667">
        <f>SUMIFS(Demand!$E$11:$AN$11,Demand!$E$2:$AN$2,$C291)</f>
        <v>911.46866135231005</v>
      </c>
      <c r="I291" s="667">
        <f>SUMIFS(Demand!$E$12:$AN$12,Demand!$E$2:$AN$2,$C291)</f>
        <v>14425.741701938412</v>
      </c>
      <c r="J291" s="667">
        <f>SUMIFS(Demand!$E$15:$AN$15,Demand!$E$2:$AN$2,$C291)</f>
        <v>732.86283956638931</v>
      </c>
      <c r="K291" s="667">
        <f>SUMIFS(Demand!$E$16:$AN$16,Demand!$E$2:$AN$2,$C291)</f>
        <v>1923.4322269251215</v>
      </c>
      <c r="L291" s="667">
        <f>SUMIFS(Demand!$E$17:$AN$17,Demand!$E$2:$AN$2,$C291)</f>
        <v>3144.0719093968332</v>
      </c>
      <c r="M291" s="667">
        <f>SUMIFS(Demand!$E$20:$AN$20,Demand!$E$2:$AN$2,$C291)</f>
        <v>38838.535351372644</v>
      </c>
      <c r="N291" s="667">
        <f>SUMIFS(Demand!$E$21:$AN$21,Demand!$E$2:$AN$2,$C291)</f>
        <v>3144.0719093968332</v>
      </c>
      <c r="O291" s="667">
        <f>SUMIFS(Demand!$E$22:$AN$22,Demand!$E$2:$AN$2,$C291)</f>
        <v>5918.2530059234505</v>
      </c>
    </row>
    <row r="292" spans="1:15">
      <c r="B292" s="1397" t="s">
        <v>916</v>
      </c>
      <c r="C292" s="679">
        <v>2020</v>
      </c>
      <c r="D292" s="667">
        <f t="shared" ref="D292:O292" si="77">D284*Days.Per.Year</f>
        <v>268468.98411661515</v>
      </c>
      <c r="E292" s="667">
        <f t="shared" si="77"/>
        <v>268468.98411661515</v>
      </c>
      <c r="F292" s="667">
        <f t="shared" si="77"/>
        <v>1903689.1600996344</v>
      </c>
      <c r="G292" s="667">
        <f t="shared" si="77"/>
        <v>268468.98411661515</v>
      </c>
      <c r="H292" s="667">
        <f t="shared" si="77"/>
        <v>120281.71904351799</v>
      </c>
      <c r="I292" s="667">
        <f t="shared" si="77"/>
        <v>1903689.1600996344</v>
      </c>
      <c r="J292" s="667">
        <f t="shared" si="77"/>
        <v>96712.049359299504</v>
      </c>
      <c r="K292" s="667">
        <f t="shared" si="77"/>
        <v>253825.22134661794</v>
      </c>
      <c r="L292" s="667">
        <f t="shared" si="77"/>
        <v>414906.61181658698</v>
      </c>
      <c r="M292" s="667">
        <f t="shared" si="77"/>
        <v>5125316.9694990162</v>
      </c>
      <c r="N292" s="667">
        <f t="shared" si="77"/>
        <v>414906.61181658698</v>
      </c>
      <c r="O292" s="667">
        <f t="shared" si="77"/>
        <v>781000.68106651679</v>
      </c>
    </row>
    <row r="293" spans="1:15">
      <c r="B293" s="1398"/>
      <c r="C293" s="679">
        <v>2025</v>
      </c>
      <c r="D293" s="667">
        <f t="shared" ref="D293:O293" si="78">D285*Days.Per.Year</f>
        <v>310465.53952867392</v>
      </c>
      <c r="E293" s="667">
        <f t="shared" si="78"/>
        <v>310465.53952867392</v>
      </c>
      <c r="F293" s="667">
        <f t="shared" si="78"/>
        <v>2201482.9166578692</v>
      </c>
      <c r="G293" s="667">
        <f t="shared" si="78"/>
        <v>310465.53952867392</v>
      </c>
      <c r="H293" s="667">
        <f t="shared" si="78"/>
        <v>139097.36694970069</v>
      </c>
      <c r="I293" s="667">
        <f t="shared" si="78"/>
        <v>2201482.9166578692</v>
      </c>
      <c r="J293" s="667">
        <f t="shared" si="78"/>
        <v>111840.69803093656</v>
      </c>
      <c r="K293" s="667">
        <f t="shared" si="78"/>
        <v>293531.05555438262</v>
      </c>
      <c r="L293" s="667">
        <f t="shared" si="78"/>
        <v>479810.37927158701</v>
      </c>
      <c r="M293" s="667">
        <f t="shared" si="78"/>
        <v>5927069.3910019565</v>
      </c>
      <c r="N293" s="667">
        <f t="shared" si="78"/>
        <v>479810.37927158701</v>
      </c>
      <c r="O293" s="667">
        <f t="shared" si="78"/>
        <v>903172.47862886963</v>
      </c>
    </row>
    <row r="294" spans="1:15">
      <c r="B294" s="1398"/>
      <c r="C294" s="679">
        <v>2030</v>
      </c>
      <c r="D294" s="667">
        <f t="shared" ref="D294:O294" si="79">D286*Days.Per.Year</f>
        <v>359031.60863067169</v>
      </c>
      <c r="E294" s="667">
        <f t="shared" si="79"/>
        <v>359031.60863067169</v>
      </c>
      <c r="F294" s="667">
        <f t="shared" si="79"/>
        <v>2545860.4975629444</v>
      </c>
      <c r="G294" s="667">
        <f t="shared" si="79"/>
        <v>359031.60863067169</v>
      </c>
      <c r="H294" s="667">
        <f t="shared" si="79"/>
        <v>160856.34330965579</v>
      </c>
      <c r="I294" s="667">
        <f t="shared" si="79"/>
        <v>2545860.4975629444</v>
      </c>
      <c r="J294" s="667">
        <f t="shared" si="79"/>
        <v>129335.91852217719</v>
      </c>
      <c r="K294" s="667">
        <f t="shared" si="79"/>
        <v>339448.06634172588</v>
      </c>
      <c r="L294" s="667">
        <f t="shared" si="79"/>
        <v>554867.03152012883</v>
      </c>
      <c r="M294" s="667">
        <f t="shared" si="79"/>
        <v>6854239.8011310045</v>
      </c>
      <c r="N294" s="667">
        <f t="shared" si="79"/>
        <v>554867.03152012883</v>
      </c>
      <c r="O294" s="667">
        <f t="shared" si="79"/>
        <v>1044455.5887437721</v>
      </c>
    </row>
    <row r="295" spans="1:15">
      <c r="B295" s="1398"/>
      <c r="C295" s="679">
        <v>2035</v>
      </c>
      <c r="D295" s="667">
        <f t="shared" ref="D295:O295" si="80">D287*Days.Per.Year</f>
        <v>415194.85928009904</v>
      </c>
      <c r="E295" s="667">
        <f t="shared" si="80"/>
        <v>415194.85928009904</v>
      </c>
      <c r="F295" s="667">
        <f t="shared" si="80"/>
        <v>2944109.0021679751</v>
      </c>
      <c r="G295" s="667">
        <f t="shared" si="80"/>
        <v>415194.85928009904</v>
      </c>
      <c r="H295" s="667">
        <f t="shared" si="80"/>
        <v>186019.07246964975</v>
      </c>
      <c r="I295" s="667">
        <f t="shared" si="80"/>
        <v>2944109.0021679751</v>
      </c>
      <c r="J295" s="667">
        <f t="shared" si="80"/>
        <v>149567.91324163714</v>
      </c>
      <c r="K295" s="667">
        <f t="shared" si="80"/>
        <v>392547.86695572996</v>
      </c>
      <c r="L295" s="667">
        <f t="shared" si="80"/>
        <v>641664.78252378933</v>
      </c>
      <c r="M295" s="667">
        <f t="shared" si="80"/>
        <v>7926447.3135291636</v>
      </c>
      <c r="N295" s="667">
        <f t="shared" si="80"/>
        <v>641664.78252378933</v>
      </c>
      <c r="O295" s="667">
        <f t="shared" si="80"/>
        <v>1207839.5906330154</v>
      </c>
    </row>
    <row r="296" spans="1:15">
      <c r="B296" s="1398"/>
      <c r="C296" s="679">
        <v>2040</v>
      </c>
      <c r="D296" s="667">
        <f t="shared" ref="D296:O296" si="81">D288*Days.Per.Year</f>
        <v>480143.71723452338</v>
      </c>
      <c r="E296" s="667">
        <f t="shared" si="81"/>
        <v>480143.71723452338</v>
      </c>
      <c r="F296" s="667">
        <f t="shared" si="81"/>
        <v>3404655.4494811655</v>
      </c>
      <c r="G296" s="667">
        <f t="shared" si="81"/>
        <v>480143.71723452338</v>
      </c>
      <c r="H296" s="667">
        <f t="shared" si="81"/>
        <v>215118.00287450437</v>
      </c>
      <c r="I296" s="667">
        <f t="shared" si="81"/>
        <v>3404655.4494811655</v>
      </c>
      <c r="J296" s="667">
        <f t="shared" si="81"/>
        <v>172964.79529483547</v>
      </c>
      <c r="K296" s="667">
        <f t="shared" si="81"/>
        <v>453954.05993082211</v>
      </c>
      <c r="L296" s="667">
        <f t="shared" si="81"/>
        <v>742040.2902715361</v>
      </c>
      <c r="M296" s="667">
        <f t="shared" si="81"/>
        <v>9166380.0562954452</v>
      </c>
      <c r="N296" s="667">
        <f t="shared" si="81"/>
        <v>742040.2902715361</v>
      </c>
      <c r="O296" s="667">
        <f t="shared" si="81"/>
        <v>1396781.7228640679</v>
      </c>
    </row>
    <row r="297" spans="1:15">
      <c r="B297" s="1398"/>
      <c r="C297" s="679">
        <v>2045</v>
      </c>
      <c r="D297" s="667">
        <f t="shared" ref="D297:O297" si="82">D289*Days.Per.Year</f>
        <v>555252.51348129101</v>
      </c>
      <c r="E297" s="667">
        <f t="shared" si="82"/>
        <v>555252.51348129101</v>
      </c>
      <c r="F297" s="667">
        <f t="shared" si="82"/>
        <v>3937245.0955946092</v>
      </c>
      <c r="G297" s="667">
        <f t="shared" si="82"/>
        <v>555252.51348129101</v>
      </c>
      <c r="H297" s="667">
        <f t="shared" si="82"/>
        <v>248768.87378451735</v>
      </c>
      <c r="I297" s="667">
        <f t="shared" si="82"/>
        <v>3937245.0955946092</v>
      </c>
      <c r="J297" s="667">
        <f t="shared" si="82"/>
        <v>200021.647444206</v>
      </c>
      <c r="K297" s="667">
        <f t="shared" si="82"/>
        <v>524966.01274594793</v>
      </c>
      <c r="L297" s="667">
        <f t="shared" si="82"/>
        <v>858117.52083472256</v>
      </c>
      <c r="M297" s="667">
        <f t="shared" si="82"/>
        <v>10600275.257370101</v>
      </c>
      <c r="N297" s="667">
        <f t="shared" si="82"/>
        <v>858117.52083472256</v>
      </c>
      <c r="O297" s="667">
        <f t="shared" si="82"/>
        <v>1615280.0392183012</v>
      </c>
    </row>
    <row r="298" spans="1:15">
      <c r="B298" s="1398"/>
      <c r="C298" s="679">
        <v>2050</v>
      </c>
      <c r="D298" s="667">
        <f t="shared" ref="D298:O299" si="83">D290*Days.Per.Year</f>
        <v>642110.56535954075</v>
      </c>
      <c r="E298" s="667">
        <f t="shared" si="83"/>
        <v>642110.56535954075</v>
      </c>
      <c r="F298" s="667">
        <f t="shared" si="83"/>
        <v>4553147.645276743</v>
      </c>
      <c r="G298" s="667">
        <f t="shared" si="83"/>
        <v>642110.56535954075</v>
      </c>
      <c r="H298" s="667">
        <f t="shared" si="83"/>
        <v>287683.74444290553</v>
      </c>
      <c r="I298" s="667">
        <f t="shared" si="83"/>
        <v>4553147.645276743</v>
      </c>
      <c r="J298" s="667">
        <f t="shared" si="83"/>
        <v>231310.99816061152</v>
      </c>
      <c r="K298" s="667">
        <f t="shared" si="83"/>
        <v>607086.35270356573</v>
      </c>
      <c r="L298" s="667">
        <f t="shared" si="83"/>
        <v>992352.69191929011</v>
      </c>
      <c r="M298" s="667">
        <f t="shared" si="83"/>
        <v>12258474.429591233</v>
      </c>
      <c r="N298" s="667">
        <f t="shared" si="83"/>
        <v>992352.69191929011</v>
      </c>
      <c r="O298" s="667">
        <f t="shared" si="83"/>
        <v>1867958.008318664</v>
      </c>
    </row>
    <row r="299" spans="1:15">
      <c r="B299" s="1399"/>
      <c r="C299" s="679">
        <v>2055</v>
      </c>
      <c r="D299" s="667">
        <f t="shared" si="83"/>
        <v>742555.80683695793</v>
      </c>
      <c r="E299" s="667">
        <f t="shared" si="83"/>
        <v>742555.80683695793</v>
      </c>
      <c r="F299" s="667">
        <f t="shared" si="83"/>
        <v>5265395.72120752</v>
      </c>
      <c r="G299" s="667">
        <f t="shared" si="83"/>
        <v>742555.80683695793</v>
      </c>
      <c r="H299" s="667">
        <f t="shared" si="83"/>
        <v>332686.06139359315</v>
      </c>
      <c r="I299" s="667">
        <f t="shared" si="83"/>
        <v>5265395.72120752</v>
      </c>
      <c r="J299" s="667">
        <f t="shared" si="83"/>
        <v>267494.9364417321</v>
      </c>
      <c r="K299" s="667">
        <f t="shared" si="83"/>
        <v>702052.76282766939</v>
      </c>
      <c r="L299" s="667">
        <f t="shared" si="83"/>
        <v>1147586.2469298441</v>
      </c>
      <c r="M299" s="667">
        <f t="shared" si="83"/>
        <v>14176065.403251015</v>
      </c>
      <c r="N299" s="667">
        <f t="shared" si="83"/>
        <v>1147586.2469298441</v>
      </c>
      <c r="O299" s="667">
        <f t="shared" si="83"/>
        <v>2160162.3471620595</v>
      </c>
    </row>
    <row r="301" spans="1:15">
      <c r="A301" s="656" t="s">
        <v>869</v>
      </c>
    </row>
    <row r="302" spans="1:15">
      <c r="B302" s="663" t="s">
        <v>861</v>
      </c>
      <c r="C302" s="652" t="s">
        <v>449</v>
      </c>
      <c r="D302" s="663" t="s">
        <v>8</v>
      </c>
      <c r="E302" s="652" t="s">
        <v>1</v>
      </c>
    </row>
    <row r="303" spans="1:15">
      <c r="B303" s="678" t="str">
        <f>'General Inputs'!B23</f>
        <v>Fatal Crash</v>
      </c>
      <c r="C303" s="679" t="str">
        <f>'General Inputs'!C23</f>
        <v>2019$/fatal crash</v>
      </c>
      <c r="D303" s="687">
        <f>'General Inputs'!D23</f>
        <v>12071000</v>
      </c>
      <c r="E303" s="680" t="str">
        <f>'General Inputs'!E23</f>
        <v xml:space="preserve">US DOT, BCA Guidance 2021. </v>
      </c>
    </row>
    <row r="304" spans="1:15">
      <c r="B304" s="678" t="str">
        <f>'General Inputs'!B24</f>
        <v>Injury Crash</v>
      </c>
      <c r="C304" s="679" t="str">
        <f>'General Inputs'!C24</f>
        <v>2019$/injury crash</v>
      </c>
      <c r="D304" s="687">
        <f>'General Inputs'!D24</f>
        <v>284100</v>
      </c>
      <c r="E304" s="680" t="str">
        <f>'General Inputs'!E24</f>
        <v xml:space="preserve">US DOT, BCA Guidance 2021. </v>
      </c>
    </row>
    <row r="305" spans="1:5">
      <c r="B305" s="678" t="str">
        <f>'General Inputs'!B25</f>
        <v>Average Cost per PDO Accident</v>
      </c>
      <c r="C305" s="679" t="str">
        <f>'General Inputs'!C25</f>
        <v>2019$/PDO accident</v>
      </c>
      <c r="D305" s="687">
        <f>'General Inputs'!D25</f>
        <v>4500</v>
      </c>
      <c r="E305" s="680" t="str">
        <f>'General Inputs'!E25</f>
        <v xml:space="preserve">US DOT, BCA Guidance 2021. </v>
      </c>
    </row>
    <row r="306" spans="1:5" ht="23">
      <c r="B306" s="680" t="str">
        <f>'General Inputs'!B26</f>
        <v>Annual Growth in Real Accident Costs</v>
      </c>
      <c r="C306" s="679" t="str">
        <f>'General Inputs'!C26</f>
        <v>%</v>
      </c>
      <c r="D306" s="679">
        <f>'General Inputs'!D26</f>
        <v>0</v>
      </c>
      <c r="E306" s="680" t="str">
        <f>'General Inputs'!E26</f>
        <v xml:space="preserve">US DOT, BCA Guidance 2021. </v>
      </c>
    </row>
    <row r="308" spans="1:5">
      <c r="A308" s="673" t="s">
        <v>1303</v>
      </c>
    </row>
    <row r="309" spans="1:5">
      <c r="B309" s="1379"/>
      <c r="C309" s="1380" t="s">
        <v>867</v>
      </c>
      <c r="D309" s="1381" t="s">
        <v>1319</v>
      </c>
      <c r="E309" s="1382"/>
    </row>
    <row r="310" spans="1:5">
      <c r="B310" s="1379"/>
      <c r="C310" s="1380"/>
      <c r="D310" s="688" t="s">
        <v>9</v>
      </c>
      <c r="E310" s="689" t="s">
        <v>868</v>
      </c>
    </row>
    <row r="311" spans="1:5">
      <c r="B311" s="654" t="str">
        <f>Results!$B$18</f>
        <v>Accident Cost Savings</v>
      </c>
      <c r="C311" s="662">
        <f>SUMIFS(Results!$D$43:$AJ$43,Results!$D$42:$AJ$42,Results!$C$9)</f>
        <v>62562.159129894724</v>
      </c>
      <c r="D311" s="662">
        <f>Results!$C$18*10^6</f>
        <v>2312423.1964359824</v>
      </c>
      <c r="E311" s="662">
        <f>Results!$E$18*10^6</f>
        <v>729807.2450610376</v>
      </c>
    </row>
    <row r="312" spans="1:5">
      <c r="B312" s="663" t="s">
        <v>5</v>
      </c>
      <c r="C312" s="688"/>
      <c r="D312" s="664">
        <f>SUM(D311)</f>
        <v>2312423.1964359824</v>
      </c>
      <c r="E312" s="664">
        <f>SUM(E311)</f>
        <v>729807.2450610376</v>
      </c>
    </row>
    <row r="314" spans="1:5">
      <c r="A314" s="656" t="s">
        <v>870</v>
      </c>
    </row>
    <row r="315" spans="1:5">
      <c r="B315" s="663" t="s">
        <v>861</v>
      </c>
      <c r="C315" s="652" t="s">
        <v>449</v>
      </c>
      <c r="D315" s="663" t="s">
        <v>8</v>
      </c>
      <c r="E315" s="652" t="s">
        <v>1</v>
      </c>
    </row>
    <row r="316" spans="1:5" ht="17.5" customHeight="1">
      <c r="B316" s="678" t="str">
        <f>'General Inputs'!B19</f>
        <v>Auto Occupancy</v>
      </c>
      <c r="C316" s="679" t="str">
        <f>'General Inputs'!C19</f>
        <v>persons</v>
      </c>
      <c r="D316" s="686">
        <f>'General Inputs'!D19</f>
        <v>1.67</v>
      </c>
      <c r="E316" s="1373" t="str">
        <f>'General Inputs'!E19</f>
        <v>US DOT, 2021 BCA Guidance and Federal Highway Administration Highway Statistics 2016, Table VM1.</v>
      </c>
    </row>
    <row r="317" spans="1:5" ht="17.5" customHeight="1">
      <c r="B317" s="678" t="str">
        <f>'General Inputs'!B20</f>
        <v>Truck Occupancy</v>
      </c>
      <c r="C317" s="679" t="str">
        <f>'General Inputs'!C20</f>
        <v>persons</v>
      </c>
      <c r="D317" s="686">
        <f>'General Inputs'!D20</f>
        <v>1</v>
      </c>
      <c r="E317" s="1375"/>
    </row>
    <row r="318" spans="1:5" ht="23">
      <c r="B318" s="678" t="str">
        <f>'General Inputs'!B21</f>
        <v>Bus Drivers per Bus</v>
      </c>
      <c r="C318" s="679" t="str">
        <f>'General Inputs'!C21</f>
        <v>persons</v>
      </c>
      <c r="D318" s="686">
        <f>'General Inputs'!D21</f>
        <v>1</v>
      </c>
      <c r="E318" s="680" t="str">
        <f>'General Inputs'!E21</f>
        <v>Assumed to be the same as Truck Occupancy.</v>
      </c>
    </row>
    <row r="319" spans="1:5" ht="23">
      <c r="B319" s="680" t="str">
        <f>'General Inputs'!B15</f>
        <v>Value of Time for Automobile Driver and Passenger</v>
      </c>
      <c r="C319" s="679" t="str">
        <f>'General Inputs'!C15</f>
        <v>2019$/hour</v>
      </c>
      <c r="D319" s="690">
        <f>'General Inputs'!D15</f>
        <v>17.899999999999999</v>
      </c>
      <c r="E319" s="1373" t="str">
        <f>'General Inputs'!E15</f>
        <v>US DOT, 2021 BCA, Revised Departmental Guidance on Valuation of Travel Time in Economic Analysis.</v>
      </c>
    </row>
    <row r="320" spans="1:5">
      <c r="B320" s="678" t="str">
        <f>'General Inputs'!B16</f>
        <v>Value of Time for Truck Driver</v>
      </c>
      <c r="C320" s="679" t="str">
        <f>'General Inputs'!C16</f>
        <v>2019$/hour</v>
      </c>
      <c r="D320" s="690">
        <f>'General Inputs'!D16</f>
        <v>30.8</v>
      </c>
      <c r="E320" s="1374"/>
    </row>
    <row r="321" spans="1:7">
      <c r="B321" s="678" t="str">
        <f>'General Inputs'!B17</f>
        <v>Value of Time for Bus Driver</v>
      </c>
      <c r="C321" s="679" t="str">
        <f>'General Inputs'!C17</f>
        <v>2019$/hour</v>
      </c>
      <c r="D321" s="690">
        <f>'General Inputs'!D17</f>
        <v>31.7</v>
      </c>
      <c r="E321" s="1375"/>
    </row>
    <row r="323" spans="1:7">
      <c r="A323" s="673" t="s">
        <v>1302</v>
      </c>
    </row>
    <row r="324" spans="1:7">
      <c r="B324" s="1379"/>
      <c r="C324" s="1380" t="s">
        <v>867</v>
      </c>
      <c r="D324" s="1381" t="s">
        <v>1319</v>
      </c>
      <c r="E324" s="1382"/>
    </row>
    <row r="325" spans="1:7">
      <c r="B325" s="1379"/>
      <c r="C325" s="1380"/>
      <c r="D325" s="688" t="s">
        <v>9</v>
      </c>
      <c r="E325" s="689" t="s">
        <v>868</v>
      </c>
    </row>
    <row r="326" spans="1:7">
      <c r="B326" s="654" t="str">
        <f>Results!$B$19</f>
        <v xml:space="preserve">Travel Time Savings </v>
      </c>
      <c r="C326" s="662">
        <f>SUMIFS(Results!$D$44:$AJ$44,Results!$D$42:$AJ$42,Results!$C$9)</f>
        <v>375616.8208396585</v>
      </c>
      <c r="D326" s="662">
        <f>Results!$C$19*10^6</f>
        <v>21212498.166079305</v>
      </c>
      <c r="E326" s="662">
        <f>Results!$E$19*10^6</f>
        <v>5894793.3747501848</v>
      </c>
      <c r="F326" s="1337"/>
    </row>
    <row r="327" spans="1:7">
      <c r="B327" s="663" t="s">
        <v>5</v>
      </c>
      <c r="C327" s="688"/>
      <c r="D327" s="664">
        <f>SUM(D326)</f>
        <v>21212498.166079305</v>
      </c>
      <c r="E327" s="664">
        <f>SUM(E326)</f>
        <v>5894793.3747501848</v>
      </c>
    </row>
    <row r="329" spans="1:7">
      <c r="A329" s="673" t="s">
        <v>1282</v>
      </c>
      <c r="B329" s="691"/>
      <c r="C329" s="691"/>
      <c r="D329" s="691"/>
      <c r="E329" s="691"/>
      <c r="F329" s="691"/>
    </row>
    <row r="330" spans="1:7">
      <c r="A330" s="673"/>
      <c r="B330" s="689" t="s">
        <v>0</v>
      </c>
      <c r="C330" s="688" t="s">
        <v>137</v>
      </c>
      <c r="D330" s="688" t="s">
        <v>551</v>
      </c>
      <c r="E330" s="688" t="s">
        <v>157</v>
      </c>
      <c r="F330" s="688" t="s">
        <v>1280</v>
      </c>
      <c r="G330" s="689" t="s">
        <v>1</v>
      </c>
    </row>
    <row r="331" spans="1:7">
      <c r="A331" s="673"/>
      <c r="B331" s="1339">
        <v>2021</v>
      </c>
      <c r="C331" s="1360">
        <f>'Emission Costs'!E83</f>
        <v>15700</v>
      </c>
      <c r="D331" s="1360">
        <f>'Emission Costs'!F83</f>
        <v>40400</v>
      </c>
      <c r="E331" s="1360">
        <f>'Emission Costs'!G83</f>
        <v>729300</v>
      </c>
      <c r="F331" s="1360">
        <f>'Emission Costs'!H83</f>
        <v>50</v>
      </c>
      <c r="G331" s="1420" t="s">
        <v>1281</v>
      </c>
    </row>
    <row r="332" spans="1:7">
      <c r="A332" s="673"/>
      <c r="B332" s="1339">
        <f>B331+1</f>
        <v>2022</v>
      </c>
      <c r="C332" s="1360">
        <f>'Emission Costs'!E84</f>
        <v>15900</v>
      </c>
      <c r="D332" s="1360">
        <f>'Emission Costs'!F84</f>
        <v>41300</v>
      </c>
      <c r="E332" s="1360">
        <f>'Emission Costs'!G84</f>
        <v>742300</v>
      </c>
      <c r="F332" s="1360">
        <f>'Emission Costs'!H84</f>
        <v>52</v>
      </c>
      <c r="G332" s="1420"/>
    </row>
    <row r="333" spans="1:7">
      <c r="A333" s="673"/>
      <c r="B333" s="1339">
        <f>B332+1</f>
        <v>2023</v>
      </c>
      <c r="C333" s="1360">
        <f>'Emission Costs'!E85</f>
        <v>16100</v>
      </c>
      <c r="D333" s="1360">
        <f>'Emission Costs'!F85</f>
        <v>42100</v>
      </c>
      <c r="E333" s="1360">
        <f>'Emission Costs'!G85</f>
        <v>755500</v>
      </c>
      <c r="F333" s="1360">
        <f>'Emission Costs'!H85</f>
        <v>53</v>
      </c>
      <c r="G333" s="1420"/>
    </row>
    <row r="334" spans="1:7">
      <c r="A334" s="673"/>
      <c r="B334" s="1339">
        <f t="shared" ref="B334:B364" si="84">B333+1</f>
        <v>2024</v>
      </c>
      <c r="C334" s="1360">
        <f>'Emission Costs'!E86</f>
        <v>16400</v>
      </c>
      <c r="D334" s="1360">
        <f>'Emission Costs'!F86</f>
        <v>43000</v>
      </c>
      <c r="E334" s="1360">
        <f>'Emission Costs'!G86</f>
        <v>769000</v>
      </c>
      <c r="F334" s="1360">
        <f>'Emission Costs'!H86</f>
        <v>54</v>
      </c>
      <c r="G334" s="1420"/>
    </row>
    <row r="335" spans="1:7">
      <c r="A335" s="673"/>
      <c r="B335" s="1339">
        <f t="shared" si="84"/>
        <v>2025</v>
      </c>
      <c r="C335" s="1360">
        <f>'Emission Costs'!E87</f>
        <v>16600</v>
      </c>
      <c r="D335" s="1360">
        <f>'Emission Costs'!F87</f>
        <v>43900</v>
      </c>
      <c r="E335" s="1360">
        <f>'Emission Costs'!G87</f>
        <v>782700</v>
      </c>
      <c r="F335" s="1360">
        <f>'Emission Costs'!H87</f>
        <v>55</v>
      </c>
      <c r="G335" s="1420"/>
    </row>
    <row r="336" spans="1:7">
      <c r="A336" s="673"/>
      <c r="B336" s="1339">
        <f t="shared" si="84"/>
        <v>2026</v>
      </c>
      <c r="C336" s="1360">
        <f>'Emission Costs'!E88</f>
        <v>16800</v>
      </c>
      <c r="D336" s="1360">
        <f>'Emission Costs'!F88</f>
        <v>44900</v>
      </c>
      <c r="E336" s="1360">
        <f>'Emission Costs'!G88</f>
        <v>796600</v>
      </c>
      <c r="F336" s="1360">
        <f>'Emission Costs'!H88</f>
        <v>56</v>
      </c>
      <c r="G336" s="1420"/>
    </row>
    <row r="337" spans="1:7">
      <c r="A337" s="673"/>
      <c r="B337" s="1339">
        <f t="shared" si="84"/>
        <v>2027</v>
      </c>
      <c r="C337" s="1360">
        <f>'Emission Costs'!E89</f>
        <v>17000</v>
      </c>
      <c r="D337" s="1360">
        <f>'Emission Costs'!F89</f>
        <v>45500</v>
      </c>
      <c r="E337" s="1360">
        <f>'Emission Costs'!G89</f>
        <v>807500</v>
      </c>
      <c r="F337" s="1360">
        <f>'Emission Costs'!H89</f>
        <v>57</v>
      </c>
      <c r="G337" s="1420"/>
    </row>
    <row r="338" spans="1:7">
      <c r="A338" s="673"/>
      <c r="B338" s="1339">
        <f t="shared" si="84"/>
        <v>2028</v>
      </c>
      <c r="C338" s="1360">
        <f>'Emission Costs'!E90</f>
        <v>17300</v>
      </c>
      <c r="D338" s="1360">
        <f>'Emission Costs'!F90</f>
        <v>46200</v>
      </c>
      <c r="E338" s="1360">
        <f>'Emission Costs'!G90</f>
        <v>818600</v>
      </c>
      <c r="F338" s="1360">
        <f>'Emission Costs'!H90</f>
        <v>58</v>
      </c>
      <c r="G338" s="1420"/>
    </row>
    <row r="339" spans="1:7">
      <c r="A339" s="673"/>
      <c r="B339" s="1339">
        <f t="shared" si="84"/>
        <v>2029</v>
      </c>
      <c r="C339" s="1360">
        <f>'Emission Costs'!E91</f>
        <v>17500</v>
      </c>
      <c r="D339" s="1360">
        <f>'Emission Costs'!F91</f>
        <v>46900</v>
      </c>
      <c r="E339" s="1360">
        <f>'Emission Costs'!G91</f>
        <v>829800</v>
      </c>
      <c r="F339" s="1360">
        <f>'Emission Costs'!H91</f>
        <v>59</v>
      </c>
      <c r="G339" s="1420"/>
    </row>
    <row r="340" spans="1:7">
      <c r="A340" s="673"/>
      <c r="B340" s="1339">
        <f t="shared" si="84"/>
        <v>2030</v>
      </c>
      <c r="C340" s="1360">
        <f>'Emission Costs'!E92</f>
        <v>17700</v>
      </c>
      <c r="D340" s="1360">
        <f>'Emission Costs'!F92</f>
        <v>47600</v>
      </c>
      <c r="E340" s="1360">
        <f>'Emission Costs'!G92</f>
        <v>841200</v>
      </c>
      <c r="F340" s="1360">
        <f>'Emission Costs'!H92</f>
        <v>60</v>
      </c>
      <c r="G340" s="1420"/>
    </row>
    <row r="341" spans="1:7">
      <c r="A341" s="673"/>
      <c r="B341" s="1339">
        <f t="shared" si="84"/>
        <v>2031</v>
      </c>
      <c r="C341" s="1360">
        <f>'Emission Costs'!E93</f>
        <v>18000</v>
      </c>
      <c r="D341" s="1360">
        <f>'Emission Costs'!F93</f>
        <v>48200</v>
      </c>
      <c r="E341" s="1360">
        <f>'Emission Costs'!G93</f>
        <v>852700</v>
      </c>
      <c r="F341" s="1360">
        <f>'Emission Costs'!H93</f>
        <v>61</v>
      </c>
      <c r="G341" s="1420"/>
    </row>
    <row r="342" spans="1:7">
      <c r="A342" s="673"/>
      <c r="B342" s="1339">
        <f t="shared" si="84"/>
        <v>2032</v>
      </c>
      <c r="C342" s="1360">
        <f>'Emission Costs'!E94</f>
        <v>18000</v>
      </c>
      <c r="D342" s="1360">
        <f>'Emission Costs'!F94</f>
        <v>48200</v>
      </c>
      <c r="E342" s="1360">
        <f>'Emission Costs'!G94</f>
        <v>852700</v>
      </c>
      <c r="F342" s="1360">
        <f>'Emission Costs'!H94</f>
        <v>62</v>
      </c>
      <c r="G342" s="1420"/>
    </row>
    <row r="343" spans="1:7">
      <c r="A343" s="673"/>
      <c r="B343" s="1339">
        <f t="shared" si="84"/>
        <v>2033</v>
      </c>
      <c r="C343" s="1360">
        <f>'Emission Costs'!E95</f>
        <v>18000</v>
      </c>
      <c r="D343" s="1360">
        <f>'Emission Costs'!F95</f>
        <v>48200</v>
      </c>
      <c r="E343" s="1360">
        <f>'Emission Costs'!G95</f>
        <v>852700</v>
      </c>
      <c r="F343" s="1360">
        <f>'Emission Costs'!H95</f>
        <v>63</v>
      </c>
      <c r="G343" s="1420"/>
    </row>
    <row r="344" spans="1:7">
      <c r="A344" s="673"/>
      <c r="B344" s="1339">
        <f t="shared" si="84"/>
        <v>2034</v>
      </c>
      <c r="C344" s="1360">
        <f>'Emission Costs'!E96</f>
        <v>18000</v>
      </c>
      <c r="D344" s="1360">
        <f>'Emission Costs'!F96</f>
        <v>48200</v>
      </c>
      <c r="E344" s="1360">
        <f>'Emission Costs'!G96</f>
        <v>852700</v>
      </c>
      <c r="F344" s="1360">
        <f>'Emission Costs'!H96</f>
        <v>64</v>
      </c>
      <c r="G344" s="1420"/>
    </row>
    <row r="345" spans="1:7">
      <c r="A345" s="673"/>
      <c r="B345" s="1339">
        <f t="shared" si="84"/>
        <v>2035</v>
      </c>
      <c r="C345" s="1360">
        <f>'Emission Costs'!E97</f>
        <v>18000</v>
      </c>
      <c r="D345" s="1360">
        <f>'Emission Costs'!F97</f>
        <v>48200</v>
      </c>
      <c r="E345" s="1360">
        <f>'Emission Costs'!G97</f>
        <v>852700</v>
      </c>
      <c r="F345" s="1360">
        <f>'Emission Costs'!H97</f>
        <v>66</v>
      </c>
      <c r="G345" s="1420"/>
    </row>
    <row r="346" spans="1:7">
      <c r="A346" s="673"/>
      <c r="B346" s="1339">
        <f t="shared" si="84"/>
        <v>2036</v>
      </c>
      <c r="C346" s="1360">
        <f>'Emission Costs'!E98</f>
        <v>18000</v>
      </c>
      <c r="D346" s="1360">
        <f>'Emission Costs'!F98</f>
        <v>48200</v>
      </c>
      <c r="E346" s="1360">
        <f>'Emission Costs'!G98</f>
        <v>852700</v>
      </c>
      <c r="F346" s="1360">
        <f>'Emission Costs'!H98</f>
        <v>67</v>
      </c>
      <c r="G346" s="1420"/>
    </row>
    <row r="347" spans="1:7">
      <c r="A347" s="673"/>
      <c r="B347" s="1339">
        <f t="shared" si="84"/>
        <v>2037</v>
      </c>
      <c r="C347" s="1360">
        <f>'Emission Costs'!E99</f>
        <v>18000</v>
      </c>
      <c r="D347" s="1360">
        <f>'Emission Costs'!F99</f>
        <v>48200</v>
      </c>
      <c r="E347" s="1360">
        <f>'Emission Costs'!G99</f>
        <v>852700</v>
      </c>
      <c r="F347" s="1360">
        <f>'Emission Costs'!H99</f>
        <v>68</v>
      </c>
      <c r="G347" s="1420"/>
    </row>
    <row r="348" spans="1:7">
      <c r="A348" s="673"/>
      <c r="B348" s="1339">
        <f t="shared" si="84"/>
        <v>2038</v>
      </c>
      <c r="C348" s="1360">
        <f>'Emission Costs'!E100</f>
        <v>18000</v>
      </c>
      <c r="D348" s="1360">
        <f>'Emission Costs'!F100</f>
        <v>48200</v>
      </c>
      <c r="E348" s="1360">
        <f>'Emission Costs'!G100</f>
        <v>852700</v>
      </c>
      <c r="F348" s="1360">
        <f>'Emission Costs'!H100</f>
        <v>69</v>
      </c>
      <c r="G348" s="1420"/>
    </row>
    <row r="349" spans="1:7">
      <c r="A349" s="673"/>
      <c r="B349" s="1339">
        <f t="shared" si="84"/>
        <v>2039</v>
      </c>
      <c r="C349" s="1360">
        <f>'Emission Costs'!E101</f>
        <v>18000</v>
      </c>
      <c r="D349" s="1360">
        <f>'Emission Costs'!F101</f>
        <v>48200</v>
      </c>
      <c r="E349" s="1360">
        <f>'Emission Costs'!G101</f>
        <v>852700</v>
      </c>
      <c r="F349" s="1360">
        <f>'Emission Costs'!H101</f>
        <v>70</v>
      </c>
      <c r="G349" s="1420"/>
    </row>
    <row r="350" spans="1:7">
      <c r="A350" s="673"/>
      <c r="B350" s="1339">
        <f t="shared" si="84"/>
        <v>2040</v>
      </c>
      <c r="C350" s="1360">
        <f>'Emission Costs'!E102</f>
        <v>18000</v>
      </c>
      <c r="D350" s="1360">
        <f>'Emission Costs'!F102</f>
        <v>48200</v>
      </c>
      <c r="E350" s="1360">
        <f>'Emission Costs'!G102</f>
        <v>852700</v>
      </c>
      <c r="F350" s="1360">
        <f>'Emission Costs'!H102</f>
        <v>71</v>
      </c>
      <c r="G350" s="1420"/>
    </row>
    <row r="351" spans="1:7">
      <c r="A351" s="673"/>
      <c r="B351" s="1339">
        <f t="shared" si="84"/>
        <v>2041</v>
      </c>
      <c r="C351" s="1360">
        <f>'Emission Costs'!E103</f>
        <v>18000</v>
      </c>
      <c r="D351" s="1360">
        <f>'Emission Costs'!F103</f>
        <v>48200</v>
      </c>
      <c r="E351" s="1360">
        <f>'Emission Costs'!G103</f>
        <v>852700</v>
      </c>
      <c r="F351" s="1360">
        <f>'Emission Costs'!H103</f>
        <v>72</v>
      </c>
      <c r="G351" s="1420"/>
    </row>
    <row r="352" spans="1:7">
      <c r="A352" s="673"/>
      <c r="B352" s="1339">
        <f t="shared" si="84"/>
        <v>2042</v>
      </c>
      <c r="C352" s="1360">
        <f>'Emission Costs'!E104</f>
        <v>18000</v>
      </c>
      <c r="D352" s="1360">
        <f>'Emission Costs'!F104</f>
        <v>48200</v>
      </c>
      <c r="E352" s="1360">
        <f>'Emission Costs'!G104</f>
        <v>852700</v>
      </c>
      <c r="F352" s="1360">
        <f>'Emission Costs'!H104</f>
        <v>73</v>
      </c>
      <c r="G352" s="1420"/>
    </row>
    <row r="353" spans="1:7">
      <c r="A353" s="673"/>
      <c r="B353" s="1339">
        <f t="shared" si="84"/>
        <v>2043</v>
      </c>
      <c r="C353" s="1360">
        <f>'Emission Costs'!E105</f>
        <v>18000</v>
      </c>
      <c r="D353" s="1360">
        <f>'Emission Costs'!F105</f>
        <v>48200</v>
      </c>
      <c r="E353" s="1360">
        <f>'Emission Costs'!G105</f>
        <v>852700</v>
      </c>
      <c r="F353" s="1360">
        <f>'Emission Costs'!H105</f>
        <v>75</v>
      </c>
      <c r="G353" s="1420"/>
    </row>
    <row r="354" spans="1:7">
      <c r="A354" s="673"/>
      <c r="B354" s="1339">
        <f t="shared" si="84"/>
        <v>2044</v>
      </c>
      <c r="C354" s="1360">
        <f>'Emission Costs'!E106</f>
        <v>18000</v>
      </c>
      <c r="D354" s="1360">
        <f>'Emission Costs'!F106</f>
        <v>48200</v>
      </c>
      <c r="E354" s="1360">
        <f>'Emission Costs'!G106</f>
        <v>852700</v>
      </c>
      <c r="F354" s="1360">
        <f>'Emission Costs'!H106</f>
        <v>76</v>
      </c>
      <c r="G354" s="1420"/>
    </row>
    <row r="355" spans="1:7">
      <c r="A355" s="673"/>
      <c r="B355" s="1339">
        <f t="shared" si="84"/>
        <v>2045</v>
      </c>
      <c r="C355" s="1360">
        <f>'Emission Costs'!E107</f>
        <v>18000</v>
      </c>
      <c r="D355" s="1360">
        <f>'Emission Costs'!F107</f>
        <v>48200</v>
      </c>
      <c r="E355" s="1360">
        <f>'Emission Costs'!G107</f>
        <v>852700</v>
      </c>
      <c r="F355" s="1360">
        <f>'Emission Costs'!H107</f>
        <v>77</v>
      </c>
      <c r="G355" s="1420"/>
    </row>
    <row r="356" spans="1:7">
      <c r="A356" s="673"/>
      <c r="B356" s="1339">
        <f t="shared" si="84"/>
        <v>2046</v>
      </c>
      <c r="C356" s="1360">
        <f>'Emission Costs'!E108</f>
        <v>18000</v>
      </c>
      <c r="D356" s="1360">
        <f>'Emission Costs'!F108</f>
        <v>48200</v>
      </c>
      <c r="E356" s="1360">
        <f>'Emission Costs'!G108</f>
        <v>852700</v>
      </c>
      <c r="F356" s="1360">
        <f>'Emission Costs'!H108</f>
        <v>78</v>
      </c>
      <c r="G356" s="1420"/>
    </row>
    <row r="357" spans="1:7">
      <c r="A357" s="673"/>
      <c r="B357" s="1339">
        <f t="shared" si="84"/>
        <v>2047</v>
      </c>
      <c r="C357" s="1360">
        <f>'Emission Costs'!E109</f>
        <v>18000</v>
      </c>
      <c r="D357" s="1360">
        <f>'Emission Costs'!F109</f>
        <v>48200</v>
      </c>
      <c r="E357" s="1360">
        <f>'Emission Costs'!G109</f>
        <v>852700</v>
      </c>
      <c r="F357" s="1360">
        <f>'Emission Costs'!H109</f>
        <v>79</v>
      </c>
      <c r="G357" s="1420"/>
    </row>
    <row r="358" spans="1:7">
      <c r="A358" s="673"/>
      <c r="B358" s="1339">
        <f t="shared" si="84"/>
        <v>2048</v>
      </c>
      <c r="C358" s="1360">
        <f>'Emission Costs'!E110</f>
        <v>18000</v>
      </c>
      <c r="D358" s="1360">
        <f>'Emission Costs'!F110</f>
        <v>48200</v>
      </c>
      <c r="E358" s="1360">
        <f>'Emission Costs'!G110</f>
        <v>852700</v>
      </c>
      <c r="F358" s="1360">
        <f>'Emission Costs'!H110</f>
        <v>80</v>
      </c>
      <c r="G358" s="1420"/>
    </row>
    <row r="359" spans="1:7">
      <c r="A359" s="673"/>
      <c r="B359" s="1339">
        <f t="shared" si="84"/>
        <v>2049</v>
      </c>
      <c r="C359" s="1360">
        <f>'Emission Costs'!E111</f>
        <v>18000</v>
      </c>
      <c r="D359" s="1360">
        <f>'Emission Costs'!F111</f>
        <v>48200</v>
      </c>
      <c r="E359" s="1360">
        <f>'Emission Costs'!G111</f>
        <v>852700</v>
      </c>
      <c r="F359" s="1360">
        <f>'Emission Costs'!H111</f>
        <v>81</v>
      </c>
      <c r="G359" s="1420"/>
    </row>
    <row r="360" spans="1:7">
      <c r="A360" s="673"/>
      <c r="B360" s="1339">
        <f t="shared" si="84"/>
        <v>2050</v>
      </c>
      <c r="C360" s="1360">
        <f>'Emission Costs'!E112</f>
        <v>18000</v>
      </c>
      <c r="D360" s="1360">
        <f>'Emission Costs'!F112</f>
        <v>48200</v>
      </c>
      <c r="E360" s="1360">
        <f>'Emission Costs'!G112</f>
        <v>852700</v>
      </c>
      <c r="F360" s="1360">
        <f>'Emission Costs'!H112</f>
        <v>83</v>
      </c>
      <c r="G360" s="1420"/>
    </row>
    <row r="361" spans="1:7">
      <c r="A361" s="673"/>
      <c r="B361" s="1339">
        <f t="shared" si="84"/>
        <v>2051</v>
      </c>
      <c r="C361" s="1360">
        <f>'Emission Costs'!E113</f>
        <v>18000</v>
      </c>
      <c r="D361" s="1360">
        <f>'Emission Costs'!F113</f>
        <v>48200</v>
      </c>
      <c r="E361" s="1360">
        <f>'Emission Costs'!G113</f>
        <v>852700</v>
      </c>
      <c r="F361" s="1360">
        <f>'Emission Costs'!H113</f>
        <v>84</v>
      </c>
      <c r="G361" s="1420"/>
    </row>
    <row r="362" spans="1:7">
      <c r="A362" s="673"/>
      <c r="B362" s="1339">
        <f t="shared" si="84"/>
        <v>2052</v>
      </c>
      <c r="C362" s="1360">
        <f>'Emission Costs'!E114</f>
        <v>18000</v>
      </c>
      <c r="D362" s="1360">
        <f>'Emission Costs'!F114</f>
        <v>48200</v>
      </c>
      <c r="E362" s="1360">
        <f>'Emission Costs'!G114</f>
        <v>852700</v>
      </c>
      <c r="F362" s="1360">
        <f>'Emission Costs'!H114</f>
        <v>84</v>
      </c>
      <c r="G362" s="1420"/>
    </row>
    <row r="363" spans="1:7">
      <c r="A363" s="673"/>
      <c r="B363" s="1339">
        <f t="shared" si="84"/>
        <v>2053</v>
      </c>
      <c r="C363" s="1360">
        <f>'Emission Costs'!E115</f>
        <v>18000</v>
      </c>
      <c r="D363" s="1360">
        <f>'Emission Costs'!F115</f>
        <v>48200</v>
      </c>
      <c r="E363" s="1360">
        <f>'Emission Costs'!G115</f>
        <v>852700</v>
      </c>
      <c r="F363" s="1360">
        <f>'Emission Costs'!H115</f>
        <v>84</v>
      </c>
      <c r="G363" s="1420"/>
    </row>
    <row r="364" spans="1:7">
      <c r="A364" s="673"/>
      <c r="B364" s="1339">
        <f t="shared" si="84"/>
        <v>2054</v>
      </c>
      <c r="C364" s="1360">
        <f>'Emission Costs'!E116</f>
        <v>18000</v>
      </c>
      <c r="D364" s="1360">
        <f>'Emission Costs'!F116</f>
        <v>48200</v>
      </c>
      <c r="E364" s="1360">
        <f>'Emission Costs'!G116</f>
        <v>852700</v>
      </c>
      <c r="F364" s="1360">
        <f>'Emission Costs'!H116</f>
        <v>84</v>
      </c>
      <c r="G364" s="1420"/>
    </row>
    <row r="365" spans="1:7">
      <c r="A365" s="673"/>
      <c r="B365" s="691"/>
      <c r="C365" s="691"/>
      <c r="D365" s="691"/>
      <c r="E365" s="691"/>
      <c r="F365" s="691"/>
    </row>
    <row r="366" spans="1:7">
      <c r="A366" s="673"/>
      <c r="B366" s="709" t="s">
        <v>1246</v>
      </c>
      <c r="C366" s="691"/>
      <c r="D366" s="691"/>
      <c r="E366" s="691"/>
      <c r="F366" s="691"/>
    </row>
    <row r="367" spans="1:7">
      <c r="A367" s="673"/>
      <c r="B367" s="1417" t="s">
        <v>1300</v>
      </c>
      <c r="C367" s="1418"/>
      <c r="D367" s="1418"/>
      <c r="E367" s="1418"/>
      <c r="F367" s="1418"/>
      <c r="G367" s="1419"/>
    </row>
    <row r="368" spans="1:7">
      <c r="A368" s="673"/>
      <c r="B368" s="1340" t="s">
        <v>1247</v>
      </c>
      <c r="C368" s="1340" t="s">
        <v>1248</v>
      </c>
      <c r="D368" s="1340" t="s">
        <v>1250</v>
      </c>
      <c r="E368" s="1340" t="s">
        <v>1249</v>
      </c>
      <c r="F368" s="1340" t="s">
        <v>1251</v>
      </c>
      <c r="G368" s="1341" t="s">
        <v>14</v>
      </c>
    </row>
    <row r="369" spans="1:7">
      <c r="A369" s="673"/>
      <c r="B369" s="1339">
        <v>2021</v>
      </c>
      <c r="C369" s="666">
        <f>SUMIF('Auto Emissions'!$B$37:$B$75,'CRISI Tables'!B369,'Auto Emissions'!$D$37:$D$75)</f>
        <v>1.9865884333581221</v>
      </c>
      <c r="D369" s="1342">
        <f>SUMIF('Auto Emissions'!$B$37:$B$75,'CRISI Tables'!B369,'Auto Emissions'!$G$37:$G$75)</f>
        <v>1.5120784540833432E-2</v>
      </c>
      <c r="E369" s="666">
        <f>SUMIF('Auto Emissions'!$B$37:$B$75,'CRISI Tables'!B369,'Auto Emissions'!$F$37:$F$75)</f>
        <v>5.4727980315933067E-2</v>
      </c>
      <c r="F369" s="667">
        <f>SUMIF('Auto Emissions'!$B$37:$B$75,'CRISI Tables'!B369,'Auto Emissions'!$C$37:$C$75)</f>
        <v>2274.1135759045865</v>
      </c>
      <c r="G369" s="1420" t="s">
        <v>1176</v>
      </c>
    </row>
    <row r="370" spans="1:7">
      <c r="A370" s="673"/>
      <c r="B370" s="1339">
        <f>B369+1</f>
        <v>2022</v>
      </c>
      <c r="C370" s="666">
        <f>SUMIF('Auto Emissions'!$B$37:$B$75,'CRISI Tables'!B370,'Auto Emissions'!$D$37:$D$75)</f>
        <v>1.7920142219208515</v>
      </c>
      <c r="D370" s="1342">
        <f>SUMIF('Auto Emissions'!$B$37:$B$75,'CRISI Tables'!B370,'Auto Emissions'!$G$37:$G$75)</f>
        <v>1.4902099070417119E-2</v>
      </c>
      <c r="E370" s="666">
        <f>SUMIF('Auto Emissions'!$B$37:$B$75,'CRISI Tables'!B370,'Auto Emissions'!$F$37:$F$75)</f>
        <v>5.2886240830224196E-2</v>
      </c>
      <c r="F370" s="667">
        <f>SUMIF('Auto Emissions'!$B$37:$B$75,'CRISI Tables'!B370,'Auto Emissions'!$C$37:$C$75)</f>
        <v>2240.7290130122856</v>
      </c>
      <c r="G370" s="1420"/>
    </row>
    <row r="371" spans="1:7">
      <c r="A371" s="673"/>
      <c r="B371" s="1339">
        <f>B370+1</f>
        <v>2023</v>
      </c>
      <c r="C371" s="666">
        <f>SUMIF('Auto Emissions'!$B$37:$B$75,'CRISI Tables'!B371,'Auto Emissions'!$D$37:$D$75)</f>
        <v>1.5974400104835809</v>
      </c>
      <c r="D371" s="1342">
        <f>SUMIF('Auto Emissions'!$B$37:$B$75,'CRISI Tables'!B371,'Auto Emissions'!$G$37:$G$75)</f>
        <v>1.4683413600000805E-2</v>
      </c>
      <c r="E371" s="666">
        <f>SUMIF('Auto Emissions'!$B$37:$B$75,'CRISI Tables'!B371,'Auto Emissions'!$F$37:$F$75)</f>
        <v>5.1044501344515769E-2</v>
      </c>
      <c r="F371" s="667">
        <f>SUMIF('Auto Emissions'!$B$37:$B$75,'CRISI Tables'!B371,'Auto Emissions'!$C$37:$C$75)</f>
        <v>2207.3444501199847</v>
      </c>
      <c r="G371" s="1420"/>
    </row>
    <row r="372" spans="1:7">
      <c r="A372" s="673"/>
      <c r="B372" s="1339">
        <f t="shared" ref="B372:B402" si="85">B371+1</f>
        <v>2024</v>
      </c>
      <c r="C372" s="666">
        <f>SUMIF('Auto Emissions'!$B$37:$B$75,'CRISI Tables'!B372,'Auto Emissions'!$D$37:$D$75)</f>
        <v>1.4028657990462534</v>
      </c>
      <c r="D372" s="1342">
        <f>SUMIF('Auto Emissions'!$B$37:$B$75,'CRISI Tables'!B372,'Auto Emissions'!$G$37:$G$75)</f>
        <v>1.4464728129584492E-2</v>
      </c>
      <c r="E372" s="666">
        <f>SUMIF('Auto Emissions'!$B$37:$B$75,'CRISI Tables'!B372,'Auto Emissions'!$F$37:$F$75)</f>
        <v>4.9202761858806898E-2</v>
      </c>
      <c r="F372" s="667">
        <f>SUMIF('Auto Emissions'!$B$37:$B$75,'CRISI Tables'!B372,'Auto Emissions'!$C$37:$C$75)</f>
        <v>2173.9598872276838</v>
      </c>
      <c r="G372" s="1420"/>
    </row>
    <row r="373" spans="1:7">
      <c r="A373" s="673"/>
      <c r="B373" s="1339">
        <f t="shared" si="85"/>
        <v>2025</v>
      </c>
      <c r="C373" s="666">
        <f>SUMIF('Auto Emissions'!$B$37:$B$75,'CRISI Tables'!B373,'Auto Emissions'!$D$37:$D$75)</f>
        <v>1.2082915876089828</v>
      </c>
      <c r="D373" s="1342">
        <f>SUMIF('Auto Emissions'!$B$37:$B$75,'CRISI Tables'!B373,'Auto Emissions'!$G$37:$G$75)</f>
        <v>1.4246042659168179E-2</v>
      </c>
      <c r="E373" s="666">
        <f>SUMIF('Auto Emissions'!$B$37:$B$75,'CRISI Tables'!B373,'Auto Emissions'!$F$37:$F$75)</f>
        <v>4.7361022373098027E-2</v>
      </c>
      <c r="F373" s="667">
        <f>SUMIF('Auto Emissions'!$B$37:$B$75,'CRISI Tables'!B373,'Auto Emissions'!$C$37:$C$75)</f>
        <v>2140.5753243353975</v>
      </c>
      <c r="G373" s="1420"/>
    </row>
    <row r="374" spans="1:7">
      <c r="A374" s="673"/>
      <c r="B374" s="1339">
        <f t="shared" si="85"/>
        <v>2026</v>
      </c>
      <c r="C374" s="666">
        <f>SUMIF('Auto Emissions'!$B$37:$B$75,'CRISI Tables'!B374,'Auto Emissions'!$D$37:$D$75)</f>
        <v>1.0137173761717122</v>
      </c>
      <c r="D374" s="1342">
        <f>SUMIF('Auto Emissions'!$B$37:$B$75,'CRISI Tables'!B374,'Auto Emissions'!$G$37:$G$75)</f>
        <v>1.4027357188751921E-2</v>
      </c>
      <c r="E374" s="666">
        <f>SUMIF('Auto Emissions'!$B$37:$B$75,'CRISI Tables'!B374,'Auto Emissions'!$F$37:$F$75)</f>
        <v>4.5519282887389156E-2</v>
      </c>
      <c r="F374" s="667">
        <f>SUMIF('Auto Emissions'!$B$37:$B$75,'CRISI Tables'!B374,'Auto Emissions'!$C$37:$C$75)</f>
        <v>2107.1907614430966</v>
      </c>
      <c r="G374" s="1420"/>
    </row>
    <row r="375" spans="1:7">
      <c r="A375" s="673"/>
      <c r="B375" s="1339">
        <f t="shared" si="85"/>
        <v>2027</v>
      </c>
      <c r="C375" s="666">
        <f>SUMIF('Auto Emissions'!$B$37:$B$75,'CRISI Tables'!B375,'Auto Emissions'!$D$37:$D$75)</f>
        <v>0.8191431647344416</v>
      </c>
      <c r="D375" s="1342">
        <f>SUMIF('Auto Emissions'!$B$37:$B$75,'CRISI Tables'!B375,'Auto Emissions'!$G$37:$G$75)</f>
        <v>1.3808671718335608E-2</v>
      </c>
      <c r="E375" s="666">
        <f>SUMIF('Auto Emissions'!$B$37:$B$75,'CRISI Tables'!B375,'Auto Emissions'!$F$37:$F$75)</f>
        <v>4.367754340168073E-2</v>
      </c>
      <c r="F375" s="667">
        <f>SUMIF('Auto Emissions'!$B$37:$B$75,'CRISI Tables'!B375,'Auto Emissions'!$C$37:$C$75)</f>
        <v>2073.8061985507957</v>
      </c>
      <c r="G375" s="1420"/>
    </row>
    <row r="376" spans="1:7">
      <c r="A376" s="673"/>
      <c r="B376" s="1339">
        <f t="shared" si="85"/>
        <v>2028</v>
      </c>
      <c r="C376" s="666">
        <f>SUMIF('Auto Emissions'!$B$37:$B$75,'CRISI Tables'!B376,'Auto Emissions'!$D$37:$D$75)</f>
        <v>0.62456895329711415</v>
      </c>
      <c r="D376" s="1342">
        <f>SUMIF('Auto Emissions'!$B$37:$B$75,'CRISI Tables'!B376,'Auto Emissions'!$G$37:$G$75)</f>
        <v>1.3589986247919295E-2</v>
      </c>
      <c r="E376" s="666">
        <f>SUMIF('Auto Emissions'!$B$37:$B$75,'CRISI Tables'!B376,'Auto Emissions'!$F$37:$F$75)</f>
        <v>4.1835803915971859E-2</v>
      </c>
      <c r="F376" s="667">
        <f>SUMIF('Auto Emissions'!$B$37:$B$75,'CRISI Tables'!B376,'Auto Emissions'!$C$37:$C$75)</f>
        <v>2040.4216356584948</v>
      </c>
      <c r="G376" s="1420"/>
    </row>
    <row r="377" spans="1:7">
      <c r="A377" s="673"/>
      <c r="B377" s="1339">
        <f t="shared" si="85"/>
        <v>2029</v>
      </c>
      <c r="C377" s="666">
        <f>SUMIF('Auto Emissions'!$B$37:$B$75,'CRISI Tables'!B377,'Auto Emissions'!$D$37:$D$75)</f>
        <v>0.42999474185984354</v>
      </c>
      <c r="D377" s="1342">
        <f>SUMIF('Auto Emissions'!$B$37:$B$75,'CRISI Tables'!B377,'Auto Emissions'!$G$37:$G$75)</f>
        <v>1.3371300777502981E-2</v>
      </c>
      <c r="E377" s="666">
        <f>SUMIF('Auto Emissions'!$B$37:$B$75,'CRISI Tables'!B377,'Auto Emissions'!$F$37:$F$75)</f>
        <v>3.9994064430262988E-2</v>
      </c>
      <c r="F377" s="667">
        <f>SUMIF('Auto Emissions'!$B$37:$B$75,'CRISI Tables'!B377,'Auto Emissions'!$C$37:$C$75)</f>
        <v>2007.0370727661939</v>
      </c>
      <c r="G377" s="1420"/>
    </row>
    <row r="378" spans="1:7">
      <c r="A378" s="673"/>
      <c r="B378" s="1339">
        <f t="shared" si="85"/>
        <v>2030</v>
      </c>
      <c r="C378" s="666">
        <f>SUMIF('Auto Emissions'!$B$37:$B$75,'CRISI Tables'!B378,'Auto Emissions'!$D$37:$D$75)</f>
        <v>0.23542053042257294</v>
      </c>
      <c r="D378" s="1342">
        <f>SUMIF('Auto Emissions'!$B$37:$B$75,'CRISI Tables'!B378,'Auto Emissions'!$G$37:$G$75)</f>
        <v>1.3152615307086724E-2</v>
      </c>
      <c r="E378" s="666">
        <f>SUMIF('Auto Emissions'!$B$37:$B$75,'CRISI Tables'!B378,'Auto Emissions'!$F$37:$F$75)</f>
        <v>3.8152324944554117E-2</v>
      </c>
      <c r="F378" s="667">
        <f>SUMIF('Auto Emissions'!$B$37:$B$75,'CRISI Tables'!B378,'Auto Emissions'!$C$37:$C$75)</f>
        <v>1973.6525098739075</v>
      </c>
      <c r="G378" s="1420"/>
    </row>
    <row r="379" spans="1:7">
      <c r="A379" s="673"/>
      <c r="B379" s="1339">
        <f t="shared" si="85"/>
        <v>2031</v>
      </c>
      <c r="C379" s="666">
        <f>SUMIF('Auto Emissions'!$B$37:$B$75,'CRISI Tables'!B379,'Auto Emissions'!$D$37:$D$75)</f>
        <v>0.21562640390460786</v>
      </c>
      <c r="D379" s="1342">
        <f>SUMIF('Auto Emissions'!$B$37:$B$75,'CRISI Tables'!B379,'Auto Emissions'!$G$37:$G$75)</f>
        <v>1.2900233226490254E-2</v>
      </c>
      <c r="E379" s="666">
        <f>SUMIF('Auto Emissions'!$B$37:$B$75,'CRISI Tables'!B379,'Auto Emissions'!$F$37:$F$75)</f>
        <v>3.688469148924467E-2</v>
      </c>
      <c r="F379" s="667">
        <f>SUMIF('Auto Emissions'!$B$37:$B$75,'CRISI Tables'!B379,'Auto Emissions'!$C$37:$C$75)</f>
        <v>1935.1060066223145</v>
      </c>
      <c r="G379" s="1420"/>
    </row>
    <row r="380" spans="1:7">
      <c r="A380" s="673"/>
      <c r="B380" s="1339">
        <f t="shared" si="85"/>
        <v>2032</v>
      </c>
      <c r="C380" s="666">
        <f>SUMIF('Auto Emissions'!$B$37:$B$75,'CRISI Tables'!B380,'Auto Emissions'!$D$37:$D$75)</f>
        <v>0.1958322773866783</v>
      </c>
      <c r="D380" s="1342">
        <f>SUMIF('Auto Emissions'!$B$37:$B$75,'CRISI Tables'!B380,'Auto Emissions'!$G$37:$G$75)</f>
        <v>1.264785114589384E-2</v>
      </c>
      <c r="E380" s="666">
        <f>SUMIF('Auto Emissions'!$B$37:$B$75,'CRISI Tables'!B380,'Auto Emissions'!$F$37:$F$75)</f>
        <v>3.5617058033934779E-2</v>
      </c>
      <c r="F380" s="667">
        <f>SUMIF('Auto Emissions'!$B$37:$B$75,'CRISI Tables'!B380,'Auto Emissions'!$C$37:$C$75)</f>
        <v>1896.5595033707068</v>
      </c>
      <c r="G380" s="1420"/>
    </row>
    <row r="381" spans="1:7">
      <c r="A381" s="673"/>
      <c r="B381" s="1339">
        <f t="shared" si="85"/>
        <v>2033</v>
      </c>
      <c r="C381" s="666">
        <f>SUMIF('Auto Emissions'!$B$37:$B$75,'CRISI Tables'!B381,'Auto Emissions'!$D$37:$D$75)</f>
        <v>0.17603815086875585</v>
      </c>
      <c r="D381" s="1342">
        <f>SUMIF('Auto Emissions'!$B$37:$B$75,'CRISI Tables'!B381,'Auto Emissions'!$G$37:$G$75)</f>
        <v>1.2395469065297426E-2</v>
      </c>
      <c r="E381" s="666">
        <f>SUMIF('Auto Emissions'!$B$37:$B$75,'CRISI Tables'!B381,'Auto Emissions'!$F$37:$F$75)</f>
        <v>3.4349424578624888E-2</v>
      </c>
      <c r="F381" s="667">
        <f>SUMIF('Auto Emissions'!$B$37:$B$75,'CRISI Tables'!B381,'Auto Emissions'!$C$37:$C$75)</f>
        <v>1858.0130001191137</v>
      </c>
      <c r="G381" s="1420"/>
    </row>
    <row r="382" spans="1:7">
      <c r="A382" s="673"/>
      <c r="B382" s="1339">
        <f t="shared" si="85"/>
        <v>2034</v>
      </c>
      <c r="C382" s="666">
        <f>SUMIF('Auto Emissions'!$B$37:$B$75,'CRISI Tables'!B382,'Auto Emissions'!$D$37:$D$75)</f>
        <v>0.15624402435082629</v>
      </c>
      <c r="D382" s="1342">
        <f>SUMIF('Auto Emissions'!$B$37:$B$75,'CRISI Tables'!B382,'Auto Emissions'!$G$37:$G$75)</f>
        <v>1.2143086984701013E-2</v>
      </c>
      <c r="E382" s="666">
        <f>SUMIF('Auto Emissions'!$B$37:$B$75,'CRISI Tables'!B382,'Auto Emissions'!$F$37:$F$75)</f>
        <v>3.3081791123314996E-2</v>
      </c>
      <c r="F382" s="667">
        <f>SUMIF('Auto Emissions'!$B$37:$B$75,'CRISI Tables'!B382,'Auto Emissions'!$C$37:$C$75)</f>
        <v>1819.4664968675206</v>
      </c>
      <c r="G382" s="1420"/>
    </row>
    <row r="383" spans="1:7">
      <c r="A383" s="673"/>
      <c r="B383" s="1339">
        <f t="shared" si="85"/>
        <v>2035</v>
      </c>
      <c r="C383" s="666">
        <f>SUMIF('Auto Emissions'!$B$37:$B$75,'CRISI Tables'!B383,'Auto Emissions'!$D$37:$D$75)</f>
        <v>0.13644989783290384</v>
      </c>
      <c r="D383" s="1342">
        <f>SUMIF('Auto Emissions'!$B$37:$B$75,'CRISI Tables'!B383,'Auto Emissions'!$G$37:$G$75)</f>
        <v>1.1890704904104599E-2</v>
      </c>
      <c r="E383" s="666">
        <f>SUMIF('Auto Emissions'!$B$37:$B$75,'CRISI Tables'!B383,'Auto Emissions'!$F$37:$F$75)</f>
        <v>3.1814157668005549E-2</v>
      </c>
      <c r="F383" s="667">
        <f>SUMIF('Auto Emissions'!$B$37:$B$75,'CRISI Tables'!B383,'Auto Emissions'!$C$37:$C$75)</f>
        <v>1780.919993615913</v>
      </c>
      <c r="G383" s="1420"/>
    </row>
    <row r="384" spans="1:7">
      <c r="A384" s="673"/>
      <c r="B384" s="1339">
        <f t="shared" si="85"/>
        <v>2036</v>
      </c>
      <c r="C384" s="666">
        <f>SUMIF('Auto Emissions'!$B$37:$B$75,'CRISI Tables'!B384,'Auto Emissions'!$D$37:$D$75)</f>
        <v>0.11665577131497429</v>
      </c>
      <c r="D384" s="1342">
        <f>SUMIF('Auto Emissions'!$B$37:$B$75,'CRISI Tables'!B384,'Auto Emissions'!$G$37:$G$75)</f>
        <v>1.1638322823508185E-2</v>
      </c>
      <c r="E384" s="666">
        <f>SUMIF('Auto Emissions'!$B$37:$B$75,'CRISI Tables'!B384,'Auto Emissions'!$F$37:$F$75)</f>
        <v>3.0546524212695658E-2</v>
      </c>
      <c r="F384" s="667">
        <f>SUMIF('Auto Emissions'!$B$37:$B$75,'CRISI Tables'!B384,'Auto Emissions'!$C$37:$C$75)</f>
        <v>1742.3734903643199</v>
      </c>
      <c r="G384" s="1420"/>
    </row>
    <row r="385" spans="1:7">
      <c r="A385" s="673"/>
      <c r="B385" s="1339">
        <f t="shared" si="85"/>
        <v>2037</v>
      </c>
      <c r="C385" s="666">
        <f>SUMIF('Auto Emissions'!$B$37:$B$75,'CRISI Tables'!B385,'Auto Emissions'!$D$37:$D$75)</f>
        <v>9.6861644797051838E-2</v>
      </c>
      <c r="D385" s="1342">
        <f>SUMIF('Auto Emissions'!$B$37:$B$75,'CRISI Tables'!B385,'Auto Emissions'!$G$37:$G$75)</f>
        <v>1.1385940742911771E-2</v>
      </c>
      <c r="E385" s="666">
        <f>SUMIF('Auto Emissions'!$B$37:$B$75,'CRISI Tables'!B385,'Auto Emissions'!$F$37:$F$75)</f>
        <v>2.9278890757385767E-2</v>
      </c>
      <c r="F385" s="667">
        <f>SUMIF('Auto Emissions'!$B$37:$B$75,'CRISI Tables'!B385,'Auto Emissions'!$C$37:$C$75)</f>
        <v>1703.8269871127122</v>
      </c>
      <c r="G385" s="1420"/>
    </row>
    <row r="386" spans="1:7">
      <c r="A386" s="673"/>
      <c r="B386" s="1339">
        <f t="shared" si="85"/>
        <v>2038</v>
      </c>
      <c r="C386" s="666">
        <f>SUMIF('Auto Emissions'!$B$37:$B$75,'CRISI Tables'!B386,'Auto Emissions'!$D$37:$D$75)</f>
        <v>7.7067518279122282E-2</v>
      </c>
      <c r="D386" s="1342">
        <f>SUMIF('Auto Emissions'!$B$37:$B$75,'CRISI Tables'!B386,'Auto Emissions'!$G$37:$G$75)</f>
        <v>1.1133558662315357E-2</v>
      </c>
      <c r="E386" s="666">
        <f>SUMIF('Auto Emissions'!$B$37:$B$75,'CRISI Tables'!B386,'Auto Emissions'!$F$37:$F$75)</f>
        <v>2.8011257302075876E-2</v>
      </c>
      <c r="F386" s="667">
        <f>SUMIF('Auto Emissions'!$B$37:$B$75,'CRISI Tables'!B386,'Auto Emissions'!$C$37:$C$75)</f>
        <v>1665.2804838611191</v>
      </c>
      <c r="G386" s="1420"/>
    </row>
    <row r="387" spans="1:7">
      <c r="A387" s="673"/>
      <c r="B387" s="1339">
        <f t="shared" si="85"/>
        <v>2039</v>
      </c>
      <c r="C387" s="666">
        <f>SUMIF('Auto Emissions'!$B$37:$B$75,'CRISI Tables'!B387,'Auto Emissions'!$D$37:$D$75)</f>
        <v>5.7273391761199832E-2</v>
      </c>
      <c r="D387" s="1342">
        <f>SUMIF('Auto Emissions'!$B$37:$B$75,'CRISI Tables'!B387,'Auto Emissions'!$G$37:$G$75)</f>
        <v>1.0881176581718943E-2</v>
      </c>
      <c r="E387" s="666">
        <f>SUMIF('Auto Emissions'!$B$37:$B$75,'CRISI Tables'!B387,'Auto Emissions'!$F$37:$F$75)</f>
        <v>2.6743623846766429E-2</v>
      </c>
      <c r="F387" s="667">
        <f>SUMIF('Auto Emissions'!$B$37:$B$75,'CRISI Tables'!B387,'Auto Emissions'!$C$37:$C$75)</f>
        <v>1626.733980609526</v>
      </c>
      <c r="G387" s="1420"/>
    </row>
    <row r="388" spans="1:7">
      <c r="A388" s="673"/>
      <c r="B388" s="1339">
        <f t="shared" si="85"/>
        <v>2040</v>
      </c>
      <c r="C388" s="666">
        <f>SUMIF('Auto Emissions'!$B$37:$B$75,'CRISI Tables'!B388,'Auto Emissions'!$D$37:$D$75)</f>
        <v>3.7479265243270277E-2</v>
      </c>
      <c r="D388" s="1342">
        <f>SUMIF('Auto Emissions'!$B$37:$B$75,'CRISI Tables'!B388,'Auto Emissions'!$G$37:$G$75)</f>
        <v>1.0628794501122529E-2</v>
      </c>
      <c r="E388" s="666">
        <f>SUMIF('Auto Emissions'!$B$37:$B$75,'CRISI Tables'!B388,'Auto Emissions'!$F$37:$F$75)</f>
        <v>2.5475990391456538E-2</v>
      </c>
      <c r="F388" s="667">
        <f>SUMIF('Auto Emissions'!$B$37:$B$75,'CRISI Tables'!B388,'Auto Emissions'!$C$37:$C$75)</f>
        <v>1588.1874773579184</v>
      </c>
      <c r="G388" s="1420"/>
    </row>
    <row r="389" spans="1:7">
      <c r="A389" s="673"/>
      <c r="B389" s="1339">
        <f t="shared" si="85"/>
        <v>2041</v>
      </c>
      <c r="C389" s="666">
        <f>SUMIF('Auto Emissions'!$B$37:$B$75,'CRISI Tables'!B389,'Auto Emissions'!$D$37:$D$75)</f>
        <v>3.4733312841008335E-2</v>
      </c>
      <c r="D389" s="1342">
        <f>SUMIF('Auto Emissions'!$B$37:$B$75,'CRISI Tables'!B389,'Auto Emissions'!$G$37:$G$75)</f>
        <v>1.0453167233208605E-2</v>
      </c>
      <c r="E389" s="666">
        <f>SUMIF('Auto Emissions'!$B$37:$B$75,'CRISI Tables'!B389,'Auto Emissions'!$F$37:$F$75)</f>
        <v>2.4577842184601462E-2</v>
      </c>
      <c r="F389" s="667">
        <f>SUMIF('Auto Emissions'!$B$37:$B$75,'CRISI Tables'!B389,'Auto Emissions'!$C$37:$C$75)</f>
        <v>1562.4158852484907</v>
      </c>
      <c r="G389" s="1420"/>
    </row>
    <row r="390" spans="1:7">
      <c r="A390" s="673"/>
      <c r="B390" s="1339">
        <f t="shared" si="85"/>
        <v>2042</v>
      </c>
      <c r="C390" s="666">
        <f>SUMIF('Auto Emissions'!$B$37:$B$75,'CRISI Tables'!B390,'Auto Emissions'!$D$37:$D$75)</f>
        <v>3.1987360438741064E-2</v>
      </c>
      <c r="D390" s="1342">
        <f>SUMIF('Auto Emissions'!$B$37:$B$75,'CRISI Tables'!B390,'Auto Emissions'!$G$37:$G$75)</f>
        <v>1.0277539965294791E-2</v>
      </c>
      <c r="E390" s="666">
        <f>SUMIF('Auto Emissions'!$B$37:$B$75,'CRISI Tables'!B390,'Auto Emissions'!$F$37:$F$75)</f>
        <v>2.3679693977746608E-2</v>
      </c>
      <c r="F390" s="667">
        <f>SUMIF('Auto Emissions'!$B$37:$B$75,'CRISI Tables'!B390,'Auto Emissions'!$C$37:$C$75)</f>
        <v>1536.6442931390557</v>
      </c>
      <c r="G390" s="1420"/>
    </row>
    <row r="391" spans="1:7">
      <c r="A391" s="673"/>
      <c r="B391" s="1339">
        <f t="shared" si="85"/>
        <v>2043</v>
      </c>
      <c r="C391" s="666">
        <f>SUMIF('Auto Emissions'!$B$37:$B$75,'CRISI Tables'!B391,'Auto Emissions'!$D$37:$D$75)</f>
        <v>2.9241408036472905E-2</v>
      </c>
      <c r="D391" s="1342">
        <f>SUMIF('Auto Emissions'!$B$37:$B$75,'CRISI Tables'!B391,'Auto Emissions'!$G$37:$G$75)</f>
        <v>1.0101912697380921E-2</v>
      </c>
      <c r="E391" s="666">
        <f>SUMIF('Auto Emissions'!$B$37:$B$75,'CRISI Tables'!B391,'Auto Emissions'!$F$37:$F$75)</f>
        <v>2.2781545770891531E-2</v>
      </c>
      <c r="F391" s="667">
        <f>SUMIF('Auto Emissions'!$B$37:$B$75,'CRISI Tables'!B391,'Auto Emissions'!$C$37:$C$75)</f>
        <v>1510.8727010296207</v>
      </c>
      <c r="G391" s="1420"/>
    </row>
    <row r="392" spans="1:7">
      <c r="A392" s="673"/>
      <c r="B392" s="1339">
        <f t="shared" si="85"/>
        <v>2044</v>
      </c>
      <c r="C392" s="666">
        <f>SUMIF('Auto Emissions'!$B$37:$B$75,'CRISI Tables'!B392,'Auto Emissions'!$D$37:$D$75)</f>
        <v>2.6495455634204745E-2</v>
      </c>
      <c r="D392" s="1342">
        <f>SUMIF('Auto Emissions'!$B$37:$B$75,'CRISI Tables'!B392,'Auto Emissions'!$G$37:$G$75)</f>
        <v>9.9262854294670522E-3</v>
      </c>
      <c r="E392" s="666">
        <f>SUMIF('Auto Emissions'!$B$37:$B$75,'CRISI Tables'!B392,'Auto Emissions'!$F$37:$F$75)</f>
        <v>2.1883397564036455E-2</v>
      </c>
      <c r="F392" s="667">
        <f>SUMIF('Auto Emissions'!$B$37:$B$75,'CRISI Tables'!B392,'Auto Emissions'!$C$37:$C$75)</f>
        <v>1485.1011089201857</v>
      </c>
      <c r="G392" s="1420"/>
    </row>
    <row r="393" spans="1:7">
      <c r="A393" s="673"/>
      <c r="B393" s="1339">
        <f t="shared" si="85"/>
        <v>2045</v>
      </c>
      <c r="C393" s="666">
        <f>SUMIF('Auto Emissions'!$B$37:$B$75,'CRISI Tables'!B393,'Auto Emissions'!$D$37:$D$75)</f>
        <v>2.3749503231937474E-2</v>
      </c>
      <c r="D393" s="1342">
        <f>SUMIF('Auto Emissions'!$B$37:$B$75,'CRISI Tables'!B393,'Auto Emissions'!$G$37:$G$75)</f>
        <v>9.7506581615532384E-3</v>
      </c>
      <c r="E393" s="666">
        <f>SUMIF('Auto Emissions'!$B$37:$B$75,'CRISI Tables'!B393,'Auto Emissions'!$F$37:$F$75)</f>
        <v>2.0985249357181601E-2</v>
      </c>
      <c r="F393" s="667">
        <f>SUMIF('Auto Emissions'!$B$37:$B$75,'CRISI Tables'!B393,'Auto Emissions'!$C$37:$C$75)</f>
        <v>1459.3295168107506</v>
      </c>
      <c r="G393" s="1420"/>
    </row>
    <row r="394" spans="1:7">
      <c r="A394" s="673"/>
      <c r="B394" s="1339">
        <f t="shared" si="85"/>
        <v>2046</v>
      </c>
      <c r="C394" s="666">
        <f>SUMIF('Auto Emissions'!$B$37:$B$75,'CRISI Tables'!B394,'Auto Emissions'!$D$37:$D$75)</f>
        <v>2.1003550829669315E-2</v>
      </c>
      <c r="D394" s="1342">
        <f>SUMIF('Auto Emissions'!$B$37:$B$75,'CRISI Tables'!B394,'Auto Emissions'!$G$37:$G$75)</f>
        <v>9.5750308936393691E-3</v>
      </c>
      <c r="E394" s="666">
        <f>SUMIF('Auto Emissions'!$B$37:$B$75,'CRISI Tables'!B394,'Auto Emissions'!$F$37:$F$75)</f>
        <v>2.0087101150326525E-2</v>
      </c>
      <c r="F394" s="667">
        <f>SUMIF('Auto Emissions'!$B$37:$B$75,'CRISI Tables'!B394,'Auto Emissions'!$C$37:$C$75)</f>
        <v>1433.5579247013229</v>
      </c>
      <c r="G394" s="1420"/>
    </row>
    <row r="395" spans="1:7">
      <c r="A395" s="673"/>
      <c r="B395" s="1339">
        <f t="shared" si="85"/>
        <v>2047</v>
      </c>
      <c r="C395" s="666">
        <f>SUMIF('Auto Emissions'!$B$37:$B$75,'CRISI Tables'!B395,'Auto Emissions'!$D$37:$D$75)</f>
        <v>1.8257598427402044E-2</v>
      </c>
      <c r="D395" s="1342">
        <f>SUMIF('Auto Emissions'!$B$37:$B$75,'CRISI Tables'!B395,'Auto Emissions'!$G$37:$G$75)</f>
        <v>9.3994036257255553E-3</v>
      </c>
      <c r="E395" s="666">
        <f>SUMIF('Auto Emissions'!$B$37:$B$75,'CRISI Tables'!B395,'Auto Emissions'!$F$37:$F$75)</f>
        <v>1.9188952943471671E-2</v>
      </c>
      <c r="F395" s="667">
        <f>SUMIF('Auto Emissions'!$B$37:$B$75,'CRISI Tables'!B395,'Auto Emissions'!$C$37:$C$75)</f>
        <v>1407.7863325918879</v>
      </c>
      <c r="G395" s="1420"/>
    </row>
    <row r="396" spans="1:7">
      <c r="A396" s="673"/>
      <c r="B396" s="1339">
        <f t="shared" si="85"/>
        <v>2048</v>
      </c>
      <c r="C396" s="666">
        <f>SUMIF('Auto Emissions'!$B$37:$B$75,'CRISI Tables'!B396,'Auto Emissions'!$D$37:$D$75)</f>
        <v>1.5511646025133885E-2</v>
      </c>
      <c r="D396" s="1342">
        <f>SUMIF('Auto Emissions'!$B$37:$B$75,'CRISI Tables'!B396,'Auto Emissions'!$G$37:$G$75)</f>
        <v>9.223776357811686E-3</v>
      </c>
      <c r="E396" s="666">
        <f>SUMIF('Auto Emissions'!$B$37:$B$75,'CRISI Tables'!B396,'Auto Emissions'!$F$37:$F$75)</f>
        <v>1.8290804736616595E-2</v>
      </c>
      <c r="F396" s="667">
        <f>SUMIF('Auto Emissions'!$B$37:$B$75,'CRISI Tables'!B396,'Auto Emissions'!$C$37:$C$75)</f>
        <v>1382.0147404824529</v>
      </c>
      <c r="G396" s="1420"/>
    </row>
    <row r="397" spans="1:7">
      <c r="A397" s="673"/>
      <c r="B397" s="1339">
        <f t="shared" si="85"/>
        <v>2049</v>
      </c>
      <c r="C397" s="666">
        <f>SUMIF('Auto Emissions'!$B$37:$B$75,'CRISI Tables'!B397,'Auto Emissions'!$D$37:$D$75)</f>
        <v>1.2765693622865726E-2</v>
      </c>
      <c r="D397" s="1342">
        <f>SUMIF('Auto Emissions'!$B$37:$B$75,'CRISI Tables'!B397,'Auto Emissions'!$G$37:$G$75)</f>
        <v>9.0481490898978167E-3</v>
      </c>
      <c r="E397" s="666">
        <f>SUMIF('Auto Emissions'!$B$37:$B$75,'CRISI Tables'!B397,'Auto Emissions'!$F$37:$F$75)</f>
        <v>1.7392656529761519E-2</v>
      </c>
      <c r="F397" s="667">
        <f>SUMIF('Auto Emissions'!$B$37:$B$75,'CRISI Tables'!B397,'Auto Emissions'!$C$37:$C$75)</f>
        <v>1356.2431483730179</v>
      </c>
      <c r="G397" s="1420"/>
    </row>
    <row r="398" spans="1:7">
      <c r="A398" s="673"/>
      <c r="B398" s="1339">
        <f t="shared" si="85"/>
        <v>2050</v>
      </c>
      <c r="C398" s="666">
        <f>SUMIF('Auto Emissions'!$B$37:$B$75,'CRISI Tables'!B398,'Auto Emissions'!$D$37:$D$75)</f>
        <v>1.0019741220598455E-2</v>
      </c>
      <c r="D398" s="1342">
        <f>SUMIF('Auto Emissions'!$B$37:$B$75,'CRISI Tables'!B398,'Auto Emissions'!$G$37:$G$75)</f>
        <v>8.872521821984003E-3</v>
      </c>
      <c r="E398" s="666">
        <f>SUMIF('Auto Emissions'!$B$37:$B$75,'CRISI Tables'!B398,'Auto Emissions'!$F$37:$F$75)</f>
        <v>1.6494508322906665E-2</v>
      </c>
      <c r="F398" s="667">
        <f>SUMIF('Auto Emissions'!$B$37:$B$75,'CRISI Tables'!B398,'Auto Emissions'!$C$37:$C$75)</f>
        <v>1330.4715562635829</v>
      </c>
      <c r="G398" s="1420"/>
    </row>
    <row r="399" spans="1:7">
      <c r="A399" s="673"/>
      <c r="B399" s="1339">
        <f t="shared" si="85"/>
        <v>2051</v>
      </c>
      <c r="C399" s="666">
        <f>SUMIF('Auto Emissions'!$B$37:$B$75,'CRISI Tables'!B399,'Auto Emissions'!$D$37:$D$75)</f>
        <v>1.0019741220598455E-2</v>
      </c>
      <c r="D399" s="1342">
        <f>SUMIF('Auto Emissions'!$B$37:$B$75,'CRISI Tables'!B399,'Auto Emissions'!$G$37:$G$75)</f>
        <v>8.872521821984003E-3</v>
      </c>
      <c r="E399" s="666">
        <f>SUMIF('Auto Emissions'!$B$37:$B$75,'CRISI Tables'!B399,'Auto Emissions'!$F$37:$F$75)</f>
        <v>1.6494508322906665E-2</v>
      </c>
      <c r="F399" s="667">
        <f>SUMIF('Auto Emissions'!$B$37:$B$75,'CRISI Tables'!B399,'Auto Emissions'!$C$37:$C$75)</f>
        <v>1330.4715562635829</v>
      </c>
      <c r="G399" s="1420"/>
    </row>
    <row r="400" spans="1:7">
      <c r="A400" s="673"/>
      <c r="B400" s="1339">
        <f t="shared" si="85"/>
        <v>2052</v>
      </c>
      <c r="C400" s="666">
        <f>SUMIF('Auto Emissions'!$B$37:$B$75,'CRISI Tables'!B400,'Auto Emissions'!$D$37:$D$75)</f>
        <v>1.0019741220598455E-2</v>
      </c>
      <c r="D400" s="1342">
        <f>SUMIF('Auto Emissions'!$B$37:$B$75,'CRISI Tables'!B400,'Auto Emissions'!$G$37:$G$75)</f>
        <v>8.872521821984003E-3</v>
      </c>
      <c r="E400" s="666">
        <f>SUMIF('Auto Emissions'!$B$37:$B$75,'CRISI Tables'!B400,'Auto Emissions'!$F$37:$F$75)</f>
        <v>1.6494508322906665E-2</v>
      </c>
      <c r="F400" s="667">
        <f>SUMIF('Auto Emissions'!$B$37:$B$75,'CRISI Tables'!B400,'Auto Emissions'!$C$37:$C$75)</f>
        <v>1330.4715562635829</v>
      </c>
      <c r="G400" s="1420"/>
    </row>
    <row r="401" spans="1:7">
      <c r="A401" s="673"/>
      <c r="B401" s="1339">
        <f t="shared" si="85"/>
        <v>2053</v>
      </c>
      <c r="C401" s="666">
        <f>SUMIF('Auto Emissions'!$B$37:$B$75,'CRISI Tables'!B401,'Auto Emissions'!$D$37:$D$75)</f>
        <v>1.0019741220598455E-2</v>
      </c>
      <c r="D401" s="1342">
        <f>SUMIF('Auto Emissions'!$B$37:$B$75,'CRISI Tables'!B401,'Auto Emissions'!$G$37:$G$75)</f>
        <v>8.872521821984003E-3</v>
      </c>
      <c r="E401" s="666">
        <f>SUMIF('Auto Emissions'!$B$37:$B$75,'CRISI Tables'!B401,'Auto Emissions'!$F$37:$F$75)</f>
        <v>1.6494508322906665E-2</v>
      </c>
      <c r="F401" s="667">
        <f>SUMIF('Auto Emissions'!$B$37:$B$75,'CRISI Tables'!B401,'Auto Emissions'!$C$37:$C$75)</f>
        <v>1330.4715562635829</v>
      </c>
      <c r="G401" s="1420"/>
    </row>
    <row r="402" spans="1:7">
      <c r="A402" s="673"/>
      <c r="B402" s="1339">
        <f t="shared" si="85"/>
        <v>2054</v>
      </c>
      <c r="C402" s="666">
        <f>SUMIF('Auto Emissions'!$B$37:$B$75,'CRISI Tables'!B402,'Auto Emissions'!$D$37:$D$75)</f>
        <v>1.0019741220598455E-2</v>
      </c>
      <c r="D402" s="1342">
        <f>SUMIF('Auto Emissions'!$B$37:$B$75,'CRISI Tables'!B402,'Auto Emissions'!$G$37:$G$75)</f>
        <v>8.872521821984003E-3</v>
      </c>
      <c r="E402" s="666">
        <f>SUMIF('Auto Emissions'!$B$37:$B$75,'CRISI Tables'!B402,'Auto Emissions'!$F$37:$F$75)</f>
        <v>1.6494508322906665E-2</v>
      </c>
      <c r="F402" s="667">
        <f>SUMIF('Auto Emissions'!$B$37:$B$75,'CRISI Tables'!B402,'Auto Emissions'!$C$37:$C$75)</f>
        <v>1330.4715562635829</v>
      </c>
      <c r="G402" s="1420"/>
    </row>
    <row r="403" spans="1:7">
      <c r="A403" s="673"/>
      <c r="B403" s="691"/>
      <c r="C403" s="691"/>
      <c r="D403" s="691"/>
      <c r="E403" s="691"/>
      <c r="F403" s="691"/>
    </row>
    <row r="404" spans="1:7">
      <c r="A404" s="673"/>
      <c r="B404" s="709" t="s">
        <v>1252</v>
      </c>
      <c r="C404" s="691"/>
      <c r="D404" s="691"/>
      <c r="E404" s="691"/>
      <c r="F404" s="691"/>
    </row>
    <row r="405" spans="1:7">
      <c r="A405" s="673"/>
      <c r="B405" s="1417" t="s">
        <v>1299</v>
      </c>
      <c r="C405" s="1418"/>
      <c r="D405" s="1418"/>
      <c r="E405" s="1418"/>
      <c r="F405" s="1418"/>
      <c r="G405" s="1419"/>
    </row>
    <row r="406" spans="1:7">
      <c r="A406" s="673"/>
      <c r="B406" s="1340" t="s">
        <v>1247</v>
      </c>
      <c r="C406" s="1340" t="s">
        <v>1248</v>
      </c>
      <c r="D406" s="1340" t="s">
        <v>1250</v>
      </c>
      <c r="E406" s="1340" t="s">
        <v>1249</v>
      </c>
      <c r="F406" s="1340" t="s">
        <v>1251</v>
      </c>
      <c r="G406" s="1341" t="s">
        <v>14</v>
      </c>
    </row>
    <row r="407" spans="1:7">
      <c r="A407" s="673"/>
      <c r="B407" s="1339">
        <v>2021</v>
      </c>
      <c r="C407" s="1343">
        <f>SUMIF('Truck Emissions'!$B$37:$B$75,'CRISI Tables'!B407,'Truck Emissions'!$D$37:$D$75)</f>
        <v>73.376594103392563</v>
      </c>
      <c r="D407" s="1342">
        <f>SUMIF('Truck Emissions'!$B$37:$B$75,'CRISI Tables'!B407,'Truck Emissions'!$G$37:$G$75)</f>
        <v>8.5696105956054813E-2</v>
      </c>
      <c r="E407" s="666">
        <f>SUMIF('Truck Emissions'!$B$37:$B$75,'CRISI Tables'!B407,'Truck Emissions'!$F$37:$F$75)</f>
        <v>2.6895832150813703</v>
      </c>
      <c r="F407" s="667">
        <f>SUMIF('Truck Emissions'!$B$37:$B$75,'CRISI Tables'!B407,'Truck Emissions'!$C$37:$C$75)</f>
        <v>9883.5727380937024</v>
      </c>
      <c r="G407" s="1420"/>
    </row>
    <row r="408" spans="1:7">
      <c r="A408" s="673"/>
      <c r="B408" s="1339">
        <f>B407+1</f>
        <v>2022</v>
      </c>
      <c r="C408" s="1343">
        <f>SUMIF('Truck Emissions'!$B$37:$B$75,'CRISI Tables'!B408,'Truck Emissions'!$D$37:$D$75)</f>
        <v>68.643362435361269</v>
      </c>
      <c r="D408" s="1342">
        <f>SUMIF('Truck Emissions'!$B$37:$B$75,'CRISI Tables'!B408,'Truck Emissions'!$G$37:$G$75)</f>
        <v>8.5265078629749969E-2</v>
      </c>
      <c r="E408" s="666">
        <f>SUMIF('Truck Emissions'!$B$37:$B$75,'CRISI Tables'!B408,'Truck Emissions'!$F$37:$F$75)</f>
        <v>2.5023245687611393</v>
      </c>
      <c r="F408" s="667">
        <f>SUMIF('Truck Emissions'!$B$37:$B$75,'CRISI Tables'!B408,'Truck Emissions'!$C$37:$C$75)</f>
        <v>9856.5511155897475</v>
      </c>
      <c r="G408" s="1420"/>
    </row>
    <row r="409" spans="1:7">
      <c r="A409" s="673"/>
      <c r="B409" s="1339">
        <f t="shared" ref="B409:B440" si="86">B408+1</f>
        <v>2023</v>
      </c>
      <c r="C409" s="1343">
        <f>SUMIF('Truck Emissions'!$B$37:$B$75,'CRISI Tables'!B409,'Truck Emissions'!$D$37:$D$75)</f>
        <v>63.910130767331793</v>
      </c>
      <c r="D409" s="1342">
        <f>SUMIF('Truck Emissions'!$B$37:$B$75,'CRISI Tables'!B409,'Truck Emissions'!$G$37:$G$75)</f>
        <v>8.4834051303445235E-2</v>
      </c>
      <c r="E409" s="666">
        <f>SUMIF('Truck Emissions'!$B$37:$B$75,'CRISI Tables'!B409,'Truck Emissions'!$F$37:$F$75)</f>
        <v>2.3150659224409083</v>
      </c>
      <c r="F409" s="667">
        <f>SUMIF('Truck Emissions'!$B$37:$B$75,'CRISI Tables'!B409,'Truck Emissions'!$C$37:$C$75)</f>
        <v>9829.5294930857926</v>
      </c>
      <c r="G409" s="1420"/>
    </row>
    <row r="410" spans="1:7">
      <c r="A410" s="673"/>
      <c r="B410" s="1339">
        <f t="shared" si="86"/>
        <v>2024</v>
      </c>
      <c r="C410" s="1343">
        <f>SUMIF('Truck Emissions'!$B$37:$B$75,'CRISI Tables'!B410,'Truck Emissions'!$D$37:$D$75)</f>
        <v>59.176899099302318</v>
      </c>
      <c r="D410" s="1342">
        <f>SUMIF('Truck Emissions'!$B$37:$B$75,'CRISI Tables'!B410,'Truck Emissions'!$G$37:$G$75)</f>
        <v>8.4403023977140501E-2</v>
      </c>
      <c r="E410" s="666">
        <f>SUMIF('Truck Emissions'!$B$37:$B$75,'CRISI Tables'!B410,'Truck Emissions'!$F$37:$F$75)</f>
        <v>2.1278072761206204</v>
      </c>
      <c r="F410" s="667">
        <f>SUMIF('Truck Emissions'!$B$37:$B$75,'CRISI Tables'!B410,'Truck Emissions'!$C$37:$C$75)</f>
        <v>9802.5078705818305</v>
      </c>
      <c r="G410" s="1420"/>
    </row>
    <row r="411" spans="1:7">
      <c r="A411" s="673"/>
      <c r="B411" s="1339">
        <f t="shared" si="86"/>
        <v>2025</v>
      </c>
      <c r="C411" s="1343">
        <f>SUMIF('Truck Emissions'!$B$37:$B$75,'CRISI Tables'!B411,'Truck Emissions'!$D$37:$D$75)</f>
        <v>54.443667431271024</v>
      </c>
      <c r="D411" s="1342">
        <f>SUMIF('Truck Emissions'!$B$37:$B$75,'CRISI Tables'!B411,'Truck Emissions'!$G$37:$G$75)</f>
        <v>8.3971996650835767E-2</v>
      </c>
      <c r="E411" s="666">
        <f>SUMIF('Truck Emissions'!$B$37:$B$75,'CRISI Tables'!B411,'Truck Emissions'!$F$37:$F$75)</f>
        <v>1.9405486298003893</v>
      </c>
      <c r="F411" s="667">
        <f>SUMIF('Truck Emissions'!$B$37:$B$75,'CRISI Tables'!B411,'Truck Emissions'!$C$37:$C$75)</f>
        <v>9775.4862480778756</v>
      </c>
      <c r="G411" s="1420"/>
    </row>
    <row r="412" spans="1:7">
      <c r="A412" s="673"/>
      <c r="B412" s="1339">
        <f t="shared" si="86"/>
        <v>2026</v>
      </c>
      <c r="C412" s="1343">
        <f>SUMIF('Truck Emissions'!$B$37:$B$75,'CRISI Tables'!B412,'Truck Emissions'!$D$37:$D$75)</f>
        <v>49.710435763241549</v>
      </c>
      <c r="D412" s="1342">
        <f>SUMIF('Truck Emissions'!$B$37:$B$75,'CRISI Tables'!B412,'Truck Emissions'!$G$37:$G$75)</f>
        <v>8.3540969324530923E-2</v>
      </c>
      <c r="E412" s="666">
        <f>SUMIF('Truck Emissions'!$B$37:$B$75,'CRISI Tables'!B412,'Truck Emissions'!$F$37:$F$75)</f>
        <v>1.7532899834801583</v>
      </c>
      <c r="F412" s="667">
        <f>SUMIF('Truck Emissions'!$B$37:$B$75,'CRISI Tables'!B412,'Truck Emissions'!$C$37:$C$75)</f>
        <v>9748.4646255739135</v>
      </c>
      <c r="G412" s="1420"/>
    </row>
    <row r="413" spans="1:7">
      <c r="A413" s="673"/>
      <c r="B413" s="1339">
        <f t="shared" si="86"/>
        <v>2027</v>
      </c>
      <c r="C413" s="1343">
        <f>SUMIF('Truck Emissions'!$B$37:$B$75,'CRISI Tables'!B413,'Truck Emissions'!$D$37:$D$75)</f>
        <v>44.977204095212073</v>
      </c>
      <c r="D413" s="1342">
        <f>SUMIF('Truck Emissions'!$B$37:$B$75,'CRISI Tables'!B413,'Truck Emissions'!$G$37:$G$75)</f>
        <v>8.3109941998226189E-2</v>
      </c>
      <c r="E413" s="666">
        <f>SUMIF('Truck Emissions'!$B$37:$B$75,'CRISI Tables'!B413,'Truck Emissions'!$F$37:$F$75)</f>
        <v>1.5660313371598704</v>
      </c>
      <c r="F413" s="667">
        <f>SUMIF('Truck Emissions'!$B$37:$B$75,'CRISI Tables'!B413,'Truck Emissions'!$C$37:$C$75)</f>
        <v>9721.4430030699586</v>
      </c>
      <c r="G413" s="1420"/>
    </row>
    <row r="414" spans="1:7">
      <c r="A414" s="673"/>
      <c r="B414" s="1339">
        <f t="shared" si="86"/>
        <v>2028</v>
      </c>
      <c r="C414" s="1343">
        <f>SUMIF('Truck Emissions'!$B$37:$B$75,'CRISI Tables'!B414,'Truck Emissions'!$D$37:$D$75)</f>
        <v>40.243972427180779</v>
      </c>
      <c r="D414" s="1342">
        <f>SUMIF('Truck Emissions'!$B$37:$B$75,'CRISI Tables'!B414,'Truck Emissions'!$G$37:$G$75)</f>
        <v>8.2678914671921455E-2</v>
      </c>
      <c r="E414" s="666">
        <f>SUMIF('Truck Emissions'!$B$37:$B$75,'CRISI Tables'!B414,'Truck Emissions'!$F$37:$F$75)</f>
        <v>1.3787726908396394</v>
      </c>
      <c r="F414" s="667">
        <f>SUMIF('Truck Emissions'!$B$37:$B$75,'CRISI Tables'!B414,'Truck Emissions'!$C$37:$C$75)</f>
        <v>9694.4213805659965</v>
      </c>
      <c r="G414" s="1420"/>
    </row>
    <row r="415" spans="1:7">
      <c r="A415" s="673"/>
      <c r="B415" s="1339">
        <f t="shared" si="86"/>
        <v>2029</v>
      </c>
      <c r="C415" s="1343">
        <f>SUMIF('Truck Emissions'!$B$37:$B$75,'CRISI Tables'!B415,'Truck Emissions'!$D$37:$D$75)</f>
        <v>35.510740759151304</v>
      </c>
      <c r="D415" s="1342">
        <f>SUMIF('Truck Emissions'!$B$37:$B$75,'CRISI Tables'!B415,'Truck Emissions'!$G$37:$G$75)</f>
        <v>8.224788734561661E-2</v>
      </c>
      <c r="E415" s="666">
        <f>SUMIF('Truck Emissions'!$B$37:$B$75,'CRISI Tables'!B415,'Truck Emissions'!$F$37:$F$75)</f>
        <v>1.1915140445194083</v>
      </c>
      <c r="F415" s="667">
        <f>SUMIF('Truck Emissions'!$B$37:$B$75,'CRISI Tables'!B415,'Truck Emissions'!$C$37:$C$75)</f>
        <v>9667.3997580620417</v>
      </c>
      <c r="G415" s="1420"/>
    </row>
    <row r="416" spans="1:7">
      <c r="A416" s="673"/>
      <c r="B416" s="1339">
        <f t="shared" si="86"/>
        <v>2030</v>
      </c>
      <c r="C416" s="1343">
        <f>SUMIF('Truck Emissions'!$B$37:$B$75,'CRISI Tables'!B416,'Truck Emissions'!$D$37:$D$75)</f>
        <v>30.777509091121829</v>
      </c>
      <c r="D416" s="1342">
        <f>SUMIF('Truck Emissions'!$B$37:$B$75,'CRISI Tables'!B416,'Truck Emissions'!$G$37:$G$75)</f>
        <v>8.1816860019311877E-2</v>
      </c>
      <c r="E416" s="666">
        <f>SUMIF('Truck Emissions'!$B$37:$B$75,'CRISI Tables'!B416,'Truck Emissions'!$F$37:$F$75)</f>
        <v>1.0042553981991205</v>
      </c>
      <c r="F416" s="667">
        <f>SUMIF('Truck Emissions'!$B$37:$B$75,'CRISI Tables'!B416,'Truck Emissions'!$C$37:$C$75)</f>
        <v>9640.3781355580868</v>
      </c>
      <c r="G416" s="1420"/>
    </row>
    <row r="417" spans="1:7">
      <c r="A417" s="673"/>
      <c r="B417" s="1339">
        <f t="shared" si="86"/>
        <v>2031</v>
      </c>
      <c r="C417" s="1343">
        <f>SUMIF('Truck Emissions'!$B$37:$B$75,'CRISI Tables'!B417,'Truck Emissions'!$D$37:$D$75)</f>
        <v>28.715583187918128</v>
      </c>
      <c r="D417" s="1342">
        <f>SUMIF('Truck Emissions'!$B$37:$B$75,'CRISI Tables'!B417,'Truck Emissions'!$G$37:$G$75)</f>
        <v>8.1440234866609118E-2</v>
      </c>
      <c r="E417" s="666">
        <f>SUMIF('Truck Emissions'!$B$37:$B$75,'CRISI Tables'!B417,'Truck Emissions'!$F$37:$F$75)</f>
        <v>0.91577922026701231</v>
      </c>
      <c r="F417" s="667">
        <f>SUMIF('Truck Emissions'!$B$37:$B$75,'CRISI Tables'!B417,'Truck Emissions'!$C$37:$C$75)</f>
        <v>9612.521862030022</v>
      </c>
      <c r="G417" s="1420"/>
    </row>
    <row r="418" spans="1:7">
      <c r="A418" s="673"/>
      <c r="B418" s="1339">
        <f t="shared" si="86"/>
        <v>2032</v>
      </c>
      <c r="C418" s="1343">
        <f>SUMIF('Truck Emissions'!$B$37:$B$75,'CRISI Tables'!B418,'Truck Emissions'!$D$37:$D$75)</f>
        <v>26.653657284715337</v>
      </c>
      <c r="D418" s="1342">
        <f>SUMIF('Truck Emissions'!$B$37:$B$75,'CRISI Tables'!B418,'Truck Emissions'!$G$37:$G$75)</f>
        <v>8.1063609713906248E-2</v>
      </c>
      <c r="E418" s="666">
        <f>SUMIF('Truck Emissions'!$B$37:$B$75,'CRISI Tables'!B418,'Truck Emissions'!$F$37:$F$75)</f>
        <v>0.82730304233490415</v>
      </c>
      <c r="F418" s="667">
        <f>SUMIF('Truck Emissions'!$B$37:$B$75,'CRISI Tables'!B418,'Truck Emissions'!$C$37:$C$75)</f>
        <v>9584.6655885019572</v>
      </c>
      <c r="G418" s="1420"/>
    </row>
    <row r="419" spans="1:7">
      <c r="A419" s="673"/>
      <c r="B419" s="1339">
        <f t="shared" si="86"/>
        <v>2033</v>
      </c>
      <c r="C419" s="1343">
        <f>SUMIF('Truck Emissions'!$B$37:$B$75,'CRISI Tables'!B419,'Truck Emissions'!$D$37:$D$75)</f>
        <v>24.591731381512545</v>
      </c>
      <c r="D419" s="1342">
        <f>SUMIF('Truck Emissions'!$B$37:$B$75,'CRISI Tables'!B419,'Truck Emissions'!$G$37:$G$75)</f>
        <v>8.068698456120349E-2</v>
      </c>
      <c r="E419" s="666">
        <f>SUMIF('Truck Emissions'!$B$37:$B$75,'CRISI Tables'!B419,'Truck Emissions'!$F$37:$F$75)</f>
        <v>0.73882686440276757</v>
      </c>
      <c r="F419" s="667">
        <f>SUMIF('Truck Emissions'!$B$37:$B$75,'CRISI Tables'!B419,'Truck Emissions'!$C$37:$C$75)</f>
        <v>9556.8093149738852</v>
      </c>
      <c r="G419" s="1420"/>
    </row>
    <row r="420" spans="1:7">
      <c r="A420" s="673"/>
      <c r="B420" s="1339">
        <f t="shared" si="86"/>
        <v>2034</v>
      </c>
      <c r="C420" s="1343">
        <f>SUMIF('Truck Emissions'!$B$37:$B$75,'CRISI Tables'!B420,'Truck Emissions'!$D$37:$D$75)</f>
        <v>22.529805478309754</v>
      </c>
      <c r="D420" s="1342">
        <f>SUMIF('Truck Emissions'!$B$37:$B$75,'CRISI Tables'!B420,'Truck Emissions'!$G$37:$G$75)</f>
        <v>8.031035940850062E-2</v>
      </c>
      <c r="E420" s="666">
        <f>SUMIF('Truck Emissions'!$B$37:$B$75,'CRISI Tables'!B420,'Truck Emissions'!$F$37:$F$75)</f>
        <v>0.65035068647065941</v>
      </c>
      <c r="F420" s="667">
        <f>SUMIF('Truck Emissions'!$B$37:$B$75,'CRISI Tables'!B420,'Truck Emissions'!$C$37:$C$75)</f>
        <v>9528.9530414458204</v>
      </c>
      <c r="G420" s="1420"/>
    </row>
    <row r="421" spans="1:7">
      <c r="A421" s="673"/>
      <c r="B421" s="1339">
        <f t="shared" si="86"/>
        <v>2035</v>
      </c>
      <c r="C421" s="1343">
        <f>SUMIF('Truck Emissions'!$B$37:$B$75,'CRISI Tables'!B421,'Truck Emissions'!$D$37:$D$75)</f>
        <v>20.467879575106053</v>
      </c>
      <c r="D421" s="1342">
        <f>SUMIF('Truck Emissions'!$B$37:$B$75,'CRISI Tables'!B421,'Truck Emissions'!$G$37:$G$75)</f>
        <v>7.993373425579775E-2</v>
      </c>
      <c r="E421" s="666">
        <f>SUMIF('Truck Emissions'!$B$37:$B$75,'CRISI Tables'!B421,'Truck Emissions'!$F$37:$F$75)</f>
        <v>0.56187450853852283</v>
      </c>
      <c r="F421" s="667">
        <f>SUMIF('Truck Emissions'!$B$37:$B$75,'CRISI Tables'!B421,'Truck Emissions'!$C$37:$C$75)</f>
        <v>9501.0967679177484</v>
      </c>
      <c r="G421" s="1420"/>
    </row>
    <row r="422" spans="1:7">
      <c r="A422" s="673"/>
      <c r="B422" s="1339">
        <f t="shared" si="86"/>
        <v>2036</v>
      </c>
      <c r="C422" s="1343">
        <f>SUMIF('Truck Emissions'!$B$37:$B$75,'CRISI Tables'!B422,'Truck Emissions'!$D$37:$D$75)</f>
        <v>18.405953671903262</v>
      </c>
      <c r="D422" s="1342">
        <f>SUMIF('Truck Emissions'!$B$37:$B$75,'CRISI Tables'!B422,'Truck Emissions'!$G$37:$G$75)</f>
        <v>7.9557109103094992E-2</v>
      </c>
      <c r="E422" s="666">
        <f>SUMIF('Truck Emissions'!$B$37:$B$75,'CRISI Tables'!B422,'Truck Emissions'!$F$37:$F$75)</f>
        <v>0.47339833060641467</v>
      </c>
      <c r="F422" s="667">
        <f>SUMIF('Truck Emissions'!$B$37:$B$75,'CRISI Tables'!B422,'Truck Emissions'!$C$37:$C$75)</f>
        <v>9473.2404943896836</v>
      </c>
      <c r="G422" s="1420"/>
    </row>
    <row r="423" spans="1:7">
      <c r="A423" s="673"/>
      <c r="B423" s="1339">
        <f t="shared" si="86"/>
        <v>2037</v>
      </c>
      <c r="C423" s="1343">
        <f>SUMIF('Truck Emissions'!$B$37:$B$75,'CRISI Tables'!B423,'Truck Emissions'!$D$37:$D$75)</f>
        <v>16.344027768700471</v>
      </c>
      <c r="D423" s="1342">
        <f>SUMIF('Truck Emissions'!$B$37:$B$75,'CRISI Tables'!B423,'Truck Emissions'!$G$37:$G$75)</f>
        <v>7.9180483950392122E-2</v>
      </c>
      <c r="E423" s="666">
        <f>SUMIF('Truck Emissions'!$B$37:$B$75,'CRISI Tables'!B423,'Truck Emissions'!$F$37:$F$75)</f>
        <v>0.3849221526742781</v>
      </c>
      <c r="F423" s="667">
        <f>SUMIF('Truck Emissions'!$B$37:$B$75,'CRISI Tables'!B423,'Truck Emissions'!$C$37:$C$75)</f>
        <v>9445.3842208616115</v>
      </c>
      <c r="G423" s="1420"/>
    </row>
    <row r="424" spans="1:7">
      <c r="A424" s="673"/>
      <c r="B424" s="1339">
        <f t="shared" si="86"/>
        <v>2038</v>
      </c>
      <c r="C424" s="1343">
        <f>SUMIF('Truck Emissions'!$B$37:$B$75,'CRISI Tables'!B424,'Truck Emissions'!$D$37:$D$75)</f>
        <v>14.28210186549768</v>
      </c>
      <c r="D424" s="1342">
        <f>SUMIF('Truck Emissions'!$B$37:$B$75,'CRISI Tables'!B424,'Truck Emissions'!$G$37:$G$75)</f>
        <v>7.8803858797689252E-2</v>
      </c>
      <c r="E424" s="666">
        <f>SUMIF('Truck Emissions'!$B$37:$B$75,'CRISI Tables'!B424,'Truck Emissions'!$F$37:$F$75)</f>
        <v>0.29644597474214152</v>
      </c>
      <c r="F424" s="667">
        <f>SUMIF('Truck Emissions'!$B$37:$B$75,'CRISI Tables'!B424,'Truck Emissions'!$C$37:$C$75)</f>
        <v>9417.5279473335468</v>
      </c>
      <c r="G424" s="1420"/>
    </row>
    <row r="425" spans="1:7">
      <c r="A425" s="673"/>
      <c r="B425" s="1339">
        <f t="shared" si="86"/>
        <v>2039</v>
      </c>
      <c r="C425" s="1343">
        <f>SUMIF('Truck Emissions'!$B$37:$B$75,'CRISI Tables'!B425,'Truck Emissions'!$D$37:$D$75)</f>
        <v>12.220175962293979</v>
      </c>
      <c r="D425" s="1342">
        <f>SUMIF('Truck Emissions'!$B$37:$B$75,'CRISI Tables'!B425,'Truck Emissions'!$G$37:$G$75)</f>
        <v>7.8427233644986383E-2</v>
      </c>
      <c r="E425" s="666">
        <f>SUMIF('Truck Emissions'!$B$37:$B$75,'CRISI Tables'!B425,'Truck Emissions'!$F$37:$F$75)</f>
        <v>0.20796979681003336</v>
      </c>
      <c r="F425" s="667">
        <f>SUMIF('Truck Emissions'!$B$37:$B$75,'CRISI Tables'!B425,'Truck Emissions'!$C$37:$C$75)</f>
        <v>9389.6716738054747</v>
      </c>
      <c r="G425" s="1420"/>
    </row>
    <row r="426" spans="1:7">
      <c r="A426" s="673"/>
      <c r="B426" s="1339">
        <f t="shared" si="86"/>
        <v>2040</v>
      </c>
      <c r="C426" s="1343">
        <f>SUMIF('Truck Emissions'!$B$37:$B$75,'CRISI Tables'!B426,'Truck Emissions'!$D$37:$D$75)</f>
        <v>10.158250059091188</v>
      </c>
      <c r="D426" s="1342">
        <f>SUMIF('Truck Emissions'!$B$37:$B$75,'CRISI Tables'!B426,'Truck Emissions'!$G$37:$G$75)</f>
        <v>7.8050608492283624E-2</v>
      </c>
      <c r="E426" s="666">
        <f>SUMIF('Truck Emissions'!$B$37:$B$75,'CRISI Tables'!B426,'Truck Emissions'!$F$37:$F$75)</f>
        <v>0.11949361887789678</v>
      </c>
      <c r="F426" s="667">
        <f>SUMIF('Truck Emissions'!$B$37:$B$75,'CRISI Tables'!B426,'Truck Emissions'!$C$37:$C$75)</f>
        <v>9361.8154002774099</v>
      </c>
      <c r="G426" s="1420"/>
    </row>
    <row r="427" spans="1:7">
      <c r="A427" s="673"/>
      <c r="B427" s="1339">
        <f t="shared" si="86"/>
        <v>2041</v>
      </c>
      <c r="C427" s="1343">
        <f>SUMIF('Truck Emissions'!$B$37:$B$75,'CRISI Tables'!B427,'Truck Emissions'!$D$37:$D$75)</f>
        <v>10.119017923971825</v>
      </c>
      <c r="D427" s="1342">
        <f>SUMIF('Truck Emissions'!$B$37:$B$75,'CRISI Tables'!B427,'Truck Emissions'!$G$37:$G$75)</f>
        <v>7.7919320632410582E-2</v>
      </c>
      <c r="E427" s="666">
        <f>SUMIF('Truck Emissions'!$B$37:$B$75,'CRISI Tables'!B427,'Truck Emissions'!$F$37:$F$75)</f>
        <v>0.11934031666662032</v>
      </c>
      <c r="F427" s="667">
        <f>SUMIF('Truck Emissions'!$B$37:$B$75,'CRISI Tables'!B427,'Truck Emissions'!$C$37:$C$75)</f>
        <v>9346.0679904568497</v>
      </c>
      <c r="G427" s="1420"/>
    </row>
    <row r="428" spans="1:7">
      <c r="A428" s="673"/>
      <c r="B428" s="1339">
        <f t="shared" si="86"/>
        <v>2042</v>
      </c>
      <c r="C428" s="1343">
        <f>SUMIF('Truck Emissions'!$B$37:$B$75,'CRISI Tables'!B428,'Truck Emissions'!$D$37:$D$75)</f>
        <v>10.079785788852362</v>
      </c>
      <c r="D428" s="1342">
        <f>SUMIF('Truck Emissions'!$B$37:$B$75,'CRISI Tables'!B428,'Truck Emissions'!$G$37:$G$75)</f>
        <v>7.7788032772537596E-2</v>
      </c>
      <c r="E428" s="666">
        <f>SUMIF('Truck Emissions'!$B$37:$B$75,'CRISI Tables'!B428,'Truck Emissions'!$F$37:$F$75)</f>
        <v>0.11918701445533592</v>
      </c>
      <c r="F428" s="667">
        <f>SUMIF('Truck Emissions'!$B$37:$B$75,'CRISI Tables'!B428,'Truck Emissions'!$C$37:$C$75)</f>
        <v>9330.320580636293</v>
      </c>
      <c r="G428" s="1420"/>
    </row>
    <row r="429" spans="1:7">
      <c r="A429" s="673"/>
      <c r="B429" s="1339">
        <f t="shared" si="86"/>
        <v>2043</v>
      </c>
      <c r="C429" s="1343">
        <f>SUMIF('Truck Emissions'!$B$37:$B$75,'CRISI Tables'!B429,'Truck Emissions'!$D$37:$D$75)</f>
        <v>10.0405536537329</v>
      </c>
      <c r="D429" s="1342">
        <f>SUMIF('Truck Emissions'!$B$37:$B$75,'CRISI Tables'!B429,'Truck Emissions'!$G$37:$G$75)</f>
        <v>7.7656744912664666E-2</v>
      </c>
      <c r="E429" s="666">
        <f>SUMIF('Truck Emissions'!$B$37:$B$75,'CRISI Tables'!B429,'Truck Emissions'!$F$37:$F$75)</f>
        <v>0.11903371224405151</v>
      </c>
      <c r="F429" s="667">
        <f>SUMIF('Truck Emissions'!$B$37:$B$75,'CRISI Tables'!B429,'Truck Emissions'!$C$37:$C$75)</f>
        <v>9314.5731708157364</v>
      </c>
      <c r="G429" s="1420"/>
    </row>
    <row r="430" spans="1:7">
      <c r="A430" s="673"/>
      <c r="B430" s="1339">
        <f t="shared" si="86"/>
        <v>2044</v>
      </c>
      <c r="C430" s="1343">
        <f>SUMIF('Truck Emissions'!$B$37:$B$75,'CRISI Tables'!B430,'Truck Emissions'!$D$37:$D$75)</f>
        <v>10.001321518613452</v>
      </c>
      <c r="D430" s="1342">
        <f>SUMIF('Truck Emissions'!$B$37:$B$75,'CRISI Tables'!B430,'Truck Emissions'!$G$37:$G$75)</f>
        <v>7.7525457052791735E-2</v>
      </c>
      <c r="E430" s="666">
        <f>SUMIF('Truck Emissions'!$B$37:$B$75,'CRISI Tables'!B430,'Truck Emissions'!$F$37:$F$75)</f>
        <v>0.11888041003276711</v>
      </c>
      <c r="F430" s="667">
        <f>SUMIF('Truck Emissions'!$B$37:$B$75,'CRISI Tables'!B430,'Truck Emissions'!$C$37:$C$75)</f>
        <v>9298.8257609951834</v>
      </c>
      <c r="G430" s="1420"/>
    </row>
    <row r="431" spans="1:7">
      <c r="A431" s="673"/>
      <c r="B431" s="1339">
        <f t="shared" si="86"/>
        <v>2045</v>
      </c>
      <c r="C431" s="1343">
        <f>SUMIF('Truck Emissions'!$B$37:$B$75,'CRISI Tables'!B431,'Truck Emissions'!$D$37:$D$75)</f>
        <v>9.9620893834939892</v>
      </c>
      <c r="D431" s="1342">
        <f>SUMIF('Truck Emissions'!$B$37:$B$75,'CRISI Tables'!B431,'Truck Emissions'!$G$37:$G$75)</f>
        <v>7.7394169192918805E-2</v>
      </c>
      <c r="E431" s="666">
        <f>SUMIF('Truck Emissions'!$B$37:$B$75,'CRISI Tables'!B431,'Truck Emissions'!$F$37:$F$75)</f>
        <v>0.11872710782148271</v>
      </c>
      <c r="F431" s="667">
        <f>SUMIF('Truck Emissions'!$B$37:$B$75,'CRISI Tables'!B431,'Truck Emissions'!$C$37:$C$75)</f>
        <v>9283.0783511746267</v>
      </c>
      <c r="G431" s="1420"/>
    </row>
    <row r="432" spans="1:7">
      <c r="A432" s="673"/>
      <c r="B432" s="1339">
        <f t="shared" si="86"/>
        <v>2046</v>
      </c>
      <c r="C432" s="1343">
        <f>SUMIF('Truck Emissions'!$B$37:$B$75,'CRISI Tables'!B432,'Truck Emissions'!$D$37:$D$75)</f>
        <v>9.9228572483745268</v>
      </c>
      <c r="D432" s="1342">
        <f>SUMIF('Truck Emissions'!$B$37:$B$75,'CRISI Tables'!B432,'Truck Emissions'!$G$37:$G$75)</f>
        <v>7.7262881333045819E-2</v>
      </c>
      <c r="E432" s="666">
        <f>SUMIF('Truck Emissions'!$B$37:$B$75,'CRISI Tables'!B432,'Truck Emissions'!$F$37:$F$75)</f>
        <v>0.11857380561019826</v>
      </c>
      <c r="F432" s="667">
        <f>SUMIF('Truck Emissions'!$B$37:$B$75,'CRISI Tables'!B432,'Truck Emissions'!$C$37:$C$75)</f>
        <v>9267.3309413540701</v>
      </c>
      <c r="G432" s="1420"/>
    </row>
    <row r="433" spans="1:7">
      <c r="A433" s="673"/>
      <c r="B433" s="1339">
        <f t="shared" si="86"/>
        <v>2047</v>
      </c>
      <c r="C433" s="1343">
        <f>SUMIF('Truck Emissions'!$B$37:$B$75,'CRISI Tables'!B433,'Truck Emissions'!$D$37:$D$75)</f>
        <v>9.8836251132550785</v>
      </c>
      <c r="D433" s="1342">
        <f>SUMIF('Truck Emissions'!$B$37:$B$75,'CRISI Tables'!B433,'Truck Emissions'!$G$37:$G$75)</f>
        <v>7.7131593473172888E-2</v>
      </c>
      <c r="E433" s="666">
        <f>SUMIF('Truck Emissions'!$B$37:$B$75,'CRISI Tables'!B433,'Truck Emissions'!$F$37:$F$75)</f>
        <v>0.11842050339891386</v>
      </c>
      <c r="F433" s="667">
        <f>SUMIF('Truck Emissions'!$B$37:$B$75,'CRISI Tables'!B433,'Truck Emissions'!$C$37:$C$75)</f>
        <v>9251.5835315335135</v>
      </c>
      <c r="G433" s="1420"/>
    </row>
    <row r="434" spans="1:7">
      <c r="A434" s="673"/>
      <c r="B434" s="1339">
        <f t="shared" si="86"/>
        <v>2048</v>
      </c>
      <c r="C434" s="1343">
        <f>SUMIF('Truck Emissions'!$B$37:$B$75,'CRISI Tables'!B434,'Truck Emissions'!$D$37:$D$75)</f>
        <v>9.8443929781356161</v>
      </c>
      <c r="D434" s="1342">
        <f>SUMIF('Truck Emissions'!$B$37:$B$75,'CRISI Tables'!B434,'Truck Emissions'!$G$37:$G$75)</f>
        <v>7.7000305613299957E-2</v>
      </c>
      <c r="E434" s="666">
        <f>SUMIF('Truck Emissions'!$B$37:$B$75,'CRISI Tables'!B434,'Truck Emissions'!$F$37:$F$75)</f>
        <v>0.11826720118762946</v>
      </c>
      <c r="F434" s="667">
        <f>SUMIF('Truck Emissions'!$B$37:$B$75,'CRISI Tables'!B434,'Truck Emissions'!$C$37:$C$75)</f>
        <v>9235.8361217129568</v>
      </c>
      <c r="G434" s="1420"/>
    </row>
    <row r="435" spans="1:7">
      <c r="A435" s="673"/>
      <c r="B435" s="1339">
        <f t="shared" si="86"/>
        <v>2049</v>
      </c>
      <c r="C435" s="1343">
        <f>SUMIF('Truck Emissions'!$B$37:$B$75,'CRISI Tables'!B435,'Truck Emissions'!$D$37:$D$75)</f>
        <v>9.8051608430161536</v>
      </c>
      <c r="D435" s="1342">
        <f>SUMIF('Truck Emissions'!$B$37:$B$75,'CRISI Tables'!B435,'Truck Emissions'!$G$37:$G$75)</f>
        <v>7.6869017753427027E-2</v>
      </c>
      <c r="E435" s="666">
        <f>SUMIF('Truck Emissions'!$B$37:$B$75,'CRISI Tables'!B435,'Truck Emissions'!$F$37:$F$75)</f>
        <v>0.11811389897634506</v>
      </c>
      <c r="F435" s="667">
        <f>SUMIF('Truck Emissions'!$B$37:$B$75,'CRISI Tables'!B435,'Truck Emissions'!$C$37:$C$75)</f>
        <v>9220.0887118924002</v>
      </c>
      <c r="G435" s="1420"/>
    </row>
    <row r="436" spans="1:7">
      <c r="A436" s="673"/>
      <c r="B436" s="1339">
        <f t="shared" si="86"/>
        <v>2050</v>
      </c>
      <c r="C436" s="1343">
        <f>SUMIF('Truck Emissions'!$B$37:$B$75,'CRISI Tables'!B436,'Truck Emissions'!$D$37:$D$75)</f>
        <v>9.7659287078967054</v>
      </c>
      <c r="D436" s="1342">
        <f>SUMIF('Truck Emissions'!$B$37:$B$75,'CRISI Tables'!B436,'Truck Emissions'!$G$37:$G$75)</f>
        <v>7.6737729893554096E-2</v>
      </c>
      <c r="E436" s="666">
        <f>SUMIF('Truck Emissions'!$B$37:$B$75,'CRISI Tables'!B436,'Truck Emissions'!$F$37:$F$75)</f>
        <v>0.11796059676506065</v>
      </c>
      <c r="F436" s="667">
        <f>SUMIF('Truck Emissions'!$B$37:$B$75,'CRISI Tables'!B436,'Truck Emissions'!$C$37:$C$75)</f>
        <v>9204.3413020718435</v>
      </c>
      <c r="G436" s="1420"/>
    </row>
    <row r="437" spans="1:7">
      <c r="A437" s="673"/>
      <c r="B437" s="1339">
        <f t="shared" si="86"/>
        <v>2051</v>
      </c>
      <c r="C437" s="1343">
        <f>SUMIF('Truck Emissions'!$B$37:$B$75,'CRISI Tables'!B437,'Truck Emissions'!$D$37:$D$75)</f>
        <v>9.7659287078967054</v>
      </c>
      <c r="D437" s="1342">
        <f>SUMIF('Truck Emissions'!$B$37:$B$75,'CRISI Tables'!B437,'Truck Emissions'!$G$37:$G$75)</f>
        <v>7.6737729893554096E-2</v>
      </c>
      <c r="E437" s="666">
        <f>SUMIF('Truck Emissions'!$B$37:$B$75,'CRISI Tables'!B437,'Truck Emissions'!$F$37:$F$75)</f>
        <v>0.11796059676506065</v>
      </c>
      <c r="F437" s="667">
        <f>SUMIF('Truck Emissions'!$B$37:$B$75,'CRISI Tables'!B437,'Truck Emissions'!$C$37:$C$75)</f>
        <v>9204.3413020718435</v>
      </c>
      <c r="G437" s="1420"/>
    </row>
    <row r="438" spans="1:7">
      <c r="A438" s="673"/>
      <c r="B438" s="1339">
        <f t="shared" si="86"/>
        <v>2052</v>
      </c>
      <c r="C438" s="1343">
        <f>SUMIF('Truck Emissions'!$B$37:$B$75,'CRISI Tables'!B438,'Truck Emissions'!$D$37:$D$75)</f>
        <v>9.7659287078967054</v>
      </c>
      <c r="D438" s="1342">
        <f>SUMIF('Truck Emissions'!$B$37:$B$75,'CRISI Tables'!B438,'Truck Emissions'!$G$37:$G$75)</f>
        <v>7.6737729893554096E-2</v>
      </c>
      <c r="E438" s="666">
        <f>SUMIF('Truck Emissions'!$B$37:$B$75,'CRISI Tables'!B438,'Truck Emissions'!$F$37:$F$75)</f>
        <v>0.11796059676506065</v>
      </c>
      <c r="F438" s="667">
        <f>SUMIF('Truck Emissions'!$B$37:$B$75,'CRISI Tables'!B438,'Truck Emissions'!$C$37:$C$75)</f>
        <v>9204.3413020718435</v>
      </c>
      <c r="G438" s="1420"/>
    </row>
    <row r="439" spans="1:7">
      <c r="A439" s="673"/>
      <c r="B439" s="1339">
        <f t="shared" si="86"/>
        <v>2053</v>
      </c>
      <c r="C439" s="1343">
        <f>SUMIF('Truck Emissions'!$B$37:$B$75,'CRISI Tables'!B439,'Truck Emissions'!$D$37:$D$75)</f>
        <v>9.7659287078967054</v>
      </c>
      <c r="D439" s="1342">
        <f>SUMIF('Truck Emissions'!$B$37:$B$75,'CRISI Tables'!B439,'Truck Emissions'!$G$37:$G$75)</f>
        <v>7.6737729893554096E-2</v>
      </c>
      <c r="E439" s="666">
        <f>SUMIF('Truck Emissions'!$B$37:$B$75,'CRISI Tables'!B439,'Truck Emissions'!$F$37:$F$75)</f>
        <v>0.11796059676506065</v>
      </c>
      <c r="F439" s="667">
        <f>SUMIF('Truck Emissions'!$B$37:$B$75,'CRISI Tables'!B439,'Truck Emissions'!$C$37:$C$75)</f>
        <v>9204.3413020718435</v>
      </c>
      <c r="G439" s="1420"/>
    </row>
    <row r="440" spans="1:7">
      <c r="A440" s="673"/>
      <c r="B440" s="1339">
        <f t="shared" si="86"/>
        <v>2054</v>
      </c>
      <c r="C440" s="1343">
        <f>SUMIF('Truck Emissions'!$B$37:$B$75,'CRISI Tables'!B440,'Truck Emissions'!$D$37:$D$75)</f>
        <v>9.7659287078967054</v>
      </c>
      <c r="D440" s="1342">
        <f>SUMIF('Truck Emissions'!$B$37:$B$75,'CRISI Tables'!B440,'Truck Emissions'!$G$37:$G$75)</f>
        <v>7.6737729893554096E-2</v>
      </c>
      <c r="E440" s="666">
        <f>SUMIF('Truck Emissions'!$B$37:$B$75,'CRISI Tables'!B440,'Truck Emissions'!$F$37:$F$75)</f>
        <v>0.11796059676506065</v>
      </c>
      <c r="F440" s="667">
        <f>SUMIF('Truck Emissions'!$B$37:$B$75,'CRISI Tables'!B440,'Truck Emissions'!$C$37:$C$75)</f>
        <v>9204.3413020718435</v>
      </c>
      <c r="G440" s="1420"/>
    </row>
    <row r="441" spans="1:7">
      <c r="A441" s="673"/>
      <c r="B441" s="691"/>
      <c r="C441" s="691"/>
      <c r="D441" s="691"/>
      <c r="E441" s="691"/>
      <c r="F441" s="691"/>
    </row>
    <row r="442" spans="1:7">
      <c r="A442" s="673"/>
      <c r="B442" s="709" t="s">
        <v>753</v>
      </c>
      <c r="C442" s="691"/>
      <c r="D442" s="691"/>
      <c r="E442" s="691"/>
      <c r="F442" s="691"/>
    </row>
    <row r="443" spans="1:7">
      <c r="A443" s="673"/>
      <c r="B443" s="1417" t="s">
        <v>1299</v>
      </c>
      <c r="C443" s="1418"/>
      <c r="D443" s="1418"/>
      <c r="E443" s="1418"/>
      <c r="F443" s="1418"/>
      <c r="G443" s="1419"/>
    </row>
    <row r="444" spans="1:7">
      <c r="A444" s="673"/>
      <c r="B444" s="1340" t="s">
        <v>1247</v>
      </c>
      <c r="C444" s="1340" t="s">
        <v>1248</v>
      </c>
      <c r="D444" s="1340" t="s">
        <v>1250</v>
      </c>
      <c r="E444" s="1340" t="s">
        <v>1249</v>
      </c>
      <c r="F444" s="1340" t="s">
        <v>1251</v>
      </c>
      <c r="G444" s="1341" t="s">
        <v>14</v>
      </c>
    </row>
    <row r="445" spans="1:7">
      <c r="A445" s="673"/>
      <c r="B445" s="1339">
        <v>2021</v>
      </c>
      <c r="C445" s="666">
        <f>SUMIF('Bus Emissions'!$C$81:$C$120,'CRISI Tables'!B445,'Bus Emissions'!$E$81:$E$120)</f>
        <v>17.890050000000201</v>
      </c>
      <c r="D445" s="1342">
        <f>SUMIF('Bus Emissions'!$C$81:$C$120,'CRISI Tables'!B445,'Bus Emissions'!$H$81:$H$120)</f>
        <v>2.4299249999999688</v>
      </c>
      <c r="E445" s="1342">
        <f>SUMIF('Bus Emissions'!$C$81:$C$120,'CRISI Tables'!B445,'Bus Emissions'!$G$81:$G$120)</f>
        <v>2.6374999999999982E-2</v>
      </c>
      <c r="F445" s="667">
        <f>SUMIF('Bus Emissions'!$C$81:$C$120,'CRISI Tables'!B445,'Bus Emissions'!$D$81:$D$120)</f>
        <v>3320.633050000004</v>
      </c>
      <c r="G445" s="1420" t="s">
        <v>949</v>
      </c>
    </row>
    <row r="446" spans="1:7">
      <c r="A446" s="673"/>
      <c r="B446" s="1339">
        <f>B445+1</f>
        <v>2022</v>
      </c>
      <c r="C446" s="666">
        <f>SUMIF('Bus Emissions'!$C$81:$C$120,'CRISI Tables'!B446,'Bus Emissions'!$E$81:$E$120)</f>
        <v>17.050180000000182</v>
      </c>
      <c r="D446" s="1342">
        <f>SUMIF('Bus Emissions'!$C$81:$C$120,'CRISI Tables'!B446,'Bus Emissions'!$H$81:$H$120)</f>
        <v>2.2937299999999823</v>
      </c>
      <c r="E446" s="1342">
        <f>SUMIF('Bus Emissions'!$C$81:$C$120,'CRISI Tables'!B446,'Bus Emissions'!$G$81:$G$120)</f>
        <v>2.6210000000000011E-2</v>
      </c>
      <c r="F446" s="667">
        <f>SUMIF('Bus Emissions'!$C$81:$C$120,'CRISI Tables'!B446,'Bus Emissions'!$D$81:$D$120)</f>
        <v>3299.2276200000051</v>
      </c>
      <c r="G446" s="1420"/>
    </row>
    <row r="447" spans="1:7">
      <c r="A447" s="673"/>
      <c r="B447" s="1339">
        <f>B446+1</f>
        <v>2023</v>
      </c>
      <c r="C447" s="666">
        <f>SUMIF('Bus Emissions'!$C$81:$C$120,'CRISI Tables'!B447,'Bus Emissions'!$E$81:$E$120)</f>
        <v>16.210310000000163</v>
      </c>
      <c r="D447" s="1342">
        <f>SUMIF('Bus Emissions'!$C$81:$C$120,'CRISI Tables'!B447,'Bus Emissions'!$H$81:$H$120)</f>
        <v>2.1575349999999958</v>
      </c>
      <c r="E447" s="1342">
        <f>SUMIF('Bus Emissions'!$C$81:$C$120,'CRISI Tables'!B447,'Bus Emissions'!$G$81:$G$120)</f>
        <v>2.6044999999999985E-2</v>
      </c>
      <c r="F447" s="667">
        <f>SUMIF('Bus Emissions'!$C$81:$C$120,'CRISI Tables'!B447,'Bus Emissions'!$D$81:$D$120)</f>
        <v>3277.8221900000062</v>
      </c>
      <c r="G447" s="1420"/>
    </row>
    <row r="448" spans="1:7">
      <c r="A448" s="673"/>
      <c r="B448" s="1339">
        <f t="shared" ref="B448:B478" si="87">B447+1</f>
        <v>2024</v>
      </c>
      <c r="C448" s="666">
        <f>SUMIF('Bus Emissions'!$C$81:$C$120,'CRISI Tables'!B448,'Bus Emissions'!$E$81:$E$120)</f>
        <v>15.370440000000144</v>
      </c>
      <c r="D448" s="1342">
        <f>SUMIF('Bus Emissions'!$C$81:$C$120,'CRISI Tables'!B448,'Bus Emissions'!$H$81:$H$120)</f>
        <v>2.0213400000000092</v>
      </c>
      <c r="E448" s="1342">
        <f>SUMIF('Bus Emissions'!$C$81:$C$120,'CRISI Tables'!B448,'Bus Emissions'!$G$81:$G$120)</f>
        <v>2.5880000000000014E-2</v>
      </c>
      <c r="F448" s="667">
        <f>SUMIF('Bus Emissions'!$C$81:$C$120,'CRISI Tables'!B448,'Bus Emissions'!$D$81:$D$120)</f>
        <v>3256.4167600000073</v>
      </c>
      <c r="G448" s="1420"/>
    </row>
    <row r="449" spans="1:7">
      <c r="A449" s="673"/>
      <c r="B449" s="1339">
        <f t="shared" si="87"/>
        <v>2025</v>
      </c>
      <c r="C449" s="666">
        <f>SUMIF('Bus Emissions'!$C$81:$C$120,'CRISI Tables'!B449,'Bus Emissions'!$E$81:$E$120)</f>
        <v>14.530570000000125</v>
      </c>
      <c r="D449" s="1342">
        <f>SUMIF('Bus Emissions'!$C$81:$C$120,'CRISI Tables'!B449,'Bus Emissions'!$H$81:$H$120)</f>
        <v>1.8851449999999659</v>
      </c>
      <c r="E449" s="1342">
        <f>SUMIF('Bus Emissions'!$C$81:$C$120,'CRISI Tables'!B449,'Bus Emissions'!$G$81:$G$120)</f>
        <v>2.5714999999999988E-2</v>
      </c>
      <c r="F449" s="667">
        <f>SUMIF('Bus Emissions'!$C$81:$C$120,'CRISI Tables'!B449,'Bus Emissions'!$D$81:$D$120)</f>
        <v>3235.0113300000085</v>
      </c>
      <c r="G449" s="1420"/>
    </row>
    <row r="450" spans="1:7">
      <c r="A450" s="673"/>
      <c r="B450" s="1339">
        <f t="shared" si="87"/>
        <v>2026</v>
      </c>
      <c r="C450" s="666">
        <f>SUMIF('Bus Emissions'!$C$81:$C$120,'CRISI Tables'!B450,'Bus Emissions'!$E$81:$E$120)</f>
        <v>13.690700000000106</v>
      </c>
      <c r="D450" s="1342">
        <f>SUMIF('Bus Emissions'!$C$81:$C$120,'CRISI Tables'!B450,'Bus Emissions'!$H$81:$H$120)</f>
        <v>1.7489499999999794</v>
      </c>
      <c r="E450" s="1342">
        <f>SUMIF('Bus Emissions'!$C$81:$C$120,'CRISI Tables'!B450,'Bus Emissions'!$G$81:$G$120)</f>
        <v>2.5550000000000017E-2</v>
      </c>
      <c r="F450" s="667">
        <f>SUMIF('Bus Emissions'!$C$81:$C$120,'CRISI Tables'!B450,'Bus Emissions'!$D$81:$D$120)</f>
        <v>3213.6059000000023</v>
      </c>
      <c r="G450" s="1420"/>
    </row>
    <row r="451" spans="1:7">
      <c r="A451" s="673"/>
      <c r="B451" s="1339">
        <f t="shared" si="87"/>
        <v>2027</v>
      </c>
      <c r="C451" s="666">
        <f>SUMIF('Bus Emissions'!$C$81:$C$120,'CRISI Tables'!B451,'Bus Emissions'!$E$81:$E$120)</f>
        <v>12.850830000000087</v>
      </c>
      <c r="D451" s="1342">
        <f>SUMIF('Bus Emissions'!$C$81:$C$120,'CRISI Tables'!B451,'Bus Emissions'!$H$81:$H$120)</f>
        <v>1.6127549999999928</v>
      </c>
      <c r="E451" s="1342">
        <f>SUMIF('Bus Emissions'!$C$81:$C$120,'CRISI Tables'!B451,'Bus Emissions'!$G$81:$G$120)</f>
        <v>2.5384999999999991E-2</v>
      </c>
      <c r="F451" s="667">
        <f>SUMIF('Bus Emissions'!$C$81:$C$120,'CRISI Tables'!B451,'Bus Emissions'!$D$81:$D$120)</f>
        <v>3192.2004700000034</v>
      </c>
      <c r="G451" s="1420"/>
    </row>
    <row r="452" spans="1:7">
      <c r="A452" s="673"/>
      <c r="B452" s="1339">
        <f t="shared" si="87"/>
        <v>2028</v>
      </c>
      <c r="C452" s="666">
        <f>SUMIF('Bus Emissions'!$C$81:$C$120,'CRISI Tables'!B452,'Bus Emissions'!$E$81:$E$120)</f>
        <v>12.010960000000068</v>
      </c>
      <c r="D452" s="1342">
        <f>SUMIF('Bus Emissions'!$C$81:$C$120,'CRISI Tables'!B452,'Bus Emissions'!$H$81:$H$120)</f>
        <v>1.4765600000000063</v>
      </c>
      <c r="E452" s="1342">
        <f>SUMIF('Bus Emissions'!$C$81:$C$120,'CRISI Tables'!B452,'Bus Emissions'!$G$81:$G$120)</f>
        <v>2.5219999999999965E-2</v>
      </c>
      <c r="F452" s="667">
        <f>SUMIF('Bus Emissions'!$C$81:$C$120,'CRISI Tables'!B452,'Bus Emissions'!$D$81:$D$120)</f>
        <v>3170.7950400000045</v>
      </c>
      <c r="G452" s="1420"/>
    </row>
    <row r="453" spans="1:7">
      <c r="A453" s="673"/>
      <c r="B453" s="1339">
        <f t="shared" si="87"/>
        <v>2029</v>
      </c>
      <c r="C453" s="666">
        <f>SUMIF('Bus Emissions'!$C$81:$C$120,'CRISI Tables'!B453,'Bus Emissions'!$E$81:$E$120)</f>
        <v>11.171090000000049</v>
      </c>
      <c r="D453" s="1342">
        <f>SUMIF('Bus Emissions'!$C$81:$C$120,'CRISI Tables'!B453,'Bus Emissions'!$H$81:$H$120)</f>
        <v>1.3403649999999629</v>
      </c>
      <c r="E453" s="1342">
        <f>SUMIF('Bus Emissions'!$C$81:$C$120,'CRISI Tables'!B453,'Bus Emissions'!$G$81:$G$120)</f>
        <v>2.5054999999999994E-2</v>
      </c>
      <c r="F453" s="667">
        <f>SUMIF('Bus Emissions'!$C$81:$C$120,'CRISI Tables'!B453,'Bus Emissions'!$D$81:$D$120)</f>
        <v>3149.3896100000056</v>
      </c>
      <c r="G453" s="1420"/>
    </row>
    <row r="454" spans="1:7">
      <c r="A454" s="673"/>
      <c r="B454" s="1339">
        <f t="shared" si="87"/>
        <v>2030</v>
      </c>
      <c r="C454" s="666">
        <f>SUMIF('Bus Emissions'!$C$81:$C$120,'CRISI Tables'!B454,'Bus Emissions'!$E$81:$E$120)</f>
        <v>10.33122000000003</v>
      </c>
      <c r="D454" s="1342">
        <f>SUMIF('Bus Emissions'!$C$81:$C$120,'CRISI Tables'!B454,'Bus Emissions'!$H$81:$H$120)</f>
        <v>1.2041699999999764</v>
      </c>
      <c r="E454" s="1342">
        <f>SUMIF('Bus Emissions'!$C$81:$C$120,'CRISI Tables'!B454,'Bus Emissions'!$G$81:$G$120)</f>
        <v>2.4889999999999968E-2</v>
      </c>
      <c r="F454" s="667">
        <f>SUMIF('Bus Emissions'!$C$81:$C$120,'CRISI Tables'!B454,'Bus Emissions'!$D$81:$D$120)</f>
        <v>3127.9841800000067</v>
      </c>
      <c r="G454" s="1420"/>
    </row>
    <row r="455" spans="1:7">
      <c r="A455" s="673"/>
      <c r="B455" s="1339">
        <f t="shared" si="87"/>
        <v>2031</v>
      </c>
      <c r="C455" s="666">
        <f>SUMIF('Bus Emissions'!$C$81:$C$120,'CRISI Tables'!B455,'Bus Emissions'!$E$81:$E$120)</f>
        <v>9.4913500000002387</v>
      </c>
      <c r="D455" s="1342">
        <f>SUMIF('Bus Emissions'!$C$81:$C$120,'CRISI Tables'!B455,'Bus Emissions'!$H$81:$H$120)</f>
        <v>1.0679749999999899</v>
      </c>
      <c r="E455" s="1342">
        <f>SUMIF('Bus Emissions'!$C$81:$C$120,'CRISI Tables'!B455,'Bus Emissions'!$G$81:$G$120)</f>
        <v>2.4724999999999997E-2</v>
      </c>
      <c r="F455" s="667">
        <f>SUMIF('Bus Emissions'!$C$81:$C$120,'CRISI Tables'!B455,'Bus Emissions'!$D$81:$D$120)</f>
        <v>3106.5787500000079</v>
      </c>
      <c r="G455" s="1420"/>
    </row>
    <row r="456" spans="1:7">
      <c r="A456" s="673"/>
      <c r="B456" s="1339">
        <f t="shared" si="87"/>
        <v>2032</v>
      </c>
      <c r="C456" s="666">
        <f>SUMIF('Bus Emissions'!$C$81:$C$120,'CRISI Tables'!B456,'Bus Emissions'!$E$81:$E$120)</f>
        <v>8.6514800000002197</v>
      </c>
      <c r="D456" s="1342">
        <f>SUMIF('Bus Emissions'!$C$81:$C$120,'CRISI Tables'!B456,'Bus Emissions'!$H$81:$H$120)</f>
        <v>0.93178000000000338</v>
      </c>
      <c r="E456" s="1342">
        <f>SUMIF('Bus Emissions'!$C$81:$C$120,'CRISI Tables'!B456,'Bus Emissions'!$G$81:$G$120)</f>
        <v>2.4559999999999971E-2</v>
      </c>
      <c r="F456" s="667">
        <f>SUMIF('Bus Emissions'!$C$81:$C$120,'CRISI Tables'!B456,'Bus Emissions'!$D$81:$D$120)</f>
        <v>3085.1733200000017</v>
      </c>
      <c r="G456" s="1420"/>
    </row>
    <row r="457" spans="1:7">
      <c r="A457" s="673"/>
      <c r="B457" s="1339">
        <f t="shared" si="87"/>
        <v>2033</v>
      </c>
      <c r="C457" s="666">
        <f>SUMIF('Bus Emissions'!$C$81:$C$120,'CRISI Tables'!B457,'Bus Emissions'!$E$81:$E$120)</f>
        <v>7.8116100000002007</v>
      </c>
      <c r="D457" s="1342">
        <f>SUMIF('Bus Emissions'!$C$81:$C$120,'CRISI Tables'!B457,'Bus Emissions'!$H$81:$H$120)</f>
        <v>0.79558500000001686</v>
      </c>
      <c r="E457" s="1342">
        <f>SUMIF('Bus Emissions'!$C$81:$C$120,'CRISI Tables'!B457,'Bus Emissions'!$G$81:$G$120)</f>
        <v>2.4395E-2</v>
      </c>
      <c r="F457" s="667">
        <f>SUMIF('Bus Emissions'!$C$81:$C$120,'CRISI Tables'!B457,'Bus Emissions'!$D$81:$D$120)</f>
        <v>3063.7678900000028</v>
      </c>
      <c r="G457" s="1420"/>
    </row>
    <row r="458" spans="1:7">
      <c r="A458" s="673"/>
      <c r="B458" s="1339">
        <f t="shared" si="87"/>
        <v>2034</v>
      </c>
      <c r="C458" s="666">
        <f>SUMIF('Bus Emissions'!$C$81:$C$120,'CRISI Tables'!B458,'Bus Emissions'!$E$81:$E$120)</f>
        <v>6.9717400000001817</v>
      </c>
      <c r="D458" s="1342">
        <f>SUMIF('Bus Emissions'!$C$81:$C$120,'CRISI Tables'!B458,'Bus Emissions'!$H$81:$H$120)</f>
        <v>0.6593899999999735</v>
      </c>
      <c r="E458" s="1342">
        <f>SUMIF('Bus Emissions'!$C$81:$C$120,'CRISI Tables'!B458,'Bus Emissions'!$G$81:$G$120)</f>
        <v>2.4229999999999974E-2</v>
      </c>
      <c r="F458" s="667">
        <f>SUMIF('Bus Emissions'!$C$81:$C$120,'CRISI Tables'!B458,'Bus Emissions'!$D$81:$D$120)</f>
        <v>3042.3624600000039</v>
      </c>
      <c r="G458" s="1420"/>
    </row>
    <row r="459" spans="1:7">
      <c r="A459" s="673"/>
      <c r="B459" s="1339">
        <f t="shared" si="87"/>
        <v>2035</v>
      </c>
      <c r="C459" s="666">
        <f>SUMIF('Bus Emissions'!$C$81:$C$120,'CRISI Tables'!B459,'Bus Emissions'!$E$81:$E$120)</f>
        <v>6.1318700000001627</v>
      </c>
      <c r="D459" s="1342">
        <f>SUMIF('Bus Emissions'!$C$81:$C$120,'CRISI Tables'!B459,'Bus Emissions'!$H$81:$H$120)</f>
        <v>0.52319499999998698</v>
      </c>
      <c r="E459" s="1342">
        <f>SUMIF('Bus Emissions'!$C$81:$C$120,'CRISI Tables'!B459,'Bus Emissions'!$G$81:$G$120)</f>
        <v>2.4065000000000003E-2</v>
      </c>
      <c r="F459" s="667">
        <f>SUMIF('Bus Emissions'!$C$81:$C$120,'CRISI Tables'!B459,'Bus Emissions'!$D$81:$D$120)</f>
        <v>3020.957030000005</v>
      </c>
      <c r="G459" s="1420"/>
    </row>
    <row r="460" spans="1:7">
      <c r="A460" s="673"/>
      <c r="B460" s="1339">
        <f t="shared" si="87"/>
        <v>2036</v>
      </c>
      <c r="C460" s="666">
        <f>SUMIF('Bus Emissions'!$C$81:$C$120,'CRISI Tables'!B460,'Bus Emissions'!$E$81:$E$120)</f>
        <v>5.2920000000001437</v>
      </c>
      <c r="D460" s="1342">
        <f>SUMIF('Bus Emissions'!$C$81:$C$120,'CRISI Tables'!B460,'Bus Emissions'!$H$81:$H$120)</f>
        <v>0.38700000000000045</v>
      </c>
      <c r="E460" s="1342">
        <f>SUMIF('Bus Emissions'!$C$81:$C$120,'CRISI Tables'!B460,'Bus Emissions'!$G$81:$G$120)</f>
        <v>2.3899999999999977E-2</v>
      </c>
      <c r="F460" s="667">
        <f>SUMIF('Bus Emissions'!$C$81:$C$120,'CRISI Tables'!B460,'Bus Emissions'!$D$81:$D$120)</f>
        <v>2999.5516000000061</v>
      </c>
      <c r="G460" s="1420"/>
    </row>
    <row r="461" spans="1:7">
      <c r="A461" s="673"/>
      <c r="B461" s="1339">
        <f t="shared" si="87"/>
        <v>2037</v>
      </c>
      <c r="C461" s="666">
        <f>SUMIF('Bus Emissions'!$C$81:$C$120,'CRISI Tables'!B461,'Bus Emissions'!$E$81:$E$120)</f>
        <v>5.2920000000001437</v>
      </c>
      <c r="D461" s="1342">
        <f>SUMIF('Bus Emissions'!$C$81:$C$120,'CRISI Tables'!B461,'Bus Emissions'!$H$81:$H$120)</f>
        <v>0.38700000000000045</v>
      </c>
      <c r="E461" s="1342">
        <f>SUMIF('Bus Emissions'!$C$81:$C$120,'CRISI Tables'!B461,'Bus Emissions'!$G$81:$G$120)</f>
        <v>2.3899999999999977E-2</v>
      </c>
      <c r="F461" s="667">
        <f>SUMIF('Bus Emissions'!$C$81:$C$120,'CRISI Tables'!B461,'Bus Emissions'!$D$81:$D$120)</f>
        <v>2999.5516000000061</v>
      </c>
      <c r="G461" s="1420"/>
    </row>
    <row r="462" spans="1:7">
      <c r="A462" s="673"/>
      <c r="B462" s="1339">
        <f t="shared" si="87"/>
        <v>2038</v>
      </c>
      <c r="C462" s="666">
        <f>SUMIF('Bus Emissions'!$C$81:$C$120,'CRISI Tables'!B462,'Bus Emissions'!$E$81:$E$120)</f>
        <v>5.2920000000001437</v>
      </c>
      <c r="D462" s="1342">
        <f>SUMIF('Bus Emissions'!$C$81:$C$120,'CRISI Tables'!B462,'Bus Emissions'!$H$81:$H$120)</f>
        <v>0.38700000000000045</v>
      </c>
      <c r="E462" s="1342">
        <f>SUMIF('Bus Emissions'!$C$81:$C$120,'CRISI Tables'!B462,'Bus Emissions'!$G$81:$G$120)</f>
        <v>2.3899999999999977E-2</v>
      </c>
      <c r="F462" s="667">
        <f>SUMIF('Bus Emissions'!$C$81:$C$120,'CRISI Tables'!B462,'Bus Emissions'!$D$81:$D$120)</f>
        <v>2999.5516000000061</v>
      </c>
      <c r="G462" s="1420"/>
    </row>
    <row r="463" spans="1:7">
      <c r="A463" s="673"/>
      <c r="B463" s="1339">
        <f t="shared" si="87"/>
        <v>2039</v>
      </c>
      <c r="C463" s="666">
        <f>SUMIF('Bus Emissions'!$C$81:$C$120,'CRISI Tables'!B463,'Bus Emissions'!$E$81:$E$120)</f>
        <v>5.2920000000001437</v>
      </c>
      <c r="D463" s="1342">
        <f>SUMIF('Bus Emissions'!$C$81:$C$120,'CRISI Tables'!B463,'Bus Emissions'!$H$81:$H$120)</f>
        <v>0.38700000000000045</v>
      </c>
      <c r="E463" s="1342">
        <f>SUMIF('Bus Emissions'!$C$81:$C$120,'CRISI Tables'!B463,'Bus Emissions'!$G$81:$G$120)</f>
        <v>2.3899999999999977E-2</v>
      </c>
      <c r="F463" s="667">
        <f>SUMIF('Bus Emissions'!$C$81:$C$120,'CRISI Tables'!B463,'Bus Emissions'!$D$81:$D$120)</f>
        <v>2999.5516000000061</v>
      </c>
      <c r="G463" s="1420"/>
    </row>
    <row r="464" spans="1:7">
      <c r="A464" s="673"/>
      <c r="B464" s="1339">
        <f t="shared" si="87"/>
        <v>2040</v>
      </c>
      <c r="C464" s="666">
        <f>SUMIF('Bus Emissions'!$C$81:$C$120,'CRISI Tables'!B464,'Bus Emissions'!$E$81:$E$120)</f>
        <v>5.2920000000001437</v>
      </c>
      <c r="D464" s="1342">
        <f>SUMIF('Bus Emissions'!$C$81:$C$120,'CRISI Tables'!B464,'Bus Emissions'!$H$81:$H$120)</f>
        <v>0.38700000000000045</v>
      </c>
      <c r="E464" s="1342">
        <f>SUMIF('Bus Emissions'!$C$81:$C$120,'CRISI Tables'!B464,'Bus Emissions'!$G$81:$G$120)</f>
        <v>2.3899999999999977E-2</v>
      </c>
      <c r="F464" s="667">
        <f>SUMIF('Bus Emissions'!$C$81:$C$120,'CRISI Tables'!B464,'Bus Emissions'!$D$81:$D$120)</f>
        <v>2999.5516000000061</v>
      </c>
      <c r="G464" s="1420"/>
    </row>
    <row r="465" spans="1:7">
      <c r="A465" s="673"/>
      <c r="B465" s="1339">
        <f t="shared" si="87"/>
        <v>2041</v>
      </c>
      <c r="C465" s="666">
        <f>SUMIF('Bus Emissions'!$C$81:$C$120,'CRISI Tables'!B465,'Bus Emissions'!$E$81:$E$120)</f>
        <v>5.2920000000001437</v>
      </c>
      <c r="D465" s="1342">
        <f>SUMIF('Bus Emissions'!$C$81:$C$120,'CRISI Tables'!B465,'Bus Emissions'!$H$81:$H$120)</f>
        <v>0.38700000000000045</v>
      </c>
      <c r="E465" s="1342">
        <f>SUMIF('Bus Emissions'!$C$81:$C$120,'CRISI Tables'!B465,'Bus Emissions'!$G$81:$G$120)</f>
        <v>2.3899999999999977E-2</v>
      </c>
      <c r="F465" s="667">
        <f>SUMIF('Bus Emissions'!$C$81:$C$120,'CRISI Tables'!B465,'Bus Emissions'!$D$81:$D$120)</f>
        <v>2999.5516000000061</v>
      </c>
      <c r="G465" s="1420"/>
    </row>
    <row r="466" spans="1:7">
      <c r="A466" s="673"/>
      <c r="B466" s="1339">
        <f t="shared" si="87"/>
        <v>2042</v>
      </c>
      <c r="C466" s="666">
        <f>SUMIF('Bus Emissions'!$C$81:$C$120,'CRISI Tables'!B466,'Bus Emissions'!$E$81:$E$120)</f>
        <v>5.2920000000001437</v>
      </c>
      <c r="D466" s="1342">
        <f>SUMIF('Bus Emissions'!$C$81:$C$120,'CRISI Tables'!B466,'Bus Emissions'!$H$81:$H$120)</f>
        <v>0.38700000000000045</v>
      </c>
      <c r="E466" s="1342">
        <f>SUMIF('Bus Emissions'!$C$81:$C$120,'CRISI Tables'!B466,'Bus Emissions'!$G$81:$G$120)</f>
        <v>2.3899999999999977E-2</v>
      </c>
      <c r="F466" s="667">
        <f>SUMIF('Bus Emissions'!$C$81:$C$120,'CRISI Tables'!B466,'Bus Emissions'!$D$81:$D$120)</f>
        <v>2999.5516000000061</v>
      </c>
      <c r="G466" s="1420"/>
    </row>
    <row r="467" spans="1:7">
      <c r="A467" s="673"/>
      <c r="B467" s="1339">
        <f t="shared" si="87"/>
        <v>2043</v>
      </c>
      <c r="C467" s="666">
        <f>SUMIF('Bus Emissions'!$C$81:$C$120,'CRISI Tables'!B467,'Bus Emissions'!$E$81:$E$120)</f>
        <v>5.2920000000001437</v>
      </c>
      <c r="D467" s="1342">
        <f>SUMIF('Bus Emissions'!$C$81:$C$120,'CRISI Tables'!B467,'Bus Emissions'!$H$81:$H$120)</f>
        <v>0.38700000000000045</v>
      </c>
      <c r="E467" s="1342">
        <f>SUMIF('Bus Emissions'!$C$81:$C$120,'CRISI Tables'!B467,'Bus Emissions'!$G$81:$G$120)</f>
        <v>2.3899999999999977E-2</v>
      </c>
      <c r="F467" s="667">
        <f>SUMIF('Bus Emissions'!$C$81:$C$120,'CRISI Tables'!B467,'Bus Emissions'!$D$81:$D$120)</f>
        <v>2999.5516000000061</v>
      </c>
      <c r="G467" s="1420"/>
    </row>
    <row r="468" spans="1:7">
      <c r="A468" s="673"/>
      <c r="B468" s="1339">
        <f t="shared" si="87"/>
        <v>2044</v>
      </c>
      <c r="C468" s="666">
        <f>SUMIF('Bus Emissions'!$C$81:$C$120,'CRISI Tables'!B468,'Bus Emissions'!$E$81:$E$120)</f>
        <v>5.2920000000001437</v>
      </c>
      <c r="D468" s="1342">
        <f>SUMIF('Bus Emissions'!$C$81:$C$120,'CRISI Tables'!B468,'Bus Emissions'!$H$81:$H$120)</f>
        <v>0.38700000000000045</v>
      </c>
      <c r="E468" s="1342">
        <f>SUMIF('Bus Emissions'!$C$81:$C$120,'CRISI Tables'!B468,'Bus Emissions'!$G$81:$G$120)</f>
        <v>2.3899999999999977E-2</v>
      </c>
      <c r="F468" s="667">
        <f>SUMIF('Bus Emissions'!$C$81:$C$120,'CRISI Tables'!B468,'Bus Emissions'!$D$81:$D$120)</f>
        <v>2999.5516000000061</v>
      </c>
      <c r="G468" s="1420"/>
    </row>
    <row r="469" spans="1:7">
      <c r="A469" s="673"/>
      <c r="B469" s="1339">
        <f t="shared" si="87"/>
        <v>2045</v>
      </c>
      <c r="C469" s="666">
        <f>SUMIF('Bus Emissions'!$C$81:$C$120,'CRISI Tables'!B469,'Bus Emissions'!$E$81:$E$120)</f>
        <v>5.2920000000001437</v>
      </c>
      <c r="D469" s="1342">
        <f>SUMIF('Bus Emissions'!$C$81:$C$120,'CRISI Tables'!B469,'Bus Emissions'!$H$81:$H$120)</f>
        <v>0.38700000000000045</v>
      </c>
      <c r="E469" s="1342">
        <f>SUMIF('Bus Emissions'!$C$81:$C$120,'CRISI Tables'!B469,'Bus Emissions'!$G$81:$G$120)</f>
        <v>2.3899999999999977E-2</v>
      </c>
      <c r="F469" s="667">
        <f>SUMIF('Bus Emissions'!$C$81:$C$120,'CRISI Tables'!B469,'Bus Emissions'!$D$81:$D$120)</f>
        <v>2999.5516000000061</v>
      </c>
      <c r="G469" s="1420"/>
    </row>
    <row r="470" spans="1:7">
      <c r="A470" s="673"/>
      <c r="B470" s="1339">
        <f t="shared" si="87"/>
        <v>2046</v>
      </c>
      <c r="C470" s="666">
        <f>SUMIF('Bus Emissions'!$C$81:$C$120,'CRISI Tables'!B470,'Bus Emissions'!$E$81:$E$120)</f>
        <v>5.2920000000001437</v>
      </c>
      <c r="D470" s="1342">
        <f>SUMIF('Bus Emissions'!$C$81:$C$120,'CRISI Tables'!B470,'Bus Emissions'!$H$81:$H$120)</f>
        <v>0.38700000000000045</v>
      </c>
      <c r="E470" s="1342">
        <f>SUMIF('Bus Emissions'!$C$81:$C$120,'CRISI Tables'!B470,'Bus Emissions'!$G$81:$G$120)</f>
        <v>2.3899999999999977E-2</v>
      </c>
      <c r="F470" s="667">
        <f>SUMIF('Bus Emissions'!$C$81:$C$120,'CRISI Tables'!B470,'Bus Emissions'!$D$81:$D$120)</f>
        <v>2999.5516000000061</v>
      </c>
      <c r="G470" s="1420"/>
    </row>
    <row r="471" spans="1:7">
      <c r="A471" s="673"/>
      <c r="B471" s="1339">
        <f t="shared" si="87"/>
        <v>2047</v>
      </c>
      <c r="C471" s="666">
        <f>SUMIF('Bus Emissions'!$C$81:$C$120,'CRISI Tables'!B471,'Bus Emissions'!$E$81:$E$120)</f>
        <v>5.2920000000001437</v>
      </c>
      <c r="D471" s="1342">
        <f>SUMIF('Bus Emissions'!$C$81:$C$120,'CRISI Tables'!B471,'Bus Emissions'!$H$81:$H$120)</f>
        <v>0.38700000000000045</v>
      </c>
      <c r="E471" s="1342">
        <f>SUMIF('Bus Emissions'!$C$81:$C$120,'CRISI Tables'!B471,'Bus Emissions'!$G$81:$G$120)</f>
        <v>2.3899999999999977E-2</v>
      </c>
      <c r="F471" s="667">
        <f>SUMIF('Bus Emissions'!$C$81:$C$120,'CRISI Tables'!B471,'Bus Emissions'!$D$81:$D$120)</f>
        <v>2999.5516000000061</v>
      </c>
      <c r="G471" s="1420"/>
    </row>
    <row r="472" spans="1:7">
      <c r="A472" s="673"/>
      <c r="B472" s="1339">
        <f t="shared" si="87"/>
        <v>2048</v>
      </c>
      <c r="C472" s="666">
        <f>SUMIF('Bus Emissions'!$C$81:$C$120,'CRISI Tables'!B472,'Bus Emissions'!$E$81:$E$120)</f>
        <v>5.2920000000001437</v>
      </c>
      <c r="D472" s="1342">
        <f>SUMIF('Bus Emissions'!$C$81:$C$120,'CRISI Tables'!B472,'Bus Emissions'!$H$81:$H$120)</f>
        <v>0.38700000000000045</v>
      </c>
      <c r="E472" s="1342">
        <f>SUMIF('Bus Emissions'!$C$81:$C$120,'CRISI Tables'!B472,'Bus Emissions'!$G$81:$G$120)</f>
        <v>2.3899999999999977E-2</v>
      </c>
      <c r="F472" s="667">
        <f>SUMIF('Bus Emissions'!$C$81:$C$120,'CRISI Tables'!B472,'Bus Emissions'!$D$81:$D$120)</f>
        <v>2999.5516000000061</v>
      </c>
      <c r="G472" s="1420"/>
    </row>
    <row r="473" spans="1:7">
      <c r="A473" s="673"/>
      <c r="B473" s="1339">
        <f t="shared" si="87"/>
        <v>2049</v>
      </c>
      <c r="C473" s="666">
        <f>SUMIF('Bus Emissions'!$C$81:$C$120,'CRISI Tables'!B473,'Bus Emissions'!$E$81:$E$120)</f>
        <v>5.2920000000001437</v>
      </c>
      <c r="D473" s="1342">
        <f>SUMIF('Bus Emissions'!$C$81:$C$120,'CRISI Tables'!B473,'Bus Emissions'!$H$81:$H$120)</f>
        <v>0.38700000000000045</v>
      </c>
      <c r="E473" s="1342">
        <f>SUMIF('Bus Emissions'!$C$81:$C$120,'CRISI Tables'!B473,'Bus Emissions'!$G$81:$G$120)</f>
        <v>2.3899999999999977E-2</v>
      </c>
      <c r="F473" s="667">
        <f>SUMIF('Bus Emissions'!$C$81:$C$120,'CRISI Tables'!B473,'Bus Emissions'!$D$81:$D$120)</f>
        <v>2999.5516000000061</v>
      </c>
      <c r="G473" s="1420"/>
    </row>
    <row r="474" spans="1:7">
      <c r="A474" s="673"/>
      <c r="B474" s="1339">
        <f t="shared" si="87"/>
        <v>2050</v>
      </c>
      <c r="C474" s="666">
        <f>SUMIF('Bus Emissions'!$C$81:$C$120,'CRISI Tables'!B474,'Bus Emissions'!$E$81:$E$120)</f>
        <v>5.2920000000001437</v>
      </c>
      <c r="D474" s="1342">
        <f>SUMIF('Bus Emissions'!$C$81:$C$120,'CRISI Tables'!B474,'Bus Emissions'!$H$81:$H$120)</f>
        <v>0.38700000000000045</v>
      </c>
      <c r="E474" s="1342">
        <f>SUMIF('Bus Emissions'!$C$81:$C$120,'CRISI Tables'!B474,'Bus Emissions'!$G$81:$G$120)</f>
        <v>2.3899999999999977E-2</v>
      </c>
      <c r="F474" s="667">
        <f>SUMIF('Bus Emissions'!$C$81:$C$120,'CRISI Tables'!B474,'Bus Emissions'!$D$81:$D$120)</f>
        <v>2999.5516000000061</v>
      </c>
      <c r="G474" s="1420"/>
    </row>
    <row r="475" spans="1:7">
      <c r="A475" s="673"/>
      <c r="B475" s="1339">
        <f t="shared" si="87"/>
        <v>2051</v>
      </c>
      <c r="C475" s="666">
        <f>SUMIF('Bus Emissions'!$C$81:$C$120,'CRISI Tables'!B475,'Bus Emissions'!$E$81:$E$120)</f>
        <v>5.2920000000001437</v>
      </c>
      <c r="D475" s="1342">
        <f>SUMIF('Bus Emissions'!$C$81:$C$120,'CRISI Tables'!B475,'Bus Emissions'!$H$81:$H$120)</f>
        <v>0.38700000000000045</v>
      </c>
      <c r="E475" s="1342">
        <f>SUMIF('Bus Emissions'!$C$81:$C$120,'CRISI Tables'!B475,'Bus Emissions'!$G$81:$G$120)</f>
        <v>2.3899999999999977E-2</v>
      </c>
      <c r="F475" s="667">
        <f>SUMIF('Bus Emissions'!$C$81:$C$120,'CRISI Tables'!B475,'Bus Emissions'!$D$81:$D$120)</f>
        <v>2999.5516000000061</v>
      </c>
      <c r="G475" s="1420"/>
    </row>
    <row r="476" spans="1:7">
      <c r="A476" s="673"/>
      <c r="B476" s="1339">
        <f t="shared" si="87"/>
        <v>2052</v>
      </c>
      <c r="C476" s="666">
        <f>SUMIF('Bus Emissions'!$C$81:$C$120,'CRISI Tables'!B476,'Bus Emissions'!$E$81:$E$120)</f>
        <v>5.2920000000001437</v>
      </c>
      <c r="D476" s="1342">
        <f>SUMIF('Bus Emissions'!$C$81:$C$120,'CRISI Tables'!B476,'Bus Emissions'!$H$81:$H$120)</f>
        <v>0.38700000000000045</v>
      </c>
      <c r="E476" s="1342">
        <f>SUMIF('Bus Emissions'!$C$81:$C$120,'CRISI Tables'!B476,'Bus Emissions'!$G$81:$G$120)</f>
        <v>2.3899999999999977E-2</v>
      </c>
      <c r="F476" s="667">
        <f>SUMIF('Bus Emissions'!$C$81:$C$120,'CRISI Tables'!B476,'Bus Emissions'!$D$81:$D$120)</f>
        <v>2999.5516000000061</v>
      </c>
      <c r="G476" s="1420"/>
    </row>
    <row r="477" spans="1:7">
      <c r="A477" s="673"/>
      <c r="B477" s="1339">
        <f t="shared" si="87"/>
        <v>2053</v>
      </c>
      <c r="C477" s="666">
        <f>SUMIF('Bus Emissions'!$C$81:$C$120,'CRISI Tables'!B477,'Bus Emissions'!$E$81:$E$120)</f>
        <v>5.2920000000001437</v>
      </c>
      <c r="D477" s="1342">
        <f>SUMIF('Bus Emissions'!$C$81:$C$120,'CRISI Tables'!B477,'Bus Emissions'!$H$81:$H$120)</f>
        <v>0.38700000000000045</v>
      </c>
      <c r="E477" s="1342">
        <f>SUMIF('Bus Emissions'!$C$81:$C$120,'CRISI Tables'!B477,'Bus Emissions'!$G$81:$G$120)</f>
        <v>2.3899999999999977E-2</v>
      </c>
      <c r="F477" s="667">
        <f>SUMIF('Bus Emissions'!$C$81:$C$120,'CRISI Tables'!B477,'Bus Emissions'!$D$81:$D$120)</f>
        <v>2999.5516000000061</v>
      </c>
      <c r="G477" s="1420"/>
    </row>
    <row r="478" spans="1:7">
      <c r="A478" s="673"/>
      <c r="B478" s="1339">
        <f t="shared" si="87"/>
        <v>2054</v>
      </c>
      <c r="C478" s="666">
        <f>SUMIF('Bus Emissions'!$C$81:$C$120,'CRISI Tables'!B478,'Bus Emissions'!$E$81:$E$120)</f>
        <v>5.2920000000001437</v>
      </c>
      <c r="D478" s="1342">
        <f>SUMIF('Bus Emissions'!$C$81:$C$120,'CRISI Tables'!B478,'Bus Emissions'!$H$81:$H$120)</f>
        <v>0.38700000000000045</v>
      </c>
      <c r="E478" s="1342">
        <f>SUMIF('Bus Emissions'!$C$81:$C$120,'CRISI Tables'!B478,'Bus Emissions'!$G$81:$G$120)</f>
        <v>2.3899999999999977E-2</v>
      </c>
      <c r="F478" s="667">
        <f>SUMIF('Bus Emissions'!$C$81:$C$120,'CRISI Tables'!B478,'Bus Emissions'!$D$81:$D$120)</f>
        <v>2999.5516000000061</v>
      </c>
      <c r="G478" s="1420"/>
    </row>
    <row r="479" spans="1:7">
      <c r="A479" s="673"/>
      <c r="B479" s="691"/>
      <c r="C479" s="691"/>
      <c r="D479" s="691"/>
      <c r="E479" s="691"/>
      <c r="F479" s="691"/>
    </row>
    <row r="481" spans="1:6">
      <c r="A481" s="673" t="s">
        <v>1301</v>
      </c>
    </row>
    <row r="482" spans="1:6">
      <c r="B482" s="1379"/>
      <c r="C482" s="1380" t="s">
        <v>867</v>
      </c>
      <c r="D482" s="1381" t="s">
        <v>1319</v>
      </c>
      <c r="E482" s="1382"/>
    </row>
    <row r="483" spans="1:6">
      <c r="B483" s="1379"/>
      <c r="C483" s="1380"/>
      <c r="D483" s="688" t="s">
        <v>9</v>
      </c>
      <c r="E483" s="689" t="s">
        <v>868</v>
      </c>
    </row>
    <row r="484" spans="1:6">
      <c r="B484" s="654" t="str">
        <f>Results!$B$20</f>
        <v>Emissions Cost Savings</v>
      </c>
      <c r="C484" s="662">
        <f>SUMIFS(Results!$D$45:$AJ$45,Results!$D$42:$AJ$42,Results!$C$9)</f>
        <v>5457.8106984496044</v>
      </c>
      <c r="D484" s="662">
        <f>Results!$C$20*10^6</f>
        <v>172966.61782575978</v>
      </c>
      <c r="E484" s="662">
        <f>Results!$E$20*10^6</f>
        <v>54756.430371836868</v>
      </c>
    </row>
    <row r="485" spans="1:6">
      <c r="B485" s="663" t="s">
        <v>5</v>
      </c>
      <c r="C485" s="688"/>
      <c r="D485" s="664">
        <f>SUM(D484)</f>
        <v>172966.61782575978</v>
      </c>
      <c r="E485" s="664">
        <f>SUM(E484)</f>
        <v>54756.430371836868</v>
      </c>
    </row>
    <row r="487" spans="1:6">
      <c r="A487" s="673" t="s">
        <v>871</v>
      </c>
    </row>
    <row r="488" spans="1:6">
      <c r="B488" s="688" t="s">
        <v>861</v>
      </c>
      <c r="C488" s="689" t="s">
        <v>449</v>
      </c>
      <c r="D488" s="689" t="s">
        <v>0</v>
      </c>
      <c r="E488" s="688" t="s">
        <v>8</v>
      </c>
      <c r="F488" s="689" t="s">
        <v>1</v>
      </c>
    </row>
    <row r="489" spans="1:6" ht="57.5">
      <c r="B489" s="680" t="str">
        <f>'General Inputs'!B28</f>
        <v>Gasoline Burned at Idle - Autos</v>
      </c>
      <c r="C489" s="679" t="str">
        <f>'General Inputs'!C28</f>
        <v>gallons/hour</v>
      </c>
      <c r="D489" s="679" t="s">
        <v>193</v>
      </c>
      <c r="E489" s="666">
        <f>'General Inputs'!D28</f>
        <v>0.35749999999999998</v>
      </c>
      <c r="F489" s="680" t="str">
        <f>'General Inputs'!E28</f>
        <v>US DOE: Alternative Fuels Data Center and Argonne National Laboratory, "Idle Reduction Savings Worksheet" (2014) - Average of gasoline passenger vehicles.</v>
      </c>
    </row>
    <row r="490" spans="1:6" ht="46">
      <c r="B490" s="680" t="str">
        <f>'General Inputs'!B29</f>
        <v>Diesel Fuel Burned at Idle - Trucks</v>
      </c>
      <c r="C490" s="679" t="str">
        <f>'General Inputs'!C29</f>
        <v>gallons/hour</v>
      </c>
      <c r="D490" s="679" t="s">
        <v>193</v>
      </c>
      <c r="E490" s="666">
        <f>'General Inputs'!D29</f>
        <v>0.84</v>
      </c>
      <c r="F490" s="680" t="str">
        <f>'General Inputs'!E29</f>
        <v>US DOE: Alternative Fuels Data Center and Argonne National Laboratory, "Idle Reduction Savings Worksheet" (2014) - Medium Trucks.</v>
      </c>
    </row>
    <row r="491" spans="1:6" ht="46">
      <c r="B491" s="680" t="str">
        <f>'General Inputs'!B30</f>
        <v>Diesel Fuel Burned at Idle - Bus</v>
      </c>
      <c r="C491" s="679" t="str">
        <f>'General Inputs'!C30</f>
        <v>gallons/hour</v>
      </c>
      <c r="D491" s="679" t="s">
        <v>193</v>
      </c>
      <c r="E491" s="666">
        <f>'General Inputs'!D30</f>
        <v>0.97</v>
      </c>
      <c r="F491" s="680" t="str">
        <f>'General Inputs'!E30</f>
        <v>US DOE: Alternative Fuels Data Center and Argonne National Laboratory, "Idle Reduction Savings Worksheet" (2014) - Transit Bus.</v>
      </c>
    </row>
    <row r="492" spans="1:6" ht="23">
      <c r="B492" s="680" t="str">
        <f>'General Inputs'!B31</f>
        <v>Motor Oil Consumption at Idle - Autos</v>
      </c>
      <c r="C492" s="679" t="str">
        <f>'General Inputs'!C31</f>
        <v>quarts/hour</v>
      </c>
      <c r="D492" s="679" t="s">
        <v>193</v>
      </c>
      <c r="E492" s="666">
        <f>'General Inputs'!D31</f>
        <v>3.4499999999999996E-2</v>
      </c>
      <c r="F492" s="1414" t="str">
        <f>'General Inputs'!E31</f>
        <v>Based on US DOT: HERS-ST Highway Economic Requirements System (2002) oil consumption of 1.38qt/1000 miles and assuming that "One hour of idle time is equal to approximately 25 miles of driving" (Ford Motor Company, 2011).</v>
      </c>
    </row>
    <row r="493" spans="1:6" ht="23">
      <c r="B493" s="680" t="str">
        <f>'General Inputs'!B32</f>
        <v>Motor Oil Consumption at Idle - Trucks</v>
      </c>
      <c r="C493" s="679" t="str">
        <f>'General Inputs'!C32</f>
        <v>quarts/hour</v>
      </c>
      <c r="D493" s="679" t="s">
        <v>193</v>
      </c>
      <c r="E493" s="666">
        <f>'General Inputs'!D32</f>
        <v>3.4499999999999996E-2</v>
      </c>
      <c r="F493" s="1414"/>
    </row>
    <row r="494" spans="1:6" ht="23">
      <c r="B494" s="680" t="str">
        <f>'General Inputs'!B33</f>
        <v>Motor Oil Consumption at Idle - Bus</v>
      </c>
      <c r="C494" s="679" t="str">
        <f>'General Inputs'!C33</f>
        <v>quarts/hour</v>
      </c>
      <c r="D494" s="679" t="s">
        <v>193</v>
      </c>
      <c r="E494" s="666">
        <f>'General Inputs'!D33</f>
        <v>3.4499999999999996E-2</v>
      </c>
      <c r="F494" s="1414"/>
    </row>
    <row r="495" spans="1:6">
      <c r="B495" s="678" t="str">
        <f>'General Inputs'!B34</f>
        <v>Cost of Motor Oil - Autos</v>
      </c>
      <c r="C495" s="679" t="str">
        <f>'General Inputs'!C34</f>
        <v>2019$/quart</v>
      </c>
      <c r="D495" s="679" t="s">
        <v>193</v>
      </c>
      <c r="E495" s="690">
        <f>'General Inputs'!D34</f>
        <v>10.715310341685649</v>
      </c>
      <c r="F495" s="1414" t="str">
        <f>'General Inputs'!E34</f>
        <v>Average Oil Price Sourced From HERS Model and Inflated to 2019$ by Motor Oil CPI (BLS CUUR0000SS47021).</v>
      </c>
    </row>
    <row r="496" spans="1:6">
      <c r="B496" s="678" t="str">
        <f>'General Inputs'!B35</f>
        <v>Cost of Motor Oil - Trucks</v>
      </c>
      <c r="C496" s="679" t="str">
        <f>'General Inputs'!C35</f>
        <v>2019$/quart</v>
      </c>
      <c r="D496" s="679" t="s">
        <v>193</v>
      </c>
      <c r="E496" s="690">
        <f>'General Inputs'!D35</f>
        <v>4.2855243432042522</v>
      </c>
      <c r="F496" s="1414"/>
    </row>
    <row r="497" spans="2:6">
      <c r="B497" s="678" t="str">
        <f>'General Inputs'!B36</f>
        <v>Cost of Motor Oil - Bus</v>
      </c>
      <c r="C497" s="679" t="str">
        <f>'General Inputs'!C36</f>
        <v>2019$/quart</v>
      </c>
      <c r="D497" s="679" t="s">
        <v>193</v>
      </c>
      <c r="E497" s="690">
        <f>'General Inputs'!D36</f>
        <v>10.715310341685649</v>
      </c>
      <c r="F497" s="1414"/>
    </row>
    <row r="498" spans="2:6">
      <c r="B498" s="1415" t="s">
        <v>17</v>
      </c>
      <c r="C498" s="1416" t="s">
        <v>1039</v>
      </c>
      <c r="D498" s="693">
        <f>VRCBY</f>
        <v>2021</v>
      </c>
      <c r="E498" s="690">
        <f>SUMIFS('Fuel Costs'!$C$58:$C$96,'Fuel Costs'!$B$58:$B$96,LEFT($D498,4))</f>
        <v>2.1089990000000003</v>
      </c>
      <c r="F498" s="1413" t="s">
        <v>948</v>
      </c>
    </row>
    <row r="499" spans="2:6">
      <c r="B499" s="1415"/>
      <c r="C499" s="1416"/>
      <c r="D499" s="693">
        <f>D498+1</f>
        <v>2022</v>
      </c>
      <c r="E499" s="690">
        <f>SUMIFS('Fuel Costs'!$C$58:$C$96,'Fuel Costs'!$B$58:$B$96,LEFT($D499,4))</f>
        <v>2.1141540000000001</v>
      </c>
      <c r="F499" s="1413"/>
    </row>
    <row r="500" spans="2:6">
      <c r="B500" s="1415"/>
      <c r="C500" s="1416"/>
      <c r="D500" s="693">
        <f t="shared" ref="D500:D529" si="88">D499+1</f>
        <v>2023</v>
      </c>
      <c r="E500" s="690">
        <f>SUMIFS('Fuel Costs'!$C$58:$C$96,'Fuel Costs'!$B$58:$B$96,LEFT($D500,4))</f>
        <v>2.1080949999999996</v>
      </c>
      <c r="F500" s="1413"/>
    </row>
    <row r="501" spans="2:6">
      <c r="B501" s="1415"/>
      <c r="C501" s="1416"/>
      <c r="D501" s="693">
        <f t="shared" si="88"/>
        <v>2024</v>
      </c>
      <c r="E501" s="690">
        <f>SUMIFS('Fuel Costs'!$C$58:$C$96,'Fuel Costs'!$B$58:$B$96,LEFT($D501,4))</f>
        <v>2.0777429999999999</v>
      </c>
      <c r="F501" s="1413"/>
    </row>
    <row r="502" spans="2:6">
      <c r="B502" s="1415"/>
      <c r="C502" s="1416"/>
      <c r="D502" s="693">
        <f t="shared" si="88"/>
        <v>2025</v>
      </c>
      <c r="E502" s="690">
        <f>SUMIFS('Fuel Costs'!$C$58:$C$96,'Fuel Costs'!$B$58:$B$96,LEFT($D502,4))</f>
        <v>2.110881</v>
      </c>
      <c r="F502" s="1413"/>
    </row>
    <row r="503" spans="2:6">
      <c r="B503" s="1415"/>
      <c r="C503" s="1416"/>
      <c r="D503" s="693">
        <f t="shared" si="88"/>
        <v>2026</v>
      </c>
      <c r="E503" s="690">
        <f>SUMIFS('Fuel Costs'!$C$58:$C$96,'Fuel Costs'!$B$58:$B$96,LEFT($D503,4))</f>
        <v>2.136511</v>
      </c>
      <c r="F503" s="1413"/>
    </row>
    <row r="504" spans="2:6">
      <c r="B504" s="1415"/>
      <c r="C504" s="1416"/>
      <c r="D504" s="693">
        <f t="shared" si="88"/>
        <v>2027</v>
      </c>
      <c r="E504" s="690">
        <f>SUMIFS('Fuel Costs'!$C$58:$C$96,'Fuel Costs'!$B$58:$B$96,LEFT($D504,4))</f>
        <v>2.1720520000000003</v>
      </c>
      <c r="F504" s="1413"/>
    </row>
    <row r="505" spans="2:6">
      <c r="B505" s="1415"/>
      <c r="C505" s="1416"/>
      <c r="D505" s="693">
        <f t="shared" si="88"/>
        <v>2028</v>
      </c>
      <c r="E505" s="690">
        <f>SUMIFS('Fuel Costs'!$C$58:$C$96,'Fuel Costs'!$B$58:$B$96,LEFT($D505,4))</f>
        <v>2.188831</v>
      </c>
      <c r="F505" s="1413"/>
    </row>
    <row r="506" spans="2:6">
      <c r="B506" s="1415"/>
      <c r="C506" s="1416"/>
      <c r="D506" s="693">
        <f t="shared" si="88"/>
        <v>2029</v>
      </c>
      <c r="E506" s="690">
        <f>SUMIFS('Fuel Costs'!$C$58:$C$96,'Fuel Costs'!$B$58:$B$96,LEFT($D506,4))</f>
        <v>2.2274219999999998</v>
      </c>
      <c r="F506" s="1413"/>
    </row>
    <row r="507" spans="2:6">
      <c r="B507" s="1415"/>
      <c r="C507" s="1416"/>
      <c r="D507" s="693">
        <f t="shared" si="88"/>
        <v>2030</v>
      </c>
      <c r="E507" s="690">
        <f>SUMIFS('Fuel Costs'!$C$58:$C$96,'Fuel Costs'!$B$58:$B$96,LEFT($D507,4))</f>
        <v>2.314724</v>
      </c>
      <c r="F507" s="1413"/>
    </row>
    <row r="508" spans="2:6">
      <c r="B508" s="1415"/>
      <c r="C508" s="1416"/>
      <c r="D508" s="693">
        <f t="shared" si="88"/>
        <v>2031</v>
      </c>
      <c r="E508" s="690">
        <f>SUMIFS('Fuel Costs'!$C$58:$C$96,'Fuel Costs'!$B$58:$B$96,LEFT($D508,4))</f>
        <v>2.3371370000000002</v>
      </c>
      <c r="F508" s="1413"/>
    </row>
    <row r="509" spans="2:6">
      <c r="B509" s="1415"/>
      <c r="C509" s="1416"/>
      <c r="D509" s="693">
        <f t="shared" si="88"/>
        <v>2032</v>
      </c>
      <c r="E509" s="690">
        <f>SUMIFS('Fuel Costs'!$C$58:$C$96,'Fuel Costs'!$B$58:$B$96,LEFT($D509,4))</f>
        <v>2.3648720000000001</v>
      </c>
      <c r="F509" s="1413"/>
    </row>
    <row r="510" spans="2:6">
      <c r="B510" s="1415"/>
      <c r="C510" s="1416"/>
      <c r="D510" s="693">
        <f t="shared" si="88"/>
        <v>2033</v>
      </c>
      <c r="E510" s="690">
        <f>SUMIFS('Fuel Costs'!$C$58:$C$96,'Fuel Costs'!$B$58:$B$96,LEFT($D510,4))</f>
        <v>2.4180700000000002</v>
      </c>
      <c r="F510" s="1413"/>
    </row>
    <row r="511" spans="2:6">
      <c r="B511" s="1415"/>
      <c r="C511" s="1416"/>
      <c r="D511" s="693">
        <f t="shared" si="88"/>
        <v>2034</v>
      </c>
      <c r="E511" s="690">
        <f>SUMIFS('Fuel Costs'!$C$58:$C$96,'Fuel Costs'!$B$58:$B$96,LEFT($D511,4))</f>
        <v>2.4668809999999999</v>
      </c>
      <c r="F511" s="1413"/>
    </row>
    <row r="512" spans="2:6">
      <c r="B512" s="1415"/>
      <c r="C512" s="1416"/>
      <c r="D512" s="693">
        <f t="shared" si="88"/>
        <v>2035</v>
      </c>
      <c r="E512" s="690">
        <f>SUMIFS('Fuel Costs'!$C$58:$C$96,'Fuel Costs'!$B$58:$B$96,LEFT($D512,4))</f>
        <v>2.5000450000000001</v>
      </c>
      <c r="F512" s="1413"/>
    </row>
    <row r="513" spans="2:6">
      <c r="B513" s="1415"/>
      <c r="C513" s="1416"/>
      <c r="D513" s="693">
        <f t="shared" si="88"/>
        <v>2036</v>
      </c>
      <c r="E513" s="690">
        <f>SUMIFS('Fuel Costs'!$C$58:$C$96,'Fuel Costs'!$B$58:$B$96,LEFT($D513,4))</f>
        <v>2.5377999999999998</v>
      </c>
      <c r="F513" s="1413"/>
    </row>
    <row r="514" spans="2:6">
      <c r="B514" s="1415"/>
      <c r="C514" s="1416"/>
      <c r="D514" s="693">
        <f t="shared" si="88"/>
        <v>2037</v>
      </c>
      <c r="E514" s="690">
        <f>SUMIFS('Fuel Costs'!$C$58:$C$96,'Fuel Costs'!$B$58:$B$96,LEFT($D514,4))</f>
        <v>2.5494319999999999</v>
      </c>
      <c r="F514" s="1413"/>
    </row>
    <row r="515" spans="2:6">
      <c r="B515" s="1415"/>
      <c r="C515" s="1416"/>
      <c r="D515" s="693">
        <f t="shared" si="88"/>
        <v>2038</v>
      </c>
      <c r="E515" s="690">
        <f>SUMIFS('Fuel Costs'!$C$58:$C$96,'Fuel Costs'!$B$58:$B$96,LEFT($D515,4))</f>
        <v>2.5846549999999997</v>
      </c>
      <c r="F515" s="1413"/>
    </row>
    <row r="516" spans="2:6">
      <c r="B516" s="1415"/>
      <c r="C516" s="1416"/>
      <c r="D516" s="693">
        <f t="shared" si="88"/>
        <v>2039</v>
      </c>
      <c r="E516" s="690">
        <f>SUMIFS('Fuel Costs'!$C$58:$C$96,'Fuel Costs'!$B$58:$B$96,LEFT($D516,4))</f>
        <v>2.6275680000000001</v>
      </c>
      <c r="F516" s="1413"/>
    </row>
    <row r="517" spans="2:6">
      <c r="B517" s="1415"/>
      <c r="C517" s="1416"/>
      <c r="D517" s="693">
        <f t="shared" si="88"/>
        <v>2040</v>
      </c>
      <c r="E517" s="690">
        <f>SUMIFS('Fuel Costs'!$C$58:$C$96,'Fuel Costs'!$B$58:$B$96,LEFT($D517,4))</f>
        <v>2.6407669999999999</v>
      </c>
      <c r="F517" s="1413"/>
    </row>
    <row r="518" spans="2:6">
      <c r="B518" s="1415"/>
      <c r="C518" s="1416"/>
      <c r="D518" s="693">
        <f t="shared" si="88"/>
        <v>2041</v>
      </c>
      <c r="E518" s="690">
        <f>SUMIFS('Fuel Costs'!$C$58:$C$96,'Fuel Costs'!$B$58:$B$96,LEFT($D518,4))</f>
        <v>2.6650519999999998</v>
      </c>
      <c r="F518" s="1413"/>
    </row>
    <row r="519" spans="2:6">
      <c r="B519" s="1415"/>
      <c r="C519" s="1416"/>
      <c r="D519" s="693">
        <f t="shared" si="88"/>
        <v>2042</v>
      </c>
      <c r="E519" s="690">
        <f>SUMIFS('Fuel Costs'!$C$58:$C$96,'Fuel Costs'!$B$58:$B$96,LEFT($D519,4))</f>
        <v>2.715147</v>
      </c>
      <c r="F519" s="1413"/>
    </row>
    <row r="520" spans="2:6">
      <c r="B520" s="1415"/>
      <c r="C520" s="1416"/>
      <c r="D520" s="693">
        <f t="shared" si="88"/>
        <v>2043</v>
      </c>
      <c r="E520" s="690">
        <f>SUMIFS('Fuel Costs'!$C$58:$C$96,'Fuel Costs'!$B$58:$B$96,LEFT($D520,4))</f>
        <v>2.7429259999999998</v>
      </c>
      <c r="F520" s="1413"/>
    </row>
    <row r="521" spans="2:6">
      <c r="B521" s="1415"/>
      <c r="C521" s="1416"/>
      <c r="D521" s="693">
        <f t="shared" si="88"/>
        <v>2044</v>
      </c>
      <c r="E521" s="690">
        <f>SUMIFS('Fuel Costs'!$C$58:$C$96,'Fuel Costs'!$B$58:$B$96,LEFT($D521,4))</f>
        <v>2.770124</v>
      </c>
      <c r="F521" s="1413"/>
    </row>
    <row r="522" spans="2:6">
      <c r="B522" s="1415"/>
      <c r="C522" s="1416"/>
      <c r="D522" s="693">
        <f t="shared" si="88"/>
        <v>2045</v>
      </c>
      <c r="E522" s="690">
        <f>SUMIFS('Fuel Costs'!$C$58:$C$96,'Fuel Costs'!$B$58:$B$96,LEFT($D522,4))</f>
        <v>2.8135499999999998</v>
      </c>
      <c r="F522" s="1413"/>
    </row>
    <row r="523" spans="2:6">
      <c r="B523" s="1415"/>
      <c r="C523" s="1416"/>
      <c r="D523" s="693">
        <f t="shared" si="88"/>
        <v>2046</v>
      </c>
      <c r="E523" s="690">
        <f>SUMIFS('Fuel Costs'!$C$58:$C$96,'Fuel Costs'!$B$58:$B$96,LEFT($D523,4))</f>
        <v>2.825739</v>
      </c>
      <c r="F523" s="1413"/>
    </row>
    <row r="524" spans="2:6">
      <c r="B524" s="1415"/>
      <c r="C524" s="1416"/>
      <c r="D524" s="693">
        <f t="shared" si="88"/>
        <v>2047</v>
      </c>
      <c r="E524" s="690">
        <f>SUMIFS('Fuel Costs'!$C$58:$C$96,'Fuel Costs'!$B$58:$B$96,LEFT($D524,4))</f>
        <v>2.884363</v>
      </c>
      <c r="F524" s="1413"/>
    </row>
    <row r="525" spans="2:6">
      <c r="B525" s="1415"/>
      <c r="C525" s="1416"/>
      <c r="D525" s="693">
        <f t="shared" si="88"/>
        <v>2048</v>
      </c>
      <c r="E525" s="690">
        <f>SUMIFS('Fuel Costs'!$C$58:$C$96,'Fuel Costs'!$B$58:$B$96,LEFT($D525,4))</f>
        <v>2.9245799999999997</v>
      </c>
      <c r="F525" s="1413"/>
    </row>
    <row r="526" spans="2:6">
      <c r="B526" s="1415"/>
      <c r="C526" s="1416"/>
      <c r="D526" s="693">
        <f t="shared" si="88"/>
        <v>2049</v>
      </c>
      <c r="E526" s="690">
        <f>SUMIFS('Fuel Costs'!$C$58:$C$96,'Fuel Costs'!$B$58:$B$96,LEFT($D526,4))</f>
        <v>2.9556740000000001</v>
      </c>
      <c r="F526" s="1413"/>
    </row>
    <row r="527" spans="2:6">
      <c r="B527" s="1415"/>
      <c r="C527" s="1416"/>
      <c r="D527" s="693">
        <f t="shared" si="88"/>
        <v>2050</v>
      </c>
      <c r="E527" s="690">
        <f>SUMIFS('Fuel Costs'!$C$58:$C$96,'Fuel Costs'!$B$58:$B$96,LEFT($D527,4))</f>
        <v>2.9824709999999999</v>
      </c>
      <c r="F527" s="1413"/>
    </row>
    <row r="528" spans="2:6">
      <c r="B528" s="1415"/>
      <c r="C528" s="1416"/>
      <c r="D528" s="693">
        <f t="shared" si="88"/>
        <v>2051</v>
      </c>
      <c r="E528" s="690">
        <f>SUMIFS('Fuel Costs'!$C$58:$C$96,'Fuel Costs'!$B$58:$B$96,LEFT($D528,4))</f>
        <v>3.0131836545560371</v>
      </c>
      <c r="F528" s="1413"/>
    </row>
    <row r="529" spans="2:6">
      <c r="B529" s="1415"/>
      <c r="C529" s="1416"/>
      <c r="D529" s="693">
        <f t="shared" si="88"/>
        <v>2052</v>
      </c>
      <c r="E529" s="690">
        <f>SUMIFS('Fuel Costs'!$C$58:$C$96,'Fuel Costs'!$B$58:$B$96,LEFT($D529,4))</f>
        <v>3.0441036388293234</v>
      </c>
      <c r="F529" s="1413"/>
    </row>
    <row r="530" spans="2:6">
      <c r="B530" s="1415"/>
      <c r="C530" s="1416"/>
      <c r="D530" s="1357">
        <v>2053</v>
      </c>
      <c r="E530" s="690">
        <f>SUMIFS('Fuel Costs'!$C$58:$C$96,'Fuel Costs'!$B$58:$B$96,LEFT($D530,4))</f>
        <v>3.0752329080548346</v>
      </c>
      <c r="F530" s="1413"/>
    </row>
    <row r="531" spans="2:6">
      <c r="B531" s="1415"/>
      <c r="C531" s="1416"/>
      <c r="D531" s="693">
        <v>2054</v>
      </c>
      <c r="E531" s="690">
        <f>SUMIFS('Fuel Costs'!$C$58:$C$96,'Fuel Costs'!$B$58:$B$96,LEFT($D531,4))</f>
        <v>3.1065734315835933</v>
      </c>
      <c r="F531" s="1413"/>
    </row>
    <row r="532" spans="2:6">
      <c r="B532" s="1415" t="s">
        <v>18</v>
      </c>
      <c r="C532" s="1416" t="s">
        <v>1039</v>
      </c>
      <c r="D532" s="693">
        <f>VRCBY</f>
        <v>2021</v>
      </c>
      <c r="E532" s="690">
        <f>SUMIFS('Fuel Costs'!$D$58:$D$96,'Fuel Costs'!$B$58:$B$96,LEFT($D532,4))</f>
        <v>2.3667060000000002</v>
      </c>
      <c r="F532" s="1413" t="s">
        <v>948</v>
      </c>
    </row>
    <row r="533" spans="2:6">
      <c r="B533" s="1415"/>
      <c r="C533" s="1416"/>
      <c r="D533" s="693">
        <f>D532+1</f>
        <v>2022</v>
      </c>
      <c r="E533" s="690">
        <f>SUMIFS('Fuel Costs'!$D$58:$D$96,'Fuel Costs'!$B$58:$B$96,LEFT($D533,4))</f>
        <v>2.415864</v>
      </c>
      <c r="F533" s="1413"/>
    </row>
    <row r="534" spans="2:6">
      <c r="B534" s="1415"/>
      <c r="C534" s="1416"/>
      <c r="D534" s="693">
        <f t="shared" ref="D534:D565" si="89">D533+1</f>
        <v>2023</v>
      </c>
      <c r="E534" s="690">
        <f>SUMIFS('Fuel Costs'!$D$58:$D$96,'Fuel Costs'!$B$58:$B$96,LEFT($D534,4))</f>
        <v>2.4390620000000003</v>
      </c>
      <c r="F534" s="1413"/>
    </row>
    <row r="535" spans="2:6">
      <c r="B535" s="1415"/>
      <c r="C535" s="1416"/>
      <c r="D535" s="693">
        <f t="shared" si="89"/>
        <v>2024</v>
      </c>
      <c r="E535" s="690">
        <f>SUMIFS('Fuel Costs'!$D$58:$D$96,'Fuel Costs'!$B$58:$B$96,LEFT($D535,4))</f>
        <v>2.498437</v>
      </c>
      <c r="F535" s="1413"/>
    </row>
    <row r="536" spans="2:6">
      <c r="B536" s="1415"/>
      <c r="C536" s="1416"/>
      <c r="D536" s="693">
        <f t="shared" si="89"/>
        <v>2025</v>
      </c>
      <c r="E536" s="690">
        <f>SUMIFS('Fuel Costs'!$D$58:$D$96,'Fuel Costs'!$B$58:$B$96,LEFT($D536,4))</f>
        <v>2.5215069999999997</v>
      </c>
      <c r="F536" s="1413"/>
    </row>
    <row r="537" spans="2:6">
      <c r="B537" s="1415"/>
      <c r="C537" s="1416"/>
      <c r="D537" s="693">
        <f t="shared" si="89"/>
        <v>2026</v>
      </c>
      <c r="E537" s="690">
        <f>SUMIFS('Fuel Costs'!$D$58:$D$96,'Fuel Costs'!$B$58:$B$96,LEFT($D537,4))</f>
        <v>2.5828810000000004</v>
      </c>
      <c r="F537" s="1413"/>
    </row>
    <row r="538" spans="2:6">
      <c r="B538" s="1415"/>
      <c r="C538" s="1416"/>
      <c r="D538" s="693">
        <f t="shared" si="89"/>
        <v>2027</v>
      </c>
      <c r="E538" s="690">
        <f>SUMIFS('Fuel Costs'!$D$58:$D$96,'Fuel Costs'!$B$58:$B$96,LEFT($D538,4))</f>
        <v>2.5956159999999997</v>
      </c>
      <c r="F538" s="1413"/>
    </row>
    <row r="539" spans="2:6">
      <c r="B539" s="1415"/>
      <c r="C539" s="1416"/>
      <c r="D539" s="693">
        <f t="shared" si="89"/>
        <v>2028</v>
      </c>
      <c r="E539" s="690">
        <f>SUMIFS('Fuel Costs'!$D$58:$D$96,'Fuel Costs'!$B$58:$B$96,LEFT($D539,4))</f>
        <v>2.6482269999999999</v>
      </c>
      <c r="F539" s="1413"/>
    </row>
    <row r="540" spans="2:6">
      <c r="B540" s="1415"/>
      <c r="C540" s="1416"/>
      <c r="D540" s="693">
        <f t="shared" si="89"/>
        <v>2029</v>
      </c>
      <c r="E540" s="690">
        <f>SUMIFS('Fuel Costs'!$D$58:$D$96,'Fuel Costs'!$B$58:$B$96,LEFT($D540,4))</f>
        <v>2.682369</v>
      </c>
      <c r="F540" s="1413"/>
    </row>
    <row r="541" spans="2:6">
      <c r="B541" s="1415"/>
      <c r="C541" s="1416"/>
      <c r="D541" s="693">
        <f t="shared" si="89"/>
        <v>2030</v>
      </c>
      <c r="E541" s="690">
        <f>SUMIFS('Fuel Costs'!$D$58:$D$96,'Fuel Costs'!$B$58:$B$96,LEFT($D541,4))</f>
        <v>2.7536199999999997</v>
      </c>
      <c r="F541" s="1413"/>
    </row>
    <row r="542" spans="2:6">
      <c r="B542" s="1415"/>
      <c r="C542" s="1416"/>
      <c r="D542" s="693">
        <f t="shared" si="89"/>
        <v>2031</v>
      </c>
      <c r="E542" s="690">
        <f>SUMIFS('Fuel Costs'!$D$58:$D$96,'Fuel Costs'!$B$58:$B$96,LEFT($D542,4))</f>
        <v>2.7948589999999998</v>
      </c>
      <c r="F542" s="1413"/>
    </row>
    <row r="543" spans="2:6">
      <c r="B543" s="1415"/>
      <c r="C543" s="1416"/>
      <c r="D543" s="693">
        <f t="shared" si="89"/>
        <v>2032</v>
      </c>
      <c r="E543" s="690">
        <f>SUMIFS('Fuel Costs'!$D$58:$D$96,'Fuel Costs'!$B$58:$B$96,LEFT($D543,4))</f>
        <v>2.8228499999999999</v>
      </c>
      <c r="F543" s="1413"/>
    </row>
    <row r="544" spans="2:6">
      <c r="B544" s="1415"/>
      <c r="C544" s="1416"/>
      <c r="D544" s="693">
        <f t="shared" si="89"/>
        <v>2033</v>
      </c>
      <c r="E544" s="690">
        <f>SUMIFS('Fuel Costs'!$D$58:$D$96,'Fuel Costs'!$B$58:$B$96,LEFT($D544,4))</f>
        <v>2.8807999999999998</v>
      </c>
      <c r="F544" s="1413"/>
    </row>
    <row r="545" spans="2:6">
      <c r="B545" s="1415"/>
      <c r="C545" s="1416"/>
      <c r="D545" s="693">
        <f t="shared" si="89"/>
        <v>2034</v>
      </c>
      <c r="E545" s="690">
        <f>SUMIFS('Fuel Costs'!$D$58:$D$96,'Fuel Costs'!$B$58:$B$96,LEFT($D545,4))</f>
        <v>2.9119450000000002</v>
      </c>
      <c r="F545" s="1413"/>
    </row>
    <row r="546" spans="2:6">
      <c r="B546" s="1415"/>
      <c r="C546" s="1416"/>
      <c r="D546" s="693">
        <f t="shared" si="89"/>
        <v>2035</v>
      </c>
      <c r="E546" s="690">
        <f>SUMIFS('Fuel Costs'!$D$58:$D$96,'Fuel Costs'!$B$58:$B$96,LEFT($D546,4))</f>
        <v>2.946434</v>
      </c>
      <c r="F546" s="1413"/>
    </row>
    <row r="547" spans="2:6">
      <c r="B547" s="1415"/>
      <c r="C547" s="1416"/>
      <c r="D547" s="693">
        <f t="shared" si="89"/>
        <v>2036</v>
      </c>
      <c r="E547" s="690">
        <f>SUMIFS('Fuel Costs'!$D$58:$D$96,'Fuel Costs'!$B$58:$B$96,LEFT($D547,4))</f>
        <v>2.9849239999999999</v>
      </c>
      <c r="F547" s="1413"/>
    </row>
    <row r="548" spans="2:6">
      <c r="B548" s="1415"/>
      <c r="C548" s="1416"/>
      <c r="D548" s="693">
        <f t="shared" si="89"/>
        <v>2037</v>
      </c>
      <c r="E548" s="690">
        <f>SUMIFS('Fuel Costs'!$D$58:$D$96,'Fuel Costs'!$B$58:$B$96,LEFT($D548,4))</f>
        <v>3.0129359999999998</v>
      </c>
      <c r="F548" s="1413"/>
    </row>
    <row r="549" spans="2:6">
      <c r="B549" s="1415"/>
      <c r="C549" s="1416"/>
      <c r="D549" s="693">
        <f t="shared" si="89"/>
        <v>2038</v>
      </c>
      <c r="E549" s="690">
        <f>SUMIFS('Fuel Costs'!$D$58:$D$96,'Fuel Costs'!$B$58:$B$96,LEFT($D549,4))</f>
        <v>3.0455040000000002</v>
      </c>
      <c r="F549" s="1413"/>
    </row>
    <row r="550" spans="2:6">
      <c r="B550" s="1415"/>
      <c r="C550" s="1416"/>
      <c r="D550" s="693">
        <f t="shared" si="89"/>
        <v>2039</v>
      </c>
      <c r="E550" s="690">
        <f>SUMIFS('Fuel Costs'!$D$58:$D$96,'Fuel Costs'!$B$58:$B$96,LEFT($D550,4))</f>
        <v>3.0799020000000001</v>
      </c>
      <c r="F550" s="1413"/>
    </row>
    <row r="551" spans="2:6">
      <c r="B551" s="1415"/>
      <c r="C551" s="1416"/>
      <c r="D551" s="693">
        <f t="shared" si="89"/>
        <v>2040</v>
      </c>
      <c r="E551" s="690">
        <f>SUMIFS('Fuel Costs'!$D$58:$D$96,'Fuel Costs'!$B$58:$B$96,LEFT($D551,4))</f>
        <v>3.0827439999999999</v>
      </c>
      <c r="F551" s="1413"/>
    </row>
    <row r="552" spans="2:6">
      <c r="B552" s="1415"/>
      <c r="C552" s="1416"/>
      <c r="D552" s="693">
        <f t="shared" si="89"/>
        <v>2041</v>
      </c>
      <c r="E552" s="690">
        <f>SUMIFS('Fuel Costs'!$D$58:$D$96,'Fuel Costs'!$B$58:$B$96,LEFT($D552,4))</f>
        <v>3.109143</v>
      </c>
      <c r="F552" s="1413"/>
    </row>
    <row r="553" spans="2:6">
      <c r="B553" s="1415"/>
      <c r="C553" s="1416"/>
      <c r="D553" s="693">
        <f t="shared" si="89"/>
        <v>2042</v>
      </c>
      <c r="E553" s="690">
        <f>SUMIFS('Fuel Costs'!$D$58:$D$96,'Fuel Costs'!$B$58:$B$96,LEFT($D553,4))</f>
        <v>3.1652459999999998</v>
      </c>
      <c r="F553" s="1413"/>
    </row>
    <row r="554" spans="2:6">
      <c r="B554" s="1415"/>
      <c r="C554" s="1416"/>
      <c r="D554" s="693">
        <f t="shared" si="89"/>
        <v>2043</v>
      </c>
      <c r="E554" s="690">
        <f>SUMIFS('Fuel Costs'!$D$58:$D$96,'Fuel Costs'!$B$58:$B$96,LEFT($D554,4))</f>
        <v>3.1917300000000002</v>
      </c>
      <c r="F554" s="1413"/>
    </row>
    <row r="555" spans="2:6">
      <c r="B555" s="1415"/>
      <c r="C555" s="1416"/>
      <c r="D555" s="693">
        <f t="shared" si="89"/>
        <v>2044</v>
      </c>
      <c r="E555" s="690">
        <f>SUMIFS('Fuel Costs'!$D$58:$D$96,'Fuel Costs'!$B$58:$B$96,LEFT($D555,4))</f>
        <v>3.2225800000000002</v>
      </c>
      <c r="F555" s="1413"/>
    </row>
    <row r="556" spans="2:6">
      <c r="B556" s="1415"/>
      <c r="C556" s="1416"/>
      <c r="D556" s="693">
        <f t="shared" si="89"/>
        <v>2045</v>
      </c>
      <c r="E556" s="690">
        <f>SUMIFS('Fuel Costs'!$D$58:$D$96,'Fuel Costs'!$B$58:$B$96,LEFT($D556,4))</f>
        <v>3.2765360000000001</v>
      </c>
      <c r="F556" s="1413"/>
    </row>
    <row r="557" spans="2:6">
      <c r="B557" s="1415"/>
      <c r="C557" s="1416"/>
      <c r="D557" s="693">
        <f t="shared" si="89"/>
        <v>2046</v>
      </c>
      <c r="E557" s="690">
        <f>SUMIFS('Fuel Costs'!$D$58:$D$96,'Fuel Costs'!$B$58:$B$96,LEFT($D557,4))</f>
        <v>3.2817090000000002</v>
      </c>
      <c r="F557" s="1413"/>
    </row>
    <row r="558" spans="2:6">
      <c r="B558" s="1415"/>
      <c r="C558" s="1416"/>
      <c r="D558" s="693">
        <f t="shared" si="89"/>
        <v>2047</v>
      </c>
      <c r="E558" s="690">
        <f>SUMIFS('Fuel Costs'!$D$58:$D$96,'Fuel Costs'!$B$58:$B$96,LEFT($D558,4))</f>
        <v>3.3209020000000002</v>
      </c>
      <c r="F558" s="1413"/>
    </row>
    <row r="559" spans="2:6">
      <c r="B559" s="1415"/>
      <c r="C559" s="1416"/>
      <c r="D559" s="693">
        <f t="shared" si="89"/>
        <v>2048</v>
      </c>
      <c r="E559" s="690">
        <f>SUMIFS('Fuel Costs'!$D$58:$D$96,'Fuel Costs'!$B$58:$B$96,LEFT($D559,4))</f>
        <v>3.3566719999999997</v>
      </c>
      <c r="F559" s="1413"/>
    </row>
    <row r="560" spans="2:6">
      <c r="B560" s="1415"/>
      <c r="C560" s="1416"/>
      <c r="D560" s="693">
        <f t="shared" si="89"/>
        <v>2049</v>
      </c>
      <c r="E560" s="690">
        <f>SUMIFS('Fuel Costs'!$D$58:$D$96,'Fuel Costs'!$B$58:$B$96,LEFT($D560,4))</f>
        <v>3.383178</v>
      </c>
      <c r="F560" s="1413"/>
    </row>
    <row r="561" spans="1:6">
      <c r="B561" s="1415"/>
      <c r="C561" s="1416"/>
      <c r="D561" s="693">
        <f t="shared" si="89"/>
        <v>2050</v>
      </c>
      <c r="E561" s="690">
        <f>SUMIFS('Fuel Costs'!$D$58:$D$96,'Fuel Costs'!$B$58:$B$96,LEFT($D561,4))</f>
        <v>3.407222</v>
      </c>
      <c r="F561" s="1413"/>
    </row>
    <row r="562" spans="1:6">
      <c r="B562" s="1415"/>
      <c r="C562" s="1416"/>
      <c r="D562" s="693">
        <f t="shared" si="89"/>
        <v>2051</v>
      </c>
      <c r="E562" s="690">
        <f>SUMIFS('Fuel Costs'!$D$58:$D$96,'Fuel Costs'!$B$58:$B$96,LEFT($D562,4))</f>
        <v>3.4412831909464936</v>
      </c>
      <c r="F562" s="1413"/>
    </row>
    <row r="563" spans="1:6">
      <c r="B563" s="1415"/>
      <c r="C563" s="1416"/>
      <c r="D563" s="693">
        <f t="shared" si="89"/>
        <v>2052</v>
      </c>
      <c r="E563" s="690">
        <f>SUMIFS('Fuel Costs'!$D$58:$D$96,'Fuel Costs'!$B$58:$B$96,LEFT($D563,4))</f>
        <v>3.4755628717622482</v>
      </c>
      <c r="F563" s="1413"/>
    </row>
    <row r="564" spans="1:6">
      <c r="B564" s="1415"/>
      <c r="C564" s="1416"/>
      <c r="D564" s="1357">
        <f t="shared" si="89"/>
        <v>2053</v>
      </c>
      <c r="E564" s="690">
        <f>SUMIFS('Fuel Costs'!$D$58:$D$96,'Fuel Costs'!$B$58:$B$96,LEFT($D564,4))</f>
        <v>3.510063132684897</v>
      </c>
      <c r="F564" s="1413"/>
    </row>
    <row r="565" spans="1:6">
      <c r="B565" s="1415"/>
      <c r="C565" s="1416"/>
      <c r="D565" s="1357">
        <f t="shared" si="89"/>
        <v>2054</v>
      </c>
      <c r="E565" s="690">
        <f>SUMIFS('Fuel Costs'!$D$58:$D$96,'Fuel Costs'!$B$58:$B$96,LEFT($D565,4))</f>
        <v>3.5447860778904832</v>
      </c>
      <c r="F565" s="1413"/>
    </row>
    <row r="567" spans="1:6">
      <c r="A567" s="673" t="s">
        <v>1309</v>
      </c>
    </row>
    <row r="568" spans="1:6">
      <c r="B568" s="1379"/>
      <c r="C568" s="1380" t="s">
        <v>867</v>
      </c>
      <c r="D568" s="1381" t="s">
        <v>1319</v>
      </c>
      <c r="E568" s="1382"/>
    </row>
    <row r="569" spans="1:6">
      <c r="B569" s="1379"/>
      <c r="C569" s="1380"/>
      <c r="D569" s="688" t="s">
        <v>9</v>
      </c>
      <c r="E569" s="689" t="s">
        <v>868</v>
      </c>
    </row>
    <row r="570" spans="1:6">
      <c r="B570" s="654" t="str">
        <f>Results!$B$21</f>
        <v xml:space="preserve">Vehicle Operating Cost Savings </v>
      </c>
      <c r="C570" s="662">
        <f>SUMIFS(Results!$D$46:$AJ$46,Results!$D$42:$AJ$42,Results!$C$9)</f>
        <v>35528.413086912224</v>
      </c>
      <c r="D570" s="662">
        <f>Results!$C$21*10^6</f>
        <v>2501627.2379844449</v>
      </c>
      <c r="E570" s="662">
        <f>Results!$E$21*10^6</f>
        <v>657182.90077804809</v>
      </c>
    </row>
    <row r="571" spans="1:6">
      <c r="B571" s="663" t="s">
        <v>5</v>
      </c>
      <c r="C571" s="688"/>
      <c r="D571" s="664">
        <f>SUM(D570)</f>
        <v>2501627.2379844449</v>
      </c>
      <c r="E571" s="664">
        <f>SUM(E570)</f>
        <v>657182.90077804809</v>
      </c>
    </row>
    <row r="573" spans="1:6">
      <c r="A573" s="673" t="s">
        <v>872</v>
      </c>
      <c r="C573" s="694"/>
      <c r="D573" s="695"/>
      <c r="E573" s="696"/>
      <c r="F573" s="697"/>
    </row>
    <row r="574" spans="1:6">
      <c r="B574" s="663" t="s">
        <v>861</v>
      </c>
      <c r="C574" s="652" t="s">
        <v>449</v>
      </c>
      <c r="D574" s="652" t="s">
        <v>862</v>
      </c>
      <c r="E574" s="663" t="s">
        <v>8</v>
      </c>
      <c r="F574" s="652" t="s">
        <v>1</v>
      </c>
    </row>
    <row r="575" spans="1:6" ht="23">
      <c r="B575" s="678" t="str">
        <f>'Land Value Increase'!B12</f>
        <v>Current Price per Acre</v>
      </c>
      <c r="C575" s="679" t="s">
        <v>1263</v>
      </c>
      <c r="D575" s="679" t="s">
        <v>193</v>
      </c>
      <c r="E575" s="687">
        <f>'Land Value Increase'!C12</f>
        <v>104389.54888957496</v>
      </c>
      <c r="F575" s="747" t="s">
        <v>955</v>
      </c>
    </row>
    <row r="576" spans="1:6" ht="34.5">
      <c r="B576" s="678" t="str">
        <f>'General Inputs'!B38</f>
        <v xml:space="preserve">Property Price Appreciation </v>
      </c>
      <c r="C576" s="679" t="s">
        <v>15</v>
      </c>
      <c r="D576" s="679" t="s">
        <v>193</v>
      </c>
      <c r="E576" s="1282">
        <f>'General Inputs'!D38</f>
        <v>0.05</v>
      </c>
      <c r="F576" s="1283" t="str">
        <f>'General Inputs'!E38</f>
        <v xml:space="preserve">Various case studies have shown price appreciation in adjacent properties of railroad tracks in the range of 2-10%. </v>
      </c>
    </row>
    <row r="577" spans="1:6" ht="34.5">
      <c r="B577" s="678" t="str">
        <f>'Land Value Increase'!B16</f>
        <v>Incremental Price Uplift</v>
      </c>
      <c r="C577" s="679" t="s">
        <v>1263</v>
      </c>
      <c r="D577" s="679" t="s">
        <v>193</v>
      </c>
      <c r="E577" s="687">
        <f>'Land Value Increase'!C16</f>
        <v>5219.4774444787481</v>
      </c>
      <c r="F577" s="747" t="s">
        <v>954</v>
      </c>
    </row>
    <row r="578" spans="1:6" ht="23">
      <c r="B578" s="678" t="str">
        <f>'Land Value Increase'!B17</f>
        <v>Total Acreage</v>
      </c>
      <c r="C578" s="679" t="s">
        <v>953</v>
      </c>
      <c r="D578" s="679" t="s">
        <v>193</v>
      </c>
      <c r="E578" s="683">
        <f>'Land Value Increase'!C17</f>
        <v>2346.6264539999975</v>
      </c>
      <c r="F578" s="747" t="s">
        <v>955</v>
      </c>
    </row>
    <row r="579" spans="1:6" ht="34.5">
      <c r="B579" s="678" t="str">
        <f>'Land Value Increase'!B18</f>
        <v>Total One-time Benefit</v>
      </c>
      <c r="C579" s="679" t="str">
        <f>'General Inputs'!$C$39</f>
        <v>2019$</v>
      </c>
      <c r="D579" s="679">
        <f>Results!$C$9</f>
        <v>2025</v>
      </c>
      <c r="E579" s="687">
        <f>'General Inputs'!D39</f>
        <v>12248163.847270133</v>
      </c>
      <c r="F579" s="680" t="str">
        <f>'General Inputs'!E39</f>
        <v>Calculated using a 5% property price appreciation. Data from Utah County GIS Data - Tax Parcels.</v>
      </c>
    </row>
    <row r="581" spans="1:6">
      <c r="A581" s="673" t="s">
        <v>1310</v>
      </c>
    </row>
    <row r="582" spans="1:6">
      <c r="B582" s="1379"/>
      <c r="C582" s="1380" t="s">
        <v>867</v>
      </c>
      <c r="D582" s="1381" t="s">
        <v>1319</v>
      </c>
      <c r="E582" s="1382"/>
    </row>
    <row r="583" spans="1:6">
      <c r="B583" s="1379"/>
      <c r="C583" s="1380"/>
      <c r="D583" s="688" t="s">
        <v>9</v>
      </c>
      <c r="E583" s="689" t="s">
        <v>868</v>
      </c>
    </row>
    <row r="584" spans="1:6">
      <c r="B584" s="654" t="str">
        <f>Results!$B$22</f>
        <v>Land Value Increase</v>
      </c>
      <c r="C584" s="662">
        <f>SUMIFS(Results!$D$47:$AJ$47,Results!$D$42:$AJ$42,Results!$C$9)</f>
        <v>12248163.847270133</v>
      </c>
      <c r="D584" s="662">
        <f>Results!$C$22*10^6</f>
        <v>12248163.847270133</v>
      </c>
      <c r="E584" s="662">
        <f>Results!$E$22*10^6</f>
        <v>9344065.5554559808</v>
      </c>
    </row>
    <row r="585" spans="1:6">
      <c r="B585" s="663" t="s">
        <v>5</v>
      </c>
      <c r="C585" s="688"/>
      <c r="D585" s="664">
        <f>SUM(D584)</f>
        <v>12248163.847270133</v>
      </c>
      <c r="E585" s="664">
        <f>SUM(E584)</f>
        <v>9344065.5554559808</v>
      </c>
    </row>
    <row r="587" spans="1:6">
      <c r="A587" s="673" t="s">
        <v>873</v>
      </c>
      <c r="C587" s="691"/>
      <c r="D587" s="691"/>
      <c r="E587" s="691"/>
    </row>
    <row r="588" spans="1:6">
      <c r="B588" s="663" t="s">
        <v>861</v>
      </c>
      <c r="C588" s="652" t="s">
        <v>449</v>
      </c>
      <c r="D588" s="663" t="s">
        <v>8</v>
      </c>
      <c r="E588" s="1286" t="s">
        <v>1</v>
      </c>
    </row>
    <row r="589" spans="1:6" ht="11.5" customHeight="1">
      <c r="B589" s="678" t="str">
        <f>"O&amp;M Cost Savings - " &amp; $D$283</f>
        <v>O&amp;M Cost Savings - 700 South</v>
      </c>
      <c r="C589" s="679" t="s">
        <v>1311</v>
      </c>
      <c r="D589" s="1285">
        <f>'Crossing Inputs'!$C$45</f>
        <v>4079.0857972066028</v>
      </c>
      <c r="E589" s="1376" t="s">
        <v>1312</v>
      </c>
    </row>
    <row r="590" spans="1:6">
      <c r="B590" s="678" t="str">
        <f>"O&amp;M Cost Savings - " &amp; $E$283</f>
        <v>O&amp;M Cost Savings - 950 West</v>
      </c>
      <c r="C590" s="679" t="s">
        <v>1311</v>
      </c>
      <c r="D590" s="1285">
        <f>'Crossing Inputs'!$D$45</f>
        <v>4079.0857972066028</v>
      </c>
      <c r="E590" s="1377"/>
    </row>
    <row r="591" spans="1:6">
      <c r="B591" s="678" t="str">
        <f>"O&amp;M Cost Savings - " &amp; $F$283</f>
        <v>O&amp;M Cost Savings - 1600 South</v>
      </c>
      <c r="C591" s="679" t="s">
        <v>1311</v>
      </c>
      <c r="D591" s="1285">
        <f>'Crossing Inputs'!$E$45</f>
        <v>4079.0857972066028</v>
      </c>
      <c r="E591" s="1377"/>
    </row>
    <row r="592" spans="1:6">
      <c r="B592" s="678" t="str">
        <f>"O&amp;M Cost Savings - " &amp; $G$283</f>
        <v>O&amp;M Cost Savings - 400 West</v>
      </c>
      <c r="C592" s="679" t="s">
        <v>1311</v>
      </c>
      <c r="D592" s="1285">
        <f>'Crossing Inputs'!$F$45</f>
        <v>4079.0857972066028</v>
      </c>
      <c r="E592" s="1377"/>
    </row>
    <row r="593" spans="1:5">
      <c r="B593" s="678" t="str">
        <f>"O&amp;M Cost Savings - " &amp; $H$283</f>
        <v>O&amp;M Cost Savings - Private</v>
      </c>
      <c r="C593" s="679" t="s">
        <v>1311</v>
      </c>
      <c r="D593" s="1285">
        <f>'Crossing Inputs'!$G$45</f>
        <v>4079.0857972066028</v>
      </c>
      <c r="E593" s="1377"/>
    </row>
    <row r="594" spans="1:5">
      <c r="B594" s="678" t="str">
        <f>"O&amp;M Cost Savings - " &amp; $I$283</f>
        <v>O&amp;M Cost Savings - Canyon Creek Parkway</v>
      </c>
      <c r="C594" s="679" t="s">
        <v>1311</v>
      </c>
      <c r="D594" s="1285">
        <f>'Crossing Inputs'!$H$45</f>
        <v>4079.0857972066028</v>
      </c>
      <c r="E594" s="1377"/>
    </row>
    <row r="595" spans="1:5">
      <c r="B595" s="678" t="str">
        <f>"O&amp;M Cost Savings - " &amp; $J$283</f>
        <v>O&amp;M Cost Savings - Colorado Avenue</v>
      </c>
      <c r="C595" s="679" t="s">
        <v>1311</v>
      </c>
      <c r="D595" s="1285">
        <f>'Crossing Inputs'!$C$70</f>
        <v>4079.0857972066028</v>
      </c>
      <c r="E595" s="1377"/>
    </row>
    <row r="596" spans="1:5">
      <c r="B596" s="678" t="str">
        <f>"O&amp;M Cost Savings - " &amp; $K$283</f>
        <v>O&amp;M Cost Savings - 900 South</v>
      </c>
      <c r="C596" s="679" t="s">
        <v>1311</v>
      </c>
      <c r="D596" s="1285">
        <f>'Crossing Inputs'!$D$70</f>
        <v>4079.0857972066028</v>
      </c>
      <c r="E596" s="1377"/>
    </row>
    <row r="597" spans="1:5">
      <c r="B597" s="678" t="str">
        <f>"O&amp;M Cost Savings - " &amp; $L$283</f>
        <v>O&amp;M Cost Savings - 1000 North</v>
      </c>
      <c r="C597" s="679" t="s">
        <v>1311</v>
      </c>
      <c r="D597" s="1285">
        <f>'Crossing Inputs'!$E$70</f>
        <v>4079.0857972066028</v>
      </c>
      <c r="E597" s="1377"/>
    </row>
    <row r="598" spans="1:5">
      <c r="B598" s="678" t="str">
        <f>"O&amp;M Cost Savings - " &amp; $M$283</f>
        <v>O&amp;M Cost Savings - West Center</v>
      </c>
      <c r="C598" s="679" t="s">
        <v>1311</v>
      </c>
      <c r="D598" s="1285">
        <f>'Crossing Inputs'!$F$70</f>
        <v>4079.0857972066028</v>
      </c>
      <c r="E598" s="1377"/>
    </row>
    <row r="599" spans="1:5">
      <c r="B599" s="678" t="str">
        <f>"O&amp;M Cost Savings - " &amp; $N$283</f>
        <v>O&amp;M Cost Savings - 2000 South</v>
      </c>
      <c r="C599" s="679" t="s">
        <v>1311</v>
      </c>
      <c r="D599" s="1285">
        <f>'Crossing Inputs'!$G$70</f>
        <v>4079.0857972066028</v>
      </c>
      <c r="E599" s="1377"/>
    </row>
    <row r="600" spans="1:5">
      <c r="B600" s="678" t="str">
        <f>"O&amp;M Cost Savings - " &amp; $O$283</f>
        <v xml:space="preserve">O&amp;M Cost Savings - 400 North </v>
      </c>
      <c r="C600" s="679" t="s">
        <v>1311</v>
      </c>
      <c r="D600" s="1285">
        <f>'Crossing Inputs'!$H$70</f>
        <v>4079.0857972066028</v>
      </c>
      <c r="E600" s="1378"/>
    </row>
    <row r="601" spans="1:5">
      <c r="B601" s="721"/>
      <c r="C601" s="722"/>
      <c r="D601" s="1284"/>
      <c r="E601" s="724"/>
    </row>
    <row r="602" spans="1:5">
      <c r="A602" s="673" t="s">
        <v>1313</v>
      </c>
    </row>
    <row r="603" spans="1:5">
      <c r="B603" s="1379"/>
      <c r="C603" s="1380" t="s">
        <v>867</v>
      </c>
      <c r="D603" s="1381" t="s">
        <v>1319</v>
      </c>
      <c r="E603" s="1382"/>
    </row>
    <row r="604" spans="1:5">
      <c r="B604" s="1379"/>
      <c r="C604" s="1380"/>
      <c r="D604" s="688" t="s">
        <v>9</v>
      </c>
      <c r="E604" s="689" t="s">
        <v>868</v>
      </c>
    </row>
    <row r="605" spans="1:5">
      <c r="B605" s="654" t="str">
        <f>Results!$B$23</f>
        <v>O&amp;M Costs Savings</v>
      </c>
      <c r="C605" s="662">
        <f>SUMIFS(Results!$D$48:$AJ$48,Results!$D$42:$AJ$42,Results!$C$9)</f>
        <v>24474.514783239611</v>
      </c>
      <c r="D605" s="662">
        <f>Results!$C$23*10^6</f>
        <v>734235.44349718816</v>
      </c>
      <c r="E605" s="662">
        <f>Results!$E$23*10^6</f>
        <v>247913.96048264703</v>
      </c>
    </row>
    <row r="606" spans="1:5">
      <c r="B606" s="663" t="s">
        <v>5</v>
      </c>
      <c r="C606" s="688"/>
      <c r="D606" s="664">
        <f>SUM(D605)</f>
        <v>734235.44349718816</v>
      </c>
      <c r="E606" s="664">
        <f>SUM(E605)</f>
        <v>247913.96048264703</v>
      </c>
    </row>
    <row r="608" spans="1:5">
      <c r="A608" s="673" t="s">
        <v>921</v>
      </c>
    </row>
    <row r="609" spans="1:5">
      <c r="B609" s="663" t="s">
        <v>861</v>
      </c>
      <c r="C609" s="715" t="s">
        <v>449</v>
      </c>
      <c r="D609" s="663" t="s">
        <v>8</v>
      </c>
      <c r="E609" s="715" t="s">
        <v>1</v>
      </c>
    </row>
    <row r="610" spans="1:5">
      <c r="B610" s="678" t="str">
        <f>'Crossing Inputs'!A7</f>
        <v>Years of Benefits</v>
      </c>
      <c r="C610" s="679" t="str">
        <f>'Crossing Inputs'!B7</f>
        <v>years</v>
      </c>
      <c r="D610" s="679">
        <f>'Crossing Inputs'!C7</f>
        <v>30</v>
      </c>
      <c r="E610" s="1358" t="s">
        <v>1320</v>
      </c>
    </row>
    <row r="611" spans="1:5" ht="80.5">
      <c r="B611" s="678" t="str">
        <f>'General Inputs'!B41</f>
        <v>Useful Life of New Tracks</v>
      </c>
      <c r="C611" s="679" t="str">
        <f>'General Inputs'!C41</f>
        <v>year</v>
      </c>
      <c r="D611" s="679">
        <f>'General Inputs'!D41</f>
        <v>40</v>
      </c>
      <c r="E611" s="1358" t="s">
        <v>922</v>
      </c>
    </row>
    <row r="612" spans="1:5" ht="23">
      <c r="B612" s="678" t="str">
        <f>'Calc1.2 - Residual Value'!$B$7</f>
        <v>Service Life Remaining (years)</v>
      </c>
      <c r="C612" s="679" t="s">
        <v>599</v>
      </c>
      <c r="D612" s="684">
        <f>'Calc1.2 - Residual Value'!$C$7</f>
        <v>10</v>
      </c>
      <c r="E612" s="1356" t="s">
        <v>1321</v>
      </c>
    </row>
    <row r="613" spans="1:5" ht="14.25" customHeight="1">
      <c r="B613" s="716" t="s">
        <v>928</v>
      </c>
      <c r="C613" s="679" t="s">
        <v>1263</v>
      </c>
      <c r="D613" s="687">
        <f>'Calc1.2 - Residual Value'!$C$8</f>
        <v>7200099.9856443722</v>
      </c>
      <c r="E613" s="1384" t="s">
        <v>1322</v>
      </c>
    </row>
    <row r="614" spans="1:5" ht="23">
      <c r="B614" s="716" t="s">
        <v>929</v>
      </c>
      <c r="C614" s="679" t="s">
        <v>1263</v>
      </c>
      <c r="D614" s="687">
        <f>'Calc1.2 - Residual Value'!$C$11</f>
        <v>1820135.1151523446</v>
      </c>
      <c r="E614" s="1385"/>
    </row>
    <row r="615" spans="1:5">
      <c r="B615" s="721"/>
      <c r="C615" s="722"/>
      <c r="D615" s="723"/>
      <c r="E615" s="724"/>
    </row>
    <row r="616" spans="1:5">
      <c r="A616" s="673" t="s">
        <v>1314</v>
      </c>
    </row>
    <row r="617" spans="1:5">
      <c r="B617" s="1379"/>
      <c r="C617" s="1380" t="s">
        <v>867</v>
      </c>
      <c r="D617" s="1381" t="s">
        <v>1319</v>
      </c>
      <c r="E617" s="1382"/>
    </row>
    <row r="618" spans="1:5">
      <c r="B618" s="1379"/>
      <c r="C618" s="1380"/>
      <c r="D618" s="688" t="s">
        <v>9</v>
      </c>
      <c r="E618" s="689" t="s">
        <v>868</v>
      </c>
    </row>
    <row r="619" spans="1:5">
      <c r="B619" s="717" t="str">
        <f>Results!$B$24</f>
        <v>Residual Value</v>
      </c>
      <c r="C619" s="662">
        <f>SUMIFS(Results!$D$49:$AJ$49,Results!$D$42:$AJ$42,Results!$C$9)</f>
        <v>0</v>
      </c>
      <c r="D619" s="662">
        <f>Results!$C$24*10^6</f>
        <v>3620160.1115634376</v>
      </c>
      <c r="E619" s="662">
        <f>Results!$E$24*10^6</f>
        <v>388206.77926744364</v>
      </c>
    </row>
    <row r="620" spans="1:5">
      <c r="B620" s="663" t="s">
        <v>5</v>
      </c>
      <c r="C620" s="688"/>
      <c r="D620" s="664">
        <f>SUM(D619)</f>
        <v>3620160.1115634376</v>
      </c>
      <c r="E620" s="664">
        <f>SUM(E619)</f>
        <v>388206.77926744364</v>
      </c>
    </row>
    <row r="622" spans="1:5">
      <c r="A622" s="673" t="s">
        <v>883</v>
      </c>
      <c r="B622" s="691"/>
      <c r="C622" s="691"/>
      <c r="D622" s="691"/>
    </row>
    <row r="623" spans="1:5">
      <c r="A623" s="691"/>
      <c r="B623" s="659" t="s">
        <v>856</v>
      </c>
      <c r="C623" s="652" t="s">
        <v>875</v>
      </c>
      <c r="D623" s="652" t="s">
        <v>876</v>
      </c>
    </row>
    <row r="624" spans="1:5">
      <c r="B624" s="671" t="str">
        <f t="shared" ref="B624:B630" si="90">F4</f>
        <v>Accident Cost Savings</v>
      </c>
      <c r="C624" s="701">
        <f>Results!$E18*10^6</f>
        <v>729807.2450610376</v>
      </c>
      <c r="D624" s="701">
        <f>Results!$D18*10^6</f>
        <v>1340738.8563969254</v>
      </c>
      <c r="E624" s="1345"/>
    </row>
    <row r="625" spans="1:5">
      <c r="B625" s="671" t="str">
        <f t="shared" si="90"/>
        <v xml:space="preserve">Travel Time Savings </v>
      </c>
      <c r="C625" s="701">
        <f>Results!$E19*10^6</f>
        <v>5894793.3747501848</v>
      </c>
      <c r="D625" s="701">
        <f>Results!$D19*10^6</f>
        <v>11628088.832465705</v>
      </c>
      <c r="E625" s="1345"/>
    </row>
    <row r="626" spans="1:5">
      <c r="B626" s="671" t="str">
        <f t="shared" si="90"/>
        <v>Emissions Cost Savings</v>
      </c>
      <c r="C626" s="701">
        <f>Results!$E20*10^6</f>
        <v>54756.430371836868</v>
      </c>
      <c r="D626" s="701">
        <f>Results!$D20*10^6</f>
        <v>100070.90999617435</v>
      </c>
      <c r="E626" s="1345"/>
    </row>
    <row r="627" spans="1:5">
      <c r="B627" s="671" t="str">
        <f t="shared" si="90"/>
        <v xml:space="preserve">Vehicle Operating Cost Savings </v>
      </c>
      <c r="C627" s="701">
        <f>Results!$E21*10^6</f>
        <v>657182.90077804809</v>
      </c>
      <c r="D627" s="701">
        <f>Results!$D21*10^6</f>
        <v>1339163.6214695247</v>
      </c>
      <c r="E627" s="1345"/>
    </row>
    <row r="628" spans="1:5">
      <c r="B628" s="671" t="str">
        <f t="shared" si="90"/>
        <v>Land Value Increase</v>
      </c>
      <c r="C628" s="701">
        <f>Results!$E22*10^6</f>
        <v>9344065.5554559808</v>
      </c>
      <c r="D628" s="701">
        <f>Results!$D22*10^6</f>
        <v>10882334.939048707</v>
      </c>
      <c r="E628" s="1345"/>
    </row>
    <row r="629" spans="1:5">
      <c r="B629" s="671" t="str">
        <f t="shared" si="90"/>
        <v>O&amp;M Costs Savings</v>
      </c>
      <c r="C629" s="701">
        <f>Results!$E23*10^6</f>
        <v>247913.96048264703</v>
      </c>
      <c r="D629" s="701">
        <f>Results!$D23*10^6</f>
        <v>439003.78737380815</v>
      </c>
      <c r="E629" s="1345"/>
    </row>
    <row r="630" spans="1:5">
      <c r="B630" s="718" t="str">
        <f t="shared" si="90"/>
        <v>Residual Value</v>
      </c>
      <c r="C630" s="701">
        <f>Results!$E24*10^6</f>
        <v>388206.77926744364</v>
      </c>
      <c r="D630" s="701">
        <f>Results!$D24*10^6</f>
        <v>1364895.3794422254</v>
      </c>
      <c r="E630" s="1345"/>
    </row>
    <row r="631" spans="1:5">
      <c r="B631" s="702" t="s">
        <v>884</v>
      </c>
      <c r="C631" s="703">
        <f>SUM(C624:C630)</f>
        <v>17316726.246167179</v>
      </c>
      <c r="D631" s="703">
        <f>SUM(D624:D630)</f>
        <v>27094296.326193068</v>
      </c>
    </row>
    <row r="633" spans="1:5">
      <c r="A633" s="673" t="s">
        <v>1315</v>
      </c>
    </row>
    <row r="634" spans="1:5">
      <c r="B634" s="652" t="s">
        <v>874</v>
      </c>
      <c r="C634" s="652" t="s">
        <v>875</v>
      </c>
      <c r="D634" s="652" t="s">
        <v>876</v>
      </c>
    </row>
    <row r="635" spans="1:5">
      <c r="B635" s="698" t="s">
        <v>877</v>
      </c>
      <c r="C635" s="734">
        <f>Results!E33</f>
        <v>17.316726246167178</v>
      </c>
      <c r="D635" s="734">
        <f>Results!D33</f>
        <v>27.094296326193067</v>
      </c>
    </row>
    <row r="636" spans="1:5">
      <c r="B636" s="698" t="s">
        <v>878</v>
      </c>
      <c r="C636" s="734">
        <f>Results!E34</f>
        <v>12.527545168895445</v>
      </c>
      <c r="D636" s="734">
        <f>Results!D34</f>
        <v>13.756716175529617</v>
      </c>
    </row>
    <row r="637" spans="1:5">
      <c r="B637" s="698" t="s">
        <v>879</v>
      </c>
      <c r="C637" s="734">
        <f>Results!E35</f>
        <v>4.7891810772717331</v>
      </c>
      <c r="D637" s="734">
        <f>Results!D35</f>
        <v>13.337580150663451</v>
      </c>
    </row>
    <row r="638" spans="1:5">
      <c r="B638" s="698" t="s">
        <v>880</v>
      </c>
      <c r="C638" s="699">
        <f>Results!E37</f>
        <v>1.3822920622280219</v>
      </c>
      <c r="D638" s="699">
        <f>Results!D37</f>
        <v>1.9695322619498596</v>
      </c>
    </row>
    <row r="639" spans="1:5">
      <c r="B639" s="698" t="s">
        <v>881</v>
      </c>
      <c r="C639" s="1386">
        <f>Results!C39</f>
        <v>0.13135330150789959</v>
      </c>
      <c r="D639" s="1387"/>
    </row>
    <row r="640" spans="1:5">
      <c r="B640" s="698" t="s">
        <v>543</v>
      </c>
      <c r="C640" s="1388">
        <f>Results!C38</f>
        <v>4.743189897900292</v>
      </c>
      <c r="D640" s="1389"/>
    </row>
    <row r="641" spans="1:11" ht="12">
      <c r="B641" s="700" t="s">
        <v>882</v>
      </c>
    </row>
    <row r="643" spans="1:11">
      <c r="A643" s="673" t="s">
        <v>885</v>
      </c>
      <c r="B643" s="691"/>
      <c r="C643" s="691"/>
      <c r="D643" s="691"/>
      <c r="E643" s="691"/>
      <c r="F643" s="691"/>
      <c r="G643" s="691"/>
    </row>
    <row r="644" spans="1:11" ht="23">
      <c r="A644" s="691"/>
      <c r="B644" s="652" t="s">
        <v>886</v>
      </c>
      <c r="C644" s="652" t="s">
        <v>626</v>
      </c>
      <c r="D644" s="652" t="s">
        <v>887</v>
      </c>
      <c r="E644" s="652" t="s">
        <v>888</v>
      </c>
      <c r="F644" s="652" t="s">
        <v>889</v>
      </c>
      <c r="G644" s="652" t="s">
        <v>890</v>
      </c>
    </row>
    <row r="645" spans="1:11" ht="11.5" customHeight="1">
      <c r="B645" s="1372">
        <f>Results!$E$29</f>
        <v>4.7891810772717331</v>
      </c>
      <c r="C645" s="704" t="s">
        <v>622</v>
      </c>
      <c r="D645" s="728" t="s">
        <v>931</v>
      </c>
      <c r="E645" s="741">
        <v>1.0598668643868567</v>
      </c>
      <c r="F645" s="730">
        <f>(E645-$B$645)/$B$645</f>
        <v>-0.77869559590955495</v>
      </c>
      <c r="G645" s="705">
        <f>(E645+Results!$E$28)/Results!$E$28</f>
        <v>1.0846029170198797</v>
      </c>
    </row>
    <row r="646" spans="1:11" ht="11.5" customHeight="1">
      <c r="B646" s="1372"/>
      <c r="C646" s="704" t="s">
        <v>932</v>
      </c>
      <c r="D646" s="692" t="s">
        <v>933</v>
      </c>
      <c r="E646" s="741">
        <v>4.6466202884230601</v>
      </c>
      <c r="F646" s="730">
        <f>(E646-$B$645)/$B$645</f>
        <v>-2.9767258023554642E-2</v>
      </c>
      <c r="G646" s="705">
        <f>(E646+Results!$E$28)/Results!$E$28</f>
        <v>1.3709122757713237</v>
      </c>
    </row>
    <row r="647" spans="1:11" ht="11.5" customHeight="1">
      <c r="B647" s="1372"/>
      <c r="C647" s="1383" t="s">
        <v>1064</v>
      </c>
      <c r="D647" s="729" t="s">
        <v>1323</v>
      </c>
      <c r="E647" s="741">
        <v>1.2159172108396668</v>
      </c>
      <c r="F647" s="730">
        <f t="shared" ref="F647:F648" si="91">(E647-$B$645)/$B$645</f>
        <v>-0.74611166476663227</v>
      </c>
      <c r="G647" s="705">
        <f>(E647+Results!$E$28)/Results!$E$28</f>
        <v>1.0970594952520034</v>
      </c>
    </row>
    <row r="648" spans="1:11" ht="11.5" customHeight="1">
      <c r="B648" s="1372"/>
      <c r="C648" s="1383"/>
      <c r="D648" s="729" t="s">
        <v>1324</v>
      </c>
      <c r="E648" s="741">
        <v>9.7372493745397808</v>
      </c>
      <c r="F648" s="730">
        <f t="shared" si="91"/>
        <v>1.0331762815881724</v>
      </c>
      <c r="G648" s="705">
        <f>(E648+Results!$E$28)/Results!$E$28</f>
        <v>1.7772671535614439</v>
      </c>
    </row>
    <row r="649" spans="1:11" ht="23">
      <c r="B649" s="1372"/>
      <c r="C649" s="704" t="s">
        <v>294</v>
      </c>
      <c r="D649" s="1291" t="s">
        <v>1325</v>
      </c>
      <c r="E649" s="741">
        <v>1.7543464798647328</v>
      </c>
      <c r="F649" s="730">
        <f>(E649-$B$645)/$B$645</f>
        <v>-0.63368549830148901</v>
      </c>
      <c r="G649" s="705">
        <f>(E649+Results!$E$28)/Results!$E$28</f>
        <v>1.140039126278354</v>
      </c>
    </row>
    <row r="650" spans="1:11" ht="23.5" customHeight="1">
      <c r="B650" s="1372"/>
      <c r="C650" s="1215" t="s">
        <v>852</v>
      </c>
      <c r="D650" s="1291" t="s">
        <v>1190</v>
      </c>
      <c r="E650" s="741">
        <v>57.981932853377913</v>
      </c>
      <c r="F650" s="730">
        <f>(E650-$B$645)/$B$645</f>
        <v>11.106857501911088</v>
      </c>
      <c r="G650" s="705">
        <f>(E650+Results!$E$28)/Results!$E$28</f>
        <v>5.6283555215063883</v>
      </c>
    </row>
    <row r="652" spans="1:11">
      <c r="A652" s="656" t="s">
        <v>891</v>
      </c>
    </row>
    <row r="653" spans="1:11">
      <c r="B653" s="658" t="s">
        <v>7</v>
      </c>
      <c r="C653" s="658" t="s">
        <v>798</v>
      </c>
      <c r="D653" s="659" t="s">
        <v>1316</v>
      </c>
      <c r="E653" s="659" t="s">
        <v>1317</v>
      </c>
      <c r="F653" s="659" t="s">
        <v>1318</v>
      </c>
      <c r="G653" s="659" t="s">
        <v>804</v>
      </c>
      <c r="H653" s="659" t="s">
        <v>892</v>
      </c>
      <c r="J653" s="706" t="s">
        <v>893</v>
      </c>
      <c r="K653" s="706" t="s">
        <v>894</v>
      </c>
    </row>
    <row r="654" spans="1:11">
      <c r="B654" s="660">
        <f>VRCBY</f>
        <v>2021</v>
      </c>
      <c r="C654" s="661">
        <v>1</v>
      </c>
      <c r="D654" s="662">
        <f>SUMIFS(Results!$D$51:$AK$51,Results!$D$42:$AK$42,$B654)</f>
        <v>0</v>
      </c>
      <c r="E654" s="662">
        <f>SUMIFS(Results!$D$52:$AK$52,Results!$D$42:$AK$42,$B654)</f>
        <v>442825.37544530147</v>
      </c>
      <c r="F654" s="662">
        <f>D654-E654</f>
        <v>-442825.37544530147</v>
      </c>
      <c r="G654" s="662">
        <f>$F654*J654</f>
        <v>-442825.37544530147</v>
      </c>
      <c r="H654" s="662">
        <f>$F654*K654</f>
        <v>-442825.37544530147</v>
      </c>
      <c r="J654" s="707">
        <f>SUMIFS(Results!$D$95:$AK$95,Results!$D$93:$AK$93,$B654)</f>
        <v>1</v>
      </c>
      <c r="K654" s="707">
        <f>SUMIFS(Results!$D$96:$AK$96,Results!$D$93:$AK$93,$B654)</f>
        <v>1</v>
      </c>
    </row>
    <row r="655" spans="1:11">
      <c r="B655" s="660">
        <f>B654+1</f>
        <v>2022</v>
      </c>
      <c r="C655" s="661">
        <f>C654+1</f>
        <v>2</v>
      </c>
      <c r="D655" s="662">
        <f>SUMIFS(Results!$D$51:$AK$51,Results!$D$42:$AK$42,$B655)</f>
        <v>0</v>
      </c>
      <c r="E655" s="662">
        <f>SUMIFS(Results!$D$52:$AK$52,Results!$D$42:$AK$42,$B655)</f>
        <v>1962150.2161634064</v>
      </c>
      <c r="F655" s="662">
        <f t="shared" ref="F655:F686" si="92">D655-E655</f>
        <v>-1962150.2161634064</v>
      </c>
      <c r="G655" s="662">
        <f t="shared" ref="G655:G686" si="93">$F655*J655</f>
        <v>-1833785.2487508471</v>
      </c>
      <c r="H655" s="662">
        <f t="shared" ref="H655:H686" si="94">$F655*K655</f>
        <v>-1905000.2098673848</v>
      </c>
      <c r="J655" s="707">
        <f>SUMIFS(Results!$D$95:$AK$95,Results!$D$93:$AK$93,$B655)</f>
        <v>0.93457943925233644</v>
      </c>
      <c r="K655" s="707">
        <f>SUMIFS(Results!$D$96:$AK$96,Results!$D$93:$AK$93,$B655)</f>
        <v>0.970873786407767</v>
      </c>
    </row>
    <row r="656" spans="1:11">
      <c r="B656" s="660">
        <f t="shared" ref="B656:C656" si="95">B655+1</f>
        <v>2023</v>
      </c>
      <c r="C656" s="661">
        <f t="shared" si="95"/>
        <v>3</v>
      </c>
      <c r="D656" s="662">
        <f>SUMIFS(Results!$D$51:$AK$51,Results!$D$42:$AK$42,$B656)</f>
        <v>0</v>
      </c>
      <c r="E656" s="662">
        <f>SUMIFS(Results!$D$52:$AK$52,Results!$D$42:$AK$42,$B656)</f>
        <v>2275820.4866522225</v>
      </c>
      <c r="F656" s="662">
        <f t="shared" si="92"/>
        <v>-2275820.4866522225</v>
      </c>
      <c r="G656" s="662">
        <f t="shared" si="93"/>
        <v>-1987789.7516396386</v>
      </c>
      <c r="H656" s="662">
        <f t="shared" si="94"/>
        <v>-2145179.0806411747</v>
      </c>
      <c r="J656" s="707">
        <f>SUMIFS(Results!$D$95:$AK$95,Results!$D$93:$AK$93,$B656)</f>
        <v>0.87343872827321156</v>
      </c>
      <c r="K656" s="707">
        <f>SUMIFS(Results!$D$96:$AK$96,Results!$D$93:$AK$93,$B656)</f>
        <v>0.94259590913375435</v>
      </c>
    </row>
    <row r="657" spans="2:11">
      <c r="B657" s="660">
        <f t="shared" ref="B657:C657" si="96">B656+1</f>
        <v>2024</v>
      </c>
      <c r="C657" s="661">
        <f t="shared" si="96"/>
        <v>4</v>
      </c>
      <c r="D657" s="662">
        <f>SUMIFS(Results!$D$51:$AK$51,Results!$D$42:$AK$42,$B657)</f>
        <v>0</v>
      </c>
      <c r="E657" s="662">
        <f>SUMIFS(Results!$D$52:$AK$52,Results!$D$42:$AK$42,$B657)</f>
        <v>10122707.686724186</v>
      </c>
      <c r="F657" s="662">
        <f t="shared" si="92"/>
        <v>-10122707.686724186</v>
      </c>
      <c r="G657" s="662">
        <f t="shared" si="93"/>
        <v>-8263144.7930596592</v>
      </c>
      <c r="H657" s="662">
        <f t="shared" si="94"/>
        <v>-9263711.5095757544</v>
      </c>
      <c r="J657" s="707">
        <f>SUMIFS(Results!$D$95:$AK$95,Results!$D$93:$AK$93,$B657)</f>
        <v>0.81629787689085187</v>
      </c>
      <c r="K657" s="707">
        <f>SUMIFS(Results!$D$96:$AK$96,Results!$D$93:$AK$93,$B657)</f>
        <v>0.91514165935315961</v>
      </c>
    </row>
    <row r="658" spans="2:11">
      <c r="B658" s="660">
        <f t="shared" ref="B658:C658" si="97">B657+1</f>
        <v>2025</v>
      </c>
      <c r="C658" s="661">
        <f t="shared" si="97"/>
        <v>5</v>
      </c>
      <c r="D658" s="662">
        <f>SUMIFS(Results!$D$51:$AK$51,Results!$D$42:$AK$42,$B658)</f>
        <v>12751803.565808287</v>
      </c>
      <c r="E658" s="662">
        <f>SUMIFS(Results!$D$52:$AK$52,Results!$D$42:$AK$42,$B658)</f>
        <v>0</v>
      </c>
      <c r="F658" s="662">
        <f t="shared" si="92"/>
        <v>12751803.565808287</v>
      </c>
      <c r="G658" s="662">
        <f t="shared" si="93"/>
        <v>9728289.8853257</v>
      </c>
      <c r="H658" s="662">
        <f t="shared" si="94"/>
        <v>11329812.305785762</v>
      </c>
      <c r="J658" s="707">
        <f>SUMIFS(Results!$D$95:$AK$95,Results!$D$93:$AK$93,$B658)</f>
        <v>0.7628952120475252</v>
      </c>
      <c r="K658" s="707">
        <f>SUMIFS(Results!$D$96:$AK$96,Results!$D$93:$AK$93,$B658)</f>
        <v>0.888487047915689</v>
      </c>
    </row>
    <row r="659" spans="2:11">
      <c r="B659" s="660">
        <f t="shared" ref="B659:C659" si="98">B658+1</f>
        <v>2026</v>
      </c>
      <c r="C659" s="661">
        <f t="shared" si="98"/>
        <v>6</v>
      </c>
      <c r="D659" s="662">
        <f>SUMIFS(Results!$D$51:$AK$51,Results!$D$42:$AK$42,$B659)</f>
        <v>521547.58925392752</v>
      </c>
      <c r="E659" s="662">
        <f>SUMIFS(Results!$D$52:$AK$52,Results!$D$42:$AK$42,$B659)</f>
        <v>0</v>
      </c>
      <c r="F659" s="662">
        <f t="shared" si="92"/>
        <v>521547.58925392752</v>
      </c>
      <c r="G659" s="662">
        <f t="shared" si="93"/>
        <v>371856.2230810753</v>
      </c>
      <c r="H659" s="662">
        <f t="shared" si="94"/>
        <v>449891.53196482174</v>
      </c>
      <c r="J659" s="707">
        <f>SUMIFS(Results!$D$95:$AK$95,Results!$D$93:$AK$93,$B659)</f>
        <v>0.71298617948366838</v>
      </c>
      <c r="K659" s="707">
        <f>SUMIFS(Results!$D$96:$AK$96,Results!$D$93:$AK$93,$B659)</f>
        <v>0.86260878438416411</v>
      </c>
    </row>
    <row r="660" spans="2:11">
      <c r="B660" s="660">
        <f t="shared" ref="B660:C660" si="99">B659+1</f>
        <v>2027</v>
      </c>
      <c r="C660" s="661">
        <f t="shared" si="99"/>
        <v>7</v>
      </c>
      <c r="D660" s="662">
        <f>SUMIFS(Results!$D$51:$AK$51,Results!$D$42:$AK$42,$B660)</f>
        <v>540131.63164006686</v>
      </c>
      <c r="E660" s="662">
        <f>SUMIFS(Results!$D$52:$AK$52,Results!$D$42:$AK$42,$B660)</f>
        <v>0</v>
      </c>
      <c r="F660" s="662">
        <f t="shared" si="92"/>
        <v>540131.63164006686</v>
      </c>
      <c r="G660" s="662">
        <f t="shared" si="93"/>
        <v>359912.51258068351</v>
      </c>
      <c r="H660" s="662">
        <f t="shared" si="94"/>
        <v>452351.73803541082</v>
      </c>
      <c r="J660" s="707">
        <f>SUMIFS(Results!$D$95:$AK$95,Results!$D$93:$AK$93,$B660)</f>
        <v>0.66634222381651254</v>
      </c>
      <c r="K660" s="707">
        <f>SUMIFS(Results!$D$96:$AK$96,Results!$D$93:$AK$93,$B660)</f>
        <v>0.83748425668365445</v>
      </c>
    </row>
    <row r="661" spans="2:11">
      <c r="B661" s="660">
        <f t="shared" ref="B661:C661" si="100">B660+1</f>
        <v>2028</v>
      </c>
      <c r="C661" s="661">
        <f t="shared" si="100"/>
        <v>8</v>
      </c>
      <c r="D661" s="662">
        <f>SUMIFS(Results!$D$51:$AK$51,Results!$D$42:$AK$42,$B661)</f>
        <v>559335.41879496467</v>
      </c>
      <c r="E661" s="662">
        <f>SUMIFS(Results!$D$52:$AK$52,Results!$D$42:$AK$42,$B661)</f>
        <v>0</v>
      </c>
      <c r="F661" s="662">
        <f t="shared" si="92"/>
        <v>559335.41879496467</v>
      </c>
      <c r="G661" s="662">
        <f t="shared" si="93"/>
        <v>348325.9876814739</v>
      </c>
      <c r="H661" s="662">
        <f t="shared" si="94"/>
        <v>454790.88101586554</v>
      </c>
      <c r="J661" s="707">
        <f>SUMIFS(Results!$D$95:$AK$95,Results!$D$93:$AK$93,$B661)</f>
        <v>0.62274974188459109</v>
      </c>
      <c r="K661" s="707">
        <f>SUMIFS(Results!$D$96:$AK$96,Results!$D$93:$AK$93,$B661)</f>
        <v>0.81309151134335378</v>
      </c>
    </row>
    <row r="662" spans="2:11">
      <c r="B662" s="660">
        <f t="shared" ref="B662:C662" si="101">B661+1</f>
        <v>2029</v>
      </c>
      <c r="C662" s="661">
        <f t="shared" si="101"/>
        <v>9</v>
      </c>
      <c r="D662" s="662">
        <f>SUMIFS(Results!$D$51:$AK$51,Results!$D$42:$AK$42,$B662)</f>
        <v>579509.43723087583</v>
      </c>
      <c r="E662" s="662">
        <f>SUMIFS(Results!$D$52:$AK$52,Results!$D$42:$AK$42,$B662)</f>
        <v>0</v>
      </c>
      <c r="F662" s="662">
        <f t="shared" si="92"/>
        <v>579509.43723087583</v>
      </c>
      <c r="G662" s="662">
        <f t="shared" si="93"/>
        <v>337279.76864973136</v>
      </c>
      <c r="H662" s="662">
        <f t="shared" si="94"/>
        <v>457470.10112212546</v>
      </c>
      <c r="J662" s="707">
        <f>SUMIFS(Results!$D$95:$AK$95,Results!$D$93:$AK$93,$B662)</f>
        <v>0.5820091045650384</v>
      </c>
      <c r="K662" s="707">
        <f>SUMIFS(Results!$D$96:$AK$96,Results!$D$93:$AK$93,$B662)</f>
        <v>0.78940923431393573</v>
      </c>
    </row>
    <row r="663" spans="2:11">
      <c r="B663" s="660">
        <f t="shared" ref="B663:C663" si="102">B662+1</f>
        <v>2030</v>
      </c>
      <c r="C663" s="661">
        <f t="shared" si="102"/>
        <v>10</v>
      </c>
      <c r="D663" s="662">
        <f>SUMIFS(Results!$D$51:$AK$51,Results!$D$42:$AK$42,$B663)</f>
        <v>601282.39931228955</v>
      </c>
      <c r="E663" s="662">
        <f>SUMIFS(Results!$D$52:$AK$52,Results!$D$42:$AK$42,$B663)</f>
        <v>0</v>
      </c>
      <c r="F663" s="662">
        <f t="shared" si="92"/>
        <v>601282.39931228955</v>
      </c>
      <c r="G663" s="662">
        <f t="shared" si="93"/>
        <v>327057.78580790985</v>
      </c>
      <c r="H663" s="662">
        <f t="shared" si="94"/>
        <v>460832.89169666084</v>
      </c>
      <c r="J663" s="707">
        <f>SUMIFS(Results!$D$95:$AK$95,Results!$D$93:$AK$93,$B663)</f>
        <v>0.54393374258414806</v>
      </c>
      <c r="K663" s="707">
        <f>SUMIFS(Results!$D$96:$AK$96,Results!$D$93:$AK$93,$B663)</f>
        <v>0.76641673234362695</v>
      </c>
    </row>
    <row r="664" spans="2:11">
      <c r="B664" s="660">
        <f t="shared" ref="B664:C664" si="103">B663+1</f>
        <v>2031</v>
      </c>
      <c r="C664" s="661">
        <f t="shared" si="103"/>
        <v>11</v>
      </c>
      <c r="D664" s="662">
        <f>SUMIFS(Results!$D$51:$AK$51,Results!$D$42:$AK$42,$B664)</f>
        <v>623115.90131968423</v>
      </c>
      <c r="E664" s="662">
        <f>SUMIFS(Results!$D$52:$AK$52,Results!$D$42:$AK$42,$B664)</f>
        <v>0</v>
      </c>
      <c r="F664" s="662">
        <f t="shared" si="92"/>
        <v>623115.90131968423</v>
      </c>
      <c r="G664" s="662">
        <f t="shared" si="93"/>
        <v>316760.52735374816</v>
      </c>
      <c r="H664" s="662">
        <f t="shared" si="94"/>
        <v>463656.75044736528</v>
      </c>
      <c r="J664" s="707">
        <f>SUMIFS(Results!$D$95:$AK$95,Results!$D$93:$AK$93,$B664)</f>
        <v>0.5083492921347178</v>
      </c>
      <c r="K664" s="707">
        <f>SUMIFS(Results!$D$96:$AK$96,Results!$D$93:$AK$93,$B664)</f>
        <v>0.74409391489672516</v>
      </c>
    </row>
    <row r="665" spans="2:11">
      <c r="B665" s="660">
        <f t="shared" ref="B665:C665" si="104">B664+1</f>
        <v>2032</v>
      </c>
      <c r="C665" s="661">
        <f t="shared" si="104"/>
        <v>12</v>
      </c>
      <c r="D665" s="662">
        <f>SUMIFS(Results!$D$51:$AK$51,Results!$D$42:$AK$42,$B665)</f>
        <v>645846.18443813559</v>
      </c>
      <c r="E665" s="662">
        <f>SUMIFS(Results!$D$52:$AK$52,Results!$D$42:$AK$42,$B665)</f>
        <v>0</v>
      </c>
      <c r="F665" s="662">
        <f t="shared" si="92"/>
        <v>645846.18443813559</v>
      </c>
      <c r="G665" s="662">
        <f t="shared" si="93"/>
        <v>306836.86980096687</v>
      </c>
      <c r="H665" s="662">
        <f t="shared" si="94"/>
        <v>466573.02504823764</v>
      </c>
      <c r="J665" s="707">
        <f>SUMIFS(Results!$D$95:$AK$95,Results!$D$93:$AK$93,$B665)</f>
        <v>0.47509279638758667</v>
      </c>
      <c r="K665" s="707">
        <f>SUMIFS(Results!$D$96:$AK$96,Results!$D$93:$AK$93,$B665)</f>
        <v>0.72242127659876232</v>
      </c>
    </row>
    <row r="666" spans="2:11">
      <c r="B666" s="660">
        <f t="shared" ref="B666:C666" si="105">B665+1</f>
        <v>2033</v>
      </c>
      <c r="C666" s="661">
        <f t="shared" si="105"/>
        <v>13</v>
      </c>
      <c r="D666" s="662">
        <f>SUMIFS(Results!$D$51:$AK$51,Results!$D$42:$AK$42,$B666)</f>
        <v>669997.83701598633</v>
      </c>
      <c r="E666" s="662">
        <f>SUMIFS(Results!$D$52:$AK$52,Results!$D$42:$AK$42,$B666)</f>
        <v>0</v>
      </c>
      <c r="F666" s="662">
        <f t="shared" si="92"/>
        <v>669997.83701598633</v>
      </c>
      <c r="G666" s="662">
        <f t="shared" si="93"/>
        <v>297487.05230052292</v>
      </c>
      <c r="H666" s="662">
        <f t="shared" si="94"/>
        <v>469923.00265582372</v>
      </c>
      <c r="J666" s="707">
        <f>SUMIFS(Results!$D$95:$AK$95,Results!$D$93:$AK$93,$B666)</f>
        <v>0.44401195924073528</v>
      </c>
      <c r="K666" s="707">
        <f>SUMIFS(Results!$D$96:$AK$96,Results!$D$93:$AK$93,$B666)</f>
        <v>0.70137988019297326</v>
      </c>
    </row>
    <row r="667" spans="2:11">
      <c r="B667" s="660">
        <f t="shared" ref="B667:C667" si="106">B666+1</f>
        <v>2034</v>
      </c>
      <c r="C667" s="661">
        <f t="shared" si="106"/>
        <v>14</v>
      </c>
      <c r="D667" s="662">
        <f>SUMIFS(Results!$D$51:$AK$51,Results!$D$42:$AK$42,$B667)</f>
        <v>694995.67592028831</v>
      </c>
      <c r="E667" s="662">
        <f>SUMIFS(Results!$D$52:$AK$52,Results!$D$42:$AK$42,$B667)</f>
        <v>0</v>
      </c>
      <c r="F667" s="662">
        <f t="shared" si="92"/>
        <v>694995.67592028831</v>
      </c>
      <c r="G667" s="662">
        <f t="shared" si="93"/>
        <v>288398.49694318342</v>
      </c>
      <c r="H667" s="662">
        <f t="shared" si="94"/>
        <v>473258.23680738476</v>
      </c>
      <c r="J667" s="707">
        <f>SUMIFS(Results!$D$95:$AK$95,Results!$D$93:$AK$93,$B667)</f>
        <v>0.41496444788853759</v>
      </c>
      <c r="K667" s="707">
        <f>SUMIFS(Results!$D$96:$AK$96,Results!$D$93:$AK$93,$B667)</f>
        <v>0.68095133999317792</v>
      </c>
    </row>
    <row r="668" spans="2:11">
      <c r="B668" s="660">
        <f t="shared" ref="B668:C668" si="107">B667+1</f>
        <v>2035</v>
      </c>
      <c r="C668" s="661">
        <f t="shared" si="107"/>
        <v>15</v>
      </c>
      <c r="D668" s="662">
        <f>SUMIFS(Results!$D$51:$AK$51,Results!$D$42:$AK$42,$B668)</f>
        <v>720715.26089157758</v>
      </c>
      <c r="E668" s="662">
        <f>SUMIFS(Results!$D$52:$AK$52,Results!$D$42:$AK$42,$B668)</f>
        <v>0</v>
      </c>
      <c r="F668" s="662">
        <f t="shared" si="92"/>
        <v>720715.26089157758</v>
      </c>
      <c r="G668" s="662">
        <f t="shared" si="93"/>
        <v>279505.80403805315</v>
      </c>
      <c r="H668" s="662">
        <f t="shared" si="94"/>
        <v>476477.69190063351</v>
      </c>
      <c r="J668" s="707">
        <f>SUMIFS(Results!$D$95:$AK$95,Results!$D$93:$AK$93,$B668)</f>
        <v>0.3878172410173249</v>
      </c>
      <c r="K668" s="707">
        <f>SUMIFS(Results!$D$96:$AK$96,Results!$D$93:$AK$93,$B668)</f>
        <v>0.66111780581861923</v>
      </c>
    </row>
    <row r="669" spans="2:11">
      <c r="B669" s="660">
        <f t="shared" ref="B669:C669" si="108">B668+1</f>
        <v>2036</v>
      </c>
      <c r="C669" s="661">
        <f t="shared" si="108"/>
        <v>16</v>
      </c>
      <c r="D669" s="662">
        <f>SUMIFS(Results!$D$51:$AK$51,Results!$D$42:$AK$42,$B669)</f>
        <v>747565.46944138652</v>
      </c>
      <c r="E669" s="662">
        <f>SUMIFS(Results!$D$52:$AK$52,Results!$D$42:$AK$42,$B669)</f>
        <v>0</v>
      </c>
      <c r="F669" s="662">
        <f t="shared" si="92"/>
        <v>747565.46944138652</v>
      </c>
      <c r="G669" s="662">
        <f t="shared" si="93"/>
        <v>270952.12882110261</v>
      </c>
      <c r="H669" s="662">
        <f t="shared" si="94"/>
        <v>479833.82802218979</v>
      </c>
      <c r="J669" s="707">
        <f>SUMIFS(Results!$D$95:$AK$95,Results!$D$93:$AK$93,$B669)</f>
        <v>0.36244601964235967</v>
      </c>
      <c r="K669" s="707">
        <f>SUMIFS(Results!$D$96:$AK$96,Results!$D$93:$AK$93,$B669)</f>
        <v>0.64186194739671765</v>
      </c>
    </row>
    <row r="670" spans="2:11">
      <c r="B670" s="660">
        <f t="shared" ref="B670:C670" si="109">B669+1</f>
        <v>2037</v>
      </c>
      <c r="C670" s="661">
        <f t="shared" si="109"/>
        <v>17</v>
      </c>
      <c r="D670" s="662">
        <f>SUMIFS(Results!$D$51:$AK$51,Results!$D$42:$AK$42,$B670)</f>
        <v>774978.48913436348</v>
      </c>
      <c r="E670" s="662">
        <f>SUMIFS(Results!$D$52:$AK$52,Results!$D$42:$AK$42,$B670)</f>
        <v>0</v>
      </c>
      <c r="F670" s="662">
        <f t="shared" si="92"/>
        <v>774978.48913436348</v>
      </c>
      <c r="G670" s="662">
        <f t="shared" si="93"/>
        <v>262512.02681794373</v>
      </c>
      <c r="H670" s="662">
        <f t="shared" si="94"/>
        <v>482940.97303528991</v>
      </c>
      <c r="J670" s="707">
        <f>SUMIFS(Results!$D$95:$AK$95,Results!$D$93:$AK$93,$B670)</f>
        <v>0.33873459779659787</v>
      </c>
      <c r="K670" s="707">
        <f>SUMIFS(Results!$D$96:$AK$96,Results!$D$93:$AK$93,$B670)</f>
        <v>0.62316693922011435</v>
      </c>
    </row>
    <row r="671" spans="2:11">
      <c r="B671" s="660">
        <f t="shared" ref="B671:C671" si="110">B670+1</f>
        <v>2038</v>
      </c>
      <c r="C671" s="661">
        <f t="shared" si="110"/>
        <v>18</v>
      </c>
      <c r="D671" s="662">
        <f>SUMIFS(Results!$D$51:$AK$51,Results!$D$42:$AK$42,$B671)</f>
        <v>803940.85937783692</v>
      </c>
      <c r="E671" s="662">
        <f>SUMIFS(Results!$D$52:$AK$52,Results!$D$42:$AK$42,$B671)</f>
        <v>0</v>
      </c>
      <c r="F671" s="662">
        <f t="shared" si="92"/>
        <v>803940.85937783692</v>
      </c>
      <c r="G671" s="662">
        <f t="shared" si="93"/>
        <v>254507.08752673163</v>
      </c>
      <c r="H671" s="662">
        <f t="shared" si="94"/>
        <v>486397.44141016988</v>
      </c>
      <c r="J671" s="707">
        <f>SUMIFS(Results!$D$95:$AK$95,Results!$D$93:$AK$93,$B671)</f>
        <v>0.31657439046411018</v>
      </c>
      <c r="K671" s="707">
        <f>SUMIFS(Results!$D$96:$AK$96,Results!$D$93:$AK$93,$B671)</f>
        <v>0.60501644584477121</v>
      </c>
    </row>
    <row r="672" spans="2:11">
      <c r="B672" s="660">
        <f t="shared" ref="B672:C672" si="111">B671+1</f>
        <v>2039</v>
      </c>
      <c r="C672" s="661">
        <f t="shared" si="111"/>
        <v>19</v>
      </c>
      <c r="D672" s="662">
        <f>SUMIFS(Results!$D$51:$AK$51,Results!$D$42:$AK$42,$B672)</f>
        <v>834228.27754415991</v>
      </c>
      <c r="E672" s="662">
        <f>SUMIFS(Results!$D$52:$AK$52,Results!$D$42:$AK$42,$B672)</f>
        <v>0</v>
      </c>
      <c r="F672" s="662">
        <f t="shared" si="92"/>
        <v>834228.27754415991</v>
      </c>
      <c r="G672" s="662">
        <f t="shared" si="93"/>
        <v>246818.04530043638</v>
      </c>
      <c r="H672" s="662">
        <f t="shared" si="94"/>
        <v>490021.1917504592</v>
      </c>
      <c r="J672" s="707">
        <f>SUMIFS(Results!$D$95:$AK$95,Results!$D$93:$AK$93,$B672)</f>
        <v>0.29586391632159825</v>
      </c>
      <c r="K672" s="707">
        <f>SUMIFS(Results!$D$96:$AK$96,Results!$D$93:$AK$93,$B672)</f>
        <v>0.5873946076162827</v>
      </c>
    </row>
    <row r="673" spans="2:11">
      <c r="B673" s="660">
        <f t="shared" ref="B673:C673" si="112">B672+1</f>
        <v>2040</v>
      </c>
      <c r="C673" s="661">
        <f t="shared" si="112"/>
        <v>20</v>
      </c>
      <c r="D673" s="662">
        <f>SUMIFS(Results!$D$51:$AK$51,Results!$D$42:$AK$42,$B673)</f>
        <v>864968.63368267438</v>
      </c>
      <c r="E673" s="662">
        <f>SUMIFS(Results!$D$52:$AK$52,Results!$D$42:$AK$42,$B673)</f>
        <v>0</v>
      </c>
      <c r="F673" s="662">
        <f t="shared" si="92"/>
        <v>864968.63368267438</v>
      </c>
      <c r="G673" s="662">
        <f t="shared" si="93"/>
        <v>239171.03500625977</v>
      </c>
      <c r="H673" s="662">
        <f t="shared" si="94"/>
        <v>493279.52541983174</v>
      </c>
      <c r="J673" s="707">
        <f>SUMIFS(Results!$D$95:$AK$95,Results!$D$93:$AK$93,$B673)</f>
        <v>0.27650833301083949</v>
      </c>
      <c r="K673" s="707">
        <f>SUMIFS(Results!$D$96:$AK$96,Results!$D$93:$AK$93,$B673)</f>
        <v>0.57028602681192497</v>
      </c>
    </row>
    <row r="674" spans="2:11">
      <c r="B674" s="660">
        <f t="shared" ref="B674:C674" si="113">B673+1</f>
        <v>2041</v>
      </c>
      <c r="C674" s="661">
        <f t="shared" si="113"/>
        <v>21</v>
      </c>
      <c r="D674" s="662">
        <f>SUMIFS(Results!$D$51:$AK$51,Results!$D$42:$AK$42,$B674)</f>
        <v>897563.16475377011</v>
      </c>
      <c r="E674" s="662">
        <f>SUMIFS(Results!$D$52:$AK$52,Results!$D$42:$AK$42,$B674)</f>
        <v>0</v>
      </c>
      <c r="F674" s="662">
        <f t="shared" si="92"/>
        <v>897563.16475377011</v>
      </c>
      <c r="G674" s="662">
        <f t="shared" si="93"/>
        <v>231947.37799812941</v>
      </c>
      <c r="H674" s="662">
        <f t="shared" si="94"/>
        <v>496958.96217491728</v>
      </c>
      <c r="J674" s="707">
        <f>SUMIFS(Results!$D$95:$AK$95,Results!$D$93:$AK$93,$B674)</f>
        <v>0.2584190028138687</v>
      </c>
      <c r="K674" s="707">
        <f>SUMIFS(Results!$D$96:$AK$96,Results!$D$93:$AK$93,$B674)</f>
        <v>0.55367575418633497</v>
      </c>
    </row>
    <row r="675" spans="2:11">
      <c r="B675" s="660">
        <f t="shared" ref="B675:C675" si="114">B674+1</f>
        <v>2042</v>
      </c>
      <c r="C675" s="661">
        <f t="shared" si="114"/>
        <v>22</v>
      </c>
      <c r="D675" s="662">
        <f>SUMIFS(Results!$D$51:$AK$51,Results!$D$42:$AK$42,$B675)</f>
        <v>932267.73085931409</v>
      </c>
      <c r="E675" s="662">
        <f>SUMIFS(Results!$D$52:$AK$52,Results!$D$42:$AK$42,$B675)</f>
        <v>0</v>
      </c>
      <c r="F675" s="662">
        <f t="shared" si="92"/>
        <v>932267.73085931409</v>
      </c>
      <c r="G675" s="662">
        <f t="shared" si="93"/>
        <v>225154.85734973091</v>
      </c>
      <c r="H675" s="662">
        <f t="shared" si="94"/>
        <v>501139.84367680963</v>
      </c>
      <c r="J675" s="707">
        <f>SUMIFS(Results!$D$95:$AK$95,Results!$D$93:$AK$93,$B675)</f>
        <v>0.24151308674193336</v>
      </c>
      <c r="K675" s="707">
        <f>SUMIFS(Results!$D$96:$AK$96,Results!$D$93:$AK$93,$B675)</f>
        <v>0.5375492759090631</v>
      </c>
    </row>
    <row r="676" spans="2:11">
      <c r="B676" s="660">
        <f t="shared" ref="B676:C676" si="115">B675+1</f>
        <v>2043</v>
      </c>
      <c r="C676" s="661">
        <f t="shared" si="115"/>
        <v>23</v>
      </c>
      <c r="D676" s="662">
        <f>SUMIFS(Results!$D$51:$AK$51,Results!$D$42:$AK$42,$B676)</f>
        <v>967656.88923456811</v>
      </c>
      <c r="E676" s="662">
        <f>SUMIFS(Results!$D$52:$AK$52,Results!$D$42:$AK$42,$B676)</f>
        <v>0</v>
      </c>
      <c r="F676" s="662">
        <f t="shared" si="92"/>
        <v>967656.88923456811</v>
      </c>
      <c r="G676" s="662">
        <f t="shared" si="93"/>
        <v>218412.89927676416</v>
      </c>
      <c r="H676" s="662">
        <f t="shared" si="94"/>
        <v>505012.87391889183</v>
      </c>
      <c r="J676" s="707">
        <f>SUMIFS(Results!$D$95:$AK$95,Results!$D$93:$AK$93,$B676)</f>
        <v>0.22571316517937698</v>
      </c>
      <c r="K676" s="707">
        <f>SUMIFS(Results!$D$96:$AK$96,Results!$D$93:$AK$93,$B676)</f>
        <v>0.52189250088258554</v>
      </c>
    </row>
    <row r="677" spans="2:11">
      <c r="B677" s="660">
        <f t="shared" ref="B677:C677" si="116">B676+1</f>
        <v>2044</v>
      </c>
      <c r="C677" s="661">
        <f t="shared" si="116"/>
        <v>24</v>
      </c>
      <c r="D677" s="662">
        <f>SUMIFS(Results!$D$51:$AK$51,Results!$D$42:$AK$42,$B677)</f>
        <v>1004491.7075320509</v>
      </c>
      <c r="E677" s="662">
        <f>SUMIFS(Results!$D$52:$AK$52,Results!$D$42:$AK$42,$B677)</f>
        <v>0</v>
      </c>
      <c r="F677" s="662">
        <f t="shared" si="92"/>
        <v>1004491.7075320509</v>
      </c>
      <c r="G677" s="662">
        <f t="shared" si="93"/>
        <v>211894.39504999647</v>
      </c>
      <c r="H677" s="662">
        <f t="shared" si="94"/>
        <v>508967.65957254439</v>
      </c>
      <c r="J677" s="707">
        <f>SUMIFS(Results!$D$95:$AK$95,Results!$D$93:$AK$93,$B677)</f>
        <v>0.21094688334521211</v>
      </c>
      <c r="K677" s="707">
        <f>SUMIFS(Results!$D$96:$AK$96,Results!$D$93:$AK$93,$B677)</f>
        <v>0.50669174842969467</v>
      </c>
    </row>
    <row r="678" spans="2:11">
      <c r="B678" s="660">
        <f t="shared" ref="B678:C678" si="117">B677+1</f>
        <v>2045</v>
      </c>
      <c r="C678" s="661">
        <f t="shared" si="117"/>
        <v>25</v>
      </c>
      <c r="D678" s="662">
        <f>SUMIFS(Results!$D$51:$AK$51,Results!$D$42:$AK$42,$B678)</f>
        <v>1043371.4333334237</v>
      </c>
      <c r="E678" s="662">
        <f>SUMIFS(Results!$D$52:$AK$52,Results!$D$42:$AK$42,$B678)</f>
        <v>0</v>
      </c>
      <c r="F678" s="662">
        <f t="shared" si="92"/>
        <v>1043371.4333334237</v>
      </c>
      <c r="G678" s="662">
        <f t="shared" si="93"/>
        <v>205697.15143281542</v>
      </c>
      <c r="H678" s="662">
        <f t="shared" si="94"/>
        <v>513269.60758962051</v>
      </c>
      <c r="J678" s="707">
        <f>SUMIFS(Results!$D$95:$AK$95,Results!$D$93:$AK$93,$B678)</f>
        <v>0.19714661994879637</v>
      </c>
      <c r="K678" s="707">
        <f>SUMIFS(Results!$D$96:$AK$96,Results!$D$93:$AK$93,$B678)</f>
        <v>0.49193373633950943</v>
      </c>
    </row>
    <row r="679" spans="2:11">
      <c r="B679" s="660">
        <f t="shared" ref="B679:C679" si="118">B678+1</f>
        <v>2046</v>
      </c>
      <c r="C679" s="661">
        <f t="shared" si="118"/>
        <v>26</v>
      </c>
      <c r="D679" s="662">
        <f>SUMIFS(Results!$D$51:$AK$51,Results!$D$42:$AK$42,$B679)</f>
        <v>1082710.675987686</v>
      </c>
      <c r="E679" s="662">
        <f>SUMIFS(Results!$D$52:$AK$52,Results!$D$42:$AK$42,$B679)</f>
        <v>0</v>
      </c>
      <c r="F679" s="662">
        <f t="shared" si="92"/>
        <v>1082710.675987686</v>
      </c>
      <c r="G679" s="662">
        <f t="shared" si="93"/>
        <v>199488.55154527916</v>
      </c>
      <c r="H679" s="662">
        <f t="shared" si="94"/>
        <v>517108.64875077514</v>
      </c>
      <c r="J679" s="707">
        <f>SUMIFS(Results!$D$95:$AK$95,Results!$D$93:$AK$93,$B679)</f>
        <v>0.18424917752223957</v>
      </c>
      <c r="K679" s="707">
        <f>SUMIFS(Results!$D$96:$AK$96,Results!$D$93:$AK$93,$B679)</f>
        <v>0.47760556926165965</v>
      </c>
    </row>
    <row r="680" spans="2:11">
      <c r="B680" s="660">
        <f t="shared" ref="B680:C680" si="119">B679+1</f>
        <v>2047</v>
      </c>
      <c r="C680" s="661">
        <f t="shared" si="119"/>
        <v>27</v>
      </c>
      <c r="D680" s="662">
        <f>SUMIFS(Results!$D$51:$AK$51,Results!$D$42:$AK$42,$B680)</f>
        <v>1125106.6730903261</v>
      </c>
      <c r="E680" s="662">
        <f>SUMIFS(Results!$D$52:$AK$52,Results!$D$42:$AK$42,$B680)</f>
        <v>0</v>
      </c>
      <c r="F680" s="662">
        <f t="shared" si="92"/>
        <v>1125106.6730903261</v>
      </c>
      <c r="G680" s="662">
        <f t="shared" si="93"/>
        <v>193738.29826324849</v>
      </c>
      <c r="H680" s="662">
        <f t="shared" si="94"/>
        <v>521706.03211786132</v>
      </c>
      <c r="J680" s="707">
        <f>SUMIFS(Results!$D$95:$AK$95,Results!$D$93:$AK$93,$B680)</f>
        <v>0.17219549301143888</v>
      </c>
      <c r="K680" s="707">
        <f>SUMIFS(Results!$D$96:$AK$96,Results!$D$93:$AK$93,$B680)</f>
        <v>0.46369472743850448</v>
      </c>
    </row>
    <row r="681" spans="2:11">
      <c r="B681" s="660">
        <f t="shared" ref="B681:C681" si="120">B680+1</f>
        <v>2048</v>
      </c>
      <c r="C681" s="661">
        <f t="shared" si="120"/>
        <v>28</v>
      </c>
      <c r="D681" s="662">
        <f>SUMIFS(Results!$D$51:$AK$51,Results!$D$42:$AK$42,$B681)</f>
        <v>1168719.9868048551</v>
      </c>
      <c r="E681" s="662">
        <f>SUMIFS(Results!$D$52:$AK$52,Results!$D$42:$AK$42,$B681)</f>
        <v>0</v>
      </c>
      <c r="F681" s="662">
        <f t="shared" si="92"/>
        <v>1168719.9868048551</v>
      </c>
      <c r="G681" s="662">
        <f t="shared" si="93"/>
        <v>188082.53674783581</v>
      </c>
      <c r="H681" s="662">
        <f t="shared" si="94"/>
        <v>526144.94731399009</v>
      </c>
      <c r="J681" s="707">
        <f>SUMIFS(Results!$D$95:$AK$95,Results!$D$93:$AK$93,$B681)</f>
        <v>0.16093036730041013</v>
      </c>
      <c r="K681" s="707">
        <f>SUMIFS(Results!$D$96:$AK$96,Results!$D$93:$AK$93,$B681)</f>
        <v>0.45018905576553836</v>
      </c>
    </row>
    <row r="682" spans="2:11">
      <c r="B682" s="660">
        <f t="shared" ref="B682:C682" si="121">B681+1</f>
        <v>2049</v>
      </c>
      <c r="C682" s="661">
        <f t="shared" si="121"/>
        <v>29</v>
      </c>
      <c r="D682" s="662">
        <f>SUMIFS(Results!$D$51:$AK$51,Results!$D$42:$AK$42,$B682)</f>
        <v>1213849.6877109909</v>
      </c>
      <c r="E682" s="662">
        <f>SUMIFS(Results!$D$52:$AK$52,Results!$D$42:$AK$42,$B682)</f>
        <v>0</v>
      </c>
      <c r="F682" s="662">
        <f t="shared" si="92"/>
        <v>1213849.6877109909</v>
      </c>
      <c r="G682" s="662">
        <f t="shared" si="93"/>
        <v>182565.67858954947</v>
      </c>
      <c r="H682" s="662">
        <f t="shared" si="94"/>
        <v>530545.48034165497</v>
      </c>
      <c r="J682" s="707">
        <f>SUMIFS(Results!$D$95:$AK$95,Results!$D$93:$AK$93,$B682)</f>
        <v>0.15040221243028987</v>
      </c>
      <c r="K682" s="707">
        <f>SUMIFS(Results!$D$96:$AK$96,Results!$D$93:$AK$93,$B682)</f>
        <v>0.4370767531704256</v>
      </c>
    </row>
    <row r="683" spans="2:11">
      <c r="B683" s="660">
        <f t="shared" ref="B683:C683" si="122">B682+1</f>
        <v>2050</v>
      </c>
      <c r="C683" s="661">
        <f t="shared" si="122"/>
        <v>30</v>
      </c>
      <c r="D683" s="662">
        <f>SUMIFS(Results!$D$51:$AK$51,Results!$D$42:$AK$42,$B683)</f>
        <v>1260596.4729947762</v>
      </c>
      <c r="E683" s="662">
        <f>SUMIFS(Results!$D$52:$AK$52,Results!$D$42:$AK$42,$B683)</f>
        <v>0</v>
      </c>
      <c r="F683" s="662">
        <f t="shared" si="92"/>
        <v>1260596.4729947762</v>
      </c>
      <c r="G683" s="662">
        <f t="shared" si="93"/>
        <v>177192.98927124721</v>
      </c>
      <c r="H683" s="662">
        <f t="shared" si="94"/>
        <v>534929.52764528827</v>
      </c>
      <c r="J683" s="707">
        <f>SUMIFS(Results!$D$95:$AK$95,Results!$D$93:$AK$93,$B683)</f>
        <v>0.1405628153554111</v>
      </c>
      <c r="K683" s="707">
        <f>SUMIFS(Results!$D$96:$AK$96,Results!$D$93:$AK$93,$B683)</f>
        <v>0.42434636230138412</v>
      </c>
    </row>
    <row r="684" spans="2:11">
      <c r="B684" s="660">
        <f t="shared" ref="B684:C684" si="123">B683+1</f>
        <v>2051</v>
      </c>
      <c r="C684" s="661">
        <f t="shared" si="123"/>
        <v>31</v>
      </c>
      <c r="D684" s="662">
        <f>SUMIFS(Results!$D$51:$AK$51,Results!$D$42:$AK$42,$B684)</f>
        <v>1309475.6577490198</v>
      </c>
      <c r="E684" s="662">
        <f>SUMIFS(Results!$D$52:$AK$52,Results!$D$42:$AK$42,$B684)</f>
        <v>0</v>
      </c>
      <c r="F684" s="662">
        <f t="shared" si="92"/>
        <v>1309475.6577490198</v>
      </c>
      <c r="G684" s="662">
        <f t="shared" si="93"/>
        <v>172022.04214259904</v>
      </c>
      <c r="H684" s="662">
        <f t="shared" si="94"/>
        <v>539486.63290097949</v>
      </c>
      <c r="J684" s="707">
        <f>SUMIFS(Results!$D$95:$AK$95,Results!$D$93:$AK$93,$B684)</f>
        <v>0.13136711715458982</v>
      </c>
      <c r="K684" s="707">
        <f>SUMIFS(Results!$D$96:$AK$96,Results!$D$93:$AK$93,$B684)</f>
        <v>0.41198675951590691</v>
      </c>
    </row>
    <row r="685" spans="2:11">
      <c r="B685" s="660">
        <f t="shared" ref="B685:C685" si="124">B684+1</f>
        <v>2052</v>
      </c>
      <c r="C685" s="661">
        <f t="shared" si="124"/>
        <v>32</v>
      </c>
      <c r="D685" s="662">
        <f>SUMIFS(Results!$D$51:$AK$51,Results!$D$42:$AK$42,$B685)</f>
        <v>1360356.842010553</v>
      </c>
      <c r="E685" s="662">
        <f>SUMIFS(Results!$D$52:$AK$52,Results!$D$42:$AK$42,$B685)</f>
        <v>0</v>
      </c>
      <c r="F685" s="662">
        <f t="shared" si="92"/>
        <v>1360356.842010553</v>
      </c>
      <c r="G685" s="662">
        <f t="shared" si="93"/>
        <v>167015.09966023185</v>
      </c>
      <c r="H685" s="662">
        <f t="shared" si="94"/>
        <v>544125.24963613611</v>
      </c>
      <c r="J685" s="707">
        <f>SUMIFS(Results!$D$95:$AK$95,Results!$D$93:$AK$93,$B685)</f>
        <v>0.1227730066865325</v>
      </c>
      <c r="K685" s="707">
        <f>SUMIFS(Results!$D$96:$AK$96,Results!$D$93:$AK$93,$B685)</f>
        <v>0.39998714516107459</v>
      </c>
    </row>
    <row r="686" spans="2:11">
      <c r="B686" s="660">
        <f t="shared" ref="B686:C687" si="125">B685+1</f>
        <v>2053</v>
      </c>
      <c r="C686" s="661">
        <f t="shared" si="125"/>
        <v>33</v>
      </c>
      <c r="D686" s="662">
        <f>SUMIFS(Results!$D$51:$AK$51,Results!$D$42:$AK$42,$B686)</f>
        <v>1413323.271180616</v>
      </c>
      <c r="E686" s="662">
        <f>SUMIFS(Results!$D$52:$AK$52,Results!$D$42:$AK$42,$B686)</f>
        <v>0</v>
      </c>
      <c r="F686" s="662">
        <f t="shared" si="92"/>
        <v>1413323.271180616</v>
      </c>
      <c r="G686" s="662">
        <f t="shared" si="93"/>
        <v>162166.30600270073</v>
      </c>
      <c r="H686" s="662">
        <f t="shared" si="94"/>
        <v>548845.76740703487</v>
      </c>
      <c r="J686" s="707">
        <f>SUMIFS(Results!$D$95:$AK$95,Results!$D$93:$AK$93,$B686)</f>
        <v>0.11474112774442291</v>
      </c>
      <c r="K686" s="707">
        <f>SUMIFS(Results!$D$96:$AK$96,Results!$D$93:$AK$93,$B686)</f>
        <v>0.38833703413696569</v>
      </c>
    </row>
    <row r="687" spans="2:11">
      <c r="B687" s="660">
        <f t="shared" si="125"/>
        <v>2054</v>
      </c>
      <c r="C687" s="661">
        <f t="shared" si="125"/>
        <v>34</v>
      </c>
      <c r="D687" s="662">
        <f>SUMIFS(Results!$D$51:$AK$51,Results!$D$42:$AK$42,$B687)</f>
        <v>5088621.7966078008</v>
      </c>
      <c r="E687" s="662">
        <f>SUMIFS(Results!$D$52:$AK$52,Results!$D$42:$AK$42,$B687)</f>
        <v>0</v>
      </c>
      <c r="F687" s="662">
        <f t="shared" ref="F687" si="126">D687-E687</f>
        <v>5088621.7966078008</v>
      </c>
      <c r="G687" s="662">
        <f t="shared" ref="G687" si="127">$F687*J687</f>
        <v>545676.82580152387</v>
      </c>
      <c r="H687" s="662">
        <f t="shared" ref="H687" si="128">$F687*K687</f>
        <v>1918543.9770285352</v>
      </c>
      <c r="J687" s="707">
        <f>SUMIFS(Results!$D$95:$AK$95,Results!$D$93:$AK$93,$B687)</f>
        <v>0.10723469882656347</v>
      </c>
      <c r="K687" s="707">
        <f>SUMIFS(Results!$D$96:$AK$96,Results!$D$93:$AK$93,$B687)</f>
        <v>0.37702624673491814</v>
      </c>
    </row>
    <row r="688" spans="2:11">
      <c r="B688" s="663" t="s">
        <v>5</v>
      </c>
      <c r="C688" s="663"/>
      <c r="D688" s="664">
        <f>SUM(D654:D687)</f>
        <v>42802074.620656259</v>
      </c>
      <c r="E688" s="664">
        <f t="shared" ref="E688:G688" si="129">SUM(E654:E687)</f>
        <v>14803503.764985116</v>
      </c>
      <c r="F688" s="664">
        <f>SUM(F654:F687)</f>
        <v>27998570.855671134</v>
      </c>
      <c r="G688" s="664">
        <f t="shared" si="129"/>
        <v>4789181.0772717278</v>
      </c>
      <c r="H688" s="664">
        <f>SUM(H654:H687)</f>
        <v>13337580.150663456</v>
      </c>
    </row>
    <row r="690" spans="1:15">
      <c r="D690" s="665" t="b">
        <f>Results!$C$51*10^6=D688</f>
        <v>1</v>
      </c>
      <c r="E690" s="665" t="b">
        <f>Results!$C$52*10^6=E688</f>
        <v>1</v>
      </c>
      <c r="F690" s="708" t="b">
        <f>Results!$C$29*10^6=F688</f>
        <v>1</v>
      </c>
      <c r="G690" s="708" t="b">
        <f>ROUND(Results!$E$29*10^6,0)=ROUND(G688,0)</f>
        <v>1</v>
      </c>
      <c r="H690" s="708" t="b">
        <f>ROUND(Results!$D$29*10^6,0)=ROUND(H688,0)</f>
        <v>1</v>
      </c>
    </row>
    <row r="691" spans="1:15">
      <c r="H691" s="1287"/>
    </row>
    <row r="692" spans="1:15">
      <c r="A692" s="709" t="s">
        <v>895</v>
      </c>
    </row>
    <row r="693" spans="1:15" ht="23">
      <c r="B693" s="658" t="s">
        <v>7</v>
      </c>
      <c r="C693" s="658" t="s">
        <v>798</v>
      </c>
      <c r="D693" s="659" t="s">
        <v>1027</v>
      </c>
      <c r="E693" s="659" t="s">
        <v>1033</v>
      </c>
      <c r="F693" s="659" t="s">
        <v>1035</v>
      </c>
      <c r="G693" s="659" t="s">
        <v>1029</v>
      </c>
      <c r="H693" s="659" t="s">
        <v>1032</v>
      </c>
      <c r="I693" s="659" t="s">
        <v>1037</v>
      </c>
      <c r="J693" s="659" t="s">
        <v>1127</v>
      </c>
      <c r="K693" s="659" t="s">
        <v>1129</v>
      </c>
      <c r="L693" s="659" t="s">
        <v>1131</v>
      </c>
      <c r="M693" s="659" t="s">
        <v>1143</v>
      </c>
      <c r="N693" s="659" t="s">
        <v>1134</v>
      </c>
      <c r="O693" s="659" t="s">
        <v>1142</v>
      </c>
    </row>
    <row r="694" spans="1:15">
      <c r="B694" s="660">
        <f>VRCBY</f>
        <v>2021</v>
      </c>
      <c r="C694" s="661">
        <v>1</v>
      </c>
      <c r="D694" s="667">
        <f>SUMIFS(Demand!$F$7:$AM$7,Demand!$F$2:$AM$2,$B694)*Days.Per.Year</f>
        <v>276387.2316912706</v>
      </c>
      <c r="E694" s="667">
        <f>SUMIFS(Demand!$F$8:$AM$8,Demand!$F$2:$AM$2,$B694)*Days.Per.Year</f>
        <v>276387.2316912706</v>
      </c>
      <c r="F694" s="667">
        <f>SUMIFS(Demand!$F$9:$AM$9,Demand!$F$2:$AM$2,$B694)*Days.Per.Year</f>
        <v>1959836.7338108278</v>
      </c>
      <c r="G694" s="667">
        <f>SUMIFS(Demand!$F$10:$AM$10,Demand!$F$2:$AM$2,$B694)*Days.Per.Year</f>
        <v>276387.2316912706</v>
      </c>
      <c r="H694" s="667">
        <f>SUMIFS(Demand!$F$11:$AM$11,Demand!$F$2:$AM$2,$B694)*Days.Per.Year</f>
        <v>123829.31852963971</v>
      </c>
      <c r="I694" s="667">
        <f>SUMIFS(Demand!$F$12:$AM$12,Demand!$F$2:$AM$2,$B694)*Days.Per.Year</f>
        <v>1959836.7338108278</v>
      </c>
      <c r="J694" s="667">
        <f>SUMIFS(Demand!$F$15:$AM$15,Demand!$F$2:$AM$2,$B694)*Days.Per.Year</f>
        <v>99564.482957165659</v>
      </c>
      <c r="K694" s="667">
        <f>SUMIFS(Demand!$F$16:$AM$16,Demand!$F$2:$AM$2,$B694)*Days.Per.Year</f>
        <v>261311.56450811037</v>
      </c>
      <c r="L694" s="667">
        <f>SUMIFS(Demand!$F$17:$AM$17,Demand!$F$2:$AM$2,$B694)*Days.Per.Year</f>
        <v>427143.90352287272</v>
      </c>
      <c r="M694" s="667">
        <f>SUMIFS(Demand!$F$20:$AM$20,Demand!$F$2:$AM$2,$B694)*Days.Per.Year</f>
        <v>5276483.5141060743</v>
      </c>
      <c r="N694" s="667">
        <f>SUMIFS(Demand!$F$21:$AM$21,Demand!$F$2:$AM$2,$B694)*Days.Per.Year</f>
        <v>427143.90352287272</v>
      </c>
      <c r="O694" s="667">
        <f>SUMIFS(Demand!$F$22:$AM$22,Demand!$F$2:$AM$2,$B694)*Days.Per.Year</f>
        <v>804035.58310187806</v>
      </c>
    </row>
    <row r="695" spans="1:15">
      <c r="B695" s="660">
        <f>B694+1</f>
        <v>2022</v>
      </c>
      <c r="C695" s="661">
        <f>C694+1</f>
        <v>2</v>
      </c>
      <c r="D695" s="667">
        <f>SUMIFS(Demand!$F$7:$AM$7,Demand!$F$2:$AM$2,$B695)*Days.Per.Year</f>
        <v>284539.02074878983</v>
      </c>
      <c r="E695" s="667">
        <f>SUMIFS(Demand!$F$8:$AM$8,Demand!$F$2:$AM$2,$B695)*Days.Per.Year</f>
        <v>284539.02074878983</v>
      </c>
      <c r="F695" s="667">
        <f>SUMIFS(Demand!$F$9:$AM$9,Demand!$F$2:$AM$2,$B695)*Days.Per.Year</f>
        <v>2017640.3289459641</v>
      </c>
      <c r="G695" s="667">
        <f>SUMIFS(Demand!$F$10:$AM$10,Demand!$F$2:$AM$2,$B695)*Days.Per.Year</f>
        <v>284539.02074878983</v>
      </c>
      <c r="H695" s="667">
        <f>SUMIFS(Demand!$F$11:$AM$11,Demand!$F$2:$AM$2,$B695)*Days.Per.Year</f>
        <v>127481.55122365049</v>
      </c>
      <c r="I695" s="667">
        <f>SUMIFS(Demand!$F$12:$AM$12,Demand!$F$2:$AM$2,$B695)*Days.Per.Year</f>
        <v>2017640.3289459641</v>
      </c>
      <c r="J695" s="667">
        <f>SUMIFS(Demand!$F$15:$AM$15,Demand!$F$2:$AM$2,$B695)*Days.Per.Year</f>
        <v>102501.04647973239</v>
      </c>
      <c r="K695" s="667">
        <f>SUMIFS(Demand!$F$16:$AM$16,Demand!$F$2:$AM$2,$B695)*Days.Per.Year</f>
        <v>269018.71052612859</v>
      </c>
      <c r="L695" s="667">
        <f>SUMIFS(Demand!$F$17:$AM$17,Demand!$F$2:$AM$2,$B695)*Days.Per.Year</f>
        <v>439742.12297540245</v>
      </c>
      <c r="M695" s="667">
        <f>SUMIFS(Demand!$F$20:$AM$20,Demand!$F$2:$AM$2,$B695)*Days.Per.Year</f>
        <v>5432108.5779314414</v>
      </c>
      <c r="N695" s="667">
        <f>SUMIFS(Demand!$F$21:$AM$21,Demand!$F$2:$AM$2,$B695)*Days.Per.Year</f>
        <v>439742.12297540245</v>
      </c>
      <c r="O695" s="667">
        <f>SUMIFS(Demand!$F$22:$AM$22,Demand!$F$2:$AM$2,$B695)*Days.Per.Year</f>
        <v>827749.87854193407</v>
      </c>
    </row>
    <row r="696" spans="1:15">
      <c r="B696" s="660">
        <f t="shared" ref="B696:C696" si="130">B695+1</f>
        <v>2023</v>
      </c>
      <c r="C696" s="661">
        <f t="shared" si="130"/>
        <v>3</v>
      </c>
      <c r="D696" s="667">
        <f>SUMIFS(Demand!$F$7:$AM$7,Demand!$F$2:$AM$2,$B696)*Days.Per.Year</f>
        <v>292931.23938198684</v>
      </c>
      <c r="E696" s="667">
        <f>SUMIFS(Demand!$F$8:$AM$8,Demand!$F$2:$AM$2,$B696)*Days.Per.Year</f>
        <v>292931.23938198684</v>
      </c>
      <c r="F696" s="667">
        <f>SUMIFS(Demand!$F$9:$AM$9,Demand!$F$2:$AM$2,$B696)*Days.Per.Year</f>
        <v>2077148.7883449977</v>
      </c>
      <c r="G696" s="667">
        <f>SUMIFS(Demand!$F$10:$AM$10,Demand!$F$2:$AM$2,$B696)*Days.Per.Year</f>
        <v>292931.23938198684</v>
      </c>
      <c r="H696" s="667">
        <f>SUMIFS(Demand!$F$11:$AM$11,Demand!$F$2:$AM$2,$B696)*Days.Per.Year</f>
        <v>131241.50318648698</v>
      </c>
      <c r="I696" s="667">
        <f>SUMIFS(Demand!$F$12:$AM$12,Demand!$F$2:$AM$2,$B696)*Days.Per.Year</f>
        <v>2077148.7883449977</v>
      </c>
      <c r="J696" s="667">
        <f>SUMIFS(Demand!$F$15:$AM$15,Demand!$F$2:$AM$2,$B696)*Days.Per.Year</f>
        <v>105524.22126231821</v>
      </c>
      <c r="K696" s="667">
        <f>SUMIFS(Demand!$F$16:$AM$16,Demand!$F$2:$AM$2,$B696)*Days.Per.Year</f>
        <v>276953.17177933303</v>
      </c>
      <c r="L696" s="667">
        <f>SUMIFS(Demand!$F$17:$AM$17,Demand!$F$2:$AM$2,$B696)*Days.Per.Year</f>
        <v>452711.91540852515</v>
      </c>
      <c r="M696" s="667">
        <f>SUMIFS(Demand!$F$20:$AM$20,Demand!$F$2:$AM$2,$B696)*Days.Per.Year</f>
        <v>5592323.6609288398</v>
      </c>
      <c r="N696" s="667">
        <f>SUMIFS(Demand!$F$21:$AM$21,Demand!$F$2:$AM$2,$B696)*Days.Per.Year</f>
        <v>452711.91540852515</v>
      </c>
      <c r="O696" s="667">
        <f>SUMIFS(Demand!$F$22:$AM$22,Demand!$F$2:$AM$2,$B696)*Days.Per.Year</f>
        <v>852163.60547487088</v>
      </c>
    </row>
    <row r="697" spans="1:15">
      <c r="B697" s="660">
        <f t="shared" ref="B697:C697" si="131">B696+1</f>
        <v>2024</v>
      </c>
      <c r="C697" s="661">
        <f t="shared" si="131"/>
        <v>4</v>
      </c>
      <c r="D697" s="667">
        <f>SUMIFS(Demand!$F$7:$AM$7,Demand!$F$2:$AM$2,$B697)*Days.Per.Year</f>
        <v>301570.97884168441</v>
      </c>
      <c r="E697" s="667">
        <f>SUMIFS(Demand!$F$8:$AM$8,Demand!$F$2:$AM$2,$B697)*Days.Per.Year</f>
        <v>301570.97884168441</v>
      </c>
      <c r="F697" s="667">
        <f>SUMIFS(Demand!$F$9:$AM$9,Demand!$F$2:$AM$2,$B697)*Days.Per.Year</f>
        <v>2138412.3954228531</v>
      </c>
      <c r="G697" s="667">
        <f>SUMIFS(Demand!$F$10:$AM$10,Demand!$F$2:$AM$2,$B697)*Days.Per.Year</f>
        <v>301570.97884168441</v>
      </c>
      <c r="H697" s="667">
        <f>SUMIFS(Demand!$F$11:$AM$11,Demand!$F$2:$AM$2,$B697)*Days.Per.Year</f>
        <v>135112.35149963561</v>
      </c>
      <c r="I697" s="667">
        <f>SUMIFS(Demand!$F$12:$AM$12,Demand!$F$2:$AM$2,$B697)*Days.Per.Year</f>
        <v>2138412.3954228531</v>
      </c>
      <c r="J697" s="667">
        <f>SUMIFS(Demand!$F$15:$AM$15,Demand!$F$2:$AM$2,$B697)*Days.Per.Year</f>
        <v>108636.56182496143</v>
      </c>
      <c r="K697" s="667">
        <f>SUMIFS(Demand!$F$16:$AM$16,Demand!$F$2:$AM$2,$B697)*Days.Per.Year</f>
        <v>285121.65272304707</v>
      </c>
      <c r="L697" s="667">
        <f>SUMIFS(Demand!$F$17:$AM$17,Demand!$F$2:$AM$2,$B697)*Days.Per.Year</f>
        <v>466064.24002805771</v>
      </c>
      <c r="M697" s="667">
        <f>SUMIFS(Demand!$F$20:$AM$20,Demand!$F$2:$AM$2,$B697)*Days.Per.Year</f>
        <v>5757264.1415230669</v>
      </c>
      <c r="N697" s="667">
        <f>SUMIFS(Demand!$F$21:$AM$21,Demand!$F$2:$AM$2,$B697)*Days.Per.Year</f>
        <v>466064.24002805771</v>
      </c>
      <c r="O697" s="667">
        <f>SUMIFS(Demand!$F$22:$AM$22,Demand!$F$2:$AM$2,$B697)*Days.Per.Year</f>
        <v>877297.39299399103</v>
      </c>
    </row>
    <row r="698" spans="1:15">
      <c r="B698" s="660">
        <f t="shared" ref="B698:C698" si="132">B697+1</f>
        <v>2025</v>
      </c>
      <c r="C698" s="661">
        <f t="shared" si="132"/>
        <v>5</v>
      </c>
      <c r="D698" s="667">
        <f>SUMIFS(Demand!$F$7:$AM$7,Demand!$F$2:$AM$2,$B698)*Days.Per.Year</f>
        <v>310465.53952867392</v>
      </c>
      <c r="E698" s="667">
        <f>SUMIFS(Demand!$F$8:$AM$8,Demand!$F$2:$AM$2,$B698)*Days.Per.Year</f>
        <v>310465.53952867392</v>
      </c>
      <c r="F698" s="667">
        <f>SUMIFS(Demand!$F$9:$AM$9,Demand!$F$2:$AM$2,$B698)*Days.Per.Year</f>
        <v>2201482.9166578692</v>
      </c>
      <c r="G698" s="667">
        <f>SUMIFS(Demand!$F$10:$AM$10,Demand!$F$2:$AM$2,$B698)*Days.Per.Year</f>
        <v>310465.53952867392</v>
      </c>
      <c r="H698" s="667">
        <f>SUMIFS(Demand!$F$11:$AM$11,Demand!$F$2:$AM$2,$B698)*Days.Per.Year</f>
        <v>139097.36694970069</v>
      </c>
      <c r="I698" s="667">
        <f>SUMIFS(Demand!$F$12:$AM$12,Demand!$F$2:$AM$2,$B698)*Days.Per.Year</f>
        <v>2201482.9166578692</v>
      </c>
      <c r="J698" s="667">
        <f>SUMIFS(Demand!$F$15:$AM$15,Demand!$F$2:$AM$2,$B698)*Days.Per.Year</f>
        <v>111840.69803093656</v>
      </c>
      <c r="K698" s="667">
        <f>SUMIFS(Demand!$F$16:$AM$16,Demand!$F$2:$AM$2,$B698)*Days.Per.Year</f>
        <v>293531.05555438262</v>
      </c>
      <c r="L698" s="667">
        <f>SUMIFS(Demand!$F$17:$AM$17,Demand!$F$2:$AM$2,$B698)*Days.Per.Year</f>
        <v>479810.37927158701</v>
      </c>
      <c r="M698" s="667">
        <f>SUMIFS(Demand!$F$20:$AM$20,Demand!$F$2:$AM$2,$B698)*Days.Per.Year</f>
        <v>5927069.3910019565</v>
      </c>
      <c r="N698" s="667">
        <f>SUMIFS(Demand!$F$21:$AM$21,Demand!$F$2:$AM$2,$B698)*Days.Per.Year</f>
        <v>479810.37927158701</v>
      </c>
      <c r="O698" s="667">
        <f>SUMIFS(Demand!$F$22:$AM$22,Demand!$F$2:$AM$2,$B698)*Days.Per.Year</f>
        <v>903172.47862886963</v>
      </c>
    </row>
    <row r="699" spans="1:15">
      <c r="B699" s="660">
        <f t="shared" ref="B699:C699" si="133">B698+1</f>
        <v>2026</v>
      </c>
      <c r="C699" s="661">
        <f t="shared" si="133"/>
        <v>6</v>
      </c>
      <c r="D699" s="667">
        <f>SUMIFS(Demand!$F$7:$AM$7,Demand!$F$2:$AM$2,$B699)*Days.Per.Year</f>
        <v>319622.43716240273</v>
      </c>
      <c r="E699" s="667">
        <f>SUMIFS(Demand!$F$8:$AM$8,Demand!$F$2:$AM$2,$B699)*Days.Per.Year</f>
        <v>319622.43716240273</v>
      </c>
      <c r="F699" s="667">
        <f>SUMIFS(Demand!$F$9:$AM$9,Demand!$F$2:$AM$2,$B699)*Days.Per.Year</f>
        <v>2266413.6453334009</v>
      </c>
      <c r="G699" s="667">
        <f>SUMIFS(Demand!$F$10:$AM$10,Demand!$F$2:$AM$2,$B699)*Days.Per.Year</f>
        <v>319622.43716240273</v>
      </c>
      <c r="H699" s="667">
        <f>SUMIFS(Demand!$F$11:$AM$11,Demand!$F$2:$AM$2,$B699)*Days.Per.Year</f>
        <v>143199.91679215108</v>
      </c>
      <c r="I699" s="667">
        <f>SUMIFS(Demand!$F$12:$AM$12,Demand!$F$2:$AM$2,$B699)*Days.Per.Year</f>
        <v>2266413.6453334009</v>
      </c>
      <c r="J699" s="667">
        <f>SUMIFS(Demand!$F$15:$AM$15,Demand!$F$2:$AM$2,$B699)*Days.Per.Year</f>
        <v>115139.33730893438</v>
      </c>
      <c r="K699" s="667">
        <f>SUMIFS(Demand!$F$16:$AM$16,Demand!$F$2:$AM$2,$B699)*Days.Per.Year</f>
        <v>302188.48604445346</v>
      </c>
      <c r="L699" s="667">
        <f>SUMIFS(Demand!$F$17:$AM$17,Demand!$F$2:$AM$2,$B699)*Days.Per.Year</f>
        <v>493961.94834189507</v>
      </c>
      <c r="M699" s="667">
        <f>SUMIFS(Demand!$F$20:$AM$20,Demand!$F$2:$AM$2,$B699)*Days.Per.Year</f>
        <v>6101882.8912822334</v>
      </c>
      <c r="N699" s="667">
        <f>SUMIFS(Demand!$F$21:$AM$21,Demand!$F$2:$AM$2,$B699)*Days.Per.Year</f>
        <v>493961.94834189507</v>
      </c>
      <c r="O699" s="667">
        <f>SUMIFS(Demand!$F$22:$AM$22,Demand!$F$2:$AM$2,$B699)*Days.Per.Year</f>
        <v>929810.7262906261</v>
      </c>
    </row>
    <row r="700" spans="1:15">
      <c r="B700" s="660">
        <f t="shared" ref="B700:C700" si="134">B699+1</f>
        <v>2027</v>
      </c>
      <c r="C700" s="661">
        <f t="shared" si="134"/>
        <v>7</v>
      </c>
      <c r="D700" s="667">
        <f>SUMIFS(Demand!$F$7:$AM$7,Demand!$F$2:$AM$2,$B700)*Days.Per.Year</f>
        <v>329049.40913160174</v>
      </c>
      <c r="E700" s="667">
        <f>SUMIFS(Demand!$F$8:$AM$8,Demand!$F$2:$AM$2,$B700)*Days.Per.Year</f>
        <v>329049.40913160174</v>
      </c>
      <c r="F700" s="667">
        <f>SUMIFS(Demand!$F$9:$AM$9,Demand!$F$2:$AM$2,$B700)*Days.Per.Year</f>
        <v>2333259.4465695391</v>
      </c>
      <c r="G700" s="667">
        <f>SUMIFS(Demand!$F$10:$AM$10,Demand!$F$2:$AM$2,$B700)*Days.Per.Year</f>
        <v>329049.40913160174</v>
      </c>
      <c r="H700" s="667">
        <f>SUMIFS(Demand!$F$11:$AM$11,Demand!$F$2:$AM$2,$B700)*Days.Per.Year</f>
        <v>147423.46759658135</v>
      </c>
      <c r="I700" s="667">
        <f>SUMIFS(Demand!$F$12:$AM$12,Demand!$F$2:$AM$2,$B700)*Days.Per.Year</f>
        <v>2333259.4465695391</v>
      </c>
      <c r="J700" s="667">
        <f>SUMIFS(Demand!$F$15:$AM$15,Demand!$F$2:$AM$2,$B700)*Days.Per.Year</f>
        <v>118535.26694078297</v>
      </c>
      <c r="K700" s="667">
        <f>SUMIFS(Demand!$F$16:$AM$16,Demand!$F$2:$AM$2,$B700)*Days.Per.Year</f>
        <v>311101.25954260526</v>
      </c>
      <c r="L700" s="667">
        <f>SUMIFS(Demand!$F$17:$AM$17,Demand!$F$2:$AM$2,$B700)*Days.Per.Year</f>
        <v>508530.90502156632</v>
      </c>
      <c r="M700" s="667">
        <f>SUMIFS(Demand!$F$20:$AM$20,Demand!$F$2:$AM$2,$B700)*Days.Per.Year</f>
        <v>6281852.3561487598</v>
      </c>
      <c r="N700" s="667">
        <f>SUMIFS(Demand!$F$21:$AM$21,Demand!$F$2:$AM$2,$B700)*Days.Per.Year</f>
        <v>508530.90502156632</v>
      </c>
      <c r="O700" s="667">
        <f>SUMIFS(Demand!$F$22:$AM$22,Demand!$F$2:$AM$2,$B700)*Days.Per.Year</f>
        <v>957234.64474647772</v>
      </c>
    </row>
    <row r="701" spans="1:15">
      <c r="B701" s="660">
        <f t="shared" ref="B701:C701" si="135">B700+1</f>
        <v>2028</v>
      </c>
      <c r="C701" s="661">
        <f t="shared" si="135"/>
        <v>8</v>
      </c>
      <c r="D701" s="667">
        <f>SUMIFS(Demand!$F$7:$AM$7,Demand!$F$2:$AM$2,$B701)*Days.Per.Year</f>
        <v>338754.42103221797</v>
      </c>
      <c r="E701" s="667">
        <f>SUMIFS(Demand!$F$8:$AM$8,Demand!$F$2:$AM$2,$B701)*Days.Per.Year</f>
        <v>338754.42103221797</v>
      </c>
      <c r="F701" s="667">
        <f>SUMIFS(Demand!$F$9:$AM$9,Demand!$F$2:$AM$2,$B701)*Days.Per.Year</f>
        <v>2402076.8036830002</v>
      </c>
      <c r="G701" s="667">
        <f>SUMIFS(Demand!$F$10:$AM$10,Demand!$F$2:$AM$2,$B701)*Days.Per.Year</f>
        <v>338754.42103221797</v>
      </c>
      <c r="H701" s="667">
        <f>SUMIFS(Demand!$F$11:$AM$11,Demand!$F$2:$AM$2,$B701)*Days.Per.Year</f>
        <v>151771.58817589143</v>
      </c>
      <c r="I701" s="667">
        <f>SUMIFS(Demand!$F$12:$AM$12,Demand!$F$2:$AM$2,$B701)*Days.Per.Year</f>
        <v>2402076.8036830002</v>
      </c>
      <c r="J701" s="667">
        <f>SUMIFS(Demand!$F$15:$AM$15,Demand!$F$2:$AM$2,$B701)*Days.Per.Year</f>
        <v>122031.35641664323</v>
      </c>
      <c r="K701" s="667">
        <f>SUMIFS(Demand!$F$16:$AM$16,Demand!$F$2:$AM$2,$B701)*Days.Per.Year</f>
        <v>320276.90715773334</v>
      </c>
      <c r="L701" s="667">
        <f>SUMIFS(Demand!$F$17:$AM$17,Demand!$F$2:$AM$2,$B701)*Days.Per.Year</f>
        <v>523529.55977706413</v>
      </c>
      <c r="M701" s="667">
        <f>SUMIFS(Demand!$F$20:$AM$20,Demand!$F$2:$AM$2,$B701)*Days.Per.Year</f>
        <v>6467129.856069616</v>
      </c>
      <c r="N701" s="667">
        <f>SUMIFS(Demand!$F$21:$AM$21,Demand!$F$2:$AM$2,$B701)*Days.Per.Year</f>
        <v>523529.55977706413</v>
      </c>
      <c r="O701" s="667">
        <f>SUMIFS(Demand!$F$22:$AM$22,Demand!$F$2:$AM$2,$B701)*Days.Per.Year</f>
        <v>985467.40663917968</v>
      </c>
    </row>
    <row r="702" spans="1:15">
      <c r="B702" s="660">
        <f t="shared" ref="B702:C702" si="136">B701+1</f>
        <v>2029</v>
      </c>
      <c r="C702" s="661">
        <f t="shared" si="136"/>
        <v>9</v>
      </c>
      <c r="D702" s="667">
        <f>SUMIFS(Demand!$F$7:$AM$7,Demand!$F$2:$AM$2,$B702)*Days.Per.Year</f>
        <v>348745.67339817865</v>
      </c>
      <c r="E702" s="667">
        <f>SUMIFS(Demand!$F$8:$AM$8,Demand!$F$2:$AM$2,$B702)*Days.Per.Year</f>
        <v>348745.67339817865</v>
      </c>
      <c r="F702" s="667">
        <f>SUMIFS(Demand!$F$9:$AM$9,Demand!$F$2:$AM$2,$B702)*Days.Per.Year</f>
        <v>2472923.8659143578</v>
      </c>
      <c r="G702" s="667">
        <f>SUMIFS(Demand!$F$10:$AM$10,Demand!$F$2:$AM$2,$B702)*Days.Per.Year</f>
        <v>348745.67339817865</v>
      </c>
      <c r="H702" s="667">
        <f>SUMIFS(Demand!$F$11:$AM$11,Demand!$F$2:$AM$2,$B702)*Days.Per.Year</f>
        <v>156247.95260185935</v>
      </c>
      <c r="I702" s="667">
        <f>SUMIFS(Demand!$F$12:$AM$12,Demand!$F$2:$AM$2,$B702)*Days.Per.Year</f>
        <v>2472923.8659143578</v>
      </c>
      <c r="J702" s="667">
        <f>SUMIFS(Demand!$F$15:$AM$15,Demand!$F$2:$AM$2,$B702)*Days.Per.Year</f>
        <v>125630.55985966846</v>
      </c>
      <c r="K702" s="667">
        <f>SUMIFS(Demand!$F$16:$AM$16,Demand!$F$2:$AM$2,$B702)*Days.Per.Year</f>
        <v>329723.18212191435</v>
      </c>
      <c r="L702" s="667">
        <f>SUMIFS(Demand!$F$17:$AM$17,Demand!$F$2:$AM$2,$B702)*Days.Per.Year</f>
        <v>538970.58616082149</v>
      </c>
      <c r="M702" s="667">
        <f>SUMIFS(Demand!$F$20:$AM$20,Demand!$F$2:$AM$2,$B702)*Days.Per.Year</f>
        <v>6657871.9466925003</v>
      </c>
      <c r="N702" s="667">
        <f>SUMIFS(Demand!$F$21:$AM$21,Demand!$F$2:$AM$2,$B702)*Days.Per.Year</f>
        <v>538970.58616082149</v>
      </c>
      <c r="O702" s="667">
        <f>SUMIFS(Demand!$F$22:$AM$22,Demand!$F$2:$AM$2,$B702)*Days.Per.Year</f>
        <v>1014532.8680674287</v>
      </c>
    </row>
    <row r="703" spans="1:15">
      <c r="B703" s="660">
        <f t="shared" ref="B703:C703" si="137">B702+1</f>
        <v>2030</v>
      </c>
      <c r="C703" s="661">
        <f t="shared" si="137"/>
        <v>10</v>
      </c>
      <c r="D703" s="667">
        <f>SUMIFS(Demand!$F$7:$AM$7,Demand!$F$2:$AM$2,$B703)*Days.Per.Year</f>
        <v>359031.60863067169</v>
      </c>
      <c r="E703" s="667">
        <f>SUMIFS(Demand!$F$8:$AM$8,Demand!$F$2:$AM$2,$B703)*Days.Per.Year</f>
        <v>359031.60863067169</v>
      </c>
      <c r="F703" s="667">
        <f>SUMIFS(Demand!$F$9:$AM$9,Demand!$F$2:$AM$2,$B703)*Days.Per.Year</f>
        <v>2545860.4975629444</v>
      </c>
      <c r="G703" s="667">
        <f>SUMIFS(Demand!$F$10:$AM$10,Demand!$F$2:$AM$2,$B703)*Days.Per.Year</f>
        <v>359031.60863067169</v>
      </c>
      <c r="H703" s="667">
        <f>SUMIFS(Demand!$F$11:$AM$11,Demand!$F$2:$AM$2,$B703)*Days.Per.Year</f>
        <v>160856.34330965579</v>
      </c>
      <c r="I703" s="667">
        <f>SUMIFS(Demand!$F$12:$AM$12,Demand!$F$2:$AM$2,$B703)*Days.Per.Year</f>
        <v>2545860.4975629444</v>
      </c>
      <c r="J703" s="667">
        <f>SUMIFS(Demand!$F$15:$AM$15,Demand!$F$2:$AM$2,$B703)*Days.Per.Year</f>
        <v>129335.91852217719</v>
      </c>
      <c r="K703" s="667">
        <f>SUMIFS(Demand!$F$16:$AM$16,Demand!$F$2:$AM$2,$B703)*Days.Per.Year</f>
        <v>339448.06634172588</v>
      </c>
      <c r="L703" s="667">
        <f>SUMIFS(Demand!$F$17:$AM$17,Demand!$F$2:$AM$2,$B703)*Days.Per.Year</f>
        <v>554867.03152012883</v>
      </c>
      <c r="M703" s="667">
        <f>SUMIFS(Demand!$F$20:$AM$20,Demand!$F$2:$AM$2,$B703)*Days.Per.Year</f>
        <v>6854239.8011310045</v>
      </c>
      <c r="N703" s="667">
        <f>SUMIFS(Demand!$F$21:$AM$21,Demand!$F$2:$AM$2,$B703)*Days.Per.Year</f>
        <v>554867.03152012883</v>
      </c>
      <c r="O703" s="667">
        <f>SUMIFS(Demand!$F$22:$AM$22,Demand!$F$2:$AM$2,$B703)*Days.Per.Year</f>
        <v>1044455.5887437721</v>
      </c>
    </row>
    <row r="704" spans="1:15">
      <c r="B704" s="660">
        <f t="shared" ref="B704:C704" si="138">B703+1</f>
        <v>2031</v>
      </c>
      <c r="C704" s="661">
        <f t="shared" si="138"/>
        <v>11</v>
      </c>
      <c r="D704" s="667">
        <f>SUMIFS(Demand!$F$7:$AM$7,Demand!$F$2:$AM$2,$B704)*Days.Per.Year</f>
        <v>369620.91813180043</v>
      </c>
      <c r="E704" s="667">
        <f>SUMIFS(Demand!$F$8:$AM$8,Demand!$F$2:$AM$2,$B704)*Days.Per.Year</f>
        <v>369620.91813180043</v>
      </c>
      <c r="F704" s="667">
        <f>SUMIFS(Demand!$F$9:$AM$9,Demand!$F$2:$AM$2,$B704)*Days.Per.Year</f>
        <v>2620948.3285709484</v>
      </c>
      <c r="G704" s="667">
        <f>SUMIFS(Demand!$F$10:$AM$10,Demand!$F$2:$AM$2,$B704)*Days.Per.Year</f>
        <v>369620.91813180043</v>
      </c>
      <c r="H704" s="667">
        <f>SUMIFS(Demand!$F$11:$AM$11,Demand!$F$2:$AM$2,$B704)*Days.Per.Year</f>
        <v>165600.65429392341</v>
      </c>
      <c r="I704" s="667">
        <f>SUMIFS(Demand!$F$12:$AM$12,Demand!$F$2:$AM$2,$B704)*Days.Per.Year</f>
        <v>2620948.3285709484</v>
      </c>
      <c r="J704" s="667">
        <f>SUMIFS(Demand!$F$15:$AM$15,Demand!$F$2:$AM$2,$B704)*Days.Per.Year</f>
        <v>133150.56335544857</v>
      </c>
      <c r="K704" s="667">
        <f>SUMIFS(Demand!$F$16:$AM$16,Demand!$F$2:$AM$2,$B704)*Days.Per.Year</f>
        <v>349459.77714279311</v>
      </c>
      <c r="L704" s="667">
        <f>SUMIFS(Demand!$F$17:$AM$17,Demand!$F$2:$AM$2,$B704)*Days.Per.Year</f>
        <v>571232.32802187337</v>
      </c>
      <c r="M704" s="667">
        <f>SUMIFS(Demand!$F$20:$AM$20,Demand!$F$2:$AM$2,$B704)*Days.Per.Year</f>
        <v>7056399.3461525533</v>
      </c>
      <c r="N704" s="667">
        <f>SUMIFS(Demand!$F$21:$AM$21,Demand!$F$2:$AM$2,$B704)*Days.Per.Year</f>
        <v>571232.32802187337</v>
      </c>
      <c r="O704" s="667">
        <f>SUMIFS(Demand!$F$22:$AM$22,Demand!$F$2:$AM$2,$B704)*Days.Per.Year</f>
        <v>1075260.8527470557</v>
      </c>
    </row>
    <row r="705" spans="2:15">
      <c r="B705" s="660">
        <f t="shared" ref="B705:C705" si="139">B704+1</f>
        <v>2032</v>
      </c>
      <c r="C705" s="661">
        <f t="shared" si="139"/>
        <v>12</v>
      </c>
      <c r="D705" s="667">
        <f>SUMIFS(Demand!$F$7:$AM$7,Demand!$F$2:$AM$2,$B705)*Days.Per.Year</f>
        <v>380522.549648638</v>
      </c>
      <c r="E705" s="667">
        <f>SUMIFS(Demand!$F$8:$AM$8,Demand!$F$2:$AM$2,$B705)*Days.Per.Year</f>
        <v>380522.549648638</v>
      </c>
      <c r="F705" s="667">
        <f>SUMIFS(Demand!$F$9:$AM$9,Demand!$F$2:$AM$2,$B705)*Days.Per.Year</f>
        <v>2698250.8065994331</v>
      </c>
      <c r="G705" s="667">
        <f>SUMIFS(Demand!$F$10:$AM$10,Demand!$F$2:$AM$2,$B705)*Days.Per.Year</f>
        <v>380522.549648638</v>
      </c>
      <c r="H705" s="667">
        <f>SUMIFS(Demand!$F$11:$AM$11,Demand!$F$2:$AM$2,$B705)*Days.Per.Year</f>
        <v>170484.89439912167</v>
      </c>
      <c r="I705" s="667">
        <f>SUMIFS(Demand!$F$12:$AM$12,Demand!$F$2:$AM$2,$B705)*Days.Per.Year</f>
        <v>2698250.8065994331</v>
      </c>
      <c r="J705" s="667">
        <f>SUMIFS(Demand!$F$15:$AM$15,Demand!$F$2:$AM$2,$B705)*Days.Per.Year</f>
        <v>137077.71765531111</v>
      </c>
      <c r="K705" s="667">
        <f>SUMIFS(Demand!$F$16:$AM$16,Demand!$F$2:$AM$2,$B705)*Days.Per.Year</f>
        <v>359766.77421325771</v>
      </c>
      <c r="L705" s="667">
        <f>SUMIFS(Demand!$F$17:$AM$17,Demand!$F$2:$AM$2,$B705)*Days.Per.Year</f>
        <v>588080.30400244053</v>
      </c>
      <c r="M705" s="667">
        <f>SUMIFS(Demand!$F$20:$AM$20,Demand!$F$2:$AM$2,$B705)*Days.Per.Year</f>
        <v>7264521.4023830881</v>
      </c>
      <c r="N705" s="667">
        <f>SUMIFS(Demand!$F$21:$AM$21,Demand!$F$2:$AM$2,$B705)*Days.Per.Year</f>
        <v>588080.30400244053</v>
      </c>
      <c r="O705" s="667">
        <f>SUMIFS(Demand!$F$22:$AM$22,Demand!$F$2:$AM$2,$B705)*Days.Per.Year</f>
        <v>1106974.6898869467</v>
      </c>
    </row>
    <row r="706" spans="2:15">
      <c r="B706" s="660">
        <f t="shared" ref="B706:C706" si="140">B705+1</f>
        <v>2033</v>
      </c>
      <c r="C706" s="661">
        <f t="shared" si="140"/>
        <v>13</v>
      </c>
      <c r="D706" s="667">
        <f>SUMIFS(Demand!$F$7:$AM$7,Demand!$F$2:$AM$2,$B706)*Days.Per.Year</f>
        <v>391745.71483388799</v>
      </c>
      <c r="E706" s="667">
        <f>SUMIFS(Demand!$F$8:$AM$8,Demand!$F$2:$AM$2,$B706)*Days.Per.Year</f>
        <v>391745.71483388799</v>
      </c>
      <c r="F706" s="667">
        <f>SUMIFS(Demand!$F$9:$AM$9,Demand!$F$2:$AM$2,$B706)*Days.Per.Year</f>
        <v>2777833.2506402968</v>
      </c>
      <c r="G706" s="667">
        <f>SUMIFS(Demand!$F$10:$AM$10,Demand!$F$2:$AM$2,$B706)*Days.Per.Year</f>
        <v>391745.71483388799</v>
      </c>
      <c r="H706" s="667">
        <f>SUMIFS(Demand!$F$11:$AM$11,Demand!$F$2:$AM$2,$B706)*Days.Per.Year</f>
        <v>175513.19070691735</v>
      </c>
      <c r="I706" s="667">
        <f>SUMIFS(Demand!$F$12:$AM$12,Demand!$F$2:$AM$2,$B706)*Days.Per.Year</f>
        <v>2777833.2506402968</v>
      </c>
      <c r="J706" s="667">
        <f>SUMIFS(Demand!$F$15:$AM$15,Demand!$F$2:$AM$2,$B706)*Days.Per.Year</f>
        <v>141120.69978576087</v>
      </c>
      <c r="K706" s="667">
        <f>SUMIFS(Demand!$F$16:$AM$16,Demand!$F$2:$AM$2,$B706)*Days.Per.Year</f>
        <v>370377.76675203955</v>
      </c>
      <c r="L706" s="667">
        <f>SUMIFS(Demand!$F$17:$AM$17,Demand!$F$2:$AM$2,$B706)*Days.Per.Year</f>
        <v>605425.19565237244</v>
      </c>
      <c r="M706" s="667">
        <f>SUMIFS(Demand!$F$20:$AM$20,Demand!$F$2:$AM$2,$B706)*Days.Per.Year</f>
        <v>7478781.8286469523</v>
      </c>
      <c r="N706" s="667">
        <f>SUMIFS(Demand!$F$21:$AM$21,Demand!$F$2:$AM$2,$B706)*Days.Per.Year</f>
        <v>605425.19565237244</v>
      </c>
      <c r="O706" s="667">
        <f>SUMIFS(Demand!$F$22:$AM$22,Demand!$F$2:$AM$2,$B706)*Days.Per.Year</f>
        <v>1139623.8976985833</v>
      </c>
    </row>
    <row r="707" spans="2:15">
      <c r="B707" s="660">
        <f t="shared" ref="B707:C707" si="141">B706+1</f>
        <v>2034</v>
      </c>
      <c r="C707" s="661">
        <f t="shared" si="141"/>
        <v>14</v>
      </c>
      <c r="D707" s="667">
        <f>SUMIFS(Demand!$F$7:$AM$7,Demand!$F$2:$AM$2,$B707)*Days.Per.Year</f>
        <v>403299.8970295405</v>
      </c>
      <c r="E707" s="667">
        <f>SUMIFS(Demand!$F$8:$AM$8,Demand!$F$2:$AM$2,$B707)*Days.Per.Year</f>
        <v>403299.8970295405</v>
      </c>
      <c r="F707" s="667">
        <f>SUMIFS(Demand!$F$9:$AM$9,Demand!$F$2:$AM$2,$B707)*Days.Per.Year</f>
        <v>2859762.9062094688</v>
      </c>
      <c r="G707" s="667">
        <f>SUMIFS(Demand!$F$10:$AM$10,Demand!$F$2:$AM$2,$B707)*Days.Per.Year</f>
        <v>403299.8970295405</v>
      </c>
      <c r="H707" s="667">
        <f>SUMIFS(Demand!$F$11:$AM$11,Demand!$F$2:$AM$2,$B707)*Days.Per.Year</f>
        <v>180689.79202348291</v>
      </c>
      <c r="I707" s="667">
        <f>SUMIFS(Demand!$F$12:$AM$12,Demand!$F$2:$AM$2,$B707)*Days.Per.Year</f>
        <v>2859762.9062094688</v>
      </c>
      <c r="J707" s="667">
        <f>SUMIFS(Demand!$F$15:$AM$15,Demand!$F$2:$AM$2,$B707)*Days.Per.Year</f>
        <v>145282.92598291032</v>
      </c>
      <c r="K707" s="667">
        <f>SUMIFS(Demand!$F$16:$AM$16,Demand!$F$2:$AM$2,$B707)*Days.Per.Year</f>
        <v>381301.72082792921</v>
      </c>
      <c r="L707" s="667">
        <f>SUMIFS(Demand!$F$17:$AM$17,Demand!$F$2:$AM$2,$B707)*Days.Per.Year</f>
        <v>623281.65904565353</v>
      </c>
      <c r="M707" s="667">
        <f>SUMIFS(Demand!$F$20:$AM$20,Demand!$F$2:$AM$2,$B707)*Days.Per.Year</f>
        <v>7699361.6705639549</v>
      </c>
      <c r="N707" s="667">
        <f>SUMIFS(Demand!$F$21:$AM$21,Demand!$F$2:$AM$2,$B707)*Days.Per.Year</f>
        <v>623281.65904565353</v>
      </c>
      <c r="O707" s="667">
        <f>SUMIFS(Demand!$F$22:$AM$22,Demand!$F$2:$AM$2,$B707)*Days.Per.Year</f>
        <v>1173236.0640859362</v>
      </c>
    </row>
    <row r="708" spans="2:15">
      <c r="B708" s="660">
        <f t="shared" ref="B708:C708" si="142">B707+1</f>
        <v>2035</v>
      </c>
      <c r="C708" s="661">
        <f t="shared" si="142"/>
        <v>15</v>
      </c>
      <c r="D708" s="667">
        <f>SUMIFS(Demand!$F$7:$AM$7,Demand!$F$2:$AM$2,$B708)*Days.Per.Year</f>
        <v>415194.85928009904</v>
      </c>
      <c r="E708" s="667">
        <f>SUMIFS(Demand!$F$8:$AM$8,Demand!$F$2:$AM$2,$B708)*Days.Per.Year</f>
        <v>415194.85928009904</v>
      </c>
      <c r="F708" s="667">
        <f>SUMIFS(Demand!$F$9:$AM$9,Demand!$F$2:$AM$2,$B708)*Days.Per.Year</f>
        <v>2944109.0021679751</v>
      </c>
      <c r="G708" s="667">
        <f>SUMIFS(Demand!$F$10:$AM$10,Demand!$F$2:$AM$2,$B708)*Days.Per.Year</f>
        <v>415194.85928009904</v>
      </c>
      <c r="H708" s="667">
        <f>SUMIFS(Demand!$F$11:$AM$11,Demand!$F$2:$AM$2,$B708)*Days.Per.Year</f>
        <v>186019.07246964975</v>
      </c>
      <c r="I708" s="667">
        <f>SUMIFS(Demand!$F$12:$AM$12,Demand!$F$2:$AM$2,$B708)*Days.Per.Year</f>
        <v>2944109.0021679751</v>
      </c>
      <c r="J708" s="667">
        <f>SUMIFS(Demand!$F$15:$AM$15,Demand!$F$2:$AM$2,$B708)*Days.Per.Year</f>
        <v>149567.91324163714</v>
      </c>
      <c r="K708" s="667">
        <f>SUMIFS(Demand!$F$16:$AM$16,Demand!$F$2:$AM$2,$B708)*Days.Per.Year</f>
        <v>392547.86695572996</v>
      </c>
      <c r="L708" s="667">
        <f>SUMIFS(Demand!$F$17:$AM$17,Demand!$F$2:$AM$2,$B708)*Days.Per.Year</f>
        <v>641664.78252378933</v>
      </c>
      <c r="M708" s="667">
        <f>SUMIFS(Demand!$F$20:$AM$20,Demand!$F$2:$AM$2,$B708)*Days.Per.Year</f>
        <v>7926447.3135291636</v>
      </c>
      <c r="N708" s="667">
        <f>SUMIFS(Demand!$F$21:$AM$21,Demand!$F$2:$AM$2,$B708)*Days.Per.Year</f>
        <v>641664.78252378933</v>
      </c>
      <c r="O708" s="667">
        <f>SUMIFS(Demand!$F$22:$AM$22,Demand!$F$2:$AM$2,$B708)*Days.Per.Year</f>
        <v>1207839.5906330154</v>
      </c>
    </row>
    <row r="709" spans="2:15">
      <c r="B709" s="660">
        <f t="shared" ref="B709:C709" si="143">B708+1</f>
        <v>2036</v>
      </c>
      <c r="C709" s="661">
        <f t="shared" si="143"/>
        <v>16</v>
      </c>
      <c r="D709" s="667">
        <f>SUMIFS(Demand!$F$7:$AM$7,Demand!$F$2:$AM$2,$B709)*Days.Per.Year</f>
        <v>427440.65258215152</v>
      </c>
      <c r="E709" s="667">
        <f>SUMIFS(Demand!$F$8:$AM$8,Demand!$F$2:$AM$2,$B709)*Days.Per.Year</f>
        <v>427440.65258215152</v>
      </c>
      <c r="F709" s="667">
        <f>SUMIFS(Demand!$F$9:$AM$9,Demand!$F$2:$AM$2,$B709)*Days.Per.Year</f>
        <v>3030942.8092188919</v>
      </c>
      <c r="G709" s="667">
        <f>SUMIFS(Demand!$F$10:$AM$10,Demand!$F$2:$AM$2,$B709)*Days.Per.Year</f>
        <v>427440.65258215152</v>
      </c>
      <c r="H709" s="667">
        <f>SUMIFS(Demand!$F$11:$AM$11,Demand!$F$2:$AM$2,$B709)*Days.Per.Year</f>
        <v>191505.53517694949</v>
      </c>
      <c r="I709" s="667">
        <f>SUMIFS(Demand!$F$12:$AM$12,Demand!$F$2:$AM$2,$B709)*Days.Per.Year</f>
        <v>3030942.8092188919</v>
      </c>
      <c r="J709" s="667">
        <f>SUMIFS(Demand!$F$15:$AM$15,Demand!$F$2:$AM$2,$B709)*Days.Per.Year</f>
        <v>153979.28228737181</v>
      </c>
      <c r="K709" s="667">
        <f>SUMIFS(Demand!$F$16:$AM$16,Demand!$F$2:$AM$2,$B709)*Days.Per.Year</f>
        <v>404125.70789585233</v>
      </c>
      <c r="L709" s="667">
        <f>SUMIFS(Demand!$F$17:$AM$17,Demand!$F$2:$AM$2,$B709)*Days.Per.Year</f>
        <v>660590.09944514325</v>
      </c>
      <c r="M709" s="667">
        <f>SUMIFS(Demand!$F$20:$AM$20,Demand!$F$2:$AM$2,$B709)*Days.Per.Year</f>
        <v>8160230.64020471</v>
      </c>
      <c r="N709" s="667">
        <f>SUMIFS(Demand!$F$21:$AM$21,Demand!$F$2:$AM$2,$B709)*Days.Per.Year</f>
        <v>660590.09944514325</v>
      </c>
      <c r="O709" s="667">
        <f>SUMIFS(Demand!$F$22:$AM$22,Demand!$F$2:$AM$2,$B709)*Days.Per.Year</f>
        <v>1243463.7166026225</v>
      </c>
    </row>
    <row r="710" spans="2:15">
      <c r="B710" s="660">
        <f t="shared" ref="B710:C710" si="144">B709+1</f>
        <v>2037</v>
      </c>
      <c r="C710" s="661">
        <f t="shared" si="144"/>
        <v>17</v>
      </c>
      <c r="D710" s="667">
        <f>SUMIFS(Demand!$F$7:$AM$7,Demand!$F$2:$AM$2,$B710)*Days.Per.Year</f>
        <v>440047.62437725317</v>
      </c>
      <c r="E710" s="667">
        <f>SUMIFS(Demand!$F$8:$AM$8,Demand!$F$2:$AM$2,$B710)*Days.Per.Year</f>
        <v>440047.62437725317</v>
      </c>
      <c r="F710" s="667">
        <f>SUMIFS(Demand!$F$9:$AM$9,Demand!$F$2:$AM$2,$B710)*Days.Per.Year</f>
        <v>3120337.7001296137</v>
      </c>
      <c r="G710" s="667">
        <f>SUMIFS(Demand!$F$10:$AM$10,Demand!$F$2:$AM$2,$B710)*Days.Per.Year</f>
        <v>440047.62437725317</v>
      </c>
      <c r="H710" s="667">
        <f>SUMIFS(Demand!$F$11:$AM$11,Demand!$F$2:$AM$2,$B710)*Days.Per.Year</f>
        <v>197153.81609266708</v>
      </c>
      <c r="I710" s="667">
        <f>SUMIFS(Demand!$F$12:$AM$12,Demand!$F$2:$AM$2,$B710)*Days.Per.Year</f>
        <v>3120337.7001296137</v>
      </c>
      <c r="J710" s="667">
        <f>SUMIFS(Demand!$F$15:$AM$15,Demand!$F$2:$AM$2,$B710)*Days.Per.Year</f>
        <v>158520.76063553573</v>
      </c>
      <c r="K710" s="667">
        <f>SUMIFS(Demand!$F$16:$AM$16,Demand!$F$2:$AM$2,$B710)*Days.Per.Year</f>
        <v>416045.02668394847</v>
      </c>
      <c r="L710" s="667">
        <f>SUMIFS(Demand!$F$17:$AM$17,Demand!$F$2:$AM$2,$B710)*Days.Per.Year</f>
        <v>680073.60131030029</v>
      </c>
      <c r="M710" s="667">
        <f>SUMIFS(Demand!$F$20:$AM$20,Demand!$F$2:$AM$2,$B710)*Days.Per.Year</f>
        <v>8400909.192656653</v>
      </c>
      <c r="N710" s="667">
        <f>SUMIFS(Demand!$F$21:$AM$21,Demand!$F$2:$AM$2,$B710)*Days.Per.Year</f>
        <v>680073.60131030029</v>
      </c>
      <c r="O710" s="667">
        <f>SUMIFS(Demand!$F$22:$AM$22,Demand!$F$2:$AM$2,$B710)*Days.Per.Year</f>
        <v>1280138.5436429183</v>
      </c>
    </row>
    <row r="711" spans="2:15">
      <c r="B711" s="660">
        <f t="shared" ref="B711:C711" si="145">B710+1</f>
        <v>2038</v>
      </c>
      <c r="C711" s="661">
        <f t="shared" si="145"/>
        <v>18</v>
      </c>
      <c r="D711" s="667">
        <f>SUMIFS(Demand!$F$7:$AM$7,Demand!$F$2:$AM$2,$B711)*Days.Per.Year</f>
        <v>453026.42729530099</v>
      </c>
      <c r="E711" s="667">
        <f>SUMIFS(Demand!$F$8:$AM$8,Demand!$F$2:$AM$2,$B711)*Days.Per.Year</f>
        <v>453026.42729530099</v>
      </c>
      <c r="F711" s="667">
        <f>SUMIFS(Demand!$F$9:$AM$9,Demand!$F$2:$AM$2,$B711)*Days.Per.Year</f>
        <v>3212369.2117303163</v>
      </c>
      <c r="G711" s="667">
        <f>SUMIFS(Demand!$F$10:$AM$10,Demand!$F$2:$AM$2,$B711)*Days.Per.Year</f>
        <v>453026.42729530099</v>
      </c>
      <c r="H711" s="667">
        <f>SUMIFS(Demand!$F$11:$AM$11,Demand!$F$2:$AM$2,$B711)*Days.Per.Year</f>
        <v>202968.68789712002</v>
      </c>
      <c r="I711" s="667">
        <f>SUMIFS(Demand!$F$12:$AM$12,Demand!$F$2:$AM$2,$B711)*Days.Per.Year</f>
        <v>3212369.2117303163</v>
      </c>
      <c r="J711" s="667">
        <f>SUMIFS(Demand!$F$15:$AM$15,Demand!$F$2:$AM$2,$B711)*Days.Per.Year</f>
        <v>163196.18574121437</v>
      </c>
      <c r="K711" s="667">
        <f>SUMIFS(Demand!$F$16:$AM$16,Demand!$F$2:$AM$2,$B711)*Days.Per.Year</f>
        <v>428315.89489737549</v>
      </c>
      <c r="L711" s="667">
        <f>SUMIFS(Demand!$F$17:$AM$17,Demand!$F$2:$AM$2,$B711)*Days.Per.Year</f>
        <v>700131.75127455604</v>
      </c>
      <c r="M711" s="667">
        <f>SUMIFS(Demand!$F$20:$AM$20,Demand!$F$2:$AM$2,$B711)*Days.Per.Year</f>
        <v>8648686.3392739277</v>
      </c>
      <c r="N711" s="667">
        <f>SUMIFS(Demand!$F$21:$AM$21,Demand!$F$2:$AM$2,$B711)*Days.Per.Year</f>
        <v>700131.75127455604</v>
      </c>
      <c r="O711" s="667">
        <f>SUMIFS(Demand!$F$22:$AM$22,Demand!$F$2:$AM$2,$B711)*Days.Per.Year</f>
        <v>1317895.0612226939</v>
      </c>
    </row>
    <row r="712" spans="2:15">
      <c r="B712" s="660">
        <f t="shared" ref="B712:C712" si="146">B711+1</f>
        <v>2039</v>
      </c>
      <c r="C712" s="661">
        <f t="shared" si="146"/>
        <v>19</v>
      </c>
      <c r="D712" s="667">
        <f>SUMIFS(Demand!$F$7:$AM$7,Demand!$F$2:$AM$2,$B712)*Days.Per.Year</f>
        <v>466388.028155785</v>
      </c>
      <c r="E712" s="667">
        <f>SUMIFS(Demand!$F$8:$AM$8,Demand!$F$2:$AM$2,$B712)*Days.Per.Year</f>
        <v>466388.028155785</v>
      </c>
      <c r="F712" s="667">
        <f>SUMIFS(Demand!$F$9:$AM$9,Demand!$F$2:$AM$2,$B712)*Days.Per.Year</f>
        <v>3307115.1087410212</v>
      </c>
      <c r="G712" s="667">
        <f>SUMIFS(Demand!$F$10:$AM$10,Demand!$F$2:$AM$2,$B712)*Days.Per.Year</f>
        <v>466388.028155785</v>
      </c>
      <c r="H712" s="667">
        <f>SUMIFS(Demand!$F$11:$AM$11,Demand!$F$2:$AM$2,$B712)*Days.Per.Year</f>
        <v>208955.06403647427</v>
      </c>
      <c r="I712" s="667">
        <f>SUMIFS(Demand!$F$12:$AM$12,Demand!$F$2:$AM$2,$B712)*Days.Per.Year</f>
        <v>3307115.1087410212</v>
      </c>
      <c r="J712" s="667">
        <f>SUMIFS(Demand!$F$15:$AM$15,Demand!$F$2:$AM$2,$B712)*Days.Per.Year</f>
        <v>168009.50824172745</v>
      </c>
      <c r="K712" s="667">
        <f>SUMIFS(Demand!$F$16:$AM$16,Demand!$F$2:$AM$2,$B712)*Days.Per.Year</f>
        <v>440948.68116546952</v>
      </c>
      <c r="L712" s="667">
        <f>SUMIFS(Demand!$F$17:$AM$17,Demand!$F$2:$AM$2,$B712)*Days.Per.Year</f>
        <v>720781.49805894052</v>
      </c>
      <c r="M712" s="667">
        <f>SUMIFS(Demand!$F$20:$AM$20,Demand!$F$2:$AM$2,$B712)*Days.Per.Year</f>
        <v>8903771.4466104414</v>
      </c>
      <c r="N712" s="667">
        <f>SUMIFS(Demand!$F$21:$AM$21,Demand!$F$2:$AM$2,$B712)*Days.Per.Year</f>
        <v>720781.49805894052</v>
      </c>
      <c r="O712" s="667">
        <f>SUMIFS(Demand!$F$22:$AM$22,Demand!$F$2:$AM$2,$B712)*Days.Per.Year</f>
        <v>1356765.1728168291</v>
      </c>
    </row>
    <row r="713" spans="2:15">
      <c r="B713" s="660">
        <f t="shared" ref="B713:C713" si="147">B712+1</f>
        <v>2040</v>
      </c>
      <c r="C713" s="661">
        <f t="shared" si="147"/>
        <v>20</v>
      </c>
      <c r="D713" s="667">
        <f>SUMIFS(Demand!$F$7:$AM$7,Demand!$F$2:$AM$2,$B713)*Days.Per.Year</f>
        <v>480143.71723452338</v>
      </c>
      <c r="E713" s="667">
        <f>SUMIFS(Demand!$F$8:$AM$8,Demand!$F$2:$AM$2,$B713)*Days.Per.Year</f>
        <v>480143.71723452338</v>
      </c>
      <c r="F713" s="667">
        <f>SUMIFS(Demand!$F$9:$AM$9,Demand!$F$2:$AM$2,$B713)*Days.Per.Year</f>
        <v>3404655.4494811655</v>
      </c>
      <c r="G713" s="667">
        <f>SUMIFS(Demand!$F$10:$AM$10,Demand!$F$2:$AM$2,$B713)*Days.Per.Year</f>
        <v>480143.71723452338</v>
      </c>
      <c r="H713" s="667">
        <f>SUMIFS(Demand!$F$11:$AM$11,Demand!$F$2:$AM$2,$B713)*Days.Per.Year</f>
        <v>215118.00287450437</v>
      </c>
      <c r="I713" s="667">
        <f>SUMIFS(Demand!$F$12:$AM$12,Demand!$F$2:$AM$2,$B713)*Days.Per.Year</f>
        <v>3404655.4494811655</v>
      </c>
      <c r="J713" s="667">
        <f>SUMIFS(Demand!$F$15:$AM$15,Demand!$F$2:$AM$2,$B713)*Days.Per.Year</f>
        <v>172964.79529483547</v>
      </c>
      <c r="K713" s="667">
        <f>SUMIFS(Demand!$F$16:$AM$16,Demand!$F$2:$AM$2,$B713)*Days.Per.Year</f>
        <v>453954.05993082211</v>
      </c>
      <c r="L713" s="667">
        <f>SUMIFS(Demand!$F$17:$AM$17,Demand!$F$2:$AM$2,$B713)*Days.Per.Year</f>
        <v>742040.2902715361</v>
      </c>
      <c r="M713" s="667">
        <f>SUMIFS(Demand!$F$20:$AM$20,Demand!$F$2:$AM$2,$B713)*Days.Per.Year</f>
        <v>9166380.0562954452</v>
      </c>
      <c r="N713" s="667">
        <f>SUMIFS(Demand!$F$21:$AM$21,Demand!$F$2:$AM$2,$B713)*Days.Per.Year</f>
        <v>742040.2902715361</v>
      </c>
      <c r="O713" s="667">
        <f>SUMIFS(Demand!$F$22:$AM$22,Demand!$F$2:$AM$2,$B713)*Days.Per.Year</f>
        <v>1396781.7228640679</v>
      </c>
    </row>
    <row r="714" spans="2:15">
      <c r="B714" s="660">
        <f t="shared" ref="B714:C714" si="148">B713+1</f>
        <v>2041</v>
      </c>
      <c r="C714" s="661">
        <f t="shared" si="148"/>
        <v>21</v>
      </c>
      <c r="D714" s="667">
        <f>SUMIFS(Demand!$F$7:$AM$7,Demand!$F$2:$AM$2,$B714)*Days.Per.Year</f>
        <v>494305.11780371121</v>
      </c>
      <c r="E714" s="667">
        <f>SUMIFS(Demand!$F$8:$AM$8,Demand!$F$2:$AM$2,$B714)*Days.Per.Year</f>
        <v>494305.11780371121</v>
      </c>
      <c r="F714" s="667">
        <f>SUMIFS(Demand!$F$9:$AM$9,Demand!$F$2:$AM$2,$B714)*Days.Per.Year</f>
        <v>3505072.6535172253</v>
      </c>
      <c r="G714" s="667">
        <f>SUMIFS(Demand!$F$10:$AM$10,Demand!$F$2:$AM$2,$B714)*Days.Per.Year</f>
        <v>494305.11780371121</v>
      </c>
      <c r="H714" s="667">
        <f>SUMIFS(Demand!$F$11:$AM$11,Demand!$F$2:$AM$2,$B714)*Days.Per.Year</f>
        <v>221462.71196680644</v>
      </c>
      <c r="I714" s="667">
        <f>SUMIFS(Demand!$F$12:$AM$12,Demand!$F$2:$AM$2,$B714)*Days.Per.Year</f>
        <v>3505072.6535172253</v>
      </c>
      <c r="J714" s="667">
        <f>SUMIFS(Demand!$F$15:$AM$15,Demand!$F$2:$AM$2,$B714)*Days.Per.Year</f>
        <v>178066.23401540364</v>
      </c>
      <c r="K714" s="667">
        <f>SUMIFS(Demand!$F$16:$AM$16,Demand!$F$2:$AM$2,$B714)*Days.Per.Year</f>
        <v>467343.02046896337</v>
      </c>
      <c r="L714" s="667">
        <f>SUMIFS(Demand!$F$17:$AM$17,Demand!$F$2:$AM$2,$B714)*Days.Per.Year</f>
        <v>763926.09115119011</v>
      </c>
      <c r="M714" s="667">
        <f>SUMIFS(Demand!$F$20:$AM$20,Demand!$F$2:$AM$2,$B714)*Days.Per.Year</f>
        <v>9436734.0671617612</v>
      </c>
      <c r="N714" s="667">
        <f>SUMIFS(Demand!$F$21:$AM$21,Demand!$F$2:$AM$2,$B714)*Days.Per.Year</f>
        <v>763926.09115119011</v>
      </c>
      <c r="O714" s="667">
        <f>SUMIFS(Demand!$F$22:$AM$22,Demand!$F$2:$AM$2,$B714)*Days.Per.Year</f>
        <v>1437978.5245198873</v>
      </c>
    </row>
    <row r="715" spans="2:15">
      <c r="B715" s="660">
        <f t="shared" ref="B715:C715" si="149">B714+1</f>
        <v>2042</v>
      </c>
      <c r="C715" s="661">
        <f t="shared" si="149"/>
        <v>22</v>
      </c>
      <c r="D715" s="667">
        <f>SUMIFS(Demand!$F$7:$AM$7,Demand!$F$2:$AM$2,$B715)*Days.Per.Year</f>
        <v>508884.19595334539</v>
      </c>
      <c r="E715" s="667">
        <f>SUMIFS(Demand!$F$8:$AM$8,Demand!$F$2:$AM$2,$B715)*Days.Per.Year</f>
        <v>508884.19595334539</v>
      </c>
      <c r="F715" s="667">
        <f>SUMIFS(Demand!$F$9:$AM$9,Demand!$F$2:$AM$2,$B715)*Days.Per.Year</f>
        <v>3608451.5713055399</v>
      </c>
      <c r="G715" s="667">
        <f>SUMIFS(Demand!$F$10:$AM$10,Demand!$F$2:$AM$2,$B715)*Days.Per.Year</f>
        <v>508884.19595334539</v>
      </c>
      <c r="H715" s="667">
        <f>SUMIFS(Demand!$F$11:$AM$11,Demand!$F$2:$AM$2,$B715)*Days.Per.Year</f>
        <v>227994.552461074</v>
      </c>
      <c r="I715" s="667">
        <f>SUMIFS(Demand!$F$12:$AM$12,Demand!$F$2:$AM$2,$B715)*Days.Per.Year</f>
        <v>3608451.5713055399</v>
      </c>
      <c r="J715" s="667">
        <f>SUMIFS(Demand!$F$15:$AM$15,Demand!$F$2:$AM$2,$B715)*Days.Per.Year</f>
        <v>183318.1350134275</v>
      </c>
      <c r="K715" s="667">
        <f>SUMIFS(Demand!$F$16:$AM$16,Demand!$F$2:$AM$2,$B715)*Days.Per.Year</f>
        <v>481126.87617407198</v>
      </c>
      <c r="L715" s="667">
        <f>SUMIFS(Demand!$F$17:$AM$17,Demand!$F$2:$AM$2,$B715)*Days.Per.Year</f>
        <v>786457.39374607918</v>
      </c>
      <c r="M715" s="667">
        <f>SUMIFS(Demand!$F$20:$AM$20,Demand!$F$2:$AM$2,$B715)*Days.Per.Year</f>
        <v>9715061.9227456842</v>
      </c>
      <c r="N715" s="667">
        <f>SUMIFS(Demand!$F$21:$AM$21,Demand!$F$2:$AM$2,$B715)*Days.Per.Year</f>
        <v>786457.39374607918</v>
      </c>
      <c r="O715" s="667">
        <f>SUMIFS(Demand!$F$22:$AM$22,Demand!$F$2:$AM$2,$B715)*Days.Per.Year</f>
        <v>1480390.3882279138</v>
      </c>
    </row>
    <row r="716" spans="2:15">
      <c r="B716" s="660">
        <f t="shared" ref="B716:C716" si="150">B715+1</f>
        <v>2043</v>
      </c>
      <c r="C716" s="661">
        <f t="shared" si="150"/>
        <v>23</v>
      </c>
      <c r="D716" s="667">
        <f>SUMIFS(Demand!$F$7:$AM$7,Demand!$F$2:$AM$2,$B716)*Days.Per.Year</f>
        <v>523893.2707023219</v>
      </c>
      <c r="E716" s="667">
        <f>SUMIFS(Demand!$F$8:$AM$8,Demand!$F$2:$AM$2,$B716)*Days.Per.Year</f>
        <v>523893.2707023219</v>
      </c>
      <c r="F716" s="667">
        <f>SUMIFS(Demand!$F$9:$AM$9,Demand!$F$2:$AM$2,$B716)*Days.Per.Year</f>
        <v>3714879.5558891916</v>
      </c>
      <c r="G716" s="667">
        <f>SUMIFS(Demand!$F$10:$AM$10,Demand!$F$2:$AM$2,$B716)*Days.Per.Year</f>
        <v>523893.2707023219</v>
      </c>
      <c r="H716" s="667">
        <f>SUMIFS(Demand!$F$11:$AM$11,Demand!$F$2:$AM$2,$B716)*Days.Per.Year</f>
        <v>234719.04362715734</v>
      </c>
      <c r="I716" s="667">
        <f>SUMIFS(Demand!$F$12:$AM$12,Demand!$F$2:$AM$2,$B716)*Days.Per.Year</f>
        <v>3714879.5558891916</v>
      </c>
      <c r="J716" s="667">
        <f>SUMIFS(Demand!$F$15:$AM$15,Demand!$F$2:$AM$2,$B716)*Days.Per.Year</f>
        <v>188724.93603640865</v>
      </c>
      <c r="K716" s="667">
        <f>SUMIFS(Demand!$F$16:$AM$16,Demand!$F$2:$AM$2,$B716)*Days.Per.Year</f>
        <v>495317.27411855885</v>
      </c>
      <c r="L716" s="667">
        <f>SUMIFS(Demand!$F$17:$AM$17,Demand!$F$2:$AM$2,$B716)*Days.Per.Year</f>
        <v>809653.23653995199</v>
      </c>
      <c r="M716" s="667">
        <f>SUMIFS(Demand!$F$20:$AM$20,Demand!$F$2:$AM$2,$B716)*Days.Per.Year</f>
        <v>10001598.804317053</v>
      </c>
      <c r="N716" s="667">
        <f>SUMIFS(Demand!$F$21:$AM$21,Demand!$F$2:$AM$2,$B716)*Days.Per.Year</f>
        <v>809653.23653995199</v>
      </c>
      <c r="O716" s="667">
        <f>SUMIFS(Demand!$F$22:$AM$22,Demand!$F$2:$AM$2,$B716)*Days.Per.Year</f>
        <v>1524053.1511340274</v>
      </c>
    </row>
    <row r="717" spans="2:15">
      <c r="B717" s="660">
        <f t="shared" ref="B717:C717" si="151">B716+1</f>
        <v>2044</v>
      </c>
      <c r="C717" s="661">
        <f t="shared" si="151"/>
        <v>24</v>
      </c>
      <c r="D717" s="667">
        <f>SUMIFS(Demand!$F$7:$AM$7,Demand!$F$2:$AM$2,$B717)*Days.Per.Year</f>
        <v>539345.02440775209</v>
      </c>
      <c r="E717" s="667">
        <f>SUMIFS(Demand!$F$8:$AM$8,Demand!$F$2:$AM$2,$B717)*Days.Per.Year</f>
        <v>539345.02440775209</v>
      </c>
      <c r="F717" s="667">
        <f>SUMIFS(Demand!$F$9:$AM$9,Demand!$F$2:$AM$2,$B717)*Days.Per.Year</f>
        <v>3824446.5367095149</v>
      </c>
      <c r="G717" s="667">
        <f>SUMIFS(Demand!$F$10:$AM$10,Demand!$F$2:$AM$2,$B717)*Days.Per.Year</f>
        <v>539345.02440775209</v>
      </c>
      <c r="H717" s="667">
        <f>SUMIFS(Demand!$F$11:$AM$11,Demand!$F$2:$AM$2,$B717)*Days.Per.Year</f>
        <v>241641.86752073193</v>
      </c>
      <c r="I717" s="667">
        <f>SUMIFS(Demand!$F$12:$AM$12,Demand!$F$2:$AM$2,$B717)*Days.Per.Year</f>
        <v>3824446.5367095149</v>
      </c>
      <c r="J717" s="667">
        <f>SUMIFS(Demand!$F$15:$AM$15,Demand!$F$2:$AM$2,$B717)*Days.Per.Year</f>
        <v>194291.20571915977</v>
      </c>
      <c r="K717" s="667">
        <f>SUMIFS(Demand!$F$16:$AM$16,Demand!$F$2:$AM$2,$B717)*Days.Per.Year</f>
        <v>509926.20489460195</v>
      </c>
      <c r="L717" s="667">
        <f>SUMIFS(Demand!$F$17:$AM$17,Demand!$F$2:$AM$2,$B717)*Days.Per.Year</f>
        <v>833533.21953925316</v>
      </c>
      <c r="M717" s="667">
        <f>SUMIFS(Demand!$F$20:$AM$20,Demand!$F$2:$AM$2,$B717)*Days.Per.Year</f>
        <v>10296586.82960254</v>
      </c>
      <c r="N717" s="667">
        <f>SUMIFS(Demand!$F$21:$AM$21,Demand!$F$2:$AM$2,$B717)*Days.Per.Year</f>
        <v>833533.21953925316</v>
      </c>
      <c r="O717" s="667">
        <f>SUMIFS(Demand!$F$22:$AM$22,Demand!$F$2:$AM$2,$B717)*Days.Per.Year</f>
        <v>1569003.707368006</v>
      </c>
    </row>
    <row r="718" spans="2:15">
      <c r="B718" s="660">
        <f t="shared" ref="B718:C718" si="152">B717+1</f>
        <v>2045</v>
      </c>
      <c r="C718" s="661">
        <f t="shared" si="152"/>
        <v>25</v>
      </c>
      <c r="D718" s="667">
        <f>SUMIFS(Demand!$F$7:$AM$7,Demand!$F$2:$AM$2,$B718)*Days.Per.Year</f>
        <v>555252.51348129101</v>
      </c>
      <c r="E718" s="667">
        <f>SUMIFS(Demand!$F$8:$AM$8,Demand!$F$2:$AM$2,$B718)*Days.Per.Year</f>
        <v>555252.51348129101</v>
      </c>
      <c r="F718" s="667">
        <f>SUMIFS(Demand!$F$9:$AM$9,Demand!$F$2:$AM$2,$B718)*Days.Per.Year</f>
        <v>3937245.0955946092</v>
      </c>
      <c r="G718" s="667">
        <f>SUMIFS(Demand!$F$10:$AM$10,Demand!$F$2:$AM$2,$B718)*Days.Per.Year</f>
        <v>555252.51348129101</v>
      </c>
      <c r="H718" s="667">
        <f>SUMIFS(Demand!$F$11:$AM$11,Demand!$F$2:$AM$2,$B718)*Days.Per.Year</f>
        <v>248768.87378451735</v>
      </c>
      <c r="I718" s="667">
        <f>SUMIFS(Demand!$F$12:$AM$12,Demand!$F$2:$AM$2,$B718)*Days.Per.Year</f>
        <v>3937245.0955946092</v>
      </c>
      <c r="J718" s="667">
        <f>SUMIFS(Demand!$F$15:$AM$15,Demand!$F$2:$AM$2,$B718)*Days.Per.Year</f>
        <v>200021.647444206</v>
      </c>
      <c r="K718" s="667">
        <f>SUMIFS(Demand!$F$16:$AM$16,Demand!$F$2:$AM$2,$B718)*Days.Per.Year</f>
        <v>524966.01274594793</v>
      </c>
      <c r="L718" s="667">
        <f>SUMIFS(Demand!$F$17:$AM$17,Demand!$F$2:$AM$2,$B718)*Days.Per.Year</f>
        <v>858117.52083472256</v>
      </c>
      <c r="M718" s="667">
        <f>SUMIFS(Demand!$F$20:$AM$20,Demand!$F$2:$AM$2,$B718)*Days.Per.Year</f>
        <v>10600275.257370101</v>
      </c>
      <c r="N718" s="667">
        <f>SUMIFS(Demand!$F$21:$AM$21,Demand!$F$2:$AM$2,$B718)*Days.Per.Year</f>
        <v>858117.52083472256</v>
      </c>
      <c r="O718" s="667">
        <f>SUMIFS(Demand!$F$22:$AM$22,Demand!$F$2:$AM$2,$B718)*Days.Per.Year</f>
        <v>1615280.0392183012</v>
      </c>
    </row>
    <row r="719" spans="2:15">
      <c r="B719" s="660">
        <f t="shared" ref="B719:C719" si="153">B718+1</f>
        <v>2046</v>
      </c>
      <c r="C719" s="661">
        <f t="shared" si="153"/>
        <v>26</v>
      </c>
      <c r="D719" s="667">
        <f>SUMIFS(Demand!$F$7:$AM$7,Demand!$F$2:$AM$2,$B719)*Days.Per.Year</f>
        <v>571629.17942153534</v>
      </c>
      <c r="E719" s="667">
        <f>SUMIFS(Demand!$F$8:$AM$8,Demand!$F$2:$AM$2,$B719)*Days.Per.Year</f>
        <v>571629.17942153534</v>
      </c>
      <c r="F719" s="667">
        <f>SUMIFS(Demand!$F$9:$AM$9,Demand!$F$2:$AM$2,$B719)*Days.Per.Year</f>
        <v>4053370.5449890685</v>
      </c>
      <c r="G719" s="667">
        <f>SUMIFS(Demand!$F$10:$AM$10,Demand!$F$2:$AM$2,$B719)*Days.Per.Year</f>
        <v>571629.17942153534</v>
      </c>
      <c r="H719" s="667">
        <f>SUMIFS(Demand!$F$11:$AM$11,Demand!$F$2:$AM$2,$B719)*Days.Per.Year</f>
        <v>256106.084591105</v>
      </c>
      <c r="I719" s="667">
        <f>SUMIFS(Demand!$F$12:$AM$12,Demand!$F$2:$AM$2,$B719)*Days.Per.Year</f>
        <v>4053370.5449890685</v>
      </c>
      <c r="J719" s="667">
        <f>SUMIFS(Demand!$F$15:$AM$15,Demand!$F$2:$AM$2,$B719)*Days.Per.Year</f>
        <v>205921.10331604592</v>
      </c>
      <c r="K719" s="667">
        <f>SUMIFS(Demand!$F$16:$AM$16,Demand!$F$2:$AM$2,$B719)*Days.Per.Year</f>
        <v>540449.40599854244</v>
      </c>
      <c r="L719" s="667">
        <f>SUMIFS(Demand!$F$17:$AM$17,Demand!$F$2:$AM$2,$B719)*Days.Per.Year</f>
        <v>883426.91365146369</v>
      </c>
      <c r="M719" s="667">
        <f>SUMIFS(Demand!$F$20:$AM$20,Demand!$F$2:$AM$2,$B719)*Days.Per.Year</f>
        <v>10912920.698047493</v>
      </c>
      <c r="N719" s="667">
        <f>SUMIFS(Demand!$F$21:$AM$21,Demand!$F$2:$AM$2,$B719)*Days.Per.Year</f>
        <v>883426.91365146369</v>
      </c>
      <c r="O719" s="667">
        <f>SUMIFS(Demand!$F$22:$AM$22,Demand!$F$2:$AM$2,$B719)*Days.Per.Year</f>
        <v>1662921.2492262844</v>
      </c>
    </row>
    <row r="720" spans="2:15">
      <c r="B720" s="660">
        <f t="shared" ref="B720:C720" si="154">B719+1</f>
        <v>2047</v>
      </c>
      <c r="C720" s="661">
        <f t="shared" si="154"/>
        <v>27</v>
      </c>
      <c r="D720" s="667">
        <f>SUMIFS(Demand!$F$7:$AM$7,Demand!$F$2:$AM$2,$B720)*Days.Per.Year</f>
        <v>588488.86017181061</v>
      </c>
      <c r="E720" s="667">
        <f>SUMIFS(Demand!$F$8:$AM$8,Demand!$F$2:$AM$2,$B720)*Days.Per.Year</f>
        <v>588488.86017181061</v>
      </c>
      <c r="F720" s="667">
        <f>SUMIFS(Demand!$F$9:$AM$9,Demand!$F$2:$AM$2,$B720)*Days.Per.Year</f>
        <v>4172921.0084910211</v>
      </c>
      <c r="G720" s="667">
        <f>SUMIFS(Demand!$F$10:$AM$10,Demand!$F$2:$AM$2,$B720)*Days.Per.Year</f>
        <v>588488.86017181061</v>
      </c>
      <c r="H720" s="667">
        <f>SUMIFS(Demand!$F$11:$AM$11,Demand!$F$2:$AM$2,$B720)*Days.Per.Year</f>
        <v>263659.69973156817</v>
      </c>
      <c r="I720" s="667">
        <f>SUMIFS(Demand!$F$12:$AM$12,Demand!$F$2:$AM$2,$B720)*Days.Per.Year</f>
        <v>4172921.0084910211</v>
      </c>
      <c r="J720" s="667">
        <f>SUMIFS(Demand!$F$15:$AM$15,Demand!$F$2:$AM$2,$B720)*Days.Per.Year</f>
        <v>211994.55825262959</v>
      </c>
      <c r="K720" s="667">
        <f>SUMIFS(Demand!$F$16:$AM$16,Demand!$F$2:$AM$2,$B720)*Days.Per.Year</f>
        <v>556389.46779880277</v>
      </c>
      <c r="L720" s="667">
        <f>SUMIFS(Demand!$F$17:$AM$17,Demand!$F$2:$AM$2,$B720)*Days.Per.Year</f>
        <v>909482.78390188911</v>
      </c>
      <c r="M720" s="667">
        <f>SUMIFS(Demand!$F$20:$AM$20,Demand!$F$2:$AM$2,$B720)*Days.Per.Year</f>
        <v>11234787.330552749</v>
      </c>
      <c r="N720" s="667">
        <f>SUMIFS(Demand!$F$21:$AM$21,Demand!$F$2:$AM$2,$B720)*Days.Per.Year</f>
        <v>909482.78390188911</v>
      </c>
      <c r="O720" s="667">
        <f>SUMIFS(Demand!$F$22:$AM$22,Demand!$F$2:$AM$2,$B720)*Days.Per.Year</f>
        <v>1711967.5932270852</v>
      </c>
    </row>
    <row r="721" spans="1:15">
      <c r="B721" s="660">
        <f t="shared" ref="B721:C721" si="155">B720+1</f>
        <v>2048</v>
      </c>
      <c r="C721" s="661">
        <f t="shared" si="155"/>
        <v>28</v>
      </c>
      <c r="D721" s="667">
        <f>SUMIFS(Demand!$F$7:$AM$7,Demand!$F$2:$AM$2,$B721)*Days.Per.Year</f>
        <v>605845.8018129468</v>
      </c>
      <c r="E721" s="667">
        <f>SUMIFS(Demand!$F$8:$AM$8,Demand!$F$2:$AM$2,$B721)*Days.Per.Year</f>
        <v>605845.8018129468</v>
      </c>
      <c r="F721" s="667">
        <f>SUMIFS(Demand!$F$9:$AM$9,Demand!$F$2:$AM$2,$B721)*Days.Per.Year</f>
        <v>4295997.5037645325</v>
      </c>
      <c r="G721" s="667">
        <f>SUMIFS(Demand!$F$10:$AM$10,Demand!$F$2:$AM$2,$B721)*Days.Per.Year</f>
        <v>605845.8018129468</v>
      </c>
      <c r="H721" s="667">
        <f>SUMIFS(Demand!$F$11:$AM$11,Demand!$F$2:$AM$2,$B721)*Days.Per.Year</f>
        <v>271436.10185415752</v>
      </c>
      <c r="I721" s="667">
        <f>SUMIFS(Demand!$F$12:$AM$12,Demand!$F$2:$AM$2,$B721)*Days.Per.Year</f>
        <v>4295997.5037645325</v>
      </c>
      <c r="J721" s="667">
        <f>SUMIFS(Demand!$F$15:$AM$15,Demand!$F$2:$AM$2,$B721)*Days.Per.Year</f>
        <v>218247.14419751058</v>
      </c>
      <c r="K721" s="667">
        <f>SUMIFS(Demand!$F$16:$AM$16,Demand!$F$2:$AM$2,$B721)*Days.Per.Year</f>
        <v>572799.66716860433</v>
      </c>
      <c r="L721" s="667">
        <f>SUMIFS(Demand!$F$17:$AM$17,Demand!$F$2:$AM$2,$B721)*Days.Per.Year</f>
        <v>936307.14825637243</v>
      </c>
      <c r="M721" s="667">
        <f>SUMIFS(Demand!$F$20:$AM$20,Demand!$F$2:$AM$2,$B721)*Days.Per.Year</f>
        <v>11566147.125519894</v>
      </c>
      <c r="N721" s="667">
        <f>SUMIFS(Demand!$F$21:$AM$21,Demand!$F$2:$AM$2,$B721)*Days.Per.Year</f>
        <v>936307.14825637243</v>
      </c>
      <c r="O721" s="667">
        <f>SUMIFS(Demand!$F$22:$AM$22,Demand!$F$2:$AM$2,$B721)*Days.Per.Year</f>
        <v>1762460.5143649364</v>
      </c>
    </row>
    <row r="722" spans="1:15">
      <c r="B722" s="660">
        <f t="shared" ref="B722:C722" si="156">B721+1</f>
        <v>2049</v>
      </c>
      <c r="C722" s="661">
        <f t="shared" si="156"/>
        <v>29</v>
      </c>
      <c r="D722" s="667">
        <f>SUMIFS(Demand!$F$7:$AM$7,Demand!$F$2:$AM$2,$B722)*Days.Per.Year</f>
        <v>623714.67060092103</v>
      </c>
      <c r="E722" s="667">
        <f>SUMIFS(Demand!$F$8:$AM$8,Demand!$F$2:$AM$2,$B722)*Days.Per.Year</f>
        <v>623714.67060092103</v>
      </c>
      <c r="F722" s="667">
        <f>SUMIFS(Demand!$F$9:$AM$9,Demand!$F$2:$AM$2,$B722)*Days.Per.Year</f>
        <v>4422704.0278974408</v>
      </c>
      <c r="G722" s="667">
        <f>SUMIFS(Demand!$F$10:$AM$10,Demand!$F$2:$AM$2,$B722)*Days.Per.Year</f>
        <v>623714.67060092103</v>
      </c>
      <c r="H722" s="667">
        <f>SUMIFS(Demand!$F$11:$AM$11,Demand!$F$2:$AM$2,$B722)*Days.Per.Year</f>
        <v>279441.86185750685</v>
      </c>
      <c r="I722" s="667">
        <f>SUMIFS(Demand!$F$12:$AM$12,Demand!$F$2:$AM$2,$B722)*Days.Per.Year</f>
        <v>4422704.0278974408</v>
      </c>
      <c r="J722" s="667">
        <f>SUMIFS(Demand!$F$15:$AM$15,Demand!$F$2:$AM$2,$B722)*Days.Per.Year</f>
        <v>224684.14445623237</v>
      </c>
      <c r="K722" s="667">
        <f>SUMIFS(Demand!$F$16:$AM$16,Demand!$F$2:$AM$2,$B722)*Days.Per.Year</f>
        <v>589693.8703863254</v>
      </c>
      <c r="L722" s="667">
        <f>SUMIFS(Demand!$F$17:$AM$17,Demand!$F$2:$AM$2,$B722)*Days.Per.Year</f>
        <v>963922.672746878</v>
      </c>
      <c r="M722" s="667">
        <f>SUMIFS(Demand!$F$20:$AM$20,Demand!$F$2:$AM$2,$B722)*Days.Per.Year</f>
        <v>11907280.075108495</v>
      </c>
      <c r="N722" s="667">
        <f>SUMIFS(Demand!$F$21:$AM$21,Demand!$F$2:$AM$2,$B722)*Days.Per.Year</f>
        <v>963922.672746878</v>
      </c>
      <c r="O722" s="667">
        <f>SUMIFS(Demand!$F$22:$AM$22,Demand!$F$2:$AM$2,$B722)*Days.Per.Year</f>
        <v>1814442.6781117704</v>
      </c>
    </row>
    <row r="723" spans="1:15">
      <c r="B723" s="660">
        <f t="shared" ref="B723:C723" si="157">B722+1</f>
        <v>2050</v>
      </c>
      <c r="C723" s="661">
        <f t="shared" si="157"/>
        <v>30</v>
      </c>
      <c r="D723" s="667">
        <f>SUMIFS(Demand!$F$7:$AM$7,Demand!$F$2:$AM$2,$B723)*Days.Per.Year</f>
        <v>642110.56535954075</v>
      </c>
      <c r="E723" s="667">
        <f>SUMIFS(Demand!$F$8:$AM$8,Demand!$F$2:$AM$2,$B723)*Days.Per.Year</f>
        <v>642110.56535954075</v>
      </c>
      <c r="F723" s="667">
        <f>SUMIFS(Demand!$F$9:$AM$9,Demand!$F$2:$AM$2,$B723)*Days.Per.Year</f>
        <v>4553147.645276743</v>
      </c>
      <c r="G723" s="667">
        <f>SUMIFS(Demand!$F$10:$AM$10,Demand!$F$2:$AM$2,$B723)*Days.Per.Year</f>
        <v>642110.56535954075</v>
      </c>
      <c r="H723" s="667">
        <f>SUMIFS(Demand!$F$11:$AM$11,Demand!$F$2:$AM$2,$B723)*Days.Per.Year</f>
        <v>287683.74444290553</v>
      </c>
      <c r="I723" s="667">
        <f>SUMIFS(Demand!$F$12:$AM$12,Demand!$F$2:$AM$2,$B723)*Days.Per.Year</f>
        <v>4553147.645276743</v>
      </c>
      <c r="J723" s="667">
        <f>SUMIFS(Demand!$F$15:$AM$15,Demand!$F$2:$AM$2,$B723)*Days.Per.Year</f>
        <v>231310.99816061152</v>
      </c>
      <c r="K723" s="667">
        <f>SUMIFS(Demand!$F$16:$AM$16,Demand!$F$2:$AM$2,$B723)*Days.Per.Year</f>
        <v>607086.35270356573</v>
      </c>
      <c r="L723" s="667">
        <f>SUMIFS(Demand!$F$17:$AM$17,Demand!$F$2:$AM$2,$B723)*Days.Per.Year</f>
        <v>992352.69191929011</v>
      </c>
      <c r="M723" s="667">
        <f>SUMIFS(Demand!$F$20:$AM$20,Demand!$F$2:$AM$2,$B723)*Days.Per.Year</f>
        <v>12258474.429591233</v>
      </c>
      <c r="N723" s="667">
        <f>SUMIFS(Demand!$F$21:$AM$21,Demand!$F$2:$AM$2,$B723)*Days.Per.Year</f>
        <v>992352.69191929011</v>
      </c>
      <c r="O723" s="667">
        <f>SUMIFS(Demand!$F$22:$AM$22,Demand!$F$2:$AM$2,$B723)*Days.Per.Year</f>
        <v>1867958.008318664</v>
      </c>
    </row>
    <row r="724" spans="1:15">
      <c r="B724" s="660">
        <f t="shared" ref="B724:C724" si="158">B723+1</f>
        <v>2051</v>
      </c>
      <c r="C724" s="661">
        <f t="shared" si="158"/>
        <v>31</v>
      </c>
      <c r="D724" s="667">
        <f>SUMIFS(Demand!$F$7:$AM$7,Demand!$F$2:$AM$2,$B724)*Days.Per.Year</f>
        <v>661049.03023863572</v>
      </c>
      <c r="E724" s="667">
        <f>SUMIFS(Demand!$F$8:$AM$8,Demand!$F$2:$AM$2,$B724)*Days.Per.Year</f>
        <v>661049.03023863572</v>
      </c>
      <c r="F724" s="667">
        <f>SUMIFS(Demand!$F$9:$AM$9,Demand!$F$2:$AM$2,$B724)*Days.Per.Year</f>
        <v>4687438.5780557804</v>
      </c>
      <c r="G724" s="667">
        <f>SUMIFS(Demand!$F$10:$AM$10,Demand!$F$2:$AM$2,$B724)*Days.Per.Year</f>
        <v>661049.03023863572</v>
      </c>
      <c r="H724" s="667">
        <f>SUMIFS(Demand!$F$11:$AM$11,Demand!$F$2:$AM$2,$B724)*Days.Per.Year</f>
        <v>296168.71383033157</v>
      </c>
      <c r="I724" s="667">
        <f>SUMIFS(Demand!$F$12:$AM$12,Demand!$F$2:$AM$2,$B724)*Days.Per.Year</f>
        <v>4687438.5780557804</v>
      </c>
      <c r="J724" s="667">
        <f>SUMIFS(Demand!$F$15:$AM$15,Demand!$F$2:$AM$2,$B724)*Days.Per.Year</f>
        <v>238133.30486469177</v>
      </c>
      <c r="K724" s="667">
        <f>SUMIFS(Demand!$F$16:$AM$16,Demand!$F$2:$AM$2,$B724)*Days.Per.Year</f>
        <v>624991.81040743738</v>
      </c>
      <c r="L724" s="667">
        <f>SUMIFS(Demand!$F$17:$AM$17,Demand!$F$2:$AM$2,$B724)*Days.Per.Year</f>
        <v>1021621.2285506187</v>
      </c>
      <c r="M724" s="667">
        <f>SUMIFS(Demand!$F$20:$AM$20,Demand!$F$2:$AM$2,$B724)*Days.Per.Year</f>
        <v>12620026.940919409</v>
      </c>
      <c r="N724" s="667">
        <f>SUMIFS(Demand!$F$21:$AM$21,Demand!$F$2:$AM$2,$B724)*Days.Per.Year</f>
        <v>1021621.2285506187</v>
      </c>
      <c r="O724" s="667">
        <f>SUMIFS(Demand!$F$22:$AM$22,Demand!$F$2:$AM$2,$B724)*Days.Per.Year</f>
        <v>1923051.7243305766</v>
      </c>
    </row>
    <row r="725" spans="1:15">
      <c r="B725" s="660">
        <f t="shared" ref="B725:C725" si="159">B724+1</f>
        <v>2052</v>
      </c>
      <c r="C725" s="661">
        <f t="shared" si="159"/>
        <v>32</v>
      </c>
      <c r="D725" s="667">
        <f>SUMIFS(Demand!$F$7:$AM$7,Demand!$F$2:$AM$2,$B725)*Days.Per.Year</f>
        <v>680546.06784854364</v>
      </c>
      <c r="E725" s="667">
        <f>SUMIFS(Demand!$F$8:$AM$8,Demand!$F$2:$AM$2,$B725)*Days.Per.Year</f>
        <v>680546.06784854364</v>
      </c>
      <c r="F725" s="667">
        <f>SUMIFS(Demand!$F$9:$AM$9,Demand!$F$2:$AM$2,$B725)*Days.Per.Year</f>
        <v>4825690.2992896736</v>
      </c>
      <c r="G725" s="667">
        <f>SUMIFS(Demand!$F$10:$AM$10,Demand!$F$2:$AM$2,$B725)*Days.Per.Year</f>
        <v>680546.06784854364</v>
      </c>
      <c r="H725" s="667">
        <f>SUMIFS(Demand!$F$11:$AM$11,Demand!$F$2:$AM$2,$B725)*Days.Per.Year</f>
        <v>304903.93964307266</v>
      </c>
      <c r="I725" s="667">
        <f>SUMIFS(Demand!$F$12:$AM$12,Demand!$F$2:$AM$2,$B725)*Days.Per.Year</f>
        <v>4825690.2992896736</v>
      </c>
      <c r="J725" s="667">
        <f>SUMIFS(Demand!$F$15:$AM$15,Demand!$F$2:$AM$2,$B725)*Days.Per.Year</f>
        <v>245156.82927625094</v>
      </c>
      <c r="K725" s="667">
        <f>SUMIFS(Demand!$F$16:$AM$16,Demand!$F$2:$AM$2,$B725)*Days.Per.Year</f>
        <v>643425.37323862314</v>
      </c>
      <c r="L725" s="667">
        <f>SUMIFS(Demand!$F$17:$AM$17,Demand!$F$2:$AM$2,$B725)*Days.Per.Year</f>
        <v>1051753.0139477493</v>
      </c>
      <c r="M725" s="667">
        <f>SUMIFS(Demand!$F$20:$AM$20,Demand!$F$2:$AM$2,$B725)*Days.Per.Year</f>
        <v>12992243.113472197</v>
      </c>
      <c r="N725" s="667">
        <f>SUMIFS(Demand!$F$21:$AM$21,Demand!$F$2:$AM$2,$B725)*Days.Per.Year</f>
        <v>1051753.0139477493</v>
      </c>
      <c r="O725" s="667">
        <f>SUMIFS(Demand!$F$22:$AM$22,Demand!$F$2:$AM$2,$B725)*Days.Per.Year</f>
        <v>1979770.3791957635</v>
      </c>
    </row>
    <row r="726" spans="1:15">
      <c r="B726" s="660">
        <f t="shared" ref="B726:C727" si="160">B725+1</f>
        <v>2053</v>
      </c>
      <c r="C726" s="661">
        <f t="shared" si="160"/>
        <v>33</v>
      </c>
      <c r="D726" s="667">
        <f>SUMIFS(Demand!$F$7:$AM$7,Demand!$F$2:$AM$2,$B726)*Days.Per.Year</f>
        <v>700618.1527819836</v>
      </c>
      <c r="E726" s="667">
        <f>SUMIFS(Demand!$F$8:$AM$8,Demand!$F$2:$AM$2,$B726)*Days.Per.Year</f>
        <v>700618.1527819836</v>
      </c>
      <c r="F726" s="667">
        <f>SUMIFS(Demand!$F$9:$AM$9,Demand!$F$2:$AM$2,$B726)*Days.Per.Year</f>
        <v>4968019.6288177017</v>
      </c>
      <c r="G726" s="667">
        <f>SUMIFS(Demand!$F$10:$AM$10,Demand!$F$2:$AM$2,$B726)*Days.Per.Year</f>
        <v>700618.1527819836</v>
      </c>
      <c r="H726" s="667">
        <f>SUMIFS(Demand!$F$11:$AM$11,Demand!$F$2:$AM$2,$B726)*Days.Per.Year</f>
        <v>313896.80296590982</v>
      </c>
      <c r="I726" s="667">
        <f>SUMIFS(Demand!$F$12:$AM$12,Demand!$F$2:$AM$2,$B726)*Days.Per.Year</f>
        <v>4968019.6288177017</v>
      </c>
      <c r="J726" s="667">
        <f>SUMIFS(Demand!$F$15:$AM$15,Demand!$F$2:$AM$2,$B726)*Days.Per.Year</f>
        <v>252387.50612785955</v>
      </c>
      <c r="K726" s="667">
        <f>SUMIFS(Demand!$F$16:$AM$16,Demand!$F$2:$AM$2,$B726)*Days.Per.Year</f>
        <v>662402.61717569362</v>
      </c>
      <c r="L726" s="667">
        <f>SUMIFS(Demand!$F$17:$AM$17,Demand!$F$2:$AM$2,$B726)*Days.Per.Year</f>
        <v>1082773.5088448836</v>
      </c>
      <c r="M726" s="667">
        <f>SUMIFS(Demand!$F$20:$AM$20,Demand!$F$2:$AM$2,$B726)*Days.Per.Year</f>
        <v>13375437.462201506</v>
      </c>
      <c r="N726" s="667">
        <f>SUMIFS(Demand!$F$21:$AM$21,Demand!$F$2:$AM$2,$B726)*Days.Per.Year</f>
        <v>1082773.5088448836</v>
      </c>
      <c r="O726" s="667">
        <f>SUMIFS(Demand!$F$22:$AM$22,Demand!$F$2:$AM$2,$B726)*Days.Per.Year</f>
        <v>2038161.8990021341</v>
      </c>
    </row>
    <row r="727" spans="1:15">
      <c r="B727" s="660">
        <f t="shared" si="160"/>
        <v>2054</v>
      </c>
      <c r="C727" s="661">
        <f t="shared" si="160"/>
        <v>34</v>
      </c>
      <c r="D727" s="667">
        <f>SUMIFS(Demand!$F$7:$AM$7,Demand!$F$2:$AM$2,$B727)*Days.Per.Year</f>
        <v>721282.24553474551</v>
      </c>
      <c r="E727" s="667">
        <f>SUMIFS(Demand!$F$8:$AM$8,Demand!$F$2:$AM$2,$B727)*Days.Per.Year</f>
        <v>721282.24553474551</v>
      </c>
      <c r="F727" s="667">
        <f>SUMIFS(Demand!$F$9:$AM$9,Demand!$F$2:$AM$2,$B727)*Days.Per.Year</f>
        <v>5114546.8319736496</v>
      </c>
      <c r="G727" s="667">
        <f>SUMIFS(Demand!$F$10:$AM$10,Demand!$F$2:$AM$2,$B727)*Days.Per.Year</f>
        <v>721282.24553474551</v>
      </c>
      <c r="H727" s="667">
        <f>SUMIFS(Demand!$F$11:$AM$11,Demand!$F$2:$AM$2,$B727)*Days.Per.Year</f>
        <v>323154.90258198045</v>
      </c>
      <c r="I727" s="667">
        <f>SUMIFS(Demand!$F$12:$AM$12,Demand!$F$2:$AM$2,$B727)*Days.Per.Year</f>
        <v>5114546.8319736496</v>
      </c>
      <c r="J727" s="667">
        <f>SUMIFS(Demand!$F$15:$AM$15,Demand!$F$2:$AM$2,$B727)*Days.Per.Year</f>
        <v>259831.44519160697</v>
      </c>
      <c r="K727" s="667">
        <f>SUMIFS(Demand!$F$16:$AM$16,Demand!$F$2:$AM$2,$B727)*Days.Per.Year</f>
        <v>681939.57759648666</v>
      </c>
      <c r="L727" s="667">
        <f>SUMIFS(Demand!$F$17:$AM$17,Demand!$F$2:$AM$2,$B727)*Days.Per.Year</f>
        <v>1114708.924917334</v>
      </c>
      <c r="M727" s="667">
        <f>SUMIFS(Demand!$F$20:$AM$20,Demand!$F$2:$AM$2,$B727)*Days.Per.Year</f>
        <v>13769933.778390596</v>
      </c>
      <c r="N727" s="667">
        <f>SUMIFS(Demand!$F$21:$AM$21,Demand!$F$2:$AM$2,$B727)*Days.Per.Year</f>
        <v>1114708.924917334</v>
      </c>
      <c r="O727" s="667">
        <f>SUMIFS(Demand!$F$22:$AM$22,Demand!$F$2:$AM$2,$B727)*Days.Per.Year</f>
        <v>2098275.6233738051</v>
      </c>
    </row>
    <row r="728" spans="1:15">
      <c r="B728" s="663" t="s">
        <v>5</v>
      </c>
      <c r="C728" s="663"/>
      <c r="D728" s="710">
        <f>SUM(D694:D727)</f>
        <v>15805492.64423554</v>
      </c>
      <c r="E728" s="710">
        <f t="shared" ref="E728:N728" si="161">SUM(E694:E727)</f>
        <v>15805492.64423554</v>
      </c>
      <c r="F728" s="710">
        <f t="shared" si="161"/>
        <v>112075311.47730657</v>
      </c>
      <c r="G728" s="710">
        <f t="shared" si="161"/>
        <v>15805492.64423554</v>
      </c>
      <c r="H728" s="710">
        <f t="shared" si="161"/>
        <v>7081308.9706948865</v>
      </c>
      <c r="I728" s="710">
        <f t="shared" si="161"/>
        <v>112075311.47730657</v>
      </c>
      <c r="J728" s="710">
        <f t="shared" si="161"/>
        <v>5693698.9938971177</v>
      </c>
      <c r="K728" s="710">
        <f t="shared" si="161"/>
        <v>14943374.86364088</v>
      </c>
      <c r="L728" s="710">
        <f t="shared" si="161"/>
        <v>24426670.450182203</v>
      </c>
      <c r="M728" s="710">
        <f t="shared" si="161"/>
        <v>301741223.20813316</v>
      </c>
      <c r="N728" s="710">
        <f t="shared" si="161"/>
        <v>24426670.450182203</v>
      </c>
      <c r="O728" s="710">
        <f>SUM(O694:O727)</f>
        <v>45979614.965048857</v>
      </c>
    </row>
    <row r="730" spans="1:15">
      <c r="A730" s="656" t="s">
        <v>896</v>
      </c>
    </row>
    <row r="731" spans="1:15">
      <c r="B731" s="658" t="s">
        <v>7</v>
      </c>
      <c r="C731" s="658" t="s">
        <v>798</v>
      </c>
      <c r="D731" s="658" t="str">
        <f>Results!$B$99</f>
        <v>Fatalities Avoided</v>
      </c>
      <c r="E731" s="658" t="str">
        <f>Results!$B$100</f>
        <v>Injuries Avoided</v>
      </c>
      <c r="F731" s="658" t="str">
        <f>Results!$B$101</f>
        <v>PDO-Accidents Avoided</v>
      </c>
    </row>
    <row r="732" spans="1:15">
      <c r="B732" s="660">
        <f>VRCBY</f>
        <v>2021</v>
      </c>
      <c r="C732" s="661">
        <v>1</v>
      </c>
      <c r="D732" s="666">
        <f>SUMIFS(Results!$D$99:$AK$99,Results!$D$98:$AK$98,$B732)</f>
        <v>0</v>
      </c>
      <c r="E732" s="666">
        <f>SUMIFS(Results!$D$100:$AK$100,Results!$D$98:$AK$98,$B732)</f>
        <v>0</v>
      </c>
      <c r="F732" s="666">
        <f>SUMIFS(Results!$D$101:$AK$101,Results!$D$98:$AK$98,$B732)</f>
        <v>0</v>
      </c>
    </row>
    <row r="733" spans="1:15">
      <c r="B733" s="660">
        <f>B732+1</f>
        <v>2022</v>
      </c>
      <c r="C733" s="661">
        <f>C732+1</f>
        <v>2</v>
      </c>
      <c r="D733" s="666">
        <f>SUMIFS(Results!$D$99:$AK$99,Results!$D$98:$AK$98,$B733)</f>
        <v>0</v>
      </c>
      <c r="E733" s="666">
        <f>SUMIFS(Results!$D$100:$AK$100,Results!$D$98:$AK$98,$B733)</f>
        <v>0</v>
      </c>
      <c r="F733" s="666">
        <f>SUMIFS(Results!$D$101:$AK$101,Results!$D$98:$AK$98,$B733)</f>
        <v>0</v>
      </c>
    </row>
    <row r="734" spans="1:15">
      <c r="B734" s="660">
        <f t="shared" ref="B734:C734" si="162">B733+1</f>
        <v>2023</v>
      </c>
      <c r="C734" s="661">
        <f t="shared" si="162"/>
        <v>3</v>
      </c>
      <c r="D734" s="666">
        <f>SUMIFS(Results!$D$99:$AK$99,Results!$D$98:$AK$98,$B734)</f>
        <v>0</v>
      </c>
      <c r="E734" s="666">
        <f>SUMIFS(Results!$D$100:$AK$100,Results!$D$98:$AK$98,$B734)</f>
        <v>0</v>
      </c>
      <c r="F734" s="666">
        <f>SUMIFS(Results!$D$101:$AK$101,Results!$D$98:$AK$98,$B734)</f>
        <v>0</v>
      </c>
    </row>
    <row r="735" spans="1:15">
      <c r="B735" s="660">
        <f t="shared" ref="B735:C735" si="163">B734+1</f>
        <v>2024</v>
      </c>
      <c r="C735" s="661">
        <f t="shared" si="163"/>
        <v>4</v>
      </c>
      <c r="D735" s="666">
        <f>SUMIFS(Results!$D$99:$AK$99,Results!$D$98:$AK$98,$B735)</f>
        <v>0</v>
      </c>
      <c r="E735" s="666">
        <f>SUMIFS(Results!$D$100:$AK$100,Results!$D$98:$AK$98,$B735)</f>
        <v>0</v>
      </c>
      <c r="F735" s="666">
        <f>SUMIFS(Results!$D$101:$AK$101,Results!$D$98:$AK$98,$B735)</f>
        <v>0</v>
      </c>
    </row>
    <row r="736" spans="1:15">
      <c r="B736" s="660">
        <f t="shared" ref="B736:C736" si="164">B735+1</f>
        <v>2025</v>
      </c>
      <c r="C736" s="661">
        <f t="shared" si="164"/>
        <v>5</v>
      </c>
      <c r="D736" s="666">
        <f>SUMIFS(Results!$D$99:$AK$99,Results!$D$98:$AK$98,$B736)</f>
        <v>3.5909750737879121E-3</v>
      </c>
      <c r="E736" s="666">
        <f>SUMIFS(Results!$D$100:$AK$100,Results!$D$98:$AK$98,$B736)</f>
        <v>6.2732200959584927E-2</v>
      </c>
      <c r="F736" s="666">
        <f>SUMIFS(Results!$D$101:$AK$101,Results!$D$98:$AK$98,$B736)</f>
        <v>0.30961793812950134</v>
      </c>
    </row>
    <row r="737" spans="2:6">
      <c r="B737" s="660">
        <f t="shared" ref="B737:C737" si="165">B736+1</f>
        <v>2026</v>
      </c>
      <c r="C737" s="661">
        <f t="shared" si="165"/>
        <v>6</v>
      </c>
      <c r="D737" s="666">
        <f>SUMIFS(Results!$D$99:$AK$99,Results!$D$98:$AK$98,$B737)</f>
        <v>3.639861439259969E-3</v>
      </c>
      <c r="E737" s="666">
        <f>SUMIFS(Results!$D$100:$AK$100,Results!$D$98:$AK$98,$B737)</f>
        <v>6.3592740784195079E-2</v>
      </c>
      <c r="F737" s="666">
        <f>SUMIFS(Results!$D$101:$AK$101,Results!$D$98:$AK$98,$B737)</f>
        <v>0.31385972500692838</v>
      </c>
    </row>
    <row r="738" spans="2:6">
      <c r="B738" s="660">
        <f t="shared" ref="B738:C738" si="166">B737+1</f>
        <v>2027</v>
      </c>
      <c r="C738" s="661">
        <f t="shared" si="166"/>
        <v>7</v>
      </c>
      <c r="D738" s="666">
        <f>SUMIFS(Results!$D$99:$AK$99,Results!$D$98:$AK$98,$B738)</f>
        <v>3.6899200026393772E-3</v>
      </c>
      <c r="E738" s="666">
        <f>SUMIFS(Results!$D$100:$AK$100,Results!$D$98:$AK$98,$B738)</f>
        <v>6.4465090116230972E-2</v>
      </c>
      <c r="F738" s="666">
        <f>SUMIFS(Results!$D$101:$AK$101,Results!$D$98:$AK$98,$B738)</f>
        <v>0.31816018072499813</v>
      </c>
    </row>
    <row r="739" spans="2:6">
      <c r="B739" s="660">
        <f t="shared" ref="B739:C739" si="167">B738+1</f>
        <v>2028</v>
      </c>
      <c r="C739" s="661">
        <f t="shared" si="167"/>
        <v>8</v>
      </c>
      <c r="D739" s="666">
        <f>SUMIFS(Results!$D$99:$AK$99,Results!$D$98:$AK$98,$B739)</f>
        <v>3.7410411382934419E-3</v>
      </c>
      <c r="E739" s="666">
        <f>SUMIFS(Results!$D$100:$AK$100,Results!$D$98:$AK$98,$B739)</f>
        <v>6.5349440880812543E-2</v>
      </c>
      <c r="F739" s="666">
        <f>SUMIFS(Results!$D$101:$AK$101,Results!$D$98:$AK$98,$B739)</f>
        <v>0.32252012223111531</v>
      </c>
    </row>
    <row r="740" spans="2:6">
      <c r="B740" s="660">
        <f t="shared" ref="B740:C740" si="168">B739+1</f>
        <v>2029</v>
      </c>
      <c r="C740" s="661">
        <f t="shared" si="168"/>
        <v>9</v>
      </c>
      <c r="D740" s="666">
        <f>SUMIFS(Results!$D$99:$AK$99,Results!$D$98:$AK$98,$B740)</f>
        <v>3.7931598677929486E-3</v>
      </c>
      <c r="E740" s="666">
        <f>SUMIFS(Results!$D$100:$AK$100,Results!$D$98:$AK$98,$B740)</f>
        <v>6.6245977690402885E-2</v>
      </c>
      <c r="F740" s="666">
        <f>SUMIFS(Results!$D$101:$AK$101,Results!$D$98:$AK$98,$B740)</f>
        <v>0.32694037791031505</v>
      </c>
    </row>
    <row r="741" spans="2:6">
      <c r="B741" s="660">
        <f t="shared" ref="B741:C741" si="169">B740+1</f>
        <v>2030</v>
      </c>
      <c r="C741" s="661">
        <f t="shared" si="169"/>
        <v>10</v>
      </c>
      <c r="D741" s="666">
        <f>SUMIFS(Results!$D$99:$AK$99,Results!$D$98:$AK$98,$B741)</f>
        <v>3.8462365531379801E-3</v>
      </c>
      <c r="E741" s="666">
        <f>SUMIFS(Results!$D$100:$AK$100,Results!$D$98:$AK$98,$B741)</f>
        <v>6.715488205951789E-2</v>
      </c>
      <c r="F741" s="666">
        <f>SUMIFS(Results!$D$101:$AK$101,Results!$D$98:$AK$98,$B741)</f>
        <v>0.33142178774586295</v>
      </c>
    </row>
    <row r="742" spans="2:6">
      <c r="B742" s="660">
        <f t="shared" ref="B742:C742" si="170">B741+1</f>
        <v>2031</v>
      </c>
      <c r="C742" s="661">
        <f t="shared" si="170"/>
        <v>11</v>
      </c>
      <c r="D742" s="666">
        <f>SUMIFS(Results!$D$99:$AK$99,Results!$D$98:$AK$98,$B742)</f>
        <v>3.9002470102274403E-3</v>
      </c>
      <c r="E742" s="666">
        <f>SUMIFS(Results!$D$100:$AK$100,Results!$D$98:$AK$98,$B742)</f>
        <v>6.807633457961218E-2</v>
      </c>
      <c r="F742" s="666">
        <f>SUMIFS(Results!$D$101:$AK$101,Results!$D$98:$AK$98,$B742)</f>
        <v>0.33596520348211861</v>
      </c>
    </row>
    <row r="743" spans="2:6">
      <c r="B743" s="660">
        <f t="shared" ref="B743:C743" si="171">B742+1</f>
        <v>2032</v>
      </c>
      <c r="C743" s="661">
        <f t="shared" si="171"/>
        <v>12</v>
      </c>
      <c r="D743" s="666">
        <f>SUMIFS(Results!$D$99:$AK$99,Results!$D$98:$AK$98,$B743)</f>
        <v>3.955177026851284E-3</v>
      </c>
      <c r="E743" s="666">
        <f>SUMIFS(Results!$D$100:$AK$100,Results!$D$98:$AK$98,$B743)</f>
        <v>6.901051614048398E-2</v>
      </c>
      <c r="F743" s="666">
        <f>SUMIFS(Results!$D$101:$AK$101,Results!$D$98:$AK$98,$B743)</f>
        <v>0.34057148878970417</v>
      </c>
    </row>
    <row r="744" spans="2:6">
      <c r="B744" s="660">
        <f t="shared" ref="B744:C744" si="172">B743+1</f>
        <v>2033</v>
      </c>
      <c r="C744" s="661">
        <f t="shared" si="172"/>
        <v>13</v>
      </c>
      <c r="D744" s="666">
        <f>SUMIFS(Results!$D$99:$AK$99,Results!$D$98:$AK$98,$B744)</f>
        <v>4.0110191283556709E-3</v>
      </c>
      <c r="E744" s="666">
        <f>SUMIFS(Results!$D$100:$AK$100,Results!$D$98:$AK$98,$B744)</f>
        <v>6.9957608665347615E-2</v>
      </c>
      <c r="F744" s="666">
        <f>SUMIFS(Results!$D$101:$AK$101,Results!$D$98:$AK$98,$B744)</f>
        <v>0.34524151943300596</v>
      </c>
    </row>
    <row r="745" spans="2:6">
      <c r="B745" s="660">
        <f t="shared" ref="B745:C745" si="173">B744+1</f>
        <v>2034</v>
      </c>
      <c r="C745" s="661">
        <f t="shared" si="173"/>
        <v>14</v>
      </c>
      <c r="D745" s="666">
        <f>SUMIFS(Results!$D$99:$AK$99,Results!$D$98:$AK$98,$B745)</f>
        <v>4.0677705719491947E-3</v>
      </c>
      <c r="E745" s="666">
        <f>SUMIFS(Results!$D$100:$AK$100,Results!$D$98:$AK$98,$B745)</f>
        <v>7.0917795580287449E-2</v>
      </c>
      <c r="F745" s="666">
        <f>SUMIFS(Results!$D$101:$AK$101,Results!$D$98:$AK$98,$B745)</f>
        <v>0.349976183440036</v>
      </c>
    </row>
    <row r="746" spans="2:6">
      <c r="B746" s="660">
        <f t="shared" ref="B746:C746" si="174">B745+1</f>
        <v>2035</v>
      </c>
      <c r="C746" s="661">
        <f t="shared" si="174"/>
        <v>15</v>
      </c>
      <c r="D746" s="666">
        <f>SUMIFS(Results!$D$99:$AK$99,Results!$D$98:$AK$98,$B746)</f>
        <v>4.1254320510148365E-3</v>
      </c>
      <c r="E746" s="666">
        <f>SUMIFS(Results!$D$100:$AK$100,Results!$D$98:$AK$98,$B746)</f>
        <v>7.1891262130431385E-2</v>
      </c>
      <c r="F746" s="666">
        <f>SUMIFS(Results!$D$101:$AK$101,Results!$D$98:$AK$98,$B746)</f>
        <v>0.35477638127470068</v>
      </c>
    </row>
    <row r="747" spans="2:6">
      <c r="B747" s="660">
        <f t="shared" ref="B747:C747" si="175">B746+1</f>
        <v>2036</v>
      </c>
      <c r="C747" s="661">
        <f t="shared" si="175"/>
        <v>16</v>
      </c>
      <c r="D747" s="666">
        <f>SUMIFS(Results!$D$99:$AK$99,Results!$D$98:$AK$98,$B747)</f>
        <v>4.1840068290202592E-3</v>
      </c>
      <c r="E747" s="666">
        <f>SUMIFS(Results!$D$100:$AK$100,Results!$D$98:$AK$98,$B747)</f>
        <v>7.2878195603581081E-2</v>
      </c>
      <c r="F747" s="666">
        <f>SUMIFS(Results!$D$101:$AK$101,Results!$D$98:$AK$98,$B747)</f>
        <v>0.35964302601149539</v>
      </c>
    </row>
    <row r="748" spans="2:6">
      <c r="B748" s="660">
        <f t="shared" ref="B748:C748" si="176">B747+1</f>
        <v>2037</v>
      </c>
      <c r="C748" s="661">
        <f t="shared" si="176"/>
        <v>17</v>
      </c>
      <c r="D748" s="666">
        <f>SUMIFS(Results!$D$99:$AK$99,Results!$D$98:$AK$98,$B748)</f>
        <v>4.2435001436173523E-3</v>
      </c>
      <c r="E748" s="666">
        <f>SUMIFS(Results!$D$100:$AK$100,Results!$D$98:$AK$98,$B748)</f>
        <v>7.3878785495833627E-2</v>
      </c>
      <c r="F748" s="666">
        <f>SUMIFS(Results!$D$101:$AK$101,Results!$D$98:$AK$98,$B748)</f>
        <v>0.364577043512674</v>
      </c>
    </row>
    <row r="749" spans="2:6">
      <c r="B749" s="660">
        <f t="shared" ref="B749:C749" si="177">B748+1</f>
        <v>2038</v>
      </c>
      <c r="C749" s="661">
        <f t="shared" si="177"/>
        <v>18</v>
      </c>
      <c r="D749" s="666">
        <f>SUMIFS(Results!$D$99:$AK$99,Results!$D$98:$AK$98,$B749)</f>
        <v>4.3039187863831247E-3</v>
      </c>
      <c r="E749" s="666">
        <f>SUMIFS(Results!$D$100:$AK$100,Results!$D$98:$AK$98,$B749)</f>
        <v>7.4893223639677153E-2</v>
      </c>
      <c r="F749" s="666">
        <f>SUMIFS(Results!$D$101:$AK$101,Results!$D$98:$AK$98,$B749)</f>
        <v>0.36957937260791118</v>
      </c>
    </row>
    <row r="750" spans="2:6">
      <c r="B750" s="660">
        <f t="shared" ref="B750:C750" si="178">B749+1</f>
        <v>2039</v>
      </c>
      <c r="C750" s="661">
        <f t="shared" si="178"/>
        <v>19</v>
      </c>
      <c r="D750" s="666">
        <f>SUMIFS(Results!$D$99:$AK$99,Results!$D$98:$AK$98,$B750)</f>
        <v>4.3652708000503117E-3</v>
      </c>
      <c r="E750" s="666">
        <f>SUMIFS(Results!$D$100:$AK$100,Results!$D$98:$AK$98,$B750)</f>
        <v>7.5921704307165813E-2</v>
      </c>
      <c r="F750" s="666">
        <f>SUMIFS(Results!$D$101:$AK$101,Results!$D$98:$AK$98,$B750)</f>
        <v>0.37465096527651309</v>
      </c>
    </row>
    <row r="751" spans="2:6">
      <c r="B751" s="660">
        <f t="shared" ref="B751:C751" si="179">B750+1</f>
        <v>2040</v>
      </c>
      <c r="C751" s="661">
        <f t="shared" si="179"/>
        <v>20</v>
      </c>
      <c r="D751" s="666">
        <f>SUMIFS(Results!$D$99:$AK$99,Results!$D$98:$AK$98,$B751)</f>
        <v>4.4275652563166672E-3</v>
      </c>
      <c r="E751" s="666">
        <f>SUMIFS(Results!$D$100:$AK$100,Results!$D$98:$AK$98,$B751)</f>
        <v>7.6964424296172923E-2</v>
      </c>
      <c r="F751" s="666">
        <f>SUMIFS(Results!$D$101:$AK$101,Results!$D$98:$AK$98,$B751)</f>
        <v>0.37979278683219425</v>
      </c>
    </row>
    <row r="752" spans="2:6">
      <c r="B752" s="660">
        <f t="shared" ref="B752:C752" si="180">B751+1</f>
        <v>2041</v>
      </c>
      <c r="C752" s="661">
        <f t="shared" si="180"/>
        <v>21</v>
      </c>
      <c r="D752" s="666">
        <f>SUMIFS(Results!$D$99:$AK$99,Results!$D$98:$AK$98,$B752)</f>
        <v>4.4908120901496432E-3</v>
      </c>
      <c r="E752" s="666">
        <f>SUMIFS(Results!$D$100:$AK$100,Results!$D$98:$AK$98,$B752)</f>
        <v>7.8021583004947478E-2</v>
      </c>
      <c r="F752" s="666">
        <f>SUMIFS(Results!$D$101:$AK$101,Results!$D$98:$AK$98,$B752)</f>
        <v>0.38500581611046675</v>
      </c>
    </row>
    <row r="753" spans="2:6">
      <c r="B753" s="660">
        <f t="shared" ref="B753:C753" si="181">B752+1</f>
        <v>2042</v>
      </c>
      <c r="C753" s="661">
        <f t="shared" si="181"/>
        <v>22</v>
      </c>
      <c r="D753" s="666">
        <f>SUMIFS(Results!$D$99:$AK$99,Results!$D$98:$AK$98,$B753)</f>
        <v>4.5550219744850346E-3</v>
      </c>
      <c r="E753" s="666">
        <f>SUMIFS(Results!$D$100:$AK$100,Results!$D$98:$AK$98,$B753)</f>
        <v>7.9093382498468784E-2</v>
      </c>
      <c r="F753" s="666">
        <f>SUMIFS(Results!$D$101:$AK$101,Results!$D$98:$AK$98,$B753)</f>
        <v>0.39029104565867684</v>
      </c>
    </row>
    <row r="754" spans="2:6">
      <c r="B754" s="660">
        <f t="shared" ref="B754:C754" si="182">B753+1</f>
        <v>2043</v>
      </c>
      <c r="C754" s="661">
        <f t="shared" si="182"/>
        <v>23</v>
      </c>
      <c r="D754" s="666">
        <f>SUMIFS(Results!$D$99:$AK$99,Results!$D$98:$AK$98,$B754)</f>
        <v>4.6202062243187441E-3</v>
      </c>
      <c r="E754" s="666">
        <f>SUMIFS(Results!$D$100:$AK$100,Results!$D$98:$AK$98,$B754)</f>
        <v>8.0180027568989176E-2</v>
      </c>
      <c r="F754" s="666">
        <f>SUMIFS(Results!$D$101:$AK$101,Results!$D$98:$AK$98,$B754)</f>
        <v>0.3956494819287254</v>
      </c>
    </row>
    <row r="755" spans="2:6">
      <c r="B755" s="660">
        <f t="shared" ref="B755:C755" si="183">B754+1</f>
        <v>2044</v>
      </c>
      <c r="C755" s="661">
        <f t="shared" si="183"/>
        <v>24</v>
      </c>
      <c r="D755" s="666">
        <f>SUMIFS(Results!$D$99:$AK$99,Results!$D$98:$AK$98,$B755)</f>
        <v>4.6863767225283591E-3</v>
      </c>
      <c r="E755" s="666">
        <f>SUMIFS(Results!$D$100:$AK$100,Results!$D$98:$AK$98,$B755)</f>
        <v>8.1281725792433424E-2</v>
      </c>
      <c r="F755" s="666">
        <f>SUMIFS(Results!$D$101:$AK$101,Results!$D$98:$AK$98,$B755)</f>
        <v>0.40108214547251259</v>
      </c>
    </row>
    <row r="756" spans="2:6">
      <c r="B756" s="660">
        <f t="shared" ref="B756:C756" si="184">B755+1</f>
        <v>2045</v>
      </c>
      <c r="C756" s="661">
        <f t="shared" si="184"/>
        <v>25</v>
      </c>
      <c r="D756" s="666">
        <f>SUMIFS(Results!$D$99:$AK$99,Results!$D$98:$AK$98,$B756)</f>
        <v>4.7535458619916929E-3</v>
      </c>
      <c r="E756" s="666">
        <f>SUMIFS(Results!$D$100:$AK$100,Results!$D$98:$AK$98,$B756)</f>
        <v>8.2398687581837937E-2</v>
      </c>
      <c r="F756" s="666">
        <f>SUMIFS(Results!$D$101:$AK$101,Results!$D$98:$AK$98,$B756)</f>
        <v>0.4065900711401404</v>
      </c>
    </row>
    <row r="757" spans="2:6">
      <c r="B757" s="660">
        <f t="shared" ref="B757:C757" si="185">B756+1</f>
        <v>2046</v>
      </c>
      <c r="C757" s="661">
        <f t="shared" si="185"/>
        <v>26</v>
      </c>
      <c r="D757" s="666">
        <f>SUMIFS(Results!$D$99:$AK$99,Results!$D$98:$AK$98,$B757)</f>
        <v>4.8217265000894041E-3</v>
      </c>
      <c r="E757" s="666">
        <f>SUMIFS(Results!$D$100:$AK$100,Results!$D$98:$AK$98,$B757)</f>
        <v>8.3531126238686276E-2</v>
      </c>
      <c r="F757" s="666">
        <f>SUMIFS(Results!$D$101:$AK$101,Results!$D$98:$AK$98,$B757)</f>
        <v>0.41217430828091617</v>
      </c>
    </row>
    <row r="758" spans="2:6">
      <c r="B758" s="660">
        <f t="shared" ref="B758:C758" si="186">B757+1</f>
        <v>2047</v>
      </c>
      <c r="C758" s="661">
        <f t="shared" si="186"/>
        <v>27</v>
      </c>
      <c r="D758" s="666">
        <f>SUMIFS(Results!$D$99:$AK$99,Results!$D$98:$AK$98,$B758)</f>
        <v>4.890931922732389E-3</v>
      </c>
      <c r="E758" s="666">
        <f>SUMIFS(Results!$D$100:$AK$100,Results!$D$98:$AK$98,$B758)</f>
        <v>8.4679258002768903E-2</v>
      </c>
      <c r="F758" s="666">
        <f>SUMIFS(Results!$D$101:$AK$101,Results!$D$98:$AK$98,$B758)</f>
        <v>0.41783592094719768</v>
      </c>
    </row>
    <row r="759" spans="2:6">
      <c r="B759" s="660">
        <f t="shared" ref="B759:C759" si="187">B758+1</f>
        <v>2048</v>
      </c>
      <c r="C759" s="661">
        <f t="shared" si="187"/>
        <v>28</v>
      </c>
      <c r="D759" s="666">
        <f>SUMIFS(Results!$D$99:$AK$99,Results!$D$98:$AK$98,$B759)</f>
        <v>4.9611758157968068E-3</v>
      </c>
      <c r="E759" s="666">
        <f>SUMIFS(Results!$D$100:$AK$100,Results!$D$98:$AK$98,$B759)</f>
        <v>8.5843302101033109E-2</v>
      </c>
      <c r="F759" s="666">
        <f>SUMIFS(Results!$D$101:$AK$101,Results!$D$98:$AK$98,$B759)</f>
        <v>0.42357598810111652</v>
      </c>
    </row>
    <row r="760" spans="2:6">
      <c r="B760" s="660">
        <f t="shared" ref="B760:C760" si="188">B759+1</f>
        <v>2049</v>
      </c>
      <c r="C760" s="661">
        <f t="shared" si="188"/>
        <v>29</v>
      </c>
      <c r="D760" s="666">
        <f>SUMIFS(Results!$D$99:$AK$99,Results!$D$98:$AK$98,$B760)</f>
        <v>5.0324722423800358E-3</v>
      </c>
      <c r="E760" s="666">
        <f>SUMIFS(Results!$D$100:$AK$100,Results!$D$98:$AK$98,$B760)</f>
        <v>8.7023480795775279E-2</v>
      </c>
      <c r="F760" s="666">
        <f>SUMIFS(Results!$D$101:$AK$101,Results!$D$98:$AK$98,$B760)</f>
        <v>0.42939560382422143</v>
      </c>
    </row>
    <row r="761" spans="2:6">
      <c r="B761" s="660">
        <f t="shared" ref="B761:C761" si="189">B760+1</f>
        <v>2050</v>
      </c>
      <c r="C761" s="661">
        <f t="shared" si="189"/>
        <v>30</v>
      </c>
      <c r="D761" s="666">
        <f>SUMIFS(Results!$D$99:$AK$99,Results!$D$98:$AK$98,$B761)</f>
        <v>5.104835624675166E-3</v>
      </c>
      <c r="E761" s="666">
        <f>SUMIFS(Results!$D$100:$AK$100,Results!$D$98:$AK$98,$B761)</f>
        <v>8.8220019432445007E-2</v>
      </c>
      <c r="F761" s="666">
        <f>SUMIFS(Results!$D$101:$AK$101,Results!$D$98:$AK$98,$B761)</f>
        <v>0.43529587753008381</v>
      </c>
    </row>
    <row r="762" spans="2:6">
      <c r="B762" s="660">
        <f t="shared" ref="B762:C762" si="190">B761+1</f>
        <v>2051</v>
      </c>
      <c r="C762" s="661">
        <f t="shared" si="190"/>
        <v>31</v>
      </c>
      <c r="D762" s="666">
        <f>SUMIFS(Results!$D$99:$AK$99,Results!$D$98:$AK$98,$B762)</f>
        <v>5.1782807295433428E-3</v>
      </c>
      <c r="E762" s="666">
        <f>SUMIFS(Results!$D$100:$AK$100,Results!$D$98:$AK$98,$B762)</f>
        <v>8.9433146487268855E-2</v>
      </c>
      <c r="F762" s="666">
        <f>SUMIFS(Results!$D$101:$AK$101,Results!$D$98:$AK$98,$B762)</f>
        <v>0.44127793417990774</v>
      </c>
    </row>
    <row r="763" spans="2:6">
      <c r="B763" s="660">
        <f t="shared" ref="B763:C763" si="191">B762+1</f>
        <v>2052</v>
      </c>
      <c r="C763" s="661">
        <f t="shared" si="191"/>
        <v>32</v>
      </c>
      <c r="D763" s="666">
        <f>SUMIFS(Results!$D$99:$AK$99,Results!$D$98:$AK$98,$B763)</f>
        <v>5.2528226570721899E-3</v>
      </c>
      <c r="E763" s="666">
        <f>SUMIFS(Results!$D$100:$AK$100,Results!$D$98:$AK$98,$B763)</f>
        <v>9.0663093614857013E-2</v>
      </c>
      <c r="F763" s="666">
        <f>SUMIFS(Results!$D$101:$AK$101,Results!$D$98:$AK$98,$B763)</f>
        <v>0.44734291450118835</v>
      </c>
    </row>
    <row r="764" spans="2:6">
      <c r="B764" s="660">
        <f t="shared" ref="B764:C765" si="192">B763+1</f>
        <v>2053</v>
      </c>
      <c r="C764" s="661">
        <f t="shared" si="192"/>
        <v>33</v>
      </c>
      <c r="D764" s="666">
        <f>SUMIFS(Results!$D$99:$AK$99,Results!$D$98:$AK$98,$B764)</f>
        <v>5.328476831565284E-3</v>
      </c>
      <c r="E764" s="666">
        <f>SUMIFS(Results!$D$100:$AK$100,Results!$D$98:$AK$98,$B764)</f>
        <v>9.1910095695920679E-2</v>
      </c>
      <c r="F764" s="666">
        <f>SUMIFS(Results!$D$101:$AK$101,Results!$D$98:$AK$98,$B764)</f>
        <v>0.45349197520945372</v>
      </c>
    </row>
    <row r="765" spans="2:6">
      <c r="B765" s="660">
        <f t="shared" si="192"/>
        <v>2054</v>
      </c>
      <c r="C765" s="661">
        <f t="shared" si="192"/>
        <v>34</v>
      </c>
      <c r="D765" s="666">
        <f>SUMIFS(Results!$D$99:$AK$99,Results!$D$98:$AK$98,$B765)</f>
        <v>5.405258994526322E-3</v>
      </c>
      <c r="E765" s="666">
        <f>SUMIFS(Results!$D$100:$AK$100,Results!$D$98:$AK$98,$B765)</f>
        <v>9.317439088520578E-2</v>
      </c>
      <c r="F765" s="666">
        <f>SUMIFS(Results!$D$101:$AK$101,Results!$D$98:$AK$98,$B765)</f>
        <v>0.45972628923314462</v>
      </c>
    </row>
    <row r="766" spans="2:6">
      <c r="B766" s="663" t="s">
        <v>5</v>
      </c>
      <c r="C766" s="663"/>
      <c r="D766" s="668">
        <f>SUM(D732:D765)</f>
        <v>0.13296704587055219</v>
      </c>
      <c r="E766" s="668">
        <f t="shared" ref="E766:F766" si="193">SUM(E732:E765)</f>
        <v>2.3093835026299749</v>
      </c>
      <c r="F766" s="668">
        <f t="shared" si="193"/>
        <v>11.396029474526829</v>
      </c>
    </row>
    <row r="768" spans="2:6">
      <c r="D768" s="711" t="b">
        <f>Results!$D$117=D766</f>
        <v>1</v>
      </c>
      <c r="E768" s="711" t="b">
        <f>Results!$D$118=E766</f>
        <v>1</v>
      </c>
      <c r="F768" s="711" t="b">
        <f>Results!$D$119=F766</f>
        <v>1</v>
      </c>
    </row>
    <row r="770" spans="1:9">
      <c r="A770" s="656" t="s">
        <v>897</v>
      </c>
    </row>
    <row r="771" spans="1:9">
      <c r="B771" s="658" t="s">
        <v>7</v>
      </c>
      <c r="C771" s="658" t="s">
        <v>798</v>
      </c>
      <c r="D771" s="659" t="str">
        <f>Results!$B$18</f>
        <v>Accident Cost Savings</v>
      </c>
      <c r="E771" s="659" t="s">
        <v>898</v>
      </c>
      <c r="F771" s="659" t="s">
        <v>899</v>
      </c>
      <c r="H771" s="706" t="s">
        <v>893</v>
      </c>
      <c r="I771" s="706" t="s">
        <v>894</v>
      </c>
    </row>
    <row r="772" spans="1:9">
      <c r="B772" s="660">
        <f>VRCBY</f>
        <v>2021</v>
      </c>
      <c r="C772" s="661">
        <v>1</v>
      </c>
      <c r="D772" s="662">
        <f>SUMIFS(Results!$D$43:$AK$43,Results!$D$42:$AK$42,$B772)</f>
        <v>0</v>
      </c>
      <c r="E772" s="712">
        <f>$D772*H772</f>
        <v>0</v>
      </c>
      <c r="F772" s="712">
        <f>$D772*I772</f>
        <v>0</v>
      </c>
      <c r="H772" s="707">
        <f>SUMIFS(Results!$D$95:$AK$95,Results!$D$93:$AK$93,$B772)</f>
        <v>1</v>
      </c>
      <c r="I772" s="707">
        <f>SUMIFS(Results!$D$96:$AK$96,Results!$D$93:$AK$93,$B772)</f>
        <v>1</v>
      </c>
    </row>
    <row r="773" spans="1:9">
      <c r="B773" s="660">
        <f>B772+1</f>
        <v>2022</v>
      </c>
      <c r="C773" s="661">
        <f>C772+1</f>
        <v>2</v>
      </c>
      <c r="D773" s="662">
        <f>SUMIFS(Results!$D$43:$AK$43,Results!$D$42:$AK$42,$B773)</f>
        <v>0</v>
      </c>
      <c r="E773" s="712">
        <f t="shared" ref="E773:E805" si="194">$D773*H773</f>
        <v>0</v>
      </c>
      <c r="F773" s="712">
        <f t="shared" ref="F773:F805" si="195">$D773*I773</f>
        <v>0</v>
      </c>
      <c r="H773" s="707">
        <f>SUMIFS(Results!$D$95:$AK$95,Results!$D$93:$AK$93,$B773)</f>
        <v>0.93457943925233644</v>
      </c>
      <c r="I773" s="707">
        <f>SUMIFS(Results!$D$96:$AK$96,Results!$D$93:$AK$93,$B773)</f>
        <v>0.970873786407767</v>
      </c>
    </row>
    <row r="774" spans="1:9">
      <c r="B774" s="660">
        <f t="shared" ref="B774:C774" si="196">B773+1</f>
        <v>2023</v>
      </c>
      <c r="C774" s="661">
        <f t="shared" si="196"/>
        <v>3</v>
      </c>
      <c r="D774" s="662">
        <f>SUMIFS(Results!$D$43:$AK$43,Results!$D$42:$AK$42,$B774)</f>
        <v>0</v>
      </c>
      <c r="E774" s="712">
        <f t="shared" si="194"/>
        <v>0</v>
      </c>
      <c r="F774" s="712">
        <f t="shared" si="195"/>
        <v>0</v>
      </c>
      <c r="H774" s="707">
        <f>SUMIFS(Results!$D$95:$AK$95,Results!$D$93:$AK$93,$B774)</f>
        <v>0.87343872827321156</v>
      </c>
      <c r="I774" s="707">
        <f>SUMIFS(Results!$D$96:$AK$96,Results!$D$93:$AK$93,$B774)</f>
        <v>0.94259590913375435</v>
      </c>
    </row>
    <row r="775" spans="1:9">
      <c r="B775" s="660">
        <f t="shared" ref="B775:C775" si="197">B774+1</f>
        <v>2024</v>
      </c>
      <c r="C775" s="661">
        <f t="shared" si="197"/>
        <v>4</v>
      </c>
      <c r="D775" s="662">
        <f>SUMIFS(Results!$D$43:$AK$43,Results!$D$42:$AK$42,$B775)</f>
        <v>0</v>
      </c>
      <c r="E775" s="712">
        <f t="shared" si="194"/>
        <v>0</v>
      </c>
      <c r="F775" s="712">
        <f t="shared" si="195"/>
        <v>0</v>
      </c>
      <c r="H775" s="707">
        <f>SUMIFS(Results!$D$95:$AK$95,Results!$D$93:$AK$93,$B775)</f>
        <v>0.81629787689085187</v>
      </c>
      <c r="I775" s="707">
        <f>SUMIFS(Results!$D$96:$AK$96,Results!$D$93:$AK$93,$B775)</f>
        <v>0.91514165935315961</v>
      </c>
    </row>
    <row r="776" spans="1:9">
      <c r="B776" s="660">
        <f t="shared" ref="B776:C776" si="198">B775+1</f>
        <v>2025</v>
      </c>
      <c r="C776" s="661">
        <f t="shared" si="198"/>
        <v>5</v>
      </c>
      <c r="D776" s="662">
        <f>SUMIFS(Results!$D$43:$AK$43,Results!$D$42:$AK$42,$B776)</f>
        <v>62562.159129894724</v>
      </c>
      <c r="E776" s="712">
        <f t="shared" si="194"/>
        <v>47728.371655552051</v>
      </c>
      <c r="F776" s="712">
        <f t="shared" si="195"/>
        <v>55585.66807655173</v>
      </c>
      <c r="H776" s="707">
        <f>SUMIFS(Results!$D$95:$AK$95,Results!$D$93:$AK$93,$B776)</f>
        <v>0.7628952120475252</v>
      </c>
      <c r="I776" s="707">
        <f>SUMIFS(Results!$D$96:$AK$96,Results!$D$93:$AK$93,$B776)</f>
        <v>0.888487047915689</v>
      </c>
    </row>
    <row r="777" spans="1:9">
      <c r="B777" s="660">
        <f t="shared" ref="B777:C777" si="199">B776+1</f>
        <v>2026</v>
      </c>
      <c r="C777" s="661">
        <f t="shared" si="199"/>
        <v>6</v>
      </c>
      <c r="D777" s="662">
        <f>SUMIFS(Results!$D$43:$AK$43,Results!$D$42:$AK$42,$B777)</f>
        <v>63415.833852628079</v>
      </c>
      <c r="E777" s="712">
        <f t="shared" si="194"/>
        <v>45214.613097356378</v>
      </c>
      <c r="F777" s="712">
        <f t="shared" si="195"/>
        <v>54703.05535032363</v>
      </c>
      <c r="H777" s="707">
        <f>SUMIFS(Results!$D$95:$AK$95,Results!$D$93:$AK$93,$B777)</f>
        <v>0.71298617948366838</v>
      </c>
      <c r="I777" s="707">
        <f>SUMIFS(Results!$D$96:$AK$96,Results!$D$93:$AK$93,$B777)</f>
        <v>0.86260878438416411</v>
      </c>
    </row>
    <row r="778" spans="1:9">
      <c r="B778" s="660">
        <f t="shared" ref="B778:C778" si="200">B777+1</f>
        <v>2027</v>
      </c>
      <c r="C778" s="661">
        <f t="shared" si="200"/>
        <v>7</v>
      </c>
      <c r="D778" s="662">
        <f>SUMIFS(Results!$D$43:$AK$43,Results!$D$42:$AK$42,$B778)</f>
        <v>64287.277267143632</v>
      </c>
      <c r="E778" s="712">
        <f t="shared" si="194"/>
        <v>42837.327297297219</v>
      </c>
      <c r="F778" s="712">
        <f t="shared" si="195"/>
        <v>53839.582616289779</v>
      </c>
      <c r="H778" s="707">
        <f>SUMIFS(Results!$D$95:$AK$95,Results!$D$93:$AK$93,$B778)</f>
        <v>0.66634222381651254</v>
      </c>
      <c r="I778" s="707">
        <f>SUMIFS(Results!$D$96:$AK$96,Results!$D$93:$AK$93,$B778)</f>
        <v>0.83748425668365445</v>
      </c>
    </row>
    <row r="779" spans="1:9">
      <c r="B779" s="660">
        <f t="shared" ref="B779:C779" si="201">B778+1</f>
        <v>2028</v>
      </c>
      <c r="C779" s="661">
        <f t="shared" si="201"/>
        <v>8</v>
      </c>
      <c r="D779" s="662">
        <f>SUMIFS(Results!$D$43:$AK$43,Results!$D$42:$AK$42,$B779)</f>
        <v>65175.224284618991</v>
      </c>
      <c r="E779" s="712">
        <f t="shared" si="194"/>
        <v>40587.854100516808</v>
      </c>
      <c r="F779" s="712">
        <f t="shared" si="195"/>
        <v>52993.421615722909</v>
      </c>
      <c r="H779" s="707">
        <f>SUMIFS(Results!$D$95:$AK$95,Results!$D$93:$AK$93,$B779)</f>
        <v>0.62274974188459109</v>
      </c>
      <c r="I779" s="707">
        <f>SUMIFS(Results!$D$96:$AK$96,Results!$D$93:$AK$93,$B779)</f>
        <v>0.81309151134335378</v>
      </c>
    </row>
    <row r="780" spans="1:9">
      <c r="B780" s="660">
        <f t="shared" ref="B780:C780" si="202">B779+1</f>
        <v>2029</v>
      </c>
      <c r="C780" s="661">
        <f t="shared" si="202"/>
        <v>9</v>
      </c>
      <c r="D780" s="662">
        <f>SUMIFS(Results!$D$43:$AK$43,Results!$D$42:$AK$42,$B780)</f>
        <v>66078.946726568567</v>
      </c>
      <c r="E780" s="712">
        <f t="shared" si="194"/>
        <v>38458.548614931045</v>
      </c>
      <c r="F780" s="712">
        <f t="shared" si="195"/>
        <v>52163.330739691839</v>
      </c>
      <c r="H780" s="707">
        <f>SUMIFS(Results!$D$95:$AK$95,Results!$D$93:$AK$93,$B780)</f>
        <v>0.5820091045650384</v>
      </c>
      <c r="I780" s="707">
        <f>SUMIFS(Results!$D$96:$AK$96,Results!$D$93:$AK$93,$B780)</f>
        <v>0.78940923431393573</v>
      </c>
    </row>
    <row r="781" spans="1:9">
      <c r="B781" s="660">
        <f t="shared" ref="B781:C781" si="203">B780+1</f>
        <v>2030</v>
      </c>
      <c r="C781" s="661">
        <f t="shared" si="203"/>
        <v>10</v>
      </c>
      <c r="D781" s="662">
        <f>SUMIFS(Results!$D$43:$AK$43,Results!$D$42:$AK$42,$B781)</f>
        <v>66998.02147089396</v>
      </c>
      <c r="E781" s="712">
        <f t="shared" si="194"/>
        <v>36442.484564396458</v>
      </c>
      <c r="F781" s="712">
        <f t="shared" si="195"/>
        <v>51348.404689210707</v>
      </c>
      <c r="H781" s="707">
        <f>SUMIFS(Results!$D$95:$AK$95,Results!$D$93:$AK$93,$B781)</f>
        <v>0.54393374258414806</v>
      </c>
      <c r="I781" s="707">
        <f>SUMIFS(Results!$D$96:$AK$96,Results!$D$93:$AK$93,$B781)</f>
        <v>0.76641673234362695</v>
      </c>
    </row>
    <row r="782" spans="1:9">
      <c r="B782" s="660">
        <f t="shared" ref="B782:C782" si="204">B781+1</f>
        <v>2031</v>
      </c>
      <c r="C782" s="661">
        <f t="shared" si="204"/>
        <v>11</v>
      </c>
      <c r="D782" s="662">
        <f>SUMIFS(Results!$D$43:$AK$43,Results!$D$42:$AK$42,$B782)</f>
        <v>67932.211730192794</v>
      </c>
      <c r="E782" s="712">
        <f t="shared" si="194"/>
        <v>34533.291746189279</v>
      </c>
      <c r="F782" s="712">
        <f t="shared" si="195"/>
        <v>50547.945373912393</v>
      </c>
      <c r="H782" s="707">
        <f>SUMIFS(Results!$D$95:$AK$95,Results!$D$93:$AK$93,$B782)</f>
        <v>0.5083492921347178</v>
      </c>
      <c r="I782" s="707">
        <f>SUMIFS(Results!$D$96:$AK$96,Results!$D$93:$AK$93,$B782)</f>
        <v>0.74409391489672516</v>
      </c>
    </row>
    <row r="783" spans="1:9">
      <c r="B783" s="660">
        <f t="shared" ref="B783:C783" si="205">B782+1</f>
        <v>2032</v>
      </c>
      <c r="C783" s="661">
        <f t="shared" si="205"/>
        <v>12</v>
      </c>
      <c r="D783" s="662">
        <f>SUMIFS(Results!$D$43:$AK$43,Results!$D$42:$AK$42,$B783)</f>
        <v>68881.401226187008</v>
      </c>
      <c r="E783" s="712">
        <f t="shared" si="194"/>
        <v>32725.057527644527</v>
      </c>
      <c r="F783" s="712">
        <f t="shared" si="195"/>
        <v>49761.389807733569</v>
      </c>
      <c r="H783" s="707">
        <f>SUMIFS(Results!$D$95:$AK$95,Results!$D$93:$AK$93,$B783)</f>
        <v>0.47509279638758667</v>
      </c>
      <c r="I783" s="707">
        <f>SUMIFS(Results!$D$96:$AK$96,Results!$D$93:$AK$93,$B783)</f>
        <v>0.72242127659876232</v>
      </c>
    </row>
    <row r="784" spans="1:9">
      <c r="B784" s="660">
        <f t="shared" ref="B784:C784" si="206">B783+1</f>
        <v>2033</v>
      </c>
      <c r="C784" s="661">
        <f t="shared" si="206"/>
        <v>13</v>
      </c>
      <c r="D784" s="662">
        <f>SUMIFS(Results!$D$43:$AK$43,Results!$D$42:$AK$42,$B784)</f>
        <v>69845.555357655103</v>
      </c>
      <c r="E784" s="712">
        <f t="shared" si="194"/>
        <v>31012.261878609675</v>
      </c>
      <c r="F784" s="712">
        <f t="shared" si="195"/>
        <v>48988.267248763819</v>
      </c>
      <c r="H784" s="707">
        <f>SUMIFS(Results!$D$95:$AK$95,Results!$D$93:$AK$93,$B784)</f>
        <v>0.44401195924073528</v>
      </c>
      <c r="I784" s="707">
        <f>SUMIFS(Results!$D$96:$AK$96,Results!$D$93:$AK$93,$B784)</f>
        <v>0.70137988019297326</v>
      </c>
    </row>
    <row r="785" spans="2:9">
      <c r="B785" s="660">
        <f t="shared" ref="B785:C785" si="207">B784+1</f>
        <v>2034</v>
      </c>
      <c r="C785" s="661">
        <f t="shared" si="207"/>
        <v>14</v>
      </c>
      <c r="D785" s="662">
        <f>SUMIFS(Results!$D$43:$AK$43,Results!$D$42:$AK$42,$B785)</f>
        <v>70824.697123838559</v>
      </c>
      <c r="E785" s="712">
        <f t="shared" si="194"/>
        <v>29389.731338866564</v>
      </c>
      <c r="F785" s="712">
        <f t="shared" si="195"/>
        <v>48228.172411088839</v>
      </c>
      <c r="H785" s="707">
        <f>SUMIFS(Results!$D$95:$AK$95,Results!$D$93:$AK$93,$B785)</f>
        <v>0.41496444788853759</v>
      </c>
      <c r="I785" s="707">
        <f>SUMIFS(Results!$D$96:$AK$96,Results!$D$93:$AK$93,$B785)</f>
        <v>0.68095133999317792</v>
      </c>
    </row>
    <row r="786" spans="2:9">
      <c r="B786" s="660">
        <f t="shared" ref="B786:C786" si="208">B785+1</f>
        <v>2035</v>
      </c>
      <c r="C786" s="661">
        <f t="shared" si="208"/>
        <v>15</v>
      </c>
      <c r="D786" s="662">
        <f>SUMIFS(Results!$D$43:$AK$43,Results!$D$42:$AK$42,$B786)</f>
        <v>71818.891574791807</v>
      </c>
      <c r="E786" s="712">
        <f t="shared" si="194"/>
        <v>27852.604383458158</v>
      </c>
      <c r="F786" s="712">
        <f t="shared" si="195"/>
        <v>47480.74801425168</v>
      </c>
      <c r="H786" s="707">
        <f>SUMIFS(Results!$D$95:$AK$95,Results!$D$93:$AK$93,$B786)</f>
        <v>0.3878172410173249</v>
      </c>
      <c r="I786" s="707">
        <f>SUMIFS(Results!$D$96:$AK$96,Results!$D$93:$AK$93,$B786)</f>
        <v>0.66111780581861923</v>
      </c>
    </row>
    <row r="787" spans="2:9">
      <c r="B787" s="660">
        <f t="shared" ref="B787:C787" si="209">B786+1</f>
        <v>2036</v>
      </c>
      <c r="C787" s="661">
        <f t="shared" si="209"/>
        <v>16</v>
      </c>
      <c r="D787" s="662">
        <f>SUMIFS(Results!$D$43:$AK$43,Results!$D$42:$AK$42,$B787)</f>
        <v>72828.235421132675</v>
      </c>
      <c r="E787" s="712">
        <f t="shared" si="194"/>
        <v>26396.304045966248</v>
      </c>
      <c r="F787" s="712">
        <f t="shared" si="195"/>
        <v>46745.673012874831</v>
      </c>
      <c r="H787" s="707">
        <f>SUMIFS(Results!$D$95:$AK$95,Results!$D$93:$AK$93,$B787)</f>
        <v>0.36244601964235967</v>
      </c>
      <c r="I787" s="707">
        <f>SUMIFS(Results!$D$96:$AK$96,Results!$D$93:$AK$93,$B787)</f>
        <v>0.64186194739671765</v>
      </c>
    </row>
    <row r="788" spans="2:9">
      <c r="B788" s="660">
        <f t="shared" ref="B788:C788" si="210">B787+1</f>
        <v>2037</v>
      </c>
      <c r="C788" s="661">
        <f t="shared" si="210"/>
        <v>17</v>
      </c>
      <c r="D788" s="662">
        <f>SUMIFS(Results!$D$43:$AK$43,Results!$D$42:$AK$42,$B788)</f>
        <v>73852.849888778408</v>
      </c>
      <c r="E788" s="712">
        <f t="shared" si="194"/>
        <v>25016.515403207872</v>
      </c>
      <c r="F788" s="712">
        <f t="shared" si="195"/>
        <v>46022.654417872604</v>
      </c>
      <c r="H788" s="707">
        <f>SUMIFS(Results!$D$95:$AK$95,Results!$D$93:$AK$93,$B788)</f>
        <v>0.33873459779659787</v>
      </c>
      <c r="I788" s="707">
        <f>SUMIFS(Results!$D$96:$AK$96,Results!$D$93:$AK$93,$B788)</f>
        <v>0.62316693922011435</v>
      </c>
    </row>
    <row r="789" spans="2:9">
      <c r="B789" s="660">
        <f t="shared" ref="B789:C789" si="211">B788+1</f>
        <v>2038</v>
      </c>
      <c r="C789" s="661">
        <f t="shared" si="211"/>
        <v>18</v>
      </c>
      <c r="D789" s="662">
        <f>SUMIFS(Results!$D$43:$AK$43,Results!$D$42:$AK$42,$B789)</f>
        <v>74892.875683198567</v>
      </c>
      <c r="E789" s="712">
        <f t="shared" si="194"/>
        <v>23709.166469512966</v>
      </c>
      <c r="F789" s="712">
        <f t="shared" si="195"/>
        <v>45311.421464943087</v>
      </c>
      <c r="H789" s="707">
        <f>SUMIFS(Results!$D$95:$AK$95,Results!$D$93:$AK$93,$B789)</f>
        <v>0.31657439046411018</v>
      </c>
      <c r="I789" s="707">
        <f>SUMIFS(Results!$D$96:$AK$96,Results!$D$93:$AK$93,$B789)</f>
        <v>0.60501644584477121</v>
      </c>
    </row>
    <row r="790" spans="2:9">
      <c r="B790" s="660">
        <f t="shared" ref="B790:C790" si="212">B789+1</f>
        <v>2039</v>
      </c>
      <c r="C790" s="661">
        <f t="shared" si="212"/>
        <v>19</v>
      </c>
      <c r="D790" s="662">
        <f>SUMIFS(Results!$D$43:$AK$43,Results!$D$42:$AK$42,$B790)</f>
        <v>75948.469364817458</v>
      </c>
      <c r="E790" s="712">
        <f t="shared" si="194"/>
        <v>22470.411584905822</v>
      </c>
      <c r="F790" s="712">
        <f t="shared" si="195"/>
        <v>44611.721361604221</v>
      </c>
      <c r="H790" s="707">
        <f>SUMIFS(Results!$D$95:$AK$95,Results!$D$93:$AK$93,$B790)</f>
        <v>0.29586391632159825</v>
      </c>
      <c r="I790" s="707">
        <f>SUMIFS(Results!$D$96:$AK$96,Results!$D$93:$AK$93,$B790)</f>
        <v>0.5873946076162827</v>
      </c>
    </row>
    <row r="791" spans="2:9">
      <c r="B791" s="660">
        <f t="shared" ref="B791:C791" si="213">B790+1</f>
        <v>2040</v>
      </c>
      <c r="C791" s="661">
        <f t="shared" si="213"/>
        <v>20</v>
      </c>
      <c r="D791" s="662">
        <f>SUMIFS(Results!$D$43:$AK$43,Results!$D$42:$AK$42,$B791)</f>
        <v>77019.80069228611</v>
      </c>
      <c r="E791" s="712">
        <f t="shared" si="194"/>
        <v>21296.616698251135</v>
      </c>
      <c r="F791" s="712">
        <f t="shared" si="195"/>
        <v>43923.316122650191</v>
      </c>
      <c r="H791" s="707">
        <f>SUMIFS(Results!$D$95:$AK$95,Results!$D$93:$AK$93,$B791)</f>
        <v>0.27650833301083949</v>
      </c>
      <c r="I791" s="707">
        <f>SUMIFS(Results!$D$96:$AK$96,Results!$D$93:$AK$93,$B791)</f>
        <v>0.57028602681192497</v>
      </c>
    </row>
    <row r="792" spans="2:9">
      <c r="B792" s="660">
        <f t="shared" ref="B792:C792" si="214">B791+1</f>
        <v>2041</v>
      </c>
      <c r="C792" s="661">
        <f t="shared" si="214"/>
        <v>21</v>
      </c>
      <c r="D792" s="662">
        <f>SUMIFS(Results!$D$43:$AK$43,Results!$D$42:$AK$42,$B792)</f>
        <v>78107.050644399016</v>
      </c>
      <c r="E792" s="712">
        <f t="shared" si="194"/>
        <v>20184.346140257934</v>
      </c>
      <c r="F792" s="712">
        <f t="shared" si="195"/>
        <v>43245.980172807889</v>
      </c>
      <c r="H792" s="707">
        <f>SUMIFS(Results!$D$95:$AK$95,Results!$D$93:$AK$93,$B792)</f>
        <v>0.2584190028138687</v>
      </c>
      <c r="I792" s="707">
        <f>SUMIFS(Results!$D$96:$AK$96,Results!$D$93:$AK$93,$B792)</f>
        <v>0.55367575418633497</v>
      </c>
    </row>
    <row r="793" spans="2:9">
      <c r="B793" s="660">
        <f t="shared" ref="B793:C793" si="215">B792+1</f>
        <v>2042</v>
      </c>
      <c r="C793" s="661">
        <f t="shared" si="215"/>
        <v>22</v>
      </c>
      <c r="D793" s="662">
        <f>SUMIFS(Results!$D$43:$AK$43,Results!$D$42:$AK$42,$B793)</f>
        <v>79210.409927287837</v>
      </c>
      <c r="E793" s="712">
        <f t="shared" si="194"/>
        <v>19130.350603633167</v>
      </c>
      <c r="F793" s="712">
        <f t="shared" si="195"/>
        <v>42579.49850087364</v>
      </c>
      <c r="H793" s="707">
        <f>SUMIFS(Results!$D$95:$AK$95,Results!$D$93:$AK$93,$B793)</f>
        <v>0.24151308674193336</v>
      </c>
      <c r="I793" s="707">
        <f>SUMIFS(Results!$D$96:$AK$96,Results!$D$93:$AK$93,$B793)</f>
        <v>0.5375492759090631</v>
      </c>
    </row>
    <row r="794" spans="2:9">
      <c r="B794" s="660">
        <f t="shared" ref="B794:C794" si="216">B793+1</f>
        <v>2043</v>
      </c>
      <c r="C794" s="661">
        <f t="shared" si="216"/>
        <v>23</v>
      </c>
      <c r="D794" s="662">
        <f>SUMIFS(Results!$D$43:$AK$43,Results!$D$42:$AK$42,$B794)</f>
        <v>80330.077834780619</v>
      </c>
      <c r="E794" s="712">
        <f t="shared" si="194"/>
        <v>18131.556127194046</v>
      </c>
      <c r="F794" s="712">
        <f t="shared" si="195"/>
        <v>41923.665217286412</v>
      </c>
      <c r="H794" s="707">
        <f>SUMIFS(Results!$D$95:$AK$95,Results!$D$93:$AK$93,$B794)</f>
        <v>0.22571316517937698</v>
      </c>
      <c r="I794" s="707">
        <f>SUMIFS(Results!$D$96:$AK$96,Results!$D$93:$AK$93,$B794)</f>
        <v>0.52189250088258554</v>
      </c>
    </row>
    <row r="795" spans="2:9">
      <c r="B795" s="660">
        <f t="shared" ref="B795:C795" si="217">B794+1</f>
        <v>2044</v>
      </c>
      <c r="C795" s="661">
        <f t="shared" si="217"/>
        <v>24</v>
      </c>
      <c r="D795" s="662">
        <f>SUMIFS(Results!$D$43:$AK$43,Results!$D$42:$AK$42,$B795)</f>
        <v>81466.261369896471</v>
      </c>
      <c r="E795" s="712">
        <f t="shared" si="194"/>
        <v>17185.05393376611</v>
      </c>
      <c r="F795" s="712">
        <f t="shared" si="195"/>
        <v>41278.282411543332</v>
      </c>
      <c r="H795" s="707">
        <f>SUMIFS(Results!$D$95:$AK$95,Results!$D$93:$AK$93,$B795)</f>
        <v>0.21094688334521211</v>
      </c>
      <c r="I795" s="707">
        <f>SUMIFS(Results!$D$96:$AK$96,Results!$D$93:$AK$93,$B795)</f>
        <v>0.50669174842969467</v>
      </c>
    </row>
    <row r="796" spans="2:9">
      <c r="B796" s="660">
        <f t="shared" ref="B796:C796" si="218">B795+1</f>
        <v>2045</v>
      </c>
      <c r="C796" s="661">
        <f t="shared" si="218"/>
        <v>25</v>
      </c>
      <c r="D796" s="662">
        <f>SUMIFS(Results!$D$43:$AK$43,Results!$D$42:$AK$42,$B796)</f>
        <v>82619.17456223254</v>
      </c>
      <c r="E796" s="712">
        <f t="shared" si="194"/>
        <v>16288.091007903724</v>
      </c>
      <c r="F796" s="712">
        <f t="shared" si="195"/>
        <v>40643.159235685205</v>
      </c>
      <c r="H796" s="707">
        <f>SUMIFS(Results!$D$95:$AK$95,Results!$D$93:$AK$93,$B796)</f>
        <v>0.19714661994879637</v>
      </c>
      <c r="I796" s="707">
        <f>SUMIFS(Results!$D$96:$AK$96,Results!$D$93:$AK$93,$B796)</f>
        <v>0.49193373633950943</v>
      </c>
    </row>
    <row r="797" spans="2:9">
      <c r="B797" s="660">
        <f t="shared" ref="B797:C797" si="219">B796+1</f>
        <v>2046</v>
      </c>
      <c r="C797" s="661">
        <f t="shared" si="219"/>
        <v>26</v>
      </c>
      <c r="D797" s="662">
        <f>SUMIFS(Results!$D$43:$AK$43,Results!$D$42:$AK$42,$B797)</f>
        <v>83789.037934254098</v>
      </c>
      <c r="E797" s="712">
        <f t="shared" si="194"/>
        <v>15438.061324766049</v>
      </c>
      <c r="F797" s="712">
        <f t="shared" si="195"/>
        <v>40018.111160476226</v>
      </c>
      <c r="H797" s="707">
        <f>SUMIFS(Results!$D$95:$AK$95,Results!$D$93:$AK$93,$B797)</f>
        <v>0.18424917752223957</v>
      </c>
      <c r="I797" s="707">
        <f>SUMIFS(Results!$D$96:$AK$96,Results!$D$93:$AK$93,$B797)</f>
        <v>0.47760556926165965</v>
      </c>
    </row>
    <row r="798" spans="2:9">
      <c r="B798" s="660">
        <f t="shared" ref="B798:C798" si="220">B797+1</f>
        <v>2047</v>
      </c>
      <c r="C798" s="661">
        <f t="shared" si="220"/>
        <v>27</v>
      </c>
      <c r="D798" s="662">
        <f>SUMIFS(Results!$D$43:$AK$43,Results!$D$42:$AK$42,$B798)</f>
        <v>84976.078082151726</v>
      </c>
      <c r="E798" s="712">
        <f t="shared" si="194"/>
        <v>14632.497659534642</v>
      </c>
      <c r="F798" s="712">
        <f t="shared" si="195"/>
        <v>39402.959365096416</v>
      </c>
      <c r="H798" s="707">
        <f>SUMIFS(Results!$D$95:$AK$95,Results!$D$93:$AK$93,$B798)</f>
        <v>0.17219549301143888</v>
      </c>
      <c r="I798" s="707">
        <f>SUMIFS(Results!$D$96:$AK$96,Results!$D$93:$AK$93,$B798)</f>
        <v>0.46369472743850448</v>
      </c>
    </row>
    <row r="799" spans="2:9">
      <c r="B799" s="660">
        <f t="shared" ref="B799:C799" si="221">B798+1</f>
        <v>2048</v>
      </c>
      <c r="C799" s="661">
        <f t="shared" si="221"/>
        <v>28</v>
      </c>
      <c r="D799" s="662">
        <f>SUMIFS(Results!$D$43:$AK$43,Results!$D$42:$AK$42,$B799)</f>
        <v>86180.527345841765</v>
      </c>
      <c r="E799" s="712">
        <f t="shared" si="194"/>
        <v>13869.063919909355</v>
      </c>
      <c r="F799" s="712">
        <f t="shared" si="195"/>
        <v>38797.530231200661</v>
      </c>
      <c r="H799" s="707">
        <f>SUMIFS(Results!$D$95:$AK$95,Results!$D$93:$AK$93,$B799)</f>
        <v>0.16093036730041013</v>
      </c>
      <c r="I799" s="707">
        <f>SUMIFS(Results!$D$96:$AK$96,Results!$D$93:$AK$93,$B799)</f>
        <v>0.45018905576553836</v>
      </c>
    </row>
    <row r="800" spans="2:9">
      <c r="B800" s="660">
        <f t="shared" ref="B800:C800" si="222">B799+1</f>
        <v>2049</v>
      </c>
      <c r="C800" s="661">
        <f t="shared" si="222"/>
        <v>29</v>
      </c>
      <c r="D800" s="662">
        <f>SUMIFS(Results!$D$43:$AK$43,Results!$D$42:$AK$42,$B800)</f>
        <v>87402.623549058146</v>
      </c>
      <c r="E800" s="712">
        <f t="shared" si="194"/>
        <v>13145.547953990099</v>
      </c>
      <c r="F800" s="712">
        <f t="shared" si="195"/>
        <v>38201.654919399312</v>
      </c>
      <c r="H800" s="707">
        <f>SUMIFS(Results!$D$95:$AK$95,Results!$D$93:$AK$93,$B800)</f>
        <v>0.15040221243028987</v>
      </c>
      <c r="I800" s="707">
        <f>SUMIFS(Results!$D$96:$AK$96,Results!$D$93:$AK$93,$B800)</f>
        <v>0.4370767531704256</v>
      </c>
    </row>
    <row r="801" spans="1:9">
      <c r="B801" s="660">
        <f t="shared" ref="B801:C801" si="223">B800+1</f>
        <v>2050</v>
      </c>
      <c r="C801" s="661">
        <f t="shared" si="223"/>
        <v>30</v>
      </c>
      <c r="D801" s="662">
        <f>SUMIFS(Results!$D$43:$AK$43,Results!$D$42:$AK$42,$B801)</f>
        <v>88642.609795096971</v>
      </c>
      <c r="E801" s="712">
        <f t="shared" si="194"/>
        <v>12459.854793249971</v>
      </c>
      <c r="F801" s="712">
        <f t="shared" si="195"/>
        <v>37615.169011450438</v>
      </c>
      <c r="H801" s="707">
        <f>SUMIFS(Results!$D$95:$AK$95,Results!$D$93:$AK$93,$B801)</f>
        <v>0.1405628153554111</v>
      </c>
      <c r="I801" s="707">
        <f>SUMIFS(Results!$D$96:$AK$96,Results!$D$93:$AK$93,$B801)</f>
        <v>0.42434636230138412</v>
      </c>
    </row>
    <row r="802" spans="1:9">
      <c r="B802" s="660">
        <f t="shared" ref="B802:C802" si="224">B801+1</f>
        <v>2051</v>
      </c>
      <c r="C802" s="661">
        <f t="shared" si="224"/>
        <v>31</v>
      </c>
      <c r="D802" s="662">
        <f>SUMIFS(Results!$D$43:$AK$43,Results!$D$42:$AK$42,$B802)</f>
        <v>89900.734307160354</v>
      </c>
      <c r="E802" s="712">
        <f t="shared" si="194"/>
        <v>11810.000296012386</v>
      </c>
      <c r="F802" s="712">
        <f t="shared" si="195"/>
        <v>37037.912205307512</v>
      </c>
      <c r="H802" s="707">
        <f>SUMIFS(Results!$D$95:$AK$95,Results!$D$93:$AK$93,$B802)</f>
        <v>0.13136711715458982</v>
      </c>
      <c r="I802" s="707">
        <f>SUMIFS(Results!$D$96:$AK$96,Results!$D$93:$AK$93,$B802)</f>
        <v>0.41198675951590691</v>
      </c>
    </row>
    <row r="803" spans="1:9">
      <c r="B803" s="660">
        <f t="shared" ref="B803:C803" si="225">B802+1</f>
        <v>2052</v>
      </c>
      <c r="C803" s="661">
        <f t="shared" si="225"/>
        <v>32</v>
      </c>
      <c r="D803" s="662">
        <f>SUMIFS(Results!$D$43:$AK$43,Results!$D$42:$AK$42,$B803)</f>
        <v>91177.25030475462</v>
      </c>
      <c r="E803" s="712">
        <f t="shared" si="194"/>
        <v>11194.105161325286</v>
      </c>
      <c r="F803" s="712">
        <f t="shared" si="195"/>
        <v>36469.72805303552</v>
      </c>
      <c r="H803" s="707">
        <f>SUMIFS(Results!$D$95:$AK$95,Results!$D$93:$AK$93,$B803)</f>
        <v>0.1227730066865325</v>
      </c>
      <c r="I803" s="707">
        <f>SUMIFS(Results!$D$96:$AK$96,Results!$D$93:$AK$93,$B803)</f>
        <v>0.39998714516107459</v>
      </c>
    </row>
    <row r="804" spans="1:9">
      <c r="B804" s="660">
        <f t="shared" ref="B804:C805" si="226">B803+1</f>
        <v>2053</v>
      </c>
      <c r="C804" s="661">
        <f t="shared" si="226"/>
        <v>33</v>
      </c>
      <c r="D804" s="662">
        <f>SUMIFS(Results!$D$43:$AK$43,Results!$D$42:$AK$42,$B804)</f>
        <v>92472.415909478164</v>
      </c>
      <c r="E804" s="712">
        <f t="shared" si="194"/>
        <v>10610.38928670484</v>
      </c>
      <c r="F804" s="712">
        <f t="shared" si="195"/>
        <v>35910.463733766708</v>
      </c>
      <c r="H804" s="707">
        <f>SUMIFS(Results!$D$95:$AK$95,Results!$D$93:$AK$93,$B804)</f>
        <v>0.11474112774442291</v>
      </c>
      <c r="I804" s="707">
        <f>SUMIFS(Results!$D$96:$AK$96,Results!$D$93:$AK$93,$B804)</f>
        <v>0.38833703413696569</v>
      </c>
    </row>
    <row r="805" spans="1:9">
      <c r="B805" s="660">
        <f t="shared" si="226"/>
        <v>2054</v>
      </c>
      <c r="C805" s="661">
        <f t="shared" si="226"/>
        <v>34</v>
      </c>
      <c r="D805" s="662">
        <f>SUMIFS(Results!$D$43:$AK$43,Results!$D$42:$AK$42,$B805)</f>
        <v>93786.494074963353</v>
      </c>
      <c r="E805" s="712">
        <f t="shared" si="194"/>
        <v>10057.166446127974</v>
      </c>
      <c r="F805" s="712">
        <f t="shared" si="195"/>
        <v>35359.969855510069</v>
      </c>
      <c r="H805" s="707">
        <f>SUMIFS(Results!$D$95:$AK$95,Results!$D$93:$AK$93,$B805)</f>
        <v>0.10723469882656347</v>
      </c>
      <c r="I805" s="707">
        <f>SUMIFS(Results!$D$96:$AK$96,Results!$D$93:$AK$93,$B805)</f>
        <v>0.37702624673491814</v>
      </c>
    </row>
    <row r="806" spans="1:9">
      <c r="B806" s="663" t="s">
        <v>5</v>
      </c>
      <c r="C806" s="663"/>
      <c r="D806" s="664">
        <f>SUM(D772:D805)</f>
        <v>2312423.1964359824</v>
      </c>
      <c r="E806" s="664">
        <f t="shared" ref="E806:F806" si="227">SUM(E772:E805)</f>
        <v>729807.2450610376</v>
      </c>
      <c r="F806" s="664">
        <f t="shared" si="227"/>
        <v>1340738.8563969254</v>
      </c>
    </row>
    <row r="808" spans="1:9">
      <c r="D808" s="711" t="b">
        <f>Results!$C$18*10^6=D806</f>
        <v>1</v>
      </c>
      <c r="E808" s="711" t="b">
        <f>Results!$E$18*10^6=E806</f>
        <v>1</v>
      </c>
      <c r="F808" s="711" t="b">
        <f>Results!$D$18*10^6=F806</f>
        <v>1</v>
      </c>
    </row>
    <row r="810" spans="1:9">
      <c r="A810" s="656" t="s">
        <v>938</v>
      </c>
    </row>
    <row r="811" spans="1:9" ht="23">
      <c r="B811" s="658" t="s">
        <v>7</v>
      </c>
      <c r="C811" s="658" t="s">
        <v>798</v>
      </c>
      <c r="D811" s="659" t="str">
        <f>Results!$B$103</f>
        <v>Avoided Person Hours of Travel Time</v>
      </c>
      <c r="E811" s="659" t="str">
        <f>Results!$B$104</f>
        <v>Avoided Vehicle Hours of Travel Time</v>
      </c>
    </row>
    <row r="812" spans="1:9">
      <c r="B812" s="660">
        <f>VRCBY</f>
        <v>2021</v>
      </c>
      <c r="C812" s="661">
        <v>1</v>
      </c>
      <c r="D812" s="736">
        <f>SUMIFS(Results!$D$103:$AK$103,Results!$D$98:$AK$98,$B812)</f>
        <v>0</v>
      </c>
      <c r="E812" s="736">
        <f>SUMIFS(Results!$D$104:$AK$104,Results!$D$98:$AK$98,$B812)</f>
        <v>0</v>
      </c>
    </row>
    <row r="813" spans="1:9">
      <c r="B813" s="660">
        <f>B812+1</f>
        <v>2022</v>
      </c>
      <c r="C813" s="661">
        <f>C812+1</f>
        <v>2</v>
      </c>
      <c r="D813" s="736">
        <f>SUMIFS(Results!$D$103:$AK$103,Results!$D$98:$AK$98,$B813)</f>
        <v>0</v>
      </c>
      <c r="E813" s="736">
        <f>SUMIFS(Results!$D$104:$AK$104,Results!$D$98:$AK$98,$B813)</f>
        <v>0</v>
      </c>
    </row>
    <row r="814" spans="1:9">
      <c r="B814" s="660">
        <f t="shared" ref="B814:C814" si="228">B813+1</f>
        <v>2023</v>
      </c>
      <c r="C814" s="661">
        <f t="shared" si="228"/>
        <v>3</v>
      </c>
      <c r="D814" s="736">
        <f>SUMIFS(Results!$D$103:$AK$103,Results!$D$98:$AK$98,$B814)</f>
        <v>0</v>
      </c>
      <c r="E814" s="736">
        <f>SUMIFS(Results!$D$104:$AK$104,Results!$D$98:$AK$98,$B814)</f>
        <v>0</v>
      </c>
    </row>
    <row r="815" spans="1:9">
      <c r="B815" s="660">
        <f t="shared" ref="B815:C815" si="229">B814+1</f>
        <v>2024</v>
      </c>
      <c r="C815" s="661">
        <f t="shared" si="229"/>
        <v>4</v>
      </c>
      <c r="D815" s="736">
        <f>SUMIFS(Results!$D$103:$AK$103,Results!$D$98:$AK$98,$B815)</f>
        <v>0</v>
      </c>
      <c r="E815" s="736">
        <f>SUMIFS(Results!$D$104:$AK$104,Results!$D$98:$AK$98,$B815)</f>
        <v>0</v>
      </c>
    </row>
    <row r="816" spans="1:9">
      <c r="B816" s="660">
        <f t="shared" ref="B816:C816" si="230">B815+1</f>
        <v>2025</v>
      </c>
      <c r="C816" s="661">
        <f t="shared" si="230"/>
        <v>5</v>
      </c>
      <c r="D816" s="736">
        <f>SUMIFS(Results!$D$103:$AK$103,Results!$D$98:$AK$98,$B816)</f>
        <v>20149.040889000644</v>
      </c>
      <c r="E816" s="736">
        <f>SUMIFS(Results!$D$104:$AK$104,Results!$D$98:$AK$98,$B816)</f>
        <v>12529.564697720985</v>
      </c>
    </row>
    <row r="817" spans="2:5">
      <c r="B817" s="660">
        <f t="shared" ref="B817:C817" si="231">B816+1</f>
        <v>2026</v>
      </c>
      <c r="C817" s="661">
        <f t="shared" si="231"/>
        <v>6</v>
      </c>
      <c r="D817" s="736">
        <f>SUMIFS(Results!$D$103:$AK$103,Results!$D$98:$AK$98,$B817)</f>
        <v>20963.331239523337</v>
      </c>
      <c r="E817" s="736">
        <f>SUMIFS(Results!$D$104:$AK$104,Results!$D$98:$AK$98,$B817)</f>
        <v>13035.92644892343</v>
      </c>
    </row>
    <row r="818" spans="2:5">
      <c r="B818" s="660">
        <f t="shared" ref="B818:C818" si="232">B817+1</f>
        <v>2027</v>
      </c>
      <c r="C818" s="661">
        <f t="shared" si="232"/>
        <v>7</v>
      </c>
      <c r="D818" s="736">
        <f>SUMIFS(Results!$D$103:$AK$103,Results!$D$98:$AK$98,$B818)</f>
        <v>21810.529795384758</v>
      </c>
      <c r="E818" s="736">
        <f>SUMIFS(Results!$D$104:$AK$104,Results!$D$98:$AK$98,$B818)</f>
        <v>13562.751977540831</v>
      </c>
    </row>
    <row r="819" spans="2:5">
      <c r="B819" s="660">
        <f t="shared" ref="B819:C819" si="233">B818+1</f>
        <v>2028</v>
      </c>
      <c r="C819" s="661">
        <f t="shared" si="233"/>
        <v>8</v>
      </c>
      <c r="D819" s="736">
        <f>SUMIFS(Results!$D$103:$AK$103,Results!$D$98:$AK$98,$B819)</f>
        <v>22691.966487583053</v>
      </c>
      <c r="E819" s="736">
        <f>SUMIFS(Results!$D$104:$AK$104,Results!$D$98:$AK$98,$B819)</f>
        <v>14110.868293482828</v>
      </c>
    </row>
    <row r="820" spans="2:5">
      <c r="B820" s="660">
        <f t="shared" ref="B820:C820" si="234">B819+1</f>
        <v>2029</v>
      </c>
      <c r="C820" s="661">
        <f t="shared" si="234"/>
        <v>9</v>
      </c>
      <c r="D820" s="736">
        <f>SUMIFS(Results!$D$103:$AK$103,Results!$D$98:$AK$98,$B820)</f>
        <v>23609.024994090425</v>
      </c>
      <c r="E820" s="736">
        <f>SUMIFS(Results!$D$104:$AK$104,Results!$D$98:$AK$98,$B820)</f>
        <v>14681.135828904438</v>
      </c>
    </row>
    <row r="821" spans="2:5">
      <c r="B821" s="660">
        <f t="shared" ref="B821:C821" si="235">B820+1</f>
        <v>2030</v>
      </c>
      <c r="C821" s="661">
        <f t="shared" si="235"/>
        <v>10</v>
      </c>
      <c r="D821" s="736">
        <f>SUMIFS(Results!$D$103:$AK$103,Results!$D$98:$AK$98,$B821)</f>
        <v>24563.144911948726</v>
      </c>
      <c r="E821" s="736">
        <f>SUMIFS(Results!$D$104:$AK$104,Results!$D$98:$AK$98,$B821)</f>
        <v>15274.44978891113</v>
      </c>
    </row>
    <row r="822" spans="2:5">
      <c r="B822" s="660">
        <f t="shared" ref="B822:C822" si="236">B821+1</f>
        <v>2031</v>
      </c>
      <c r="C822" s="661">
        <f t="shared" si="236"/>
        <v>11</v>
      </c>
      <c r="D822" s="736">
        <f>SUMIFS(Results!$D$103:$AK$103,Results!$D$98:$AK$98,$B822)</f>
        <v>25555.824017146671</v>
      </c>
      <c r="E822" s="736">
        <f>SUMIFS(Results!$D$104:$AK$104,Results!$D$98:$AK$98,$B822)</f>
        <v>15891.741556850478</v>
      </c>
    </row>
    <row r="823" spans="2:5">
      <c r="B823" s="660">
        <f t="shared" ref="B823:C823" si="237">B822+1</f>
        <v>2032</v>
      </c>
      <c r="C823" s="661">
        <f t="shared" si="237"/>
        <v>12</v>
      </c>
      <c r="D823" s="736">
        <f>SUMIFS(Results!$D$103:$AK$103,Results!$D$98:$AK$98,$B823)</f>
        <v>26588.620615826341</v>
      </c>
      <c r="E823" s="736">
        <f>SUMIFS(Results!$D$104:$AK$104,Results!$D$98:$AK$98,$B823)</f>
        <v>16533.98015639629</v>
      </c>
    </row>
    <row r="824" spans="2:5">
      <c r="B824" s="660">
        <f t="shared" ref="B824:C824" si="238">B823+1</f>
        <v>2033</v>
      </c>
      <c r="C824" s="661">
        <f t="shared" si="238"/>
        <v>13</v>
      </c>
      <c r="D824" s="736">
        <f>SUMIFS(Results!$D$103:$AK$103,Results!$D$98:$AK$98,$B824)</f>
        <v>27663.155990509862</v>
      </c>
      <c r="E824" s="736">
        <f>SUMIFS(Results!$D$104:$AK$104,Results!$D$98:$AK$98,$B824)</f>
        <v>17202.173772720565</v>
      </c>
    </row>
    <row r="825" spans="2:5">
      <c r="B825" s="660">
        <f t="shared" ref="B825:C825" si="239">B824+1</f>
        <v>2034</v>
      </c>
      <c r="C825" s="661">
        <f t="shared" si="239"/>
        <v>14</v>
      </c>
      <c r="D825" s="736">
        <f>SUMIFS(Results!$D$103:$AK$103,Results!$D$98:$AK$98,$B825)</f>
        <v>28781.116945186011</v>
      </c>
      <c r="E825" s="736">
        <f>SUMIFS(Results!$D$104:$AK$104,Results!$D$98:$AK$98,$B825)</f>
        <v>17897.371335140895</v>
      </c>
    </row>
    <row r="826" spans="2:5">
      <c r="B826" s="660">
        <f t="shared" ref="B826:C826" si="240">B825+1</f>
        <v>2035</v>
      </c>
      <c r="C826" s="661">
        <f t="shared" si="240"/>
        <v>15</v>
      </c>
      <c r="D826" s="736">
        <f>SUMIFS(Results!$D$103:$AK$103,Results!$D$98:$AK$98,$B826)</f>
        <v>29944.258453252703</v>
      </c>
      <c r="E826" s="736">
        <f>SUMIFS(Results!$D$104:$AK$104,Results!$D$98:$AK$98,$B826)</f>
        <v>18620.66416372819</v>
      </c>
    </row>
    <row r="827" spans="2:5">
      <c r="B827" s="660">
        <f t="shared" ref="B827:C827" si="241">B826+1</f>
        <v>2036</v>
      </c>
      <c r="C827" s="661">
        <f t="shared" si="241"/>
        <v>16</v>
      </c>
      <c r="D827" s="736">
        <f>SUMIFS(Results!$D$103:$AK$103,Results!$D$98:$AK$98,$B827)</f>
        <v>31154.406412471522</v>
      </c>
      <c r="E827" s="736">
        <f>SUMIFS(Results!$D$104:$AK$104,Results!$D$98:$AK$98,$B827)</f>
        <v>19373.187682459269</v>
      </c>
    </row>
    <row r="828" spans="2:5">
      <c r="B828" s="660">
        <f t="shared" ref="B828:C828" si="242">B827+1</f>
        <v>2037</v>
      </c>
      <c r="C828" s="661">
        <f t="shared" si="242"/>
        <v>17</v>
      </c>
      <c r="D828" s="736">
        <f>SUMIFS(Results!$D$103:$AK$103,Results!$D$98:$AK$98,$B828)</f>
        <v>32413.460511259225</v>
      </c>
      <c r="E828" s="736">
        <f>SUMIFS(Results!$D$104:$AK$104,Results!$D$98:$AK$98,$B828)</f>
        <v>20156.123201603663</v>
      </c>
    </row>
    <row r="829" spans="2:5">
      <c r="B829" s="660">
        <f t="shared" ref="B829:C829" si="243">B828+1</f>
        <v>2038</v>
      </c>
      <c r="C829" s="661">
        <f t="shared" si="243"/>
        <v>18</v>
      </c>
      <c r="D829" s="736">
        <f>SUMIFS(Results!$D$103:$AK$103,Results!$D$98:$AK$98,$B829)</f>
        <v>33723.397210815718</v>
      </c>
      <c r="E829" s="736">
        <f>SUMIFS(Results!$D$104:$AK$104,Results!$D$98:$AK$98,$B829)</f>
        <v>20970.699772142656</v>
      </c>
    </row>
    <row r="830" spans="2:5">
      <c r="B830" s="660">
        <f t="shared" ref="B830:C830" si="244">B829+1</f>
        <v>2039</v>
      </c>
      <c r="C830" s="661">
        <f t="shared" si="244"/>
        <v>19</v>
      </c>
      <c r="D830" s="736">
        <f>SUMIFS(Results!$D$103:$AK$103,Results!$D$98:$AK$98,$B830)</f>
        <v>35086.272847769811</v>
      </c>
      <c r="E830" s="736">
        <f>SUMIFS(Results!$D$104:$AK$104,Results!$D$98:$AK$98,$B830)</f>
        <v>21818.196115131665</v>
      </c>
    </row>
    <row r="831" spans="2:5">
      <c r="B831" s="660">
        <f t="shared" ref="B831:C831" si="245">B830+1</f>
        <v>2040</v>
      </c>
      <c r="C831" s="661">
        <f t="shared" si="245"/>
        <v>20</v>
      </c>
      <c r="D831" s="736">
        <f>SUMIFS(Results!$D$103:$AK$103,Results!$D$98:$AK$98,$B831)</f>
        <v>36504.226862213327</v>
      </c>
      <c r="E831" s="736">
        <f>SUMIFS(Results!$D$104:$AK$104,Results!$D$98:$AK$98,$B831)</f>
        <v>22699.942629034562</v>
      </c>
    </row>
    <row r="832" spans="2:5">
      <c r="B832" s="660">
        <f t="shared" ref="B832:C832" si="246">B831+1</f>
        <v>2041</v>
      </c>
      <c r="C832" s="661">
        <f t="shared" si="246"/>
        <v>21</v>
      </c>
      <c r="D832" s="736">
        <f>SUMIFS(Results!$D$103:$AK$103,Results!$D$98:$AK$98,$B832)</f>
        <v>37979.485156190851</v>
      </c>
      <c r="E832" s="736">
        <f>SUMIFS(Results!$D$104:$AK$104,Results!$D$98:$AK$98,$B832)</f>
        <v>23617.323478181155</v>
      </c>
    </row>
    <row r="833" spans="2:5">
      <c r="B833" s="660">
        <f t="shared" ref="B833:C833" si="247">B832+1</f>
        <v>2042</v>
      </c>
      <c r="C833" s="661">
        <f t="shared" si="247"/>
        <v>22</v>
      </c>
      <c r="D833" s="736">
        <f>SUMIFS(Results!$D$103:$AK$103,Results!$D$98:$AK$98,$B833)</f>
        <v>39514.363587917476</v>
      </c>
      <c r="E833" s="736">
        <f>SUMIFS(Results!$D$104:$AK$104,Results!$D$98:$AK$98,$B833)</f>
        <v>24571.778765626314</v>
      </c>
    </row>
    <row r="834" spans="2:5">
      <c r="B834" s="660">
        <f t="shared" ref="B834:C834" si="248">B833+1</f>
        <v>2043</v>
      </c>
      <c r="C834" s="661">
        <f t="shared" si="248"/>
        <v>23</v>
      </c>
      <c r="D834" s="736">
        <f>SUMIFS(Results!$D$103:$AK$103,Results!$D$98:$AK$98,$B834)</f>
        <v>41111.27160720939</v>
      </c>
      <c r="E834" s="736">
        <f>SUMIFS(Results!$D$104:$AK$104,Results!$D$98:$AK$98,$B834)</f>
        <v>25564.806793821448</v>
      </c>
    </row>
    <row r="835" spans="2:5">
      <c r="B835" s="660">
        <f t="shared" ref="B835:C835" si="249">B834+1</f>
        <v>2044</v>
      </c>
      <c r="C835" s="661">
        <f t="shared" si="249"/>
        <v>24</v>
      </c>
      <c r="D835" s="736">
        <f>SUMIFS(Results!$D$103:$AK$103,Results!$D$98:$AK$98,$B835)</f>
        <v>42772.716037834507</v>
      </c>
      <c r="E835" s="736">
        <f>SUMIFS(Results!$D$104:$AK$104,Results!$D$98:$AK$98,$B835)</f>
        <v>26597.96641664745</v>
      </c>
    </row>
    <row r="836" spans="2:5">
      <c r="B836" s="660">
        <f t="shared" ref="B836:C836" si="250">B835+1</f>
        <v>2045</v>
      </c>
      <c r="C836" s="661">
        <f t="shared" si="250"/>
        <v>25</v>
      </c>
      <c r="D836" s="736">
        <f>SUMIFS(Results!$D$103:$AK$103,Results!$D$98:$AK$98,$B836)</f>
        <v>44501.305012720572</v>
      </c>
      <c r="E836" s="736">
        <f>SUMIFS(Results!$D$104:$AK$104,Results!$D$98:$AK$98,$B836)</f>
        <v>27672.879486501082</v>
      </c>
    </row>
    <row r="837" spans="2:5">
      <c r="B837" s="660">
        <f t="shared" ref="B837:C837" si="251">B836+1</f>
        <v>2046</v>
      </c>
      <c r="C837" s="661">
        <f t="shared" si="251"/>
        <v>26</v>
      </c>
      <c r="D837" s="736">
        <f>SUMIFS(Results!$D$103:$AK$103,Results!$D$98:$AK$98,$B837)</f>
        <v>46299.752068198315</v>
      </c>
      <c r="E837" s="736">
        <f>SUMIFS(Results!$D$104:$AK$104,Results!$D$98:$AK$98,$B837)</f>
        <v>28791.233400276473</v>
      </c>
    </row>
    <row r="838" spans="2:5">
      <c r="B838" s="660">
        <f t="shared" ref="B838:C838" si="252">B837+1</f>
        <v>2047</v>
      </c>
      <c r="C838" s="661">
        <f t="shared" si="252"/>
        <v>27</v>
      </c>
      <c r="D838" s="736">
        <f>SUMIFS(Results!$D$103:$AK$103,Results!$D$98:$AK$98,$B838)</f>
        <v>48170.880403706746</v>
      </c>
      <c r="E838" s="736">
        <f>SUMIFS(Results!$D$104:$AK$104,Results!$D$98:$AK$98,$B838)</f>
        <v>29954.783748238202</v>
      </c>
    </row>
    <row r="839" spans="2:5">
      <c r="B839" s="660">
        <f t="shared" ref="B839:C839" si="253">B838+1</f>
        <v>2048</v>
      </c>
      <c r="C839" s="661">
        <f t="shared" si="253"/>
        <v>28</v>
      </c>
      <c r="D839" s="736">
        <f>SUMIFS(Results!$D$103:$AK$103,Results!$D$98:$AK$98,$B839)</f>
        <v>50117.627313646924</v>
      </c>
      <c r="E839" s="736">
        <f>SUMIFS(Results!$D$104:$AK$104,Results!$D$98:$AK$98,$B839)</f>
        <v>31165.357069944028</v>
      </c>
    </row>
    <row r="840" spans="2:5">
      <c r="B840" s="660">
        <f t="shared" ref="B840:C840" si="254">B839+1</f>
        <v>2049</v>
      </c>
      <c r="C840" s="661">
        <f t="shared" si="254"/>
        <v>29</v>
      </c>
      <c r="D840" s="736">
        <f>SUMIFS(Results!$D$103:$AK$103,Results!$D$98:$AK$98,$B840)</f>
        <v>52143.048798342599</v>
      </c>
      <c r="E840" s="736">
        <f>SUMIFS(Results!$D$104:$AK$104,Results!$D$98:$AK$98,$B840)</f>
        <v>32424.853721544074</v>
      </c>
    </row>
    <row r="841" spans="2:5">
      <c r="B841" s="660">
        <f t="shared" ref="B841:C841" si="255">B840+1</f>
        <v>2050</v>
      </c>
      <c r="C841" s="661">
        <f t="shared" si="255"/>
        <v>30</v>
      </c>
      <c r="D841" s="736">
        <f>SUMIFS(Results!$D$103:$AK$103,Results!$D$98:$AK$98,$B841)</f>
        <v>54250.324361344879</v>
      </c>
      <c r="E841" s="736">
        <f>SUMIFS(Results!$D$104:$AK$104,Results!$D$98:$AK$98,$B841)</f>
        <v>33735.250858957035</v>
      </c>
    </row>
    <row r="842" spans="2:5">
      <c r="B842" s="660">
        <f t="shared" ref="B842:C842" si="256">B841+1</f>
        <v>2051</v>
      </c>
      <c r="C842" s="661">
        <f t="shared" si="256"/>
        <v>31</v>
      </c>
      <c r="D842" s="736">
        <f>SUMIFS(Results!$D$103:$AK$103,Results!$D$98:$AK$98,$B842)</f>
        <v>56442.762000611539</v>
      </c>
      <c r="E842" s="736">
        <f>SUMIFS(Results!$D$104:$AK$104,Results!$D$98:$AK$98,$B842)</f>
        <v>35098.605541606288</v>
      </c>
    </row>
    <row r="843" spans="2:5">
      <c r="B843" s="660">
        <f t="shared" ref="B843:C843" si="257">B842+1</f>
        <v>2052</v>
      </c>
      <c r="C843" s="661">
        <f t="shared" si="257"/>
        <v>32</v>
      </c>
      <c r="D843" s="736">
        <f>SUMIFS(Results!$D$103:$AK$103,Results!$D$98:$AK$98,$B843)</f>
        <v>58723.803401397796</v>
      </c>
      <c r="E843" s="736">
        <f>SUMIFS(Results!$D$104:$AK$104,Results!$D$98:$AK$98,$B843)</f>
        <v>36517.0579615889</v>
      </c>
    </row>
    <row r="844" spans="2:5">
      <c r="B844" s="660">
        <f t="shared" ref="B844:C844" si="258">B843+1</f>
        <v>2053</v>
      </c>
      <c r="C844" s="661">
        <f t="shared" si="258"/>
        <v>33</v>
      </c>
      <c r="D844" s="736">
        <f>SUMIFS(Results!$D$103:$AK$103,Results!$D$98:$AK$98,$B844)</f>
        <v>61097.029339008215</v>
      </c>
      <c r="E844" s="736">
        <f>SUMIFS(Results!$D$104:$AK$104,Results!$D$98:$AK$98,$B844)</f>
        <v>37992.834803345766</v>
      </c>
    </row>
    <row r="845" spans="2:5">
      <c r="B845" s="660">
        <f t="shared" ref="B845:C845" si="259">B844+1</f>
        <v>2054</v>
      </c>
      <c r="C845" s="661">
        <f t="shared" si="259"/>
        <v>34</v>
      </c>
      <c r="D845" s="736">
        <f>SUMIFS(Results!$D$103:$AK$103,Results!$D$98:$AK$98,$B845)</f>
        <v>63566.165299892273</v>
      </c>
      <c r="E845" s="736">
        <f>SUMIFS(Results!$D$104:$AK$104,Results!$D$98:$AK$98,$B845)</f>
        <v>39528.252739107418</v>
      </c>
    </row>
    <row r="846" spans="2:5">
      <c r="B846" s="663" t="s">
        <v>5</v>
      </c>
      <c r="C846" s="663"/>
      <c r="D846" s="710">
        <f>SUM(D812:D845)</f>
        <v>1137892.312572004</v>
      </c>
      <c r="E846" s="710">
        <f>SUM(E812:E845)</f>
        <v>707591.76220607746</v>
      </c>
    </row>
    <row r="848" spans="2:5">
      <c r="D848" s="711" t="b">
        <f>Results!$D$121=D846</f>
        <v>1</v>
      </c>
      <c r="E848" s="711" t="b">
        <f>Results!$D$122=E846</f>
        <v>1</v>
      </c>
    </row>
    <row r="850" spans="1:9">
      <c r="A850" s="656" t="s">
        <v>939</v>
      </c>
    </row>
    <row r="851" spans="1:9">
      <c r="B851" s="658" t="s">
        <v>7</v>
      </c>
      <c r="C851" s="658" t="s">
        <v>798</v>
      </c>
      <c r="D851" s="659" t="str">
        <f>Results!$B$19</f>
        <v xml:space="preserve">Travel Time Savings </v>
      </c>
      <c r="E851" s="659" t="s">
        <v>898</v>
      </c>
      <c r="F851" s="659" t="s">
        <v>899</v>
      </c>
      <c r="H851" s="706" t="s">
        <v>893</v>
      </c>
      <c r="I851" s="706" t="s">
        <v>894</v>
      </c>
    </row>
    <row r="852" spans="1:9">
      <c r="B852" s="660">
        <f>VRCBY</f>
        <v>2021</v>
      </c>
      <c r="C852" s="661">
        <v>1</v>
      </c>
      <c r="D852" s="662">
        <f>SUMIFS(Results!$D$44:$AK$44,Results!$D$42:$AK$42,$B852)</f>
        <v>0</v>
      </c>
      <c r="E852" s="712">
        <f>$D852*H852</f>
        <v>0</v>
      </c>
      <c r="F852" s="712">
        <f>$D852*I852</f>
        <v>0</v>
      </c>
      <c r="H852" s="707">
        <f>SUMIFS(Results!$D$95:$AK$95,Results!$D$93:$AK$93,$B852)</f>
        <v>1</v>
      </c>
      <c r="I852" s="707">
        <f>SUMIFS(Results!$D$96:$AK$96,Results!$D$93:$AK$93,$B852)</f>
        <v>1</v>
      </c>
    </row>
    <row r="853" spans="1:9">
      <c r="B853" s="660">
        <f>B852+1</f>
        <v>2022</v>
      </c>
      <c r="C853" s="661">
        <f>C852+1</f>
        <v>2</v>
      </c>
      <c r="D853" s="662">
        <f>SUMIFS(Results!$D$44:$AK$44,Results!$D$42:$AK$42,$B853)</f>
        <v>0</v>
      </c>
      <c r="E853" s="712">
        <f t="shared" ref="E853:E885" si="260">$D853*H853</f>
        <v>0</v>
      </c>
      <c r="F853" s="712">
        <f t="shared" ref="F853:F885" si="261">$D853*I853</f>
        <v>0</v>
      </c>
      <c r="H853" s="707">
        <f>SUMIFS(Results!$D$95:$AK$95,Results!$D$93:$AK$93,$B853)</f>
        <v>0.93457943925233644</v>
      </c>
      <c r="I853" s="707">
        <f>SUMIFS(Results!$D$96:$AK$96,Results!$D$93:$AK$93,$B853)</f>
        <v>0.970873786407767</v>
      </c>
    </row>
    <row r="854" spans="1:9">
      <c r="B854" s="660">
        <f t="shared" ref="B854:C854" si="262">B853+1</f>
        <v>2023</v>
      </c>
      <c r="C854" s="661">
        <f t="shared" si="262"/>
        <v>3</v>
      </c>
      <c r="D854" s="662">
        <f>SUMIFS(Results!$D$44:$AK$44,Results!$D$42:$AK$42,$B854)</f>
        <v>0</v>
      </c>
      <c r="E854" s="712">
        <f t="shared" si="260"/>
        <v>0</v>
      </c>
      <c r="F854" s="712">
        <f t="shared" si="261"/>
        <v>0</v>
      </c>
      <c r="H854" s="707">
        <f>SUMIFS(Results!$D$95:$AK$95,Results!$D$93:$AK$93,$B854)</f>
        <v>0.87343872827321156</v>
      </c>
      <c r="I854" s="707">
        <f>SUMIFS(Results!$D$96:$AK$96,Results!$D$93:$AK$93,$B854)</f>
        <v>0.94259590913375435</v>
      </c>
    </row>
    <row r="855" spans="1:9">
      <c r="B855" s="660">
        <f t="shared" ref="B855:C855" si="263">B854+1</f>
        <v>2024</v>
      </c>
      <c r="C855" s="661">
        <f t="shared" si="263"/>
        <v>4</v>
      </c>
      <c r="D855" s="662">
        <f>SUMIFS(Results!$D$44:$AK$44,Results!$D$42:$AK$42,$B855)</f>
        <v>0</v>
      </c>
      <c r="E855" s="712">
        <f t="shared" si="260"/>
        <v>0</v>
      </c>
      <c r="F855" s="712">
        <f t="shared" si="261"/>
        <v>0</v>
      </c>
      <c r="H855" s="707">
        <f>SUMIFS(Results!$D$95:$AK$95,Results!$D$93:$AK$93,$B855)</f>
        <v>0.81629787689085187</v>
      </c>
      <c r="I855" s="707">
        <f>SUMIFS(Results!$D$96:$AK$96,Results!$D$93:$AK$93,$B855)</f>
        <v>0.91514165935315961</v>
      </c>
    </row>
    <row r="856" spans="1:9">
      <c r="B856" s="660">
        <f t="shared" ref="B856:C856" si="264">B855+1</f>
        <v>2025</v>
      </c>
      <c r="C856" s="661">
        <f t="shared" si="264"/>
        <v>5</v>
      </c>
      <c r="D856" s="662">
        <f>SUMIFS(Results!$D$44:$AK$44,Results!$D$42:$AK$42,$B856)</f>
        <v>375616.8208396585</v>
      </c>
      <c r="E856" s="712">
        <f t="shared" si="260"/>
        <v>286556.27418308856</v>
      </c>
      <c r="F856" s="712">
        <f t="shared" si="261"/>
        <v>333730.68029530445</v>
      </c>
      <c r="H856" s="707">
        <f>SUMIFS(Results!$D$95:$AK$95,Results!$D$93:$AK$93,$B856)</f>
        <v>0.7628952120475252</v>
      </c>
      <c r="I856" s="707">
        <f>SUMIFS(Results!$D$96:$AK$96,Results!$D$93:$AK$93,$B856)</f>
        <v>0.888487047915689</v>
      </c>
    </row>
    <row r="857" spans="1:9">
      <c r="B857" s="660">
        <f t="shared" ref="B857:C857" si="265">B856+1</f>
        <v>2026</v>
      </c>
      <c r="C857" s="661">
        <f t="shared" si="265"/>
        <v>6</v>
      </c>
      <c r="D857" s="662">
        <f>SUMIFS(Results!$D$44:$AK$44,Results!$D$42:$AK$42,$B857)</f>
        <v>390796.75691645296</v>
      </c>
      <c r="E857" s="712">
        <f t="shared" si="260"/>
        <v>278632.68666846963</v>
      </c>
      <c r="F857" s="712">
        <f t="shared" si="261"/>
        <v>337104.71542497515</v>
      </c>
      <c r="H857" s="707">
        <f>SUMIFS(Results!$D$95:$AK$95,Results!$D$93:$AK$93,$B857)</f>
        <v>0.71298617948366838</v>
      </c>
      <c r="I857" s="707">
        <f>SUMIFS(Results!$D$96:$AK$96,Results!$D$93:$AK$93,$B857)</f>
        <v>0.86260878438416411</v>
      </c>
    </row>
    <row r="858" spans="1:9">
      <c r="B858" s="660">
        <f t="shared" ref="B858:C858" si="266">B857+1</f>
        <v>2027</v>
      </c>
      <c r="C858" s="661">
        <f t="shared" si="266"/>
        <v>7</v>
      </c>
      <c r="D858" s="662">
        <f>SUMIFS(Results!$D$44:$AK$44,Results!$D$42:$AK$42,$B858)</f>
        <v>406590.16514494753</v>
      </c>
      <c r="E858" s="712">
        <f t="shared" si="260"/>
        <v>270928.1948246074</v>
      </c>
      <c r="F858" s="712">
        <f t="shared" si="261"/>
        <v>340512.86223130068</v>
      </c>
      <c r="H858" s="707">
        <f>SUMIFS(Results!$D$95:$AK$95,Results!$D$93:$AK$93,$B858)</f>
        <v>0.66634222381651254</v>
      </c>
      <c r="I858" s="707">
        <f>SUMIFS(Results!$D$96:$AK$96,Results!$D$93:$AK$93,$B858)</f>
        <v>0.83748425668365445</v>
      </c>
    </row>
    <row r="859" spans="1:9">
      <c r="B859" s="660">
        <f t="shared" ref="B859:C859" si="267">B858+1</f>
        <v>2028</v>
      </c>
      <c r="C859" s="661">
        <f t="shared" si="267"/>
        <v>8</v>
      </c>
      <c r="D859" s="662">
        <f>SUMIFS(Results!$D$44:$AK$44,Results!$D$42:$AK$42,$B859)</f>
        <v>423021.83799324109</v>
      </c>
      <c r="E859" s="712">
        <f t="shared" si="260"/>
        <v>263436.74042183621</v>
      </c>
      <c r="F859" s="712">
        <f t="shared" si="261"/>
        <v>343955.46558516775</v>
      </c>
      <c r="H859" s="707">
        <f>SUMIFS(Results!$D$95:$AK$95,Results!$D$93:$AK$93,$B859)</f>
        <v>0.62274974188459109</v>
      </c>
      <c r="I859" s="707">
        <f>SUMIFS(Results!$D$96:$AK$96,Results!$D$93:$AK$93,$B859)</f>
        <v>0.81309151134335378</v>
      </c>
    </row>
    <row r="860" spans="1:9">
      <c r="B860" s="660">
        <f t="shared" ref="B860:C860" si="268">B859+1</f>
        <v>2029</v>
      </c>
      <c r="C860" s="661">
        <f t="shared" si="268"/>
        <v>9</v>
      </c>
      <c r="D860" s="662">
        <f>SUMIFS(Results!$D$44:$AK$44,Results!$D$42:$AK$42,$B860)</f>
        <v>440117.56987625611</v>
      </c>
      <c r="E860" s="712">
        <f t="shared" si="260"/>
        <v>256152.43274702053</v>
      </c>
      <c r="F860" s="712">
        <f t="shared" si="261"/>
        <v>347432.87384412542</v>
      </c>
      <c r="H860" s="707">
        <f>SUMIFS(Results!$D$95:$AK$95,Results!$D$93:$AK$93,$B860)</f>
        <v>0.5820091045650384</v>
      </c>
      <c r="I860" s="707">
        <f>SUMIFS(Results!$D$96:$AK$96,Results!$D$93:$AK$93,$B860)</f>
        <v>0.78940923431393573</v>
      </c>
    </row>
    <row r="861" spans="1:9">
      <c r="B861" s="660">
        <f t="shared" ref="B861:C861" si="269">B860+1</f>
        <v>2030</v>
      </c>
      <c r="C861" s="661">
        <f t="shared" si="269"/>
        <v>10</v>
      </c>
      <c r="D861" s="662">
        <f>SUMIFS(Results!$D$44:$AK$44,Results!$D$42:$AK$42,$B861)</f>
        <v>457904.19764777325</v>
      </c>
      <c r="E861" s="712">
        <f t="shared" si="260"/>
        <v>249069.54397154474</v>
      </c>
      <c r="F861" s="712">
        <f t="shared" si="261"/>
        <v>350945.4388876367</v>
      </c>
      <c r="H861" s="707">
        <f>SUMIFS(Results!$D$95:$AK$95,Results!$D$93:$AK$93,$B861)</f>
        <v>0.54393374258414806</v>
      </c>
      <c r="I861" s="707">
        <f>SUMIFS(Results!$D$96:$AK$96,Results!$D$93:$AK$93,$B861)</f>
        <v>0.76641673234362695</v>
      </c>
    </row>
    <row r="862" spans="1:9">
      <c r="B862" s="660">
        <f t="shared" ref="B862:C862" si="270">B861+1</f>
        <v>2031</v>
      </c>
      <c r="C862" s="661">
        <f t="shared" si="270"/>
        <v>11</v>
      </c>
      <c r="D862" s="662">
        <f>SUMIFS(Results!$D$44:$AK$44,Results!$D$42:$AK$42,$B862)</f>
        <v>476409.64272888162</v>
      </c>
      <c r="E862" s="712">
        <f t="shared" si="260"/>
        <v>242182.50464738079</v>
      </c>
      <c r="F862" s="712">
        <f t="shared" si="261"/>
        <v>354493.5161526837</v>
      </c>
      <c r="H862" s="707">
        <f>SUMIFS(Results!$D$95:$AK$95,Results!$D$93:$AK$93,$B862)</f>
        <v>0.5083492921347178</v>
      </c>
      <c r="I862" s="707">
        <f>SUMIFS(Results!$D$96:$AK$96,Results!$D$93:$AK$93,$B862)</f>
        <v>0.74409391489672516</v>
      </c>
    </row>
    <row r="863" spans="1:9">
      <c r="B863" s="660">
        <f t="shared" ref="B863:C863" si="271">B862+1</f>
        <v>2032</v>
      </c>
      <c r="C863" s="661">
        <f t="shared" si="271"/>
        <v>12</v>
      </c>
      <c r="D863" s="662">
        <f>SUMIFS(Results!$D$44:$AK$44,Results!$D$42:$AK$42,$B863)</f>
        <v>495662.95493898506</v>
      </c>
      <c r="E863" s="712">
        <f t="shared" si="260"/>
        <v>235485.89932769677</v>
      </c>
      <c r="F863" s="712">
        <f t="shared" si="261"/>
        <v>358077.46466973639</v>
      </c>
      <c r="H863" s="707">
        <f>SUMIFS(Results!$D$95:$AK$95,Results!$D$93:$AK$93,$B863)</f>
        <v>0.47509279638758667</v>
      </c>
      <c r="I863" s="707">
        <f>SUMIFS(Results!$D$96:$AK$96,Results!$D$93:$AK$93,$B863)</f>
        <v>0.72242127659876232</v>
      </c>
    </row>
    <row r="864" spans="1:9">
      <c r="B864" s="660">
        <f t="shared" ref="B864:C864" si="272">B863+1</f>
        <v>2033</v>
      </c>
      <c r="C864" s="661">
        <f t="shared" si="272"/>
        <v>13</v>
      </c>
      <c r="D864" s="662">
        <f>SUMIFS(Results!$D$44:$AK$44,Results!$D$42:$AK$42,$B864)</f>
        <v>515694.35809816513</v>
      </c>
      <c r="E864" s="712">
        <f t="shared" si="260"/>
        <v>228974.46230855962</v>
      </c>
      <c r="F864" s="712">
        <f t="shared" si="261"/>
        <v>361697.64709908329</v>
      </c>
      <c r="H864" s="707">
        <f>SUMIFS(Results!$D$95:$AK$95,Results!$D$93:$AK$93,$B864)</f>
        <v>0.44401195924073528</v>
      </c>
      <c r="I864" s="707">
        <f>SUMIFS(Results!$D$96:$AK$96,Results!$D$93:$AK$93,$B864)</f>
        <v>0.70137988019297326</v>
      </c>
    </row>
    <row r="865" spans="2:9">
      <c r="B865" s="660">
        <f t="shared" ref="B865:C865" si="273">B864+1</f>
        <v>2034</v>
      </c>
      <c r="C865" s="661">
        <f t="shared" si="273"/>
        <v>14</v>
      </c>
      <c r="D865" s="662">
        <f>SUMIFS(Results!$D$44:$AK$44,Results!$D$42:$AK$42,$B865)</f>
        <v>536535.29747248348</v>
      </c>
      <c r="E865" s="712">
        <f t="shared" si="260"/>
        <v>222643.07348838137</v>
      </c>
      <c r="F865" s="712">
        <f t="shared" si="261"/>
        <v>365354.42976752593</v>
      </c>
      <c r="H865" s="707">
        <f>SUMIFS(Results!$D$95:$AK$95,Results!$D$93:$AK$93,$B865)</f>
        <v>0.41496444788853759</v>
      </c>
      <c r="I865" s="707">
        <f>SUMIFS(Results!$D$96:$AK$96,Results!$D$93:$AK$93,$B865)</f>
        <v>0.68095133999317792</v>
      </c>
    </row>
    <row r="866" spans="2:9">
      <c r="B866" s="660">
        <f t="shared" ref="B866:C866" si="274">B865+1</f>
        <v>2035</v>
      </c>
      <c r="C866" s="661">
        <f t="shared" si="274"/>
        <v>15</v>
      </c>
      <c r="D866" s="662">
        <f>SUMIFS(Results!$D$44:$AK$44,Results!$D$42:$AK$42,$B866)</f>
        <v>558218.48913671612</v>
      </c>
      <c r="E866" s="712">
        <f t="shared" si="260"/>
        <v>216486.7543418608</v>
      </c>
      <c r="F866" s="712">
        <f t="shared" si="261"/>
        <v>369048.18270545051</v>
      </c>
      <c r="H866" s="707">
        <f>SUMIFS(Results!$D$95:$AK$95,Results!$D$93:$AK$93,$B866)</f>
        <v>0.3878172410173249</v>
      </c>
      <c r="I866" s="707">
        <f>SUMIFS(Results!$D$96:$AK$96,Results!$D$93:$AK$93,$B866)</f>
        <v>0.66111780581861923</v>
      </c>
    </row>
    <row r="867" spans="2:9">
      <c r="B867" s="660">
        <f t="shared" ref="B867:C867" si="275">B866+1</f>
        <v>2036</v>
      </c>
      <c r="C867" s="661">
        <f t="shared" si="275"/>
        <v>16</v>
      </c>
      <c r="D867" s="662">
        <f>SUMIFS(Results!$D$44:$AK$44,Results!$D$42:$AK$42,$B867)</f>
        <v>580777.97133199568</v>
      </c>
      <c r="E867" s="712">
        <f t="shared" si="260"/>
        <v>210500.6640052463</v>
      </c>
      <c r="F867" s="712">
        <f t="shared" si="261"/>
        <v>372779.2796842698</v>
      </c>
      <c r="H867" s="707">
        <f>SUMIFS(Results!$D$95:$AK$95,Results!$D$93:$AK$93,$B867)</f>
        <v>0.36244601964235967</v>
      </c>
      <c r="I867" s="707">
        <f>SUMIFS(Results!$D$96:$AK$96,Results!$D$93:$AK$93,$B867)</f>
        <v>0.64186194739671765</v>
      </c>
    </row>
    <row r="868" spans="2:9">
      <c r="B868" s="660">
        <f t="shared" ref="B868:C868" si="276">B867+1</f>
        <v>2037</v>
      </c>
      <c r="C868" s="661">
        <f t="shared" si="276"/>
        <v>17</v>
      </c>
      <c r="D868" s="662">
        <f>SUMIFS(Results!$D$44:$AK$44,Results!$D$42:$AK$42,$B868)</f>
        <v>604249.15789899253</v>
      </c>
      <c r="E868" s="712">
        <f t="shared" si="260"/>
        <v>204680.09546984819</v>
      </c>
      <c r="F868" s="712">
        <f t="shared" si="261"/>
        <v>376548.09825424675</v>
      </c>
      <c r="H868" s="707">
        <f>SUMIFS(Results!$D$95:$AK$95,Results!$D$93:$AK$93,$B868)</f>
        <v>0.33873459779659787</v>
      </c>
      <c r="I868" s="707">
        <f>SUMIFS(Results!$D$96:$AK$96,Results!$D$93:$AK$93,$B868)</f>
        <v>0.62316693922011435</v>
      </c>
    </row>
    <row r="869" spans="2:9">
      <c r="B869" s="660">
        <f t="shared" ref="B869:C869" si="277">B868+1</f>
        <v>2038</v>
      </c>
      <c r="C869" s="661">
        <f t="shared" si="277"/>
        <v>18</v>
      </c>
      <c r="D869" s="662">
        <f>SUMIFS(Results!$D$44:$AK$44,Results!$D$42:$AK$42,$B869)</f>
        <v>628668.89387050457</v>
      </c>
      <c r="E869" s="712">
        <f t="shared" si="260"/>
        <v>199020.47188080134</v>
      </c>
      <c r="F869" s="712">
        <f t="shared" si="261"/>
        <v>380355.01978269633</v>
      </c>
      <c r="H869" s="707">
        <f>SUMIFS(Results!$D$95:$AK$95,Results!$D$93:$AK$93,$B869)</f>
        <v>0.31657439046411018</v>
      </c>
      <c r="I869" s="707">
        <f>SUMIFS(Results!$D$96:$AK$96,Results!$D$93:$AK$93,$B869)</f>
        <v>0.60501644584477121</v>
      </c>
    </row>
    <row r="870" spans="2:9">
      <c r="B870" s="660">
        <f t="shared" ref="B870:C870" si="278">B869+1</f>
        <v>2039</v>
      </c>
      <c r="C870" s="661">
        <f t="shared" si="278"/>
        <v>19</v>
      </c>
      <c r="D870" s="662">
        <f>SUMIFS(Results!$D$44:$AK$44,Results!$D$42:$AK$42,$B870)</f>
        <v>654075.51331073698</v>
      </c>
      <c r="E870" s="712">
        <f t="shared" si="260"/>
        <v>193517.34293817432</v>
      </c>
      <c r="F870" s="712">
        <f t="shared" si="261"/>
        <v>384200.42949257902</v>
      </c>
      <c r="H870" s="707">
        <f>SUMIFS(Results!$D$95:$AK$95,Results!$D$93:$AK$93,$B870)</f>
        <v>0.29586391632159825</v>
      </c>
      <c r="I870" s="707">
        <f>SUMIFS(Results!$D$96:$AK$96,Results!$D$93:$AK$93,$B870)</f>
        <v>0.5873946076162827</v>
      </c>
    </row>
    <row r="871" spans="2:9">
      <c r="B871" s="660">
        <f t="shared" ref="B871:C871" si="279">B870+1</f>
        <v>2040</v>
      </c>
      <c r="C871" s="661">
        <f t="shared" si="279"/>
        <v>20</v>
      </c>
      <c r="D871" s="662">
        <f>SUMIFS(Results!$D$44:$AK$44,Results!$D$42:$AK$42,$B871)</f>
        <v>680508.89949205448</v>
      </c>
      <c r="E871" s="712">
        <f t="shared" si="260"/>
        <v>188166.38139758891</v>
      </c>
      <c r="F871" s="712">
        <f t="shared" si="261"/>
        <v>388084.71650147933</v>
      </c>
      <c r="H871" s="707">
        <f>SUMIFS(Results!$D$95:$AK$95,Results!$D$93:$AK$93,$B871)</f>
        <v>0.27650833301083949</v>
      </c>
      <c r="I871" s="707">
        <f>SUMIFS(Results!$D$96:$AK$96,Results!$D$93:$AK$93,$B871)</f>
        <v>0.57028602681192497</v>
      </c>
    </row>
    <row r="872" spans="2:9">
      <c r="B872" s="660">
        <f t="shared" ref="B872:C872" si="280">B871+1</f>
        <v>2041</v>
      </c>
      <c r="C872" s="661">
        <f t="shared" si="280"/>
        <v>21</v>
      </c>
      <c r="D872" s="662">
        <f>SUMIFS(Results!$D$44:$AK$44,Results!$D$42:$AK$42,$B872)</f>
        <v>708010.54750368139</v>
      </c>
      <c r="E872" s="712">
        <f t="shared" si="260"/>
        <v>182963.37966760257</v>
      </c>
      <c r="F872" s="712">
        <f t="shared" si="261"/>
        <v>392008.27386098076</v>
      </c>
      <c r="H872" s="707">
        <f>SUMIFS(Results!$D$95:$AK$95,Results!$D$93:$AK$93,$B872)</f>
        <v>0.2584190028138687</v>
      </c>
      <c r="I872" s="707">
        <f>SUMIFS(Results!$D$96:$AK$96,Results!$D$93:$AK$93,$B872)</f>
        <v>0.55367575418633497</v>
      </c>
    </row>
    <row r="873" spans="2:9">
      <c r="B873" s="660">
        <f t="shared" ref="B873:C873" si="281">B872+1</f>
        <v>2042</v>
      </c>
      <c r="C873" s="661">
        <f t="shared" si="281"/>
        <v>22</v>
      </c>
      <c r="D873" s="662">
        <f>SUMIFS(Results!$D$44:$AK$44,Results!$D$42:$AK$42,$B873)</f>
        <v>736623.6293906332</v>
      </c>
      <c r="E873" s="712">
        <f t="shared" si="260"/>
        <v>177904.24650117778</v>
      </c>
      <c r="F873" s="712">
        <f t="shared" si="261"/>
        <v>395971.49859644094</v>
      </c>
      <c r="H873" s="707">
        <f>SUMIFS(Results!$D$95:$AK$95,Results!$D$93:$AK$93,$B873)</f>
        <v>0.24151308674193336</v>
      </c>
      <c r="I873" s="707">
        <f>SUMIFS(Results!$D$96:$AK$96,Results!$D$93:$AK$93,$B873)</f>
        <v>0.5375492759090631</v>
      </c>
    </row>
    <row r="874" spans="2:9">
      <c r="B874" s="660">
        <f t="shared" ref="B874:C874" si="282">B873+1</f>
        <v>2043</v>
      </c>
      <c r="C874" s="661">
        <f t="shared" si="282"/>
        <v>23</v>
      </c>
      <c r="D874" s="662">
        <f>SUMIFS(Results!$D$44:$AK$44,Results!$D$42:$AK$42,$B874)</f>
        <v>766393.06192512321</v>
      </c>
      <c r="E874" s="712">
        <f t="shared" si="260"/>
        <v>172985.00377863384</v>
      </c>
      <c r="F874" s="712">
        <f t="shared" si="261"/>
        <v>399974.7917471648</v>
      </c>
      <c r="H874" s="707">
        <f>SUMIFS(Results!$D$95:$AK$95,Results!$D$93:$AK$93,$B874)</f>
        <v>0.22571316517937698</v>
      </c>
      <c r="I874" s="707">
        <f>SUMIFS(Results!$D$96:$AK$96,Results!$D$93:$AK$93,$B874)</f>
        <v>0.52189250088258554</v>
      </c>
    </row>
    <row r="875" spans="2:9">
      <c r="B875" s="660">
        <f t="shared" ref="B875:C875" si="283">B874+1</f>
        <v>2044</v>
      </c>
      <c r="C875" s="661">
        <f t="shared" si="283"/>
        <v>24</v>
      </c>
      <c r="D875" s="662">
        <f>SUMIFS(Results!$D$44:$AK$44,Results!$D$42:$AK$42,$B875)</f>
        <v>797365.57711684343</v>
      </c>
      <c r="E875" s="712">
        <f t="shared" si="260"/>
        <v>168201.78337955452</v>
      </c>
      <c r="F875" s="712">
        <f t="shared" si="261"/>
        <v>404018.55840698595</v>
      </c>
      <c r="H875" s="707">
        <f>SUMIFS(Results!$D$95:$AK$95,Results!$D$93:$AK$93,$B875)</f>
        <v>0.21094688334521211</v>
      </c>
      <c r="I875" s="707">
        <f>SUMIFS(Results!$D$96:$AK$96,Results!$D$93:$AK$93,$B875)</f>
        <v>0.50669174842969467</v>
      </c>
    </row>
    <row r="876" spans="2:9">
      <c r="B876" s="660">
        <f t="shared" ref="B876:C876" si="284">B875+1</f>
        <v>2045</v>
      </c>
      <c r="C876" s="661">
        <f t="shared" si="284"/>
        <v>25</v>
      </c>
      <c r="D876" s="662">
        <f>SUMIFS(Results!$D$44:$AK$44,Results!$D$42:$AK$42,$B876)</f>
        <v>829589.79557280126</v>
      </c>
      <c r="E876" s="712">
        <f t="shared" si="260"/>
        <v>163550.82414119074</v>
      </c>
      <c r="F876" s="712">
        <f t="shared" si="261"/>
        <v>408103.20776525792</v>
      </c>
      <c r="H876" s="707">
        <f>SUMIFS(Results!$D$95:$AK$95,Results!$D$93:$AK$93,$B876)</f>
        <v>0.19714661994879637</v>
      </c>
      <c r="I876" s="707">
        <f>SUMIFS(Results!$D$96:$AK$96,Results!$D$93:$AK$93,$B876)</f>
        <v>0.49193373633950943</v>
      </c>
    </row>
    <row r="877" spans="2:9">
      <c r="B877" s="660">
        <f t="shared" ref="B877:C877" si="285">B876+1</f>
        <v>2046</v>
      </c>
      <c r="C877" s="661">
        <f t="shared" si="285"/>
        <v>26</v>
      </c>
      <c r="D877" s="662">
        <f>SUMIFS(Results!$D$44:$AK$44,Results!$D$42:$AK$42,$B877)</f>
        <v>863116.30282187625</v>
      </c>
      <c r="E877" s="712">
        <f t="shared" si="260"/>
        <v>159028.46890096695</v>
      </c>
      <c r="F877" s="712">
        <f t="shared" si="261"/>
        <v>412229.15314826119</v>
      </c>
      <c r="H877" s="707">
        <f>SUMIFS(Results!$D$95:$AK$95,Results!$D$93:$AK$93,$B877)</f>
        <v>0.18424917752223957</v>
      </c>
      <c r="I877" s="707">
        <f>SUMIFS(Results!$D$96:$AK$96,Results!$D$93:$AK$93,$B877)</f>
        <v>0.47760556926165965</v>
      </c>
    </row>
    <row r="878" spans="2:9">
      <c r="B878" s="660">
        <f t="shared" ref="B878:C878" si="286">B877+1</f>
        <v>2047</v>
      </c>
      <c r="C878" s="661">
        <f t="shared" si="286"/>
        <v>27</v>
      </c>
      <c r="D878" s="662">
        <f>SUMIFS(Results!$D$44:$AK$44,Results!$D$42:$AK$42,$B878)</f>
        <v>897997.72872390808</v>
      </c>
      <c r="E878" s="712">
        <f t="shared" si="260"/>
        <v>154631.16162076569</v>
      </c>
      <c r="F878" s="712">
        <f t="shared" si="261"/>
        <v>416396.81206102867</v>
      </c>
      <c r="H878" s="707">
        <f>SUMIFS(Results!$D$95:$AK$95,Results!$D$93:$AK$93,$B878)</f>
        <v>0.17219549301143888</v>
      </c>
      <c r="I878" s="707">
        <f>SUMIFS(Results!$D$96:$AK$96,Results!$D$93:$AK$93,$B878)</f>
        <v>0.46369472743850448</v>
      </c>
    </row>
    <row r="879" spans="2:9">
      <c r="B879" s="660">
        <f t="shared" ref="B879:C879" si="287">B878+1</f>
        <v>2048</v>
      </c>
      <c r="C879" s="661">
        <f t="shared" si="287"/>
        <v>28</v>
      </c>
      <c r="D879" s="662">
        <f>SUMIFS(Results!$D$44:$AK$44,Results!$D$42:$AK$42,$B879)</f>
        <v>934288.83008796023</v>
      </c>
      <c r="E879" s="712">
        <f t="shared" si="260"/>
        <v>150355.44459072591</v>
      </c>
      <c r="F879" s="712">
        <f t="shared" si="261"/>
        <v>420606.60622958833</v>
      </c>
      <c r="H879" s="707">
        <f>SUMIFS(Results!$D$95:$AK$95,Results!$D$93:$AK$93,$B879)</f>
        <v>0.16093036730041013</v>
      </c>
      <c r="I879" s="707">
        <f>SUMIFS(Results!$D$96:$AK$96,Results!$D$93:$AK$93,$B879)</f>
        <v>0.45018905576553836</v>
      </c>
    </row>
    <row r="880" spans="2:9">
      <c r="B880" s="660">
        <f t="shared" ref="B880:C880" si="288">B879+1</f>
        <v>2049</v>
      </c>
      <c r="C880" s="661">
        <f t="shared" si="288"/>
        <v>29</v>
      </c>
      <c r="D880" s="662">
        <f>SUMIFS(Results!$D$44:$AK$44,Results!$D$42:$AK$42,$B880)</f>
        <v>972046.57662948675</v>
      </c>
      <c r="E880" s="712">
        <f t="shared" si="260"/>
        <v>146197.9557103641</v>
      </c>
      <c r="F880" s="712">
        <f t="shared" si="261"/>
        <v>424858.96164364339</v>
      </c>
      <c r="H880" s="707">
        <f>SUMIFS(Results!$D$95:$AK$95,Results!$D$93:$AK$93,$B880)</f>
        <v>0.15040221243028987</v>
      </c>
      <c r="I880" s="707">
        <f>SUMIFS(Results!$D$96:$AK$96,Results!$D$93:$AK$93,$B880)</f>
        <v>0.4370767531704256</v>
      </c>
    </row>
    <row r="881" spans="1:9">
      <c r="B881" s="660">
        <f t="shared" ref="B881:C881" si="289">B880+1</f>
        <v>2050</v>
      </c>
      <c r="C881" s="661">
        <f t="shared" si="289"/>
        <v>30</v>
      </c>
      <c r="D881" s="662">
        <f>SUMIFS(Results!$D$44:$AK$44,Results!$D$42:$AK$42,$B881)</f>
        <v>1011330.2404012997</v>
      </c>
      <c r="E881" s="712">
        <f t="shared" si="260"/>
        <v>142155.42584487141</v>
      </c>
      <c r="F881" s="712">
        <f t="shared" si="261"/>
        <v>429154.30859967583</v>
      </c>
      <c r="H881" s="707">
        <f>SUMIFS(Results!$D$95:$AK$95,Results!$D$93:$AK$93,$B881)</f>
        <v>0.1405628153554111</v>
      </c>
      <c r="I881" s="707">
        <f>SUMIFS(Results!$D$96:$AK$96,Results!$D$93:$AK$93,$B881)</f>
        <v>0.42434636230138412</v>
      </c>
    </row>
    <row r="882" spans="1:9">
      <c r="B882" s="660">
        <f t="shared" ref="B882:C882" si="290">B881+1</f>
        <v>2051</v>
      </c>
      <c r="C882" s="661">
        <f t="shared" si="290"/>
        <v>31</v>
      </c>
      <c r="D882" s="662">
        <f>SUMIFS(Results!$D$44:$AK$44,Results!$D$42:$AK$42,$B882)</f>
        <v>1052201.4888387427</v>
      </c>
      <c r="E882" s="712">
        <f t="shared" si="260"/>
        <v>138224.67625451295</v>
      </c>
      <c r="F882" s="712">
        <f t="shared" si="261"/>
        <v>433493.08174448629</v>
      </c>
      <c r="H882" s="707">
        <f>SUMIFS(Results!$D$95:$AK$95,Results!$D$93:$AK$93,$B882)</f>
        <v>0.13136711715458982</v>
      </c>
      <c r="I882" s="707">
        <f>SUMIFS(Results!$D$96:$AK$96,Results!$D$93:$AK$93,$B882)</f>
        <v>0.41198675951590691</v>
      </c>
    </row>
    <row r="883" spans="1:9">
      <c r="B883" s="660">
        <f t="shared" ref="B883:C883" si="291">B882+1</f>
        <v>2052</v>
      </c>
      <c r="C883" s="661">
        <f t="shared" si="291"/>
        <v>32</v>
      </c>
      <c r="D883" s="662">
        <f>SUMIFS(Results!$D$44:$AK$44,Results!$D$42:$AK$42,$B883)</f>
        <v>1094724.4815651465</v>
      </c>
      <c r="E883" s="712">
        <f t="shared" si="260"/>
        <v>134402.61609510856</v>
      </c>
      <c r="F883" s="712">
        <f t="shared" si="261"/>
        <v>437875.72011918039</v>
      </c>
      <c r="H883" s="707">
        <f>SUMIFS(Results!$D$95:$AK$95,Results!$D$93:$AK$93,$B883)</f>
        <v>0.1227730066865325</v>
      </c>
      <c r="I883" s="707">
        <f>SUMIFS(Results!$D$96:$AK$96,Results!$D$93:$AK$93,$B883)</f>
        <v>0.39998714516107459</v>
      </c>
    </row>
    <row r="884" spans="1:9">
      <c r="B884" s="660">
        <f t="shared" ref="B884:C884" si="292">B883+1</f>
        <v>2053</v>
      </c>
      <c r="C884" s="661">
        <f t="shared" si="292"/>
        <v>33</v>
      </c>
      <c r="D884" s="662">
        <f>SUMIFS(Results!$D$44:$AK$44,Results!$D$42:$AK$42,$B884)</f>
        <v>1138965.9711094988</v>
      </c>
      <c r="E884" s="712">
        <f t="shared" si="260"/>
        <v>130686.2399876257</v>
      </c>
      <c r="F884" s="712">
        <f t="shared" si="261"/>
        <v>442302.66720359167</v>
      </c>
      <c r="H884" s="707">
        <f>SUMIFS(Results!$D$95:$AK$95,Results!$D$93:$AK$93,$B884)</f>
        <v>0.11474112774442291</v>
      </c>
      <c r="I884" s="707">
        <f>SUMIFS(Results!$D$96:$AK$96,Results!$D$93:$AK$93,$B884)</f>
        <v>0.38833703413696569</v>
      </c>
    </row>
    <row r="885" spans="1:9">
      <c r="B885" s="660">
        <f t="shared" ref="B885:C885" si="293">B884+1</f>
        <v>2054</v>
      </c>
      <c r="C885" s="661">
        <f t="shared" si="293"/>
        <v>34</v>
      </c>
      <c r="D885" s="662">
        <f>SUMIFS(Results!$D$44:$AK$44,Results!$D$42:$AK$42,$B885)</f>
        <v>1184995.4076944643</v>
      </c>
      <c r="E885" s="712">
        <f t="shared" si="260"/>
        <v>127072.62565497668</v>
      </c>
      <c r="F885" s="712">
        <f t="shared" si="261"/>
        <v>446774.37096115801</v>
      </c>
      <c r="H885" s="707">
        <f>SUMIFS(Results!$D$95:$AK$95,Results!$D$93:$AK$93,$B885)</f>
        <v>0.10723469882656347</v>
      </c>
      <c r="I885" s="707">
        <f>SUMIFS(Results!$D$96:$AK$96,Results!$D$93:$AK$93,$B885)</f>
        <v>0.37702624673491814</v>
      </c>
    </row>
    <row r="886" spans="1:9">
      <c r="B886" s="663" t="s">
        <v>5</v>
      </c>
      <c r="C886" s="663"/>
      <c r="D886" s="664">
        <f>SUM(D852:D885)</f>
        <v>21212498.166079305</v>
      </c>
      <c r="E886" s="664">
        <f t="shared" ref="E886:F886" si="294">SUM(E852:E885)</f>
        <v>5894793.3747501848</v>
      </c>
      <c r="F886" s="664">
        <f t="shared" si="294"/>
        <v>11628088.832465705</v>
      </c>
    </row>
    <row r="888" spans="1:9">
      <c r="D888" s="711" t="b">
        <f>Results!$C$19*10^6=D886</f>
        <v>1</v>
      </c>
      <c r="E888" s="711" t="b">
        <f>Results!$E$19*10^6=E886</f>
        <v>1</v>
      </c>
      <c r="F888" s="711" t="b">
        <f>Results!$D$19*10^6=F886</f>
        <v>1</v>
      </c>
    </row>
    <row r="890" spans="1:9">
      <c r="A890" s="656" t="s">
        <v>940</v>
      </c>
    </row>
    <row r="891" spans="1:9" ht="23">
      <c r="B891" s="658" t="s">
        <v>7</v>
      </c>
      <c r="C891" s="658" t="s">
        <v>798</v>
      </c>
      <c r="D891" s="659" t="str">
        <f>Results!$B$107</f>
        <v>NOx Emissions Avoided</v>
      </c>
      <c r="E891" s="659" t="str">
        <f>Results!$B$109</f>
        <v>SO₂ Emissions Avoided</v>
      </c>
      <c r="F891" s="659" t="str">
        <f>Results!$B$108</f>
        <v>PM Emissions Avoided</v>
      </c>
      <c r="G891" s="659" t="str">
        <f>Results!$B$106</f>
        <v>CO₂ Emissions Avoided</v>
      </c>
    </row>
    <row r="892" spans="1:9">
      <c r="B892" s="660">
        <f>VRCBY</f>
        <v>2021</v>
      </c>
      <c r="C892" s="661">
        <v>1</v>
      </c>
      <c r="D892" s="737">
        <f>SUMIFS(Results!$D$107:$AK$107,Results!$D$98:$AK$98,$B892)</f>
        <v>0</v>
      </c>
      <c r="E892" s="739">
        <f>SUMIFS(Results!$D$109:$AK$109,Results!$D$98:$AK$98,$B892)</f>
        <v>0</v>
      </c>
      <c r="F892" s="739">
        <f>SUMIFS(Results!$D$108:$AK$108,Results!$D$98:$AK$98,$B892)</f>
        <v>0</v>
      </c>
      <c r="G892" s="737">
        <f>SUMIFS(Results!$D$106:$AK$106,Results!$D$98:$AK$98,$B892)</f>
        <v>0</v>
      </c>
    </row>
    <row r="893" spans="1:9">
      <c r="B893" s="660">
        <f>B892+1</f>
        <v>2022</v>
      </c>
      <c r="C893" s="661">
        <f>C892+1</f>
        <v>2</v>
      </c>
      <c r="D893" s="737">
        <f>SUMIFS(Results!$D$107:$AK$107,Results!$D$98:$AK$98,$B893)</f>
        <v>0</v>
      </c>
      <c r="E893" s="739">
        <f>SUMIFS(Results!$D$109:$AK$109,Results!$D$98:$AK$98,$B893)</f>
        <v>0</v>
      </c>
      <c r="F893" s="739">
        <f>SUMIFS(Results!$D$108:$AK$108,Results!$D$98:$AK$98,$B893)</f>
        <v>0</v>
      </c>
      <c r="G893" s="737">
        <f>SUMIFS(Results!$D$106:$AK$106,Results!$D$98:$AK$98,$B893)</f>
        <v>0</v>
      </c>
    </row>
    <row r="894" spans="1:9">
      <c r="B894" s="660">
        <f t="shared" ref="B894:C894" si="295">B893+1</f>
        <v>2023</v>
      </c>
      <c r="C894" s="661">
        <f t="shared" si="295"/>
        <v>3</v>
      </c>
      <c r="D894" s="737">
        <f>SUMIFS(Results!$D$107:$AK$107,Results!$D$98:$AK$98,$B894)</f>
        <v>0</v>
      </c>
      <c r="E894" s="739">
        <f>SUMIFS(Results!$D$109:$AK$109,Results!$D$98:$AK$98,$B894)</f>
        <v>0</v>
      </c>
      <c r="F894" s="739">
        <f>SUMIFS(Results!$D$108:$AK$108,Results!$D$98:$AK$98,$B894)</f>
        <v>0</v>
      </c>
      <c r="G894" s="737">
        <f>SUMIFS(Results!$D$106:$AK$106,Results!$D$98:$AK$98,$B894)</f>
        <v>0</v>
      </c>
    </row>
    <row r="895" spans="1:9">
      <c r="B895" s="660">
        <f t="shared" ref="B895:C895" si="296">B894+1</f>
        <v>2024</v>
      </c>
      <c r="C895" s="661">
        <f t="shared" si="296"/>
        <v>4</v>
      </c>
      <c r="D895" s="737">
        <f>SUMIFS(Results!$D$107:$AK$107,Results!$D$98:$AK$98,$B895)</f>
        <v>0</v>
      </c>
      <c r="E895" s="739">
        <f>SUMIFS(Results!$D$109:$AK$109,Results!$D$98:$AK$98,$B895)</f>
        <v>0</v>
      </c>
      <c r="F895" s="739">
        <f>SUMIFS(Results!$D$108:$AK$108,Results!$D$98:$AK$98,$B895)</f>
        <v>0</v>
      </c>
      <c r="G895" s="737">
        <f>SUMIFS(Results!$D$106:$AK$106,Results!$D$98:$AK$98,$B895)</f>
        <v>0</v>
      </c>
    </row>
    <row r="896" spans="1:9">
      <c r="B896" s="660">
        <f t="shared" ref="B896:C896" si="297">B895+1</f>
        <v>2025</v>
      </c>
      <c r="C896" s="661">
        <f t="shared" si="297"/>
        <v>5</v>
      </c>
      <c r="D896" s="737">
        <f>SUMIFS(Results!$D$107:$AK$107,Results!$D$98:$AK$98,$B896)</f>
        <v>7.5814820600789035E-2</v>
      </c>
      <c r="E896" s="739">
        <f>SUMIFS(Results!$D$109:$AK$109,Results!$D$98:$AK$98,$B896)</f>
        <v>3.0111552210207297E-4</v>
      </c>
      <c r="F896" s="739">
        <f>SUMIFS(Results!$D$108:$AK$108,Results!$D$98:$AK$98,$B896)</f>
        <v>2.7396556482925348E-3</v>
      </c>
      <c r="G896" s="737">
        <f>SUMIFS(Results!$D$106:$AK$106,Results!$D$98:$AK$98,$B896)</f>
        <v>35.503427428288113</v>
      </c>
    </row>
    <row r="897" spans="2:7">
      <c r="B897" s="660">
        <f t="shared" ref="B897:C897" si="298">B896+1</f>
        <v>2026</v>
      </c>
      <c r="C897" s="661">
        <f t="shared" si="298"/>
        <v>6</v>
      </c>
      <c r="D897" s="737">
        <f>SUMIFS(Results!$D$107:$AK$107,Results!$D$98:$AK$98,$B897)</f>
        <v>7.0972148440092656E-2</v>
      </c>
      <c r="E897" s="739">
        <f>SUMIFS(Results!$D$109:$AK$109,Results!$D$98:$AK$98,$B897)</f>
        <v>3.0688989009108398E-4</v>
      </c>
      <c r="F897" s="739">
        <f>SUMIFS(Results!$D$108:$AK$108,Results!$D$98:$AK$98,$B897)</f>
        <v>2.607659021250958E-3</v>
      </c>
      <c r="G897" s="737">
        <f>SUMIFS(Results!$D$106:$AK$106,Results!$D$98:$AK$98,$B897)</f>
        <v>36.510838227353055</v>
      </c>
    </row>
    <row r="898" spans="2:7">
      <c r="B898" s="660">
        <f t="shared" ref="B898:C898" si="299">B897+1</f>
        <v>2027</v>
      </c>
      <c r="C898" s="661">
        <f t="shared" si="299"/>
        <v>7</v>
      </c>
      <c r="D898" s="737">
        <f>SUMIFS(Results!$D$107:$AK$107,Results!$D$98:$AK$98,$B898)</f>
        <v>6.5614235272955998E-2</v>
      </c>
      <c r="E898" s="739">
        <f>SUMIFS(Results!$D$109:$AK$109,Results!$D$98:$AK$98,$B898)</f>
        <v>3.1263918754858948E-4</v>
      </c>
      <c r="F898" s="739">
        <f>SUMIFS(Results!$D$108:$AK$108,Results!$D$98:$AK$98,$B898)</f>
        <v>2.460519027747582E-3</v>
      </c>
      <c r="G898" s="737">
        <f>SUMIFS(Results!$D$106:$AK$106,Results!$D$98:$AK$98,$B898)</f>
        <v>37.541689134954311</v>
      </c>
    </row>
    <row r="899" spans="2:7">
      <c r="B899" s="660">
        <f t="shared" ref="B899:C899" si="300">B898+1</f>
        <v>2028</v>
      </c>
      <c r="C899" s="661">
        <f t="shared" si="300"/>
        <v>8</v>
      </c>
      <c r="D899" s="737">
        <f>SUMIFS(Results!$D$107:$AK$107,Results!$D$98:$AK$98,$B899)</f>
        <v>5.9707345106017141E-2</v>
      </c>
      <c r="E899" s="739">
        <f>SUMIFS(Results!$D$109:$AK$109,Results!$D$98:$AK$98,$B899)</f>
        <v>3.1835195718128728E-4</v>
      </c>
      <c r="F899" s="739">
        <f>SUMIFS(Results!$D$108:$AK$108,Results!$D$98:$AK$98,$B899)</f>
        <v>2.297227261358946E-3</v>
      </c>
      <c r="G899" s="737">
        <f>SUMIFS(Results!$D$106:$AK$106,Results!$D$98:$AK$98,$B899)</f>
        <v>38.596229395062629</v>
      </c>
    </row>
    <row r="900" spans="2:7">
      <c r="B900" s="660">
        <f t="shared" ref="B900:C900" si="301">B899+1</f>
        <v>2029</v>
      </c>
      <c r="C900" s="661">
        <f t="shared" si="301"/>
        <v>9</v>
      </c>
      <c r="D900" s="737">
        <f>SUMIFS(Results!$D$107:$AK$107,Results!$D$98:$AK$98,$B900)</f>
        <v>5.3215856688402043E-2</v>
      </c>
      <c r="E900" s="739">
        <f>SUMIFS(Results!$D$109:$AK$109,Results!$D$98:$AK$98,$B900)</f>
        <v>3.2401585658671614E-4</v>
      </c>
      <c r="F900" s="739">
        <f>SUMIFS(Results!$D$108:$AK$108,Results!$D$98:$AK$98,$B900)</f>
        <v>2.1167185422281826E-3</v>
      </c>
      <c r="G900" s="737">
        <f>SUMIFS(Results!$D$106:$AK$106,Results!$D$98:$AK$98,$B900)</f>
        <v>39.674690113912703</v>
      </c>
    </row>
    <row r="901" spans="2:7">
      <c r="B901" s="660">
        <f t="shared" ref="B901:C901" si="302">B900+1</f>
        <v>2030</v>
      </c>
      <c r="C901" s="661">
        <f t="shared" si="302"/>
        <v>10</v>
      </c>
      <c r="D901" s="737">
        <f>SUMIFS(Results!$D$107:$AK$107,Results!$D$98:$AK$98,$B901)</f>
        <v>4.6102166231492221E-2</v>
      </c>
      <c r="E901" s="739">
        <f>SUMIFS(Results!$D$109:$AK$109,Results!$D$98:$AK$98,$B901)</f>
        <v>3.2961760542530569E-4</v>
      </c>
      <c r="F901" s="739">
        <f>SUMIFS(Results!$D$108:$AK$108,Results!$D$98:$AK$98,$B901)</f>
        <v>1.9178679752243147E-3</v>
      </c>
      <c r="G901" s="737">
        <f>SUMIFS(Results!$D$106:$AK$106,Results!$D$98:$AK$98,$B901)</f>
        <v>40.777282386914798</v>
      </c>
    </row>
    <row r="902" spans="2:7">
      <c r="B902" s="660">
        <f t="shared" ref="B902:C902" si="303">B901+1</f>
        <v>2031</v>
      </c>
      <c r="C902" s="661">
        <f t="shared" si="303"/>
        <v>11</v>
      </c>
      <c r="D902" s="737">
        <f>SUMIFS(Results!$D$107:$AK$107,Results!$D$98:$AK$98,$B902)</f>
        <v>4.4689515527647029E-2</v>
      </c>
      <c r="E902" s="739">
        <f>SUMIFS(Results!$D$109:$AK$109,Results!$D$98:$AK$98,$B902)</f>
        <v>3.3473513154891836E-4</v>
      </c>
      <c r="F902" s="739">
        <f>SUMIFS(Results!$D$108:$AK$108,Results!$D$98:$AK$98,$B902)</f>
        <v>1.8498388128198205E-3</v>
      </c>
      <c r="G902" s="737">
        <f>SUMIFS(Results!$D$106:$AK$106,Results!$D$98:$AK$98,$B902)</f>
        <v>41.828539052730093</v>
      </c>
    </row>
    <row r="903" spans="2:7">
      <c r="B903" s="660">
        <f t="shared" ref="B903:C903" si="304">B902+1</f>
        <v>2032</v>
      </c>
      <c r="C903" s="661">
        <f t="shared" si="304"/>
        <v>12</v>
      </c>
      <c r="D903" s="737">
        <f>SUMIFS(Results!$D$107:$AK$107,Results!$D$98:$AK$98,$B903)</f>
        <v>4.3087389044408571E-2</v>
      </c>
      <c r="E903" s="739">
        <f>SUMIFS(Results!$D$109:$AK$109,Results!$D$98:$AK$98,$B903)</f>
        <v>3.3972794605104854E-4</v>
      </c>
      <c r="F903" s="739">
        <f>SUMIFS(Results!$D$108:$AK$108,Results!$D$98:$AK$98,$B903)</f>
        <v>1.7731787396389894E-3</v>
      </c>
      <c r="G903" s="737">
        <f>SUMIFS(Results!$D$106:$AK$106,Results!$D$98:$AK$98,$B903)</f>
        <v>42.898166277118371</v>
      </c>
    </row>
    <row r="904" spans="2:7">
      <c r="B904" s="660">
        <f t="shared" ref="B904:C904" si="305">B903+1</f>
        <v>2033</v>
      </c>
      <c r="C904" s="661">
        <f t="shared" si="305"/>
        <v>13</v>
      </c>
      <c r="D904" s="737">
        <f>SUMIFS(Results!$D$107:$AK$107,Results!$D$98:$AK$98,$B904)</f>
        <v>4.1282779274388268E-2</v>
      </c>
      <c r="E904" s="739">
        <f>SUMIFS(Results!$D$109:$AK$109,Results!$D$98:$AK$98,$B904)</f>
        <v>3.4457761075677306E-4</v>
      </c>
      <c r="F904" s="739">
        <f>SUMIFS(Results!$D$108:$AK$108,Results!$D$98:$AK$98,$B904)</f>
        <v>1.6873012554536907E-3</v>
      </c>
      <c r="G904" s="737">
        <f>SUMIFS(Results!$D$106:$AK$106,Results!$D$98:$AK$98,$B904)</f>
        <v>43.985931938209575</v>
      </c>
    </row>
    <row r="905" spans="2:7">
      <c r="B905" s="660">
        <f t="shared" ref="B905:C905" si="306">B904+1</f>
        <v>2034</v>
      </c>
      <c r="C905" s="661">
        <f t="shared" si="306"/>
        <v>14</v>
      </c>
      <c r="D905" s="737">
        <f>SUMIFS(Results!$D$107:$AK$107,Results!$D$98:$AK$98,$B905)</f>
        <v>3.9261936815449358E-2</v>
      </c>
      <c r="E905" s="739">
        <f>SUMIFS(Results!$D$109:$AK$109,Results!$D$98:$AK$98,$B905)</f>
        <v>3.4926440087805456E-4</v>
      </c>
      <c r="F905" s="739">
        <f>SUMIFS(Results!$D$108:$AK$108,Results!$D$98:$AK$98,$B905)</f>
        <v>1.5915865514942165E-3</v>
      </c>
      <c r="G905" s="737">
        <f>SUMIFS(Results!$D$106:$AK$106,Results!$D$98:$AK$98,$B905)</f>
        <v>45.091555148967387</v>
      </c>
    </row>
    <row r="906" spans="2:7">
      <c r="B906" s="660">
        <f t="shared" ref="B906:C906" si="307">B905+1</f>
        <v>2035</v>
      </c>
      <c r="C906" s="661">
        <f t="shared" si="307"/>
        <v>15</v>
      </c>
      <c r="D906" s="737">
        <f>SUMIFS(Results!$D$107:$AK$107,Results!$D$98:$AK$98,$B906)</f>
        <v>3.7010331650164277E-2</v>
      </c>
      <c r="E906" s="739">
        <f>SUMIFS(Results!$D$109:$AK$109,Results!$D$98:$AK$98,$B906)</f>
        <v>3.5376723113499624E-4</v>
      </c>
      <c r="F906" s="739">
        <f>SUMIFS(Results!$D$108:$AK$108,Results!$D$98:$AK$98,$B906)</f>
        <v>1.4853797761243499E-3</v>
      </c>
      <c r="G906" s="737">
        <f>SUMIFS(Results!$D$106:$AK$106,Results!$D$98:$AK$98,$B906)</f>
        <v>46.214702694772605</v>
      </c>
    </row>
    <row r="907" spans="2:7">
      <c r="B907" s="660">
        <f t="shared" ref="B907:C907" si="308">B906+1</f>
        <v>2036</v>
      </c>
      <c r="C907" s="661">
        <f t="shared" si="308"/>
        <v>16</v>
      </c>
      <c r="D907" s="737">
        <f>SUMIFS(Results!$D$107:$AK$107,Results!$D$98:$AK$98,$B907)</f>
        <v>3.4512612507317318E-2</v>
      </c>
      <c r="E907" s="739">
        <f>SUMIFS(Results!$D$109:$AK$109,Results!$D$98:$AK$98,$B907)</f>
        <v>3.5806357800704657E-4</v>
      </c>
      <c r="F907" s="739">
        <f>SUMIFS(Results!$D$108:$AK$108,Results!$D$98:$AK$98,$B907)</f>
        <v>1.3679892147381079E-3</v>
      </c>
      <c r="G907" s="737">
        <f>SUMIFS(Results!$D$106:$AK$106,Results!$D$98:$AK$98,$B907)</f>
        <v>47.354985262713413</v>
      </c>
    </row>
    <row r="908" spans="2:7">
      <c r="B908" s="660">
        <f t="shared" ref="B908:C908" si="309">B907+1</f>
        <v>2037</v>
      </c>
      <c r="C908" s="661">
        <f t="shared" si="309"/>
        <v>17</v>
      </c>
      <c r="D908" s="737">
        <f>SUMIFS(Results!$D$107:$AK$107,Results!$D$98:$AK$98,$B908)</f>
        <v>3.1784017336638298E-2</v>
      </c>
      <c r="E908" s="739">
        <f>SUMIFS(Results!$D$109:$AK$109,Results!$D$98:$AK$98,$B908)</f>
        <v>3.6722989929187779E-4</v>
      </c>
      <c r="F908" s="739">
        <f>SUMIFS(Results!$D$108:$AK$108,Results!$D$98:$AK$98,$B908)</f>
        <v>1.2386905590245551E-3</v>
      </c>
      <c r="G908" s="737">
        <f>SUMIFS(Results!$D$106:$AK$106,Results!$D$98:$AK$98,$B908)</f>
        <v>48.512755084698689</v>
      </c>
    </row>
    <row r="909" spans="2:7">
      <c r="B909" s="660">
        <f t="shared" ref="B909:C909" si="310">B908+1</f>
        <v>2038</v>
      </c>
      <c r="C909" s="661">
        <f t="shared" si="310"/>
        <v>18</v>
      </c>
      <c r="D909" s="737">
        <f>SUMIFS(Results!$D$107:$AK$107,Results!$D$98:$AK$98,$B909)</f>
        <v>2.8778511438255674E-2</v>
      </c>
      <c r="E909" s="739">
        <f>SUMIFS(Results!$D$109:$AK$109,Results!$D$98:$AK$98,$B909)</f>
        <v>3.7655230067064479E-4</v>
      </c>
      <c r="F909" s="739">
        <f>SUMIFS(Results!$D$108:$AK$108,Results!$D$98:$AK$98,$B909)</f>
        <v>1.096706864516648E-3</v>
      </c>
      <c r="G909" s="737">
        <f>SUMIFS(Results!$D$106:$AK$106,Results!$D$98:$AK$98,$B909)</f>
        <v>49.686761610520492</v>
      </c>
    </row>
    <row r="910" spans="2:7">
      <c r="B910" s="660">
        <f t="shared" ref="B910:C910" si="311">B909+1</f>
        <v>2039</v>
      </c>
      <c r="C910" s="661">
        <f t="shared" si="311"/>
        <v>19</v>
      </c>
      <c r="D910" s="737">
        <f>SUMIFS(Results!$D$107:$AK$107,Results!$D$98:$AK$98,$B910)</f>
        <v>2.5478169477712594E-2</v>
      </c>
      <c r="E910" s="739">
        <f>SUMIFS(Results!$D$109:$AK$109,Results!$D$98:$AK$98,$B910)</f>
        <v>3.8602842678784948E-4</v>
      </c>
      <c r="F910" s="739">
        <f>SUMIFS(Results!$D$108:$AK$108,Results!$D$98:$AK$98,$B910)</f>
        <v>9.4122401689751588E-4</v>
      </c>
      <c r="G910" s="737">
        <f>SUMIFS(Results!$D$106:$AK$106,Results!$D$98:$AK$98,$B910)</f>
        <v>50.876426284376059</v>
      </c>
    </row>
    <row r="911" spans="2:7">
      <c r="B911" s="660">
        <f t="shared" ref="B911:C911" si="312">B910+1</f>
        <v>2040</v>
      </c>
      <c r="C911" s="661">
        <f t="shared" si="312"/>
        <v>20</v>
      </c>
      <c r="D911" s="737">
        <f>SUMIFS(Results!$D$107:$AK$107,Results!$D$98:$AK$98,$B911)</f>
        <v>2.1864069536214652E-2</v>
      </c>
      <c r="E911" s="739">
        <f>SUMIFS(Results!$D$109:$AK$109,Results!$D$98:$AK$98,$B911)</f>
        <v>3.9565547699621343E-4</v>
      </c>
      <c r="F911" s="739">
        <f>SUMIFS(Results!$D$108:$AK$108,Results!$D$98:$AK$98,$B911)</f>
        <v>7.7138281737145322E-4</v>
      </c>
      <c r="G911" s="737">
        <f>SUMIFS(Results!$D$106:$AK$106,Results!$D$98:$AK$98,$B911)</f>
        <v>52.081097269277414</v>
      </c>
    </row>
    <row r="912" spans="2:7">
      <c r="B912" s="660">
        <f t="shared" ref="B912:C912" si="313">B911+1</f>
        <v>2041</v>
      </c>
      <c r="C912" s="661">
        <f t="shared" si="313"/>
        <v>21</v>
      </c>
      <c r="D912" s="737">
        <f>SUMIFS(Results!$D$107:$AK$107,Results!$D$98:$AK$98,$B912)</f>
        <v>2.2604953546327185E-2</v>
      </c>
      <c r="E912" s="739">
        <f>SUMIFS(Results!$D$109:$AK$109,Results!$D$98:$AK$98,$B912)</f>
        <v>4.0759987326927116E-4</v>
      </c>
      <c r="F912" s="739">
        <f>SUMIFS(Results!$D$108:$AK$108,Results!$D$98:$AK$98,$B912)</f>
        <v>7.8297655935138087E-4</v>
      </c>
      <c r="G912" s="737">
        <f>SUMIFS(Results!$D$106:$AK$106,Results!$D$98:$AK$98,$B912)</f>
        <v>53.599769506613548</v>
      </c>
    </row>
    <row r="913" spans="2:7">
      <c r="B913" s="660">
        <f t="shared" ref="B913:C913" si="314">B912+1</f>
        <v>2042</v>
      </c>
      <c r="C913" s="661">
        <f t="shared" si="314"/>
        <v>22</v>
      </c>
      <c r="D913" s="737">
        <f>SUMIFS(Results!$D$107:$AK$107,Results!$D$98:$AK$98,$B913)</f>
        <v>2.3370011516551263E-2</v>
      </c>
      <c r="E913" s="739">
        <f>SUMIFS(Results!$D$109:$AK$109,Results!$D$98:$AK$98,$B913)</f>
        <v>4.1986349573334329E-4</v>
      </c>
      <c r="F913" s="739">
        <f>SUMIFS(Results!$D$108:$AK$108,Results!$D$98:$AK$98,$B913)</f>
        <v>7.9424753263261302E-4</v>
      </c>
      <c r="G913" s="737">
        <f>SUMIFS(Results!$D$106:$AK$106,Results!$D$98:$AK$98,$B913)</f>
        <v>55.156130131099907</v>
      </c>
    </row>
    <row r="914" spans="2:7">
      <c r="B914" s="660">
        <f t="shared" ref="B914:C914" si="315">B913+1</f>
        <v>2043</v>
      </c>
      <c r="C914" s="661">
        <f t="shared" si="315"/>
        <v>23</v>
      </c>
      <c r="D914" s="737">
        <f>SUMIFS(Results!$D$107:$AK$107,Results!$D$98:$AK$98,$B914)</f>
        <v>2.4159987307691883E-2</v>
      </c>
      <c r="E914" s="739">
        <f>SUMIFS(Results!$D$109:$AK$109,Results!$D$98:$AK$98,$B914)</f>
        <v>4.3245263833410151E-4</v>
      </c>
      <c r="F914" s="739">
        <f>SUMIFS(Results!$D$108:$AK$108,Results!$D$98:$AK$98,$B914)</f>
        <v>8.0515071352791007E-4</v>
      </c>
      <c r="G914" s="737">
        <f>SUMIFS(Results!$D$106:$AK$106,Results!$D$98:$AK$98,$B914)</f>
        <v>56.750745015931344</v>
      </c>
    </row>
    <row r="915" spans="2:7">
      <c r="B915" s="660">
        <f t="shared" ref="B915:C915" si="316">B914+1</f>
        <v>2044</v>
      </c>
      <c r="C915" s="661">
        <f t="shared" si="316"/>
        <v>24</v>
      </c>
      <c r="D915" s="737">
        <f>SUMIFS(Results!$D$107:$AK$107,Results!$D$98:$AK$98,$B915)</f>
        <v>2.497564542251433E-2</v>
      </c>
      <c r="E915" s="739">
        <f>SUMIFS(Results!$D$109:$AK$109,Results!$D$98:$AK$98,$B915)</f>
        <v>4.4537358236338879E-4</v>
      </c>
      <c r="F915" s="739">
        <f>SUMIFS(Results!$D$108:$AK$108,Results!$D$98:$AK$98,$B915)</f>
        <v>8.1563796639200583E-4</v>
      </c>
      <c r="G915" s="737">
        <f>SUMIFS(Results!$D$106:$AK$106,Results!$D$98:$AK$98,$B915)</f>
        <v>58.384164217816831</v>
      </c>
    </row>
    <row r="916" spans="2:7">
      <c r="B916" s="660">
        <f t="shared" ref="B916:C916" si="317">B915+1</f>
        <v>2045</v>
      </c>
      <c r="C916" s="661">
        <f t="shared" si="317"/>
        <v>25</v>
      </c>
      <c r="D916" s="737">
        <f>SUMIFS(Results!$D$107:$AK$107,Results!$D$98:$AK$98,$B916)</f>
        <v>2.5817771459263415E-2</v>
      </c>
      <c r="E916" s="739">
        <f>SUMIFS(Results!$D$109:$AK$109,Results!$D$98:$AK$98,$B916)</f>
        <v>4.5863258515692882E-4</v>
      </c>
      <c r="F916" s="739">
        <f>SUMIFS(Results!$D$108:$AK$108,Results!$D$98:$AK$98,$B916)</f>
        <v>8.2565786562672648E-4</v>
      </c>
      <c r="G916" s="737">
        <f>SUMIFS(Results!$D$106:$AK$106,Results!$D$98:$AK$98,$B916)</f>
        <v>60.0569197743785</v>
      </c>
    </row>
    <row r="917" spans="2:7">
      <c r="B917" s="660">
        <f t="shared" ref="B917:C917" si="318">B916+1</f>
        <v>2046</v>
      </c>
      <c r="C917" s="661">
        <f t="shared" si="318"/>
        <v>26</v>
      </c>
      <c r="D917" s="737">
        <f>SUMIFS(Results!$D$107:$AK$107,Results!$D$98:$AK$98,$B917)</f>
        <v>2.6687172568125948E-2</v>
      </c>
      <c r="E917" s="739">
        <f>SUMIFS(Results!$D$109:$AK$109,Results!$D$98:$AK$98,$B917)</f>
        <v>4.7223586789917581E-4</v>
      </c>
      <c r="F917" s="739">
        <f>SUMIFS(Results!$D$108:$AK$108,Results!$D$98:$AK$98,$B917)</f>
        <v>8.3515550838193927E-4</v>
      </c>
      <c r="G917" s="737">
        <f>SUMIFS(Results!$D$106:$AK$106,Results!$D$98:$AK$98,$B917)</f>
        <v>61.769523349354365</v>
      </c>
    </row>
    <row r="918" spans="2:7">
      <c r="B918" s="660">
        <f t="shared" ref="B918:C918" si="319">B917+1</f>
        <v>2047</v>
      </c>
      <c r="C918" s="661">
        <f t="shared" si="319"/>
        <v>27</v>
      </c>
      <c r="D918" s="737">
        <f>SUMIFS(Results!$D$107:$AK$107,Results!$D$98:$AK$98,$B918)</f>
        <v>2.7584677910133474E-2</v>
      </c>
      <c r="E918" s="739">
        <f>SUMIFS(Results!$D$109:$AK$109,Results!$D$98:$AK$98,$B918)</f>
        <v>4.8618960248160951E-4</v>
      </c>
      <c r="F918" s="739">
        <f>SUMIFS(Results!$D$108:$AK$108,Results!$D$98:$AK$98,$B918)</f>
        <v>8.4407231749105609E-4</v>
      </c>
      <c r="G918" s="737">
        <f>SUMIFS(Results!$D$106:$AK$106,Results!$D$98:$AK$98,$B918)</f>
        <v>63.522463716898891</v>
      </c>
    </row>
    <row r="919" spans="2:7">
      <c r="B919" s="660">
        <f t="shared" ref="B919:C919" si="320">B918+1</f>
        <v>2048</v>
      </c>
      <c r="C919" s="661">
        <f t="shared" si="320"/>
        <v>28</v>
      </c>
      <c r="D919" s="737">
        <f>SUMIFS(Results!$D$107:$AK$107,Results!$D$98:$AK$98,$B919)</f>
        <v>2.8511139117956552E-2</v>
      </c>
      <c r="E919" s="739">
        <f>SUMIFS(Results!$D$109:$AK$109,Results!$D$98:$AK$98,$B919)</f>
        <v>5.004998973578476E-4</v>
      </c>
      <c r="F919" s="739">
        <f>SUMIFS(Results!$D$108:$AK$108,Results!$D$98:$AK$98,$B919)</f>
        <v>8.5234583415756129E-4</v>
      </c>
      <c r="G919" s="737">
        <f>SUMIFS(Results!$D$106:$AK$106,Results!$D$98:$AK$98,$B919)</f>
        <v>65.31620407582443</v>
      </c>
    </row>
    <row r="920" spans="2:7">
      <c r="B920" s="660">
        <f t="shared" ref="B920:C920" si="321">B919+1</f>
        <v>2049</v>
      </c>
      <c r="C920" s="661">
        <f t="shared" si="321"/>
        <v>29</v>
      </c>
      <c r="D920" s="737">
        <f>SUMIFS(Results!$D$107:$AK$107,Results!$D$98:$AK$98,$B920)</f>
        <v>2.9467430757995683E-2</v>
      </c>
      <c r="E920" s="739">
        <f>SUMIFS(Results!$D$109:$AK$109,Results!$D$98:$AK$98,$B920)</f>
        <v>5.1517278233601286E-4</v>
      </c>
      <c r="F920" s="739">
        <f>SUMIFS(Results!$D$108:$AK$108,Results!$D$98:$AK$98,$B920)</f>
        <v>8.5990949988621289E-4</v>
      </c>
      <c r="G920" s="737">
        <f>SUMIFS(Results!$D$106:$AK$106,Results!$D$98:$AK$98,$B920)</f>
        <v>67.151179184145235</v>
      </c>
    </row>
    <row r="921" spans="2:7">
      <c r="B921" s="660">
        <f t="shared" ref="B921:C921" si="322">B920+1</f>
        <v>2050</v>
      </c>
      <c r="C921" s="661">
        <f t="shared" si="322"/>
        <v>30</v>
      </c>
      <c r="D921" s="737">
        <f>SUMIFS(Results!$D$107:$AK$107,Results!$D$98:$AK$98,$B921)</f>
        <v>3.0454450793118999E-2</v>
      </c>
      <c r="E921" s="739">
        <f>SUMIFS(Results!$D$109:$AK$109,Results!$D$98:$AK$98,$B921)</f>
        <v>5.3021419224550195E-4</v>
      </c>
      <c r="F921" s="739">
        <f>SUMIFS(Results!$D$108:$AK$108,Results!$D$98:$AK$98,$B921)</f>
        <v>8.6669242712801727E-4</v>
      </c>
      <c r="G921" s="737">
        <f>SUMIFS(Results!$D$106:$AK$106,Results!$D$98:$AK$98,$B921)</f>
        <v>69.027792303786597</v>
      </c>
    </row>
    <row r="922" spans="2:7">
      <c r="B922" s="660">
        <f t="shared" ref="B922:C922" si="323">B921+1</f>
        <v>2051</v>
      </c>
      <c r="C922" s="661">
        <f t="shared" si="323"/>
        <v>31</v>
      </c>
      <c r="D922" s="737">
        <f>SUMIFS(Results!$D$107:$AK$107,Results!$D$98:$AK$98,$B922)</f>
        <v>3.1685217336693848E-2</v>
      </c>
      <c r="E922" s="739">
        <f>SUMIFS(Results!$D$109:$AK$109,Results!$D$98:$AK$98,$B922)</f>
        <v>5.5164192683764164E-4</v>
      </c>
      <c r="F922" s="739">
        <f>SUMIFS(Results!$D$108:$AK$108,Results!$D$98:$AK$98,$B922)</f>
        <v>9.0171837621260515E-4</v>
      </c>
      <c r="G922" s="737">
        <f>SUMIFS(Results!$D$106:$AK$106,Results!$D$98:$AK$98,$B922)</f>
        <v>71.817437007001232</v>
      </c>
    </row>
    <row r="923" spans="2:7">
      <c r="B923" s="660">
        <f t="shared" ref="B923:C923" si="324">B922+1</f>
        <v>2052</v>
      </c>
      <c r="C923" s="661">
        <f t="shared" si="324"/>
        <v>32</v>
      </c>
      <c r="D923" s="737">
        <f>SUMIFS(Results!$D$107:$AK$107,Results!$D$98:$AK$98,$B923)</f>
        <v>3.2965723286015165E-2</v>
      </c>
      <c r="E923" s="739">
        <f>SUMIFS(Results!$D$109:$AK$109,Results!$D$98:$AK$98,$B923)</f>
        <v>5.7393562808338383E-4</v>
      </c>
      <c r="F923" s="739">
        <f>SUMIFS(Results!$D$108:$AK$108,Results!$D$98:$AK$98,$B923)</f>
        <v>9.3815984142595554E-4</v>
      </c>
      <c r="G923" s="737">
        <f>SUMIFS(Results!$D$106:$AK$106,Results!$D$98:$AK$98,$B923)</f>
        <v>74.719820613061373</v>
      </c>
    </row>
    <row r="924" spans="2:7">
      <c r="B924" s="660">
        <f t="shared" ref="B924:C924" si="325">B923+1</f>
        <v>2053</v>
      </c>
      <c r="C924" s="661">
        <f t="shared" si="325"/>
        <v>33</v>
      </c>
      <c r="D924" s="737">
        <f>SUMIFS(Results!$D$107:$AK$107,Results!$D$98:$AK$98,$B924)</f>
        <v>3.4297978777364971E-2</v>
      </c>
      <c r="E924" s="739">
        <f>SUMIFS(Results!$D$109:$AK$109,Results!$D$98:$AK$98,$B924)</f>
        <v>5.9713029260087004E-4</v>
      </c>
      <c r="F924" s="739">
        <f>SUMIFS(Results!$D$108:$AK$108,Results!$D$98:$AK$98,$B924)</f>
        <v>9.7607402852446313E-4</v>
      </c>
      <c r="G924" s="737">
        <f>SUMIFS(Results!$D$106:$AK$106,Results!$D$98:$AK$98,$B924)</f>
        <v>77.739499279315709</v>
      </c>
    </row>
    <row r="925" spans="2:7">
      <c r="B925" s="660">
        <f t="shared" ref="B925:C925" si="326">B924+1</f>
        <v>2054</v>
      </c>
      <c r="C925" s="661">
        <f t="shared" si="326"/>
        <v>34</v>
      </c>
      <c r="D925" s="737">
        <f>SUMIFS(Results!$D$107:$AK$107,Results!$D$98:$AK$98,$B925)</f>
        <v>3.5684075183377323E-2</v>
      </c>
      <c r="E925" s="739">
        <f>SUMIFS(Results!$D$109:$AK$109,Results!$D$98:$AK$98,$B925)</f>
        <v>6.2126233133900672E-4</v>
      </c>
      <c r="F925" s="739">
        <f>SUMIFS(Results!$D$108:$AK$108,Results!$D$98:$AK$98,$B925)</f>
        <v>1.0155204551410843E-3</v>
      </c>
      <c r="G925" s="737">
        <f>SUMIFS(Results!$D$106:$AK$106,Results!$D$98:$AK$98,$B925)</f>
        <v>80.881213292719096</v>
      </c>
    </row>
    <row r="926" spans="2:7">
      <c r="B926" s="663" t="s">
        <v>5</v>
      </c>
      <c r="C926" s="663"/>
      <c r="D926" s="740">
        <f>SUM(D892:D925)</f>
        <v>1.1174421399310754</v>
      </c>
      <c r="E926" s="740">
        <f>SUM(E892:E925)</f>
        <v>1.2510436717096562E-2</v>
      </c>
      <c r="F926" s="740">
        <f t="shared" ref="F926" si="327">SUM(F892:F925)</f>
        <v>4.00562450100614E-2</v>
      </c>
      <c r="G926" s="738">
        <f>SUM(G892:G925)</f>
        <v>1613.0279387778169</v>
      </c>
    </row>
    <row r="928" spans="2:7">
      <c r="D928" s="711" t="b">
        <f>Results!$D$124=G926</f>
        <v>1</v>
      </c>
      <c r="E928" s="711" t="b">
        <f>Results!$D$125=D926</f>
        <v>1</v>
      </c>
      <c r="F928" s="711" t="b">
        <f>Results!$D$126=F926</f>
        <v>1</v>
      </c>
      <c r="G928" s="711" t="b">
        <f>Results!$D$127=E926</f>
        <v>1</v>
      </c>
    </row>
    <row r="930" spans="1:9">
      <c r="A930" s="656" t="s">
        <v>941</v>
      </c>
    </row>
    <row r="931" spans="1:9" ht="23">
      <c r="B931" s="658" t="s">
        <v>7</v>
      </c>
      <c r="C931" s="658" t="s">
        <v>798</v>
      </c>
      <c r="D931" s="659" t="str">
        <f>Results!$B$20</f>
        <v>Emissions Cost Savings</v>
      </c>
      <c r="E931" s="659" t="s">
        <v>898</v>
      </c>
      <c r="F931" s="659" t="s">
        <v>899</v>
      </c>
      <c r="H931" s="706" t="s">
        <v>893</v>
      </c>
      <c r="I931" s="706" t="s">
        <v>894</v>
      </c>
    </row>
    <row r="932" spans="1:9">
      <c r="B932" s="660">
        <f>VRCBY</f>
        <v>2021</v>
      </c>
      <c r="C932" s="661">
        <v>1</v>
      </c>
      <c r="D932" s="662">
        <f>SUMIFS(Results!$D$45:$AK$45,Results!$D$42:$AK$42,$B932)</f>
        <v>0</v>
      </c>
      <c r="E932" s="712">
        <f>$D932*H932</f>
        <v>0</v>
      </c>
      <c r="F932" s="712">
        <f>$D932*I932</f>
        <v>0</v>
      </c>
      <c r="H932" s="707">
        <f>SUMIFS(Results!$D$95:$AK$95,Results!$D$93:$AK$93,$B932)</f>
        <v>1</v>
      </c>
      <c r="I932" s="707">
        <f>SUMIFS(Results!$D$96:$AK$96,Results!$D$93:$AK$93,$B932)</f>
        <v>1</v>
      </c>
    </row>
    <row r="933" spans="1:9">
      <c r="B933" s="660">
        <f>B932+1</f>
        <v>2022</v>
      </c>
      <c r="C933" s="661">
        <f>C932+1</f>
        <v>2</v>
      </c>
      <c r="D933" s="662">
        <f>SUMIFS(Results!$D$45:$AK$45,Results!$D$42:$AK$42,$B933)</f>
        <v>0</v>
      </c>
      <c r="E933" s="712">
        <f t="shared" ref="E933:E965" si="328">$D933*H933</f>
        <v>0</v>
      </c>
      <c r="F933" s="712">
        <f t="shared" ref="F933:F965" si="329">$D933*I933</f>
        <v>0</v>
      </c>
      <c r="H933" s="707">
        <f>SUMIFS(Results!$D$95:$AK$95,Results!$D$93:$AK$93,$B933)</f>
        <v>0.93457943925233644</v>
      </c>
      <c r="I933" s="707">
        <f>SUMIFS(Results!$D$96:$AK$96,Results!$D$93:$AK$93,$B933)</f>
        <v>0.970873786407767</v>
      </c>
    </row>
    <row r="934" spans="1:9">
      <c r="B934" s="660">
        <f t="shared" ref="B934:C934" si="330">B933+1</f>
        <v>2023</v>
      </c>
      <c r="C934" s="661">
        <f t="shared" si="330"/>
        <v>3</v>
      </c>
      <c r="D934" s="662">
        <f>SUMIFS(Results!$D$45:$AK$45,Results!$D$42:$AK$42,$B934)</f>
        <v>0</v>
      </c>
      <c r="E934" s="712">
        <f t="shared" si="328"/>
        <v>0</v>
      </c>
      <c r="F934" s="712">
        <f t="shared" si="329"/>
        <v>0</v>
      </c>
      <c r="H934" s="707">
        <f>SUMIFS(Results!$D$95:$AK$95,Results!$D$93:$AK$93,$B934)</f>
        <v>0.87343872827321156</v>
      </c>
      <c r="I934" s="707">
        <f>SUMIFS(Results!$D$96:$AK$96,Results!$D$93:$AK$93,$B934)</f>
        <v>0.94259590913375435</v>
      </c>
    </row>
    <row r="935" spans="1:9">
      <c r="B935" s="660">
        <f t="shared" ref="B935:C935" si="331">B934+1</f>
        <v>2024</v>
      </c>
      <c r="C935" s="661">
        <f t="shared" si="331"/>
        <v>4</v>
      </c>
      <c r="D935" s="662">
        <f>SUMIFS(Results!$D$45:$AK$45,Results!$D$42:$AK$42,$B935)</f>
        <v>0</v>
      </c>
      <c r="E935" s="712">
        <f t="shared" si="328"/>
        <v>0</v>
      </c>
      <c r="F935" s="712">
        <f t="shared" si="329"/>
        <v>0</v>
      </c>
      <c r="H935" s="707">
        <f>SUMIFS(Results!$D$95:$AK$95,Results!$D$93:$AK$93,$B935)</f>
        <v>0.81629787689085187</v>
      </c>
      <c r="I935" s="707">
        <f>SUMIFS(Results!$D$96:$AK$96,Results!$D$93:$AK$93,$B935)</f>
        <v>0.91514165935315961</v>
      </c>
    </row>
    <row r="936" spans="1:9">
      <c r="B936" s="660">
        <f t="shared" ref="B936:C936" si="332">B935+1</f>
        <v>2025</v>
      </c>
      <c r="C936" s="661">
        <f t="shared" si="332"/>
        <v>5</v>
      </c>
      <c r="D936" s="662">
        <f>SUMIFS(Results!$D$45:$AK$45,Results!$D$42:$AK$42,$B936)</f>
        <v>5457.8106984496044</v>
      </c>
      <c r="E936" s="712">
        <f t="shared" si="328"/>
        <v>4163.737650108963</v>
      </c>
      <c r="F936" s="712">
        <f t="shared" si="329"/>
        <v>4849.1941155481536</v>
      </c>
      <c r="H936" s="707">
        <f>SUMIFS(Results!$D$95:$AK$95,Results!$D$93:$AK$93,$B936)</f>
        <v>0.7628952120475252</v>
      </c>
      <c r="I936" s="707">
        <f>SUMIFS(Results!$D$96:$AK$96,Results!$D$93:$AK$93,$B936)</f>
        <v>0.888487047915689</v>
      </c>
    </row>
    <row r="937" spans="1:9">
      <c r="B937" s="660">
        <f t="shared" ref="B937:C937" si="333">B936+1</f>
        <v>2026</v>
      </c>
      <c r="C937" s="661">
        <f t="shared" si="333"/>
        <v>6</v>
      </c>
      <c r="D937" s="662">
        <f>SUMIFS(Results!$D$45:$AK$45,Results!$D$42:$AK$42,$B937)</f>
        <v>5407.2924520999932</v>
      </c>
      <c r="E937" s="712">
        <f t="shared" si="328"/>
        <v>3855.3247867736509</v>
      </c>
      <c r="F937" s="712">
        <f t="shared" si="329"/>
        <v>4664.3779689156408</v>
      </c>
      <c r="H937" s="707">
        <f>SUMIFS(Results!$D$95:$AK$95,Results!$D$93:$AK$93,$B937)</f>
        <v>0.71298617948366838</v>
      </c>
      <c r="I937" s="707">
        <f>SUMIFS(Results!$D$96:$AK$96,Results!$D$93:$AK$93,$B937)</f>
        <v>0.86260878438416411</v>
      </c>
    </row>
    <row r="938" spans="1:9">
      <c r="B938" s="660">
        <f t="shared" ref="B938:C938" si="334">B937+1</f>
        <v>2027</v>
      </c>
      <c r="C938" s="661">
        <f t="shared" si="334"/>
        <v>7</v>
      </c>
      <c r="D938" s="662">
        <f>SUMIFS(Results!$D$45:$AK$45,Results!$D$42:$AK$42,$B938)</f>
        <v>5341.1690466284035</v>
      </c>
      <c r="E938" s="712">
        <f t="shared" si="328"/>
        <v>3559.0464603102923</v>
      </c>
      <c r="F938" s="712">
        <f t="shared" si="329"/>
        <v>4473.1449888373318</v>
      </c>
      <c r="H938" s="707">
        <f>SUMIFS(Results!$D$95:$AK$95,Results!$D$93:$AK$93,$B938)</f>
        <v>0.66634222381651254</v>
      </c>
      <c r="I938" s="707">
        <f>SUMIFS(Results!$D$96:$AK$96,Results!$D$93:$AK$93,$B938)</f>
        <v>0.83748425668365445</v>
      </c>
    </row>
    <row r="939" spans="1:9">
      <c r="B939" s="660">
        <f t="shared" ref="B939:C939" si="335">B938+1</f>
        <v>2028</v>
      </c>
      <c r="C939" s="661">
        <f t="shared" si="335"/>
        <v>8</v>
      </c>
      <c r="D939" s="662">
        <f>SUMIFS(Results!$D$45:$AK$45,Results!$D$42:$AK$42,$B939)</f>
        <v>5243.2259619314509</v>
      </c>
      <c r="E939" s="712">
        <f t="shared" si="328"/>
        <v>3265.217614435398</v>
      </c>
      <c r="F939" s="712">
        <f t="shared" si="329"/>
        <v>4263.222521701553</v>
      </c>
      <c r="H939" s="707">
        <f>SUMIFS(Results!$D$95:$AK$95,Results!$D$93:$AK$93,$B939)</f>
        <v>0.62274974188459109</v>
      </c>
      <c r="I939" s="707">
        <f>SUMIFS(Results!$D$96:$AK$96,Results!$D$93:$AK$93,$B939)</f>
        <v>0.81309151134335378</v>
      </c>
    </row>
    <row r="940" spans="1:9">
      <c r="B940" s="660">
        <f t="shared" ref="B940:C940" si="336">B939+1</f>
        <v>2029</v>
      </c>
      <c r="C940" s="661">
        <f t="shared" si="336"/>
        <v>9</v>
      </c>
      <c r="D940" s="662">
        <f>SUMIFS(Results!$D$45:$AK$45,Results!$D$42:$AK$42,$B940)</f>
        <v>5118.4088627153533</v>
      </c>
      <c r="E940" s="712">
        <f t="shared" si="328"/>
        <v>2978.9605589867192</v>
      </c>
      <c r="F940" s="712">
        <f t="shared" si="329"/>
        <v>4040.5192212217894</v>
      </c>
      <c r="H940" s="707">
        <f>SUMIFS(Results!$D$95:$AK$95,Results!$D$93:$AK$93,$B940)</f>
        <v>0.5820091045650384</v>
      </c>
      <c r="I940" s="707">
        <f>SUMIFS(Results!$D$96:$AK$96,Results!$D$93:$AK$93,$B940)</f>
        <v>0.78940923431393573</v>
      </c>
    </row>
    <row r="941" spans="1:9">
      <c r="B941" s="660">
        <f t="shared" ref="B941:C941" si="337">B940+1</f>
        <v>2030</v>
      </c>
      <c r="C941" s="661">
        <f t="shared" si="337"/>
        <v>10</v>
      </c>
      <c r="D941" s="662">
        <f>SUMIFS(Results!$D$45:$AK$45,Results!$D$42:$AK$42,$B941)</f>
        <v>4968.5068088239386</v>
      </c>
      <c r="E941" s="712">
        <f t="shared" si="328"/>
        <v>2702.538503578427</v>
      </c>
      <c r="F941" s="712">
        <f t="shared" si="329"/>
        <v>3807.9467530459046</v>
      </c>
      <c r="H941" s="707">
        <f>SUMIFS(Results!$D$95:$AK$95,Results!$D$93:$AK$93,$B941)</f>
        <v>0.54393374258414806</v>
      </c>
      <c r="I941" s="707">
        <f>SUMIFS(Results!$D$96:$AK$96,Results!$D$93:$AK$93,$B941)</f>
        <v>0.76641673234362695</v>
      </c>
    </row>
    <row r="942" spans="1:9">
      <c r="B942" s="660">
        <f t="shared" ref="B942:C942" si="338">B941+1</f>
        <v>2031</v>
      </c>
      <c r="C942" s="661">
        <f t="shared" si="338"/>
        <v>11</v>
      </c>
      <c r="D942" s="662">
        <f>SUMIFS(Results!$D$45:$AK$45,Results!$D$42:$AK$42,$B942)</f>
        <v>4991.2724897990292</v>
      </c>
      <c r="E942" s="712">
        <f t="shared" si="328"/>
        <v>2537.309837040827</v>
      </c>
      <c r="F942" s="712">
        <f t="shared" si="329"/>
        <v>3713.9754872508843</v>
      </c>
      <c r="H942" s="707">
        <f>SUMIFS(Results!$D$95:$AK$95,Results!$D$93:$AK$93,$B942)</f>
        <v>0.5083492921347178</v>
      </c>
      <c r="I942" s="707">
        <f>SUMIFS(Results!$D$96:$AK$96,Results!$D$93:$AK$93,$B942)</f>
        <v>0.74409391489672516</v>
      </c>
    </row>
    <row r="943" spans="1:9">
      <c r="B943" s="660">
        <f t="shared" ref="B943:C943" si="339">B942+1</f>
        <v>2032</v>
      </c>
      <c r="C943" s="661">
        <f t="shared" si="339"/>
        <v>12</v>
      </c>
      <c r="D943" s="662">
        <f>SUMIFS(Results!$D$45:$AK$45,Results!$D$42:$AK$42,$B943)</f>
        <v>5006.5218765476393</v>
      </c>
      <c r="E943" s="712">
        <f t="shared" si="328"/>
        <v>2378.5624785046457</v>
      </c>
      <c r="F943" s="712">
        <f t="shared" si="329"/>
        <v>3616.8179253751769</v>
      </c>
      <c r="H943" s="707">
        <f>SUMIFS(Results!$D$95:$AK$95,Results!$D$93:$AK$93,$B943)</f>
        <v>0.47509279638758667</v>
      </c>
      <c r="I943" s="707">
        <f>SUMIFS(Results!$D$96:$AK$96,Results!$D$93:$AK$93,$B943)</f>
        <v>0.72242127659876232</v>
      </c>
    </row>
    <row r="944" spans="1:9">
      <c r="B944" s="660">
        <f t="shared" ref="B944:C944" si="340">B943+1</f>
        <v>2033</v>
      </c>
      <c r="C944" s="661">
        <f t="shared" si="340"/>
        <v>13</v>
      </c>
      <c r="D944" s="662">
        <f>SUMIFS(Results!$D$45:$AK$45,Results!$D$42:$AK$42,$B944)</f>
        <v>5013.5600923482398</v>
      </c>
      <c r="E944" s="712">
        <f t="shared" si="328"/>
        <v>2226.0806393747034</v>
      </c>
      <c r="F944" s="712">
        <f t="shared" si="329"/>
        <v>3516.4101769114804</v>
      </c>
      <c r="H944" s="707">
        <f>SUMIFS(Results!$D$95:$AK$95,Results!$D$93:$AK$93,$B944)</f>
        <v>0.44401195924073528</v>
      </c>
      <c r="I944" s="707">
        <f>SUMIFS(Results!$D$96:$AK$96,Results!$D$93:$AK$93,$B944)</f>
        <v>0.70137988019297326</v>
      </c>
    </row>
    <row r="945" spans="2:9">
      <c r="B945" s="660">
        <f t="shared" ref="B945:C945" si="341">B944+1</f>
        <v>2034</v>
      </c>
      <c r="C945" s="661">
        <f t="shared" si="341"/>
        <v>14</v>
      </c>
      <c r="D945" s="662">
        <f>SUMIFS(Results!$D$45:$AK$45,Results!$D$42:$AK$42,$B945)</f>
        <v>5056.7378990913739</v>
      </c>
      <c r="E945" s="712">
        <f t="shared" si="328"/>
        <v>2098.3664504134954</v>
      </c>
      <c r="F945" s="712">
        <f t="shared" si="329"/>
        <v>3443.3924483805586</v>
      </c>
      <c r="H945" s="707">
        <f>SUMIFS(Results!$D$95:$AK$95,Results!$D$93:$AK$93,$B945)</f>
        <v>0.41496444788853759</v>
      </c>
      <c r="I945" s="707">
        <f>SUMIFS(Results!$D$96:$AK$96,Results!$D$93:$AK$93,$B945)</f>
        <v>0.68095133999317792</v>
      </c>
    </row>
    <row r="946" spans="2:9">
      <c r="B946" s="660">
        <f t="shared" ref="B946:C946" si="342">B945+1</f>
        <v>2035</v>
      </c>
      <c r="C946" s="661">
        <f t="shared" si="342"/>
        <v>15</v>
      </c>
      <c r="D946" s="662">
        <f>SUMIFS(Results!$D$45:$AK$45,Results!$D$42:$AK$42,$B946)</f>
        <v>5046.20596589466</v>
      </c>
      <c r="E946" s="712">
        <f t="shared" si="328"/>
        <v>1957.0056752984322</v>
      </c>
      <c r="F946" s="712">
        <f t="shared" si="329"/>
        <v>3336.1366158811038</v>
      </c>
      <c r="H946" s="707">
        <f>SUMIFS(Results!$D$95:$AK$95,Results!$D$93:$AK$93,$B946)</f>
        <v>0.3878172410173249</v>
      </c>
      <c r="I946" s="707">
        <f>SUMIFS(Results!$D$96:$AK$96,Results!$D$93:$AK$93,$B946)</f>
        <v>0.66111780581861923</v>
      </c>
    </row>
    <row r="947" spans="2:9">
      <c r="B947" s="660">
        <f t="shared" ref="B947:C947" si="343">B946+1</f>
        <v>2036</v>
      </c>
      <c r="C947" s="661">
        <f t="shared" si="343"/>
        <v>16</v>
      </c>
      <c r="D947" s="662">
        <f>SUMIFS(Results!$D$45:$AK$45,Results!$D$42:$AK$42,$B947)</f>
        <v>5025.1090908633478</v>
      </c>
      <c r="E947" s="712">
        <f t="shared" si="328"/>
        <v>1821.3307882520571</v>
      </c>
      <c r="F947" s="712">
        <f t="shared" si="329"/>
        <v>3225.4263069424978</v>
      </c>
      <c r="H947" s="707">
        <f>SUMIFS(Results!$D$95:$AK$95,Results!$D$93:$AK$93,$B947)</f>
        <v>0.36244601964235967</v>
      </c>
      <c r="I947" s="707">
        <f>SUMIFS(Results!$D$96:$AK$96,Results!$D$93:$AK$93,$B947)</f>
        <v>0.64186194739671765</v>
      </c>
    </row>
    <row r="948" spans="2:9">
      <c r="B948" s="660">
        <f t="shared" ref="B948:C948" si="344">B947+1</f>
        <v>2037</v>
      </c>
      <c r="C948" s="661">
        <f t="shared" si="344"/>
        <v>17</v>
      </c>
      <c r="D948" s="662">
        <f>SUMIFS(Results!$D$45:$AK$45,Results!$D$42:$AK$42,$B948)</f>
        <v>4993.4243337298039</v>
      </c>
      <c r="E948" s="712">
        <f t="shared" si="328"/>
        <v>1691.4455833137099</v>
      </c>
      <c r="F948" s="712">
        <f t="shared" si="329"/>
        <v>3111.7369582776405</v>
      </c>
      <c r="H948" s="707">
        <f>SUMIFS(Results!$D$95:$AK$95,Results!$D$93:$AK$93,$B948)</f>
        <v>0.33873459779659787</v>
      </c>
      <c r="I948" s="707">
        <f>SUMIFS(Results!$D$96:$AK$96,Results!$D$93:$AK$93,$B948)</f>
        <v>0.62316693922011435</v>
      </c>
    </row>
    <row r="949" spans="2:9">
      <c r="B949" s="660">
        <f t="shared" ref="B949:C949" si="345">B948+1</f>
        <v>2038</v>
      </c>
      <c r="C949" s="661">
        <f t="shared" si="345"/>
        <v>18</v>
      </c>
      <c r="D949" s="662">
        <f>SUMIFS(Results!$D$45:$AK$45,Results!$D$42:$AK$42,$B949)</f>
        <v>4949.3982828907083</v>
      </c>
      <c r="E949" s="712">
        <f t="shared" si="328"/>
        <v>1566.8527445702396</v>
      </c>
      <c r="F949" s="712">
        <f t="shared" si="329"/>
        <v>2994.4673581847496</v>
      </c>
      <c r="H949" s="707">
        <f>SUMIFS(Results!$D$95:$AK$95,Results!$D$93:$AK$93,$B949)</f>
        <v>0.31657439046411018</v>
      </c>
      <c r="I949" s="707">
        <f>SUMIFS(Results!$D$96:$AK$96,Results!$D$93:$AK$93,$B949)</f>
        <v>0.60501644584477121</v>
      </c>
    </row>
    <row r="950" spans="2:9">
      <c r="B950" s="660">
        <f t="shared" ref="B950:C950" si="346">B949+1</f>
        <v>2039</v>
      </c>
      <c r="C950" s="661">
        <f t="shared" si="346"/>
        <v>19</v>
      </c>
      <c r="D950" s="662">
        <f>SUMIFS(Results!$D$45:$AK$45,Results!$D$42:$AK$42,$B950)</f>
        <v>4892.0216061692126</v>
      </c>
      <c r="E950" s="712">
        <f t="shared" si="328"/>
        <v>1447.3726711310985</v>
      </c>
      <c r="F950" s="712">
        <f t="shared" si="329"/>
        <v>2873.5471118061419</v>
      </c>
      <c r="H950" s="707">
        <f>SUMIFS(Results!$D$95:$AK$95,Results!$D$93:$AK$93,$B950)</f>
        <v>0.29586391632159825</v>
      </c>
      <c r="I950" s="707">
        <f>SUMIFS(Results!$D$96:$AK$96,Results!$D$93:$AK$93,$B950)</f>
        <v>0.5873946076162827</v>
      </c>
    </row>
    <row r="951" spans="2:9">
      <c r="B951" s="660">
        <f t="shared" ref="B951:C951" si="347">B950+1</f>
        <v>2040</v>
      </c>
      <c r="C951" s="661">
        <f t="shared" si="347"/>
        <v>20</v>
      </c>
      <c r="D951" s="662">
        <f>SUMIFS(Results!$D$45:$AK$45,Results!$D$42:$AK$42,$B951)</f>
        <v>4820.2209774036946</v>
      </c>
      <c r="E951" s="712">
        <f t="shared" si="328"/>
        <v>1332.831267205775</v>
      </c>
      <c r="F951" s="712">
        <f t="shared" si="329"/>
        <v>2748.9046695590464</v>
      </c>
      <c r="H951" s="707">
        <f>SUMIFS(Results!$D$95:$AK$95,Results!$D$93:$AK$93,$B951)</f>
        <v>0.27650833301083949</v>
      </c>
      <c r="I951" s="707">
        <f>SUMIFS(Results!$D$96:$AK$96,Results!$D$93:$AK$93,$B951)</f>
        <v>0.57028602681192497</v>
      </c>
    </row>
    <row r="952" spans="2:9">
      <c r="B952" s="660">
        <f t="shared" ref="B952:C952" si="348">B951+1</f>
        <v>2041</v>
      </c>
      <c r="C952" s="661">
        <f t="shared" si="348"/>
        <v>21</v>
      </c>
      <c r="D952" s="662">
        <f>SUMIFS(Results!$D$45:$AK$45,Results!$D$42:$AK$42,$B952)</f>
        <v>5006.9627638671782</v>
      </c>
      <c r="E952" s="712">
        <f t="shared" si="328"/>
        <v>1293.8943245647281</v>
      </c>
      <c r="F952" s="712">
        <f t="shared" si="329"/>
        <v>2772.2338844670562</v>
      </c>
      <c r="H952" s="707">
        <f>SUMIFS(Results!$D$95:$AK$95,Results!$D$93:$AK$93,$B952)</f>
        <v>0.2584190028138687</v>
      </c>
      <c r="I952" s="707">
        <f>SUMIFS(Results!$D$96:$AK$96,Results!$D$93:$AK$93,$B952)</f>
        <v>0.55367575418633497</v>
      </c>
    </row>
    <row r="953" spans="2:9">
      <c r="B953" s="660">
        <f t="shared" ref="B953:C953" si="349">B952+1</f>
        <v>2042</v>
      </c>
      <c r="C953" s="661">
        <f t="shared" si="349"/>
        <v>22</v>
      </c>
      <c r="D953" s="662">
        <f>SUMIFS(Results!$D$45:$AK$45,Results!$D$42:$AK$42,$B953)</f>
        <v>5254.8622587005921</v>
      </c>
      <c r="E953" s="712">
        <f t="shared" si="328"/>
        <v>1269.118004502468</v>
      </c>
      <c r="F953" s="712">
        <f t="shared" si="329"/>
        <v>2824.747402166367</v>
      </c>
      <c r="H953" s="707">
        <f>SUMIFS(Results!$D$95:$AK$95,Results!$D$93:$AK$93,$B953)</f>
        <v>0.24151308674193336</v>
      </c>
      <c r="I953" s="707">
        <f>SUMIFS(Results!$D$96:$AK$96,Results!$D$93:$AK$93,$B953)</f>
        <v>0.5375492759090631</v>
      </c>
    </row>
    <row r="954" spans="2:9">
      <c r="B954" s="660">
        <f t="shared" ref="B954:C954" si="350">B953+1</f>
        <v>2043</v>
      </c>
      <c r="C954" s="661">
        <f t="shared" si="350"/>
        <v>23</v>
      </c>
      <c r="D954" s="662">
        <f>SUMIFS(Results!$D$45:$AK$45,Results!$D$42:$AK$42,$B954)</f>
        <v>5455.3326233421885</v>
      </c>
      <c r="E954" s="712">
        <f t="shared" si="328"/>
        <v>1231.3403935208794</v>
      </c>
      <c r="F954" s="712">
        <f t="shared" si="329"/>
        <v>2847.0971859424108</v>
      </c>
      <c r="H954" s="707">
        <f>SUMIFS(Results!$D$95:$AK$95,Results!$D$93:$AK$93,$B954)</f>
        <v>0.22571316517937698</v>
      </c>
      <c r="I954" s="707">
        <f>SUMIFS(Results!$D$96:$AK$96,Results!$D$93:$AK$93,$B954)</f>
        <v>0.52189250088258554</v>
      </c>
    </row>
    <row r="955" spans="2:9">
      <c r="B955" s="660">
        <f t="shared" ref="B955:C955" si="351">B954+1</f>
        <v>2044</v>
      </c>
      <c r="C955" s="661">
        <f t="shared" si="351"/>
        <v>24</v>
      </c>
      <c r="D955" s="662">
        <f>SUMIFS(Results!$D$45:$AK$45,Results!$D$42:$AK$42,$B955)</f>
        <v>5662.1037629895345</v>
      </c>
      <c r="E955" s="712">
        <f t="shared" si="328"/>
        <v>1194.4031419798398</v>
      </c>
      <c r="F955" s="712">
        <f t="shared" si="329"/>
        <v>2868.9412554595206</v>
      </c>
      <c r="H955" s="707">
        <f>SUMIFS(Results!$D$95:$AK$95,Results!$D$93:$AK$93,$B955)</f>
        <v>0.21094688334521211</v>
      </c>
      <c r="I955" s="707">
        <f>SUMIFS(Results!$D$96:$AK$96,Results!$D$93:$AK$93,$B955)</f>
        <v>0.50669174842969467</v>
      </c>
    </row>
    <row r="956" spans="2:9">
      <c r="B956" s="660">
        <f t="shared" ref="B956:C956" si="352">B955+1</f>
        <v>2045</v>
      </c>
      <c r="C956" s="661">
        <f t="shared" si="352"/>
        <v>25</v>
      </c>
      <c r="D956" s="662">
        <f>SUMIFS(Results!$D$45:$AK$45,Results!$D$42:$AK$42,$B956)</f>
        <v>5875.3041812927377</v>
      </c>
      <c r="E956" s="712">
        <f t="shared" si="328"/>
        <v>1158.2963605128937</v>
      </c>
      <c r="F956" s="712">
        <f t="shared" si="329"/>
        <v>2890.260338034479</v>
      </c>
      <c r="H956" s="707">
        <f>SUMIFS(Results!$D$95:$AK$95,Results!$D$93:$AK$93,$B956)</f>
        <v>0.19714661994879637</v>
      </c>
      <c r="I956" s="707">
        <f>SUMIFS(Results!$D$96:$AK$96,Results!$D$93:$AK$93,$B956)</f>
        <v>0.49193373633950943</v>
      </c>
    </row>
    <row r="957" spans="2:9">
      <c r="B957" s="660">
        <f t="shared" ref="B957:C957" si="353">B956+1</f>
        <v>2046</v>
      </c>
      <c r="C957" s="661">
        <f t="shared" si="353"/>
        <v>26</v>
      </c>
      <c r="D957" s="662">
        <f>SUMIFS(Results!$D$45:$AK$45,Results!$D$42:$AK$42,$B957)</f>
        <v>6095.0603216552836</v>
      </c>
      <c r="E957" s="712">
        <f t="shared" si="328"/>
        <v>1123.009851213423</v>
      </c>
      <c r="F957" s="712">
        <f t="shared" si="329"/>
        <v>2911.0347546083262</v>
      </c>
      <c r="H957" s="707">
        <f>SUMIFS(Results!$D$95:$AK$95,Results!$D$93:$AK$93,$B957)</f>
        <v>0.18424917752223957</v>
      </c>
      <c r="I957" s="707">
        <f>SUMIFS(Results!$D$96:$AK$96,Results!$D$93:$AK$93,$B957)</f>
        <v>0.47760556926165965</v>
      </c>
    </row>
    <row r="958" spans="2:9">
      <c r="B958" s="660">
        <f t="shared" ref="B958:C958" si="354">B957+1</f>
        <v>2047</v>
      </c>
      <c r="C958" s="661">
        <f t="shared" si="354"/>
        <v>27</v>
      </c>
      <c r="D958" s="662">
        <f>SUMIFS(Results!$D$45:$AK$45,Results!$D$42:$AK$42,$B958)</f>
        <v>6321.4961036985524</v>
      </c>
      <c r="E958" s="712">
        <f t="shared" si="328"/>
        <v>1088.5331381462622</v>
      </c>
      <c r="F958" s="712">
        <f t="shared" si="329"/>
        <v>2931.2444128080683</v>
      </c>
      <c r="H958" s="707">
        <f>SUMIFS(Results!$D$95:$AK$95,Results!$D$93:$AK$93,$B958)</f>
        <v>0.17219549301143888</v>
      </c>
      <c r="I958" s="707">
        <f>SUMIFS(Results!$D$96:$AK$96,Results!$D$93:$AK$93,$B958)</f>
        <v>0.46369472743850448</v>
      </c>
    </row>
    <row r="959" spans="2:9">
      <c r="B959" s="660">
        <f t="shared" ref="B959:C959" si="355">B958+1</f>
        <v>2048</v>
      </c>
      <c r="C959" s="661">
        <f t="shared" si="355"/>
        <v>28</v>
      </c>
      <c r="D959" s="662">
        <f>SUMIFS(Results!$D$45:$AK$45,Results!$D$42:$AK$42,$B959)</f>
        <v>6554.732422103797</v>
      </c>
      <c r="E959" s="712">
        <f t="shared" si="328"/>
        <v>1054.855496245071</v>
      </c>
      <c r="F959" s="712">
        <f t="shared" si="329"/>
        <v>2950.8687999026688</v>
      </c>
      <c r="H959" s="707">
        <f>SUMIFS(Results!$D$95:$AK$95,Results!$D$93:$AK$93,$B959)</f>
        <v>0.16093036730041013</v>
      </c>
      <c r="I959" s="707">
        <f>SUMIFS(Results!$D$96:$AK$96,Results!$D$93:$AK$93,$B959)</f>
        <v>0.45018905576553836</v>
      </c>
    </row>
    <row r="960" spans="2:9">
      <c r="B960" s="660">
        <f t="shared" ref="B960:C960" si="356">B959+1</f>
        <v>2049</v>
      </c>
      <c r="C960" s="661">
        <f t="shared" si="356"/>
        <v>29</v>
      </c>
      <c r="D960" s="662">
        <f>SUMIFS(Results!$D$45:$AK$45,Results!$D$42:$AK$42,$B960)</f>
        <v>6862.0377845895509</v>
      </c>
      <c r="E960" s="712">
        <f t="shared" si="328"/>
        <v>1032.0656645825134</v>
      </c>
      <c r="F960" s="712">
        <f t="shared" si="329"/>
        <v>2999.2371950211814</v>
      </c>
      <c r="H960" s="707">
        <f>SUMIFS(Results!$D$95:$AK$95,Results!$D$93:$AK$93,$B960)</f>
        <v>0.15040221243028987</v>
      </c>
      <c r="I960" s="707">
        <f>SUMIFS(Results!$D$96:$AK$96,Results!$D$93:$AK$93,$B960)</f>
        <v>0.4370767531704256</v>
      </c>
    </row>
    <row r="961" spans="1:9">
      <c r="B961" s="660">
        <f t="shared" ref="B961:C961" si="357">B960+1</f>
        <v>2050</v>
      </c>
      <c r="C961" s="661">
        <f t="shared" si="357"/>
        <v>30</v>
      </c>
      <c r="D961" s="662">
        <f>SUMIFS(Results!$D$45:$AK$45,Results!$D$42:$AK$42,$B961)</f>
        <v>7111.0996244725084</v>
      </c>
      <c r="E961" s="712">
        <f t="shared" si="328"/>
        <v>999.55618348866244</v>
      </c>
      <c r="F961" s="712">
        <f t="shared" si="329"/>
        <v>3017.5692576076476</v>
      </c>
      <c r="H961" s="707">
        <f>SUMIFS(Results!$D$95:$AK$95,Results!$D$93:$AK$93,$B961)</f>
        <v>0.1405628153554111</v>
      </c>
      <c r="I961" s="707">
        <f>SUMIFS(Results!$D$96:$AK$96,Results!$D$93:$AK$93,$B961)</f>
        <v>0.42434636230138412</v>
      </c>
    </row>
    <row r="962" spans="1:9">
      <c r="B962" s="660">
        <f t="shared" ref="B962:C962" si="358">B961+1</f>
        <v>2051</v>
      </c>
      <c r="C962" s="661">
        <f t="shared" si="358"/>
        <v>31</v>
      </c>
      <c r="D962" s="662">
        <f>SUMIFS(Results!$D$45:$AK$45,Results!$D$42:$AK$42,$B962)</f>
        <v>7398.4830209186575</v>
      </c>
      <c r="E962" s="712">
        <f t="shared" si="328"/>
        <v>971.91738577526485</v>
      </c>
      <c r="F962" s="712">
        <f t="shared" si="329"/>
        <v>3048.0770451217354</v>
      </c>
      <c r="H962" s="707">
        <f>SUMIFS(Results!$D$95:$AK$95,Results!$D$93:$AK$93,$B962)</f>
        <v>0.13136711715458982</v>
      </c>
      <c r="I962" s="707">
        <f>SUMIFS(Results!$D$96:$AK$96,Results!$D$93:$AK$93,$B962)</f>
        <v>0.41198675951590691</v>
      </c>
    </row>
    <row r="963" spans="1:9">
      <c r="B963" s="660">
        <f t="shared" ref="B963:C963" si="359">B962+1</f>
        <v>2052</v>
      </c>
      <c r="C963" s="661">
        <f t="shared" si="359"/>
        <v>32</v>
      </c>
      <c r="D963" s="662">
        <f>SUMIFS(Results!$D$45:$AK$45,Results!$D$42:$AK$42,$B963)</f>
        <v>7697.4805447029576</v>
      </c>
      <c r="E963" s="712">
        <f t="shared" si="328"/>
        <v>945.04283038427002</v>
      </c>
      <c r="F963" s="712">
        <f t="shared" si="329"/>
        <v>3078.8932680086496</v>
      </c>
      <c r="H963" s="707">
        <f>SUMIFS(Results!$D$95:$AK$95,Results!$D$93:$AK$93,$B963)</f>
        <v>0.1227730066865325</v>
      </c>
      <c r="I963" s="707">
        <f>SUMIFS(Results!$D$96:$AK$96,Results!$D$93:$AK$93,$B963)</f>
        <v>0.39998714516107459</v>
      </c>
    </row>
    <row r="964" spans="1:9">
      <c r="B964" s="660">
        <f t="shared" ref="B964:C964" si="360">B963+1</f>
        <v>2053</v>
      </c>
      <c r="C964" s="661">
        <f t="shared" si="360"/>
        <v>33</v>
      </c>
      <c r="D964" s="662">
        <f>SUMIFS(Results!$D$45:$AK$45,Results!$D$42:$AK$42,$B964)</f>
        <v>8008.5615616812629</v>
      </c>
      <c r="E964" s="712">
        <f t="shared" si="328"/>
        <v>918.91138519794481</v>
      </c>
      <c r="F964" s="712">
        <f t="shared" si="329"/>
        <v>3110.021044566608</v>
      </c>
      <c r="H964" s="707">
        <f>SUMIFS(Results!$D$95:$AK$95,Results!$D$93:$AK$93,$B964)</f>
        <v>0.11474112774442291</v>
      </c>
      <c r="I964" s="707">
        <f>SUMIFS(Results!$D$96:$AK$96,Results!$D$93:$AK$93,$B964)</f>
        <v>0.38833703413696569</v>
      </c>
    </row>
    <row r="965" spans="1:9">
      <c r="B965" s="660">
        <f t="shared" ref="B965:C965" si="361">B964+1</f>
        <v>2054</v>
      </c>
      <c r="C965" s="661">
        <f t="shared" si="361"/>
        <v>34</v>
      </c>
      <c r="D965" s="662">
        <f>SUMIFS(Results!$D$45:$AK$45,Results!$D$42:$AK$42,$B965)</f>
        <v>8332.2144063585383</v>
      </c>
      <c r="E965" s="712">
        <f t="shared" si="328"/>
        <v>893.50250242421123</v>
      </c>
      <c r="F965" s="712">
        <f t="shared" si="329"/>
        <v>3141.4635246199737</v>
      </c>
      <c r="H965" s="707">
        <f>SUMIFS(Results!$D$95:$AK$95,Results!$D$93:$AK$93,$B965)</f>
        <v>0.10723469882656347</v>
      </c>
      <c r="I965" s="707">
        <f>SUMIFS(Results!$D$96:$AK$96,Results!$D$93:$AK$93,$B965)</f>
        <v>0.37702624673491814</v>
      </c>
    </row>
    <row r="966" spans="1:9">
      <c r="B966" s="663" t="s">
        <v>5</v>
      </c>
      <c r="C966" s="663"/>
      <c r="D966" s="664">
        <f>SUM(D932:D965)</f>
        <v>172966.61782575978</v>
      </c>
      <c r="E966" s="664">
        <f t="shared" ref="E966:F966" si="362">SUM(E932:E965)</f>
        <v>54756.430371836868</v>
      </c>
      <c r="F966" s="664">
        <f t="shared" si="362"/>
        <v>100070.90999617435</v>
      </c>
    </row>
    <row r="968" spans="1:9">
      <c r="D968" s="711" t="b">
        <f>Results!$C$20*10^6=D966</f>
        <v>1</v>
      </c>
      <c r="E968" s="711" t="b">
        <f>Results!$E$20*10^6=E966</f>
        <v>1</v>
      </c>
      <c r="F968" s="711" t="b">
        <f>Results!$D$20*10^6=F966</f>
        <v>1</v>
      </c>
    </row>
    <row r="970" spans="1:9">
      <c r="A970" s="656" t="s">
        <v>943</v>
      </c>
    </row>
    <row r="971" spans="1:9" ht="23">
      <c r="B971" s="658" t="s">
        <v>7</v>
      </c>
      <c r="C971" s="658" t="s">
        <v>798</v>
      </c>
      <c r="D971" s="659" t="str">
        <f>Results!$B$111&amp;" (gallons)"</f>
        <v>Avoided Gasoline Consumption (gallons)</v>
      </c>
      <c r="E971" s="659" t="str">
        <f>Results!$B$112&amp;" (gallons)"</f>
        <v>Avoided Diesel Consumption (gallons)</v>
      </c>
      <c r="F971" s="659" t="str">
        <f>Results!$B$113&amp;" (quarts)"</f>
        <v>Avoided Motor Oil Consumption (quarts)</v>
      </c>
    </row>
    <row r="972" spans="1:9">
      <c r="B972" s="660">
        <f>VRCBY</f>
        <v>2021</v>
      </c>
      <c r="C972" s="661">
        <v>1</v>
      </c>
      <c r="D972" s="736">
        <f>SUMIFS(Results!$D$111:$AK$111,Results!$D$98:$AK$98,$B972)</f>
        <v>0</v>
      </c>
      <c r="E972" s="736">
        <f>SUMIFS(Results!$D$112:$AK$112,Results!$D$98:$AK$98,$B972)</f>
        <v>0</v>
      </c>
      <c r="F972" s="736">
        <f>SUMIFS(Results!$D$113:$AK$113,Results!$D$98:$AK$98,$B972)</f>
        <v>0</v>
      </c>
    </row>
    <row r="973" spans="1:9">
      <c r="B973" s="660">
        <f>B972+1</f>
        <v>2022</v>
      </c>
      <c r="C973" s="661">
        <f>C972+1</f>
        <v>2</v>
      </c>
      <c r="D973" s="736">
        <f>SUMIFS(Results!$D$111:$AK$111,Results!$D$98:$AK$98,$B973)</f>
        <v>0</v>
      </c>
      <c r="E973" s="736">
        <f>SUMIFS(Results!$D$112:$AK$112,Results!$D$98:$AK$98,$B973)</f>
        <v>0</v>
      </c>
      <c r="F973" s="736">
        <f>SUMIFS(Results!$D$113:$AK$113,Results!$D$98:$AK$98,$B973)</f>
        <v>0</v>
      </c>
    </row>
    <row r="974" spans="1:9">
      <c r="B974" s="660">
        <f t="shared" ref="B974:C974" si="363">B973+1</f>
        <v>2023</v>
      </c>
      <c r="C974" s="661">
        <f t="shared" si="363"/>
        <v>3</v>
      </c>
      <c r="D974" s="736">
        <f>SUMIFS(Results!$D$111:$AK$111,Results!$D$98:$AK$98,$B974)</f>
        <v>0</v>
      </c>
      <c r="E974" s="736">
        <f>SUMIFS(Results!$D$112:$AK$112,Results!$D$98:$AK$98,$B974)</f>
        <v>0</v>
      </c>
      <c r="F974" s="736">
        <f>SUMIFS(Results!$D$113:$AK$113,Results!$D$98:$AK$98,$B974)</f>
        <v>0</v>
      </c>
    </row>
    <row r="975" spans="1:9">
      <c r="B975" s="660">
        <f t="shared" ref="B975:C975" si="364">B974+1</f>
        <v>2024</v>
      </c>
      <c r="C975" s="661">
        <f t="shared" si="364"/>
        <v>4</v>
      </c>
      <c r="D975" s="736">
        <f>SUMIFS(Results!$D$111:$AK$111,Results!$D$98:$AK$98,$B975)</f>
        <v>0</v>
      </c>
      <c r="E975" s="736">
        <f>SUMIFS(Results!$D$112:$AK$112,Results!$D$98:$AK$98,$B975)</f>
        <v>0</v>
      </c>
      <c r="F975" s="736">
        <f>SUMIFS(Results!$D$113:$AK$113,Results!$D$98:$AK$98,$B975)</f>
        <v>0</v>
      </c>
    </row>
    <row r="976" spans="1:9">
      <c r="B976" s="660">
        <f t="shared" ref="B976:C976" si="365">B975+1</f>
        <v>2025</v>
      </c>
      <c r="C976" s="661">
        <f t="shared" si="365"/>
        <v>5</v>
      </c>
      <c r="D976" s="736">
        <f>SUMIFS(Results!$D$111:$AK$111,Results!$D$98:$AK$98,$B976)</f>
        <v>11192.034103032629</v>
      </c>
      <c r="E976" s="736">
        <f>SUMIFS(Results!$D$112:$AK$112,Results!$D$98:$AK$98,$B976)</f>
        <v>2983.5298641852164</v>
      </c>
      <c r="F976" s="736">
        <f>SUMIFS(Results!$D$113:$AK$113,Results!$D$98:$AK$98,$B976)</f>
        <v>432.26998207137387</v>
      </c>
    </row>
    <row r="977" spans="2:6">
      <c r="B977" s="660">
        <f t="shared" ref="B977:C977" si="366">B976+1</f>
        <v>2026</v>
      </c>
      <c r="C977" s="661">
        <f t="shared" si="366"/>
        <v>6</v>
      </c>
      <c r="D977" s="736">
        <f>SUMIFS(Results!$D$111:$AK$111,Results!$D$98:$AK$98,$B977)</f>
        <v>11644.341754946487</v>
      </c>
      <c r="E977" s="736">
        <f>SUMIFS(Results!$D$112:$AK$112,Results!$D$98:$AK$98,$B977)</f>
        <v>3104.1043169487966</v>
      </c>
      <c r="F977" s="736">
        <f>SUMIFS(Results!$D$113:$AK$113,Results!$D$98:$AK$98,$B977)</f>
        <v>449.73946248785819</v>
      </c>
    </row>
    <row r="978" spans="2:6">
      <c r="B978" s="660">
        <f t="shared" ref="B978:C978" si="367">B977+1</f>
        <v>2027</v>
      </c>
      <c r="C978" s="661">
        <f t="shared" si="367"/>
        <v>7</v>
      </c>
      <c r="D978" s="736">
        <f>SUMIFS(Results!$D$111:$AK$111,Results!$D$98:$AK$98,$B978)</f>
        <v>12114.928676749661</v>
      </c>
      <c r="E978" s="736">
        <f>SUMIFS(Results!$D$112:$AK$112,Results!$D$98:$AK$98,$B978)</f>
        <v>3229.5515879247073</v>
      </c>
      <c r="F978" s="736">
        <f>SUMIFS(Results!$D$113:$AK$113,Results!$D$98:$AK$98,$B978)</f>
        <v>467.91494322515859</v>
      </c>
    </row>
    <row r="979" spans="2:6">
      <c r="B979" s="660">
        <f t="shared" ref="B979:C979" si="368">B978+1</f>
        <v>2028</v>
      </c>
      <c r="C979" s="661">
        <f t="shared" si="368"/>
        <v>8</v>
      </c>
      <c r="D979" s="736">
        <f>SUMIFS(Results!$D$111:$AK$111,Results!$D$98:$AK$98,$B979)</f>
        <v>12604.533595072748</v>
      </c>
      <c r="E979" s="736">
        <f>SUMIFS(Results!$D$112:$AK$112,Results!$D$98:$AK$98,$B979)</f>
        <v>3360.0686040471901</v>
      </c>
      <c r="F979" s="736">
        <f>SUMIFS(Results!$D$113:$AK$113,Results!$D$98:$AK$98,$B979)</f>
        <v>486.8249561251576</v>
      </c>
    </row>
    <row r="980" spans="2:6">
      <c r="B980" s="660">
        <f t="shared" ref="B980:C980" si="369">B979+1</f>
        <v>2029</v>
      </c>
      <c r="C980" s="661">
        <f t="shared" si="369"/>
        <v>9</v>
      </c>
      <c r="D980" s="736">
        <f>SUMIFS(Results!$D$111:$AK$111,Results!$D$98:$AK$98,$B980)</f>
        <v>13113.9250909682</v>
      </c>
      <c r="E980" s="736">
        <f>SUMIFS(Results!$D$112:$AK$112,Results!$D$98:$AK$98,$B980)</f>
        <v>3495.8602507286687</v>
      </c>
      <c r="F980" s="736">
        <f>SUMIFS(Results!$D$113:$AK$113,Results!$D$98:$AK$98,$B980)</f>
        <v>506.49918609720299</v>
      </c>
    </row>
    <row r="981" spans="2:6">
      <c r="B981" s="660">
        <f t="shared" ref="B981:C981" si="370">B980+1</f>
        <v>2030</v>
      </c>
      <c r="C981" s="661">
        <f t="shared" si="370"/>
        <v>10</v>
      </c>
      <c r="D981" s="736">
        <f>SUMIFS(Results!$D$111:$AK$111,Results!$D$98:$AK$98,$B981)</f>
        <v>13643.902806427701</v>
      </c>
      <c r="E981" s="736">
        <f>SUMIFS(Results!$D$112:$AK$112,Results!$D$98:$AK$98,$B981)</f>
        <v>3637.1396934885533</v>
      </c>
      <c r="F981" s="736">
        <f>SUMIFS(Results!$D$113:$AK$113,Results!$D$98:$AK$98,$B981)</f>
        <v>526.96851771743411</v>
      </c>
    </row>
    <row r="982" spans="2:6">
      <c r="B982" s="660">
        <f t="shared" ref="B982:C982" si="371">B981+1</f>
        <v>2031</v>
      </c>
      <c r="C982" s="661">
        <f t="shared" si="371"/>
        <v>11</v>
      </c>
      <c r="D982" s="736">
        <f>SUMIFS(Results!$D$111:$AK$111,Results!$D$98:$AK$98,$B982)</f>
        <v>14195.298699658942</v>
      </c>
      <c r="E982" s="736">
        <f>SUMIFS(Results!$D$112:$AK$112,Results!$D$98:$AK$98,$B982)</f>
        <v>3784.1287125801523</v>
      </c>
      <c r="F982" s="736">
        <f>SUMIFS(Results!$D$113:$AK$113,Results!$D$98:$AK$98,$B982)</f>
        <v>548.26508371134139</v>
      </c>
    </row>
    <row r="983" spans="2:6">
      <c r="B983" s="660">
        <f t="shared" ref="B983:C983" si="372">B982+1</f>
        <v>2032</v>
      </c>
      <c r="C983" s="661">
        <f t="shared" si="372"/>
        <v>12</v>
      </c>
      <c r="D983" s="736">
        <f>SUMIFS(Results!$D$111:$AK$111,Results!$D$98:$AK$98,$B983)</f>
        <v>14768.978351092346</v>
      </c>
      <c r="E983" s="736">
        <f>SUMIFS(Results!$D$112:$AK$112,Results!$D$98:$AK$98,$B983)</f>
        <v>3937.0580511409726</v>
      </c>
      <c r="F983" s="736">
        <f>SUMIFS(Results!$D$113:$AK$113,Results!$D$98:$AK$98,$B983)</f>
        <v>570.42231539567206</v>
      </c>
    </row>
    <row r="984" spans="2:6">
      <c r="B984" s="660">
        <f t="shared" ref="B984:C984" si="373">B983+1</f>
        <v>2033</v>
      </c>
      <c r="C984" s="661">
        <f t="shared" si="373"/>
        <v>13</v>
      </c>
      <c r="D984" s="736">
        <f>SUMIFS(Results!$D$111:$AK$111,Results!$D$98:$AK$98,$B984)</f>
        <v>15365.842322167908</v>
      </c>
      <c r="E984" s="736">
        <f>SUMIFS(Results!$D$112:$AK$112,Results!$D$98:$AK$98,$B984)</f>
        <v>4096.1677774129466</v>
      </c>
      <c r="F984" s="736">
        <f>SUMIFS(Results!$D$113:$AK$113,Results!$D$98:$AK$98,$B984)</f>
        <v>593.47499515885943</v>
      </c>
    </row>
    <row r="985" spans="2:6">
      <c r="B985" s="660">
        <f t="shared" ref="B985:C985" si="374">B984+1</f>
        <v>2034</v>
      </c>
      <c r="C985" s="661">
        <f t="shared" si="374"/>
        <v>14</v>
      </c>
      <c r="D985" s="736">
        <f>SUMIFS(Results!$D$111:$AK$111,Results!$D$98:$AK$98,$B985)</f>
        <v>15986.827569035155</v>
      </c>
      <c r="E985" s="736">
        <f>SUMIFS(Results!$D$112:$AK$112,Results!$D$98:$AK$98,$B985)</f>
        <v>4261.7076616011873</v>
      </c>
      <c r="F985" s="736">
        <f>SUMIFS(Results!$D$113:$AK$113,Results!$D$98:$AK$98,$B985)</f>
        <v>617.45931106236071</v>
      </c>
    </row>
    <row r="986" spans="2:6">
      <c r="B986" s="660">
        <f t="shared" ref="B986:C986" si="375">B985+1</f>
        <v>2035</v>
      </c>
      <c r="C986" s="661">
        <f t="shared" si="375"/>
        <v>15</v>
      </c>
      <c r="D986" s="736">
        <f>SUMIFS(Results!$D$111:$AK$111,Results!$D$98:$AK$98,$B986)</f>
        <v>16632.908913385472</v>
      </c>
      <c r="E986" s="736">
        <f>SUMIFS(Results!$D$112:$AK$112,Results!$D$98:$AK$98,$B986)</f>
        <v>4433.9375679628738</v>
      </c>
      <c r="F986" s="736">
        <f>SUMIFS(Results!$D$113:$AK$113,Results!$D$98:$AK$98,$B986)</f>
        <v>642.41291364862241</v>
      </c>
    </row>
    <row r="987" spans="2:6">
      <c r="B987" s="660">
        <f t="shared" ref="B987:C987" si="376">B986+1</f>
        <v>2036</v>
      </c>
      <c r="C987" s="661">
        <f t="shared" si="376"/>
        <v>16</v>
      </c>
      <c r="D987" s="736">
        <f>SUMIFS(Results!$D$111:$AK$111,Results!$D$98:$AK$98,$B987)</f>
        <v>17305.100572725751</v>
      </c>
      <c r="E987" s="736">
        <f>SUMIFS(Results!$D$112:$AK$112,Results!$D$98:$AK$98,$B987)</f>
        <v>4613.1278627417751</v>
      </c>
      <c r="F987" s="736">
        <f>SUMIFS(Results!$D$113:$AK$113,Results!$D$98:$AK$98,$B987)</f>
        <v>668.37497504484497</v>
      </c>
    </row>
    <row r="988" spans="2:6">
      <c r="B988" s="660">
        <f t="shared" ref="B988:C988" si="377">B987+1</f>
        <v>2037</v>
      </c>
      <c r="C988" s="661">
        <f t="shared" si="377"/>
        <v>17</v>
      </c>
      <c r="D988" s="736">
        <f>SUMIFS(Results!$D$111:$AK$111,Results!$D$98:$AK$98,$B988)</f>
        <v>18004.457752495411</v>
      </c>
      <c r="E988" s="736">
        <f>SUMIFS(Results!$D$112:$AK$112,Results!$D$98:$AK$98,$B988)</f>
        <v>4799.5598385887533</v>
      </c>
      <c r="F988" s="736">
        <f>SUMIFS(Results!$D$113:$AK$113,Results!$D$98:$AK$98,$B988)</f>
        <v>695.38625045532604</v>
      </c>
    </row>
    <row r="989" spans="2:6">
      <c r="B989" s="660">
        <f t="shared" ref="B989:C989" si="378">B988+1</f>
        <v>2038</v>
      </c>
      <c r="C989" s="661">
        <f t="shared" si="378"/>
        <v>18</v>
      </c>
      <c r="D989" s="736">
        <f>SUMIFS(Results!$D$111:$AK$111,Results!$D$98:$AK$98,$B989)</f>
        <v>18732.078302526326</v>
      </c>
      <c r="E989" s="736">
        <f>SUMIFS(Results!$D$112:$AK$112,Results!$D$98:$AK$98,$B989)</f>
        <v>4993.5261561345396</v>
      </c>
      <c r="F989" s="736">
        <f>SUMIFS(Results!$D$113:$AK$113,Results!$D$98:$AK$98,$B989)</f>
        <v>723.48914213892158</v>
      </c>
    </row>
    <row r="990" spans="2:6">
      <c r="B990" s="660">
        <f t="shared" ref="B990:C990" si="379">B989+1</f>
        <v>2039</v>
      </c>
      <c r="C990" s="661">
        <f t="shared" si="379"/>
        <v>19</v>
      </c>
      <c r="D990" s="736">
        <f>SUMIFS(Results!$D$111:$AK$111,Results!$D$98:$AK$98,$B990)</f>
        <v>19489.104440445837</v>
      </c>
      <c r="E990" s="736">
        <f>SUMIFS(Results!$D$112:$AK$112,Results!$D$98:$AK$98,$B990)</f>
        <v>5195.331303407962</v>
      </c>
      <c r="F990" s="736">
        <f>SUMIFS(Results!$D$113:$AK$113,Results!$D$98:$AK$98,$B990)</f>
        <v>752.72776597204222</v>
      </c>
    </row>
    <row r="991" spans="2:6">
      <c r="B991" s="660">
        <f t="shared" ref="B991:C991" si="380">B990+1</f>
        <v>2040</v>
      </c>
      <c r="C991" s="661">
        <f t="shared" si="380"/>
        <v>20</v>
      </c>
      <c r="D991" s="736">
        <f>SUMIFS(Results!$D$111:$AK$111,Results!$D$98:$AK$98,$B991)</f>
        <v>20276.724544728175</v>
      </c>
      <c r="E991" s="736">
        <f>SUMIFS(Results!$D$112:$AK$112,Results!$D$98:$AK$98,$B991)</f>
        <v>5405.2920738207586</v>
      </c>
      <c r="F991" s="736">
        <f>SUMIFS(Results!$D$113:$AK$113,Results!$D$98:$AK$98,$B991)</f>
        <v>783.14802070169219</v>
      </c>
    </row>
    <row r="992" spans="2:6">
      <c r="B992" s="660">
        <f t="shared" ref="B992:C992" si="381">B991+1</f>
        <v>2041</v>
      </c>
      <c r="C992" s="661">
        <f t="shared" si="381"/>
        <v>21</v>
      </c>
      <c r="D992" s="736">
        <f>SUMIFS(Results!$D$111:$AK$111,Results!$D$98:$AK$98,$B992)</f>
        <v>21096.175020209204</v>
      </c>
      <c r="E992" s="736">
        <f>SUMIFS(Results!$D$112:$AK$112,Results!$D$98:$AK$98,$B992)</f>
        <v>5623.7380634694127</v>
      </c>
      <c r="F992" s="736">
        <f>SUMIFS(Results!$D$113:$AK$113,Results!$D$98:$AK$98,$B992)</f>
        <v>814.79765999724987</v>
      </c>
    </row>
    <row r="993" spans="2:6">
      <c r="B993" s="660">
        <f t="shared" ref="B993:C993" si="382">B992+1</f>
        <v>2042</v>
      </c>
      <c r="C993" s="661">
        <f t="shared" si="382"/>
        <v>22</v>
      </c>
      <c r="D993" s="736">
        <f>SUMIFS(Results!$D$111:$AK$111,Results!$D$98:$AK$98,$B993)</f>
        <v>21948.742238992883</v>
      </c>
      <c r="E993" s="736">
        <f>SUMIFS(Results!$D$112:$AK$112,Results!$D$98:$AK$98,$B993)</f>
        <v>5851.0121885345943</v>
      </c>
      <c r="F993" s="736">
        <f>SUMIFS(Results!$D$113:$AK$113,Results!$D$98:$AK$98,$B993)</f>
        <v>847.7263674141077</v>
      </c>
    </row>
    <row r="994" spans="2:6">
      <c r="B994" s="660">
        <f t="shared" ref="B994:C994" si="383">B993+1</f>
        <v>2043</v>
      </c>
      <c r="C994" s="661">
        <f t="shared" si="383"/>
        <v>23</v>
      </c>
      <c r="D994" s="736">
        <f>SUMIFS(Results!$D$111:$AK$111,Results!$D$98:$AK$98,$B994)</f>
        <v>22835.764559796149</v>
      </c>
      <c r="E994" s="736">
        <f>SUMIFS(Results!$D$112:$AK$112,Results!$D$98:$AK$98,$B994)</f>
        <v>6087.471223590459</v>
      </c>
      <c r="F994" s="736">
        <f>SUMIFS(Results!$D$113:$AK$113,Results!$D$98:$AK$98,$B994)</f>
        <v>881.98583438684</v>
      </c>
    </row>
    <row r="995" spans="2:6">
      <c r="B995" s="660">
        <f t="shared" ref="B995:C995" si="384">B994+1</f>
        <v>2044</v>
      </c>
      <c r="C995" s="661">
        <f t="shared" si="384"/>
        <v>24</v>
      </c>
      <c r="D995" s="736">
        <f>SUMIFS(Results!$D$111:$AK$111,Results!$D$98:$AK$98,$B995)</f>
        <v>23758.634428902467</v>
      </c>
      <c r="E995" s="736">
        <f>SUMIFS(Results!$D$112:$AK$112,Results!$D$98:$AK$98,$B995)</f>
        <v>6333.4863616688308</v>
      </c>
      <c r="F995" s="736">
        <f>SUMIFS(Results!$D$113:$AK$113,Results!$D$98:$AK$98,$B995)</f>
        <v>917.62984137433705</v>
      </c>
    </row>
    <row r="996" spans="2:6">
      <c r="B996" s="660">
        <f t="shared" ref="B996:C996" si="385">B995+1</f>
        <v>2045</v>
      </c>
      <c r="C996" s="661">
        <f t="shared" si="385"/>
        <v>25</v>
      </c>
      <c r="D996" s="736">
        <f>SUMIFS(Results!$D$111:$AK$111,Results!$D$98:$AK$98,$B996)</f>
        <v>24718.800566021793</v>
      </c>
      <c r="E996" s="736">
        <f>SUMIFS(Results!$D$112:$AK$112,Results!$D$98:$AK$98,$B996)</f>
        <v>6589.4437969574365</v>
      </c>
      <c r="F996" s="736">
        <f>SUMIFS(Results!$D$113:$AK$113,Results!$D$98:$AK$98,$B996)</f>
        <v>954.71434228428723</v>
      </c>
    </row>
    <row r="997" spans="2:6">
      <c r="B997" s="660">
        <f t="shared" ref="B997:C997" si="386">B996+1</f>
        <v>2046</v>
      </c>
      <c r="C997" s="661">
        <f t="shared" si="386"/>
        <v>26</v>
      </c>
      <c r="D997" s="736">
        <f>SUMIFS(Results!$D$111:$AK$111,Results!$D$98:$AK$98,$B997)</f>
        <v>25717.770238488622</v>
      </c>
      <c r="E997" s="736">
        <f>SUMIFS(Results!$D$112:$AK$112,Results!$D$98:$AK$98,$B997)</f>
        <v>6855.7453310469846</v>
      </c>
      <c r="F997" s="736">
        <f>SUMIFS(Results!$D$113:$AK$113,Results!$D$98:$AK$98,$B997)</f>
        <v>993.2975523095381</v>
      </c>
    </row>
    <row r="998" spans="2:6">
      <c r="B998" s="660">
        <f t="shared" ref="B998:C998" si="387">B997+1</f>
        <v>2047</v>
      </c>
      <c r="C998" s="661">
        <f t="shared" si="387"/>
        <v>27</v>
      </c>
      <c r="D998" s="736">
        <f>SUMIFS(Results!$D$111:$AK$111,Results!$D$98:$AK$98,$B998)</f>
        <v>26757.111627367965</v>
      </c>
      <c r="E998" s="736">
        <f>SUMIFS(Results!$D$112:$AK$112,Results!$D$98:$AK$98,$B998)</f>
        <v>7132.809003678668</v>
      </c>
      <c r="F998" s="736">
        <f>SUMIFS(Results!$D$113:$AK$113,Results!$D$98:$AK$98,$B998)</f>
        <v>1033.440039314218</v>
      </c>
    </row>
    <row r="999" spans="2:6">
      <c r="B999" s="660">
        <f t="shared" ref="B999:C999" si="388">B998+1</f>
        <v>2048</v>
      </c>
      <c r="C999" s="661">
        <f t="shared" si="388"/>
        <v>28</v>
      </c>
      <c r="D999" s="736">
        <f>SUMIFS(Results!$D$111:$AK$111,Results!$D$98:$AK$98,$B999)</f>
        <v>27838.456289183505</v>
      </c>
      <c r="E999" s="736">
        <f>SUMIFS(Results!$D$112:$AK$112,Results!$D$98:$AK$98,$B999)</f>
        <v>7421.0697489823051</v>
      </c>
      <c r="F999" s="736">
        <f>SUMIFS(Results!$D$113:$AK$113,Results!$D$98:$AK$98,$B999)</f>
        <v>1075.2048189130687</v>
      </c>
    </row>
    <row r="1000" spans="2:6">
      <c r="B1000" s="660">
        <f t="shared" ref="B1000:C1000" si="389">B999+1</f>
        <v>2049</v>
      </c>
      <c r="C1000" s="661">
        <f t="shared" si="389"/>
        <v>29</v>
      </c>
      <c r="D1000" s="736">
        <f>SUMIFS(Results!$D$111:$AK$111,Results!$D$98:$AK$98,$B1000)</f>
        <v>28963.501717132593</v>
      </c>
      <c r="E1000" s="736">
        <f>SUMIFS(Results!$D$112:$AK$112,Results!$D$98:$AK$98,$B1000)</f>
        <v>7720.9800782352895</v>
      </c>
      <c r="F1000" s="736">
        <f>SUMIFS(Results!$D$113:$AK$113,Results!$D$98:$AK$98,$B1000)</f>
        <v>1118.6574533932703</v>
      </c>
    </row>
    <row r="1001" spans="2:6">
      <c r="B1001" s="660">
        <f t="shared" ref="B1001:C1001" si="390">B1000+1</f>
        <v>2050</v>
      </c>
      <c r="C1001" s="661">
        <f t="shared" si="390"/>
        <v>30</v>
      </c>
      <c r="D1001" s="736">
        <f>SUMIFS(Results!$D$111:$AK$111,Results!$D$98:$AK$98,$B1001)</f>
        <v>30134.014005808476</v>
      </c>
      <c r="E1001" s="736">
        <f>SUMIFS(Results!$D$112:$AK$112,Results!$D$98:$AK$98,$B1001)</f>
        <v>8033.0107902140899</v>
      </c>
      <c r="F1001" s="736">
        <f>SUMIFS(Results!$D$113:$AK$113,Results!$D$98:$AK$98,$B1001)</f>
        <v>1163.8661546340177</v>
      </c>
    </row>
    <row r="1002" spans="2:6">
      <c r="B1002" s="660">
        <f t="shared" ref="B1002:C1002" si="391">B1001+1</f>
        <v>2051</v>
      </c>
      <c r="C1002" s="661">
        <f t="shared" si="391"/>
        <v>31</v>
      </c>
      <c r="D1002" s="736">
        <f>SUMIFS(Results!$D$111:$AK$111,Results!$D$98:$AK$98,$B1002)</f>
        <v>31351.830623612859</v>
      </c>
      <c r="E1002" s="736">
        <f>SUMIFS(Results!$D$112:$AK$112,Results!$D$98:$AK$98,$B1002)</f>
        <v>8357.6517102534472</v>
      </c>
      <c r="F1002" s="736">
        <f>SUMIFS(Results!$D$113:$AK$113,Results!$D$98:$AK$98,$B1002)</f>
        <v>1210.9018911854173</v>
      </c>
    </row>
    <row r="1003" spans="2:6">
      <c r="B1003" s="660">
        <f t="shared" ref="B1003:C1003" si="392">B1002+1</f>
        <v>2052</v>
      </c>
      <c r="C1003" s="661">
        <f t="shared" si="392"/>
        <v>32</v>
      </c>
      <c r="D1003" s="736">
        <f>SUMIFS(Results!$D$111:$AK$111,Results!$D$98:$AK$98,$B1003)</f>
        <v>32618.863297211028</v>
      </c>
      <c r="E1003" s="736">
        <f>SUMIFS(Results!$D$112:$AK$112,Results!$D$98:$AK$98,$B1003)</f>
        <v>8695.412459173458</v>
      </c>
      <c r="F1003" s="736">
        <f>SUMIFS(Results!$D$113:$AK$113,Results!$D$98:$AK$98,$B1003)</f>
        <v>1259.8384996748166</v>
      </c>
    </row>
    <row r="1004" spans="2:6">
      <c r="B1004" s="660">
        <f t="shared" ref="B1004:C1004" si="393">B1003+1</f>
        <v>2053</v>
      </c>
      <c r="C1004" s="661">
        <f t="shared" si="393"/>
        <v>33</v>
      </c>
      <c r="D1004" s="736">
        <f>SUMIFS(Results!$D$111:$AK$111,Results!$D$98:$AK$98,$B1004)</f>
        <v>33937.101012557418</v>
      </c>
      <c r="E1004" s="736">
        <f>SUMIFS(Results!$D$112:$AK$112,Results!$D$98:$AK$98,$B1004)</f>
        <v>9046.8232532815218</v>
      </c>
      <c r="F1004" s="736">
        <f>SUMIFS(Results!$D$113:$AK$113,Results!$D$98:$AK$98,$B1004)</f>
        <v>1310.7528007154283</v>
      </c>
    </row>
    <row r="1005" spans="2:6">
      <c r="B1005" s="660">
        <f t="shared" ref="B1005:C1005" si="394">B1004+1</f>
        <v>2054</v>
      </c>
      <c r="C1005" s="661">
        <f t="shared" si="394"/>
        <v>34</v>
      </c>
      <c r="D1005" s="736">
        <f>SUMIFS(Results!$D$111:$AK$111,Results!$D$98:$AK$98,$B1005)</f>
        <v>35308.61313720273</v>
      </c>
      <c r="E1005" s="736">
        <f>SUMIFS(Results!$D$112:$AK$112,Results!$D$98:$AK$98,$B1005)</f>
        <v>9412.4357367051252</v>
      </c>
      <c r="F1005" s="736">
        <f>SUMIFS(Results!$D$113:$AK$113,Results!$D$98:$AK$98,$B1005)</f>
        <v>1363.7247194992053</v>
      </c>
    </row>
    <row r="1006" spans="2:6">
      <c r="B1006" s="663" t="s">
        <v>5</v>
      </c>
      <c r="C1006" s="663"/>
      <c r="D1006" s="710">
        <f>SUM(D972:D1005)</f>
        <v>632056.36625794636</v>
      </c>
      <c r="E1006" s="710">
        <f>SUM(E972:E1005)</f>
        <v>168491.18106850664</v>
      </c>
      <c r="F1006" s="710">
        <f t="shared" ref="F1006" si="395">SUM(F972:F1005)</f>
        <v>24411.915796109672</v>
      </c>
    </row>
    <row r="1008" spans="2:6">
      <c r="D1008" s="711" t="b">
        <f>Results!$D$129=D1006</f>
        <v>1</v>
      </c>
      <c r="E1008" s="711" t="b">
        <f>Results!$D$130=E1006</f>
        <v>1</v>
      </c>
      <c r="F1008" s="711" t="b">
        <f>Results!$D$131=F1006</f>
        <v>1</v>
      </c>
    </row>
    <row r="1010" spans="1:9">
      <c r="A1010" s="656" t="s">
        <v>942</v>
      </c>
    </row>
    <row r="1011" spans="1:9" ht="23">
      <c r="B1011" s="658" t="s">
        <v>7</v>
      </c>
      <c r="C1011" s="658" t="s">
        <v>798</v>
      </c>
      <c r="D1011" s="659" t="str">
        <f>Results!$B$21</f>
        <v xml:space="preserve">Vehicle Operating Cost Savings </v>
      </c>
      <c r="E1011" s="659" t="s">
        <v>898</v>
      </c>
      <c r="F1011" s="659" t="s">
        <v>899</v>
      </c>
      <c r="H1011" s="706" t="s">
        <v>893</v>
      </c>
      <c r="I1011" s="706" t="s">
        <v>894</v>
      </c>
    </row>
    <row r="1012" spans="1:9">
      <c r="B1012" s="660">
        <f>VRCBY</f>
        <v>2021</v>
      </c>
      <c r="C1012" s="661">
        <v>1</v>
      </c>
      <c r="D1012" s="662">
        <f>SUMIFS(Results!$D$46:$AK$46,Results!$D$42:$AK$42,$B1012)</f>
        <v>0</v>
      </c>
      <c r="E1012" s="712">
        <f>$D1012*H1012</f>
        <v>0</v>
      </c>
      <c r="F1012" s="712">
        <f>$D1012*I1012</f>
        <v>0</v>
      </c>
      <c r="H1012" s="707">
        <f>SUMIFS(Results!$D$95:$AK$95,Results!$D$93:$AK$93,$B1012)</f>
        <v>1</v>
      </c>
      <c r="I1012" s="707">
        <f>SUMIFS(Results!$D$96:$AK$96,Results!$D$93:$AK$93,$B1012)</f>
        <v>1</v>
      </c>
    </row>
    <row r="1013" spans="1:9">
      <c r="B1013" s="660">
        <f>B1012+1</f>
        <v>2022</v>
      </c>
      <c r="C1013" s="661">
        <f>C1012+1</f>
        <v>2</v>
      </c>
      <c r="D1013" s="662">
        <f>SUMIFS(Results!$D$46:$AK$46,Results!$D$42:$AK$42,$B1013)</f>
        <v>0</v>
      </c>
      <c r="E1013" s="712">
        <f t="shared" ref="E1013:E1045" si="396">$D1013*H1013</f>
        <v>0</v>
      </c>
      <c r="F1013" s="712">
        <f t="shared" ref="F1013:F1045" si="397">$D1013*I1013</f>
        <v>0</v>
      </c>
      <c r="H1013" s="707">
        <f>SUMIFS(Results!$D$95:$AK$95,Results!$D$93:$AK$93,$B1013)</f>
        <v>0.93457943925233644</v>
      </c>
      <c r="I1013" s="707">
        <f>SUMIFS(Results!$D$96:$AK$96,Results!$D$93:$AK$93,$B1013)</f>
        <v>0.970873786407767</v>
      </c>
    </row>
    <row r="1014" spans="1:9">
      <c r="B1014" s="660">
        <f t="shared" ref="B1014:C1014" si="398">B1013+1</f>
        <v>2023</v>
      </c>
      <c r="C1014" s="661">
        <f t="shared" si="398"/>
        <v>3</v>
      </c>
      <c r="D1014" s="662">
        <f>SUMIFS(Results!$D$46:$AK$46,Results!$D$42:$AK$42,$B1014)</f>
        <v>0</v>
      </c>
      <c r="E1014" s="712">
        <f t="shared" si="396"/>
        <v>0</v>
      </c>
      <c r="F1014" s="712">
        <f t="shared" si="397"/>
        <v>0</v>
      </c>
      <c r="H1014" s="707">
        <f>SUMIFS(Results!$D$95:$AK$95,Results!$D$93:$AK$93,$B1014)</f>
        <v>0.87343872827321156</v>
      </c>
      <c r="I1014" s="707">
        <f>SUMIFS(Results!$D$96:$AK$96,Results!$D$93:$AK$93,$B1014)</f>
        <v>0.94259590913375435</v>
      </c>
    </row>
    <row r="1015" spans="1:9">
      <c r="B1015" s="660">
        <f t="shared" ref="B1015:C1015" si="399">B1014+1</f>
        <v>2024</v>
      </c>
      <c r="C1015" s="661">
        <f t="shared" si="399"/>
        <v>4</v>
      </c>
      <c r="D1015" s="662">
        <f>SUMIFS(Results!$D$46:$AK$46,Results!$D$42:$AK$42,$B1015)</f>
        <v>0</v>
      </c>
      <c r="E1015" s="712">
        <f t="shared" si="396"/>
        <v>0</v>
      </c>
      <c r="F1015" s="712">
        <f t="shared" si="397"/>
        <v>0</v>
      </c>
      <c r="H1015" s="707">
        <f>SUMIFS(Results!$D$95:$AK$95,Results!$D$93:$AK$93,$B1015)</f>
        <v>0.81629787689085187</v>
      </c>
      <c r="I1015" s="707">
        <f>SUMIFS(Results!$D$96:$AK$96,Results!$D$93:$AK$93,$B1015)</f>
        <v>0.91514165935315961</v>
      </c>
    </row>
    <row r="1016" spans="1:9">
      <c r="B1016" s="660">
        <f t="shared" ref="B1016:C1016" si="400">B1015+1</f>
        <v>2025</v>
      </c>
      <c r="C1016" s="661">
        <f t="shared" si="400"/>
        <v>5</v>
      </c>
      <c r="D1016" s="662">
        <f>SUMIFS(Results!$D$46:$AK$46,Results!$D$42:$AK$42,$B1016)</f>
        <v>35528.413086912224</v>
      </c>
      <c r="E1016" s="712">
        <f t="shared" si="396"/>
        <v>27104.456235651971</v>
      </c>
      <c r="F1016" s="712">
        <f t="shared" si="397"/>
        <v>31566.534860719774</v>
      </c>
      <c r="H1016" s="707">
        <f>SUMIFS(Results!$D$95:$AK$95,Results!$D$93:$AK$93,$B1016)</f>
        <v>0.7628952120475252</v>
      </c>
      <c r="I1016" s="707">
        <f>SUMIFS(Results!$D$96:$AK$96,Results!$D$93:$AK$93,$B1016)</f>
        <v>0.888487047915689</v>
      </c>
    </row>
    <row r="1017" spans="1:9">
      <c r="B1017" s="660">
        <f t="shared" ref="B1017:C1017" si="401">B1016+1</f>
        <v>2026</v>
      </c>
      <c r="C1017" s="661">
        <f t="shared" si="401"/>
        <v>6</v>
      </c>
      <c r="D1017" s="662">
        <f>SUMIFS(Results!$D$46:$AK$46,Results!$D$42:$AK$42,$B1017)</f>
        <v>37453.191249506868</v>
      </c>
      <c r="E1017" s="712">
        <f t="shared" si="396"/>
        <v>26703.607738457064</v>
      </c>
      <c r="F1017" s="712">
        <f t="shared" si="397"/>
        <v>32307.45177504473</v>
      </c>
      <c r="H1017" s="707">
        <f>SUMIFS(Results!$D$95:$AK$95,Results!$D$93:$AK$93,$B1017)</f>
        <v>0.71298617948366838</v>
      </c>
      <c r="I1017" s="707">
        <f>SUMIFS(Results!$D$96:$AK$96,Results!$D$93:$AK$93,$B1017)</f>
        <v>0.86260878438416411</v>
      </c>
    </row>
    <row r="1018" spans="1:9">
      <c r="B1018" s="660">
        <f t="shared" ref="B1018:C1018" si="402">B1017+1</f>
        <v>2027</v>
      </c>
      <c r="C1018" s="661">
        <f t="shared" si="402"/>
        <v>7</v>
      </c>
      <c r="D1018" s="662">
        <f>SUMIFS(Results!$D$46:$AK$46,Results!$D$42:$AK$42,$B1018)</f>
        <v>39438.505398107627</v>
      </c>
      <c r="E1018" s="712">
        <f t="shared" si="396"/>
        <v>26279.541390974569</v>
      </c>
      <c r="F1018" s="712">
        <f t="shared" si="397"/>
        <v>33029.127378048463</v>
      </c>
      <c r="H1018" s="707">
        <f>SUMIFS(Results!$D$95:$AK$95,Results!$D$93:$AK$93,$B1018)</f>
        <v>0.66634222381651254</v>
      </c>
      <c r="I1018" s="707">
        <f>SUMIFS(Results!$D$96:$AK$96,Results!$D$93:$AK$93,$B1018)</f>
        <v>0.83748425668365445</v>
      </c>
    </row>
    <row r="1019" spans="1:9">
      <c r="B1019" s="660">
        <f t="shared" ref="B1019:C1019" si="403">B1018+1</f>
        <v>2028</v>
      </c>
      <c r="C1019" s="661">
        <f t="shared" si="403"/>
        <v>8</v>
      </c>
      <c r="D1019" s="662">
        <f>SUMIFS(Results!$D$46:$AK$46,Results!$D$42:$AK$42,$B1019)</f>
        <v>41420.615771933597</v>
      </c>
      <c r="E1019" s="712">
        <f t="shared" si="396"/>
        <v>25794.677780672471</v>
      </c>
      <c r="F1019" s="712">
        <f t="shared" si="397"/>
        <v>33678.751078773843</v>
      </c>
      <c r="H1019" s="707">
        <f>SUMIFS(Results!$D$95:$AK$95,Results!$D$93:$AK$93,$B1019)</f>
        <v>0.62274974188459109</v>
      </c>
      <c r="I1019" s="707">
        <f>SUMIFS(Results!$D$96:$AK$96,Results!$D$93:$AK$93,$B1019)</f>
        <v>0.81309151134335378</v>
      </c>
    </row>
    <row r="1020" spans="1:9">
      <c r="B1020" s="660">
        <f t="shared" ref="B1020:C1020" si="404">B1019+1</f>
        <v>2029</v>
      </c>
      <c r="C1020" s="661">
        <f t="shared" si="404"/>
        <v>9</v>
      </c>
      <c r="D1020" s="662">
        <f>SUMIFS(Results!$D$46:$AK$46,Results!$D$42:$AK$42,$B1020)</f>
        <v>43719.996982096178</v>
      </c>
      <c r="E1020" s="712">
        <f t="shared" si="396"/>
        <v>25445.436295135976</v>
      </c>
      <c r="F1020" s="712">
        <f t="shared" si="397"/>
        <v>34512.969341844124</v>
      </c>
      <c r="H1020" s="707">
        <f>SUMIFS(Results!$D$95:$AK$95,Results!$D$93:$AK$93,$B1020)</f>
        <v>0.5820091045650384</v>
      </c>
      <c r="I1020" s="707">
        <f>SUMIFS(Results!$D$96:$AK$96,Results!$D$93:$AK$93,$B1020)</f>
        <v>0.78940923431393573</v>
      </c>
    </row>
    <row r="1021" spans="1:9">
      <c r="B1021" s="660">
        <f t="shared" ref="B1021:C1021" si="405">B1020+1</f>
        <v>2030</v>
      </c>
      <c r="C1021" s="661">
        <f t="shared" si="405"/>
        <v>10</v>
      </c>
      <c r="D1021" s="662">
        <f>SUMIFS(Results!$D$46:$AK$46,Results!$D$42:$AK$42,$B1021)</f>
        <v>46937.158601558855</v>
      </c>
      <c r="E1021" s="712">
        <f t="shared" si="396"/>
        <v>25530.704344411646</v>
      </c>
      <c r="F1021" s="712">
        <f t="shared" si="397"/>
        <v>35973.423720901301</v>
      </c>
      <c r="H1021" s="707">
        <f>SUMIFS(Results!$D$95:$AK$95,Results!$D$93:$AK$93,$B1021)</f>
        <v>0.54393374258414806</v>
      </c>
      <c r="I1021" s="707">
        <f>SUMIFS(Results!$D$96:$AK$96,Results!$D$93:$AK$93,$B1021)</f>
        <v>0.76641673234362695</v>
      </c>
    </row>
    <row r="1022" spans="1:9">
      <c r="B1022" s="660">
        <f t="shared" ref="B1022:C1022" si="406">B1021+1</f>
        <v>2031</v>
      </c>
      <c r="C1022" s="661">
        <f t="shared" si="406"/>
        <v>11</v>
      </c>
      <c r="D1022" s="662">
        <f>SUMIFS(Results!$D$46:$AK$46,Results!$D$42:$AK$42,$B1022)</f>
        <v>49308.259587571149</v>
      </c>
      <c r="E1022" s="712">
        <f t="shared" si="396"/>
        <v>25065.818857736707</v>
      </c>
      <c r="F1022" s="712">
        <f t="shared" si="397"/>
        <v>36689.975913259797</v>
      </c>
      <c r="H1022" s="707">
        <f>SUMIFS(Results!$D$95:$AK$95,Results!$D$93:$AK$93,$B1022)</f>
        <v>0.5083492921347178</v>
      </c>
      <c r="I1022" s="707">
        <f>SUMIFS(Results!$D$96:$AK$96,Results!$D$93:$AK$93,$B1022)</f>
        <v>0.74409391489672516</v>
      </c>
    </row>
    <row r="1023" spans="1:9">
      <c r="B1023" s="660">
        <f t="shared" ref="B1023:C1023" si="407">B1022+1</f>
        <v>2032</v>
      </c>
      <c r="C1023" s="661">
        <f t="shared" si="407"/>
        <v>12</v>
      </c>
      <c r="D1023" s="662">
        <f>SUMIFS(Results!$D$46:$AK$46,Results!$D$42:$AK$42,$B1023)</f>
        <v>51820.791613176407</v>
      </c>
      <c r="E1023" s="712">
        <f t="shared" si="396"/>
        <v>24619.684798522376</v>
      </c>
      <c r="F1023" s="712">
        <f t="shared" si="397"/>
        <v>37436.442431549338</v>
      </c>
      <c r="H1023" s="707">
        <f>SUMIFS(Results!$D$95:$AK$95,Results!$D$93:$AK$93,$B1023)</f>
        <v>0.47509279638758667</v>
      </c>
      <c r="I1023" s="707">
        <f>SUMIFS(Results!$D$96:$AK$96,Results!$D$93:$AK$93,$B1023)</f>
        <v>0.72242127659876232</v>
      </c>
    </row>
    <row r="1024" spans="1:9">
      <c r="B1024" s="660">
        <f t="shared" ref="B1024:C1024" si="408">B1023+1</f>
        <v>2033</v>
      </c>
      <c r="C1024" s="661">
        <f t="shared" si="408"/>
        <v>13</v>
      </c>
      <c r="D1024" s="662">
        <f>SUMIFS(Results!$D$46:$AK$46,Results!$D$42:$AK$42,$B1024)</f>
        <v>54969.848684578363</v>
      </c>
      <c r="E1024" s="712">
        <f t="shared" si="396"/>
        <v>24407.270213606393</v>
      </c>
      <c r="F1024" s="712">
        <f t="shared" si="397"/>
        <v>38554.74588461544</v>
      </c>
      <c r="H1024" s="707">
        <f>SUMIFS(Results!$D$95:$AK$95,Results!$D$93:$AK$93,$B1024)</f>
        <v>0.44401195924073528</v>
      </c>
      <c r="I1024" s="707">
        <f>SUMIFS(Results!$D$96:$AK$96,Results!$D$93:$AK$93,$B1024)</f>
        <v>0.70137988019297326</v>
      </c>
    </row>
    <row r="1025" spans="2:9">
      <c r="B1025" s="660">
        <f t="shared" ref="B1025:C1025" si="409">B1024+1</f>
        <v>2034</v>
      </c>
      <c r="C1025" s="661">
        <f t="shared" si="409"/>
        <v>14</v>
      </c>
      <c r="D1025" s="662">
        <f>SUMIFS(Results!$D$46:$AK$46,Results!$D$42:$AK$42,$B1025)</f>
        <v>58104.428641635364</v>
      </c>
      <c r="E1025" s="712">
        <f t="shared" si="396"/>
        <v>24111.27215115515</v>
      </c>
      <c r="F1025" s="712">
        <f t="shared" si="397"/>
        <v>39566.288543059585</v>
      </c>
      <c r="H1025" s="707">
        <f>SUMIFS(Results!$D$95:$AK$95,Results!$D$93:$AK$93,$B1025)</f>
        <v>0.41496444788853759</v>
      </c>
      <c r="I1025" s="707">
        <f>SUMIFS(Results!$D$96:$AK$96,Results!$D$93:$AK$93,$B1025)</f>
        <v>0.68095133999317792</v>
      </c>
    </row>
    <row r="1026" spans="2:9">
      <c r="B1026" s="660">
        <f t="shared" ref="B1026:C1026" si="410">B1025+1</f>
        <v>2035</v>
      </c>
      <c r="C1026" s="661">
        <f t="shared" si="410"/>
        <v>15</v>
      </c>
      <c r="D1026" s="662">
        <f>SUMIFS(Results!$D$46:$AK$46,Results!$D$42:$AK$42,$B1026)</f>
        <v>61157.159430935411</v>
      </c>
      <c r="E1026" s="712">
        <f t="shared" si="396"/>
        <v>23717.800838962045</v>
      </c>
      <c r="F1026" s="712">
        <f t="shared" si="397"/>
        <v>40432.087053079493</v>
      </c>
      <c r="H1026" s="707">
        <f>SUMIFS(Results!$D$95:$AK$95,Results!$D$93:$AK$93,$B1026)</f>
        <v>0.3878172410173249</v>
      </c>
      <c r="I1026" s="707">
        <f>SUMIFS(Results!$D$96:$AK$96,Results!$D$93:$AK$93,$B1026)</f>
        <v>0.66111780581861923</v>
      </c>
    </row>
    <row r="1027" spans="2:9">
      <c r="B1027" s="660">
        <f t="shared" ref="B1027:C1027" si="411">B1026+1</f>
        <v>2036</v>
      </c>
      <c r="C1027" s="661">
        <f t="shared" si="411"/>
        <v>16</v>
      </c>
      <c r="D1027" s="662">
        <f>SUMIFS(Results!$D$46:$AK$46,Results!$D$42:$AK$42,$B1027)</f>
        <v>64459.638814155282</v>
      </c>
      <c r="E1027" s="712">
        <f t="shared" si="396"/>
        <v>23363.139515774736</v>
      </c>
      <c r="F1027" s="712">
        <f t="shared" si="397"/>
        <v>41374.189297742756</v>
      </c>
      <c r="H1027" s="707">
        <f>SUMIFS(Results!$D$95:$AK$95,Results!$D$93:$AK$93,$B1027)</f>
        <v>0.36244601964235967</v>
      </c>
      <c r="I1027" s="707">
        <f>SUMIFS(Results!$D$96:$AK$96,Results!$D$93:$AK$93,$B1027)</f>
        <v>0.64186194739671765</v>
      </c>
    </row>
    <row r="1028" spans="2:9">
      <c r="B1028" s="660">
        <f t="shared" ref="B1028:C1028" si="412">B1027+1</f>
        <v>2037</v>
      </c>
      <c r="C1028" s="661">
        <f t="shared" si="412"/>
        <v>17</v>
      </c>
      <c r="D1028" s="662">
        <f>SUMIFS(Results!$D$46:$AK$46,Results!$D$42:$AK$42,$B1028)</f>
        <v>67408.542229623214</v>
      </c>
      <c r="E1028" s="712">
        <f t="shared" si="396"/>
        <v>22833.6054402064</v>
      </c>
      <c r="F1028" s="712">
        <f t="shared" si="397"/>
        <v>42006.774938524119</v>
      </c>
      <c r="H1028" s="707">
        <f>SUMIFS(Results!$D$95:$AK$95,Results!$D$93:$AK$93,$B1028)</f>
        <v>0.33873459779659787</v>
      </c>
      <c r="I1028" s="707">
        <f>SUMIFS(Results!$D$96:$AK$96,Results!$D$93:$AK$93,$B1028)</f>
        <v>0.62316693922011435</v>
      </c>
    </row>
    <row r="1029" spans="2:9">
      <c r="B1029" s="660">
        <f t="shared" ref="B1029:C1029" si="413">B1028+1</f>
        <v>2038</v>
      </c>
      <c r="C1029" s="661">
        <f t="shared" si="413"/>
        <v>18</v>
      </c>
      <c r="D1029" s="662">
        <f>SUMIFS(Results!$D$46:$AK$46,Results!$D$42:$AK$42,$B1029)</f>
        <v>70955.176758003581</v>
      </c>
      <c r="E1029" s="712">
        <f t="shared" si="396"/>
        <v>22462.591832438182</v>
      </c>
      <c r="F1029" s="712">
        <f t="shared" si="397"/>
        <v>42929.04885641484</v>
      </c>
      <c r="H1029" s="707">
        <f>SUMIFS(Results!$D$95:$AK$95,Results!$D$93:$AK$93,$B1029)</f>
        <v>0.31657439046411018</v>
      </c>
      <c r="I1029" s="707">
        <f>SUMIFS(Results!$D$96:$AK$96,Results!$D$93:$AK$93,$B1029)</f>
        <v>0.60501644584477121</v>
      </c>
    </row>
    <row r="1030" spans="2:9">
      <c r="B1030" s="660">
        <f t="shared" ref="B1030:C1030" si="414">B1029+1</f>
        <v>2039</v>
      </c>
      <c r="C1030" s="661">
        <f t="shared" si="414"/>
        <v>19</v>
      </c>
      <c r="D1030" s="662">
        <f>SUMIFS(Results!$D$46:$AK$46,Results!$D$42:$AK$42,$B1030)</f>
        <v>74837.758479196651</v>
      </c>
      <c r="E1030" s="712">
        <f t="shared" si="396"/>
        <v>22141.79231238502</v>
      </c>
      <c r="F1030" s="712">
        <f t="shared" si="397"/>
        <v>43959.295776769854</v>
      </c>
      <c r="H1030" s="707">
        <f>SUMIFS(Results!$D$95:$AK$95,Results!$D$93:$AK$93,$B1030)</f>
        <v>0.29586391632159825</v>
      </c>
      <c r="I1030" s="707">
        <f>SUMIFS(Results!$D$96:$AK$96,Results!$D$93:$AK$93,$B1030)</f>
        <v>0.5873946076162827</v>
      </c>
    </row>
    <row r="1031" spans="2:9">
      <c r="B1031" s="660">
        <f t="shared" ref="B1031:C1031" si="415">B1030+1</f>
        <v>2040</v>
      </c>
      <c r="C1031" s="661">
        <f t="shared" si="415"/>
        <v>20</v>
      </c>
      <c r="D1031" s="662">
        <f>SUMIFS(Results!$D$46:$AK$46,Results!$D$42:$AK$42,$B1031)</f>
        <v>78145.197737690498</v>
      </c>
      <c r="E1031" s="712">
        <f t="shared" si="396"/>
        <v>21607.798359251225</v>
      </c>
      <c r="F1031" s="712">
        <f t="shared" si="397"/>
        <v>44565.114332259742</v>
      </c>
      <c r="H1031" s="707">
        <f>SUMIFS(Results!$D$95:$AK$95,Results!$D$93:$AK$93,$B1031)</f>
        <v>0.27650833301083949</v>
      </c>
      <c r="I1031" s="707">
        <f>SUMIFS(Results!$D$96:$AK$96,Results!$D$93:$AK$93,$B1031)</f>
        <v>0.57028602681192497</v>
      </c>
    </row>
    <row r="1032" spans="2:9">
      <c r="B1032" s="660">
        <f t="shared" ref="B1032:C1032" si="416">B1031+1</f>
        <v>2041</v>
      </c>
      <c r="C1032" s="661">
        <f t="shared" si="416"/>
        <v>21</v>
      </c>
      <c r="D1032" s="662">
        <f>SUMIFS(Results!$D$46:$AK$46,Results!$D$42:$AK$42,$B1032)</f>
        <v>81964.08905858286</v>
      </c>
      <c r="E1032" s="712">
        <f t="shared" si="396"/>
        <v>21181.078161066111</v>
      </c>
      <c r="F1032" s="712">
        <f t="shared" si="397"/>
        <v>45381.528825706788</v>
      </c>
      <c r="H1032" s="707">
        <f>SUMIFS(Results!$D$95:$AK$95,Results!$D$93:$AK$93,$B1032)</f>
        <v>0.2584190028138687</v>
      </c>
      <c r="I1032" s="707">
        <f>SUMIFS(Results!$D$96:$AK$96,Results!$D$93:$AK$93,$B1032)</f>
        <v>0.55367575418633497</v>
      </c>
    </row>
    <row r="1033" spans="2:9">
      <c r="B1033" s="660">
        <f t="shared" ref="B1033:C1033" si="417">B1032+1</f>
        <v>2042</v>
      </c>
      <c r="C1033" s="661">
        <f t="shared" si="417"/>
        <v>22</v>
      </c>
      <c r="D1033" s="662">
        <f>SUMIFS(Results!$D$46:$AK$46,Results!$D$42:$AK$42,$B1033)</f>
        <v>86704.314499452972</v>
      </c>
      <c r="E1033" s="712">
        <f t="shared" si="396"/>
        <v>20940.226628606255</v>
      </c>
      <c r="F1033" s="712">
        <f t="shared" si="397"/>
        <v>46607.841477372625</v>
      </c>
      <c r="H1033" s="707">
        <f>SUMIFS(Results!$D$95:$AK$95,Results!$D$93:$AK$93,$B1033)</f>
        <v>0.24151308674193336</v>
      </c>
      <c r="I1033" s="707">
        <f>SUMIFS(Results!$D$96:$AK$96,Results!$D$93:$AK$93,$B1033)</f>
        <v>0.5375492759090631</v>
      </c>
    </row>
    <row r="1034" spans="2:9">
      <c r="B1034" s="660">
        <f t="shared" ref="B1034:C1034" si="418">B1033+1</f>
        <v>2043</v>
      </c>
      <c r="C1034" s="661">
        <f t="shared" si="418"/>
        <v>23</v>
      </c>
      <c r="D1034" s="662">
        <f>SUMIFS(Results!$D$46:$AK$46,Results!$D$42:$AK$42,$B1034)</f>
        <v>91003.902068082578</v>
      </c>
      <c r="E1034" s="712">
        <f t="shared" si="396"/>
        <v>20540.778779460969</v>
      </c>
      <c r="F1034" s="712">
        <f t="shared" si="397"/>
        <v>47494.254040385516</v>
      </c>
      <c r="H1034" s="707">
        <f>SUMIFS(Results!$D$95:$AK$95,Results!$D$93:$AK$93,$B1034)</f>
        <v>0.22571316517937698</v>
      </c>
      <c r="I1034" s="707">
        <f>SUMIFS(Results!$D$96:$AK$96,Results!$D$93:$AK$93,$B1034)</f>
        <v>0.52189250088258554</v>
      </c>
    </row>
    <row r="1035" spans="2:9">
      <c r="B1035" s="660">
        <f t="shared" ref="B1035:C1035" si="419">B1034+1</f>
        <v>2044</v>
      </c>
      <c r="C1035" s="661">
        <f t="shared" si="419"/>
        <v>24</v>
      </c>
      <c r="D1035" s="662">
        <f>SUMIFS(Results!$D$46:$AK$46,Results!$D$42:$AK$42,$B1035)</f>
        <v>95523.250499081973</v>
      </c>
      <c r="E1035" s="712">
        <f t="shared" si="396"/>
        <v>20150.331979785318</v>
      </c>
      <c r="F1035" s="712">
        <f t="shared" si="397"/>
        <v>48400.842811067545</v>
      </c>
      <c r="H1035" s="707">
        <f>SUMIFS(Results!$D$95:$AK$95,Results!$D$93:$AK$93,$B1035)</f>
        <v>0.21094688334521211</v>
      </c>
      <c r="I1035" s="707">
        <f>SUMIFS(Results!$D$96:$AK$96,Results!$D$93:$AK$93,$B1035)</f>
        <v>0.50669174842969467</v>
      </c>
    </row>
    <row r="1036" spans="2:9">
      <c r="B1036" s="660">
        <f t="shared" ref="B1036:C1036" si="420">B1035+1</f>
        <v>2045</v>
      </c>
      <c r="C1036" s="661">
        <f t="shared" si="420"/>
        <v>25</v>
      </c>
      <c r="D1036" s="662">
        <f>SUMIFS(Results!$D$46:$AK$46,Results!$D$42:$AK$42,$B1036)</f>
        <v>100812.64423385753</v>
      </c>
      <c r="E1036" s="712">
        <f t="shared" si="396"/>
        <v>19874.872058805529</v>
      </c>
      <c r="F1036" s="712">
        <f t="shared" si="397"/>
        <v>49593.140748227233</v>
      </c>
      <c r="H1036" s="707">
        <f>SUMIFS(Results!$D$95:$AK$95,Results!$D$93:$AK$93,$B1036)</f>
        <v>0.19714661994879637</v>
      </c>
      <c r="I1036" s="707">
        <f>SUMIFS(Results!$D$96:$AK$96,Results!$D$93:$AK$93,$B1036)</f>
        <v>0.49193373633950943</v>
      </c>
    </row>
    <row r="1037" spans="2:9">
      <c r="B1037" s="660">
        <f t="shared" ref="B1037:C1037" si="421">B1036+1</f>
        <v>2046</v>
      </c>
      <c r="C1037" s="661">
        <f t="shared" si="421"/>
        <v>26</v>
      </c>
      <c r="D1037" s="662">
        <f>SUMIFS(Results!$D$46:$AK$46,Results!$D$42:$AK$42,$B1037)</f>
        <v>105235.76012666071</v>
      </c>
      <c r="E1037" s="712">
        <f t="shared" si="396"/>
        <v>19389.602249264928</v>
      </c>
      <c r="F1037" s="712">
        <f t="shared" si="397"/>
        <v>50261.185121977251</v>
      </c>
      <c r="H1037" s="707">
        <f>SUMIFS(Results!$D$95:$AK$95,Results!$D$93:$AK$93,$B1037)</f>
        <v>0.18424917752223957</v>
      </c>
      <c r="I1037" s="707">
        <f>SUMIFS(Results!$D$96:$AK$96,Results!$D$93:$AK$93,$B1037)</f>
        <v>0.47760556926165965</v>
      </c>
    </row>
    <row r="1038" spans="2:9">
      <c r="B1038" s="660">
        <f t="shared" ref="B1038:C1038" si="422">B1037+1</f>
        <v>2047</v>
      </c>
      <c r="C1038" s="661">
        <f t="shared" si="422"/>
        <v>27</v>
      </c>
      <c r="D1038" s="662">
        <f>SUMIFS(Results!$D$46:$AK$46,Results!$D$42:$AK$42,$B1038)</f>
        <v>111336.85539732815</v>
      </c>
      <c r="E1038" s="712">
        <f t="shared" si="396"/>
        <v>19171.704705486201</v>
      </c>
      <c r="F1038" s="712">
        <f t="shared" si="397"/>
        <v>51626.312817324266</v>
      </c>
      <c r="H1038" s="707">
        <f>SUMIFS(Results!$D$95:$AK$95,Results!$D$93:$AK$93,$B1038)</f>
        <v>0.17219549301143888</v>
      </c>
      <c r="I1038" s="707">
        <f>SUMIFS(Results!$D$96:$AK$96,Results!$D$93:$AK$93,$B1038)</f>
        <v>0.46369472743850448</v>
      </c>
    </row>
    <row r="1039" spans="2:9">
      <c r="B1039" s="660">
        <f t="shared" ref="B1039:C1039" si="423">B1038+1</f>
        <v>2048</v>
      </c>
      <c r="C1039" s="661">
        <f t="shared" si="423"/>
        <v>28</v>
      </c>
      <c r="D1039" s="662">
        <f>SUMIFS(Results!$D$46:$AK$46,Results!$D$42:$AK$42,$B1039)</f>
        <v>117221.38216570969</v>
      </c>
      <c r="E1039" s="712">
        <f t="shared" si="396"/>
        <v>18864.480087389406</v>
      </c>
      <c r="F1039" s="712">
        <f t="shared" si="397"/>
        <v>52771.783352712162</v>
      </c>
      <c r="H1039" s="707">
        <f>SUMIFS(Results!$D$95:$AK$95,Results!$D$93:$AK$93,$B1039)</f>
        <v>0.16093036730041013</v>
      </c>
      <c r="I1039" s="707">
        <f>SUMIFS(Results!$D$96:$AK$96,Results!$D$93:$AK$93,$B1039)</f>
        <v>0.45018905576553836</v>
      </c>
    </row>
    <row r="1040" spans="2:9">
      <c r="B1040" s="660">
        <f t="shared" ref="B1040:C1040" si="424">B1039+1</f>
        <v>2049</v>
      </c>
      <c r="C1040" s="661">
        <f t="shared" si="424"/>
        <v>29</v>
      </c>
      <c r="D1040" s="662">
        <f>SUMIFS(Results!$D$46:$AK$46,Results!$D$42:$AK$42,$B1040)</f>
        <v>123063.93496461672</v>
      </c>
      <c r="E1040" s="712">
        <f t="shared" si="396"/>
        <v>18509.088089055662</v>
      </c>
      <c r="F1040" s="712">
        <f t="shared" si="397"/>
        <v>53788.385126711095</v>
      </c>
      <c r="H1040" s="707">
        <f>SUMIFS(Results!$D$95:$AK$95,Results!$D$93:$AK$93,$B1040)</f>
        <v>0.15040221243028987</v>
      </c>
      <c r="I1040" s="707">
        <f>SUMIFS(Results!$D$96:$AK$96,Results!$D$93:$AK$93,$B1040)</f>
        <v>0.4370767531704256</v>
      </c>
    </row>
    <row r="1041" spans="1:9">
      <c r="B1041" s="660">
        <f t="shared" ref="B1041:C1041" si="425">B1040+1</f>
        <v>2050</v>
      </c>
      <c r="C1041" s="661">
        <f t="shared" si="425"/>
        <v>30</v>
      </c>
      <c r="D1041" s="662">
        <f>SUMIFS(Results!$D$46:$AK$46,Results!$D$42:$AK$42,$B1041)</f>
        <v>129038.0083906675</v>
      </c>
      <c r="E1041" s="712">
        <f t="shared" si="396"/>
        <v>18137.945747247384</v>
      </c>
      <c r="F1041" s="712">
        <f t="shared" si="397"/>
        <v>54756.809459195232</v>
      </c>
      <c r="H1041" s="707">
        <f>SUMIFS(Results!$D$95:$AK$95,Results!$D$93:$AK$93,$B1041)</f>
        <v>0.1405628153554111</v>
      </c>
      <c r="I1041" s="707">
        <f>SUMIFS(Results!$D$96:$AK$96,Results!$D$93:$AK$93,$B1041)</f>
        <v>0.42434636230138412</v>
      </c>
    </row>
    <row r="1042" spans="1:9">
      <c r="B1042" s="660">
        <f t="shared" ref="B1042:C1042" si="426">B1041+1</f>
        <v>2051</v>
      </c>
      <c r="C1042" s="661">
        <f t="shared" si="426"/>
        <v>31</v>
      </c>
      <c r="D1042" s="662">
        <f>SUMIFS(Results!$D$46:$AK$46,Results!$D$42:$AK$42,$B1042)</f>
        <v>135500.43679895846</v>
      </c>
      <c r="E1042" s="712">
        <f t="shared" si="396"/>
        <v>17800.30175546687</v>
      </c>
      <c r="F1042" s="712">
        <f t="shared" si="397"/>
        <v>55824.385869792837</v>
      </c>
      <c r="H1042" s="707">
        <f>SUMIFS(Results!$D$95:$AK$95,Results!$D$93:$AK$93,$B1042)</f>
        <v>0.13136711715458982</v>
      </c>
      <c r="I1042" s="707">
        <f>SUMIFS(Results!$D$96:$AK$96,Results!$D$93:$AK$93,$B1042)</f>
        <v>0.41198675951590691</v>
      </c>
    </row>
    <row r="1043" spans="1:9">
      <c r="B1043" s="660">
        <f t="shared" ref="B1043:C1043" si="427">B1042+1</f>
        <v>2052</v>
      </c>
      <c r="C1043" s="661">
        <f t="shared" si="427"/>
        <v>32</v>
      </c>
      <c r="D1043" s="662">
        <f>SUMIFS(Results!$D$46:$AK$46,Results!$D$42:$AK$42,$B1043)</f>
        <v>142283.1148127093</v>
      </c>
      <c r="E1043" s="712">
        <f t="shared" si="396"/>
        <v>17468.525806281432</v>
      </c>
      <c r="F1043" s="712">
        <f t="shared" si="397"/>
        <v>56911.416898561001</v>
      </c>
      <c r="H1043" s="707">
        <f>SUMIFS(Results!$D$95:$AK$95,Results!$D$93:$AK$93,$B1043)</f>
        <v>0.1227730066865325</v>
      </c>
      <c r="I1043" s="707">
        <f>SUMIFS(Results!$D$96:$AK$96,Results!$D$93:$AK$93,$B1043)</f>
        <v>0.39998714516107459</v>
      </c>
    </row>
    <row r="1044" spans="1:9">
      <c r="B1044" s="660">
        <f t="shared" ref="B1044:C1044" si="428">B1043+1</f>
        <v>2053</v>
      </c>
      <c r="C1044" s="661">
        <f t="shared" si="428"/>
        <v>33</v>
      </c>
      <c r="D1044" s="662">
        <f>SUMIFS(Results!$D$46:$AK$46,Results!$D$42:$AK$42,$B1044)</f>
        <v>149401.80781671798</v>
      </c>
      <c r="E1044" s="712">
        <f t="shared" si="396"/>
        <v>17142.531915945758</v>
      </c>
      <c r="F1044" s="712">
        <f t="shared" si="397"/>
        <v>58018.254942245199</v>
      </c>
      <c r="H1044" s="707">
        <f>SUMIFS(Results!$D$95:$AK$95,Results!$D$93:$AK$93,$B1044)</f>
        <v>0.11474112774442291</v>
      </c>
      <c r="I1044" s="707">
        <f>SUMIFS(Results!$D$96:$AK$96,Results!$D$93:$AK$93,$B1044)</f>
        <v>0.38833703413696569</v>
      </c>
    </row>
    <row r="1045" spans="1:9">
      <c r="B1045" s="660">
        <f t="shared" ref="B1045:C1045" si="429">B1044+1</f>
        <v>2054</v>
      </c>
      <c r="C1045" s="661">
        <f t="shared" si="429"/>
        <v>34</v>
      </c>
      <c r="D1045" s="662">
        <f>SUMIFS(Results!$D$46:$AK$46,Results!$D$42:$AK$42,$B1045)</f>
        <v>156873.05408533715</v>
      </c>
      <c r="E1045" s="712">
        <f t="shared" si="396"/>
        <v>16822.234708844331</v>
      </c>
      <c r="F1045" s="712">
        <f t="shared" si="397"/>
        <v>59145.258795638481</v>
      </c>
      <c r="H1045" s="707">
        <f>SUMIFS(Results!$D$95:$AK$95,Results!$D$93:$AK$93,$B1045)</f>
        <v>0.10723469882656347</v>
      </c>
      <c r="I1045" s="707">
        <f>SUMIFS(Results!$D$96:$AK$96,Results!$D$93:$AK$93,$B1045)</f>
        <v>0.37702624673491814</v>
      </c>
    </row>
    <row r="1046" spans="1:9">
      <c r="B1046" s="663" t="s">
        <v>5</v>
      </c>
      <c r="C1046" s="663"/>
      <c r="D1046" s="664">
        <f>SUM(D1012:D1045)</f>
        <v>2501627.2379844449</v>
      </c>
      <c r="E1046" s="664">
        <f t="shared" ref="E1046:F1046" si="430">SUM(E1012:E1045)</f>
        <v>657182.90077804809</v>
      </c>
      <c r="F1046" s="664">
        <f t="shared" si="430"/>
        <v>1339163.6214695247</v>
      </c>
    </row>
    <row r="1048" spans="1:9">
      <c r="D1048" s="711" t="b">
        <f>Results!$C$21*10^6=D1046</f>
        <v>1</v>
      </c>
      <c r="E1048" s="711" t="b">
        <f>Results!$E$21*10^6=E1046</f>
        <v>1</v>
      </c>
      <c r="F1048" s="711" t="b">
        <f>Results!$D$21*10^6=F1046</f>
        <v>1</v>
      </c>
    </row>
    <row r="1050" spans="1:9">
      <c r="A1050" s="656" t="s">
        <v>957</v>
      </c>
    </row>
    <row r="1051" spans="1:9">
      <c r="B1051" s="658" t="s">
        <v>7</v>
      </c>
      <c r="C1051" s="658" t="s">
        <v>798</v>
      </c>
      <c r="D1051" s="659" t="str">
        <f>Results!$B$22</f>
        <v>Land Value Increase</v>
      </c>
      <c r="E1051" s="659" t="s">
        <v>898</v>
      </c>
      <c r="F1051" s="659" t="s">
        <v>899</v>
      </c>
      <c r="H1051" s="706" t="s">
        <v>893</v>
      </c>
      <c r="I1051" s="706" t="s">
        <v>894</v>
      </c>
    </row>
    <row r="1052" spans="1:9">
      <c r="B1052" s="660">
        <f>VRCBY</f>
        <v>2021</v>
      </c>
      <c r="C1052" s="661">
        <v>1</v>
      </c>
      <c r="D1052" s="662">
        <f>SUMIFS(Results!$D$47:$AK$47,Results!$D$42:$AK$42,$B1052)</f>
        <v>0</v>
      </c>
      <c r="E1052" s="712">
        <f>$D1052*H1052</f>
        <v>0</v>
      </c>
      <c r="F1052" s="712">
        <f>$D1052*I1052</f>
        <v>0</v>
      </c>
      <c r="H1052" s="707">
        <f>SUMIFS(Results!$D$95:$AK$95,Results!$D$93:$AK$93,$B1052)</f>
        <v>1</v>
      </c>
      <c r="I1052" s="707">
        <f>SUMIFS(Results!$D$96:$AK$96,Results!$D$93:$AK$93,$B1052)</f>
        <v>1</v>
      </c>
    </row>
    <row r="1053" spans="1:9">
      <c r="B1053" s="660">
        <f>B1052+1</f>
        <v>2022</v>
      </c>
      <c r="C1053" s="661">
        <f>C1052+1</f>
        <v>2</v>
      </c>
      <c r="D1053" s="662">
        <f>SUMIFS(Results!$D$47:$AK$47,Results!$D$42:$AK$42,$B1053)</f>
        <v>0</v>
      </c>
      <c r="E1053" s="712">
        <f t="shared" ref="E1053:E1085" si="431">$D1053*H1053</f>
        <v>0</v>
      </c>
      <c r="F1053" s="712">
        <f t="shared" ref="F1053:F1085" si="432">$D1053*I1053</f>
        <v>0</v>
      </c>
      <c r="H1053" s="707">
        <f>SUMIFS(Results!$D$95:$AK$95,Results!$D$93:$AK$93,$B1053)</f>
        <v>0.93457943925233644</v>
      </c>
      <c r="I1053" s="707">
        <f>SUMIFS(Results!$D$96:$AK$96,Results!$D$93:$AK$93,$B1053)</f>
        <v>0.970873786407767</v>
      </c>
    </row>
    <row r="1054" spans="1:9">
      <c r="B1054" s="660">
        <f t="shared" ref="B1054:C1054" si="433">B1053+1</f>
        <v>2023</v>
      </c>
      <c r="C1054" s="661">
        <f t="shared" si="433"/>
        <v>3</v>
      </c>
      <c r="D1054" s="662">
        <f>SUMIFS(Results!$D$47:$AK$47,Results!$D$42:$AK$42,$B1054)</f>
        <v>0</v>
      </c>
      <c r="E1054" s="712">
        <f t="shared" si="431"/>
        <v>0</v>
      </c>
      <c r="F1054" s="712">
        <f t="shared" si="432"/>
        <v>0</v>
      </c>
      <c r="H1054" s="707">
        <f>SUMIFS(Results!$D$95:$AK$95,Results!$D$93:$AK$93,$B1054)</f>
        <v>0.87343872827321156</v>
      </c>
      <c r="I1054" s="707">
        <f>SUMIFS(Results!$D$96:$AK$96,Results!$D$93:$AK$93,$B1054)</f>
        <v>0.94259590913375435</v>
      </c>
    </row>
    <row r="1055" spans="1:9">
      <c r="B1055" s="660">
        <f t="shared" ref="B1055:C1055" si="434">B1054+1</f>
        <v>2024</v>
      </c>
      <c r="C1055" s="661">
        <f t="shared" si="434"/>
        <v>4</v>
      </c>
      <c r="D1055" s="662">
        <f>SUMIFS(Results!$D$47:$AK$47,Results!$D$42:$AK$42,$B1055)</f>
        <v>0</v>
      </c>
      <c r="E1055" s="712">
        <f t="shared" si="431"/>
        <v>0</v>
      </c>
      <c r="F1055" s="712">
        <f t="shared" si="432"/>
        <v>0</v>
      </c>
      <c r="H1055" s="707">
        <f>SUMIFS(Results!$D$95:$AK$95,Results!$D$93:$AK$93,$B1055)</f>
        <v>0.81629787689085187</v>
      </c>
      <c r="I1055" s="707">
        <f>SUMIFS(Results!$D$96:$AK$96,Results!$D$93:$AK$93,$B1055)</f>
        <v>0.91514165935315961</v>
      </c>
    </row>
    <row r="1056" spans="1:9">
      <c r="B1056" s="660">
        <f t="shared" ref="B1056:C1056" si="435">B1055+1</f>
        <v>2025</v>
      </c>
      <c r="C1056" s="661">
        <f t="shared" si="435"/>
        <v>5</v>
      </c>
      <c r="D1056" s="662">
        <f>SUMIFS(Results!$D$47:$AK$47,Results!$D$42:$AK$42,$B1056)</f>
        <v>12248163.847270133</v>
      </c>
      <c r="E1056" s="712">
        <f t="shared" si="431"/>
        <v>9344065.5554559808</v>
      </c>
      <c r="F1056" s="712">
        <f t="shared" si="432"/>
        <v>10882334.939048707</v>
      </c>
      <c r="H1056" s="707">
        <f>SUMIFS(Results!$D$95:$AK$95,Results!$D$93:$AK$93,$B1056)</f>
        <v>0.7628952120475252</v>
      </c>
      <c r="I1056" s="707">
        <f>SUMIFS(Results!$D$96:$AK$96,Results!$D$93:$AK$93,$B1056)</f>
        <v>0.888487047915689</v>
      </c>
    </row>
    <row r="1057" spans="2:9">
      <c r="B1057" s="660">
        <f t="shared" ref="B1057:C1057" si="436">B1056+1</f>
        <v>2026</v>
      </c>
      <c r="C1057" s="661">
        <f t="shared" si="436"/>
        <v>6</v>
      </c>
      <c r="D1057" s="662">
        <f>SUMIFS(Results!$D$47:$AK$47,Results!$D$42:$AK$42,$B1057)</f>
        <v>0</v>
      </c>
      <c r="E1057" s="712">
        <f t="shared" si="431"/>
        <v>0</v>
      </c>
      <c r="F1057" s="712">
        <f t="shared" si="432"/>
        <v>0</v>
      </c>
      <c r="H1057" s="707">
        <f>SUMIFS(Results!$D$95:$AK$95,Results!$D$93:$AK$93,$B1057)</f>
        <v>0.71298617948366838</v>
      </c>
      <c r="I1057" s="707">
        <f>SUMIFS(Results!$D$96:$AK$96,Results!$D$93:$AK$93,$B1057)</f>
        <v>0.86260878438416411</v>
      </c>
    </row>
    <row r="1058" spans="2:9">
      <c r="B1058" s="660">
        <f t="shared" ref="B1058:C1058" si="437">B1057+1</f>
        <v>2027</v>
      </c>
      <c r="C1058" s="661">
        <f t="shared" si="437"/>
        <v>7</v>
      </c>
      <c r="D1058" s="662">
        <f>SUMIFS(Results!$D$47:$AK$47,Results!$D$42:$AK$42,$B1058)</f>
        <v>0</v>
      </c>
      <c r="E1058" s="712">
        <f t="shared" si="431"/>
        <v>0</v>
      </c>
      <c r="F1058" s="712">
        <f t="shared" si="432"/>
        <v>0</v>
      </c>
      <c r="H1058" s="707">
        <f>SUMIFS(Results!$D$95:$AK$95,Results!$D$93:$AK$93,$B1058)</f>
        <v>0.66634222381651254</v>
      </c>
      <c r="I1058" s="707">
        <f>SUMIFS(Results!$D$96:$AK$96,Results!$D$93:$AK$93,$B1058)</f>
        <v>0.83748425668365445</v>
      </c>
    </row>
    <row r="1059" spans="2:9">
      <c r="B1059" s="660">
        <f t="shared" ref="B1059:C1059" si="438">B1058+1</f>
        <v>2028</v>
      </c>
      <c r="C1059" s="661">
        <f t="shared" si="438"/>
        <v>8</v>
      </c>
      <c r="D1059" s="662">
        <f>SUMIFS(Results!$D$47:$AK$47,Results!$D$42:$AK$42,$B1059)</f>
        <v>0</v>
      </c>
      <c r="E1059" s="712">
        <f t="shared" si="431"/>
        <v>0</v>
      </c>
      <c r="F1059" s="712">
        <f t="shared" si="432"/>
        <v>0</v>
      </c>
      <c r="H1059" s="707">
        <f>SUMIFS(Results!$D$95:$AK$95,Results!$D$93:$AK$93,$B1059)</f>
        <v>0.62274974188459109</v>
      </c>
      <c r="I1059" s="707">
        <f>SUMIFS(Results!$D$96:$AK$96,Results!$D$93:$AK$93,$B1059)</f>
        <v>0.81309151134335378</v>
      </c>
    </row>
    <row r="1060" spans="2:9">
      <c r="B1060" s="660">
        <f t="shared" ref="B1060:C1060" si="439">B1059+1</f>
        <v>2029</v>
      </c>
      <c r="C1060" s="661">
        <f t="shared" si="439"/>
        <v>9</v>
      </c>
      <c r="D1060" s="662">
        <f>SUMIFS(Results!$D$47:$AK$47,Results!$D$42:$AK$42,$B1060)</f>
        <v>0</v>
      </c>
      <c r="E1060" s="712">
        <f t="shared" si="431"/>
        <v>0</v>
      </c>
      <c r="F1060" s="712">
        <f t="shared" si="432"/>
        <v>0</v>
      </c>
      <c r="H1060" s="707">
        <f>SUMIFS(Results!$D$95:$AK$95,Results!$D$93:$AK$93,$B1060)</f>
        <v>0.5820091045650384</v>
      </c>
      <c r="I1060" s="707">
        <f>SUMIFS(Results!$D$96:$AK$96,Results!$D$93:$AK$93,$B1060)</f>
        <v>0.78940923431393573</v>
      </c>
    </row>
    <row r="1061" spans="2:9">
      <c r="B1061" s="660">
        <f t="shared" ref="B1061:C1061" si="440">B1060+1</f>
        <v>2030</v>
      </c>
      <c r="C1061" s="661">
        <f t="shared" si="440"/>
        <v>10</v>
      </c>
      <c r="D1061" s="662">
        <f>SUMIFS(Results!$D$47:$AK$47,Results!$D$42:$AK$42,$B1061)</f>
        <v>0</v>
      </c>
      <c r="E1061" s="712">
        <f t="shared" si="431"/>
        <v>0</v>
      </c>
      <c r="F1061" s="712">
        <f t="shared" si="432"/>
        <v>0</v>
      </c>
      <c r="H1061" s="707">
        <f>SUMIFS(Results!$D$95:$AK$95,Results!$D$93:$AK$93,$B1061)</f>
        <v>0.54393374258414806</v>
      </c>
      <c r="I1061" s="707">
        <f>SUMIFS(Results!$D$96:$AK$96,Results!$D$93:$AK$93,$B1061)</f>
        <v>0.76641673234362695</v>
      </c>
    </row>
    <row r="1062" spans="2:9">
      <c r="B1062" s="660">
        <f t="shared" ref="B1062:C1062" si="441">B1061+1</f>
        <v>2031</v>
      </c>
      <c r="C1062" s="661">
        <f t="shared" si="441"/>
        <v>11</v>
      </c>
      <c r="D1062" s="662">
        <f>SUMIFS(Results!$D$47:$AK$47,Results!$D$42:$AK$42,$B1062)</f>
        <v>0</v>
      </c>
      <c r="E1062" s="712">
        <f t="shared" si="431"/>
        <v>0</v>
      </c>
      <c r="F1062" s="712">
        <f t="shared" si="432"/>
        <v>0</v>
      </c>
      <c r="H1062" s="707">
        <f>SUMIFS(Results!$D$95:$AK$95,Results!$D$93:$AK$93,$B1062)</f>
        <v>0.5083492921347178</v>
      </c>
      <c r="I1062" s="707">
        <f>SUMIFS(Results!$D$96:$AK$96,Results!$D$93:$AK$93,$B1062)</f>
        <v>0.74409391489672516</v>
      </c>
    </row>
    <row r="1063" spans="2:9">
      <c r="B1063" s="660">
        <f t="shared" ref="B1063:C1063" si="442">B1062+1</f>
        <v>2032</v>
      </c>
      <c r="C1063" s="661">
        <f t="shared" si="442"/>
        <v>12</v>
      </c>
      <c r="D1063" s="662">
        <f>SUMIFS(Results!$D$47:$AK$47,Results!$D$42:$AK$42,$B1063)</f>
        <v>0</v>
      </c>
      <c r="E1063" s="712">
        <f t="shared" si="431"/>
        <v>0</v>
      </c>
      <c r="F1063" s="712">
        <f t="shared" si="432"/>
        <v>0</v>
      </c>
      <c r="H1063" s="707">
        <f>SUMIFS(Results!$D$95:$AK$95,Results!$D$93:$AK$93,$B1063)</f>
        <v>0.47509279638758667</v>
      </c>
      <c r="I1063" s="707">
        <f>SUMIFS(Results!$D$96:$AK$96,Results!$D$93:$AK$93,$B1063)</f>
        <v>0.72242127659876232</v>
      </c>
    </row>
    <row r="1064" spans="2:9">
      <c r="B1064" s="660">
        <f t="shared" ref="B1064:C1064" si="443">B1063+1</f>
        <v>2033</v>
      </c>
      <c r="C1064" s="661">
        <f t="shared" si="443"/>
        <v>13</v>
      </c>
      <c r="D1064" s="662">
        <f>SUMIFS(Results!$D$47:$AK$47,Results!$D$42:$AK$42,$B1064)</f>
        <v>0</v>
      </c>
      <c r="E1064" s="712">
        <f t="shared" si="431"/>
        <v>0</v>
      </c>
      <c r="F1064" s="712">
        <f t="shared" si="432"/>
        <v>0</v>
      </c>
      <c r="H1064" s="707">
        <f>SUMIFS(Results!$D$95:$AK$95,Results!$D$93:$AK$93,$B1064)</f>
        <v>0.44401195924073528</v>
      </c>
      <c r="I1064" s="707">
        <f>SUMIFS(Results!$D$96:$AK$96,Results!$D$93:$AK$93,$B1064)</f>
        <v>0.70137988019297326</v>
      </c>
    </row>
    <row r="1065" spans="2:9">
      <c r="B1065" s="660">
        <f t="shared" ref="B1065:C1065" si="444">B1064+1</f>
        <v>2034</v>
      </c>
      <c r="C1065" s="661">
        <f t="shared" si="444"/>
        <v>14</v>
      </c>
      <c r="D1065" s="662">
        <f>SUMIFS(Results!$D$47:$AK$47,Results!$D$42:$AK$42,$B1065)</f>
        <v>0</v>
      </c>
      <c r="E1065" s="712">
        <f t="shared" si="431"/>
        <v>0</v>
      </c>
      <c r="F1065" s="712">
        <f t="shared" si="432"/>
        <v>0</v>
      </c>
      <c r="H1065" s="707">
        <f>SUMIFS(Results!$D$95:$AK$95,Results!$D$93:$AK$93,$B1065)</f>
        <v>0.41496444788853759</v>
      </c>
      <c r="I1065" s="707">
        <f>SUMIFS(Results!$D$96:$AK$96,Results!$D$93:$AK$93,$B1065)</f>
        <v>0.68095133999317792</v>
      </c>
    </row>
    <row r="1066" spans="2:9">
      <c r="B1066" s="660">
        <f t="shared" ref="B1066:C1066" si="445">B1065+1</f>
        <v>2035</v>
      </c>
      <c r="C1066" s="661">
        <f t="shared" si="445"/>
        <v>15</v>
      </c>
      <c r="D1066" s="662">
        <f>SUMIFS(Results!$D$47:$AK$47,Results!$D$42:$AK$42,$B1066)</f>
        <v>0</v>
      </c>
      <c r="E1066" s="712">
        <f t="shared" si="431"/>
        <v>0</v>
      </c>
      <c r="F1066" s="712">
        <f t="shared" si="432"/>
        <v>0</v>
      </c>
      <c r="H1066" s="707">
        <f>SUMIFS(Results!$D$95:$AK$95,Results!$D$93:$AK$93,$B1066)</f>
        <v>0.3878172410173249</v>
      </c>
      <c r="I1066" s="707">
        <f>SUMIFS(Results!$D$96:$AK$96,Results!$D$93:$AK$93,$B1066)</f>
        <v>0.66111780581861923</v>
      </c>
    </row>
    <row r="1067" spans="2:9">
      <c r="B1067" s="660">
        <f t="shared" ref="B1067:C1067" si="446">B1066+1</f>
        <v>2036</v>
      </c>
      <c r="C1067" s="661">
        <f t="shared" si="446"/>
        <v>16</v>
      </c>
      <c r="D1067" s="662">
        <f>SUMIFS(Results!$D$47:$AK$47,Results!$D$42:$AK$42,$B1067)</f>
        <v>0</v>
      </c>
      <c r="E1067" s="712">
        <f t="shared" si="431"/>
        <v>0</v>
      </c>
      <c r="F1067" s="712">
        <f t="shared" si="432"/>
        <v>0</v>
      </c>
      <c r="H1067" s="707">
        <f>SUMIFS(Results!$D$95:$AK$95,Results!$D$93:$AK$93,$B1067)</f>
        <v>0.36244601964235967</v>
      </c>
      <c r="I1067" s="707">
        <f>SUMIFS(Results!$D$96:$AK$96,Results!$D$93:$AK$93,$B1067)</f>
        <v>0.64186194739671765</v>
      </c>
    </row>
    <row r="1068" spans="2:9">
      <c r="B1068" s="660">
        <f t="shared" ref="B1068:C1068" si="447">B1067+1</f>
        <v>2037</v>
      </c>
      <c r="C1068" s="661">
        <f t="shared" si="447"/>
        <v>17</v>
      </c>
      <c r="D1068" s="662">
        <f>SUMIFS(Results!$D$47:$AK$47,Results!$D$42:$AK$42,$B1068)</f>
        <v>0</v>
      </c>
      <c r="E1068" s="712">
        <f t="shared" si="431"/>
        <v>0</v>
      </c>
      <c r="F1068" s="712">
        <f t="shared" si="432"/>
        <v>0</v>
      </c>
      <c r="H1068" s="707">
        <f>SUMIFS(Results!$D$95:$AK$95,Results!$D$93:$AK$93,$B1068)</f>
        <v>0.33873459779659787</v>
      </c>
      <c r="I1068" s="707">
        <f>SUMIFS(Results!$D$96:$AK$96,Results!$D$93:$AK$93,$B1068)</f>
        <v>0.62316693922011435</v>
      </c>
    </row>
    <row r="1069" spans="2:9">
      <c r="B1069" s="660">
        <f t="shared" ref="B1069:C1069" si="448">B1068+1</f>
        <v>2038</v>
      </c>
      <c r="C1069" s="661">
        <f t="shared" si="448"/>
        <v>18</v>
      </c>
      <c r="D1069" s="662">
        <f>SUMIFS(Results!$D$47:$AK$47,Results!$D$42:$AK$42,$B1069)</f>
        <v>0</v>
      </c>
      <c r="E1069" s="712">
        <f t="shared" si="431"/>
        <v>0</v>
      </c>
      <c r="F1069" s="712">
        <f t="shared" si="432"/>
        <v>0</v>
      </c>
      <c r="H1069" s="707">
        <f>SUMIFS(Results!$D$95:$AK$95,Results!$D$93:$AK$93,$B1069)</f>
        <v>0.31657439046411018</v>
      </c>
      <c r="I1069" s="707">
        <f>SUMIFS(Results!$D$96:$AK$96,Results!$D$93:$AK$93,$B1069)</f>
        <v>0.60501644584477121</v>
      </c>
    </row>
    <row r="1070" spans="2:9">
      <c r="B1070" s="660">
        <f t="shared" ref="B1070:C1070" si="449">B1069+1</f>
        <v>2039</v>
      </c>
      <c r="C1070" s="661">
        <f t="shared" si="449"/>
        <v>19</v>
      </c>
      <c r="D1070" s="662">
        <f>SUMIFS(Results!$D$47:$AK$47,Results!$D$42:$AK$42,$B1070)</f>
        <v>0</v>
      </c>
      <c r="E1070" s="712">
        <f t="shared" si="431"/>
        <v>0</v>
      </c>
      <c r="F1070" s="712">
        <f t="shared" si="432"/>
        <v>0</v>
      </c>
      <c r="H1070" s="707">
        <f>SUMIFS(Results!$D$95:$AK$95,Results!$D$93:$AK$93,$B1070)</f>
        <v>0.29586391632159825</v>
      </c>
      <c r="I1070" s="707">
        <f>SUMIFS(Results!$D$96:$AK$96,Results!$D$93:$AK$93,$B1070)</f>
        <v>0.5873946076162827</v>
      </c>
    </row>
    <row r="1071" spans="2:9">
      <c r="B1071" s="660">
        <f t="shared" ref="B1071:C1071" si="450">B1070+1</f>
        <v>2040</v>
      </c>
      <c r="C1071" s="661">
        <f t="shared" si="450"/>
        <v>20</v>
      </c>
      <c r="D1071" s="662">
        <f>SUMIFS(Results!$D$47:$AK$47,Results!$D$42:$AK$42,$B1071)</f>
        <v>0</v>
      </c>
      <c r="E1071" s="712">
        <f t="shared" si="431"/>
        <v>0</v>
      </c>
      <c r="F1071" s="712">
        <f t="shared" si="432"/>
        <v>0</v>
      </c>
      <c r="H1071" s="707">
        <f>SUMIFS(Results!$D$95:$AK$95,Results!$D$93:$AK$93,$B1071)</f>
        <v>0.27650833301083949</v>
      </c>
      <c r="I1071" s="707">
        <f>SUMIFS(Results!$D$96:$AK$96,Results!$D$93:$AK$93,$B1071)</f>
        <v>0.57028602681192497</v>
      </c>
    </row>
    <row r="1072" spans="2:9">
      <c r="B1072" s="660">
        <f t="shared" ref="B1072:C1072" si="451">B1071+1</f>
        <v>2041</v>
      </c>
      <c r="C1072" s="661">
        <f t="shared" si="451"/>
        <v>21</v>
      </c>
      <c r="D1072" s="662">
        <f>SUMIFS(Results!$D$47:$AK$47,Results!$D$42:$AK$42,$B1072)</f>
        <v>0</v>
      </c>
      <c r="E1072" s="712">
        <f t="shared" si="431"/>
        <v>0</v>
      </c>
      <c r="F1072" s="712">
        <f t="shared" si="432"/>
        <v>0</v>
      </c>
      <c r="H1072" s="707">
        <f>SUMIFS(Results!$D$95:$AK$95,Results!$D$93:$AK$93,$B1072)</f>
        <v>0.2584190028138687</v>
      </c>
      <c r="I1072" s="707">
        <f>SUMIFS(Results!$D$96:$AK$96,Results!$D$93:$AK$93,$B1072)</f>
        <v>0.55367575418633497</v>
      </c>
    </row>
    <row r="1073" spans="2:9">
      <c r="B1073" s="660">
        <f t="shared" ref="B1073:C1073" si="452">B1072+1</f>
        <v>2042</v>
      </c>
      <c r="C1073" s="661">
        <f t="shared" si="452"/>
        <v>22</v>
      </c>
      <c r="D1073" s="662">
        <f>SUMIFS(Results!$D$47:$AK$47,Results!$D$42:$AK$42,$B1073)</f>
        <v>0</v>
      </c>
      <c r="E1073" s="712">
        <f t="shared" si="431"/>
        <v>0</v>
      </c>
      <c r="F1073" s="712">
        <f t="shared" si="432"/>
        <v>0</v>
      </c>
      <c r="H1073" s="707">
        <f>SUMIFS(Results!$D$95:$AK$95,Results!$D$93:$AK$93,$B1073)</f>
        <v>0.24151308674193336</v>
      </c>
      <c r="I1073" s="707">
        <f>SUMIFS(Results!$D$96:$AK$96,Results!$D$93:$AK$93,$B1073)</f>
        <v>0.5375492759090631</v>
      </c>
    </row>
    <row r="1074" spans="2:9">
      <c r="B1074" s="660">
        <f t="shared" ref="B1074:C1074" si="453">B1073+1</f>
        <v>2043</v>
      </c>
      <c r="C1074" s="661">
        <f t="shared" si="453"/>
        <v>23</v>
      </c>
      <c r="D1074" s="662">
        <f>SUMIFS(Results!$D$47:$AK$47,Results!$D$42:$AK$42,$B1074)</f>
        <v>0</v>
      </c>
      <c r="E1074" s="712">
        <f t="shared" si="431"/>
        <v>0</v>
      </c>
      <c r="F1074" s="712">
        <f t="shared" si="432"/>
        <v>0</v>
      </c>
      <c r="H1074" s="707">
        <f>SUMIFS(Results!$D$95:$AK$95,Results!$D$93:$AK$93,$B1074)</f>
        <v>0.22571316517937698</v>
      </c>
      <c r="I1074" s="707">
        <f>SUMIFS(Results!$D$96:$AK$96,Results!$D$93:$AK$93,$B1074)</f>
        <v>0.52189250088258554</v>
      </c>
    </row>
    <row r="1075" spans="2:9">
      <c r="B1075" s="660">
        <f t="shared" ref="B1075:C1075" si="454">B1074+1</f>
        <v>2044</v>
      </c>
      <c r="C1075" s="661">
        <f t="shared" si="454"/>
        <v>24</v>
      </c>
      <c r="D1075" s="662">
        <f>SUMIFS(Results!$D$47:$AK$47,Results!$D$42:$AK$42,$B1075)</f>
        <v>0</v>
      </c>
      <c r="E1075" s="712">
        <f t="shared" si="431"/>
        <v>0</v>
      </c>
      <c r="F1075" s="712">
        <f t="shared" si="432"/>
        <v>0</v>
      </c>
      <c r="H1075" s="707">
        <f>SUMIFS(Results!$D$95:$AK$95,Results!$D$93:$AK$93,$B1075)</f>
        <v>0.21094688334521211</v>
      </c>
      <c r="I1075" s="707">
        <f>SUMIFS(Results!$D$96:$AK$96,Results!$D$93:$AK$93,$B1075)</f>
        <v>0.50669174842969467</v>
      </c>
    </row>
    <row r="1076" spans="2:9">
      <c r="B1076" s="660">
        <f t="shared" ref="B1076:C1076" si="455">B1075+1</f>
        <v>2045</v>
      </c>
      <c r="C1076" s="661">
        <f t="shared" si="455"/>
        <v>25</v>
      </c>
      <c r="D1076" s="662">
        <f>SUMIFS(Results!$D$47:$AK$47,Results!$D$42:$AK$42,$B1076)</f>
        <v>0</v>
      </c>
      <c r="E1076" s="712">
        <f t="shared" si="431"/>
        <v>0</v>
      </c>
      <c r="F1076" s="712">
        <f t="shared" si="432"/>
        <v>0</v>
      </c>
      <c r="H1076" s="707">
        <f>SUMIFS(Results!$D$95:$AK$95,Results!$D$93:$AK$93,$B1076)</f>
        <v>0.19714661994879637</v>
      </c>
      <c r="I1076" s="707">
        <f>SUMIFS(Results!$D$96:$AK$96,Results!$D$93:$AK$93,$B1076)</f>
        <v>0.49193373633950943</v>
      </c>
    </row>
    <row r="1077" spans="2:9">
      <c r="B1077" s="660">
        <f t="shared" ref="B1077:C1077" si="456">B1076+1</f>
        <v>2046</v>
      </c>
      <c r="C1077" s="661">
        <f t="shared" si="456"/>
        <v>26</v>
      </c>
      <c r="D1077" s="662">
        <f>SUMIFS(Results!$D$47:$AK$47,Results!$D$42:$AK$42,$B1077)</f>
        <v>0</v>
      </c>
      <c r="E1077" s="712">
        <f t="shared" si="431"/>
        <v>0</v>
      </c>
      <c r="F1077" s="712">
        <f t="shared" si="432"/>
        <v>0</v>
      </c>
      <c r="H1077" s="707">
        <f>SUMIFS(Results!$D$95:$AK$95,Results!$D$93:$AK$93,$B1077)</f>
        <v>0.18424917752223957</v>
      </c>
      <c r="I1077" s="707">
        <f>SUMIFS(Results!$D$96:$AK$96,Results!$D$93:$AK$93,$B1077)</f>
        <v>0.47760556926165965</v>
      </c>
    </row>
    <row r="1078" spans="2:9">
      <c r="B1078" s="660">
        <f t="shared" ref="B1078:C1078" si="457">B1077+1</f>
        <v>2047</v>
      </c>
      <c r="C1078" s="661">
        <f t="shared" si="457"/>
        <v>27</v>
      </c>
      <c r="D1078" s="662">
        <f>SUMIFS(Results!$D$47:$AK$47,Results!$D$42:$AK$42,$B1078)</f>
        <v>0</v>
      </c>
      <c r="E1078" s="712">
        <f t="shared" si="431"/>
        <v>0</v>
      </c>
      <c r="F1078" s="712">
        <f t="shared" si="432"/>
        <v>0</v>
      </c>
      <c r="H1078" s="707">
        <f>SUMIFS(Results!$D$95:$AK$95,Results!$D$93:$AK$93,$B1078)</f>
        <v>0.17219549301143888</v>
      </c>
      <c r="I1078" s="707">
        <f>SUMIFS(Results!$D$96:$AK$96,Results!$D$93:$AK$93,$B1078)</f>
        <v>0.46369472743850448</v>
      </c>
    </row>
    <row r="1079" spans="2:9">
      <c r="B1079" s="660">
        <f t="shared" ref="B1079:C1079" si="458">B1078+1</f>
        <v>2048</v>
      </c>
      <c r="C1079" s="661">
        <f t="shared" si="458"/>
        <v>28</v>
      </c>
      <c r="D1079" s="662">
        <f>SUMIFS(Results!$D$47:$AK$47,Results!$D$42:$AK$42,$B1079)</f>
        <v>0</v>
      </c>
      <c r="E1079" s="712">
        <f t="shared" si="431"/>
        <v>0</v>
      </c>
      <c r="F1079" s="712">
        <f t="shared" si="432"/>
        <v>0</v>
      </c>
      <c r="H1079" s="707">
        <f>SUMIFS(Results!$D$95:$AK$95,Results!$D$93:$AK$93,$B1079)</f>
        <v>0.16093036730041013</v>
      </c>
      <c r="I1079" s="707">
        <f>SUMIFS(Results!$D$96:$AK$96,Results!$D$93:$AK$93,$B1079)</f>
        <v>0.45018905576553836</v>
      </c>
    </row>
    <row r="1080" spans="2:9">
      <c r="B1080" s="660">
        <f t="shared" ref="B1080:C1080" si="459">B1079+1</f>
        <v>2049</v>
      </c>
      <c r="C1080" s="661">
        <f t="shared" si="459"/>
        <v>29</v>
      </c>
      <c r="D1080" s="662">
        <f>SUMIFS(Results!$D$47:$AK$47,Results!$D$42:$AK$42,$B1080)</f>
        <v>0</v>
      </c>
      <c r="E1080" s="712">
        <f t="shared" si="431"/>
        <v>0</v>
      </c>
      <c r="F1080" s="712">
        <f t="shared" si="432"/>
        <v>0</v>
      </c>
      <c r="H1080" s="707">
        <f>SUMIFS(Results!$D$95:$AK$95,Results!$D$93:$AK$93,$B1080)</f>
        <v>0.15040221243028987</v>
      </c>
      <c r="I1080" s="707">
        <f>SUMIFS(Results!$D$96:$AK$96,Results!$D$93:$AK$93,$B1080)</f>
        <v>0.4370767531704256</v>
      </c>
    </row>
    <row r="1081" spans="2:9">
      <c r="B1081" s="660">
        <f t="shared" ref="B1081:C1081" si="460">B1080+1</f>
        <v>2050</v>
      </c>
      <c r="C1081" s="661">
        <f t="shared" si="460"/>
        <v>30</v>
      </c>
      <c r="D1081" s="662">
        <f>SUMIFS(Results!$D$47:$AK$47,Results!$D$42:$AK$42,$B1081)</f>
        <v>0</v>
      </c>
      <c r="E1081" s="712">
        <f t="shared" si="431"/>
        <v>0</v>
      </c>
      <c r="F1081" s="712">
        <f t="shared" si="432"/>
        <v>0</v>
      </c>
      <c r="H1081" s="707">
        <f>SUMIFS(Results!$D$95:$AK$95,Results!$D$93:$AK$93,$B1081)</f>
        <v>0.1405628153554111</v>
      </c>
      <c r="I1081" s="707">
        <f>SUMIFS(Results!$D$96:$AK$96,Results!$D$93:$AK$93,$B1081)</f>
        <v>0.42434636230138412</v>
      </c>
    </row>
    <row r="1082" spans="2:9">
      <c r="B1082" s="660">
        <f t="shared" ref="B1082:C1082" si="461">B1081+1</f>
        <v>2051</v>
      </c>
      <c r="C1082" s="661">
        <f t="shared" si="461"/>
        <v>31</v>
      </c>
      <c r="D1082" s="662">
        <f>SUMIFS(Results!$D$47:$AK$47,Results!$D$42:$AK$42,$B1082)</f>
        <v>0</v>
      </c>
      <c r="E1082" s="712">
        <f t="shared" si="431"/>
        <v>0</v>
      </c>
      <c r="F1082" s="712">
        <f t="shared" si="432"/>
        <v>0</v>
      </c>
      <c r="H1082" s="707">
        <f>SUMIFS(Results!$D$95:$AK$95,Results!$D$93:$AK$93,$B1082)</f>
        <v>0.13136711715458982</v>
      </c>
      <c r="I1082" s="707">
        <f>SUMIFS(Results!$D$96:$AK$96,Results!$D$93:$AK$93,$B1082)</f>
        <v>0.41198675951590691</v>
      </c>
    </row>
    <row r="1083" spans="2:9">
      <c r="B1083" s="660">
        <f t="shared" ref="B1083:C1083" si="462">B1082+1</f>
        <v>2052</v>
      </c>
      <c r="C1083" s="661">
        <f t="shared" si="462"/>
        <v>32</v>
      </c>
      <c r="D1083" s="662">
        <f>SUMIFS(Results!$D$47:$AK$47,Results!$D$42:$AK$42,$B1083)</f>
        <v>0</v>
      </c>
      <c r="E1083" s="712">
        <f t="shared" si="431"/>
        <v>0</v>
      </c>
      <c r="F1083" s="712">
        <f t="shared" si="432"/>
        <v>0</v>
      </c>
      <c r="H1083" s="707">
        <f>SUMIFS(Results!$D$95:$AK$95,Results!$D$93:$AK$93,$B1083)</f>
        <v>0.1227730066865325</v>
      </c>
      <c r="I1083" s="707">
        <f>SUMIFS(Results!$D$96:$AK$96,Results!$D$93:$AK$93,$B1083)</f>
        <v>0.39998714516107459</v>
      </c>
    </row>
    <row r="1084" spans="2:9">
      <c r="B1084" s="660">
        <f t="shared" ref="B1084:C1084" si="463">B1083+1</f>
        <v>2053</v>
      </c>
      <c r="C1084" s="661">
        <f t="shared" si="463"/>
        <v>33</v>
      </c>
      <c r="D1084" s="662">
        <f>SUMIFS(Results!$D$47:$AK$47,Results!$D$42:$AK$42,$B1084)</f>
        <v>0</v>
      </c>
      <c r="E1084" s="712">
        <f t="shared" si="431"/>
        <v>0</v>
      </c>
      <c r="F1084" s="712">
        <f t="shared" si="432"/>
        <v>0</v>
      </c>
      <c r="H1084" s="707">
        <f>SUMIFS(Results!$D$95:$AK$95,Results!$D$93:$AK$93,$B1084)</f>
        <v>0.11474112774442291</v>
      </c>
      <c r="I1084" s="707">
        <f>SUMIFS(Results!$D$96:$AK$96,Results!$D$93:$AK$93,$B1084)</f>
        <v>0.38833703413696569</v>
      </c>
    </row>
    <row r="1085" spans="2:9">
      <c r="B1085" s="660">
        <f t="shared" ref="B1085:C1085" si="464">B1084+1</f>
        <v>2054</v>
      </c>
      <c r="C1085" s="661">
        <f t="shared" si="464"/>
        <v>34</v>
      </c>
      <c r="D1085" s="662">
        <f>SUMIFS(Results!$D$47:$AK$47,Results!$D$42:$AK$42,$B1085)</f>
        <v>0</v>
      </c>
      <c r="E1085" s="712">
        <f t="shared" si="431"/>
        <v>0</v>
      </c>
      <c r="F1085" s="712">
        <f t="shared" si="432"/>
        <v>0</v>
      </c>
      <c r="H1085" s="707">
        <f>SUMIFS(Results!$D$95:$AK$95,Results!$D$93:$AK$93,$B1085)</f>
        <v>0.10723469882656347</v>
      </c>
      <c r="I1085" s="707">
        <f>SUMIFS(Results!$D$96:$AK$96,Results!$D$93:$AK$93,$B1085)</f>
        <v>0.37702624673491814</v>
      </c>
    </row>
    <row r="1086" spans="2:9">
      <c r="B1086" s="663" t="s">
        <v>5</v>
      </c>
      <c r="C1086" s="663"/>
      <c r="D1086" s="664">
        <f>SUM(D1052:D1085)</f>
        <v>12248163.847270133</v>
      </c>
      <c r="E1086" s="664">
        <f t="shared" ref="E1086:F1086" si="465">SUM(E1052:E1085)</f>
        <v>9344065.5554559808</v>
      </c>
      <c r="F1086" s="664">
        <f t="shared" si="465"/>
        <v>10882334.939048707</v>
      </c>
    </row>
    <row r="1088" spans="2:9">
      <c r="D1088" s="711" t="b">
        <f>Results!$C$22*10^6=D1086</f>
        <v>1</v>
      </c>
      <c r="E1088" s="711" t="b">
        <f>Results!$E$22*10^6=E1086</f>
        <v>1</v>
      </c>
      <c r="F1088" s="711" t="b">
        <f>Results!$D$22*10^6=F1086</f>
        <v>1</v>
      </c>
    </row>
    <row r="1090" spans="1:9">
      <c r="A1090" s="656" t="s">
        <v>944</v>
      </c>
    </row>
    <row r="1091" spans="1:9">
      <c r="B1091" s="658" t="s">
        <v>7</v>
      </c>
      <c r="C1091" s="658" t="s">
        <v>798</v>
      </c>
      <c r="D1091" s="659" t="str">
        <f>Results!$B$23</f>
        <v>O&amp;M Costs Savings</v>
      </c>
      <c r="E1091" s="659" t="s">
        <v>898</v>
      </c>
      <c r="F1091" s="659" t="s">
        <v>899</v>
      </c>
      <c r="H1091" s="706" t="s">
        <v>893</v>
      </c>
      <c r="I1091" s="706" t="s">
        <v>894</v>
      </c>
    </row>
    <row r="1092" spans="1:9">
      <c r="B1092" s="660">
        <f>VRCBY</f>
        <v>2021</v>
      </c>
      <c r="C1092" s="661">
        <v>1</v>
      </c>
      <c r="D1092" s="662">
        <f>SUMIFS(Results!$D$48:$AK$48,Results!$D$42:$AK$42,$B1092)</f>
        <v>0</v>
      </c>
      <c r="E1092" s="712">
        <f>$D1092*H1092</f>
        <v>0</v>
      </c>
      <c r="F1092" s="712">
        <f>$D1092*I1092</f>
        <v>0</v>
      </c>
      <c r="H1092" s="707">
        <f>SUMIFS(Results!$D$95:$AK$95,Results!$D$93:$AK$93,$B1092)</f>
        <v>1</v>
      </c>
      <c r="I1092" s="707">
        <f>SUMIFS(Results!$D$96:$AK$96,Results!$D$93:$AK$93,$B1092)</f>
        <v>1</v>
      </c>
    </row>
    <row r="1093" spans="1:9">
      <c r="B1093" s="660">
        <f>B1092+1</f>
        <v>2022</v>
      </c>
      <c r="C1093" s="661">
        <f>C1092+1</f>
        <v>2</v>
      </c>
      <c r="D1093" s="662">
        <f>SUMIFS(Results!$D$48:$AK$48,Results!$D$42:$AK$42,$B1093)</f>
        <v>0</v>
      </c>
      <c r="E1093" s="712">
        <f t="shared" ref="E1093:E1125" si="466">$D1093*H1093</f>
        <v>0</v>
      </c>
      <c r="F1093" s="712">
        <f t="shared" ref="F1093:F1125" si="467">$D1093*I1093</f>
        <v>0</v>
      </c>
      <c r="H1093" s="707">
        <f>SUMIFS(Results!$D$95:$AK$95,Results!$D$93:$AK$93,$B1093)</f>
        <v>0.93457943925233644</v>
      </c>
      <c r="I1093" s="707">
        <f>SUMIFS(Results!$D$96:$AK$96,Results!$D$93:$AK$93,$B1093)</f>
        <v>0.970873786407767</v>
      </c>
    </row>
    <row r="1094" spans="1:9">
      <c r="B1094" s="660">
        <f t="shared" ref="B1094:C1094" si="468">B1093+1</f>
        <v>2023</v>
      </c>
      <c r="C1094" s="661">
        <f t="shared" si="468"/>
        <v>3</v>
      </c>
      <c r="D1094" s="662">
        <f>SUMIFS(Results!$D$48:$AK$48,Results!$D$42:$AK$42,$B1094)</f>
        <v>0</v>
      </c>
      <c r="E1094" s="712">
        <f t="shared" si="466"/>
        <v>0</v>
      </c>
      <c r="F1094" s="712">
        <f t="shared" si="467"/>
        <v>0</v>
      </c>
      <c r="H1094" s="707">
        <f>SUMIFS(Results!$D$95:$AK$95,Results!$D$93:$AK$93,$B1094)</f>
        <v>0.87343872827321156</v>
      </c>
      <c r="I1094" s="707">
        <f>SUMIFS(Results!$D$96:$AK$96,Results!$D$93:$AK$93,$B1094)</f>
        <v>0.94259590913375435</v>
      </c>
    </row>
    <row r="1095" spans="1:9">
      <c r="B1095" s="660">
        <f t="shared" ref="B1095:C1095" si="469">B1094+1</f>
        <v>2024</v>
      </c>
      <c r="C1095" s="661">
        <f t="shared" si="469"/>
        <v>4</v>
      </c>
      <c r="D1095" s="662">
        <f>SUMIFS(Results!$D$48:$AK$48,Results!$D$42:$AK$42,$B1095)</f>
        <v>0</v>
      </c>
      <c r="E1095" s="712">
        <f t="shared" si="466"/>
        <v>0</v>
      </c>
      <c r="F1095" s="712">
        <f t="shared" si="467"/>
        <v>0</v>
      </c>
      <c r="H1095" s="707">
        <f>SUMIFS(Results!$D$95:$AK$95,Results!$D$93:$AK$93,$B1095)</f>
        <v>0.81629787689085187</v>
      </c>
      <c r="I1095" s="707">
        <f>SUMIFS(Results!$D$96:$AK$96,Results!$D$93:$AK$93,$B1095)</f>
        <v>0.91514165935315961</v>
      </c>
    </row>
    <row r="1096" spans="1:9">
      <c r="B1096" s="660">
        <f t="shared" ref="B1096:C1096" si="470">B1095+1</f>
        <v>2025</v>
      </c>
      <c r="C1096" s="661">
        <f t="shared" si="470"/>
        <v>5</v>
      </c>
      <c r="D1096" s="662">
        <f>SUMIFS(Results!$D$48:$AK$48,Results!$D$42:$AK$42,$B1096)</f>
        <v>24474.514783239611</v>
      </c>
      <c r="E1096" s="712">
        <f t="shared" si="466"/>
        <v>18671.490145319873</v>
      </c>
      <c r="F1096" s="712">
        <f t="shared" si="467"/>
        <v>21745.28938892945</v>
      </c>
      <c r="H1096" s="707">
        <f>SUMIFS(Results!$D$95:$AK$95,Results!$D$93:$AK$93,$B1096)</f>
        <v>0.7628952120475252</v>
      </c>
      <c r="I1096" s="707">
        <f>SUMIFS(Results!$D$96:$AK$96,Results!$D$93:$AK$93,$B1096)</f>
        <v>0.888487047915689</v>
      </c>
    </row>
    <row r="1097" spans="1:9">
      <c r="B1097" s="660">
        <f t="shared" ref="B1097:C1097" si="471">B1096+1</f>
        <v>2026</v>
      </c>
      <c r="C1097" s="661">
        <f t="shared" si="471"/>
        <v>6</v>
      </c>
      <c r="D1097" s="662">
        <f>SUMIFS(Results!$D$48:$AK$48,Results!$D$42:$AK$42,$B1097)</f>
        <v>24474.514783239611</v>
      </c>
      <c r="E1097" s="712">
        <f t="shared" si="466"/>
        <v>17449.990790018572</v>
      </c>
      <c r="F1097" s="712">
        <f t="shared" si="467"/>
        <v>21111.931445562575</v>
      </c>
      <c r="H1097" s="707">
        <f>SUMIFS(Results!$D$95:$AK$95,Results!$D$93:$AK$93,$B1097)</f>
        <v>0.71298617948366838</v>
      </c>
      <c r="I1097" s="707">
        <f>SUMIFS(Results!$D$96:$AK$96,Results!$D$93:$AK$93,$B1097)</f>
        <v>0.86260878438416411</v>
      </c>
    </row>
    <row r="1098" spans="1:9">
      <c r="B1098" s="660">
        <f t="shared" ref="B1098:C1098" si="472">B1097+1</f>
        <v>2027</v>
      </c>
      <c r="C1098" s="661">
        <f t="shared" si="472"/>
        <v>7</v>
      </c>
      <c r="D1098" s="662">
        <f>SUMIFS(Results!$D$48:$AK$48,Results!$D$42:$AK$42,$B1098)</f>
        <v>24474.514783239611</v>
      </c>
      <c r="E1098" s="712">
        <f t="shared" si="466"/>
        <v>16308.402607493994</v>
      </c>
      <c r="F1098" s="712">
        <f t="shared" si="467"/>
        <v>20497.020820934536</v>
      </c>
      <c r="H1098" s="707">
        <f>SUMIFS(Results!$D$95:$AK$95,Results!$D$93:$AK$93,$B1098)</f>
        <v>0.66634222381651254</v>
      </c>
      <c r="I1098" s="707">
        <f>SUMIFS(Results!$D$96:$AK$96,Results!$D$93:$AK$93,$B1098)</f>
        <v>0.83748425668365445</v>
      </c>
    </row>
    <row r="1099" spans="1:9">
      <c r="B1099" s="660">
        <f t="shared" ref="B1099:C1099" si="473">B1098+1</f>
        <v>2028</v>
      </c>
      <c r="C1099" s="661">
        <f t="shared" si="473"/>
        <v>8</v>
      </c>
      <c r="D1099" s="662">
        <f>SUMIFS(Results!$D$48:$AK$48,Results!$D$42:$AK$42,$B1099)</f>
        <v>24474.514783239611</v>
      </c>
      <c r="E1099" s="712">
        <f t="shared" si="466"/>
        <v>15241.497764013076</v>
      </c>
      <c r="F1099" s="712">
        <f t="shared" si="467"/>
        <v>19900.020214499549</v>
      </c>
      <c r="H1099" s="707">
        <f>SUMIFS(Results!$D$95:$AK$95,Results!$D$93:$AK$93,$B1099)</f>
        <v>0.62274974188459109</v>
      </c>
      <c r="I1099" s="707">
        <f>SUMIFS(Results!$D$96:$AK$96,Results!$D$93:$AK$93,$B1099)</f>
        <v>0.81309151134335378</v>
      </c>
    </row>
    <row r="1100" spans="1:9">
      <c r="B1100" s="660">
        <f t="shared" ref="B1100:C1100" si="474">B1099+1</f>
        <v>2029</v>
      </c>
      <c r="C1100" s="661">
        <f t="shared" si="474"/>
        <v>9</v>
      </c>
      <c r="D1100" s="662">
        <f>SUMIFS(Results!$D$48:$AK$48,Results!$D$42:$AK$42,$B1100)</f>
        <v>24474.514783239611</v>
      </c>
      <c r="E1100" s="712">
        <f t="shared" si="466"/>
        <v>14244.390433657081</v>
      </c>
      <c r="F1100" s="712">
        <f t="shared" si="467"/>
        <v>19320.40797524228</v>
      </c>
      <c r="H1100" s="707">
        <f>SUMIFS(Results!$D$95:$AK$95,Results!$D$93:$AK$93,$B1100)</f>
        <v>0.5820091045650384</v>
      </c>
      <c r="I1100" s="707">
        <f>SUMIFS(Results!$D$96:$AK$96,Results!$D$93:$AK$93,$B1100)</f>
        <v>0.78940923431393573</v>
      </c>
    </row>
    <row r="1101" spans="1:9">
      <c r="B1101" s="660">
        <f t="shared" ref="B1101:C1101" si="475">B1100+1</f>
        <v>2030</v>
      </c>
      <c r="C1101" s="661">
        <f t="shared" si="475"/>
        <v>10</v>
      </c>
      <c r="D1101" s="662">
        <f>SUMIFS(Results!$D$48:$AK$48,Results!$D$42:$AK$42,$B1101)</f>
        <v>24474.514783239611</v>
      </c>
      <c r="E1101" s="712">
        <f t="shared" si="466"/>
        <v>13312.51442397858</v>
      </c>
      <c r="F1101" s="712">
        <f t="shared" si="467"/>
        <v>18757.677645866293</v>
      </c>
      <c r="H1101" s="707">
        <f>SUMIFS(Results!$D$95:$AK$95,Results!$D$93:$AK$93,$B1101)</f>
        <v>0.54393374258414806</v>
      </c>
      <c r="I1101" s="707">
        <f>SUMIFS(Results!$D$96:$AK$96,Results!$D$93:$AK$93,$B1101)</f>
        <v>0.76641673234362695</v>
      </c>
    </row>
    <row r="1102" spans="1:9">
      <c r="B1102" s="660">
        <f t="shared" ref="B1102:C1102" si="476">B1101+1</f>
        <v>2031</v>
      </c>
      <c r="C1102" s="661">
        <f t="shared" si="476"/>
        <v>11</v>
      </c>
      <c r="D1102" s="662">
        <f>SUMIFS(Results!$D$48:$AK$48,Results!$D$42:$AK$42,$B1102)</f>
        <v>24474.514783239611</v>
      </c>
      <c r="E1102" s="712">
        <f t="shared" si="466"/>
        <v>12441.602265400543</v>
      </c>
      <c r="F1102" s="712">
        <f t="shared" si="467"/>
        <v>18211.337520258538</v>
      </c>
      <c r="H1102" s="707">
        <f>SUMIFS(Results!$D$95:$AK$95,Results!$D$93:$AK$93,$B1102)</f>
        <v>0.5083492921347178</v>
      </c>
      <c r="I1102" s="707">
        <f>SUMIFS(Results!$D$96:$AK$96,Results!$D$93:$AK$93,$B1102)</f>
        <v>0.74409391489672516</v>
      </c>
    </row>
    <row r="1103" spans="1:9">
      <c r="B1103" s="660">
        <f t="shared" ref="B1103:C1103" si="477">B1102+1</f>
        <v>2032</v>
      </c>
      <c r="C1103" s="661">
        <f t="shared" si="477"/>
        <v>12</v>
      </c>
      <c r="D1103" s="662">
        <f>SUMIFS(Results!$D$48:$AK$48,Results!$D$42:$AK$42,$B1103)</f>
        <v>24474.514783239611</v>
      </c>
      <c r="E1103" s="712">
        <f t="shared" si="466"/>
        <v>11627.665668598636</v>
      </c>
      <c r="F1103" s="712">
        <f t="shared" si="467"/>
        <v>17680.910213843239</v>
      </c>
      <c r="H1103" s="707">
        <f>SUMIFS(Results!$D$95:$AK$95,Results!$D$93:$AK$93,$B1103)</f>
        <v>0.47509279638758667</v>
      </c>
      <c r="I1103" s="707">
        <f>SUMIFS(Results!$D$96:$AK$96,Results!$D$93:$AK$93,$B1103)</f>
        <v>0.72242127659876232</v>
      </c>
    </row>
    <row r="1104" spans="1:9">
      <c r="B1104" s="660">
        <f t="shared" ref="B1104:C1104" si="478">B1103+1</f>
        <v>2033</v>
      </c>
      <c r="C1104" s="661">
        <f t="shared" si="478"/>
        <v>13</v>
      </c>
      <c r="D1104" s="662">
        <f>SUMIFS(Results!$D$48:$AK$48,Results!$D$42:$AK$42,$B1104)</f>
        <v>24474.514783239611</v>
      </c>
      <c r="E1104" s="712">
        <f t="shared" si="466"/>
        <v>10866.97726037256</v>
      </c>
      <c r="F1104" s="712">
        <f t="shared" si="467"/>
        <v>17165.932246449753</v>
      </c>
      <c r="H1104" s="707">
        <f>SUMIFS(Results!$D$95:$AK$95,Results!$D$93:$AK$93,$B1104)</f>
        <v>0.44401195924073528</v>
      </c>
      <c r="I1104" s="707">
        <f>SUMIFS(Results!$D$96:$AK$96,Results!$D$93:$AK$93,$B1104)</f>
        <v>0.70137988019297326</v>
      </c>
    </row>
    <row r="1105" spans="2:9">
      <c r="B1105" s="660">
        <f t="shared" ref="B1105:C1105" si="479">B1104+1</f>
        <v>2034</v>
      </c>
      <c r="C1105" s="661">
        <f t="shared" si="479"/>
        <v>14</v>
      </c>
      <c r="D1105" s="662">
        <f>SUMIFS(Results!$D$48:$AK$48,Results!$D$42:$AK$42,$B1105)</f>
        <v>24474.514783239611</v>
      </c>
      <c r="E1105" s="712">
        <f t="shared" si="466"/>
        <v>10156.053514366877</v>
      </c>
      <c r="F1105" s="712">
        <f t="shared" si="467"/>
        <v>16665.953637329854</v>
      </c>
      <c r="H1105" s="707">
        <f>SUMIFS(Results!$D$95:$AK$95,Results!$D$93:$AK$93,$B1105)</f>
        <v>0.41496444788853759</v>
      </c>
      <c r="I1105" s="707">
        <f>SUMIFS(Results!$D$96:$AK$96,Results!$D$93:$AK$93,$B1105)</f>
        <v>0.68095133999317792</v>
      </c>
    </row>
    <row r="1106" spans="2:9">
      <c r="B1106" s="660">
        <f t="shared" ref="B1106:C1106" si="480">B1105+1</f>
        <v>2035</v>
      </c>
      <c r="C1106" s="661">
        <f t="shared" si="480"/>
        <v>15</v>
      </c>
      <c r="D1106" s="662">
        <f>SUMIFS(Results!$D$48:$AK$48,Results!$D$42:$AK$42,$B1106)</f>
        <v>24474.514783239611</v>
      </c>
      <c r="E1106" s="712">
        <f t="shared" si="466"/>
        <v>9491.6387984737175</v>
      </c>
      <c r="F1106" s="712">
        <f t="shared" si="467"/>
        <v>16180.537511970731</v>
      </c>
      <c r="H1106" s="707">
        <f>SUMIFS(Results!$D$95:$AK$95,Results!$D$93:$AK$93,$B1106)</f>
        <v>0.3878172410173249</v>
      </c>
      <c r="I1106" s="707">
        <f>SUMIFS(Results!$D$96:$AK$96,Results!$D$93:$AK$93,$B1106)</f>
        <v>0.66111780581861923</v>
      </c>
    </row>
    <row r="1107" spans="2:9">
      <c r="B1107" s="660">
        <f t="shared" ref="B1107:C1107" si="481">B1106+1</f>
        <v>2036</v>
      </c>
      <c r="C1107" s="661">
        <f t="shared" si="481"/>
        <v>16</v>
      </c>
      <c r="D1107" s="662">
        <f>SUMIFS(Results!$D$48:$AK$48,Results!$D$42:$AK$42,$B1107)</f>
        <v>24474.514783239611</v>
      </c>
      <c r="E1107" s="712">
        <f t="shared" si="466"/>
        <v>8870.6904658632866</v>
      </c>
      <c r="F1107" s="712">
        <f t="shared" si="467"/>
        <v>15709.259720359931</v>
      </c>
      <c r="H1107" s="707">
        <f>SUMIFS(Results!$D$95:$AK$95,Results!$D$93:$AK$93,$B1107)</f>
        <v>0.36244601964235967</v>
      </c>
      <c r="I1107" s="707">
        <f>SUMIFS(Results!$D$96:$AK$96,Results!$D$93:$AK$93,$B1107)</f>
        <v>0.64186194739671765</v>
      </c>
    </row>
    <row r="1108" spans="2:9">
      <c r="B1108" s="660">
        <f t="shared" ref="B1108:C1108" si="482">B1107+1</f>
        <v>2037</v>
      </c>
      <c r="C1108" s="661">
        <f t="shared" si="482"/>
        <v>17</v>
      </c>
      <c r="D1108" s="662">
        <f>SUMIFS(Results!$D$48:$AK$48,Results!$D$42:$AK$42,$B1108)</f>
        <v>24474.514783239611</v>
      </c>
      <c r="E1108" s="712">
        <f t="shared" si="466"/>
        <v>8290.3649213675581</v>
      </c>
      <c r="F1108" s="712">
        <f t="shared" si="467"/>
        <v>15251.708466368869</v>
      </c>
      <c r="H1108" s="707">
        <f>SUMIFS(Results!$D$95:$AK$95,Results!$D$93:$AK$93,$B1108)</f>
        <v>0.33873459779659787</v>
      </c>
      <c r="I1108" s="707">
        <f>SUMIFS(Results!$D$96:$AK$96,Results!$D$93:$AK$93,$B1108)</f>
        <v>0.62316693922011435</v>
      </c>
    </row>
    <row r="1109" spans="2:9">
      <c r="B1109" s="660">
        <f t="shared" ref="B1109:C1109" si="483">B1108+1</f>
        <v>2038</v>
      </c>
      <c r="C1109" s="661">
        <f t="shared" si="483"/>
        <v>18</v>
      </c>
      <c r="D1109" s="662">
        <f>SUMIFS(Results!$D$48:$AK$48,Results!$D$42:$AK$42,$B1109)</f>
        <v>24474.514783239611</v>
      </c>
      <c r="E1109" s="712">
        <f t="shared" si="466"/>
        <v>7748.0045994089332</v>
      </c>
      <c r="F1109" s="712">
        <f t="shared" si="467"/>
        <v>14807.483947930939</v>
      </c>
      <c r="H1109" s="707">
        <f>SUMIFS(Results!$D$95:$AK$95,Results!$D$93:$AK$93,$B1109)</f>
        <v>0.31657439046411018</v>
      </c>
      <c r="I1109" s="707">
        <f>SUMIFS(Results!$D$96:$AK$96,Results!$D$93:$AK$93,$B1109)</f>
        <v>0.60501644584477121</v>
      </c>
    </row>
    <row r="1110" spans="2:9">
      <c r="B1110" s="660">
        <f t="shared" ref="B1110:C1110" si="484">B1109+1</f>
        <v>2039</v>
      </c>
      <c r="C1110" s="661">
        <f t="shared" si="484"/>
        <v>19</v>
      </c>
      <c r="D1110" s="662">
        <f>SUMIFS(Results!$D$48:$AK$48,Results!$D$42:$AK$42,$B1110)</f>
        <v>24474.514783239611</v>
      </c>
      <c r="E1110" s="712">
        <f t="shared" si="466"/>
        <v>7241.1257938401232</v>
      </c>
      <c r="F1110" s="712">
        <f t="shared" si="467"/>
        <v>14376.198007699941</v>
      </c>
      <c r="H1110" s="707">
        <f>SUMIFS(Results!$D$95:$AK$95,Results!$D$93:$AK$93,$B1110)</f>
        <v>0.29586391632159825</v>
      </c>
      <c r="I1110" s="707">
        <f>SUMIFS(Results!$D$96:$AK$96,Results!$D$93:$AK$93,$B1110)</f>
        <v>0.5873946076162827</v>
      </c>
    </row>
    <row r="1111" spans="2:9">
      <c r="B1111" s="660">
        <f t="shared" ref="B1111:C1111" si="485">B1110+1</f>
        <v>2040</v>
      </c>
      <c r="C1111" s="661">
        <f t="shared" si="485"/>
        <v>20</v>
      </c>
      <c r="D1111" s="662">
        <f>SUMIFS(Results!$D$48:$AK$48,Results!$D$42:$AK$42,$B1111)</f>
        <v>24474.514783239611</v>
      </c>
      <c r="E1111" s="712">
        <f t="shared" si="466"/>
        <v>6767.4072839627324</v>
      </c>
      <c r="F1111" s="712">
        <f t="shared" si="467"/>
        <v>13957.473793883439</v>
      </c>
      <c r="H1111" s="707">
        <f>SUMIFS(Results!$D$95:$AK$95,Results!$D$93:$AK$93,$B1111)</f>
        <v>0.27650833301083949</v>
      </c>
      <c r="I1111" s="707">
        <f>SUMIFS(Results!$D$96:$AK$96,Results!$D$93:$AK$93,$B1111)</f>
        <v>0.57028602681192497</v>
      </c>
    </row>
    <row r="1112" spans="2:9">
      <c r="B1112" s="660">
        <f t="shared" ref="B1112:C1112" si="486">B1111+1</f>
        <v>2041</v>
      </c>
      <c r="C1112" s="661">
        <f t="shared" si="486"/>
        <v>21</v>
      </c>
      <c r="D1112" s="662">
        <f>SUMIFS(Results!$D$48:$AK$48,Results!$D$42:$AK$42,$B1112)</f>
        <v>24474.514783239611</v>
      </c>
      <c r="E1112" s="712">
        <f t="shared" si="466"/>
        <v>6324.679704638068</v>
      </c>
      <c r="F1112" s="712">
        <f t="shared" si="467"/>
        <v>13550.945430954796</v>
      </c>
      <c r="H1112" s="707">
        <f>SUMIFS(Results!$D$95:$AK$95,Results!$D$93:$AK$93,$B1112)</f>
        <v>0.2584190028138687</v>
      </c>
      <c r="I1112" s="707">
        <f>SUMIFS(Results!$D$96:$AK$96,Results!$D$93:$AK$93,$B1112)</f>
        <v>0.55367575418633497</v>
      </c>
    </row>
    <row r="1113" spans="2:9">
      <c r="B1113" s="660">
        <f t="shared" ref="B1113:C1113" si="487">B1112+1</f>
        <v>2042</v>
      </c>
      <c r="C1113" s="661">
        <f t="shared" si="487"/>
        <v>22</v>
      </c>
      <c r="D1113" s="662">
        <f>SUMIFS(Results!$D$48:$AK$48,Results!$D$42:$AK$42,$B1113)</f>
        <v>24474.514783239611</v>
      </c>
      <c r="E1113" s="712">
        <f t="shared" si="466"/>
        <v>5910.9156118112787</v>
      </c>
      <c r="F1113" s="712">
        <f t="shared" si="467"/>
        <v>13156.257699956113</v>
      </c>
      <c r="H1113" s="707">
        <f>SUMIFS(Results!$D$95:$AK$95,Results!$D$93:$AK$93,$B1113)</f>
        <v>0.24151308674193336</v>
      </c>
      <c r="I1113" s="707">
        <f>SUMIFS(Results!$D$96:$AK$96,Results!$D$93:$AK$93,$B1113)</f>
        <v>0.5375492759090631</v>
      </c>
    </row>
    <row r="1114" spans="2:9">
      <c r="B1114" s="660">
        <f t="shared" ref="B1114:C1114" si="488">B1113+1</f>
        <v>2043</v>
      </c>
      <c r="C1114" s="661">
        <f t="shared" si="488"/>
        <v>23</v>
      </c>
      <c r="D1114" s="662">
        <f>SUMIFS(Results!$D$48:$AK$48,Results!$D$42:$AK$42,$B1114)</f>
        <v>24474.514783239611</v>
      </c>
      <c r="E1114" s="712">
        <f t="shared" si="466"/>
        <v>5524.2201979544661</v>
      </c>
      <c r="F1114" s="712">
        <f t="shared" si="467"/>
        <v>12773.065728112731</v>
      </c>
      <c r="H1114" s="707">
        <f>SUMIFS(Results!$D$95:$AK$95,Results!$D$93:$AK$93,$B1114)</f>
        <v>0.22571316517937698</v>
      </c>
      <c r="I1114" s="707">
        <f>SUMIFS(Results!$D$96:$AK$96,Results!$D$93:$AK$93,$B1114)</f>
        <v>0.52189250088258554</v>
      </c>
    </row>
    <row r="1115" spans="2:9">
      <c r="B1115" s="660">
        <f t="shared" ref="B1115:C1115" si="489">B1114+1</f>
        <v>2044</v>
      </c>
      <c r="C1115" s="661">
        <f t="shared" si="489"/>
        <v>24</v>
      </c>
      <c r="D1115" s="662">
        <f>SUMIFS(Results!$D$48:$AK$48,Results!$D$42:$AK$42,$B1115)</f>
        <v>24474.514783239611</v>
      </c>
      <c r="E1115" s="712">
        <f t="shared" si="466"/>
        <v>5162.8226149107149</v>
      </c>
      <c r="F1115" s="712">
        <f t="shared" si="467"/>
        <v>12401.034687488087</v>
      </c>
      <c r="H1115" s="707">
        <f>SUMIFS(Results!$D$95:$AK$95,Results!$D$93:$AK$93,$B1115)</f>
        <v>0.21094688334521211</v>
      </c>
      <c r="I1115" s="707">
        <f>SUMIFS(Results!$D$96:$AK$96,Results!$D$93:$AK$93,$B1115)</f>
        <v>0.50669174842969467</v>
      </c>
    </row>
    <row r="1116" spans="2:9">
      <c r="B1116" s="660">
        <f t="shared" ref="B1116:C1116" si="490">B1115+1</f>
        <v>2045</v>
      </c>
      <c r="C1116" s="661">
        <f t="shared" si="490"/>
        <v>25</v>
      </c>
      <c r="D1116" s="662">
        <f>SUMIFS(Results!$D$48:$AK$48,Results!$D$42:$AK$42,$B1116)</f>
        <v>24474.514783239611</v>
      </c>
      <c r="E1116" s="712">
        <f t="shared" si="466"/>
        <v>4825.0678644025375</v>
      </c>
      <c r="F1116" s="712">
        <f t="shared" si="467"/>
        <v>12039.83950241562</v>
      </c>
      <c r="H1116" s="707">
        <f>SUMIFS(Results!$D$95:$AK$95,Results!$D$93:$AK$93,$B1116)</f>
        <v>0.19714661994879637</v>
      </c>
      <c r="I1116" s="707">
        <f>SUMIFS(Results!$D$96:$AK$96,Results!$D$93:$AK$93,$B1116)</f>
        <v>0.49193373633950943</v>
      </c>
    </row>
    <row r="1117" spans="2:9">
      <c r="B1117" s="660">
        <f t="shared" ref="B1117:C1117" si="491">B1116+1</f>
        <v>2046</v>
      </c>
      <c r="C1117" s="661">
        <f t="shared" si="491"/>
        <v>26</v>
      </c>
      <c r="D1117" s="662">
        <f>SUMIFS(Results!$D$48:$AK$48,Results!$D$42:$AK$42,$B1117)</f>
        <v>24474.514783239611</v>
      </c>
      <c r="E1117" s="712">
        <f t="shared" si="466"/>
        <v>4509.409219067792</v>
      </c>
      <c r="F1117" s="712">
        <f t="shared" si="467"/>
        <v>11689.164565452058</v>
      </c>
      <c r="H1117" s="707">
        <f>SUMIFS(Results!$D$95:$AK$95,Results!$D$93:$AK$93,$B1117)</f>
        <v>0.18424917752223957</v>
      </c>
      <c r="I1117" s="707">
        <f>SUMIFS(Results!$D$96:$AK$96,Results!$D$93:$AK$93,$B1117)</f>
        <v>0.47760556926165965</v>
      </c>
    </row>
    <row r="1118" spans="2:9">
      <c r="B1118" s="660">
        <f t="shared" ref="B1118:C1118" si="492">B1117+1</f>
        <v>2047</v>
      </c>
      <c r="C1118" s="661">
        <f t="shared" si="492"/>
        <v>27</v>
      </c>
      <c r="D1118" s="662">
        <f>SUMIFS(Results!$D$48:$AK$48,Results!$D$42:$AK$42,$B1118)</f>
        <v>24474.514783239611</v>
      </c>
      <c r="E1118" s="712">
        <f t="shared" si="466"/>
        <v>4214.4011393156943</v>
      </c>
      <c r="F1118" s="712">
        <f t="shared" si="467"/>
        <v>11348.70346160394</v>
      </c>
      <c r="H1118" s="707">
        <f>SUMIFS(Results!$D$95:$AK$95,Results!$D$93:$AK$93,$B1118)</f>
        <v>0.17219549301143888</v>
      </c>
      <c r="I1118" s="707">
        <f>SUMIFS(Results!$D$96:$AK$96,Results!$D$93:$AK$93,$B1118)</f>
        <v>0.46369472743850448</v>
      </c>
    </row>
    <row r="1119" spans="2:9">
      <c r="B1119" s="660">
        <f t="shared" ref="B1119:C1119" si="493">B1118+1</f>
        <v>2048</v>
      </c>
      <c r="C1119" s="661">
        <f t="shared" si="493"/>
        <v>28</v>
      </c>
      <c r="D1119" s="662">
        <f>SUMIFS(Results!$D$48:$AK$48,Results!$D$42:$AK$42,$B1119)</f>
        <v>24474.514783239611</v>
      </c>
      <c r="E1119" s="712">
        <f t="shared" si="466"/>
        <v>3938.6926535660682</v>
      </c>
      <c r="F1119" s="712">
        <f t="shared" si="467"/>
        <v>11018.158700586349</v>
      </c>
      <c r="H1119" s="707">
        <f>SUMIFS(Results!$D$95:$AK$95,Results!$D$93:$AK$93,$B1119)</f>
        <v>0.16093036730041013</v>
      </c>
      <c r="I1119" s="707">
        <f>SUMIFS(Results!$D$96:$AK$96,Results!$D$93:$AK$93,$B1119)</f>
        <v>0.45018905576553836</v>
      </c>
    </row>
    <row r="1120" spans="2:9">
      <c r="B1120" s="660">
        <f t="shared" ref="B1120:C1120" si="494">B1119+1</f>
        <v>2049</v>
      </c>
      <c r="C1120" s="661">
        <f t="shared" si="494"/>
        <v>29</v>
      </c>
      <c r="D1120" s="662">
        <f>SUMIFS(Results!$D$48:$AK$48,Results!$D$42:$AK$42,$B1120)</f>
        <v>24474.514783239611</v>
      </c>
      <c r="E1120" s="712">
        <f t="shared" si="466"/>
        <v>3681.0211715570736</v>
      </c>
      <c r="F1120" s="712">
        <f t="shared" si="467"/>
        <v>10697.241456879952</v>
      </c>
      <c r="H1120" s="707">
        <f>SUMIFS(Results!$D$95:$AK$95,Results!$D$93:$AK$93,$B1120)</f>
        <v>0.15040221243028987</v>
      </c>
      <c r="I1120" s="707">
        <f>SUMIFS(Results!$D$96:$AK$96,Results!$D$93:$AK$93,$B1120)</f>
        <v>0.4370767531704256</v>
      </c>
    </row>
    <row r="1121" spans="1:9">
      <c r="B1121" s="660">
        <f t="shared" ref="B1121:C1121" si="495">B1120+1</f>
        <v>2050</v>
      </c>
      <c r="C1121" s="661">
        <f t="shared" si="495"/>
        <v>30</v>
      </c>
      <c r="D1121" s="662">
        <f>SUMIFS(Results!$D$48:$AK$48,Results!$D$42:$AK$42,$B1121)</f>
        <v>24474.514783239611</v>
      </c>
      <c r="E1121" s="712">
        <f t="shared" si="466"/>
        <v>3440.2067023897885</v>
      </c>
      <c r="F1121" s="712">
        <f t="shared" si="467"/>
        <v>10385.671317359178</v>
      </c>
      <c r="H1121" s="707">
        <f>SUMIFS(Results!$D$95:$AK$95,Results!$D$93:$AK$93,$B1121)</f>
        <v>0.1405628153554111</v>
      </c>
      <c r="I1121" s="707">
        <f>SUMIFS(Results!$D$96:$AK$96,Results!$D$93:$AK$93,$B1121)</f>
        <v>0.42434636230138412</v>
      </c>
    </row>
    <row r="1122" spans="1:9">
      <c r="B1122" s="660">
        <f t="shared" ref="B1122:C1122" si="496">B1121+1</f>
        <v>2051</v>
      </c>
      <c r="C1122" s="661">
        <f t="shared" si="496"/>
        <v>31</v>
      </c>
      <c r="D1122" s="662">
        <f>SUMIFS(Results!$D$48:$AK$48,Results!$D$42:$AK$42,$B1122)</f>
        <v>24474.514783239611</v>
      </c>
      <c r="E1122" s="712">
        <f t="shared" si="466"/>
        <v>3215.1464508315785</v>
      </c>
      <c r="F1122" s="712">
        <f t="shared" si="467"/>
        <v>10083.176036271047</v>
      </c>
      <c r="H1122" s="707">
        <f>SUMIFS(Results!$D$95:$AK$95,Results!$D$93:$AK$93,$B1122)</f>
        <v>0.13136711715458982</v>
      </c>
      <c r="I1122" s="707">
        <f>SUMIFS(Results!$D$96:$AK$96,Results!$D$93:$AK$93,$B1122)</f>
        <v>0.41198675951590691</v>
      </c>
    </row>
    <row r="1123" spans="1:9">
      <c r="B1123" s="660">
        <f t="shared" ref="B1123:C1123" si="497">B1122+1</f>
        <v>2052</v>
      </c>
      <c r="C1123" s="661">
        <f t="shared" si="497"/>
        <v>32</v>
      </c>
      <c r="D1123" s="662">
        <f>SUMIFS(Results!$D$48:$AK$48,Results!$D$42:$AK$42,$B1123)</f>
        <v>24474.514783239611</v>
      </c>
      <c r="E1123" s="712">
        <f t="shared" si="466"/>
        <v>3004.8097671323153</v>
      </c>
      <c r="F1123" s="712">
        <f t="shared" si="467"/>
        <v>9789.4912973505288</v>
      </c>
      <c r="H1123" s="707">
        <f>SUMIFS(Results!$D$95:$AK$95,Results!$D$93:$AK$93,$B1123)</f>
        <v>0.1227730066865325</v>
      </c>
      <c r="I1123" s="707">
        <f>SUMIFS(Results!$D$96:$AK$96,Results!$D$93:$AK$93,$B1123)</f>
        <v>0.39998714516107459</v>
      </c>
    </row>
    <row r="1124" spans="1:9">
      <c r="B1124" s="660">
        <f t="shared" ref="B1124:C1124" si="498">B1123+1</f>
        <v>2053</v>
      </c>
      <c r="C1124" s="661">
        <f t="shared" si="498"/>
        <v>33</v>
      </c>
      <c r="D1124" s="662">
        <f>SUMIFS(Results!$D$48:$AK$48,Results!$D$42:$AK$42,$B1124)</f>
        <v>24474.514783239611</v>
      </c>
      <c r="E1124" s="712">
        <f t="shared" si="466"/>
        <v>2808.2334272264629</v>
      </c>
      <c r="F1124" s="712">
        <f t="shared" si="467"/>
        <v>9504.3604828645912</v>
      </c>
      <c r="H1124" s="707">
        <f>SUMIFS(Results!$D$95:$AK$95,Results!$D$93:$AK$93,$B1124)</f>
        <v>0.11474112774442291</v>
      </c>
      <c r="I1124" s="707">
        <f>SUMIFS(Results!$D$96:$AK$96,Results!$D$93:$AK$93,$B1124)</f>
        <v>0.38833703413696569</v>
      </c>
    </row>
    <row r="1125" spans="1:9">
      <c r="B1125" s="660">
        <f t="shared" ref="B1125:C1125" si="499">B1124+1</f>
        <v>2054</v>
      </c>
      <c r="C1125" s="661">
        <f t="shared" si="499"/>
        <v>34</v>
      </c>
      <c r="D1125" s="662">
        <f>SUMIFS(Results!$D$48:$AK$48,Results!$D$42:$AK$42,$B1125)</f>
        <v>24474.514783239611</v>
      </c>
      <c r="E1125" s="712">
        <f t="shared" si="466"/>
        <v>2624.5172217069749</v>
      </c>
      <c r="F1125" s="712">
        <f t="shared" si="467"/>
        <v>9227.534449383098</v>
      </c>
      <c r="H1125" s="707">
        <f>SUMIFS(Results!$D$95:$AK$95,Results!$D$93:$AK$93,$B1125)</f>
        <v>0.10723469882656347</v>
      </c>
      <c r="I1125" s="707">
        <f>SUMIFS(Results!$D$96:$AK$96,Results!$D$93:$AK$93,$B1125)</f>
        <v>0.37702624673491814</v>
      </c>
    </row>
    <row r="1126" spans="1:9">
      <c r="B1126" s="663" t="s">
        <v>5</v>
      </c>
      <c r="C1126" s="663"/>
      <c r="D1126" s="664">
        <f>SUM(D1092:D1125)</f>
        <v>734235.44349718816</v>
      </c>
      <c r="E1126" s="664">
        <f t="shared" ref="E1126:F1126" si="500">SUM(E1092:E1125)</f>
        <v>247913.96048264703</v>
      </c>
      <c r="F1126" s="664">
        <f t="shared" si="500"/>
        <v>439003.78737380815</v>
      </c>
    </row>
    <row r="1128" spans="1:9">
      <c r="D1128" s="711" t="b">
        <f>Results!$C$23*10^6=D1126</f>
        <v>1</v>
      </c>
      <c r="E1128" s="711" t="b">
        <f>Results!$E$23*10^6=E1126</f>
        <v>1</v>
      </c>
      <c r="F1128" s="711" t="b">
        <f>Results!$D$23*10^6=F1126</f>
        <v>1</v>
      </c>
    </row>
    <row r="1130" spans="1:9">
      <c r="A1130" s="656" t="s">
        <v>958</v>
      </c>
    </row>
    <row r="1131" spans="1:9">
      <c r="B1131" s="658" t="s">
        <v>7</v>
      </c>
      <c r="C1131" s="658" t="s">
        <v>798</v>
      </c>
      <c r="D1131" s="659" t="str">
        <f>Results!$B$24</f>
        <v>Residual Value</v>
      </c>
      <c r="E1131" s="659" t="s">
        <v>898</v>
      </c>
      <c r="F1131" s="659" t="s">
        <v>899</v>
      </c>
      <c r="H1131" s="706" t="s">
        <v>893</v>
      </c>
      <c r="I1131" s="706" t="s">
        <v>894</v>
      </c>
    </row>
    <row r="1132" spans="1:9">
      <c r="B1132" s="660">
        <f>VRCBY</f>
        <v>2021</v>
      </c>
      <c r="C1132" s="661">
        <v>1</v>
      </c>
      <c r="D1132" s="662">
        <f>SUMIFS(Results!$D$49:$AK$49,Results!$D$42:$AK$42,$B1132)</f>
        <v>0</v>
      </c>
      <c r="E1132" s="712">
        <f>$D1132*H1132</f>
        <v>0</v>
      </c>
      <c r="F1132" s="712">
        <f>$D1132*I1132</f>
        <v>0</v>
      </c>
      <c r="H1132" s="707">
        <f>SUMIFS(Results!$D$95:$AK$95,Results!$D$93:$AK$93,$B1132)</f>
        <v>1</v>
      </c>
      <c r="I1132" s="707">
        <f>SUMIFS(Results!$D$96:$AK$96,Results!$D$93:$AK$93,$B1132)</f>
        <v>1</v>
      </c>
    </row>
    <row r="1133" spans="1:9">
      <c r="B1133" s="660">
        <f>B1132+1</f>
        <v>2022</v>
      </c>
      <c r="C1133" s="661">
        <f>C1132+1</f>
        <v>2</v>
      </c>
      <c r="D1133" s="662">
        <f>SUMIFS(Results!$D$49:$AK$49,Results!$D$42:$AK$42,$B1133)</f>
        <v>0</v>
      </c>
      <c r="E1133" s="712">
        <f t="shared" ref="E1133:E1164" si="501">$D1133*H1133</f>
        <v>0</v>
      </c>
      <c r="F1133" s="712">
        <f t="shared" ref="F1133:F1165" si="502">$D1133*I1133</f>
        <v>0</v>
      </c>
      <c r="H1133" s="707">
        <f>SUMIFS(Results!$D$95:$AK$95,Results!$D$93:$AK$93,$B1133)</f>
        <v>0.93457943925233644</v>
      </c>
      <c r="I1133" s="707">
        <f>SUMIFS(Results!$D$96:$AK$96,Results!$D$93:$AK$93,$B1133)</f>
        <v>0.970873786407767</v>
      </c>
    </row>
    <row r="1134" spans="1:9">
      <c r="B1134" s="660">
        <f t="shared" ref="B1134:C1134" si="503">B1133+1</f>
        <v>2023</v>
      </c>
      <c r="C1134" s="661">
        <f t="shared" si="503"/>
        <v>3</v>
      </c>
      <c r="D1134" s="662">
        <f>SUMIFS(Results!$D$49:$AK$49,Results!$D$42:$AK$42,$B1134)</f>
        <v>0</v>
      </c>
      <c r="E1134" s="712">
        <f t="shared" si="501"/>
        <v>0</v>
      </c>
      <c r="F1134" s="712">
        <f t="shared" si="502"/>
        <v>0</v>
      </c>
      <c r="H1134" s="707">
        <f>SUMIFS(Results!$D$95:$AK$95,Results!$D$93:$AK$93,$B1134)</f>
        <v>0.87343872827321156</v>
      </c>
      <c r="I1134" s="707">
        <f>SUMIFS(Results!$D$96:$AK$96,Results!$D$93:$AK$93,$B1134)</f>
        <v>0.94259590913375435</v>
      </c>
    </row>
    <row r="1135" spans="1:9">
      <c r="B1135" s="660">
        <f t="shared" ref="B1135:C1135" si="504">B1134+1</f>
        <v>2024</v>
      </c>
      <c r="C1135" s="661">
        <f t="shared" si="504"/>
        <v>4</v>
      </c>
      <c r="D1135" s="662">
        <f>SUMIFS(Results!$D$49:$AK$49,Results!$D$42:$AK$42,$B1135)</f>
        <v>0</v>
      </c>
      <c r="E1135" s="712">
        <f t="shared" si="501"/>
        <v>0</v>
      </c>
      <c r="F1135" s="712">
        <f t="shared" si="502"/>
        <v>0</v>
      </c>
      <c r="H1135" s="707">
        <f>SUMIFS(Results!$D$95:$AK$95,Results!$D$93:$AK$93,$B1135)</f>
        <v>0.81629787689085187</v>
      </c>
      <c r="I1135" s="707">
        <f>SUMIFS(Results!$D$96:$AK$96,Results!$D$93:$AK$93,$B1135)</f>
        <v>0.91514165935315961</v>
      </c>
    </row>
    <row r="1136" spans="1:9">
      <c r="B1136" s="660">
        <f t="shared" ref="B1136:C1136" si="505">B1135+1</f>
        <v>2025</v>
      </c>
      <c r="C1136" s="661">
        <f t="shared" si="505"/>
        <v>5</v>
      </c>
      <c r="D1136" s="662">
        <f>SUMIFS(Results!$D$49:$AK$49,Results!$D$42:$AK$42,$B1136)</f>
        <v>0</v>
      </c>
      <c r="E1136" s="712">
        <f t="shared" si="501"/>
        <v>0</v>
      </c>
      <c r="F1136" s="712">
        <f t="shared" si="502"/>
        <v>0</v>
      </c>
      <c r="H1136" s="707">
        <f>SUMIFS(Results!$D$95:$AK$95,Results!$D$93:$AK$93,$B1136)</f>
        <v>0.7628952120475252</v>
      </c>
      <c r="I1136" s="707">
        <f>SUMIFS(Results!$D$96:$AK$96,Results!$D$93:$AK$93,$B1136)</f>
        <v>0.888487047915689</v>
      </c>
    </row>
    <row r="1137" spans="2:9">
      <c r="B1137" s="660">
        <f t="shared" ref="B1137:C1137" si="506">B1136+1</f>
        <v>2026</v>
      </c>
      <c r="C1137" s="661">
        <f t="shared" si="506"/>
        <v>6</v>
      </c>
      <c r="D1137" s="662">
        <f>SUMIFS(Results!$D$49:$AK$49,Results!$D$42:$AK$42,$B1137)</f>
        <v>0</v>
      </c>
      <c r="E1137" s="712">
        <f t="shared" si="501"/>
        <v>0</v>
      </c>
      <c r="F1137" s="712">
        <f t="shared" si="502"/>
        <v>0</v>
      </c>
      <c r="H1137" s="707">
        <f>SUMIFS(Results!$D$95:$AK$95,Results!$D$93:$AK$93,$B1137)</f>
        <v>0.71298617948366838</v>
      </c>
      <c r="I1137" s="707">
        <f>SUMIFS(Results!$D$96:$AK$96,Results!$D$93:$AK$93,$B1137)</f>
        <v>0.86260878438416411</v>
      </c>
    </row>
    <row r="1138" spans="2:9">
      <c r="B1138" s="660">
        <f t="shared" ref="B1138:C1138" si="507">B1137+1</f>
        <v>2027</v>
      </c>
      <c r="C1138" s="661">
        <f t="shared" si="507"/>
        <v>7</v>
      </c>
      <c r="D1138" s="662">
        <f>SUMIFS(Results!$D$49:$AK$49,Results!$D$42:$AK$42,$B1138)</f>
        <v>0</v>
      </c>
      <c r="E1138" s="712">
        <f t="shared" si="501"/>
        <v>0</v>
      </c>
      <c r="F1138" s="712">
        <f t="shared" si="502"/>
        <v>0</v>
      </c>
      <c r="H1138" s="707">
        <f>SUMIFS(Results!$D$95:$AK$95,Results!$D$93:$AK$93,$B1138)</f>
        <v>0.66634222381651254</v>
      </c>
      <c r="I1138" s="707">
        <f>SUMIFS(Results!$D$96:$AK$96,Results!$D$93:$AK$93,$B1138)</f>
        <v>0.83748425668365445</v>
      </c>
    </row>
    <row r="1139" spans="2:9">
      <c r="B1139" s="660">
        <f t="shared" ref="B1139:C1139" si="508">B1138+1</f>
        <v>2028</v>
      </c>
      <c r="C1139" s="661">
        <f t="shared" si="508"/>
        <v>8</v>
      </c>
      <c r="D1139" s="662">
        <f>SUMIFS(Results!$D$49:$AK$49,Results!$D$42:$AK$42,$B1139)</f>
        <v>0</v>
      </c>
      <c r="E1139" s="712">
        <f t="shared" si="501"/>
        <v>0</v>
      </c>
      <c r="F1139" s="712">
        <f t="shared" si="502"/>
        <v>0</v>
      </c>
      <c r="H1139" s="707">
        <f>SUMIFS(Results!$D$95:$AK$95,Results!$D$93:$AK$93,$B1139)</f>
        <v>0.62274974188459109</v>
      </c>
      <c r="I1139" s="707">
        <f>SUMIFS(Results!$D$96:$AK$96,Results!$D$93:$AK$93,$B1139)</f>
        <v>0.81309151134335378</v>
      </c>
    </row>
    <row r="1140" spans="2:9">
      <c r="B1140" s="660">
        <f t="shared" ref="B1140:C1140" si="509">B1139+1</f>
        <v>2029</v>
      </c>
      <c r="C1140" s="661">
        <f t="shared" si="509"/>
        <v>9</v>
      </c>
      <c r="D1140" s="662">
        <f>SUMIFS(Results!$D$49:$AK$49,Results!$D$42:$AK$42,$B1140)</f>
        <v>0</v>
      </c>
      <c r="E1140" s="712">
        <f t="shared" si="501"/>
        <v>0</v>
      </c>
      <c r="F1140" s="712">
        <f t="shared" si="502"/>
        <v>0</v>
      </c>
      <c r="H1140" s="707">
        <f>SUMIFS(Results!$D$95:$AK$95,Results!$D$93:$AK$93,$B1140)</f>
        <v>0.5820091045650384</v>
      </c>
      <c r="I1140" s="707">
        <f>SUMIFS(Results!$D$96:$AK$96,Results!$D$93:$AK$93,$B1140)</f>
        <v>0.78940923431393573</v>
      </c>
    </row>
    <row r="1141" spans="2:9">
      <c r="B1141" s="660">
        <f t="shared" ref="B1141:C1141" si="510">B1140+1</f>
        <v>2030</v>
      </c>
      <c r="C1141" s="661">
        <f t="shared" si="510"/>
        <v>10</v>
      </c>
      <c r="D1141" s="662">
        <f>SUMIFS(Results!$D$49:$AK$49,Results!$D$42:$AK$42,$B1141)</f>
        <v>0</v>
      </c>
      <c r="E1141" s="712">
        <f t="shared" si="501"/>
        <v>0</v>
      </c>
      <c r="F1141" s="712">
        <f t="shared" si="502"/>
        <v>0</v>
      </c>
      <c r="H1141" s="707">
        <f>SUMIFS(Results!$D$95:$AK$95,Results!$D$93:$AK$93,$B1141)</f>
        <v>0.54393374258414806</v>
      </c>
      <c r="I1141" s="707">
        <f>SUMIFS(Results!$D$96:$AK$96,Results!$D$93:$AK$93,$B1141)</f>
        <v>0.76641673234362695</v>
      </c>
    </row>
    <row r="1142" spans="2:9">
      <c r="B1142" s="660">
        <f t="shared" ref="B1142:C1142" si="511">B1141+1</f>
        <v>2031</v>
      </c>
      <c r="C1142" s="661">
        <f t="shared" si="511"/>
        <v>11</v>
      </c>
      <c r="D1142" s="662">
        <f>SUMIFS(Results!$D$49:$AK$49,Results!$D$42:$AK$42,$B1142)</f>
        <v>0</v>
      </c>
      <c r="E1142" s="712">
        <f t="shared" si="501"/>
        <v>0</v>
      </c>
      <c r="F1142" s="712">
        <f t="shared" si="502"/>
        <v>0</v>
      </c>
      <c r="H1142" s="707">
        <f>SUMIFS(Results!$D$95:$AK$95,Results!$D$93:$AK$93,$B1142)</f>
        <v>0.5083492921347178</v>
      </c>
      <c r="I1142" s="707">
        <f>SUMIFS(Results!$D$96:$AK$96,Results!$D$93:$AK$93,$B1142)</f>
        <v>0.74409391489672516</v>
      </c>
    </row>
    <row r="1143" spans="2:9">
      <c r="B1143" s="660">
        <f t="shared" ref="B1143:C1143" si="512">B1142+1</f>
        <v>2032</v>
      </c>
      <c r="C1143" s="661">
        <f t="shared" si="512"/>
        <v>12</v>
      </c>
      <c r="D1143" s="662">
        <f>SUMIFS(Results!$D$49:$AK$49,Results!$D$42:$AK$42,$B1143)</f>
        <v>0</v>
      </c>
      <c r="E1143" s="712">
        <f t="shared" si="501"/>
        <v>0</v>
      </c>
      <c r="F1143" s="712">
        <f t="shared" si="502"/>
        <v>0</v>
      </c>
      <c r="H1143" s="707">
        <f>SUMIFS(Results!$D$95:$AK$95,Results!$D$93:$AK$93,$B1143)</f>
        <v>0.47509279638758667</v>
      </c>
      <c r="I1143" s="707">
        <f>SUMIFS(Results!$D$96:$AK$96,Results!$D$93:$AK$93,$B1143)</f>
        <v>0.72242127659876232</v>
      </c>
    </row>
    <row r="1144" spans="2:9">
      <c r="B1144" s="660">
        <f t="shared" ref="B1144:C1144" si="513">B1143+1</f>
        <v>2033</v>
      </c>
      <c r="C1144" s="661">
        <f t="shared" si="513"/>
        <v>13</v>
      </c>
      <c r="D1144" s="662">
        <f>SUMIFS(Results!$D$49:$AK$49,Results!$D$42:$AK$42,$B1144)</f>
        <v>0</v>
      </c>
      <c r="E1144" s="712">
        <f t="shared" si="501"/>
        <v>0</v>
      </c>
      <c r="F1144" s="712">
        <f t="shared" si="502"/>
        <v>0</v>
      </c>
      <c r="H1144" s="707">
        <f>SUMIFS(Results!$D$95:$AK$95,Results!$D$93:$AK$93,$B1144)</f>
        <v>0.44401195924073528</v>
      </c>
      <c r="I1144" s="707">
        <f>SUMIFS(Results!$D$96:$AK$96,Results!$D$93:$AK$93,$B1144)</f>
        <v>0.70137988019297326</v>
      </c>
    </row>
    <row r="1145" spans="2:9">
      <c r="B1145" s="660">
        <f t="shared" ref="B1145:C1145" si="514">B1144+1</f>
        <v>2034</v>
      </c>
      <c r="C1145" s="661">
        <f t="shared" si="514"/>
        <v>14</v>
      </c>
      <c r="D1145" s="662">
        <f>SUMIFS(Results!$D$49:$AK$49,Results!$D$42:$AK$42,$B1145)</f>
        <v>0</v>
      </c>
      <c r="E1145" s="712">
        <f t="shared" si="501"/>
        <v>0</v>
      </c>
      <c r="F1145" s="712">
        <f t="shared" si="502"/>
        <v>0</v>
      </c>
      <c r="H1145" s="707">
        <f>SUMIFS(Results!$D$95:$AK$95,Results!$D$93:$AK$93,$B1145)</f>
        <v>0.41496444788853759</v>
      </c>
      <c r="I1145" s="707">
        <f>SUMIFS(Results!$D$96:$AK$96,Results!$D$93:$AK$93,$B1145)</f>
        <v>0.68095133999317792</v>
      </c>
    </row>
    <row r="1146" spans="2:9">
      <c r="B1146" s="660">
        <f t="shared" ref="B1146:C1146" si="515">B1145+1</f>
        <v>2035</v>
      </c>
      <c r="C1146" s="661">
        <f t="shared" si="515"/>
        <v>15</v>
      </c>
      <c r="D1146" s="662">
        <f>SUMIFS(Results!$D$49:$AK$49,Results!$D$42:$AK$42,$B1146)</f>
        <v>0</v>
      </c>
      <c r="E1146" s="712">
        <f t="shared" si="501"/>
        <v>0</v>
      </c>
      <c r="F1146" s="712">
        <f t="shared" si="502"/>
        <v>0</v>
      </c>
      <c r="H1146" s="707">
        <f>SUMIFS(Results!$D$95:$AK$95,Results!$D$93:$AK$93,$B1146)</f>
        <v>0.3878172410173249</v>
      </c>
      <c r="I1146" s="707">
        <f>SUMIFS(Results!$D$96:$AK$96,Results!$D$93:$AK$93,$B1146)</f>
        <v>0.66111780581861923</v>
      </c>
    </row>
    <row r="1147" spans="2:9">
      <c r="B1147" s="660">
        <f t="shared" ref="B1147:C1147" si="516">B1146+1</f>
        <v>2036</v>
      </c>
      <c r="C1147" s="661">
        <f t="shared" si="516"/>
        <v>16</v>
      </c>
      <c r="D1147" s="662">
        <f>SUMIFS(Results!$D$49:$AK$49,Results!$D$42:$AK$42,$B1147)</f>
        <v>0</v>
      </c>
      <c r="E1147" s="712">
        <f t="shared" si="501"/>
        <v>0</v>
      </c>
      <c r="F1147" s="712">
        <f t="shared" si="502"/>
        <v>0</v>
      </c>
      <c r="H1147" s="707">
        <f>SUMIFS(Results!$D$95:$AK$95,Results!$D$93:$AK$93,$B1147)</f>
        <v>0.36244601964235967</v>
      </c>
      <c r="I1147" s="707">
        <f>SUMIFS(Results!$D$96:$AK$96,Results!$D$93:$AK$93,$B1147)</f>
        <v>0.64186194739671765</v>
      </c>
    </row>
    <row r="1148" spans="2:9">
      <c r="B1148" s="660">
        <f t="shared" ref="B1148:C1148" si="517">B1147+1</f>
        <v>2037</v>
      </c>
      <c r="C1148" s="661">
        <f t="shared" si="517"/>
        <v>17</v>
      </c>
      <c r="D1148" s="662">
        <f>SUMIFS(Results!$D$49:$AK$49,Results!$D$42:$AK$42,$B1148)</f>
        <v>0</v>
      </c>
      <c r="E1148" s="712">
        <f t="shared" si="501"/>
        <v>0</v>
      </c>
      <c r="F1148" s="712">
        <f t="shared" si="502"/>
        <v>0</v>
      </c>
      <c r="H1148" s="707">
        <f>SUMIFS(Results!$D$95:$AK$95,Results!$D$93:$AK$93,$B1148)</f>
        <v>0.33873459779659787</v>
      </c>
      <c r="I1148" s="707">
        <f>SUMIFS(Results!$D$96:$AK$96,Results!$D$93:$AK$93,$B1148)</f>
        <v>0.62316693922011435</v>
      </c>
    </row>
    <row r="1149" spans="2:9">
      <c r="B1149" s="660">
        <f t="shared" ref="B1149:C1149" si="518">B1148+1</f>
        <v>2038</v>
      </c>
      <c r="C1149" s="661">
        <f t="shared" si="518"/>
        <v>18</v>
      </c>
      <c r="D1149" s="662">
        <f>SUMIFS(Results!$D$49:$AK$49,Results!$D$42:$AK$42,$B1149)</f>
        <v>0</v>
      </c>
      <c r="E1149" s="712">
        <f t="shared" si="501"/>
        <v>0</v>
      </c>
      <c r="F1149" s="712">
        <f t="shared" si="502"/>
        <v>0</v>
      </c>
      <c r="H1149" s="707">
        <f>SUMIFS(Results!$D$95:$AK$95,Results!$D$93:$AK$93,$B1149)</f>
        <v>0.31657439046411018</v>
      </c>
      <c r="I1149" s="707">
        <f>SUMIFS(Results!$D$96:$AK$96,Results!$D$93:$AK$93,$B1149)</f>
        <v>0.60501644584477121</v>
      </c>
    </row>
    <row r="1150" spans="2:9">
      <c r="B1150" s="660">
        <f t="shared" ref="B1150:C1150" si="519">B1149+1</f>
        <v>2039</v>
      </c>
      <c r="C1150" s="661">
        <f t="shared" si="519"/>
        <v>19</v>
      </c>
      <c r="D1150" s="662">
        <f>SUMIFS(Results!$D$49:$AK$49,Results!$D$42:$AK$42,$B1150)</f>
        <v>0</v>
      </c>
      <c r="E1150" s="712">
        <f t="shared" si="501"/>
        <v>0</v>
      </c>
      <c r="F1150" s="712">
        <f t="shared" si="502"/>
        <v>0</v>
      </c>
      <c r="H1150" s="707">
        <f>SUMIFS(Results!$D$95:$AK$95,Results!$D$93:$AK$93,$B1150)</f>
        <v>0.29586391632159825</v>
      </c>
      <c r="I1150" s="707">
        <f>SUMIFS(Results!$D$96:$AK$96,Results!$D$93:$AK$93,$B1150)</f>
        <v>0.5873946076162827</v>
      </c>
    </row>
    <row r="1151" spans="2:9">
      <c r="B1151" s="660">
        <f t="shared" ref="B1151:C1151" si="520">B1150+1</f>
        <v>2040</v>
      </c>
      <c r="C1151" s="661">
        <f t="shared" si="520"/>
        <v>20</v>
      </c>
      <c r="D1151" s="662">
        <f>SUMIFS(Results!$D$49:$AK$49,Results!$D$42:$AK$42,$B1151)</f>
        <v>0</v>
      </c>
      <c r="E1151" s="712">
        <f t="shared" si="501"/>
        <v>0</v>
      </c>
      <c r="F1151" s="712">
        <f t="shared" si="502"/>
        <v>0</v>
      </c>
      <c r="H1151" s="707">
        <f>SUMIFS(Results!$D$95:$AK$95,Results!$D$93:$AK$93,$B1151)</f>
        <v>0.27650833301083949</v>
      </c>
      <c r="I1151" s="707">
        <f>SUMIFS(Results!$D$96:$AK$96,Results!$D$93:$AK$93,$B1151)</f>
        <v>0.57028602681192497</v>
      </c>
    </row>
    <row r="1152" spans="2:9">
      <c r="B1152" s="660">
        <f t="shared" ref="B1152:C1152" si="521">B1151+1</f>
        <v>2041</v>
      </c>
      <c r="C1152" s="661">
        <f t="shared" si="521"/>
        <v>21</v>
      </c>
      <c r="D1152" s="662">
        <f>SUMIFS(Results!$D$49:$AK$49,Results!$D$42:$AK$42,$B1152)</f>
        <v>0</v>
      </c>
      <c r="E1152" s="712">
        <f t="shared" si="501"/>
        <v>0</v>
      </c>
      <c r="F1152" s="712">
        <f t="shared" si="502"/>
        <v>0</v>
      </c>
      <c r="H1152" s="707">
        <f>SUMIFS(Results!$D$95:$AK$95,Results!$D$93:$AK$93,$B1152)</f>
        <v>0.2584190028138687</v>
      </c>
      <c r="I1152" s="707">
        <f>SUMIFS(Results!$D$96:$AK$96,Results!$D$93:$AK$93,$B1152)</f>
        <v>0.55367575418633497</v>
      </c>
    </row>
    <row r="1153" spans="2:9">
      <c r="B1153" s="660">
        <f t="shared" ref="B1153:C1153" si="522">B1152+1</f>
        <v>2042</v>
      </c>
      <c r="C1153" s="661">
        <f t="shared" si="522"/>
        <v>22</v>
      </c>
      <c r="D1153" s="662">
        <f>SUMIFS(Results!$D$49:$AK$49,Results!$D$42:$AK$42,$B1153)</f>
        <v>0</v>
      </c>
      <c r="E1153" s="712">
        <f t="shared" si="501"/>
        <v>0</v>
      </c>
      <c r="F1153" s="712">
        <f t="shared" si="502"/>
        <v>0</v>
      </c>
      <c r="H1153" s="707">
        <f>SUMIFS(Results!$D$95:$AK$95,Results!$D$93:$AK$93,$B1153)</f>
        <v>0.24151308674193336</v>
      </c>
      <c r="I1153" s="707">
        <f>SUMIFS(Results!$D$96:$AK$96,Results!$D$93:$AK$93,$B1153)</f>
        <v>0.5375492759090631</v>
      </c>
    </row>
    <row r="1154" spans="2:9">
      <c r="B1154" s="660">
        <f t="shared" ref="B1154:C1154" si="523">B1153+1</f>
        <v>2043</v>
      </c>
      <c r="C1154" s="661">
        <f t="shared" si="523"/>
        <v>23</v>
      </c>
      <c r="D1154" s="662">
        <f>SUMIFS(Results!$D$49:$AK$49,Results!$D$42:$AK$42,$B1154)</f>
        <v>0</v>
      </c>
      <c r="E1154" s="712">
        <f t="shared" si="501"/>
        <v>0</v>
      </c>
      <c r="F1154" s="712">
        <f t="shared" si="502"/>
        <v>0</v>
      </c>
      <c r="H1154" s="707">
        <f>SUMIFS(Results!$D$95:$AK$95,Results!$D$93:$AK$93,$B1154)</f>
        <v>0.22571316517937698</v>
      </c>
      <c r="I1154" s="707">
        <f>SUMIFS(Results!$D$96:$AK$96,Results!$D$93:$AK$93,$B1154)</f>
        <v>0.52189250088258554</v>
      </c>
    </row>
    <row r="1155" spans="2:9">
      <c r="B1155" s="660">
        <f t="shared" ref="B1155:C1155" si="524">B1154+1</f>
        <v>2044</v>
      </c>
      <c r="C1155" s="661">
        <f t="shared" si="524"/>
        <v>24</v>
      </c>
      <c r="D1155" s="662">
        <f>SUMIFS(Results!$D$49:$AK$49,Results!$D$42:$AK$42,$B1155)</f>
        <v>0</v>
      </c>
      <c r="E1155" s="712">
        <f t="shared" si="501"/>
        <v>0</v>
      </c>
      <c r="F1155" s="712">
        <f t="shared" si="502"/>
        <v>0</v>
      </c>
      <c r="H1155" s="707">
        <f>SUMIFS(Results!$D$95:$AK$95,Results!$D$93:$AK$93,$B1155)</f>
        <v>0.21094688334521211</v>
      </c>
      <c r="I1155" s="707">
        <f>SUMIFS(Results!$D$96:$AK$96,Results!$D$93:$AK$93,$B1155)</f>
        <v>0.50669174842969467</v>
      </c>
    </row>
    <row r="1156" spans="2:9">
      <c r="B1156" s="660">
        <f t="shared" ref="B1156:C1156" si="525">B1155+1</f>
        <v>2045</v>
      </c>
      <c r="C1156" s="661">
        <f t="shared" si="525"/>
        <v>25</v>
      </c>
      <c r="D1156" s="662">
        <f>SUMIFS(Results!$D$49:$AK$49,Results!$D$42:$AK$42,$B1156)</f>
        <v>0</v>
      </c>
      <c r="E1156" s="712">
        <f t="shared" si="501"/>
        <v>0</v>
      </c>
      <c r="F1156" s="712">
        <f t="shared" si="502"/>
        <v>0</v>
      </c>
      <c r="H1156" s="707">
        <f>SUMIFS(Results!$D$95:$AK$95,Results!$D$93:$AK$93,$B1156)</f>
        <v>0.19714661994879637</v>
      </c>
      <c r="I1156" s="707">
        <f>SUMIFS(Results!$D$96:$AK$96,Results!$D$93:$AK$93,$B1156)</f>
        <v>0.49193373633950943</v>
      </c>
    </row>
    <row r="1157" spans="2:9">
      <c r="B1157" s="660">
        <f t="shared" ref="B1157:C1157" si="526">B1156+1</f>
        <v>2046</v>
      </c>
      <c r="C1157" s="661">
        <f t="shared" si="526"/>
        <v>26</v>
      </c>
      <c r="D1157" s="662">
        <f>SUMIFS(Results!$D$49:$AK$49,Results!$D$42:$AK$42,$B1157)</f>
        <v>0</v>
      </c>
      <c r="E1157" s="712">
        <f t="shared" si="501"/>
        <v>0</v>
      </c>
      <c r="F1157" s="712">
        <f t="shared" si="502"/>
        <v>0</v>
      </c>
      <c r="H1157" s="707">
        <f>SUMIFS(Results!$D$95:$AK$95,Results!$D$93:$AK$93,$B1157)</f>
        <v>0.18424917752223957</v>
      </c>
      <c r="I1157" s="707">
        <f>SUMIFS(Results!$D$96:$AK$96,Results!$D$93:$AK$93,$B1157)</f>
        <v>0.47760556926165965</v>
      </c>
    </row>
    <row r="1158" spans="2:9">
      <c r="B1158" s="660">
        <f t="shared" ref="B1158:C1158" si="527">B1157+1</f>
        <v>2047</v>
      </c>
      <c r="C1158" s="661">
        <f t="shared" si="527"/>
        <v>27</v>
      </c>
      <c r="D1158" s="662">
        <f>SUMIFS(Results!$D$49:$AK$49,Results!$D$42:$AK$42,$B1158)</f>
        <v>0</v>
      </c>
      <c r="E1158" s="712">
        <f t="shared" si="501"/>
        <v>0</v>
      </c>
      <c r="F1158" s="712">
        <f t="shared" si="502"/>
        <v>0</v>
      </c>
      <c r="H1158" s="707">
        <f>SUMIFS(Results!$D$95:$AK$95,Results!$D$93:$AK$93,$B1158)</f>
        <v>0.17219549301143888</v>
      </c>
      <c r="I1158" s="707">
        <f>SUMIFS(Results!$D$96:$AK$96,Results!$D$93:$AK$93,$B1158)</f>
        <v>0.46369472743850448</v>
      </c>
    </row>
    <row r="1159" spans="2:9">
      <c r="B1159" s="660">
        <f t="shared" ref="B1159:C1159" si="528">B1158+1</f>
        <v>2048</v>
      </c>
      <c r="C1159" s="661">
        <f t="shared" si="528"/>
        <v>28</v>
      </c>
      <c r="D1159" s="662">
        <f>SUMIFS(Results!$D$49:$AK$49,Results!$D$42:$AK$42,$B1159)</f>
        <v>0</v>
      </c>
      <c r="E1159" s="712">
        <f t="shared" si="501"/>
        <v>0</v>
      </c>
      <c r="F1159" s="712">
        <f t="shared" si="502"/>
        <v>0</v>
      </c>
      <c r="H1159" s="707">
        <f>SUMIFS(Results!$D$95:$AK$95,Results!$D$93:$AK$93,$B1159)</f>
        <v>0.16093036730041013</v>
      </c>
      <c r="I1159" s="707">
        <f>SUMIFS(Results!$D$96:$AK$96,Results!$D$93:$AK$93,$B1159)</f>
        <v>0.45018905576553836</v>
      </c>
    </row>
    <row r="1160" spans="2:9">
      <c r="B1160" s="660">
        <f t="shared" ref="B1160:C1160" si="529">B1159+1</f>
        <v>2049</v>
      </c>
      <c r="C1160" s="661">
        <f t="shared" si="529"/>
        <v>29</v>
      </c>
      <c r="D1160" s="662">
        <f>SUMIFS(Results!$D$49:$AK$49,Results!$D$42:$AK$42,$B1160)</f>
        <v>0</v>
      </c>
      <c r="E1160" s="712">
        <f t="shared" si="501"/>
        <v>0</v>
      </c>
      <c r="F1160" s="712">
        <f t="shared" si="502"/>
        <v>0</v>
      </c>
      <c r="H1160" s="707">
        <f>SUMIFS(Results!$D$95:$AK$95,Results!$D$93:$AK$93,$B1160)</f>
        <v>0.15040221243028987</v>
      </c>
      <c r="I1160" s="707">
        <f>SUMIFS(Results!$D$96:$AK$96,Results!$D$93:$AK$93,$B1160)</f>
        <v>0.4370767531704256</v>
      </c>
    </row>
    <row r="1161" spans="2:9">
      <c r="B1161" s="660">
        <f t="shared" ref="B1161:C1161" si="530">B1160+1</f>
        <v>2050</v>
      </c>
      <c r="C1161" s="661">
        <f t="shared" si="530"/>
        <v>30</v>
      </c>
      <c r="D1161" s="662">
        <f>SUMIFS(Results!$D$49:$AK$49,Results!$D$42:$AK$42,$B1161)</f>
        <v>0</v>
      </c>
      <c r="E1161" s="712">
        <f t="shared" si="501"/>
        <v>0</v>
      </c>
      <c r="F1161" s="712">
        <f t="shared" si="502"/>
        <v>0</v>
      </c>
      <c r="H1161" s="707">
        <f>SUMIFS(Results!$D$95:$AK$95,Results!$D$93:$AK$93,$B1161)</f>
        <v>0.1405628153554111</v>
      </c>
      <c r="I1161" s="707">
        <f>SUMIFS(Results!$D$96:$AK$96,Results!$D$93:$AK$93,$B1161)</f>
        <v>0.42434636230138412</v>
      </c>
    </row>
    <row r="1162" spans="2:9">
      <c r="B1162" s="660">
        <f t="shared" ref="B1162:C1162" si="531">B1161+1</f>
        <v>2051</v>
      </c>
      <c r="C1162" s="661">
        <f t="shared" si="531"/>
        <v>31</v>
      </c>
      <c r="D1162" s="662">
        <f>SUMIFS(Results!$D$49:$AK$49,Results!$D$42:$AK$42,$B1162)</f>
        <v>0</v>
      </c>
      <c r="E1162" s="712">
        <f t="shared" si="501"/>
        <v>0</v>
      </c>
      <c r="F1162" s="712">
        <f t="shared" si="502"/>
        <v>0</v>
      </c>
      <c r="H1162" s="707">
        <f>SUMIFS(Results!$D$95:$AK$95,Results!$D$93:$AK$93,$B1162)</f>
        <v>0.13136711715458982</v>
      </c>
      <c r="I1162" s="707">
        <f>SUMIFS(Results!$D$96:$AK$96,Results!$D$93:$AK$93,$B1162)</f>
        <v>0.41198675951590691</v>
      </c>
    </row>
    <row r="1163" spans="2:9">
      <c r="B1163" s="660">
        <f t="shared" ref="B1163:C1163" si="532">B1162+1</f>
        <v>2052</v>
      </c>
      <c r="C1163" s="661">
        <f t="shared" si="532"/>
        <v>32</v>
      </c>
      <c r="D1163" s="662">
        <f>SUMIFS(Results!$D$49:$AK$49,Results!$D$42:$AK$42,$B1163)</f>
        <v>0</v>
      </c>
      <c r="E1163" s="712">
        <f t="shared" si="501"/>
        <v>0</v>
      </c>
      <c r="F1163" s="712">
        <f t="shared" si="502"/>
        <v>0</v>
      </c>
      <c r="H1163" s="707">
        <f>SUMIFS(Results!$D$95:$AK$95,Results!$D$93:$AK$93,$B1163)</f>
        <v>0.1227730066865325</v>
      </c>
      <c r="I1163" s="707">
        <f>SUMIFS(Results!$D$96:$AK$96,Results!$D$93:$AK$93,$B1163)</f>
        <v>0.39998714516107459</v>
      </c>
    </row>
    <row r="1164" spans="2:9">
      <c r="B1164" s="660">
        <f t="shared" ref="B1164:C1164" si="533">B1163+1</f>
        <v>2053</v>
      </c>
      <c r="C1164" s="661">
        <f t="shared" si="533"/>
        <v>33</v>
      </c>
      <c r="D1164" s="662">
        <f>SUMIFS(Results!$D$49:$AK$49,Results!$D$42:$AK$42,$B1164)</f>
        <v>0</v>
      </c>
      <c r="E1164" s="712">
        <f t="shared" si="501"/>
        <v>0</v>
      </c>
      <c r="F1164" s="712">
        <f t="shared" si="502"/>
        <v>0</v>
      </c>
      <c r="H1164" s="707">
        <f>SUMIFS(Results!$D$95:$AK$95,Results!$D$93:$AK$93,$B1164)</f>
        <v>0.11474112774442291</v>
      </c>
      <c r="I1164" s="707">
        <f>SUMIFS(Results!$D$96:$AK$96,Results!$D$93:$AK$93,$B1164)</f>
        <v>0.38833703413696569</v>
      </c>
    </row>
    <row r="1165" spans="2:9">
      <c r="B1165" s="660">
        <f t="shared" ref="B1165:C1165" si="534">B1164+1</f>
        <v>2054</v>
      </c>
      <c r="C1165" s="661">
        <f t="shared" si="534"/>
        <v>34</v>
      </c>
      <c r="D1165" s="662">
        <f>SUMIFS(Results!$D$49:$AK$49,Results!$D$42:$AK$42,$B1165)</f>
        <v>3620160.1115634376</v>
      </c>
      <c r="E1165" s="712">
        <f>$D1165*H1165</f>
        <v>388206.77926744364</v>
      </c>
      <c r="F1165" s="712">
        <f t="shared" si="502"/>
        <v>1364895.3794422254</v>
      </c>
      <c r="H1165" s="707">
        <f>SUMIFS(Results!$D$95:$AK$95,Results!$D$93:$AK$93,$B1165)</f>
        <v>0.10723469882656347</v>
      </c>
      <c r="I1165" s="707">
        <f>SUMIFS(Results!$D$96:$AK$96,Results!$D$93:$AK$93,$B1165)</f>
        <v>0.37702624673491814</v>
      </c>
    </row>
    <row r="1166" spans="2:9">
      <c r="B1166" s="663" t="s">
        <v>5</v>
      </c>
      <c r="C1166" s="663"/>
      <c r="D1166" s="664">
        <f>SUM(D1132:D1165)</f>
        <v>3620160.1115634376</v>
      </c>
      <c r="E1166" s="664">
        <f t="shared" ref="E1166:F1166" si="535">SUM(E1132:E1165)</f>
        <v>388206.77926744364</v>
      </c>
      <c r="F1166" s="664">
        <f t="shared" si="535"/>
        <v>1364895.3794422254</v>
      </c>
    </row>
    <row r="1168" spans="2:9">
      <c r="D1168" s="711" t="b">
        <f>Results!$C$24*10^6=D1166</f>
        <v>1</v>
      </c>
      <c r="E1168" s="711" t="b">
        <f>Results!$E$24*10^6=E1166</f>
        <v>1</v>
      </c>
      <c r="F1168" s="711" t="b">
        <f>Results!$D$24*10^6=F1166</f>
        <v>1</v>
      </c>
    </row>
    <row r="1171" spans="5:5">
      <c r="E1171" s="1287"/>
    </row>
  </sheetData>
  <mergeCells count="93">
    <mergeCell ref="B443:G443"/>
    <mergeCell ref="G445:G478"/>
    <mergeCell ref="G331:G364"/>
    <mergeCell ref="G369:G402"/>
    <mergeCell ref="B271:K271"/>
    <mergeCell ref="B367:G367"/>
    <mergeCell ref="B405:G405"/>
    <mergeCell ref="G407:G440"/>
    <mergeCell ref="D482:E482"/>
    <mergeCell ref="D568:E568"/>
    <mergeCell ref="B498:B531"/>
    <mergeCell ref="D603:E603"/>
    <mergeCell ref="B568:B569"/>
    <mergeCell ref="C568:C569"/>
    <mergeCell ref="C498:C531"/>
    <mergeCell ref="C603:C604"/>
    <mergeCell ref="B482:B483"/>
    <mergeCell ref="C482:C483"/>
    <mergeCell ref="F498:F531"/>
    <mergeCell ref="B617:B618"/>
    <mergeCell ref="C617:C618"/>
    <mergeCell ref="D617:E617"/>
    <mergeCell ref="F492:F494"/>
    <mergeCell ref="F495:F497"/>
    <mergeCell ref="F532:F565"/>
    <mergeCell ref="B532:B565"/>
    <mergeCell ref="C532:C565"/>
    <mergeCell ref="B582:B583"/>
    <mergeCell ref="C582:C583"/>
    <mergeCell ref="D582:E582"/>
    <mergeCell ref="B603:B604"/>
    <mergeCell ref="B198:E198"/>
    <mergeCell ref="B205:E205"/>
    <mergeCell ref="B212:E212"/>
    <mergeCell ref="B219:E219"/>
    <mergeCell ref="E175:E177"/>
    <mergeCell ref="E178:E180"/>
    <mergeCell ref="E181:E183"/>
    <mergeCell ref="E195:E197"/>
    <mergeCell ref="B191:E191"/>
    <mergeCell ref="E216:E218"/>
    <mergeCell ref="E202:E204"/>
    <mergeCell ref="E209:E211"/>
    <mergeCell ref="D19:D48"/>
    <mergeCell ref="D15:D18"/>
    <mergeCell ref="E188:E190"/>
    <mergeCell ref="B174:E174"/>
    <mergeCell ref="B169:E169"/>
    <mergeCell ref="B184:E184"/>
    <mergeCell ref="E223:E225"/>
    <mergeCell ref="E262:E263"/>
    <mergeCell ref="B247:E247"/>
    <mergeCell ref="B254:E254"/>
    <mergeCell ref="E244:E246"/>
    <mergeCell ref="E251:E253"/>
    <mergeCell ref="E258:E260"/>
    <mergeCell ref="B226:E226"/>
    <mergeCell ref="B233:E233"/>
    <mergeCell ref="B240:E240"/>
    <mergeCell ref="E230:E232"/>
    <mergeCell ref="E237:E239"/>
    <mergeCell ref="B4:B11"/>
    <mergeCell ref="C4:C11"/>
    <mergeCell ref="B261:E261"/>
    <mergeCell ref="B284:B291"/>
    <mergeCell ref="B292:B299"/>
    <mergeCell ref="E185:E186"/>
    <mergeCell ref="E192:E193"/>
    <mergeCell ref="E199:E200"/>
    <mergeCell ref="E206:E207"/>
    <mergeCell ref="E213:E214"/>
    <mergeCell ref="E220:E221"/>
    <mergeCell ref="E227:E228"/>
    <mergeCell ref="E234:E235"/>
    <mergeCell ref="E241:E242"/>
    <mergeCell ref="E248:E249"/>
    <mergeCell ref="E255:E256"/>
    <mergeCell ref="B645:B650"/>
    <mergeCell ref="E265:E267"/>
    <mergeCell ref="E589:E600"/>
    <mergeCell ref="B309:B310"/>
    <mergeCell ref="C309:C310"/>
    <mergeCell ref="D309:E309"/>
    <mergeCell ref="E316:E317"/>
    <mergeCell ref="E319:E321"/>
    <mergeCell ref="B324:B325"/>
    <mergeCell ref="C324:C325"/>
    <mergeCell ref="D324:E324"/>
    <mergeCell ref="C647:C648"/>
    <mergeCell ref="E613:E614"/>
    <mergeCell ref="C639:D639"/>
    <mergeCell ref="C640:D640"/>
    <mergeCell ref="B276:K27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4" tint="0.39997558519241921"/>
  </sheetPr>
  <dimension ref="A1:AL72"/>
  <sheetViews>
    <sheetView showGridLines="0" zoomScaleNormal="10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Inputs'!E24</f>
        <v>254408A</v>
      </c>
      <c r="E4" s="410"/>
    </row>
    <row r="5" spans="1:38">
      <c r="B5" s="358" t="s">
        <v>628</v>
      </c>
      <c r="C5" s="399" t="s">
        <v>629</v>
      </c>
      <c r="D5" s="439" t="str">
        <f>'Crossing Inputs'!E26</f>
        <v>Urban</v>
      </c>
      <c r="E5" s="398">
        <f>SUMIFS('Accidents Methodology'!$C$22:$C$23,'Accidents Methodology'!$B$22:$B$23,$D5)</f>
        <v>1</v>
      </c>
    </row>
    <row r="6" spans="1:38">
      <c r="B6" s="358" t="s">
        <v>615</v>
      </c>
      <c r="C6" s="399" t="s">
        <v>150</v>
      </c>
      <c r="D6" s="439" t="str">
        <f>'Crossing Inputs'!E27</f>
        <v>Passive</v>
      </c>
      <c r="E6" s="398">
        <f>SUMIFS('Accidents Methodology'!$C$3:$C$5,'Accidents Methodology'!$B$3:$B$5,$D6)</f>
        <v>2.2680000000000001E-3</v>
      </c>
    </row>
    <row r="7" spans="1:38">
      <c r="B7" s="358" t="s">
        <v>630</v>
      </c>
      <c r="C7" s="399" t="s">
        <v>631</v>
      </c>
      <c r="D7" s="439" t="str">
        <f>'Crossing Inputs'!E29</f>
        <v>Yes</v>
      </c>
      <c r="E7" s="398">
        <f>SUMIFS('Accidents Methodology'!$C$26:$C$27,'Accidents Methodology'!$B$26:$B$27,$D7)</f>
        <v>1</v>
      </c>
    </row>
    <row r="8" spans="1:38">
      <c r="B8" s="358" t="s">
        <v>632</v>
      </c>
      <c r="C8" s="399" t="s">
        <v>633</v>
      </c>
      <c r="D8" s="439" t="str">
        <f>'Crossing Inputs'!$E$26&amp;" - "&amp;'Crossing Inputs'!$E$28</f>
        <v>Urban - Local</v>
      </c>
      <c r="E8" s="398">
        <f>SUMIFS('Accidents Methodology'!$C$8:$C$19,'Accidents Methodology'!$B$8:$B$19,$D8)</f>
        <v>6</v>
      </c>
    </row>
    <row r="9" spans="1:38">
      <c r="B9" s="358" t="s">
        <v>607</v>
      </c>
      <c r="C9" s="399" t="s">
        <v>635</v>
      </c>
      <c r="D9" s="439">
        <f>'Crossing Inputs'!E30</f>
        <v>0</v>
      </c>
    </row>
    <row r="10" spans="1:38">
      <c r="B10" s="358" t="s">
        <v>636</v>
      </c>
      <c r="C10" s="399" t="s">
        <v>637</v>
      </c>
      <c r="D10" s="439">
        <f>'Crossing Inputs'!E35</f>
        <v>2</v>
      </c>
    </row>
    <row r="11" spans="1:38">
      <c r="B11" s="358" t="s">
        <v>610</v>
      </c>
      <c r="C11" s="399" t="s">
        <v>638</v>
      </c>
      <c r="D11" s="439">
        <f>'Crossing Inputs'!E31</f>
        <v>1</v>
      </c>
    </row>
    <row r="12" spans="1:38">
      <c r="C12" s="399"/>
    </row>
    <row r="13" spans="1:38" ht="13">
      <c r="C13" s="399"/>
      <c r="D13" s="440">
        <f>D$1</f>
        <v>2021</v>
      </c>
      <c r="E13" s="440">
        <f t="shared" ref="E13:AL13" si="0">E$1</f>
        <v>2022</v>
      </c>
      <c r="F13" s="440">
        <f t="shared" si="0"/>
        <v>2023</v>
      </c>
      <c r="G13" s="440">
        <f t="shared" si="0"/>
        <v>2024</v>
      </c>
      <c r="H13" s="440">
        <f t="shared" si="0"/>
        <v>2025</v>
      </c>
      <c r="I13" s="440">
        <f t="shared" si="0"/>
        <v>2026</v>
      </c>
      <c r="J13" s="440">
        <f t="shared" si="0"/>
        <v>2027</v>
      </c>
      <c r="K13" s="440">
        <f t="shared" si="0"/>
        <v>2028</v>
      </c>
      <c r="L13" s="440">
        <f t="shared" si="0"/>
        <v>2029</v>
      </c>
      <c r="M13" s="440">
        <f t="shared" si="0"/>
        <v>2030</v>
      </c>
      <c r="N13" s="440">
        <f t="shared" si="0"/>
        <v>2031</v>
      </c>
      <c r="O13" s="440">
        <f t="shared" si="0"/>
        <v>2032</v>
      </c>
      <c r="P13" s="440">
        <f t="shared" si="0"/>
        <v>2033</v>
      </c>
      <c r="Q13" s="440">
        <f t="shared" si="0"/>
        <v>2034</v>
      </c>
      <c r="R13" s="440">
        <f t="shared" si="0"/>
        <v>2035</v>
      </c>
      <c r="S13" s="440">
        <f t="shared" si="0"/>
        <v>2036</v>
      </c>
      <c r="T13" s="440">
        <f t="shared" si="0"/>
        <v>2037</v>
      </c>
      <c r="U13" s="440">
        <f t="shared" si="0"/>
        <v>2038</v>
      </c>
      <c r="V13" s="440">
        <f t="shared" si="0"/>
        <v>2039</v>
      </c>
      <c r="W13" s="440">
        <f t="shared" si="0"/>
        <v>2040</v>
      </c>
      <c r="X13" s="440">
        <f t="shared" si="0"/>
        <v>2041</v>
      </c>
      <c r="Y13" s="440">
        <f t="shared" si="0"/>
        <v>2042</v>
      </c>
      <c r="Z13" s="440">
        <f t="shared" si="0"/>
        <v>2043</v>
      </c>
      <c r="AA13" s="440">
        <f t="shared" si="0"/>
        <v>2044</v>
      </c>
      <c r="AB13" s="440">
        <f t="shared" si="0"/>
        <v>2045</v>
      </c>
      <c r="AC13" s="440">
        <f t="shared" si="0"/>
        <v>2046</v>
      </c>
      <c r="AD13" s="440">
        <f t="shared" si="0"/>
        <v>2047</v>
      </c>
      <c r="AE13" s="440">
        <f t="shared" si="0"/>
        <v>2048</v>
      </c>
      <c r="AF13" s="440">
        <f t="shared" si="0"/>
        <v>2049</v>
      </c>
      <c r="AG13" s="440">
        <f t="shared" si="0"/>
        <v>2050</v>
      </c>
      <c r="AH13" s="440">
        <f t="shared" si="0"/>
        <v>2051</v>
      </c>
      <c r="AI13" s="440">
        <f t="shared" si="0"/>
        <v>2052</v>
      </c>
      <c r="AJ13" s="440">
        <f t="shared" si="0"/>
        <v>2053</v>
      </c>
      <c r="AK13" s="440">
        <f t="shared" si="0"/>
        <v>2054</v>
      </c>
      <c r="AL13" s="440">
        <f t="shared" si="0"/>
        <v>2055</v>
      </c>
    </row>
    <row r="14" spans="1:38" ht="13">
      <c r="B14" s="400" t="s">
        <v>639</v>
      </c>
      <c r="C14" s="401" t="s">
        <v>640</v>
      </c>
      <c r="D14" s="441">
        <f>'1600 South'!D6</f>
        <v>5369.4157090707613</v>
      </c>
      <c r="E14" s="441">
        <f>'1600 South'!E6</f>
        <v>5527.7817231396275</v>
      </c>
      <c r="F14" s="441">
        <f>'1600 South'!F6</f>
        <v>5690.8185982054729</v>
      </c>
      <c r="G14" s="441">
        <f>'1600 South'!G6</f>
        <v>5858.6640970489125</v>
      </c>
      <c r="H14" s="441">
        <f>'1600 South'!H6</f>
        <v>6031.4600456379985</v>
      </c>
      <c r="I14" s="441">
        <f>'1600 South'!I6</f>
        <v>6209.3524529682218</v>
      </c>
      <c r="J14" s="441">
        <f>'1600 South'!J6</f>
        <v>6392.491634437094</v>
      </c>
      <c r="K14" s="441">
        <f>'1600 South'!K6</f>
        <v>6581.0323388575353</v>
      </c>
      <c r="L14" s="441">
        <f>'1600 South'!L6</f>
        <v>6775.1338792174183</v>
      </c>
      <c r="M14" s="441">
        <f>'1600 South'!M6</f>
        <v>6974.960267295738</v>
      </c>
      <c r="N14" s="441">
        <f>'1600 South'!N6</f>
        <v>7180.6803522491737</v>
      </c>
      <c r="O14" s="441">
        <f>'1600 South'!O6</f>
        <v>7392.467963286118</v>
      </c>
      <c r="P14" s="441">
        <f>'1600 South'!P6</f>
        <v>7610.5020565487584</v>
      </c>
      <c r="Q14" s="441">
        <f>'1600 South'!Q6</f>
        <v>7834.9668663273123</v>
      </c>
      <c r="R14" s="441">
        <f>'1600 South'!R6</f>
        <v>8066.0520607341778</v>
      </c>
      <c r="S14" s="441">
        <f>'1600 South'!S6</f>
        <v>8303.9529019695674</v>
      </c>
      <c r="T14" s="441">
        <f>'1600 South'!T6</f>
        <v>8548.8704113140102</v>
      </c>
      <c r="U14" s="441">
        <f>'1600 South'!U6</f>
        <v>8801.011538987168</v>
      </c>
      <c r="V14" s="441">
        <f>'1600 South'!V6</f>
        <v>9060.5893390164965</v>
      </c>
      <c r="W14" s="441">
        <f>'1600 South'!W6</f>
        <v>9327.8231492634677</v>
      </c>
      <c r="X14" s="441">
        <f>'1600 South'!X6</f>
        <v>9602.9387767595217</v>
      </c>
      <c r="Y14" s="441">
        <f>'1600 South'!Y6</f>
        <v>9886.1686885083291</v>
      </c>
      <c r="Z14" s="441">
        <f>'1600 South'!Z6</f>
        <v>10177.752207915593</v>
      </c>
      <c r="AA14" s="441">
        <f>'1600 South'!AA6</f>
        <v>10477.935717012369</v>
      </c>
      <c r="AB14" s="441">
        <f>'1600 South'!AB6</f>
        <v>10786.972864642765</v>
      </c>
      <c r="AC14" s="441">
        <f>'1600 South'!AC6</f>
        <v>11105.124780791968</v>
      </c>
      <c r="AD14" s="441">
        <f>'1600 South'!AD6</f>
        <v>11432.660297235674</v>
      </c>
      <c r="AE14" s="441">
        <f>'1600 South'!AE6</f>
        <v>11769.856174697348</v>
      </c>
      <c r="AF14" s="441">
        <f>'1600 South'!AF6</f>
        <v>12116.997336705317</v>
      </c>
      <c r="AG14" s="441">
        <f>'1600 South'!AG6</f>
        <v>12474.377110347241</v>
      </c>
      <c r="AH14" s="441">
        <f>'1600 South'!AH6</f>
        <v>12842.297474125426</v>
      </c>
      <c r="AI14" s="441">
        <f>'1600 South'!AI6</f>
        <v>13221.069313122392</v>
      </c>
      <c r="AJ14" s="441">
        <f>'1600 South'!AJ6</f>
        <v>13611.012681692333</v>
      </c>
      <c r="AK14" s="441">
        <f>'1600 South'!AK6</f>
        <v>14012.45707390041</v>
      </c>
      <c r="AL14" s="441">
        <f>'1600 South'!AL6</f>
        <v>14425.741701938412</v>
      </c>
    </row>
    <row r="15" spans="1:38" ht="13">
      <c r="B15" s="400" t="s">
        <v>641</v>
      </c>
      <c r="C15" s="401" t="s">
        <v>642</v>
      </c>
      <c r="D15" s="442">
        <f>'1600 South'!D10</f>
        <v>2.021212882214602</v>
      </c>
      <c r="E15" s="442">
        <f>'1600 South'!E10</f>
        <v>2.0426507576151294</v>
      </c>
      <c r="F15" s="442">
        <f>'1600 South'!F10</f>
        <v>2.064316012578558</v>
      </c>
      <c r="G15" s="442">
        <f>'1600 South'!G10</f>
        <v>2.0862110587928311</v>
      </c>
      <c r="H15" s="442">
        <f>'1600 South'!H10</f>
        <v>2.1083383335253174</v>
      </c>
      <c r="I15" s="442">
        <f>'1600 South'!I10</f>
        <v>2.1307002998941189</v>
      </c>
      <c r="J15" s="442">
        <f>'1600 South'!J10</f>
        <v>2.1532994471422544</v>
      </c>
      <c r="K15" s="442">
        <f>'1600 South'!K10</f>
        <v>2.1761382909147526</v>
      </c>
      <c r="L15" s="442">
        <f>'1600 South'!L10</f>
        <v>2.1992193735386825</v>
      </c>
      <c r="M15" s="442">
        <f>'1600 South'!M10</f>
        <v>2.2225452643061563</v>
      </c>
      <c r="N15" s="442">
        <f>'1600 South'!N10</f>
        <v>2.2461185597603301</v>
      </c>
      <c r="O15" s="442">
        <f>'1600 South'!O10</f>
        <v>2.2699418839844441</v>
      </c>
      <c r="P15" s="442">
        <f>'1600 South'!P10</f>
        <v>2.2940178888939209</v>
      </c>
      <c r="Q15" s="442">
        <f>'1600 South'!Q10</f>
        <v>2.3183492545315696</v>
      </c>
      <c r="R15" s="442">
        <f>'1600 South'!R10</f>
        <v>2.3429386893659134</v>
      </c>
      <c r="S15" s="442">
        <f>'1600 South'!S10</f>
        <v>2.3677889305926905</v>
      </c>
      <c r="T15" s="442">
        <f>'1600 South'!T10</f>
        <v>2.392902744439541</v>
      </c>
      <c r="U15" s="442">
        <f>'1600 South'!U10</f>
        <v>2.4182829264739381</v>
      </c>
      <c r="V15" s="442">
        <f>'1600 South'!V10</f>
        <v>2.4439323019143755</v>
      </c>
      <c r="W15" s="442">
        <f>'1600 South'!W10</f>
        <v>2.4698537259448612</v>
      </c>
      <c r="X15" s="442">
        <f>'1600 South'!X10</f>
        <v>2.4960500840327433</v>
      </c>
      <c r="Y15" s="442">
        <f>'1600 South'!Y10</f>
        <v>2.5225242922499103</v>
      </c>
      <c r="Z15" s="442">
        <f>'1600 South'!Z10</f>
        <v>2.549279297597395</v>
      </c>
      <c r="AA15" s="442">
        <f>'1600 South'!AA10</f>
        <v>2.5763180783334239</v>
      </c>
      <c r="AB15" s="442">
        <f>'1600 South'!AB10</f>
        <v>2.6036436443049418</v>
      </c>
      <c r="AC15" s="442">
        <f>'1600 South'!AC10</f>
        <v>2.631259037282661</v>
      </c>
      <c r="AD15" s="442">
        <f>'1600 South'!AD10</f>
        <v>2.6591673312996531</v>
      </c>
      <c r="AE15" s="442">
        <f>'1600 South'!AE10</f>
        <v>2.6873716329935418</v>
      </c>
      <c r="AF15" s="442">
        <f>'1600 South'!AF10</f>
        <v>2.7158750819523192</v>
      </c>
      <c r="AG15" s="442">
        <f>'1600 South'!AG10</f>
        <v>2.744680851063833</v>
      </c>
      <c r="AH15" s="442">
        <f>'1600 South'!AH10</f>
        <v>2.7737921468689781</v>
      </c>
      <c r="AI15" s="442">
        <f>'1600 South'!AI10</f>
        <v>2.8032122099186383</v>
      </c>
      <c r="AJ15" s="442">
        <f>'1600 South'!AJ10</f>
        <v>2.8329443151344074</v>
      </c>
      <c r="AK15" s="442">
        <f>'1600 South'!AK10</f>
        <v>2.8629917721731437</v>
      </c>
      <c r="AL15" s="442">
        <f>'1600 South'!AL10</f>
        <v>2.8933579257953856</v>
      </c>
    </row>
    <row r="16" spans="1:38" ht="13">
      <c r="B16" s="400" t="s">
        <v>643</v>
      </c>
      <c r="C16" s="401" t="s">
        <v>644</v>
      </c>
      <c r="D16" s="442">
        <f>'1600 South'!D10</f>
        <v>2.021212882214602</v>
      </c>
      <c r="E16" s="442">
        <f>'1600 South'!E10</f>
        <v>2.0426507576151294</v>
      </c>
      <c r="F16" s="442">
        <f>'1600 South'!F10</f>
        <v>2.064316012578558</v>
      </c>
      <c r="G16" s="442">
        <f>'1600 South'!G10</f>
        <v>2.0862110587928311</v>
      </c>
      <c r="H16" s="442">
        <f>'1600 South'!H10</f>
        <v>2.1083383335253174</v>
      </c>
      <c r="I16" s="442">
        <f>'1600 South'!I10</f>
        <v>2.1307002998941189</v>
      </c>
      <c r="J16" s="442">
        <f>'1600 South'!J10</f>
        <v>2.1532994471422544</v>
      </c>
      <c r="K16" s="442">
        <f>'1600 South'!K10</f>
        <v>2.1761382909147526</v>
      </c>
      <c r="L16" s="442">
        <f>'1600 South'!L10</f>
        <v>2.1992193735386825</v>
      </c>
      <c r="M16" s="442">
        <f>'1600 South'!M10</f>
        <v>2.2225452643061563</v>
      </c>
      <c r="N16" s="442">
        <f>'1600 South'!N10</f>
        <v>2.2461185597603301</v>
      </c>
      <c r="O16" s="442">
        <f>'1600 South'!O10</f>
        <v>2.2699418839844441</v>
      </c>
      <c r="P16" s="442">
        <f>'1600 South'!P10</f>
        <v>2.2940178888939209</v>
      </c>
      <c r="Q16" s="442">
        <f>'1600 South'!Q10</f>
        <v>2.3183492545315696</v>
      </c>
      <c r="R16" s="442">
        <f>'1600 South'!R10</f>
        <v>2.3429386893659134</v>
      </c>
      <c r="S16" s="442">
        <f>'1600 South'!S10</f>
        <v>2.3677889305926905</v>
      </c>
      <c r="T16" s="442">
        <f>'1600 South'!T10</f>
        <v>2.392902744439541</v>
      </c>
      <c r="U16" s="442">
        <f>'1600 South'!U10</f>
        <v>2.4182829264739381</v>
      </c>
      <c r="V16" s="442">
        <f>'1600 South'!V10</f>
        <v>2.4439323019143755</v>
      </c>
      <c r="W16" s="442">
        <f>'1600 South'!W10</f>
        <v>2.4698537259448612</v>
      </c>
      <c r="X16" s="442">
        <f>'1600 South'!X10</f>
        <v>2.4960500840327433</v>
      </c>
      <c r="Y16" s="442">
        <f>'1600 South'!Y10</f>
        <v>2.5225242922499103</v>
      </c>
      <c r="Z16" s="442">
        <f>'1600 South'!Z10</f>
        <v>2.549279297597395</v>
      </c>
      <c r="AA16" s="442">
        <f>'1600 South'!AA10</f>
        <v>2.5763180783334239</v>
      </c>
      <c r="AB16" s="442">
        <f>'1600 South'!AB10</f>
        <v>2.6036436443049418</v>
      </c>
      <c r="AC16" s="442">
        <f>'1600 South'!AC10</f>
        <v>2.631259037282661</v>
      </c>
      <c r="AD16" s="442">
        <f>'1600 South'!AD10</f>
        <v>2.6591673312996531</v>
      </c>
      <c r="AE16" s="442">
        <f>'1600 South'!AE10</f>
        <v>2.6873716329935418</v>
      </c>
      <c r="AF16" s="442">
        <f>'1600 South'!AF10</f>
        <v>2.7158750819523192</v>
      </c>
      <c r="AG16" s="442">
        <f>'1600 South'!AG10</f>
        <v>2.744680851063833</v>
      </c>
      <c r="AH16" s="442">
        <f>'1600 South'!AH10</f>
        <v>2.7737921468689781</v>
      </c>
      <c r="AI16" s="442">
        <f>'1600 South'!AI10</f>
        <v>2.8032122099186383</v>
      </c>
      <c r="AJ16" s="442">
        <f>'1600 South'!AJ10</f>
        <v>2.8329443151344074</v>
      </c>
      <c r="AK16" s="442">
        <f>'1600 South'!AK10</f>
        <v>2.8629917721731437</v>
      </c>
      <c r="AL16" s="442">
        <f>'1600 South'!AL10</f>
        <v>2.8933579257953856</v>
      </c>
    </row>
    <row r="17" spans="2:38" ht="13">
      <c r="B17" s="400" t="s">
        <v>645</v>
      </c>
      <c r="C17" s="401" t="s">
        <v>646</v>
      </c>
      <c r="D17" s="442">
        <f>'1600 South'!D11</f>
        <v>1</v>
      </c>
      <c r="E17" s="442">
        <f>'1600 South'!E11</f>
        <v>1</v>
      </c>
      <c r="F17" s="442">
        <f>'1600 South'!F11</f>
        <v>1</v>
      </c>
      <c r="G17" s="442">
        <f>'1600 South'!G11</f>
        <v>1</v>
      </c>
      <c r="H17" s="442">
        <f>'1600 South'!H11</f>
        <v>1</v>
      </c>
      <c r="I17" s="442">
        <f>'1600 South'!I11</f>
        <v>1</v>
      </c>
      <c r="J17" s="442">
        <f>'1600 South'!J11</f>
        <v>1</v>
      </c>
      <c r="K17" s="442">
        <f>'1600 South'!K11</f>
        <v>1</v>
      </c>
      <c r="L17" s="442">
        <f>'1600 South'!L11</f>
        <v>1</v>
      </c>
      <c r="M17" s="442">
        <f>'1600 South'!M11</f>
        <v>1</v>
      </c>
      <c r="N17" s="442">
        <f>'1600 South'!N11</f>
        <v>1</v>
      </c>
      <c r="O17" s="442">
        <f>'1600 South'!O11</f>
        <v>1</v>
      </c>
      <c r="P17" s="442">
        <f>'1600 South'!P11</f>
        <v>1</v>
      </c>
      <c r="Q17" s="442">
        <f>'1600 South'!Q11</f>
        <v>1</v>
      </c>
      <c r="R17" s="442">
        <f>'1600 South'!R11</f>
        <v>1</v>
      </c>
      <c r="S17" s="442">
        <f>'1600 South'!S11</f>
        <v>1</v>
      </c>
      <c r="T17" s="442">
        <f>'1600 South'!T11</f>
        <v>1</v>
      </c>
      <c r="U17" s="442">
        <f>'1600 South'!U11</f>
        <v>1</v>
      </c>
      <c r="V17" s="442">
        <f>'1600 South'!V11</f>
        <v>1</v>
      </c>
      <c r="W17" s="442">
        <f>'1600 South'!W11</f>
        <v>1</v>
      </c>
      <c r="X17" s="442">
        <f>'1600 South'!X11</f>
        <v>1</v>
      </c>
      <c r="Y17" s="442">
        <f>'1600 South'!Y11</f>
        <v>1</v>
      </c>
      <c r="Z17" s="442">
        <f>'1600 South'!Z11</f>
        <v>1</v>
      </c>
      <c r="AA17" s="442">
        <f>'1600 South'!AA11</f>
        <v>1</v>
      </c>
      <c r="AB17" s="442">
        <f>'1600 South'!AB11</f>
        <v>1</v>
      </c>
      <c r="AC17" s="442">
        <f>'1600 South'!AC11</f>
        <v>1</v>
      </c>
      <c r="AD17" s="442">
        <f>'1600 South'!AD11</f>
        <v>1</v>
      </c>
      <c r="AE17" s="442">
        <f>'1600 South'!AE11</f>
        <v>1</v>
      </c>
      <c r="AF17" s="442">
        <f>'1600 South'!AF11</f>
        <v>1</v>
      </c>
      <c r="AG17" s="442">
        <f>'1600 South'!AG11</f>
        <v>1</v>
      </c>
      <c r="AH17" s="442">
        <f>'1600 South'!AH11</f>
        <v>1</v>
      </c>
      <c r="AI17" s="442">
        <f>'1600 South'!AI11</f>
        <v>1</v>
      </c>
      <c r="AJ17" s="442">
        <f>'1600 South'!AJ11</f>
        <v>1</v>
      </c>
      <c r="AK17" s="442">
        <f>'1600 South'!AK11</f>
        <v>1</v>
      </c>
      <c r="AL17" s="442">
        <f>'1600 South'!AL11</f>
        <v>1</v>
      </c>
    </row>
    <row r="18" spans="2:38" ht="13">
      <c r="B18" s="400" t="s">
        <v>1048</v>
      </c>
      <c r="C18" s="401" t="s">
        <v>647</v>
      </c>
      <c r="D18" s="442">
        <v>0</v>
      </c>
      <c r="E18" s="442">
        <v>0</v>
      </c>
      <c r="F18" s="442">
        <v>0</v>
      </c>
      <c r="G18" s="442">
        <v>0</v>
      </c>
      <c r="H18" s="442">
        <v>0</v>
      </c>
      <c r="I18" s="442">
        <v>0</v>
      </c>
      <c r="J18" s="442">
        <v>0</v>
      </c>
      <c r="K18" s="442">
        <v>0</v>
      </c>
      <c r="L18" s="442">
        <v>0</v>
      </c>
      <c r="M18" s="442">
        <v>0</v>
      </c>
      <c r="N18" s="442">
        <v>0</v>
      </c>
      <c r="O18" s="442">
        <v>0</v>
      </c>
      <c r="P18" s="442">
        <v>0</v>
      </c>
      <c r="Q18" s="442">
        <v>0</v>
      </c>
      <c r="R18" s="442">
        <v>0</v>
      </c>
      <c r="S18" s="442">
        <v>0</v>
      </c>
      <c r="T18" s="442">
        <v>0</v>
      </c>
      <c r="U18" s="442">
        <v>0</v>
      </c>
      <c r="V18" s="442">
        <v>0</v>
      </c>
      <c r="W18" s="442">
        <v>0</v>
      </c>
      <c r="X18" s="442">
        <v>0</v>
      </c>
      <c r="Y18" s="442">
        <v>0</v>
      </c>
      <c r="Z18" s="442">
        <v>0</v>
      </c>
      <c r="AA18" s="442">
        <v>0</v>
      </c>
      <c r="AB18" s="442">
        <v>0</v>
      </c>
      <c r="AC18" s="442">
        <v>0</v>
      </c>
      <c r="AD18" s="442">
        <v>0</v>
      </c>
      <c r="AE18" s="442">
        <v>0</v>
      </c>
      <c r="AF18" s="442">
        <v>0</v>
      </c>
      <c r="AG18" s="442">
        <v>0</v>
      </c>
      <c r="AH18" s="442">
        <v>0</v>
      </c>
      <c r="AI18" s="442">
        <v>0</v>
      </c>
      <c r="AJ18" s="442">
        <v>0</v>
      </c>
      <c r="AK18" s="442">
        <v>0</v>
      </c>
      <c r="AL18" s="442">
        <v>0</v>
      </c>
    </row>
    <row r="19" spans="2:38" ht="13">
      <c r="B19" s="400" t="s">
        <v>648</v>
      </c>
      <c r="C19" s="401" t="s">
        <v>649</v>
      </c>
      <c r="D19" s="441">
        <f>'Crossing Inputs'!$E34</f>
        <v>7.5</v>
      </c>
      <c r="E19" s="441">
        <f>'Crossing Inputs'!$E34</f>
        <v>7.5</v>
      </c>
      <c r="F19" s="441">
        <f>'Crossing Inputs'!$E34</f>
        <v>7.5</v>
      </c>
      <c r="G19" s="441">
        <f>'Crossing Inputs'!$E34</f>
        <v>7.5</v>
      </c>
      <c r="H19" s="441">
        <f>'Crossing Inputs'!$E34</f>
        <v>7.5</v>
      </c>
      <c r="I19" s="441">
        <f>'Crossing Inputs'!$E34</f>
        <v>7.5</v>
      </c>
      <c r="J19" s="441">
        <f>'Crossing Inputs'!$E34</f>
        <v>7.5</v>
      </c>
      <c r="K19" s="441">
        <f>'Crossing Inputs'!$E34</f>
        <v>7.5</v>
      </c>
      <c r="L19" s="441">
        <f>'Crossing Inputs'!$E34</f>
        <v>7.5</v>
      </c>
      <c r="M19" s="441">
        <f>'Crossing Inputs'!$E34</f>
        <v>7.5</v>
      </c>
      <c r="N19" s="441">
        <f>'Crossing Inputs'!$E34</f>
        <v>7.5</v>
      </c>
      <c r="O19" s="441">
        <f>'Crossing Inputs'!$E34</f>
        <v>7.5</v>
      </c>
      <c r="P19" s="441">
        <f>'Crossing Inputs'!$E34</f>
        <v>7.5</v>
      </c>
      <c r="Q19" s="441">
        <f>'Crossing Inputs'!$E34</f>
        <v>7.5</v>
      </c>
      <c r="R19" s="441">
        <f>'Crossing Inputs'!$E34</f>
        <v>7.5</v>
      </c>
      <c r="S19" s="441">
        <f>'Crossing Inputs'!$E34</f>
        <v>7.5</v>
      </c>
      <c r="T19" s="441">
        <f>'Crossing Inputs'!$E34</f>
        <v>7.5</v>
      </c>
      <c r="U19" s="441">
        <f>'Crossing Inputs'!$E34</f>
        <v>7.5</v>
      </c>
      <c r="V19" s="441">
        <f>'Crossing Inputs'!$E34</f>
        <v>7.5</v>
      </c>
      <c r="W19" s="441">
        <f>'Crossing Inputs'!$E34</f>
        <v>7.5</v>
      </c>
      <c r="X19" s="441">
        <f>'Crossing Inputs'!$E34</f>
        <v>7.5</v>
      </c>
      <c r="Y19" s="441">
        <f>'Crossing Inputs'!$E34</f>
        <v>7.5</v>
      </c>
      <c r="Z19" s="441">
        <f>'Crossing Inputs'!$E34</f>
        <v>7.5</v>
      </c>
      <c r="AA19" s="441">
        <f>'Crossing Inputs'!$E34</f>
        <v>7.5</v>
      </c>
      <c r="AB19" s="441">
        <f>'Crossing Inputs'!$E34</f>
        <v>7.5</v>
      </c>
      <c r="AC19" s="441">
        <f>'Crossing Inputs'!$E34</f>
        <v>7.5</v>
      </c>
      <c r="AD19" s="441">
        <f>'Crossing Inputs'!$E34</f>
        <v>7.5</v>
      </c>
      <c r="AE19" s="441">
        <f>'Crossing Inputs'!$E34</f>
        <v>7.5</v>
      </c>
      <c r="AF19" s="441">
        <f>'Crossing Inputs'!$E34</f>
        <v>7.5</v>
      </c>
      <c r="AG19" s="441">
        <f>'Crossing Inputs'!$E34</f>
        <v>7.5</v>
      </c>
      <c r="AH19" s="441">
        <f>'Crossing Inputs'!$E34</f>
        <v>7.5</v>
      </c>
      <c r="AI19" s="441">
        <f>'Crossing Inputs'!$E34</f>
        <v>7.5</v>
      </c>
      <c r="AJ19" s="441">
        <f>'Crossing Inputs'!$E34</f>
        <v>7.5</v>
      </c>
      <c r="AK19" s="441">
        <f>'Crossing Inputs'!$E34</f>
        <v>7.5</v>
      </c>
      <c r="AL19" s="441">
        <f>'Crossing Inputs'!$E34</f>
        <v>7.5</v>
      </c>
    </row>
    <row r="20" spans="2:38" ht="13">
      <c r="B20" s="400"/>
      <c r="C20" s="403"/>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2:38" ht="13">
      <c r="B21" s="400"/>
      <c r="C21" s="404"/>
      <c r="D21" s="440">
        <f>D$1</f>
        <v>2021</v>
      </c>
      <c r="E21" s="440">
        <f t="shared" ref="E21:AL21" si="1">E$1</f>
        <v>2022</v>
      </c>
      <c r="F21" s="440">
        <f t="shared" si="1"/>
        <v>2023</v>
      </c>
      <c r="G21" s="440">
        <f t="shared" si="1"/>
        <v>2024</v>
      </c>
      <c r="H21" s="440">
        <f t="shared" si="1"/>
        <v>2025</v>
      </c>
      <c r="I21" s="440">
        <f t="shared" si="1"/>
        <v>2026</v>
      </c>
      <c r="J21" s="440">
        <f t="shared" si="1"/>
        <v>2027</v>
      </c>
      <c r="K21" s="440">
        <f t="shared" si="1"/>
        <v>2028</v>
      </c>
      <c r="L21" s="440">
        <f t="shared" si="1"/>
        <v>2029</v>
      </c>
      <c r="M21" s="440">
        <f t="shared" si="1"/>
        <v>2030</v>
      </c>
      <c r="N21" s="440">
        <f t="shared" si="1"/>
        <v>2031</v>
      </c>
      <c r="O21" s="440">
        <f t="shared" si="1"/>
        <v>2032</v>
      </c>
      <c r="P21" s="440">
        <f t="shared" si="1"/>
        <v>2033</v>
      </c>
      <c r="Q21" s="440">
        <f t="shared" si="1"/>
        <v>2034</v>
      </c>
      <c r="R21" s="440">
        <f t="shared" si="1"/>
        <v>2035</v>
      </c>
      <c r="S21" s="440">
        <f t="shared" si="1"/>
        <v>2036</v>
      </c>
      <c r="T21" s="440">
        <f t="shared" si="1"/>
        <v>2037</v>
      </c>
      <c r="U21" s="440">
        <f t="shared" si="1"/>
        <v>2038</v>
      </c>
      <c r="V21" s="440">
        <f t="shared" si="1"/>
        <v>2039</v>
      </c>
      <c r="W21" s="440">
        <f t="shared" si="1"/>
        <v>2040</v>
      </c>
      <c r="X21" s="440">
        <f t="shared" si="1"/>
        <v>2041</v>
      </c>
      <c r="Y21" s="440">
        <f t="shared" si="1"/>
        <v>2042</v>
      </c>
      <c r="Z21" s="440">
        <f t="shared" si="1"/>
        <v>2043</v>
      </c>
      <c r="AA21" s="440">
        <f t="shared" si="1"/>
        <v>2044</v>
      </c>
      <c r="AB21" s="440">
        <f t="shared" si="1"/>
        <v>2045</v>
      </c>
      <c r="AC21" s="440">
        <f t="shared" si="1"/>
        <v>2046</v>
      </c>
      <c r="AD21" s="440">
        <f t="shared" si="1"/>
        <v>2047</v>
      </c>
      <c r="AE21" s="440">
        <f t="shared" si="1"/>
        <v>2048</v>
      </c>
      <c r="AF21" s="440">
        <f t="shared" si="1"/>
        <v>2049</v>
      </c>
      <c r="AG21" s="440">
        <f t="shared" si="1"/>
        <v>2050</v>
      </c>
      <c r="AH21" s="440">
        <f t="shared" si="1"/>
        <v>2051</v>
      </c>
      <c r="AI21" s="440">
        <f t="shared" si="1"/>
        <v>2052</v>
      </c>
      <c r="AJ21" s="440">
        <f t="shared" si="1"/>
        <v>2053</v>
      </c>
      <c r="AK21" s="440">
        <f t="shared" si="1"/>
        <v>2054</v>
      </c>
      <c r="AL21" s="440">
        <f t="shared" si="1"/>
        <v>2055</v>
      </c>
    </row>
    <row r="22" spans="2:38" ht="13">
      <c r="B22" s="400" t="s">
        <v>354</v>
      </c>
      <c r="C22" s="404"/>
      <c r="D22" s="405">
        <f>D$55</f>
        <v>7.0149619852555051E-2</v>
      </c>
      <c r="E22" s="405">
        <f t="shared" ref="E22:AL22" si="2">E$55</f>
        <v>7.1082332682769367E-2</v>
      </c>
      <c r="F22" s="405">
        <f t="shared" si="2"/>
        <v>7.2027447576799894E-2</v>
      </c>
      <c r="G22" s="405">
        <f t="shared" si="2"/>
        <v>7.2985129424578951E-2</v>
      </c>
      <c r="H22" s="405">
        <f t="shared" si="2"/>
        <v>7.3955545308763915E-2</v>
      </c>
      <c r="I22" s="405">
        <f t="shared" si="2"/>
        <v>7.4938864533884292E-2</v>
      </c>
      <c r="J22" s="405">
        <f t="shared" si="2"/>
        <v>7.5935258655876858E-2</v>
      </c>
      <c r="K22" s="405">
        <f t="shared" si="2"/>
        <v>7.694490151201365E-2</v>
      </c>
      <c r="L22" s="405">
        <f t="shared" si="2"/>
        <v>7.7967969251227731E-2</v>
      </c>
      <c r="M22" s="405">
        <f t="shared" si="2"/>
        <v>7.9004640364843198E-2</v>
      </c>
      <c r="N22" s="405">
        <f t="shared" si="2"/>
        <v>8.0055095717712826E-2</v>
      </c>
      <c r="O22" s="405">
        <f t="shared" si="2"/>
        <v>8.1119518579771135E-2</v>
      </c>
      <c r="P22" s="405">
        <f t="shared" si="2"/>
        <v>8.219809465800601E-2</v>
      </c>
      <c r="Q22" s="405">
        <f t="shared" si="2"/>
        <v>8.3291012128856479E-2</v>
      </c>
      <c r="R22" s="405">
        <f t="shared" si="2"/>
        <v>8.4398461671040939E-2</v>
      </c>
      <c r="S22" s="405">
        <f t="shared" si="2"/>
        <v>8.5520636498822244E-2</v>
      </c>
      <c r="T22" s="405">
        <f t="shared" si="2"/>
        <v>8.6657732395715101E-2</v>
      </c>
      <c r="U22" s="405">
        <f t="shared" si="2"/>
        <v>8.7809947748642106E-2</v>
      </c>
      <c r="V22" s="405">
        <f t="shared" si="2"/>
        <v>8.897748358254351E-2</v>
      </c>
      <c r="W22" s="405">
        <f t="shared" si="2"/>
        <v>9.0160543595448062E-2</v>
      </c>
      <c r="X22" s="405">
        <f t="shared" si="2"/>
        <v>9.1359334194009587E-2</v>
      </c>
      <c r="Y22" s="405">
        <f t="shared" si="2"/>
        <v>9.2574064529516692E-2</v>
      </c>
      <c r="Z22" s="405">
        <f t="shared" si="2"/>
        <v>9.3804946534381192E-2</v>
      </c>
      <c r="AA22" s="405">
        <f t="shared" si="2"/>
        <v>9.5052194959111838E-2</v>
      </c>
      <c r="AB22" s="405">
        <f t="shared" si="2"/>
        <v>9.6316027409779875E-2</v>
      </c>
      <c r="AC22" s="405">
        <f t="shared" si="2"/>
        <v>9.7596664385982801E-2</v>
      </c>
      <c r="AD22" s="405">
        <f t="shared" si="2"/>
        <v>9.8894329319312954E-2</v>
      </c>
      <c r="AE22" s="405">
        <f t="shared" si="2"/>
        <v>0.10020924861233795</v>
      </c>
      <c r="AF22" s="405">
        <f t="shared" si="2"/>
        <v>0.10154165167809927</v>
      </c>
      <c r="AG22" s="405">
        <f t="shared" si="2"/>
        <v>0.10289177098013624</v>
      </c>
      <c r="AH22" s="405">
        <f t="shared" si="2"/>
        <v>0.10425984207304234</v>
      </c>
      <c r="AI22" s="405">
        <f t="shared" si="2"/>
        <v>0.10564610364356079</v>
      </c>
      <c r="AJ22" s="405">
        <f t="shared" si="2"/>
        <v>0.10705079755222677</v>
      </c>
      <c r="AK22" s="405">
        <f t="shared" si="2"/>
        <v>0.10847416887556303</v>
      </c>
      <c r="AL22" s="405">
        <f t="shared" si="2"/>
        <v>0.10991646594883762</v>
      </c>
    </row>
    <row r="23" spans="2:38" ht="13">
      <c r="B23" s="400" t="s">
        <v>650</v>
      </c>
      <c r="C23" s="404"/>
      <c r="D23" s="405">
        <f t="shared" ref="D23:AL23" si="3">D$63*D$22</f>
        <v>8.0613518672078795E-4</v>
      </c>
      <c r="E23" s="405">
        <f t="shared" si="3"/>
        <v>8.1743901854604501E-4</v>
      </c>
      <c r="F23" s="405">
        <f t="shared" si="3"/>
        <v>8.2890342102884468E-4</v>
      </c>
      <c r="G23" s="405">
        <f t="shared" si="3"/>
        <v>8.4053069571381135E-4</v>
      </c>
      <c r="H23" s="405">
        <f t="shared" si="3"/>
        <v>8.5232317725514567E-4</v>
      </c>
      <c r="I23" s="405">
        <f t="shared" si="3"/>
        <v>8.6428323389240152E-4</v>
      </c>
      <c r="J23" s="405">
        <f t="shared" si="3"/>
        <v>8.7641326793310315E-4</v>
      </c>
      <c r="K23" s="405">
        <f t="shared" si="3"/>
        <v>8.8871571624228932E-4</v>
      </c>
      <c r="L23" s="405">
        <f t="shared" si="3"/>
        <v>9.0119305073909034E-4</v>
      </c>
      <c r="M23" s="405">
        <f t="shared" si="3"/>
        <v>9.1384777890044519E-4</v>
      </c>
      <c r="N23" s="405">
        <f t="shared" si="3"/>
        <v>9.2668244427203937E-4</v>
      </c>
      <c r="O23" s="405">
        <f t="shared" si="3"/>
        <v>9.3969962698660294E-4</v>
      </c>
      <c r="P23" s="405">
        <f t="shared" si="3"/>
        <v>9.5290194428963274E-4</v>
      </c>
      <c r="Q23" s="405">
        <f t="shared" si="3"/>
        <v>9.6629205107268265E-4</v>
      </c>
      <c r="R23" s="405">
        <f t="shared" si="3"/>
        <v>9.7987264041430829E-4</v>
      </c>
      <c r="S23" s="405">
        <f t="shared" si="3"/>
        <v>9.9364644412878317E-4</v>
      </c>
      <c r="T23" s="405">
        <f t="shared" si="3"/>
        <v>1.0076162333226978E-3</v>
      </c>
      <c r="U23" s="405">
        <f t="shared" si="3"/>
        <v>1.0217848189595579E-3</v>
      </c>
      <c r="V23" s="405">
        <f t="shared" si="3"/>
        <v>1.0361550524324887E-3</v>
      </c>
      <c r="W23" s="405">
        <f t="shared" si="3"/>
        <v>1.0507298261451738E-3</v>
      </c>
      <c r="X23" s="405">
        <f t="shared" si="3"/>
        <v>1.0655120741011328E-3</v>
      </c>
      <c r="Y23" s="405">
        <f t="shared" si="3"/>
        <v>1.0805047725014724E-3</v>
      </c>
      <c r="Z23" s="405">
        <f t="shared" si="3"/>
        <v>1.0957109403512207E-3</v>
      </c>
      <c r="AA23" s="405">
        <f t="shared" si="3"/>
        <v>1.1111336400743744E-3</v>
      </c>
      <c r="AB23" s="405">
        <f t="shared" si="3"/>
        <v>1.1267759781377843E-3</v>
      </c>
      <c r="AC23" s="405">
        <f t="shared" si="3"/>
        <v>1.1426411056840032E-3</v>
      </c>
      <c r="AD23" s="405">
        <f t="shared" si="3"/>
        <v>1.1587322191732267E-3</v>
      </c>
      <c r="AE23" s="405">
        <f t="shared" si="3"/>
        <v>1.1750525610344593E-3</v>
      </c>
      <c r="AF23" s="405">
        <f t="shared" si="3"/>
        <v>1.1916054203260354E-3</v>
      </c>
      <c r="AG23" s="405">
        <f t="shared" si="3"/>
        <v>1.2083941334056301E-3</v>
      </c>
      <c r="AH23" s="405">
        <f t="shared" si="3"/>
        <v>1.225422084609901E-3</v>
      </c>
      <c r="AI23" s="405">
        <f t="shared" si="3"/>
        <v>1.2426927069438931E-3</v>
      </c>
      <c r="AJ23" s="405">
        <f t="shared" si="3"/>
        <v>1.2602094827803502E-3</v>
      </c>
      <c r="AK23" s="405">
        <f t="shared" si="3"/>
        <v>1.2779759445690736E-3</v>
      </c>
      <c r="AL23" s="405">
        <f t="shared" si="3"/>
        <v>1.2959956755564832E-3</v>
      </c>
    </row>
    <row r="24" spans="2:38" ht="13">
      <c r="B24" s="400" t="s">
        <v>651</v>
      </c>
      <c r="C24" s="404"/>
      <c r="D24" s="405">
        <f t="shared" ref="D24:AE24" si="4">D$72*D22</f>
        <v>1.5018815616601991E-2</v>
      </c>
      <c r="E24" s="405">
        <f t="shared" si="4"/>
        <v>1.5218379741782183E-2</v>
      </c>
      <c r="F24" s="405">
        <f t="shared" si="4"/>
        <v>1.5420595200818871E-2</v>
      </c>
      <c r="G24" s="405">
        <f t="shared" si="4"/>
        <v>1.5625497208051627E-2</v>
      </c>
      <c r="H24" s="405">
        <f t="shared" si="4"/>
        <v>1.5833121445562117E-2</v>
      </c>
      <c r="I24" s="405">
        <f t="shared" si="4"/>
        <v>1.6043504069383902E-2</v>
      </c>
      <c r="J24" s="405">
        <f t="shared" si="4"/>
        <v>1.625668171579479E-2</v>
      </c>
      <c r="K24" s="405">
        <f t="shared" si="4"/>
        <v>1.6472691507692792E-2</v>
      </c>
      <c r="L24" s="405">
        <f t="shared" si="4"/>
        <v>1.6691571061056721E-2</v>
      </c>
      <c r="M24" s="405">
        <f t="shared" si="4"/>
        <v>1.6913358491492732E-2</v>
      </c>
      <c r="N24" s="405">
        <f t="shared" si="4"/>
        <v>1.7138092420867689E-2</v>
      </c>
      <c r="O24" s="405">
        <f t="shared" si="4"/>
        <v>1.7365811984030803E-2</v>
      </c>
      <c r="P24" s="405">
        <f t="shared" si="4"/>
        <v>1.7596556835624402E-2</v>
      </c>
      <c r="Q24" s="405">
        <f t="shared" si="4"/>
        <v>1.7830367156985327E-2</v>
      </c>
      <c r="R24" s="405">
        <f t="shared" si="4"/>
        <v>1.8067283663137871E-2</v>
      </c>
      <c r="S24" s="405">
        <f t="shared" si="4"/>
        <v>1.8307347609879714E-2</v>
      </c>
      <c r="T24" s="405">
        <f t="shared" si="4"/>
        <v>1.8550600800961891E-2</v>
      </c>
      <c r="U24" s="405">
        <f t="shared" si="4"/>
        <v>1.8797085595364239E-2</v>
      </c>
      <c r="V24" s="405">
        <f t="shared" si="4"/>
        <v>1.9046844914667335E-2</v>
      </c>
      <c r="W24" s="405">
        <f t="shared" si="4"/>
        <v>1.9299922250522517E-2</v>
      </c>
      <c r="X24" s="405">
        <f t="shared" si="4"/>
        <v>1.9556361672220968E-2</v>
      </c>
      <c r="Y24" s="405">
        <f t="shared" si="4"/>
        <v>1.9816207834363466E-2</v>
      </c>
      <c r="Z24" s="405">
        <f t="shared" si="4"/>
        <v>2.0079505984631915E-2</v>
      </c>
      <c r="AA24" s="405">
        <f t="shared" si="4"/>
        <v>2.0346301971664132E-2</v>
      </c>
      <c r="AB24" s="405">
        <f t="shared" si="4"/>
        <v>2.061664225303322E-2</v>
      </c>
      <c r="AC24" s="405">
        <f t="shared" si="4"/>
        <v>2.0890573903332921E-2</v>
      </c>
      <c r="AD24" s="405">
        <f t="shared" si="4"/>
        <v>2.1168144622370329E-2</v>
      </c>
      <c r="AE24" s="405">
        <f t="shared" si="4"/>
        <v>2.1449402743467474E-2</v>
      </c>
      <c r="AF24" s="405">
        <f t="shared" ref="AF24:AJ24" si="5">AF$72*AF22</f>
        <v>2.1734397241873087E-2</v>
      </c>
      <c r="AG24" s="405">
        <f t="shared" si="5"/>
        <v>2.2023177743286115E-2</v>
      </c>
      <c r="AH24" s="405">
        <f t="shared" si="5"/>
        <v>2.2315794532492439E-2</v>
      </c>
      <c r="AI24" s="405">
        <f t="shared" si="5"/>
        <v>2.261229856211629E-2</v>
      </c>
      <c r="AJ24" s="405">
        <f t="shared" si="5"/>
        <v>2.2912741461487886E-2</v>
      </c>
      <c r="AK24" s="405">
        <f t="shared" ref="AK24:AL24" si="6">AK$72*AK22</f>
        <v>2.3217175545628788E-2</v>
      </c>
      <c r="AL24" s="405">
        <f t="shared" si="6"/>
        <v>2.3525653824356747E-2</v>
      </c>
    </row>
    <row r="26" spans="2:38" ht="13">
      <c r="B26" s="364" t="s">
        <v>652</v>
      </c>
    </row>
    <row r="27" spans="2:38" ht="13">
      <c r="B27" s="407" t="s">
        <v>615</v>
      </c>
      <c r="C27" s="396" t="s">
        <v>627</v>
      </c>
      <c r="D27" s="440">
        <f>D$1</f>
        <v>2021</v>
      </c>
      <c r="E27" s="440">
        <f t="shared" ref="E27:AL27" si="7">E$1</f>
        <v>2022</v>
      </c>
      <c r="F27" s="440">
        <f t="shared" si="7"/>
        <v>2023</v>
      </c>
      <c r="G27" s="440">
        <f t="shared" si="7"/>
        <v>2024</v>
      </c>
      <c r="H27" s="440">
        <f t="shared" si="7"/>
        <v>2025</v>
      </c>
      <c r="I27" s="440">
        <f t="shared" si="7"/>
        <v>2026</v>
      </c>
      <c r="J27" s="440">
        <f t="shared" si="7"/>
        <v>2027</v>
      </c>
      <c r="K27" s="440">
        <f t="shared" si="7"/>
        <v>2028</v>
      </c>
      <c r="L27" s="440">
        <f t="shared" si="7"/>
        <v>2029</v>
      </c>
      <c r="M27" s="440">
        <f t="shared" si="7"/>
        <v>2030</v>
      </c>
      <c r="N27" s="440">
        <f t="shared" si="7"/>
        <v>2031</v>
      </c>
      <c r="O27" s="440">
        <f t="shared" si="7"/>
        <v>2032</v>
      </c>
      <c r="P27" s="440">
        <f t="shared" si="7"/>
        <v>2033</v>
      </c>
      <c r="Q27" s="440">
        <f t="shared" si="7"/>
        <v>2034</v>
      </c>
      <c r="R27" s="440">
        <f t="shared" si="7"/>
        <v>2035</v>
      </c>
      <c r="S27" s="440">
        <f t="shared" si="7"/>
        <v>2036</v>
      </c>
      <c r="T27" s="440">
        <f t="shared" si="7"/>
        <v>2037</v>
      </c>
      <c r="U27" s="440">
        <f t="shared" si="7"/>
        <v>2038</v>
      </c>
      <c r="V27" s="440">
        <f t="shared" si="7"/>
        <v>2039</v>
      </c>
      <c r="W27" s="440">
        <f t="shared" si="7"/>
        <v>2040</v>
      </c>
      <c r="X27" s="440">
        <f t="shared" si="7"/>
        <v>2041</v>
      </c>
      <c r="Y27" s="440">
        <f t="shared" si="7"/>
        <v>2042</v>
      </c>
      <c r="Z27" s="440">
        <f t="shared" si="7"/>
        <v>2043</v>
      </c>
      <c r="AA27" s="440">
        <f t="shared" si="7"/>
        <v>2044</v>
      </c>
      <c r="AB27" s="440">
        <f t="shared" si="7"/>
        <v>2045</v>
      </c>
      <c r="AC27" s="440">
        <f t="shared" si="7"/>
        <v>2046</v>
      </c>
      <c r="AD27" s="440">
        <f t="shared" si="7"/>
        <v>2047</v>
      </c>
      <c r="AE27" s="440">
        <f t="shared" si="7"/>
        <v>2048</v>
      </c>
      <c r="AF27" s="440">
        <f t="shared" si="7"/>
        <v>2049</v>
      </c>
      <c r="AG27" s="440">
        <f t="shared" si="7"/>
        <v>2050</v>
      </c>
      <c r="AH27" s="440">
        <f t="shared" si="7"/>
        <v>2051</v>
      </c>
      <c r="AI27" s="440">
        <f t="shared" si="7"/>
        <v>2052</v>
      </c>
      <c r="AJ27" s="440">
        <f t="shared" si="7"/>
        <v>2053</v>
      </c>
      <c r="AK27" s="440">
        <f t="shared" si="7"/>
        <v>2054</v>
      </c>
      <c r="AL27" s="440">
        <f t="shared" si="7"/>
        <v>2055</v>
      </c>
    </row>
    <row r="28" spans="2:38" ht="13">
      <c r="B28" s="364" t="s">
        <v>624</v>
      </c>
      <c r="C28" s="408"/>
      <c r="D28" s="358"/>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row>
    <row r="29" spans="2:38">
      <c r="B29" s="411" t="s">
        <v>653</v>
      </c>
      <c r="C29" s="412" t="s">
        <v>654</v>
      </c>
      <c r="D29" s="413">
        <f t="shared" ref="D29:AL29" si="8">((D$14*D$15+0.2)/0.2)^(0.3334)</f>
        <v>37.886806442698081</v>
      </c>
      <c r="E29" s="413">
        <f t="shared" si="8"/>
        <v>38.390551303172401</v>
      </c>
      <c r="F29" s="413">
        <f t="shared" si="8"/>
        <v>38.900994340946632</v>
      </c>
      <c r="G29" s="413">
        <f t="shared" si="8"/>
        <v>39.418224610715072</v>
      </c>
      <c r="H29" s="413">
        <f t="shared" si="8"/>
        <v>39.942332351431446</v>
      </c>
      <c r="I29" s="413">
        <f t="shared" si="8"/>
        <v>40.473409002050857</v>
      </c>
      <c r="J29" s="413">
        <f t="shared" si="8"/>
        <v>41.011547217481251</v>
      </c>
      <c r="K29" s="413">
        <f t="shared" si="8"/>
        <v>41.556840884747125</v>
      </c>
      <c r="L29" s="413">
        <f t="shared" si="8"/>
        <v>42.109385139368079</v>
      </c>
      <c r="M29" s="413">
        <f t="shared" si="8"/>
        <v>42.669276381955541</v>
      </c>
      <c r="N29" s="413">
        <f t="shared" si="8"/>
        <v>43.236612295029893</v>
      </c>
      <c r="O29" s="413">
        <f t="shared" si="8"/>
        <v>43.811491860061736</v>
      </c>
      <c r="P29" s="413">
        <f t="shared" si="8"/>
        <v>44.394015374739347</v>
      </c>
      <c r="Q29" s="413">
        <f t="shared" si="8"/>
        <v>44.984284470466271</v>
      </c>
      <c r="R29" s="413">
        <f t="shared" si="8"/>
        <v>45.582402130091317</v>
      </c>
      <c r="S29" s="413">
        <f t="shared" si="8"/>
        <v>46.188472705874624</v>
      </c>
      <c r="T29" s="413">
        <f t="shared" si="8"/>
        <v>46.802601937692508</v>
      </c>
      <c r="U29" s="413">
        <f t="shared" si="8"/>
        <v>47.424896971484628</v>
      </c>
      <c r="V29" s="413">
        <f t="shared" si="8"/>
        <v>48.055466377946289</v>
      </c>
      <c r="W29" s="413">
        <f t="shared" si="8"/>
        <v>48.694420171469638</v>
      </c>
      <c r="X29" s="413">
        <f t="shared" si="8"/>
        <v>49.341869829336495</v>
      </c>
      <c r="Y29" s="413">
        <f t="shared" si="8"/>
        <v>49.997928311166667</v>
      </c>
      <c r="Z29" s="413">
        <f t="shared" si="8"/>
        <v>50.662710078624869</v>
      </c>
      <c r="AA29" s="413">
        <f t="shared" si="8"/>
        <v>51.336331115389605</v>
      </c>
      <c r="AB29" s="413">
        <f t="shared" si="8"/>
        <v>52.018908947387878</v>
      </c>
      <c r="AC29" s="413">
        <f t="shared" si="8"/>
        <v>52.710562663298859</v>
      </c>
      <c r="AD29" s="413">
        <f t="shared" si="8"/>
        <v>53.411412935330169</v>
      </c>
      <c r="AE29" s="413">
        <f t="shared" si="8"/>
        <v>54.121582040270695</v>
      </c>
      <c r="AF29" s="413">
        <f t="shared" si="8"/>
        <v>54.841193880823212</v>
      </c>
      <c r="AG29" s="413">
        <f t="shared" si="8"/>
        <v>55.570374007220749</v>
      </c>
      <c r="AH29" s="413">
        <f t="shared" si="8"/>
        <v>56.309249639130478</v>
      </c>
      <c r="AI29" s="413">
        <f t="shared" si="8"/>
        <v>57.057949687848847</v>
      </c>
      <c r="AJ29" s="413">
        <f t="shared" si="8"/>
        <v>57.816604778791955</v>
      </c>
      <c r="AK29" s="413">
        <f t="shared" si="8"/>
        <v>58.585347274284828</v>
      </c>
      <c r="AL29" s="413">
        <f t="shared" si="8"/>
        <v>59.364311296654137</v>
      </c>
    </row>
    <row r="30" spans="2:38">
      <c r="B30" s="411" t="s">
        <v>655</v>
      </c>
      <c r="C30" s="412" t="s">
        <v>656</v>
      </c>
      <c r="D30" s="414">
        <f t="shared" ref="D30:AL30" si="9">EXP(0.2094*$D$9)</f>
        <v>1</v>
      </c>
      <c r="E30" s="415">
        <f t="shared" si="9"/>
        <v>1</v>
      </c>
      <c r="F30" s="415">
        <f t="shared" si="9"/>
        <v>1</v>
      </c>
      <c r="G30" s="415">
        <f t="shared" si="9"/>
        <v>1</v>
      </c>
      <c r="H30" s="415">
        <f t="shared" si="9"/>
        <v>1</v>
      </c>
      <c r="I30" s="415">
        <f t="shared" si="9"/>
        <v>1</v>
      </c>
      <c r="J30" s="415">
        <f t="shared" si="9"/>
        <v>1</v>
      </c>
      <c r="K30" s="415">
        <f t="shared" si="9"/>
        <v>1</v>
      </c>
      <c r="L30" s="415">
        <f t="shared" si="9"/>
        <v>1</v>
      </c>
      <c r="M30" s="415">
        <f t="shared" si="9"/>
        <v>1</v>
      </c>
      <c r="N30" s="415">
        <f t="shared" si="9"/>
        <v>1</v>
      </c>
      <c r="O30" s="415">
        <f t="shared" si="9"/>
        <v>1</v>
      </c>
      <c r="P30" s="415">
        <f t="shared" si="9"/>
        <v>1</v>
      </c>
      <c r="Q30" s="415">
        <f t="shared" si="9"/>
        <v>1</v>
      </c>
      <c r="R30" s="415">
        <f t="shared" si="9"/>
        <v>1</v>
      </c>
      <c r="S30" s="415">
        <f t="shared" si="9"/>
        <v>1</v>
      </c>
      <c r="T30" s="415">
        <f t="shared" si="9"/>
        <v>1</v>
      </c>
      <c r="U30" s="415">
        <f t="shared" si="9"/>
        <v>1</v>
      </c>
      <c r="V30" s="415">
        <f t="shared" si="9"/>
        <v>1</v>
      </c>
      <c r="W30" s="415">
        <f t="shared" si="9"/>
        <v>1</v>
      </c>
      <c r="X30" s="415">
        <f t="shared" si="9"/>
        <v>1</v>
      </c>
      <c r="Y30" s="415">
        <f t="shared" si="9"/>
        <v>1</v>
      </c>
      <c r="Z30" s="415">
        <f t="shared" si="9"/>
        <v>1</v>
      </c>
      <c r="AA30" s="415">
        <f t="shared" si="9"/>
        <v>1</v>
      </c>
      <c r="AB30" s="415">
        <f t="shared" si="9"/>
        <v>1</v>
      </c>
      <c r="AC30" s="415">
        <f t="shared" si="9"/>
        <v>1</v>
      </c>
      <c r="AD30" s="415">
        <f t="shared" si="9"/>
        <v>1</v>
      </c>
      <c r="AE30" s="415">
        <f t="shared" si="9"/>
        <v>1</v>
      </c>
      <c r="AF30" s="415">
        <f t="shared" si="9"/>
        <v>1</v>
      </c>
      <c r="AG30" s="415">
        <f t="shared" si="9"/>
        <v>1</v>
      </c>
      <c r="AH30" s="415">
        <f t="shared" si="9"/>
        <v>1</v>
      </c>
      <c r="AI30" s="415">
        <f t="shared" si="9"/>
        <v>1</v>
      </c>
      <c r="AJ30" s="415">
        <f t="shared" si="9"/>
        <v>1</v>
      </c>
      <c r="AK30" s="415">
        <f t="shared" si="9"/>
        <v>1</v>
      </c>
      <c r="AL30" s="415">
        <f t="shared" si="9"/>
        <v>1</v>
      </c>
    </row>
    <row r="31" spans="2:38">
      <c r="B31" s="411" t="s">
        <v>657</v>
      </c>
      <c r="C31" s="416" t="s">
        <v>658</v>
      </c>
      <c r="D31" s="417">
        <f>((D$17+0.2)/0.2)^(0.1336)</f>
        <v>1.2704600323640221</v>
      </c>
      <c r="E31" s="417">
        <f t="shared" ref="E31:AL31" si="10">((E$17+0.2)/0.2)^(0.1336)</f>
        <v>1.2704600323640221</v>
      </c>
      <c r="F31" s="417">
        <f t="shared" si="10"/>
        <v>1.2704600323640221</v>
      </c>
      <c r="G31" s="417">
        <f t="shared" si="10"/>
        <v>1.2704600323640221</v>
      </c>
      <c r="H31" s="417">
        <f t="shared" si="10"/>
        <v>1.2704600323640221</v>
      </c>
      <c r="I31" s="417">
        <f t="shared" si="10"/>
        <v>1.2704600323640221</v>
      </c>
      <c r="J31" s="417">
        <f t="shared" si="10"/>
        <v>1.2704600323640221</v>
      </c>
      <c r="K31" s="417">
        <f t="shared" si="10"/>
        <v>1.2704600323640221</v>
      </c>
      <c r="L31" s="417">
        <f t="shared" si="10"/>
        <v>1.2704600323640221</v>
      </c>
      <c r="M31" s="417">
        <f t="shared" si="10"/>
        <v>1.2704600323640221</v>
      </c>
      <c r="N31" s="417">
        <f t="shared" si="10"/>
        <v>1.2704600323640221</v>
      </c>
      <c r="O31" s="417">
        <f t="shared" si="10"/>
        <v>1.2704600323640221</v>
      </c>
      <c r="P31" s="417">
        <f t="shared" si="10"/>
        <v>1.2704600323640221</v>
      </c>
      <c r="Q31" s="417">
        <f t="shared" si="10"/>
        <v>1.2704600323640221</v>
      </c>
      <c r="R31" s="417">
        <f t="shared" si="10"/>
        <v>1.2704600323640221</v>
      </c>
      <c r="S31" s="417">
        <f t="shared" si="10"/>
        <v>1.2704600323640221</v>
      </c>
      <c r="T31" s="417">
        <f t="shared" si="10"/>
        <v>1.2704600323640221</v>
      </c>
      <c r="U31" s="417">
        <f t="shared" si="10"/>
        <v>1.2704600323640221</v>
      </c>
      <c r="V31" s="417">
        <f t="shared" si="10"/>
        <v>1.2704600323640221</v>
      </c>
      <c r="W31" s="417">
        <f t="shared" si="10"/>
        <v>1.2704600323640221</v>
      </c>
      <c r="X31" s="417">
        <f t="shared" si="10"/>
        <v>1.2704600323640221</v>
      </c>
      <c r="Y31" s="417">
        <f t="shared" si="10"/>
        <v>1.2704600323640221</v>
      </c>
      <c r="Z31" s="417">
        <f t="shared" si="10"/>
        <v>1.2704600323640221</v>
      </c>
      <c r="AA31" s="417">
        <f t="shared" si="10"/>
        <v>1.2704600323640221</v>
      </c>
      <c r="AB31" s="417">
        <f t="shared" si="10"/>
        <v>1.2704600323640221</v>
      </c>
      <c r="AC31" s="417">
        <f t="shared" si="10"/>
        <v>1.2704600323640221</v>
      </c>
      <c r="AD31" s="417">
        <f t="shared" si="10"/>
        <v>1.2704600323640221</v>
      </c>
      <c r="AE31" s="417">
        <f t="shared" si="10"/>
        <v>1.2704600323640221</v>
      </c>
      <c r="AF31" s="417">
        <f t="shared" si="10"/>
        <v>1.2704600323640221</v>
      </c>
      <c r="AG31" s="417">
        <f t="shared" si="10"/>
        <v>1.2704600323640221</v>
      </c>
      <c r="AH31" s="417">
        <f t="shared" si="10"/>
        <v>1.2704600323640221</v>
      </c>
      <c r="AI31" s="417">
        <f t="shared" si="10"/>
        <v>1.2704600323640221</v>
      </c>
      <c r="AJ31" s="417">
        <f t="shared" si="10"/>
        <v>1.2704600323640221</v>
      </c>
      <c r="AK31" s="417">
        <f t="shared" si="10"/>
        <v>1.2704600323640221</v>
      </c>
      <c r="AL31" s="417">
        <f t="shared" si="10"/>
        <v>1.2704600323640221</v>
      </c>
    </row>
    <row r="32" spans="2:38">
      <c r="B32" s="411" t="s">
        <v>659</v>
      </c>
      <c r="C32" s="412" t="s">
        <v>660</v>
      </c>
      <c r="D32" s="414">
        <f t="shared" ref="D32:AL32" si="11">EXP(-0.616*($E$7-1))</f>
        <v>1</v>
      </c>
      <c r="E32" s="415">
        <f t="shared" si="11"/>
        <v>1</v>
      </c>
      <c r="F32" s="415">
        <f t="shared" si="11"/>
        <v>1</v>
      </c>
      <c r="G32" s="415">
        <f t="shared" si="11"/>
        <v>1</v>
      </c>
      <c r="H32" s="415">
        <f t="shared" si="11"/>
        <v>1</v>
      </c>
      <c r="I32" s="415">
        <f t="shared" si="11"/>
        <v>1</v>
      </c>
      <c r="J32" s="415">
        <f t="shared" si="11"/>
        <v>1</v>
      </c>
      <c r="K32" s="415">
        <f t="shared" si="11"/>
        <v>1</v>
      </c>
      <c r="L32" s="415">
        <f t="shared" si="11"/>
        <v>1</v>
      </c>
      <c r="M32" s="415">
        <f t="shared" si="11"/>
        <v>1</v>
      </c>
      <c r="N32" s="415">
        <f t="shared" si="11"/>
        <v>1</v>
      </c>
      <c r="O32" s="415">
        <f t="shared" si="11"/>
        <v>1</v>
      </c>
      <c r="P32" s="415">
        <f t="shared" si="11"/>
        <v>1</v>
      </c>
      <c r="Q32" s="415">
        <f t="shared" si="11"/>
        <v>1</v>
      </c>
      <c r="R32" s="415">
        <f t="shared" si="11"/>
        <v>1</v>
      </c>
      <c r="S32" s="415">
        <f t="shared" si="11"/>
        <v>1</v>
      </c>
      <c r="T32" s="415">
        <f t="shared" si="11"/>
        <v>1</v>
      </c>
      <c r="U32" s="415">
        <f t="shared" si="11"/>
        <v>1</v>
      </c>
      <c r="V32" s="415">
        <f t="shared" si="11"/>
        <v>1</v>
      </c>
      <c r="W32" s="415">
        <f t="shared" si="11"/>
        <v>1</v>
      </c>
      <c r="X32" s="415">
        <f t="shared" si="11"/>
        <v>1</v>
      </c>
      <c r="Y32" s="415">
        <f t="shared" si="11"/>
        <v>1</v>
      </c>
      <c r="Z32" s="415">
        <f t="shared" si="11"/>
        <v>1</v>
      </c>
      <c r="AA32" s="415">
        <f t="shared" si="11"/>
        <v>1</v>
      </c>
      <c r="AB32" s="415">
        <f t="shared" si="11"/>
        <v>1</v>
      </c>
      <c r="AC32" s="415">
        <f t="shared" si="11"/>
        <v>1</v>
      </c>
      <c r="AD32" s="415">
        <f t="shared" si="11"/>
        <v>1</v>
      </c>
      <c r="AE32" s="415">
        <f t="shared" si="11"/>
        <v>1</v>
      </c>
      <c r="AF32" s="415">
        <f t="shared" si="11"/>
        <v>1</v>
      </c>
      <c r="AG32" s="415">
        <f t="shared" si="11"/>
        <v>1</v>
      </c>
      <c r="AH32" s="415">
        <f t="shared" si="11"/>
        <v>1</v>
      </c>
      <c r="AI32" s="415">
        <f t="shared" si="11"/>
        <v>1</v>
      </c>
      <c r="AJ32" s="415">
        <f t="shared" si="11"/>
        <v>1</v>
      </c>
      <c r="AK32" s="415">
        <f t="shared" si="11"/>
        <v>1</v>
      </c>
      <c r="AL32" s="415">
        <f t="shared" si="11"/>
        <v>1</v>
      </c>
    </row>
    <row r="33" spans="2:38">
      <c r="B33" s="411" t="s">
        <v>661</v>
      </c>
      <c r="C33" s="412" t="s">
        <v>662</v>
      </c>
      <c r="D33" s="414">
        <f t="shared" ref="D33:AL33" si="12">EXP(0.0077*D$19)</f>
        <v>1.0594501000746941</v>
      </c>
      <c r="E33" s="415">
        <f t="shared" si="12"/>
        <v>1.0594501000746941</v>
      </c>
      <c r="F33" s="415">
        <f t="shared" si="12"/>
        <v>1.0594501000746941</v>
      </c>
      <c r="G33" s="415">
        <f t="shared" si="12"/>
        <v>1.0594501000746941</v>
      </c>
      <c r="H33" s="415">
        <f t="shared" si="12"/>
        <v>1.0594501000746941</v>
      </c>
      <c r="I33" s="415">
        <f t="shared" si="12"/>
        <v>1.0594501000746941</v>
      </c>
      <c r="J33" s="415">
        <f t="shared" si="12"/>
        <v>1.0594501000746941</v>
      </c>
      <c r="K33" s="415">
        <f t="shared" si="12"/>
        <v>1.0594501000746941</v>
      </c>
      <c r="L33" s="415">
        <f t="shared" si="12"/>
        <v>1.0594501000746941</v>
      </c>
      <c r="M33" s="415">
        <f t="shared" si="12"/>
        <v>1.0594501000746941</v>
      </c>
      <c r="N33" s="415">
        <f t="shared" si="12"/>
        <v>1.0594501000746941</v>
      </c>
      <c r="O33" s="415">
        <f t="shared" si="12"/>
        <v>1.0594501000746941</v>
      </c>
      <c r="P33" s="415">
        <f t="shared" si="12"/>
        <v>1.0594501000746941</v>
      </c>
      <c r="Q33" s="415">
        <f t="shared" si="12"/>
        <v>1.0594501000746941</v>
      </c>
      <c r="R33" s="415">
        <f t="shared" si="12"/>
        <v>1.0594501000746941</v>
      </c>
      <c r="S33" s="415">
        <f t="shared" si="12"/>
        <v>1.0594501000746941</v>
      </c>
      <c r="T33" s="415">
        <f t="shared" si="12"/>
        <v>1.0594501000746941</v>
      </c>
      <c r="U33" s="415">
        <f t="shared" si="12"/>
        <v>1.0594501000746941</v>
      </c>
      <c r="V33" s="415">
        <f t="shared" si="12"/>
        <v>1.0594501000746941</v>
      </c>
      <c r="W33" s="415">
        <f t="shared" si="12"/>
        <v>1.0594501000746941</v>
      </c>
      <c r="X33" s="415">
        <f t="shared" si="12"/>
        <v>1.0594501000746941</v>
      </c>
      <c r="Y33" s="415">
        <f t="shared" si="12"/>
        <v>1.0594501000746941</v>
      </c>
      <c r="Z33" s="415">
        <f t="shared" si="12"/>
        <v>1.0594501000746941</v>
      </c>
      <c r="AA33" s="415">
        <f t="shared" si="12"/>
        <v>1.0594501000746941</v>
      </c>
      <c r="AB33" s="415">
        <f t="shared" si="12"/>
        <v>1.0594501000746941</v>
      </c>
      <c r="AC33" s="415">
        <f t="shared" si="12"/>
        <v>1.0594501000746941</v>
      </c>
      <c r="AD33" s="415">
        <f t="shared" si="12"/>
        <v>1.0594501000746941</v>
      </c>
      <c r="AE33" s="415">
        <f t="shared" si="12"/>
        <v>1.0594501000746941</v>
      </c>
      <c r="AF33" s="415">
        <f t="shared" si="12"/>
        <v>1.0594501000746941</v>
      </c>
      <c r="AG33" s="415">
        <f t="shared" si="12"/>
        <v>1.0594501000746941</v>
      </c>
      <c r="AH33" s="415">
        <f t="shared" si="12"/>
        <v>1.0594501000746941</v>
      </c>
      <c r="AI33" s="415">
        <f t="shared" si="12"/>
        <v>1.0594501000746941</v>
      </c>
      <c r="AJ33" s="415">
        <f t="shared" si="12"/>
        <v>1.0594501000746941</v>
      </c>
      <c r="AK33" s="415">
        <f t="shared" si="12"/>
        <v>1.0594501000746941</v>
      </c>
      <c r="AL33" s="415">
        <f t="shared" si="12"/>
        <v>1.0594501000746941</v>
      </c>
    </row>
    <row r="34" spans="2:38">
      <c r="B34" s="411" t="s">
        <v>663</v>
      </c>
      <c r="C34" s="412" t="s">
        <v>664</v>
      </c>
      <c r="D34" s="414">
        <f t="shared" ref="D34:AL34" si="13">EXP(-0.1*($E$8-1))</f>
        <v>0.60653065971263342</v>
      </c>
      <c r="E34" s="415">
        <f t="shared" si="13"/>
        <v>0.60653065971263342</v>
      </c>
      <c r="F34" s="415">
        <f t="shared" si="13"/>
        <v>0.60653065971263342</v>
      </c>
      <c r="G34" s="415">
        <f t="shared" si="13"/>
        <v>0.60653065971263342</v>
      </c>
      <c r="H34" s="415">
        <f t="shared" si="13"/>
        <v>0.60653065971263342</v>
      </c>
      <c r="I34" s="415">
        <f t="shared" si="13"/>
        <v>0.60653065971263342</v>
      </c>
      <c r="J34" s="415">
        <f t="shared" si="13"/>
        <v>0.60653065971263342</v>
      </c>
      <c r="K34" s="415">
        <f t="shared" si="13"/>
        <v>0.60653065971263342</v>
      </c>
      <c r="L34" s="415">
        <f t="shared" si="13"/>
        <v>0.60653065971263342</v>
      </c>
      <c r="M34" s="415">
        <f t="shared" si="13"/>
        <v>0.60653065971263342</v>
      </c>
      <c r="N34" s="415">
        <f t="shared" si="13"/>
        <v>0.60653065971263342</v>
      </c>
      <c r="O34" s="415">
        <f t="shared" si="13"/>
        <v>0.60653065971263342</v>
      </c>
      <c r="P34" s="415">
        <f t="shared" si="13"/>
        <v>0.60653065971263342</v>
      </c>
      <c r="Q34" s="415">
        <f t="shared" si="13"/>
        <v>0.60653065971263342</v>
      </c>
      <c r="R34" s="415">
        <f t="shared" si="13"/>
        <v>0.60653065971263342</v>
      </c>
      <c r="S34" s="415">
        <f t="shared" si="13"/>
        <v>0.60653065971263342</v>
      </c>
      <c r="T34" s="415">
        <f t="shared" si="13"/>
        <v>0.60653065971263342</v>
      </c>
      <c r="U34" s="415">
        <f t="shared" si="13"/>
        <v>0.60653065971263342</v>
      </c>
      <c r="V34" s="415">
        <f t="shared" si="13"/>
        <v>0.60653065971263342</v>
      </c>
      <c r="W34" s="415">
        <f t="shared" si="13"/>
        <v>0.60653065971263342</v>
      </c>
      <c r="X34" s="415">
        <f t="shared" si="13"/>
        <v>0.60653065971263342</v>
      </c>
      <c r="Y34" s="415">
        <f t="shared" si="13"/>
        <v>0.60653065971263342</v>
      </c>
      <c r="Z34" s="415">
        <f t="shared" si="13"/>
        <v>0.60653065971263342</v>
      </c>
      <c r="AA34" s="415">
        <f t="shared" si="13"/>
        <v>0.60653065971263342</v>
      </c>
      <c r="AB34" s="415">
        <f t="shared" si="13"/>
        <v>0.60653065971263342</v>
      </c>
      <c r="AC34" s="415">
        <f t="shared" si="13"/>
        <v>0.60653065971263342</v>
      </c>
      <c r="AD34" s="415">
        <f t="shared" si="13"/>
        <v>0.60653065971263342</v>
      </c>
      <c r="AE34" s="415">
        <f t="shared" si="13"/>
        <v>0.60653065971263342</v>
      </c>
      <c r="AF34" s="415">
        <f t="shared" si="13"/>
        <v>0.60653065971263342</v>
      </c>
      <c r="AG34" s="415">
        <f t="shared" si="13"/>
        <v>0.60653065971263342</v>
      </c>
      <c r="AH34" s="415">
        <f t="shared" si="13"/>
        <v>0.60653065971263342</v>
      </c>
      <c r="AI34" s="415">
        <f t="shared" si="13"/>
        <v>0.60653065971263342</v>
      </c>
      <c r="AJ34" s="415">
        <f t="shared" si="13"/>
        <v>0.60653065971263342</v>
      </c>
      <c r="AK34" s="415">
        <f t="shared" si="13"/>
        <v>0.60653065971263342</v>
      </c>
      <c r="AL34" s="415">
        <f t="shared" si="13"/>
        <v>0.60653065971263342</v>
      </c>
    </row>
    <row r="35" spans="2:38">
      <c r="B35" s="411" t="s">
        <v>665</v>
      </c>
      <c r="C35" s="412" t="s">
        <v>666</v>
      </c>
      <c r="D35" s="414">
        <v>1</v>
      </c>
      <c r="E35" s="414">
        <v>1</v>
      </c>
      <c r="F35" s="414">
        <v>1</v>
      </c>
      <c r="G35" s="414">
        <v>1</v>
      </c>
      <c r="H35" s="414">
        <v>1</v>
      </c>
      <c r="I35" s="414">
        <v>1</v>
      </c>
      <c r="J35" s="414">
        <v>1</v>
      </c>
      <c r="K35" s="414">
        <v>1</v>
      </c>
      <c r="L35" s="414">
        <v>1</v>
      </c>
      <c r="M35" s="414">
        <v>1</v>
      </c>
      <c r="N35" s="414">
        <v>1</v>
      </c>
      <c r="O35" s="414">
        <v>1</v>
      </c>
      <c r="P35" s="414">
        <v>1</v>
      </c>
      <c r="Q35" s="414">
        <v>1</v>
      </c>
      <c r="R35" s="414">
        <v>1</v>
      </c>
      <c r="S35" s="414">
        <v>1</v>
      </c>
      <c r="T35" s="414">
        <v>1</v>
      </c>
      <c r="U35" s="414">
        <v>1</v>
      </c>
      <c r="V35" s="414">
        <v>1</v>
      </c>
      <c r="W35" s="414">
        <v>1</v>
      </c>
      <c r="X35" s="414">
        <v>1</v>
      </c>
      <c r="Y35" s="414">
        <v>1</v>
      </c>
      <c r="Z35" s="414">
        <v>1</v>
      </c>
      <c r="AA35" s="414">
        <v>1</v>
      </c>
      <c r="AB35" s="414">
        <v>1</v>
      </c>
      <c r="AC35" s="414">
        <v>1</v>
      </c>
      <c r="AD35" s="414">
        <v>1</v>
      </c>
      <c r="AE35" s="414">
        <v>1</v>
      </c>
      <c r="AF35" s="414">
        <v>1</v>
      </c>
      <c r="AG35" s="414">
        <v>1</v>
      </c>
      <c r="AH35" s="414">
        <v>1</v>
      </c>
      <c r="AI35" s="414">
        <v>1</v>
      </c>
      <c r="AJ35" s="414">
        <v>1</v>
      </c>
      <c r="AK35" s="414">
        <v>1</v>
      </c>
      <c r="AL35" s="414">
        <v>1</v>
      </c>
    </row>
    <row r="36" spans="2:38" s="421" customFormat="1" ht="13">
      <c r="B36" s="418"/>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row>
    <row r="37" spans="2:38" s="421" customFormat="1" ht="13">
      <c r="B37" s="422" t="s">
        <v>667</v>
      </c>
      <c r="C37" s="408"/>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c r="B38" s="411" t="s">
        <v>653</v>
      </c>
      <c r="C38" s="412" t="s">
        <v>654</v>
      </c>
      <c r="D38" s="423">
        <f>((D$14*D$15+0.2)/0.2)^(0.2953)</f>
        <v>25.009378418935455</v>
      </c>
      <c r="E38" s="423">
        <f t="shared" ref="E38:AL38" si="14">((E$14*E$15+0.2)/0.2)^(0.2953)</f>
        <v>25.303681583013912</v>
      </c>
      <c r="F38" s="423">
        <f t="shared" si="14"/>
        <v>25.601448232190371</v>
      </c>
      <c r="G38" s="423">
        <f t="shared" si="14"/>
        <v>25.902719120446555</v>
      </c>
      <c r="H38" s="423">
        <f t="shared" si="14"/>
        <v>26.207535481465637</v>
      </c>
      <c r="I38" s="423">
        <f t="shared" si="14"/>
        <v>26.515939034274318</v>
      </c>
      <c r="J38" s="423">
        <f t="shared" si="14"/>
        <v>26.827971988951177</v>
      </c>
      <c r="K38" s="423">
        <f t="shared" si="14"/>
        <v>27.143677052402616</v>
      </c>
      <c r="L38" s="423">
        <f t="shared" si="14"/>
        <v>27.463097434206503</v>
      </c>
      <c r="M38" s="423">
        <f t="shared" si="14"/>
        <v>27.78627685252496</v>
      </c>
      <c r="N38" s="423">
        <f t="shared" si="14"/>
        <v>28.113259540086545</v>
      </c>
      <c r="O38" s="423">
        <f t="shared" si="14"/>
        <v>28.444090250239128</v>
      </c>
      <c r="P38" s="423">
        <f t="shared" si="14"/>
        <v>28.778814263073937</v>
      </c>
      <c r="Q38" s="423">
        <f t="shared" si="14"/>
        <v>29.117477391621797</v>
      </c>
      <c r="R38" s="423">
        <f t="shared" si="14"/>
        <v>29.460125988122275</v>
      </c>
      <c r="S38" s="423">
        <f t="shared" si="14"/>
        <v>29.806806950366816</v>
      </c>
      <c r="T38" s="423">
        <f t="shared" si="14"/>
        <v>30.157567728116394</v>
      </c>
      <c r="U38" s="423">
        <f t="shared" si="14"/>
        <v>30.512456329594965</v>
      </c>
      <c r="V38" s="423">
        <f t="shared" si="14"/>
        <v>30.871521328059174</v>
      </c>
      <c r="W38" s="423">
        <f t="shared" si="14"/>
        <v>31.234811868445593</v>
      </c>
      <c r="X38" s="423">
        <f t="shared" si="14"/>
        <v>31.602377674096211</v>
      </c>
      <c r="Y38" s="423">
        <f t="shared" si="14"/>
        <v>31.974269053563006</v>
      </c>
      <c r="Z38" s="423">
        <f t="shared" si="14"/>
        <v>32.350536907492888</v>
      </c>
      <c r="AA38" s="423">
        <f t="shared" si="14"/>
        <v>32.731232735593366</v>
      </c>
      <c r="AB38" s="423">
        <f t="shared" si="14"/>
        <v>33.116408643680685</v>
      </c>
      <c r="AC38" s="423">
        <f t="shared" si="14"/>
        <v>33.506117350810499</v>
      </c>
      <c r="AD38" s="423">
        <f t="shared" si="14"/>
        <v>33.900412196492816</v>
      </c>
      <c r="AE38" s="423">
        <f t="shared" si="14"/>
        <v>34.29934714799181</v>
      </c>
      <c r="AF38" s="423">
        <f t="shared" si="14"/>
        <v>34.702976807711529</v>
      </c>
      <c r="AG38" s="423">
        <f t="shared" si="14"/>
        <v>35.111356420668606</v>
      </c>
      <c r="AH38" s="423">
        <f t="shared" si="14"/>
        <v>35.52454188205293</v>
      </c>
      <c r="AI38" s="423">
        <f t="shared" si="14"/>
        <v>35.942589744877431</v>
      </c>
      <c r="AJ38" s="423">
        <f t="shared" si="14"/>
        <v>36.365557227717751</v>
      </c>
      <c r="AK38" s="423">
        <f t="shared" si="14"/>
        <v>36.793502222543182</v>
      </c>
      <c r="AL38" s="423">
        <f t="shared" si="14"/>
        <v>37.226483302639721</v>
      </c>
    </row>
    <row r="39" spans="2:38" s="421" customFormat="1">
      <c r="B39" s="411" t="s">
        <v>655</v>
      </c>
      <c r="C39" s="412" t="s">
        <v>656</v>
      </c>
      <c r="D39" s="414">
        <f t="shared" ref="D39:AL39" si="15">EXP(0.1088*$D$9)</f>
        <v>1</v>
      </c>
      <c r="E39" s="414">
        <f t="shared" si="15"/>
        <v>1</v>
      </c>
      <c r="F39" s="414">
        <f t="shared" si="15"/>
        <v>1</v>
      </c>
      <c r="G39" s="414">
        <f t="shared" si="15"/>
        <v>1</v>
      </c>
      <c r="H39" s="414">
        <f t="shared" si="15"/>
        <v>1</v>
      </c>
      <c r="I39" s="414">
        <f t="shared" si="15"/>
        <v>1</v>
      </c>
      <c r="J39" s="414">
        <f t="shared" si="15"/>
        <v>1</v>
      </c>
      <c r="K39" s="414">
        <f t="shared" si="15"/>
        <v>1</v>
      </c>
      <c r="L39" s="414">
        <f t="shared" si="15"/>
        <v>1</v>
      </c>
      <c r="M39" s="414">
        <f t="shared" si="15"/>
        <v>1</v>
      </c>
      <c r="N39" s="414">
        <f t="shared" si="15"/>
        <v>1</v>
      </c>
      <c r="O39" s="414">
        <f t="shared" si="15"/>
        <v>1</v>
      </c>
      <c r="P39" s="414">
        <f t="shared" si="15"/>
        <v>1</v>
      </c>
      <c r="Q39" s="414">
        <f t="shared" si="15"/>
        <v>1</v>
      </c>
      <c r="R39" s="414">
        <f t="shared" si="15"/>
        <v>1</v>
      </c>
      <c r="S39" s="414">
        <f t="shared" si="15"/>
        <v>1</v>
      </c>
      <c r="T39" s="414">
        <f t="shared" si="15"/>
        <v>1</v>
      </c>
      <c r="U39" s="414">
        <f t="shared" si="15"/>
        <v>1</v>
      </c>
      <c r="V39" s="414">
        <f t="shared" si="15"/>
        <v>1</v>
      </c>
      <c r="W39" s="414">
        <f t="shared" si="15"/>
        <v>1</v>
      </c>
      <c r="X39" s="414">
        <f t="shared" si="15"/>
        <v>1</v>
      </c>
      <c r="Y39" s="414">
        <f t="shared" si="15"/>
        <v>1</v>
      </c>
      <c r="Z39" s="414">
        <f t="shared" si="15"/>
        <v>1</v>
      </c>
      <c r="AA39" s="414">
        <f t="shared" si="15"/>
        <v>1</v>
      </c>
      <c r="AB39" s="414">
        <f t="shared" si="15"/>
        <v>1</v>
      </c>
      <c r="AC39" s="414">
        <f t="shared" si="15"/>
        <v>1</v>
      </c>
      <c r="AD39" s="414">
        <f t="shared" si="15"/>
        <v>1</v>
      </c>
      <c r="AE39" s="414">
        <f t="shared" si="15"/>
        <v>1</v>
      </c>
      <c r="AF39" s="414">
        <f t="shared" si="15"/>
        <v>1</v>
      </c>
      <c r="AG39" s="414">
        <f t="shared" si="15"/>
        <v>1</v>
      </c>
      <c r="AH39" s="414">
        <f t="shared" si="15"/>
        <v>1</v>
      </c>
      <c r="AI39" s="414">
        <f t="shared" si="15"/>
        <v>1</v>
      </c>
      <c r="AJ39" s="414">
        <f t="shared" si="15"/>
        <v>1</v>
      </c>
      <c r="AK39" s="414">
        <f t="shared" si="15"/>
        <v>1</v>
      </c>
      <c r="AL39" s="414">
        <f t="shared" si="15"/>
        <v>1</v>
      </c>
    </row>
    <row r="40" spans="2:38" s="421" customFormat="1">
      <c r="B40" s="411" t="s">
        <v>657</v>
      </c>
      <c r="C40" s="416" t="s">
        <v>658</v>
      </c>
      <c r="D40" s="417">
        <f>((D$17+0.2)/0.2)^(0.047)</f>
        <v>1.0878602516982878</v>
      </c>
      <c r="E40" s="417">
        <f t="shared" ref="E40:AL40" si="16">((E$17+0.2)/0.2)^(0.047)</f>
        <v>1.0878602516982878</v>
      </c>
      <c r="F40" s="417">
        <f t="shared" si="16"/>
        <v>1.0878602516982878</v>
      </c>
      <c r="G40" s="417">
        <f t="shared" si="16"/>
        <v>1.0878602516982878</v>
      </c>
      <c r="H40" s="417">
        <f t="shared" si="16"/>
        <v>1.0878602516982878</v>
      </c>
      <c r="I40" s="417">
        <f t="shared" si="16"/>
        <v>1.0878602516982878</v>
      </c>
      <c r="J40" s="417">
        <f t="shared" si="16"/>
        <v>1.0878602516982878</v>
      </c>
      <c r="K40" s="417">
        <f t="shared" si="16"/>
        <v>1.0878602516982878</v>
      </c>
      <c r="L40" s="417">
        <f t="shared" si="16"/>
        <v>1.0878602516982878</v>
      </c>
      <c r="M40" s="417">
        <f t="shared" si="16"/>
        <v>1.0878602516982878</v>
      </c>
      <c r="N40" s="417">
        <f t="shared" si="16"/>
        <v>1.0878602516982878</v>
      </c>
      <c r="O40" s="417">
        <f t="shared" si="16"/>
        <v>1.0878602516982878</v>
      </c>
      <c r="P40" s="417">
        <f t="shared" si="16"/>
        <v>1.0878602516982878</v>
      </c>
      <c r="Q40" s="417">
        <f t="shared" si="16"/>
        <v>1.0878602516982878</v>
      </c>
      <c r="R40" s="417">
        <f t="shared" si="16"/>
        <v>1.0878602516982878</v>
      </c>
      <c r="S40" s="417">
        <f t="shared" si="16"/>
        <v>1.0878602516982878</v>
      </c>
      <c r="T40" s="417">
        <f t="shared" si="16"/>
        <v>1.0878602516982878</v>
      </c>
      <c r="U40" s="417">
        <f t="shared" si="16"/>
        <v>1.0878602516982878</v>
      </c>
      <c r="V40" s="417">
        <f t="shared" si="16"/>
        <v>1.0878602516982878</v>
      </c>
      <c r="W40" s="417">
        <f t="shared" si="16"/>
        <v>1.0878602516982878</v>
      </c>
      <c r="X40" s="417">
        <f t="shared" si="16"/>
        <v>1.0878602516982878</v>
      </c>
      <c r="Y40" s="417">
        <f t="shared" si="16"/>
        <v>1.0878602516982878</v>
      </c>
      <c r="Z40" s="417">
        <f t="shared" si="16"/>
        <v>1.0878602516982878</v>
      </c>
      <c r="AA40" s="417">
        <f t="shared" si="16"/>
        <v>1.0878602516982878</v>
      </c>
      <c r="AB40" s="417">
        <f t="shared" si="16"/>
        <v>1.0878602516982878</v>
      </c>
      <c r="AC40" s="417">
        <f t="shared" si="16"/>
        <v>1.0878602516982878</v>
      </c>
      <c r="AD40" s="417">
        <f t="shared" si="16"/>
        <v>1.0878602516982878</v>
      </c>
      <c r="AE40" s="417">
        <f t="shared" si="16"/>
        <v>1.0878602516982878</v>
      </c>
      <c r="AF40" s="417">
        <f t="shared" si="16"/>
        <v>1.0878602516982878</v>
      </c>
      <c r="AG40" s="417">
        <f t="shared" si="16"/>
        <v>1.0878602516982878</v>
      </c>
      <c r="AH40" s="417">
        <f t="shared" si="16"/>
        <v>1.0878602516982878</v>
      </c>
      <c r="AI40" s="417">
        <f t="shared" si="16"/>
        <v>1.0878602516982878</v>
      </c>
      <c r="AJ40" s="417">
        <f t="shared" si="16"/>
        <v>1.0878602516982878</v>
      </c>
      <c r="AK40" s="417">
        <f t="shared" si="16"/>
        <v>1.0878602516982878</v>
      </c>
      <c r="AL40" s="417">
        <f t="shared" si="16"/>
        <v>1.0878602516982878</v>
      </c>
    </row>
    <row r="41" spans="2:38" s="421" customFormat="1">
      <c r="B41" s="411" t="s">
        <v>659</v>
      </c>
      <c r="C41" s="412" t="s">
        <v>660</v>
      </c>
      <c r="D41" s="414">
        <v>1</v>
      </c>
      <c r="E41" s="414">
        <v>1</v>
      </c>
      <c r="F41" s="414">
        <v>1</v>
      </c>
      <c r="G41" s="414">
        <v>1</v>
      </c>
      <c r="H41" s="414">
        <v>1</v>
      </c>
      <c r="I41" s="414">
        <v>1</v>
      </c>
      <c r="J41" s="414">
        <v>1</v>
      </c>
      <c r="K41" s="414">
        <v>1</v>
      </c>
      <c r="L41" s="414">
        <v>1</v>
      </c>
      <c r="M41" s="414">
        <v>1</v>
      </c>
      <c r="N41" s="414">
        <v>1</v>
      </c>
      <c r="O41" s="414">
        <v>1</v>
      </c>
      <c r="P41" s="414">
        <v>1</v>
      </c>
      <c r="Q41" s="414">
        <v>1</v>
      </c>
      <c r="R41" s="414">
        <v>1</v>
      </c>
      <c r="S41" s="414">
        <v>1</v>
      </c>
      <c r="T41" s="414">
        <v>1</v>
      </c>
      <c r="U41" s="414">
        <v>1</v>
      </c>
      <c r="V41" s="414">
        <v>1</v>
      </c>
      <c r="W41" s="414">
        <v>1</v>
      </c>
      <c r="X41" s="414">
        <v>1</v>
      </c>
      <c r="Y41" s="414">
        <v>1</v>
      </c>
      <c r="Z41" s="414">
        <v>1</v>
      </c>
      <c r="AA41" s="414">
        <v>1</v>
      </c>
      <c r="AB41" s="414">
        <v>1</v>
      </c>
      <c r="AC41" s="414">
        <v>1</v>
      </c>
      <c r="AD41" s="414">
        <v>1</v>
      </c>
      <c r="AE41" s="414">
        <v>1</v>
      </c>
      <c r="AF41" s="414">
        <v>1</v>
      </c>
      <c r="AG41" s="414">
        <v>1</v>
      </c>
      <c r="AH41" s="414">
        <v>1</v>
      </c>
      <c r="AI41" s="414">
        <v>1</v>
      </c>
      <c r="AJ41" s="414">
        <v>1</v>
      </c>
      <c r="AK41" s="414">
        <v>1</v>
      </c>
      <c r="AL41" s="414">
        <v>1</v>
      </c>
    </row>
    <row r="42" spans="2:38" s="421" customFormat="1">
      <c r="B42" s="411" t="s">
        <v>661</v>
      </c>
      <c r="C42" s="412" t="s">
        <v>662</v>
      </c>
      <c r="D42" s="414">
        <v>1</v>
      </c>
      <c r="E42" s="414">
        <v>1</v>
      </c>
      <c r="F42" s="414">
        <v>1</v>
      </c>
      <c r="G42" s="414">
        <v>1</v>
      </c>
      <c r="H42" s="414">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663</v>
      </c>
      <c r="C43" s="412" t="s">
        <v>664</v>
      </c>
      <c r="D43" s="414">
        <v>1</v>
      </c>
      <c r="E43" s="414">
        <v>1</v>
      </c>
      <c r="F43" s="414">
        <v>1</v>
      </c>
      <c r="G43" s="414">
        <v>1</v>
      </c>
      <c r="H43" s="414">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665</v>
      </c>
      <c r="C44" s="412" t="s">
        <v>666</v>
      </c>
      <c r="D44" s="414">
        <f t="shared" ref="D44:AL44" si="17">EXP(0.138*($D$10-1))</f>
        <v>1.1479755502741786</v>
      </c>
      <c r="E44" s="414">
        <f t="shared" si="17"/>
        <v>1.1479755502741786</v>
      </c>
      <c r="F44" s="414">
        <f t="shared" si="17"/>
        <v>1.1479755502741786</v>
      </c>
      <c r="G44" s="414">
        <f t="shared" si="17"/>
        <v>1.1479755502741786</v>
      </c>
      <c r="H44" s="414">
        <f t="shared" si="17"/>
        <v>1.1479755502741786</v>
      </c>
      <c r="I44" s="414">
        <f t="shared" si="17"/>
        <v>1.1479755502741786</v>
      </c>
      <c r="J44" s="414">
        <f t="shared" si="17"/>
        <v>1.1479755502741786</v>
      </c>
      <c r="K44" s="414">
        <f t="shared" si="17"/>
        <v>1.1479755502741786</v>
      </c>
      <c r="L44" s="414">
        <f t="shared" si="17"/>
        <v>1.1479755502741786</v>
      </c>
      <c r="M44" s="414">
        <f t="shared" si="17"/>
        <v>1.1479755502741786</v>
      </c>
      <c r="N44" s="414">
        <f t="shared" si="17"/>
        <v>1.1479755502741786</v>
      </c>
      <c r="O44" s="414">
        <f t="shared" si="17"/>
        <v>1.1479755502741786</v>
      </c>
      <c r="P44" s="414">
        <f t="shared" si="17"/>
        <v>1.1479755502741786</v>
      </c>
      <c r="Q44" s="414">
        <f t="shared" si="17"/>
        <v>1.1479755502741786</v>
      </c>
      <c r="R44" s="414">
        <f t="shared" si="17"/>
        <v>1.1479755502741786</v>
      </c>
      <c r="S44" s="414">
        <f t="shared" si="17"/>
        <v>1.1479755502741786</v>
      </c>
      <c r="T44" s="414">
        <f t="shared" si="17"/>
        <v>1.1479755502741786</v>
      </c>
      <c r="U44" s="414">
        <f t="shared" si="17"/>
        <v>1.1479755502741786</v>
      </c>
      <c r="V44" s="414">
        <f t="shared" si="17"/>
        <v>1.1479755502741786</v>
      </c>
      <c r="W44" s="414">
        <f t="shared" si="17"/>
        <v>1.1479755502741786</v>
      </c>
      <c r="X44" s="414">
        <f t="shared" si="17"/>
        <v>1.1479755502741786</v>
      </c>
      <c r="Y44" s="414">
        <f t="shared" si="17"/>
        <v>1.1479755502741786</v>
      </c>
      <c r="Z44" s="414">
        <f t="shared" si="17"/>
        <v>1.1479755502741786</v>
      </c>
      <c r="AA44" s="414">
        <f t="shared" si="17"/>
        <v>1.1479755502741786</v>
      </c>
      <c r="AB44" s="414">
        <f t="shared" si="17"/>
        <v>1.1479755502741786</v>
      </c>
      <c r="AC44" s="414">
        <f t="shared" si="17"/>
        <v>1.1479755502741786</v>
      </c>
      <c r="AD44" s="414">
        <f t="shared" si="17"/>
        <v>1.1479755502741786</v>
      </c>
      <c r="AE44" s="414">
        <f t="shared" si="17"/>
        <v>1.1479755502741786</v>
      </c>
      <c r="AF44" s="414">
        <f t="shared" si="17"/>
        <v>1.1479755502741786</v>
      </c>
      <c r="AG44" s="414">
        <f t="shared" si="17"/>
        <v>1.1479755502741786</v>
      </c>
      <c r="AH44" s="414">
        <f t="shared" si="17"/>
        <v>1.1479755502741786</v>
      </c>
      <c r="AI44" s="414">
        <f t="shared" si="17"/>
        <v>1.1479755502741786</v>
      </c>
      <c r="AJ44" s="414">
        <f t="shared" si="17"/>
        <v>1.1479755502741786</v>
      </c>
      <c r="AK44" s="414">
        <f t="shared" si="17"/>
        <v>1.1479755502741786</v>
      </c>
      <c r="AL44" s="414">
        <f t="shared" si="17"/>
        <v>1.1479755502741786</v>
      </c>
    </row>
    <row r="45" spans="2:38" s="421" customFormat="1" ht="13">
      <c r="B45" s="418"/>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row>
    <row r="46" spans="2:38" s="421" customFormat="1" ht="13">
      <c r="B46" s="422" t="s">
        <v>668</v>
      </c>
      <c r="C46" s="408"/>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c r="B47" s="411" t="s">
        <v>653</v>
      </c>
      <c r="C47" s="412" t="s">
        <v>654</v>
      </c>
      <c r="D47" s="423">
        <f>((D$14*D$15+0.2)/0.2)^(0.3116)</f>
        <v>29.872772164339281</v>
      </c>
      <c r="E47" s="423">
        <f t="shared" ref="E47:AL47" si="18">((E$14*E$15+0.2)/0.2)^(0.3116)</f>
        <v>30.243830394338076</v>
      </c>
      <c r="F47" s="423">
        <f t="shared" si="18"/>
        <v>30.619497909810075</v>
      </c>
      <c r="G47" s="423">
        <f t="shared" si="18"/>
        <v>30.999831960163949</v>
      </c>
      <c r="H47" s="423">
        <f t="shared" si="18"/>
        <v>31.384890506063932</v>
      </c>
      <c r="I47" s="423">
        <f t="shared" si="18"/>
        <v>31.774732228261112</v>
      </c>
      <c r="J47" s="423">
        <f t="shared" si="18"/>
        <v>32.169416536534555</v>
      </c>
      <c r="K47" s="423">
        <f t="shared" si="18"/>
        <v>32.56900357874364</v>
      </c>
      <c r="L47" s="423">
        <f t="shared" si="18"/>
        <v>32.973554249992773</v>
      </c>
      <c r="M47" s="423">
        <f t="shared" si="18"/>
        <v>33.383130201910298</v>
      </c>
      <c r="N47" s="423">
        <f t="shared" si="18"/>
        <v>33.797793852042389</v>
      </c>
      <c r="O47" s="423">
        <f t="shared" si="18"/>
        <v>34.217608393364067</v>
      </c>
      <c r="P47" s="423">
        <f t="shared" si="18"/>
        <v>34.642637803908165</v>
      </c>
      <c r="Q47" s="423">
        <f t="shared" si="18"/>
        <v>35.072946856514179</v>
      </c>
      <c r="R47" s="423">
        <f t="shared" si="18"/>
        <v>35.508601128698153</v>
      </c>
      <c r="S47" s="423">
        <f t="shared" si="18"/>
        <v>35.949667012645307</v>
      </c>
      <c r="T47" s="423">
        <f t="shared" si="18"/>
        <v>36.396211725326815</v>
      </c>
      <c r="U47" s="423">
        <f t="shared" si="18"/>
        <v>36.848303318742389</v>
      </c>
      <c r="V47" s="423">
        <f t="shared" si="18"/>
        <v>37.306010690290051</v>
      </c>
      <c r="W47" s="423">
        <f t="shared" si="18"/>
        <v>37.769403593264947</v>
      </c>
      <c r="X47" s="423">
        <f t="shared" si="18"/>
        <v>38.238552647488426</v>
      </c>
      <c r="Y47" s="423">
        <f t="shared" si="18"/>
        <v>38.713529350069408</v>
      </c>
      <c r="Z47" s="423">
        <f t="shared" si="18"/>
        <v>39.194406086299352</v>
      </c>
      <c r="AA47" s="423">
        <f t="shared" si="18"/>
        <v>39.681256140682621</v>
      </c>
      <c r="AB47" s="423">
        <f t="shared" si="18"/>
        <v>40.174153708104065</v>
      </c>
      <c r="AC47" s="423">
        <f t="shared" si="18"/>
        <v>40.673173905135243</v>
      </c>
      <c r="AD47" s="423">
        <f t="shared" si="18"/>
        <v>41.178392781481087</v>
      </c>
      <c r="AE47" s="423">
        <f t="shared" si="18"/>
        <v>41.689887331568933</v>
      </c>
      <c r="AF47" s="423">
        <f t="shared" si="18"/>
        <v>42.207735506281679</v>
      </c>
      <c r="AG47" s="423">
        <f t="shared" si="18"/>
        <v>42.732016224836222</v>
      </c>
      <c r="AH47" s="423">
        <f t="shared" si="18"/>
        <v>43.26280938681019</v>
      </c>
      <c r="AI47" s="423">
        <f t="shared" si="18"/>
        <v>43.800195884317567</v>
      </c>
      <c r="AJ47" s="423">
        <f t="shared" si="18"/>
        <v>44.344257614335866</v>
      </c>
      <c r="AK47" s="423">
        <f t="shared" si="18"/>
        <v>44.895077491186377</v>
      </c>
      <c r="AL47" s="423">
        <f t="shared" si="18"/>
        <v>45.452739459169571</v>
      </c>
    </row>
    <row r="48" spans="2:38" s="421" customFormat="1">
      <c r="B48" s="411" t="s">
        <v>655</v>
      </c>
      <c r="C48" s="412" t="s">
        <v>656</v>
      </c>
      <c r="D48" s="414">
        <f t="shared" ref="D48:AL48" si="19">EXP(0.2912*$D$9)</f>
        <v>1</v>
      </c>
      <c r="E48" s="414">
        <f t="shared" si="19"/>
        <v>1</v>
      </c>
      <c r="F48" s="414">
        <f t="shared" si="19"/>
        <v>1</v>
      </c>
      <c r="G48" s="414">
        <f t="shared" si="19"/>
        <v>1</v>
      </c>
      <c r="H48" s="414">
        <f t="shared" si="19"/>
        <v>1</v>
      </c>
      <c r="I48" s="414">
        <f t="shared" si="19"/>
        <v>1</v>
      </c>
      <c r="J48" s="414">
        <f t="shared" si="19"/>
        <v>1</v>
      </c>
      <c r="K48" s="414">
        <f t="shared" si="19"/>
        <v>1</v>
      </c>
      <c r="L48" s="414">
        <f t="shared" si="19"/>
        <v>1</v>
      </c>
      <c r="M48" s="414">
        <f t="shared" si="19"/>
        <v>1</v>
      </c>
      <c r="N48" s="414">
        <f t="shared" si="19"/>
        <v>1</v>
      </c>
      <c r="O48" s="414">
        <f t="shared" si="19"/>
        <v>1</v>
      </c>
      <c r="P48" s="414">
        <f t="shared" si="19"/>
        <v>1</v>
      </c>
      <c r="Q48" s="414">
        <f t="shared" si="19"/>
        <v>1</v>
      </c>
      <c r="R48" s="414">
        <f t="shared" si="19"/>
        <v>1</v>
      </c>
      <c r="S48" s="414">
        <f t="shared" si="19"/>
        <v>1</v>
      </c>
      <c r="T48" s="414">
        <f t="shared" si="19"/>
        <v>1</v>
      </c>
      <c r="U48" s="414">
        <f t="shared" si="19"/>
        <v>1</v>
      </c>
      <c r="V48" s="414">
        <f t="shared" si="19"/>
        <v>1</v>
      </c>
      <c r="W48" s="414">
        <f t="shared" si="19"/>
        <v>1</v>
      </c>
      <c r="X48" s="414">
        <f t="shared" si="19"/>
        <v>1</v>
      </c>
      <c r="Y48" s="414">
        <f t="shared" si="19"/>
        <v>1</v>
      </c>
      <c r="Z48" s="414">
        <f t="shared" si="19"/>
        <v>1</v>
      </c>
      <c r="AA48" s="414">
        <f t="shared" si="19"/>
        <v>1</v>
      </c>
      <c r="AB48" s="414">
        <f t="shared" si="19"/>
        <v>1</v>
      </c>
      <c r="AC48" s="414">
        <f t="shared" si="19"/>
        <v>1</v>
      </c>
      <c r="AD48" s="414">
        <f t="shared" si="19"/>
        <v>1</v>
      </c>
      <c r="AE48" s="414">
        <f t="shared" si="19"/>
        <v>1</v>
      </c>
      <c r="AF48" s="414">
        <f t="shared" si="19"/>
        <v>1</v>
      </c>
      <c r="AG48" s="414">
        <f t="shared" si="19"/>
        <v>1</v>
      </c>
      <c r="AH48" s="414">
        <f t="shared" si="19"/>
        <v>1</v>
      </c>
      <c r="AI48" s="414">
        <f t="shared" si="19"/>
        <v>1</v>
      </c>
      <c r="AJ48" s="414">
        <f t="shared" si="19"/>
        <v>1</v>
      </c>
      <c r="AK48" s="414">
        <f t="shared" si="19"/>
        <v>1</v>
      </c>
      <c r="AL48" s="414">
        <f t="shared" si="19"/>
        <v>1</v>
      </c>
    </row>
    <row r="49" spans="2:38" s="421" customFormat="1">
      <c r="B49" s="411" t="s">
        <v>657</v>
      </c>
      <c r="C49" s="416" t="s">
        <v>658</v>
      </c>
      <c r="D49" s="414">
        <v>1</v>
      </c>
      <c r="E49" s="414">
        <v>1</v>
      </c>
      <c r="F49" s="414">
        <v>1</v>
      </c>
      <c r="G49" s="414">
        <v>1</v>
      </c>
      <c r="H49" s="414">
        <v>1</v>
      </c>
      <c r="I49" s="414">
        <v>1</v>
      </c>
      <c r="J49" s="414">
        <v>1</v>
      </c>
      <c r="K49" s="414">
        <v>1</v>
      </c>
      <c r="L49" s="414">
        <v>1</v>
      </c>
      <c r="M49" s="414">
        <v>1</v>
      </c>
      <c r="N49" s="414">
        <v>1</v>
      </c>
      <c r="O49" s="414">
        <v>1</v>
      </c>
      <c r="P49" s="414">
        <v>1</v>
      </c>
      <c r="Q49" s="414">
        <v>1</v>
      </c>
      <c r="R49" s="414">
        <v>1</v>
      </c>
      <c r="S49" s="414">
        <v>1</v>
      </c>
      <c r="T49" s="414">
        <v>1</v>
      </c>
      <c r="U49" s="414">
        <v>1</v>
      </c>
      <c r="V49" s="414">
        <v>1</v>
      </c>
      <c r="W49" s="414">
        <v>1</v>
      </c>
      <c r="X49" s="414">
        <v>1</v>
      </c>
      <c r="Y49" s="414">
        <v>1</v>
      </c>
      <c r="Z49" s="414">
        <v>1</v>
      </c>
      <c r="AA49" s="414">
        <v>1</v>
      </c>
      <c r="AB49" s="414">
        <v>1</v>
      </c>
      <c r="AC49" s="414">
        <v>1</v>
      </c>
      <c r="AD49" s="414">
        <v>1</v>
      </c>
      <c r="AE49" s="414">
        <v>1</v>
      </c>
      <c r="AF49" s="414">
        <v>1</v>
      </c>
      <c r="AG49" s="414">
        <v>1</v>
      </c>
      <c r="AH49" s="414">
        <v>1</v>
      </c>
      <c r="AI49" s="414">
        <v>1</v>
      </c>
      <c r="AJ49" s="414">
        <v>1</v>
      </c>
      <c r="AK49" s="414">
        <v>1</v>
      </c>
      <c r="AL49" s="414">
        <v>1</v>
      </c>
    </row>
    <row r="50" spans="2:38" s="421" customFormat="1">
      <c r="B50" s="411" t="s">
        <v>659</v>
      </c>
      <c r="C50" s="412" t="s">
        <v>660</v>
      </c>
      <c r="D50" s="414">
        <v>1</v>
      </c>
      <c r="E50" s="414">
        <v>1</v>
      </c>
      <c r="F50" s="414">
        <v>1</v>
      </c>
      <c r="G50" s="414">
        <v>1</v>
      </c>
      <c r="H50" s="414">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661</v>
      </c>
      <c r="C51" s="412" t="s">
        <v>662</v>
      </c>
      <c r="D51" s="414">
        <v>1</v>
      </c>
      <c r="E51" s="414">
        <v>1</v>
      </c>
      <c r="F51" s="414">
        <v>1</v>
      </c>
      <c r="G51" s="414">
        <v>1</v>
      </c>
      <c r="H51" s="414">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663</v>
      </c>
      <c r="C52" s="412" t="s">
        <v>664</v>
      </c>
      <c r="D52" s="414">
        <v>1</v>
      </c>
      <c r="E52" s="414">
        <v>1</v>
      </c>
      <c r="F52" s="414">
        <v>1</v>
      </c>
      <c r="G52" s="414">
        <v>1</v>
      </c>
      <c r="H52" s="414">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24" t="s">
        <v>665</v>
      </c>
      <c r="C53" s="425" t="s">
        <v>666</v>
      </c>
      <c r="D53" s="426">
        <f t="shared" ref="D53:AL53" si="20">EXP(0.1036*($D$10-1))</f>
        <v>1.1091567034898182</v>
      </c>
      <c r="E53" s="426">
        <f t="shared" si="20"/>
        <v>1.1091567034898182</v>
      </c>
      <c r="F53" s="426">
        <f t="shared" si="20"/>
        <v>1.1091567034898182</v>
      </c>
      <c r="G53" s="426">
        <f t="shared" si="20"/>
        <v>1.1091567034898182</v>
      </c>
      <c r="H53" s="426">
        <f t="shared" si="20"/>
        <v>1.1091567034898182</v>
      </c>
      <c r="I53" s="426">
        <f t="shared" si="20"/>
        <v>1.1091567034898182</v>
      </c>
      <c r="J53" s="426">
        <f t="shared" si="20"/>
        <v>1.1091567034898182</v>
      </c>
      <c r="K53" s="426">
        <f t="shared" si="20"/>
        <v>1.1091567034898182</v>
      </c>
      <c r="L53" s="426">
        <f t="shared" si="20"/>
        <v>1.1091567034898182</v>
      </c>
      <c r="M53" s="426">
        <f t="shared" si="20"/>
        <v>1.1091567034898182</v>
      </c>
      <c r="N53" s="426">
        <f t="shared" si="20"/>
        <v>1.1091567034898182</v>
      </c>
      <c r="O53" s="426">
        <f t="shared" si="20"/>
        <v>1.1091567034898182</v>
      </c>
      <c r="P53" s="426">
        <f t="shared" si="20"/>
        <v>1.1091567034898182</v>
      </c>
      <c r="Q53" s="426">
        <f t="shared" si="20"/>
        <v>1.1091567034898182</v>
      </c>
      <c r="R53" s="426">
        <f t="shared" si="20"/>
        <v>1.1091567034898182</v>
      </c>
      <c r="S53" s="426">
        <f t="shared" si="20"/>
        <v>1.1091567034898182</v>
      </c>
      <c r="T53" s="426">
        <f t="shared" si="20"/>
        <v>1.1091567034898182</v>
      </c>
      <c r="U53" s="426">
        <f t="shared" si="20"/>
        <v>1.1091567034898182</v>
      </c>
      <c r="V53" s="426">
        <f t="shared" si="20"/>
        <v>1.1091567034898182</v>
      </c>
      <c r="W53" s="426">
        <f t="shared" si="20"/>
        <v>1.1091567034898182</v>
      </c>
      <c r="X53" s="426">
        <f t="shared" si="20"/>
        <v>1.1091567034898182</v>
      </c>
      <c r="Y53" s="426">
        <f t="shared" si="20"/>
        <v>1.1091567034898182</v>
      </c>
      <c r="Z53" s="426">
        <f t="shared" si="20"/>
        <v>1.1091567034898182</v>
      </c>
      <c r="AA53" s="426">
        <f t="shared" si="20"/>
        <v>1.1091567034898182</v>
      </c>
      <c r="AB53" s="426">
        <f t="shared" si="20"/>
        <v>1.1091567034898182</v>
      </c>
      <c r="AC53" s="426">
        <f t="shared" si="20"/>
        <v>1.1091567034898182</v>
      </c>
      <c r="AD53" s="426">
        <f t="shared" si="20"/>
        <v>1.1091567034898182</v>
      </c>
      <c r="AE53" s="426">
        <f t="shared" si="20"/>
        <v>1.1091567034898182</v>
      </c>
      <c r="AF53" s="426">
        <f t="shared" si="20"/>
        <v>1.1091567034898182</v>
      </c>
      <c r="AG53" s="426">
        <f t="shared" si="20"/>
        <v>1.1091567034898182</v>
      </c>
      <c r="AH53" s="426">
        <f t="shared" si="20"/>
        <v>1.1091567034898182</v>
      </c>
      <c r="AI53" s="426">
        <f t="shared" si="20"/>
        <v>1.1091567034898182</v>
      </c>
      <c r="AJ53" s="426">
        <f t="shared" si="20"/>
        <v>1.1091567034898182</v>
      </c>
      <c r="AK53" s="426">
        <f t="shared" si="20"/>
        <v>1.1091567034898182</v>
      </c>
      <c r="AL53" s="426">
        <f t="shared" si="20"/>
        <v>1.1091567034898182</v>
      </c>
    </row>
    <row r="54" spans="2:38">
      <c r="B54" s="362"/>
      <c r="C54" s="427" t="s">
        <v>290</v>
      </c>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row>
    <row r="55" spans="2:38">
      <c r="B55" s="362" t="s">
        <v>669</v>
      </c>
      <c r="C55" s="428">
        <f>$E$6</f>
        <v>2.2680000000000001E-3</v>
      </c>
      <c r="D55" s="429">
        <f t="shared" ref="D55:AJ55" si="21">IF($D$6=$B28,$C$55*PRODUCT(D$29:D$35),IF($D$6=$B37,$C$55*PRODUCT(D$38:D$44), $C$55*PRODUCT(D$47:D$53)))</f>
        <v>7.0149619852555051E-2</v>
      </c>
      <c r="E55" s="429">
        <f t="shared" si="21"/>
        <v>7.1082332682769367E-2</v>
      </c>
      <c r="F55" s="429">
        <f t="shared" si="21"/>
        <v>7.2027447576799894E-2</v>
      </c>
      <c r="G55" s="429">
        <f t="shared" si="21"/>
        <v>7.2985129424578951E-2</v>
      </c>
      <c r="H55" s="429">
        <f t="shared" si="21"/>
        <v>7.3955545308763915E-2</v>
      </c>
      <c r="I55" s="429">
        <f t="shared" si="21"/>
        <v>7.4938864533884292E-2</v>
      </c>
      <c r="J55" s="429">
        <f t="shared" si="21"/>
        <v>7.5935258655876858E-2</v>
      </c>
      <c r="K55" s="429">
        <f t="shared" si="21"/>
        <v>7.694490151201365E-2</v>
      </c>
      <c r="L55" s="429">
        <f t="shared" si="21"/>
        <v>7.7967969251227731E-2</v>
      </c>
      <c r="M55" s="429">
        <f t="shared" si="21"/>
        <v>7.9004640364843198E-2</v>
      </c>
      <c r="N55" s="429">
        <f t="shared" si="21"/>
        <v>8.0055095717712826E-2</v>
      </c>
      <c r="O55" s="429">
        <f t="shared" si="21"/>
        <v>8.1119518579771135E-2</v>
      </c>
      <c r="P55" s="429">
        <f t="shared" si="21"/>
        <v>8.219809465800601E-2</v>
      </c>
      <c r="Q55" s="429">
        <f t="shared" si="21"/>
        <v>8.3291012128856479E-2</v>
      </c>
      <c r="R55" s="429">
        <f t="shared" si="21"/>
        <v>8.4398461671040939E-2</v>
      </c>
      <c r="S55" s="429">
        <f t="shared" si="21"/>
        <v>8.5520636498822244E-2</v>
      </c>
      <c r="T55" s="429">
        <f t="shared" si="21"/>
        <v>8.6657732395715101E-2</v>
      </c>
      <c r="U55" s="429">
        <f t="shared" si="21"/>
        <v>8.7809947748642106E-2</v>
      </c>
      <c r="V55" s="429">
        <f t="shared" si="21"/>
        <v>8.897748358254351E-2</v>
      </c>
      <c r="W55" s="429">
        <f t="shared" si="21"/>
        <v>9.0160543595448062E-2</v>
      </c>
      <c r="X55" s="429">
        <f t="shared" si="21"/>
        <v>9.1359334194009587E-2</v>
      </c>
      <c r="Y55" s="429">
        <f t="shared" si="21"/>
        <v>9.2574064529516692E-2</v>
      </c>
      <c r="Z55" s="429">
        <f t="shared" si="21"/>
        <v>9.3804946534381192E-2</v>
      </c>
      <c r="AA55" s="429">
        <f t="shared" si="21"/>
        <v>9.5052194959111838E-2</v>
      </c>
      <c r="AB55" s="429">
        <f t="shared" si="21"/>
        <v>9.6316027409779875E-2</v>
      </c>
      <c r="AC55" s="429">
        <f t="shared" si="21"/>
        <v>9.7596664385982801E-2</v>
      </c>
      <c r="AD55" s="429">
        <f t="shared" si="21"/>
        <v>9.8894329319312954E-2</v>
      </c>
      <c r="AE55" s="429">
        <f t="shared" si="21"/>
        <v>0.10020924861233795</v>
      </c>
      <c r="AF55" s="429">
        <f t="shared" si="21"/>
        <v>0.10154165167809927</v>
      </c>
      <c r="AG55" s="429">
        <f t="shared" si="21"/>
        <v>0.10289177098013624</v>
      </c>
      <c r="AH55" s="429">
        <f t="shared" si="21"/>
        <v>0.10425984207304234</v>
      </c>
      <c r="AI55" s="429">
        <f t="shared" si="21"/>
        <v>0.10564610364356079</v>
      </c>
      <c r="AJ55" s="429">
        <f t="shared" si="21"/>
        <v>0.10705079755222677</v>
      </c>
      <c r="AK55" s="429">
        <f t="shared" ref="AK55:AL55" si="22">IF($D$6=$B28,$C$55*PRODUCT(AK$29:AK$35),IF($D$6=$B37,$C$55*PRODUCT(AK$38:AK$44), $C$55*PRODUCT(AK$47:AK$53)))</f>
        <v>0.10847416887556303</v>
      </c>
      <c r="AL55" s="429">
        <f t="shared" si="22"/>
        <v>0.10991646594883762</v>
      </c>
    </row>
    <row r="57" spans="2:38" ht="13">
      <c r="B57" s="407" t="s">
        <v>670</v>
      </c>
      <c r="C57" s="396" t="s">
        <v>627</v>
      </c>
      <c r="D57" s="397">
        <v>2018</v>
      </c>
      <c r="E57" s="397">
        <v>2020</v>
      </c>
      <c r="F57" s="397">
        <v>2021</v>
      </c>
      <c r="G57" s="397">
        <v>2022</v>
      </c>
      <c r="H57" s="397">
        <v>2023</v>
      </c>
      <c r="I57" s="397">
        <v>2024</v>
      </c>
      <c r="J57" s="397">
        <v>2025</v>
      </c>
      <c r="K57" s="397">
        <v>2026</v>
      </c>
      <c r="L57" s="397">
        <v>2027</v>
      </c>
      <c r="M57" s="397">
        <v>2028</v>
      </c>
      <c r="N57" s="397">
        <v>2029</v>
      </c>
      <c r="O57" s="397">
        <v>2030</v>
      </c>
      <c r="P57" s="397">
        <v>2031</v>
      </c>
      <c r="Q57" s="397">
        <v>2032</v>
      </c>
      <c r="R57" s="397">
        <v>2033</v>
      </c>
      <c r="S57" s="397">
        <v>2034</v>
      </c>
      <c r="T57" s="397">
        <v>2035</v>
      </c>
      <c r="U57" s="397">
        <v>2036</v>
      </c>
      <c r="V57" s="397">
        <v>2037</v>
      </c>
      <c r="W57" s="397">
        <v>2038</v>
      </c>
      <c r="X57" s="397">
        <v>2039</v>
      </c>
      <c r="Y57" s="397">
        <v>2040</v>
      </c>
      <c r="Z57" s="397">
        <v>2041</v>
      </c>
      <c r="AA57" s="397">
        <v>2042</v>
      </c>
      <c r="AB57" s="397">
        <v>2043</v>
      </c>
      <c r="AC57" s="397">
        <v>2044</v>
      </c>
      <c r="AD57" s="397">
        <v>2044</v>
      </c>
      <c r="AE57" s="397">
        <v>2044</v>
      </c>
      <c r="AF57" s="397">
        <v>2044</v>
      </c>
      <c r="AG57" s="397">
        <v>2044</v>
      </c>
      <c r="AH57" s="397">
        <v>2044</v>
      </c>
      <c r="AI57" s="397">
        <v>2044</v>
      </c>
      <c r="AJ57" s="397">
        <v>2044</v>
      </c>
      <c r="AK57" s="397">
        <v>2044</v>
      </c>
      <c r="AL57" s="397">
        <v>2044</v>
      </c>
    </row>
    <row r="58" spans="2:38" s="366" customFormat="1">
      <c r="B58" s="366" t="s">
        <v>671</v>
      </c>
      <c r="C58" s="430" t="s">
        <v>662</v>
      </c>
      <c r="D58" s="431">
        <f t="shared" ref="D58:AE58" si="23">D19^(-1.074)</f>
        <v>0.11486407065121609</v>
      </c>
      <c r="E58" s="432">
        <f t="shared" si="23"/>
        <v>0.11486407065121609</v>
      </c>
      <c r="F58" s="432">
        <f t="shared" si="23"/>
        <v>0.11486407065121609</v>
      </c>
      <c r="G58" s="432">
        <f t="shared" si="23"/>
        <v>0.11486407065121609</v>
      </c>
      <c r="H58" s="432">
        <f t="shared" si="23"/>
        <v>0.11486407065121609</v>
      </c>
      <c r="I58" s="432">
        <f t="shared" si="23"/>
        <v>0.11486407065121609</v>
      </c>
      <c r="J58" s="432">
        <f t="shared" si="23"/>
        <v>0.11486407065121609</v>
      </c>
      <c r="K58" s="432">
        <f t="shared" si="23"/>
        <v>0.11486407065121609</v>
      </c>
      <c r="L58" s="432">
        <f t="shared" si="23"/>
        <v>0.11486407065121609</v>
      </c>
      <c r="M58" s="432">
        <f t="shared" si="23"/>
        <v>0.11486407065121609</v>
      </c>
      <c r="N58" s="432">
        <f t="shared" si="23"/>
        <v>0.11486407065121609</v>
      </c>
      <c r="O58" s="432">
        <f t="shared" si="23"/>
        <v>0.11486407065121609</v>
      </c>
      <c r="P58" s="432">
        <f t="shared" si="23"/>
        <v>0.11486407065121609</v>
      </c>
      <c r="Q58" s="432">
        <f t="shared" si="23"/>
        <v>0.11486407065121609</v>
      </c>
      <c r="R58" s="432">
        <f t="shared" si="23"/>
        <v>0.11486407065121609</v>
      </c>
      <c r="S58" s="432">
        <f t="shared" si="23"/>
        <v>0.11486407065121609</v>
      </c>
      <c r="T58" s="432">
        <f t="shared" si="23"/>
        <v>0.11486407065121609</v>
      </c>
      <c r="U58" s="432">
        <f t="shared" si="23"/>
        <v>0.11486407065121609</v>
      </c>
      <c r="V58" s="432">
        <f t="shared" si="23"/>
        <v>0.11486407065121609</v>
      </c>
      <c r="W58" s="432">
        <f t="shared" si="23"/>
        <v>0.11486407065121609</v>
      </c>
      <c r="X58" s="432">
        <f t="shared" si="23"/>
        <v>0.11486407065121609</v>
      </c>
      <c r="Y58" s="432">
        <f t="shared" si="23"/>
        <v>0.11486407065121609</v>
      </c>
      <c r="Z58" s="432">
        <f t="shared" si="23"/>
        <v>0.11486407065121609</v>
      </c>
      <c r="AA58" s="432">
        <f t="shared" si="23"/>
        <v>0.11486407065121609</v>
      </c>
      <c r="AB58" s="432">
        <f t="shared" si="23"/>
        <v>0.11486407065121609</v>
      </c>
      <c r="AC58" s="432">
        <f t="shared" si="23"/>
        <v>0.11486407065121609</v>
      </c>
      <c r="AD58" s="432">
        <f t="shared" si="23"/>
        <v>0.11486407065121609</v>
      </c>
      <c r="AE58" s="432">
        <f t="shared" si="23"/>
        <v>0.11486407065121609</v>
      </c>
      <c r="AF58" s="432">
        <f t="shared" ref="AF58:AJ58" si="24">AF19^(-1.074)</f>
        <v>0.11486407065121609</v>
      </c>
      <c r="AG58" s="432">
        <f t="shared" si="24"/>
        <v>0.11486407065121609</v>
      </c>
      <c r="AH58" s="432">
        <f t="shared" si="24"/>
        <v>0.11486407065121609</v>
      </c>
      <c r="AI58" s="432">
        <f t="shared" si="24"/>
        <v>0.11486407065121609</v>
      </c>
      <c r="AJ58" s="432">
        <f t="shared" si="24"/>
        <v>0.11486407065121609</v>
      </c>
      <c r="AK58" s="432">
        <f t="shared" ref="AK58:AL58" si="25">AK19^(-1.074)</f>
        <v>0.11486407065121609</v>
      </c>
      <c r="AL58" s="432">
        <f t="shared" si="25"/>
        <v>0.11486407065121609</v>
      </c>
    </row>
    <row r="59" spans="2:38">
      <c r="B59" s="358" t="s">
        <v>606</v>
      </c>
      <c r="C59" s="419" t="s">
        <v>672</v>
      </c>
      <c r="D59" s="417">
        <f>(D$16+1)^(-0.1025)</f>
        <v>0.89285598450946391</v>
      </c>
      <c r="E59" s="417">
        <f t="shared" ref="E59:AL59" si="26">(E$16+1)^(-0.1025)</f>
        <v>0.89220912192398749</v>
      </c>
      <c r="F59" s="417">
        <f t="shared" si="26"/>
        <v>0.89156048349501171</v>
      </c>
      <c r="G59" s="417">
        <f t="shared" si="26"/>
        <v>0.89091008192725418</v>
      </c>
      <c r="H59" s="417">
        <f t="shared" si="26"/>
        <v>0.89025792999093223</v>
      </c>
      <c r="I59" s="417">
        <f t="shared" si="26"/>
        <v>0.88960404051976527</v>
      </c>
      <c r="J59" s="417">
        <f t="shared" si="26"/>
        <v>0.88894842640897598</v>
      </c>
      <c r="K59" s="417">
        <f t="shared" si="26"/>
        <v>0.88829110061329519</v>
      </c>
      <c r="L59" s="417">
        <f t="shared" si="26"/>
        <v>0.88763207614496653</v>
      </c>
      <c r="M59" s="417">
        <f t="shared" si="26"/>
        <v>0.88697136607175475</v>
      </c>
      <c r="N59" s="417">
        <f t="shared" si="26"/>
        <v>0.88630898351495846</v>
      </c>
      <c r="O59" s="417">
        <f t="shared" si="26"/>
        <v>0.88564494164742358</v>
      </c>
      <c r="P59" s="417">
        <f t="shared" si="26"/>
        <v>0.88497925369156449</v>
      </c>
      <c r="Q59" s="417">
        <f t="shared" si="26"/>
        <v>0.8843119329173883</v>
      </c>
      <c r="R59" s="417">
        <f t="shared" si="26"/>
        <v>0.88364299264052493</v>
      </c>
      <c r="S59" s="417">
        <f t="shared" si="26"/>
        <v>0.88297244622026427</v>
      </c>
      <c r="T59" s="417">
        <f t="shared" si="26"/>
        <v>0.88230030705759988</v>
      </c>
      <c r="U59" s="417">
        <f t="shared" si="26"/>
        <v>0.88162658859327914</v>
      </c>
      <c r="V59" s="417">
        <f t="shared" si="26"/>
        <v>0.88095130430586199</v>
      </c>
      <c r="W59" s="417">
        <f t="shared" si="26"/>
        <v>0.88027446770978857</v>
      </c>
      <c r="X59" s="417">
        <f t="shared" si="26"/>
        <v>0.87959609235345493</v>
      </c>
      <c r="Y59" s="417">
        <f t="shared" si="26"/>
        <v>0.87891619181729919</v>
      </c>
      <c r="Z59" s="417">
        <f t="shared" si="26"/>
        <v>0.87823477971189645</v>
      </c>
      <c r="AA59" s="417">
        <f t="shared" si="26"/>
        <v>0.87755186967606535</v>
      </c>
      <c r="AB59" s="417">
        <f t="shared" si="26"/>
        <v>0.87686747537498577</v>
      </c>
      <c r="AC59" s="417">
        <f t="shared" si="26"/>
        <v>0.87618161049832688</v>
      </c>
      <c r="AD59" s="417">
        <f t="shared" si="26"/>
        <v>0.87549428875838731</v>
      </c>
      <c r="AE59" s="417">
        <f t="shared" si="26"/>
        <v>0.87480552388824917</v>
      </c>
      <c r="AF59" s="417">
        <f t="shared" si="26"/>
        <v>0.87411532963994387</v>
      </c>
      <c r="AG59" s="417">
        <f t="shared" si="26"/>
        <v>0.87342371978263023</v>
      </c>
      <c r="AH59" s="417">
        <f t="shared" si="26"/>
        <v>0.87273070810078812</v>
      </c>
      <c r="AI59" s="417">
        <f t="shared" si="26"/>
        <v>0.87203630839242585</v>
      </c>
      <c r="AJ59" s="417">
        <f t="shared" si="26"/>
        <v>0.87134053446730064</v>
      </c>
      <c r="AK59" s="417">
        <f t="shared" si="26"/>
        <v>0.87064340014515562</v>
      </c>
      <c r="AL59" s="417">
        <f t="shared" si="26"/>
        <v>0.86994491925397133</v>
      </c>
    </row>
    <row r="60" spans="2:38">
      <c r="B60" s="358" t="s">
        <v>673</v>
      </c>
      <c r="C60" s="419" t="s">
        <v>674</v>
      </c>
      <c r="D60" s="414">
        <f t="shared" ref="D60:AL60" si="27">(D$18+1)^(0.1025)</f>
        <v>1</v>
      </c>
      <c r="E60" s="415">
        <f t="shared" si="27"/>
        <v>1</v>
      </c>
      <c r="F60" s="415">
        <f t="shared" si="27"/>
        <v>1</v>
      </c>
      <c r="G60" s="415">
        <f t="shared" si="27"/>
        <v>1</v>
      </c>
      <c r="H60" s="415">
        <f t="shared" si="27"/>
        <v>1</v>
      </c>
      <c r="I60" s="415">
        <f t="shared" si="27"/>
        <v>1</v>
      </c>
      <c r="J60" s="415">
        <f t="shared" si="27"/>
        <v>1</v>
      </c>
      <c r="K60" s="415">
        <f t="shared" si="27"/>
        <v>1</v>
      </c>
      <c r="L60" s="415">
        <f t="shared" si="27"/>
        <v>1</v>
      </c>
      <c r="M60" s="415">
        <f t="shared" si="27"/>
        <v>1</v>
      </c>
      <c r="N60" s="415">
        <f t="shared" si="27"/>
        <v>1</v>
      </c>
      <c r="O60" s="415">
        <f t="shared" si="27"/>
        <v>1</v>
      </c>
      <c r="P60" s="415">
        <f t="shared" si="27"/>
        <v>1</v>
      </c>
      <c r="Q60" s="415">
        <f t="shared" si="27"/>
        <v>1</v>
      </c>
      <c r="R60" s="415">
        <f t="shared" si="27"/>
        <v>1</v>
      </c>
      <c r="S60" s="415">
        <f t="shared" si="27"/>
        <v>1</v>
      </c>
      <c r="T60" s="415">
        <f t="shared" si="27"/>
        <v>1</v>
      </c>
      <c r="U60" s="415">
        <f t="shared" si="27"/>
        <v>1</v>
      </c>
      <c r="V60" s="415">
        <f t="shared" si="27"/>
        <v>1</v>
      </c>
      <c r="W60" s="415">
        <f t="shared" si="27"/>
        <v>1</v>
      </c>
      <c r="X60" s="415">
        <f t="shared" si="27"/>
        <v>1</v>
      </c>
      <c r="Y60" s="415">
        <f t="shared" si="27"/>
        <v>1</v>
      </c>
      <c r="Z60" s="415">
        <f t="shared" si="27"/>
        <v>1</v>
      </c>
      <c r="AA60" s="415">
        <f t="shared" si="27"/>
        <v>1</v>
      </c>
      <c r="AB60" s="415">
        <f t="shared" si="27"/>
        <v>1</v>
      </c>
      <c r="AC60" s="415">
        <f t="shared" si="27"/>
        <v>1</v>
      </c>
      <c r="AD60" s="415">
        <f t="shared" si="27"/>
        <v>1</v>
      </c>
      <c r="AE60" s="415">
        <f t="shared" si="27"/>
        <v>1</v>
      </c>
      <c r="AF60" s="415">
        <f t="shared" si="27"/>
        <v>1</v>
      </c>
      <c r="AG60" s="415">
        <f t="shared" si="27"/>
        <v>1</v>
      </c>
      <c r="AH60" s="415">
        <f t="shared" si="27"/>
        <v>1</v>
      </c>
      <c r="AI60" s="415">
        <f t="shared" si="27"/>
        <v>1</v>
      </c>
      <c r="AJ60" s="415">
        <f t="shared" si="27"/>
        <v>1</v>
      </c>
      <c r="AK60" s="415">
        <f t="shared" si="27"/>
        <v>1</v>
      </c>
      <c r="AL60" s="415">
        <f t="shared" si="27"/>
        <v>1</v>
      </c>
    </row>
    <row r="61" spans="2:38">
      <c r="B61" s="433" t="s">
        <v>675</v>
      </c>
      <c r="C61" s="434" t="s">
        <v>676</v>
      </c>
      <c r="D61" s="426">
        <f t="shared" ref="D61:AL61" si="28">EXP(0.188*$E$5)</f>
        <v>1.2068335153496053</v>
      </c>
      <c r="E61" s="426">
        <f t="shared" si="28"/>
        <v>1.2068335153496053</v>
      </c>
      <c r="F61" s="426">
        <f t="shared" si="28"/>
        <v>1.2068335153496053</v>
      </c>
      <c r="G61" s="426">
        <f t="shared" si="28"/>
        <v>1.2068335153496053</v>
      </c>
      <c r="H61" s="426">
        <f t="shared" si="28"/>
        <v>1.2068335153496053</v>
      </c>
      <c r="I61" s="426">
        <f t="shared" si="28"/>
        <v>1.2068335153496053</v>
      </c>
      <c r="J61" s="426">
        <f t="shared" si="28"/>
        <v>1.2068335153496053</v>
      </c>
      <c r="K61" s="426">
        <f t="shared" si="28"/>
        <v>1.2068335153496053</v>
      </c>
      <c r="L61" s="426">
        <f t="shared" si="28"/>
        <v>1.2068335153496053</v>
      </c>
      <c r="M61" s="426">
        <f t="shared" si="28"/>
        <v>1.2068335153496053</v>
      </c>
      <c r="N61" s="426">
        <f t="shared" si="28"/>
        <v>1.2068335153496053</v>
      </c>
      <c r="O61" s="426">
        <f t="shared" si="28"/>
        <v>1.2068335153496053</v>
      </c>
      <c r="P61" s="426">
        <f t="shared" si="28"/>
        <v>1.2068335153496053</v>
      </c>
      <c r="Q61" s="426">
        <f t="shared" si="28"/>
        <v>1.2068335153496053</v>
      </c>
      <c r="R61" s="426">
        <f t="shared" si="28"/>
        <v>1.2068335153496053</v>
      </c>
      <c r="S61" s="426">
        <f t="shared" si="28"/>
        <v>1.2068335153496053</v>
      </c>
      <c r="T61" s="426">
        <f t="shared" si="28"/>
        <v>1.2068335153496053</v>
      </c>
      <c r="U61" s="426">
        <f t="shared" si="28"/>
        <v>1.2068335153496053</v>
      </c>
      <c r="V61" s="426">
        <f t="shared" si="28"/>
        <v>1.2068335153496053</v>
      </c>
      <c r="W61" s="426">
        <f t="shared" si="28"/>
        <v>1.2068335153496053</v>
      </c>
      <c r="X61" s="426">
        <f t="shared" si="28"/>
        <v>1.2068335153496053</v>
      </c>
      <c r="Y61" s="426">
        <f t="shared" si="28"/>
        <v>1.2068335153496053</v>
      </c>
      <c r="Z61" s="426">
        <f t="shared" si="28"/>
        <v>1.2068335153496053</v>
      </c>
      <c r="AA61" s="426">
        <f t="shared" si="28"/>
        <v>1.2068335153496053</v>
      </c>
      <c r="AB61" s="426">
        <f t="shared" si="28"/>
        <v>1.2068335153496053</v>
      </c>
      <c r="AC61" s="426">
        <f t="shared" si="28"/>
        <v>1.2068335153496053</v>
      </c>
      <c r="AD61" s="426">
        <f t="shared" si="28"/>
        <v>1.2068335153496053</v>
      </c>
      <c r="AE61" s="426">
        <f t="shared" si="28"/>
        <v>1.2068335153496053</v>
      </c>
      <c r="AF61" s="426">
        <f t="shared" si="28"/>
        <v>1.2068335153496053</v>
      </c>
      <c r="AG61" s="426">
        <f t="shared" si="28"/>
        <v>1.2068335153496053</v>
      </c>
      <c r="AH61" s="426">
        <f t="shared" si="28"/>
        <v>1.2068335153496053</v>
      </c>
      <c r="AI61" s="426">
        <f t="shared" si="28"/>
        <v>1.2068335153496053</v>
      </c>
      <c r="AJ61" s="426">
        <f t="shared" si="28"/>
        <v>1.2068335153496053</v>
      </c>
      <c r="AK61" s="426">
        <f t="shared" si="28"/>
        <v>1.2068335153496053</v>
      </c>
      <c r="AL61" s="426">
        <f t="shared" si="28"/>
        <v>1.2068335153496053</v>
      </c>
    </row>
    <row r="62" spans="2:38">
      <c r="B62" s="362"/>
      <c r="C62" s="427" t="s">
        <v>290</v>
      </c>
    </row>
    <row r="63" spans="2:38">
      <c r="B63" s="362" t="s">
        <v>677</v>
      </c>
      <c r="C63" s="406">
        <v>695</v>
      </c>
      <c r="D63" s="435">
        <f>1/(1+$C$63*PRODUCT(D$58:D$61))</f>
        <v>1.1491654386940005E-2</v>
      </c>
      <c r="E63" s="435">
        <f t="shared" ref="E63:AL63" si="29">1/(1+$C$63*PRODUCT(E$58:E$61))</f>
        <v>1.1499890165312419E-2</v>
      </c>
      <c r="F63" s="435">
        <f t="shared" si="29"/>
        <v>1.150816041544467E-2</v>
      </c>
      <c r="G63" s="435">
        <f t="shared" si="29"/>
        <v>1.1516465098310133E-2</v>
      </c>
      <c r="H63" s="435">
        <f t="shared" si="29"/>
        <v>1.1524804173868261E-2</v>
      </c>
      <c r="I63" s="435">
        <f t="shared" si="29"/>
        <v>1.1533177601077849E-2</v>
      </c>
      <c r="J63" s="435">
        <f t="shared" si="29"/>
        <v>1.1541585337910413E-2</v>
      </c>
      <c r="K63" s="435">
        <f t="shared" si="29"/>
        <v>1.1550027341363629E-2</v>
      </c>
      <c r="L63" s="435">
        <f t="shared" si="29"/>
        <v>1.1558503567474917E-2</v>
      </c>
      <c r="M63" s="435">
        <f t="shared" si="29"/>
        <v>1.1567013971335086E-2</v>
      </c>
      <c r="N63" s="435">
        <f t="shared" si="29"/>
        <v>1.1575558507102048E-2</v>
      </c>
      <c r="O63" s="435">
        <f t="shared" si="29"/>
        <v>1.1584137128014673E-2</v>
      </c>
      <c r="P63" s="435">
        <f t="shared" si="29"/>
        <v>1.1592749786406649E-2</v>
      </c>
      <c r="Q63" s="435">
        <f t="shared" si="29"/>
        <v>1.1601396433720454E-2</v>
      </c>
      <c r="R63" s="435">
        <f t="shared" si="29"/>
        <v>1.1610077020521397E-2</v>
      </c>
      <c r="S63" s="435">
        <f t="shared" si="29"/>
        <v>1.1618791496511691E-2</v>
      </c>
      <c r="T63" s="435">
        <f t="shared" si="29"/>
        <v>1.1627539810544599E-2</v>
      </c>
      <c r="U63" s="435">
        <f t="shared" si="29"/>
        <v>1.1636321910638635E-2</v>
      </c>
      <c r="V63" s="435">
        <f t="shared" si="29"/>
        <v>1.1645137743991806E-2</v>
      </c>
      <c r="W63" s="435">
        <f t="shared" si="29"/>
        <v>1.1653987256995886E-2</v>
      </c>
      <c r="X63" s="435">
        <f t="shared" si="29"/>
        <v>1.1662870395250737E-2</v>
      </c>
      <c r="Y63" s="435">
        <f t="shared" si="29"/>
        <v>1.1671787103578669E-2</v>
      </c>
      <c r="Z63" s="435">
        <f t="shared" si="29"/>
        <v>1.1680737326038804E-2</v>
      </c>
      <c r="AA63" s="435">
        <f t="shared" si="29"/>
        <v>1.1689721005941478E-2</v>
      </c>
      <c r="AB63" s="435">
        <f t="shared" si="29"/>
        <v>1.1698738085862666E-2</v>
      </c>
      <c r="AC63" s="435">
        <f t="shared" si="29"/>
        <v>1.17077885076584E-2</v>
      </c>
      <c r="AD63" s="435">
        <f t="shared" si="29"/>
        <v>1.1716872212479216E-2</v>
      </c>
      <c r="AE63" s="435">
        <f t="shared" si="29"/>
        <v>1.1725989140784604E-2</v>
      </c>
      <c r="AF63" s="435">
        <f t="shared" si="29"/>
        <v>1.1735139232357429E-2</v>
      </c>
      <c r="AG63" s="435">
        <f t="shared" si="29"/>
        <v>1.1744322426318392E-2</v>
      </c>
      <c r="AH63" s="435">
        <f t="shared" si="29"/>
        <v>1.1753538661140452E-2</v>
      </c>
      <c r="AI63" s="435">
        <f t="shared" si="29"/>
        <v>1.1762787874663243E-2</v>
      </c>
      <c r="AJ63" s="435">
        <f t="shared" si="29"/>
        <v>1.177207000410747E-2</v>
      </c>
      <c r="AK63" s="435">
        <f t="shared" si="29"/>
        <v>1.1781384986089299E-2</v>
      </c>
      <c r="AL63" s="435">
        <f t="shared" si="29"/>
        <v>1.1790732756634708E-2</v>
      </c>
    </row>
    <row r="65" spans="2:38" ht="13">
      <c r="B65" s="407" t="s">
        <v>678</v>
      </c>
      <c r="C65" s="396" t="s">
        <v>627</v>
      </c>
      <c r="D65" s="397">
        <v>2018</v>
      </c>
      <c r="E65" s="397">
        <v>2020</v>
      </c>
      <c r="F65" s="397">
        <v>2021</v>
      </c>
      <c r="G65" s="397">
        <v>2022</v>
      </c>
      <c r="H65" s="397">
        <v>2023</v>
      </c>
      <c r="I65" s="397">
        <v>2024</v>
      </c>
      <c r="J65" s="397">
        <v>2025</v>
      </c>
      <c r="K65" s="397">
        <v>2026</v>
      </c>
      <c r="L65" s="397">
        <v>2027</v>
      </c>
      <c r="M65" s="397">
        <v>2028</v>
      </c>
      <c r="N65" s="397">
        <v>2029</v>
      </c>
      <c r="O65" s="397">
        <v>2030</v>
      </c>
      <c r="P65" s="397">
        <v>2031</v>
      </c>
      <c r="Q65" s="397">
        <v>2032</v>
      </c>
      <c r="R65" s="397">
        <v>2033</v>
      </c>
      <c r="S65" s="397">
        <v>2034</v>
      </c>
      <c r="T65" s="397">
        <v>2035</v>
      </c>
      <c r="U65" s="397">
        <v>2036</v>
      </c>
      <c r="V65" s="397">
        <v>2037</v>
      </c>
      <c r="W65" s="397">
        <v>2038</v>
      </c>
      <c r="X65" s="397">
        <v>2039</v>
      </c>
      <c r="Y65" s="397">
        <v>2040</v>
      </c>
      <c r="Z65" s="397">
        <v>2041</v>
      </c>
      <c r="AA65" s="397">
        <v>2042</v>
      </c>
      <c r="AB65" s="397">
        <v>2043</v>
      </c>
      <c r="AC65" s="397">
        <v>2044</v>
      </c>
      <c r="AD65" s="397">
        <v>2044</v>
      </c>
      <c r="AE65" s="397">
        <v>2044</v>
      </c>
      <c r="AF65" s="397">
        <v>2044</v>
      </c>
      <c r="AG65" s="397">
        <v>2044</v>
      </c>
      <c r="AH65" s="397">
        <v>2044</v>
      </c>
      <c r="AI65" s="397">
        <v>2044</v>
      </c>
      <c r="AJ65" s="397">
        <v>2044</v>
      </c>
      <c r="AK65" s="397">
        <v>2044</v>
      </c>
      <c r="AL65" s="397">
        <v>2044</v>
      </c>
    </row>
    <row r="66" spans="2:38">
      <c r="B66" s="358" t="s">
        <v>679</v>
      </c>
      <c r="C66" s="436" t="s">
        <v>680</v>
      </c>
      <c r="D66" s="437">
        <f>D$63</f>
        <v>1.1491654386940005E-2</v>
      </c>
      <c r="E66" s="415">
        <f>E$63</f>
        <v>1.1499890165312419E-2</v>
      </c>
      <c r="F66" s="415">
        <f t="shared" ref="F66:AL66" si="30">F$63</f>
        <v>1.150816041544467E-2</v>
      </c>
      <c r="G66" s="415">
        <f t="shared" si="30"/>
        <v>1.1516465098310133E-2</v>
      </c>
      <c r="H66" s="415">
        <f t="shared" si="30"/>
        <v>1.1524804173868261E-2</v>
      </c>
      <c r="I66" s="415">
        <f t="shared" si="30"/>
        <v>1.1533177601077849E-2</v>
      </c>
      <c r="J66" s="415">
        <f t="shared" si="30"/>
        <v>1.1541585337910413E-2</v>
      </c>
      <c r="K66" s="415">
        <f t="shared" si="30"/>
        <v>1.1550027341363629E-2</v>
      </c>
      <c r="L66" s="415">
        <f t="shared" si="30"/>
        <v>1.1558503567474917E-2</v>
      </c>
      <c r="M66" s="415">
        <f t="shared" si="30"/>
        <v>1.1567013971335086E-2</v>
      </c>
      <c r="N66" s="415">
        <f t="shared" si="30"/>
        <v>1.1575558507102048E-2</v>
      </c>
      <c r="O66" s="415">
        <f t="shared" si="30"/>
        <v>1.1584137128014673E-2</v>
      </c>
      <c r="P66" s="415">
        <f t="shared" si="30"/>
        <v>1.1592749786406649E-2</v>
      </c>
      <c r="Q66" s="415">
        <f t="shared" si="30"/>
        <v>1.1601396433720454E-2</v>
      </c>
      <c r="R66" s="415">
        <f t="shared" si="30"/>
        <v>1.1610077020521397E-2</v>
      </c>
      <c r="S66" s="415">
        <f t="shared" si="30"/>
        <v>1.1618791496511691E-2</v>
      </c>
      <c r="T66" s="415">
        <f t="shared" si="30"/>
        <v>1.1627539810544599E-2</v>
      </c>
      <c r="U66" s="415">
        <f t="shared" si="30"/>
        <v>1.1636321910638635E-2</v>
      </c>
      <c r="V66" s="415">
        <f t="shared" si="30"/>
        <v>1.1645137743991806E-2</v>
      </c>
      <c r="W66" s="415">
        <f t="shared" si="30"/>
        <v>1.1653987256995886E-2</v>
      </c>
      <c r="X66" s="415">
        <f t="shared" si="30"/>
        <v>1.1662870395250737E-2</v>
      </c>
      <c r="Y66" s="415">
        <f t="shared" si="30"/>
        <v>1.1671787103578669E-2</v>
      </c>
      <c r="Z66" s="415">
        <f t="shared" si="30"/>
        <v>1.1680737326038804E-2</v>
      </c>
      <c r="AA66" s="415">
        <f t="shared" si="30"/>
        <v>1.1689721005941478E-2</v>
      </c>
      <c r="AB66" s="415">
        <f t="shared" si="30"/>
        <v>1.1698738085862666E-2</v>
      </c>
      <c r="AC66" s="415">
        <f t="shared" si="30"/>
        <v>1.17077885076584E-2</v>
      </c>
      <c r="AD66" s="415">
        <f t="shared" si="30"/>
        <v>1.1716872212479216E-2</v>
      </c>
      <c r="AE66" s="415">
        <f t="shared" si="30"/>
        <v>1.1725989140784604E-2</v>
      </c>
      <c r="AF66" s="415">
        <f t="shared" si="30"/>
        <v>1.1735139232357429E-2</v>
      </c>
      <c r="AG66" s="415">
        <f t="shared" si="30"/>
        <v>1.1744322426318392E-2</v>
      </c>
      <c r="AH66" s="415">
        <f t="shared" si="30"/>
        <v>1.1753538661140452E-2</v>
      </c>
      <c r="AI66" s="415">
        <f t="shared" si="30"/>
        <v>1.1762787874663243E-2</v>
      </c>
      <c r="AJ66" s="415">
        <f t="shared" si="30"/>
        <v>1.177207000410747E-2</v>
      </c>
      <c r="AK66" s="415">
        <f t="shared" si="30"/>
        <v>1.1781384986089299E-2</v>
      </c>
      <c r="AL66" s="415">
        <f t="shared" si="30"/>
        <v>1.1790732756634708E-2</v>
      </c>
    </row>
    <row r="67" spans="2:38">
      <c r="B67" s="358" t="s">
        <v>681</v>
      </c>
      <c r="C67" s="419" t="s">
        <v>682</v>
      </c>
      <c r="D67" s="414">
        <f>1-D66</f>
        <v>0.98850834561306</v>
      </c>
      <c r="E67" s="414">
        <f t="shared" ref="E67:AE67" si="31">1-E66</f>
        <v>0.98850010983468761</v>
      </c>
      <c r="F67" s="414">
        <f t="shared" si="31"/>
        <v>0.98849183958455533</v>
      </c>
      <c r="G67" s="414">
        <f t="shared" si="31"/>
        <v>0.98848353490168983</v>
      </c>
      <c r="H67" s="414">
        <f t="shared" si="31"/>
        <v>0.98847519582613175</v>
      </c>
      <c r="I67" s="414">
        <f t="shared" si="31"/>
        <v>0.98846682239892214</v>
      </c>
      <c r="J67" s="414">
        <f t="shared" si="31"/>
        <v>0.98845841466208961</v>
      </c>
      <c r="K67" s="414">
        <f t="shared" si="31"/>
        <v>0.98844997265863632</v>
      </c>
      <c r="L67" s="414">
        <f t="shared" si="31"/>
        <v>0.9884414964325251</v>
      </c>
      <c r="M67" s="414">
        <f t="shared" si="31"/>
        <v>0.98843298602866492</v>
      </c>
      <c r="N67" s="414">
        <f t="shared" si="31"/>
        <v>0.98842444149289799</v>
      </c>
      <c r="O67" s="414">
        <f t="shared" si="31"/>
        <v>0.98841586287198535</v>
      </c>
      <c r="P67" s="414">
        <f t="shared" si="31"/>
        <v>0.98840725021359332</v>
      </c>
      <c r="Q67" s="414">
        <f t="shared" si="31"/>
        <v>0.98839860356627951</v>
      </c>
      <c r="R67" s="414">
        <f t="shared" si="31"/>
        <v>0.98838992297947859</v>
      </c>
      <c r="S67" s="414">
        <f t="shared" si="31"/>
        <v>0.98838120850348832</v>
      </c>
      <c r="T67" s="414">
        <f t="shared" si="31"/>
        <v>0.98837246018945535</v>
      </c>
      <c r="U67" s="414">
        <f t="shared" si="31"/>
        <v>0.98836367808936132</v>
      </c>
      <c r="V67" s="414">
        <f t="shared" si="31"/>
        <v>0.98835486225600822</v>
      </c>
      <c r="W67" s="414">
        <f t="shared" si="31"/>
        <v>0.98834601274300415</v>
      </c>
      <c r="X67" s="414">
        <f t="shared" si="31"/>
        <v>0.98833712960474929</v>
      </c>
      <c r="Y67" s="414">
        <f t="shared" si="31"/>
        <v>0.98832821289642137</v>
      </c>
      <c r="Z67" s="414">
        <f t="shared" si="31"/>
        <v>0.9883192626739612</v>
      </c>
      <c r="AA67" s="414">
        <f t="shared" si="31"/>
        <v>0.98831027899405854</v>
      </c>
      <c r="AB67" s="414">
        <f t="shared" si="31"/>
        <v>0.98830126191413736</v>
      </c>
      <c r="AC67" s="414">
        <f t="shared" si="31"/>
        <v>0.98829221149234159</v>
      </c>
      <c r="AD67" s="414">
        <f t="shared" si="31"/>
        <v>0.98828312778752081</v>
      </c>
      <c r="AE67" s="414">
        <f t="shared" si="31"/>
        <v>0.9882740108592154</v>
      </c>
      <c r="AF67" s="414">
        <f t="shared" ref="AF67:AJ67" si="32">1-AF66</f>
        <v>0.98826486076764253</v>
      </c>
      <c r="AG67" s="414">
        <f t="shared" si="32"/>
        <v>0.9882556775736816</v>
      </c>
      <c r="AH67" s="414">
        <f t="shared" si="32"/>
        <v>0.98824646133885952</v>
      </c>
      <c r="AI67" s="414">
        <f t="shared" si="32"/>
        <v>0.98823721212533677</v>
      </c>
      <c r="AJ67" s="414">
        <f t="shared" si="32"/>
        <v>0.98822792999589248</v>
      </c>
      <c r="AK67" s="414">
        <f t="shared" ref="AK67:AL67" si="33">1-AK66</f>
        <v>0.98821861501391073</v>
      </c>
      <c r="AL67" s="414">
        <f t="shared" si="33"/>
        <v>0.98820926724336533</v>
      </c>
    </row>
    <row r="68" spans="2:38">
      <c r="B68" s="358" t="s">
        <v>671</v>
      </c>
      <c r="C68" s="419" t="s">
        <v>662</v>
      </c>
      <c r="D68" s="414">
        <f>D$19^(-0.2334)</f>
        <v>0.62482831374223813</v>
      </c>
      <c r="E68" s="414">
        <f t="shared" ref="E68:AL68" si="34">E$19^(-0.2334)</f>
        <v>0.62482831374223813</v>
      </c>
      <c r="F68" s="414">
        <f t="shared" si="34"/>
        <v>0.62482831374223813</v>
      </c>
      <c r="G68" s="414">
        <f t="shared" si="34"/>
        <v>0.62482831374223813</v>
      </c>
      <c r="H68" s="414">
        <f t="shared" si="34"/>
        <v>0.62482831374223813</v>
      </c>
      <c r="I68" s="414">
        <f t="shared" si="34"/>
        <v>0.62482831374223813</v>
      </c>
      <c r="J68" s="414">
        <f t="shared" si="34"/>
        <v>0.62482831374223813</v>
      </c>
      <c r="K68" s="414">
        <f t="shared" si="34"/>
        <v>0.62482831374223813</v>
      </c>
      <c r="L68" s="414">
        <f t="shared" si="34"/>
        <v>0.62482831374223813</v>
      </c>
      <c r="M68" s="414">
        <f t="shared" si="34"/>
        <v>0.62482831374223813</v>
      </c>
      <c r="N68" s="414">
        <f t="shared" si="34"/>
        <v>0.62482831374223813</v>
      </c>
      <c r="O68" s="414">
        <f t="shared" si="34"/>
        <v>0.62482831374223813</v>
      </c>
      <c r="P68" s="414">
        <f t="shared" si="34"/>
        <v>0.62482831374223813</v>
      </c>
      <c r="Q68" s="414">
        <f t="shared" si="34"/>
        <v>0.62482831374223813</v>
      </c>
      <c r="R68" s="414">
        <f t="shared" si="34"/>
        <v>0.62482831374223813</v>
      </c>
      <c r="S68" s="414">
        <f t="shared" si="34"/>
        <v>0.62482831374223813</v>
      </c>
      <c r="T68" s="414">
        <f t="shared" si="34"/>
        <v>0.62482831374223813</v>
      </c>
      <c r="U68" s="414">
        <f t="shared" si="34"/>
        <v>0.62482831374223813</v>
      </c>
      <c r="V68" s="414">
        <f t="shared" si="34"/>
        <v>0.62482831374223813</v>
      </c>
      <c r="W68" s="414">
        <f t="shared" si="34"/>
        <v>0.62482831374223813</v>
      </c>
      <c r="X68" s="414">
        <f t="shared" si="34"/>
        <v>0.62482831374223813</v>
      </c>
      <c r="Y68" s="414">
        <f t="shared" si="34"/>
        <v>0.62482831374223813</v>
      </c>
      <c r="Z68" s="414">
        <f t="shared" si="34"/>
        <v>0.62482831374223813</v>
      </c>
      <c r="AA68" s="414">
        <f t="shared" si="34"/>
        <v>0.62482831374223813</v>
      </c>
      <c r="AB68" s="414">
        <f t="shared" si="34"/>
        <v>0.62482831374223813</v>
      </c>
      <c r="AC68" s="414">
        <f t="shared" si="34"/>
        <v>0.62482831374223813</v>
      </c>
      <c r="AD68" s="414">
        <f t="shared" si="34"/>
        <v>0.62482831374223813</v>
      </c>
      <c r="AE68" s="414">
        <f t="shared" si="34"/>
        <v>0.62482831374223813</v>
      </c>
      <c r="AF68" s="414">
        <f t="shared" si="34"/>
        <v>0.62482831374223813</v>
      </c>
      <c r="AG68" s="414">
        <f t="shared" si="34"/>
        <v>0.62482831374223813</v>
      </c>
      <c r="AH68" s="414">
        <f t="shared" si="34"/>
        <v>0.62482831374223813</v>
      </c>
      <c r="AI68" s="414">
        <f t="shared" si="34"/>
        <v>0.62482831374223813</v>
      </c>
      <c r="AJ68" s="414">
        <f t="shared" si="34"/>
        <v>0.62482831374223813</v>
      </c>
      <c r="AK68" s="414">
        <f t="shared" si="34"/>
        <v>0.62482831374223813</v>
      </c>
      <c r="AL68" s="414">
        <f t="shared" si="34"/>
        <v>0.62482831374223813</v>
      </c>
    </row>
    <row r="69" spans="2:38">
      <c r="B69" s="358" t="s">
        <v>683</v>
      </c>
      <c r="C69" s="419" t="s">
        <v>684</v>
      </c>
      <c r="D69" s="414">
        <f t="shared" ref="D69:AL69" si="35">EXP(0.1176*$D$11)</f>
        <v>1.1247941037303228</v>
      </c>
      <c r="E69" s="415">
        <f t="shared" si="35"/>
        <v>1.1247941037303228</v>
      </c>
      <c r="F69" s="415">
        <f t="shared" si="35"/>
        <v>1.1247941037303228</v>
      </c>
      <c r="G69" s="415">
        <f t="shared" si="35"/>
        <v>1.1247941037303228</v>
      </c>
      <c r="H69" s="415">
        <f t="shared" si="35"/>
        <v>1.1247941037303228</v>
      </c>
      <c r="I69" s="415">
        <f t="shared" si="35"/>
        <v>1.1247941037303228</v>
      </c>
      <c r="J69" s="415">
        <f t="shared" si="35"/>
        <v>1.1247941037303228</v>
      </c>
      <c r="K69" s="415">
        <f t="shared" si="35"/>
        <v>1.1247941037303228</v>
      </c>
      <c r="L69" s="415">
        <f t="shared" si="35"/>
        <v>1.1247941037303228</v>
      </c>
      <c r="M69" s="415">
        <f t="shared" si="35"/>
        <v>1.1247941037303228</v>
      </c>
      <c r="N69" s="415">
        <f t="shared" si="35"/>
        <v>1.1247941037303228</v>
      </c>
      <c r="O69" s="415">
        <f t="shared" si="35"/>
        <v>1.1247941037303228</v>
      </c>
      <c r="P69" s="415">
        <f t="shared" si="35"/>
        <v>1.1247941037303228</v>
      </c>
      <c r="Q69" s="415">
        <f t="shared" si="35"/>
        <v>1.1247941037303228</v>
      </c>
      <c r="R69" s="415">
        <f t="shared" si="35"/>
        <v>1.1247941037303228</v>
      </c>
      <c r="S69" s="415">
        <f t="shared" si="35"/>
        <v>1.1247941037303228</v>
      </c>
      <c r="T69" s="415">
        <f t="shared" si="35"/>
        <v>1.1247941037303228</v>
      </c>
      <c r="U69" s="415">
        <f t="shared" si="35"/>
        <v>1.1247941037303228</v>
      </c>
      <c r="V69" s="415">
        <f t="shared" si="35"/>
        <v>1.1247941037303228</v>
      </c>
      <c r="W69" s="415">
        <f t="shared" si="35"/>
        <v>1.1247941037303228</v>
      </c>
      <c r="X69" s="415">
        <f t="shared" si="35"/>
        <v>1.1247941037303228</v>
      </c>
      <c r="Y69" s="415">
        <f t="shared" si="35"/>
        <v>1.1247941037303228</v>
      </c>
      <c r="Z69" s="415">
        <f t="shared" si="35"/>
        <v>1.1247941037303228</v>
      </c>
      <c r="AA69" s="415">
        <f t="shared" si="35"/>
        <v>1.1247941037303228</v>
      </c>
      <c r="AB69" s="415">
        <f t="shared" si="35"/>
        <v>1.1247941037303228</v>
      </c>
      <c r="AC69" s="415">
        <f t="shared" si="35"/>
        <v>1.1247941037303228</v>
      </c>
      <c r="AD69" s="415">
        <f t="shared" si="35"/>
        <v>1.1247941037303228</v>
      </c>
      <c r="AE69" s="415">
        <f t="shared" si="35"/>
        <v>1.1247941037303228</v>
      </c>
      <c r="AF69" s="415">
        <f t="shared" si="35"/>
        <v>1.1247941037303228</v>
      </c>
      <c r="AG69" s="415">
        <f t="shared" si="35"/>
        <v>1.1247941037303228</v>
      </c>
      <c r="AH69" s="415">
        <f t="shared" si="35"/>
        <v>1.1247941037303228</v>
      </c>
      <c r="AI69" s="415">
        <f t="shared" si="35"/>
        <v>1.1247941037303228</v>
      </c>
      <c r="AJ69" s="415">
        <f t="shared" si="35"/>
        <v>1.1247941037303228</v>
      </c>
      <c r="AK69" s="415">
        <f t="shared" si="35"/>
        <v>1.1247941037303228</v>
      </c>
      <c r="AL69" s="415">
        <f t="shared" si="35"/>
        <v>1.1247941037303228</v>
      </c>
    </row>
    <row r="70" spans="2:38">
      <c r="B70" s="433" t="s">
        <v>675</v>
      </c>
      <c r="C70" s="434" t="s">
        <v>676</v>
      </c>
      <c r="D70" s="426">
        <f t="shared" ref="D70:AL70" si="36">EXP(0.1844*$E$5)</f>
        <v>1.2024967255996286</v>
      </c>
      <c r="E70" s="426">
        <f t="shared" si="36"/>
        <v>1.2024967255996286</v>
      </c>
      <c r="F70" s="426">
        <f t="shared" si="36"/>
        <v>1.2024967255996286</v>
      </c>
      <c r="G70" s="426">
        <f t="shared" si="36"/>
        <v>1.2024967255996286</v>
      </c>
      <c r="H70" s="426">
        <f t="shared" si="36"/>
        <v>1.2024967255996286</v>
      </c>
      <c r="I70" s="426">
        <f t="shared" si="36"/>
        <v>1.2024967255996286</v>
      </c>
      <c r="J70" s="426">
        <f t="shared" si="36"/>
        <v>1.2024967255996286</v>
      </c>
      <c r="K70" s="426">
        <f t="shared" si="36"/>
        <v>1.2024967255996286</v>
      </c>
      <c r="L70" s="426">
        <f t="shared" si="36"/>
        <v>1.2024967255996286</v>
      </c>
      <c r="M70" s="426">
        <f t="shared" si="36"/>
        <v>1.2024967255996286</v>
      </c>
      <c r="N70" s="426">
        <f t="shared" si="36"/>
        <v>1.2024967255996286</v>
      </c>
      <c r="O70" s="426">
        <f t="shared" si="36"/>
        <v>1.2024967255996286</v>
      </c>
      <c r="P70" s="426">
        <f t="shared" si="36"/>
        <v>1.2024967255996286</v>
      </c>
      <c r="Q70" s="426">
        <f t="shared" si="36"/>
        <v>1.2024967255996286</v>
      </c>
      <c r="R70" s="426">
        <f t="shared" si="36"/>
        <v>1.2024967255996286</v>
      </c>
      <c r="S70" s="426">
        <f t="shared" si="36"/>
        <v>1.2024967255996286</v>
      </c>
      <c r="T70" s="426">
        <f t="shared" si="36"/>
        <v>1.2024967255996286</v>
      </c>
      <c r="U70" s="426">
        <f t="shared" si="36"/>
        <v>1.2024967255996286</v>
      </c>
      <c r="V70" s="426">
        <f t="shared" si="36"/>
        <v>1.2024967255996286</v>
      </c>
      <c r="W70" s="426">
        <f t="shared" si="36"/>
        <v>1.2024967255996286</v>
      </c>
      <c r="X70" s="426">
        <f t="shared" si="36"/>
        <v>1.2024967255996286</v>
      </c>
      <c r="Y70" s="426">
        <f t="shared" si="36"/>
        <v>1.2024967255996286</v>
      </c>
      <c r="Z70" s="426">
        <f t="shared" si="36"/>
        <v>1.2024967255996286</v>
      </c>
      <c r="AA70" s="426">
        <f t="shared" si="36"/>
        <v>1.2024967255996286</v>
      </c>
      <c r="AB70" s="426">
        <f t="shared" si="36"/>
        <v>1.2024967255996286</v>
      </c>
      <c r="AC70" s="426">
        <f t="shared" si="36"/>
        <v>1.2024967255996286</v>
      </c>
      <c r="AD70" s="426">
        <f t="shared" si="36"/>
        <v>1.2024967255996286</v>
      </c>
      <c r="AE70" s="426">
        <f t="shared" si="36"/>
        <v>1.2024967255996286</v>
      </c>
      <c r="AF70" s="426">
        <f t="shared" si="36"/>
        <v>1.2024967255996286</v>
      </c>
      <c r="AG70" s="426">
        <f t="shared" si="36"/>
        <v>1.2024967255996286</v>
      </c>
      <c r="AH70" s="426">
        <f t="shared" si="36"/>
        <v>1.2024967255996286</v>
      </c>
      <c r="AI70" s="426">
        <f t="shared" si="36"/>
        <v>1.2024967255996286</v>
      </c>
      <c r="AJ70" s="426">
        <f t="shared" si="36"/>
        <v>1.2024967255996286</v>
      </c>
      <c r="AK70" s="426">
        <f t="shared" si="36"/>
        <v>1.2024967255996286</v>
      </c>
      <c r="AL70" s="426">
        <f t="shared" si="36"/>
        <v>1.2024967255996286</v>
      </c>
    </row>
    <row r="71" spans="2:38">
      <c r="B71" s="362"/>
      <c r="C71" s="427" t="s">
        <v>290</v>
      </c>
    </row>
    <row r="72" spans="2:38">
      <c r="B72" s="362" t="s">
        <v>685</v>
      </c>
      <c r="C72" s="438">
        <v>4.28</v>
      </c>
      <c r="D72" s="435">
        <f>D$67/(1+$C$72*PRODUCT(D$68:D$70))</f>
        <v>0.21409689244459909</v>
      </c>
      <c r="E72" s="435">
        <f t="shared" ref="E72:AL72" si="37">E$67/(1+$C$72*PRODUCT(E$68:E$70))</f>
        <v>0.2140951086917717</v>
      </c>
      <c r="F72" s="435">
        <f t="shared" si="37"/>
        <v>0.21409331747284988</v>
      </c>
      <c r="G72" s="435">
        <f t="shared" si="37"/>
        <v>0.21409151879628621</v>
      </c>
      <c r="H72" s="435">
        <f t="shared" si="37"/>
        <v>0.21408971267075294</v>
      </c>
      <c r="I72" s="435">
        <f t="shared" si="37"/>
        <v>0.21408789910513901</v>
      </c>
      <c r="J72" s="435">
        <f t="shared" si="37"/>
        <v>0.21408607810854721</v>
      </c>
      <c r="K72" s="435">
        <f t="shared" si="37"/>
        <v>0.21408424969029116</v>
      </c>
      <c r="L72" s="435">
        <f t="shared" si="37"/>
        <v>0.21408241385989266</v>
      </c>
      <c r="M72" s="435">
        <f t="shared" si="37"/>
        <v>0.21408057062707828</v>
      </c>
      <c r="N72" s="435">
        <f t="shared" si="37"/>
        <v>0.21407872000177683</v>
      </c>
      <c r="O72" s="435">
        <f t="shared" si="37"/>
        <v>0.2140768619941161</v>
      </c>
      <c r="P72" s="435">
        <f t="shared" si="37"/>
        <v>0.21407499661441989</v>
      </c>
      <c r="Q72" s="435">
        <f t="shared" si="37"/>
        <v>0.21407312387320515</v>
      </c>
      <c r="R72" s="435">
        <f t="shared" si="37"/>
        <v>0.2140712437811787</v>
      </c>
      <c r="S72" s="435">
        <f t="shared" si="37"/>
        <v>0.21406935634923432</v>
      </c>
      <c r="T72" s="435">
        <f t="shared" si="37"/>
        <v>0.21406746158844964</v>
      </c>
      <c r="U72" s="435">
        <f t="shared" si="37"/>
        <v>0.21406555951008316</v>
      </c>
      <c r="V72" s="435">
        <f t="shared" si="37"/>
        <v>0.21406365012557105</v>
      </c>
      <c r="W72" s="435">
        <f t="shared" si="37"/>
        <v>0.21406173344652407</v>
      </c>
      <c r="X72" s="435">
        <f t="shared" si="37"/>
        <v>0.21405980948472447</v>
      </c>
      <c r="Y72" s="435">
        <f t="shared" si="37"/>
        <v>0.21405787825212305</v>
      </c>
      <c r="Z72" s="435">
        <f t="shared" si="37"/>
        <v>0.21405593976083573</v>
      </c>
      <c r="AA72" s="435">
        <f t="shared" si="37"/>
        <v>0.21405399402314074</v>
      </c>
      <c r="AB72" s="435">
        <f t="shared" si="37"/>
        <v>0.21405204105147527</v>
      </c>
      <c r="AC72" s="435">
        <f t="shared" si="37"/>
        <v>0.21405008085843252</v>
      </c>
      <c r="AD72" s="435">
        <f t="shared" si="37"/>
        <v>0.21404811345675842</v>
      </c>
      <c r="AE72" s="435">
        <f t="shared" si="37"/>
        <v>0.21404613885934862</v>
      </c>
      <c r="AF72" s="435">
        <f t="shared" si="37"/>
        <v>0.21404415707924526</v>
      </c>
      <c r="AG72" s="435">
        <f t="shared" si="37"/>
        <v>0.21404216812963398</v>
      </c>
      <c r="AH72" s="435">
        <f t="shared" si="37"/>
        <v>0.21404017202384062</v>
      </c>
      <c r="AI72" s="435">
        <f t="shared" si="37"/>
        <v>0.2140381687753283</v>
      </c>
      <c r="AJ72" s="435">
        <f t="shared" si="37"/>
        <v>0.21403615839769405</v>
      </c>
      <c r="AK72" s="435">
        <f t="shared" si="37"/>
        <v>0.21403414090466596</v>
      </c>
      <c r="AL72" s="435">
        <f t="shared" si="37"/>
        <v>0.21403211631009988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4" tint="-0.249977111117893"/>
  </sheetPr>
  <dimension ref="A1:AL53"/>
  <sheetViews>
    <sheetView showGridLines="0" workbookViewId="0"/>
  </sheetViews>
  <sheetFormatPr defaultColWidth="8.75" defaultRowHeight="12.5"/>
  <cols>
    <col min="1" max="1" width="0.83203125" style="358" customWidth="1"/>
    <col min="2" max="2" width="39.25" style="358" customWidth="1"/>
    <col min="3" max="3" width="15.5" style="358" customWidth="1"/>
    <col min="4" max="38" width="10.58203125" style="358" customWidth="1"/>
    <col min="39" max="16384" width="8.75" style="358"/>
  </cols>
  <sheetData>
    <row r="1" spans="1:38" ht="25">
      <c r="A1" s="356" t="str">
        <f>'Crossing Inputs'!$F$23</f>
        <v>400 West</v>
      </c>
      <c r="B1" s="748"/>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Demand!F10</f>
        <v>757.22529230485088</v>
      </c>
      <c r="E6" s="383">
        <f>Demand!G10</f>
        <v>779.55896095558853</v>
      </c>
      <c r="F6" s="383">
        <f>Demand!H10</f>
        <v>802.55134077256673</v>
      </c>
      <c r="G6" s="383">
        <f>Demand!I10</f>
        <v>826.22185984023133</v>
      </c>
      <c r="H6" s="383">
        <f>Demand!J10</f>
        <v>850.59051925664085</v>
      </c>
      <c r="I6" s="383">
        <f>Demand!K10</f>
        <v>875.67791003398008</v>
      </c>
      <c r="J6" s="383">
        <f>Demand!L10</f>
        <v>901.50523049753895</v>
      </c>
      <c r="K6" s="383">
        <f>Demand!M10</f>
        <v>928.09430419785747</v>
      </c>
      <c r="L6" s="383">
        <f>Demand!N10</f>
        <v>955.46759835117439</v>
      </c>
      <c r="M6" s="383">
        <f>Demand!O10</f>
        <v>983.64824282375798</v>
      </c>
      <c r="N6" s="383">
        <f>Demand!P10</f>
        <v>1012.6600496761655</v>
      </c>
      <c r="O6" s="383">
        <f>Demand!Q10</f>
        <v>1042.5275332839396</v>
      </c>
      <c r="P6" s="383">
        <f>Demand!R10</f>
        <v>1073.2759310517479</v>
      </c>
      <c r="Q6" s="383">
        <f>Demand!S10</f>
        <v>1104.9312247384671</v>
      </c>
      <c r="R6" s="383">
        <f>Demand!T10</f>
        <v>1137.5201624112303</v>
      </c>
      <c r="S6" s="383">
        <f>Demand!U10</f>
        <v>1171.0702810469904</v>
      </c>
      <c r="T6" s="383">
        <f>Demand!V10</f>
        <v>1205.6099298006936</v>
      </c>
      <c r="U6" s="383">
        <f>Demand!W10</f>
        <v>1241.1682939597288</v>
      </c>
      <c r="V6" s="383">
        <f>Demand!X10</f>
        <v>1277.7754196048904</v>
      </c>
      <c r="W6" s="383">
        <f>Demand!Y10</f>
        <v>1315.4622389986941</v>
      </c>
      <c r="X6" s="383">
        <f>Demand!Z10</f>
        <v>1354.2605967224965</v>
      </c>
      <c r="Y6" s="383">
        <f>Demand!AA10</f>
        <v>1394.2032765845079</v>
      </c>
      <c r="Z6" s="383">
        <f>Demand!AB10</f>
        <v>1435.3240293214299</v>
      </c>
      <c r="AA6" s="383">
        <f>Demand!AC10</f>
        <v>1477.6576011171289</v>
      </c>
      <c r="AB6" s="383">
        <f>Demand!AD10</f>
        <v>1521.2397629624411</v>
      </c>
      <c r="AC6" s="383">
        <f>Demand!AE10</f>
        <v>1566.1073408809186</v>
      </c>
      <c r="AD6" s="383">
        <f>Demand!AF10</f>
        <v>1612.2982470460565</v>
      </c>
      <c r="AE6" s="383">
        <f>Demand!AG10</f>
        <v>1659.8515118162927</v>
      </c>
      <c r="AF6" s="383">
        <f>Demand!AH10</f>
        <v>1708.8073167148523</v>
      </c>
      <c r="AG6" s="383">
        <f>Demand!AI10</f>
        <v>1759.2070283823034</v>
      </c>
      <c r="AH6" s="383">
        <f>Demand!AJ10</f>
        <v>1811.0932335305088</v>
      </c>
      <c r="AI6" s="383">
        <f>Demand!AK10</f>
        <v>1864.5097749275169</v>
      </c>
      <c r="AJ6" s="383">
        <f>Demand!AL10</f>
        <v>1919.5017884437907</v>
      </c>
      <c r="AK6" s="383">
        <f>Demand!AM10</f>
        <v>1976.1157411910835</v>
      </c>
      <c r="AL6" s="383">
        <f>Demand!AN10</f>
        <v>2034.3994707861862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Demand!F29</f>
        <v>2.021212882214602</v>
      </c>
      <c r="E10" s="383">
        <f>Demand!G29</f>
        <v>2.0426507576151294</v>
      </c>
      <c r="F10" s="383">
        <f>Demand!H29</f>
        <v>2.064316012578558</v>
      </c>
      <c r="G10" s="383">
        <f>Demand!I29</f>
        <v>2.0862110587928311</v>
      </c>
      <c r="H10" s="383">
        <f>Demand!J29</f>
        <v>2.1083383335253174</v>
      </c>
      <c r="I10" s="383">
        <f>Demand!K29</f>
        <v>2.1307002998941189</v>
      </c>
      <c r="J10" s="383">
        <f>Demand!L29</f>
        <v>2.1532994471422544</v>
      </c>
      <c r="K10" s="383">
        <f>Demand!M29</f>
        <v>2.1761382909147526</v>
      </c>
      <c r="L10" s="383">
        <f>Demand!N29</f>
        <v>2.1992193735386825</v>
      </c>
      <c r="M10" s="383">
        <f>Demand!O29</f>
        <v>2.2225452643061563</v>
      </c>
      <c r="N10" s="383">
        <f>Demand!P29</f>
        <v>2.2461185597603301</v>
      </c>
      <c r="O10" s="383">
        <f>Demand!Q29</f>
        <v>2.2699418839844441</v>
      </c>
      <c r="P10" s="383">
        <f>Demand!R29</f>
        <v>2.2940178888939209</v>
      </c>
      <c r="Q10" s="383">
        <f>Demand!S29</f>
        <v>2.3183492545315696</v>
      </c>
      <c r="R10" s="383">
        <f>Demand!T29</f>
        <v>2.3429386893659134</v>
      </c>
      <c r="S10" s="383">
        <f>Demand!U29</f>
        <v>2.3677889305926905</v>
      </c>
      <c r="T10" s="383">
        <f>Demand!V29</f>
        <v>2.392902744439541</v>
      </c>
      <c r="U10" s="383">
        <f>Demand!W29</f>
        <v>2.4182829264739381</v>
      </c>
      <c r="V10" s="383">
        <f>Demand!X29</f>
        <v>2.4439323019143755</v>
      </c>
      <c r="W10" s="383">
        <f>Demand!Y29</f>
        <v>2.4698537259448612</v>
      </c>
      <c r="X10" s="383">
        <f>Demand!Z29</f>
        <v>2.4960500840327433</v>
      </c>
      <c r="Y10" s="383">
        <f>Demand!AA29</f>
        <v>2.5225242922499103</v>
      </c>
      <c r="Z10" s="383">
        <f>Demand!AB29</f>
        <v>2.549279297597395</v>
      </c>
      <c r="AA10" s="383">
        <f>Demand!AC29</f>
        <v>2.5763180783334239</v>
      </c>
      <c r="AB10" s="383">
        <f>Demand!AD29</f>
        <v>2.6036436443049418</v>
      </c>
      <c r="AC10" s="383">
        <f>Demand!AE29</f>
        <v>2.631259037282661</v>
      </c>
      <c r="AD10" s="383">
        <f>Demand!AF29</f>
        <v>2.6591673312996531</v>
      </c>
      <c r="AE10" s="383">
        <f>Demand!AG29</f>
        <v>2.6873716329935418</v>
      </c>
      <c r="AF10" s="383">
        <f>Demand!AH29</f>
        <v>2.7158750819523192</v>
      </c>
      <c r="AG10" s="383">
        <f>Demand!AI29</f>
        <v>2.744680851063833</v>
      </c>
      <c r="AH10" s="383">
        <f>Demand!AJ29</f>
        <v>2.7737921468689781</v>
      </c>
      <c r="AI10" s="383">
        <f>Demand!AK29</f>
        <v>2.8032122099186383</v>
      </c>
      <c r="AJ10" s="383">
        <f>Demand!AL29</f>
        <v>2.8329443151344074</v>
      </c>
      <c r="AK10" s="383">
        <f>Demand!AM29</f>
        <v>2.8629917721731437</v>
      </c>
      <c r="AL10" s="383">
        <f>Demand!AN29</f>
        <v>2.8933579257953856</v>
      </c>
    </row>
    <row r="11" spans="1:38">
      <c r="B11" s="363" t="s">
        <v>645</v>
      </c>
      <c r="C11" s="358" t="s">
        <v>1054</v>
      </c>
      <c r="D11" s="383">
        <v>1</v>
      </c>
      <c r="E11" s="383">
        <v>1</v>
      </c>
      <c r="F11" s="383">
        <v>1</v>
      </c>
      <c r="G11" s="383">
        <v>1</v>
      </c>
      <c r="H11" s="383">
        <v>1</v>
      </c>
      <c r="I11" s="383">
        <v>1</v>
      </c>
      <c r="J11" s="383">
        <v>1</v>
      </c>
      <c r="K11" s="383">
        <v>1</v>
      </c>
      <c r="L11" s="383">
        <v>1</v>
      </c>
      <c r="M11" s="383">
        <v>1</v>
      </c>
      <c r="N11" s="383">
        <v>1</v>
      </c>
      <c r="O11" s="383">
        <v>1</v>
      </c>
      <c r="P11" s="383">
        <v>1</v>
      </c>
      <c r="Q11" s="383">
        <v>1</v>
      </c>
      <c r="R11" s="383">
        <v>1</v>
      </c>
      <c r="S11" s="383">
        <v>1</v>
      </c>
      <c r="T11" s="383">
        <v>1</v>
      </c>
      <c r="U11" s="383">
        <v>1</v>
      </c>
      <c r="V11" s="383">
        <v>1</v>
      </c>
      <c r="W11" s="383">
        <v>1</v>
      </c>
      <c r="X11" s="383">
        <v>1</v>
      </c>
      <c r="Y11" s="383">
        <v>1</v>
      </c>
      <c r="Z11" s="383">
        <v>1</v>
      </c>
      <c r="AA11" s="383">
        <v>1</v>
      </c>
      <c r="AB11" s="383">
        <v>1</v>
      </c>
      <c r="AC11" s="383">
        <v>1</v>
      </c>
      <c r="AD11" s="383">
        <v>1</v>
      </c>
      <c r="AE11" s="383">
        <v>1</v>
      </c>
      <c r="AF11" s="383">
        <v>1</v>
      </c>
      <c r="AG11" s="383">
        <v>1</v>
      </c>
      <c r="AH11" s="383">
        <v>1</v>
      </c>
      <c r="AI11" s="383">
        <v>1</v>
      </c>
      <c r="AJ11" s="383">
        <v>1</v>
      </c>
      <c r="AK11" s="383">
        <v>1</v>
      </c>
      <c r="AL11" s="383">
        <v>1</v>
      </c>
    </row>
    <row r="13" spans="1:38" ht="13">
      <c r="B13" s="502" t="s">
        <v>1059</v>
      </c>
      <c r="C13" s="497">
        <f>IF('Crossing Inputs'!$C$11&gt;0, 'Crossing Inputs'!$C$20/Feet.Per.Mile/'Crossing Inputs'!$F$33*60+IF('Crossing Inputs'!$F$27="Passive",0,'Crossing Inputs'!$C$21),0)</f>
        <v>9</v>
      </c>
    </row>
    <row r="14" spans="1:38">
      <c r="B14" s="571" t="s">
        <v>1058</v>
      </c>
      <c r="C14" s="572" t="s">
        <v>15</v>
      </c>
      <c r="D14" s="570">
        <f t="shared" ref="D14:AL14" si="2">(D$10*$C$13)/Minutes.Per.Day</f>
        <v>1.2632580513841262E-2</v>
      </c>
      <c r="E14" s="570">
        <f t="shared" si="2"/>
        <v>1.2766567235094558E-2</v>
      </c>
      <c r="F14" s="570">
        <f t="shared" si="2"/>
        <v>1.2901975078615988E-2</v>
      </c>
      <c r="G14" s="570">
        <f t="shared" si="2"/>
        <v>1.3038819117455193E-2</v>
      </c>
      <c r="H14" s="570">
        <f t="shared" si="2"/>
        <v>1.3177114584533235E-2</v>
      </c>
      <c r="I14" s="570">
        <f t="shared" si="2"/>
        <v>1.3316876874338244E-2</v>
      </c>
      <c r="J14" s="570">
        <f t="shared" si="2"/>
        <v>1.3458121544639089E-2</v>
      </c>
      <c r="K14" s="570">
        <f t="shared" si="2"/>
        <v>1.3600864318217205E-2</v>
      </c>
      <c r="L14" s="570">
        <f t="shared" si="2"/>
        <v>1.3745121084616766E-2</v>
      </c>
      <c r="M14" s="570">
        <f t="shared" si="2"/>
        <v>1.3890907901913477E-2</v>
      </c>
      <c r="N14" s="570">
        <f t="shared" si="2"/>
        <v>1.4038240998502063E-2</v>
      </c>
      <c r="O14" s="570">
        <f t="shared" si="2"/>
        <v>1.4187136774902775E-2</v>
      </c>
      <c r="P14" s="570">
        <f t="shared" si="2"/>
        <v>1.4337611805587007E-2</v>
      </c>
      <c r="Q14" s="570">
        <f t="shared" si="2"/>
        <v>1.448968284082231E-2</v>
      </c>
      <c r="R14" s="570">
        <f t="shared" si="2"/>
        <v>1.4643366808536958E-2</v>
      </c>
      <c r="S14" s="570">
        <f t="shared" si="2"/>
        <v>1.4798680816204316E-2</v>
      </c>
      <c r="T14" s="570">
        <f t="shared" si="2"/>
        <v>1.4955642152747133E-2</v>
      </c>
      <c r="U14" s="570">
        <f t="shared" si="2"/>
        <v>1.5114268290462113E-2</v>
      </c>
      <c r="V14" s="570">
        <f t="shared" si="2"/>
        <v>1.5274576886964847E-2</v>
      </c>
      <c r="W14" s="570">
        <f t="shared" si="2"/>
        <v>1.5436585787155383E-2</v>
      </c>
      <c r="X14" s="570">
        <f t="shared" si="2"/>
        <v>1.5600313025204645E-2</v>
      </c>
      <c r="Y14" s="570">
        <f t="shared" si="2"/>
        <v>1.5765776826561939E-2</v>
      </c>
      <c r="Z14" s="570">
        <f t="shared" si="2"/>
        <v>1.5932995609983718E-2</v>
      </c>
      <c r="AA14" s="570">
        <f t="shared" si="2"/>
        <v>1.6101987989583899E-2</v>
      </c>
      <c r="AB14" s="570">
        <f t="shared" si="2"/>
        <v>1.6272772776905885E-2</v>
      </c>
      <c r="AC14" s="570">
        <f t="shared" si="2"/>
        <v>1.6445368983016632E-2</v>
      </c>
      <c r="AD14" s="570">
        <f t="shared" si="2"/>
        <v>1.6619795820622833E-2</v>
      </c>
      <c r="AE14" s="570">
        <f t="shared" si="2"/>
        <v>1.6796072706209638E-2</v>
      </c>
      <c r="AF14" s="570">
        <f t="shared" si="2"/>
        <v>1.6974219262201995E-2</v>
      </c>
      <c r="AG14" s="570">
        <f t="shared" si="2"/>
        <v>1.7154255319148957E-2</v>
      </c>
      <c r="AH14" s="570">
        <f t="shared" si="2"/>
        <v>1.7336200917931113E-2</v>
      </c>
      <c r="AI14" s="570">
        <f t="shared" si="2"/>
        <v>1.7520076311991487E-2</v>
      </c>
      <c r="AJ14" s="570">
        <f t="shared" si="2"/>
        <v>1.7705901969590047E-2</v>
      </c>
      <c r="AK14" s="570">
        <f t="shared" si="2"/>
        <v>1.7893698576082147E-2</v>
      </c>
      <c r="AL14" s="570">
        <f t="shared" si="2"/>
        <v>1.808348703622116E-2</v>
      </c>
    </row>
    <row r="16" spans="1:38">
      <c r="B16" s="573" t="s">
        <v>1055</v>
      </c>
      <c r="C16" s="574" t="s">
        <v>505</v>
      </c>
      <c r="D16" s="383">
        <f t="shared" ref="D16:AK16" si="3">D6*D14</f>
        <v>9.5657094721580123</v>
      </c>
      <c r="E16" s="383">
        <f t="shared" si="3"/>
        <v>9.9522918887599747</v>
      </c>
      <c r="F16" s="383">
        <f t="shared" si="3"/>
        <v>10.354497397957504</v>
      </c>
      <c r="G16" s="383">
        <f t="shared" si="3"/>
        <v>10.772957381344193</v>
      </c>
      <c r="H16" s="383">
        <f t="shared" si="3"/>
        <v>11.208328736762379</v>
      </c>
      <c r="I16" s="383">
        <f t="shared" si="3"/>
        <v>11.661294909500356</v>
      </c>
      <c r="J16" s="383">
        <f t="shared" si="3"/>
        <v>12.132566965163758</v>
      </c>
      <c r="K16" s="383">
        <f t="shared" si="3"/>
        <v>12.622884705905264</v>
      </c>
      <c r="L16" s="383">
        <f t="shared" si="3"/>
        <v>13.133017831764871</v>
      </c>
      <c r="M16" s="383">
        <f t="shared" si="3"/>
        <v>13.663767148943846</v>
      </c>
      <c r="N16" s="383">
        <f t="shared" si="3"/>
        <v>14.215965826909082</v>
      </c>
      <c r="O16" s="383">
        <f t="shared" si="3"/>
        <v>14.790480706301256</v>
      </c>
      <c r="P16" s="383">
        <f t="shared" si="3"/>
        <v>15.388213659699927</v>
      </c>
      <c r="Q16" s="383">
        <f t="shared" si="3"/>
        <v>16.010103007381748</v>
      </c>
      <c r="R16" s="383">
        <f t="shared" si="3"/>
        <v>16.657124990294179</v>
      </c>
      <c r="S16" s="383">
        <f t="shared" si="3"/>
        <v>17.330295302557094</v>
      </c>
      <c r="T16" s="383">
        <f t="shared" si="3"/>
        <v>18.030670685897764</v>
      </c>
      <c r="U16" s="383">
        <f t="shared" si="3"/>
        <v>18.759350588522487</v>
      </c>
      <c r="V16" s="383">
        <f t="shared" si="3"/>
        <v>19.517478891028667</v>
      </c>
      <c r="W16" s="383">
        <f t="shared" si="3"/>
        <v>20.306245702066839</v>
      </c>
      <c r="X16" s="383">
        <f t="shared" si="3"/>
        <v>21.126889226571379</v>
      </c>
      <c r="Y16" s="383">
        <f t="shared" si="3"/>
        <v>21.980697709492759</v>
      </c>
      <c r="Z16" s="383">
        <f t="shared" si="3"/>
        <v>22.869011458082483</v>
      </c>
      <c r="AA16" s="383">
        <f t="shared" si="3"/>
        <v>23.793224945905365</v>
      </c>
      <c r="AB16" s="383">
        <f t="shared" si="3"/>
        <v>24.754789001881971</v>
      </c>
      <c r="AC16" s="383">
        <f t="shared" si="3"/>
        <v>25.755213087797713</v>
      </c>
      <c r="AD16" s="383">
        <f t="shared" si="3"/>
        <v>26.796067667853571</v>
      </c>
      <c r="AE16" s="383">
        <f t="shared" si="3"/>
        <v>27.878986673978439</v>
      </c>
      <c r="AF16" s="383">
        <f t="shared" si="3"/>
        <v>29.00567007077295</v>
      </c>
      <c r="AG16" s="383">
        <f t="shared" si="3"/>
        <v>30.177886524111358</v>
      </c>
      <c r="AH16" s="383">
        <f t="shared" si="3"/>
        <v>31.397476177590434</v>
      </c>
      <c r="AI16" s="383">
        <f t="shared" si="3"/>
        <v>32.666353541184165</v>
      </c>
      <c r="AJ16" s="383">
        <f t="shared" si="3"/>
        <v>33.98651049663853</v>
      </c>
      <c r="AK16" s="383">
        <f t="shared" si="3"/>
        <v>35.360019424324406</v>
      </c>
      <c r="AL16" s="383">
        <f t="shared" ref="AL16" si="4">AL6*AL14</f>
        <v>36.78903645645719</v>
      </c>
    </row>
    <row r="17" spans="2:38">
      <c r="B17" s="573" t="s">
        <v>1056</v>
      </c>
      <c r="C17" s="574" t="s">
        <v>490</v>
      </c>
      <c r="D17" s="383">
        <f>D16*$C13/2</f>
        <v>43.045692624711052</v>
      </c>
      <c r="E17" s="383">
        <f t="shared" ref="E17:AK17" si="5">E16*$C13/2</f>
        <v>44.785313499419885</v>
      </c>
      <c r="F17" s="383">
        <f t="shared" si="5"/>
        <v>46.595238290808766</v>
      </c>
      <c r="G17" s="383">
        <f t="shared" si="5"/>
        <v>48.478308216048873</v>
      </c>
      <c r="H17" s="383">
        <f t="shared" si="5"/>
        <v>50.437479315430707</v>
      </c>
      <c r="I17" s="383">
        <f t="shared" si="5"/>
        <v>52.475827092751601</v>
      </c>
      <c r="J17" s="383">
        <f t="shared" si="5"/>
        <v>54.596551343236911</v>
      </c>
      <c r="K17" s="383">
        <f t="shared" si="5"/>
        <v>56.802981176573688</v>
      </c>
      <c r="L17" s="383">
        <f t="shared" si="5"/>
        <v>59.098580242941921</v>
      </c>
      <c r="M17" s="383">
        <f t="shared" si="5"/>
        <v>61.486952170247307</v>
      </c>
      <c r="N17" s="383">
        <f t="shared" si="5"/>
        <v>63.971846221090871</v>
      </c>
      <c r="O17" s="383">
        <f t="shared" si="5"/>
        <v>66.557163178355651</v>
      </c>
      <c r="P17" s="383">
        <f t="shared" si="5"/>
        <v>69.246961468649673</v>
      </c>
      <c r="Q17" s="383">
        <f t="shared" si="5"/>
        <v>72.04546353321787</v>
      </c>
      <c r="R17" s="383">
        <f t="shared" si="5"/>
        <v>74.957062456323797</v>
      </c>
      <c r="S17" s="383">
        <f t="shared" si="5"/>
        <v>77.986328861506919</v>
      </c>
      <c r="T17" s="383">
        <f t="shared" si="5"/>
        <v>81.138018086539944</v>
      </c>
      <c r="U17" s="383">
        <f t="shared" si="5"/>
        <v>84.417077648351196</v>
      </c>
      <c r="V17" s="383">
        <f t="shared" si="5"/>
        <v>87.828655009629003</v>
      </c>
      <c r="W17" s="383">
        <f t="shared" si="5"/>
        <v>91.378105659300772</v>
      </c>
      <c r="X17" s="383">
        <f t="shared" si="5"/>
        <v>95.071001519571212</v>
      </c>
      <c r="Y17" s="383">
        <f t="shared" si="5"/>
        <v>98.913139692717408</v>
      </c>
      <c r="Z17" s="383">
        <f t="shared" si="5"/>
        <v>102.91055156137116</v>
      </c>
      <c r="AA17" s="383">
        <f t="shared" si="5"/>
        <v>107.06951225657414</v>
      </c>
      <c r="AB17" s="383">
        <f t="shared" si="5"/>
        <v>111.39655050846886</v>
      </c>
      <c r="AC17" s="383">
        <f t="shared" si="5"/>
        <v>115.8984588950897</v>
      </c>
      <c r="AD17" s="383">
        <f t="shared" si="5"/>
        <v>120.58230450534107</v>
      </c>
      <c r="AE17" s="383">
        <f t="shared" si="5"/>
        <v>125.45544003290297</v>
      </c>
      <c r="AF17" s="383">
        <f t="shared" si="5"/>
        <v>130.52551531847828</v>
      </c>
      <c r="AG17" s="383">
        <f t="shared" si="5"/>
        <v>135.80048935850112</v>
      </c>
      <c r="AH17" s="383">
        <f t="shared" si="5"/>
        <v>141.28864279915695</v>
      </c>
      <c r="AI17" s="383">
        <f t="shared" si="5"/>
        <v>146.99859093532874</v>
      </c>
      <c r="AJ17" s="383">
        <f t="shared" si="5"/>
        <v>152.93929723487338</v>
      </c>
      <c r="AK17" s="383">
        <f t="shared" si="5"/>
        <v>159.12008740945981</v>
      </c>
      <c r="AL17" s="383">
        <f t="shared" ref="AL17" si="6">AL16*$C13/2</f>
        <v>165.55066405405736</v>
      </c>
    </row>
    <row r="18" spans="2:38">
      <c r="B18" s="575" t="s">
        <v>1057</v>
      </c>
      <c r="C18" s="574" t="s">
        <v>443</v>
      </c>
      <c r="D18" s="383">
        <f>D17/Minutes.per.Hour*Days.Per.Year</f>
        <v>261.86129680032559</v>
      </c>
      <c r="E18" s="383">
        <f t="shared" ref="E18:AK18" si="7">E17/Minutes.per.Hour*Days.Per.Year</f>
        <v>272.44399045480429</v>
      </c>
      <c r="F18" s="383">
        <f t="shared" si="7"/>
        <v>283.45436626908662</v>
      </c>
      <c r="G18" s="383">
        <f t="shared" si="7"/>
        <v>294.90970831429729</v>
      </c>
      <c r="H18" s="383">
        <f t="shared" si="7"/>
        <v>306.82799916887012</v>
      </c>
      <c r="I18" s="383">
        <f t="shared" si="7"/>
        <v>319.22794814757225</v>
      </c>
      <c r="J18" s="383">
        <f t="shared" si="7"/>
        <v>332.12902067135786</v>
      </c>
      <c r="K18" s="383">
        <f t="shared" si="7"/>
        <v>345.55146882415659</v>
      </c>
      <c r="L18" s="383">
        <f t="shared" si="7"/>
        <v>359.51636314456334</v>
      </c>
      <c r="M18" s="383">
        <f t="shared" si="7"/>
        <v>374.04562570233782</v>
      </c>
      <c r="N18" s="383">
        <f t="shared" si="7"/>
        <v>389.16206451163617</v>
      </c>
      <c r="O18" s="383">
        <f t="shared" si="7"/>
        <v>404.88940933499686</v>
      </c>
      <c r="P18" s="383">
        <f t="shared" si="7"/>
        <v>421.25234893428552</v>
      </c>
      <c r="Q18" s="383">
        <f t="shared" si="7"/>
        <v>438.27656982707543</v>
      </c>
      <c r="R18" s="383">
        <f t="shared" si="7"/>
        <v>455.98879660930305</v>
      </c>
      <c r="S18" s="383">
        <f t="shared" si="7"/>
        <v>474.41683390750046</v>
      </c>
      <c r="T18" s="383">
        <f t="shared" si="7"/>
        <v>493.58961002645134</v>
      </c>
      <c r="U18" s="383">
        <f t="shared" si="7"/>
        <v>513.53722236080307</v>
      </c>
      <c r="V18" s="383">
        <f t="shared" si="7"/>
        <v>534.29098464190974</v>
      </c>
      <c r="W18" s="383">
        <f t="shared" si="7"/>
        <v>555.8834760940797</v>
      </c>
      <c r="X18" s="383">
        <f t="shared" si="7"/>
        <v>578.34859257739151</v>
      </c>
      <c r="Y18" s="383">
        <f t="shared" si="7"/>
        <v>601.72159979736421</v>
      </c>
      <c r="Z18" s="383">
        <f t="shared" si="7"/>
        <v>626.03918866500794</v>
      </c>
      <c r="AA18" s="383">
        <f t="shared" si="7"/>
        <v>651.33953289415933</v>
      </c>
      <c r="AB18" s="383">
        <f t="shared" si="7"/>
        <v>677.66234892651892</v>
      </c>
      <c r="AC18" s="383">
        <f t="shared" si="7"/>
        <v>705.04895827846235</v>
      </c>
      <c r="AD18" s="383">
        <f t="shared" si="7"/>
        <v>733.54235240749153</v>
      </c>
      <c r="AE18" s="383">
        <f t="shared" si="7"/>
        <v>763.18726020015981</v>
      </c>
      <c r="AF18" s="383">
        <f t="shared" si="7"/>
        <v>794.03021818740956</v>
      </c>
      <c r="AG18" s="383">
        <f t="shared" si="7"/>
        <v>826.11964359754847</v>
      </c>
      <c r="AH18" s="383">
        <f t="shared" si="7"/>
        <v>859.5059103615381</v>
      </c>
      <c r="AI18" s="383">
        <f t="shared" si="7"/>
        <v>894.24142818991652</v>
      </c>
      <c r="AJ18" s="383">
        <f t="shared" si="7"/>
        <v>930.38072484547968</v>
      </c>
      <c r="AK18" s="383">
        <f t="shared" si="7"/>
        <v>967.98053174088056</v>
      </c>
      <c r="AL18" s="383">
        <f t="shared" ref="AL18" si="8">AL17/Minutes.per.Hour*Days.Per.Year</f>
        <v>1007.0998729955157</v>
      </c>
    </row>
    <row r="20" spans="2:38">
      <c r="B20" s="575" t="s">
        <v>745</v>
      </c>
      <c r="C20" s="574" t="s">
        <v>443</v>
      </c>
      <c r="D20" s="383">
        <f>D18</f>
        <v>261.86129680032559</v>
      </c>
      <c r="E20" s="383">
        <f t="shared" ref="E20:AK20" si="9">E18</f>
        <v>272.44399045480429</v>
      </c>
      <c r="F20" s="383">
        <f t="shared" si="9"/>
        <v>283.45436626908662</v>
      </c>
      <c r="G20" s="383">
        <f t="shared" si="9"/>
        <v>294.90970831429729</v>
      </c>
      <c r="H20" s="383">
        <f t="shared" si="9"/>
        <v>306.82799916887012</v>
      </c>
      <c r="I20" s="383">
        <f t="shared" si="9"/>
        <v>319.22794814757225</v>
      </c>
      <c r="J20" s="383">
        <f t="shared" si="9"/>
        <v>332.12902067135786</v>
      </c>
      <c r="K20" s="383">
        <f t="shared" si="9"/>
        <v>345.55146882415659</v>
      </c>
      <c r="L20" s="383">
        <f t="shared" si="9"/>
        <v>359.51636314456334</v>
      </c>
      <c r="M20" s="383">
        <f t="shared" si="9"/>
        <v>374.04562570233782</v>
      </c>
      <c r="N20" s="383">
        <f t="shared" si="9"/>
        <v>389.16206451163617</v>
      </c>
      <c r="O20" s="383">
        <f t="shared" si="9"/>
        <v>404.88940933499686</v>
      </c>
      <c r="P20" s="383">
        <f t="shared" si="9"/>
        <v>421.25234893428552</v>
      </c>
      <c r="Q20" s="383">
        <f t="shared" si="9"/>
        <v>438.27656982707543</v>
      </c>
      <c r="R20" s="383">
        <f t="shared" si="9"/>
        <v>455.98879660930305</v>
      </c>
      <c r="S20" s="383">
        <f t="shared" si="9"/>
        <v>474.41683390750046</v>
      </c>
      <c r="T20" s="383">
        <f t="shared" si="9"/>
        <v>493.58961002645134</v>
      </c>
      <c r="U20" s="383">
        <f t="shared" si="9"/>
        <v>513.53722236080307</v>
      </c>
      <c r="V20" s="383">
        <f t="shared" si="9"/>
        <v>534.29098464190974</v>
      </c>
      <c r="W20" s="383">
        <f t="shared" si="9"/>
        <v>555.8834760940797</v>
      </c>
      <c r="X20" s="383">
        <f t="shared" si="9"/>
        <v>578.34859257739151</v>
      </c>
      <c r="Y20" s="383">
        <f t="shared" si="9"/>
        <v>601.72159979736421</v>
      </c>
      <c r="Z20" s="383">
        <f t="shared" si="9"/>
        <v>626.03918866500794</v>
      </c>
      <c r="AA20" s="383">
        <f t="shared" si="9"/>
        <v>651.33953289415933</v>
      </c>
      <c r="AB20" s="383">
        <f t="shared" si="9"/>
        <v>677.66234892651892</v>
      </c>
      <c r="AC20" s="383">
        <f t="shared" si="9"/>
        <v>705.04895827846235</v>
      </c>
      <c r="AD20" s="383">
        <f t="shared" si="9"/>
        <v>733.54235240749153</v>
      </c>
      <c r="AE20" s="383">
        <f t="shared" si="9"/>
        <v>763.18726020015981</v>
      </c>
      <c r="AF20" s="383">
        <f t="shared" si="9"/>
        <v>794.03021818740956</v>
      </c>
      <c r="AG20" s="383">
        <f t="shared" si="9"/>
        <v>826.11964359754847</v>
      </c>
      <c r="AH20" s="383">
        <f t="shared" si="9"/>
        <v>859.5059103615381</v>
      </c>
      <c r="AI20" s="383">
        <f t="shared" si="9"/>
        <v>894.24142818991652</v>
      </c>
      <c r="AJ20" s="383">
        <f t="shared" si="9"/>
        <v>930.38072484547968</v>
      </c>
      <c r="AK20" s="383">
        <f t="shared" si="9"/>
        <v>967.98053174088056</v>
      </c>
      <c r="AL20" s="383">
        <f t="shared" ref="AL20" si="10">AL18</f>
        <v>1007.0998729955157</v>
      </c>
    </row>
    <row r="22" spans="2:38" ht="13">
      <c r="B22" s="502" t="s">
        <v>506</v>
      </c>
      <c r="C22" s="542">
        <f>SUMIFS('Crossing Inputs'!$C$41:$H$41,'Crossing Inputs'!$C$23:$H$23,$A$1)</f>
        <v>0.95</v>
      </c>
    </row>
    <row r="23" spans="2:38" ht="13">
      <c r="B23" s="502" t="s">
        <v>507</v>
      </c>
      <c r="C23" s="542">
        <f>SUMIFS('Crossing Inputs'!$C$42:$H$42,'Crossing Inputs'!$C$23:$H$23,$A$1)</f>
        <v>0.05</v>
      </c>
    </row>
    <row r="24" spans="2:38" ht="13">
      <c r="B24" s="502" t="s">
        <v>746</v>
      </c>
      <c r="C24" s="542">
        <f>SUMIFS('Crossing Inputs'!$C$43:$H$43,'Crossing Inputs'!$C$23:$H$23,$A$1)</f>
        <v>0</v>
      </c>
    </row>
    <row r="25" spans="2:38">
      <c r="B25" s="358" t="s">
        <v>508</v>
      </c>
      <c r="C25" s="358" t="s">
        <v>443</v>
      </c>
      <c r="D25" s="576">
        <f>D$20*$C22</f>
        <v>248.76823196030929</v>
      </c>
      <c r="E25" s="576">
        <f t="shared" ref="E25:AK27" si="11">E$20*$C22</f>
        <v>258.82179093206406</v>
      </c>
      <c r="F25" s="576">
        <f t="shared" si="11"/>
        <v>269.28164795563225</v>
      </c>
      <c r="G25" s="576">
        <f t="shared" si="11"/>
        <v>280.16422289858241</v>
      </c>
      <c r="H25" s="576">
        <f t="shared" si="11"/>
        <v>291.48659921042662</v>
      </c>
      <c r="I25" s="576">
        <f t="shared" si="11"/>
        <v>303.26655074019362</v>
      </c>
      <c r="J25" s="576">
        <f t="shared" si="11"/>
        <v>315.52256963778996</v>
      </c>
      <c r="K25" s="576">
        <f t="shared" si="11"/>
        <v>328.27389538294875</v>
      </c>
      <c r="L25" s="576">
        <f t="shared" si="11"/>
        <v>341.54054498733518</v>
      </c>
      <c r="M25" s="576">
        <f t="shared" si="11"/>
        <v>355.34334441722092</v>
      </c>
      <c r="N25" s="576">
        <f t="shared" si="11"/>
        <v>369.70396128605432</v>
      </c>
      <c r="O25" s="576">
        <f t="shared" si="11"/>
        <v>384.64493886824698</v>
      </c>
      <c r="P25" s="576">
        <f t="shared" si="11"/>
        <v>400.18973148757124</v>
      </c>
      <c r="Q25" s="576">
        <f t="shared" si="11"/>
        <v>416.36274133572164</v>
      </c>
      <c r="R25" s="576">
        <f t="shared" si="11"/>
        <v>433.18935677883786</v>
      </c>
      <c r="S25" s="576">
        <f t="shared" si="11"/>
        <v>450.69599221212542</v>
      </c>
      <c r="T25" s="576">
        <f t="shared" si="11"/>
        <v>468.91012952512875</v>
      </c>
      <c r="U25" s="576">
        <f t="shared" si="11"/>
        <v>487.86036124276291</v>
      </c>
      <c r="V25" s="576">
        <f t="shared" si="11"/>
        <v>507.57643540981422</v>
      </c>
      <c r="W25" s="576">
        <f t="shared" si="11"/>
        <v>528.08930228937572</v>
      </c>
      <c r="X25" s="576">
        <f t="shared" si="11"/>
        <v>549.43116294852189</v>
      </c>
      <c r="Y25" s="576">
        <f t="shared" si="11"/>
        <v>571.63551980749594</v>
      </c>
      <c r="Z25" s="576">
        <f t="shared" si="11"/>
        <v>594.73722923175751</v>
      </c>
      <c r="AA25" s="576">
        <f t="shared" si="11"/>
        <v>618.77255624945133</v>
      </c>
      <c r="AB25" s="576">
        <f t="shared" si="11"/>
        <v>643.77923148019295</v>
      </c>
      <c r="AC25" s="576">
        <f t="shared" si="11"/>
        <v>669.79651036453924</v>
      </c>
      <c r="AD25" s="576">
        <f t="shared" si="11"/>
        <v>696.86523478711695</v>
      </c>
      <c r="AE25" s="576">
        <f t="shared" si="11"/>
        <v>725.02789719015175</v>
      </c>
      <c r="AF25" s="576">
        <f t="shared" si="11"/>
        <v>754.32870727803902</v>
      </c>
      <c r="AG25" s="576">
        <f t="shared" si="11"/>
        <v>784.81366141767103</v>
      </c>
      <c r="AH25" s="576">
        <f t="shared" si="11"/>
        <v>816.53061484346119</v>
      </c>
      <c r="AI25" s="576">
        <f t="shared" si="11"/>
        <v>849.5293567804207</v>
      </c>
      <c r="AJ25" s="576">
        <f t="shared" si="11"/>
        <v>883.86168860320561</v>
      </c>
      <c r="AK25" s="576">
        <f t="shared" si="11"/>
        <v>919.58150515383647</v>
      </c>
      <c r="AL25" s="576">
        <f t="shared" ref="AL25" si="12">AL$20*$C22</f>
        <v>956.74487934573995</v>
      </c>
    </row>
    <row r="26" spans="2:38">
      <c r="B26" s="358" t="s">
        <v>509</v>
      </c>
      <c r="C26" s="358" t="s">
        <v>443</v>
      </c>
      <c r="D26" s="576">
        <f>D$20*$C23</f>
        <v>13.093064840016281</v>
      </c>
      <c r="E26" s="576">
        <f t="shared" ref="E26:S26" si="13">E$20*$C23</f>
        <v>13.622199522740216</v>
      </c>
      <c r="F26" s="576">
        <f t="shared" si="13"/>
        <v>14.172718313454332</v>
      </c>
      <c r="G26" s="576">
        <f t="shared" si="13"/>
        <v>14.745485415714866</v>
      </c>
      <c r="H26" s="576">
        <f t="shared" si="13"/>
        <v>15.341399958443507</v>
      </c>
      <c r="I26" s="576">
        <f t="shared" si="13"/>
        <v>15.961397407378612</v>
      </c>
      <c r="J26" s="576">
        <f t="shared" si="13"/>
        <v>16.606451033567893</v>
      </c>
      <c r="K26" s="576">
        <f t="shared" si="13"/>
        <v>17.277573441207831</v>
      </c>
      <c r="L26" s="576">
        <f t="shared" si="13"/>
        <v>17.975818157228169</v>
      </c>
      <c r="M26" s="576">
        <f t="shared" si="13"/>
        <v>18.702281285116893</v>
      </c>
      <c r="N26" s="576">
        <f t="shared" si="13"/>
        <v>19.458103225581809</v>
      </c>
      <c r="O26" s="576">
        <f t="shared" si="13"/>
        <v>20.244470466749846</v>
      </c>
      <c r="P26" s="576">
        <f t="shared" si="13"/>
        <v>21.062617446714277</v>
      </c>
      <c r="Q26" s="576">
        <f t="shared" si="13"/>
        <v>21.913828491353772</v>
      </c>
      <c r="R26" s="576">
        <f t="shared" si="13"/>
        <v>22.799439830465154</v>
      </c>
      <c r="S26" s="576">
        <f t="shared" si="13"/>
        <v>23.720841695375025</v>
      </c>
      <c r="T26" s="576">
        <f t="shared" si="11"/>
        <v>24.679480501322569</v>
      </c>
      <c r="U26" s="576">
        <f t="shared" si="11"/>
        <v>25.676861118040154</v>
      </c>
      <c r="V26" s="576">
        <f t="shared" si="11"/>
        <v>26.714549232095489</v>
      </c>
      <c r="W26" s="576">
        <f t="shared" si="11"/>
        <v>27.794173804703988</v>
      </c>
      <c r="X26" s="576">
        <f t="shared" si="11"/>
        <v>28.917429628869577</v>
      </c>
      <c r="Y26" s="576">
        <f t="shared" si="11"/>
        <v>30.08607998986821</v>
      </c>
      <c r="Z26" s="576">
        <f t="shared" si="11"/>
        <v>31.301959433250399</v>
      </c>
      <c r="AA26" s="576">
        <f t="shared" si="11"/>
        <v>32.566976644707971</v>
      </c>
      <c r="AB26" s="576">
        <f t="shared" si="11"/>
        <v>33.883117446325947</v>
      </c>
      <c r="AC26" s="576">
        <f t="shared" si="11"/>
        <v>35.25244791392312</v>
      </c>
      <c r="AD26" s="576">
        <f t="shared" si="11"/>
        <v>36.677117620374581</v>
      </c>
      <c r="AE26" s="576">
        <f t="shared" si="11"/>
        <v>38.159363010007993</v>
      </c>
      <c r="AF26" s="576">
        <f t="shared" si="11"/>
        <v>39.701510909370484</v>
      </c>
      <c r="AG26" s="576">
        <f t="shared" si="11"/>
        <v>41.305982179877425</v>
      </c>
      <c r="AH26" s="576">
        <f t="shared" si="11"/>
        <v>42.975295518076905</v>
      </c>
      <c r="AI26" s="576">
        <f t="shared" si="11"/>
        <v>44.712071409495827</v>
      </c>
      <c r="AJ26" s="576">
        <f t="shared" si="11"/>
        <v>46.519036242273984</v>
      </c>
      <c r="AK26" s="576">
        <f t="shared" si="11"/>
        <v>48.399026587044034</v>
      </c>
      <c r="AL26" s="576">
        <f t="shared" ref="AL26" si="14">AL$20*$C23</f>
        <v>50.354993649775793</v>
      </c>
    </row>
    <row r="27" spans="2:38">
      <c r="B27" s="358" t="s">
        <v>747</v>
      </c>
      <c r="C27" s="358" t="s">
        <v>443</v>
      </c>
      <c r="D27" s="576">
        <f>D$20*$C24</f>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748" t="s">
        <v>788</v>
      </c>
      <c r="C32" s="358" t="s">
        <v>295</v>
      </c>
      <c r="D32" s="383">
        <f>D25*$C29</f>
        <v>88.934642925810564</v>
      </c>
      <c r="E32" s="383">
        <f t="shared" ref="E32:AK32" si="16">E25*$C29</f>
        <v>92.528790258212894</v>
      </c>
      <c r="F32" s="383">
        <f t="shared" si="16"/>
        <v>96.268189144138532</v>
      </c>
      <c r="G32" s="383">
        <f t="shared" si="16"/>
        <v>100.15870968624321</v>
      </c>
      <c r="H32" s="383">
        <f t="shared" si="16"/>
        <v>104.20645921772751</v>
      </c>
      <c r="I32" s="383">
        <f t="shared" si="16"/>
        <v>108.41779188961921</v>
      </c>
      <c r="J32" s="383">
        <f t="shared" si="16"/>
        <v>112.7993186455099</v>
      </c>
      <c r="K32" s="383">
        <f t="shared" si="16"/>
        <v>117.35791759940417</v>
      </c>
      <c r="L32" s="383">
        <f t="shared" si="16"/>
        <v>122.10074483297232</v>
      </c>
      <c r="M32" s="383">
        <f t="shared" si="16"/>
        <v>127.03524562915648</v>
      </c>
      <c r="N32" s="383">
        <f t="shared" si="16"/>
        <v>132.16916615976442</v>
      </c>
      <c r="O32" s="383">
        <f t="shared" si="16"/>
        <v>137.51056564539829</v>
      </c>
      <c r="P32" s="383">
        <f t="shared" si="16"/>
        <v>143.0678290068067</v>
      </c>
      <c r="Q32" s="383">
        <f t="shared" si="16"/>
        <v>148.84968002752049</v>
      </c>
      <c r="R32" s="383">
        <f t="shared" si="16"/>
        <v>154.86519504843452</v>
      </c>
      <c r="S32" s="383">
        <f t="shared" si="16"/>
        <v>161.12381721583483</v>
      </c>
      <c r="T32" s="383">
        <f t="shared" si="16"/>
        <v>167.63537130523352</v>
      </c>
      <c r="U32" s="383">
        <f t="shared" si="16"/>
        <v>174.41007914428772</v>
      </c>
      <c r="V32" s="383">
        <f t="shared" si="16"/>
        <v>181.45857565900857</v>
      </c>
      <c r="W32" s="383">
        <f t="shared" si="16"/>
        <v>188.7919255684518</v>
      </c>
      <c r="X32" s="383">
        <f t="shared" si="16"/>
        <v>196.42164075409656</v>
      </c>
      <c r="Y32" s="383">
        <f t="shared" si="16"/>
        <v>204.3596983311798</v>
      </c>
      <c r="Z32" s="383">
        <f t="shared" si="16"/>
        <v>212.6185594503533</v>
      </c>
      <c r="AA32" s="383">
        <f t="shared" si="16"/>
        <v>221.21118885917883</v>
      </c>
      <c r="AB32" s="383">
        <f t="shared" si="16"/>
        <v>230.15107525416897</v>
      </c>
      <c r="AC32" s="383">
        <f t="shared" si="16"/>
        <v>239.45225245532276</v>
      </c>
      <c r="AD32" s="383">
        <f t="shared" si="16"/>
        <v>249.12932143639429</v>
      </c>
      <c r="AE32" s="383">
        <f t="shared" si="16"/>
        <v>259.19747324547922</v>
      </c>
      <c r="AF32" s="383">
        <f t="shared" si="16"/>
        <v>269.67251285189894</v>
      </c>
      <c r="AG32" s="383">
        <f t="shared" si="16"/>
        <v>280.5708839568174</v>
      </c>
      <c r="AH32" s="383">
        <f t="shared" si="16"/>
        <v>291.90969480653735</v>
      </c>
      <c r="AI32" s="383">
        <f t="shared" si="16"/>
        <v>303.7067450490004</v>
      </c>
      <c r="AJ32" s="383">
        <f t="shared" si="16"/>
        <v>315.98055367564598</v>
      </c>
      <c r="AK32" s="383">
        <f t="shared" si="16"/>
        <v>328.75038809249651</v>
      </c>
      <c r="AL32" s="383">
        <f t="shared" ref="AL32" si="17">AL25*$C29</f>
        <v>342.03629436610203</v>
      </c>
    </row>
    <row r="33" spans="1:38">
      <c r="B33" s="748" t="s">
        <v>789</v>
      </c>
      <c r="C33" s="358" t="s">
        <v>295</v>
      </c>
      <c r="D33" s="383">
        <f>D26*$C30+D27*$C31</f>
        <v>10.998174465613674</v>
      </c>
      <c r="E33" s="383">
        <f t="shared" ref="E33:AK33" si="18">E26*$C30+E27*$C31</f>
        <v>11.442647599101781</v>
      </c>
      <c r="F33" s="383">
        <f t="shared" si="18"/>
        <v>11.905083383301639</v>
      </c>
      <c r="G33" s="383">
        <f t="shared" si="18"/>
        <v>12.386207749200487</v>
      </c>
      <c r="H33" s="383">
        <f t="shared" si="18"/>
        <v>12.886775965092545</v>
      </c>
      <c r="I33" s="383">
        <f t="shared" si="18"/>
        <v>13.407573822198033</v>
      </c>
      <c r="J33" s="383">
        <f t="shared" si="18"/>
        <v>13.94941886819703</v>
      </c>
      <c r="K33" s="383">
        <f t="shared" si="18"/>
        <v>14.513161690614577</v>
      </c>
      <c r="L33" s="383">
        <f t="shared" si="18"/>
        <v>15.099687252071661</v>
      </c>
      <c r="M33" s="383">
        <f t="shared" si="18"/>
        <v>15.70991627949819</v>
      </c>
      <c r="N33" s="383">
        <f t="shared" si="18"/>
        <v>16.344806709488719</v>
      </c>
      <c r="O33" s="383">
        <f t="shared" si="18"/>
        <v>17.005355192069871</v>
      </c>
      <c r="P33" s="383">
        <f t="shared" si="18"/>
        <v>17.692598655239994</v>
      </c>
      <c r="Q33" s="383">
        <f t="shared" si="18"/>
        <v>18.407615932737169</v>
      </c>
      <c r="R33" s="383">
        <f t="shared" si="18"/>
        <v>19.15152945759073</v>
      </c>
      <c r="S33" s="383">
        <f t="shared" si="18"/>
        <v>19.925507024115021</v>
      </c>
      <c r="T33" s="383">
        <f t="shared" si="18"/>
        <v>20.730763621110956</v>
      </c>
      <c r="U33" s="383">
        <f t="shared" si="18"/>
        <v>21.56856333915373</v>
      </c>
      <c r="V33" s="383">
        <f t="shared" si="18"/>
        <v>22.440221354960212</v>
      </c>
      <c r="W33" s="383">
        <f t="shared" si="18"/>
        <v>23.347105995951349</v>
      </c>
      <c r="X33" s="383">
        <f t="shared" si="18"/>
        <v>24.290640888250444</v>
      </c>
      <c r="Y33" s="383">
        <f t="shared" si="18"/>
        <v>25.272307191489297</v>
      </c>
      <c r="Z33" s="383">
        <f t="shared" si="18"/>
        <v>26.293645923930335</v>
      </c>
      <c r="AA33" s="383">
        <f t="shared" si="18"/>
        <v>27.356260381554694</v>
      </c>
      <c r="AB33" s="383">
        <f t="shared" si="18"/>
        <v>28.461818654913795</v>
      </c>
      <c r="AC33" s="383">
        <f t="shared" si="18"/>
        <v>29.612056247695421</v>
      </c>
      <c r="AD33" s="383">
        <f t="shared" si="18"/>
        <v>30.808778801114649</v>
      </c>
      <c r="AE33" s="383">
        <f t="shared" si="18"/>
        <v>32.053864928406711</v>
      </c>
      <c r="AF33" s="383">
        <f t="shared" si="18"/>
        <v>33.349269163871206</v>
      </c>
      <c r="AG33" s="383">
        <f t="shared" si="18"/>
        <v>34.697025031097034</v>
      </c>
      <c r="AH33" s="383">
        <f t="shared" si="18"/>
        <v>36.099248235184596</v>
      </c>
      <c r="AI33" s="383">
        <f t="shared" si="18"/>
        <v>37.558139983976496</v>
      </c>
      <c r="AJ33" s="383">
        <f t="shared" si="18"/>
        <v>39.075990443510143</v>
      </c>
      <c r="AK33" s="383">
        <f t="shared" si="18"/>
        <v>40.65518233311699</v>
      </c>
      <c r="AL33" s="383">
        <f t="shared" ref="AL33" si="19">AL26*$C30+AL27*$C31</f>
        <v>42.298194665811664</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Demand!F51</f>
        <v>2.021212882214602</v>
      </c>
      <c r="E37" s="383">
        <f>Demand!G51</f>
        <v>2.0426507576151294</v>
      </c>
      <c r="F37" s="383">
        <f>Demand!H51</f>
        <v>2.064316012578558</v>
      </c>
      <c r="G37" s="383">
        <f>Demand!I51</f>
        <v>2.0862110587928311</v>
      </c>
      <c r="H37" s="383">
        <f>Demand!J51</f>
        <v>0</v>
      </c>
      <c r="I37" s="383">
        <f>Demand!K51</f>
        <v>0</v>
      </c>
      <c r="J37" s="383">
        <f>Demand!L51</f>
        <v>0</v>
      </c>
      <c r="K37" s="383">
        <f>Demand!M51</f>
        <v>0</v>
      </c>
      <c r="L37" s="383">
        <f>Demand!N51</f>
        <v>0</v>
      </c>
      <c r="M37" s="383">
        <f>Demand!O51</f>
        <v>0</v>
      </c>
      <c r="N37" s="383">
        <f>Demand!P51</f>
        <v>0</v>
      </c>
      <c r="O37" s="383">
        <f>Demand!Q51</f>
        <v>0</v>
      </c>
      <c r="P37" s="383">
        <f>Demand!R51</f>
        <v>0</v>
      </c>
      <c r="Q37" s="383">
        <f>Demand!S51</f>
        <v>0</v>
      </c>
      <c r="R37" s="383">
        <f>Demand!T51</f>
        <v>0</v>
      </c>
      <c r="S37" s="383">
        <f>Demand!U51</f>
        <v>0</v>
      </c>
      <c r="T37" s="383">
        <f>Demand!V51</f>
        <v>0</v>
      </c>
      <c r="U37" s="383">
        <f>Demand!W51</f>
        <v>0</v>
      </c>
      <c r="V37" s="383">
        <f>Demand!X51</f>
        <v>0</v>
      </c>
      <c r="W37" s="383">
        <f>Demand!Y51</f>
        <v>0</v>
      </c>
      <c r="X37" s="383">
        <f>Demand!Z51</f>
        <v>0</v>
      </c>
      <c r="Y37" s="383">
        <f>Demand!AA51</f>
        <v>0</v>
      </c>
      <c r="Z37" s="383">
        <f>Demand!AB51</f>
        <v>0</v>
      </c>
      <c r="AA37" s="383">
        <f>Demand!AC51</f>
        <v>0</v>
      </c>
      <c r="AB37" s="383">
        <f>Demand!AD51</f>
        <v>0</v>
      </c>
      <c r="AC37" s="383">
        <f>Demand!AE51</f>
        <v>0</v>
      </c>
      <c r="AD37" s="383">
        <f>Demand!AF51</f>
        <v>0</v>
      </c>
      <c r="AE37" s="383">
        <f>Demand!AG51</f>
        <v>0</v>
      </c>
      <c r="AF37" s="383">
        <f>Demand!AH51</f>
        <v>0</v>
      </c>
      <c r="AG37" s="383">
        <f>Demand!AI51</f>
        <v>0</v>
      </c>
      <c r="AH37" s="383">
        <f>Demand!AJ51</f>
        <v>0</v>
      </c>
      <c r="AI37" s="383">
        <f>Demand!AK51</f>
        <v>0</v>
      </c>
      <c r="AJ37" s="383">
        <f>Demand!AL51</f>
        <v>0</v>
      </c>
      <c r="AK37" s="383">
        <f>Demand!AM51</f>
        <v>0</v>
      </c>
      <c r="AL37" s="383">
        <f>Demand!AN51</f>
        <v>0</v>
      </c>
    </row>
    <row r="38" spans="1:38">
      <c r="B38" s="363" t="s">
        <v>645</v>
      </c>
      <c r="C38" s="358" t="s">
        <v>1054</v>
      </c>
      <c r="D38" s="383">
        <f>Demand!F52</f>
        <v>1.010606441107301</v>
      </c>
      <c r="E38" s="383">
        <f>Demand!G52</f>
        <v>1.0213253788075647</v>
      </c>
      <c r="F38" s="383">
        <f>Demand!H52</f>
        <v>1.032158006289279</v>
      </c>
      <c r="G38" s="383">
        <f>Demand!I52</f>
        <v>1.0431055293964155</v>
      </c>
      <c r="H38" s="383">
        <f>Demand!J52</f>
        <v>0</v>
      </c>
      <c r="I38" s="383">
        <f>Demand!K52</f>
        <v>0</v>
      </c>
      <c r="J38" s="383">
        <f>Demand!L52</f>
        <v>0</v>
      </c>
      <c r="K38" s="383">
        <f>Demand!M52</f>
        <v>0</v>
      </c>
      <c r="L38" s="383">
        <f>Demand!N52</f>
        <v>0</v>
      </c>
      <c r="M38" s="383">
        <f>Demand!O52</f>
        <v>0</v>
      </c>
      <c r="N38" s="383">
        <f>Demand!P52</f>
        <v>0</v>
      </c>
      <c r="O38" s="383">
        <f>Demand!Q52</f>
        <v>0</v>
      </c>
      <c r="P38" s="383">
        <f>Demand!R52</f>
        <v>0</v>
      </c>
      <c r="Q38" s="383">
        <f>Demand!S52</f>
        <v>0</v>
      </c>
      <c r="R38" s="383">
        <f>Demand!T52</f>
        <v>0</v>
      </c>
      <c r="S38" s="383">
        <f>Demand!U52</f>
        <v>0</v>
      </c>
      <c r="T38" s="383">
        <f>Demand!V52</f>
        <v>0</v>
      </c>
      <c r="U38" s="383">
        <f>Demand!W52</f>
        <v>0</v>
      </c>
      <c r="V38" s="383">
        <f>Demand!X52</f>
        <v>0</v>
      </c>
      <c r="W38" s="383">
        <f>Demand!Y52</f>
        <v>0</v>
      </c>
      <c r="X38" s="383">
        <f>Demand!Z52</f>
        <v>0</v>
      </c>
      <c r="Y38" s="383">
        <f>Demand!AA52</f>
        <v>0</v>
      </c>
      <c r="Z38" s="383">
        <f>Demand!AB52</f>
        <v>0</v>
      </c>
      <c r="AA38" s="383">
        <f>Demand!AC52</f>
        <v>0</v>
      </c>
      <c r="AB38" s="383">
        <f>Demand!AD52</f>
        <v>0</v>
      </c>
      <c r="AC38" s="383">
        <f>Demand!AE52</f>
        <v>0</v>
      </c>
      <c r="AD38" s="383">
        <f>Demand!AF52</f>
        <v>0</v>
      </c>
      <c r="AE38" s="383">
        <f>Demand!AG52</f>
        <v>0</v>
      </c>
      <c r="AF38" s="383">
        <f>Demand!AH52</f>
        <v>0</v>
      </c>
      <c r="AG38" s="383">
        <f>Demand!AI52</f>
        <v>0</v>
      </c>
      <c r="AH38" s="383">
        <f>Demand!AJ52</f>
        <v>0</v>
      </c>
      <c r="AI38" s="383">
        <f>Demand!AK52</f>
        <v>0</v>
      </c>
      <c r="AJ38" s="383">
        <f>Demand!AL52</f>
        <v>0</v>
      </c>
      <c r="AK38" s="383">
        <f>Demand!AM52</f>
        <v>0</v>
      </c>
      <c r="AL38" s="383">
        <f>Demand!AN52</f>
        <v>0</v>
      </c>
    </row>
    <row r="40" spans="1:38">
      <c r="B40" s="571" t="s">
        <v>1058</v>
      </c>
      <c r="C40" s="572" t="s">
        <v>15</v>
      </c>
      <c r="D40" s="570">
        <f t="shared" ref="D40:AL40" si="20">(D$37*$C$13)/Minutes.Per.Day</f>
        <v>1.2632580513841262E-2</v>
      </c>
      <c r="E40" s="570">
        <f t="shared" si="20"/>
        <v>1.2766567235094558E-2</v>
      </c>
      <c r="F40" s="570">
        <f t="shared" si="20"/>
        <v>1.2901975078615988E-2</v>
      </c>
      <c r="G40" s="570">
        <f t="shared" si="20"/>
        <v>1.3038819117455193E-2</v>
      </c>
      <c r="H40" s="570">
        <f t="shared" si="20"/>
        <v>0</v>
      </c>
      <c r="I40" s="570">
        <f t="shared" si="20"/>
        <v>0</v>
      </c>
      <c r="J40" s="570">
        <f t="shared" si="20"/>
        <v>0</v>
      </c>
      <c r="K40" s="570">
        <f t="shared" si="20"/>
        <v>0</v>
      </c>
      <c r="L40" s="570">
        <f t="shared" si="20"/>
        <v>0</v>
      </c>
      <c r="M40" s="570">
        <f t="shared" si="20"/>
        <v>0</v>
      </c>
      <c r="N40" s="570">
        <f t="shared" si="20"/>
        <v>0</v>
      </c>
      <c r="O40" s="570">
        <f t="shared" si="20"/>
        <v>0</v>
      </c>
      <c r="P40" s="570">
        <f t="shared" si="20"/>
        <v>0</v>
      </c>
      <c r="Q40" s="570">
        <f t="shared" si="20"/>
        <v>0</v>
      </c>
      <c r="R40" s="570">
        <f t="shared" si="20"/>
        <v>0</v>
      </c>
      <c r="S40" s="570">
        <f t="shared" si="20"/>
        <v>0</v>
      </c>
      <c r="T40" s="570">
        <f t="shared" si="20"/>
        <v>0</v>
      </c>
      <c r="U40" s="570">
        <f t="shared" si="20"/>
        <v>0</v>
      </c>
      <c r="V40" s="570">
        <f t="shared" si="20"/>
        <v>0</v>
      </c>
      <c r="W40" s="570">
        <f t="shared" si="20"/>
        <v>0</v>
      </c>
      <c r="X40" s="570">
        <f t="shared" si="20"/>
        <v>0</v>
      </c>
      <c r="Y40" s="570">
        <f t="shared" si="20"/>
        <v>0</v>
      </c>
      <c r="Z40" s="570">
        <f t="shared" si="20"/>
        <v>0</v>
      </c>
      <c r="AA40" s="570">
        <f t="shared" si="20"/>
        <v>0</v>
      </c>
      <c r="AB40" s="570">
        <f t="shared" si="20"/>
        <v>0</v>
      </c>
      <c r="AC40" s="570">
        <f t="shared" si="20"/>
        <v>0</v>
      </c>
      <c r="AD40" s="570">
        <f t="shared" si="20"/>
        <v>0</v>
      </c>
      <c r="AE40" s="570">
        <f t="shared" si="20"/>
        <v>0</v>
      </c>
      <c r="AF40" s="570">
        <f t="shared" si="20"/>
        <v>0</v>
      </c>
      <c r="AG40" s="570">
        <f t="shared" si="20"/>
        <v>0</v>
      </c>
      <c r="AH40" s="570">
        <f t="shared" si="20"/>
        <v>0</v>
      </c>
      <c r="AI40" s="570">
        <f t="shared" si="20"/>
        <v>0</v>
      </c>
      <c r="AJ40" s="570">
        <f t="shared" si="20"/>
        <v>0</v>
      </c>
      <c r="AK40" s="570">
        <f t="shared" si="20"/>
        <v>0</v>
      </c>
      <c r="AL40" s="570">
        <f t="shared" si="20"/>
        <v>0</v>
      </c>
    </row>
    <row r="42" spans="1:38">
      <c r="B42" s="573" t="s">
        <v>1055</v>
      </c>
      <c r="C42" s="574" t="s">
        <v>505</v>
      </c>
      <c r="D42" s="383">
        <f t="shared" ref="D42:AK42" si="21">D6*D40</f>
        <v>9.5657094721580123</v>
      </c>
      <c r="E42" s="383">
        <f t="shared" si="21"/>
        <v>9.9522918887599747</v>
      </c>
      <c r="F42" s="383">
        <f t="shared" si="21"/>
        <v>10.354497397957504</v>
      </c>
      <c r="G42" s="383">
        <f t="shared" si="21"/>
        <v>10.772957381344193</v>
      </c>
      <c r="H42" s="383">
        <f t="shared" si="21"/>
        <v>0</v>
      </c>
      <c r="I42" s="383">
        <f t="shared" si="21"/>
        <v>0</v>
      </c>
      <c r="J42" s="383">
        <f t="shared" si="21"/>
        <v>0</v>
      </c>
      <c r="K42" s="383">
        <f t="shared" si="21"/>
        <v>0</v>
      </c>
      <c r="L42" s="383">
        <f t="shared" si="21"/>
        <v>0</v>
      </c>
      <c r="M42" s="383">
        <f t="shared" si="21"/>
        <v>0</v>
      </c>
      <c r="N42" s="383">
        <f t="shared" si="21"/>
        <v>0</v>
      </c>
      <c r="O42" s="383">
        <f t="shared" si="21"/>
        <v>0</v>
      </c>
      <c r="P42" s="383">
        <f t="shared" si="21"/>
        <v>0</v>
      </c>
      <c r="Q42" s="383">
        <f t="shared" si="21"/>
        <v>0</v>
      </c>
      <c r="R42" s="383">
        <f t="shared" si="21"/>
        <v>0</v>
      </c>
      <c r="S42" s="383">
        <f t="shared" si="21"/>
        <v>0</v>
      </c>
      <c r="T42" s="383">
        <f t="shared" si="21"/>
        <v>0</v>
      </c>
      <c r="U42" s="383">
        <f t="shared" si="21"/>
        <v>0</v>
      </c>
      <c r="V42" s="383">
        <f t="shared" si="21"/>
        <v>0</v>
      </c>
      <c r="W42" s="383">
        <f t="shared" si="21"/>
        <v>0</v>
      </c>
      <c r="X42" s="383">
        <f t="shared" si="21"/>
        <v>0</v>
      </c>
      <c r="Y42" s="383">
        <f t="shared" si="21"/>
        <v>0</v>
      </c>
      <c r="Z42" s="383">
        <f t="shared" si="21"/>
        <v>0</v>
      </c>
      <c r="AA42" s="383">
        <f t="shared" si="21"/>
        <v>0</v>
      </c>
      <c r="AB42" s="383">
        <f t="shared" si="21"/>
        <v>0</v>
      </c>
      <c r="AC42" s="383">
        <f t="shared" si="21"/>
        <v>0</v>
      </c>
      <c r="AD42" s="383">
        <f t="shared" si="21"/>
        <v>0</v>
      </c>
      <c r="AE42" s="383">
        <f t="shared" si="21"/>
        <v>0</v>
      </c>
      <c r="AF42" s="383">
        <f t="shared" si="21"/>
        <v>0</v>
      </c>
      <c r="AG42" s="383">
        <f t="shared" si="21"/>
        <v>0</v>
      </c>
      <c r="AH42" s="383">
        <f t="shared" si="21"/>
        <v>0</v>
      </c>
      <c r="AI42" s="383">
        <f t="shared" si="21"/>
        <v>0</v>
      </c>
      <c r="AJ42" s="383">
        <f t="shared" si="21"/>
        <v>0</v>
      </c>
      <c r="AK42" s="383">
        <f t="shared" si="21"/>
        <v>0</v>
      </c>
      <c r="AL42" s="383">
        <f t="shared" ref="AL42" si="22">AL6*AL40</f>
        <v>0</v>
      </c>
    </row>
    <row r="43" spans="1:38">
      <c r="B43" s="573" t="s">
        <v>1056</v>
      </c>
      <c r="C43" s="574" t="s">
        <v>490</v>
      </c>
      <c r="D43" s="383">
        <f t="shared" ref="D43:AK43" si="23">D42*$C$13/2</f>
        <v>43.045692624711052</v>
      </c>
      <c r="E43" s="383">
        <f t="shared" si="23"/>
        <v>44.785313499419885</v>
      </c>
      <c r="F43" s="383">
        <f t="shared" si="23"/>
        <v>46.595238290808766</v>
      </c>
      <c r="G43" s="383">
        <f t="shared" si="23"/>
        <v>48.478308216048873</v>
      </c>
      <c r="H43" s="383">
        <f t="shared" si="23"/>
        <v>0</v>
      </c>
      <c r="I43" s="383">
        <f t="shared" si="23"/>
        <v>0</v>
      </c>
      <c r="J43" s="383">
        <f t="shared" si="23"/>
        <v>0</v>
      </c>
      <c r="K43" s="383">
        <f t="shared" si="23"/>
        <v>0</v>
      </c>
      <c r="L43" s="383">
        <f t="shared" si="23"/>
        <v>0</v>
      </c>
      <c r="M43" s="383">
        <f t="shared" si="23"/>
        <v>0</v>
      </c>
      <c r="N43" s="383">
        <f t="shared" si="23"/>
        <v>0</v>
      </c>
      <c r="O43" s="383">
        <f t="shared" si="23"/>
        <v>0</v>
      </c>
      <c r="P43" s="383">
        <f t="shared" si="23"/>
        <v>0</v>
      </c>
      <c r="Q43" s="383">
        <f t="shared" si="23"/>
        <v>0</v>
      </c>
      <c r="R43" s="383">
        <f t="shared" si="23"/>
        <v>0</v>
      </c>
      <c r="S43" s="383">
        <f t="shared" si="23"/>
        <v>0</v>
      </c>
      <c r="T43" s="383">
        <f t="shared" si="23"/>
        <v>0</v>
      </c>
      <c r="U43" s="383">
        <f t="shared" si="23"/>
        <v>0</v>
      </c>
      <c r="V43" s="383">
        <f t="shared" si="23"/>
        <v>0</v>
      </c>
      <c r="W43" s="383">
        <f t="shared" si="23"/>
        <v>0</v>
      </c>
      <c r="X43" s="383">
        <f t="shared" si="23"/>
        <v>0</v>
      </c>
      <c r="Y43" s="383">
        <f t="shared" si="23"/>
        <v>0</v>
      </c>
      <c r="Z43" s="383">
        <f t="shared" si="23"/>
        <v>0</v>
      </c>
      <c r="AA43" s="383">
        <f t="shared" si="23"/>
        <v>0</v>
      </c>
      <c r="AB43" s="383">
        <f t="shared" si="23"/>
        <v>0</v>
      </c>
      <c r="AC43" s="383">
        <f t="shared" si="23"/>
        <v>0</v>
      </c>
      <c r="AD43" s="383">
        <f t="shared" si="23"/>
        <v>0</v>
      </c>
      <c r="AE43" s="383">
        <f t="shared" si="23"/>
        <v>0</v>
      </c>
      <c r="AF43" s="383">
        <f t="shared" si="23"/>
        <v>0</v>
      </c>
      <c r="AG43" s="383">
        <f t="shared" si="23"/>
        <v>0</v>
      </c>
      <c r="AH43" s="383">
        <f t="shared" si="23"/>
        <v>0</v>
      </c>
      <c r="AI43" s="383">
        <f t="shared" si="23"/>
        <v>0</v>
      </c>
      <c r="AJ43" s="383">
        <f t="shared" si="23"/>
        <v>0</v>
      </c>
      <c r="AK43" s="383">
        <f t="shared" si="23"/>
        <v>0</v>
      </c>
      <c r="AL43" s="383">
        <f t="shared" ref="AL43" si="24">AL42*$C$13/2</f>
        <v>0</v>
      </c>
    </row>
    <row r="44" spans="1:38">
      <c r="B44" s="575" t="s">
        <v>1057</v>
      </c>
      <c r="C44" s="574" t="s">
        <v>443</v>
      </c>
      <c r="D44" s="383">
        <f>D43/Minutes.per.Hour*Days.Per.Year</f>
        <v>261.86129680032559</v>
      </c>
      <c r="E44" s="383">
        <f t="shared" ref="E44:AK44" si="25">E43/Minutes.per.Hour*Days.Per.Year</f>
        <v>272.44399045480429</v>
      </c>
      <c r="F44" s="383">
        <f t="shared" si="25"/>
        <v>283.45436626908662</v>
      </c>
      <c r="G44" s="383">
        <f t="shared" si="25"/>
        <v>294.90970831429729</v>
      </c>
      <c r="H44" s="383">
        <f t="shared" si="25"/>
        <v>0</v>
      </c>
      <c r="I44" s="383">
        <f t="shared" si="25"/>
        <v>0</v>
      </c>
      <c r="J44" s="383">
        <f t="shared" si="25"/>
        <v>0</v>
      </c>
      <c r="K44" s="383">
        <f t="shared" si="25"/>
        <v>0</v>
      </c>
      <c r="L44" s="383">
        <f t="shared" si="25"/>
        <v>0</v>
      </c>
      <c r="M44" s="383">
        <f t="shared" si="25"/>
        <v>0</v>
      </c>
      <c r="N44" s="383">
        <f t="shared" si="25"/>
        <v>0</v>
      </c>
      <c r="O44" s="383">
        <f t="shared" si="25"/>
        <v>0</v>
      </c>
      <c r="P44" s="383">
        <f t="shared" si="25"/>
        <v>0</v>
      </c>
      <c r="Q44" s="383">
        <f t="shared" si="25"/>
        <v>0</v>
      </c>
      <c r="R44" s="383">
        <f t="shared" si="25"/>
        <v>0</v>
      </c>
      <c r="S44" s="383">
        <f t="shared" si="25"/>
        <v>0</v>
      </c>
      <c r="T44" s="383">
        <f t="shared" si="25"/>
        <v>0</v>
      </c>
      <c r="U44" s="383">
        <f t="shared" si="25"/>
        <v>0</v>
      </c>
      <c r="V44" s="383">
        <f t="shared" si="25"/>
        <v>0</v>
      </c>
      <c r="W44" s="383">
        <f t="shared" si="25"/>
        <v>0</v>
      </c>
      <c r="X44" s="383">
        <f t="shared" si="25"/>
        <v>0</v>
      </c>
      <c r="Y44" s="383">
        <f t="shared" si="25"/>
        <v>0</v>
      </c>
      <c r="Z44" s="383">
        <f t="shared" si="25"/>
        <v>0</v>
      </c>
      <c r="AA44" s="383">
        <f t="shared" si="25"/>
        <v>0</v>
      </c>
      <c r="AB44" s="383">
        <f t="shared" si="25"/>
        <v>0</v>
      </c>
      <c r="AC44" s="383">
        <f t="shared" si="25"/>
        <v>0</v>
      </c>
      <c r="AD44" s="383">
        <f t="shared" si="25"/>
        <v>0</v>
      </c>
      <c r="AE44" s="383">
        <f t="shared" si="25"/>
        <v>0</v>
      </c>
      <c r="AF44" s="383">
        <f t="shared" si="25"/>
        <v>0</v>
      </c>
      <c r="AG44" s="383">
        <f t="shared" si="25"/>
        <v>0</v>
      </c>
      <c r="AH44" s="383">
        <f t="shared" si="25"/>
        <v>0</v>
      </c>
      <c r="AI44" s="383">
        <f t="shared" si="25"/>
        <v>0</v>
      </c>
      <c r="AJ44" s="383">
        <f t="shared" si="25"/>
        <v>0</v>
      </c>
      <c r="AK44" s="383">
        <f t="shared" si="25"/>
        <v>0</v>
      </c>
      <c r="AL44" s="383">
        <f t="shared" ref="AL44" si="26">AL43/Minutes.per.Hour*Days.Per.Year</f>
        <v>0</v>
      </c>
    </row>
    <row r="46" spans="1:38">
      <c r="B46" s="575" t="s">
        <v>745</v>
      </c>
      <c r="C46" s="574" t="s">
        <v>443</v>
      </c>
      <c r="D46" s="383">
        <f>D44</f>
        <v>261.86129680032559</v>
      </c>
      <c r="E46" s="383">
        <f t="shared" ref="E46:AK46" si="27">E44</f>
        <v>272.44399045480429</v>
      </c>
      <c r="F46" s="383">
        <f t="shared" si="27"/>
        <v>283.45436626908662</v>
      </c>
      <c r="G46" s="383">
        <f t="shared" si="27"/>
        <v>294.90970831429729</v>
      </c>
      <c r="H46" s="383">
        <f t="shared" si="27"/>
        <v>0</v>
      </c>
      <c r="I46" s="383">
        <f t="shared" si="27"/>
        <v>0</v>
      </c>
      <c r="J46" s="383">
        <f t="shared" si="27"/>
        <v>0</v>
      </c>
      <c r="K46" s="383">
        <f t="shared" si="27"/>
        <v>0</v>
      </c>
      <c r="L46" s="383">
        <f t="shared" si="27"/>
        <v>0</v>
      </c>
      <c r="M46" s="383">
        <f t="shared" si="27"/>
        <v>0</v>
      </c>
      <c r="N46" s="383">
        <f t="shared" si="27"/>
        <v>0</v>
      </c>
      <c r="O46" s="383">
        <f t="shared" si="27"/>
        <v>0</v>
      </c>
      <c r="P46" s="383">
        <f t="shared" si="27"/>
        <v>0</v>
      </c>
      <c r="Q46" s="383">
        <f t="shared" si="27"/>
        <v>0</v>
      </c>
      <c r="R46" s="383">
        <f t="shared" si="27"/>
        <v>0</v>
      </c>
      <c r="S46" s="383">
        <f t="shared" si="27"/>
        <v>0</v>
      </c>
      <c r="T46" s="383">
        <f t="shared" si="27"/>
        <v>0</v>
      </c>
      <c r="U46" s="383">
        <f t="shared" si="27"/>
        <v>0</v>
      </c>
      <c r="V46" s="383">
        <f t="shared" si="27"/>
        <v>0</v>
      </c>
      <c r="W46" s="383">
        <f t="shared" si="27"/>
        <v>0</v>
      </c>
      <c r="X46" s="383">
        <f t="shared" si="27"/>
        <v>0</v>
      </c>
      <c r="Y46" s="383">
        <f t="shared" si="27"/>
        <v>0</v>
      </c>
      <c r="Z46" s="383">
        <f t="shared" si="27"/>
        <v>0</v>
      </c>
      <c r="AA46" s="383">
        <f t="shared" si="27"/>
        <v>0</v>
      </c>
      <c r="AB46" s="383">
        <f t="shared" si="27"/>
        <v>0</v>
      </c>
      <c r="AC46" s="383">
        <f t="shared" si="27"/>
        <v>0</v>
      </c>
      <c r="AD46" s="383">
        <f t="shared" si="27"/>
        <v>0</v>
      </c>
      <c r="AE46" s="383">
        <f t="shared" si="27"/>
        <v>0</v>
      </c>
      <c r="AF46" s="383">
        <f t="shared" si="27"/>
        <v>0</v>
      </c>
      <c r="AG46" s="383">
        <f t="shared" si="27"/>
        <v>0</v>
      </c>
      <c r="AH46" s="383">
        <f t="shared" si="27"/>
        <v>0</v>
      </c>
      <c r="AI46" s="383">
        <f t="shared" si="27"/>
        <v>0</v>
      </c>
      <c r="AJ46" s="383">
        <f t="shared" si="27"/>
        <v>0</v>
      </c>
      <c r="AK46" s="383">
        <f t="shared" si="27"/>
        <v>0</v>
      </c>
      <c r="AL46" s="383">
        <f t="shared" ref="AL46" si="28">AL44</f>
        <v>0</v>
      </c>
    </row>
    <row r="48" spans="1:38">
      <c r="B48" s="358" t="s">
        <v>508</v>
      </c>
      <c r="C48" s="358" t="s">
        <v>443</v>
      </c>
      <c r="D48" s="383">
        <f t="shared" ref="D48:AK48" si="29">D$46*$C22</f>
        <v>248.76823196030929</v>
      </c>
      <c r="E48" s="383">
        <f t="shared" si="29"/>
        <v>258.82179093206406</v>
      </c>
      <c r="F48" s="383">
        <f t="shared" si="29"/>
        <v>269.28164795563225</v>
      </c>
      <c r="G48" s="383">
        <f t="shared" si="29"/>
        <v>280.16422289858241</v>
      </c>
      <c r="H48" s="383">
        <f t="shared" si="29"/>
        <v>0</v>
      </c>
      <c r="I48" s="383">
        <f t="shared" si="29"/>
        <v>0</v>
      </c>
      <c r="J48" s="383">
        <f t="shared" si="29"/>
        <v>0</v>
      </c>
      <c r="K48" s="383">
        <f t="shared" si="29"/>
        <v>0</v>
      </c>
      <c r="L48" s="383">
        <f t="shared" si="29"/>
        <v>0</v>
      </c>
      <c r="M48" s="383">
        <f t="shared" si="29"/>
        <v>0</v>
      </c>
      <c r="N48" s="383">
        <f t="shared" si="29"/>
        <v>0</v>
      </c>
      <c r="O48" s="383">
        <f t="shared" si="29"/>
        <v>0</v>
      </c>
      <c r="P48" s="383">
        <f t="shared" si="29"/>
        <v>0</v>
      </c>
      <c r="Q48" s="383">
        <f t="shared" si="29"/>
        <v>0</v>
      </c>
      <c r="R48" s="383">
        <f t="shared" si="29"/>
        <v>0</v>
      </c>
      <c r="S48" s="383">
        <f t="shared" si="29"/>
        <v>0</v>
      </c>
      <c r="T48" s="383">
        <f t="shared" si="29"/>
        <v>0</v>
      </c>
      <c r="U48" s="383">
        <f t="shared" si="29"/>
        <v>0</v>
      </c>
      <c r="V48" s="383">
        <f t="shared" si="29"/>
        <v>0</v>
      </c>
      <c r="W48" s="383">
        <f t="shared" si="29"/>
        <v>0</v>
      </c>
      <c r="X48" s="383">
        <f t="shared" si="29"/>
        <v>0</v>
      </c>
      <c r="Y48" s="383">
        <f t="shared" si="29"/>
        <v>0</v>
      </c>
      <c r="Z48" s="383">
        <f t="shared" si="29"/>
        <v>0</v>
      </c>
      <c r="AA48" s="383">
        <f t="shared" si="29"/>
        <v>0</v>
      </c>
      <c r="AB48" s="383">
        <f t="shared" si="29"/>
        <v>0</v>
      </c>
      <c r="AC48" s="383">
        <f t="shared" si="29"/>
        <v>0</v>
      </c>
      <c r="AD48" s="383">
        <f t="shared" si="29"/>
        <v>0</v>
      </c>
      <c r="AE48" s="383">
        <f t="shared" si="29"/>
        <v>0</v>
      </c>
      <c r="AF48" s="383">
        <f t="shared" si="29"/>
        <v>0</v>
      </c>
      <c r="AG48" s="383">
        <f t="shared" si="29"/>
        <v>0</v>
      </c>
      <c r="AH48" s="383">
        <f t="shared" si="29"/>
        <v>0</v>
      </c>
      <c r="AI48" s="383">
        <f t="shared" si="29"/>
        <v>0</v>
      </c>
      <c r="AJ48" s="383">
        <f t="shared" si="29"/>
        <v>0</v>
      </c>
      <c r="AK48" s="383">
        <f t="shared" si="29"/>
        <v>0</v>
      </c>
      <c r="AL48" s="383">
        <f t="shared" ref="AL48" si="30">AL$46*$C22</f>
        <v>0</v>
      </c>
    </row>
    <row r="49" spans="2:38">
      <c r="B49" s="358" t="s">
        <v>509</v>
      </c>
      <c r="C49" s="358" t="s">
        <v>443</v>
      </c>
      <c r="D49" s="383">
        <f t="shared" ref="D49:AK49" si="31">D$46*$C23</f>
        <v>13.093064840016281</v>
      </c>
      <c r="E49" s="383">
        <f t="shared" si="31"/>
        <v>13.622199522740216</v>
      </c>
      <c r="F49" s="383">
        <f t="shared" si="31"/>
        <v>14.172718313454332</v>
      </c>
      <c r="G49" s="383">
        <f t="shared" si="31"/>
        <v>14.745485415714866</v>
      </c>
      <c r="H49" s="383">
        <f t="shared" si="31"/>
        <v>0</v>
      </c>
      <c r="I49" s="383">
        <f t="shared" si="31"/>
        <v>0</v>
      </c>
      <c r="J49" s="383">
        <f t="shared" si="31"/>
        <v>0</v>
      </c>
      <c r="K49" s="383">
        <f t="shared" si="31"/>
        <v>0</v>
      </c>
      <c r="L49" s="383">
        <f t="shared" si="31"/>
        <v>0</v>
      </c>
      <c r="M49" s="383">
        <f t="shared" si="31"/>
        <v>0</v>
      </c>
      <c r="N49" s="383">
        <f t="shared" si="31"/>
        <v>0</v>
      </c>
      <c r="O49" s="383">
        <f t="shared" si="31"/>
        <v>0</v>
      </c>
      <c r="P49" s="383">
        <f t="shared" si="31"/>
        <v>0</v>
      </c>
      <c r="Q49" s="383">
        <f t="shared" si="31"/>
        <v>0</v>
      </c>
      <c r="R49" s="383">
        <f t="shared" si="31"/>
        <v>0</v>
      </c>
      <c r="S49" s="383">
        <f t="shared" si="31"/>
        <v>0</v>
      </c>
      <c r="T49" s="383">
        <f t="shared" si="31"/>
        <v>0</v>
      </c>
      <c r="U49" s="383">
        <f t="shared" si="31"/>
        <v>0</v>
      </c>
      <c r="V49" s="383">
        <f t="shared" si="31"/>
        <v>0</v>
      </c>
      <c r="W49" s="383">
        <f t="shared" si="31"/>
        <v>0</v>
      </c>
      <c r="X49" s="383">
        <f t="shared" si="31"/>
        <v>0</v>
      </c>
      <c r="Y49" s="383">
        <f t="shared" si="31"/>
        <v>0</v>
      </c>
      <c r="Z49" s="383">
        <f t="shared" si="31"/>
        <v>0</v>
      </c>
      <c r="AA49" s="383">
        <f t="shared" si="31"/>
        <v>0</v>
      </c>
      <c r="AB49" s="383">
        <f t="shared" si="31"/>
        <v>0</v>
      </c>
      <c r="AC49" s="383">
        <f t="shared" si="31"/>
        <v>0</v>
      </c>
      <c r="AD49" s="383">
        <f t="shared" si="31"/>
        <v>0</v>
      </c>
      <c r="AE49" s="383">
        <f t="shared" si="31"/>
        <v>0</v>
      </c>
      <c r="AF49" s="383">
        <f t="shared" si="31"/>
        <v>0</v>
      </c>
      <c r="AG49" s="383">
        <f t="shared" si="31"/>
        <v>0</v>
      </c>
      <c r="AH49" s="383">
        <f t="shared" si="31"/>
        <v>0</v>
      </c>
      <c r="AI49" s="383">
        <f t="shared" si="31"/>
        <v>0</v>
      </c>
      <c r="AJ49" s="383">
        <f t="shared" si="31"/>
        <v>0</v>
      </c>
      <c r="AK49" s="383">
        <f t="shared" si="31"/>
        <v>0</v>
      </c>
      <c r="AL49" s="383">
        <f t="shared" ref="AL49" si="32">AL$46*$C23</f>
        <v>0</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748" t="s">
        <v>788</v>
      </c>
      <c r="C52" s="358" t="s">
        <v>295</v>
      </c>
      <c r="D52" s="383">
        <f t="shared" ref="D52:AK53" si="35">IF(D$2&gt;VRCConstEnd,0,D32)</f>
        <v>88.934642925810564</v>
      </c>
      <c r="E52" s="383">
        <f t="shared" si="35"/>
        <v>92.528790258212894</v>
      </c>
      <c r="F52" s="383">
        <f t="shared" si="35"/>
        <v>96.268189144138532</v>
      </c>
      <c r="G52" s="383">
        <f t="shared" si="35"/>
        <v>100.15870968624321</v>
      </c>
      <c r="H52" s="383">
        <f t="shared" si="35"/>
        <v>0</v>
      </c>
      <c r="I52" s="383">
        <f t="shared" si="35"/>
        <v>0</v>
      </c>
      <c r="J52" s="383">
        <f t="shared" si="35"/>
        <v>0</v>
      </c>
      <c r="K52" s="383">
        <f t="shared" si="35"/>
        <v>0</v>
      </c>
      <c r="L52" s="383">
        <f t="shared" si="35"/>
        <v>0</v>
      </c>
      <c r="M52" s="383">
        <f t="shared" si="35"/>
        <v>0</v>
      </c>
      <c r="N52" s="383">
        <f t="shared" si="35"/>
        <v>0</v>
      </c>
      <c r="O52" s="383">
        <f t="shared" si="35"/>
        <v>0</v>
      </c>
      <c r="P52" s="383">
        <f t="shared" si="35"/>
        <v>0</v>
      </c>
      <c r="Q52" s="383">
        <f t="shared" si="35"/>
        <v>0</v>
      </c>
      <c r="R52" s="383">
        <f t="shared" si="35"/>
        <v>0</v>
      </c>
      <c r="S52" s="383">
        <f t="shared" si="35"/>
        <v>0</v>
      </c>
      <c r="T52" s="383">
        <f t="shared" si="35"/>
        <v>0</v>
      </c>
      <c r="U52" s="383">
        <f t="shared" si="35"/>
        <v>0</v>
      </c>
      <c r="V52" s="383">
        <f t="shared" si="35"/>
        <v>0</v>
      </c>
      <c r="W52" s="383">
        <f t="shared" si="35"/>
        <v>0</v>
      </c>
      <c r="X52" s="383">
        <f t="shared" si="35"/>
        <v>0</v>
      </c>
      <c r="Y52" s="383">
        <f t="shared" si="35"/>
        <v>0</v>
      </c>
      <c r="Z52" s="383">
        <f t="shared" si="35"/>
        <v>0</v>
      </c>
      <c r="AA52" s="383">
        <f t="shared" si="35"/>
        <v>0</v>
      </c>
      <c r="AB52" s="383">
        <f t="shared" si="35"/>
        <v>0</v>
      </c>
      <c r="AC52" s="383">
        <f t="shared" si="35"/>
        <v>0</v>
      </c>
      <c r="AD52" s="383">
        <f t="shared" si="35"/>
        <v>0</v>
      </c>
      <c r="AE52" s="383">
        <f t="shared" si="35"/>
        <v>0</v>
      </c>
      <c r="AF52" s="383">
        <f t="shared" si="35"/>
        <v>0</v>
      </c>
      <c r="AG52" s="383">
        <f t="shared" si="35"/>
        <v>0</v>
      </c>
      <c r="AH52" s="383">
        <f t="shared" si="35"/>
        <v>0</v>
      </c>
      <c r="AI52" s="383">
        <f t="shared" si="35"/>
        <v>0</v>
      </c>
      <c r="AJ52" s="383">
        <f t="shared" si="35"/>
        <v>0</v>
      </c>
      <c r="AK52" s="383">
        <f t="shared" si="35"/>
        <v>0</v>
      </c>
      <c r="AL52" s="383">
        <f t="shared" ref="AL52" si="36">IF(AL$2&gt;VRCConstEnd,0,AL32)</f>
        <v>0</v>
      </c>
    </row>
    <row r="53" spans="2:38">
      <c r="B53" s="748" t="s">
        <v>789</v>
      </c>
      <c r="C53" s="358" t="s">
        <v>295</v>
      </c>
      <c r="D53" s="383">
        <f t="shared" si="35"/>
        <v>10.998174465613674</v>
      </c>
      <c r="E53" s="383">
        <f t="shared" si="35"/>
        <v>11.442647599101781</v>
      </c>
      <c r="F53" s="383">
        <f t="shared" si="35"/>
        <v>11.905083383301639</v>
      </c>
      <c r="G53" s="383">
        <f t="shared" si="35"/>
        <v>12.386207749200487</v>
      </c>
      <c r="H53" s="383">
        <f t="shared" si="35"/>
        <v>0</v>
      </c>
      <c r="I53" s="383">
        <f t="shared" si="35"/>
        <v>0</v>
      </c>
      <c r="J53" s="383">
        <f t="shared" si="35"/>
        <v>0</v>
      </c>
      <c r="K53" s="383">
        <f t="shared" si="35"/>
        <v>0</v>
      </c>
      <c r="L53" s="383">
        <f t="shared" si="35"/>
        <v>0</v>
      </c>
      <c r="M53" s="383">
        <f t="shared" si="35"/>
        <v>0</v>
      </c>
      <c r="N53" s="383">
        <f t="shared" si="35"/>
        <v>0</v>
      </c>
      <c r="O53" s="383">
        <f t="shared" si="35"/>
        <v>0</v>
      </c>
      <c r="P53" s="383">
        <f t="shared" si="35"/>
        <v>0</v>
      </c>
      <c r="Q53" s="383">
        <f t="shared" si="35"/>
        <v>0</v>
      </c>
      <c r="R53" s="383">
        <f t="shared" si="35"/>
        <v>0</v>
      </c>
      <c r="S53" s="383">
        <f t="shared" si="35"/>
        <v>0</v>
      </c>
      <c r="T53" s="383">
        <f t="shared" si="35"/>
        <v>0</v>
      </c>
      <c r="U53" s="383">
        <f t="shared" si="35"/>
        <v>0</v>
      </c>
      <c r="V53" s="383">
        <f t="shared" si="35"/>
        <v>0</v>
      </c>
      <c r="W53" s="383">
        <f t="shared" si="35"/>
        <v>0</v>
      </c>
      <c r="X53" s="383">
        <f t="shared" si="35"/>
        <v>0</v>
      </c>
      <c r="Y53" s="383">
        <f t="shared" si="35"/>
        <v>0</v>
      </c>
      <c r="Z53" s="383">
        <f t="shared" si="35"/>
        <v>0</v>
      </c>
      <c r="AA53" s="383">
        <f t="shared" si="35"/>
        <v>0</v>
      </c>
      <c r="AB53" s="383">
        <f t="shared" si="35"/>
        <v>0</v>
      </c>
      <c r="AC53" s="383">
        <f t="shared" si="35"/>
        <v>0</v>
      </c>
      <c r="AD53" s="383">
        <f t="shared" si="35"/>
        <v>0</v>
      </c>
      <c r="AE53" s="383">
        <f t="shared" si="35"/>
        <v>0</v>
      </c>
      <c r="AF53" s="383">
        <f t="shared" si="35"/>
        <v>0</v>
      </c>
      <c r="AG53" s="383">
        <f t="shared" si="35"/>
        <v>0</v>
      </c>
      <c r="AH53" s="383">
        <f t="shared" si="35"/>
        <v>0</v>
      </c>
      <c r="AI53" s="383">
        <f t="shared" si="35"/>
        <v>0</v>
      </c>
      <c r="AJ53" s="383">
        <f t="shared" si="35"/>
        <v>0</v>
      </c>
      <c r="AK53" s="383">
        <f t="shared" si="35"/>
        <v>0</v>
      </c>
      <c r="AL53" s="383">
        <f t="shared" ref="AL53" si="37">IF(AL$2&gt;VRCConstEnd,0,AL33)</f>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4" tint="-0.249977111117893"/>
  </sheetPr>
  <dimension ref="A1:AL205"/>
  <sheetViews>
    <sheetView showGridLines="0" workbookViewId="0">
      <pane ySplit="4" topLeftCell="A85" activePane="bottomLeft" state="frozen"/>
      <selection activeCell="C105" sqref="C105:C108"/>
      <selection pane="bottomLeft" activeCell="D91" sqref="D91"/>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D3+1</f>
        <v>2022</v>
      </c>
      <c r="F3" s="508">
        <f t="shared" ref="F3:AL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si="0"/>
        <v>2049</v>
      </c>
      <c r="AG3" s="508">
        <f t="shared" si="0"/>
        <v>2050</v>
      </c>
      <c r="AH3" s="508">
        <f t="shared" si="0"/>
        <v>2051</v>
      </c>
      <c r="AI3" s="508">
        <f t="shared" si="0"/>
        <v>2052</v>
      </c>
      <c r="AJ3" s="508">
        <f t="shared" si="0"/>
        <v>2053</v>
      </c>
      <c r="AK3" s="508">
        <f t="shared" si="0"/>
        <v>2054</v>
      </c>
      <c r="AL3" s="508">
        <f t="shared" si="0"/>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11" si="1">E9*(1+$C$8)</f>
        <v>12071000</v>
      </c>
      <c r="G9" s="498">
        <f t="shared" si="1"/>
        <v>12071000</v>
      </c>
      <c r="H9" s="498">
        <f t="shared" si="1"/>
        <v>12071000</v>
      </c>
      <c r="I9" s="498">
        <f t="shared" si="1"/>
        <v>12071000</v>
      </c>
      <c r="J9" s="498">
        <f t="shared" si="1"/>
        <v>12071000</v>
      </c>
      <c r="K9" s="498">
        <f t="shared" si="1"/>
        <v>12071000</v>
      </c>
      <c r="L9" s="498">
        <f t="shared" si="1"/>
        <v>12071000</v>
      </c>
      <c r="M9" s="498">
        <f t="shared" si="1"/>
        <v>12071000</v>
      </c>
      <c r="N9" s="498">
        <f t="shared" si="1"/>
        <v>12071000</v>
      </c>
      <c r="O9" s="498">
        <f t="shared" si="1"/>
        <v>12071000</v>
      </c>
      <c r="P9" s="498">
        <f t="shared" si="1"/>
        <v>12071000</v>
      </c>
      <c r="Q9" s="498">
        <f t="shared" si="1"/>
        <v>12071000</v>
      </c>
      <c r="R9" s="498">
        <f t="shared" si="1"/>
        <v>12071000</v>
      </c>
      <c r="S9" s="498">
        <f t="shared" si="1"/>
        <v>12071000</v>
      </c>
      <c r="T9" s="498">
        <f t="shared" si="1"/>
        <v>12071000</v>
      </c>
      <c r="U9" s="498">
        <f t="shared" si="1"/>
        <v>12071000</v>
      </c>
      <c r="V9" s="498">
        <f t="shared" ref="V9:AL11" si="2">U9*(1+$C$8)</f>
        <v>12071000</v>
      </c>
      <c r="W9" s="498">
        <f t="shared" si="2"/>
        <v>12071000</v>
      </c>
      <c r="X9" s="498">
        <f t="shared" si="2"/>
        <v>12071000</v>
      </c>
      <c r="Y9" s="498">
        <f t="shared" si="2"/>
        <v>12071000</v>
      </c>
      <c r="Z9" s="498">
        <f t="shared" si="2"/>
        <v>12071000</v>
      </c>
      <c r="AA9" s="498">
        <f t="shared" si="2"/>
        <v>12071000</v>
      </c>
      <c r="AB9" s="498">
        <f t="shared" si="2"/>
        <v>12071000</v>
      </c>
      <c r="AC9" s="498">
        <f t="shared" si="2"/>
        <v>12071000</v>
      </c>
      <c r="AD9" s="498">
        <f t="shared" si="2"/>
        <v>12071000</v>
      </c>
      <c r="AE9" s="498">
        <f t="shared" si="2"/>
        <v>12071000</v>
      </c>
      <c r="AF9" s="498">
        <f t="shared" si="2"/>
        <v>12071000</v>
      </c>
      <c r="AG9" s="498">
        <f t="shared" si="2"/>
        <v>12071000</v>
      </c>
      <c r="AH9" s="498">
        <f t="shared" si="2"/>
        <v>12071000</v>
      </c>
      <c r="AI9" s="498">
        <f t="shared" si="2"/>
        <v>12071000</v>
      </c>
      <c r="AJ9" s="498">
        <f t="shared" si="2"/>
        <v>12071000</v>
      </c>
      <c r="AK9" s="498">
        <f t="shared" si="2"/>
        <v>12071000</v>
      </c>
      <c r="AL9" s="498">
        <f t="shared" si="2"/>
        <v>12071000</v>
      </c>
    </row>
    <row r="10" spans="1:38">
      <c r="B10" s="476" t="s">
        <v>973</v>
      </c>
      <c r="C10" s="384" t="s">
        <v>1075</v>
      </c>
      <c r="D10" s="498">
        <f>'General Inputs'!D24</f>
        <v>284100</v>
      </c>
      <c r="E10" s="498">
        <f t="shared" ref="E10:T11" si="3">D10*(1+$C$8)</f>
        <v>284100</v>
      </c>
      <c r="F10" s="498">
        <f t="shared" si="3"/>
        <v>284100</v>
      </c>
      <c r="G10" s="498">
        <f t="shared" si="3"/>
        <v>284100</v>
      </c>
      <c r="H10" s="498">
        <f t="shared" si="3"/>
        <v>284100</v>
      </c>
      <c r="I10" s="498">
        <f t="shared" si="3"/>
        <v>284100</v>
      </c>
      <c r="J10" s="498">
        <f t="shared" si="3"/>
        <v>284100</v>
      </c>
      <c r="K10" s="498">
        <f t="shared" si="3"/>
        <v>284100</v>
      </c>
      <c r="L10" s="498">
        <f t="shared" si="3"/>
        <v>284100</v>
      </c>
      <c r="M10" s="498">
        <f t="shared" si="3"/>
        <v>284100</v>
      </c>
      <c r="N10" s="498">
        <f t="shared" si="3"/>
        <v>284100</v>
      </c>
      <c r="O10" s="498">
        <f t="shared" si="3"/>
        <v>284100</v>
      </c>
      <c r="P10" s="498">
        <f t="shared" si="3"/>
        <v>284100</v>
      </c>
      <c r="Q10" s="498">
        <f t="shared" si="3"/>
        <v>284100</v>
      </c>
      <c r="R10" s="498">
        <f t="shared" si="3"/>
        <v>284100</v>
      </c>
      <c r="S10" s="498">
        <f t="shared" si="3"/>
        <v>284100</v>
      </c>
      <c r="T10" s="498">
        <f t="shared" si="3"/>
        <v>284100</v>
      </c>
      <c r="U10" s="498">
        <f t="shared" si="1"/>
        <v>284100</v>
      </c>
      <c r="V10" s="498">
        <f t="shared" si="2"/>
        <v>284100</v>
      </c>
      <c r="W10" s="498">
        <f t="shared" si="2"/>
        <v>284100</v>
      </c>
      <c r="X10" s="498">
        <f t="shared" si="2"/>
        <v>284100</v>
      </c>
      <c r="Y10" s="498">
        <f t="shared" si="2"/>
        <v>284100</v>
      </c>
      <c r="Z10" s="498">
        <f t="shared" si="2"/>
        <v>284100</v>
      </c>
      <c r="AA10" s="498">
        <f t="shared" si="2"/>
        <v>284100</v>
      </c>
      <c r="AB10" s="498">
        <f t="shared" si="2"/>
        <v>284100</v>
      </c>
      <c r="AC10" s="498">
        <f t="shared" si="2"/>
        <v>284100</v>
      </c>
      <c r="AD10" s="498">
        <f t="shared" si="2"/>
        <v>284100</v>
      </c>
      <c r="AE10" s="498">
        <f t="shared" si="2"/>
        <v>284100</v>
      </c>
      <c r="AF10" s="498">
        <f t="shared" si="2"/>
        <v>284100</v>
      </c>
      <c r="AG10" s="498">
        <f t="shared" si="2"/>
        <v>284100</v>
      </c>
      <c r="AH10" s="498">
        <f t="shared" si="2"/>
        <v>284100</v>
      </c>
      <c r="AI10" s="498">
        <f t="shared" si="2"/>
        <v>284100</v>
      </c>
      <c r="AJ10" s="498">
        <f t="shared" si="2"/>
        <v>284100</v>
      </c>
      <c r="AK10" s="498">
        <f t="shared" si="2"/>
        <v>284100</v>
      </c>
      <c r="AL10" s="498">
        <f t="shared" si="2"/>
        <v>284100</v>
      </c>
    </row>
    <row r="11" spans="1:38">
      <c r="B11" s="476" t="s">
        <v>451</v>
      </c>
      <c r="C11" s="473" t="s">
        <v>453</v>
      </c>
      <c r="D11" s="498">
        <f>'General Inputs'!D25</f>
        <v>4500</v>
      </c>
      <c r="E11" s="498">
        <f t="shared" si="3"/>
        <v>4500</v>
      </c>
      <c r="F11" s="498">
        <f t="shared" si="3"/>
        <v>4500</v>
      </c>
      <c r="G11" s="498">
        <f t="shared" si="3"/>
        <v>4500</v>
      </c>
      <c r="H11" s="498">
        <f t="shared" si="3"/>
        <v>4500</v>
      </c>
      <c r="I11" s="498">
        <f t="shared" si="3"/>
        <v>4500</v>
      </c>
      <c r="J11" s="498">
        <f t="shared" si="3"/>
        <v>4500</v>
      </c>
      <c r="K11" s="498">
        <f t="shared" si="3"/>
        <v>4500</v>
      </c>
      <c r="L11" s="498">
        <f t="shared" si="3"/>
        <v>4500</v>
      </c>
      <c r="M11" s="498">
        <f t="shared" si="3"/>
        <v>4500</v>
      </c>
      <c r="N11" s="498">
        <f t="shared" si="3"/>
        <v>4500</v>
      </c>
      <c r="O11" s="498">
        <f t="shared" si="3"/>
        <v>4500</v>
      </c>
      <c r="P11" s="498">
        <f t="shared" si="3"/>
        <v>4500</v>
      </c>
      <c r="Q11" s="498">
        <f t="shared" si="3"/>
        <v>4500</v>
      </c>
      <c r="R11" s="498">
        <f t="shared" si="3"/>
        <v>4500</v>
      </c>
      <c r="S11" s="498">
        <f t="shared" si="3"/>
        <v>4500</v>
      </c>
      <c r="T11" s="498">
        <f t="shared" si="3"/>
        <v>4500</v>
      </c>
      <c r="U11" s="498">
        <f t="shared" si="1"/>
        <v>4500</v>
      </c>
      <c r="V11" s="498">
        <f t="shared" si="2"/>
        <v>4500</v>
      </c>
      <c r="W11" s="498">
        <f t="shared" si="2"/>
        <v>4500</v>
      </c>
      <c r="X11" s="498">
        <f t="shared" si="2"/>
        <v>4500</v>
      </c>
      <c r="Y11" s="498">
        <f t="shared" si="2"/>
        <v>4500</v>
      </c>
      <c r="Z11" s="498">
        <f t="shared" si="2"/>
        <v>4500</v>
      </c>
      <c r="AA11" s="498">
        <f t="shared" si="2"/>
        <v>4500</v>
      </c>
      <c r="AB11" s="498">
        <f t="shared" si="2"/>
        <v>4500</v>
      </c>
      <c r="AC11" s="498">
        <f t="shared" si="2"/>
        <v>4500</v>
      </c>
      <c r="AD11" s="498">
        <f t="shared" si="2"/>
        <v>4500</v>
      </c>
      <c r="AE11" s="498">
        <f t="shared" si="2"/>
        <v>4500</v>
      </c>
      <c r="AF11" s="498">
        <f t="shared" si="2"/>
        <v>4500</v>
      </c>
      <c r="AG11" s="498">
        <f t="shared" si="2"/>
        <v>4500</v>
      </c>
      <c r="AH11" s="498">
        <f t="shared" si="2"/>
        <v>4500</v>
      </c>
      <c r="AI11" s="498">
        <f t="shared" si="2"/>
        <v>4500</v>
      </c>
      <c r="AJ11" s="498">
        <f t="shared" si="2"/>
        <v>4500</v>
      </c>
      <c r="AK11" s="498">
        <f t="shared" si="2"/>
        <v>4500</v>
      </c>
      <c r="AL11" s="498">
        <f t="shared" si="2"/>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'A1.4'!D23</f>
        <v>3.7507367495177136E-4</v>
      </c>
      <c r="E15" s="388">
        <f>'A1.4'!E23</f>
        <v>4.2544846862002168E-4</v>
      </c>
      <c r="F15" s="388">
        <f>'A1.4'!F23</f>
        <v>4.3141468715884071E-4</v>
      </c>
      <c r="G15" s="388">
        <f>'A1.4'!G23</f>
        <v>4.3746568182053379E-4</v>
      </c>
      <c r="H15" s="388">
        <f>'A1.4'!H23</f>
        <v>4.4360266741503689E-4</v>
      </c>
      <c r="I15" s="388">
        <f>'A1.4'!I23</f>
        <v>4.4982687623813426E-4</v>
      </c>
      <c r="J15" s="388">
        <f>'A1.4'!J23</f>
        <v>4.5613955832246567E-4</v>
      </c>
      <c r="K15" s="388">
        <f>'A1.4'!K23</f>
        <v>4.6254198169214892E-4</v>
      </c>
      <c r="L15" s="388">
        <f>'A1.4'!L23</f>
        <v>4.6903543262106015E-4</v>
      </c>
      <c r="M15" s="388">
        <f>'A1.4'!M23</f>
        <v>4.7562121589483984E-4</v>
      </c>
      <c r="N15" s="388">
        <f>'A1.4'!N23</f>
        <v>4.8230065507665906E-4</v>
      </c>
      <c r="O15" s="388">
        <f>'A1.4'!O23</f>
        <v>4.8907509277681623E-4</v>
      </c>
      <c r="P15" s="388">
        <f>'A1.4'!P23</f>
        <v>4.9594589092620957E-4</v>
      </c>
      <c r="Q15" s="388">
        <f>'A1.4'!Q23</f>
        <v>5.0291443105374503E-4</v>
      </c>
      <c r="R15" s="388">
        <f>'A1.4'!R23</f>
        <v>5.099821145677332E-4</v>
      </c>
      <c r="S15" s="388">
        <f>'A1.4'!S23</f>
        <v>5.1715036304133654E-4</v>
      </c>
      <c r="T15" s="388">
        <f>'A1.4'!T23</f>
        <v>5.2442061850212056E-4</v>
      </c>
      <c r="U15" s="388">
        <f>'A1.4'!U23</f>
        <v>5.3179434372577141E-4</v>
      </c>
      <c r="V15" s="388">
        <f>'A1.4'!V23</f>
        <v>5.3927302253403751E-4</v>
      </c>
      <c r="W15" s="388">
        <f>'A1.4'!W23</f>
        <v>5.468581600969562E-4</v>
      </c>
      <c r="X15" s="388">
        <f>'A1.4'!X23</f>
        <v>5.5455128323942835E-4</v>
      </c>
      <c r="Y15" s="388">
        <f>'A1.4'!Y23</f>
        <v>5.6235394075219991E-4</v>
      </c>
      <c r="Z15" s="388">
        <f>'A1.4'!Z23</f>
        <v>5.7026770370732012E-4</v>
      </c>
      <c r="AA15" s="388">
        <f>'A1.4'!AA23</f>
        <v>5.7829416577813203E-4</v>
      </c>
      <c r="AB15" s="388">
        <f>'A1.4'!AB23</f>
        <v>5.8643494356386706E-4</v>
      </c>
      <c r="AC15" s="388">
        <f>'A1.4'!AC23</f>
        <v>5.9469167691890792E-4</v>
      </c>
      <c r="AD15" s="388">
        <f>'A1.4'!AD23</f>
        <v>6.0306602928678445E-4</v>
      </c>
      <c r="AE15" s="388">
        <f>'A1.4'!AE23</f>
        <v>6.1155968803897607E-4</v>
      </c>
      <c r="AF15" s="388">
        <f>'A1.4'!AF23</f>
        <v>6.2017436481858162E-4</v>
      </c>
      <c r="AG15" s="388">
        <f>'A1.4'!AG23</f>
        <v>6.2891179588893517E-4</v>
      </c>
      <c r="AH15" s="388">
        <f>'A1.4'!AH23</f>
        <v>6.3777374248723208E-4</v>
      </c>
      <c r="AI15" s="388">
        <f>'A1.4'!AI23</f>
        <v>6.4676199118324099E-4</v>
      </c>
      <c r="AJ15" s="388">
        <f>'A1.4'!AJ23</f>
        <v>6.5587835424317444E-4</v>
      </c>
      <c r="AK15" s="388">
        <f>'A1.4'!AK23</f>
        <v>6.6512466999878964E-4</v>
      </c>
      <c r="AL15" s="388">
        <f>'A1.4'!AL23</f>
        <v>6.7450280322179832E-4</v>
      </c>
    </row>
    <row r="16" spans="1:38">
      <c r="B16" s="367" t="s">
        <v>516</v>
      </c>
      <c r="C16" s="367" t="s">
        <v>329</v>
      </c>
      <c r="D16" s="388">
        <f>'A1.4'!D24</f>
        <v>6.4802623086179763E-3</v>
      </c>
      <c r="E16" s="388">
        <f>'A1.4'!E24</f>
        <v>6.5582750366716706E-3</v>
      </c>
      <c r="F16" s="388">
        <f>'A1.4'!F24</f>
        <v>6.6454093663037006E-3</v>
      </c>
      <c r="G16" s="388">
        <f>'A1.4'!G24</f>
        <v>6.733701567398615E-3</v>
      </c>
      <c r="H16" s="388">
        <f>'A1.4'!H24</f>
        <v>6.8231670122186018E-3</v>
      </c>
      <c r="I16" s="388">
        <f>'A1.4'!I24</f>
        <v>6.9138212773741867E-3</v>
      </c>
      <c r="J16" s="388">
        <f>'A1.4'!J24</f>
        <v>7.0056801465329379E-3</v>
      </c>
      <c r="K16" s="388">
        <f>'A1.4'!K24</f>
        <v>7.0987596131643245E-3</v>
      </c>
      <c r="L16" s="388">
        <f>'A1.4'!L24</f>
        <v>7.1930758833210493E-3</v>
      </c>
      <c r="M16" s="388">
        <f>'A1.4'!M24</f>
        <v>7.2886453784575629E-3</v>
      </c>
      <c r="N16" s="388">
        <f>'A1.4'!N24</f>
        <v>7.3854847382860255E-3</v>
      </c>
      <c r="O16" s="388">
        <f>'A1.4'!O24</f>
        <v>7.483610823670335E-3</v>
      </c>
      <c r="P16" s="388">
        <f>'A1.4'!P24</f>
        <v>7.5830407195587191E-3</v>
      </c>
      <c r="Q16" s="388">
        <f>'A1.4'!Q24</f>
        <v>7.6837917379553736E-3</v>
      </c>
      <c r="R16" s="388">
        <f>'A1.4'!R24</f>
        <v>7.7858814209316157E-3</v>
      </c>
      <c r="S16" s="388">
        <f>'A1.4'!S24</f>
        <v>7.8893275436772003E-3</v>
      </c>
      <c r="T16" s="388">
        <f>'A1.4'!T24</f>
        <v>7.9941481175922029E-3</v>
      </c>
      <c r="U16" s="388">
        <f>'A1.4'!U24</f>
        <v>8.1003613934200816E-3</v>
      </c>
      <c r="V16" s="388">
        <f>'A1.4'!V24</f>
        <v>8.2079858644224304E-3</v>
      </c>
      <c r="W16" s="388">
        <f>'A1.4'!W24</f>
        <v>8.3170402695959666E-3</v>
      </c>
      <c r="X16" s="388">
        <f>'A1.4'!X24</f>
        <v>8.4275435969323742E-3</v>
      </c>
      <c r="Y16" s="388">
        <f>'A1.4'!Y24</f>
        <v>8.5395150867214383E-3</v>
      </c>
      <c r="Z16" s="388">
        <f>'A1.4'!Z24</f>
        <v>8.6529742348982371E-3</v>
      </c>
      <c r="AA16" s="388">
        <f>'A1.4'!AA24</f>
        <v>8.767940796434762E-3</v>
      </c>
      <c r="AB16" s="388">
        <f>'A1.4'!AB24</f>
        <v>8.8844347887767124E-3</v>
      </c>
      <c r="AC16" s="388">
        <f>'A1.4'!AC24</f>
        <v>9.0024764953259891E-3</v>
      </c>
      <c r="AD16" s="388">
        <f>'A1.4'!AD24</f>
        <v>9.1220864689694984E-3</v>
      </c>
      <c r="AE16" s="388">
        <f>'A1.4'!AE24</f>
        <v>9.2432855356549149E-3</v>
      </c>
      <c r="AF16" s="388">
        <f>'A1.4'!AF24</f>
        <v>9.3660947980139745E-3</v>
      </c>
      <c r="AG16" s="388">
        <f>'A1.4'!AG24</f>
        <v>9.4905356390339556E-3</v>
      </c>
      <c r="AH16" s="388">
        <f>'A1.4'!AH24</f>
        <v>9.6166297257779827E-3</v>
      </c>
      <c r="AI16" s="388">
        <f>'A1.4'!AI24</f>
        <v>9.7443990131547975E-3</v>
      </c>
      <c r="AJ16" s="388">
        <f>'A1.4'!AJ24</f>
        <v>9.8738657477386582E-3</v>
      </c>
      <c r="AK16" s="388">
        <f>'A1.4'!AK24</f>
        <v>1.0005052471640017E-2</v>
      </c>
      <c r="AL16" s="388">
        <f>'A1.4'!AL24</f>
        <v>1.0137982026427635E-2</v>
      </c>
    </row>
    <row r="17" spans="1:38">
      <c r="B17" s="367" t="s">
        <v>517</v>
      </c>
      <c r="C17" s="367" t="s">
        <v>518</v>
      </c>
      <c r="D17" s="388">
        <f>'A1.4'!D22</f>
        <v>3.6510480954715034E-2</v>
      </c>
      <c r="E17" s="388">
        <f>'A1.4'!E22</f>
        <v>3.6995872352182893E-2</v>
      </c>
      <c r="F17" s="388">
        <f>'A1.4'!F22</f>
        <v>3.7487719286555587E-2</v>
      </c>
      <c r="G17" s="388">
        <f>'A1.4'!G22</f>
        <v>3.7986107550026377E-2</v>
      </c>
      <c r="H17" s="388">
        <f>'A1.4'!H22</f>
        <v>3.8491124076613543E-2</v>
      </c>
      <c r="I17" s="388">
        <f>'A1.4'!I22</f>
        <v>3.9002856957313745E-2</v>
      </c>
      <c r="J17" s="388">
        <f>'A1.4'!J22</f>
        <v>3.9521395455457339E-2</v>
      </c>
      <c r="K17" s="388">
        <f>'A1.4'!K22</f>
        <v>4.0046830022269012E-2</v>
      </c>
      <c r="L17" s="388">
        <f>'A1.4'!L22</f>
        <v>4.0579252312635324E-2</v>
      </c>
      <c r="M17" s="388">
        <f>'A1.4'!M22</f>
        <v>4.1118755201083476E-2</v>
      </c>
      <c r="N17" s="388">
        <f>'A1.4'!N22</f>
        <v>4.1665432797972482E-2</v>
      </c>
      <c r="O17" s="388">
        <f>'A1.4'!O22</f>
        <v>4.2219380465900576E-2</v>
      </c>
      <c r="P17" s="388">
        <f>'A1.4'!P22</f>
        <v>4.2780694836331457E-2</v>
      </c>
      <c r="Q17" s="388">
        <f>'A1.4'!Q22</f>
        <v>4.3349473826442227E-2</v>
      </c>
      <c r="R17" s="388">
        <f>'A1.4'!R22</f>
        <v>4.3925816656195653E-2</v>
      </c>
      <c r="S17" s="388">
        <f>'A1.4'!S22</f>
        <v>4.4509823865640466E-2</v>
      </c>
      <c r="T17" s="388">
        <f>'A1.4'!T22</f>
        <v>4.5101597332441921E-2</v>
      </c>
      <c r="U17" s="388">
        <f>'A1.4'!U22</f>
        <v>4.5701240289646214E-2</v>
      </c>
      <c r="V17" s="388">
        <f>'A1.4'!V22</f>
        <v>4.6308857343681502E-2</v>
      </c>
      <c r="W17" s="388">
        <f>'A1.4'!W22</f>
        <v>4.6924554492598865E-2</v>
      </c>
      <c r="X17" s="388">
        <f>'A1.4'!X22</f>
        <v>4.754843914455642E-2</v>
      </c>
      <c r="Y17" s="388">
        <f>'A1.4'!Y22</f>
        <v>4.818062013654939E-2</v>
      </c>
      <c r="Z17" s="388">
        <f>'A1.4'!Z22</f>
        <v>4.8821207753390217E-2</v>
      </c>
      <c r="AA17" s="388">
        <f>'A1.4'!AA22</f>
        <v>4.9470313746941032E-2</v>
      </c>
      <c r="AB17" s="388">
        <f>'A1.4'!AB22</f>
        <v>5.012805135560254E-2</v>
      </c>
      <c r="AC17" s="388">
        <f>'A1.4'!AC22</f>
        <v>5.0794535324062529E-2</v>
      </c>
      <c r="AD17" s="388">
        <f>'A1.4'!AD22</f>
        <v>5.1469881923307204E-2</v>
      </c>
      <c r="AE17" s="388">
        <f>'A1.4'!AE22</f>
        <v>5.2154208970899292E-2</v>
      </c>
      <c r="AF17" s="388">
        <f>'A1.4'!AF22</f>
        <v>5.2847635851525986E-2</v>
      </c>
      <c r="AG17" s="388">
        <f>'A1.4'!AG22</f>
        <v>5.3550283537820605E-2</v>
      </c>
      <c r="AH17" s="388">
        <f>'A1.4'!AH22</f>
        <v>5.4262274611461443E-2</v>
      </c>
      <c r="AI17" s="388">
        <f>'A1.4'!AI22</f>
        <v>5.498373328455157E-2</v>
      </c>
      <c r="AJ17" s="388">
        <f>'A1.4'!AJ22</f>
        <v>5.5714785421283393E-2</v>
      </c>
      <c r="AK17" s="388">
        <f>'A1.4'!AK22</f>
        <v>5.6455558559891393E-2</v>
      </c>
      <c r="AL17" s="388">
        <f>'A1.4'!AL22</f>
        <v>5.7206181934897307E-2</v>
      </c>
    </row>
    <row r="18" spans="1:38">
      <c r="D18" s="358"/>
      <c r="F18" s="464"/>
      <c r="G18" s="465"/>
      <c r="H18" s="465"/>
    </row>
    <row r="19" spans="1:38">
      <c r="B19" s="366" t="s">
        <v>719</v>
      </c>
      <c r="C19" s="484" t="s">
        <v>292</v>
      </c>
      <c r="D19" s="485">
        <f t="shared" ref="D19:AK19" si="4">D15*D9</f>
        <v>4527.5143303428322</v>
      </c>
      <c r="E19" s="485">
        <f t="shared" si="4"/>
        <v>5135.5884647122821</v>
      </c>
      <c r="F19" s="485">
        <f t="shared" si="4"/>
        <v>5207.6066886943663</v>
      </c>
      <c r="G19" s="485">
        <f t="shared" si="4"/>
        <v>5280.6482452556629</v>
      </c>
      <c r="H19" s="485">
        <f t="shared" si="4"/>
        <v>5354.7277983669101</v>
      </c>
      <c r="I19" s="485">
        <f t="shared" si="4"/>
        <v>5429.8602230705183</v>
      </c>
      <c r="J19" s="485">
        <f t="shared" si="4"/>
        <v>5506.0606085104828</v>
      </c>
      <c r="K19" s="485">
        <f t="shared" si="4"/>
        <v>5583.3442610059292</v>
      </c>
      <c r="L19" s="485">
        <f t="shared" si="4"/>
        <v>5661.7267071688175</v>
      </c>
      <c r="M19" s="485">
        <f t="shared" si="4"/>
        <v>5741.2236970666117</v>
      </c>
      <c r="N19" s="485">
        <f t="shared" si="4"/>
        <v>5821.8512074303517</v>
      </c>
      <c r="O19" s="485">
        <f t="shared" si="4"/>
        <v>5903.6254449089483</v>
      </c>
      <c r="P19" s="485">
        <f t="shared" si="4"/>
        <v>5986.5628493702752</v>
      </c>
      <c r="Q19" s="485">
        <f t="shared" si="4"/>
        <v>6070.6800972497558</v>
      </c>
      <c r="R19" s="485">
        <f t="shared" si="4"/>
        <v>6155.9941049471072</v>
      </c>
      <c r="S19" s="485">
        <f t="shared" si="4"/>
        <v>6242.5220322719733</v>
      </c>
      <c r="T19" s="485">
        <f t="shared" si="4"/>
        <v>6330.281285939097</v>
      </c>
      <c r="U19" s="485">
        <f t="shared" si="4"/>
        <v>6419.2895231137863</v>
      </c>
      <c r="V19" s="485">
        <f t="shared" si="4"/>
        <v>6509.5646550083666</v>
      </c>
      <c r="W19" s="485">
        <f t="shared" si="4"/>
        <v>6601.1248505303583</v>
      </c>
      <c r="X19" s="485">
        <f t="shared" si="4"/>
        <v>6693.9885399831401</v>
      </c>
      <c r="Y19" s="485">
        <f t="shared" si="4"/>
        <v>6788.1744188198054</v>
      </c>
      <c r="Z19" s="485">
        <f t="shared" si="4"/>
        <v>6883.7014514510611</v>
      </c>
      <c r="AA19" s="485">
        <f t="shared" si="4"/>
        <v>6980.5888751078319</v>
      </c>
      <c r="AB19" s="485">
        <f t="shared" si="4"/>
        <v>7078.8562037594393</v>
      </c>
      <c r="AC19" s="485">
        <f t="shared" si="4"/>
        <v>7178.5232320881378</v>
      </c>
      <c r="AD19" s="485">
        <f t="shared" si="4"/>
        <v>7279.610039520775</v>
      </c>
      <c r="AE19" s="485">
        <f t="shared" si="4"/>
        <v>7382.13699431848</v>
      </c>
      <c r="AF19" s="485">
        <f t="shared" si="4"/>
        <v>7486.1247577250988</v>
      </c>
      <c r="AG19" s="485">
        <f t="shared" si="4"/>
        <v>7591.5942881753363</v>
      </c>
      <c r="AH19" s="485">
        <f t="shared" si="4"/>
        <v>7698.5668455633786</v>
      </c>
      <c r="AI19" s="485">
        <f t="shared" si="4"/>
        <v>7807.0639955729021</v>
      </c>
      <c r="AJ19" s="485">
        <f t="shared" si="4"/>
        <v>7917.1076140693585</v>
      </c>
      <c r="AK19" s="485">
        <f t="shared" si="4"/>
        <v>8028.7198915553899</v>
      </c>
      <c r="AL19" s="485">
        <f t="shared" ref="AL19" si="5">AL15*AL9</f>
        <v>8141.9233376903276</v>
      </c>
    </row>
    <row r="20" spans="1:38">
      <c r="B20" s="366" t="s">
        <v>720</v>
      </c>
      <c r="C20" s="484" t="s">
        <v>292</v>
      </c>
      <c r="D20" s="485">
        <f t="shared" ref="D20:AK20" si="6">D16*D10</f>
        <v>1841.0425218783671</v>
      </c>
      <c r="E20" s="485">
        <f t="shared" si="6"/>
        <v>1863.2059379184216</v>
      </c>
      <c r="F20" s="485">
        <f t="shared" si="6"/>
        <v>1887.9608009668814</v>
      </c>
      <c r="G20" s="485">
        <f t="shared" si="6"/>
        <v>1913.0446152979466</v>
      </c>
      <c r="H20" s="485">
        <f t="shared" si="6"/>
        <v>1938.4617481713049</v>
      </c>
      <c r="I20" s="485">
        <f t="shared" si="6"/>
        <v>1964.2166249020065</v>
      </c>
      <c r="J20" s="485">
        <f t="shared" si="6"/>
        <v>1990.3137296300076</v>
      </c>
      <c r="K20" s="485">
        <f t="shared" si="6"/>
        <v>2016.7576060999845</v>
      </c>
      <c r="L20" s="485">
        <f t="shared" si="6"/>
        <v>2043.55285845151</v>
      </c>
      <c r="M20" s="485">
        <f t="shared" si="6"/>
        <v>2070.7041520197936</v>
      </c>
      <c r="N20" s="485">
        <f t="shared" si="6"/>
        <v>2098.2162141470599</v>
      </c>
      <c r="O20" s="485">
        <f t="shared" si="6"/>
        <v>2126.0938350047422</v>
      </c>
      <c r="P20" s="485">
        <f t="shared" si="6"/>
        <v>2154.3418684266321</v>
      </c>
      <c r="Q20" s="485">
        <f t="shared" si="6"/>
        <v>2182.9652327531217</v>
      </c>
      <c r="R20" s="485">
        <f t="shared" si="6"/>
        <v>2211.9689116866721</v>
      </c>
      <c r="S20" s="485">
        <f t="shared" si="6"/>
        <v>2241.3579551586927</v>
      </c>
      <c r="T20" s="485">
        <f t="shared" si="6"/>
        <v>2271.1374802079449</v>
      </c>
      <c r="U20" s="485">
        <f t="shared" si="6"/>
        <v>2301.3126718706453</v>
      </c>
      <c r="V20" s="485">
        <f t="shared" si="6"/>
        <v>2331.8887840824127</v>
      </c>
      <c r="W20" s="485">
        <f t="shared" si="6"/>
        <v>2362.871140592214</v>
      </c>
      <c r="X20" s="485">
        <f t="shared" si="6"/>
        <v>2394.2651358884873</v>
      </c>
      <c r="Y20" s="485">
        <f t="shared" si="6"/>
        <v>2426.0762361375605</v>
      </c>
      <c r="Z20" s="485">
        <f t="shared" si="6"/>
        <v>2458.3099801345893</v>
      </c>
      <c r="AA20" s="485">
        <f t="shared" si="6"/>
        <v>2490.9719802671157</v>
      </c>
      <c r="AB20" s="485">
        <f t="shared" si="6"/>
        <v>2524.0679234914642</v>
      </c>
      <c r="AC20" s="485">
        <f t="shared" si="6"/>
        <v>2557.6035723221135</v>
      </c>
      <c r="AD20" s="485">
        <f t="shared" si="6"/>
        <v>2591.5847658342345</v>
      </c>
      <c r="AE20" s="485">
        <f t="shared" si="6"/>
        <v>2626.0174206795614</v>
      </c>
      <c r="AF20" s="485">
        <f t="shared" si="6"/>
        <v>2660.9075321157702</v>
      </c>
      <c r="AG20" s="485">
        <f t="shared" si="6"/>
        <v>2696.2611750495466</v>
      </c>
      <c r="AH20" s="485">
        <f t="shared" si="6"/>
        <v>2732.084505093525</v>
      </c>
      <c r="AI20" s="485">
        <f t="shared" si="6"/>
        <v>2768.3837596372778</v>
      </c>
      <c r="AJ20" s="485">
        <f t="shared" si="6"/>
        <v>2805.1652589325527</v>
      </c>
      <c r="AK20" s="485">
        <f t="shared" si="6"/>
        <v>2842.4354071929288</v>
      </c>
      <c r="AL20" s="485">
        <f t="shared" ref="AL20" si="7">AL16*AL10</f>
        <v>2880.200693708091</v>
      </c>
    </row>
    <row r="21" spans="1:38">
      <c r="B21" s="366" t="s">
        <v>721</v>
      </c>
      <c r="C21" s="484" t="s">
        <v>292</v>
      </c>
      <c r="D21" s="485">
        <f t="shared" ref="D21:AK21" si="8">D17*D11</f>
        <v>164.29716429621766</v>
      </c>
      <c r="E21" s="485">
        <f t="shared" si="8"/>
        <v>166.48142558482303</v>
      </c>
      <c r="F21" s="485">
        <f t="shared" si="8"/>
        <v>168.69473678950015</v>
      </c>
      <c r="G21" s="485">
        <f t="shared" si="8"/>
        <v>170.93748397511868</v>
      </c>
      <c r="H21" s="485">
        <f t="shared" si="8"/>
        <v>173.21005834476094</v>
      </c>
      <c r="I21" s="485">
        <f t="shared" si="8"/>
        <v>175.51285630791185</v>
      </c>
      <c r="J21" s="485">
        <f t="shared" si="8"/>
        <v>177.84627954955803</v>
      </c>
      <c r="K21" s="485">
        <f t="shared" si="8"/>
        <v>180.21073510021054</v>
      </c>
      <c r="L21" s="485">
        <f t="shared" si="8"/>
        <v>182.60663540685894</v>
      </c>
      <c r="M21" s="485">
        <f t="shared" si="8"/>
        <v>185.03439840487565</v>
      </c>
      <c r="N21" s="485">
        <f t="shared" si="8"/>
        <v>187.49444759087618</v>
      </c>
      <c r="O21" s="485">
        <f t="shared" si="8"/>
        <v>189.98721209655258</v>
      </c>
      <c r="P21" s="485">
        <f t="shared" si="8"/>
        <v>192.51312676349156</v>
      </c>
      <c r="Q21" s="485">
        <f t="shared" si="8"/>
        <v>195.07263221899001</v>
      </c>
      <c r="R21" s="485">
        <f t="shared" si="8"/>
        <v>197.66617495288043</v>
      </c>
      <c r="S21" s="485">
        <f t="shared" si="8"/>
        <v>200.2942073953821</v>
      </c>
      <c r="T21" s="485">
        <f t="shared" si="8"/>
        <v>202.95718799598865</v>
      </c>
      <c r="U21" s="485">
        <f t="shared" si="8"/>
        <v>205.65558130340796</v>
      </c>
      <c r="V21" s="485">
        <f t="shared" si="8"/>
        <v>208.38985804656676</v>
      </c>
      <c r="W21" s="485">
        <f t="shared" si="8"/>
        <v>211.1604952166949</v>
      </c>
      <c r="X21" s="485">
        <f t="shared" si="8"/>
        <v>213.96797615050389</v>
      </c>
      <c r="Y21" s="485">
        <f t="shared" si="8"/>
        <v>216.81279061447225</v>
      </c>
      <c r="Z21" s="485">
        <f t="shared" si="8"/>
        <v>219.69543489025597</v>
      </c>
      <c r="AA21" s="485">
        <f t="shared" si="8"/>
        <v>222.61641186123464</v>
      </c>
      <c r="AB21" s="485">
        <f t="shared" si="8"/>
        <v>225.57623110021143</v>
      </c>
      <c r="AC21" s="485">
        <f t="shared" si="8"/>
        <v>228.57540895828137</v>
      </c>
      <c r="AD21" s="485">
        <f t="shared" si="8"/>
        <v>231.61446865488242</v>
      </c>
      <c r="AE21" s="485">
        <f t="shared" si="8"/>
        <v>234.69394036904683</v>
      </c>
      <c r="AF21" s="485">
        <f t="shared" si="8"/>
        <v>237.81436133186693</v>
      </c>
      <c r="AG21" s="485">
        <f t="shared" si="8"/>
        <v>240.97627592019273</v>
      </c>
      <c r="AH21" s="485">
        <f t="shared" si="8"/>
        <v>244.1802357515765</v>
      </c>
      <c r="AI21" s="485">
        <f t="shared" si="8"/>
        <v>247.42679978048207</v>
      </c>
      <c r="AJ21" s="485">
        <f t="shared" si="8"/>
        <v>250.71653439577526</v>
      </c>
      <c r="AK21" s="485">
        <f t="shared" si="8"/>
        <v>254.05001351951128</v>
      </c>
      <c r="AL21" s="485">
        <f t="shared" ref="AL21" si="9">AL17*AL11</f>
        <v>257.42781870703789</v>
      </c>
    </row>
    <row r="22" spans="1:38">
      <c r="D22" s="358"/>
      <c r="F22" s="464"/>
      <c r="G22" s="465"/>
      <c r="H22" s="465"/>
    </row>
    <row r="23" spans="1:38" ht="13">
      <c r="B23" s="486" t="s">
        <v>461</v>
      </c>
      <c r="C23" s="487" t="s">
        <v>292</v>
      </c>
      <c r="D23" s="488">
        <f>SUM(D19:D21)</f>
        <v>6532.8540165174172</v>
      </c>
      <c r="E23" s="488">
        <f t="shared" ref="E23:AK23" si="10">SUM(E19:E21)</f>
        <v>7165.2758282155264</v>
      </c>
      <c r="F23" s="488">
        <f t="shared" si="10"/>
        <v>7264.2622264507472</v>
      </c>
      <c r="G23" s="488">
        <f t="shared" si="10"/>
        <v>7364.6303445287285</v>
      </c>
      <c r="H23" s="488">
        <f t="shared" si="10"/>
        <v>7466.3996048829758</v>
      </c>
      <c r="I23" s="488">
        <f t="shared" si="10"/>
        <v>7569.5897042804363</v>
      </c>
      <c r="J23" s="488">
        <f t="shared" si="10"/>
        <v>7674.2206176900481</v>
      </c>
      <c r="K23" s="488">
        <f t="shared" si="10"/>
        <v>7780.3126022061242</v>
      </c>
      <c r="L23" s="488">
        <f t="shared" si="10"/>
        <v>7887.886201027186</v>
      </c>
      <c r="M23" s="488">
        <f t="shared" si="10"/>
        <v>7996.9622474912812</v>
      </c>
      <c r="N23" s="488">
        <f t="shared" si="10"/>
        <v>8107.5618691682876</v>
      </c>
      <c r="O23" s="488">
        <f t="shared" si="10"/>
        <v>8219.7064920102421</v>
      </c>
      <c r="P23" s="488">
        <f t="shared" si="10"/>
        <v>8333.4178445603993</v>
      </c>
      <c r="Q23" s="488">
        <f t="shared" si="10"/>
        <v>8448.7179622218664</v>
      </c>
      <c r="R23" s="488">
        <f t="shared" si="10"/>
        <v>8565.6291915866605</v>
      </c>
      <c r="S23" s="488">
        <f t="shared" si="10"/>
        <v>8684.1741948260478</v>
      </c>
      <c r="T23" s="488">
        <f t="shared" si="10"/>
        <v>8804.3759541430318</v>
      </c>
      <c r="U23" s="488">
        <f t="shared" si="10"/>
        <v>8926.2577762878409</v>
      </c>
      <c r="V23" s="488">
        <f t="shared" si="10"/>
        <v>9049.8432971373459</v>
      </c>
      <c r="W23" s="488">
        <f t="shared" si="10"/>
        <v>9175.1564863392668</v>
      </c>
      <c r="X23" s="488">
        <f t="shared" si="10"/>
        <v>9302.22165202213</v>
      </c>
      <c r="Y23" s="488">
        <f t="shared" si="10"/>
        <v>9431.0634455718391</v>
      </c>
      <c r="Z23" s="488">
        <f t="shared" si="10"/>
        <v>9561.7068664759063</v>
      </c>
      <c r="AA23" s="488">
        <f t="shared" si="10"/>
        <v>9694.1772672361822</v>
      </c>
      <c r="AB23" s="488">
        <f t="shared" si="10"/>
        <v>9828.5003583511134</v>
      </c>
      <c r="AC23" s="488">
        <f t="shared" si="10"/>
        <v>9964.7022133685314</v>
      </c>
      <c r="AD23" s="488">
        <f t="shared" si="10"/>
        <v>10102.809274009893</v>
      </c>
      <c r="AE23" s="488">
        <f t="shared" si="10"/>
        <v>10242.848355367089</v>
      </c>
      <c r="AF23" s="488">
        <f t="shared" si="10"/>
        <v>10384.846651172735</v>
      </c>
      <c r="AG23" s="488">
        <f t="shared" si="10"/>
        <v>10528.831739145076</v>
      </c>
      <c r="AH23" s="488">
        <f t="shared" si="10"/>
        <v>10674.83158640848</v>
      </c>
      <c r="AI23" s="488">
        <f t="shared" si="10"/>
        <v>10822.874554990662</v>
      </c>
      <c r="AJ23" s="488">
        <f t="shared" si="10"/>
        <v>10972.989407397687</v>
      </c>
      <c r="AK23" s="488">
        <f t="shared" si="10"/>
        <v>11125.20531226783</v>
      </c>
      <c r="AL23" s="488">
        <f t="shared" ref="AL23" si="11">SUM(AL19:AL21)</f>
        <v>11279.551850105456</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 t="shared" ref="D27:AK27" si="12">IF(D$3&gt;VRCConstEnd,0,D15)</f>
        <v>3.7507367495177136E-4</v>
      </c>
      <c r="E27" s="388">
        <f t="shared" si="12"/>
        <v>4.2544846862002168E-4</v>
      </c>
      <c r="F27" s="388">
        <f t="shared" si="12"/>
        <v>4.3141468715884071E-4</v>
      </c>
      <c r="G27" s="388">
        <f t="shared" si="12"/>
        <v>4.3746568182053379E-4</v>
      </c>
      <c r="H27" s="388">
        <f t="shared" si="12"/>
        <v>0</v>
      </c>
      <c r="I27" s="388">
        <f t="shared" si="12"/>
        <v>0</v>
      </c>
      <c r="J27" s="388">
        <f t="shared" si="12"/>
        <v>0</v>
      </c>
      <c r="K27" s="388">
        <f t="shared" si="12"/>
        <v>0</v>
      </c>
      <c r="L27" s="388">
        <f t="shared" si="12"/>
        <v>0</v>
      </c>
      <c r="M27" s="388">
        <f t="shared" si="12"/>
        <v>0</v>
      </c>
      <c r="N27" s="388">
        <f t="shared" si="12"/>
        <v>0</v>
      </c>
      <c r="O27" s="388">
        <f t="shared" si="12"/>
        <v>0</v>
      </c>
      <c r="P27" s="388">
        <f t="shared" si="12"/>
        <v>0</v>
      </c>
      <c r="Q27" s="388">
        <f t="shared" si="12"/>
        <v>0</v>
      </c>
      <c r="R27" s="388">
        <f t="shared" si="12"/>
        <v>0</v>
      </c>
      <c r="S27" s="388">
        <f t="shared" si="12"/>
        <v>0</v>
      </c>
      <c r="T27" s="388">
        <f t="shared" si="12"/>
        <v>0</v>
      </c>
      <c r="U27" s="388">
        <f t="shared" si="12"/>
        <v>0</v>
      </c>
      <c r="V27" s="388">
        <f t="shared" si="12"/>
        <v>0</v>
      </c>
      <c r="W27" s="388">
        <f t="shared" si="12"/>
        <v>0</v>
      </c>
      <c r="X27" s="388">
        <f t="shared" si="12"/>
        <v>0</v>
      </c>
      <c r="Y27" s="388">
        <f t="shared" si="12"/>
        <v>0</v>
      </c>
      <c r="Z27" s="388">
        <f t="shared" si="12"/>
        <v>0</v>
      </c>
      <c r="AA27" s="388">
        <f t="shared" si="12"/>
        <v>0</v>
      </c>
      <c r="AB27" s="388">
        <f t="shared" si="12"/>
        <v>0</v>
      </c>
      <c r="AC27" s="388">
        <f t="shared" si="12"/>
        <v>0</v>
      </c>
      <c r="AD27" s="388">
        <f t="shared" si="12"/>
        <v>0</v>
      </c>
      <c r="AE27" s="388">
        <f t="shared" si="12"/>
        <v>0</v>
      </c>
      <c r="AF27" s="388">
        <f t="shared" si="12"/>
        <v>0</v>
      </c>
      <c r="AG27" s="388">
        <f t="shared" si="12"/>
        <v>0</v>
      </c>
      <c r="AH27" s="388">
        <f t="shared" si="12"/>
        <v>0</v>
      </c>
      <c r="AI27" s="388">
        <f t="shared" si="12"/>
        <v>0</v>
      </c>
      <c r="AJ27" s="388">
        <f t="shared" si="12"/>
        <v>0</v>
      </c>
      <c r="AK27" s="388">
        <f t="shared" si="12"/>
        <v>0</v>
      </c>
      <c r="AL27" s="388">
        <f t="shared" ref="AL27" si="13">IF(AL$3&gt;VRCConstEnd,0,AL15)</f>
        <v>0</v>
      </c>
    </row>
    <row r="28" spans="1:38">
      <c r="B28" s="367" t="s">
        <v>516</v>
      </c>
      <c r="C28" s="367" t="s">
        <v>329</v>
      </c>
      <c r="D28" s="388">
        <f t="shared" ref="D28:AK28" si="14">IF(D$3&gt;VRCConstEnd,0,D16)</f>
        <v>6.4802623086179763E-3</v>
      </c>
      <c r="E28" s="388">
        <f t="shared" si="14"/>
        <v>6.5582750366716706E-3</v>
      </c>
      <c r="F28" s="388">
        <f t="shared" si="14"/>
        <v>6.6454093663037006E-3</v>
      </c>
      <c r="G28" s="388">
        <f t="shared" si="14"/>
        <v>6.733701567398615E-3</v>
      </c>
      <c r="H28" s="388">
        <f t="shared" si="14"/>
        <v>0</v>
      </c>
      <c r="I28" s="388">
        <f t="shared" si="14"/>
        <v>0</v>
      </c>
      <c r="J28" s="388">
        <f t="shared" si="14"/>
        <v>0</v>
      </c>
      <c r="K28" s="388">
        <f t="shared" si="14"/>
        <v>0</v>
      </c>
      <c r="L28" s="388">
        <f t="shared" si="14"/>
        <v>0</v>
      </c>
      <c r="M28" s="388">
        <f t="shared" si="14"/>
        <v>0</v>
      </c>
      <c r="N28" s="388">
        <f t="shared" si="14"/>
        <v>0</v>
      </c>
      <c r="O28" s="388">
        <f t="shared" si="14"/>
        <v>0</v>
      </c>
      <c r="P28" s="388">
        <f t="shared" si="14"/>
        <v>0</v>
      </c>
      <c r="Q28" s="388">
        <f t="shared" si="14"/>
        <v>0</v>
      </c>
      <c r="R28" s="388">
        <f t="shared" si="14"/>
        <v>0</v>
      </c>
      <c r="S28" s="388">
        <f t="shared" si="14"/>
        <v>0</v>
      </c>
      <c r="T28" s="388">
        <f t="shared" si="14"/>
        <v>0</v>
      </c>
      <c r="U28" s="388">
        <f t="shared" si="14"/>
        <v>0</v>
      </c>
      <c r="V28" s="388">
        <f t="shared" si="14"/>
        <v>0</v>
      </c>
      <c r="W28" s="388">
        <f t="shared" si="14"/>
        <v>0</v>
      </c>
      <c r="X28" s="388">
        <f t="shared" si="14"/>
        <v>0</v>
      </c>
      <c r="Y28" s="388">
        <f t="shared" si="14"/>
        <v>0</v>
      </c>
      <c r="Z28" s="388">
        <f t="shared" si="14"/>
        <v>0</v>
      </c>
      <c r="AA28" s="388">
        <f t="shared" si="14"/>
        <v>0</v>
      </c>
      <c r="AB28" s="388">
        <f t="shared" si="14"/>
        <v>0</v>
      </c>
      <c r="AC28" s="388">
        <f t="shared" si="14"/>
        <v>0</v>
      </c>
      <c r="AD28" s="388">
        <f t="shared" si="14"/>
        <v>0</v>
      </c>
      <c r="AE28" s="388">
        <f t="shared" si="14"/>
        <v>0</v>
      </c>
      <c r="AF28" s="388">
        <f t="shared" si="14"/>
        <v>0</v>
      </c>
      <c r="AG28" s="388">
        <f t="shared" si="14"/>
        <v>0</v>
      </c>
      <c r="AH28" s="388">
        <f t="shared" si="14"/>
        <v>0</v>
      </c>
      <c r="AI28" s="388">
        <f t="shared" si="14"/>
        <v>0</v>
      </c>
      <c r="AJ28" s="388">
        <f t="shared" si="14"/>
        <v>0</v>
      </c>
      <c r="AK28" s="388">
        <f t="shared" si="14"/>
        <v>0</v>
      </c>
      <c r="AL28" s="388">
        <f t="shared" ref="AL28" si="15">IF(AL$3&gt;VRCConstEnd,0,AL16)</f>
        <v>0</v>
      </c>
    </row>
    <row r="29" spans="1:38">
      <c r="B29" s="367" t="s">
        <v>517</v>
      </c>
      <c r="C29" s="367" t="s">
        <v>518</v>
      </c>
      <c r="D29" s="388">
        <f t="shared" ref="D29:AK29" si="16">IF(D$3&gt;VRCConstEnd,0,D17)</f>
        <v>3.6510480954715034E-2</v>
      </c>
      <c r="E29" s="388">
        <f t="shared" si="16"/>
        <v>3.6995872352182893E-2</v>
      </c>
      <c r="F29" s="388">
        <f t="shared" si="16"/>
        <v>3.7487719286555587E-2</v>
      </c>
      <c r="G29" s="388">
        <f t="shared" si="16"/>
        <v>3.7986107550026377E-2</v>
      </c>
      <c r="H29" s="388">
        <f t="shared" si="16"/>
        <v>0</v>
      </c>
      <c r="I29" s="388">
        <f t="shared" si="16"/>
        <v>0</v>
      </c>
      <c r="J29" s="388">
        <f t="shared" si="16"/>
        <v>0</v>
      </c>
      <c r="K29" s="388">
        <f t="shared" si="16"/>
        <v>0</v>
      </c>
      <c r="L29" s="388">
        <f t="shared" si="16"/>
        <v>0</v>
      </c>
      <c r="M29" s="388">
        <f t="shared" si="16"/>
        <v>0</v>
      </c>
      <c r="N29" s="388">
        <f t="shared" si="16"/>
        <v>0</v>
      </c>
      <c r="O29" s="388">
        <f t="shared" si="16"/>
        <v>0</v>
      </c>
      <c r="P29" s="388">
        <f t="shared" si="16"/>
        <v>0</v>
      </c>
      <c r="Q29" s="388">
        <f t="shared" si="16"/>
        <v>0</v>
      </c>
      <c r="R29" s="388">
        <f t="shared" si="16"/>
        <v>0</v>
      </c>
      <c r="S29" s="388">
        <f t="shared" si="16"/>
        <v>0</v>
      </c>
      <c r="T29" s="388">
        <f t="shared" si="16"/>
        <v>0</v>
      </c>
      <c r="U29" s="388">
        <f t="shared" si="16"/>
        <v>0</v>
      </c>
      <c r="V29" s="388">
        <f t="shared" si="16"/>
        <v>0</v>
      </c>
      <c r="W29" s="388">
        <f t="shared" si="16"/>
        <v>0</v>
      </c>
      <c r="X29" s="388">
        <f t="shared" si="16"/>
        <v>0</v>
      </c>
      <c r="Y29" s="388">
        <f t="shared" si="16"/>
        <v>0</v>
      </c>
      <c r="Z29" s="388">
        <f t="shared" si="16"/>
        <v>0</v>
      </c>
      <c r="AA29" s="388">
        <f t="shared" si="16"/>
        <v>0</v>
      </c>
      <c r="AB29" s="388">
        <f t="shared" si="16"/>
        <v>0</v>
      </c>
      <c r="AC29" s="388">
        <f t="shared" si="16"/>
        <v>0</v>
      </c>
      <c r="AD29" s="388">
        <f t="shared" si="16"/>
        <v>0</v>
      </c>
      <c r="AE29" s="388">
        <f t="shared" si="16"/>
        <v>0</v>
      </c>
      <c r="AF29" s="388">
        <f t="shared" si="16"/>
        <v>0</v>
      </c>
      <c r="AG29" s="388">
        <f t="shared" si="16"/>
        <v>0</v>
      </c>
      <c r="AH29" s="388">
        <f t="shared" si="16"/>
        <v>0</v>
      </c>
      <c r="AI29" s="388">
        <f t="shared" si="16"/>
        <v>0</v>
      </c>
      <c r="AJ29" s="388">
        <f t="shared" si="16"/>
        <v>0</v>
      </c>
      <c r="AK29" s="388">
        <f t="shared" si="16"/>
        <v>0</v>
      </c>
      <c r="AL29" s="388">
        <f t="shared" ref="AL29" si="17">IF(AL$3&gt;VRCConstEnd,0,AL17)</f>
        <v>0</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8">D27*D9</f>
        <v>4527.5143303428322</v>
      </c>
      <c r="E31" s="485">
        <f t="shared" si="18"/>
        <v>5135.5884647122821</v>
      </c>
      <c r="F31" s="485">
        <f t="shared" si="18"/>
        <v>5207.6066886943663</v>
      </c>
      <c r="G31" s="485">
        <f t="shared" si="18"/>
        <v>5280.6482452556629</v>
      </c>
      <c r="H31" s="485">
        <f t="shared" si="18"/>
        <v>0</v>
      </c>
      <c r="I31" s="485">
        <f t="shared" si="18"/>
        <v>0</v>
      </c>
      <c r="J31" s="485">
        <f t="shared" si="18"/>
        <v>0</v>
      </c>
      <c r="K31" s="485">
        <f t="shared" si="18"/>
        <v>0</v>
      </c>
      <c r="L31" s="485">
        <f t="shared" si="18"/>
        <v>0</v>
      </c>
      <c r="M31" s="485">
        <f t="shared" si="18"/>
        <v>0</v>
      </c>
      <c r="N31" s="485">
        <f t="shared" si="18"/>
        <v>0</v>
      </c>
      <c r="O31" s="485">
        <f t="shared" si="18"/>
        <v>0</v>
      </c>
      <c r="P31" s="485">
        <f t="shared" si="18"/>
        <v>0</v>
      </c>
      <c r="Q31" s="485">
        <f t="shared" si="18"/>
        <v>0</v>
      </c>
      <c r="R31" s="485">
        <f t="shared" si="18"/>
        <v>0</v>
      </c>
      <c r="S31" s="485">
        <f t="shared" si="18"/>
        <v>0</v>
      </c>
      <c r="T31" s="485">
        <f t="shared" si="18"/>
        <v>0</v>
      </c>
      <c r="U31" s="485">
        <f t="shared" si="18"/>
        <v>0</v>
      </c>
      <c r="V31" s="485">
        <f t="shared" si="18"/>
        <v>0</v>
      </c>
      <c r="W31" s="485">
        <f t="shared" si="18"/>
        <v>0</v>
      </c>
      <c r="X31" s="485">
        <f t="shared" si="18"/>
        <v>0</v>
      </c>
      <c r="Y31" s="485">
        <f t="shared" si="18"/>
        <v>0</v>
      </c>
      <c r="Z31" s="485">
        <f t="shared" si="18"/>
        <v>0</v>
      </c>
      <c r="AA31" s="485">
        <f t="shared" si="18"/>
        <v>0</v>
      </c>
      <c r="AB31" s="485">
        <f t="shared" si="18"/>
        <v>0</v>
      </c>
      <c r="AC31" s="485">
        <f t="shared" si="18"/>
        <v>0</v>
      </c>
      <c r="AD31" s="485">
        <f t="shared" si="18"/>
        <v>0</v>
      </c>
      <c r="AE31" s="485">
        <f t="shared" si="18"/>
        <v>0</v>
      </c>
      <c r="AF31" s="485">
        <f t="shared" si="18"/>
        <v>0</v>
      </c>
      <c r="AG31" s="485">
        <f t="shared" si="18"/>
        <v>0</v>
      </c>
      <c r="AH31" s="485">
        <f t="shared" si="18"/>
        <v>0</v>
      </c>
      <c r="AI31" s="485">
        <f t="shared" si="18"/>
        <v>0</v>
      </c>
      <c r="AJ31" s="485">
        <f t="shared" si="18"/>
        <v>0</v>
      </c>
      <c r="AK31" s="485">
        <f t="shared" si="18"/>
        <v>0</v>
      </c>
      <c r="AL31" s="485">
        <f t="shared" ref="AL31" si="19">AL27*AL9</f>
        <v>0</v>
      </c>
    </row>
    <row r="32" spans="1:38">
      <c r="B32" s="366" t="s">
        <v>720</v>
      </c>
      <c r="C32" s="484" t="s">
        <v>292</v>
      </c>
      <c r="D32" s="485">
        <f t="shared" ref="D32:AK32" si="20">D28*D10</f>
        <v>1841.0425218783671</v>
      </c>
      <c r="E32" s="485">
        <f t="shared" si="20"/>
        <v>1863.2059379184216</v>
      </c>
      <c r="F32" s="485">
        <f t="shared" si="20"/>
        <v>1887.9608009668814</v>
      </c>
      <c r="G32" s="485">
        <f t="shared" si="20"/>
        <v>1913.0446152979466</v>
      </c>
      <c r="H32" s="485">
        <f t="shared" si="20"/>
        <v>0</v>
      </c>
      <c r="I32" s="485">
        <f t="shared" si="20"/>
        <v>0</v>
      </c>
      <c r="J32" s="485">
        <f t="shared" si="20"/>
        <v>0</v>
      </c>
      <c r="K32" s="485">
        <f t="shared" si="20"/>
        <v>0</v>
      </c>
      <c r="L32" s="485">
        <f t="shared" si="20"/>
        <v>0</v>
      </c>
      <c r="M32" s="485">
        <f t="shared" si="20"/>
        <v>0</v>
      </c>
      <c r="N32" s="485">
        <f t="shared" si="20"/>
        <v>0</v>
      </c>
      <c r="O32" s="485">
        <f t="shared" si="20"/>
        <v>0</v>
      </c>
      <c r="P32" s="485">
        <f t="shared" si="20"/>
        <v>0</v>
      </c>
      <c r="Q32" s="485">
        <f t="shared" si="20"/>
        <v>0</v>
      </c>
      <c r="R32" s="485">
        <f t="shared" si="20"/>
        <v>0</v>
      </c>
      <c r="S32" s="485">
        <f t="shared" si="20"/>
        <v>0</v>
      </c>
      <c r="T32" s="485">
        <f t="shared" si="20"/>
        <v>0</v>
      </c>
      <c r="U32" s="485">
        <f t="shared" si="20"/>
        <v>0</v>
      </c>
      <c r="V32" s="485">
        <f t="shared" si="20"/>
        <v>0</v>
      </c>
      <c r="W32" s="485">
        <f t="shared" si="20"/>
        <v>0</v>
      </c>
      <c r="X32" s="485">
        <f t="shared" si="20"/>
        <v>0</v>
      </c>
      <c r="Y32" s="485">
        <f t="shared" si="20"/>
        <v>0</v>
      </c>
      <c r="Z32" s="485">
        <f t="shared" si="20"/>
        <v>0</v>
      </c>
      <c r="AA32" s="485">
        <f t="shared" si="20"/>
        <v>0</v>
      </c>
      <c r="AB32" s="485">
        <f t="shared" si="20"/>
        <v>0</v>
      </c>
      <c r="AC32" s="485">
        <f t="shared" si="20"/>
        <v>0</v>
      </c>
      <c r="AD32" s="485">
        <f t="shared" si="20"/>
        <v>0</v>
      </c>
      <c r="AE32" s="485">
        <f t="shared" si="20"/>
        <v>0</v>
      </c>
      <c r="AF32" s="485">
        <f t="shared" si="20"/>
        <v>0</v>
      </c>
      <c r="AG32" s="485">
        <f t="shared" si="20"/>
        <v>0</v>
      </c>
      <c r="AH32" s="485">
        <f t="shared" si="20"/>
        <v>0</v>
      </c>
      <c r="AI32" s="485">
        <f t="shared" si="20"/>
        <v>0</v>
      </c>
      <c r="AJ32" s="485">
        <f t="shared" si="20"/>
        <v>0</v>
      </c>
      <c r="AK32" s="485">
        <f t="shared" si="20"/>
        <v>0</v>
      </c>
      <c r="AL32" s="485">
        <f t="shared" ref="AL32" si="21">AL28*AL10</f>
        <v>0</v>
      </c>
    </row>
    <row r="33" spans="1:38">
      <c r="B33" s="366" t="s">
        <v>721</v>
      </c>
      <c r="C33" s="484" t="s">
        <v>292</v>
      </c>
      <c r="D33" s="485">
        <f t="shared" ref="D33:AK33" si="22">D29*D11</f>
        <v>164.29716429621766</v>
      </c>
      <c r="E33" s="485">
        <f t="shared" si="22"/>
        <v>166.48142558482303</v>
      </c>
      <c r="F33" s="485">
        <f t="shared" si="22"/>
        <v>168.69473678950015</v>
      </c>
      <c r="G33" s="485">
        <f t="shared" si="22"/>
        <v>170.93748397511868</v>
      </c>
      <c r="H33" s="485">
        <f t="shared" si="22"/>
        <v>0</v>
      </c>
      <c r="I33" s="485">
        <f t="shared" si="22"/>
        <v>0</v>
      </c>
      <c r="J33" s="485">
        <f t="shared" si="22"/>
        <v>0</v>
      </c>
      <c r="K33" s="485">
        <f t="shared" si="22"/>
        <v>0</v>
      </c>
      <c r="L33" s="485">
        <f t="shared" si="22"/>
        <v>0</v>
      </c>
      <c r="M33" s="485">
        <f t="shared" si="22"/>
        <v>0</v>
      </c>
      <c r="N33" s="485">
        <f t="shared" si="22"/>
        <v>0</v>
      </c>
      <c r="O33" s="485">
        <f t="shared" si="22"/>
        <v>0</v>
      </c>
      <c r="P33" s="485">
        <f t="shared" si="22"/>
        <v>0</v>
      </c>
      <c r="Q33" s="485">
        <f t="shared" si="22"/>
        <v>0</v>
      </c>
      <c r="R33" s="485">
        <f t="shared" si="22"/>
        <v>0</v>
      </c>
      <c r="S33" s="485">
        <f t="shared" si="22"/>
        <v>0</v>
      </c>
      <c r="T33" s="485">
        <f t="shared" si="22"/>
        <v>0</v>
      </c>
      <c r="U33" s="485">
        <f t="shared" si="22"/>
        <v>0</v>
      </c>
      <c r="V33" s="485">
        <f t="shared" si="22"/>
        <v>0</v>
      </c>
      <c r="W33" s="485">
        <f t="shared" si="22"/>
        <v>0</v>
      </c>
      <c r="X33" s="485">
        <f t="shared" si="22"/>
        <v>0</v>
      </c>
      <c r="Y33" s="485">
        <f t="shared" si="22"/>
        <v>0</v>
      </c>
      <c r="Z33" s="485">
        <f t="shared" si="22"/>
        <v>0</v>
      </c>
      <c r="AA33" s="485">
        <f t="shared" si="22"/>
        <v>0</v>
      </c>
      <c r="AB33" s="485">
        <f t="shared" si="22"/>
        <v>0</v>
      </c>
      <c r="AC33" s="485">
        <f t="shared" si="22"/>
        <v>0</v>
      </c>
      <c r="AD33" s="485">
        <f t="shared" si="22"/>
        <v>0</v>
      </c>
      <c r="AE33" s="485">
        <f t="shared" si="22"/>
        <v>0</v>
      </c>
      <c r="AF33" s="485">
        <f t="shared" si="22"/>
        <v>0</v>
      </c>
      <c r="AG33" s="485">
        <f t="shared" si="22"/>
        <v>0</v>
      </c>
      <c r="AH33" s="485">
        <f t="shared" si="22"/>
        <v>0</v>
      </c>
      <c r="AI33" s="485">
        <f t="shared" si="22"/>
        <v>0</v>
      </c>
      <c r="AJ33" s="485">
        <f t="shared" si="22"/>
        <v>0</v>
      </c>
      <c r="AK33" s="485">
        <f t="shared" si="22"/>
        <v>0</v>
      </c>
      <c r="AL33" s="485">
        <f t="shared" ref="AL33" si="23">AL29*AL11</f>
        <v>0</v>
      </c>
    </row>
    <row r="34" spans="1:38">
      <c r="D34" s="358"/>
      <c r="F34" s="464"/>
      <c r="G34" s="465"/>
      <c r="H34" s="465"/>
    </row>
    <row r="35" spans="1:38" ht="13">
      <c r="B35" s="486" t="s">
        <v>462</v>
      </c>
      <c r="C35" s="487" t="s">
        <v>292</v>
      </c>
      <c r="D35" s="488">
        <f>SUM(D31:D33)</f>
        <v>6532.8540165174172</v>
      </c>
      <c r="E35" s="488">
        <f t="shared" ref="E35:AK35" si="24">SUM(E31:E33)</f>
        <v>7165.2758282155264</v>
      </c>
      <c r="F35" s="488">
        <f t="shared" si="24"/>
        <v>7264.2622264507472</v>
      </c>
      <c r="G35" s="488">
        <f t="shared" si="24"/>
        <v>7364.6303445287285</v>
      </c>
      <c r="H35" s="488">
        <f t="shared" si="24"/>
        <v>0</v>
      </c>
      <c r="I35" s="488">
        <f t="shared" si="24"/>
        <v>0</v>
      </c>
      <c r="J35" s="488">
        <f t="shared" si="24"/>
        <v>0</v>
      </c>
      <c r="K35" s="488">
        <f t="shared" si="24"/>
        <v>0</v>
      </c>
      <c r="L35" s="488">
        <f t="shared" si="24"/>
        <v>0</v>
      </c>
      <c r="M35" s="488">
        <f t="shared" si="24"/>
        <v>0</v>
      </c>
      <c r="N35" s="488">
        <f t="shared" si="24"/>
        <v>0</v>
      </c>
      <c r="O35" s="488">
        <f t="shared" si="24"/>
        <v>0</v>
      </c>
      <c r="P35" s="488">
        <f t="shared" si="24"/>
        <v>0</v>
      </c>
      <c r="Q35" s="488">
        <f t="shared" si="24"/>
        <v>0</v>
      </c>
      <c r="R35" s="488">
        <f t="shared" si="24"/>
        <v>0</v>
      </c>
      <c r="S35" s="488">
        <f t="shared" si="24"/>
        <v>0</v>
      </c>
      <c r="T35" s="488">
        <f t="shared" si="24"/>
        <v>0</v>
      </c>
      <c r="U35" s="488">
        <f t="shared" si="24"/>
        <v>0</v>
      </c>
      <c r="V35" s="488">
        <f t="shared" si="24"/>
        <v>0</v>
      </c>
      <c r="W35" s="488">
        <f t="shared" si="24"/>
        <v>0</v>
      </c>
      <c r="X35" s="488">
        <f t="shared" si="24"/>
        <v>0</v>
      </c>
      <c r="Y35" s="488">
        <f t="shared" si="24"/>
        <v>0</v>
      </c>
      <c r="Z35" s="488">
        <f t="shared" si="24"/>
        <v>0</v>
      </c>
      <c r="AA35" s="488">
        <f t="shared" si="24"/>
        <v>0</v>
      </c>
      <c r="AB35" s="488">
        <f t="shared" si="24"/>
        <v>0</v>
      </c>
      <c r="AC35" s="488">
        <f t="shared" si="24"/>
        <v>0</v>
      </c>
      <c r="AD35" s="488">
        <f t="shared" si="24"/>
        <v>0</v>
      </c>
      <c r="AE35" s="488">
        <f t="shared" si="24"/>
        <v>0</v>
      </c>
      <c r="AF35" s="488">
        <f t="shared" si="24"/>
        <v>0</v>
      </c>
      <c r="AG35" s="488">
        <f t="shared" si="24"/>
        <v>0</v>
      </c>
      <c r="AH35" s="488">
        <f t="shared" si="24"/>
        <v>0</v>
      </c>
      <c r="AI35" s="488">
        <f t="shared" si="24"/>
        <v>0</v>
      </c>
      <c r="AJ35" s="488">
        <f t="shared" si="24"/>
        <v>0</v>
      </c>
      <c r="AK35" s="488">
        <f t="shared" si="24"/>
        <v>0</v>
      </c>
      <c r="AL35" s="488">
        <f t="shared" ref="AL35" si="25">SUM(AL31:AL33)</f>
        <v>0</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D15-D27</f>
        <v>0</v>
      </c>
      <c r="E39" s="388">
        <f t="shared" ref="E39:AK39" si="26">E15-E27</f>
        <v>0</v>
      </c>
      <c r="F39" s="388">
        <f t="shared" si="26"/>
        <v>0</v>
      </c>
      <c r="G39" s="388">
        <f t="shared" si="26"/>
        <v>0</v>
      </c>
      <c r="H39" s="388">
        <f t="shared" si="26"/>
        <v>4.4360266741503689E-4</v>
      </c>
      <c r="I39" s="388">
        <f t="shared" si="26"/>
        <v>4.4982687623813426E-4</v>
      </c>
      <c r="J39" s="388">
        <f t="shared" si="26"/>
        <v>4.5613955832246567E-4</v>
      </c>
      <c r="K39" s="388">
        <f t="shared" si="26"/>
        <v>4.6254198169214892E-4</v>
      </c>
      <c r="L39" s="388">
        <f t="shared" si="26"/>
        <v>4.6903543262106015E-4</v>
      </c>
      <c r="M39" s="388">
        <f t="shared" si="26"/>
        <v>4.7562121589483984E-4</v>
      </c>
      <c r="N39" s="388">
        <f t="shared" si="26"/>
        <v>4.8230065507665906E-4</v>
      </c>
      <c r="O39" s="388">
        <f t="shared" si="26"/>
        <v>4.8907509277681623E-4</v>
      </c>
      <c r="P39" s="388">
        <f t="shared" si="26"/>
        <v>4.9594589092620957E-4</v>
      </c>
      <c r="Q39" s="388">
        <f t="shared" si="26"/>
        <v>5.0291443105374503E-4</v>
      </c>
      <c r="R39" s="388">
        <f t="shared" si="26"/>
        <v>5.099821145677332E-4</v>
      </c>
      <c r="S39" s="388">
        <f t="shared" si="26"/>
        <v>5.1715036304133654E-4</v>
      </c>
      <c r="T39" s="388">
        <f t="shared" si="26"/>
        <v>5.2442061850212056E-4</v>
      </c>
      <c r="U39" s="388">
        <f t="shared" si="26"/>
        <v>5.3179434372577141E-4</v>
      </c>
      <c r="V39" s="388">
        <f t="shared" si="26"/>
        <v>5.3927302253403751E-4</v>
      </c>
      <c r="W39" s="388">
        <f t="shared" si="26"/>
        <v>5.468581600969562E-4</v>
      </c>
      <c r="X39" s="388">
        <f t="shared" si="26"/>
        <v>5.5455128323942835E-4</v>
      </c>
      <c r="Y39" s="388">
        <f t="shared" si="26"/>
        <v>5.6235394075219991E-4</v>
      </c>
      <c r="Z39" s="388">
        <f t="shared" si="26"/>
        <v>5.7026770370732012E-4</v>
      </c>
      <c r="AA39" s="388">
        <f t="shared" si="26"/>
        <v>5.7829416577813203E-4</v>
      </c>
      <c r="AB39" s="388">
        <f t="shared" si="26"/>
        <v>5.8643494356386706E-4</v>
      </c>
      <c r="AC39" s="388">
        <f t="shared" si="26"/>
        <v>5.9469167691890792E-4</v>
      </c>
      <c r="AD39" s="388">
        <f t="shared" si="26"/>
        <v>6.0306602928678445E-4</v>
      </c>
      <c r="AE39" s="388">
        <f t="shared" si="26"/>
        <v>6.1155968803897607E-4</v>
      </c>
      <c r="AF39" s="388">
        <f t="shared" si="26"/>
        <v>6.2017436481858162E-4</v>
      </c>
      <c r="AG39" s="388">
        <f t="shared" si="26"/>
        <v>6.2891179588893517E-4</v>
      </c>
      <c r="AH39" s="388">
        <f t="shared" si="26"/>
        <v>6.3777374248723208E-4</v>
      </c>
      <c r="AI39" s="388">
        <f t="shared" si="26"/>
        <v>6.4676199118324099E-4</v>
      </c>
      <c r="AJ39" s="388">
        <f t="shared" si="26"/>
        <v>6.5587835424317444E-4</v>
      </c>
      <c r="AK39" s="388">
        <f t="shared" si="26"/>
        <v>6.6512466999878964E-4</v>
      </c>
      <c r="AL39" s="388">
        <f t="shared" ref="AL39" si="27">AL15-AL27</f>
        <v>6.7450280322179832E-4</v>
      </c>
    </row>
    <row r="40" spans="1:38" ht="13">
      <c r="B40" s="581" t="s">
        <v>782</v>
      </c>
      <c r="C40" s="581" t="s">
        <v>329</v>
      </c>
      <c r="D40" s="388">
        <f>D16-D28</f>
        <v>0</v>
      </c>
      <c r="E40" s="388">
        <f t="shared" ref="E40:AK40" si="28">E16-E28</f>
        <v>0</v>
      </c>
      <c r="F40" s="388">
        <f t="shared" si="28"/>
        <v>0</v>
      </c>
      <c r="G40" s="388">
        <f t="shared" si="28"/>
        <v>0</v>
      </c>
      <c r="H40" s="388">
        <f t="shared" si="28"/>
        <v>6.8231670122186018E-3</v>
      </c>
      <c r="I40" s="388">
        <f t="shared" si="28"/>
        <v>6.9138212773741867E-3</v>
      </c>
      <c r="J40" s="388">
        <f t="shared" si="28"/>
        <v>7.0056801465329379E-3</v>
      </c>
      <c r="K40" s="388">
        <f t="shared" si="28"/>
        <v>7.0987596131643245E-3</v>
      </c>
      <c r="L40" s="388">
        <f t="shared" si="28"/>
        <v>7.1930758833210493E-3</v>
      </c>
      <c r="M40" s="388">
        <f t="shared" si="28"/>
        <v>7.2886453784575629E-3</v>
      </c>
      <c r="N40" s="388">
        <f t="shared" si="28"/>
        <v>7.3854847382860255E-3</v>
      </c>
      <c r="O40" s="388">
        <f t="shared" si="28"/>
        <v>7.483610823670335E-3</v>
      </c>
      <c r="P40" s="388">
        <f t="shared" si="28"/>
        <v>7.5830407195587191E-3</v>
      </c>
      <c r="Q40" s="388">
        <f t="shared" si="28"/>
        <v>7.6837917379553736E-3</v>
      </c>
      <c r="R40" s="388">
        <f t="shared" si="28"/>
        <v>7.7858814209316157E-3</v>
      </c>
      <c r="S40" s="388">
        <f t="shared" si="28"/>
        <v>7.8893275436772003E-3</v>
      </c>
      <c r="T40" s="388">
        <f t="shared" si="28"/>
        <v>7.9941481175922029E-3</v>
      </c>
      <c r="U40" s="388">
        <f t="shared" si="28"/>
        <v>8.1003613934200816E-3</v>
      </c>
      <c r="V40" s="388">
        <f t="shared" si="28"/>
        <v>8.2079858644224304E-3</v>
      </c>
      <c r="W40" s="388">
        <f t="shared" si="28"/>
        <v>8.3170402695959666E-3</v>
      </c>
      <c r="X40" s="388">
        <f t="shared" si="28"/>
        <v>8.4275435969323742E-3</v>
      </c>
      <c r="Y40" s="388">
        <f t="shared" si="28"/>
        <v>8.5395150867214383E-3</v>
      </c>
      <c r="Z40" s="388">
        <f t="shared" si="28"/>
        <v>8.6529742348982371E-3</v>
      </c>
      <c r="AA40" s="388">
        <f t="shared" si="28"/>
        <v>8.767940796434762E-3</v>
      </c>
      <c r="AB40" s="388">
        <f t="shared" si="28"/>
        <v>8.8844347887767124E-3</v>
      </c>
      <c r="AC40" s="388">
        <f t="shared" si="28"/>
        <v>9.0024764953259891E-3</v>
      </c>
      <c r="AD40" s="388">
        <f t="shared" si="28"/>
        <v>9.1220864689694984E-3</v>
      </c>
      <c r="AE40" s="388">
        <f t="shared" si="28"/>
        <v>9.2432855356549149E-3</v>
      </c>
      <c r="AF40" s="388">
        <f t="shared" si="28"/>
        <v>9.3660947980139745E-3</v>
      </c>
      <c r="AG40" s="388">
        <f t="shared" si="28"/>
        <v>9.4905356390339556E-3</v>
      </c>
      <c r="AH40" s="388">
        <f t="shared" si="28"/>
        <v>9.6166297257779827E-3</v>
      </c>
      <c r="AI40" s="388">
        <f t="shared" si="28"/>
        <v>9.7443990131547975E-3</v>
      </c>
      <c r="AJ40" s="388">
        <f t="shared" si="28"/>
        <v>9.8738657477386582E-3</v>
      </c>
      <c r="AK40" s="388">
        <f t="shared" si="28"/>
        <v>1.0005052471640017E-2</v>
      </c>
      <c r="AL40" s="388">
        <f t="shared" ref="AL40" si="29">AL16-AL28</f>
        <v>1.0137982026427635E-2</v>
      </c>
    </row>
    <row r="41" spans="1:38" ht="13">
      <c r="B41" s="581" t="s">
        <v>783</v>
      </c>
      <c r="C41" s="581" t="s">
        <v>518</v>
      </c>
      <c r="D41" s="388">
        <f>D17-D29</f>
        <v>0</v>
      </c>
      <c r="E41" s="388">
        <f t="shared" ref="E41:AK41" si="30">E17-E29</f>
        <v>0</v>
      </c>
      <c r="F41" s="388">
        <f t="shared" si="30"/>
        <v>0</v>
      </c>
      <c r="G41" s="388">
        <f t="shared" si="30"/>
        <v>0</v>
      </c>
      <c r="H41" s="388">
        <f t="shared" si="30"/>
        <v>3.8491124076613543E-2</v>
      </c>
      <c r="I41" s="388">
        <f t="shared" si="30"/>
        <v>3.9002856957313745E-2</v>
      </c>
      <c r="J41" s="388">
        <f t="shared" si="30"/>
        <v>3.9521395455457339E-2</v>
      </c>
      <c r="K41" s="388">
        <f t="shared" si="30"/>
        <v>4.0046830022269012E-2</v>
      </c>
      <c r="L41" s="388">
        <f t="shared" si="30"/>
        <v>4.0579252312635324E-2</v>
      </c>
      <c r="M41" s="388">
        <f t="shared" si="30"/>
        <v>4.1118755201083476E-2</v>
      </c>
      <c r="N41" s="388">
        <f t="shared" si="30"/>
        <v>4.1665432797972482E-2</v>
      </c>
      <c r="O41" s="388">
        <f t="shared" si="30"/>
        <v>4.2219380465900576E-2</v>
      </c>
      <c r="P41" s="388">
        <f t="shared" si="30"/>
        <v>4.2780694836331457E-2</v>
      </c>
      <c r="Q41" s="388">
        <f t="shared" si="30"/>
        <v>4.3349473826442227E-2</v>
      </c>
      <c r="R41" s="388">
        <f t="shared" si="30"/>
        <v>4.3925816656195653E-2</v>
      </c>
      <c r="S41" s="388">
        <f t="shared" si="30"/>
        <v>4.4509823865640466E-2</v>
      </c>
      <c r="T41" s="388">
        <f t="shared" si="30"/>
        <v>4.5101597332441921E-2</v>
      </c>
      <c r="U41" s="388">
        <f t="shared" si="30"/>
        <v>4.5701240289646214E-2</v>
      </c>
      <c r="V41" s="388">
        <f t="shared" si="30"/>
        <v>4.6308857343681502E-2</v>
      </c>
      <c r="W41" s="388">
        <f t="shared" si="30"/>
        <v>4.6924554492598865E-2</v>
      </c>
      <c r="X41" s="388">
        <f t="shared" si="30"/>
        <v>4.754843914455642E-2</v>
      </c>
      <c r="Y41" s="388">
        <f t="shared" si="30"/>
        <v>4.818062013654939E-2</v>
      </c>
      <c r="Z41" s="388">
        <f t="shared" si="30"/>
        <v>4.8821207753390217E-2</v>
      </c>
      <c r="AA41" s="388">
        <f t="shared" si="30"/>
        <v>4.9470313746941032E-2</v>
      </c>
      <c r="AB41" s="388">
        <f t="shared" si="30"/>
        <v>5.012805135560254E-2</v>
      </c>
      <c r="AC41" s="388">
        <f t="shared" si="30"/>
        <v>5.0794535324062529E-2</v>
      </c>
      <c r="AD41" s="388">
        <f t="shared" si="30"/>
        <v>5.1469881923307204E-2</v>
      </c>
      <c r="AE41" s="388">
        <f t="shared" si="30"/>
        <v>5.2154208970899292E-2</v>
      </c>
      <c r="AF41" s="388">
        <f t="shared" si="30"/>
        <v>5.2847635851525986E-2</v>
      </c>
      <c r="AG41" s="388">
        <f t="shared" si="30"/>
        <v>5.3550283537820605E-2</v>
      </c>
      <c r="AH41" s="388">
        <f t="shared" si="30"/>
        <v>5.4262274611461443E-2</v>
      </c>
      <c r="AI41" s="388">
        <f t="shared" si="30"/>
        <v>5.498373328455157E-2</v>
      </c>
      <c r="AJ41" s="388">
        <f t="shared" si="30"/>
        <v>5.5714785421283393E-2</v>
      </c>
      <c r="AK41" s="388">
        <f t="shared" si="30"/>
        <v>5.6455558559891393E-2</v>
      </c>
      <c r="AL41" s="388">
        <f t="shared" ref="AL41" si="31">AL17-AL29</f>
        <v>5.7206181934897307E-2</v>
      </c>
    </row>
    <row r="42" spans="1:38">
      <c r="D42" s="358"/>
      <c r="F42" s="464"/>
      <c r="G42" s="465"/>
      <c r="H42" s="465"/>
    </row>
    <row r="43" spans="1:38" ht="13">
      <c r="B43" s="492" t="s">
        <v>284</v>
      </c>
      <c r="C43" s="487" t="s">
        <v>292</v>
      </c>
      <c r="D43" s="488">
        <f t="shared" ref="D43:AK43" si="32">D23-D35</f>
        <v>0</v>
      </c>
      <c r="E43" s="488">
        <f t="shared" si="32"/>
        <v>0</v>
      </c>
      <c r="F43" s="488">
        <f t="shared" si="32"/>
        <v>0</v>
      </c>
      <c r="G43" s="488">
        <f t="shared" si="32"/>
        <v>0</v>
      </c>
      <c r="H43" s="488">
        <f t="shared" si="32"/>
        <v>7466.3996048829758</v>
      </c>
      <c r="I43" s="488">
        <f t="shared" si="32"/>
        <v>7569.5897042804363</v>
      </c>
      <c r="J43" s="488">
        <f t="shared" si="32"/>
        <v>7674.2206176900481</v>
      </c>
      <c r="K43" s="488">
        <f t="shared" si="32"/>
        <v>7780.3126022061242</v>
      </c>
      <c r="L43" s="488">
        <f t="shared" si="32"/>
        <v>7887.886201027186</v>
      </c>
      <c r="M43" s="488">
        <f t="shared" si="32"/>
        <v>7996.9622474912812</v>
      </c>
      <c r="N43" s="488">
        <f t="shared" si="32"/>
        <v>8107.5618691682876</v>
      </c>
      <c r="O43" s="488">
        <f t="shared" si="32"/>
        <v>8219.7064920102421</v>
      </c>
      <c r="P43" s="488">
        <f t="shared" si="32"/>
        <v>8333.4178445603993</v>
      </c>
      <c r="Q43" s="488">
        <f t="shared" si="32"/>
        <v>8448.7179622218664</v>
      </c>
      <c r="R43" s="488">
        <f t="shared" si="32"/>
        <v>8565.6291915866605</v>
      </c>
      <c r="S43" s="488">
        <f t="shared" si="32"/>
        <v>8684.1741948260478</v>
      </c>
      <c r="T43" s="488">
        <f t="shared" si="32"/>
        <v>8804.3759541430318</v>
      </c>
      <c r="U43" s="488">
        <f t="shared" si="32"/>
        <v>8926.2577762878409</v>
      </c>
      <c r="V43" s="488">
        <f t="shared" si="32"/>
        <v>9049.8432971373459</v>
      </c>
      <c r="W43" s="488">
        <f t="shared" si="32"/>
        <v>9175.1564863392668</v>
      </c>
      <c r="X43" s="488">
        <f t="shared" si="32"/>
        <v>9302.22165202213</v>
      </c>
      <c r="Y43" s="488">
        <f t="shared" si="32"/>
        <v>9431.0634455718391</v>
      </c>
      <c r="Z43" s="488">
        <f t="shared" si="32"/>
        <v>9561.7068664759063</v>
      </c>
      <c r="AA43" s="488">
        <f t="shared" si="32"/>
        <v>9694.1772672361822</v>
      </c>
      <c r="AB43" s="488">
        <f t="shared" si="32"/>
        <v>9828.5003583511134</v>
      </c>
      <c r="AC43" s="488">
        <f t="shared" si="32"/>
        <v>9964.7022133685314</v>
      </c>
      <c r="AD43" s="488">
        <f t="shared" si="32"/>
        <v>10102.809274009893</v>
      </c>
      <c r="AE43" s="488">
        <f t="shared" si="32"/>
        <v>10242.848355367089</v>
      </c>
      <c r="AF43" s="488">
        <f t="shared" si="32"/>
        <v>10384.846651172735</v>
      </c>
      <c r="AG43" s="488">
        <f t="shared" si="32"/>
        <v>10528.831739145076</v>
      </c>
      <c r="AH43" s="488">
        <f t="shared" si="32"/>
        <v>10674.83158640848</v>
      </c>
      <c r="AI43" s="488">
        <f t="shared" si="32"/>
        <v>10822.874554990662</v>
      </c>
      <c r="AJ43" s="488">
        <f t="shared" si="32"/>
        <v>10972.989407397687</v>
      </c>
      <c r="AK43" s="488">
        <f t="shared" si="32"/>
        <v>11125.20531226783</v>
      </c>
      <c r="AL43" s="488">
        <f t="shared" ref="AL43" si="33">AL23-AL35</f>
        <v>11279.551850105456</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748" t="s">
        <v>493</v>
      </c>
      <c r="C49" s="384" t="s">
        <v>450</v>
      </c>
      <c r="D49" s="496">
        <f>'General Inputs'!D15</f>
        <v>17.899999999999999</v>
      </c>
      <c r="E49" s="496">
        <f t="shared" ref="E49:T51" si="34">D49*(1+$C$48)</f>
        <v>17.899999999999999</v>
      </c>
      <c r="F49" s="496">
        <f t="shared" si="34"/>
        <v>17.899999999999999</v>
      </c>
      <c r="G49" s="496">
        <f t="shared" si="34"/>
        <v>17.899999999999999</v>
      </c>
      <c r="H49" s="496">
        <f t="shared" si="34"/>
        <v>17.899999999999999</v>
      </c>
      <c r="I49" s="496">
        <f t="shared" si="34"/>
        <v>17.899999999999999</v>
      </c>
      <c r="J49" s="496">
        <f t="shared" si="34"/>
        <v>17.899999999999999</v>
      </c>
      <c r="K49" s="496">
        <f t="shared" si="34"/>
        <v>17.899999999999999</v>
      </c>
      <c r="L49" s="496">
        <f t="shared" si="34"/>
        <v>17.899999999999999</v>
      </c>
      <c r="M49" s="496">
        <f t="shared" si="34"/>
        <v>17.899999999999999</v>
      </c>
      <c r="N49" s="496">
        <f t="shared" si="34"/>
        <v>17.899999999999999</v>
      </c>
      <c r="O49" s="496">
        <f t="shared" si="34"/>
        <v>17.899999999999999</v>
      </c>
      <c r="P49" s="496">
        <f t="shared" si="34"/>
        <v>17.899999999999999</v>
      </c>
      <c r="Q49" s="496">
        <f t="shared" si="34"/>
        <v>17.899999999999999</v>
      </c>
      <c r="R49" s="496">
        <f t="shared" si="34"/>
        <v>17.899999999999999</v>
      </c>
      <c r="S49" s="496">
        <f t="shared" si="34"/>
        <v>17.899999999999999</v>
      </c>
      <c r="T49" s="496">
        <f t="shared" si="34"/>
        <v>17.899999999999999</v>
      </c>
      <c r="U49" s="496">
        <f t="shared" ref="U49:AJ51" si="35">T49*(1+$C$48)</f>
        <v>17.899999999999999</v>
      </c>
      <c r="V49" s="496">
        <f t="shared" si="35"/>
        <v>17.899999999999999</v>
      </c>
      <c r="W49" s="496">
        <f t="shared" si="35"/>
        <v>17.899999999999999</v>
      </c>
      <c r="X49" s="496">
        <f t="shared" si="35"/>
        <v>17.899999999999999</v>
      </c>
      <c r="Y49" s="496">
        <f t="shared" si="35"/>
        <v>17.899999999999999</v>
      </c>
      <c r="Z49" s="496">
        <f t="shared" si="35"/>
        <v>17.899999999999999</v>
      </c>
      <c r="AA49" s="496">
        <f t="shared" si="35"/>
        <v>17.899999999999999</v>
      </c>
      <c r="AB49" s="496">
        <f t="shared" si="35"/>
        <v>17.899999999999999</v>
      </c>
      <c r="AC49" s="496">
        <f t="shared" si="35"/>
        <v>17.899999999999999</v>
      </c>
      <c r="AD49" s="496">
        <f t="shared" si="35"/>
        <v>17.899999999999999</v>
      </c>
      <c r="AE49" s="496">
        <f t="shared" si="35"/>
        <v>17.899999999999999</v>
      </c>
      <c r="AF49" s="496">
        <f t="shared" si="35"/>
        <v>17.899999999999999</v>
      </c>
      <c r="AG49" s="496">
        <f t="shared" si="35"/>
        <v>17.899999999999999</v>
      </c>
      <c r="AH49" s="496">
        <f t="shared" si="35"/>
        <v>17.899999999999999</v>
      </c>
      <c r="AI49" s="496">
        <f t="shared" si="35"/>
        <v>17.899999999999999</v>
      </c>
      <c r="AJ49" s="496">
        <f t="shared" si="35"/>
        <v>17.899999999999999</v>
      </c>
      <c r="AK49" s="496">
        <f t="shared" ref="AJ49:AL51" si="36">AJ49*(1+$C$48)</f>
        <v>17.899999999999999</v>
      </c>
      <c r="AL49" s="496">
        <f t="shared" si="36"/>
        <v>17.899999999999999</v>
      </c>
    </row>
    <row r="50" spans="1:38">
      <c r="B50" s="749" t="s">
        <v>494</v>
      </c>
      <c r="C50" s="384" t="s">
        <v>450</v>
      </c>
      <c r="D50" s="496">
        <f>'General Inputs'!D16</f>
        <v>30.8</v>
      </c>
      <c r="E50" s="496">
        <f t="shared" si="34"/>
        <v>30.8</v>
      </c>
      <c r="F50" s="496">
        <f t="shared" si="34"/>
        <v>30.8</v>
      </c>
      <c r="G50" s="496">
        <f t="shared" si="34"/>
        <v>30.8</v>
      </c>
      <c r="H50" s="496">
        <f t="shared" si="34"/>
        <v>30.8</v>
      </c>
      <c r="I50" s="496">
        <f t="shared" si="34"/>
        <v>30.8</v>
      </c>
      <c r="J50" s="496">
        <f t="shared" si="34"/>
        <v>30.8</v>
      </c>
      <c r="K50" s="496">
        <f t="shared" si="34"/>
        <v>30.8</v>
      </c>
      <c r="L50" s="496">
        <f t="shared" si="34"/>
        <v>30.8</v>
      </c>
      <c r="M50" s="496">
        <f t="shared" si="34"/>
        <v>30.8</v>
      </c>
      <c r="N50" s="496">
        <f t="shared" si="34"/>
        <v>30.8</v>
      </c>
      <c r="O50" s="496">
        <f t="shared" si="34"/>
        <v>30.8</v>
      </c>
      <c r="P50" s="496">
        <f t="shared" si="34"/>
        <v>30.8</v>
      </c>
      <c r="Q50" s="496">
        <f t="shared" si="34"/>
        <v>30.8</v>
      </c>
      <c r="R50" s="496">
        <f t="shared" si="34"/>
        <v>30.8</v>
      </c>
      <c r="S50" s="496">
        <f t="shared" si="34"/>
        <v>30.8</v>
      </c>
      <c r="T50" s="496">
        <f t="shared" si="34"/>
        <v>30.8</v>
      </c>
      <c r="U50" s="496">
        <f t="shared" si="35"/>
        <v>30.8</v>
      </c>
      <c r="V50" s="496">
        <f t="shared" si="35"/>
        <v>30.8</v>
      </c>
      <c r="W50" s="496">
        <f t="shared" si="35"/>
        <v>30.8</v>
      </c>
      <c r="X50" s="496">
        <f t="shared" si="35"/>
        <v>30.8</v>
      </c>
      <c r="Y50" s="496">
        <f t="shared" si="35"/>
        <v>30.8</v>
      </c>
      <c r="Z50" s="496">
        <f t="shared" si="35"/>
        <v>30.8</v>
      </c>
      <c r="AA50" s="496">
        <f t="shared" si="35"/>
        <v>30.8</v>
      </c>
      <c r="AB50" s="496">
        <f t="shared" si="35"/>
        <v>30.8</v>
      </c>
      <c r="AC50" s="496">
        <f t="shared" si="35"/>
        <v>30.8</v>
      </c>
      <c r="AD50" s="496">
        <f t="shared" si="35"/>
        <v>30.8</v>
      </c>
      <c r="AE50" s="496">
        <f t="shared" si="35"/>
        <v>30.8</v>
      </c>
      <c r="AF50" s="496">
        <f t="shared" si="35"/>
        <v>30.8</v>
      </c>
      <c r="AG50" s="496">
        <f t="shared" si="35"/>
        <v>30.8</v>
      </c>
      <c r="AH50" s="496">
        <f t="shared" si="35"/>
        <v>30.8</v>
      </c>
      <c r="AI50" s="496">
        <f t="shared" si="35"/>
        <v>30.8</v>
      </c>
      <c r="AJ50" s="496">
        <f t="shared" si="36"/>
        <v>30.8</v>
      </c>
      <c r="AK50" s="496">
        <f t="shared" si="36"/>
        <v>30.8</v>
      </c>
      <c r="AL50" s="496">
        <f t="shared" si="36"/>
        <v>30.8</v>
      </c>
    </row>
    <row r="51" spans="1:38">
      <c r="B51" s="749" t="s">
        <v>773</v>
      </c>
      <c r="C51" s="384" t="s">
        <v>450</v>
      </c>
      <c r="D51" s="496">
        <f>'General Inputs'!D17</f>
        <v>31.7</v>
      </c>
      <c r="E51" s="496">
        <f t="shared" si="34"/>
        <v>31.7</v>
      </c>
      <c r="F51" s="496">
        <f t="shared" si="34"/>
        <v>31.7</v>
      </c>
      <c r="G51" s="496">
        <f t="shared" si="34"/>
        <v>31.7</v>
      </c>
      <c r="H51" s="496">
        <f t="shared" si="34"/>
        <v>31.7</v>
      </c>
      <c r="I51" s="496">
        <f t="shared" si="34"/>
        <v>31.7</v>
      </c>
      <c r="J51" s="496">
        <f t="shared" si="34"/>
        <v>31.7</v>
      </c>
      <c r="K51" s="496">
        <f t="shared" si="34"/>
        <v>31.7</v>
      </c>
      <c r="L51" s="496">
        <f t="shared" si="34"/>
        <v>31.7</v>
      </c>
      <c r="M51" s="496">
        <f t="shared" si="34"/>
        <v>31.7</v>
      </c>
      <c r="N51" s="496">
        <f t="shared" si="34"/>
        <v>31.7</v>
      </c>
      <c r="O51" s="496">
        <f t="shared" si="34"/>
        <v>31.7</v>
      </c>
      <c r="P51" s="496">
        <f t="shared" si="34"/>
        <v>31.7</v>
      </c>
      <c r="Q51" s="496">
        <f t="shared" si="34"/>
        <v>31.7</v>
      </c>
      <c r="R51" s="496">
        <f t="shared" si="34"/>
        <v>31.7</v>
      </c>
      <c r="S51" s="496">
        <f t="shared" si="34"/>
        <v>31.7</v>
      </c>
      <c r="T51" s="496">
        <f t="shared" si="34"/>
        <v>31.7</v>
      </c>
      <c r="U51" s="496">
        <f t="shared" si="35"/>
        <v>31.7</v>
      </c>
      <c r="V51" s="496">
        <f t="shared" si="35"/>
        <v>31.7</v>
      </c>
      <c r="W51" s="496">
        <f t="shared" si="35"/>
        <v>31.7</v>
      </c>
      <c r="X51" s="496">
        <f t="shared" si="35"/>
        <v>31.7</v>
      </c>
      <c r="Y51" s="496">
        <f t="shared" si="35"/>
        <v>31.7</v>
      </c>
      <c r="Z51" s="496">
        <f t="shared" si="35"/>
        <v>31.7</v>
      </c>
      <c r="AA51" s="496">
        <f t="shared" si="35"/>
        <v>31.7</v>
      </c>
      <c r="AB51" s="496">
        <f t="shared" si="35"/>
        <v>31.7</v>
      </c>
      <c r="AC51" s="496">
        <f t="shared" si="35"/>
        <v>31.7</v>
      </c>
      <c r="AD51" s="496">
        <f t="shared" si="35"/>
        <v>31.7</v>
      </c>
      <c r="AE51" s="496">
        <f t="shared" si="35"/>
        <v>31.7</v>
      </c>
      <c r="AF51" s="496">
        <f t="shared" si="35"/>
        <v>31.7</v>
      </c>
      <c r="AG51" s="496">
        <f t="shared" si="35"/>
        <v>31.7</v>
      </c>
      <c r="AH51" s="496">
        <f t="shared" si="35"/>
        <v>31.7</v>
      </c>
      <c r="AI51" s="496">
        <f t="shared" si="35"/>
        <v>31.7</v>
      </c>
      <c r="AJ51" s="496">
        <f t="shared" si="36"/>
        <v>31.7</v>
      </c>
      <c r="AK51" s="496">
        <f t="shared" si="36"/>
        <v>31.7</v>
      </c>
      <c r="AL51" s="496">
        <f t="shared" si="36"/>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'400 West'!D25</f>
        <v>248.76823196030929</v>
      </c>
      <c r="E55" s="383">
        <f>'400 West'!E25</f>
        <v>258.82179093206406</v>
      </c>
      <c r="F55" s="383">
        <f>'400 West'!F25</f>
        <v>269.28164795563225</v>
      </c>
      <c r="G55" s="383">
        <f>'400 West'!G25</f>
        <v>280.16422289858241</v>
      </c>
      <c r="H55" s="383">
        <f>'400 West'!H25</f>
        <v>291.48659921042662</v>
      </c>
      <c r="I55" s="383">
        <f>'400 West'!I25</f>
        <v>303.26655074019362</v>
      </c>
      <c r="J55" s="383">
        <f>'400 West'!J25</f>
        <v>315.52256963778996</v>
      </c>
      <c r="K55" s="383">
        <f>'400 West'!K25</f>
        <v>328.27389538294875</v>
      </c>
      <c r="L55" s="383">
        <f>'400 West'!L25</f>
        <v>341.54054498733518</v>
      </c>
      <c r="M55" s="383">
        <f>'400 West'!M25</f>
        <v>355.34334441722092</v>
      </c>
      <c r="N55" s="383">
        <f>'400 West'!N25</f>
        <v>369.70396128605432</v>
      </c>
      <c r="O55" s="383">
        <f>'400 West'!O25</f>
        <v>384.64493886824698</v>
      </c>
      <c r="P55" s="383">
        <f>'400 West'!P25</f>
        <v>400.18973148757124</v>
      </c>
      <c r="Q55" s="383">
        <f>'400 West'!Q25</f>
        <v>416.36274133572164</v>
      </c>
      <c r="R55" s="383">
        <f>'400 West'!R25</f>
        <v>433.18935677883786</v>
      </c>
      <c r="S55" s="383">
        <f>'400 West'!S25</f>
        <v>450.69599221212542</v>
      </c>
      <c r="T55" s="383">
        <f>'400 West'!T25</f>
        <v>468.91012952512875</v>
      </c>
      <c r="U55" s="383">
        <f>'400 West'!U25</f>
        <v>487.86036124276291</v>
      </c>
      <c r="V55" s="383">
        <f>'400 West'!V25</f>
        <v>507.57643540981422</v>
      </c>
      <c r="W55" s="383">
        <f>'400 West'!W25</f>
        <v>528.08930228937572</v>
      </c>
      <c r="X55" s="383">
        <f>'400 West'!X25</f>
        <v>549.43116294852189</v>
      </c>
      <c r="Y55" s="383">
        <f>'400 West'!Y25</f>
        <v>571.63551980749594</v>
      </c>
      <c r="Z55" s="383">
        <f>'400 West'!Z25</f>
        <v>594.73722923175751</v>
      </c>
      <c r="AA55" s="383">
        <f>'400 West'!AA25</f>
        <v>618.77255624945133</v>
      </c>
      <c r="AB55" s="383">
        <f>'400 West'!AB25</f>
        <v>643.77923148019295</v>
      </c>
      <c r="AC55" s="383">
        <f>'400 West'!AC25</f>
        <v>669.79651036453924</v>
      </c>
      <c r="AD55" s="383">
        <f>'400 West'!AD25</f>
        <v>696.86523478711695</v>
      </c>
      <c r="AE55" s="383">
        <f>'400 West'!AE25</f>
        <v>725.02789719015175</v>
      </c>
      <c r="AF55" s="383">
        <f>'400 West'!AF25</f>
        <v>754.32870727803902</v>
      </c>
      <c r="AG55" s="383">
        <f>'400 West'!AG25</f>
        <v>784.81366141767103</v>
      </c>
      <c r="AH55" s="383">
        <f>'400 West'!AH25</f>
        <v>816.53061484346119</v>
      </c>
      <c r="AI55" s="383">
        <f>'400 West'!AI25</f>
        <v>849.5293567804207</v>
      </c>
      <c r="AJ55" s="383">
        <f>'400 West'!AJ25</f>
        <v>883.86168860320561</v>
      </c>
      <c r="AK55" s="383">
        <f>'400 West'!AK25</f>
        <v>919.58150515383647</v>
      </c>
      <c r="AL55" s="383">
        <f>'400 West'!AL25</f>
        <v>956.74487934573995</v>
      </c>
    </row>
    <row r="56" spans="1:38">
      <c r="B56" s="385" t="s">
        <v>509</v>
      </c>
      <c r="C56" s="386" t="s">
        <v>443</v>
      </c>
      <c r="D56" s="383">
        <f>'400 West'!D26</f>
        <v>13.093064840016281</v>
      </c>
      <c r="E56" s="383">
        <f>'400 West'!E26</f>
        <v>13.622199522740216</v>
      </c>
      <c r="F56" s="383">
        <f>'400 West'!F26</f>
        <v>14.172718313454332</v>
      </c>
      <c r="G56" s="383">
        <f>'400 West'!G26</f>
        <v>14.745485415714866</v>
      </c>
      <c r="H56" s="383">
        <f>'400 West'!H26</f>
        <v>15.341399958443507</v>
      </c>
      <c r="I56" s="383">
        <f>'400 West'!I26</f>
        <v>15.961397407378612</v>
      </c>
      <c r="J56" s="383">
        <f>'400 West'!J26</f>
        <v>16.606451033567893</v>
      </c>
      <c r="K56" s="383">
        <f>'400 West'!K26</f>
        <v>17.277573441207831</v>
      </c>
      <c r="L56" s="383">
        <f>'400 West'!L26</f>
        <v>17.975818157228169</v>
      </c>
      <c r="M56" s="383">
        <f>'400 West'!M26</f>
        <v>18.702281285116893</v>
      </c>
      <c r="N56" s="383">
        <f>'400 West'!N26</f>
        <v>19.458103225581809</v>
      </c>
      <c r="O56" s="383">
        <f>'400 West'!O26</f>
        <v>20.244470466749846</v>
      </c>
      <c r="P56" s="383">
        <f>'400 West'!P26</f>
        <v>21.062617446714277</v>
      </c>
      <c r="Q56" s="383">
        <f>'400 West'!Q26</f>
        <v>21.913828491353772</v>
      </c>
      <c r="R56" s="383">
        <f>'400 West'!R26</f>
        <v>22.799439830465154</v>
      </c>
      <c r="S56" s="383">
        <f>'400 West'!S26</f>
        <v>23.720841695375025</v>
      </c>
      <c r="T56" s="383">
        <f>'400 West'!T26</f>
        <v>24.679480501322569</v>
      </c>
      <c r="U56" s="383">
        <f>'400 West'!U26</f>
        <v>25.676861118040154</v>
      </c>
      <c r="V56" s="383">
        <f>'400 West'!V26</f>
        <v>26.714549232095489</v>
      </c>
      <c r="W56" s="383">
        <f>'400 West'!W26</f>
        <v>27.794173804703988</v>
      </c>
      <c r="X56" s="383">
        <f>'400 West'!X26</f>
        <v>28.917429628869577</v>
      </c>
      <c r="Y56" s="383">
        <f>'400 West'!Y26</f>
        <v>30.08607998986821</v>
      </c>
      <c r="Z56" s="383">
        <f>'400 West'!Z26</f>
        <v>31.301959433250399</v>
      </c>
      <c r="AA56" s="383">
        <f>'400 West'!AA26</f>
        <v>32.566976644707971</v>
      </c>
      <c r="AB56" s="383">
        <f>'400 West'!AB26</f>
        <v>33.883117446325947</v>
      </c>
      <c r="AC56" s="383">
        <f>'400 West'!AC26</f>
        <v>35.25244791392312</v>
      </c>
      <c r="AD56" s="383">
        <f>'400 West'!AD26</f>
        <v>36.677117620374581</v>
      </c>
      <c r="AE56" s="383">
        <f>'400 West'!AE26</f>
        <v>38.159363010007993</v>
      </c>
      <c r="AF56" s="383">
        <f>'400 West'!AF26</f>
        <v>39.701510909370484</v>
      </c>
      <c r="AG56" s="383">
        <f>'400 West'!AG26</f>
        <v>41.305982179877425</v>
      </c>
      <c r="AH56" s="383">
        <f>'400 West'!AH26</f>
        <v>42.975295518076905</v>
      </c>
      <c r="AI56" s="383">
        <f>'400 West'!AI26</f>
        <v>44.712071409495827</v>
      </c>
      <c r="AJ56" s="383">
        <f>'400 West'!AJ26</f>
        <v>46.519036242273984</v>
      </c>
      <c r="AK56" s="383">
        <f>'400 West'!AK26</f>
        <v>48.399026587044034</v>
      </c>
      <c r="AL56" s="383">
        <f>'400 West'!AL26</f>
        <v>50.354993649775793</v>
      </c>
    </row>
    <row r="57" spans="1:38">
      <c r="B57" s="358" t="s">
        <v>769</v>
      </c>
      <c r="C57" s="358" t="s">
        <v>443</v>
      </c>
      <c r="D57" s="383">
        <f>'400 West'!D27</f>
        <v>0</v>
      </c>
      <c r="E57" s="383">
        <f>'400 West'!E27</f>
        <v>0</v>
      </c>
      <c r="F57" s="383">
        <f>'400 West'!F27</f>
        <v>0</v>
      </c>
      <c r="G57" s="383">
        <f>'400 West'!G27</f>
        <v>0</v>
      </c>
      <c r="H57" s="383">
        <f>'400 West'!H27</f>
        <v>0</v>
      </c>
      <c r="I57" s="383">
        <f>'400 West'!I27</f>
        <v>0</v>
      </c>
      <c r="J57" s="383">
        <f>'400 West'!J27</f>
        <v>0</v>
      </c>
      <c r="K57" s="383">
        <f>'400 West'!K27</f>
        <v>0</v>
      </c>
      <c r="L57" s="383">
        <f>'400 West'!L27</f>
        <v>0</v>
      </c>
      <c r="M57" s="383">
        <f>'400 West'!M27</f>
        <v>0</v>
      </c>
      <c r="N57" s="383">
        <f>'400 West'!N27</f>
        <v>0</v>
      </c>
      <c r="O57" s="383">
        <f>'400 West'!O27</f>
        <v>0</v>
      </c>
      <c r="P57" s="383">
        <f>'400 West'!P27</f>
        <v>0</v>
      </c>
      <c r="Q57" s="383">
        <f>'400 West'!Q27</f>
        <v>0</v>
      </c>
      <c r="R57" s="383">
        <f>'400 West'!R27</f>
        <v>0</v>
      </c>
      <c r="S57" s="383">
        <f>'400 West'!S27</f>
        <v>0</v>
      </c>
      <c r="T57" s="383">
        <f>'400 West'!T27</f>
        <v>0</v>
      </c>
      <c r="U57" s="383">
        <f>'400 West'!U27</f>
        <v>0</v>
      </c>
      <c r="V57" s="383">
        <f>'400 West'!V27</f>
        <v>0</v>
      </c>
      <c r="W57" s="383">
        <f>'400 West'!W27</f>
        <v>0</v>
      </c>
      <c r="X57" s="383">
        <f>'400 West'!X27</f>
        <v>0</v>
      </c>
      <c r="Y57" s="383">
        <f>'400 West'!Y27</f>
        <v>0</v>
      </c>
      <c r="Z57" s="383">
        <f>'400 West'!Z27</f>
        <v>0</v>
      </c>
      <c r="AA57" s="383">
        <f>'400 West'!AA27</f>
        <v>0</v>
      </c>
      <c r="AB57" s="383">
        <f>'400 West'!AB27</f>
        <v>0</v>
      </c>
      <c r="AC57" s="383">
        <f>'400 West'!AC27</f>
        <v>0</v>
      </c>
      <c r="AD57" s="383">
        <f>'400 West'!AD27</f>
        <v>0</v>
      </c>
      <c r="AE57" s="383">
        <f>'400 West'!AE27</f>
        <v>0</v>
      </c>
      <c r="AF57" s="383">
        <f>'400 West'!AF27</f>
        <v>0</v>
      </c>
      <c r="AG57" s="383">
        <f>'400 West'!AG27</f>
        <v>0</v>
      </c>
      <c r="AH57" s="383">
        <f>'400 West'!AH27</f>
        <v>0</v>
      </c>
      <c r="AI57" s="383">
        <f>'400 West'!AI27</f>
        <v>0</v>
      </c>
      <c r="AJ57" s="383">
        <f>'400 West'!AJ27</f>
        <v>0</v>
      </c>
      <c r="AK57" s="383">
        <f>'400 West'!AK27</f>
        <v>0</v>
      </c>
      <c r="AL57" s="383">
        <f>'400 West'!AL27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415.44294737371649</v>
      </c>
      <c r="E62" s="383">
        <f t="shared" ref="E62:AK64" si="37">E55*$C59</f>
        <v>432.23239085654694</v>
      </c>
      <c r="F62" s="383">
        <f t="shared" si="37"/>
        <v>449.70035208590582</v>
      </c>
      <c r="G62" s="383">
        <f t="shared" si="37"/>
        <v>467.87425224063259</v>
      </c>
      <c r="H62" s="383">
        <f t="shared" si="37"/>
        <v>486.78262068141242</v>
      </c>
      <c r="I62" s="383">
        <f t="shared" si="37"/>
        <v>506.45513973612333</v>
      </c>
      <c r="J62" s="383">
        <f t="shared" si="37"/>
        <v>526.92269129510919</v>
      </c>
      <c r="K62" s="383">
        <f t="shared" si="37"/>
        <v>548.21740528952444</v>
      </c>
      <c r="L62" s="383">
        <f t="shared" si="37"/>
        <v>570.37271012884969</v>
      </c>
      <c r="M62" s="383">
        <f t="shared" si="37"/>
        <v>593.42338517675887</v>
      </c>
      <c r="N62" s="383">
        <f t="shared" si="37"/>
        <v>617.40561534771064</v>
      </c>
      <c r="O62" s="383">
        <f t="shared" si="37"/>
        <v>642.35704790997238</v>
      </c>
      <c r="P62" s="383">
        <f t="shared" si="37"/>
        <v>668.31685158424398</v>
      </c>
      <c r="Q62" s="383">
        <f t="shared" si="37"/>
        <v>695.3257780306551</v>
      </c>
      <c r="R62" s="383">
        <f t="shared" si="37"/>
        <v>723.42622582065917</v>
      </c>
      <c r="S62" s="383">
        <f t="shared" si="37"/>
        <v>752.66230699424943</v>
      </c>
      <c r="T62" s="383">
        <f t="shared" si="37"/>
        <v>783.07991630696495</v>
      </c>
      <c r="U62" s="383">
        <f t="shared" si="37"/>
        <v>814.726803275414</v>
      </c>
      <c r="V62" s="383">
        <f t="shared" si="37"/>
        <v>847.65264713438967</v>
      </c>
      <c r="W62" s="383">
        <f t="shared" si="37"/>
        <v>881.90913482325743</v>
      </c>
      <c r="X62" s="383">
        <f t="shared" si="37"/>
        <v>917.55004212403151</v>
      </c>
      <c r="Y62" s="383">
        <f t="shared" si="37"/>
        <v>954.63131807851823</v>
      </c>
      <c r="Z62" s="383">
        <f t="shared" si="37"/>
        <v>993.21117281703505</v>
      </c>
      <c r="AA62" s="383">
        <f t="shared" si="37"/>
        <v>1033.3501689365837</v>
      </c>
      <c r="AB62" s="383">
        <f t="shared" si="37"/>
        <v>1075.1113165719221</v>
      </c>
      <c r="AC62" s="383">
        <f t="shared" si="37"/>
        <v>1118.5601723087805</v>
      </c>
      <c r="AD62" s="383">
        <f t="shared" si="37"/>
        <v>1163.7649420944851</v>
      </c>
      <c r="AE62" s="383">
        <f t="shared" si="37"/>
        <v>1210.7965883075533</v>
      </c>
      <c r="AF62" s="383">
        <f t="shared" si="37"/>
        <v>1259.7289411543252</v>
      </c>
      <c r="AG62" s="383">
        <f t="shared" si="37"/>
        <v>1310.6388145675105</v>
      </c>
      <c r="AH62" s="383">
        <f t="shared" si="37"/>
        <v>1363.6061267885802</v>
      </c>
      <c r="AI62" s="383">
        <f t="shared" si="37"/>
        <v>1418.7140258233026</v>
      </c>
      <c r="AJ62" s="383">
        <f t="shared" si="37"/>
        <v>1476.0490199673534</v>
      </c>
      <c r="AK62" s="383">
        <f t="shared" si="37"/>
        <v>1535.7011136069068</v>
      </c>
      <c r="AL62" s="383">
        <f t="shared" ref="AL62" si="38">AL55*$C59</f>
        <v>1597.7639485073857</v>
      </c>
    </row>
    <row r="63" spans="1:38">
      <c r="B63" s="472" t="s">
        <v>513</v>
      </c>
      <c r="C63" s="386" t="s">
        <v>443</v>
      </c>
      <c r="D63" s="383">
        <f>D56*$C60</f>
        <v>13.093064840016281</v>
      </c>
      <c r="E63" s="383">
        <f t="shared" si="37"/>
        <v>13.622199522740216</v>
      </c>
      <c r="F63" s="383">
        <f t="shared" si="37"/>
        <v>14.172718313454332</v>
      </c>
      <c r="G63" s="383">
        <f t="shared" si="37"/>
        <v>14.745485415714866</v>
      </c>
      <c r="H63" s="383">
        <f t="shared" si="37"/>
        <v>15.341399958443507</v>
      </c>
      <c r="I63" s="383">
        <f t="shared" si="37"/>
        <v>15.961397407378612</v>
      </c>
      <c r="J63" s="383">
        <f t="shared" si="37"/>
        <v>16.606451033567893</v>
      </c>
      <c r="K63" s="383">
        <f t="shared" si="37"/>
        <v>17.277573441207831</v>
      </c>
      <c r="L63" s="383">
        <f t="shared" si="37"/>
        <v>17.975818157228169</v>
      </c>
      <c r="M63" s="383">
        <f t="shared" si="37"/>
        <v>18.702281285116893</v>
      </c>
      <c r="N63" s="383">
        <f t="shared" si="37"/>
        <v>19.458103225581809</v>
      </c>
      <c r="O63" s="383">
        <f t="shared" si="37"/>
        <v>20.244470466749846</v>
      </c>
      <c r="P63" s="383">
        <f t="shared" si="37"/>
        <v>21.062617446714277</v>
      </c>
      <c r="Q63" s="383">
        <f t="shared" si="37"/>
        <v>21.913828491353772</v>
      </c>
      <c r="R63" s="383">
        <f t="shared" si="37"/>
        <v>22.799439830465154</v>
      </c>
      <c r="S63" s="383">
        <f t="shared" si="37"/>
        <v>23.720841695375025</v>
      </c>
      <c r="T63" s="383">
        <f t="shared" si="37"/>
        <v>24.679480501322569</v>
      </c>
      <c r="U63" s="383">
        <f t="shared" si="37"/>
        <v>25.676861118040154</v>
      </c>
      <c r="V63" s="383">
        <f t="shared" si="37"/>
        <v>26.714549232095489</v>
      </c>
      <c r="W63" s="383">
        <f t="shared" si="37"/>
        <v>27.794173804703988</v>
      </c>
      <c r="X63" s="383">
        <f t="shared" si="37"/>
        <v>28.917429628869577</v>
      </c>
      <c r="Y63" s="383">
        <f t="shared" si="37"/>
        <v>30.08607998986821</v>
      </c>
      <c r="Z63" s="383">
        <f t="shared" si="37"/>
        <v>31.301959433250399</v>
      </c>
      <c r="AA63" s="383">
        <f t="shared" si="37"/>
        <v>32.566976644707971</v>
      </c>
      <c r="AB63" s="383">
        <f t="shared" si="37"/>
        <v>33.883117446325947</v>
      </c>
      <c r="AC63" s="383">
        <f t="shared" si="37"/>
        <v>35.25244791392312</v>
      </c>
      <c r="AD63" s="383">
        <f t="shared" si="37"/>
        <v>36.677117620374581</v>
      </c>
      <c r="AE63" s="383">
        <f t="shared" si="37"/>
        <v>38.159363010007993</v>
      </c>
      <c r="AF63" s="383">
        <f t="shared" si="37"/>
        <v>39.701510909370484</v>
      </c>
      <c r="AG63" s="383">
        <f t="shared" si="37"/>
        <v>41.305982179877425</v>
      </c>
      <c r="AH63" s="383">
        <f t="shared" si="37"/>
        <v>42.975295518076905</v>
      </c>
      <c r="AI63" s="383">
        <f t="shared" si="37"/>
        <v>44.712071409495827</v>
      </c>
      <c r="AJ63" s="383">
        <f t="shared" si="37"/>
        <v>46.519036242273984</v>
      </c>
      <c r="AK63" s="383">
        <f t="shared" si="37"/>
        <v>48.399026587044034</v>
      </c>
      <c r="AL63" s="383">
        <f t="shared" ref="AL63" si="39">AL56*$C60</f>
        <v>50.354993649775793</v>
      </c>
    </row>
    <row r="64" spans="1:38">
      <c r="B64" s="472" t="s">
        <v>752</v>
      </c>
      <c r="C64" s="386" t="s">
        <v>443</v>
      </c>
      <c r="D64" s="383">
        <f>D57*$C61</f>
        <v>0</v>
      </c>
      <c r="E64" s="383">
        <f t="shared" si="37"/>
        <v>0</v>
      </c>
      <c r="F64" s="383">
        <f t="shared" si="37"/>
        <v>0</v>
      </c>
      <c r="G64" s="383">
        <f t="shared" si="37"/>
        <v>0</v>
      </c>
      <c r="H64" s="383">
        <f t="shared" si="37"/>
        <v>0</v>
      </c>
      <c r="I64" s="383">
        <f t="shared" si="37"/>
        <v>0</v>
      </c>
      <c r="J64" s="383">
        <f t="shared" si="37"/>
        <v>0</v>
      </c>
      <c r="K64" s="383">
        <f t="shared" si="37"/>
        <v>0</v>
      </c>
      <c r="L64" s="383">
        <f t="shared" si="37"/>
        <v>0</v>
      </c>
      <c r="M64" s="383">
        <f t="shared" si="37"/>
        <v>0</v>
      </c>
      <c r="N64" s="383">
        <f t="shared" si="37"/>
        <v>0</v>
      </c>
      <c r="O64" s="383">
        <f t="shared" si="37"/>
        <v>0</v>
      </c>
      <c r="P64" s="383">
        <f t="shared" si="37"/>
        <v>0</v>
      </c>
      <c r="Q64" s="383">
        <f t="shared" si="37"/>
        <v>0</v>
      </c>
      <c r="R64" s="383">
        <f t="shared" si="37"/>
        <v>0</v>
      </c>
      <c r="S64" s="383">
        <f t="shared" si="37"/>
        <v>0</v>
      </c>
      <c r="T64" s="383">
        <f t="shared" si="37"/>
        <v>0</v>
      </c>
      <c r="U64" s="383">
        <f t="shared" si="37"/>
        <v>0</v>
      </c>
      <c r="V64" s="383">
        <f t="shared" si="37"/>
        <v>0</v>
      </c>
      <c r="W64" s="383">
        <f t="shared" si="37"/>
        <v>0</v>
      </c>
      <c r="X64" s="383">
        <f t="shared" si="37"/>
        <v>0</v>
      </c>
      <c r="Y64" s="383">
        <f t="shared" si="37"/>
        <v>0</v>
      </c>
      <c r="Z64" s="383">
        <f t="shared" si="37"/>
        <v>0</v>
      </c>
      <c r="AA64" s="383">
        <f t="shared" si="37"/>
        <v>0</v>
      </c>
      <c r="AB64" s="383">
        <f t="shared" si="37"/>
        <v>0</v>
      </c>
      <c r="AC64" s="383">
        <f t="shared" si="37"/>
        <v>0</v>
      </c>
      <c r="AD64" s="383">
        <f t="shared" si="37"/>
        <v>0</v>
      </c>
      <c r="AE64" s="383">
        <f t="shared" si="37"/>
        <v>0</v>
      </c>
      <c r="AF64" s="383">
        <f t="shared" si="37"/>
        <v>0</v>
      </c>
      <c r="AG64" s="383">
        <f t="shared" si="37"/>
        <v>0</v>
      </c>
      <c r="AH64" s="383">
        <f t="shared" si="37"/>
        <v>0</v>
      </c>
      <c r="AI64" s="383">
        <f t="shared" si="37"/>
        <v>0</v>
      </c>
      <c r="AJ64" s="383">
        <f t="shared" si="37"/>
        <v>0</v>
      </c>
      <c r="AK64" s="383">
        <f t="shared" si="37"/>
        <v>0</v>
      </c>
      <c r="AL64" s="383">
        <f t="shared" ref="AL64" si="40">AL57*$C61</f>
        <v>0</v>
      </c>
    </row>
    <row r="65" spans="1:38">
      <c r="D65" s="358"/>
      <c r="F65" s="464"/>
      <c r="G65" s="465"/>
      <c r="H65" s="465"/>
    </row>
    <row r="66" spans="1:38" ht="13">
      <c r="B66" s="364" t="s">
        <v>526</v>
      </c>
      <c r="C66" s="487" t="s">
        <v>292</v>
      </c>
      <c r="D66" s="488">
        <f>SUMPRODUCT(D62:D64,D49:D51)</f>
        <v>7839.6951550620261</v>
      </c>
      <c r="E66" s="488">
        <f t="shared" ref="E66:AK66" si="41">SUMPRODUCT(E62:E64,E49:E51)</f>
        <v>8156.5235416325877</v>
      </c>
      <c r="F66" s="488">
        <f t="shared" si="41"/>
        <v>8486.1560263921074</v>
      </c>
      <c r="G66" s="488">
        <f t="shared" si="41"/>
        <v>8829.1100659113417</v>
      </c>
      <c r="H66" s="488">
        <f t="shared" si="41"/>
        <v>9185.9240289173431</v>
      </c>
      <c r="I66" s="488">
        <f t="shared" si="41"/>
        <v>9557.1580414238688</v>
      </c>
      <c r="J66" s="488">
        <f t="shared" si="41"/>
        <v>9943.3948660163442</v>
      </c>
      <c r="K66" s="488">
        <f t="shared" si="41"/>
        <v>10345.240816671689</v>
      </c>
      <c r="L66" s="488">
        <f t="shared" si="41"/>
        <v>10763.326710549038</v>
      </c>
      <c r="M66" s="488">
        <f t="shared" si="41"/>
        <v>11198.308858245584</v>
      </c>
      <c r="N66" s="488">
        <f t="shared" si="41"/>
        <v>11650.870094071939</v>
      </c>
      <c r="O66" s="488">
        <f t="shared" si="41"/>
        <v>12121.7208479644</v>
      </c>
      <c r="P66" s="488">
        <f t="shared" si="41"/>
        <v>12611.600260716767</v>
      </c>
      <c r="Q66" s="488">
        <f t="shared" si="41"/>
        <v>13121.277344282422</v>
      </c>
      <c r="R66" s="488">
        <f t="shared" si="41"/>
        <v>13651.552188968126</v>
      </c>
      <c r="S66" s="488">
        <f t="shared" si="41"/>
        <v>14203.257219414616</v>
      </c>
      <c r="T66" s="488">
        <f t="shared" si="41"/>
        <v>14777.258501335407</v>
      </c>
      <c r="U66" s="488">
        <f t="shared" si="41"/>
        <v>15374.457101065545</v>
      </c>
      <c r="V66" s="488">
        <f t="shared" si="41"/>
        <v>15995.790500054114</v>
      </c>
      <c r="W66" s="488">
        <f t="shared" si="41"/>
        <v>16642.234066521189</v>
      </c>
      <c r="X66" s="488">
        <f t="shared" si="41"/>
        <v>17314.802586589347</v>
      </c>
      <c r="Y66" s="488">
        <f t="shared" si="41"/>
        <v>18014.551857293416</v>
      </c>
      <c r="Z66" s="488">
        <f t="shared" si="41"/>
        <v>18742.580343969039</v>
      </c>
      <c r="AA66" s="488">
        <f t="shared" si="41"/>
        <v>19500.030904621854</v>
      </c>
      <c r="AB66" s="488">
        <f t="shared" si="41"/>
        <v>20288.092583984242</v>
      </c>
      <c r="AC66" s="488">
        <f t="shared" si="41"/>
        <v>21108.002480076</v>
      </c>
      <c r="AD66" s="488">
        <f t="shared" si="41"/>
        <v>21961.047686198821</v>
      </c>
      <c r="AE66" s="488">
        <f t="shared" si="41"/>
        <v>22848.567311413452</v>
      </c>
      <c r="AF66" s="488">
        <f t="shared" si="41"/>
        <v>23771.954582671031</v>
      </c>
      <c r="AG66" s="488">
        <f t="shared" si="41"/>
        <v>24732.65903189866</v>
      </c>
      <c r="AH66" s="488">
        <f t="shared" si="41"/>
        <v>25732.188771472353</v>
      </c>
      <c r="AI66" s="488">
        <f t="shared" si="41"/>
        <v>26772.112861649588</v>
      </c>
      <c r="AJ66" s="488">
        <f t="shared" si="41"/>
        <v>27854.063773677663</v>
      </c>
      <c r="AK66" s="488">
        <f t="shared" si="41"/>
        <v>28979.739952444586</v>
      </c>
      <c r="AL66" s="488">
        <f t="shared" ref="AL66" si="42">SUMPRODUCT(AL62:AL64,AL49:AL51)</f>
        <v>30150.908482695297</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'400 West'!D48</f>
        <v>248.76823196030929</v>
      </c>
      <c r="E70" s="383">
        <f>'400 West'!E48</f>
        <v>258.82179093206406</v>
      </c>
      <c r="F70" s="383">
        <f>'400 West'!F48</f>
        <v>269.28164795563225</v>
      </c>
      <c r="G70" s="383">
        <f>'400 West'!G48</f>
        <v>280.16422289858241</v>
      </c>
      <c r="H70" s="383">
        <f>'400 West'!H48</f>
        <v>0</v>
      </c>
      <c r="I70" s="383">
        <f>'400 West'!I48</f>
        <v>0</v>
      </c>
      <c r="J70" s="383">
        <f>'400 West'!J48</f>
        <v>0</v>
      </c>
      <c r="K70" s="383">
        <f>'400 West'!K48</f>
        <v>0</v>
      </c>
      <c r="L70" s="383">
        <f>'400 West'!L48</f>
        <v>0</v>
      </c>
      <c r="M70" s="383">
        <f>'400 West'!M48</f>
        <v>0</v>
      </c>
      <c r="N70" s="383">
        <f>'400 West'!N48</f>
        <v>0</v>
      </c>
      <c r="O70" s="383">
        <f>'400 West'!O48</f>
        <v>0</v>
      </c>
      <c r="P70" s="383">
        <f>'400 West'!P48</f>
        <v>0</v>
      </c>
      <c r="Q70" s="383">
        <f>'400 West'!Q48</f>
        <v>0</v>
      </c>
      <c r="R70" s="383">
        <f>'400 West'!R48</f>
        <v>0</v>
      </c>
      <c r="S70" s="383">
        <f>'400 West'!S48</f>
        <v>0</v>
      </c>
      <c r="T70" s="383">
        <f>'400 West'!T48</f>
        <v>0</v>
      </c>
      <c r="U70" s="383">
        <f>'400 West'!U48</f>
        <v>0</v>
      </c>
      <c r="V70" s="383">
        <f>'400 West'!V48</f>
        <v>0</v>
      </c>
      <c r="W70" s="383">
        <f>'400 West'!W48</f>
        <v>0</v>
      </c>
      <c r="X70" s="383">
        <f>'400 West'!X48</f>
        <v>0</v>
      </c>
      <c r="Y70" s="383">
        <f>'400 West'!Y48</f>
        <v>0</v>
      </c>
      <c r="Z70" s="383">
        <f>'400 West'!Z48</f>
        <v>0</v>
      </c>
      <c r="AA70" s="383">
        <f>'400 West'!AA48</f>
        <v>0</v>
      </c>
      <c r="AB70" s="383">
        <f>'400 West'!AB48</f>
        <v>0</v>
      </c>
      <c r="AC70" s="383">
        <f>'400 West'!AC48</f>
        <v>0</v>
      </c>
      <c r="AD70" s="383">
        <f>'400 West'!AD48</f>
        <v>0</v>
      </c>
      <c r="AE70" s="383">
        <f>'400 West'!AE48</f>
        <v>0</v>
      </c>
      <c r="AF70" s="383">
        <f>'400 West'!AF48</f>
        <v>0</v>
      </c>
      <c r="AG70" s="383">
        <f>'400 West'!AG48</f>
        <v>0</v>
      </c>
      <c r="AH70" s="383">
        <f>'400 West'!AH48</f>
        <v>0</v>
      </c>
      <c r="AI70" s="383">
        <f>'400 West'!AI48</f>
        <v>0</v>
      </c>
      <c r="AJ70" s="383">
        <f>'400 West'!AJ48</f>
        <v>0</v>
      </c>
      <c r="AK70" s="383">
        <f>'400 West'!AK48</f>
        <v>0</v>
      </c>
      <c r="AL70" s="383">
        <f>'400 West'!AL48</f>
        <v>0</v>
      </c>
    </row>
    <row r="71" spans="1:38">
      <c r="B71" s="385" t="s">
        <v>509</v>
      </c>
      <c r="C71" s="386" t="s">
        <v>443</v>
      </c>
      <c r="D71" s="383">
        <f>'400 West'!D49</f>
        <v>13.093064840016281</v>
      </c>
      <c r="E71" s="383">
        <f>'400 West'!E49</f>
        <v>13.622199522740216</v>
      </c>
      <c r="F71" s="383">
        <f>'400 West'!F49</f>
        <v>14.172718313454332</v>
      </c>
      <c r="G71" s="383">
        <f>'400 West'!G49</f>
        <v>14.745485415714866</v>
      </c>
      <c r="H71" s="383">
        <f>'400 West'!H49</f>
        <v>0</v>
      </c>
      <c r="I71" s="383">
        <f>'400 West'!I49</f>
        <v>0</v>
      </c>
      <c r="J71" s="383">
        <f>'400 West'!J49</f>
        <v>0</v>
      </c>
      <c r="K71" s="383">
        <f>'400 West'!K49</f>
        <v>0</v>
      </c>
      <c r="L71" s="383">
        <f>'400 West'!L49</f>
        <v>0</v>
      </c>
      <c r="M71" s="383">
        <f>'400 West'!M49</f>
        <v>0</v>
      </c>
      <c r="N71" s="383">
        <f>'400 West'!N49</f>
        <v>0</v>
      </c>
      <c r="O71" s="383">
        <f>'400 West'!O49</f>
        <v>0</v>
      </c>
      <c r="P71" s="383">
        <f>'400 West'!P49</f>
        <v>0</v>
      </c>
      <c r="Q71" s="383">
        <f>'400 West'!Q49</f>
        <v>0</v>
      </c>
      <c r="R71" s="383">
        <f>'400 West'!R49</f>
        <v>0</v>
      </c>
      <c r="S71" s="383">
        <f>'400 West'!S49</f>
        <v>0</v>
      </c>
      <c r="T71" s="383">
        <f>'400 West'!T49</f>
        <v>0</v>
      </c>
      <c r="U71" s="383">
        <f>'400 West'!U49</f>
        <v>0</v>
      </c>
      <c r="V71" s="383">
        <f>'400 West'!V49</f>
        <v>0</v>
      </c>
      <c r="W71" s="383">
        <f>'400 West'!W49</f>
        <v>0</v>
      </c>
      <c r="X71" s="383">
        <f>'400 West'!X49</f>
        <v>0</v>
      </c>
      <c r="Y71" s="383">
        <f>'400 West'!Y49</f>
        <v>0</v>
      </c>
      <c r="Z71" s="383">
        <f>'400 West'!Z49</f>
        <v>0</v>
      </c>
      <c r="AA71" s="383">
        <f>'400 West'!AA49</f>
        <v>0</v>
      </c>
      <c r="AB71" s="383">
        <f>'400 West'!AB49</f>
        <v>0</v>
      </c>
      <c r="AC71" s="383">
        <f>'400 West'!AC49</f>
        <v>0</v>
      </c>
      <c r="AD71" s="383">
        <f>'400 West'!AD49</f>
        <v>0</v>
      </c>
      <c r="AE71" s="383">
        <f>'400 West'!AE49</f>
        <v>0</v>
      </c>
      <c r="AF71" s="383">
        <f>'400 West'!AF49</f>
        <v>0</v>
      </c>
      <c r="AG71" s="383">
        <f>'400 West'!AG49</f>
        <v>0</v>
      </c>
      <c r="AH71" s="383">
        <f>'400 West'!AH49</f>
        <v>0</v>
      </c>
      <c r="AI71" s="383">
        <f>'400 West'!AI49</f>
        <v>0</v>
      </c>
      <c r="AJ71" s="383">
        <f>'400 West'!AJ49</f>
        <v>0</v>
      </c>
      <c r="AK71" s="383">
        <f>'400 West'!AK49</f>
        <v>0</v>
      </c>
      <c r="AL71" s="383">
        <f>'400 West'!AL49</f>
        <v>0</v>
      </c>
    </row>
    <row r="72" spans="1:38">
      <c r="B72" s="358" t="s">
        <v>769</v>
      </c>
      <c r="C72" s="358" t="s">
        <v>443</v>
      </c>
      <c r="D72" s="383">
        <f>'400 West'!D50</f>
        <v>0</v>
      </c>
      <c r="E72" s="383">
        <f>'400 West'!E50</f>
        <v>0</v>
      </c>
      <c r="F72" s="383">
        <f>'400 West'!F50</f>
        <v>0</v>
      </c>
      <c r="G72" s="383">
        <f>'400 West'!G50</f>
        <v>0</v>
      </c>
      <c r="H72" s="383">
        <f>'400 West'!H50</f>
        <v>0</v>
      </c>
      <c r="I72" s="383">
        <f>'400 West'!I50</f>
        <v>0</v>
      </c>
      <c r="J72" s="383">
        <f>'400 West'!J50</f>
        <v>0</v>
      </c>
      <c r="K72" s="383">
        <f>'400 West'!K50</f>
        <v>0</v>
      </c>
      <c r="L72" s="383">
        <f>'400 West'!L50</f>
        <v>0</v>
      </c>
      <c r="M72" s="383">
        <f>'400 West'!M50</f>
        <v>0</v>
      </c>
      <c r="N72" s="383">
        <f>'400 West'!N50</f>
        <v>0</v>
      </c>
      <c r="O72" s="383">
        <f>'400 West'!O50</f>
        <v>0</v>
      </c>
      <c r="P72" s="383">
        <f>'400 West'!P50</f>
        <v>0</v>
      </c>
      <c r="Q72" s="383">
        <f>'400 West'!Q50</f>
        <v>0</v>
      </c>
      <c r="R72" s="383">
        <f>'400 West'!R50</f>
        <v>0</v>
      </c>
      <c r="S72" s="383">
        <f>'400 West'!S50</f>
        <v>0</v>
      </c>
      <c r="T72" s="383">
        <f>'400 West'!T50</f>
        <v>0</v>
      </c>
      <c r="U72" s="383">
        <f>'400 West'!U50</f>
        <v>0</v>
      </c>
      <c r="V72" s="383">
        <f>'400 West'!V50</f>
        <v>0</v>
      </c>
      <c r="W72" s="383">
        <f>'400 West'!W50</f>
        <v>0</v>
      </c>
      <c r="X72" s="383">
        <f>'400 West'!X50</f>
        <v>0</v>
      </c>
      <c r="Y72" s="383">
        <f>'400 West'!Y50</f>
        <v>0</v>
      </c>
      <c r="Z72" s="383">
        <f>'400 West'!Z50</f>
        <v>0</v>
      </c>
      <c r="AA72" s="383">
        <f>'400 West'!AA50</f>
        <v>0</v>
      </c>
      <c r="AB72" s="383">
        <f>'400 West'!AB50</f>
        <v>0</v>
      </c>
      <c r="AC72" s="383">
        <f>'400 West'!AC50</f>
        <v>0</v>
      </c>
      <c r="AD72" s="383">
        <f>'400 West'!AD50</f>
        <v>0</v>
      </c>
      <c r="AE72" s="383">
        <f>'400 West'!AE50</f>
        <v>0</v>
      </c>
      <c r="AF72" s="383">
        <f>'400 West'!AF50</f>
        <v>0</v>
      </c>
      <c r="AG72" s="383">
        <f>'400 West'!AG50</f>
        <v>0</v>
      </c>
      <c r="AH72" s="383">
        <f>'400 West'!AH50</f>
        <v>0</v>
      </c>
      <c r="AI72" s="383">
        <f>'400 West'!AI50</f>
        <v>0</v>
      </c>
      <c r="AJ72" s="383">
        <f>'400 West'!AJ50</f>
        <v>0</v>
      </c>
      <c r="AK72" s="383">
        <f>'400 West'!AK50</f>
        <v>0</v>
      </c>
      <c r="AL72" s="383">
        <f>'400 West'!AL50</f>
        <v>0</v>
      </c>
    </row>
    <row r="73" spans="1:38">
      <c r="D73" s="358"/>
      <c r="F73" s="464"/>
      <c r="G73" s="465"/>
      <c r="H73" s="465"/>
    </row>
    <row r="74" spans="1:38">
      <c r="B74" s="472" t="s">
        <v>512</v>
      </c>
      <c r="C74" s="386" t="s">
        <v>443</v>
      </c>
      <c r="D74" s="383">
        <f>D70*$C59</f>
        <v>415.44294737371649</v>
      </c>
      <c r="E74" s="383">
        <f t="shared" ref="E74:AK76" si="43">E70*$C59</f>
        <v>432.23239085654694</v>
      </c>
      <c r="F74" s="383">
        <f t="shared" si="43"/>
        <v>449.70035208590582</v>
      </c>
      <c r="G74" s="383">
        <f t="shared" si="43"/>
        <v>467.87425224063259</v>
      </c>
      <c r="H74" s="383">
        <f t="shared" si="43"/>
        <v>0</v>
      </c>
      <c r="I74" s="383">
        <f t="shared" si="43"/>
        <v>0</v>
      </c>
      <c r="J74" s="383">
        <f t="shared" si="43"/>
        <v>0</v>
      </c>
      <c r="K74" s="383">
        <f t="shared" si="43"/>
        <v>0</v>
      </c>
      <c r="L74" s="383">
        <f t="shared" si="43"/>
        <v>0</v>
      </c>
      <c r="M74" s="383">
        <f t="shared" si="43"/>
        <v>0</v>
      </c>
      <c r="N74" s="383">
        <f t="shared" si="43"/>
        <v>0</v>
      </c>
      <c r="O74" s="383">
        <f t="shared" si="43"/>
        <v>0</v>
      </c>
      <c r="P74" s="383">
        <f t="shared" si="43"/>
        <v>0</v>
      </c>
      <c r="Q74" s="383">
        <f t="shared" si="43"/>
        <v>0</v>
      </c>
      <c r="R74" s="383">
        <f t="shared" si="43"/>
        <v>0</v>
      </c>
      <c r="S74" s="383">
        <f t="shared" si="43"/>
        <v>0</v>
      </c>
      <c r="T74" s="383">
        <f t="shared" si="43"/>
        <v>0</v>
      </c>
      <c r="U74" s="383">
        <f t="shared" si="43"/>
        <v>0</v>
      </c>
      <c r="V74" s="383">
        <f t="shared" si="43"/>
        <v>0</v>
      </c>
      <c r="W74" s="383">
        <f t="shared" si="43"/>
        <v>0</v>
      </c>
      <c r="X74" s="383">
        <f t="shared" si="43"/>
        <v>0</v>
      </c>
      <c r="Y74" s="383">
        <f t="shared" si="43"/>
        <v>0</v>
      </c>
      <c r="Z74" s="383">
        <f t="shared" si="43"/>
        <v>0</v>
      </c>
      <c r="AA74" s="383">
        <f t="shared" si="43"/>
        <v>0</v>
      </c>
      <c r="AB74" s="383">
        <f t="shared" si="43"/>
        <v>0</v>
      </c>
      <c r="AC74" s="383">
        <f t="shared" si="43"/>
        <v>0</v>
      </c>
      <c r="AD74" s="383">
        <f t="shared" si="43"/>
        <v>0</v>
      </c>
      <c r="AE74" s="383">
        <f t="shared" si="43"/>
        <v>0</v>
      </c>
      <c r="AF74" s="383">
        <f t="shared" si="43"/>
        <v>0</v>
      </c>
      <c r="AG74" s="383">
        <f t="shared" si="43"/>
        <v>0</v>
      </c>
      <c r="AH74" s="383">
        <f t="shared" si="43"/>
        <v>0</v>
      </c>
      <c r="AI74" s="383">
        <f t="shared" si="43"/>
        <v>0</v>
      </c>
      <c r="AJ74" s="383">
        <f t="shared" si="43"/>
        <v>0</v>
      </c>
      <c r="AK74" s="383">
        <f t="shared" si="43"/>
        <v>0</v>
      </c>
      <c r="AL74" s="383">
        <f t="shared" ref="AL74" si="44">AL70*$C59</f>
        <v>0</v>
      </c>
    </row>
    <row r="75" spans="1:38">
      <c r="B75" s="472" t="s">
        <v>513</v>
      </c>
      <c r="C75" s="386" t="s">
        <v>443</v>
      </c>
      <c r="D75" s="383">
        <f t="shared" ref="D75:S76" si="45">D71*$C60</f>
        <v>13.093064840016281</v>
      </c>
      <c r="E75" s="383">
        <f t="shared" si="45"/>
        <v>13.622199522740216</v>
      </c>
      <c r="F75" s="383">
        <f t="shared" si="45"/>
        <v>14.172718313454332</v>
      </c>
      <c r="G75" s="383">
        <f t="shared" si="45"/>
        <v>14.745485415714866</v>
      </c>
      <c r="H75" s="383">
        <f t="shared" si="45"/>
        <v>0</v>
      </c>
      <c r="I75" s="383">
        <f t="shared" si="45"/>
        <v>0</v>
      </c>
      <c r="J75" s="383">
        <f t="shared" si="45"/>
        <v>0</v>
      </c>
      <c r="K75" s="383">
        <f t="shared" si="45"/>
        <v>0</v>
      </c>
      <c r="L75" s="383">
        <f t="shared" si="45"/>
        <v>0</v>
      </c>
      <c r="M75" s="383">
        <f t="shared" si="45"/>
        <v>0</v>
      </c>
      <c r="N75" s="383">
        <f t="shared" si="45"/>
        <v>0</v>
      </c>
      <c r="O75" s="383">
        <f t="shared" si="45"/>
        <v>0</v>
      </c>
      <c r="P75" s="383">
        <f t="shared" si="45"/>
        <v>0</v>
      </c>
      <c r="Q75" s="383">
        <f t="shared" si="45"/>
        <v>0</v>
      </c>
      <c r="R75" s="383">
        <f t="shared" si="45"/>
        <v>0</v>
      </c>
      <c r="S75" s="383">
        <f t="shared" si="45"/>
        <v>0</v>
      </c>
      <c r="T75" s="383">
        <f t="shared" si="43"/>
        <v>0</v>
      </c>
      <c r="U75" s="383">
        <f t="shared" si="43"/>
        <v>0</v>
      </c>
      <c r="V75" s="383">
        <f t="shared" si="43"/>
        <v>0</v>
      </c>
      <c r="W75" s="383">
        <f t="shared" si="43"/>
        <v>0</v>
      </c>
      <c r="X75" s="383">
        <f t="shared" si="43"/>
        <v>0</v>
      </c>
      <c r="Y75" s="383">
        <f t="shared" si="43"/>
        <v>0</v>
      </c>
      <c r="Z75" s="383">
        <f t="shared" si="43"/>
        <v>0</v>
      </c>
      <c r="AA75" s="383">
        <f t="shared" si="43"/>
        <v>0</v>
      </c>
      <c r="AB75" s="383">
        <f t="shared" si="43"/>
        <v>0</v>
      </c>
      <c r="AC75" s="383">
        <f t="shared" si="43"/>
        <v>0</v>
      </c>
      <c r="AD75" s="383">
        <f t="shared" si="43"/>
        <v>0</v>
      </c>
      <c r="AE75" s="383">
        <f t="shared" si="43"/>
        <v>0</v>
      </c>
      <c r="AF75" s="383">
        <f t="shared" si="43"/>
        <v>0</v>
      </c>
      <c r="AG75" s="383">
        <f t="shared" si="43"/>
        <v>0</v>
      </c>
      <c r="AH75" s="383">
        <f t="shared" si="43"/>
        <v>0</v>
      </c>
      <c r="AI75" s="383">
        <f t="shared" si="43"/>
        <v>0</v>
      </c>
      <c r="AJ75" s="383">
        <f t="shared" si="43"/>
        <v>0</v>
      </c>
      <c r="AK75" s="383">
        <f t="shared" si="43"/>
        <v>0</v>
      </c>
      <c r="AL75" s="383">
        <f t="shared" ref="AL75" si="46">AL71*$C60</f>
        <v>0</v>
      </c>
    </row>
    <row r="76" spans="1:38">
      <c r="B76" s="472" t="s">
        <v>752</v>
      </c>
      <c r="C76" s="386" t="s">
        <v>443</v>
      </c>
      <c r="D76" s="383">
        <f t="shared" si="45"/>
        <v>0</v>
      </c>
      <c r="E76" s="383">
        <f t="shared" si="43"/>
        <v>0</v>
      </c>
      <c r="F76" s="383">
        <f t="shared" si="43"/>
        <v>0</v>
      </c>
      <c r="G76" s="383">
        <f t="shared" si="43"/>
        <v>0</v>
      </c>
      <c r="H76" s="383">
        <f t="shared" si="43"/>
        <v>0</v>
      </c>
      <c r="I76" s="383">
        <f t="shared" si="43"/>
        <v>0</v>
      </c>
      <c r="J76" s="383">
        <f t="shared" si="43"/>
        <v>0</v>
      </c>
      <c r="K76" s="383">
        <f t="shared" si="43"/>
        <v>0</v>
      </c>
      <c r="L76" s="383">
        <f t="shared" si="43"/>
        <v>0</v>
      </c>
      <c r="M76" s="383">
        <f t="shared" si="43"/>
        <v>0</v>
      </c>
      <c r="N76" s="383">
        <f t="shared" si="43"/>
        <v>0</v>
      </c>
      <c r="O76" s="383">
        <f t="shared" si="43"/>
        <v>0</v>
      </c>
      <c r="P76" s="383">
        <f t="shared" si="43"/>
        <v>0</v>
      </c>
      <c r="Q76" s="383">
        <f t="shared" si="43"/>
        <v>0</v>
      </c>
      <c r="R76" s="383">
        <f t="shared" si="43"/>
        <v>0</v>
      </c>
      <c r="S76" s="383">
        <f t="shared" si="43"/>
        <v>0</v>
      </c>
      <c r="T76" s="383">
        <f t="shared" si="43"/>
        <v>0</v>
      </c>
      <c r="U76" s="383">
        <f t="shared" si="43"/>
        <v>0</v>
      </c>
      <c r="V76" s="383">
        <f t="shared" si="43"/>
        <v>0</v>
      </c>
      <c r="W76" s="383">
        <f t="shared" si="43"/>
        <v>0</v>
      </c>
      <c r="X76" s="383">
        <f t="shared" si="43"/>
        <v>0</v>
      </c>
      <c r="Y76" s="383">
        <f t="shared" si="43"/>
        <v>0</v>
      </c>
      <c r="Z76" s="383">
        <f t="shared" si="43"/>
        <v>0</v>
      </c>
      <c r="AA76" s="383">
        <f t="shared" si="43"/>
        <v>0</v>
      </c>
      <c r="AB76" s="383">
        <f t="shared" si="43"/>
        <v>0</v>
      </c>
      <c r="AC76" s="383">
        <f t="shared" si="43"/>
        <v>0</v>
      </c>
      <c r="AD76" s="383">
        <f t="shared" si="43"/>
        <v>0</v>
      </c>
      <c r="AE76" s="383">
        <f t="shared" si="43"/>
        <v>0</v>
      </c>
      <c r="AF76" s="383">
        <f t="shared" si="43"/>
        <v>0</v>
      </c>
      <c r="AG76" s="383">
        <f t="shared" si="43"/>
        <v>0</v>
      </c>
      <c r="AH76" s="383">
        <f t="shared" si="43"/>
        <v>0</v>
      </c>
      <c r="AI76" s="383">
        <f t="shared" si="43"/>
        <v>0</v>
      </c>
      <c r="AJ76" s="383">
        <f t="shared" si="43"/>
        <v>0</v>
      </c>
      <c r="AK76" s="383">
        <f t="shared" si="43"/>
        <v>0</v>
      </c>
      <c r="AL76" s="383">
        <f t="shared" ref="AL76" si="47">AL72*$C61</f>
        <v>0</v>
      </c>
    </row>
    <row r="77" spans="1:38">
      <c r="D77" s="358"/>
      <c r="F77" s="464"/>
      <c r="G77" s="465"/>
      <c r="H77" s="465"/>
    </row>
    <row r="78" spans="1:38" ht="13">
      <c r="B78" s="364" t="s">
        <v>514</v>
      </c>
      <c r="C78" s="487" t="s">
        <v>292</v>
      </c>
      <c r="D78" s="488">
        <f>D74*D49+D75*D50+D76*D51</f>
        <v>7839.6951550620261</v>
      </c>
      <c r="E78" s="488">
        <f t="shared" ref="E78:AK78" si="48">E74*E49+E75*E50+E76*E51</f>
        <v>8156.5235416325877</v>
      </c>
      <c r="F78" s="488">
        <f t="shared" si="48"/>
        <v>8486.1560263921074</v>
      </c>
      <c r="G78" s="488">
        <f t="shared" si="48"/>
        <v>8829.1100659113417</v>
      </c>
      <c r="H78" s="488">
        <f t="shared" si="48"/>
        <v>0</v>
      </c>
      <c r="I78" s="488">
        <f t="shared" si="48"/>
        <v>0</v>
      </c>
      <c r="J78" s="488">
        <f t="shared" si="48"/>
        <v>0</v>
      </c>
      <c r="K78" s="488">
        <f t="shared" si="48"/>
        <v>0</v>
      </c>
      <c r="L78" s="488">
        <f t="shared" si="48"/>
        <v>0</v>
      </c>
      <c r="M78" s="488">
        <f t="shared" si="48"/>
        <v>0</v>
      </c>
      <c r="N78" s="488">
        <f t="shared" si="48"/>
        <v>0</v>
      </c>
      <c r="O78" s="488">
        <f t="shared" si="48"/>
        <v>0</v>
      </c>
      <c r="P78" s="488">
        <f t="shared" si="48"/>
        <v>0</v>
      </c>
      <c r="Q78" s="488">
        <f t="shared" si="48"/>
        <v>0</v>
      </c>
      <c r="R78" s="488">
        <f t="shared" si="48"/>
        <v>0</v>
      </c>
      <c r="S78" s="488">
        <f t="shared" si="48"/>
        <v>0</v>
      </c>
      <c r="T78" s="488">
        <f t="shared" si="48"/>
        <v>0</v>
      </c>
      <c r="U78" s="488">
        <f t="shared" si="48"/>
        <v>0</v>
      </c>
      <c r="V78" s="488">
        <f t="shared" si="48"/>
        <v>0</v>
      </c>
      <c r="W78" s="488">
        <f t="shared" si="48"/>
        <v>0</v>
      </c>
      <c r="X78" s="488">
        <f t="shared" si="48"/>
        <v>0</v>
      </c>
      <c r="Y78" s="488">
        <f t="shared" si="48"/>
        <v>0</v>
      </c>
      <c r="Z78" s="488">
        <f t="shared" si="48"/>
        <v>0</v>
      </c>
      <c r="AA78" s="488">
        <f t="shared" si="48"/>
        <v>0</v>
      </c>
      <c r="AB78" s="488">
        <f t="shared" si="48"/>
        <v>0</v>
      </c>
      <c r="AC78" s="488">
        <f t="shared" si="48"/>
        <v>0</v>
      </c>
      <c r="AD78" s="488">
        <f t="shared" si="48"/>
        <v>0</v>
      </c>
      <c r="AE78" s="488">
        <f t="shared" si="48"/>
        <v>0</v>
      </c>
      <c r="AF78" s="488">
        <f t="shared" si="48"/>
        <v>0</v>
      </c>
      <c r="AG78" s="488">
        <f t="shared" si="48"/>
        <v>0</v>
      </c>
      <c r="AH78" s="488">
        <f t="shared" si="48"/>
        <v>0</v>
      </c>
      <c r="AI78" s="488">
        <f t="shared" si="48"/>
        <v>0</v>
      </c>
      <c r="AJ78" s="488">
        <f t="shared" si="48"/>
        <v>0</v>
      </c>
      <c r="AK78" s="488">
        <f t="shared" si="48"/>
        <v>0</v>
      </c>
      <c r="AL78" s="488">
        <f t="shared" ref="AL78" si="49">AL74*AL49+AL75*AL50+AL76*AL51</f>
        <v>0</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50">SUM(E62:E64)-SUM(E74:E76)</f>
        <v>0</v>
      </c>
      <c r="F82" s="383">
        <f t="shared" si="50"/>
        <v>0</v>
      </c>
      <c r="G82" s="383">
        <f t="shared" si="50"/>
        <v>0</v>
      </c>
      <c r="H82" s="383">
        <f t="shared" si="50"/>
        <v>502.12402063985593</v>
      </c>
      <c r="I82" s="383">
        <f t="shared" si="50"/>
        <v>522.41653714350196</v>
      </c>
      <c r="J82" s="383">
        <f t="shared" si="50"/>
        <v>543.52914232867704</v>
      </c>
      <c r="K82" s="383">
        <f t="shared" si="50"/>
        <v>565.49497873073221</v>
      </c>
      <c r="L82" s="383">
        <f t="shared" si="50"/>
        <v>588.34852828607791</v>
      </c>
      <c r="M82" s="383">
        <f t="shared" si="50"/>
        <v>612.12566646187577</v>
      </c>
      <c r="N82" s="383">
        <f t="shared" si="50"/>
        <v>636.86371857329243</v>
      </c>
      <c r="O82" s="383">
        <f t="shared" si="50"/>
        <v>662.6015183767222</v>
      </c>
      <c r="P82" s="383">
        <f t="shared" si="50"/>
        <v>689.37946903095826</v>
      </c>
      <c r="Q82" s="383">
        <f t="shared" si="50"/>
        <v>717.2396065220089</v>
      </c>
      <c r="R82" s="383">
        <f t="shared" si="50"/>
        <v>746.22566565112436</v>
      </c>
      <c r="S82" s="383">
        <f t="shared" si="50"/>
        <v>776.38314868962448</v>
      </c>
      <c r="T82" s="383">
        <f t="shared" si="50"/>
        <v>807.75939680828753</v>
      </c>
      <c r="U82" s="383">
        <f t="shared" si="50"/>
        <v>840.40366439345416</v>
      </c>
      <c r="V82" s="383">
        <f t="shared" si="50"/>
        <v>874.36719636648513</v>
      </c>
      <c r="W82" s="383">
        <f t="shared" si="50"/>
        <v>909.70330862796141</v>
      </c>
      <c r="X82" s="383">
        <f t="shared" si="50"/>
        <v>946.46747175290113</v>
      </c>
      <c r="Y82" s="383">
        <f t="shared" si="50"/>
        <v>984.7173980683865</v>
      </c>
      <c r="Z82" s="383">
        <f t="shared" si="50"/>
        <v>1024.5131322502855</v>
      </c>
      <c r="AA82" s="383">
        <f t="shared" si="50"/>
        <v>1065.9171455812916</v>
      </c>
      <c r="AB82" s="383">
        <f t="shared" si="50"/>
        <v>1108.9944340182481</v>
      </c>
      <c r="AC82" s="383">
        <f t="shared" si="50"/>
        <v>1153.8126202227036</v>
      </c>
      <c r="AD82" s="383">
        <f t="shared" si="50"/>
        <v>1200.4420597148596</v>
      </c>
      <c r="AE82" s="383">
        <f t="shared" si="50"/>
        <v>1248.9559513175614</v>
      </c>
      <c r="AF82" s="383">
        <f t="shared" ref="AF82:AJ82" si="51">SUM(AF62:AF64)-SUM(AF74:AF76)</f>
        <v>1299.4304520636956</v>
      </c>
      <c r="AG82" s="383">
        <f t="shared" si="51"/>
        <v>1351.944796747388</v>
      </c>
      <c r="AH82" s="383">
        <f t="shared" si="51"/>
        <v>1406.5814223066573</v>
      </c>
      <c r="AI82" s="383">
        <f t="shared" si="51"/>
        <v>1463.4260972327984</v>
      </c>
      <c r="AJ82" s="383">
        <f t="shared" si="51"/>
        <v>1522.5680562096275</v>
      </c>
      <c r="AK82" s="383">
        <f t="shared" ref="AK82:AL82" si="52">SUM(AK62:AK64)-SUM(AK74:AK76)</f>
        <v>1584.1001401939509</v>
      </c>
      <c r="AL82" s="383">
        <f t="shared" si="52"/>
        <v>1648.1189421571617</v>
      </c>
    </row>
    <row r="83" spans="1:38" ht="13">
      <c r="B83" s="364" t="s">
        <v>813</v>
      </c>
      <c r="C83" s="590" t="s">
        <v>443</v>
      </c>
      <c r="D83" s="383">
        <f>SUM(D55:D57)-SUM(D70:D72)</f>
        <v>0</v>
      </c>
      <c r="E83" s="383">
        <f t="shared" ref="E83:AE83" si="53">SUM(E55:E57)-SUM(E70:E72)</f>
        <v>0</v>
      </c>
      <c r="F83" s="383">
        <f t="shared" si="53"/>
        <v>0</v>
      </c>
      <c r="G83" s="383">
        <f t="shared" si="53"/>
        <v>0</v>
      </c>
      <c r="H83" s="383">
        <f t="shared" si="53"/>
        <v>306.82799916887012</v>
      </c>
      <c r="I83" s="383">
        <f t="shared" si="53"/>
        <v>319.22794814757225</v>
      </c>
      <c r="J83" s="383">
        <f t="shared" si="53"/>
        <v>332.12902067135786</v>
      </c>
      <c r="K83" s="383">
        <f t="shared" si="53"/>
        <v>345.55146882415659</v>
      </c>
      <c r="L83" s="383">
        <f t="shared" si="53"/>
        <v>359.51636314456334</v>
      </c>
      <c r="M83" s="383">
        <f t="shared" si="53"/>
        <v>374.04562570233782</v>
      </c>
      <c r="N83" s="383">
        <f t="shared" si="53"/>
        <v>389.16206451163612</v>
      </c>
      <c r="O83" s="383">
        <f t="shared" si="53"/>
        <v>404.8894093349968</v>
      </c>
      <c r="P83" s="383">
        <f t="shared" si="53"/>
        <v>421.25234893428552</v>
      </c>
      <c r="Q83" s="383">
        <f t="shared" si="53"/>
        <v>438.27656982707543</v>
      </c>
      <c r="R83" s="383">
        <f t="shared" si="53"/>
        <v>455.98879660930299</v>
      </c>
      <c r="S83" s="383">
        <f t="shared" si="53"/>
        <v>474.41683390750046</v>
      </c>
      <c r="T83" s="383">
        <f t="shared" si="53"/>
        <v>493.58961002645134</v>
      </c>
      <c r="U83" s="383">
        <f t="shared" si="53"/>
        <v>513.53722236080307</v>
      </c>
      <c r="V83" s="383">
        <f t="shared" si="53"/>
        <v>534.29098464190974</v>
      </c>
      <c r="W83" s="383">
        <f t="shared" si="53"/>
        <v>555.8834760940797</v>
      </c>
      <c r="X83" s="383">
        <f t="shared" si="53"/>
        <v>578.34859257739151</v>
      </c>
      <c r="Y83" s="383">
        <f t="shared" si="53"/>
        <v>601.72159979736421</v>
      </c>
      <c r="Z83" s="383">
        <f t="shared" si="53"/>
        <v>626.03918866500794</v>
      </c>
      <c r="AA83" s="383">
        <f t="shared" si="53"/>
        <v>651.33953289415933</v>
      </c>
      <c r="AB83" s="383">
        <f t="shared" si="53"/>
        <v>677.66234892651892</v>
      </c>
      <c r="AC83" s="383">
        <f t="shared" si="53"/>
        <v>705.04895827846235</v>
      </c>
      <c r="AD83" s="383">
        <f t="shared" si="53"/>
        <v>733.54235240749153</v>
      </c>
      <c r="AE83" s="383">
        <f t="shared" si="53"/>
        <v>763.1872602001597</v>
      </c>
      <c r="AF83" s="383">
        <f t="shared" ref="AF83:AJ83" si="54">SUM(AF55:AF57)-SUM(AF70:AF72)</f>
        <v>794.03021818740945</v>
      </c>
      <c r="AG83" s="383">
        <f t="shared" si="54"/>
        <v>826.11964359754847</v>
      </c>
      <c r="AH83" s="383">
        <f t="shared" si="54"/>
        <v>859.5059103615381</v>
      </c>
      <c r="AI83" s="383">
        <f t="shared" si="54"/>
        <v>894.24142818991652</v>
      </c>
      <c r="AJ83" s="383">
        <f t="shared" si="54"/>
        <v>930.38072484547956</v>
      </c>
      <c r="AK83" s="383">
        <f t="shared" ref="AK83:AL83" si="55">SUM(AK55:AK57)-SUM(AK70:AK72)</f>
        <v>967.98053174088045</v>
      </c>
      <c r="AL83" s="383">
        <f t="shared" si="55"/>
        <v>1007.0998729955157</v>
      </c>
    </row>
    <row r="84" spans="1:38">
      <c r="D84" s="358"/>
      <c r="F84" s="464"/>
      <c r="G84" s="465"/>
      <c r="H84" s="465"/>
    </row>
    <row r="85" spans="1:38" ht="13">
      <c r="B85" s="492" t="s">
        <v>284</v>
      </c>
      <c r="C85" s="487" t="s">
        <v>292</v>
      </c>
      <c r="D85" s="488">
        <f>D66-D78</f>
        <v>0</v>
      </c>
      <c r="E85" s="488">
        <f t="shared" ref="E85:AK85" si="56">E66-E78</f>
        <v>0</v>
      </c>
      <c r="F85" s="488">
        <f t="shared" si="56"/>
        <v>0</v>
      </c>
      <c r="G85" s="488">
        <f t="shared" si="56"/>
        <v>0</v>
      </c>
      <c r="H85" s="488">
        <f t="shared" si="56"/>
        <v>9185.9240289173431</v>
      </c>
      <c r="I85" s="488">
        <f t="shared" si="56"/>
        <v>9557.1580414238688</v>
      </c>
      <c r="J85" s="488">
        <f t="shared" si="56"/>
        <v>9943.3948660163442</v>
      </c>
      <c r="K85" s="488">
        <f t="shared" si="56"/>
        <v>10345.240816671689</v>
      </c>
      <c r="L85" s="488">
        <f t="shared" si="56"/>
        <v>10763.326710549038</v>
      </c>
      <c r="M85" s="488">
        <f t="shared" si="56"/>
        <v>11198.308858245584</v>
      </c>
      <c r="N85" s="488">
        <f t="shared" si="56"/>
        <v>11650.870094071939</v>
      </c>
      <c r="O85" s="488">
        <f t="shared" si="56"/>
        <v>12121.7208479644</v>
      </c>
      <c r="P85" s="488">
        <f t="shared" si="56"/>
        <v>12611.600260716767</v>
      </c>
      <c r="Q85" s="488">
        <f t="shared" si="56"/>
        <v>13121.277344282422</v>
      </c>
      <c r="R85" s="488">
        <f t="shared" si="56"/>
        <v>13651.552188968126</v>
      </c>
      <c r="S85" s="488">
        <f t="shared" si="56"/>
        <v>14203.257219414616</v>
      </c>
      <c r="T85" s="488">
        <f t="shared" si="56"/>
        <v>14777.258501335407</v>
      </c>
      <c r="U85" s="488">
        <f t="shared" si="56"/>
        <v>15374.457101065545</v>
      </c>
      <c r="V85" s="488">
        <f t="shared" si="56"/>
        <v>15995.790500054114</v>
      </c>
      <c r="W85" s="488">
        <f t="shared" si="56"/>
        <v>16642.234066521189</v>
      </c>
      <c r="X85" s="488">
        <f t="shared" si="56"/>
        <v>17314.802586589347</v>
      </c>
      <c r="Y85" s="488">
        <f t="shared" si="56"/>
        <v>18014.551857293416</v>
      </c>
      <c r="Z85" s="488">
        <f t="shared" si="56"/>
        <v>18742.580343969039</v>
      </c>
      <c r="AA85" s="488">
        <f t="shared" si="56"/>
        <v>19500.030904621854</v>
      </c>
      <c r="AB85" s="488">
        <f t="shared" si="56"/>
        <v>20288.092583984242</v>
      </c>
      <c r="AC85" s="488">
        <f t="shared" si="56"/>
        <v>21108.002480076</v>
      </c>
      <c r="AD85" s="488">
        <f t="shared" si="56"/>
        <v>21961.047686198821</v>
      </c>
      <c r="AE85" s="488">
        <f t="shared" si="56"/>
        <v>22848.567311413452</v>
      </c>
      <c r="AF85" s="488">
        <f t="shared" si="56"/>
        <v>23771.954582671031</v>
      </c>
      <c r="AG85" s="488">
        <f t="shared" si="56"/>
        <v>24732.65903189866</v>
      </c>
      <c r="AH85" s="488">
        <f t="shared" si="56"/>
        <v>25732.188771472353</v>
      </c>
      <c r="AI85" s="488">
        <f t="shared" si="56"/>
        <v>26772.112861649588</v>
      </c>
      <c r="AJ85" s="488">
        <f t="shared" si="56"/>
        <v>27854.063773677663</v>
      </c>
      <c r="AK85" s="488">
        <f t="shared" si="56"/>
        <v>28979.739952444586</v>
      </c>
      <c r="AL85" s="488">
        <f t="shared" ref="AL85" si="57">AL66-AL78</f>
        <v>30150.908482695297</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'400 West'!D25</f>
        <v>248.76823196030929</v>
      </c>
      <c r="E112" s="383">
        <f>'400 West'!E25</f>
        <v>258.82179093206406</v>
      </c>
      <c r="F112" s="383">
        <f>'400 West'!F25</f>
        <v>269.28164795563225</v>
      </c>
      <c r="G112" s="383">
        <f>'400 West'!G25</f>
        <v>280.16422289858241</v>
      </c>
      <c r="H112" s="383">
        <f>'400 West'!H25</f>
        <v>291.48659921042662</v>
      </c>
      <c r="I112" s="383">
        <f>'400 West'!I25</f>
        <v>303.26655074019362</v>
      </c>
      <c r="J112" s="383">
        <f>'400 West'!J25</f>
        <v>315.52256963778996</v>
      </c>
      <c r="K112" s="383">
        <f>'400 West'!K25</f>
        <v>328.27389538294875</v>
      </c>
      <c r="L112" s="383">
        <f>'400 West'!L25</f>
        <v>341.54054498733518</v>
      </c>
      <c r="M112" s="383">
        <f>'400 West'!M25</f>
        <v>355.34334441722092</v>
      </c>
      <c r="N112" s="383">
        <f>'400 West'!N25</f>
        <v>369.70396128605432</v>
      </c>
      <c r="O112" s="383">
        <f>'400 West'!O25</f>
        <v>384.64493886824698</v>
      </c>
      <c r="P112" s="383">
        <f>'400 West'!P25</f>
        <v>400.18973148757124</v>
      </c>
      <c r="Q112" s="383">
        <f>'400 West'!Q25</f>
        <v>416.36274133572164</v>
      </c>
      <c r="R112" s="383">
        <f>'400 West'!R25</f>
        <v>433.18935677883786</v>
      </c>
      <c r="S112" s="383">
        <f>'400 West'!S25</f>
        <v>450.69599221212542</v>
      </c>
      <c r="T112" s="383">
        <f>'400 West'!T25</f>
        <v>468.91012952512875</v>
      </c>
      <c r="U112" s="383">
        <f>'400 West'!U25</f>
        <v>487.86036124276291</v>
      </c>
      <c r="V112" s="383">
        <f>'400 West'!V25</f>
        <v>507.57643540981422</v>
      </c>
      <c r="W112" s="383">
        <f>'400 West'!W25</f>
        <v>528.08930228937572</v>
      </c>
      <c r="X112" s="383">
        <f>'400 West'!X25</f>
        <v>549.43116294852189</v>
      </c>
      <c r="Y112" s="383">
        <f>'400 West'!Y25</f>
        <v>571.63551980749594</v>
      </c>
      <c r="Z112" s="383">
        <f>'400 West'!Z25</f>
        <v>594.73722923175751</v>
      </c>
      <c r="AA112" s="383">
        <f>'400 West'!AA25</f>
        <v>618.77255624945133</v>
      </c>
      <c r="AB112" s="383">
        <f>'400 West'!AB25</f>
        <v>643.77923148019295</v>
      </c>
      <c r="AC112" s="383">
        <f>'400 West'!AC25</f>
        <v>669.79651036453924</v>
      </c>
      <c r="AD112" s="383">
        <f>'400 West'!AD25</f>
        <v>696.86523478711695</v>
      </c>
      <c r="AE112" s="383">
        <f>'400 West'!AE25</f>
        <v>725.02789719015175</v>
      </c>
      <c r="AF112" s="383">
        <f>'400 West'!AF25</f>
        <v>754.32870727803902</v>
      </c>
      <c r="AG112" s="383">
        <f>'400 West'!AG25</f>
        <v>784.81366141767103</v>
      </c>
      <c r="AH112" s="383">
        <f>'400 West'!AH25</f>
        <v>816.53061484346119</v>
      </c>
      <c r="AI112" s="383">
        <f>'400 West'!AI25</f>
        <v>849.5293567804207</v>
      </c>
      <c r="AJ112" s="383">
        <f>'400 West'!AJ25</f>
        <v>883.86168860320561</v>
      </c>
      <c r="AK112" s="383">
        <f>'400 West'!AK25</f>
        <v>919.58150515383647</v>
      </c>
      <c r="AL112" s="383">
        <f>'400 West'!AL25</f>
        <v>956.74487934573995</v>
      </c>
    </row>
    <row r="113" spans="1:38">
      <c r="B113" s="385" t="s">
        <v>509</v>
      </c>
      <c r="C113" s="386" t="s">
        <v>443</v>
      </c>
      <c r="D113" s="383">
        <f>'400 West'!D26</f>
        <v>13.093064840016281</v>
      </c>
      <c r="E113" s="383">
        <f>'400 West'!E26</f>
        <v>13.622199522740216</v>
      </c>
      <c r="F113" s="383">
        <f>'400 West'!F26</f>
        <v>14.172718313454332</v>
      </c>
      <c r="G113" s="383">
        <f>'400 West'!G26</f>
        <v>14.745485415714866</v>
      </c>
      <c r="H113" s="383">
        <f>'400 West'!H26</f>
        <v>15.341399958443507</v>
      </c>
      <c r="I113" s="383">
        <f>'400 West'!I26</f>
        <v>15.961397407378612</v>
      </c>
      <c r="J113" s="383">
        <f>'400 West'!J26</f>
        <v>16.606451033567893</v>
      </c>
      <c r="K113" s="383">
        <f>'400 West'!K26</f>
        <v>17.277573441207831</v>
      </c>
      <c r="L113" s="383">
        <f>'400 West'!L26</f>
        <v>17.975818157228169</v>
      </c>
      <c r="M113" s="383">
        <f>'400 West'!M26</f>
        <v>18.702281285116893</v>
      </c>
      <c r="N113" s="383">
        <f>'400 West'!N26</f>
        <v>19.458103225581809</v>
      </c>
      <c r="O113" s="383">
        <f>'400 West'!O26</f>
        <v>20.244470466749846</v>
      </c>
      <c r="P113" s="383">
        <f>'400 West'!P26</f>
        <v>21.062617446714277</v>
      </c>
      <c r="Q113" s="383">
        <f>'400 West'!Q26</f>
        <v>21.913828491353772</v>
      </c>
      <c r="R113" s="383">
        <f>'400 West'!R26</f>
        <v>22.799439830465154</v>
      </c>
      <c r="S113" s="383">
        <f>'400 West'!S26</f>
        <v>23.720841695375025</v>
      </c>
      <c r="T113" s="383">
        <f>'400 West'!T26</f>
        <v>24.679480501322569</v>
      </c>
      <c r="U113" s="383">
        <f>'400 West'!U26</f>
        <v>25.676861118040154</v>
      </c>
      <c r="V113" s="383">
        <f>'400 West'!V26</f>
        <v>26.714549232095489</v>
      </c>
      <c r="W113" s="383">
        <f>'400 West'!W26</f>
        <v>27.794173804703988</v>
      </c>
      <c r="X113" s="383">
        <f>'400 West'!X26</f>
        <v>28.917429628869577</v>
      </c>
      <c r="Y113" s="383">
        <f>'400 West'!Y26</f>
        <v>30.08607998986821</v>
      </c>
      <c r="Z113" s="383">
        <f>'400 West'!Z26</f>
        <v>31.301959433250399</v>
      </c>
      <c r="AA113" s="383">
        <f>'400 West'!AA26</f>
        <v>32.566976644707971</v>
      </c>
      <c r="AB113" s="383">
        <f>'400 West'!AB26</f>
        <v>33.883117446325947</v>
      </c>
      <c r="AC113" s="383">
        <f>'400 West'!AC26</f>
        <v>35.25244791392312</v>
      </c>
      <c r="AD113" s="383">
        <f>'400 West'!AD26</f>
        <v>36.677117620374581</v>
      </c>
      <c r="AE113" s="383">
        <f>'400 West'!AE26</f>
        <v>38.159363010007993</v>
      </c>
      <c r="AF113" s="383">
        <f>'400 West'!AF26</f>
        <v>39.701510909370484</v>
      </c>
      <c r="AG113" s="383">
        <f>'400 West'!AG26</f>
        <v>41.305982179877425</v>
      </c>
      <c r="AH113" s="383">
        <f>'400 West'!AH26</f>
        <v>42.975295518076905</v>
      </c>
      <c r="AI113" s="383">
        <f>'400 West'!AI26</f>
        <v>44.712071409495827</v>
      </c>
      <c r="AJ113" s="383">
        <f>'400 West'!AJ26</f>
        <v>46.519036242273984</v>
      </c>
      <c r="AK113" s="383">
        <f>'400 West'!AK26</f>
        <v>48.399026587044034</v>
      </c>
      <c r="AL113" s="383">
        <f>'400 West'!AL26</f>
        <v>50.354993649775793</v>
      </c>
    </row>
    <row r="114" spans="1:38">
      <c r="B114" s="358" t="s">
        <v>769</v>
      </c>
      <c r="C114" s="358" t="s">
        <v>443</v>
      </c>
      <c r="D114" s="383">
        <f>'400 West'!D27</f>
        <v>0</v>
      </c>
      <c r="E114" s="383">
        <f>'400 West'!E27</f>
        <v>0</v>
      </c>
      <c r="F114" s="383">
        <f>'400 West'!F27</f>
        <v>0</v>
      </c>
      <c r="G114" s="383">
        <f>'400 West'!G27</f>
        <v>0</v>
      </c>
      <c r="H114" s="383">
        <f>'400 West'!H27</f>
        <v>0</v>
      </c>
      <c r="I114" s="383">
        <f>'400 West'!I27</f>
        <v>0</v>
      </c>
      <c r="J114" s="383">
        <f>'400 West'!J27</f>
        <v>0</v>
      </c>
      <c r="K114" s="383">
        <f>'400 West'!K27</f>
        <v>0</v>
      </c>
      <c r="L114" s="383">
        <f>'400 West'!L27</f>
        <v>0</v>
      </c>
      <c r="M114" s="383">
        <f>'400 West'!M27</f>
        <v>0</v>
      </c>
      <c r="N114" s="383">
        <f>'400 West'!N27</f>
        <v>0</v>
      </c>
      <c r="O114" s="383">
        <f>'400 West'!O27</f>
        <v>0</v>
      </c>
      <c r="P114" s="383">
        <f>'400 West'!P27</f>
        <v>0</v>
      </c>
      <c r="Q114" s="383">
        <f>'400 West'!Q27</f>
        <v>0</v>
      </c>
      <c r="R114" s="383">
        <f>'400 West'!R27</f>
        <v>0</v>
      </c>
      <c r="S114" s="383">
        <f>'400 West'!S27</f>
        <v>0</v>
      </c>
      <c r="T114" s="383">
        <f>'400 West'!T27</f>
        <v>0</v>
      </c>
      <c r="U114" s="383">
        <f>'400 West'!U27</f>
        <v>0</v>
      </c>
      <c r="V114" s="383">
        <f>'400 West'!V27</f>
        <v>0</v>
      </c>
      <c r="W114" s="383">
        <f>'400 West'!W27</f>
        <v>0</v>
      </c>
      <c r="X114" s="383">
        <f>'400 West'!X27</f>
        <v>0</v>
      </c>
      <c r="Y114" s="383">
        <f>'400 West'!Y27</f>
        <v>0</v>
      </c>
      <c r="Z114" s="383">
        <f>'400 West'!Z27</f>
        <v>0</v>
      </c>
      <c r="AA114" s="383">
        <f>'400 West'!AA27</f>
        <v>0</v>
      </c>
      <c r="AB114" s="383">
        <f>'400 West'!AB27</f>
        <v>0</v>
      </c>
      <c r="AC114" s="383">
        <f>'400 West'!AC27</f>
        <v>0</v>
      </c>
      <c r="AD114" s="383">
        <f>'400 West'!AD27</f>
        <v>0</v>
      </c>
      <c r="AE114" s="383">
        <f>'400 West'!AE27</f>
        <v>0</v>
      </c>
      <c r="AF114" s="383">
        <f>'400 West'!AF27</f>
        <v>0</v>
      </c>
      <c r="AG114" s="383">
        <f>'400 West'!AG27</f>
        <v>0</v>
      </c>
      <c r="AH114" s="383">
        <f>'400 West'!AH27</f>
        <v>0</v>
      </c>
      <c r="AI114" s="383">
        <f>'400 West'!AI27</f>
        <v>0</v>
      </c>
      <c r="AJ114" s="383">
        <f>'400 West'!AJ27</f>
        <v>0</v>
      </c>
      <c r="AK114" s="383">
        <f>'400 West'!AK27</f>
        <v>0</v>
      </c>
      <c r="AL114" s="383">
        <f>'400 West'!AL27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8">(D$112*D90+D$113*D95+D$114*D100)/Grams.Per.Metric.Ton*D105</f>
        <v>36.146940557811135</v>
      </c>
      <c r="E116" s="582">
        <f t="shared" si="58"/>
        <v>37.853522308328145</v>
      </c>
      <c r="F116" s="582">
        <f t="shared" si="58"/>
        <v>39.620259204839549</v>
      </c>
      <c r="G116" s="582">
        <f t="shared" si="58"/>
        <v>41.44846855935107</v>
      </c>
      <c r="H116" s="582">
        <f t="shared" si="58"/>
        <v>43.339445294001244</v>
      </c>
      <c r="I116" s="582">
        <f t="shared" si="58"/>
        <v>45.294456742575434</v>
      </c>
      <c r="J116" s="582">
        <f t="shared" si="58"/>
        <v>47.314737018410334</v>
      </c>
      <c r="K116" s="582">
        <f t="shared" si="58"/>
        <v>49.401480920106373</v>
      </c>
      <c r="L116" s="582">
        <f t="shared" si="58"/>
        <v>51.555837344790397</v>
      </c>
      <c r="M116" s="582">
        <f t="shared" si="58"/>
        <v>53.778902176890206</v>
      </c>
      <c r="N116" s="582">
        <f t="shared" si="58"/>
        <v>55.952383525987457</v>
      </c>
      <c r="O116" s="582">
        <f t="shared" si="58"/>
        <v>58.182925101469543</v>
      </c>
      <c r="P116" s="582">
        <f t="shared" si="58"/>
        <v>60.470345102756816</v>
      </c>
      <c r="Q116" s="582">
        <f t="shared" si="58"/>
        <v>63.780677469740262</v>
      </c>
      <c r="R116" s="582">
        <f t="shared" si="58"/>
        <v>66.202383129705353</v>
      </c>
      <c r="S116" s="582">
        <f t="shared" si="58"/>
        <v>68.679591126436989</v>
      </c>
      <c r="T116" s="582">
        <f t="shared" si="58"/>
        <v>71.211374715596321</v>
      </c>
      <c r="U116" s="582">
        <f t="shared" si="58"/>
        <v>73.796582692416763</v>
      </c>
      <c r="V116" s="582">
        <f t="shared" si="58"/>
        <v>76.433820382303168</v>
      </c>
      <c r="W116" s="582">
        <f t="shared" si="58"/>
        <v>79.121429365358267</v>
      </c>
      <c r="X116" s="582">
        <f t="shared" si="58"/>
        <v>82.395409539125183</v>
      </c>
      <c r="Y116" s="582">
        <f t="shared" si="58"/>
        <v>86.933492294092758</v>
      </c>
      <c r="Z116" s="582">
        <f t="shared" si="58"/>
        <v>90.450384295201289</v>
      </c>
      <c r="AA116" s="582">
        <f t="shared" si="58"/>
        <v>94.076632714447229</v>
      </c>
      <c r="AB116" s="582">
        <f t="shared" si="58"/>
        <v>97.814002169916407</v>
      </c>
      <c r="AC116" s="582">
        <f t="shared" si="58"/>
        <v>101.66416753784239</v>
      </c>
      <c r="AD116" s="582">
        <f t="shared" si="58"/>
        <v>105.62870164420121</v>
      </c>
      <c r="AE116" s="582">
        <f t="shared" si="58"/>
        <v>109.7090620202212</v>
      </c>
      <c r="AF116" s="582">
        <f t="shared" si="58"/>
        <v>115.29568125614053</v>
      </c>
      <c r="AG116" s="582">
        <f t="shared" si="58"/>
        <v>119.64679534787101</v>
      </c>
      <c r="AH116" s="582">
        <f t="shared" si="58"/>
        <v>124.48212381136715</v>
      </c>
      <c r="AI116" s="582">
        <f t="shared" si="58"/>
        <v>129.51286412255982</v>
      </c>
      <c r="AJ116" s="582">
        <f t="shared" si="58"/>
        <v>134.74691352990038</v>
      </c>
      <c r="AK116" s="582">
        <f t="shared" si="58"/>
        <v>140.19248843614858</v>
      </c>
      <c r="AL116" s="582">
        <f t="shared" si="58"/>
        <v>145.85813729646912</v>
      </c>
    </row>
    <row r="117" spans="1:38">
      <c r="B117" s="478" t="s">
        <v>709</v>
      </c>
      <c r="C117" s="484" t="s">
        <v>292</v>
      </c>
      <c r="D117" s="582">
        <f t="shared" ref="D117:AL117" si="59">(D$112*D91+D$113*D96+D$114*D101)/Grams.Per.Metric.Ton*D106</f>
        <v>23.133301084899756</v>
      </c>
      <c r="E117" s="582">
        <f t="shared" si="59"/>
        <v>22.522063139722693</v>
      </c>
      <c r="F117" s="582">
        <f t="shared" si="59"/>
        <v>21.90944157210517</v>
      </c>
      <c r="G117" s="582">
        <f t="shared" si="59"/>
        <v>21.009373490010631</v>
      </c>
      <c r="H117" s="582">
        <f t="shared" si="59"/>
        <v>19.949040434304631</v>
      </c>
      <c r="I117" s="582">
        <f t="shared" si="59"/>
        <v>18.714868074337005</v>
      </c>
      <c r="J117" s="582">
        <f t="shared" si="59"/>
        <v>17.392899160528561</v>
      </c>
      <c r="K117" s="582">
        <f t="shared" si="59"/>
        <v>15.756087767186436</v>
      </c>
      <c r="L117" s="582">
        <f t="shared" si="59"/>
        <v>13.897956048749089</v>
      </c>
      <c r="M117" s="582">
        <f t="shared" si="59"/>
        <v>11.86676551624025</v>
      </c>
      <c r="N117" s="582">
        <f t="shared" si="59"/>
        <v>11.492436915624468</v>
      </c>
      <c r="O117" s="582">
        <f t="shared" si="59"/>
        <v>11.06847129771216</v>
      </c>
      <c r="P117" s="582">
        <f t="shared" si="59"/>
        <v>10.591468033840076</v>
      </c>
      <c r="Q117" s="582">
        <f t="shared" si="59"/>
        <v>10.057832702843001</v>
      </c>
      <c r="R117" s="582">
        <f t="shared" si="59"/>
        <v>9.4637669814829941</v>
      </c>
      <c r="S117" s="582">
        <f t="shared" si="59"/>
        <v>8.805258034266549</v>
      </c>
      <c r="T117" s="582">
        <f t="shared" si="59"/>
        <v>8.078067378693369</v>
      </c>
      <c r="U117" s="582">
        <f t="shared" si="59"/>
        <v>7.2777192008727942</v>
      </c>
      <c r="V117" s="582">
        <f t="shared" si="59"/>
        <v>6.3994880952639361</v>
      </c>
      <c r="W117" s="582">
        <f t="shared" si="59"/>
        <v>5.4383862010799167</v>
      </c>
      <c r="X117" s="582">
        <f t="shared" si="59"/>
        <v>5.6105919575462746</v>
      </c>
      <c r="Y117" s="582">
        <f t="shared" si="59"/>
        <v>5.7878343528447331</v>
      </c>
      <c r="Z117" s="582">
        <f t="shared" si="59"/>
        <v>5.970239228717432</v>
      </c>
      <c r="AA117" s="582">
        <f t="shared" si="59"/>
        <v>6.1579343722440667</v>
      </c>
      <c r="AB117" s="582">
        <f t="shared" si="59"/>
        <v>6.3510494675475018</v>
      </c>
      <c r="AC117" s="582">
        <f t="shared" si="59"/>
        <v>6.549716040418696</v>
      </c>
      <c r="AD117" s="582">
        <f t="shared" si="59"/>
        <v>6.7540673953674899</v>
      </c>
      <c r="AE117" s="582">
        <f t="shared" si="59"/>
        <v>6.9642385445774062</v>
      </c>
      <c r="AF117" s="582">
        <f t="shared" si="59"/>
        <v>7.1803661282132749</v>
      </c>
      <c r="AG117" s="582">
        <f t="shared" si="59"/>
        <v>7.4025883254983418</v>
      </c>
      <c r="AH117" s="582">
        <f t="shared" si="59"/>
        <v>7.7017517584156714</v>
      </c>
      <c r="AI117" s="582">
        <f t="shared" si="59"/>
        <v>8.0130053894717541</v>
      </c>
      <c r="AJ117" s="582">
        <f t="shared" si="59"/>
        <v>8.3368378241408898</v>
      </c>
      <c r="AK117" s="582">
        <f t="shared" si="59"/>
        <v>8.6737574140840632</v>
      </c>
      <c r="AL117" s="582">
        <f t="shared" si="59"/>
        <v>9.0242930551586173</v>
      </c>
    </row>
    <row r="118" spans="1:38">
      <c r="B118" s="478" t="s">
        <v>710</v>
      </c>
      <c r="C118" s="484" t="s">
        <v>292</v>
      </c>
      <c r="D118" s="582">
        <f t="shared" ref="D118:AL118" si="60">(D$112*D92+D$113*D97+D$114*D102)/Grams.Per.Metric.Ton*D107</f>
        <v>36.246115825686658</v>
      </c>
      <c r="E118" s="582">
        <f t="shared" si="60"/>
        <v>36.094221103871782</v>
      </c>
      <c r="F118" s="582">
        <f t="shared" si="60"/>
        <v>35.801659845819934</v>
      </c>
      <c r="G118" s="582">
        <f t="shared" si="60"/>
        <v>35.347048757222616</v>
      </c>
      <c r="H118" s="582">
        <f t="shared" si="60"/>
        <v>34.712510969740642</v>
      </c>
      <c r="I118" s="582">
        <f t="shared" si="60"/>
        <v>33.744968043928949</v>
      </c>
      <c r="J118" s="582">
        <f t="shared" si="60"/>
        <v>32.570025763830969</v>
      </c>
      <c r="K118" s="582">
        <f t="shared" si="60"/>
        <v>31.1635113666816</v>
      </c>
      <c r="L118" s="582">
        <f t="shared" si="60"/>
        <v>29.507642501810775</v>
      </c>
      <c r="M118" s="582">
        <f t="shared" si="60"/>
        <v>27.575500842503558</v>
      </c>
      <c r="N118" s="582">
        <f t="shared" si="60"/>
        <v>26.8223121875745</v>
      </c>
      <c r="O118" s="582">
        <f t="shared" si="60"/>
        <v>25.963208379489146</v>
      </c>
      <c r="P118" s="582">
        <f t="shared" si="60"/>
        <v>24.990858782100386</v>
      </c>
      <c r="Q118" s="582">
        <f t="shared" si="60"/>
        <v>23.897513232844656</v>
      </c>
      <c r="R118" s="582">
        <f t="shared" si="60"/>
        <v>22.674980106481247</v>
      </c>
      <c r="S118" s="582">
        <f t="shared" si="60"/>
        <v>21.314603290990007</v>
      </c>
      <c r="T118" s="582">
        <f t="shared" si="60"/>
        <v>19.807238023513232</v>
      </c>
      <c r="U118" s="582">
        <f t="shared" si="60"/>
        <v>18.143225531821635</v>
      </c>
      <c r="V118" s="582">
        <f t="shared" si="60"/>
        <v>16.312366424212101</v>
      </c>
      <c r="W118" s="582">
        <f t="shared" si="60"/>
        <v>14.3038927680974</v>
      </c>
      <c r="X118" s="582">
        <f t="shared" si="60"/>
        <v>14.457398568426132</v>
      </c>
      <c r="Y118" s="582">
        <f t="shared" si="60"/>
        <v>14.599950057943738</v>
      </c>
      <c r="Z118" s="582">
        <f t="shared" si="60"/>
        <v>14.73041112403302</v>
      </c>
      <c r="AA118" s="582">
        <f t="shared" si="60"/>
        <v>14.847571716841808</v>
      </c>
      <c r="AB118" s="582">
        <f t="shared" si="60"/>
        <v>14.950143728723118</v>
      </c>
      <c r="AC118" s="582">
        <f t="shared" si="60"/>
        <v>15.036756661380938</v>
      </c>
      <c r="AD118" s="582">
        <f t="shared" si="60"/>
        <v>15.10595307029393</v>
      </c>
      <c r="AE118" s="582">
        <f t="shared" si="60"/>
        <v>15.156183775488703</v>
      </c>
      <c r="AF118" s="582">
        <f t="shared" si="60"/>
        <v>15.185802827221513</v>
      </c>
      <c r="AG118" s="582">
        <f t="shared" si="60"/>
        <v>15.193062214577282</v>
      </c>
      <c r="AH118" s="582">
        <f t="shared" si="60"/>
        <v>15.807064837549499</v>
      </c>
      <c r="AI118" s="582">
        <f t="shared" si="60"/>
        <v>16.445881366743674</v>
      </c>
      <c r="AJ118" s="582">
        <f t="shared" si="60"/>
        <v>17.110514615370935</v>
      </c>
      <c r="AK118" s="582">
        <f t="shared" si="60"/>
        <v>17.802007923689132</v>
      </c>
      <c r="AL118" s="582">
        <f t="shared" si="60"/>
        <v>18.521446796836774</v>
      </c>
    </row>
    <row r="119" spans="1:38">
      <c r="B119" s="478" t="s">
        <v>711</v>
      </c>
      <c r="C119" s="484" t="s">
        <v>292</v>
      </c>
      <c r="D119" s="582">
        <f t="shared" ref="D119:AL119" si="61">(D$112*D93+D$113*D98+D$114*D103)/Grams.Per.Metric.Ton*D108</f>
        <v>0.2016924944760817</v>
      </c>
      <c r="E119" s="582">
        <f t="shared" si="61"/>
        <v>0.21127825569404457</v>
      </c>
      <c r="F119" s="582">
        <f t="shared" si="61"/>
        <v>0.22172102574641453</v>
      </c>
      <c r="G119" s="582">
        <f t="shared" si="61"/>
        <v>0.2325410602108082</v>
      </c>
      <c r="H119" s="582">
        <f t="shared" si="61"/>
        <v>0.24429095522728583</v>
      </c>
      <c r="I119" s="582">
        <f t="shared" si="61"/>
        <v>0.25422937730280626</v>
      </c>
      <c r="J119" s="582">
        <f t="shared" si="61"/>
        <v>0.26505442499151644</v>
      </c>
      <c r="K119" s="582">
        <f t="shared" si="61"/>
        <v>0.27622827809775768</v>
      </c>
      <c r="L119" s="582">
        <f t="shared" si="61"/>
        <v>0.28775696646239746</v>
      </c>
      <c r="M119" s="582">
        <f t="shared" si="61"/>
        <v>0.29902587081617754</v>
      </c>
      <c r="N119" s="582">
        <f t="shared" si="61"/>
        <v>0.30625989942510101</v>
      </c>
      <c r="O119" s="582">
        <f t="shared" si="61"/>
        <v>0.31359024996992169</v>
      </c>
      <c r="P119" s="582">
        <f t="shared" si="61"/>
        <v>0.32101289293611035</v>
      </c>
      <c r="Q119" s="582">
        <f t="shared" si="61"/>
        <v>0.32852331579996169</v>
      </c>
      <c r="R119" s="582">
        <f t="shared" si="61"/>
        <v>0.33611649056971288</v>
      </c>
      <c r="S119" s="582">
        <f t="shared" si="61"/>
        <v>0.34378683949198807</v>
      </c>
      <c r="T119" s="582">
        <f t="shared" si="61"/>
        <v>0.35152819882828557</v>
      </c>
      <c r="U119" s="582">
        <f t="shared" si="61"/>
        <v>0.35933378060153742</v>
      </c>
      <c r="V119" s="582">
        <f t="shared" si="61"/>
        <v>0.36719613220781722</v>
      </c>
      <c r="W119" s="582">
        <f t="shared" si="61"/>
        <v>0.37510709378312895</v>
      </c>
      <c r="X119" s="582">
        <f t="shared" si="61"/>
        <v>0.38543237488671461</v>
      </c>
      <c r="Y119" s="582">
        <f t="shared" si="61"/>
        <v>0.39597957485465812</v>
      </c>
      <c r="Z119" s="582">
        <f t="shared" si="61"/>
        <v>0.40674976700399651</v>
      </c>
      <c r="AA119" s="582">
        <f t="shared" si="61"/>
        <v>0.4177437489578486</v>
      </c>
      <c r="AB119" s="582">
        <f t="shared" si="61"/>
        <v>0.42896201860899363</v>
      </c>
      <c r="AC119" s="582">
        <f t="shared" si="61"/>
        <v>0.44040474859093903</v>
      </c>
      <c r="AD119" s="582">
        <f t="shared" si="61"/>
        <v>0.45207175917511722</v>
      </c>
      <c r="AE119" s="582">
        <f t="shared" si="61"/>
        <v>0.46396248950865093</v>
      </c>
      <c r="AF119" s="582">
        <f t="shared" si="61"/>
        <v>0.47607596710288375</v>
      </c>
      <c r="AG119" s="582">
        <f t="shared" si="61"/>
        <v>0.48841077547821382</v>
      </c>
      <c r="AH119" s="582">
        <f t="shared" si="61"/>
        <v>0.50814909373138251</v>
      </c>
      <c r="AI119" s="582">
        <f t="shared" si="61"/>
        <v>0.52868510365521915</v>
      </c>
      <c r="AJ119" s="582">
        <f t="shared" si="61"/>
        <v>0.55005104264671412</v>
      </c>
      <c r="AK119" s="582">
        <f t="shared" si="61"/>
        <v>0.57228045092423974</v>
      </c>
      <c r="AL119" s="582">
        <f t="shared" si="61"/>
        <v>0.59540822417893435</v>
      </c>
    </row>
    <row r="120" spans="1:38">
      <c r="D120" s="358"/>
      <c r="F120" s="464"/>
      <c r="G120" s="465"/>
      <c r="H120" s="465"/>
    </row>
    <row r="121" spans="1:38" ht="13">
      <c r="B121" s="493" t="s">
        <v>463</v>
      </c>
      <c r="C121" s="487" t="s">
        <v>292</v>
      </c>
      <c r="D121" s="488">
        <f t="shared" ref="D121:AL121" si="62">D116</f>
        <v>36.146940557811135</v>
      </c>
      <c r="E121" s="488">
        <f t="shared" si="62"/>
        <v>37.853522308328145</v>
      </c>
      <c r="F121" s="488">
        <f t="shared" si="62"/>
        <v>39.620259204839549</v>
      </c>
      <c r="G121" s="488">
        <f t="shared" si="62"/>
        <v>41.44846855935107</v>
      </c>
      <c r="H121" s="488">
        <f t="shared" si="62"/>
        <v>43.339445294001244</v>
      </c>
      <c r="I121" s="488">
        <f t="shared" si="62"/>
        <v>45.294456742575434</v>
      </c>
      <c r="J121" s="488">
        <f t="shared" si="62"/>
        <v>47.314737018410334</v>
      </c>
      <c r="K121" s="488">
        <f t="shared" si="62"/>
        <v>49.401480920106373</v>
      </c>
      <c r="L121" s="488">
        <f t="shared" si="62"/>
        <v>51.555837344790397</v>
      </c>
      <c r="M121" s="488">
        <f t="shared" si="62"/>
        <v>53.778902176890206</v>
      </c>
      <c r="N121" s="488">
        <f t="shared" si="62"/>
        <v>55.952383525987457</v>
      </c>
      <c r="O121" s="488">
        <f t="shared" si="62"/>
        <v>58.182925101469543</v>
      </c>
      <c r="P121" s="488">
        <f t="shared" si="62"/>
        <v>60.470345102756816</v>
      </c>
      <c r="Q121" s="488">
        <f t="shared" si="62"/>
        <v>63.780677469740262</v>
      </c>
      <c r="R121" s="488">
        <f t="shared" si="62"/>
        <v>66.202383129705353</v>
      </c>
      <c r="S121" s="488">
        <f t="shared" si="62"/>
        <v>68.679591126436989</v>
      </c>
      <c r="T121" s="488">
        <f t="shared" si="62"/>
        <v>71.211374715596321</v>
      </c>
      <c r="U121" s="488">
        <f t="shared" si="62"/>
        <v>73.796582692416763</v>
      </c>
      <c r="V121" s="488">
        <f t="shared" si="62"/>
        <v>76.433820382303168</v>
      </c>
      <c r="W121" s="488">
        <f t="shared" si="62"/>
        <v>79.121429365358267</v>
      </c>
      <c r="X121" s="488">
        <f t="shared" si="62"/>
        <v>82.395409539125183</v>
      </c>
      <c r="Y121" s="488">
        <f t="shared" si="62"/>
        <v>86.933492294092758</v>
      </c>
      <c r="Z121" s="488">
        <f t="shared" si="62"/>
        <v>90.450384295201289</v>
      </c>
      <c r="AA121" s="488">
        <f t="shared" si="62"/>
        <v>94.076632714447229</v>
      </c>
      <c r="AB121" s="488">
        <f t="shared" si="62"/>
        <v>97.814002169916407</v>
      </c>
      <c r="AC121" s="488">
        <f t="shared" si="62"/>
        <v>101.66416753784239</v>
      </c>
      <c r="AD121" s="488">
        <f t="shared" si="62"/>
        <v>105.62870164420121</v>
      </c>
      <c r="AE121" s="488">
        <f t="shared" si="62"/>
        <v>109.7090620202212</v>
      </c>
      <c r="AF121" s="488">
        <f t="shared" si="62"/>
        <v>115.29568125614053</v>
      </c>
      <c r="AG121" s="488">
        <f t="shared" si="62"/>
        <v>119.64679534787101</v>
      </c>
      <c r="AH121" s="488">
        <f t="shared" si="62"/>
        <v>124.48212381136715</v>
      </c>
      <c r="AI121" s="488">
        <f t="shared" si="62"/>
        <v>129.51286412255982</v>
      </c>
      <c r="AJ121" s="488">
        <f t="shared" si="62"/>
        <v>134.74691352990038</v>
      </c>
      <c r="AK121" s="488">
        <f t="shared" si="62"/>
        <v>140.19248843614858</v>
      </c>
      <c r="AL121" s="488">
        <f t="shared" si="62"/>
        <v>145.85813729646912</v>
      </c>
    </row>
    <row r="122" spans="1:38" ht="13">
      <c r="B122" s="494" t="s">
        <v>464</v>
      </c>
      <c r="C122" s="487" t="s">
        <v>292</v>
      </c>
      <c r="D122" s="488">
        <f t="shared" ref="D122:AL122" si="63">SUM(D116:D119)</f>
        <v>95.728049962873627</v>
      </c>
      <c r="E122" s="488">
        <f t="shared" si="63"/>
        <v>96.681084807616671</v>
      </c>
      <c r="F122" s="488">
        <f t="shared" si="63"/>
        <v>97.553081648511082</v>
      </c>
      <c r="G122" s="488">
        <f t="shared" si="63"/>
        <v>98.037431866795131</v>
      </c>
      <c r="H122" s="488">
        <f t="shared" si="63"/>
        <v>98.245287653273806</v>
      </c>
      <c r="I122" s="488">
        <f t="shared" si="63"/>
        <v>98.008522238144195</v>
      </c>
      <c r="J122" s="488">
        <f t="shared" si="63"/>
        <v>97.542716367761386</v>
      </c>
      <c r="K122" s="488">
        <f t="shared" si="63"/>
        <v>96.597308332072174</v>
      </c>
      <c r="L122" s="488">
        <f t="shared" si="63"/>
        <v>95.249192861812659</v>
      </c>
      <c r="M122" s="488">
        <f t="shared" si="63"/>
        <v>93.520194406450202</v>
      </c>
      <c r="N122" s="488">
        <f t="shared" si="63"/>
        <v>94.573392528611521</v>
      </c>
      <c r="O122" s="488">
        <f t="shared" si="63"/>
        <v>95.528195028640766</v>
      </c>
      <c r="P122" s="488">
        <f t="shared" si="63"/>
        <v>96.373684811633396</v>
      </c>
      <c r="Q122" s="488">
        <f t="shared" si="63"/>
        <v>98.06454672122787</v>
      </c>
      <c r="R122" s="488">
        <f t="shared" si="63"/>
        <v>98.677246708239295</v>
      </c>
      <c r="S122" s="488">
        <f t="shared" si="63"/>
        <v>99.143239291185523</v>
      </c>
      <c r="T122" s="488">
        <f t="shared" si="63"/>
        <v>99.448208316631209</v>
      </c>
      <c r="U122" s="488">
        <f t="shared" si="63"/>
        <v>99.576861205712731</v>
      </c>
      <c r="V122" s="488">
        <f t="shared" si="63"/>
        <v>99.512871033987025</v>
      </c>
      <c r="W122" s="488">
        <f t="shared" si="63"/>
        <v>99.238815428318716</v>
      </c>
      <c r="X122" s="488">
        <f t="shared" si="63"/>
        <v>102.84883243998431</v>
      </c>
      <c r="Y122" s="488">
        <f t="shared" si="63"/>
        <v>107.71725627973589</v>
      </c>
      <c r="Z122" s="488">
        <f t="shared" si="63"/>
        <v>111.55778441495575</v>
      </c>
      <c r="AA122" s="488">
        <f t="shared" si="63"/>
        <v>115.49988255249096</v>
      </c>
      <c r="AB122" s="488">
        <f t="shared" si="63"/>
        <v>119.54415738479602</v>
      </c>
      <c r="AC122" s="488">
        <f t="shared" si="63"/>
        <v>123.69104498823296</v>
      </c>
      <c r="AD122" s="488">
        <f t="shared" si="63"/>
        <v>127.94079386903775</v>
      </c>
      <c r="AE122" s="488">
        <f t="shared" si="63"/>
        <v>132.29344682979595</v>
      </c>
      <c r="AF122" s="488">
        <f t="shared" si="63"/>
        <v>138.13792617867819</v>
      </c>
      <c r="AG122" s="488">
        <f t="shared" si="63"/>
        <v>142.73085666342485</v>
      </c>
      <c r="AH122" s="488">
        <f t="shared" si="63"/>
        <v>148.49908950106371</v>
      </c>
      <c r="AI122" s="488">
        <f t="shared" si="63"/>
        <v>154.50043598243045</v>
      </c>
      <c r="AJ122" s="488">
        <f t="shared" si="63"/>
        <v>160.74431701205893</v>
      </c>
      <c r="AK122" s="488">
        <f t="shared" si="63"/>
        <v>167.24053422484602</v>
      </c>
      <c r="AL122" s="488">
        <f t="shared" si="63"/>
        <v>173.99928537264344</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'400 West'!D48</f>
        <v>248.76823196030929</v>
      </c>
      <c r="E126" s="383">
        <f>'400 West'!E48</f>
        <v>258.82179093206406</v>
      </c>
      <c r="F126" s="383">
        <f>'400 West'!F48</f>
        <v>269.28164795563225</v>
      </c>
      <c r="G126" s="383">
        <f>'400 West'!G48</f>
        <v>280.16422289858241</v>
      </c>
      <c r="H126" s="383">
        <f>'400 West'!H48</f>
        <v>0</v>
      </c>
      <c r="I126" s="383">
        <f>'400 West'!I48</f>
        <v>0</v>
      </c>
      <c r="J126" s="383">
        <f>'400 West'!J48</f>
        <v>0</v>
      </c>
      <c r="K126" s="383">
        <f>'400 West'!K48</f>
        <v>0</v>
      </c>
      <c r="L126" s="383">
        <f>'400 West'!L48</f>
        <v>0</v>
      </c>
      <c r="M126" s="383">
        <f>'400 West'!M48</f>
        <v>0</v>
      </c>
      <c r="N126" s="383">
        <f>'400 West'!N48</f>
        <v>0</v>
      </c>
      <c r="O126" s="383">
        <f>'400 West'!O48</f>
        <v>0</v>
      </c>
      <c r="P126" s="383">
        <f>'400 West'!P48</f>
        <v>0</v>
      </c>
      <c r="Q126" s="383">
        <f>'400 West'!Q48</f>
        <v>0</v>
      </c>
      <c r="R126" s="383">
        <f>'400 West'!R48</f>
        <v>0</v>
      </c>
      <c r="S126" s="383">
        <f>'400 West'!S48</f>
        <v>0</v>
      </c>
      <c r="T126" s="383">
        <f>'400 West'!T48</f>
        <v>0</v>
      </c>
      <c r="U126" s="383">
        <f>'400 West'!U48</f>
        <v>0</v>
      </c>
      <c r="V126" s="383">
        <f>'400 West'!V48</f>
        <v>0</v>
      </c>
      <c r="W126" s="383">
        <f>'400 West'!W48</f>
        <v>0</v>
      </c>
      <c r="X126" s="383">
        <f>'400 West'!X48</f>
        <v>0</v>
      </c>
      <c r="Y126" s="383">
        <f>'400 West'!Y48</f>
        <v>0</v>
      </c>
      <c r="Z126" s="383">
        <f>'400 West'!Z48</f>
        <v>0</v>
      </c>
      <c r="AA126" s="383">
        <f>'400 West'!AA48</f>
        <v>0</v>
      </c>
      <c r="AB126" s="383">
        <f>'400 West'!AB48</f>
        <v>0</v>
      </c>
      <c r="AC126" s="383">
        <f>'400 West'!AC48</f>
        <v>0</v>
      </c>
      <c r="AD126" s="383">
        <f>'400 West'!AD48</f>
        <v>0</v>
      </c>
      <c r="AE126" s="383">
        <f>'400 West'!AE48</f>
        <v>0</v>
      </c>
      <c r="AF126" s="383">
        <f>'400 West'!AF48</f>
        <v>0</v>
      </c>
      <c r="AG126" s="383">
        <f>'400 West'!AG48</f>
        <v>0</v>
      </c>
      <c r="AH126" s="383">
        <f>'400 West'!AH48</f>
        <v>0</v>
      </c>
      <c r="AI126" s="383">
        <f>'400 West'!AI48</f>
        <v>0</v>
      </c>
      <c r="AJ126" s="383">
        <f>'400 West'!AJ48</f>
        <v>0</v>
      </c>
      <c r="AK126" s="383">
        <f>'400 West'!AK48</f>
        <v>0</v>
      </c>
      <c r="AL126" s="383">
        <f>'400 West'!AL48</f>
        <v>0</v>
      </c>
    </row>
    <row r="127" spans="1:38">
      <c r="B127" s="385" t="s">
        <v>509</v>
      </c>
      <c r="C127" s="386" t="s">
        <v>443</v>
      </c>
      <c r="D127" s="383">
        <f>'400 West'!D49</f>
        <v>13.093064840016281</v>
      </c>
      <c r="E127" s="383">
        <f>'400 West'!E49</f>
        <v>13.622199522740216</v>
      </c>
      <c r="F127" s="383">
        <f>'400 West'!F49</f>
        <v>14.172718313454332</v>
      </c>
      <c r="G127" s="383">
        <f>'400 West'!G49</f>
        <v>14.745485415714866</v>
      </c>
      <c r="H127" s="383">
        <f>'400 West'!H49</f>
        <v>0</v>
      </c>
      <c r="I127" s="383">
        <f>'400 West'!I49</f>
        <v>0</v>
      </c>
      <c r="J127" s="383">
        <f>'400 West'!J49</f>
        <v>0</v>
      </c>
      <c r="K127" s="383">
        <f>'400 West'!K49</f>
        <v>0</v>
      </c>
      <c r="L127" s="383">
        <f>'400 West'!L49</f>
        <v>0</v>
      </c>
      <c r="M127" s="383">
        <f>'400 West'!M49</f>
        <v>0</v>
      </c>
      <c r="N127" s="383">
        <f>'400 West'!N49</f>
        <v>0</v>
      </c>
      <c r="O127" s="383">
        <f>'400 West'!O49</f>
        <v>0</v>
      </c>
      <c r="P127" s="383">
        <f>'400 West'!P49</f>
        <v>0</v>
      </c>
      <c r="Q127" s="383">
        <f>'400 West'!Q49</f>
        <v>0</v>
      </c>
      <c r="R127" s="383">
        <f>'400 West'!R49</f>
        <v>0</v>
      </c>
      <c r="S127" s="383">
        <f>'400 West'!S49</f>
        <v>0</v>
      </c>
      <c r="T127" s="383">
        <f>'400 West'!T49</f>
        <v>0</v>
      </c>
      <c r="U127" s="383">
        <f>'400 West'!U49</f>
        <v>0</v>
      </c>
      <c r="V127" s="383">
        <f>'400 West'!V49</f>
        <v>0</v>
      </c>
      <c r="W127" s="383">
        <f>'400 West'!W49</f>
        <v>0</v>
      </c>
      <c r="X127" s="383">
        <f>'400 West'!X49</f>
        <v>0</v>
      </c>
      <c r="Y127" s="383">
        <f>'400 West'!Y49</f>
        <v>0</v>
      </c>
      <c r="Z127" s="383">
        <f>'400 West'!Z49</f>
        <v>0</v>
      </c>
      <c r="AA127" s="383">
        <f>'400 West'!AA49</f>
        <v>0</v>
      </c>
      <c r="AB127" s="383">
        <f>'400 West'!AB49</f>
        <v>0</v>
      </c>
      <c r="AC127" s="383">
        <f>'400 West'!AC49</f>
        <v>0</v>
      </c>
      <c r="AD127" s="383">
        <f>'400 West'!AD49</f>
        <v>0</v>
      </c>
      <c r="AE127" s="383">
        <f>'400 West'!AE49</f>
        <v>0</v>
      </c>
      <c r="AF127" s="383">
        <f>'400 West'!AF49</f>
        <v>0</v>
      </c>
      <c r="AG127" s="383">
        <f>'400 West'!AG49</f>
        <v>0</v>
      </c>
      <c r="AH127" s="383">
        <f>'400 West'!AH49</f>
        <v>0</v>
      </c>
      <c r="AI127" s="383">
        <f>'400 West'!AI49</f>
        <v>0</v>
      </c>
      <c r="AJ127" s="383">
        <f>'400 West'!AJ49</f>
        <v>0</v>
      </c>
      <c r="AK127" s="383">
        <f>'400 West'!AK49</f>
        <v>0</v>
      </c>
      <c r="AL127" s="383">
        <f>'400 West'!AL49</f>
        <v>0</v>
      </c>
    </row>
    <row r="128" spans="1:38">
      <c r="B128" s="358" t="s">
        <v>769</v>
      </c>
      <c r="C128" s="358" t="s">
        <v>443</v>
      </c>
      <c r="D128" s="383">
        <f>'400 West'!D50</f>
        <v>0</v>
      </c>
      <c r="E128" s="383">
        <f>'400 West'!E50</f>
        <v>0</v>
      </c>
      <c r="F128" s="383">
        <f>'400 West'!F50</f>
        <v>0</v>
      </c>
      <c r="G128" s="383">
        <f>'400 West'!G50</f>
        <v>0</v>
      </c>
      <c r="H128" s="383">
        <f>'400 West'!H50</f>
        <v>0</v>
      </c>
      <c r="I128" s="383">
        <f>'400 West'!I50</f>
        <v>0</v>
      </c>
      <c r="J128" s="383">
        <f>'400 West'!J50</f>
        <v>0</v>
      </c>
      <c r="K128" s="383">
        <f>'400 West'!K50</f>
        <v>0</v>
      </c>
      <c r="L128" s="383">
        <f>'400 West'!L50</f>
        <v>0</v>
      </c>
      <c r="M128" s="383">
        <f>'400 West'!M50</f>
        <v>0</v>
      </c>
      <c r="N128" s="383">
        <f>'400 West'!N50</f>
        <v>0</v>
      </c>
      <c r="O128" s="383">
        <f>'400 West'!O50</f>
        <v>0</v>
      </c>
      <c r="P128" s="383">
        <f>'400 West'!P50</f>
        <v>0</v>
      </c>
      <c r="Q128" s="383">
        <f>'400 West'!Q50</f>
        <v>0</v>
      </c>
      <c r="R128" s="383">
        <f>'400 West'!R50</f>
        <v>0</v>
      </c>
      <c r="S128" s="383">
        <f>'400 West'!S50</f>
        <v>0</v>
      </c>
      <c r="T128" s="383">
        <f>'400 West'!T50</f>
        <v>0</v>
      </c>
      <c r="U128" s="383">
        <f>'400 West'!U50</f>
        <v>0</v>
      </c>
      <c r="V128" s="383">
        <f>'400 West'!V50</f>
        <v>0</v>
      </c>
      <c r="W128" s="383">
        <f>'400 West'!W50</f>
        <v>0</v>
      </c>
      <c r="X128" s="383">
        <f>'400 West'!X50</f>
        <v>0</v>
      </c>
      <c r="Y128" s="383">
        <f>'400 West'!Y50</f>
        <v>0</v>
      </c>
      <c r="Z128" s="383">
        <f>'400 West'!Z50</f>
        <v>0</v>
      </c>
      <c r="AA128" s="383">
        <f>'400 West'!AA50</f>
        <v>0</v>
      </c>
      <c r="AB128" s="383">
        <f>'400 West'!AB50</f>
        <v>0</v>
      </c>
      <c r="AC128" s="383">
        <f>'400 West'!AC50</f>
        <v>0</v>
      </c>
      <c r="AD128" s="383">
        <f>'400 West'!AD50</f>
        <v>0</v>
      </c>
      <c r="AE128" s="383">
        <f>'400 West'!AE50</f>
        <v>0</v>
      </c>
      <c r="AF128" s="383">
        <f>'400 West'!AF50</f>
        <v>0</v>
      </c>
      <c r="AG128" s="383">
        <f>'400 West'!AG50</f>
        <v>0</v>
      </c>
      <c r="AH128" s="383">
        <f>'400 West'!AH50</f>
        <v>0</v>
      </c>
      <c r="AI128" s="383">
        <f>'400 West'!AI50</f>
        <v>0</v>
      </c>
      <c r="AJ128" s="383">
        <f>'400 West'!AJ50</f>
        <v>0</v>
      </c>
      <c r="AK128" s="383">
        <f>'400 West'!AK50</f>
        <v>0</v>
      </c>
      <c r="AL128" s="383">
        <f>'400 West'!AL50</f>
        <v>0</v>
      </c>
    </row>
    <row r="129" spans="1:38">
      <c r="D129" s="358"/>
      <c r="F129" s="464"/>
      <c r="G129" s="465"/>
      <c r="H129" s="465"/>
    </row>
    <row r="130" spans="1:38">
      <c r="B130" s="476" t="s">
        <v>708</v>
      </c>
      <c r="C130" s="484" t="s">
        <v>292</v>
      </c>
      <c r="D130" s="582">
        <f t="shared" ref="D130:AL130" si="64">(D$126*D90+D$127*D95+D$128*D100)/Grams.Per.Metric.Ton*D105</f>
        <v>36.146940557811135</v>
      </c>
      <c r="E130" s="582">
        <f t="shared" si="64"/>
        <v>37.853522308328145</v>
      </c>
      <c r="F130" s="582">
        <f t="shared" si="64"/>
        <v>39.620259204839549</v>
      </c>
      <c r="G130" s="582">
        <f t="shared" si="64"/>
        <v>41.44846855935107</v>
      </c>
      <c r="H130" s="582">
        <f t="shared" si="64"/>
        <v>0</v>
      </c>
      <c r="I130" s="582">
        <f t="shared" si="64"/>
        <v>0</v>
      </c>
      <c r="J130" s="582">
        <f t="shared" si="64"/>
        <v>0</v>
      </c>
      <c r="K130" s="582">
        <f t="shared" si="64"/>
        <v>0</v>
      </c>
      <c r="L130" s="582">
        <f t="shared" si="64"/>
        <v>0</v>
      </c>
      <c r="M130" s="582">
        <f t="shared" si="64"/>
        <v>0</v>
      </c>
      <c r="N130" s="582">
        <f t="shared" si="64"/>
        <v>0</v>
      </c>
      <c r="O130" s="582">
        <f t="shared" si="64"/>
        <v>0</v>
      </c>
      <c r="P130" s="582">
        <f t="shared" si="64"/>
        <v>0</v>
      </c>
      <c r="Q130" s="582">
        <f t="shared" si="64"/>
        <v>0</v>
      </c>
      <c r="R130" s="582">
        <f t="shared" si="64"/>
        <v>0</v>
      </c>
      <c r="S130" s="582">
        <f t="shared" si="64"/>
        <v>0</v>
      </c>
      <c r="T130" s="582">
        <f t="shared" si="64"/>
        <v>0</v>
      </c>
      <c r="U130" s="582">
        <f t="shared" si="64"/>
        <v>0</v>
      </c>
      <c r="V130" s="582">
        <f t="shared" si="64"/>
        <v>0</v>
      </c>
      <c r="W130" s="582">
        <f t="shared" si="64"/>
        <v>0</v>
      </c>
      <c r="X130" s="582">
        <f t="shared" si="64"/>
        <v>0</v>
      </c>
      <c r="Y130" s="582">
        <f t="shared" si="64"/>
        <v>0</v>
      </c>
      <c r="Z130" s="582">
        <f t="shared" si="64"/>
        <v>0</v>
      </c>
      <c r="AA130" s="582">
        <f t="shared" si="64"/>
        <v>0</v>
      </c>
      <c r="AB130" s="582">
        <f t="shared" si="64"/>
        <v>0</v>
      </c>
      <c r="AC130" s="582">
        <f t="shared" si="64"/>
        <v>0</v>
      </c>
      <c r="AD130" s="582">
        <f t="shared" si="64"/>
        <v>0</v>
      </c>
      <c r="AE130" s="582">
        <f t="shared" si="64"/>
        <v>0</v>
      </c>
      <c r="AF130" s="582">
        <f t="shared" si="64"/>
        <v>0</v>
      </c>
      <c r="AG130" s="582">
        <f t="shared" si="64"/>
        <v>0</v>
      </c>
      <c r="AH130" s="582">
        <f t="shared" si="64"/>
        <v>0</v>
      </c>
      <c r="AI130" s="582">
        <f t="shared" si="64"/>
        <v>0</v>
      </c>
      <c r="AJ130" s="582">
        <f t="shared" si="64"/>
        <v>0</v>
      </c>
      <c r="AK130" s="582">
        <f t="shared" si="64"/>
        <v>0</v>
      </c>
      <c r="AL130" s="582">
        <f t="shared" si="64"/>
        <v>0</v>
      </c>
    </row>
    <row r="131" spans="1:38">
      <c r="B131" s="478" t="s">
        <v>709</v>
      </c>
      <c r="C131" s="484" t="s">
        <v>292</v>
      </c>
      <c r="D131" s="582">
        <f t="shared" ref="D131:AL131" si="65">(D$126*D91+D$127*D96+D$128*D101)/Grams.Per.Metric.Ton*D106</f>
        <v>23.133301084899756</v>
      </c>
      <c r="E131" s="582">
        <f t="shared" si="65"/>
        <v>22.522063139722693</v>
      </c>
      <c r="F131" s="582">
        <f t="shared" si="65"/>
        <v>21.90944157210517</v>
      </c>
      <c r="G131" s="582">
        <f t="shared" si="65"/>
        <v>21.009373490010631</v>
      </c>
      <c r="H131" s="582">
        <f t="shared" si="65"/>
        <v>0</v>
      </c>
      <c r="I131" s="582">
        <f t="shared" si="65"/>
        <v>0</v>
      </c>
      <c r="J131" s="582">
        <f t="shared" si="65"/>
        <v>0</v>
      </c>
      <c r="K131" s="582">
        <f t="shared" si="65"/>
        <v>0</v>
      </c>
      <c r="L131" s="582">
        <f t="shared" si="65"/>
        <v>0</v>
      </c>
      <c r="M131" s="582">
        <f t="shared" si="65"/>
        <v>0</v>
      </c>
      <c r="N131" s="582">
        <f t="shared" si="65"/>
        <v>0</v>
      </c>
      <c r="O131" s="582">
        <f t="shared" si="65"/>
        <v>0</v>
      </c>
      <c r="P131" s="582">
        <f t="shared" si="65"/>
        <v>0</v>
      </c>
      <c r="Q131" s="582">
        <f t="shared" si="65"/>
        <v>0</v>
      </c>
      <c r="R131" s="582">
        <f t="shared" si="65"/>
        <v>0</v>
      </c>
      <c r="S131" s="582">
        <f t="shared" si="65"/>
        <v>0</v>
      </c>
      <c r="T131" s="582">
        <f t="shared" si="65"/>
        <v>0</v>
      </c>
      <c r="U131" s="582">
        <f t="shared" si="65"/>
        <v>0</v>
      </c>
      <c r="V131" s="582">
        <f t="shared" si="65"/>
        <v>0</v>
      </c>
      <c r="W131" s="582">
        <f t="shared" si="65"/>
        <v>0</v>
      </c>
      <c r="X131" s="582">
        <f t="shared" si="65"/>
        <v>0</v>
      </c>
      <c r="Y131" s="582">
        <f t="shared" si="65"/>
        <v>0</v>
      </c>
      <c r="Z131" s="582">
        <f t="shared" si="65"/>
        <v>0</v>
      </c>
      <c r="AA131" s="582">
        <f t="shared" si="65"/>
        <v>0</v>
      </c>
      <c r="AB131" s="582">
        <f t="shared" si="65"/>
        <v>0</v>
      </c>
      <c r="AC131" s="582">
        <f t="shared" si="65"/>
        <v>0</v>
      </c>
      <c r="AD131" s="582">
        <f t="shared" si="65"/>
        <v>0</v>
      </c>
      <c r="AE131" s="582">
        <f t="shared" si="65"/>
        <v>0</v>
      </c>
      <c r="AF131" s="582">
        <f t="shared" si="65"/>
        <v>0</v>
      </c>
      <c r="AG131" s="582">
        <f t="shared" si="65"/>
        <v>0</v>
      </c>
      <c r="AH131" s="582">
        <f t="shared" si="65"/>
        <v>0</v>
      </c>
      <c r="AI131" s="582">
        <f t="shared" si="65"/>
        <v>0</v>
      </c>
      <c r="AJ131" s="582">
        <f t="shared" si="65"/>
        <v>0</v>
      </c>
      <c r="AK131" s="582">
        <f t="shared" si="65"/>
        <v>0</v>
      </c>
      <c r="AL131" s="582">
        <f t="shared" si="65"/>
        <v>0</v>
      </c>
    </row>
    <row r="132" spans="1:38">
      <c r="B132" s="478" t="s">
        <v>710</v>
      </c>
      <c r="C132" s="484" t="s">
        <v>292</v>
      </c>
      <c r="D132" s="582">
        <f t="shared" ref="D132:AL132" si="66">(D$126*D92+D$127*D97+D$128*D102)/Grams.Per.Metric.Ton*D107</f>
        <v>36.246115825686658</v>
      </c>
      <c r="E132" s="582">
        <f t="shared" si="66"/>
        <v>36.094221103871782</v>
      </c>
      <c r="F132" s="582">
        <f t="shared" si="66"/>
        <v>35.801659845819934</v>
      </c>
      <c r="G132" s="582">
        <f t="shared" si="66"/>
        <v>35.347048757222616</v>
      </c>
      <c r="H132" s="582">
        <f t="shared" si="66"/>
        <v>0</v>
      </c>
      <c r="I132" s="582">
        <f t="shared" si="66"/>
        <v>0</v>
      </c>
      <c r="J132" s="582">
        <f t="shared" si="66"/>
        <v>0</v>
      </c>
      <c r="K132" s="582">
        <f t="shared" si="66"/>
        <v>0</v>
      </c>
      <c r="L132" s="582">
        <f t="shared" si="66"/>
        <v>0</v>
      </c>
      <c r="M132" s="582">
        <f t="shared" si="66"/>
        <v>0</v>
      </c>
      <c r="N132" s="582">
        <f t="shared" si="66"/>
        <v>0</v>
      </c>
      <c r="O132" s="582">
        <f t="shared" si="66"/>
        <v>0</v>
      </c>
      <c r="P132" s="582">
        <f t="shared" si="66"/>
        <v>0</v>
      </c>
      <c r="Q132" s="582">
        <f t="shared" si="66"/>
        <v>0</v>
      </c>
      <c r="R132" s="582">
        <f t="shared" si="66"/>
        <v>0</v>
      </c>
      <c r="S132" s="582">
        <f t="shared" si="66"/>
        <v>0</v>
      </c>
      <c r="T132" s="582">
        <f t="shared" si="66"/>
        <v>0</v>
      </c>
      <c r="U132" s="582">
        <f t="shared" si="66"/>
        <v>0</v>
      </c>
      <c r="V132" s="582">
        <f t="shared" si="66"/>
        <v>0</v>
      </c>
      <c r="W132" s="582">
        <f t="shared" si="66"/>
        <v>0</v>
      </c>
      <c r="X132" s="582">
        <f t="shared" si="66"/>
        <v>0</v>
      </c>
      <c r="Y132" s="582">
        <f t="shared" si="66"/>
        <v>0</v>
      </c>
      <c r="Z132" s="582">
        <f t="shared" si="66"/>
        <v>0</v>
      </c>
      <c r="AA132" s="582">
        <f t="shared" si="66"/>
        <v>0</v>
      </c>
      <c r="AB132" s="582">
        <f t="shared" si="66"/>
        <v>0</v>
      </c>
      <c r="AC132" s="582">
        <f t="shared" si="66"/>
        <v>0</v>
      </c>
      <c r="AD132" s="582">
        <f t="shared" si="66"/>
        <v>0</v>
      </c>
      <c r="AE132" s="582">
        <f t="shared" si="66"/>
        <v>0</v>
      </c>
      <c r="AF132" s="582">
        <f t="shared" si="66"/>
        <v>0</v>
      </c>
      <c r="AG132" s="582">
        <f t="shared" si="66"/>
        <v>0</v>
      </c>
      <c r="AH132" s="582">
        <f t="shared" si="66"/>
        <v>0</v>
      </c>
      <c r="AI132" s="582">
        <f t="shared" si="66"/>
        <v>0</v>
      </c>
      <c r="AJ132" s="582">
        <f t="shared" si="66"/>
        <v>0</v>
      </c>
      <c r="AK132" s="582">
        <f t="shared" si="66"/>
        <v>0</v>
      </c>
      <c r="AL132" s="582">
        <f t="shared" si="66"/>
        <v>0</v>
      </c>
    </row>
    <row r="133" spans="1:38">
      <c r="B133" s="478" t="s">
        <v>711</v>
      </c>
      <c r="C133" s="484" t="s">
        <v>292</v>
      </c>
      <c r="D133" s="582">
        <f t="shared" ref="D133:AL133" si="67">(D$126*D93+D$127*D98+D$128*D103)/Grams.Per.Metric.Ton*D108</f>
        <v>0.2016924944760817</v>
      </c>
      <c r="E133" s="582">
        <f t="shared" si="67"/>
        <v>0.21127825569404457</v>
      </c>
      <c r="F133" s="582">
        <f t="shared" si="67"/>
        <v>0.22172102574641453</v>
      </c>
      <c r="G133" s="582">
        <f t="shared" si="67"/>
        <v>0.2325410602108082</v>
      </c>
      <c r="H133" s="582">
        <f t="shared" si="67"/>
        <v>0</v>
      </c>
      <c r="I133" s="582">
        <f t="shared" si="67"/>
        <v>0</v>
      </c>
      <c r="J133" s="582">
        <f t="shared" si="67"/>
        <v>0</v>
      </c>
      <c r="K133" s="582">
        <f t="shared" si="67"/>
        <v>0</v>
      </c>
      <c r="L133" s="582">
        <f t="shared" si="67"/>
        <v>0</v>
      </c>
      <c r="M133" s="582">
        <f t="shared" si="67"/>
        <v>0</v>
      </c>
      <c r="N133" s="582">
        <f t="shared" si="67"/>
        <v>0</v>
      </c>
      <c r="O133" s="582">
        <f t="shared" si="67"/>
        <v>0</v>
      </c>
      <c r="P133" s="582">
        <f t="shared" si="67"/>
        <v>0</v>
      </c>
      <c r="Q133" s="582">
        <f t="shared" si="67"/>
        <v>0</v>
      </c>
      <c r="R133" s="582">
        <f t="shared" si="67"/>
        <v>0</v>
      </c>
      <c r="S133" s="582">
        <f t="shared" si="67"/>
        <v>0</v>
      </c>
      <c r="T133" s="582">
        <f t="shared" si="67"/>
        <v>0</v>
      </c>
      <c r="U133" s="582">
        <f t="shared" si="67"/>
        <v>0</v>
      </c>
      <c r="V133" s="582">
        <f t="shared" si="67"/>
        <v>0</v>
      </c>
      <c r="W133" s="582">
        <f t="shared" si="67"/>
        <v>0</v>
      </c>
      <c r="X133" s="582">
        <f t="shared" si="67"/>
        <v>0</v>
      </c>
      <c r="Y133" s="582">
        <f t="shared" si="67"/>
        <v>0</v>
      </c>
      <c r="Z133" s="582">
        <f t="shared" si="67"/>
        <v>0</v>
      </c>
      <c r="AA133" s="582">
        <f t="shared" si="67"/>
        <v>0</v>
      </c>
      <c r="AB133" s="582">
        <f t="shared" si="67"/>
        <v>0</v>
      </c>
      <c r="AC133" s="582">
        <f t="shared" si="67"/>
        <v>0</v>
      </c>
      <c r="AD133" s="582">
        <f t="shared" si="67"/>
        <v>0</v>
      </c>
      <c r="AE133" s="582">
        <f t="shared" si="67"/>
        <v>0</v>
      </c>
      <c r="AF133" s="582">
        <f t="shared" si="67"/>
        <v>0</v>
      </c>
      <c r="AG133" s="582">
        <f t="shared" si="67"/>
        <v>0</v>
      </c>
      <c r="AH133" s="582">
        <f t="shared" si="67"/>
        <v>0</v>
      </c>
      <c r="AI133" s="582">
        <f t="shared" si="67"/>
        <v>0</v>
      </c>
      <c r="AJ133" s="582">
        <f t="shared" si="67"/>
        <v>0</v>
      </c>
      <c r="AK133" s="582">
        <f t="shared" si="67"/>
        <v>0</v>
      </c>
      <c r="AL133" s="582">
        <f t="shared" si="67"/>
        <v>0</v>
      </c>
    </row>
    <row r="134" spans="1:38">
      <c r="D134" s="358"/>
      <c r="F134" s="464"/>
      <c r="G134" s="465"/>
      <c r="H134" s="465"/>
    </row>
    <row r="135" spans="1:38" ht="13">
      <c r="B135" s="493" t="s">
        <v>465</v>
      </c>
      <c r="C135" s="487" t="s">
        <v>292</v>
      </c>
      <c r="D135" s="488">
        <f t="shared" ref="D135:AL135" si="68">D130</f>
        <v>36.146940557811135</v>
      </c>
      <c r="E135" s="488">
        <f t="shared" si="68"/>
        <v>37.853522308328145</v>
      </c>
      <c r="F135" s="488">
        <f t="shared" si="68"/>
        <v>39.620259204839549</v>
      </c>
      <c r="G135" s="488">
        <f t="shared" si="68"/>
        <v>41.44846855935107</v>
      </c>
      <c r="H135" s="488">
        <f t="shared" si="68"/>
        <v>0</v>
      </c>
      <c r="I135" s="488">
        <f t="shared" si="68"/>
        <v>0</v>
      </c>
      <c r="J135" s="488">
        <f t="shared" si="68"/>
        <v>0</v>
      </c>
      <c r="K135" s="488">
        <f t="shared" si="68"/>
        <v>0</v>
      </c>
      <c r="L135" s="488">
        <f t="shared" si="68"/>
        <v>0</v>
      </c>
      <c r="M135" s="488">
        <f t="shared" si="68"/>
        <v>0</v>
      </c>
      <c r="N135" s="488">
        <f t="shared" si="68"/>
        <v>0</v>
      </c>
      <c r="O135" s="488">
        <f t="shared" si="68"/>
        <v>0</v>
      </c>
      <c r="P135" s="488">
        <f t="shared" si="68"/>
        <v>0</v>
      </c>
      <c r="Q135" s="488">
        <f t="shared" si="68"/>
        <v>0</v>
      </c>
      <c r="R135" s="488">
        <f t="shared" si="68"/>
        <v>0</v>
      </c>
      <c r="S135" s="488">
        <f t="shared" si="68"/>
        <v>0</v>
      </c>
      <c r="T135" s="488">
        <f t="shared" si="68"/>
        <v>0</v>
      </c>
      <c r="U135" s="488">
        <f t="shared" si="68"/>
        <v>0</v>
      </c>
      <c r="V135" s="488">
        <f t="shared" si="68"/>
        <v>0</v>
      </c>
      <c r="W135" s="488">
        <f t="shared" si="68"/>
        <v>0</v>
      </c>
      <c r="X135" s="488">
        <f t="shared" si="68"/>
        <v>0</v>
      </c>
      <c r="Y135" s="488">
        <f t="shared" si="68"/>
        <v>0</v>
      </c>
      <c r="Z135" s="488">
        <f t="shared" si="68"/>
        <v>0</v>
      </c>
      <c r="AA135" s="488">
        <f t="shared" si="68"/>
        <v>0</v>
      </c>
      <c r="AB135" s="488">
        <f t="shared" si="68"/>
        <v>0</v>
      </c>
      <c r="AC135" s="488">
        <f t="shared" si="68"/>
        <v>0</v>
      </c>
      <c r="AD135" s="488">
        <f t="shared" si="68"/>
        <v>0</v>
      </c>
      <c r="AE135" s="488">
        <f t="shared" si="68"/>
        <v>0</v>
      </c>
      <c r="AF135" s="488">
        <f t="shared" si="68"/>
        <v>0</v>
      </c>
      <c r="AG135" s="488">
        <f t="shared" si="68"/>
        <v>0</v>
      </c>
      <c r="AH135" s="488">
        <f t="shared" si="68"/>
        <v>0</v>
      </c>
      <c r="AI135" s="488">
        <f t="shared" si="68"/>
        <v>0</v>
      </c>
      <c r="AJ135" s="488">
        <f t="shared" si="68"/>
        <v>0</v>
      </c>
      <c r="AK135" s="488">
        <f t="shared" si="68"/>
        <v>0</v>
      </c>
      <c r="AL135" s="488">
        <f t="shared" si="68"/>
        <v>0</v>
      </c>
    </row>
    <row r="136" spans="1:38" ht="13">
      <c r="B136" s="494" t="s">
        <v>466</v>
      </c>
      <c r="C136" s="487" t="s">
        <v>292</v>
      </c>
      <c r="D136" s="488">
        <f t="shared" ref="D136:AL136" si="69">SUM(D130:D133)</f>
        <v>95.728049962873627</v>
      </c>
      <c r="E136" s="488">
        <f t="shared" si="69"/>
        <v>96.681084807616671</v>
      </c>
      <c r="F136" s="488">
        <f t="shared" si="69"/>
        <v>97.553081648511082</v>
      </c>
      <c r="G136" s="488">
        <f t="shared" si="69"/>
        <v>98.037431866795131</v>
      </c>
      <c r="H136" s="488">
        <f t="shared" si="69"/>
        <v>0</v>
      </c>
      <c r="I136" s="488">
        <f t="shared" si="69"/>
        <v>0</v>
      </c>
      <c r="J136" s="488">
        <f t="shared" si="69"/>
        <v>0</v>
      </c>
      <c r="K136" s="488">
        <f t="shared" si="69"/>
        <v>0</v>
      </c>
      <c r="L136" s="488">
        <f t="shared" si="69"/>
        <v>0</v>
      </c>
      <c r="M136" s="488">
        <f t="shared" si="69"/>
        <v>0</v>
      </c>
      <c r="N136" s="488">
        <f t="shared" si="69"/>
        <v>0</v>
      </c>
      <c r="O136" s="488">
        <f t="shared" si="69"/>
        <v>0</v>
      </c>
      <c r="P136" s="488">
        <f t="shared" si="69"/>
        <v>0</v>
      </c>
      <c r="Q136" s="488">
        <f t="shared" si="69"/>
        <v>0</v>
      </c>
      <c r="R136" s="488">
        <f t="shared" si="69"/>
        <v>0</v>
      </c>
      <c r="S136" s="488">
        <f t="shared" si="69"/>
        <v>0</v>
      </c>
      <c r="T136" s="488">
        <f t="shared" si="69"/>
        <v>0</v>
      </c>
      <c r="U136" s="488">
        <f t="shared" si="69"/>
        <v>0</v>
      </c>
      <c r="V136" s="488">
        <f t="shared" si="69"/>
        <v>0</v>
      </c>
      <c r="W136" s="488">
        <f t="shared" si="69"/>
        <v>0</v>
      </c>
      <c r="X136" s="488">
        <f t="shared" si="69"/>
        <v>0</v>
      </c>
      <c r="Y136" s="488">
        <f t="shared" si="69"/>
        <v>0</v>
      </c>
      <c r="Z136" s="488">
        <f t="shared" si="69"/>
        <v>0</v>
      </c>
      <c r="AA136" s="488">
        <f t="shared" si="69"/>
        <v>0</v>
      </c>
      <c r="AB136" s="488">
        <f t="shared" si="69"/>
        <v>0</v>
      </c>
      <c r="AC136" s="488">
        <f t="shared" si="69"/>
        <v>0</v>
      </c>
      <c r="AD136" s="488">
        <f t="shared" si="69"/>
        <v>0</v>
      </c>
      <c r="AE136" s="488">
        <f t="shared" si="69"/>
        <v>0</v>
      </c>
      <c r="AF136" s="488">
        <f t="shared" si="69"/>
        <v>0</v>
      </c>
      <c r="AG136" s="488">
        <f t="shared" si="69"/>
        <v>0</v>
      </c>
      <c r="AH136" s="488">
        <f t="shared" si="69"/>
        <v>0</v>
      </c>
      <c r="AI136" s="488">
        <f t="shared" si="69"/>
        <v>0</v>
      </c>
      <c r="AJ136" s="488">
        <f t="shared" si="69"/>
        <v>0</v>
      </c>
      <c r="AK136" s="488">
        <f t="shared" si="69"/>
        <v>0</v>
      </c>
      <c r="AL136" s="488">
        <f t="shared" si="69"/>
        <v>0</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70">((D$112*D90+D$113*D95+D$114*D100)-(D$126*D90+D$127*D95+D$128*D100))/Grams.Per.Metric.Ton</f>
        <v>0</v>
      </c>
      <c r="E140" s="474">
        <f t="shared" si="70"/>
        <v>0</v>
      </c>
      <c r="F140" s="474">
        <f t="shared" si="70"/>
        <v>0</v>
      </c>
      <c r="G140" s="474">
        <f t="shared" si="70"/>
        <v>0</v>
      </c>
      <c r="H140" s="474">
        <f t="shared" si="70"/>
        <v>0.77391866596430792</v>
      </c>
      <c r="I140" s="474">
        <f t="shared" si="70"/>
        <v>0.79463959197500766</v>
      </c>
      <c r="J140" s="474">
        <f t="shared" si="70"/>
        <v>0.81577132790362639</v>
      </c>
      <c r="K140" s="474">
        <f t="shared" si="70"/>
        <v>0.83731323593400631</v>
      </c>
      <c r="L140" s="474">
        <f t="shared" si="70"/>
        <v>0.8592639557465066</v>
      </c>
      <c r="M140" s="474">
        <f t="shared" si="70"/>
        <v>0.88162134716213447</v>
      </c>
      <c r="N140" s="474">
        <f t="shared" si="70"/>
        <v>0.90245779880624932</v>
      </c>
      <c r="O140" s="474">
        <f t="shared" si="70"/>
        <v>0.92353849367411978</v>
      </c>
      <c r="P140" s="474">
        <f t="shared" si="70"/>
        <v>0.94484914223057526</v>
      </c>
      <c r="Q140" s="474">
        <f t="shared" si="70"/>
        <v>0.96637390105667065</v>
      </c>
      <c r="R140" s="474">
        <f t="shared" si="70"/>
        <v>0.98809527059261715</v>
      </c>
      <c r="S140" s="474">
        <f t="shared" si="70"/>
        <v>1.0099939871534851</v>
      </c>
      <c r="T140" s="474">
        <f t="shared" si="70"/>
        <v>1.0320489089216858</v>
      </c>
      <c r="U140" s="474">
        <f t="shared" si="70"/>
        <v>1.0542368956059538</v>
      </c>
      <c r="V140" s="474">
        <f t="shared" si="70"/>
        <v>1.0765326814408898</v>
      </c>
      <c r="W140" s="474">
        <f t="shared" si="70"/>
        <v>1.0989087411855314</v>
      </c>
      <c r="X140" s="474">
        <f t="shared" si="70"/>
        <v>1.1287042402619889</v>
      </c>
      <c r="Y140" s="474">
        <f t="shared" si="70"/>
        <v>1.1591132305879035</v>
      </c>
      <c r="Z140" s="474">
        <f t="shared" si="70"/>
        <v>1.1901366354631748</v>
      </c>
      <c r="AA140" s="474">
        <f t="shared" si="70"/>
        <v>1.221774450836977</v>
      </c>
      <c r="AB140" s="474">
        <f t="shared" si="70"/>
        <v>1.2540256688450822</v>
      </c>
      <c r="AC140" s="474">
        <f t="shared" si="70"/>
        <v>1.2868881966815493</v>
      </c>
      <c r="AD140" s="474">
        <f t="shared" si="70"/>
        <v>1.3203587705525153</v>
      </c>
      <c r="AE140" s="474">
        <f t="shared" si="70"/>
        <v>1.3544328644471753</v>
      </c>
      <c r="AF140" s="474">
        <f t="shared" si="70"/>
        <v>1.3891045934474762</v>
      </c>
      <c r="AG140" s="474">
        <f t="shared" si="70"/>
        <v>1.4243666112841786</v>
      </c>
      <c r="AH140" s="474">
        <f t="shared" si="70"/>
        <v>1.4819300453734183</v>
      </c>
      <c r="AI140" s="474">
        <f t="shared" si="70"/>
        <v>1.5418198109828551</v>
      </c>
      <c r="AJ140" s="474">
        <f t="shared" si="70"/>
        <v>1.6041299229750046</v>
      </c>
      <c r="AK140" s="474">
        <f t="shared" si="70"/>
        <v>1.6689581956684356</v>
      </c>
      <c r="AL140" s="474">
        <f t="shared" si="70"/>
        <v>1.7364063963865373</v>
      </c>
    </row>
    <row r="141" spans="1:38" ht="13">
      <c r="B141" s="494" t="s">
        <v>815</v>
      </c>
      <c r="C141" s="387" t="s">
        <v>818</v>
      </c>
      <c r="D141" s="541">
        <f t="shared" ref="D141:AL141" si="71">((D$112*D91+D$113*D96+D$114*D101)-(D$126*D91+D$127*D96+D$128*D101))/Grams.Per.Metric.Ton</f>
        <v>0</v>
      </c>
      <c r="E141" s="541">
        <f t="shared" si="71"/>
        <v>0</v>
      </c>
      <c r="F141" s="541">
        <f t="shared" si="71"/>
        <v>0</v>
      </c>
      <c r="G141" s="541">
        <f t="shared" si="71"/>
        <v>0</v>
      </c>
      <c r="H141" s="541">
        <f t="shared" si="71"/>
        <v>1.1874428829943232E-3</v>
      </c>
      <c r="I141" s="541">
        <f t="shared" si="71"/>
        <v>1.1008745926080591E-3</v>
      </c>
      <c r="J141" s="541">
        <f t="shared" si="71"/>
        <v>1.0053698936721711E-3</v>
      </c>
      <c r="K141" s="541">
        <f t="shared" si="71"/>
        <v>9.003478724106535E-4</v>
      </c>
      <c r="L141" s="541">
        <f t="shared" si="71"/>
        <v>7.8519525699147392E-4</v>
      </c>
      <c r="M141" s="541">
        <f t="shared" si="71"/>
        <v>6.5926475090223612E-4</v>
      </c>
      <c r="N141" s="541">
        <f t="shared" si="71"/>
        <v>6.3846871753469269E-4</v>
      </c>
      <c r="O141" s="541">
        <f t="shared" si="71"/>
        <v>6.1491507209511997E-4</v>
      </c>
      <c r="P141" s="541">
        <f t="shared" si="71"/>
        <v>5.884148907688931E-4</v>
      </c>
      <c r="Q141" s="541">
        <f t="shared" si="71"/>
        <v>5.5876848349127779E-4</v>
      </c>
      <c r="R141" s="541">
        <f t="shared" si="71"/>
        <v>5.2576483230461083E-4</v>
      </c>
      <c r="S141" s="541">
        <f t="shared" si="71"/>
        <v>4.8918100190369713E-4</v>
      </c>
      <c r="T141" s="541">
        <f t="shared" si="71"/>
        <v>4.4878152103852047E-4</v>
      </c>
      <c r="U141" s="541">
        <f t="shared" si="71"/>
        <v>4.0431773338182192E-4</v>
      </c>
      <c r="V141" s="541">
        <f t="shared" si="71"/>
        <v>3.5552711640355201E-4</v>
      </c>
      <c r="W141" s="541">
        <f t="shared" si="71"/>
        <v>3.0213256672666206E-4</v>
      </c>
      <c r="X141" s="541">
        <f t="shared" si="71"/>
        <v>3.1169955319701524E-4</v>
      </c>
      <c r="Y141" s="541">
        <f t="shared" si="71"/>
        <v>3.2154635293581851E-4</v>
      </c>
      <c r="Z141" s="541">
        <f t="shared" si="71"/>
        <v>3.3167995715096844E-4</v>
      </c>
      <c r="AA141" s="541">
        <f t="shared" si="71"/>
        <v>3.4210746512467036E-4</v>
      </c>
      <c r="AB141" s="541">
        <f t="shared" si="71"/>
        <v>3.5283608153041678E-4</v>
      </c>
      <c r="AC141" s="541">
        <f t="shared" si="71"/>
        <v>3.638731133565942E-4</v>
      </c>
      <c r="AD141" s="541">
        <f t="shared" si="71"/>
        <v>3.7522596640930498E-4</v>
      </c>
      <c r="AE141" s="541">
        <f t="shared" si="71"/>
        <v>3.8690214136541146E-4</v>
      </c>
      <c r="AF141" s="541">
        <f t="shared" si="71"/>
        <v>3.9890922934518192E-4</v>
      </c>
      <c r="AG141" s="541">
        <f t="shared" si="71"/>
        <v>4.1125490697213011E-4</v>
      </c>
      <c r="AH141" s="541">
        <f t="shared" si="71"/>
        <v>4.2787509768975953E-4</v>
      </c>
      <c r="AI141" s="541">
        <f t="shared" si="71"/>
        <v>4.4516696608176411E-4</v>
      </c>
      <c r="AJ141" s="541">
        <f t="shared" si="71"/>
        <v>4.6315765689671612E-4</v>
      </c>
      <c r="AK141" s="541">
        <f t="shared" si="71"/>
        <v>4.8187541189355907E-4</v>
      </c>
      <c r="AL141" s="541">
        <f t="shared" si="71"/>
        <v>5.013496141754787E-4</v>
      </c>
    </row>
    <row r="142" spans="1:38" ht="13">
      <c r="B142" s="494" t="s">
        <v>816</v>
      </c>
      <c r="C142" s="387" t="s">
        <v>818</v>
      </c>
      <c r="D142" s="541">
        <f t="shared" ref="D142:AL142" si="72">((D$112*D92+D$113*D97+D$114*D102)-(D$126*D92+D$127*D97+D$128*D102))/Grams.Per.Metric.Ton</f>
        <v>0</v>
      </c>
      <c r="E142" s="541">
        <f t="shared" si="72"/>
        <v>0</v>
      </c>
      <c r="F142" s="541">
        <f t="shared" si="72"/>
        <v>0</v>
      </c>
      <c r="G142" s="541">
        <f t="shared" si="72"/>
        <v>0</v>
      </c>
      <c r="H142" s="541">
        <f t="shared" si="72"/>
        <v>4.3575836015240571E-5</v>
      </c>
      <c r="I142" s="541">
        <f t="shared" si="72"/>
        <v>4.1789434110128726E-5</v>
      </c>
      <c r="J142" s="541">
        <f t="shared" si="72"/>
        <v>3.9787473447142646E-5</v>
      </c>
      <c r="K142" s="541">
        <f t="shared" si="72"/>
        <v>3.7555448742686912E-5</v>
      </c>
      <c r="L142" s="541">
        <f t="shared" si="72"/>
        <v>3.5078034357834969E-5</v>
      </c>
      <c r="M142" s="541">
        <f t="shared" si="72"/>
        <v>3.2339041682307443E-5</v>
      </c>
      <c r="N142" s="541">
        <f t="shared" si="72"/>
        <v>3.1455743154186114E-5</v>
      </c>
      <c r="O142" s="541">
        <f t="shared" si="72"/>
        <v>3.044823311773091E-5</v>
      </c>
      <c r="P142" s="541">
        <f t="shared" si="72"/>
        <v>2.9307914603143409E-5</v>
      </c>
      <c r="Q142" s="541">
        <f t="shared" si="72"/>
        <v>2.8025698642951397E-5</v>
      </c>
      <c r="R142" s="541">
        <f t="shared" si="72"/>
        <v>2.6591978546360089E-5</v>
      </c>
      <c r="S142" s="541">
        <f t="shared" si="72"/>
        <v>2.4996602897842157E-5</v>
      </c>
      <c r="T142" s="541">
        <f t="shared" si="72"/>
        <v>2.3228847218849809E-5</v>
      </c>
      <c r="U142" s="541">
        <f t="shared" si="72"/>
        <v>2.1277384228710724E-5</v>
      </c>
      <c r="V142" s="541">
        <f t="shared" si="72"/>
        <v>1.9130252637753136E-5</v>
      </c>
      <c r="W142" s="541">
        <f t="shared" si="72"/>
        <v>1.6774824402600445E-5</v>
      </c>
      <c r="X142" s="541">
        <f t="shared" si="72"/>
        <v>1.6954847623344825E-5</v>
      </c>
      <c r="Y142" s="541">
        <f t="shared" si="72"/>
        <v>1.712202422650843E-5</v>
      </c>
      <c r="Z142" s="541">
        <f t="shared" si="72"/>
        <v>1.7275021841248997E-5</v>
      </c>
      <c r="AA142" s="541">
        <f t="shared" si="72"/>
        <v>1.7412421387172286E-5</v>
      </c>
      <c r="AB142" s="541">
        <f t="shared" si="72"/>
        <v>1.7532712241964487E-5</v>
      </c>
      <c r="AC142" s="541">
        <f t="shared" si="72"/>
        <v>1.7634287160057391E-5</v>
      </c>
      <c r="AD142" s="541">
        <f t="shared" si="72"/>
        <v>1.7715436930097255E-5</v>
      </c>
      <c r="AE142" s="541">
        <f t="shared" si="72"/>
        <v>1.7774344758401199E-5</v>
      </c>
      <c r="AF142" s="541">
        <f t="shared" si="72"/>
        <v>1.7809080364983597E-5</v>
      </c>
      <c r="AG142" s="541">
        <f t="shared" si="72"/>
        <v>1.7817593778089928E-5</v>
      </c>
      <c r="AH142" s="541">
        <f t="shared" si="72"/>
        <v>1.8537662527910753E-5</v>
      </c>
      <c r="AI142" s="541">
        <f t="shared" si="72"/>
        <v>1.9286831672034329E-5</v>
      </c>
      <c r="AJ142" s="541">
        <f t="shared" si="72"/>
        <v>2.0066277255038038E-5</v>
      </c>
      <c r="AK142" s="541">
        <f t="shared" si="72"/>
        <v>2.0877222849406744E-5</v>
      </c>
      <c r="AL142" s="541">
        <f t="shared" si="72"/>
        <v>2.1720941476295032E-5</v>
      </c>
    </row>
    <row r="143" spans="1:38" ht="13">
      <c r="B143" s="494" t="s">
        <v>817</v>
      </c>
      <c r="C143" s="387" t="s">
        <v>818</v>
      </c>
      <c r="D143" s="541">
        <f t="shared" ref="D143:AL143" si="73">((D$112*D93+D$113*D98+D$114*D103)-(D$126*D93+D$127*D98+D$128*D103))/Grams.Per.Metric.Ton</f>
        <v>0</v>
      </c>
      <c r="E143" s="541">
        <f t="shared" si="73"/>
        <v>0</v>
      </c>
      <c r="F143" s="541">
        <f t="shared" si="73"/>
        <v>0</v>
      </c>
      <c r="G143" s="541">
        <f t="shared" si="73"/>
        <v>0</v>
      </c>
      <c r="H143" s="541">
        <f t="shared" si="73"/>
        <v>5.4407785128571453E-6</v>
      </c>
      <c r="I143" s="541">
        <f t="shared" si="73"/>
        <v>5.5874588418199181E-6</v>
      </c>
      <c r="J143" s="541">
        <f t="shared" si="73"/>
        <v>5.7371087660501388E-6</v>
      </c>
      <c r="K143" s="541">
        <f t="shared" si="73"/>
        <v>5.8897287440886503E-6</v>
      </c>
      <c r="L143" s="541">
        <f t="shared" si="73"/>
        <v>6.0453144214789379E-6</v>
      </c>
      <c r="M143" s="541">
        <f t="shared" si="73"/>
        <v>6.2038562409995341E-6</v>
      </c>
      <c r="N143" s="541">
        <f t="shared" si="73"/>
        <v>6.3539398220975317E-6</v>
      </c>
      <c r="O143" s="541">
        <f t="shared" si="73"/>
        <v>6.506021783608334E-6</v>
      </c>
      <c r="P143" s="541">
        <f t="shared" si="73"/>
        <v>6.6600185256454424E-6</v>
      </c>
      <c r="Q143" s="541">
        <f t="shared" si="73"/>
        <v>6.8158364273850977E-6</v>
      </c>
      <c r="R143" s="541">
        <f t="shared" si="73"/>
        <v>6.9733711736454954E-6</v>
      </c>
      <c r="S143" s="541">
        <f t="shared" si="73"/>
        <v>7.1325070434022425E-6</v>
      </c>
      <c r="T143" s="541">
        <f t="shared" si="73"/>
        <v>7.2931161582631859E-6</v>
      </c>
      <c r="U143" s="541">
        <f t="shared" si="73"/>
        <v>7.4550576888285768E-6</v>
      </c>
      <c r="V143" s="541">
        <f t="shared" si="73"/>
        <v>7.6181770167596935E-6</v>
      </c>
      <c r="W143" s="541">
        <f t="shared" si="73"/>
        <v>7.7823048502723851E-6</v>
      </c>
      <c r="X143" s="541">
        <f t="shared" si="73"/>
        <v>7.9965223005542446E-6</v>
      </c>
      <c r="Y143" s="541">
        <f t="shared" si="73"/>
        <v>8.2153438766526578E-6</v>
      </c>
      <c r="Z143" s="541">
        <f t="shared" si="73"/>
        <v>8.438791846555944E-6</v>
      </c>
      <c r="AA143" s="541">
        <f t="shared" si="73"/>
        <v>8.6668827584615892E-6</v>
      </c>
      <c r="AB143" s="541">
        <f t="shared" si="73"/>
        <v>8.8996269420953039E-6</v>
      </c>
      <c r="AC143" s="541">
        <f t="shared" si="73"/>
        <v>9.1370279790651257E-6</v>
      </c>
      <c r="AD143" s="541">
        <f t="shared" si="73"/>
        <v>9.3790821405625973E-6</v>
      </c>
      <c r="AE143" s="541">
        <f t="shared" si="73"/>
        <v>9.625777790635912E-6</v>
      </c>
      <c r="AF143" s="541">
        <f t="shared" si="73"/>
        <v>9.8770947531718619E-6</v>
      </c>
      <c r="AG143" s="541">
        <f t="shared" si="73"/>
        <v>1.0133003640626843E-5</v>
      </c>
      <c r="AH143" s="541">
        <f t="shared" si="73"/>
        <v>1.0542512318078475E-5</v>
      </c>
      <c r="AI143" s="541">
        <f t="shared" si="73"/>
        <v>1.0968570615253509E-5</v>
      </c>
      <c r="AJ143" s="541">
        <f t="shared" si="73"/>
        <v>1.1411847357815645E-5</v>
      </c>
      <c r="AK143" s="541">
        <f t="shared" si="73"/>
        <v>1.1873038400917836E-5</v>
      </c>
      <c r="AL143" s="541">
        <f t="shared" si="73"/>
        <v>1.2352867721554655E-5</v>
      </c>
    </row>
    <row r="144" spans="1:38">
      <c r="D144" s="358"/>
      <c r="F144" s="464"/>
      <c r="G144" s="465"/>
      <c r="H144" s="465"/>
    </row>
    <row r="145" spans="1:38" ht="13">
      <c r="B145" s="492" t="s">
        <v>284</v>
      </c>
      <c r="C145" s="487" t="s">
        <v>292</v>
      </c>
      <c r="D145" s="583">
        <f t="shared" ref="D145:AL145" si="74">D122-D136</f>
        <v>0</v>
      </c>
      <c r="E145" s="583">
        <f t="shared" si="74"/>
        <v>0</v>
      </c>
      <c r="F145" s="583">
        <f t="shared" si="74"/>
        <v>0</v>
      </c>
      <c r="G145" s="583">
        <f t="shared" si="74"/>
        <v>0</v>
      </c>
      <c r="H145" s="583">
        <f t="shared" si="74"/>
        <v>98.245287653273806</v>
      </c>
      <c r="I145" s="583">
        <f t="shared" si="74"/>
        <v>98.008522238144195</v>
      </c>
      <c r="J145" s="583">
        <f t="shared" si="74"/>
        <v>97.542716367761386</v>
      </c>
      <c r="K145" s="583">
        <f t="shared" si="74"/>
        <v>96.597308332072174</v>
      </c>
      <c r="L145" s="583">
        <f t="shared" si="74"/>
        <v>95.249192861812659</v>
      </c>
      <c r="M145" s="583">
        <f t="shared" si="74"/>
        <v>93.520194406450202</v>
      </c>
      <c r="N145" s="583">
        <f t="shared" si="74"/>
        <v>94.573392528611521</v>
      </c>
      <c r="O145" s="583">
        <f t="shared" si="74"/>
        <v>95.528195028640766</v>
      </c>
      <c r="P145" s="583">
        <f t="shared" si="74"/>
        <v>96.373684811633396</v>
      </c>
      <c r="Q145" s="583">
        <f t="shared" si="74"/>
        <v>98.06454672122787</v>
      </c>
      <c r="R145" s="583">
        <f t="shared" si="74"/>
        <v>98.677246708239295</v>
      </c>
      <c r="S145" s="583">
        <f t="shared" si="74"/>
        <v>99.143239291185523</v>
      </c>
      <c r="T145" s="583">
        <f t="shared" si="74"/>
        <v>99.448208316631209</v>
      </c>
      <c r="U145" s="583">
        <f t="shared" si="74"/>
        <v>99.576861205712731</v>
      </c>
      <c r="V145" s="583">
        <f t="shared" si="74"/>
        <v>99.512871033987025</v>
      </c>
      <c r="W145" s="583">
        <f t="shared" si="74"/>
        <v>99.238815428318716</v>
      </c>
      <c r="X145" s="583">
        <f t="shared" si="74"/>
        <v>102.84883243998431</v>
      </c>
      <c r="Y145" s="583">
        <f t="shared" si="74"/>
        <v>107.71725627973589</v>
      </c>
      <c r="Z145" s="583">
        <f t="shared" si="74"/>
        <v>111.55778441495575</v>
      </c>
      <c r="AA145" s="583">
        <f t="shared" si="74"/>
        <v>115.49988255249096</v>
      </c>
      <c r="AB145" s="583">
        <f t="shared" si="74"/>
        <v>119.54415738479602</v>
      </c>
      <c r="AC145" s="583">
        <f t="shared" si="74"/>
        <v>123.69104498823296</v>
      </c>
      <c r="AD145" s="583">
        <f t="shared" si="74"/>
        <v>127.94079386903775</v>
      </c>
      <c r="AE145" s="583">
        <f t="shared" si="74"/>
        <v>132.29344682979595</v>
      </c>
      <c r="AF145" s="583">
        <f t="shared" si="74"/>
        <v>138.13792617867819</v>
      </c>
      <c r="AG145" s="583">
        <f t="shared" si="74"/>
        <v>142.73085666342485</v>
      </c>
      <c r="AH145" s="583">
        <f t="shared" si="74"/>
        <v>148.49908950106371</v>
      </c>
      <c r="AI145" s="583">
        <f t="shared" si="74"/>
        <v>154.50043598243045</v>
      </c>
      <c r="AJ145" s="583">
        <f t="shared" si="74"/>
        <v>160.74431701205893</v>
      </c>
      <c r="AK145" s="583">
        <f t="shared" si="74"/>
        <v>167.24053422484602</v>
      </c>
      <c r="AL145" s="583">
        <f t="shared" si="74"/>
        <v>173.99928537264344</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'400 West'!D25</f>
        <v>248.76823196030929</v>
      </c>
      <c r="E159" s="383">
        <f>'400 West'!E25</f>
        <v>258.82179093206406</v>
      </c>
      <c r="F159" s="383">
        <f>'400 West'!F25</f>
        <v>269.28164795563225</v>
      </c>
      <c r="G159" s="383">
        <f>'400 West'!G25</f>
        <v>280.16422289858241</v>
      </c>
      <c r="H159" s="383">
        <f>'400 West'!H25</f>
        <v>291.48659921042662</v>
      </c>
      <c r="I159" s="383">
        <f>'400 West'!I25</f>
        <v>303.26655074019362</v>
      </c>
      <c r="J159" s="383">
        <f>'400 West'!J25</f>
        <v>315.52256963778996</v>
      </c>
      <c r="K159" s="383">
        <f>'400 West'!K25</f>
        <v>328.27389538294875</v>
      </c>
      <c r="L159" s="383">
        <f>'400 West'!L25</f>
        <v>341.54054498733518</v>
      </c>
      <c r="M159" s="383">
        <f>'400 West'!M25</f>
        <v>355.34334441722092</v>
      </c>
      <c r="N159" s="383">
        <f>'400 West'!N25</f>
        <v>369.70396128605432</v>
      </c>
      <c r="O159" s="383">
        <f>'400 West'!O25</f>
        <v>384.64493886824698</v>
      </c>
      <c r="P159" s="383">
        <f>'400 West'!P25</f>
        <v>400.18973148757124</v>
      </c>
      <c r="Q159" s="383">
        <f>'400 West'!Q25</f>
        <v>416.36274133572164</v>
      </c>
      <c r="R159" s="383">
        <f>'400 West'!R25</f>
        <v>433.18935677883786</v>
      </c>
      <c r="S159" s="383">
        <f>'400 West'!S25</f>
        <v>450.69599221212542</v>
      </c>
      <c r="T159" s="383">
        <f>'400 West'!T25</f>
        <v>468.91012952512875</v>
      </c>
      <c r="U159" s="383">
        <f>'400 West'!U25</f>
        <v>487.86036124276291</v>
      </c>
      <c r="V159" s="383">
        <f>'400 West'!V25</f>
        <v>507.57643540981422</v>
      </c>
      <c r="W159" s="383">
        <f>'400 West'!W25</f>
        <v>528.08930228937572</v>
      </c>
      <c r="X159" s="383">
        <f>'400 West'!X25</f>
        <v>549.43116294852189</v>
      </c>
      <c r="Y159" s="383">
        <f>'400 West'!Y25</f>
        <v>571.63551980749594</v>
      </c>
      <c r="Z159" s="383">
        <f>'400 West'!Z25</f>
        <v>594.73722923175751</v>
      </c>
      <c r="AA159" s="383">
        <f>'400 West'!AA25</f>
        <v>618.77255624945133</v>
      </c>
      <c r="AB159" s="383">
        <f>'400 West'!AB25</f>
        <v>643.77923148019295</v>
      </c>
      <c r="AC159" s="383">
        <f>'400 West'!AC25</f>
        <v>669.79651036453924</v>
      </c>
      <c r="AD159" s="383">
        <f>'400 West'!AD25</f>
        <v>696.86523478711695</v>
      </c>
      <c r="AE159" s="383">
        <f>'400 West'!AE25</f>
        <v>725.02789719015175</v>
      </c>
      <c r="AF159" s="383">
        <f>'400 West'!AF25</f>
        <v>754.32870727803902</v>
      </c>
      <c r="AG159" s="383">
        <f>'400 West'!AG25</f>
        <v>784.81366141767103</v>
      </c>
      <c r="AH159" s="383">
        <f>'400 West'!AH25</f>
        <v>816.53061484346119</v>
      </c>
      <c r="AI159" s="383">
        <f>'400 West'!AI25</f>
        <v>849.5293567804207</v>
      </c>
      <c r="AJ159" s="383">
        <f>'400 West'!AJ25</f>
        <v>883.86168860320561</v>
      </c>
      <c r="AK159" s="383">
        <f>'400 West'!AK25</f>
        <v>919.58150515383647</v>
      </c>
      <c r="AL159" s="383">
        <f>'400 West'!AL25</f>
        <v>956.74487934573995</v>
      </c>
    </row>
    <row r="160" spans="1:38">
      <c r="B160" s="385" t="s">
        <v>509</v>
      </c>
      <c r="C160" s="386" t="s">
        <v>443</v>
      </c>
      <c r="D160" s="383">
        <f>'400 West'!D26</f>
        <v>13.093064840016281</v>
      </c>
      <c r="E160" s="383">
        <f>'400 West'!E26</f>
        <v>13.622199522740216</v>
      </c>
      <c r="F160" s="383">
        <f>'400 West'!F26</f>
        <v>14.172718313454332</v>
      </c>
      <c r="G160" s="383">
        <f>'400 West'!G26</f>
        <v>14.745485415714866</v>
      </c>
      <c r="H160" s="383">
        <f>'400 West'!H26</f>
        <v>15.341399958443507</v>
      </c>
      <c r="I160" s="383">
        <f>'400 West'!I26</f>
        <v>15.961397407378612</v>
      </c>
      <c r="J160" s="383">
        <f>'400 West'!J26</f>
        <v>16.606451033567893</v>
      </c>
      <c r="K160" s="383">
        <f>'400 West'!K26</f>
        <v>17.277573441207831</v>
      </c>
      <c r="L160" s="383">
        <f>'400 West'!L26</f>
        <v>17.975818157228169</v>
      </c>
      <c r="M160" s="383">
        <f>'400 West'!M26</f>
        <v>18.702281285116893</v>
      </c>
      <c r="N160" s="383">
        <f>'400 West'!N26</f>
        <v>19.458103225581809</v>
      </c>
      <c r="O160" s="383">
        <f>'400 West'!O26</f>
        <v>20.244470466749846</v>
      </c>
      <c r="P160" s="383">
        <f>'400 West'!P26</f>
        <v>21.062617446714277</v>
      </c>
      <c r="Q160" s="383">
        <f>'400 West'!Q26</f>
        <v>21.913828491353772</v>
      </c>
      <c r="R160" s="383">
        <f>'400 West'!R26</f>
        <v>22.799439830465154</v>
      </c>
      <c r="S160" s="383">
        <f>'400 West'!S26</f>
        <v>23.720841695375025</v>
      </c>
      <c r="T160" s="383">
        <f>'400 West'!T26</f>
        <v>24.679480501322569</v>
      </c>
      <c r="U160" s="383">
        <f>'400 West'!U26</f>
        <v>25.676861118040154</v>
      </c>
      <c r="V160" s="383">
        <f>'400 West'!V26</f>
        <v>26.714549232095489</v>
      </c>
      <c r="W160" s="383">
        <f>'400 West'!W26</f>
        <v>27.794173804703988</v>
      </c>
      <c r="X160" s="383">
        <f>'400 West'!X26</f>
        <v>28.917429628869577</v>
      </c>
      <c r="Y160" s="383">
        <f>'400 West'!Y26</f>
        <v>30.08607998986821</v>
      </c>
      <c r="Z160" s="383">
        <f>'400 West'!Z26</f>
        <v>31.301959433250399</v>
      </c>
      <c r="AA160" s="383">
        <f>'400 West'!AA26</f>
        <v>32.566976644707971</v>
      </c>
      <c r="AB160" s="383">
        <f>'400 West'!AB26</f>
        <v>33.883117446325947</v>
      </c>
      <c r="AC160" s="383">
        <f>'400 West'!AC26</f>
        <v>35.25244791392312</v>
      </c>
      <c r="AD160" s="383">
        <f>'400 West'!AD26</f>
        <v>36.677117620374581</v>
      </c>
      <c r="AE160" s="383">
        <f>'400 West'!AE26</f>
        <v>38.159363010007993</v>
      </c>
      <c r="AF160" s="383">
        <f>'400 West'!AF26</f>
        <v>39.701510909370484</v>
      </c>
      <c r="AG160" s="383">
        <f>'400 West'!AG26</f>
        <v>41.305982179877425</v>
      </c>
      <c r="AH160" s="383">
        <f>'400 West'!AH26</f>
        <v>42.975295518076905</v>
      </c>
      <c r="AI160" s="383">
        <f>'400 West'!AI26</f>
        <v>44.712071409495827</v>
      </c>
      <c r="AJ160" s="383">
        <f>'400 West'!AJ26</f>
        <v>46.519036242273984</v>
      </c>
      <c r="AK160" s="383">
        <f>'400 West'!AK26</f>
        <v>48.399026587044034</v>
      </c>
      <c r="AL160" s="383">
        <f>'400 West'!AL26</f>
        <v>50.354993649775793</v>
      </c>
    </row>
    <row r="161" spans="2:38">
      <c r="B161" s="358" t="s">
        <v>769</v>
      </c>
      <c r="C161" s="358" t="s">
        <v>443</v>
      </c>
      <c r="D161" s="383">
        <f>'400 West'!D27</f>
        <v>0</v>
      </c>
      <c r="E161" s="383">
        <f>'400 West'!E27</f>
        <v>0</v>
      </c>
      <c r="F161" s="383">
        <f>'400 West'!F27</f>
        <v>0</v>
      </c>
      <c r="G161" s="383">
        <f>'400 West'!G27</f>
        <v>0</v>
      </c>
      <c r="H161" s="383">
        <f>'400 West'!H27</f>
        <v>0</v>
      </c>
      <c r="I161" s="383">
        <f>'400 West'!I27</f>
        <v>0</v>
      </c>
      <c r="J161" s="383">
        <f>'400 West'!J27</f>
        <v>0</v>
      </c>
      <c r="K161" s="383">
        <f>'400 West'!K27</f>
        <v>0</v>
      </c>
      <c r="L161" s="383">
        <f>'400 West'!L27</f>
        <v>0</v>
      </c>
      <c r="M161" s="383">
        <f>'400 West'!M27</f>
        <v>0</v>
      </c>
      <c r="N161" s="383">
        <f>'400 West'!N27</f>
        <v>0</v>
      </c>
      <c r="O161" s="383">
        <f>'400 West'!O27</f>
        <v>0</v>
      </c>
      <c r="P161" s="383">
        <f>'400 West'!P27</f>
        <v>0</v>
      </c>
      <c r="Q161" s="383">
        <f>'400 West'!Q27</f>
        <v>0</v>
      </c>
      <c r="R161" s="383">
        <f>'400 West'!R27</f>
        <v>0</v>
      </c>
      <c r="S161" s="383">
        <f>'400 West'!S27</f>
        <v>0</v>
      </c>
      <c r="T161" s="383">
        <f>'400 West'!T27</f>
        <v>0</v>
      </c>
      <c r="U161" s="383">
        <f>'400 West'!U27</f>
        <v>0</v>
      </c>
      <c r="V161" s="383">
        <f>'400 West'!V27</f>
        <v>0</v>
      </c>
      <c r="W161" s="383">
        <f>'400 West'!W27</f>
        <v>0</v>
      </c>
      <c r="X161" s="383">
        <f>'400 West'!X27</f>
        <v>0</v>
      </c>
      <c r="Y161" s="383">
        <f>'400 West'!Y27</f>
        <v>0</v>
      </c>
      <c r="Z161" s="383">
        <f>'400 West'!Z27</f>
        <v>0</v>
      </c>
      <c r="AA161" s="383">
        <f>'400 West'!AA27</f>
        <v>0</v>
      </c>
      <c r="AB161" s="383">
        <f>'400 West'!AB27</f>
        <v>0</v>
      </c>
      <c r="AC161" s="383">
        <f>'400 West'!AC27</f>
        <v>0</v>
      </c>
      <c r="AD161" s="383">
        <f>'400 West'!AD27</f>
        <v>0</v>
      </c>
      <c r="AE161" s="383">
        <f>'400 West'!AE27</f>
        <v>0</v>
      </c>
      <c r="AF161" s="383">
        <f>'400 West'!AF27</f>
        <v>0</v>
      </c>
      <c r="AG161" s="383">
        <f>'400 West'!AG27</f>
        <v>0</v>
      </c>
      <c r="AH161" s="383">
        <f>'400 West'!AH27</f>
        <v>0</v>
      </c>
      <c r="AI161" s="383">
        <f>'400 West'!AI27</f>
        <v>0</v>
      </c>
      <c r="AJ161" s="383">
        <f>'400 West'!AJ27</f>
        <v>0</v>
      </c>
      <c r="AK161" s="383">
        <f>'400 West'!AK27</f>
        <v>0</v>
      </c>
      <c r="AL161" s="383">
        <f>'400 West'!AL27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8.5825040026306691</v>
      </c>
      <c r="E166" s="383">
        <f t="shared" ref="E166:AK168" si="75">E159*$C163</f>
        <v>8.9293517871562091</v>
      </c>
      <c r="F166" s="383">
        <f t="shared" si="75"/>
        <v>9.2902168544693122</v>
      </c>
      <c r="G166" s="383">
        <f t="shared" si="75"/>
        <v>9.6656656900010915</v>
      </c>
      <c r="H166" s="383">
        <f t="shared" si="75"/>
        <v>10.056287672759717</v>
      </c>
      <c r="I166" s="383">
        <f t="shared" si="75"/>
        <v>10.462696000536679</v>
      </c>
      <c r="J166" s="383">
        <f t="shared" si="75"/>
        <v>10.885528652503751</v>
      </c>
      <c r="K166" s="383">
        <f t="shared" si="75"/>
        <v>11.32544939071173</v>
      </c>
      <c r="L166" s="383">
        <f t="shared" si="75"/>
        <v>11.783148802063062</v>
      </c>
      <c r="M166" s="383">
        <f t="shared" si="75"/>
        <v>12.25934538239412</v>
      </c>
      <c r="N166" s="383">
        <f t="shared" si="75"/>
        <v>12.754786664368872</v>
      </c>
      <c r="O166" s="383">
        <f t="shared" si="75"/>
        <v>13.270250390954519</v>
      </c>
      <c r="P166" s="383">
        <f t="shared" si="75"/>
        <v>13.806545736321207</v>
      </c>
      <c r="Q166" s="383">
        <f t="shared" si="75"/>
        <v>14.364514576082394</v>
      </c>
      <c r="R166" s="383">
        <f t="shared" si="75"/>
        <v>14.945032808869904</v>
      </c>
      <c r="S166" s="383">
        <f t="shared" si="75"/>
        <v>15.549011731318325</v>
      </c>
      <c r="T166" s="383">
        <f t="shared" si="75"/>
        <v>16.17739946861694</v>
      </c>
      <c r="U166" s="383">
        <f t="shared" si="75"/>
        <v>16.831182462875319</v>
      </c>
      <c r="V166" s="383">
        <f t="shared" si="75"/>
        <v>17.511387021638587</v>
      </c>
      <c r="W166" s="383">
        <f t="shared" si="75"/>
        <v>18.219080928983459</v>
      </c>
      <c r="X166" s="383">
        <f t="shared" si="75"/>
        <v>18.955375121724003</v>
      </c>
      <c r="Y166" s="383">
        <f t="shared" si="75"/>
        <v>19.721425433358608</v>
      </c>
      <c r="Z166" s="383">
        <f t="shared" si="75"/>
        <v>20.518434408495633</v>
      </c>
      <c r="AA166" s="383">
        <f t="shared" si="75"/>
        <v>21.347653190606067</v>
      </c>
      <c r="AB166" s="383">
        <f t="shared" si="75"/>
        <v>22.210383486066654</v>
      </c>
      <c r="AC166" s="383">
        <f t="shared" si="75"/>
        <v>23.107979607576603</v>
      </c>
      <c r="AD166" s="383">
        <f t="shared" si="75"/>
        <v>24.041850600155531</v>
      </c>
      <c r="AE166" s="383">
        <f t="shared" si="75"/>
        <v>25.013462453060232</v>
      </c>
      <c r="AF166" s="383">
        <f t="shared" si="75"/>
        <v>26.024340401092342</v>
      </c>
      <c r="AG166" s="383">
        <f t="shared" si="75"/>
        <v>27.076071318909648</v>
      </c>
      <c r="AH166" s="383">
        <f t="shared" si="75"/>
        <v>28.170306212099408</v>
      </c>
      <c r="AI166" s="383">
        <f t="shared" si="75"/>
        <v>29.308762808924509</v>
      </c>
      <c r="AJ166" s="383">
        <f t="shared" si="75"/>
        <v>30.493228256810589</v>
      </c>
      <c r="AK166" s="383">
        <f t="shared" si="75"/>
        <v>31.725561927807355</v>
      </c>
      <c r="AL166" s="383">
        <f t="shared" ref="AL166" si="76">AL159*$C163</f>
        <v>33.007698337428025</v>
      </c>
    </row>
    <row r="167" spans="2:38">
      <c r="B167" s="385" t="s">
        <v>501</v>
      </c>
      <c r="C167" s="386" t="s">
        <v>479</v>
      </c>
      <c r="D167" s="383">
        <f>D160*$C164</f>
        <v>0.45171073698056163</v>
      </c>
      <c r="E167" s="383">
        <f t="shared" ref="E167:S167" si="77">E160*$C164</f>
        <v>0.46996588353453739</v>
      </c>
      <c r="F167" s="383">
        <f t="shared" si="77"/>
        <v>0.4889587818141744</v>
      </c>
      <c r="G167" s="383">
        <f t="shared" si="77"/>
        <v>0.50871924684216285</v>
      </c>
      <c r="H167" s="383">
        <f t="shared" si="77"/>
        <v>0.52927829856630093</v>
      </c>
      <c r="I167" s="383">
        <f t="shared" si="77"/>
        <v>0.55066821055456205</v>
      </c>
      <c r="J167" s="383">
        <f t="shared" si="77"/>
        <v>0.57292256065809222</v>
      </c>
      <c r="K167" s="383">
        <f t="shared" si="77"/>
        <v>0.5960762837216701</v>
      </c>
      <c r="L167" s="383">
        <f t="shared" si="77"/>
        <v>0.62016572642437173</v>
      </c>
      <c r="M167" s="383">
        <f t="shared" si="77"/>
        <v>0.64522870433653268</v>
      </c>
      <c r="N167" s="383">
        <f t="shared" si="77"/>
        <v>0.67130456128257232</v>
      </c>
      <c r="O167" s="383">
        <f t="shared" si="77"/>
        <v>0.69843423110286962</v>
      </c>
      <c r="P167" s="383">
        <f t="shared" si="77"/>
        <v>0.72666030191164244</v>
      </c>
      <c r="Q167" s="383">
        <f t="shared" si="77"/>
        <v>0.75602708295170507</v>
      </c>
      <c r="R167" s="383">
        <f t="shared" si="77"/>
        <v>0.78658067415104771</v>
      </c>
      <c r="S167" s="383">
        <f t="shared" si="77"/>
        <v>0.81836903849043829</v>
      </c>
      <c r="T167" s="383">
        <f t="shared" si="75"/>
        <v>0.85144207729562849</v>
      </c>
      <c r="U167" s="383">
        <f t="shared" si="75"/>
        <v>0.88585170857238527</v>
      </c>
      <c r="V167" s="383">
        <f t="shared" si="75"/>
        <v>0.92165194850729426</v>
      </c>
      <c r="W167" s="383">
        <f t="shared" si="75"/>
        <v>0.95889899626228747</v>
      </c>
      <c r="X167" s="383">
        <f t="shared" si="75"/>
        <v>0.99765132219600028</v>
      </c>
      <c r="Y167" s="383">
        <f t="shared" si="75"/>
        <v>1.0379697596504531</v>
      </c>
      <c r="Z167" s="383">
        <f t="shared" si="75"/>
        <v>1.0799176004471387</v>
      </c>
      <c r="AA167" s="383">
        <f t="shared" si="75"/>
        <v>1.1235606942424248</v>
      </c>
      <c r="AB167" s="383">
        <f t="shared" si="75"/>
        <v>1.168967551898245</v>
      </c>
      <c r="AC167" s="383">
        <f t="shared" si="75"/>
        <v>1.2162094530303476</v>
      </c>
      <c r="AD167" s="383">
        <f t="shared" si="75"/>
        <v>1.2653605579029228</v>
      </c>
      <c r="AE167" s="383">
        <f t="shared" si="75"/>
        <v>1.3164980238452757</v>
      </c>
      <c r="AF167" s="383">
        <f t="shared" si="75"/>
        <v>1.3697021263732816</v>
      </c>
      <c r="AG167" s="383">
        <f t="shared" si="75"/>
        <v>1.4250563852057709</v>
      </c>
      <c r="AH167" s="383">
        <f t="shared" si="75"/>
        <v>1.4826476953736532</v>
      </c>
      <c r="AI167" s="383">
        <f t="shared" si="75"/>
        <v>1.542566463627606</v>
      </c>
      <c r="AJ167" s="383">
        <f t="shared" si="75"/>
        <v>1.6049067503584522</v>
      </c>
      <c r="AK167" s="383">
        <f t="shared" si="75"/>
        <v>1.6697664172530189</v>
      </c>
      <c r="AL167" s="383">
        <f t="shared" ref="AL167" si="78">AL160*$C164</f>
        <v>1.7372472809172645</v>
      </c>
    </row>
    <row r="168" spans="2:38">
      <c r="B168" s="385" t="s">
        <v>768</v>
      </c>
      <c r="C168" s="386" t="s">
        <v>479</v>
      </c>
      <c r="D168" s="383">
        <f>D161*$C165</f>
        <v>0</v>
      </c>
      <c r="E168" s="383">
        <f t="shared" si="75"/>
        <v>0</v>
      </c>
      <c r="F168" s="383">
        <f t="shared" si="75"/>
        <v>0</v>
      </c>
      <c r="G168" s="383">
        <f t="shared" si="75"/>
        <v>0</v>
      </c>
      <c r="H168" s="383">
        <f t="shared" si="75"/>
        <v>0</v>
      </c>
      <c r="I168" s="383">
        <f t="shared" si="75"/>
        <v>0</v>
      </c>
      <c r="J168" s="383">
        <f t="shared" si="75"/>
        <v>0</v>
      </c>
      <c r="K168" s="383">
        <f t="shared" si="75"/>
        <v>0</v>
      </c>
      <c r="L168" s="383">
        <f t="shared" si="75"/>
        <v>0</v>
      </c>
      <c r="M168" s="383">
        <f t="shared" si="75"/>
        <v>0</v>
      </c>
      <c r="N168" s="383">
        <f t="shared" si="75"/>
        <v>0</v>
      </c>
      <c r="O168" s="383">
        <f t="shared" si="75"/>
        <v>0</v>
      </c>
      <c r="P168" s="383">
        <f t="shared" si="75"/>
        <v>0</v>
      </c>
      <c r="Q168" s="383">
        <f t="shared" si="75"/>
        <v>0</v>
      </c>
      <c r="R168" s="383">
        <f t="shared" si="75"/>
        <v>0</v>
      </c>
      <c r="S168" s="383">
        <f t="shared" si="75"/>
        <v>0</v>
      </c>
      <c r="T168" s="383">
        <f t="shared" si="75"/>
        <v>0</v>
      </c>
      <c r="U168" s="383">
        <f t="shared" si="75"/>
        <v>0</v>
      </c>
      <c r="V168" s="383">
        <f t="shared" si="75"/>
        <v>0</v>
      </c>
      <c r="W168" s="383">
        <f t="shared" si="75"/>
        <v>0</v>
      </c>
      <c r="X168" s="383">
        <f t="shared" si="75"/>
        <v>0</v>
      </c>
      <c r="Y168" s="383">
        <f t="shared" si="75"/>
        <v>0</v>
      </c>
      <c r="Z168" s="383">
        <f t="shared" si="75"/>
        <v>0</v>
      </c>
      <c r="AA168" s="383">
        <f t="shared" si="75"/>
        <v>0</v>
      </c>
      <c r="AB168" s="383">
        <f t="shared" si="75"/>
        <v>0</v>
      </c>
      <c r="AC168" s="383">
        <f t="shared" si="75"/>
        <v>0</v>
      </c>
      <c r="AD168" s="383">
        <f t="shared" si="75"/>
        <v>0</v>
      </c>
      <c r="AE168" s="383">
        <f t="shared" si="75"/>
        <v>0</v>
      </c>
      <c r="AF168" s="383">
        <f t="shared" si="75"/>
        <v>0</v>
      </c>
      <c r="AG168" s="383">
        <f t="shared" si="75"/>
        <v>0</v>
      </c>
      <c r="AH168" s="383">
        <f t="shared" si="75"/>
        <v>0</v>
      </c>
      <c r="AI168" s="383">
        <f t="shared" si="75"/>
        <v>0</v>
      </c>
      <c r="AJ168" s="383">
        <f t="shared" si="75"/>
        <v>0</v>
      </c>
      <c r="AK168" s="383">
        <f t="shared" si="75"/>
        <v>0</v>
      </c>
      <c r="AL168" s="383">
        <f t="shared" ref="AL168" si="79">AL161*$C165</f>
        <v>0</v>
      </c>
    </row>
    <row r="169" spans="2:38">
      <c r="D169" s="358"/>
      <c r="F169" s="464"/>
      <c r="G169" s="465"/>
      <c r="H169" s="465"/>
    </row>
    <row r="170" spans="2:38">
      <c r="B170" s="358" t="s">
        <v>459</v>
      </c>
      <c r="C170" s="362" t="s">
        <v>292</v>
      </c>
      <c r="D170" s="485">
        <f>SUMPRODUCT($C$153:$C$155,D166:D168)</f>
        <v>93.900011256363811</v>
      </c>
      <c r="E170" s="485">
        <f t="shared" ref="E170:AK170" si="80">SUMPRODUCT($C$153:$C$155,E166:E168)</f>
        <v>97.694825783826914</v>
      </c>
      <c r="F170" s="485">
        <f t="shared" si="80"/>
        <v>101.64300149948548</v>
      </c>
      <c r="G170" s="485">
        <f t="shared" si="80"/>
        <v>105.75073624354347</v>
      </c>
      <c r="H170" s="485">
        <f t="shared" si="80"/>
        <v>110.02447833172371</v>
      </c>
      <c r="I170" s="485">
        <f t="shared" si="80"/>
        <v>114.47093667782406</v>
      </c>
      <c r="J170" s="485">
        <f t="shared" si="80"/>
        <v>119.09709132536007</v>
      </c>
      <c r="K170" s="485">
        <f t="shared" si="80"/>
        <v>123.91020440482679</v>
      </c>
      <c r="L170" s="485">
        <f t="shared" si="80"/>
        <v>128.9178315337798</v>
      </c>
      <c r="M170" s="485">
        <f t="shared" si="80"/>
        <v>134.12783367763228</v>
      </c>
      <c r="N170" s="485">
        <f t="shared" si="80"/>
        <v>139.54838948978647</v>
      </c>
      <c r="O170" s="485">
        <f t="shared" si="80"/>
        <v>145.18800815047146</v>
      </c>
      <c r="P170" s="485">
        <f t="shared" si="80"/>
        <v>151.05554272444104</v>
      </c>
      <c r="Q170" s="485">
        <f t="shared" si="80"/>
        <v>157.16020405850117</v>
      </c>
      <c r="R170" s="485">
        <f t="shared" si="80"/>
        <v>163.51157524068336</v>
      </c>
      <c r="S170" s="485">
        <f t="shared" si="80"/>
        <v>170.11962664376216</v>
      </c>
      <c r="T170" s="485">
        <f t="shared" si="80"/>
        <v>176.99473157672986</v>
      </c>
      <c r="U170" s="485">
        <f t="shared" si="80"/>
        <v>184.14768256880208</v>
      </c>
      <c r="V170" s="485">
        <f t="shared" si="80"/>
        <v>191.58970831151345</v>
      </c>
      <c r="W170" s="485">
        <f t="shared" si="80"/>
        <v>199.3324912855004</v>
      </c>
      <c r="X170" s="485">
        <f t="shared" si="80"/>
        <v>207.38818609964093</v>
      </c>
      <c r="Y170" s="485">
        <f t="shared" si="80"/>
        <v>215.76943857134177</v>
      </c>
      <c r="Z170" s="485">
        <f t="shared" si="80"/>
        <v>224.48940557792287</v>
      </c>
      <c r="AA170" s="485">
        <f t="shared" si="80"/>
        <v>233.56177571026322</v>
      </c>
      <c r="AB170" s="485">
        <f t="shared" si="80"/>
        <v>243.00079076112996</v>
      </c>
      <c r="AC170" s="485">
        <f t="shared" si="80"/>
        <v>252.82126808192336</v>
      </c>
      <c r="AD170" s="485">
        <f t="shared" si="80"/>
        <v>263.03862384293137</v>
      </c>
      <c r="AE170" s="485">
        <f t="shared" si="80"/>
        <v>273.66889723361123</v>
      </c>
      <c r="AF170" s="485">
        <f t="shared" si="80"/>
        <v>284.72877564088373</v>
      </c>
      <c r="AG170" s="485">
        <f t="shared" si="80"/>
        <v>296.23562084496871</v>
      </c>
      <c r="AH170" s="485">
        <f t="shared" si="80"/>
        <v>308.20749627387971</v>
      </c>
      <c r="AI170" s="485">
        <f t="shared" si="80"/>
        <v>320.66319535936714</v>
      </c>
      <c r="AJ170" s="485">
        <f t="shared" si="80"/>
        <v>333.62227103881759</v>
      </c>
      <c r="AK170" s="485">
        <f t="shared" si="80"/>
        <v>347.10506644942541</v>
      </c>
      <c r="AL170" s="485">
        <f t="shared" ref="AL170" si="81">SUMPRODUCT($C$153:$C$155,AL166:AL168)</f>
        <v>361.13274686281903</v>
      </c>
    </row>
    <row r="171" spans="2:38">
      <c r="D171" s="358"/>
      <c r="F171" s="464"/>
      <c r="G171" s="465"/>
      <c r="H171" s="465"/>
    </row>
    <row r="172" spans="2:38">
      <c r="B172" s="748" t="s">
        <v>715</v>
      </c>
      <c r="C172" s="358" t="s">
        <v>295</v>
      </c>
      <c r="D172" s="383">
        <f>'400 West'!D32</f>
        <v>88.934642925810564</v>
      </c>
      <c r="E172" s="383">
        <f>'400 West'!E32</f>
        <v>92.528790258212894</v>
      </c>
      <c r="F172" s="383">
        <f>'400 West'!F32</f>
        <v>96.268189144138532</v>
      </c>
      <c r="G172" s="383">
        <f>'400 West'!G32</f>
        <v>100.15870968624321</v>
      </c>
      <c r="H172" s="383">
        <f>'400 West'!H32</f>
        <v>104.20645921772751</v>
      </c>
      <c r="I172" s="383">
        <f>'400 West'!I32</f>
        <v>108.41779188961921</v>
      </c>
      <c r="J172" s="383">
        <f>'400 West'!J32</f>
        <v>112.7993186455099</v>
      </c>
      <c r="K172" s="383">
        <f>'400 West'!K32</f>
        <v>117.35791759940417</v>
      </c>
      <c r="L172" s="383">
        <f>'400 West'!L32</f>
        <v>122.10074483297232</v>
      </c>
      <c r="M172" s="383">
        <f>'400 West'!M32</f>
        <v>127.03524562915648</v>
      </c>
      <c r="N172" s="383">
        <f>'400 West'!N32</f>
        <v>132.16916615976442</v>
      </c>
      <c r="O172" s="383">
        <f>'400 West'!O32</f>
        <v>137.51056564539829</v>
      </c>
      <c r="P172" s="383">
        <f>'400 West'!P32</f>
        <v>143.0678290068067</v>
      </c>
      <c r="Q172" s="383">
        <f>'400 West'!Q32</f>
        <v>148.84968002752049</v>
      </c>
      <c r="R172" s="383">
        <f>'400 West'!R32</f>
        <v>154.86519504843452</v>
      </c>
      <c r="S172" s="383">
        <f>'400 West'!S32</f>
        <v>161.12381721583483</v>
      </c>
      <c r="T172" s="383">
        <f>'400 West'!T32</f>
        <v>167.63537130523352</v>
      </c>
      <c r="U172" s="383">
        <f>'400 West'!U32</f>
        <v>174.41007914428772</v>
      </c>
      <c r="V172" s="383">
        <f>'400 West'!V32</f>
        <v>181.45857565900857</v>
      </c>
      <c r="W172" s="383">
        <f>'400 West'!W32</f>
        <v>188.7919255684518</v>
      </c>
      <c r="X172" s="383">
        <f>'400 West'!X32</f>
        <v>196.42164075409656</v>
      </c>
      <c r="Y172" s="383">
        <f>'400 West'!Y32</f>
        <v>204.3596983311798</v>
      </c>
      <c r="Z172" s="383">
        <f>'400 West'!Z32</f>
        <v>212.6185594503533</v>
      </c>
      <c r="AA172" s="383">
        <f>'400 West'!AA32</f>
        <v>221.21118885917883</v>
      </c>
      <c r="AB172" s="383">
        <f>'400 West'!AB32</f>
        <v>230.15107525416897</v>
      </c>
      <c r="AC172" s="383">
        <f>'400 West'!AC32</f>
        <v>239.45225245532276</v>
      </c>
      <c r="AD172" s="383">
        <f>'400 West'!AD32</f>
        <v>249.12932143639429</v>
      </c>
      <c r="AE172" s="383">
        <f>'400 West'!AE32</f>
        <v>259.19747324547922</v>
      </c>
      <c r="AF172" s="383">
        <f>'400 West'!AF32</f>
        <v>269.67251285189894</v>
      </c>
      <c r="AG172" s="383">
        <f>'400 West'!AG32</f>
        <v>280.5708839568174</v>
      </c>
      <c r="AH172" s="383">
        <f>'400 West'!AH32</f>
        <v>291.90969480653735</v>
      </c>
      <c r="AI172" s="383">
        <f>'400 West'!AI32</f>
        <v>303.7067450490004</v>
      </c>
      <c r="AJ172" s="383">
        <f>'400 West'!AJ32</f>
        <v>315.98055367564598</v>
      </c>
      <c r="AK172" s="383">
        <f>'400 West'!AK32</f>
        <v>328.75038809249651</v>
      </c>
      <c r="AL172" s="383">
        <f>'400 West'!AL32</f>
        <v>342.03629436610203</v>
      </c>
    </row>
    <row r="173" spans="2:38">
      <c r="B173" s="748" t="s">
        <v>716</v>
      </c>
      <c r="C173" s="358" t="s">
        <v>295</v>
      </c>
      <c r="D173" s="383">
        <f>'400 West'!D33</f>
        <v>10.998174465613674</v>
      </c>
      <c r="E173" s="383">
        <f>'400 West'!E33</f>
        <v>11.442647599101781</v>
      </c>
      <c r="F173" s="383">
        <f>'400 West'!F33</f>
        <v>11.905083383301639</v>
      </c>
      <c r="G173" s="383">
        <f>'400 West'!G33</f>
        <v>12.386207749200487</v>
      </c>
      <c r="H173" s="383">
        <f>'400 West'!H33</f>
        <v>12.886775965092545</v>
      </c>
      <c r="I173" s="383">
        <f>'400 West'!I33</f>
        <v>13.407573822198033</v>
      </c>
      <c r="J173" s="383">
        <f>'400 West'!J33</f>
        <v>13.94941886819703</v>
      </c>
      <c r="K173" s="383">
        <f>'400 West'!K33</f>
        <v>14.513161690614577</v>
      </c>
      <c r="L173" s="383">
        <f>'400 West'!L33</f>
        <v>15.099687252071661</v>
      </c>
      <c r="M173" s="383">
        <f>'400 West'!M33</f>
        <v>15.70991627949819</v>
      </c>
      <c r="N173" s="383">
        <f>'400 West'!N33</f>
        <v>16.344806709488719</v>
      </c>
      <c r="O173" s="383">
        <f>'400 West'!O33</f>
        <v>17.005355192069871</v>
      </c>
      <c r="P173" s="383">
        <f>'400 West'!P33</f>
        <v>17.692598655239994</v>
      </c>
      <c r="Q173" s="383">
        <f>'400 West'!Q33</f>
        <v>18.407615932737169</v>
      </c>
      <c r="R173" s="383">
        <f>'400 West'!R33</f>
        <v>19.15152945759073</v>
      </c>
      <c r="S173" s="383">
        <f>'400 West'!S33</f>
        <v>19.925507024115021</v>
      </c>
      <c r="T173" s="383">
        <f>'400 West'!T33</f>
        <v>20.730763621110956</v>
      </c>
      <c r="U173" s="383">
        <f>'400 West'!U33</f>
        <v>21.56856333915373</v>
      </c>
      <c r="V173" s="383">
        <f>'400 West'!V33</f>
        <v>22.440221354960212</v>
      </c>
      <c r="W173" s="383">
        <f>'400 West'!W33</f>
        <v>23.347105995951349</v>
      </c>
      <c r="X173" s="383">
        <f>'400 West'!X33</f>
        <v>24.290640888250444</v>
      </c>
      <c r="Y173" s="383">
        <f>'400 West'!Y33</f>
        <v>25.272307191489297</v>
      </c>
      <c r="Z173" s="383">
        <f>'400 West'!Z33</f>
        <v>26.293645923930335</v>
      </c>
      <c r="AA173" s="383">
        <f>'400 West'!AA33</f>
        <v>27.356260381554694</v>
      </c>
      <c r="AB173" s="383">
        <f>'400 West'!AB33</f>
        <v>28.461818654913795</v>
      </c>
      <c r="AC173" s="383">
        <f>'400 West'!AC33</f>
        <v>29.612056247695421</v>
      </c>
      <c r="AD173" s="383">
        <f>'400 West'!AD33</f>
        <v>30.808778801114649</v>
      </c>
      <c r="AE173" s="383">
        <f>'400 West'!AE33</f>
        <v>32.053864928406711</v>
      </c>
      <c r="AF173" s="383">
        <f>'400 West'!AF33</f>
        <v>33.349269163871206</v>
      </c>
      <c r="AG173" s="383">
        <f>'400 West'!AG33</f>
        <v>34.697025031097034</v>
      </c>
      <c r="AH173" s="383">
        <f>'400 West'!AH33</f>
        <v>36.099248235184596</v>
      </c>
      <c r="AI173" s="383">
        <f>'400 West'!AI33</f>
        <v>37.558139983976496</v>
      </c>
      <c r="AJ173" s="383">
        <f>'400 West'!AJ33</f>
        <v>39.075990443510143</v>
      </c>
      <c r="AK173" s="383">
        <f>'400 West'!AK33</f>
        <v>40.65518233311699</v>
      </c>
      <c r="AL173" s="383">
        <f>'400 West'!AL33</f>
        <v>42.298194665811664</v>
      </c>
    </row>
    <row r="174" spans="2:38">
      <c r="D174" s="358"/>
      <c r="F174" s="464"/>
      <c r="G174" s="465"/>
      <c r="H174" s="465"/>
    </row>
    <row r="175" spans="2:38">
      <c r="B175" s="358" t="s">
        <v>208</v>
      </c>
      <c r="C175" s="362" t="s">
        <v>292</v>
      </c>
      <c r="D175" s="485">
        <f>SUMPRODUCT(D172:D173,D$150:D$151)</f>
        <v>213.59251849270626</v>
      </c>
      <c r="E175" s="485">
        <f t="shared" ref="E175:AK175" si="82">SUMPRODUCT(E172:E173,E$150:E$151)</f>
        <v>223.26399243891825</v>
      </c>
      <c r="F175" s="485">
        <f t="shared" si="82"/>
        <v>231.97972468085516</v>
      </c>
      <c r="G175" s="485">
        <f t="shared" si="82"/>
        <v>239.05021766991325</v>
      </c>
      <c r="H175" s="485">
        <f t="shared" si="82"/>
        <v>252.46153064338847</v>
      </c>
      <c r="I175" s="485">
        <f t="shared" si="82"/>
        <v>266.26597264933491</v>
      </c>
      <c r="J175" s="485">
        <f t="shared" si="82"/>
        <v>281.2133204676112</v>
      </c>
      <c r="K175" s="485">
        <f t="shared" si="82"/>
        <v>295.31079478147262</v>
      </c>
      <c r="L175" s="485">
        <f t="shared" si="82"/>
        <v>312.47281825200105</v>
      </c>
      <c r="M175" s="485">
        <f t="shared" si="82"/>
        <v>337.31067156925542</v>
      </c>
      <c r="N175" s="485">
        <f t="shared" si="82"/>
        <v>354.57887862640825</v>
      </c>
      <c r="O175" s="485">
        <f t="shared" si="82"/>
        <v>373.19845330289877</v>
      </c>
      <c r="P175" s="485">
        <f t="shared" si="82"/>
        <v>396.91686349250449</v>
      </c>
      <c r="Q175" s="485">
        <f t="shared" si="82"/>
        <v>420.79641269322411</v>
      </c>
      <c r="R175" s="485">
        <f t="shared" si="82"/>
        <v>443.59867410071035</v>
      </c>
      <c r="S175" s="485">
        <f t="shared" si="82"/>
        <v>468.37614745879512</v>
      </c>
      <c r="T175" s="485">
        <f t="shared" si="82"/>
        <v>489.83544395897968</v>
      </c>
      <c r="U175" s="485">
        <f t="shared" si="82"/>
        <v>516.47702903432503</v>
      </c>
      <c r="V175" s="485">
        <f t="shared" si="82"/>
        <v>545.90842935877458</v>
      </c>
      <c r="W175" s="485">
        <f t="shared" si="82"/>
        <v>570.52863783400676</v>
      </c>
      <c r="X175" s="485">
        <f t="shared" si="82"/>
        <v>598.99696261820418</v>
      </c>
      <c r="Y175" s="485">
        <f t="shared" si="82"/>
        <v>634.85969109344057</v>
      </c>
      <c r="Z175" s="485">
        <f t="shared" si="82"/>
        <v>667.11919330370597</v>
      </c>
      <c r="AA175" s="485">
        <f t="shared" si="82"/>
        <v>700.94016090773448</v>
      </c>
      <c r="AB175" s="485">
        <f t="shared" si="82"/>
        <v>740.79773122966367</v>
      </c>
      <c r="AC175" s="485">
        <f t="shared" si="82"/>
        <v>773.80771989741959</v>
      </c>
      <c r="AD175" s="485">
        <f t="shared" si="82"/>
        <v>820.89233210442183</v>
      </c>
      <c r="AE175" s="485">
        <f t="shared" si="82"/>
        <v>865.63805720122832</v>
      </c>
      <c r="AF175" s="485">
        <f t="shared" si="82"/>
        <v>909.89054850231105</v>
      </c>
      <c r="AG175" s="485">
        <f t="shared" si="82"/>
        <v>955.01499186607759</v>
      </c>
      <c r="AH175" s="485">
        <f t="shared" si="82"/>
        <v>1003.8052571550452</v>
      </c>
      <c r="AI175" s="485">
        <f>SUMPRODUCT(AI172:AI173,AI$150:AI$151)</f>
        <v>1055.0504846014296</v>
      </c>
      <c r="AJ175" s="485">
        <f>SUMPRODUCT(AJ172:AJ173,AJ$150:AJ$151)</f>
        <v>1108.8729903976459</v>
      </c>
      <c r="AK175" s="485">
        <f t="shared" si="82"/>
        <v>1165.4011455994773</v>
      </c>
      <c r="AL175" s="485">
        <f t="shared" ref="AL175" si="83">SUMPRODUCT(AL172:AL173,AL$150:AL$151)</f>
        <v>1224.7696745541323</v>
      </c>
    </row>
    <row r="177" spans="1:38" ht="13">
      <c r="B177" s="364" t="s">
        <v>527</v>
      </c>
      <c r="C177" s="387" t="s">
        <v>292</v>
      </c>
      <c r="D177" s="488">
        <f>D170+D175</f>
        <v>307.49252974907006</v>
      </c>
      <c r="E177" s="488">
        <f t="shared" ref="E177:AK177" si="84">E170+E175</f>
        <v>320.95881822274515</v>
      </c>
      <c r="F177" s="488">
        <f t="shared" si="84"/>
        <v>333.62272618034063</v>
      </c>
      <c r="G177" s="488">
        <f t="shared" si="84"/>
        <v>344.80095391345674</v>
      </c>
      <c r="H177" s="488">
        <f t="shared" si="84"/>
        <v>362.48600897511221</v>
      </c>
      <c r="I177" s="488">
        <f t="shared" si="84"/>
        <v>380.73690932715897</v>
      </c>
      <c r="J177" s="488">
        <f t="shared" si="84"/>
        <v>400.31041179297125</v>
      </c>
      <c r="K177" s="488">
        <f t="shared" si="84"/>
        <v>419.22099918629942</v>
      </c>
      <c r="L177" s="488">
        <f t="shared" si="84"/>
        <v>441.39064978578085</v>
      </c>
      <c r="M177" s="488">
        <f t="shared" si="84"/>
        <v>471.4385052468877</v>
      </c>
      <c r="N177" s="488">
        <f t="shared" si="84"/>
        <v>494.12726811619473</v>
      </c>
      <c r="O177" s="488">
        <f t="shared" si="84"/>
        <v>518.3864614533702</v>
      </c>
      <c r="P177" s="488">
        <f t="shared" si="84"/>
        <v>547.9724062169455</v>
      </c>
      <c r="Q177" s="488">
        <f t="shared" si="84"/>
        <v>577.95661675172528</v>
      </c>
      <c r="R177" s="488">
        <f t="shared" si="84"/>
        <v>607.11024934139368</v>
      </c>
      <c r="S177" s="488">
        <f t="shared" si="84"/>
        <v>638.49577410255733</v>
      </c>
      <c r="T177" s="488">
        <f t="shared" si="84"/>
        <v>666.83017553570949</v>
      </c>
      <c r="U177" s="488">
        <f t="shared" si="84"/>
        <v>700.62471160312714</v>
      </c>
      <c r="V177" s="488">
        <f t="shared" si="84"/>
        <v>737.49813767028809</v>
      </c>
      <c r="W177" s="488">
        <f t="shared" si="84"/>
        <v>769.86112911950715</v>
      </c>
      <c r="X177" s="488">
        <f t="shared" si="84"/>
        <v>806.38514871784514</v>
      </c>
      <c r="Y177" s="488">
        <f t="shared" si="84"/>
        <v>850.62912966478234</v>
      </c>
      <c r="Z177" s="488">
        <f t="shared" si="84"/>
        <v>891.60859888162884</v>
      </c>
      <c r="AA177" s="488">
        <f t="shared" si="84"/>
        <v>934.50193661799767</v>
      </c>
      <c r="AB177" s="488">
        <f t="shared" si="84"/>
        <v>983.79852199079369</v>
      </c>
      <c r="AC177" s="488">
        <f t="shared" si="84"/>
        <v>1026.628987979343</v>
      </c>
      <c r="AD177" s="488">
        <f t="shared" si="84"/>
        <v>1083.9309559473531</v>
      </c>
      <c r="AE177" s="488">
        <f t="shared" si="84"/>
        <v>1139.3069544348396</v>
      </c>
      <c r="AF177" s="488">
        <f t="shared" si="84"/>
        <v>1194.6193241431947</v>
      </c>
      <c r="AG177" s="488">
        <f t="shared" si="84"/>
        <v>1251.2506127110464</v>
      </c>
      <c r="AH177" s="488">
        <f t="shared" si="84"/>
        <v>1312.012753428925</v>
      </c>
      <c r="AI177" s="488">
        <f t="shared" si="84"/>
        <v>1375.7136799607968</v>
      </c>
      <c r="AJ177" s="488">
        <f t="shared" si="84"/>
        <v>1442.4952614364636</v>
      </c>
      <c r="AK177" s="488">
        <f t="shared" si="84"/>
        <v>1512.5062120489029</v>
      </c>
      <c r="AL177" s="488">
        <f t="shared" ref="AL177" si="85">AL170+AL175</f>
        <v>1585.9024214169513</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'400 West'!D48</f>
        <v>248.76823196030929</v>
      </c>
      <c r="E181" s="383">
        <f>'400 West'!E48</f>
        <v>258.82179093206406</v>
      </c>
      <c r="F181" s="383">
        <f>'400 West'!F48</f>
        <v>269.28164795563225</v>
      </c>
      <c r="G181" s="383">
        <f>'400 West'!G48</f>
        <v>280.16422289858241</v>
      </c>
      <c r="H181" s="383">
        <f>'400 West'!H48</f>
        <v>0</v>
      </c>
      <c r="I181" s="383">
        <f>'400 West'!I48</f>
        <v>0</v>
      </c>
      <c r="J181" s="383">
        <f>'400 West'!J48</f>
        <v>0</v>
      </c>
      <c r="K181" s="383">
        <f>'400 West'!K48</f>
        <v>0</v>
      </c>
      <c r="L181" s="383">
        <f>'400 West'!L48</f>
        <v>0</v>
      </c>
      <c r="M181" s="383">
        <f>'400 West'!M48</f>
        <v>0</v>
      </c>
      <c r="N181" s="383">
        <f>'400 West'!N48</f>
        <v>0</v>
      </c>
      <c r="O181" s="383">
        <f>'400 West'!O48</f>
        <v>0</v>
      </c>
      <c r="P181" s="383">
        <f>'400 West'!P48</f>
        <v>0</v>
      </c>
      <c r="Q181" s="383">
        <f>'400 West'!Q48</f>
        <v>0</v>
      </c>
      <c r="R181" s="383">
        <f>'400 West'!R48</f>
        <v>0</v>
      </c>
      <c r="S181" s="383">
        <f>'400 West'!S48</f>
        <v>0</v>
      </c>
      <c r="T181" s="383">
        <f>'400 West'!T48</f>
        <v>0</v>
      </c>
      <c r="U181" s="383">
        <f>'400 West'!U48</f>
        <v>0</v>
      </c>
      <c r="V181" s="383">
        <f>'400 West'!V48</f>
        <v>0</v>
      </c>
      <c r="W181" s="383">
        <f>'400 West'!W48</f>
        <v>0</v>
      </c>
      <c r="X181" s="383">
        <f>'400 West'!X48</f>
        <v>0</v>
      </c>
      <c r="Y181" s="383">
        <f>'400 West'!Y48</f>
        <v>0</v>
      </c>
      <c r="Z181" s="383">
        <f>'400 West'!Z48</f>
        <v>0</v>
      </c>
      <c r="AA181" s="383">
        <f>'400 West'!AA48</f>
        <v>0</v>
      </c>
      <c r="AB181" s="383">
        <f>'400 West'!AB48</f>
        <v>0</v>
      </c>
      <c r="AC181" s="383">
        <f>'400 West'!AC48</f>
        <v>0</v>
      </c>
      <c r="AD181" s="383">
        <f>'400 West'!AD48</f>
        <v>0</v>
      </c>
      <c r="AE181" s="383">
        <f>'400 West'!AE48</f>
        <v>0</v>
      </c>
      <c r="AF181" s="383">
        <f>'400 West'!AF48</f>
        <v>0</v>
      </c>
      <c r="AG181" s="383">
        <f>'400 West'!AG48</f>
        <v>0</v>
      </c>
      <c r="AH181" s="383">
        <f>'400 West'!AH48</f>
        <v>0</v>
      </c>
      <c r="AI181" s="383">
        <f>'400 West'!AI48</f>
        <v>0</v>
      </c>
      <c r="AJ181" s="383">
        <f>'400 West'!AJ48</f>
        <v>0</v>
      </c>
      <c r="AK181" s="383">
        <f>'400 West'!AK48</f>
        <v>0</v>
      </c>
      <c r="AL181" s="383">
        <f>'400 West'!AL48</f>
        <v>0</v>
      </c>
    </row>
    <row r="182" spans="1:38">
      <c r="B182" s="385" t="s">
        <v>509</v>
      </c>
      <c r="C182" s="386" t="s">
        <v>443</v>
      </c>
      <c r="D182" s="383">
        <f>'400 West'!D49</f>
        <v>13.093064840016281</v>
      </c>
      <c r="E182" s="383">
        <f>'400 West'!E49</f>
        <v>13.622199522740216</v>
      </c>
      <c r="F182" s="383">
        <f>'400 West'!F49</f>
        <v>14.172718313454332</v>
      </c>
      <c r="G182" s="383">
        <f>'400 West'!G49</f>
        <v>14.745485415714866</v>
      </c>
      <c r="H182" s="383">
        <f>'400 West'!H49</f>
        <v>0</v>
      </c>
      <c r="I182" s="383">
        <f>'400 West'!I49</f>
        <v>0</v>
      </c>
      <c r="J182" s="383">
        <f>'400 West'!J49</f>
        <v>0</v>
      </c>
      <c r="K182" s="383">
        <f>'400 West'!K49</f>
        <v>0</v>
      </c>
      <c r="L182" s="383">
        <f>'400 West'!L49</f>
        <v>0</v>
      </c>
      <c r="M182" s="383">
        <f>'400 West'!M49</f>
        <v>0</v>
      </c>
      <c r="N182" s="383">
        <f>'400 West'!N49</f>
        <v>0</v>
      </c>
      <c r="O182" s="383">
        <f>'400 West'!O49</f>
        <v>0</v>
      </c>
      <c r="P182" s="383">
        <f>'400 West'!P49</f>
        <v>0</v>
      </c>
      <c r="Q182" s="383">
        <f>'400 West'!Q49</f>
        <v>0</v>
      </c>
      <c r="R182" s="383">
        <f>'400 West'!R49</f>
        <v>0</v>
      </c>
      <c r="S182" s="383">
        <f>'400 West'!S49</f>
        <v>0</v>
      </c>
      <c r="T182" s="383">
        <f>'400 West'!T49</f>
        <v>0</v>
      </c>
      <c r="U182" s="383">
        <f>'400 West'!U49</f>
        <v>0</v>
      </c>
      <c r="V182" s="383">
        <f>'400 West'!V49</f>
        <v>0</v>
      </c>
      <c r="W182" s="383">
        <f>'400 West'!W49</f>
        <v>0</v>
      </c>
      <c r="X182" s="383">
        <f>'400 West'!X49</f>
        <v>0</v>
      </c>
      <c r="Y182" s="383">
        <f>'400 West'!Y49</f>
        <v>0</v>
      </c>
      <c r="Z182" s="383">
        <f>'400 West'!Z49</f>
        <v>0</v>
      </c>
      <c r="AA182" s="383">
        <f>'400 West'!AA49</f>
        <v>0</v>
      </c>
      <c r="AB182" s="383">
        <f>'400 West'!AB49</f>
        <v>0</v>
      </c>
      <c r="AC182" s="383">
        <f>'400 West'!AC49</f>
        <v>0</v>
      </c>
      <c r="AD182" s="383">
        <f>'400 West'!AD49</f>
        <v>0</v>
      </c>
      <c r="AE182" s="383">
        <f>'400 West'!AE49</f>
        <v>0</v>
      </c>
      <c r="AF182" s="383">
        <f>'400 West'!AF49</f>
        <v>0</v>
      </c>
      <c r="AG182" s="383">
        <f>'400 West'!AG49</f>
        <v>0</v>
      </c>
      <c r="AH182" s="383">
        <f>'400 West'!AH49</f>
        <v>0</v>
      </c>
      <c r="AI182" s="383">
        <f>'400 West'!AI49</f>
        <v>0</v>
      </c>
      <c r="AJ182" s="383">
        <f>'400 West'!AJ49</f>
        <v>0</v>
      </c>
      <c r="AK182" s="383">
        <f>'400 West'!AK49</f>
        <v>0</v>
      </c>
      <c r="AL182" s="383">
        <f>'400 West'!AL49</f>
        <v>0</v>
      </c>
    </row>
    <row r="183" spans="1:38">
      <c r="B183" s="358" t="s">
        <v>769</v>
      </c>
      <c r="C183" s="358" t="s">
        <v>443</v>
      </c>
      <c r="D183" s="383">
        <f>'400 West'!D50</f>
        <v>0</v>
      </c>
      <c r="E183" s="383">
        <f>'400 West'!E50</f>
        <v>0</v>
      </c>
      <c r="F183" s="383">
        <f>'400 West'!F50</f>
        <v>0</v>
      </c>
      <c r="G183" s="383">
        <f>'400 West'!G50</f>
        <v>0</v>
      </c>
      <c r="H183" s="383">
        <f>'400 West'!H50</f>
        <v>0</v>
      </c>
      <c r="I183" s="383">
        <f>'400 West'!I50</f>
        <v>0</v>
      </c>
      <c r="J183" s="383">
        <f>'400 West'!J50</f>
        <v>0</v>
      </c>
      <c r="K183" s="383">
        <f>'400 West'!K50</f>
        <v>0</v>
      </c>
      <c r="L183" s="383">
        <f>'400 West'!L50</f>
        <v>0</v>
      </c>
      <c r="M183" s="383">
        <f>'400 West'!M50</f>
        <v>0</v>
      </c>
      <c r="N183" s="383">
        <f>'400 West'!N50</f>
        <v>0</v>
      </c>
      <c r="O183" s="383">
        <f>'400 West'!O50</f>
        <v>0</v>
      </c>
      <c r="P183" s="383">
        <f>'400 West'!P50</f>
        <v>0</v>
      </c>
      <c r="Q183" s="383">
        <f>'400 West'!Q50</f>
        <v>0</v>
      </c>
      <c r="R183" s="383">
        <f>'400 West'!R50</f>
        <v>0</v>
      </c>
      <c r="S183" s="383">
        <f>'400 West'!S50</f>
        <v>0</v>
      </c>
      <c r="T183" s="383">
        <f>'400 West'!T50</f>
        <v>0</v>
      </c>
      <c r="U183" s="383">
        <f>'400 West'!U50</f>
        <v>0</v>
      </c>
      <c r="V183" s="383">
        <f>'400 West'!V50</f>
        <v>0</v>
      </c>
      <c r="W183" s="383">
        <f>'400 West'!W50</f>
        <v>0</v>
      </c>
      <c r="X183" s="383">
        <f>'400 West'!X50</f>
        <v>0</v>
      </c>
      <c r="Y183" s="383">
        <f>'400 West'!Y50</f>
        <v>0</v>
      </c>
      <c r="Z183" s="383">
        <f>'400 West'!Z50</f>
        <v>0</v>
      </c>
      <c r="AA183" s="383">
        <f>'400 West'!AA50</f>
        <v>0</v>
      </c>
      <c r="AB183" s="383">
        <f>'400 West'!AB50</f>
        <v>0</v>
      </c>
      <c r="AC183" s="383">
        <f>'400 West'!AC50</f>
        <v>0</v>
      </c>
      <c r="AD183" s="383">
        <f>'400 West'!AD50</f>
        <v>0</v>
      </c>
      <c r="AE183" s="383">
        <f>'400 West'!AE50</f>
        <v>0</v>
      </c>
      <c r="AF183" s="383">
        <f>'400 West'!AF50</f>
        <v>0</v>
      </c>
      <c r="AG183" s="383">
        <f>'400 West'!AG50</f>
        <v>0</v>
      </c>
      <c r="AH183" s="383">
        <f>'400 West'!AH50</f>
        <v>0</v>
      </c>
      <c r="AI183" s="383">
        <f>'400 West'!AI50</f>
        <v>0</v>
      </c>
      <c r="AJ183" s="383">
        <f>'400 West'!AJ50</f>
        <v>0</v>
      </c>
      <c r="AK183" s="383">
        <f>'400 West'!AK50</f>
        <v>0</v>
      </c>
      <c r="AL183" s="383">
        <f>'400 West'!AL50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8.5825040026306691</v>
      </c>
      <c r="E185" s="383">
        <f t="shared" ref="E185:AK187" si="86">E181*$C163</f>
        <v>8.9293517871562091</v>
      </c>
      <c r="F185" s="383">
        <f t="shared" si="86"/>
        <v>9.2902168544693122</v>
      </c>
      <c r="G185" s="383">
        <f t="shared" si="86"/>
        <v>9.6656656900010915</v>
      </c>
      <c r="H185" s="383">
        <f t="shared" si="86"/>
        <v>0</v>
      </c>
      <c r="I185" s="383">
        <f t="shared" si="86"/>
        <v>0</v>
      </c>
      <c r="J185" s="383">
        <f t="shared" si="86"/>
        <v>0</v>
      </c>
      <c r="K185" s="383">
        <f t="shared" si="86"/>
        <v>0</v>
      </c>
      <c r="L185" s="383">
        <f t="shared" si="86"/>
        <v>0</v>
      </c>
      <c r="M185" s="383">
        <f t="shared" si="86"/>
        <v>0</v>
      </c>
      <c r="N185" s="383">
        <f t="shared" si="86"/>
        <v>0</v>
      </c>
      <c r="O185" s="383">
        <f t="shared" si="86"/>
        <v>0</v>
      </c>
      <c r="P185" s="383">
        <f t="shared" si="86"/>
        <v>0</v>
      </c>
      <c r="Q185" s="383">
        <f t="shared" si="86"/>
        <v>0</v>
      </c>
      <c r="R185" s="383">
        <f t="shared" si="86"/>
        <v>0</v>
      </c>
      <c r="S185" s="383">
        <f t="shared" si="86"/>
        <v>0</v>
      </c>
      <c r="T185" s="383">
        <f t="shared" si="86"/>
        <v>0</v>
      </c>
      <c r="U185" s="383">
        <f t="shared" si="86"/>
        <v>0</v>
      </c>
      <c r="V185" s="383">
        <f t="shared" si="86"/>
        <v>0</v>
      </c>
      <c r="W185" s="383">
        <f t="shared" si="86"/>
        <v>0</v>
      </c>
      <c r="X185" s="383">
        <f t="shared" si="86"/>
        <v>0</v>
      </c>
      <c r="Y185" s="383">
        <f t="shared" si="86"/>
        <v>0</v>
      </c>
      <c r="Z185" s="383">
        <f t="shared" si="86"/>
        <v>0</v>
      </c>
      <c r="AA185" s="383">
        <f t="shared" si="86"/>
        <v>0</v>
      </c>
      <c r="AB185" s="383">
        <f t="shared" si="86"/>
        <v>0</v>
      </c>
      <c r="AC185" s="383">
        <f t="shared" si="86"/>
        <v>0</v>
      </c>
      <c r="AD185" s="383">
        <f t="shared" si="86"/>
        <v>0</v>
      </c>
      <c r="AE185" s="383">
        <f t="shared" si="86"/>
        <v>0</v>
      </c>
      <c r="AF185" s="383">
        <f t="shared" si="86"/>
        <v>0</v>
      </c>
      <c r="AG185" s="383">
        <f t="shared" si="86"/>
        <v>0</v>
      </c>
      <c r="AH185" s="383">
        <f t="shared" si="86"/>
        <v>0</v>
      </c>
      <c r="AI185" s="383">
        <f t="shared" si="86"/>
        <v>0</v>
      </c>
      <c r="AJ185" s="383">
        <f t="shared" si="86"/>
        <v>0</v>
      </c>
      <c r="AK185" s="383">
        <f t="shared" si="86"/>
        <v>0</v>
      </c>
      <c r="AL185" s="383">
        <f t="shared" ref="AL185" si="87">AL181*$C163</f>
        <v>0</v>
      </c>
    </row>
    <row r="186" spans="1:38">
      <c r="B186" s="385" t="s">
        <v>501</v>
      </c>
      <c r="C186" s="386" t="s">
        <v>479</v>
      </c>
      <c r="D186" s="383">
        <f>D182*$C164</f>
        <v>0.45171073698056163</v>
      </c>
      <c r="E186" s="383">
        <f t="shared" si="86"/>
        <v>0.46996588353453739</v>
      </c>
      <c r="F186" s="383">
        <f t="shared" si="86"/>
        <v>0.4889587818141744</v>
      </c>
      <c r="G186" s="383">
        <f t="shared" si="86"/>
        <v>0.50871924684216285</v>
      </c>
      <c r="H186" s="383">
        <f t="shared" si="86"/>
        <v>0</v>
      </c>
      <c r="I186" s="383">
        <f t="shared" si="86"/>
        <v>0</v>
      </c>
      <c r="J186" s="383">
        <f t="shared" si="86"/>
        <v>0</v>
      </c>
      <c r="K186" s="383">
        <f t="shared" si="86"/>
        <v>0</v>
      </c>
      <c r="L186" s="383">
        <f t="shared" si="86"/>
        <v>0</v>
      </c>
      <c r="M186" s="383">
        <f t="shared" si="86"/>
        <v>0</v>
      </c>
      <c r="N186" s="383">
        <f t="shared" si="86"/>
        <v>0</v>
      </c>
      <c r="O186" s="383">
        <f t="shared" si="86"/>
        <v>0</v>
      </c>
      <c r="P186" s="383">
        <f t="shared" si="86"/>
        <v>0</v>
      </c>
      <c r="Q186" s="383">
        <f t="shared" si="86"/>
        <v>0</v>
      </c>
      <c r="R186" s="383">
        <f t="shared" si="86"/>
        <v>0</v>
      </c>
      <c r="S186" s="383">
        <f t="shared" si="86"/>
        <v>0</v>
      </c>
      <c r="T186" s="383">
        <f t="shared" si="86"/>
        <v>0</v>
      </c>
      <c r="U186" s="383">
        <f t="shared" si="86"/>
        <v>0</v>
      </c>
      <c r="V186" s="383">
        <f t="shared" si="86"/>
        <v>0</v>
      </c>
      <c r="W186" s="383">
        <f t="shared" si="86"/>
        <v>0</v>
      </c>
      <c r="X186" s="383">
        <f t="shared" si="86"/>
        <v>0</v>
      </c>
      <c r="Y186" s="383">
        <f t="shared" si="86"/>
        <v>0</v>
      </c>
      <c r="Z186" s="383">
        <f t="shared" si="86"/>
        <v>0</v>
      </c>
      <c r="AA186" s="383">
        <f t="shared" si="86"/>
        <v>0</v>
      </c>
      <c r="AB186" s="383">
        <f t="shared" si="86"/>
        <v>0</v>
      </c>
      <c r="AC186" s="383">
        <f t="shared" si="86"/>
        <v>0</v>
      </c>
      <c r="AD186" s="383">
        <f t="shared" si="86"/>
        <v>0</v>
      </c>
      <c r="AE186" s="383">
        <f t="shared" si="86"/>
        <v>0</v>
      </c>
      <c r="AF186" s="383">
        <f t="shared" si="86"/>
        <v>0</v>
      </c>
      <c r="AG186" s="383">
        <f t="shared" si="86"/>
        <v>0</v>
      </c>
      <c r="AH186" s="383">
        <f t="shared" si="86"/>
        <v>0</v>
      </c>
      <c r="AI186" s="383">
        <f t="shared" si="86"/>
        <v>0</v>
      </c>
      <c r="AJ186" s="383">
        <f t="shared" si="86"/>
        <v>0</v>
      </c>
      <c r="AK186" s="383">
        <f t="shared" si="86"/>
        <v>0</v>
      </c>
      <c r="AL186" s="383">
        <f t="shared" ref="AL186" si="88">AL182*$C164</f>
        <v>0</v>
      </c>
    </row>
    <row r="187" spans="1:38">
      <c r="B187" s="385" t="s">
        <v>768</v>
      </c>
      <c r="C187" s="386" t="s">
        <v>479</v>
      </c>
      <c r="D187" s="383">
        <f>D183*$C165</f>
        <v>0</v>
      </c>
      <c r="E187" s="383">
        <f t="shared" si="86"/>
        <v>0</v>
      </c>
      <c r="F187" s="383">
        <f t="shared" si="86"/>
        <v>0</v>
      </c>
      <c r="G187" s="383">
        <f t="shared" si="86"/>
        <v>0</v>
      </c>
      <c r="H187" s="383">
        <f t="shared" si="86"/>
        <v>0</v>
      </c>
      <c r="I187" s="383">
        <f t="shared" si="86"/>
        <v>0</v>
      </c>
      <c r="J187" s="383">
        <f t="shared" si="86"/>
        <v>0</v>
      </c>
      <c r="K187" s="383">
        <f t="shared" si="86"/>
        <v>0</v>
      </c>
      <c r="L187" s="383">
        <f t="shared" si="86"/>
        <v>0</v>
      </c>
      <c r="M187" s="383">
        <f t="shared" si="86"/>
        <v>0</v>
      </c>
      <c r="N187" s="383">
        <f t="shared" si="86"/>
        <v>0</v>
      </c>
      <c r="O187" s="383">
        <f t="shared" si="86"/>
        <v>0</v>
      </c>
      <c r="P187" s="383">
        <f t="shared" si="86"/>
        <v>0</v>
      </c>
      <c r="Q187" s="383">
        <f t="shared" si="86"/>
        <v>0</v>
      </c>
      <c r="R187" s="383">
        <f t="shared" si="86"/>
        <v>0</v>
      </c>
      <c r="S187" s="383">
        <f t="shared" si="86"/>
        <v>0</v>
      </c>
      <c r="T187" s="383">
        <f t="shared" si="86"/>
        <v>0</v>
      </c>
      <c r="U187" s="383">
        <f t="shared" si="86"/>
        <v>0</v>
      </c>
      <c r="V187" s="383">
        <f t="shared" si="86"/>
        <v>0</v>
      </c>
      <c r="W187" s="383">
        <f t="shared" si="86"/>
        <v>0</v>
      </c>
      <c r="X187" s="383">
        <f t="shared" si="86"/>
        <v>0</v>
      </c>
      <c r="Y187" s="383">
        <f t="shared" si="86"/>
        <v>0</v>
      </c>
      <c r="Z187" s="383">
        <f t="shared" si="86"/>
        <v>0</v>
      </c>
      <c r="AA187" s="383">
        <f t="shared" si="86"/>
        <v>0</v>
      </c>
      <c r="AB187" s="383">
        <f t="shared" si="86"/>
        <v>0</v>
      </c>
      <c r="AC187" s="383">
        <f t="shared" si="86"/>
        <v>0</v>
      </c>
      <c r="AD187" s="383">
        <f t="shared" si="86"/>
        <v>0</v>
      </c>
      <c r="AE187" s="383">
        <f t="shared" si="86"/>
        <v>0</v>
      </c>
      <c r="AF187" s="383">
        <f t="shared" si="86"/>
        <v>0</v>
      </c>
      <c r="AG187" s="383">
        <f t="shared" si="86"/>
        <v>0</v>
      </c>
      <c r="AH187" s="383">
        <f t="shared" si="86"/>
        <v>0</v>
      </c>
      <c r="AI187" s="383">
        <f t="shared" si="86"/>
        <v>0</v>
      </c>
      <c r="AJ187" s="383">
        <f t="shared" si="86"/>
        <v>0</v>
      </c>
      <c r="AK187" s="383">
        <f t="shared" si="86"/>
        <v>0</v>
      </c>
      <c r="AL187" s="383">
        <f t="shared" ref="AL187" si="89">AL183*$C165</f>
        <v>0</v>
      </c>
    </row>
    <row r="188" spans="1:38">
      <c r="D188" s="358"/>
      <c r="F188" s="464"/>
      <c r="G188" s="465"/>
      <c r="H188" s="465"/>
    </row>
    <row r="189" spans="1:38">
      <c r="B189" s="358" t="s">
        <v>459</v>
      </c>
      <c r="C189" s="362" t="s">
        <v>292</v>
      </c>
      <c r="D189" s="485">
        <f>SUMPRODUCT($C$153:$C$155,D185:D187)</f>
        <v>93.900011256363811</v>
      </c>
      <c r="E189" s="485">
        <f t="shared" ref="E189:AK189" si="90">SUMPRODUCT($C$153:$C$155,E185:E187)</f>
        <v>97.694825783826914</v>
      </c>
      <c r="F189" s="485">
        <f t="shared" si="90"/>
        <v>101.64300149948548</v>
      </c>
      <c r="G189" s="485">
        <f t="shared" si="90"/>
        <v>105.75073624354347</v>
      </c>
      <c r="H189" s="485">
        <f t="shared" si="90"/>
        <v>0</v>
      </c>
      <c r="I189" s="485">
        <f t="shared" si="90"/>
        <v>0</v>
      </c>
      <c r="J189" s="485">
        <f t="shared" si="90"/>
        <v>0</v>
      </c>
      <c r="K189" s="485">
        <f t="shared" si="90"/>
        <v>0</v>
      </c>
      <c r="L189" s="485">
        <f t="shared" si="90"/>
        <v>0</v>
      </c>
      <c r="M189" s="485">
        <f t="shared" si="90"/>
        <v>0</v>
      </c>
      <c r="N189" s="485">
        <f t="shared" si="90"/>
        <v>0</v>
      </c>
      <c r="O189" s="485">
        <f t="shared" si="90"/>
        <v>0</v>
      </c>
      <c r="P189" s="485">
        <f t="shared" si="90"/>
        <v>0</v>
      </c>
      <c r="Q189" s="485">
        <f t="shared" si="90"/>
        <v>0</v>
      </c>
      <c r="R189" s="485">
        <f t="shared" si="90"/>
        <v>0</v>
      </c>
      <c r="S189" s="485">
        <f t="shared" si="90"/>
        <v>0</v>
      </c>
      <c r="T189" s="485">
        <f t="shared" si="90"/>
        <v>0</v>
      </c>
      <c r="U189" s="485">
        <f t="shared" si="90"/>
        <v>0</v>
      </c>
      <c r="V189" s="485">
        <f t="shared" si="90"/>
        <v>0</v>
      </c>
      <c r="W189" s="485">
        <f t="shared" si="90"/>
        <v>0</v>
      </c>
      <c r="X189" s="485">
        <f t="shared" si="90"/>
        <v>0</v>
      </c>
      <c r="Y189" s="485">
        <f t="shared" si="90"/>
        <v>0</v>
      </c>
      <c r="Z189" s="485">
        <f t="shared" si="90"/>
        <v>0</v>
      </c>
      <c r="AA189" s="485">
        <f t="shared" si="90"/>
        <v>0</v>
      </c>
      <c r="AB189" s="485">
        <f t="shared" si="90"/>
        <v>0</v>
      </c>
      <c r="AC189" s="485">
        <f t="shared" si="90"/>
        <v>0</v>
      </c>
      <c r="AD189" s="485">
        <f t="shared" si="90"/>
        <v>0</v>
      </c>
      <c r="AE189" s="485">
        <f t="shared" si="90"/>
        <v>0</v>
      </c>
      <c r="AF189" s="485">
        <f t="shared" si="90"/>
        <v>0</v>
      </c>
      <c r="AG189" s="485">
        <f t="shared" si="90"/>
        <v>0</v>
      </c>
      <c r="AH189" s="485">
        <f t="shared" si="90"/>
        <v>0</v>
      </c>
      <c r="AI189" s="485">
        <f t="shared" si="90"/>
        <v>0</v>
      </c>
      <c r="AJ189" s="485">
        <f t="shared" si="90"/>
        <v>0</v>
      </c>
      <c r="AK189" s="485">
        <f t="shared" si="90"/>
        <v>0</v>
      </c>
      <c r="AL189" s="485">
        <f t="shared" ref="AL189" si="91">SUMPRODUCT($C$153:$C$155,AL185:AL187)</f>
        <v>0</v>
      </c>
    </row>
    <row r="190" spans="1:38">
      <c r="D190" s="358"/>
      <c r="F190" s="464"/>
      <c r="G190" s="465"/>
      <c r="H190" s="465"/>
    </row>
    <row r="191" spans="1:38">
      <c r="B191" s="748" t="s">
        <v>715</v>
      </c>
      <c r="C191" s="358" t="s">
        <v>295</v>
      </c>
      <c r="D191" s="383">
        <f>'400 West'!D52</f>
        <v>88.934642925810564</v>
      </c>
      <c r="E191" s="383">
        <f>'400 West'!E52</f>
        <v>92.528790258212894</v>
      </c>
      <c r="F191" s="383">
        <f>'400 West'!F52</f>
        <v>96.268189144138532</v>
      </c>
      <c r="G191" s="383">
        <f>'400 West'!G52</f>
        <v>100.15870968624321</v>
      </c>
      <c r="H191" s="383">
        <f>'400 West'!H52</f>
        <v>0</v>
      </c>
      <c r="I191" s="383">
        <f>'400 West'!I52</f>
        <v>0</v>
      </c>
      <c r="J191" s="383">
        <f>'400 West'!J52</f>
        <v>0</v>
      </c>
      <c r="K191" s="383">
        <f>'400 West'!K52</f>
        <v>0</v>
      </c>
      <c r="L191" s="383">
        <f>'400 West'!L52</f>
        <v>0</v>
      </c>
      <c r="M191" s="383">
        <f>'400 West'!M52</f>
        <v>0</v>
      </c>
      <c r="N191" s="383">
        <f>'400 West'!N52</f>
        <v>0</v>
      </c>
      <c r="O191" s="383">
        <f>'400 West'!O52</f>
        <v>0</v>
      </c>
      <c r="P191" s="383">
        <f>'400 West'!P52</f>
        <v>0</v>
      </c>
      <c r="Q191" s="383">
        <f>'400 West'!Q52</f>
        <v>0</v>
      </c>
      <c r="R191" s="383">
        <f>'400 West'!R52</f>
        <v>0</v>
      </c>
      <c r="S191" s="383">
        <f>'400 West'!S52</f>
        <v>0</v>
      </c>
      <c r="T191" s="383">
        <f>'400 West'!T52</f>
        <v>0</v>
      </c>
      <c r="U191" s="383">
        <f>'400 West'!U52</f>
        <v>0</v>
      </c>
      <c r="V191" s="383">
        <f>'400 West'!V52</f>
        <v>0</v>
      </c>
      <c r="W191" s="383">
        <f>'400 West'!W52</f>
        <v>0</v>
      </c>
      <c r="X191" s="383">
        <f>'400 West'!X52</f>
        <v>0</v>
      </c>
      <c r="Y191" s="383">
        <f>'400 West'!Y52</f>
        <v>0</v>
      </c>
      <c r="Z191" s="383">
        <f>'400 West'!Z52</f>
        <v>0</v>
      </c>
      <c r="AA191" s="383">
        <f>'400 West'!AA52</f>
        <v>0</v>
      </c>
      <c r="AB191" s="383">
        <f>'400 West'!AB52</f>
        <v>0</v>
      </c>
      <c r="AC191" s="383">
        <f>'400 West'!AC52</f>
        <v>0</v>
      </c>
      <c r="AD191" s="383">
        <f>'400 West'!AD52</f>
        <v>0</v>
      </c>
      <c r="AE191" s="383">
        <f>'400 West'!AE52</f>
        <v>0</v>
      </c>
      <c r="AF191" s="383">
        <f>'400 West'!AF52</f>
        <v>0</v>
      </c>
      <c r="AG191" s="383">
        <f>'400 West'!AG52</f>
        <v>0</v>
      </c>
      <c r="AH191" s="383">
        <f>'400 West'!AH52</f>
        <v>0</v>
      </c>
      <c r="AI191" s="383">
        <f>'400 West'!AI52</f>
        <v>0</v>
      </c>
      <c r="AJ191" s="383">
        <f>'400 West'!AJ52</f>
        <v>0</v>
      </c>
      <c r="AK191" s="383">
        <f>'400 West'!AK52</f>
        <v>0</v>
      </c>
      <c r="AL191" s="383">
        <f>'400 West'!AL52</f>
        <v>0</v>
      </c>
    </row>
    <row r="192" spans="1:38">
      <c r="B192" s="748" t="s">
        <v>716</v>
      </c>
      <c r="C192" s="358" t="s">
        <v>295</v>
      </c>
      <c r="D192" s="383">
        <f>'400 West'!D53</f>
        <v>10.998174465613674</v>
      </c>
      <c r="E192" s="383">
        <f>'400 West'!E53</f>
        <v>11.442647599101781</v>
      </c>
      <c r="F192" s="383">
        <f>'400 West'!F53</f>
        <v>11.905083383301639</v>
      </c>
      <c r="G192" s="383">
        <f>'400 West'!G53</f>
        <v>12.386207749200487</v>
      </c>
      <c r="H192" s="383">
        <f>'400 West'!H53</f>
        <v>0</v>
      </c>
      <c r="I192" s="383">
        <f>'400 West'!I53</f>
        <v>0</v>
      </c>
      <c r="J192" s="383">
        <f>'400 West'!J53</f>
        <v>0</v>
      </c>
      <c r="K192" s="383">
        <f>'400 West'!K53</f>
        <v>0</v>
      </c>
      <c r="L192" s="383">
        <f>'400 West'!L53</f>
        <v>0</v>
      </c>
      <c r="M192" s="383">
        <f>'400 West'!M53</f>
        <v>0</v>
      </c>
      <c r="N192" s="383">
        <f>'400 West'!N53</f>
        <v>0</v>
      </c>
      <c r="O192" s="383">
        <f>'400 West'!O53</f>
        <v>0</v>
      </c>
      <c r="P192" s="383">
        <f>'400 West'!P53</f>
        <v>0</v>
      </c>
      <c r="Q192" s="383">
        <f>'400 West'!Q53</f>
        <v>0</v>
      </c>
      <c r="R192" s="383">
        <f>'400 West'!R53</f>
        <v>0</v>
      </c>
      <c r="S192" s="383">
        <f>'400 West'!S53</f>
        <v>0</v>
      </c>
      <c r="T192" s="383">
        <f>'400 West'!T53</f>
        <v>0</v>
      </c>
      <c r="U192" s="383">
        <f>'400 West'!U53</f>
        <v>0</v>
      </c>
      <c r="V192" s="383">
        <f>'400 West'!V53</f>
        <v>0</v>
      </c>
      <c r="W192" s="383">
        <f>'400 West'!W53</f>
        <v>0</v>
      </c>
      <c r="X192" s="383">
        <f>'400 West'!X53</f>
        <v>0</v>
      </c>
      <c r="Y192" s="383">
        <f>'400 West'!Y53</f>
        <v>0</v>
      </c>
      <c r="Z192" s="383">
        <f>'400 West'!Z53</f>
        <v>0</v>
      </c>
      <c r="AA192" s="383">
        <f>'400 West'!AA53</f>
        <v>0</v>
      </c>
      <c r="AB192" s="383">
        <f>'400 West'!AB53</f>
        <v>0</v>
      </c>
      <c r="AC192" s="383">
        <f>'400 West'!AC53</f>
        <v>0</v>
      </c>
      <c r="AD192" s="383">
        <f>'400 West'!AD53</f>
        <v>0</v>
      </c>
      <c r="AE192" s="383">
        <f>'400 West'!AE53</f>
        <v>0</v>
      </c>
      <c r="AF192" s="383">
        <f>'400 West'!AF53</f>
        <v>0</v>
      </c>
      <c r="AG192" s="383">
        <f>'400 West'!AG53</f>
        <v>0</v>
      </c>
      <c r="AH192" s="383">
        <f>'400 West'!AH53</f>
        <v>0</v>
      </c>
      <c r="AI192" s="383">
        <f>'400 West'!AI53</f>
        <v>0</v>
      </c>
      <c r="AJ192" s="383">
        <f>'400 West'!AJ53</f>
        <v>0</v>
      </c>
      <c r="AK192" s="383">
        <f>'400 West'!AK53</f>
        <v>0</v>
      </c>
      <c r="AL192" s="383">
        <f>'400 West'!AL53</f>
        <v>0</v>
      </c>
    </row>
    <row r="193" spans="1:38">
      <c r="D193" s="358"/>
      <c r="F193" s="464"/>
      <c r="G193" s="465"/>
      <c r="H193" s="465"/>
    </row>
    <row r="194" spans="1:38">
      <c r="B194" s="358" t="s">
        <v>208</v>
      </c>
      <c r="C194" s="362" t="s">
        <v>292</v>
      </c>
      <c r="D194" s="485">
        <f>SUMPRODUCT(D191:D192,D$150:D$151)</f>
        <v>213.59251849270626</v>
      </c>
      <c r="E194" s="485">
        <f t="shared" ref="E194:AK194" si="92">SUMPRODUCT(E191:E192,E$150:E$151)</f>
        <v>223.26399243891825</v>
      </c>
      <c r="F194" s="485">
        <f t="shared" si="92"/>
        <v>231.97972468085516</v>
      </c>
      <c r="G194" s="485">
        <f t="shared" si="92"/>
        <v>239.05021766991325</v>
      </c>
      <c r="H194" s="485">
        <f t="shared" si="92"/>
        <v>0</v>
      </c>
      <c r="I194" s="485">
        <f t="shared" si="92"/>
        <v>0</v>
      </c>
      <c r="J194" s="485">
        <f t="shared" si="92"/>
        <v>0</v>
      </c>
      <c r="K194" s="485">
        <f t="shared" si="92"/>
        <v>0</v>
      </c>
      <c r="L194" s="485">
        <f t="shared" si="92"/>
        <v>0</v>
      </c>
      <c r="M194" s="485">
        <f t="shared" si="92"/>
        <v>0</v>
      </c>
      <c r="N194" s="485">
        <f t="shared" si="92"/>
        <v>0</v>
      </c>
      <c r="O194" s="485">
        <f t="shared" si="92"/>
        <v>0</v>
      </c>
      <c r="P194" s="485">
        <f t="shared" si="92"/>
        <v>0</v>
      </c>
      <c r="Q194" s="485">
        <f t="shared" si="92"/>
        <v>0</v>
      </c>
      <c r="R194" s="485">
        <f t="shared" si="92"/>
        <v>0</v>
      </c>
      <c r="S194" s="485">
        <f t="shared" si="92"/>
        <v>0</v>
      </c>
      <c r="T194" s="485">
        <f t="shared" si="92"/>
        <v>0</v>
      </c>
      <c r="U194" s="485">
        <f t="shared" si="92"/>
        <v>0</v>
      </c>
      <c r="V194" s="485">
        <f t="shared" si="92"/>
        <v>0</v>
      </c>
      <c r="W194" s="485">
        <f t="shared" si="92"/>
        <v>0</v>
      </c>
      <c r="X194" s="485">
        <f t="shared" si="92"/>
        <v>0</v>
      </c>
      <c r="Y194" s="485">
        <f t="shared" si="92"/>
        <v>0</v>
      </c>
      <c r="Z194" s="485">
        <f t="shared" si="92"/>
        <v>0</v>
      </c>
      <c r="AA194" s="485">
        <f t="shared" si="92"/>
        <v>0</v>
      </c>
      <c r="AB194" s="485">
        <f t="shared" si="92"/>
        <v>0</v>
      </c>
      <c r="AC194" s="485">
        <f t="shared" si="92"/>
        <v>0</v>
      </c>
      <c r="AD194" s="485">
        <f t="shared" si="92"/>
        <v>0</v>
      </c>
      <c r="AE194" s="485">
        <f t="shared" si="92"/>
        <v>0</v>
      </c>
      <c r="AF194" s="485">
        <f t="shared" si="92"/>
        <v>0</v>
      </c>
      <c r="AG194" s="485">
        <f t="shared" si="92"/>
        <v>0</v>
      </c>
      <c r="AH194" s="485">
        <f t="shared" si="92"/>
        <v>0</v>
      </c>
      <c r="AI194" s="485">
        <f t="shared" si="92"/>
        <v>0</v>
      </c>
      <c r="AJ194" s="485">
        <f t="shared" si="92"/>
        <v>0</v>
      </c>
      <c r="AK194" s="485">
        <f t="shared" si="92"/>
        <v>0</v>
      </c>
      <c r="AL194" s="485">
        <f t="shared" ref="AL194" si="93">SUMPRODUCT(AL191:AL192,AL$150:AL$151)</f>
        <v>0</v>
      </c>
    </row>
    <row r="196" spans="1:38" ht="13">
      <c r="B196" s="364" t="s">
        <v>520</v>
      </c>
      <c r="C196" s="387" t="s">
        <v>292</v>
      </c>
      <c r="D196" s="488">
        <f>D189+D194</f>
        <v>307.49252974907006</v>
      </c>
      <c r="E196" s="488">
        <f t="shared" ref="E196:AK196" si="94">E189+E194</f>
        <v>320.95881822274515</v>
      </c>
      <c r="F196" s="488">
        <f t="shared" si="94"/>
        <v>333.62272618034063</v>
      </c>
      <c r="G196" s="488">
        <f t="shared" si="94"/>
        <v>344.80095391345674</v>
      </c>
      <c r="H196" s="488">
        <f t="shared" si="94"/>
        <v>0</v>
      </c>
      <c r="I196" s="488">
        <f t="shared" si="94"/>
        <v>0</v>
      </c>
      <c r="J196" s="488">
        <f t="shared" si="94"/>
        <v>0</v>
      </c>
      <c r="K196" s="488">
        <f t="shared" si="94"/>
        <v>0</v>
      </c>
      <c r="L196" s="488">
        <f t="shared" si="94"/>
        <v>0</v>
      </c>
      <c r="M196" s="488">
        <f t="shared" si="94"/>
        <v>0</v>
      </c>
      <c r="N196" s="488">
        <f t="shared" si="94"/>
        <v>0</v>
      </c>
      <c r="O196" s="488">
        <f t="shared" si="94"/>
        <v>0</v>
      </c>
      <c r="P196" s="488">
        <f t="shared" si="94"/>
        <v>0</v>
      </c>
      <c r="Q196" s="488">
        <f t="shared" si="94"/>
        <v>0</v>
      </c>
      <c r="R196" s="488">
        <f t="shared" si="94"/>
        <v>0</v>
      </c>
      <c r="S196" s="488">
        <f t="shared" si="94"/>
        <v>0</v>
      </c>
      <c r="T196" s="488">
        <f t="shared" si="94"/>
        <v>0</v>
      </c>
      <c r="U196" s="488">
        <f t="shared" si="94"/>
        <v>0</v>
      </c>
      <c r="V196" s="488">
        <f t="shared" si="94"/>
        <v>0</v>
      </c>
      <c r="W196" s="488">
        <f t="shared" si="94"/>
        <v>0</v>
      </c>
      <c r="X196" s="488">
        <f t="shared" si="94"/>
        <v>0</v>
      </c>
      <c r="Y196" s="488">
        <f t="shared" si="94"/>
        <v>0</v>
      </c>
      <c r="Z196" s="488">
        <f t="shared" si="94"/>
        <v>0</v>
      </c>
      <c r="AA196" s="488">
        <f t="shared" si="94"/>
        <v>0</v>
      </c>
      <c r="AB196" s="488">
        <f t="shared" si="94"/>
        <v>0</v>
      </c>
      <c r="AC196" s="488">
        <f t="shared" si="94"/>
        <v>0</v>
      </c>
      <c r="AD196" s="488">
        <f t="shared" si="94"/>
        <v>0</v>
      </c>
      <c r="AE196" s="488">
        <f t="shared" si="94"/>
        <v>0</v>
      </c>
      <c r="AF196" s="488">
        <f t="shared" si="94"/>
        <v>0</v>
      </c>
      <c r="AG196" s="488">
        <f t="shared" si="94"/>
        <v>0</v>
      </c>
      <c r="AH196" s="488">
        <f t="shared" si="94"/>
        <v>0</v>
      </c>
      <c r="AI196" s="488">
        <f t="shared" si="94"/>
        <v>0</v>
      </c>
      <c r="AJ196" s="488">
        <f t="shared" si="94"/>
        <v>0</v>
      </c>
      <c r="AK196" s="488">
        <f t="shared" si="94"/>
        <v>0</v>
      </c>
      <c r="AL196" s="488">
        <f t="shared" ref="AL196" si="95">AL189+AL194</f>
        <v>0</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6">E172-E191</f>
        <v>0</v>
      </c>
      <c r="F200" s="383">
        <f t="shared" si="96"/>
        <v>0</v>
      </c>
      <c r="G200" s="383">
        <f t="shared" si="96"/>
        <v>0</v>
      </c>
      <c r="H200" s="383">
        <f t="shared" si="96"/>
        <v>104.20645921772751</v>
      </c>
      <c r="I200" s="383">
        <f t="shared" si="96"/>
        <v>108.41779188961921</v>
      </c>
      <c r="J200" s="383">
        <f t="shared" si="96"/>
        <v>112.7993186455099</v>
      </c>
      <c r="K200" s="383">
        <f t="shared" si="96"/>
        <v>117.35791759940417</v>
      </c>
      <c r="L200" s="383">
        <f t="shared" si="96"/>
        <v>122.10074483297232</v>
      </c>
      <c r="M200" s="383">
        <f t="shared" si="96"/>
        <v>127.03524562915648</v>
      </c>
      <c r="N200" s="383">
        <f t="shared" si="96"/>
        <v>132.16916615976442</v>
      </c>
      <c r="O200" s="383">
        <f t="shared" si="96"/>
        <v>137.51056564539829</v>
      </c>
      <c r="P200" s="383">
        <f t="shared" si="96"/>
        <v>143.0678290068067</v>
      </c>
      <c r="Q200" s="383">
        <f t="shared" si="96"/>
        <v>148.84968002752049</v>
      </c>
      <c r="R200" s="383">
        <f t="shared" si="96"/>
        <v>154.86519504843452</v>
      </c>
      <c r="S200" s="383">
        <f t="shared" si="96"/>
        <v>161.12381721583483</v>
      </c>
      <c r="T200" s="383">
        <f t="shared" si="96"/>
        <v>167.63537130523352</v>
      </c>
      <c r="U200" s="383">
        <f t="shared" si="96"/>
        <v>174.41007914428772</v>
      </c>
      <c r="V200" s="383">
        <f t="shared" si="96"/>
        <v>181.45857565900857</v>
      </c>
      <c r="W200" s="383">
        <f t="shared" si="96"/>
        <v>188.7919255684518</v>
      </c>
      <c r="X200" s="383">
        <f t="shared" si="96"/>
        <v>196.42164075409656</v>
      </c>
      <c r="Y200" s="383">
        <f t="shared" si="96"/>
        <v>204.3596983311798</v>
      </c>
      <c r="Z200" s="383">
        <f t="shared" si="96"/>
        <v>212.6185594503533</v>
      </c>
      <c r="AA200" s="383">
        <f t="shared" si="96"/>
        <v>221.21118885917883</v>
      </c>
      <c r="AB200" s="383">
        <f t="shared" si="96"/>
        <v>230.15107525416897</v>
      </c>
      <c r="AC200" s="383">
        <f t="shared" si="96"/>
        <v>239.45225245532276</v>
      </c>
      <c r="AD200" s="383">
        <f t="shared" si="96"/>
        <v>249.12932143639429</v>
      </c>
      <c r="AE200" s="383">
        <f t="shared" si="96"/>
        <v>259.19747324547922</v>
      </c>
      <c r="AF200" s="383">
        <f t="shared" si="96"/>
        <v>269.67251285189894</v>
      </c>
      <c r="AG200" s="383">
        <f t="shared" si="96"/>
        <v>280.5708839568174</v>
      </c>
      <c r="AH200" s="383">
        <f t="shared" si="96"/>
        <v>291.90969480653735</v>
      </c>
      <c r="AI200" s="383">
        <f t="shared" si="96"/>
        <v>303.7067450490004</v>
      </c>
      <c r="AJ200" s="383">
        <f t="shared" si="96"/>
        <v>315.98055367564598</v>
      </c>
      <c r="AK200" s="383">
        <f t="shared" si="96"/>
        <v>328.75038809249651</v>
      </c>
      <c r="AL200" s="383">
        <f t="shared" ref="AL200" si="97">AL172-AL191</f>
        <v>342.03629436610203</v>
      </c>
    </row>
    <row r="201" spans="1:38" ht="13">
      <c r="B201" s="364" t="s">
        <v>820</v>
      </c>
      <c r="C201" s="387" t="s">
        <v>295</v>
      </c>
      <c r="D201" s="383">
        <f>D173-D192</f>
        <v>0</v>
      </c>
      <c r="E201" s="383">
        <f t="shared" si="96"/>
        <v>0</v>
      </c>
      <c r="F201" s="383">
        <f t="shared" si="96"/>
        <v>0</v>
      </c>
      <c r="G201" s="383">
        <f t="shared" si="96"/>
        <v>0</v>
      </c>
      <c r="H201" s="383">
        <f t="shared" si="96"/>
        <v>12.886775965092545</v>
      </c>
      <c r="I201" s="383">
        <f t="shared" si="96"/>
        <v>13.407573822198033</v>
      </c>
      <c r="J201" s="383">
        <f t="shared" si="96"/>
        <v>13.94941886819703</v>
      </c>
      <c r="K201" s="383">
        <f t="shared" si="96"/>
        <v>14.513161690614577</v>
      </c>
      <c r="L201" s="383">
        <f t="shared" si="96"/>
        <v>15.099687252071661</v>
      </c>
      <c r="M201" s="383">
        <f t="shared" si="96"/>
        <v>15.70991627949819</v>
      </c>
      <c r="N201" s="383">
        <f t="shared" si="96"/>
        <v>16.344806709488719</v>
      </c>
      <c r="O201" s="383">
        <f t="shared" si="96"/>
        <v>17.005355192069871</v>
      </c>
      <c r="P201" s="383">
        <f t="shared" si="96"/>
        <v>17.692598655239994</v>
      </c>
      <c r="Q201" s="383">
        <f t="shared" si="96"/>
        <v>18.407615932737169</v>
      </c>
      <c r="R201" s="383">
        <f t="shared" si="96"/>
        <v>19.15152945759073</v>
      </c>
      <c r="S201" s="383">
        <f t="shared" si="96"/>
        <v>19.925507024115021</v>
      </c>
      <c r="T201" s="383">
        <f t="shared" si="96"/>
        <v>20.730763621110956</v>
      </c>
      <c r="U201" s="383">
        <f t="shared" si="96"/>
        <v>21.56856333915373</v>
      </c>
      <c r="V201" s="383">
        <f t="shared" si="96"/>
        <v>22.440221354960212</v>
      </c>
      <c r="W201" s="383">
        <f t="shared" si="96"/>
        <v>23.347105995951349</v>
      </c>
      <c r="X201" s="383">
        <f t="shared" si="96"/>
        <v>24.290640888250444</v>
      </c>
      <c r="Y201" s="383">
        <f t="shared" si="96"/>
        <v>25.272307191489297</v>
      </c>
      <c r="Z201" s="383">
        <f t="shared" si="96"/>
        <v>26.293645923930335</v>
      </c>
      <c r="AA201" s="383">
        <f t="shared" si="96"/>
        <v>27.356260381554694</v>
      </c>
      <c r="AB201" s="383">
        <f t="shared" si="96"/>
        <v>28.461818654913795</v>
      </c>
      <c r="AC201" s="383">
        <f t="shared" si="96"/>
        <v>29.612056247695421</v>
      </c>
      <c r="AD201" s="383">
        <f t="shared" si="96"/>
        <v>30.808778801114649</v>
      </c>
      <c r="AE201" s="383">
        <f t="shared" si="96"/>
        <v>32.053864928406711</v>
      </c>
      <c r="AF201" s="383">
        <f t="shared" si="96"/>
        <v>33.349269163871206</v>
      </c>
      <c r="AG201" s="383">
        <f t="shared" si="96"/>
        <v>34.697025031097034</v>
      </c>
      <c r="AH201" s="383">
        <f t="shared" si="96"/>
        <v>36.099248235184596</v>
      </c>
      <c r="AI201" s="383">
        <f t="shared" si="96"/>
        <v>37.558139983976496</v>
      </c>
      <c r="AJ201" s="383">
        <f t="shared" si="96"/>
        <v>39.075990443510143</v>
      </c>
      <c r="AK201" s="383">
        <f t="shared" si="96"/>
        <v>40.65518233311699</v>
      </c>
      <c r="AL201" s="383">
        <f t="shared" ref="AL201" si="98">AL173-AL192</f>
        <v>42.298194665811664</v>
      </c>
    </row>
    <row r="202" spans="1:38" ht="13">
      <c r="B202" s="364" t="s">
        <v>821</v>
      </c>
      <c r="C202" s="387" t="s">
        <v>479</v>
      </c>
      <c r="D202" s="383">
        <f>SUM(D166:D168)-SUM(D185:D187)</f>
        <v>0</v>
      </c>
      <c r="E202" s="383">
        <f t="shared" ref="E202:AE202" si="99">SUM(E166:E168)-SUM(E185:E187)</f>
        <v>0</v>
      </c>
      <c r="F202" s="383">
        <f t="shared" si="99"/>
        <v>0</v>
      </c>
      <c r="G202" s="383">
        <f t="shared" si="99"/>
        <v>0</v>
      </c>
      <c r="H202" s="383">
        <f t="shared" si="99"/>
        <v>10.585565971326018</v>
      </c>
      <c r="I202" s="383">
        <f t="shared" si="99"/>
        <v>11.013364211091242</v>
      </c>
      <c r="J202" s="383">
        <f t="shared" si="99"/>
        <v>11.458451213161844</v>
      </c>
      <c r="K202" s="383">
        <f t="shared" si="99"/>
        <v>11.921525674433401</v>
      </c>
      <c r="L202" s="383">
        <f t="shared" si="99"/>
        <v>12.403314528487433</v>
      </c>
      <c r="M202" s="383">
        <f t="shared" si="99"/>
        <v>12.904574086730653</v>
      </c>
      <c r="N202" s="383">
        <f t="shared" si="99"/>
        <v>13.426091225651444</v>
      </c>
      <c r="O202" s="383">
        <f t="shared" si="99"/>
        <v>13.968684622057388</v>
      </c>
      <c r="P202" s="383">
        <f t="shared" si="99"/>
        <v>14.53320603823285</v>
      </c>
      <c r="Q202" s="383">
        <f t="shared" si="99"/>
        <v>15.1205416590341</v>
      </c>
      <c r="R202" s="383">
        <f t="shared" si="99"/>
        <v>15.731613483020951</v>
      </c>
      <c r="S202" s="383">
        <f t="shared" si="99"/>
        <v>16.367380769808765</v>
      </c>
      <c r="T202" s="383">
        <f t="shared" si="99"/>
        <v>17.02884154591257</v>
      </c>
      <c r="U202" s="383">
        <f t="shared" si="99"/>
        <v>17.717034171447704</v>
      </c>
      <c r="V202" s="383">
        <f t="shared" si="99"/>
        <v>18.43303897014588</v>
      </c>
      <c r="W202" s="383">
        <f t="shared" si="99"/>
        <v>19.177979925245747</v>
      </c>
      <c r="X202" s="383">
        <f t="shared" si="99"/>
        <v>19.953026443920002</v>
      </c>
      <c r="Y202" s="383">
        <f t="shared" si="99"/>
        <v>20.759395193009063</v>
      </c>
      <c r="Z202" s="383">
        <f t="shared" si="99"/>
        <v>21.598352008942772</v>
      </c>
      <c r="AA202" s="383">
        <f t="shared" si="99"/>
        <v>22.471213884848492</v>
      </c>
      <c r="AB202" s="383">
        <f t="shared" si="99"/>
        <v>23.379351037964899</v>
      </c>
      <c r="AC202" s="383">
        <f t="shared" si="99"/>
        <v>24.324189060606951</v>
      </c>
      <c r="AD202" s="383">
        <f t="shared" si="99"/>
        <v>25.307211158058454</v>
      </c>
      <c r="AE202" s="383">
        <f t="shared" si="99"/>
        <v>26.329960476905509</v>
      </c>
      <c r="AF202" s="383">
        <f t="shared" ref="AF202:AJ202" si="100">SUM(AF166:AF168)-SUM(AF185:AF187)</f>
        <v>27.394042527465622</v>
      </c>
      <c r="AG202" s="383">
        <f t="shared" si="100"/>
        <v>28.501127704115419</v>
      </c>
      <c r="AH202" s="383">
        <f t="shared" si="100"/>
        <v>29.652953907473062</v>
      </c>
      <c r="AI202" s="383">
        <f t="shared" si="100"/>
        <v>30.851329272552114</v>
      </c>
      <c r="AJ202" s="383">
        <f t="shared" si="100"/>
        <v>32.098135007169041</v>
      </c>
      <c r="AK202" s="383">
        <f t="shared" ref="AK202:AL202" si="101">SUM(AK166:AK168)-SUM(AK185:AK187)</f>
        <v>33.395328345060378</v>
      </c>
      <c r="AL202" s="383">
        <f t="shared" si="101"/>
        <v>34.744945618345291</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102">D177-D196</f>
        <v>0</v>
      </c>
      <c r="E204" s="488">
        <f t="shared" si="102"/>
        <v>0</v>
      </c>
      <c r="F204" s="488">
        <f t="shared" si="102"/>
        <v>0</v>
      </c>
      <c r="G204" s="488">
        <f t="shared" si="102"/>
        <v>0</v>
      </c>
      <c r="H204" s="488">
        <f t="shared" si="102"/>
        <v>362.48600897511221</v>
      </c>
      <c r="I204" s="488">
        <f t="shared" si="102"/>
        <v>380.73690932715897</v>
      </c>
      <c r="J204" s="488">
        <f t="shared" si="102"/>
        <v>400.31041179297125</v>
      </c>
      <c r="K204" s="488">
        <f t="shared" si="102"/>
        <v>419.22099918629942</v>
      </c>
      <c r="L204" s="488">
        <f t="shared" si="102"/>
        <v>441.39064978578085</v>
      </c>
      <c r="M204" s="488">
        <f t="shared" si="102"/>
        <v>471.4385052468877</v>
      </c>
      <c r="N204" s="488">
        <f t="shared" si="102"/>
        <v>494.12726811619473</v>
      </c>
      <c r="O204" s="488">
        <f t="shared" si="102"/>
        <v>518.3864614533702</v>
      </c>
      <c r="P204" s="488">
        <f t="shared" si="102"/>
        <v>547.9724062169455</v>
      </c>
      <c r="Q204" s="488">
        <f t="shared" si="102"/>
        <v>577.95661675172528</v>
      </c>
      <c r="R204" s="488">
        <f t="shared" si="102"/>
        <v>607.11024934139368</v>
      </c>
      <c r="S204" s="488">
        <f t="shared" si="102"/>
        <v>638.49577410255733</v>
      </c>
      <c r="T204" s="488">
        <f t="shared" si="102"/>
        <v>666.83017553570949</v>
      </c>
      <c r="U204" s="488">
        <f t="shared" si="102"/>
        <v>700.62471160312714</v>
      </c>
      <c r="V204" s="488">
        <f t="shared" si="102"/>
        <v>737.49813767028809</v>
      </c>
      <c r="W204" s="488">
        <f t="shared" si="102"/>
        <v>769.86112911950715</v>
      </c>
      <c r="X204" s="488">
        <f t="shared" si="102"/>
        <v>806.38514871784514</v>
      </c>
      <c r="Y204" s="488">
        <f t="shared" si="102"/>
        <v>850.62912966478234</v>
      </c>
      <c r="Z204" s="488">
        <f t="shared" si="102"/>
        <v>891.60859888162884</v>
      </c>
      <c r="AA204" s="488">
        <f t="shared" si="102"/>
        <v>934.50193661799767</v>
      </c>
      <c r="AB204" s="488">
        <f t="shared" si="102"/>
        <v>983.79852199079369</v>
      </c>
      <c r="AC204" s="488">
        <f t="shared" si="102"/>
        <v>1026.628987979343</v>
      </c>
      <c r="AD204" s="488">
        <f t="shared" si="102"/>
        <v>1083.9309559473531</v>
      </c>
      <c r="AE204" s="488">
        <f t="shared" si="102"/>
        <v>1139.3069544348396</v>
      </c>
      <c r="AF204" s="488">
        <f t="shared" si="102"/>
        <v>1194.6193241431947</v>
      </c>
      <c r="AG204" s="488">
        <f t="shared" si="102"/>
        <v>1251.2506127110464</v>
      </c>
      <c r="AH204" s="488">
        <f t="shared" si="102"/>
        <v>1312.012753428925</v>
      </c>
      <c r="AI204" s="488">
        <f t="shared" si="102"/>
        <v>1375.7136799607968</v>
      </c>
      <c r="AJ204" s="488">
        <f t="shared" si="102"/>
        <v>1442.4952614364636</v>
      </c>
      <c r="AK204" s="488">
        <f t="shared" si="102"/>
        <v>1512.5062120489029</v>
      </c>
      <c r="AL204" s="488">
        <f t="shared" ref="AL204" si="103">AL177-AL196</f>
        <v>1585.9024214169513</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4" tint="-0.249977111117893"/>
  </sheetPr>
  <dimension ref="A1:AL72"/>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Inputs'!C24</f>
        <v>254400V</v>
      </c>
      <c r="E4" s="410"/>
    </row>
    <row r="5" spans="1:38">
      <c r="B5" s="358" t="s">
        <v>628</v>
      </c>
      <c r="C5" s="399" t="s">
        <v>629</v>
      </c>
      <c r="D5" s="439" t="str">
        <f>'Crossing Inputs'!C26</f>
        <v>Urban</v>
      </c>
      <c r="E5" s="398">
        <f>SUMIFS('Accidents Methodology'!$C$22:$C$23,'Accidents Methodology'!$B$22:$B$23,$D5)</f>
        <v>1</v>
      </c>
    </row>
    <row r="6" spans="1:38">
      <c r="B6" s="358" t="s">
        <v>615</v>
      </c>
      <c r="C6" s="399" t="s">
        <v>150</v>
      </c>
      <c r="D6" s="439" t="str">
        <f>'Crossing Inputs'!C27</f>
        <v>Passive</v>
      </c>
      <c r="E6" s="398">
        <f>SUMIFS('Accidents Methodology'!$C$3:$C$5,'Accidents Methodology'!$B$3:$B$5,$D6)</f>
        <v>2.2680000000000001E-3</v>
      </c>
    </row>
    <row r="7" spans="1:38">
      <c r="B7" s="358" t="s">
        <v>630</v>
      </c>
      <c r="C7" s="399" t="s">
        <v>631</v>
      </c>
      <c r="D7" s="439" t="str">
        <f>'Crossing Inputs'!C29</f>
        <v>Yes</v>
      </c>
      <c r="E7" s="398">
        <f>SUMIFS('Accidents Methodology'!$C$26:$C$27,'Accidents Methodology'!$B$26:$B$27,$D7)</f>
        <v>1</v>
      </c>
    </row>
    <row r="8" spans="1:38">
      <c r="B8" s="358" t="s">
        <v>632</v>
      </c>
      <c r="C8" s="399" t="s">
        <v>633</v>
      </c>
      <c r="D8" s="439" t="str">
        <f>'Crossing Inputs'!$C$26&amp;" - "&amp;'Crossing Inputs'!$C$28</f>
        <v>Urban - Local</v>
      </c>
      <c r="E8" s="398">
        <f>SUMIFS('Accidents Methodology'!$C$8:$C$19,'Accidents Methodology'!$B$8:$B$19,$D8)</f>
        <v>6</v>
      </c>
    </row>
    <row r="9" spans="1:38">
      <c r="B9" s="358" t="s">
        <v>607</v>
      </c>
      <c r="C9" s="399" t="s">
        <v>635</v>
      </c>
      <c r="D9" s="439">
        <f>'Crossing Inputs'!C30</f>
        <v>0</v>
      </c>
    </row>
    <row r="10" spans="1:38">
      <c r="B10" s="358" t="s">
        <v>636</v>
      </c>
      <c r="C10" s="399" t="s">
        <v>637</v>
      </c>
      <c r="D10" s="439">
        <f>'Crossing Inputs'!C35</f>
        <v>2</v>
      </c>
    </row>
    <row r="11" spans="1:38">
      <c r="B11" s="358" t="s">
        <v>610</v>
      </c>
      <c r="C11" s="399" t="s">
        <v>638</v>
      </c>
      <c r="D11" s="439">
        <f>'Crossing Inputs'!C31</f>
        <v>3</v>
      </c>
    </row>
    <row r="12" spans="1:38">
      <c r="C12" s="399"/>
    </row>
    <row r="13" spans="1:38" ht="13">
      <c r="C13" s="399"/>
      <c r="D13" s="440">
        <f>D$1</f>
        <v>2021</v>
      </c>
      <c r="E13" s="440">
        <f t="shared" ref="E13:AL13" si="0">E$1</f>
        <v>2022</v>
      </c>
      <c r="F13" s="440">
        <f t="shared" si="0"/>
        <v>2023</v>
      </c>
      <c r="G13" s="440">
        <f t="shared" si="0"/>
        <v>2024</v>
      </c>
      <c r="H13" s="440">
        <f t="shared" si="0"/>
        <v>2025</v>
      </c>
      <c r="I13" s="440">
        <f t="shared" si="0"/>
        <v>2026</v>
      </c>
      <c r="J13" s="440">
        <f t="shared" si="0"/>
        <v>2027</v>
      </c>
      <c r="K13" s="440">
        <f t="shared" si="0"/>
        <v>2028</v>
      </c>
      <c r="L13" s="440">
        <f t="shared" si="0"/>
        <v>2029</v>
      </c>
      <c r="M13" s="440">
        <f t="shared" si="0"/>
        <v>2030</v>
      </c>
      <c r="N13" s="440">
        <f t="shared" si="0"/>
        <v>2031</v>
      </c>
      <c r="O13" s="440">
        <f t="shared" si="0"/>
        <v>2032</v>
      </c>
      <c r="P13" s="440">
        <f t="shared" si="0"/>
        <v>2033</v>
      </c>
      <c r="Q13" s="440">
        <f t="shared" si="0"/>
        <v>2034</v>
      </c>
      <c r="R13" s="440">
        <f t="shared" si="0"/>
        <v>2035</v>
      </c>
      <c r="S13" s="440">
        <f t="shared" si="0"/>
        <v>2036</v>
      </c>
      <c r="T13" s="440">
        <f t="shared" si="0"/>
        <v>2037</v>
      </c>
      <c r="U13" s="440">
        <f t="shared" si="0"/>
        <v>2038</v>
      </c>
      <c r="V13" s="440">
        <f t="shared" si="0"/>
        <v>2039</v>
      </c>
      <c r="W13" s="440">
        <f t="shared" si="0"/>
        <v>2040</v>
      </c>
      <c r="X13" s="440">
        <f t="shared" si="0"/>
        <v>2041</v>
      </c>
      <c r="Y13" s="440">
        <f t="shared" si="0"/>
        <v>2042</v>
      </c>
      <c r="Z13" s="440">
        <f t="shared" si="0"/>
        <v>2043</v>
      </c>
      <c r="AA13" s="440">
        <f t="shared" si="0"/>
        <v>2044</v>
      </c>
      <c r="AB13" s="440">
        <f t="shared" si="0"/>
        <v>2045</v>
      </c>
      <c r="AC13" s="440">
        <f t="shared" si="0"/>
        <v>2046</v>
      </c>
      <c r="AD13" s="440">
        <f t="shared" si="0"/>
        <v>2047</v>
      </c>
      <c r="AE13" s="440">
        <f t="shared" si="0"/>
        <v>2048</v>
      </c>
      <c r="AF13" s="440">
        <f t="shared" si="0"/>
        <v>2049</v>
      </c>
      <c r="AG13" s="440">
        <f t="shared" si="0"/>
        <v>2050</v>
      </c>
      <c r="AH13" s="440">
        <f t="shared" si="0"/>
        <v>2051</v>
      </c>
      <c r="AI13" s="440">
        <f t="shared" si="0"/>
        <v>2052</v>
      </c>
      <c r="AJ13" s="440">
        <f t="shared" si="0"/>
        <v>2053</v>
      </c>
      <c r="AK13" s="440">
        <f t="shared" si="0"/>
        <v>2054</v>
      </c>
      <c r="AL13" s="440">
        <f t="shared" si="0"/>
        <v>2055</v>
      </c>
    </row>
    <row r="14" spans="1:38" ht="13">
      <c r="B14" s="400" t="s">
        <v>639</v>
      </c>
      <c r="C14" s="401" t="s">
        <v>640</v>
      </c>
      <c r="D14" s="441">
        <f>'400 West'!D6</f>
        <v>757.22529230485088</v>
      </c>
      <c r="E14" s="441">
        <f>'400 West'!E6</f>
        <v>779.55896095558853</v>
      </c>
      <c r="F14" s="441">
        <f>'400 West'!F6</f>
        <v>802.55134077256673</v>
      </c>
      <c r="G14" s="441">
        <f>'400 West'!G6</f>
        <v>826.22185984023133</v>
      </c>
      <c r="H14" s="441">
        <f>'400 West'!H6</f>
        <v>850.59051925664085</v>
      </c>
      <c r="I14" s="441">
        <f>'400 West'!I6</f>
        <v>875.67791003398008</v>
      </c>
      <c r="J14" s="441">
        <f>'400 West'!J6</f>
        <v>901.50523049753895</v>
      </c>
      <c r="K14" s="441">
        <f>'400 West'!K6</f>
        <v>928.09430419785747</v>
      </c>
      <c r="L14" s="441">
        <f>'400 West'!L6</f>
        <v>955.46759835117439</v>
      </c>
      <c r="M14" s="441">
        <f>'400 West'!M6</f>
        <v>983.64824282375798</v>
      </c>
      <c r="N14" s="441">
        <f>'400 West'!N6</f>
        <v>1012.6600496761655</v>
      </c>
      <c r="O14" s="441">
        <f>'400 West'!O6</f>
        <v>1042.5275332839396</v>
      </c>
      <c r="P14" s="441">
        <f>'400 West'!P6</f>
        <v>1073.2759310517479</v>
      </c>
      <c r="Q14" s="441">
        <f>'400 West'!Q6</f>
        <v>1104.9312247384671</v>
      </c>
      <c r="R14" s="441">
        <f>'400 West'!R6</f>
        <v>1137.5201624112303</v>
      </c>
      <c r="S14" s="441">
        <f>'400 West'!S6</f>
        <v>1171.0702810469904</v>
      </c>
      <c r="T14" s="441">
        <f>'400 West'!T6</f>
        <v>1205.6099298006936</v>
      </c>
      <c r="U14" s="441">
        <f>'400 West'!U6</f>
        <v>1241.1682939597288</v>
      </c>
      <c r="V14" s="441">
        <f>'400 West'!V6</f>
        <v>1277.7754196048904</v>
      </c>
      <c r="W14" s="441">
        <f>'400 West'!W6</f>
        <v>1315.4622389986941</v>
      </c>
      <c r="X14" s="441">
        <f>'400 West'!X6</f>
        <v>1354.2605967224965</v>
      </c>
      <c r="Y14" s="441">
        <f>'400 West'!Y6</f>
        <v>1394.2032765845079</v>
      </c>
      <c r="Z14" s="441">
        <f>'400 West'!Z6</f>
        <v>1435.3240293214299</v>
      </c>
      <c r="AA14" s="441">
        <f>'400 West'!AA6</f>
        <v>1477.6576011171289</v>
      </c>
      <c r="AB14" s="441">
        <f>'400 West'!AB6</f>
        <v>1521.2397629624411</v>
      </c>
      <c r="AC14" s="441">
        <f>'400 West'!AC6</f>
        <v>1566.1073408809186</v>
      </c>
      <c r="AD14" s="441">
        <f>'400 West'!AD6</f>
        <v>1612.2982470460565</v>
      </c>
      <c r="AE14" s="441">
        <f>'400 West'!AE6</f>
        <v>1659.8515118162927</v>
      </c>
      <c r="AF14" s="441">
        <f>'400 West'!AF6</f>
        <v>1708.8073167148523</v>
      </c>
      <c r="AG14" s="441">
        <f>'400 West'!AG6</f>
        <v>1759.2070283823034</v>
      </c>
      <c r="AH14" s="441">
        <f>'400 West'!AH6</f>
        <v>1811.0932335305088</v>
      </c>
      <c r="AI14" s="441">
        <f>'400 West'!AI6</f>
        <v>1864.5097749275169</v>
      </c>
      <c r="AJ14" s="441">
        <f>'400 West'!AJ6</f>
        <v>1919.5017884437907</v>
      </c>
      <c r="AK14" s="441">
        <f>'400 West'!AK6</f>
        <v>1976.1157411910835</v>
      </c>
      <c r="AL14" s="441">
        <f>'400 West'!AL6</f>
        <v>2034.3994707861862</v>
      </c>
    </row>
    <row r="15" spans="1:38" ht="13">
      <c r="B15" s="400" t="s">
        <v>641</v>
      </c>
      <c r="C15" s="401" t="s">
        <v>642</v>
      </c>
      <c r="D15" s="442">
        <f>'400 West'!D10</f>
        <v>2.021212882214602</v>
      </c>
      <c r="E15" s="442">
        <f>'400 West'!E10</f>
        <v>2.0426507576151294</v>
      </c>
      <c r="F15" s="442">
        <f>'400 West'!F10</f>
        <v>2.064316012578558</v>
      </c>
      <c r="G15" s="442">
        <f>'400 West'!G10</f>
        <v>2.0862110587928311</v>
      </c>
      <c r="H15" s="442">
        <f>'400 West'!H10</f>
        <v>2.1083383335253174</v>
      </c>
      <c r="I15" s="442">
        <f>'400 West'!I10</f>
        <v>2.1307002998941189</v>
      </c>
      <c r="J15" s="442">
        <f>'400 West'!J10</f>
        <v>2.1532994471422544</v>
      </c>
      <c r="K15" s="442">
        <f>'400 West'!K10</f>
        <v>2.1761382909147526</v>
      </c>
      <c r="L15" s="442">
        <f>'400 West'!L10</f>
        <v>2.1992193735386825</v>
      </c>
      <c r="M15" s="442">
        <f>'400 West'!M10</f>
        <v>2.2225452643061563</v>
      </c>
      <c r="N15" s="442">
        <f>'400 West'!N10</f>
        <v>2.2461185597603301</v>
      </c>
      <c r="O15" s="442">
        <f>'400 West'!O10</f>
        <v>2.2699418839844441</v>
      </c>
      <c r="P15" s="442">
        <f>'400 West'!P10</f>
        <v>2.2940178888939209</v>
      </c>
      <c r="Q15" s="442">
        <f>'400 West'!Q10</f>
        <v>2.3183492545315696</v>
      </c>
      <c r="R15" s="442">
        <f>'400 West'!R10</f>
        <v>2.3429386893659134</v>
      </c>
      <c r="S15" s="442">
        <f>'400 West'!S10</f>
        <v>2.3677889305926905</v>
      </c>
      <c r="T15" s="442">
        <f>'400 West'!T10</f>
        <v>2.392902744439541</v>
      </c>
      <c r="U15" s="442">
        <f>'400 West'!U10</f>
        <v>2.4182829264739381</v>
      </c>
      <c r="V15" s="442">
        <f>'400 West'!V10</f>
        <v>2.4439323019143755</v>
      </c>
      <c r="W15" s="442">
        <f>'400 West'!W10</f>
        <v>2.4698537259448612</v>
      </c>
      <c r="X15" s="442">
        <f>'400 West'!X10</f>
        <v>2.4960500840327433</v>
      </c>
      <c r="Y15" s="442">
        <f>'400 West'!Y10</f>
        <v>2.5225242922499103</v>
      </c>
      <c r="Z15" s="442">
        <f>'400 West'!Z10</f>
        <v>2.549279297597395</v>
      </c>
      <c r="AA15" s="442">
        <f>'400 West'!AA10</f>
        <v>2.5763180783334239</v>
      </c>
      <c r="AB15" s="442">
        <f>'400 West'!AB10</f>
        <v>2.6036436443049418</v>
      </c>
      <c r="AC15" s="442">
        <f>'400 West'!AC10</f>
        <v>2.631259037282661</v>
      </c>
      <c r="AD15" s="442">
        <f>'400 West'!AD10</f>
        <v>2.6591673312996531</v>
      </c>
      <c r="AE15" s="442">
        <f>'400 West'!AE10</f>
        <v>2.6873716329935418</v>
      </c>
      <c r="AF15" s="442">
        <f>'400 West'!AF10</f>
        <v>2.7158750819523192</v>
      </c>
      <c r="AG15" s="442">
        <f>'400 West'!AG10</f>
        <v>2.744680851063833</v>
      </c>
      <c r="AH15" s="442">
        <f>'400 West'!AH10</f>
        <v>2.7737921468689781</v>
      </c>
      <c r="AI15" s="442">
        <f>'400 West'!AI10</f>
        <v>2.8032122099186383</v>
      </c>
      <c r="AJ15" s="442">
        <f>'400 West'!AJ10</f>
        <v>2.8329443151344074</v>
      </c>
      <c r="AK15" s="442">
        <f>'400 West'!AK10</f>
        <v>2.8629917721731437</v>
      </c>
      <c r="AL15" s="442">
        <f>'400 West'!AL10</f>
        <v>2.8933579257953856</v>
      </c>
    </row>
    <row r="16" spans="1:38" ht="13">
      <c r="B16" s="400" t="s">
        <v>643</v>
      </c>
      <c r="C16" s="401" t="s">
        <v>644</v>
      </c>
      <c r="D16" s="442">
        <f>'400 West'!D10</f>
        <v>2.021212882214602</v>
      </c>
      <c r="E16" s="442">
        <f>'400 West'!E10</f>
        <v>2.0426507576151294</v>
      </c>
      <c r="F16" s="442">
        <f>'400 West'!F10</f>
        <v>2.064316012578558</v>
      </c>
      <c r="G16" s="442">
        <f>'400 West'!G10</f>
        <v>2.0862110587928311</v>
      </c>
      <c r="H16" s="442">
        <f>'400 West'!H10</f>
        <v>2.1083383335253174</v>
      </c>
      <c r="I16" s="442">
        <f>'400 West'!I10</f>
        <v>2.1307002998941189</v>
      </c>
      <c r="J16" s="442">
        <f>'400 West'!J10</f>
        <v>2.1532994471422544</v>
      </c>
      <c r="K16" s="442">
        <f>'400 West'!K10</f>
        <v>2.1761382909147526</v>
      </c>
      <c r="L16" s="442">
        <f>'400 West'!L10</f>
        <v>2.1992193735386825</v>
      </c>
      <c r="M16" s="442">
        <f>'400 West'!M10</f>
        <v>2.2225452643061563</v>
      </c>
      <c r="N16" s="442">
        <f>'400 West'!N10</f>
        <v>2.2461185597603301</v>
      </c>
      <c r="O16" s="442">
        <f>'400 West'!O10</f>
        <v>2.2699418839844441</v>
      </c>
      <c r="P16" s="442">
        <f>'400 West'!P10</f>
        <v>2.2940178888939209</v>
      </c>
      <c r="Q16" s="442">
        <f>'400 West'!Q10</f>
        <v>2.3183492545315696</v>
      </c>
      <c r="R16" s="442">
        <f>'400 West'!R10</f>
        <v>2.3429386893659134</v>
      </c>
      <c r="S16" s="442">
        <f>'400 West'!S10</f>
        <v>2.3677889305926905</v>
      </c>
      <c r="T16" s="442">
        <f>'400 West'!T10</f>
        <v>2.392902744439541</v>
      </c>
      <c r="U16" s="442">
        <f>'400 West'!U10</f>
        <v>2.4182829264739381</v>
      </c>
      <c r="V16" s="442">
        <f>'400 West'!V10</f>
        <v>2.4439323019143755</v>
      </c>
      <c r="W16" s="442">
        <f>'400 West'!W10</f>
        <v>2.4698537259448612</v>
      </c>
      <c r="X16" s="442">
        <f>'400 West'!X10</f>
        <v>2.4960500840327433</v>
      </c>
      <c r="Y16" s="442">
        <f>'400 West'!Y10</f>
        <v>2.5225242922499103</v>
      </c>
      <c r="Z16" s="442">
        <f>'400 West'!Z10</f>
        <v>2.549279297597395</v>
      </c>
      <c r="AA16" s="442">
        <f>'400 West'!AA10</f>
        <v>2.5763180783334239</v>
      </c>
      <c r="AB16" s="442">
        <f>'400 West'!AB10</f>
        <v>2.6036436443049418</v>
      </c>
      <c r="AC16" s="442">
        <f>'400 West'!AC10</f>
        <v>2.631259037282661</v>
      </c>
      <c r="AD16" s="442">
        <f>'400 West'!AD10</f>
        <v>2.6591673312996531</v>
      </c>
      <c r="AE16" s="442">
        <f>'400 West'!AE10</f>
        <v>2.6873716329935418</v>
      </c>
      <c r="AF16" s="442">
        <f>'400 West'!AF10</f>
        <v>2.7158750819523192</v>
      </c>
      <c r="AG16" s="442">
        <f>'400 West'!AG10</f>
        <v>2.744680851063833</v>
      </c>
      <c r="AH16" s="442">
        <f>'400 West'!AH10</f>
        <v>2.7737921468689781</v>
      </c>
      <c r="AI16" s="442">
        <f>'400 West'!AI10</f>
        <v>2.8032122099186383</v>
      </c>
      <c r="AJ16" s="442">
        <f>'400 West'!AJ10</f>
        <v>2.8329443151344074</v>
      </c>
      <c r="AK16" s="442">
        <f>'400 West'!AK10</f>
        <v>2.8629917721731437</v>
      </c>
      <c r="AL16" s="442">
        <f>'400 West'!AL10</f>
        <v>2.8933579257953856</v>
      </c>
    </row>
    <row r="17" spans="2:38" ht="13">
      <c r="B17" s="400" t="s">
        <v>645</v>
      </c>
      <c r="C17" s="401" t="s">
        <v>646</v>
      </c>
      <c r="D17" s="442">
        <f>'400 West'!D11</f>
        <v>1</v>
      </c>
      <c r="E17" s="442">
        <f>'400 West'!E11</f>
        <v>1</v>
      </c>
      <c r="F17" s="442">
        <f>'400 West'!F11</f>
        <v>1</v>
      </c>
      <c r="G17" s="442">
        <f>'400 West'!G11</f>
        <v>1</v>
      </c>
      <c r="H17" s="442">
        <f>'400 West'!H11</f>
        <v>1</v>
      </c>
      <c r="I17" s="442">
        <f>'400 West'!I11</f>
        <v>1</v>
      </c>
      <c r="J17" s="442">
        <f>'400 West'!J11</f>
        <v>1</v>
      </c>
      <c r="K17" s="442">
        <f>'400 West'!K11</f>
        <v>1</v>
      </c>
      <c r="L17" s="442">
        <f>'400 West'!L11</f>
        <v>1</v>
      </c>
      <c r="M17" s="442">
        <f>'400 West'!M11</f>
        <v>1</v>
      </c>
      <c r="N17" s="442">
        <f>'400 West'!N11</f>
        <v>1</v>
      </c>
      <c r="O17" s="442">
        <f>'400 West'!O11</f>
        <v>1</v>
      </c>
      <c r="P17" s="442">
        <f>'400 West'!P11</f>
        <v>1</v>
      </c>
      <c r="Q17" s="442">
        <f>'400 West'!Q11</f>
        <v>1</v>
      </c>
      <c r="R17" s="442">
        <f>'400 West'!R11</f>
        <v>1</v>
      </c>
      <c r="S17" s="442">
        <f>'400 West'!S11</f>
        <v>1</v>
      </c>
      <c r="T17" s="442">
        <f>'400 West'!T11</f>
        <v>1</v>
      </c>
      <c r="U17" s="442">
        <f>'400 West'!U11</f>
        <v>1</v>
      </c>
      <c r="V17" s="442">
        <f>'400 West'!V11</f>
        <v>1</v>
      </c>
      <c r="W17" s="442">
        <f>'400 West'!W11</f>
        <v>1</v>
      </c>
      <c r="X17" s="442">
        <f>'400 West'!X11</f>
        <v>1</v>
      </c>
      <c r="Y17" s="442">
        <f>'400 West'!Y11</f>
        <v>1</v>
      </c>
      <c r="Z17" s="442">
        <f>'400 West'!Z11</f>
        <v>1</v>
      </c>
      <c r="AA17" s="442">
        <f>'400 West'!AA11</f>
        <v>1</v>
      </c>
      <c r="AB17" s="442">
        <f>'400 West'!AB11</f>
        <v>1</v>
      </c>
      <c r="AC17" s="442">
        <f>'400 West'!AC11</f>
        <v>1</v>
      </c>
      <c r="AD17" s="442">
        <f>'400 West'!AD11</f>
        <v>1</v>
      </c>
      <c r="AE17" s="442">
        <f>'400 West'!AE11</f>
        <v>1</v>
      </c>
      <c r="AF17" s="442">
        <f>'400 West'!AF11</f>
        <v>1</v>
      </c>
      <c r="AG17" s="442">
        <f>'400 West'!AG11</f>
        <v>1</v>
      </c>
      <c r="AH17" s="442">
        <f>'400 West'!AH11</f>
        <v>1</v>
      </c>
      <c r="AI17" s="442">
        <f>'400 West'!AI11</f>
        <v>1</v>
      </c>
      <c r="AJ17" s="442">
        <f>'400 West'!AJ11</f>
        <v>1</v>
      </c>
      <c r="AK17" s="442">
        <f>'400 West'!AK11</f>
        <v>1</v>
      </c>
      <c r="AL17" s="442">
        <f>'400 West'!AL11</f>
        <v>1</v>
      </c>
    </row>
    <row r="18" spans="2:38" ht="13">
      <c r="B18" s="400" t="s">
        <v>1048</v>
      </c>
      <c r="C18" s="401" t="s">
        <v>647</v>
      </c>
      <c r="D18" s="398">
        <v>0</v>
      </c>
      <c r="E18" s="398">
        <v>0</v>
      </c>
      <c r="F18" s="398">
        <v>0</v>
      </c>
      <c r="G18" s="398">
        <v>0</v>
      </c>
      <c r="H18" s="398">
        <v>0</v>
      </c>
      <c r="I18" s="398">
        <v>0</v>
      </c>
      <c r="J18" s="398">
        <v>0</v>
      </c>
      <c r="K18" s="398">
        <v>0</v>
      </c>
      <c r="L18" s="398">
        <v>0</v>
      </c>
      <c r="M18" s="398">
        <v>0</v>
      </c>
      <c r="N18" s="398">
        <v>0</v>
      </c>
      <c r="O18" s="398">
        <v>0</v>
      </c>
      <c r="P18" s="398">
        <v>0</v>
      </c>
      <c r="Q18" s="398">
        <v>0</v>
      </c>
      <c r="R18" s="398">
        <v>0</v>
      </c>
      <c r="S18" s="398">
        <v>0</v>
      </c>
      <c r="T18" s="398">
        <v>0</v>
      </c>
      <c r="U18" s="398">
        <v>0</v>
      </c>
      <c r="V18" s="398">
        <v>0</v>
      </c>
      <c r="W18" s="398">
        <v>0</v>
      </c>
      <c r="X18" s="398">
        <v>0</v>
      </c>
      <c r="Y18" s="398">
        <v>0</v>
      </c>
      <c r="Z18" s="398">
        <v>0</v>
      </c>
      <c r="AA18" s="398">
        <v>0</v>
      </c>
      <c r="AB18" s="398">
        <v>0</v>
      </c>
      <c r="AC18" s="398">
        <v>0</v>
      </c>
      <c r="AD18" s="398">
        <v>0</v>
      </c>
      <c r="AE18" s="398">
        <v>0</v>
      </c>
      <c r="AF18" s="398">
        <v>0</v>
      </c>
      <c r="AG18" s="398">
        <v>0</v>
      </c>
      <c r="AH18" s="398">
        <v>0</v>
      </c>
      <c r="AI18" s="398">
        <v>0</v>
      </c>
      <c r="AJ18" s="398">
        <v>0</v>
      </c>
      <c r="AK18" s="398">
        <v>0</v>
      </c>
      <c r="AL18" s="398">
        <v>0</v>
      </c>
    </row>
    <row r="19" spans="2:38" ht="13">
      <c r="B19" s="400" t="s">
        <v>648</v>
      </c>
      <c r="C19" s="401" t="s">
        <v>649</v>
      </c>
      <c r="D19" s="441">
        <f>'Crossing Inputs'!$C34</f>
        <v>7.5</v>
      </c>
      <c r="E19" s="441">
        <f>'Crossing Inputs'!$C34</f>
        <v>7.5</v>
      </c>
      <c r="F19" s="441">
        <f>'Crossing Inputs'!$C34</f>
        <v>7.5</v>
      </c>
      <c r="G19" s="441">
        <f>'Crossing Inputs'!$C34</f>
        <v>7.5</v>
      </c>
      <c r="H19" s="441">
        <f>'Crossing Inputs'!$C34</f>
        <v>7.5</v>
      </c>
      <c r="I19" s="441">
        <f>'Crossing Inputs'!$C34</f>
        <v>7.5</v>
      </c>
      <c r="J19" s="441">
        <f>'Crossing Inputs'!$C34</f>
        <v>7.5</v>
      </c>
      <c r="K19" s="441">
        <f>'Crossing Inputs'!$C34</f>
        <v>7.5</v>
      </c>
      <c r="L19" s="441">
        <f>'Crossing Inputs'!$C34</f>
        <v>7.5</v>
      </c>
      <c r="M19" s="441">
        <f>'Crossing Inputs'!$C34</f>
        <v>7.5</v>
      </c>
      <c r="N19" s="441">
        <f>'Crossing Inputs'!$C34</f>
        <v>7.5</v>
      </c>
      <c r="O19" s="441">
        <f>'Crossing Inputs'!$C34</f>
        <v>7.5</v>
      </c>
      <c r="P19" s="441">
        <f>'Crossing Inputs'!$C34</f>
        <v>7.5</v>
      </c>
      <c r="Q19" s="441">
        <f>'Crossing Inputs'!$C34</f>
        <v>7.5</v>
      </c>
      <c r="R19" s="441">
        <f>'Crossing Inputs'!$C34</f>
        <v>7.5</v>
      </c>
      <c r="S19" s="441">
        <f>'Crossing Inputs'!$C34</f>
        <v>7.5</v>
      </c>
      <c r="T19" s="441">
        <f>'Crossing Inputs'!$C34</f>
        <v>7.5</v>
      </c>
      <c r="U19" s="441">
        <f>'Crossing Inputs'!$C34</f>
        <v>7.5</v>
      </c>
      <c r="V19" s="441">
        <f>'Crossing Inputs'!$C34</f>
        <v>7.5</v>
      </c>
      <c r="W19" s="441">
        <f>'Crossing Inputs'!$C34</f>
        <v>7.5</v>
      </c>
      <c r="X19" s="441">
        <f>'Crossing Inputs'!$C34</f>
        <v>7.5</v>
      </c>
      <c r="Y19" s="441">
        <f>'Crossing Inputs'!$C34</f>
        <v>7.5</v>
      </c>
      <c r="Z19" s="441">
        <f>'Crossing Inputs'!$C34</f>
        <v>7.5</v>
      </c>
      <c r="AA19" s="441">
        <f>'Crossing Inputs'!$C34</f>
        <v>7.5</v>
      </c>
      <c r="AB19" s="441">
        <f>'Crossing Inputs'!$C34</f>
        <v>7.5</v>
      </c>
      <c r="AC19" s="441">
        <f>'Crossing Inputs'!$C34</f>
        <v>7.5</v>
      </c>
      <c r="AD19" s="441">
        <f>'Crossing Inputs'!$C34</f>
        <v>7.5</v>
      </c>
      <c r="AE19" s="441">
        <f>'Crossing Inputs'!$C34</f>
        <v>7.5</v>
      </c>
      <c r="AF19" s="441">
        <f>'Crossing Inputs'!$C34</f>
        <v>7.5</v>
      </c>
      <c r="AG19" s="441">
        <f>'Crossing Inputs'!$C34</f>
        <v>7.5</v>
      </c>
      <c r="AH19" s="441">
        <f>'Crossing Inputs'!$C34</f>
        <v>7.5</v>
      </c>
      <c r="AI19" s="441">
        <f>'Crossing Inputs'!$C34</f>
        <v>7.5</v>
      </c>
      <c r="AJ19" s="441">
        <f>'Crossing Inputs'!$C34</f>
        <v>7.5</v>
      </c>
      <c r="AK19" s="441">
        <f>'Crossing Inputs'!$C34</f>
        <v>7.5</v>
      </c>
      <c r="AL19" s="441">
        <f>'Crossing Inputs'!$C34</f>
        <v>7.5</v>
      </c>
    </row>
    <row r="20" spans="2:38" ht="13">
      <c r="B20" s="400"/>
      <c r="C20" s="403"/>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2:38" ht="13">
      <c r="B21" s="400"/>
      <c r="C21" s="404"/>
      <c r="D21" s="440">
        <f>D$1</f>
        <v>2021</v>
      </c>
      <c r="E21" s="440">
        <f t="shared" ref="E21:AL21" si="1">E$1</f>
        <v>2022</v>
      </c>
      <c r="F21" s="440">
        <f t="shared" si="1"/>
        <v>2023</v>
      </c>
      <c r="G21" s="440">
        <f t="shared" si="1"/>
        <v>2024</v>
      </c>
      <c r="H21" s="440">
        <f t="shared" si="1"/>
        <v>2025</v>
      </c>
      <c r="I21" s="440">
        <f t="shared" si="1"/>
        <v>2026</v>
      </c>
      <c r="J21" s="440">
        <f t="shared" si="1"/>
        <v>2027</v>
      </c>
      <c r="K21" s="440">
        <f t="shared" si="1"/>
        <v>2028</v>
      </c>
      <c r="L21" s="440">
        <f t="shared" si="1"/>
        <v>2029</v>
      </c>
      <c r="M21" s="440">
        <f t="shared" si="1"/>
        <v>2030</v>
      </c>
      <c r="N21" s="440">
        <f t="shared" si="1"/>
        <v>2031</v>
      </c>
      <c r="O21" s="440">
        <f t="shared" si="1"/>
        <v>2032</v>
      </c>
      <c r="P21" s="440">
        <f t="shared" si="1"/>
        <v>2033</v>
      </c>
      <c r="Q21" s="440">
        <f t="shared" si="1"/>
        <v>2034</v>
      </c>
      <c r="R21" s="440">
        <f t="shared" si="1"/>
        <v>2035</v>
      </c>
      <c r="S21" s="440">
        <f t="shared" si="1"/>
        <v>2036</v>
      </c>
      <c r="T21" s="440">
        <f t="shared" si="1"/>
        <v>2037</v>
      </c>
      <c r="U21" s="440">
        <f t="shared" si="1"/>
        <v>2038</v>
      </c>
      <c r="V21" s="440">
        <f t="shared" si="1"/>
        <v>2039</v>
      </c>
      <c r="W21" s="440">
        <f t="shared" si="1"/>
        <v>2040</v>
      </c>
      <c r="X21" s="440">
        <f t="shared" si="1"/>
        <v>2041</v>
      </c>
      <c r="Y21" s="440">
        <f t="shared" si="1"/>
        <v>2042</v>
      </c>
      <c r="Z21" s="440">
        <f t="shared" si="1"/>
        <v>2043</v>
      </c>
      <c r="AA21" s="440">
        <f t="shared" si="1"/>
        <v>2044</v>
      </c>
      <c r="AB21" s="440">
        <f t="shared" si="1"/>
        <v>2045</v>
      </c>
      <c r="AC21" s="440">
        <f t="shared" si="1"/>
        <v>2046</v>
      </c>
      <c r="AD21" s="440">
        <f t="shared" si="1"/>
        <v>2047</v>
      </c>
      <c r="AE21" s="440">
        <f t="shared" si="1"/>
        <v>2048</v>
      </c>
      <c r="AF21" s="440">
        <f t="shared" si="1"/>
        <v>2049</v>
      </c>
      <c r="AG21" s="440">
        <f t="shared" si="1"/>
        <v>2050</v>
      </c>
      <c r="AH21" s="440">
        <f t="shared" si="1"/>
        <v>2051</v>
      </c>
      <c r="AI21" s="440">
        <f t="shared" si="1"/>
        <v>2052</v>
      </c>
      <c r="AJ21" s="440">
        <f t="shared" si="1"/>
        <v>2053</v>
      </c>
      <c r="AK21" s="440">
        <f t="shared" si="1"/>
        <v>2054</v>
      </c>
      <c r="AL21" s="440">
        <f t="shared" si="1"/>
        <v>2055</v>
      </c>
    </row>
    <row r="22" spans="2:38" ht="13">
      <c r="B22" s="400" t="s">
        <v>354</v>
      </c>
      <c r="C22" s="404"/>
      <c r="D22" s="405">
        <f>D$55</f>
        <v>3.6510480954715034E-2</v>
      </c>
      <c r="E22" s="405">
        <f t="shared" ref="E22:AL22" si="2">E$55</f>
        <v>3.6995872352182893E-2</v>
      </c>
      <c r="F22" s="405">
        <f t="shared" si="2"/>
        <v>3.7487719286555587E-2</v>
      </c>
      <c r="G22" s="405">
        <f t="shared" si="2"/>
        <v>3.7986107550026377E-2</v>
      </c>
      <c r="H22" s="405">
        <f t="shared" si="2"/>
        <v>3.8491124076613543E-2</v>
      </c>
      <c r="I22" s="405">
        <f t="shared" si="2"/>
        <v>3.9002856957313745E-2</v>
      </c>
      <c r="J22" s="405">
        <f t="shared" si="2"/>
        <v>3.9521395455457339E-2</v>
      </c>
      <c r="K22" s="405">
        <f t="shared" si="2"/>
        <v>4.0046830022269012E-2</v>
      </c>
      <c r="L22" s="405">
        <f t="shared" si="2"/>
        <v>4.0579252312635324E-2</v>
      </c>
      <c r="M22" s="405">
        <f t="shared" si="2"/>
        <v>4.1118755201083476E-2</v>
      </c>
      <c r="N22" s="405">
        <f t="shared" si="2"/>
        <v>4.1665432797972482E-2</v>
      </c>
      <c r="O22" s="405">
        <f t="shared" si="2"/>
        <v>4.2219380465900576E-2</v>
      </c>
      <c r="P22" s="405">
        <f t="shared" si="2"/>
        <v>4.2780694836331457E-2</v>
      </c>
      <c r="Q22" s="405">
        <f t="shared" si="2"/>
        <v>4.3349473826442227E-2</v>
      </c>
      <c r="R22" s="405">
        <f t="shared" si="2"/>
        <v>4.3925816656195653E-2</v>
      </c>
      <c r="S22" s="405">
        <f t="shared" si="2"/>
        <v>4.4509823865640466E-2</v>
      </c>
      <c r="T22" s="405">
        <f t="shared" si="2"/>
        <v>4.5101597332441921E-2</v>
      </c>
      <c r="U22" s="405">
        <f t="shared" si="2"/>
        <v>4.5701240289646214E-2</v>
      </c>
      <c r="V22" s="405">
        <f t="shared" si="2"/>
        <v>4.6308857343681502E-2</v>
      </c>
      <c r="W22" s="405">
        <f t="shared" si="2"/>
        <v>4.6924554492598865E-2</v>
      </c>
      <c r="X22" s="405">
        <f t="shared" si="2"/>
        <v>4.754843914455642E-2</v>
      </c>
      <c r="Y22" s="405">
        <f t="shared" si="2"/>
        <v>4.818062013654939E-2</v>
      </c>
      <c r="Z22" s="405">
        <f t="shared" si="2"/>
        <v>4.8821207753390217E-2</v>
      </c>
      <c r="AA22" s="405">
        <f t="shared" si="2"/>
        <v>4.9470313746941032E-2</v>
      </c>
      <c r="AB22" s="405">
        <f t="shared" si="2"/>
        <v>5.012805135560254E-2</v>
      </c>
      <c r="AC22" s="405">
        <f t="shared" si="2"/>
        <v>5.0794535324062529E-2</v>
      </c>
      <c r="AD22" s="405">
        <f t="shared" si="2"/>
        <v>5.1469881923307204E-2</v>
      </c>
      <c r="AE22" s="405">
        <f t="shared" si="2"/>
        <v>5.2154208970899292E-2</v>
      </c>
      <c r="AF22" s="405">
        <f t="shared" si="2"/>
        <v>5.2847635851525986E-2</v>
      </c>
      <c r="AG22" s="405">
        <f t="shared" si="2"/>
        <v>5.3550283537820605E-2</v>
      </c>
      <c r="AH22" s="405">
        <f t="shared" si="2"/>
        <v>5.4262274611461443E-2</v>
      </c>
      <c r="AI22" s="405">
        <f t="shared" si="2"/>
        <v>5.498373328455157E-2</v>
      </c>
      <c r="AJ22" s="405">
        <f t="shared" si="2"/>
        <v>5.5714785421283393E-2</v>
      </c>
      <c r="AK22" s="405">
        <f t="shared" si="2"/>
        <v>5.6455558559891393E-2</v>
      </c>
      <c r="AL22" s="405">
        <f t="shared" si="2"/>
        <v>5.7206181934897307E-2</v>
      </c>
    </row>
    <row r="23" spans="2:38" ht="13">
      <c r="B23" s="400" t="s">
        <v>650</v>
      </c>
      <c r="C23" s="404"/>
      <c r="D23" s="405">
        <f t="shared" ref="D23:AL23" si="3">D$63*D$22</f>
        <v>3.7507367495177136E-4</v>
      </c>
      <c r="E23" s="405">
        <f>E$63*E$22</f>
        <v>4.2544846862002168E-4</v>
      </c>
      <c r="F23" s="405">
        <f t="shared" si="3"/>
        <v>4.3141468715884071E-4</v>
      </c>
      <c r="G23" s="405">
        <f t="shared" si="3"/>
        <v>4.3746568182053379E-4</v>
      </c>
      <c r="H23" s="405">
        <f t="shared" si="3"/>
        <v>4.4360266741503689E-4</v>
      </c>
      <c r="I23" s="405">
        <f t="shared" si="3"/>
        <v>4.4982687623813426E-4</v>
      </c>
      <c r="J23" s="405">
        <f t="shared" si="3"/>
        <v>4.5613955832246567E-4</v>
      </c>
      <c r="K23" s="405">
        <f t="shared" si="3"/>
        <v>4.6254198169214892E-4</v>
      </c>
      <c r="L23" s="405">
        <f t="shared" si="3"/>
        <v>4.6903543262106015E-4</v>
      </c>
      <c r="M23" s="405">
        <f t="shared" si="3"/>
        <v>4.7562121589483984E-4</v>
      </c>
      <c r="N23" s="405">
        <f t="shared" si="3"/>
        <v>4.8230065507665906E-4</v>
      </c>
      <c r="O23" s="405">
        <f t="shared" si="3"/>
        <v>4.8907509277681623E-4</v>
      </c>
      <c r="P23" s="405">
        <f t="shared" si="3"/>
        <v>4.9594589092620957E-4</v>
      </c>
      <c r="Q23" s="405">
        <f t="shared" si="3"/>
        <v>5.0291443105374503E-4</v>
      </c>
      <c r="R23" s="405">
        <f t="shared" si="3"/>
        <v>5.099821145677332E-4</v>
      </c>
      <c r="S23" s="405">
        <f t="shared" si="3"/>
        <v>5.1715036304133654E-4</v>
      </c>
      <c r="T23" s="405">
        <f t="shared" si="3"/>
        <v>5.2442061850212056E-4</v>
      </c>
      <c r="U23" s="405">
        <f t="shared" si="3"/>
        <v>5.3179434372577141E-4</v>
      </c>
      <c r="V23" s="405">
        <f t="shared" si="3"/>
        <v>5.3927302253403751E-4</v>
      </c>
      <c r="W23" s="405">
        <f t="shared" si="3"/>
        <v>5.468581600969562E-4</v>
      </c>
      <c r="X23" s="405">
        <f t="shared" si="3"/>
        <v>5.5455128323942835E-4</v>
      </c>
      <c r="Y23" s="405">
        <f t="shared" si="3"/>
        <v>5.6235394075219991E-4</v>
      </c>
      <c r="Z23" s="405">
        <f t="shared" si="3"/>
        <v>5.7026770370732012E-4</v>
      </c>
      <c r="AA23" s="405">
        <f t="shared" si="3"/>
        <v>5.7829416577813203E-4</v>
      </c>
      <c r="AB23" s="405">
        <f t="shared" si="3"/>
        <v>5.8643494356386706E-4</v>
      </c>
      <c r="AC23" s="405">
        <f t="shared" si="3"/>
        <v>5.9469167691890792E-4</v>
      </c>
      <c r="AD23" s="405">
        <f t="shared" si="3"/>
        <v>6.0306602928678445E-4</v>
      </c>
      <c r="AE23" s="405">
        <f t="shared" si="3"/>
        <v>6.1155968803897607E-4</v>
      </c>
      <c r="AF23" s="405">
        <f t="shared" si="3"/>
        <v>6.2017436481858162E-4</v>
      </c>
      <c r="AG23" s="405">
        <f t="shared" si="3"/>
        <v>6.2891179588893517E-4</v>
      </c>
      <c r="AH23" s="405">
        <f t="shared" si="3"/>
        <v>6.3777374248723208E-4</v>
      </c>
      <c r="AI23" s="405">
        <f t="shared" si="3"/>
        <v>6.4676199118324099E-4</v>
      </c>
      <c r="AJ23" s="405">
        <f t="shared" si="3"/>
        <v>6.5587835424317444E-4</v>
      </c>
      <c r="AK23" s="405">
        <f t="shared" si="3"/>
        <v>6.6512466999878964E-4</v>
      </c>
      <c r="AL23" s="405">
        <f t="shared" si="3"/>
        <v>6.7450280322179832E-4</v>
      </c>
    </row>
    <row r="24" spans="2:38" ht="13">
      <c r="B24" s="400" t="s">
        <v>651</v>
      </c>
      <c r="C24" s="404"/>
      <c r="D24" s="405">
        <f t="shared" ref="D24" si="4">D$72*D22</f>
        <v>6.4802623086179763E-3</v>
      </c>
      <c r="E24" s="405">
        <f t="shared" ref="E24:AK24" si="5">E$72*E22</f>
        <v>6.5582750366716706E-3</v>
      </c>
      <c r="F24" s="405">
        <f t="shared" si="5"/>
        <v>6.6454093663037006E-3</v>
      </c>
      <c r="G24" s="405">
        <f t="shared" si="5"/>
        <v>6.733701567398615E-3</v>
      </c>
      <c r="H24" s="405">
        <f t="shared" si="5"/>
        <v>6.8231670122186018E-3</v>
      </c>
      <c r="I24" s="405">
        <f t="shared" si="5"/>
        <v>6.9138212773741867E-3</v>
      </c>
      <c r="J24" s="405">
        <f t="shared" si="5"/>
        <v>7.0056801465329379E-3</v>
      </c>
      <c r="K24" s="405">
        <f t="shared" si="5"/>
        <v>7.0987596131643245E-3</v>
      </c>
      <c r="L24" s="405">
        <f t="shared" si="5"/>
        <v>7.1930758833210493E-3</v>
      </c>
      <c r="M24" s="405">
        <f t="shared" si="5"/>
        <v>7.2886453784575629E-3</v>
      </c>
      <c r="N24" s="405">
        <f t="shared" si="5"/>
        <v>7.3854847382860255E-3</v>
      </c>
      <c r="O24" s="405">
        <f t="shared" si="5"/>
        <v>7.483610823670335E-3</v>
      </c>
      <c r="P24" s="405">
        <f t="shared" si="5"/>
        <v>7.5830407195587191E-3</v>
      </c>
      <c r="Q24" s="405">
        <f t="shared" si="5"/>
        <v>7.6837917379553736E-3</v>
      </c>
      <c r="R24" s="405">
        <f t="shared" si="5"/>
        <v>7.7858814209316157E-3</v>
      </c>
      <c r="S24" s="405">
        <f t="shared" si="5"/>
        <v>7.8893275436772003E-3</v>
      </c>
      <c r="T24" s="405">
        <f t="shared" si="5"/>
        <v>7.9941481175922029E-3</v>
      </c>
      <c r="U24" s="405">
        <f t="shared" si="5"/>
        <v>8.1003613934200816E-3</v>
      </c>
      <c r="V24" s="405">
        <f t="shared" si="5"/>
        <v>8.2079858644224304E-3</v>
      </c>
      <c r="W24" s="405">
        <f t="shared" si="5"/>
        <v>8.3170402695959666E-3</v>
      </c>
      <c r="X24" s="405">
        <f t="shared" si="5"/>
        <v>8.4275435969323742E-3</v>
      </c>
      <c r="Y24" s="405">
        <f t="shared" si="5"/>
        <v>8.5395150867214383E-3</v>
      </c>
      <c r="Z24" s="405">
        <f t="shared" si="5"/>
        <v>8.6529742348982371E-3</v>
      </c>
      <c r="AA24" s="405">
        <f t="shared" si="5"/>
        <v>8.767940796434762E-3</v>
      </c>
      <c r="AB24" s="405">
        <f t="shared" si="5"/>
        <v>8.8844347887767124E-3</v>
      </c>
      <c r="AC24" s="405">
        <f t="shared" si="5"/>
        <v>9.0024764953259891E-3</v>
      </c>
      <c r="AD24" s="405">
        <f t="shared" si="5"/>
        <v>9.1220864689694984E-3</v>
      </c>
      <c r="AE24" s="405">
        <f t="shared" si="5"/>
        <v>9.2432855356549149E-3</v>
      </c>
      <c r="AF24" s="405">
        <f t="shared" si="5"/>
        <v>9.3660947980139745E-3</v>
      </c>
      <c r="AG24" s="405">
        <f t="shared" si="5"/>
        <v>9.4905356390339556E-3</v>
      </c>
      <c r="AH24" s="405">
        <f t="shared" si="5"/>
        <v>9.6166297257779827E-3</v>
      </c>
      <c r="AI24" s="405">
        <f t="shared" si="5"/>
        <v>9.7443990131547975E-3</v>
      </c>
      <c r="AJ24" s="405">
        <f t="shared" si="5"/>
        <v>9.8738657477386582E-3</v>
      </c>
      <c r="AK24" s="405">
        <f t="shared" si="5"/>
        <v>1.0005052471640017E-2</v>
      </c>
      <c r="AL24" s="405">
        <f t="shared" ref="AL24" si="6">AL$72*AL22</f>
        <v>1.0137982026427635E-2</v>
      </c>
    </row>
    <row r="26" spans="2:38" ht="13">
      <c r="B26" s="364" t="s">
        <v>652</v>
      </c>
    </row>
    <row r="27" spans="2:38" ht="13">
      <c r="B27" s="407" t="s">
        <v>615</v>
      </c>
      <c r="C27" s="396" t="s">
        <v>627</v>
      </c>
      <c r="D27" s="440">
        <f>D$1</f>
        <v>2021</v>
      </c>
      <c r="E27" s="440">
        <f t="shared" ref="E27:AL27" si="7">E$1</f>
        <v>2022</v>
      </c>
      <c r="F27" s="440">
        <f t="shared" si="7"/>
        <v>2023</v>
      </c>
      <c r="G27" s="440">
        <f t="shared" si="7"/>
        <v>2024</v>
      </c>
      <c r="H27" s="440">
        <f t="shared" si="7"/>
        <v>2025</v>
      </c>
      <c r="I27" s="440">
        <f t="shared" si="7"/>
        <v>2026</v>
      </c>
      <c r="J27" s="440">
        <f t="shared" si="7"/>
        <v>2027</v>
      </c>
      <c r="K27" s="440">
        <f t="shared" si="7"/>
        <v>2028</v>
      </c>
      <c r="L27" s="440">
        <f t="shared" si="7"/>
        <v>2029</v>
      </c>
      <c r="M27" s="440">
        <f t="shared" si="7"/>
        <v>2030</v>
      </c>
      <c r="N27" s="440">
        <f t="shared" si="7"/>
        <v>2031</v>
      </c>
      <c r="O27" s="440">
        <f t="shared" si="7"/>
        <v>2032</v>
      </c>
      <c r="P27" s="440">
        <f t="shared" si="7"/>
        <v>2033</v>
      </c>
      <c r="Q27" s="440">
        <f t="shared" si="7"/>
        <v>2034</v>
      </c>
      <c r="R27" s="440">
        <f t="shared" si="7"/>
        <v>2035</v>
      </c>
      <c r="S27" s="440">
        <f t="shared" si="7"/>
        <v>2036</v>
      </c>
      <c r="T27" s="440">
        <f t="shared" si="7"/>
        <v>2037</v>
      </c>
      <c r="U27" s="440">
        <f t="shared" si="7"/>
        <v>2038</v>
      </c>
      <c r="V27" s="440">
        <f t="shared" si="7"/>
        <v>2039</v>
      </c>
      <c r="W27" s="440">
        <f t="shared" si="7"/>
        <v>2040</v>
      </c>
      <c r="X27" s="440">
        <f t="shared" si="7"/>
        <v>2041</v>
      </c>
      <c r="Y27" s="440">
        <f t="shared" si="7"/>
        <v>2042</v>
      </c>
      <c r="Z27" s="440">
        <f t="shared" si="7"/>
        <v>2043</v>
      </c>
      <c r="AA27" s="440">
        <f t="shared" si="7"/>
        <v>2044</v>
      </c>
      <c r="AB27" s="440">
        <f t="shared" si="7"/>
        <v>2045</v>
      </c>
      <c r="AC27" s="440">
        <f t="shared" si="7"/>
        <v>2046</v>
      </c>
      <c r="AD27" s="440">
        <f t="shared" si="7"/>
        <v>2047</v>
      </c>
      <c r="AE27" s="440">
        <f t="shared" si="7"/>
        <v>2048</v>
      </c>
      <c r="AF27" s="440">
        <f t="shared" si="7"/>
        <v>2049</v>
      </c>
      <c r="AG27" s="440">
        <f t="shared" si="7"/>
        <v>2050</v>
      </c>
      <c r="AH27" s="440">
        <f t="shared" si="7"/>
        <v>2051</v>
      </c>
      <c r="AI27" s="440">
        <f t="shared" si="7"/>
        <v>2052</v>
      </c>
      <c r="AJ27" s="440">
        <f t="shared" si="7"/>
        <v>2053</v>
      </c>
      <c r="AK27" s="440">
        <f t="shared" si="7"/>
        <v>2054</v>
      </c>
      <c r="AL27" s="440">
        <f t="shared" si="7"/>
        <v>2055</v>
      </c>
    </row>
    <row r="28" spans="2:38" ht="13">
      <c r="B28" s="364" t="s">
        <v>624</v>
      </c>
      <c r="C28" s="408"/>
      <c r="D28" s="358"/>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row>
    <row r="29" spans="2:38">
      <c r="B29" s="411" t="s">
        <v>653</v>
      </c>
      <c r="C29" s="412" t="s">
        <v>654</v>
      </c>
      <c r="D29" s="413">
        <f t="shared" ref="D29:AL29" si="8">((D$14*D$15+0.2)/0.2)^(0.3334)</f>
        <v>19.718788611663747</v>
      </c>
      <c r="E29" s="413">
        <f t="shared" si="8"/>
        <v>19.9809415636465</v>
      </c>
      <c r="F29" s="413">
        <f t="shared" si="8"/>
        <v>20.24658105878817</v>
      </c>
      <c r="G29" s="413">
        <f t="shared" si="8"/>
        <v>20.515753432225381</v>
      </c>
      <c r="H29" s="413">
        <f t="shared" si="8"/>
        <v>20.788505635778122</v>
      </c>
      <c r="I29" s="413">
        <f t="shared" si="8"/>
        <v>21.064885246133866</v>
      </c>
      <c r="J29" s="413">
        <f t="shared" si="8"/>
        <v>21.344940473140753</v>
      </c>
      <c r="K29" s="413">
        <f t="shared" si="8"/>
        <v>21.628720168211636</v>
      </c>
      <c r="L29" s="413">
        <f t="shared" si="8"/>
        <v>21.91627383283997</v>
      </c>
      <c r="M29" s="413">
        <f t="shared" si="8"/>
        <v>22.207651627229644</v>
      </c>
      <c r="N29" s="413">
        <f t="shared" si="8"/>
        <v>22.502904379039656</v>
      </c>
      <c r="O29" s="413">
        <f t="shared" si="8"/>
        <v>22.802083592245488</v>
      </c>
      <c r="P29" s="413">
        <f t="shared" si="8"/>
        <v>23.105241456118719</v>
      </c>
      <c r="Q29" s="413">
        <f t="shared" si="8"/>
        <v>23.412430854326342</v>
      </c>
      <c r="R29" s="413">
        <f t="shared" si="8"/>
        <v>23.723705374151269</v>
      </c>
      <c r="S29" s="413">
        <f t="shared" si="8"/>
        <v>24.039119315835936</v>
      </c>
      <c r="T29" s="413">
        <f t="shared" si="8"/>
        <v>24.35872770205037</v>
      </c>
      <c r="U29" s="413">
        <f t="shared" si="8"/>
        <v>24.682586287486441</v>
      </c>
      <c r="V29" s="413">
        <f t="shared" si="8"/>
        <v>25.010751568579956</v>
      </c>
      <c r="W29" s="413">
        <f t="shared" si="8"/>
        <v>25.343280793362403</v>
      </c>
      <c r="X29" s="413">
        <f t="shared" si="8"/>
        <v>25.68023197144387</v>
      </c>
      <c r="Y29" s="413">
        <f t="shared" si="8"/>
        <v>26.021663884128976</v>
      </c>
      <c r="Z29" s="413">
        <f t="shared" si="8"/>
        <v>26.367636094667674</v>
      </c>
      <c r="AA29" s="413">
        <f t="shared" si="8"/>
        <v>26.718208958642489</v>
      </c>
      <c r="AB29" s="413">
        <f t="shared" si="8"/>
        <v>27.073443634494179</v>
      </c>
      <c r="AC29" s="413">
        <f t="shared" si="8"/>
        <v>27.433402094187599</v>
      </c>
      <c r="AD29" s="413">
        <f t="shared" si="8"/>
        <v>27.798147134019565</v>
      </c>
      <c r="AE29" s="413">
        <f t="shared" si="8"/>
        <v>28.167742385570744</v>
      </c>
      <c r="AF29" s="413">
        <f t="shared" si="8"/>
        <v>28.542252326803315</v>
      </c>
      <c r="AG29" s="413">
        <f t="shared" si="8"/>
        <v>28.921742293306455</v>
      </c>
      <c r="AH29" s="413">
        <f t="shared" si="8"/>
        <v>29.306278489691501</v>
      </c>
      <c r="AI29" s="413">
        <f t="shared" si="8"/>
        <v>29.695928001138942</v>
      </c>
      <c r="AJ29" s="413">
        <f t="shared" si="8"/>
        <v>30.090758805099039</v>
      </c>
      <c r="AK29" s="413">
        <f t="shared" si="8"/>
        <v>30.490839783148257</v>
      </c>
      <c r="AL29" s="413">
        <f t="shared" si="8"/>
        <v>30.896240733003559</v>
      </c>
    </row>
    <row r="30" spans="2:38">
      <c r="B30" s="411" t="s">
        <v>655</v>
      </c>
      <c r="C30" s="412" t="s">
        <v>656</v>
      </c>
      <c r="D30" s="414">
        <f t="shared" ref="D30:AL30" si="9">EXP(0.2094*$D$9)</f>
        <v>1</v>
      </c>
      <c r="E30" s="415">
        <f t="shared" si="9"/>
        <v>1</v>
      </c>
      <c r="F30" s="415">
        <f t="shared" si="9"/>
        <v>1</v>
      </c>
      <c r="G30" s="415">
        <f t="shared" si="9"/>
        <v>1</v>
      </c>
      <c r="H30" s="415">
        <f t="shared" si="9"/>
        <v>1</v>
      </c>
      <c r="I30" s="415">
        <f t="shared" si="9"/>
        <v>1</v>
      </c>
      <c r="J30" s="415">
        <f t="shared" si="9"/>
        <v>1</v>
      </c>
      <c r="K30" s="415">
        <f t="shared" si="9"/>
        <v>1</v>
      </c>
      <c r="L30" s="415">
        <f t="shared" si="9"/>
        <v>1</v>
      </c>
      <c r="M30" s="415">
        <f t="shared" si="9"/>
        <v>1</v>
      </c>
      <c r="N30" s="415">
        <f t="shared" si="9"/>
        <v>1</v>
      </c>
      <c r="O30" s="415">
        <f t="shared" si="9"/>
        <v>1</v>
      </c>
      <c r="P30" s="415">
        <f t="shared" si="9"/>
        <v>1</v>
      </c>
      <c r="Q30" s="415">
        <f t="shared" si="9"/>
        <v>1</v>
      </c>
      <c r="R30" s="415">
        <f t="shared" si="9"/>
        <v>1</v>
      </c>
      <c r="S30" s="415">
        <f t="shared" si="9"/>
        <v>1</v>
      </c>
      <c r="T30" s="415">
        <f t="shared" si="9"/>
        <v>1</v>
      </c>
      <c r="U30" s="415">
        <f t="shared" si="9"/>
        <v>1</v>
      </c>
      <c r="V30" s="415">
        <f t="shared" si="9"/>
        <v>1</v>
      </c>
      <c r="W30" s="415">
        <f t="shared" si="9"/>
        <v>1</v>
      </c>
      <c r="X30" s="415">
        <f t="shared" si="9"/>
        <v>1</v>
      </c>
      <c r="Y30" s="415">
        <f t="shared" si="9"/>
        <v>1</v>
      </c>
      <c r="Z30" s="415">
        <f t="shared" si="9"/>
        <v>1</v>
      </c>
      <c r="AA30" s="415">
        <f t="shared" si="9"/>
        <v>1</v>
      </c>
      <c r="AB30" s="415">
        <f t="shared" si="9"/>
        <v>1</v>
      </c>
      <c r="AC30" s="415">
        <f t="shared" si="9"/>
        <v>1</v>
      </c>
      <c r="AD30" s="415">
        <f t="shared" si="9"/>
        <v>1</v>
      </c>
      <c r="AE30" s="415">
        <f t="shared" si="9"/>
        <v>1</v>
      </c>
      <c r="AF30" s="415">
        <f t="shared" si="9"/>
        <v>1</v>
      </c>
      <c r="AG30" s="415">
        <f t="shared" si="9"/>
        <v>1</v>
      </c>
      <c r="AH30" s="415">
        <f t="shared" si="9"/>
        <v>1</v>
      </c>
      <c r="AI30" s="415">
        <f t="shared" si="9"/>
        <v>1</v>
      </c>
      <c r="AJ30" s="415">
        <f t="shared" si="9"/>
        <v>1</v>
      </c>
      <c r="AK30" s="415">
        <f t="shared" si="9"/>
        <v>1</v>
      </c>
      <c r="AL30" s="415">
        <f t="shared" si="9"/>
        <v>1</v>
      </c>
    </row>
    <row r="31" spans="2:38">
      <c r="B31" s="411" t="s">
        <v>657</v>
      </c>
      <c r="C31" s="416" t="s">
        <v>658</v>
      </c>
      <c r="D31" s="417">
        <f>((D$17+0.2)/0.2)^(0.1336)</f>
        <v>1.2704600323640221</v>
      </c>
      <c r="E31" s="417">
        <f t="shared" ref="E31:AL31" si="10">((E$17+0.2)/0.2)^(0.1336)</f>
        <v>1.2704600323640221</v>
      </c>
      <c r="F31" s="417">
        <f t="shared" si="10"/>
        <v>1.2704600323640221</v>
      </c>
      <c r="G31" s="417">
        <f t="shared" si="10"/>
        <v>1.2704600323640221</v>
      </c>
      <c r="H31" s="417">
        <f t="shared" si="10"/>
        <v>1.2704600323640221</v>
      </c>
      <c r="I31" s="417">
        <f t="shared" si="10"/>
        <v>1.2704600323640221</v>
      </c>
      <c r="J31" s="417">
        <f t="shared" si="10"/>
        <v>1.2704600323640221</v>
      </c>
      <c r="K31" s="417">
        <f t="shared" si="10"/>
        <v>1.2704600323640221</v>
      </c>
      <c r="L31" s="417">
        <f t="shared" si="10"/>
        <v>1.2704600323640221</v>
      </c>
      <c r="M31" s="417">
        <f t="shared" si="10"/>
        <v>1.2704600323640221</v>
      </c>
      <c r="N31" s="417">
        <f t="shared" si="10"/>
        <v>1.2704600323640221</v>
      </c>
      <c r="O31" s="417">
        <f t="shared" si="10"/>
        <v>1.2704600323640221</v>
      </c>
      <c r="P31" s="417">
        <f t="shared" si="10"/>
        <v>1.2704600323640221</v>
      </c>
      <c r="Q31" s="417">
        <f t="shared" si="10"/>
        <v>1.2704600323640221</v>
      </c>
      <c r="R31" s="417">
        <f t="shared" si="10"/>
        <v>1.2704600323640221</v>
      </c>
      <c r="S31" s="417">
        <f t="shared" si="10"/>
        <v>1.2704600323640221</v>
      </c>
      <c r="T31" s="417">
        <f t="shared" si="10"/>
        <v>1.2704600323640221</v>
      </c>
      <c r="U31" s="417">
        <f t="shared" si="10"/>
        <v>1.2704600323640221</v>
      </c>
      <c r="V31" s="417">
        <f t="shared" si="10"/>
        <v>1.2704600323640221</v>
      </c>
      <c r="W31" s="417">
        <f t="shared" si="10"/>
        <v>1.2704600323640221</v>
      </c>
      <c r="X31" s="417">
        <f t="shared" si="10"/>
        <v>1.2704600323640221</v>
      </c>
      <c r="Y31" s="417">
        <f t="shared" si="10"/>
        <v>1.2704600323640221</v>
      </c>
      <c r="Z31" s="417">
        <f t="shared" si="10"/>
        <v>1.2704600323640221</v>
      </c>
      <c r="AA31" s="417">
        <f t="shared" si="10"/>
        <v>1.2704600323640221</v>
      </c>
      <c r="AB31" s="417">
        <f t="shared" si="10"/>
        <v>1.2704600323640221</v>
      </c>
      <c r="AC31" s="417">
        <f t="shared" si="10"/>
        <v>1.2704600323640221</v>
      </c>
      <c r="AD31" s="417">
        <f t="shared" si="10"/>
        <v>1.2704600323640221</v>
      </c>
      <c r="AE31" s="417">
        <f t="shared" si="10"/>
        <v>1.2704600323640221</v>
      </c>
      <c r="AF31" s="417">
        <f t="shared" si="10"/>
        <v>1.2704600323640221</v>
      </c>
      <c r="AG31" s="417">
        <f t="shared" si="10"/>
        <v>1.2704600323640221</v>
      </c>
      <c r="AH31" s="417">
        <f t="shared" si="10"/>
        <v>1.2704600323640221</v>
      </c>
      <c r="AI31" s="417">
        <f t="shared" si="10"/>
        <v>1.2704600323640221</v>
      </c>
      <c r="AJ31" s="417">
        <f t="shared" si="10"/>
        <v>1.2704600323640221</v>
      </c>
      <c r="AK31" s="417">
        <f t="shared" si="10"/>
        <v>1.2704600323640221</v>
      </c>
      <c r="AL31" s="417">
        <f t="shared" si="10"/>
        <v>1.2704600323640221</v>
      </c>
    </row>
    <row r="32" spans="2:38">
      <c r="B32" s="411" t="s">
        <v>659</v>
      </c>
      <c r="C32" s="412" t="s">
        <v>660</v>
      </c>
      <c r="D32" s="414">
        <f t="shared" ref="D32:AL32" si="11">EXP(-0.616*($E$7-1))</f>
        <v>1</v>
      </c>
      <c r="E32" s="415">
        <f t="shared" si="11"/>
        <v>1</v>
      </c>
      <c r="F32" s="415">
        <f t="shared" si="11"/>
        <v>1</v>
      </c>
      <c r="G32" s="415">
        <f t="shared" si="11"/>
        <v>1</v>
      </c>
      <c r="H32" s="415">
        <f t="shared" si="11"/>
        <v>1</v>
      </c>
      <c r="I32" s="415">
        <f t="shared" si="11"/>
        <v>1</v>
      </c>
      <c r="J32" s="415">
        <f t="shared" si="11"/>
        <v>1</v>
      </c>
      <c r="K32" s="415">
        <f t="shared" si="11"/>
        <v>1</v>
      </c>
      <c r="L32" s="415">
        <f t="shared" si="11"/>
        <v>1</v>
      </c>
      <c r="M32" s="415">
        <f t="shared" si="11"/>
        <v>1</v>
      </c>
      <c r="N32" s="415">
        <f t="shared" si="11"/>
        <v>1</v>
      </c>
      <c r="O32" s="415">
        <f t="shared" si="11"/>
        <v>1</v>
      </c>
      <c r="P32" s="415">
        <f t="shared" si="11"/>
        <v>1</v>
      </c>
      <c r="Q32" s="415">
        <f t="shared" si="11"/>
        <v>1</v>
      </c>
      <c r="R32" s="415">
        <f t="shared" si="11"/>
        <v>1</v>
      </c>
      <c r="S32" s="415">
        <f t="shared" si="11"/>
        <v>1</v>
      </c>
      <c r="T32" s="415">
        <f t="shared" si="11"/>
        <v>1</v>
      </c>
      <c r="U32" s="415">
        <f t="shared" si="11"/>
        <v>1</v>
      </c>
      <c r="V32" s="415">
        <f t="shared" si="11"/>
        <v>1</v>
      </c>
      <c r="W32" s="415">
        <f t="shared" si="11"/>
        <v>1</v>
      </c>
      <c r="X32" s="415">
        <f t="shared" si="11"/>
        <v>1</v>
      </c>
      <c r="Y32" s="415">
        <f t="shared" si="11"/>
        <v>1</v>
      </c>
      <c r="Z32" s="415">
        <f t="shared" si="11"/>
        <v>1</v>
      </c>
      <c r="AA32" s="415">
        <f t="shared" si="11"/>
        <v>1</v>
      </c>
      <c r="AB32" s="415">
        <f t="shared" si="11"/>
        <v>1</v>
      </c>
      <c r="AC32" s="415">
        <f t="shared" si="11"/>
        <v>1</v>
      </c>
      <c r="AD32" s="415">
        <f t="shared" si="11"/>
        <v>1</v>
      </c>
      <c r="AE32" s="415">
        <f t="shared" si="11"/>
        <v>1</v>
      </c>
      <c r="AF32" s="415">
        <f t="shared" si="11"/>
        <v>1</v>
      </c>
      <c r="AG32" s="415">
        <f t="shared" si="11"/>
        <v>1</v>
      </c>
      <c r="AH32" s="415">
        <f t="shared" si="11"/>
        <v>1</v>
      </c>
      <c r="AI32" s="415">
        <f t="shared" si="11"/>
        <v>1</v>
      </c>
      <c r="AJ32" s="415">
        <f t="shared" si="11"/>
        <v>1</v>
      </c>
      <c r="AK32" s="415">
        <f t="shared" si="11"/>
        <v>1</v>
      </c>
      <c r="AL32" s="415">
        <f t="shared" si="11"/>
        <v>1</v>
      </c>
    </row>
    <row r="33" spans="2:38">
      <c r="B33" s="411" t="s">
        <v>661</v>
      </c>
      <c r="C33" s="412" t="s">
        <v>662</v>
      </c>
      <c r="D33" s="414">
        <f t="shared" ref="D33:AL33" si="12">EXP(0.0077*D$19)</f>
        <v>1.0594501000746941</v>
      </c>
      <c r="E33" s="415">
        <f t="shared" si="12"/>
        <v>1.0594501000746941</v>
      </c>
      <c r="F33" s="415">
        <f t="shared" si="12"/>
        <v>1.0594501000746941</v>
      </c>
      <c r="G33" s="415">
        <f t="shared" si="12"/>
        <v>1.0594501000746941</v>
      </c>
      <c r="H33" s="415">
        <f t="shared" si="12"/>
        <v>1.0594501000746941</v>
      </c>
      <c r="I33" s="415">
        <f t="shared" si="12"/>
        <v>1.0594501000746941</v>
      </c>
      <c r="J33" s="415">
        <f t="shared" si="12"/>
        <v>1.0594501000746941</v>
      </c>
      <c r="K33" s="415">
        <f t="shared" si="12"/>
        <v>1.0594501000746941</v>
      </c>
      <c r="L33" s="415">
        <f t="shared" si="12"/>
        <v>1.0594501000746941</v>
      </c>
      <c r="M33" s="415">
        <f t="shared" si="12"/>
        <v>1.0594501000746941</v>
      </c>
      <c r="N33" s="415">
        <f t="shared" si="12"/>
        <v>1.0594501000746941</v>
      </c>
      <c r="O33" s="415">
        <f t="shared" si="12"/>
        <v>1.0594501000746941</v>
      </c>
      <c r="P33" s="415">
        <f t="shared" si="12"/>
        <v>1.0594501000746941</v>
      </c>
      <c r="Q33" s="415">
        <f t="shared" si="12"/>
        <v>1.0594501000746941</v>
      </c>
      <c r="R33" s="415">
        <f t="shared" si="12"/>
        <v>1.0594501000746941</v>
      </c>
      <c r="S33" s="415">
        <f t="shared" si="12"/>
        <v>1.0594501000746941</v>
      </c>
      <c r="T33" s="415">
        <f t="shared" si="12"/>
        <v>1.0594501000746941</v>
      </c>
      <c r="U33" s="415">
        <f t="shared" si="12"/>
        <v>1.0594501000746941</v>
      </c>
      <c r="V33" s="415">
        <f t="shared" si="12"/>
        <v>1.0594501000746941</v>
      </c>
      <c r="W33" s="415">
        <f t="shared" si="12"/>
        <v>1.0594501000746941</v>
      </c>
      <c r="X33" s="415">
        <f t="shared" si="12"/>
        <v>1.0594501000746941</v>
      </c>
      <c r="Y33" s="415">
        <f t="shared" si="12"/>
        <v>1.0594501000746941</v>
      </c>
      <c r="Z33" s="415">
        <f t="shared" si="12"/>
        <v>1.0594501000746941</v>
      </c>
      <c r="AA33" s="415">
        <f t="shared" si="12"/>
        <v>1.0594501000746941</v>
      </c>
      <c r="AB33" s="415">
        <f t="shared" si="12"/>
        <v>1.0594501000746941</v>
      </c>
      <c r="AC33" s="415">
        <f t="shared" si="12"/>
        <v>1.0594501000746941</v>
      </c>
      <c r="AD33" s="415">
        <f t="shared" si="12"/>
        <v>1.0594501000746941</v>
      </c>
      <c r="AE33" s="415">
        <f t="shared" si="12"/>
        <v>1.0594501000746941</v>
      </c>
      <c r="AF33" s="415">
        <f t="shared" si="12"/>
        <v>1.0594501000746941</v>
      </c>
      <c r="AG33" s="415">
        <f t="shared" si="12"/>
        <v>1.0594501000746941</v>
      </c>
      <c r="AH33" s="415">
        <f t="shared" si="12"/>
        <v>1.0594501000746941</v>
      </c>
      <c r="AI33" s="415">
        <f t="shared" si="12"/>
        <v>1.0594501000746941</v>
      </c>
      <c r="AJ33" s="415">
        <f t="shared" si="12"/>
        <v>1.0594501000746941</v>
      </c>
      <c r="AK33" s="415">
        <f t="shared" si="12"/>
        <v>1.0594501000746941</v>
      </c>
      <c r="AL33" s="415">
        <f t="shared" si="12"/>
        <v>1.0594501000746941</v>
      </c>
    </row>
    <row r="34" spans="2:38">
      <c r="B34" s="411" t="s">
        <v>663</v>
      </c>
      <c r="C34" s="412" t="s">
        <v>664</v>
      </c>
      <c r="D34" s="414">
        <f t="shared" ref="D34:AL34" si="13">EXP(-0.1*($E$8-1))</f>
        <v>0.60653065971263342</v>
      </c>
      <c r="E34" s="415">
        <f t="shared" si="13"/>
        <v>0.60653065971263342</v>
      </c>
      <c r="F34" s="415">
        <f t="shared" si="13"/>
        <v>0.60653065971263342</v>
      </c>
      <c r="G34" s="415">
        <f t="shared" si="13"/>
        <v>0.60653065971263342</v>
      </c>
      <c r="H34" s="415">
        <f t="shared" si="13"/>
        <v>0.60653065971263342</v>
      </c>
      <c r="I34" s="415">
        <f t="shared" si="13"/>
        <v>0.60653065971263342</v>
      </c>
      <c r="J34" s="415">
        <f t="shared" si="13"/>
        <v>0.60653065971263342</v>
      </c>
      <c r="K34" s="415">
        <f t="shared" si="13"/>
        <v>0.60653065971263342</v>
      </c>
      <c r="L34" s="415">
        <f t="shared" si="13"/>
        <v>0.60653065971263342</v>
      </c>
      <c r="M34" s="415">
        <f t="shared" si="13"/>
        <v>0.60653065971263342</v>
      </c>
      <c r="N34" s="415">
        <f t="shared" si="13"/>
        <v>0.60653065971263342</v>
      </c>
      <c r="O34" s="415">
        <f t="shared" si="13"/>
        <v>0.60653065971263342</v>
      </c>
      <c r="P34" s="415">
        <f t="shared" si="13"/>
        <v>0.60653065971263342</v>
      </c>
      <c r="Q34" s="415">
        <f t="shared" si="13"/>
        <v>0.60653065971263342</v>
      </c>
      <c r="R34" s="415">
        <f t="shared" si="13"/>
        <v>0.60653065971263342</v>
      </c>
      <c r="S34" s="415">
        <f t="shared" si="13"/>
        <v>0.60653065971263342</v>
      </c>
      <c r="T34" s="415">
        <f t="shared" si="13"/>
        <v>0.60653065971263342</v>
      </c>
      <c r="U34" s="415">
        <f t="shared" si="13"/>
        <v>0.60653065971263342</v>
      </c>
      <c r="V34" s="415">
        <f t="shared" si="13"/>
        <v>0.60653065971263342</v>
      </c>
      <c r="W34" s="415">
        <f t="shared" si="13"/>
        <v>0.60653065971263342</v>
      </c>
      <c r="X34" s="415">
        <f t="shared" si="13"/>
        <v>0.60653065971263342</v>
      </c>
      <c r="Y34" s="415">
        <f t="shared" si="13"/>
        <v>0.60653065971263342</v>
      </c>
      <c r="Z34" s="415">
        <f t="shared" si="13"/>
        <v>0.60653065971263342</v>
      </c>
      <c r="AA34" s="415">
        <f t="shared" si="13"/>
        <v>0.60653065971263342</v>
      </c>
      <c r="AB34" s="415">
        <f t="shared" si="13"/>
        <v>0.60653065971263342</v>
      </c>
      <c r="AC34" s="415">
        <f t="shared" si="13"/>
        <v>0.60653065971263342</v>
      </c>
      <c r="AD34" s="415">
        <f t="shared" si="13"/>
        <v>0.60653065971263342</v>
      </c>
      <c r="AE34" s="415">
        <f t="shared" si="13"/>
        <v>0.60653065971263342</v>
      </c>
      <c r="AF34" s="415">
        <f t="shared" si="13"/>
        <v>0.60653065971263342</v>
      </c>
      <c r="AG34" s="415">
        <f t="shared" si="13"/>
        <v>0.60653065971263342</v>
      </c>
      <c r="AH34" s="415">
        <f t="shared" si="13"/>
        <v>0.60653065971263342</v>
      </c>
      <c r="AI34" s="415">
        <f t="shared" si="13"/>
        <v>0.60653065971263342</v>
      </c>
      <c r="AJ34" s="415">
        <f t="shared" si="13"/>
        <v>0.60653065971263342</v>
      </c>
      <c r="AK34" s="415">
        <f t="shared" si="13"/>
        <v>0.60653065971263342</v>
      </c>
      <c r="AL34" s="415">
        <f t="shared" si="13"/>
        <v>0.60653065971263342</v>
      </c>
    </row>
    <row r="35" spans="2:38">
      <c r="B35" s="411" t="s">
        <v>665</v>
      </c>
      <c r="C35" s="412" t="s">
        <v>666</v>
      </c>
      <c r="D35" s="414">
        <v>1</v>
      </c>
      <c r="E35" s="414">
        <v>1</v>
      </c>
      <c r="F35" s="414">
        <v>1</v>
      </c>
      <c r="G35" s="414">
        <v>1</v>
      </c>
      <c r="H35" s="414">
        <v>1</v>
      </c>
      <c r="I35" s="414">
        <v>1</v>
      </c>
      <c r="J35" s="414">
        <v>1</v>
      </c>
      <c r="K35" s="414">
        <v>1</v>
      </c>
      <c r="L35" s="414">
        <v>1</v>
      </c>
      <c r="M35" s="414">
        <v>1</v>
      </c>
      <c r="N35" s="414">
        <v>1</v>
      </c>
      <c r="O35" s="414">
        <v>1</v>
      </c>
      <c r="P35" s="414">
        <v>1</v>
      </c>
      <c r="Q35" s="414">
        <v>1</v>
      </c>
      <c r="R35" s="414">
        <v>1</v>
      </c>
      <c r="S35" s="414">
        <v>1</v>
      </c>
      <c r="T35" s="414">
        <v>1</v>
      </c>
      <c r="U35" s="414">
        <v>1</v>
      </c>
      <c r="V35" s="414">
        <v>1</v>
      </c>
      <c r="W35" s="414">
        <v>1</v>
      </c>
      <c r="X35" s="414">
        <v>1</v>
      </c>
      <c r="Y35" s="414">
        <v>1</v>
      </c>
      <c r="Z35" s="414">
        <v>1</v>
      </c>
      <c r="AA35" s="414">
        <v>1</v>
      </c>
      <c r="AB35" s="414">
        <v>1</v>
      </c>
      <c r="AC35" s="414">
        <v>1</v>
      </c>
      <c r="AD35" s="414">
        <v>1</v>
      </c>
      <c r="AE35" s="414">
        <v>1</v>
      </c>
      <c r="AF35" s="414">
        <v>1</v>
      </c>
      <c r="AG35" s="414">
        <v>1</v>
      </c>
      <c r="AH35" s="414">
        <v>1</v>
      </c>
      <c r="AI35" s="414">
        <v>1</v>
      </c>
      <c r="AJ35" s="414">
        <v>1</v>
      </c>
      <c r="AK35" s="414">
        <v>1</v>
      </c>
      <c r="AL35" s="414">
        <v>1</v>
      </c>
    </row>
    <row r="36" spans="2:38" s="421" customFormat="1" ht="13">
      <c r="B36" s="418"/>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row>
    <row r="37" spans="2:38" s="421" customFormat="1" ht="13">
      <c r="B37" s="422" t="s">
        <v>667</v>
      </c>
      <c r="C37" s="408"/>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c r="B38" s="411" t="s">
        <v>653</v>
      </c>
      <c r="C38" s="412" t="s">
        <v>654</v>
      </c>
      <c r="D38" s="423">
        <f>((D$14*D$15+0.2)/0.2)^(0.2953)</f>
        <v>14.025069302518137</v>
      </c>
      <c r="E38" s="423">
        <f t="shared" ref="E38:AL38" si="14">((E$14*E$15+0.2)/0.2)^(0.2953)</f>
        <v>14.190094012283833</v>
      </c>
      <c r="F38" s="423">
        <f t="shared" si="14"/>
        <v>14.357061306075542</v>
      </c>
      <c r="G38" s="423">
        <f t="shared" si="14"/>
        <v>14.525994027963495</v>
      </c>
      <c r="H38" s="423">
        <f t="shared" si="14"/>
        <v>14.696915291288592</v>
      </c>
      <c r="I38" s="423">
        <f t="shared" si="14"/>
        <v>14.869848481819027</v>
      </c>
      <c r="J38" s="423">
        <f t="shared" si="14"/>
        <v>15.044817260944294</v>
      </c>
      <c r="K38" s="423">
        <f t="shared" si="14"/>
        <v>15.221845568907206</v>
      </c>
      <c r="L38" s="423">
        <f t="shared" si="14"/>
        <v>15.400957628074131</v>
      </c>
      <c r="M38" s="423">
        <f t="shared" si="14"/>
        <v>15.58217794624416</v>
      </c>
      <c r="N38" s="423">
        <f t="shared" si="14"/>
        <v>15.765531319997445</v>
      </c>
      <c r="O38" s="423">
        <f t="shared" si="14"/>
        <v>15.951042838083216</v>
      </c>
      <c r="P38" s="423">
        <f t="shared" si="14"/>
        <v>16.13873788484797</v>
      </c>
      <c r="Q38" s="423">
        <f t="shared" si="14"/>
        <v>16.328642143704347</v>
      </c>
      <c r="R38" s="423">
        <f t="shared" si="14"/>
        <v>16.52078160064093</v>
      </c>
      <c r="S38" s="423">
        <f t="shared" si="14"/>
        <v>16.715182547773782</v>
      </c>
      <c r="T38" s="423">
        <f t="shared" si="14"/>
        <v>16.911871586939959</v>
      </c>
      <c r="U38" s="423">
        <f t="shared" si="14"/>
        <v>17.110875633333517</v>
      </c>
      <c r="V38" s="423">
        <f t="shared" si="14"/>
        <v>17.312221919184584</v>
      </c>
      <c r="W38" s="423">
        <f t="shared" si="14"/>
        <v>17.515937997482034</v>
      </c>
      <c r="X38" s="423">
        <f t="shared" si="14"/>
        <v>17.722051745740039</v>
      </c>
      <c r="Y38" s="423">
        <f t="shared" si="14"/>
        <v>17.930591369809278</v>
      </c>
      <c r="Z38" s="423">
        <f t="shared" si="14"/>
        <v>18.141585407733238</v>
      </c>
      <c r="AA38" s="423">
        <f t="shared" si="14"/>
        <v>18.355062733649959</v>
      </c>
      <c r="AB38" s="423">
        <f t="shared" si="14"/>
        <v>18.571052561740068</v>
      </c>
      <c r="AC38" s="423">
        <f t="shared" si="14"/>
        <v>18.789584450221355</v>
      </c>
      <c r="AD38" s="423">
        <f t="shared" si="14"/>
        <v>19.010688305390577</v>
      </c>
      <c r="AE38" s="423">
        <f t="shared" si="14"/>
        <v>19.234394385713024</v>
      </c>
      <c r="AF38" s="423">
        <f t="shared" si="14"/>
        <v>19.460733305960431</v>
      </c>
      <c r="AG38" s="423">
        <f t="shared" si="14"/>
        <v>19.68973604139768</v>
      </c>
      <c r="AH38" s="423">
        <f t="shared" si="14"/>
        <v>19.921433932018946</v>
      </c>
      <c r="AI38" s="423">
        <f t="shared" si="14"/>
        <v>20.155858686833973</v>
      </c>
      <c r="AJ38" s="423">
        <f t="shared" si="14"/>
        <v>20.393042388204854</v>
      </c>
      <c r="AK38" s="423">
        <f t="shared" si="14"/>
        <v>20.63301749623399</v>
      </c>
      <c r="AL38" s="423">
        <f t="shared" si="14"/>
        <v>20.875816853203876</v>
      </c>
    </row>
    <row r="39" spans="2:38" s="421" customFormat="1">
      <c r="B39" s="411" t="s">
        <v>655</v>
      </c>
      <c r="C39" s="412" t="s">
        <v>656</v>
      </c>
      <c r="D39" s="414">
        <f t="shared" ref="D39:AL39" si="15">EXP(0.1088*$D$9)</f>
        <v>1</v>
      </c>
      <c r="E39" s="414">
        <f t="shared" si="15"/>
        <v>1</v>
      </c>
      <c r="F39" s="414">
        <f t="shared" si="15"/>
        <v>1</v>
      </c>
      <c r="G39" s="414">
        <f t="shared" si="15"/>
        <v>1</v>
      </c>
      <c r="H39" s="414">
        <f t="shared" si="15"/>
        <v>1</v>
      </c>
      <c r="I39" s="414">
        <f t="shared" si="15"/>
        <v>1</v>
      </c>
      <c r="J39" s="414">
        <f t="shared" si="15"/>
        <v>1</v>
      </c>
      <c r="K39" s="414">
        <f t="shared" si="15"/>
        <v>1</v>
      </c>
      <c r="L39" s="414">
        <f t="shared" si="15"/>
        <v>1</v>
      </c>
      <c r="M39" s="414">
        <f t="shared" si="15"/>
        <v>1</v>
      </c>
      <c r="N39" s="414">
        <f t="shared" si="15"/>
        <v>1</v>
      </c>
      <c r="O39" s="414">
        <f t="shared" si="15"/>
        <v>1</v>
      </c>
      <c r="P39" s="414">
        <f t="shared" si="15"/>
        <v>1</v>
      </c>
      <c r="Q39" s="414">
        <f t="shared" si="15"/>
        <v>1</v>
      </c>
      <c r="R39" s="414">
        <f t="shared" si="15"/>
        <v>1</v>
      </c>
      <c r="S39" s="414">
        <f t="shared" si="15"/>
        <v>1</v>
      </c>
      <c r="T39" s="414">
        <f t="shared" si="15"/>
        <v>1</v>
      </c>
      <c r="U39" s="414">
        <f t="shared" si="15"/>
        <v>1</v>
      </c>
      <c r="V39" s="414">
        <f t="shared" si="15"/>
        <v>1</v>
      </c>
      <c r="W39" s="414">
        <f t="shared" si="15"/>
        <v>1</v>
      </c>
      <c r="X39" s="414">
        <f t="shared" si="15"/>
        <v>1</v>
      </c>
      <c r="Y39" s="414">
        <f t="shared" si="15"/>
        <v>1</v>
      </c>
      <c r="Z39" s="414">
        <f t="shared" si="15"/>
        <v>1</v>
      </c>
      <c r="AA39" s="414">
        <f t="shared" si="15"/>
        <v>1</v>
      </c>
      <c r="AB39" s="414">
        <f t="shared" si="15"/>
        <v>1</v>
      </c>
      <c r="AC39" s="414">
        <f t="shared" si="15"/>
        <v>1</v>
      </c>
      <c r="AD39" s="414">
        <f t="shared" si="15"/>
        <v>1</v>
      </c>
      <c r="AE39" s="414">
        <f t="shared" si="15"/>
        <v>1</v>
      </c>
      <c r="AF39" s="414">
        <f t="shared" si="15"/>
        <v>1</v>
      </c>
      <c r="AG39" s="414">
        <f t="shared" si="15"/>
        <v>1</v>
      </c>
      <c r="AH39" s="414">
        <f t="shared" si="15"/>
        <v>1</v>
      </c>
      <c r="AI39" s="414">
        <f t="shared" si="15"/>
        <v>1</v>
      </c>
      <c r="AJ39" s="414">
        <f t="shared" si="15"/>
        <v>1</v>
      </c>
      <c r="AK39" s="414">
        <f t="shared" si="15"/>
        <v>1</v>
      </c>
      <c r="AL39" s="414">
        <f t="shared" si="15"/>
        <v>1</v>
      </c>
    </row>
    <row r="40" spans="2:38" s="421" customFormat="1">
      <c r="B40" s="411" t="s">
        <v>657</v>
      </c>
      <c r="C40" s="416" t="s">
        <v>658</v>
      </c>
      <c r="D40" s="417">
        <f>((D$17+0.2)/0.2)^(0.047)</f>
        <v>1.0878602516982878</v>
      </c>
      <c r="E40" s="417">
        <f t="shared" ref="E40:AL40" si="16">((E$17+0.2)/0.2)^(0.047)</f>
        <v>1.0878602516982878</v>
      </c>
      <c r="F40" s="417">
        <f t="shared" si="16"/>
        <v>1.0878602516982878</v>
      </c>
      <c r="G40" s="417">
        <f t="shared" si="16"/>
        <v>1.0878602516982878</v>
      </c>
      <c r="H40" s="417">
        <f t="shared" si="16"/>
        <v>1.0878602516982878</v>
      </c>
      <c r="I40" s="417">
        <f t="shared" si="16"/>
        <v>1.0878602516982878</v>
      </c>
      <c r="J40" s="417">
        <f t="shared" si="16"/>
        <v>1.0878602516982878</v>
      </c>
      <c r="K40" s="417">
        <f t="shared" si="16"/>
        <v>1.0878602516982878</v>
      </c>
      <c r="L40" s="417">
        <f t="shared" si="16"/>
        <v>1.0878602516982878</v>
      </c>
      <c r="M40" s="417">
        <f t="shared" si="16"/>
        <v>1.0878602516982878</v>
      </c>
      <c r="N40" s="417">
        <f t="shared" si="16"/>
        <v>1.0878602516982878</v>
      </c>
      <c r="O40" s="417">
        <f t="shared" si="16"/>
        <v>1.0878602516982878</v>
      </c>
      <c r="P40" s="417">
        <f t="shared" si="16"/>
        <v>1.0878602516982878</v>
      </c>
      <c r="Q40" s="417">
        <f t="shared" si="16"/>
        <v>1.0878602516982878</v>
      </c>
      <c r="R40" s="417">
        <f t="shared" si="16"/>
        <v>1.0878602516982878</v>
      </c>
      <c r="S40" s="417">
        <f t="shared" si="16"/>
        <v>1.0878602516982878</v>
      </c>
      <c r="T40" s="417">
        <f t="shared" si="16"/>
        <v>1.0878602516982878</v>
      </c>
      <c r="U40" s="417">
        <f t="shared" si="16"/>
        <v>1.0878602516982878</v>
      </c>
      <c r="V40" s="417">
        <f t="shared" si="16"/>
        <v>1.0878602516982878</v>
      </c>
      <c r="W40" s="417">
        <f t="shared" si="16"/>
        <v>1.0878602516982878</v>
      </c>
      <c r="X40" s="417">
        <f t="shared" si="16"/>
        <v>1.0878602516982878</v>
      </c>
      <c r="Y40" s="417">
        <f t="shared" si="16"/>
        <v>1.0878602516982878</v>
      </c>
      <c r="Z40" s="417">
        <f t="shared" si="16"/>
        <v>1.0878602516982878</v>
      </c>
      <c r="AA40" s="417">
        <f t="shared" si="16"/>
        <v>1.0878602516982878</v>
      </c>
      <c r="AB40" s="417">
        <f t="shared" si="16"/>
        <v>1.0878602516982878</v>
      </c>
      <c r="AC40" s="417">
        <f t="shared" si="16"/>
        <v>1.0878602516982878</v>
      </c>
      <c r="AD40" s="417">
        <f t="shared" si="16"/>
        <v>1.0878602516982878</v>
      </c>
      <c r="AE40" s="417">
        <f t="shared" si="16"/>
        <v>1.0878602516982878</v>
      </c>
      <c r="AF40" s="417">
        <f t="shared" si="16"/>
        <v>1.0878602516982878</v>
      </c>
      <c r="AG40" s="417">
        <f t="shared" si="16"/>
        <v>1.0878602516982878</v>
      </c>
      <c r="AH40" s="417">
        <f t="shared" si="16"/>
        <v>1.0878602516982878</v>
      </c>
      <c r="AI40" s="417">
        <f t="shared" si="16"/>
        <v>1.0878602516982878</v>
      </c>
      <c r="AJ40" s="417">
        <f t="shared" si="16"/>
        <v>1.0878602516982878</v>
      </c>
      <c r="AK40" s="417">
        <f t="shared" si="16"/>
        <v>1.0878602516982878</v>
      </c>
      <c r="AL40" s="417">
        <f t="shared" si="16"/>
        <v>1.0878602516982878</v>
      </c>
    </row>
    <row r="41" spans="2:38" s="421" customFormat="1">
      <c r="B41" s="411" t="s">
        <v>659</v>
      </c>
      <c r="C41" s="412" t="s">
        <v>660</v>
      </c>
      <c r="D41" s="414">
        <v>1</v>
      </c>
      <c r="E41" s="414">
        <v>1</v>
      </c>
      <c r="F41" s="414">
        <v>1</v>
      </c>
      <c r="G41" s="414">
        <v>1</v>
      </c>
      <c r="H41" s="414">
        <v>1</v>
      </c>
      <c r="I41" s="414">
        <v>1</v>
      </c>
      <c r="J41" s="414">
        <v>1</v>
      </c>
      <c r="K41" s="414">
        <v>1</v>
      </c>
      <c r="L41" s="414">
        <v>1</v>
      </c>
      <c r="M41" s="414">
        <v>1</v>
      </c>
      <c r="N41" s="414">
        <v>1</v>
      </c>
      <c r="O41" s="414">
        <v>1</v>
      </c>
      <c r="P41" s="414">
        <v>1</v>
      </c>
      <c r="Q41" s="414">
        <v>1</v>
      </c>
      <c r="R41" s="414">
        <v>1</v>
      </c>
      <c r="S41" s="414">
        <v>1</v>
      </c>
      <c r="T41" s="414">
        <v>1</v>
      </c>
      <c r="U41" s="414">
        <v>1</v>
      </c>
      <c r="V41" s="414">
        <v>1</v>
      </c>
      <c r="W41" s="414">
        <v>1</v>
      </c>
      <c r="X41" s="414">
        <v>1</v>
      </c>
      <c r="Y41" s="414">
        <v>1</v>
      </c>
      <c r="Z41" s="414">
        <v>1</v>
      </c>
      <c r="AA41" s="414">
        <v>1</v>
      </c>
      <c r="AB41" s="414">
        <v>1</v>
      </c>
      <c r="AC41" s="414">
        <v>1</v>
      </c>
      <c r="AD41" s="414">
        <v>1</v>
      </c>
      <c r="AE41" s="414">
        <v>1</v>
      </c>
      <c r="AF41" s="414">
        <v>1</v>
      </c>
      <c r="AG41" s="414">
        <v>1</v>
      </c>
      <c r="AH41" s="414">
        <v>1</v>
      </c>
      <c r="AI41" s="414">
        <v>1</v>
      </c>
      <c r="AJ41" s="414">
        <v>1</v>
      </c>
      <c r="AK41" s="414">
        <v>1</v>
      </c>
      <c r="AL41" s="414">
        <v>1</v>
      </c>
    </row>
    <row r="42" spans="2:38" s="421" customFormat="1">
      <c r="B42" s="411" t="s">
        <v>661</v>
      </c>
      <c r="C42" s="412" t="s">
        <v>662</v>
      </c>
      <c r="D42" s="414">
        <v>1</v>
      </c>
      <c r="E42" s="414">
        <v>1</v>
      </c>
      <c r="F42" s="414">
        <v>1</v>
      </c>
      <c r="G42" s="414">
        <v>1</v>
      </c>
      <c r="H42" s="414">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663</v>
      </c>
      <c r="C43" s="412" t="s">
        <v>664</v>
      </c>
      <c r="D43" s="414">
        <v>1</v>
      </c>
      <c r="E43" s="414">
        <v>1</v>
      </c>
      <c r="F43" s="414">
        <v>1</v>
      </c>
      <c r="G43" s="414">
        <v>1</v>
      </c>
      <c r="H43" s="414">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665</v>
      </c>
      <c r="C44" s="412" t="s">
        <v>666</v>
      </c>
      <c r="D44" s="414">
        <f t="shared" ref="D44:AL44" si="17">EXP(0.138*($D$10-1))</f>
        <v>1.1479755502741786</v>
      </c>
      <c r="E44" s="414">
        <f t="shared" si="17"/>
        <v>1.1479755502741786</v>
      </c>
      <c r="F44" s="414">
        <f t="shared" si="17"/>
        <v>1.1479755502741786</v>
      </c>
      <c r="G44" s="414">
        <f t="shared" si="17"/>
        <v>1.1479755502741786</v>
      </c>
      <c r="H44" s="414">
        <f t="shared" si="17"/>
        <v>1.1479755502741786</v>
      </c>
      <c r="I44" s="414">
        <f t="shared" si="17"/>
        <v>1.1479755502741786</v>
      </c>
      <c r="J44" s="414">
        <f t="shared" si="17"/>
        <v>1.1479755502741786</v>
      </c>
      <c r="K44" s="414">
        <f t="shared" si="17"/>
        <v>1.1479755502741786</v>
      </c>
      <c r="L44" s="414">
        <f t="shared" si="17"/>
        <v>1.1479755502741786</v>
      </c>
      <c r="M44" s="414">
        <f t="shared" si="17"/>
        <v>1.1479755502741786</v>
      </c>
      <c r="N44" s="414">
        <f t="shared" si="17"/>
        <v>1.1479755502741786</v>
      </c>
      <c r="O44" s="414">
        <f t="shared" si="17"/>
        <v>1.1479755502741786</v>
      </c>
      <c r="P44" s="414">
        <f t="shared" si="17"/>
        <v>1.1479755502741786</v>
      </c>
      <c r="Q44" s="414">
        <f t="shared" si="17"/>
        <v>1.1479755502741786</v>
      </c>
      <c r="R44" s="414">
        <f t="shared" si="17"/>
        <v>1.1479755502741786</v>
      </c>
      <c r="S44" s="414">
        <f t="shared" si="17"/>
        <v>1.1479755502741786</v>
      </c>
      <c r="T44" s="414">
        <f t="shared" si="17"/>
        <v>1.1479755502741786</v>
      </c>
      <c r="U44" s="414">
        <f t="shared" si="17"/>
        <v>1.1479755502741786</v>
      </c>
      <c r="V44" s="414">
        <f t="shared" si="17"/>
        <v>1.1479755502741786</v>
      </c>
      <c r="W44" s="414">
        <f t="shared" si="17"/>
        <v>1.1479755502741786</v>
      </c>
      <c r="X44" s="414">
        <f t="shared" si="17"/>
        <v>1.1479755502741786</v>
      </c>
      <c r="Y44" s="414">
        <f t="shared" si="17"/>
        <v>1.1479755502741786</v>
      </c>
      <c r="Z44" s="414">
        <f t="shared" si="17"/>
        <v>1.1479755502741786</v>
      </c>
      <c r="AA44" s="414">
        <f t="shared" si="17"/>
        <v>1.1479755502741786</v>
      </c>
      <c r="AB44" s="414">
        <f t="shared" si="17"/>
        <v>1.1479755502741786</v>
      </c>
      <c r="AC44" s="414">
        <f t="shared" si="17"/>
        <v>1.1479755502741786</v>
      </c>
      <c r="AD44" s="414">
        <f t="shared" si="17"/>
        <v>1.1479755502741786</v>
      </c>
      <c r="AE44" s="414">
        <f t="shared" si="17"/>
        <v>1.1479755502741786</v>
      </c>
      <c r="AF44" s="414">
        <f t="shared" si="17"/>
        <v>1.1479755502741786</v>
      </c>
      <c r="AG44" s="414">
        <f t="shared" si="17"/>
        <v>1.1479755502741786</v>
      </c>
      <c r="AH44" s="414">
        <f t="shared" si="17"/>
        <v>1.1479755502741786</v>
      </c>
      <c r="AI44" s="414">
        <f t="shared" si="17"/>
        <v>1.1479755502741786</v>
      </c>
      <c r="AJ44" s="414">
        <f t="shared" si="17"/>
        <v>1.1479755502741786</v>
      </c>
      <c r="AK44" s="414">
        <f t="shared" si="17"/>
        <v>1.1479755502741786</v>
      </c>
      <c r="AL44" s="414">
        <f t="shared" si="17"/>
        <v>1.1479755502741786</v>
      </c>
    </row>
    <row r="45" spans="2:38" s="421" customFormat="1" ht="13">
      <c r="B45" s="418"/>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row>
    <row r="46" spans="2:38" s="421" customFormat="1" ht="13">
      <c r="B46" s="422" t="s">
        <v>668</v>
      </c>
      <c r="C46" s="408"/>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c r="B47" s="411" t="s">
        <v>653</v>
      </c>
      <c r="C47" s="412" t="s">
        <v>654</v>
      </c>
      <c r="D47" s="423">
        <f>((D$14*D$15+0.2)/0.2)^(0.3116)</f>
        <v>16.226019659764887</v>
      </c>
      <c r="E47" s="423">
        <f t="shared" ref="E47:AL47" si="18">((E$14*E$15+0.2)/0.2)^(0.3116)</f>
        <v>16.427545366441784</v>
      </c>
      <c r="F47" s="423">
        <f t="shared" si="18"/>
        <v>16.631575025826844</v>
      </c>
      <c r="G47" s="423">
        <f t="shared" si="18"/>
        <v>16.838139721999571</v>
      </c>
      <c r="H47" s="423">
        <f t="shared" si="18"/>
        <v>17.047270925656068</v>
      </c>
      <c r="I47" s="423">
        <f t="shared" si="18"/>
        <v>17.259000498897866</v>
      </c>
      <c r="J47" s="423">
        <f t="shared" si="18"/>
        <v>17.473360700080498</v>
      </c>
      <c r="K47" s="423">
        <f t="shared" si="18"/>
        <v>17.69038418872281</v>
      </c>
      <c r="L47" s="423">
        <f t="shared" si="18"/>
        <v>17.910104030477385</v>
      </c>
      <c r="M47" s="423">
        <f t="shared" si="18"/>
        <v>18.132553702163261</v>
      </c>
      <c r="N47" s="423">
        <f t="shared" si="18"/>
        <v>18.357767096861366</v>
      </c>
      <c r="O47" s="423">
        <f t="shared" si="18"/>
        <v>18.58577852907354</v>
      </c>
      <c r="P47" s="423">
        <f t="shared" si="18"/>
        <v>18.816622739946062</v>
      </c>
      <c r="Q47" s="423">
        <f t="shared" si="18"/>
        <v>19.050334902558287</v>
      </c>
      <c r="R47" s="423">
        <f t="shared" si="18"/>
        <v>19.286950627277218</v>
      </c>
      <c r="S47" s="423">
        <f t="shared" si="18"/>
        <v>19.526505967178988</v>
      </c>
      <c r="T47" s="423">
        <f t="shared" si="18"/>
        <v>19.769037423537952</v>
      </c>
      <c r="U47" s="423">
        <f t="shared" si="18"/>
        <v>20.014581951384081</v>
      </c>
      <c r="V47" s="423">
        <f t="shared" si="18"/>
        <v>20.263176965129844</v>
      </c>
      <c r="W47" s="423">
        <f t="shared" si="18"/>
        <v>20.514860344267163</v>
      </c>
      <c r="X47" s="423">
        <f t="shared" si="18"/>
        <v>20.769670439135282</v>
      </c>
      <c r="Y47" s="423">
        <f t="shared" si="18"/>
        <v>21.027646076760721</v>
      </c>
      <c r="Z47" s="423">
        <f t="shared" si="18"/>
        <v>21.288826566769849</v>
      </c>
      <c r="AA47" s="423">
        <f t="shared" si="18"/>
        <v>21.553251707375189</v>
      </c>
      <c r="AB47" s="423">
        <f t="shared" si="18"/>
        <v>21.820961791436314</v>
      </c>
      <c r="AC47" s="423">
        <f t="shared" si="18"/>
        <v>22.091997612596238</v>
      </c>
      <c r="AD47" s="423">
        <f t="shared" si="18"/>
        <v>22.366400471494167</v>
      </c>
      <c r="AE47" s="423">
        <f t="shared" si="18"/>
        <v>22.644212182055799</v>
      </c>
      <c r="AF47" s="423">
        <f t="shared" si="18"/>
        <v>22.92547507786178</v>
      </c>
      <c r="AG47" s="423">
        <f t="shared" si="18"/>
        <v>23.210232018595594</v>
      </c>
      <c r="AH47" s="423">
        <f t="shared" si="18"/>
        <v>23.498526396571595</v>
      </c>
      <c r="AI47" s="423">
        <f t="shared" si="18"/>
        <v>23.79040214334448</v>
      </c>
      <c r="AJ47" s="423">
        <f t="shared" si="18"/>
        <v>24.085903736400951</v>
      </c>
      <c r="AK47" s="423">
        <f t="shared" si="18"/>
        <v>24.38507620593461</v>
      </c>
      <c r="AL47" s="423">
        <f t="shared" si="18"/>
        <v>24.687965141705277</v>
      </c>
    </row>
    <row r="48" spans="2:38" s="421" customFormat="1">
      <c r="B48" s="411" t="s">
        <v>655</v>
      </c>
      <c r="C48" s="412" t="s">
        <v>656</v>
      </c>
      <c r="D48" s="414">
        <f t="shared" ref="D48:AL48" si="19">EXP(0.2912*$D$9)</f>
        <v>1</v>
      </c>
      <c r="E48" s="414">
        <f t="shared" si="19"/>
        <v>1</v>
      </c>
      <c r="F48" s="414">
        <f t="shared" si="19"/>
        <v>1</v>
      </c>
      <c r="G48" s="414">
        <f t="shared" si="19"/>
        <v>1</v>
      </c>
      <c r="H48" s="414">
        <f t="shared" si="19"/>
        <v>1</v>
      </c>
      <c r="I48" s="414">
        <f t="shared" si="19"/>
        <v>1</v>
      </c>
      <c r="J48" s="414">
        <f t="shared" si="19"/>
        <v>1</v>
      </c>
      <c r="K48" s="414">
        <f t="shared" si="19"/>
        <v>1</v>
      </c>
      <c r="L48" s="414">
        <f t="shared" si="19"/>
        <v>1</v>
      </c>
      <c r="M48" s="414">
        <f t="shared" si="19"/>
        <v>1</v>
      </c>
      <c r="N48" s="414">
        <f t="shared" si="19"/>
        <v>1</v>
      </c>
      <c r="O48" s="414">
        <f t="shared" si="19"/>
        <v>1</v>
      </c>
      <c r="P48" s="414">
        <f t="shared" si="19"/>
        <v>1</v>
      </c>
      <c r="Q48" s="414">
        <f t="shared" si="19"/>
        <v>1</v>
      </c>
      <c r="R48" s="414">
        <f t="shared" si="19"/>
        <v>1</v>
      </c>
      <c r="S48" s="414">
        <f t="shared" si="19"/>
        <v>1</v>
      </c>
      <c r="T48" s="414">
        <f t="shared" si="19"/>
        <v>1</v>
      </c>
      <c r="U48" s="414">
        <f t="shared" si="19"/>
        <v>1</v>
      </c>
      <c r="V48" s="414">
        <f t="shared" si="19"/>
        <v>1</v>
      </c>
      <c r="W48" s="414">
        <f t="shared" si="19"/>
        <v>1</v>
      </c>
      <c r="X48" s="414">
        <f t="shared" si="19"/>
        <v>1</v>
      </c>
      <c r="Y48" s="414">
        <f t="shared" si="19"/>
        <v>1</v>
      </c>
      <c r="Z48" s="414">
        <f t="shared" si="19"/>
        <v>1</v>
      </c>
      <c r="AA48" s="414">
        <f t="shared" si="19"/>
        <v>1</v>
      </c>
      <c r="AB48" s="414">
        <f t="shared" si="19"/>
        <v>1</v>
      </c>
      <c r="AC48" s="414">
        <f t="shared" si="19"/>
        <v>1</v>
      </c>
      <c r="AD48" s="414">
        <f t="shared" si="19"/>
        <v>1</v>
      </c>
      <c r="AE48" s="414">
        <f t="shared" si="19"/>
        <v>1</v>
      </c>
      <c r="AF48" s="414">
        <f t="shared" si="19"/>
        <v>1</v>
      </c>
      <c r="AG48" s="414">
        <f t="shared" si="19"/>
        <v>1</v>
      </c>
      <c r="AH48" s="414">
        <f t="shared" si="19"/>
        <v>1</v>
      </c>
      <c r="AI48" s="414">
        <f t="shared" si="19"/>
        <v>1</v>
      </c>
      <c r="AJ48" s="414">
        <f t="shared" si="19"/>
        <v>1</v>
      </c>
      <c r="AK48" s="414">
        <f t="shared" si="19"/>
        <v>1</v>
      </c>
      <c r="AL48" s="414">
        <f t="shared" si="19"/>
        <v>1</v>
      </c>
    </row>
    <row r="49" spans="2:38" s="421" customFormat="1">
      <c r="B49" s="411" t="s">
        <v>657</v>
      </c>
      <c r="C49" s="416" t="s">
        <v>658</v>
      </c>
      <c r="D49" s="414">
        <v>1</v>
      </c>
      <c r="E49" s="414">
        <v>1</v>
      </c>
      <c r="F49" s="414">
        <v>1</v>
      </c>
      <c r="G49" s="414">
        <v>1</v>
      </c>
      <c r="H49" s="414">
        <v>1</v>
      </c>
      <c r="I49" s="414">
        <v>1</v>
      </c>
      <c r="J49" s="414">
        <v>1</v>
      </c>
      <c r="K49" s="414">
        <v>1</v>
      </c>
      <c r="L49" s="414">
        <v>1</v>
      </c>
      <c r="M49" s="414">
        <v>1</v>
      </c>
      <c r="N49" s="414">
        <v>1</v>
      </c>
      <c r="O49" s="414">
        <v>1</v>
      </c>
      <c r="P49" s="414">
        <v>1</v>
      </c>
      <c r="Q49" s="414">
        <v>1</v>
      </c>
      <c r="R49" s="414">
        <v>1</v>
      </c>
      <c r="S49" s="414">
        <v>1</v>
      </c>
      <c r="T49" s="414">
        <v>1</v>
      </c>
      <c r="U49" s="414">
        <v>1</v>
      </c>
      <c r="V49" s="414">
        <v>1</v>
      </c>
      <c r="W49" s="414">
        <v>1</v>
      </c>
      <c r="X49" s="414">
        <v>1</v>
      </c>
      <c r="Y49" s="414">
        <v>1</v>
      </c>
      <c r="Z49" s="414">
        <v>1</v>
      </c>
      <c r="AA49" s="414">
        <v>1</v>
      </c>
      <c r="AB49" s="414">
        <v>1</v>
      </c>
      <c r="AC49" s="414">
        <v>1</v>
      </c>
      <c r="AD49" s="414">
        <v>1</v>
      </c>
      <c r="AE49" s="414">
        <v>1</v>
      </c>
      <c r="AF49" s="414">
        <v>1</v>
      </c>
      <c r="AG49" s="414">
        <v>1</v>
      </c>
      <c r="AH49" s="414">
        <v>1</v>
      </c>
      <c r="AI49" s="414">
        <v>1</v>
      </c>
      <c r="AJ49" s="414">
        <v>1</v>
      </c>
      <c r="AK49" s="414">
        <v>1</v>
      </c>
      <c r="AL49" s="414">
        <v>1</v>
      </c>
    </row>
    <row r="50" spans="2:38" s="421" customFormat="1">
      <c r="B50" s="411" t="s">
        <v>659</v>
      </c>
      <c r="C50" s="412" t="s">
        <v>660</v>
      </c>
      <c r="D50" s="414">
        <v>1</v>
      </c>
      <c r="E50" s="414">
        <v>1</v>
      </c>
      <c r="F50" s="414">
        <v>1</v>
      </c>
      <c r="G50" s="414">
        <v>1</v>
      </c>
      <c r="H50" s="414">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661</v>
      </c>
      <c r="C51" s="412" t="s">
        <v>662</v>
      </c>
      <c r="D51" s="414">
        <v>1</v>
      </c>
      <c r="E51" s="414">
        <v>1</v>
      </c>
      <c r="F51" s="414">
        <v>1</v>
      </c>
      <c r="G51" s="414">
        <v>1</v>
      </c>
      <c r="H51" s="414">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663</v>
      </c>
      <c r="C52" s="412" t="s">
        <v>664</v>
      </c>
      <c r="D52" s="414">
        <v>1</v>
      </c>
      <c r="E52" s="414">
        <v>1</v>
      </c>
      <c r="F52" s="414">
        <v>1</v>
      </c>
      <c r="G52" s="414">
        <v>1</v>
      </c>
      <c r="H52" s="414">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24" t="s">
        <v>665</v>
      </c>
      <c r="C53" s="425" t="s">
        <v>666</v>
      </c>
      <c r="D53" s="426">
        <f t="shared" ref="D53:AL53" si="20">EXP(0.1036*($D$10-1))</f>
        <v>1.1091567034898182</v>
      </c>
      <c r="E53" s="426">
        <f t="shared" si="20"/>
        <v>1.1091567034898182</v>
      </c>
      <c r="F53" s="426">
        <f t="shared" si="20"/>
        <v>1.1091567034898182</v>
      </c>
      <c r="G53" s="426">
        <f t="shared" si="20"/>
        <v>1.1091567034898182</v>
      </c>
      <c r="H53" s="426">
        <f t="shared" si="20"/>
        <v>1.1091567034898182</v>
      </c>
      <c r="I53" s="426">
        <f t="shared" si="20"/>
        <v>1.1091567034898182</v>
      </c>
      <c r="J53" s="426">
        <f t="shared" si="20"/>
        <v>1.1091567034898182</v>
      </c>
      <c r="K53" s="426">
        <f t="shared" si="20"/>
        <v>1.1091567034898182</v>
      </c>
      <c r="L53" s="426">
        <f t="shared" si="20"/>
        <v>1.1091567034898182</v>
      </c>
      <c r="M53" s="426">
        <f t="shared" si="20"/>
        <v>1.1091567034898182</v>
      </c>
      <c r="N53" s="426">
        <f t="shared" si="20"/>
        <v>1.1091567034898182</v>
      </c>
      <c r="O53" s="426">
        <f t="shared" si="20"/>
        <v>1.1091567034898182</v>
      </c>
      <c r="P53" s="426">
        <f t="shared" si="20"/>
        <v>1.1091567034898182</v>
      </c>
      <c r="Q53" s="426">
        <f t="shared" si="20"/>
        <v>1.1091567034898182</v>
      </c>
      <c r="R53" s="426">
        <f t="shared" si="20"/>
        <v>1.1091567034898182</v>
      </c>
      <c r="S53" s="426">
        <f t="shared" si="20"/>
        <v>1.1091567034898182</v>
      </c>
      <c r="T53" s="426">
        <f t="shared" si="20"/>
        <v>1.1091567034898182</v>
      </c>
      <c r="U53" s="426">
        <f t="shared" si="20"/>
        <v>1.1091567034898182</v>
      </c>
      <c r="V53" s="426">
        <f t="shared" si="20"/>
        <v>1.1091567034898182</v>
      </c>
      <c r="W53" s="426">
        <f t="shared" si="20"/>
        <v>1.1091567034898182</v>
      </c>
      <c r="X53" s="426">
        <f t="shared" si="20"/>
        <v>1.1091567034898182</v>
      </c>
      <c r="Y53" s="426">
        <f t="shared" si="20"/>
        <v>1.1091567034898182</v>
      </c>
      <c r="Z53" s="426">
        <f t="shared" si="20"/>
        <v>1.1091567034898182</v>
      </c>
      <c r="AA53" s="426">
        <f t="shared" si="20"/>
        <v>1.1091567034898182</v>
      </c>
      <c r="AB53" s="426">
        <f t="shared" si="20"/>
        <v>1.1091567034898182</v>
      </c>
      <c r="AC53" s="426">
        <f t="shared" si="20"/>
        <v>1.1091567034898182</v>
      </c>
      <c r="AD53" s="426">
        <f t="shared" si="20"/>
        <v>1.1091567034898182</v>
      </c>
      <c r="AE53" s="426">
        <f t="shared" si="20"/>
        <v>1.1091567034898182</v>
      </c>
      <c r="AF53" s="426">
        <f t="shared" si="20"/>
        <v>1.1091567034898182</v>
      </c>
      <c r="AG53" s="426">
        <f t="shared" si="20"/>
        <v>1.1091567034898182</v>
      </c>
      <c r="AH53" s="426">
        <f t="shared" si="20"/>
        <v>1.1091567034898182</v>
      </c>
      <c r="AI53" s="426">
        <f t="shared" si="20"/>
        <v>1.1091567034898182</v>
      </c>
      <c r="AJ53" s="426">
        <f t="shared" si="20"/>
        <v>1.1091567034898182</v>
      </c>
      <c r="AK53" s="426">
        <f t="shared" si="20"/>
        <v>1.1091567034898182</v>
      </c>
      <c r="AL53" s="426">
        <f t="shared" si="20"/>
        <v>1.1091567034898182</v>
      </c>
    </row>
    <row r="54" spans="2:38">
      <c r="B54" s="362"/>
      <c r="C54" s="427" t="s">
        <v>290</v>
      </c>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row>
    <row r="55" spans="2:38">
      <c r="B55" s="362" t="s">
        <v>669</v>
      </c>
      <c r="C55" s="428">
        <f>$E$6</f>
        <v>2.2680000000000001E-3</v>
      </c>
      <c r="D55" s="429">
        <f>IF($D$6=$B28,$C$55*PRODUCT(D$29:D$35),IF($D$6=$B37,$C$55*PRODUCT(D$38:D$44),$C$55*PRODUCT(D$47:D$53)))</f>
        <v>3.6510480954715034E-2</v>
      </c>
      <c r="E55" s="429">
        <f t="shared" ref="E55:AK55" si="21">IF($D$6=$B28,$C$55*PRODUCT(E$29:E$35),IF($D$6=$B37,$C$55*PRODUCT(E$38:E$44), $C$55*PRODUCT(E$47:E$53)))</f>
        <v>3.6995872352182893E-2</v>
      </c>
      <c r="F55" s="429">
        <f t="shared" si="21"/>
        <v>3.7487719286555587E-2</v>
      </c>
      <c r="G55" s="429">
        <f t="shared" si="21"/>
        <v>3.7986107550026377E-2</v>
      </c>
      <c r="H55" s="429">
        <f t="shared" si="21"/>
        <v>3.8491124076613543E-2</v>
      </c>
      <c r="I55" s="429">
        <f t="shared" si="21"/>
        <v>3.9002856957313745E-2</v>
      </c>
      <c r="J55" s="429">
        <f t="shared" si="21"/>
        <v>3.9521395455457339E-2</v>
      </c>
      <c r="K55" s="429">
        <f t="shared" si="21"/>
        <v>4.0046830022269012E-2</v>
      </c>
      <c r="L55" s="429">
        <f t="shared" si="21"/>
        <v>4.0579252312635324E-2</v>
      </c>
      <c r="M55" s="429">
        <f t="shared" si="21"/>
        <v>4.1118755201083476E-2</v>
      </c>
      <c r="N55" s="429">
        <f t="shared" si="21"/>
        <v>4.1665432797972482E-2</v>
      </c>
      <c r="O55" s="429">
        <f t="shared" si="21"/>
        <v>4.2219380465900576E-2</v>
      </c>
      <c r="P55" s="429">
        <f t="shared" si="21"/>
        <v>4.2780694836331457E-2</v>
      </c>
      <c r="Q55" s="429">
        <f t="shared" si="21"/>
        <v>4.3349473826442227E-2</v>
      </c>
      <c r="R55" s="429">
        <f t="shared" si="21"/>
        <v>4.3925816656195653E-2</v>
      </c>
      <c r="S55" s="429">
        <f t="shared" si="21"/>
        <v>4.4509823865640466E-2</v>
      </c>
      <c r="T55" s="429">
        <f t="shared" si="21"/>
        <v>4.5101597332441921E-2</v>
      </c>
      <c r="U55" s="429">
        <f t="shared" si="21"/>
        <v>4.5701240289646214E-2</v>
      </c>
      <c r="V55" s="429">
        <f t="shared" si="21"/>
        <v>4.6308857343681502E-2</v>
      </c>
      <c r="W55" s="429">
        <f t="shared" si="21"/>
        <v>4.6924554492598865E-2</v>
      </c>
      <c r="X55" s="429">
        <f t="shared" si="21"/>
        <v>4.754843914455642E-2</v>
      </c>
      <c r="Y55" s="429">
        <f t="shared" si="21"/>
        <v>4.818062013654939E-2</v>
      </c>
      <c r="Z55" s="429">
        <f t="shared" si="21"/>
        <v>4.8821207753390217E-2</v>
      </c>
      <c r="AA55" s="429">
        <f t="shared" si="21"/>
        <v>4.9470313746941032E-2</v>
      </c>
      <c r="AB55" s="429">
        <f t="shared" si="21"/>
        <v>5.012805135560254E-2</v>
      </c>
      <c r="AC55" s="429">
        <f t="shared" si="21"/>
        <v>5.0794535324062529E-2</v>
      </c>
      <c r="AD55" s="429">
        <f t="shared" si="21"/>
        <v>5.1469881923307204E-2</v>
      </c>
      <c r="AE55" s="429">
        <f t="shared" si="21"/>
        <v>5.2154208970899292E-2</v>
      </c>
      <c r="AF55" s="429">
        <f t="shared" si="21"/>
        <v>5.2847635851525986E-2</v>
      </c>
      <c r="AG55" s="429">
        <f t="shared" si="21"/>
        <v>5.3550283537820605E-2</v>
      </c>
      <c r="AH55" s="429">
        <f t="shared" si="21"/>
        <v>5.4262274611461443E-2</v>
      </c>
      <c r="AI55" s="429">
        <f t="shared" si="21"/>
        <v>5.498373328455157E-2</v>
      </c>
      <c r="AJ55" s="429">
        <f t="shared" si="21"/>
        <v>5.5714785421283393E-2</v>
      </c>
      <c r="AK55" s="429">
        <f t="shared" si="21"/>
        <v>5.6455558559891393E-2</v>
      </c>
      <c r="AL55" s="429">
        <f t="shared" ref="AL55" si="22">IF($D$6=$B28,$C$55*PRODUCT(AL$29:AL$35),IF($D$6=$B37,$C$55*PRODUCT(AL$38:AL$44), $C$55*PRODUCT(AL$47:AL$53)))</f>
        <v>5.7206181934897307E-2</v>
      </c>
    </row>
    <row r="57" spans="2:38" ht="13">
      <c r="B57" s="407" t="s">
        <v>670</v>
      </c>
      <c r="C57" s="396" t="s">
        <v>627</v>
      </c>
      <c r="D57" s="397">
        <v>2018</v>
      </c>
      <c r="E57" s="397">
        <v>2020</v>
      </c>
      <c r="F57" s="397">
        <v>2021</v>
      </c>
      <c r="G57" s="397">
        <v>2022</v>
      </c>
      <c r="H57" s="397">
        <v>2023</v>
      </c>
      <c r="I57" s="397">
        <v>2024</v>
      </c>
      <c r="J57" s="397">
        <v>2025</v>
      </c>
      <c r="K57" s="397">
        <v>2026</v>
      </c>
      <c r="L57" s="397">
        <v>2027</v>
      </c>
      <c r="M57" s="397">
        <v>2028</v>
      </c>
      <c r="N57" s="397">
        <v>2029</v>
      </c>
      <c r="O57" s="397">
        <v>2030</v>
      </c>
      <c r="P57" s="397">
        <v>2031</v>
      </c>
      <c r="Q57" s="397">
        <v>2032</v>
      </c>
      <c r="R57" s="397">
        <v>2033</v>
      </c>
      <c r="S57" s="397">
        <v>2034</v>
      </c>
      <c r="T57" s="397">
        <v>2035</v>
      </c>
      <c r="U57" s="397">
        <v>2036</v>
      </c>
      <c r="V57" s="397">
        <v>2037</v>
      </c>
      <c r="W57" s="397">
        <v>2038</v>
      </c>
      <c r="X57" s="397">
        <v>2039</v>
      </c>
      <c r="Y57" s="397">
        <v>2040</v>
      </c>
      <c r="Z57" s="397">
        <v>2041</v>
      </c>
      <c r="AA57" s="397">
        <v>2042</v>
      </c>
      <c r="AB57" s="397">
        <v>2043</v>
      </c>
      <c r="AC57" s="397">
        <v>2044</v>
      </c>
      <c r="AD57" s="397">
        <v>2044</v>
      </c>
      <c r="AE57" s="397">
        <v>2044</v>
      </c>
      <c r="AF57" s="397">
        <v>2044</v>
      </c>
      <c r="AG57" s="397">
        <v>2044</v>
      </c>
      <c r="AH57" s="397">
        <v>2044</v>
      </c>
      <c r="AI57" s="397">
        <v>2044</v>
      </c>
      <c r="AJ57" s="397">
        <v>2044</v>
      </c>
      <c r="AK57" s="397">
        <v>2044</v>
      </c>
      <c r="AL57" s="397">
        <v>2044</v>
      </c>
    </row>
    <row r="58" spans="2:38" s="366" customFormat="1">
      <c r="B58" s="366" t="s">
        <v>671</v>
      </c>
      <c r="C58" s="430" t="s">
        <v>662</v>
      </c>
      <c r="D58" s="431">
        <f t="shared" ref="D58:AK58" si="23">D19^(-1.074)</f>
        <v>0.11486407065121609</v>
      </c>
      <c r="E58" s="432">
        <f t="shared" si="23"/>
        <v>0.11486407065121609</v>
      </c>
      <c r="F58" s="432">
        <f t="shared" si="23"/>
        <v>0.11486407065121609</v>
      </c>
      <c r="G58" s="432">
        <f t="shared" si="23"/>
        <v>0.11486407065121609</v>
      </c>
      <c r="H58" s="432">
        <f t="shared" si="23"/>
        <v>0.11486407065121609</v>
      </c>
      <c r="I58" s="432">
        <f t="shared" si="23"/>
        <v>0.11486407065121609</v>
      </c>
      <c r="J58" s="432">
        <f t="shared" si="23"/>
        <v>0.11486407065121609</v>
      </c>
      <c r="K58" s="432">
        <f t="shared" si="23"/>
        <v>0.11486407065121609</v>
      </c>
      <c r="L58" s="432">
        <f t="shared" si="23"/>
        <v>0.11486407065121609</v>
      </c>
      <c r="M58" s="432">
        <f t="shared" si="23"/>
        <v>0.11486407065121609</v>
      </c>
      <c r="N58" s="432">
        <f t="shared" si="23"/>
        <v>0.11486407065121609</v>
      </c>
      <c r="O58" s="432">
        <f t="shared" si="23"/>
        <v>0.11486407065121609</v>
      </c>
      <c r="P58" s="432">
        <f t="shared" si="23"/>
        <v>0.11486407065121609</v>
      </c>
      <c r="Q58" s="432">
        <f t="shared" si="23"/>
        <v>0.11486407065121609</v>
      </c>
      <c r="R58" s="432">
        <f t="shared" si="23"/>
        <v>0.11486407065121609</v>
      </c>
      <c r="S58" s="432">
        <f t="shared" si="23"/>
        <v>0.11486407065121609</v>
      </c>
      <c r="T58" s="432">
        <f t="shared" si="23"/>
        <v>0.11486407065121609</v>
      </c>
      <c r="U58" s="432">
        <f t="shared" si="23"/>
        <v>0.11486407065121609</v>
      </c>
      <c r="V58" s="432">
        <f t="shared" si="23"/>
        <v>0.11486407065121609</v>
      </c>
      <c r="W58" s="432">
        <f t="shared" si="23"/>
        <v>0.11486407065121609</v>
      </c>
      <c r="X58" s="432">
        <f t="shared" si="23"/>
        <v>0.11486407065121609</v>
      </c>
      <c r="Y58" s="432">
        <f t="shared" si="23"/>
        <v>0.11486407065121609</v>
      </c>
      <c r="Z58" s="432">
        <f t="shared" si="23"/>
        <v>0.11486407065121609</v>
      </c>
      <c r="AA58" s="432">
        <f t="shared" si="23"/>
        <v>0.11486407065121609</v>
      </c>
      <c r="AB58" s="432">
        <f t="shared" si="23"/>
        <v>0.11486407065121609</v>
      </c>
      <c r="AC58" s="432">
        <f t="shared" si="23"/>
        <v>0.11486407065121609</v>
      </c>
      <c r="AD58" s="432">
        <f t="shared" si="23"/>
        <v>0.11486407065121609</v>
      </c>
      <c r="AE58" s="432">
        <f t="shared" si="23"/>
        <v>0.11486407065121609</v>
      </c>
      <c r="AF58" s="432">
        <f t="shared" si="23"/>
        <v>0.11486407065121609</v>
      </c>
      <c r="AG58" s="432">
        <f t="shared" si="23"/>
        <v>0.11486407065121609</v>
      </c>
      <c r="AH58" s="432">
        <f t="shared" si="23"/>
        <v>0.11486407065121609</v>
      </c>
      <c r="AI58" s="432">
        <f t="shared" si="23"/>
        <v>0.11486407065121609</v>
      </c>
      <c r="AJ58" s="432">
        <f t="shared" si="23"/>
        <v>0.11486407065121609</v>
      </c>
      <c r="AK58" s="432">
        <f t="shared" si="23"/>
        <v>0.11486407065121609</v>
      </c>
      <c r="AL58" s="432">
        <f t="shared" ref="AL58" si="24">AL19^(-1.074)</f>
        <v>0.11486407065121609</v>
      </c>
    </row>
    <row r="59" spans="2:38">
      <c r="B59" s="358" t="s">
        <v>606</v>
      </c>
      <c r="C59" s="419" t="s">
        <v>672</v>
      </c>
      <c r="D59" s="417">
        <f>(D$16+1)^(-0.1025)</f>
        <v>0.89285598450946391</v>
      </c>
      <c r="E59" s="417">
        <f>(E$16+1)^(-0.1025)</f>
        <v>0.89220912192398749</v>
      </c>
      <c r="F59" s="417">
        <f t="shared" ref="F59:AL59" si="25">(F$16+1)^(-0.1025)</f>
        <v>0.89156048349501171</v>
      </c>
      <c r="G59" s="417">
        <f t="shared" si="25"/>
        <v>0.89091008192725418</v>
      </c>
      <c r="H59" s="417">
        <f t="shared" si="25"/>
        <v>0.89025792999093223</v>
      </c>
      <c r="I59" s="417">
        <f t="shared" si="25"/>
        <v>0.88960404051976527</v>
      </c>
      <c r="J59" s="417">
        <f t="shared" si="25"/>
        <v>0.88894842640897598</v>
      </c>
      <c r="K59" s="417">
        <f t="shared" si="25"/>
        <v>0.88829110061329519</v>
      </c>
      <c r="L59" s="417">
        <f t="shared" si="25"/>
        <v>0.88763207614496653</v>
      </c>
      <c r="M59" s="417">
        <f t="shared" si="25"/>
        <v>0.88697136607175475</v>
      </c>
      <c r="N59" s="417">
        <f t="shared" si="25"/>
        <v>0.88630898351495846</v>
      </c>
      <c r="O59" s="417">
        <f t="shared" si="25"/>
        <v>0.88564494164742358</v>
      </c>
      <c r="P59" s="417">
        <f t="shared" si="25"/>
        <v>0.88497925369156449</v>
      </c>
      <c r="Q59" s="417">
        <f t="shared" si="25"/>
        <v>0.8843119329173883</v>
      </c>
      <c r="R59" s="417">
        <f t="shared" si="25"/>
        <v>0.88364299264052493</v>
      </c>
      <c r="S59" s="417">
        <f t="shared" si="25"/>
        <v>0.88297244622026427</v>
      </c>
      <c r="T59" s="417">
        <f t="shared" si="25"/>
        <v>0.88230030705759988</v>
      </c>
      <c r="U59" s="417">
        <f t="shared" si="25"/>
        <v>0.88162658859327914</v>
      </c>
      <c r="V59" s="417">
        <f t="shared" si="25"/>
        <v>0.88095130430586199</v>
      </c>
      <c r="W59" s="417">
        <f t="shared" si="25"/>
        <v>0.88027446770978857</v>
      </c>
      <c r="X59" s="417">
        <f t="shared" si="25"/>
        <v>0.87959609235345493</v>
      </c>
      <c r="Y59" s="417">
        <f t="shared" si="25"/>
        <v>0.87891619181729919</v>
      </c>
      <c r="Z59" s="417">
        <f t="shared" si="25"/>
        <v>0.87823477971189645</v>
      </c>
      <c r="AA59" s="417">
        <f t="shared" si="25"/>
        <v>0.87755186967606535</v>
      </c>
      <c r="AB59" s="417">
        <f t="shared" si="25"/>
        <v>0.87686747537498577</v>
      </c>
      <c r="AC59" s="417">
        <f t="shared" si="25"/>
        <v>0.87618161049832688</v>
      </c>
      <c r="AD59" s="417">
        <f t="shared" si="25"/>
        <v>0.87549428875838731</v>
      </c>
      <c r="AE59" s="417">
        <f t="shared" si="25"/>
        <v>0.87480552388824917</v>
      </c>
      <c r="AF59" s="417">
        <f t="shared" si="25"/>
        <v>0.87411532963994387</v>
      </c>
      <c r="AG59" s="417">
        <f t="shared" si="25"/>
        <v>0.87342371978263023</v>
      </c>
      <c r="AH59" s="417">
        <f t="shared" si="25"/>
        <v>0.87273070810078812</v>
      </c>
      <c r="AI59" s="417">
        <f t="shared" si="25"/>
        <v>0.87203630839242585</v>
      </c>
      <c r="AJ59" s="417">
        <f t="shared" si="25"/>
        <v>0.87134053446730064</v>
      </c>
      <c r="AK59" s="417">
        <f t="shared" si="25"/>
        <v>0.87064340014515562</v>
      </c>
      <c r="AL59" s="417">
        <f t="shared" si="25"/>
        <v>0.86994491925397133</v>
      </c>
    </row>
    <row r="60" spans="2:38">
      <c r="B60" s="358" t="s">
        <v>673</v>
      </c>
      <c r="C60" s="419" t="s">
        <v>674</v>
      </c>
      <c r="D60" s="414">
        <f>(D$16+1)^(0.1025)</f>
        <v>1.1200014530332136</v>
      </c>
      <c r="E60" s="415">
        <f t="shared" ref="E60:AL60" si="26">(E$18+1)^(0.1025)</f>
        <v>1</v>
      </c>
      <c r="F60" s="415">
        <f t="shared" si="26"/>
        <v>1</v>
      </c>
      <c r="G60" s="415">
        <f t="shared" si="26"/>
        <v>1</v>
      </c>
      <c r="H60" s="415">
        <f t="shared" si="26"/>
        <v>1</v>
      </c>
      <c r="I60" s="415">
        <f t="shared" si="26"/>
        <v>1</v>
      </c>
      <c r="J60" s="415">
        <f t="shared" si="26"/>
        <v>1</v>
      </c>
      <c r="K60" s="415">
        <f t="shared" si="26"/>
        <v>1</v>
      </c>
      <c r="L60" s="415">
        <f t="shared" si="26"/>
        <v>1</v>
      </c>
      <c r="M60" s="415">
        <f t="shared" si="26"/>
        <v>1</v>
      </c>
      <c r="N60" s="415">
        <f t="shared" si="26"/>
        <v>1</v>
      </c>
      <c r="O60" s="415">
        <f t="shared" si="26"/>
        <v>1</v>
      </c>
      <c r="P60" s="415">
        <f t="shared" si="26"/>
        <v>1</v>
      </c>
      <c r="Q60" s="415">
        <f t="shared" si="26"/>
        <v>1</v>
      </c>
      <c r="R60" s="415">
        <f t="shared" si="26"/>
        <v>1</v>
      </c>
      <c r="S60" s="415">
        <f t="shared" si="26"/>
        <v>1</v>
      </c>
      <c r="T60" s="415">
        <f t="shared" si="26"/>
        <v>1</v>
      </c>
      <c r="U60" s="415">
        <f t="shared" si="26"/>
        <v>1</v>
      </c>
      <c r="V60" s="415">
        <f t="shared" si="26"/>
        <v>1</v>
      </c>
      <c r="W60" s="415">
        <f t="shared" si="26"/>
        <v>1</v>
      </c>
      <c r="X60" s="415">
        <f t="shared" si="26"/>
        <v>1</v>
      </c>
      <c r="Y60" s="415">
        <f t="shared" si="26"/>
        <v>1</v>
      </c>
      <c r="Z60" s="415">
        <f t="shared" si="26"/>
        <v>1</v>
      </c>
      <c r="AA60" s="415">
        <f t="shared" si="26"/>
        <v>1</v>
      </c>
      <c r="AB60" s="415">
        <f t="shared" si="26"/>
        <v>1</v>
      </c>
      <c r="AC60" s="415">
        <f t="shared" si="26"/>
        <v>1</v>
      </c>
      <c r="AD60" s="415">
        <f t="shared" si="26"/>
        <v>1</v>
      </c>
      <c r="AE60" s="415">
        <f t="shared" si="26"/>
        <v>1</v>
      </c>
      <c r="AF60" s="415">
        <f t="shared" si="26"/>
        <v>1</v>
      </c>
      <c r="AG60" s="415">
        <f t="shared" si="26"/>
        <v>1</v>
      </c>
      <c r="AH60" s="415">
        <f t="shared" si="26"/>
        <v>1</v>
      </c>
      <c r="AI60" s="415">
        <f t="shared" si="26"/>
        <v>1</v>
      </c>
      <c r="AJ60" s="415">
        <f t="shared" si="26"/>
        <v>1</v>
      </c>
      <c r="AK60" s="415">
        <f t="shared" si="26"/>
        <v>1</v>
      </c>
      <c r="AL60" s="415">
        <f t="shared" si="26"/>
        <v>1</v>
      </c>
    </row>
    <row r="61" spans="2:38">
      <c r="B61" s="433" t="s">
        <v>675</v>
      </c>
      <c r="C61" s="434" t="s">
        <v>676</v>
      </c>
      <c r="D61" s="426">
        <f t="shared" ref="D61:AL61" si="27">EXP(0.188*$E$5)</f>
        <v>1.2068335153496053</v>
      </c>
      <c r="E61" s="426">
        <f t="shared" si="27"/>
        <v>1.2068335153496053</v>
      </c>
      <c r="F61" s="426">
        <f t="shared" si="27"/>
        <v>1.2068335153496053</v>
      </c>
      <c r="G61" s="426">
        <f t="shared" si="27"/>
        <v>1.2068335153496053</v>
      </c>
      <c r="H61" s="426">
        <f t="shared" si="27"/>
        <v>1.2068335153496053</v>
      </c>
      <c r="I61" s="426">
        <f t="shared" si="27"/>
        <v>1.2068335153496053</v>
      </c>
      <c r="J61" s="426">
        <f t="shared" si="27"/>
        <v>1.2068335153496053</v>
      </c>
      <c r="K61" s="426">
        <f t="shared" si="27"/>
        <v>1.2068335153496053</v>
      </c>
      <c r="L61" s="426">
        <f t="shared" si="27"/>
        <v>1.2068335153496053</v>
      </c>
      <c r="M61" s="426">
        <f t="shared" si="27"/>
        <v>1.2068335153496053</v>
      </c>
      <c r="N61" s="426">
        <f t="shared" si="27"/>
        <v>1.2068335153496053</v>
      </c>
      <c r="O61" s="426">
        <f t="shared" si="27"/>
        <v>1.2068335153496053</v>
      </c>
      <c r="P61" s="426">
        <f t="shared" si="27"/>
        <v>1.2068335153496053</v>
      </c>
      <c r="Q61" s="426">
        <f t="shared" si="27"/>
        <v>1.2068335153496053</v>
      </c>
      <c r="R61" s="426">
        <f t="shared" si="27"/>
        <v>1.2068335153496053</v>
      </c>
      <c r="S61" s="426">
        <f t="shared" si="27"/>
        <v>1.2068335153496053</v>
      </c>
      <c r="T61" s="426">
        <f t="shared" si="27"/>
        <v>1.2068335153496053</v>
      </c>
      <c r="U61" s="426">
        <f t="shared" si="27"/>
        <v>1.2068335153496053</v>
      </c>
      <c r="V61" s="426">
        <f t="shared" si="27"/>
        <v>1.2068335153496053</v>
      </c>
      <c r="W61" s="426">
        <f t="shared" si="27"/>
        <v>1.2068335153496053</v>
      </c>
      <c r="X61" s="426">
        <f t="shared" si="27"/>
        <v>1.2068335153496053</v>
      </c>
      <c r="Y61" s="426">
        <f t="shared" si="27"/>
        <v>1.2068335153496053</v>
      </c>
      <c r="Z61" s="426">
        <f t="shared" si="27"/>
        <v>1.2068335153496053</v>
      </c>
      <c r="AA61" s="426">
        <f t="shared" si="27"/>
        <v>1.2068335153496053</v>
      </c>
      <c r="AB61" s="426">
        <f t="shared" si="27"/>
        <v>1.2068335153496053</v>
      </c>
      <c r="AC61" s="426">
        <f t="shared" si="27"/>
        <v>1.2068335153496053</v>
      </c>
      <c r="AD61" s="426">
        <f t="shared" si="27"/>
        <v>1.2068335153496053</v>
      </c>
      <c r="AE61" s="426">
        <f t="shared" si="27"/>
        <v>1.2068335153496053</v>
      </c>
      <c r="AF61" s="426">
        <f t="shared" si="27"/>
        <v>1.2068335153496053</v>
      </c>
      <c r="AG61" s="426">
        <f t="shared" si="27"/>
        <v>1.2068335153496053</v>
      </c>
      <c r="AH61" s="426">
        <f t="shared" si="27"/>
        <v>1.2068335153496053</v>
      </c>
      <c r="AI61" s="426">
        <f t="shared" si="27"/>
        <v>1.2068335153496053</v>
      </c>
      <c r="AJ61" s="426">
        <f t="shared" si="27"/>
        <v>1.2068335153496053</v>
      </c>
      <c r="AK61" s="426">
        <f t="shared" si="27"/>
        <v>1.2068335153496053</v>
      </c>
      <c r="AL61" s="426">
        <f t="shared" si="27"/>
        <v>1.2068335153496053</v>
      </c>
    </row>
    <row r="62" spans="2:38">
      <c r="B62" s="362"/>
      <c r="C62" s="427" t="s">
        <v>290</v>
      </c>
    </row>
    <row r="63" spans="2:38">
      <c r="B63" s="362" t="s">
        <v>677</v>
      </c>
      <c r="C63" s="406">
        <v>695</v>
      </c>
      <c r="D63" s="435">
        <f t="shared" ref="D63:AL63" si="28">1/(1+$C$63*PRODUCT(D$58:D$61))</f>
        <v>1.0273041196498772E-2</v>
      </c>
      <c r="E63" s="435">
        <f t="shared" si="28"/>
        <v>1.1499890165312419E-2</v>
      </c>
      <c r="F63" s="435">
        <f t="shared" si="28"/>
        <v>1.150816041544467E-2</v>
      </c>
      <c r="G63" s="435">
        <f t="shared" si="28"/>
        <v>1.1516465098310133E-2</v>
      </c>
      <c r="H63" s="435">
        <f t="shared" si="28"/>
        <v>1.1524804173868261E-2</v>
      </c>
      <c r="I63" s="435">
        <f t="shared" si="28"/>
        <v>1.1533177601077849E-2</v>
      </c>
      <c r="J63" s="435">
        <f t="shared" si="28"/>
        <v>1.1541585337910413E-2</v>
      </c>
      <c r="K63" s="435">
        <f t="shared" si="28"/>
        <v>1.1550027341363629E-2</v>
      </c>
      <c r="L63" s="435">
        <f t="shared" si="28"/>
        <v>1.1558503567474917E-2</v>
      </c>
      <c r="M63" s="435">
        <f t="shared" si="28"/>
        <v>1.1567013971335086E-2</v>
      </c>
      <c r="N63" s="435">
        <f t="shared" si="28"/>
        <v>1.1575558507102048E-2</v>
      </c>
      <c r="O63" s="435">
        <f t="shared" si="28"/>
        <v>1.1584137128014673E-2</v>
      </c>
      <c r="P63" s="435">
        <f t="shared" si="28"/>
        <v>1.1592749786406649E-2</v>
      </c>
      <c r="Q63" s="435">
        <f t="shared" si="28"/>
        <v>1.1601396433720454E-2</v>
      </c>
      <c r="R63" s="435">
        <f t="shared" si="28"/>
        <v>1.1610077020521397E-2</v>
      </c>
      <c r="S63" s="435">
        <f t="shared" si="28"/>
        <v>1.1618791496511691E-2</v>
      </c>
      <c r="T63" s="435">
        <f t="shared" si="28"/>
        <v>1.1627539810544599E-2</v>
      </c>
      <c r="U63" s="435">
        <f t="shared" si="28"/>
        <v>1.1636321910638635E-2</v>
      </c>
      <c r="V63" s="435">
        <f t="shared" si="28"/>
        <v>1.1645137743991806E-2</v>
      </c>
      <c r="W63" s="435">
        <f t="shared" si="28"/>
        <v>1.1653987256995886E-2</v>
      </c>
      <c r="X63" s="435">
        <f t="shared" si="28"/>
        <v>1.1662870395250737E-2</v>
      </c>
      <c r="Y63" s="435">
        <f t="shared" si="28"/>
        <v>1.1671787103578669E-2</v>
      </c>
      <c r="Z63" s="435">
        <f t="shared" si="28"/>
        <v>1.1680737326038804E-2</v>
      </c>
      <c r="AA63" s="435">
        <f t="shared" si="28"/>
        <v>1.1689721005941478E-2</v>
      </c>
      <c r="AB63" s="435">
        <f t="shared" si="28"/>
        <v>1.1698738085862666E-2</v>
      </c>
      <c r="AC63" s="435">
        <f t="shared" si="28"/>
        <v>1.17077885076584E-2</v>
      </c>
      <c r="AD63" s="435">
        <f t="shared" si="28"/>
        <v>1.1716872212479216E-2</v>
      </c>
      <c r="AE63" s="435">
        <f t="shared" si="28"/>
        <v>1.1725989140784604E-2</v>
      </c>
      <c r="AF63" s="435">
        <f t="shared" si="28"/>
        <v>1.1735139232357429E-2</v>
      </c>
      <c r="AG63" s="435">
        <f t="shared" si="28"/>
        <v>1.1744322426318392E-2</v>
      </c>
      <c r="AH63" s="435">
        <f t="shared" si="28"/>
        <v>1.1753538661140452E-2</v>
      </c>
      <c r="AI63" s="435">
        <f t="shared" si="28"/>
        <v>1.1762787874663243E-2</v>
      </c>
      <c r="AJ63" s="435">
        <f t="shared" si="28"/>
        <v>1.177207000410747E-2</v>
      </c>
      <c r="AK63" s="435">
        <f t="shared" si="28"/>
        <v>1.1781384986089299E-2</v>
      </c>
      <c r="AL63" s="435">
        <f t="shared" si="28"/>
        <v>1.1790732756634708E-2</v>
      </c>
    </row>
    <row r="65" spans="2:38" ht="13">
      <c r="B65" s="407" t="s">
        <v>678</v>
      </c>
      <c r="C65" s="396" t="s">
        <v>627</v>
      </c>
      <c r="D65" s="397">
        <v>2018</v>
      </c>
      <c r="E65" s="397">
        <v>2020</v>
      </c>
      <c r="F65" s="397">
        <v>2021</v>
      </c>
      <c r="G65" s="397">
        <v>2022</v>
      </c>
      <c r="H65" s="397">
        <v>2023</v>
      </c>
      <c r="I65" s="397">
        <v>2024</v>
      </c>
      <c r="J65" s="397">
        <v>2025</v>
      </c>
      <c r="K65" s="397">
        <v>2026</v>
      </c>
      <c r="L65" s="397">
        <v>2027</v>
      </c>
      <c r="M65" s="397">
        <v>2028</v>
      </c>
      <c r="N65" s="397">
        <v>2029</v>
      </c>
      <c r="O65" s="397">
        <v>2030</v>
      </c>
      <c r="P65" s="397">
        <v>2031</v>
      </c>
      <c r="Q65" s="397">
        <v>2032</v>
      </c>
      <c r="R65" s="397">
        <v>2033</v>
      </c>
      <c r="S65" s="397">
        <v>2034</v>
      </c>
      <c r="T65" s="397">
        <v>2035</v>
      </c>
      <c r="U65" s="397">
        <v>2036</v>
      </c>
      <c r="V65" s="397">
        <v>2037</v>
      </c>
      <c r="W65" s="397">
        <v>2038</v>
      </c>
      <c r="X65" s="397">
        <v>2039</v>
      </c>
      <c r="Y65" s="397">
        <v>2040</v>
      </c>
      <c r="Z65" s="397">
        <v>2041</v>
      </c>
      <c r="AA65" s="397">
        <v>2042</v>
      </c>
      <c r="AB65" s="397">
        <v>2043</v>
      </c>
      <c r="AC65" s="397">
        <v>2044</v>
      </c>
      <c r="AD65" s="397">
        <v>2044</v>
      </c>
      <c r="AE65" s="397">
        <v>2044</v>
      </c>
      <c r="AF65" s="397">
        <v>2044</v>
      </c>
      <c r="AG65" s="397">
        <v>2044</v>
      </c>
      <c r="AH65" s="397">
        <v>2044</v>
      </c>
      <c r="AI65" s="397">
        <v>2044</v>
      </c>
      <c r="AJ65" s="397">
        <v>2044</v>
      </c>
      <c r="AK65" s="397">
        <v>2044</v>
      </c>
      <c r="AL65" s="397">
        <v>2044</v>
      </c>
    </row>
    <row r="66" spans="2:38">
      <c r="B66" s="358" t="s">
        <v>679</v>
      </c>
      <c r="C66" s="436" t="s">
        <v>680</v>
      </c>
      <c r="D66" s="437">
        <f>D$63</f>
        <v>1.0273041196498772E-2</v>
      </c>
      <c r="E66" s="415">
        <f>E$63</f>
        <v>1.1499890165312419E-2</v>
      </c>
      <c r="F66" s="415">
        <f t="shared" ref="F66:AL66" si="29">F$63</f>
        <v>1.150816041544467E-2</v>
      </c>
      <c r="G66" s="415">
        <f t="shared" si="29"/>
        <v>1.1516465098310133E-2</v>
      </c>
      <c r="H66" s="415">
        <f t="shared" si="29"/>
        <v>1.1524804173868261E-2</v>
      </c>
      <c r="I66" s="415">
        <f t="shared" si="29"/>
        <v>1.1533177601077849E-2</v>
      </c>
      <c r="J66" s="415">
        <f t="shared" si="29"/>
        <v>1.1541585337910413E-2</v>
      </c>
      <c r="K66" s="415">
        <f t="shared" si="29"/>
        <v>1.1550027341363629E-2</v>
      </c>
      <c r="L66" s="415">
        <f t="shared" si="29"/>
        <v>1.1558503567474917E-2</v>
      </c>
      <c r="M66" s="415">
        <f t="shared" si="29"/>
        <v>1.1567013971335086E-2</v>
      </c>
      <c r="N66" s="415">
        <f t="shared" si="29"/>
        <v>1.1575558507102048E-2</v>
      </c>
      <c r="O66" s="415">
        <f t="shared" si="29"/>
        <v>1.1584137128014673E-2</v>
      </c>
      <c r="P66" s="415">
        <f t="shared" si="29"/>
        <v>1.1592749786406649E-2</v>
      </c>
      <c r="Q66" s="415">
        <f t="shared" si="29"/>
        <v>1.1601396433720454E-2</v>
      </c>
      <c r="R66" s="415">
        <f t="shared" si="29"/>
        <v>1.1610077020521397E-2</v>
      </c>
      <c r="S66" s="415">
        <f t="shared" si="29"/>
        <v>1.1618791496511691E-2</v>
      </c>
      <c r="T66" s="415">
        <f t="shared" si="29"/>
        <v>1.1627539810544599E-2</v>
      </c>
      <c r="U66" s="415">
        <f t="shared" si="29"/>
        <v>1.1636321910638635E-2</v>
      </c>
      <c r="V66" s="415">
        <f t="shared" si="29"/>
        <v>1.1645137743991806E-2</v>
      </c>
      <c r="W66" s="415">
        <f t="shared" si="29"/>
        <v>1.1653987256995886E-2</v>
      </c>
      <c r="X66" s="415">
        <f t="shared" si="29"/>
        <v>1.1662870395250737E-2</v>
      </c>
      <c r="Y66" s="415">
        <f t="shared" si="29"/>
        <v>1.1671787103578669E-2</v>
      </c>
      <c r="Z66" s="415">
        <f t="shared" si="29"/>
        <v>1.1680737326038804E-2</v>
      </c>
      <c r="AA66" s="415">
        <f t="shared" si="29"/>
        <v>1.1689721005941478E-2</v>
      </c>
      <c r="AB66" s="415">
        <f t="shared" si="29"/>
        <v>1.1698738085862666E-2</v>
      </c>
      <c r="AC66" s="415">
        <f t="shared" si="29"/>
        <v>1.17077885076584E-2</v>
      </c>
      <c r="AD66" s="415">
        <f t="shared" si="29"/>
        <v>1.1716872212479216E-2</v>
      </c>
      <c r="AE66" s="415">
        <f t="shared" si="29"/>
        <v>1.1725989140784604E-2</v>
      </c>
      <c r="AF66" s="415">
        <f t="shared" si="29"/>
        <v>1.1735139232357429E-2</v>
      </c>
      <c r="AG66" s="415">
        <f t="shared" si="29"/>
        <v>1.1744322426318392E-2</v>
      </c>
      <c r="AH66" s="415">
        <f t="shared" si="29"/>
        <v>1.1753538661140452E-2</v>
      </c>
      <c r="AI66" s="415">
        <f t="shared" si="29"/>
        <v>1.1762787874663243E-2</v>
      </c>
      <c r="AJ66" s="415">
        <f t="shared" si="29"/>
        <v>1.177207000410747E-2</v>
      </c>
      <c r="AK66" s="415">
        <f t="shared" si="29"/>
        <v>1.1781384986089299E-2</v>
      </c>
      <c r="AL66" s="415">
        <f t="shared" si="29"/>
        <v>1.1790732756634708E-2</v>
      </c>
    </row>
    <row r="67" spans="2:38">
      <c r="B67" s="358" t="s">
        <v>681</v>
      </c>
      <c r="C67" s="419" t="s">
        <v>682</v>
      </c>
      <c r="D67" s="414">
        <f>1-D66</f>
        <v>0.98972695880350126</v>
      </c>
      <c r="E67" s="414">
        <f t="shared" ref="E67:AK67" si="30">1-E66</f>
        <v>0.98850010983468761</v>
      </c>
      <c r="F67" s="414">
        <f t="shared" si="30"/>
        <v>0.98849183958455533</v>
      </c>
      <c r="G67" s="414">
        <f t="shared" si="30"/>
        <v>0.98848353490168983</v>
      </c>
      <c r="H67" s="414">
        <f t="shared" si="30"/>
        <v>0.98847519582613175</v>
      </c>
      <c r="I67" s="414">
        <f t="shared" si="30"/>
        <v>0.98846682239892214</v>
      </c>
      <c r="J67" s="414">
        <f t="shared" si="30"/>
        <v>0.98845841466208961</v>
      </c>
      <c r="K67" s="414">
        <f t="shared" si="30"/>
        <v>0.98844997265863632</v>
      </c>
      <c r="L67" s="414">
        <f t="shared" si="30"/>
        <v>0.9884414964325251</v>
      </c>
      <c r="M67" s="414">
        <f t="shared" si="30"/>
        <v>0.98843298602866492</v>
      </c>
      <c r="N67" s="414">
        <f t="shared" si="30"/>
        <v>0.98842444149289799</v>
      </c>
      <c r="O67" s="414">
        <f t="shared" si="30"/>
        <v>0.98841586287198535</v>
      </c>
      <c r="P67" s="414">
        <f t="shared" si="30"/>
        <v>0.98840725021359332</v>
      </c>
      <c r="Q67" s="414">
        <f t="shared" si="30"/>
        <v>0.98839860356627951</v>
      </c>
      <c r="R67" s="414">
        <f t="shared" si="30"/>
        <v>0.98838992297947859</v>
      </c>
      <c r="S67" s="414">
        <f t="shared" si="30"/>
        <v>0.98838120850348832</v>
      </c>
      <c r="T67" s="414">
        <f t="shared" si="30"/>
        <v>0.98837246018945535</v>
      </c>
      <c r="U67" s="414">
        <f t="shared" si="30"/>
        <v>0.98836367808936132</v>
      </c>
      <c r="V67" s="414">
        <f t="shared" si="30"/>
        <v>0.98835486225600822</v>
      </c>
      <c r="W67" s="414">
        <f t="shared" si="30"/>
        <v>0.98834601274300415</v>
      </c>
      <c r="X67" s="414">
        <f t="shared" si="30"/>
        <v>0.98833712960474929</v>
      </c>
      <c r="Y67" s="414">
        <f t="shared" si="30"/>
        <v>0.98832821289642137</v>
      </c>
      <c r="Z67" s="414">
        <f t="shared" si="30"/>
        <v>0.9883192626739612</v>
      </c>
      <c r="AA67" s="414">
        <f t="shared" si="30"/>
        <v>0.98831027899405854</v>
      </c>
      <c r="AB67" s="414">
        <f t="shared" si="30"/>
        <v>0.98830126191413736</v>
      </c>
      <c r="AC67" s="414">
        <f t="shared" si="30"/>
        <v>0.98829221149234159</v>
      </c>
      <c r="AD67" s="414">
        <f t="shared" si="30"/>
        <v>0.98828312778752081</v>
      </c>
      <c r="AE67" s="414">
        <f t="shared" si="30"/>
        <v>0.9882740108592154</v>
      </c>
      <c r="AF67" s="414">
        <f t="shared" si="30"/>
        <v>0.98826486076764253</v>
      </c>
      <c r="AG67" s="414">
        <f t="shared" si="30"/>
        <v>0.9882556775736816</v>
      </c>
      <c r="AH67" s="414">
        <f t="shared" si="30"/>
        <v>0.98824646133885952</v>
      </c>
      <c r="AI67" s="414">
        <f t="shared" si="30"/>
        <v>0.98823721212533677</v>
      </c>
      <c r="AJ67" s="414">
        <f t="shared" si="30"/>
        <v>0.98822792999589248</v>
      </c>
      <c r="AK67" s="414">
        <f t="shared" si="30"/>
        <v>0.98821861501391073</v>
      </c>
      <c r="AL67" s="414">
        <f t="shared" ref="AL67" si="31">1-AL66</f>
        <v>0.98820926724336533</v>
      </c>
    </row>
    <row r="68" spans="2:38">
      <c r="B68" s="358" t="s">
        <v>671</v>
      </c>
      <c r="C68" s="419" t="s">
        <v>662</v>
      </c>
      <c r="D68" s="414">
        <f>D$19^(-0.2334)</f>
        <v>0.62482831374223813</v>
      </c>
      <c r="E68" s="414">
        <f t="shared" ref="E68:AL68" si="32">E$19^(-0.2334)</f>
        <v>0.62482831374223813</v>
      </c>
      <c r="F68" s="414">
        <f t="shared" si="32"/>
        <v>0.62482831374223813</v>
      </c>
      <c r="G68" s="414">
        <f t="shared" si="32"/>
        <v>0.62482831374223813</v>
      </c>
      <c r="H68" s="414">
        <f t="shared" si="32"/>
        <v>0.62482831374223813</v>
      </c>
      <c r="I68" s="414">
        <f t="shared" si="32"/>
        <v>0.62482831374223813</v>
      </c>
      <c r="J68" s="414">
        <f t="shared" si="32"/>
        <v>0.62482831374223813</v>
      </c>
      <c r="K68" s="414">
        <f t="shared" si="32"/>
        <v>0.62482831374223813</v>
      </c>
      <c r="L68" s="414">
        <f t="shared" si="32"/>
        <v>0.62482831374223813</v>
      </c>
      <c r="M68" s="414">
        <f t="shared" si="32"/>
        <v>0.62482831374223813</v>
      </c>
      <c r="N68" s="414">
        <f t="shared" si="32"/>
        <v>0.62482831374223813</v>
      </c>
      <c r="O68" s="414">
        <f t="shared" si="32"/>
        <v>0.62482831374223813</v>
      </c>
      <c r="P68" s="414">
        <f t="shared" si="32"/>
        <v>0.62482831374223813</v>
      </c>
      <c r="Q68" s="414">
        <f t="shared" si="32"/>
        <v>0.62482831374223813</v>
      </c>
      <c r="R68" s="414">
        <f t="shared" si="32"/>
        <v>0.62482831374223813</v>
      </c>
      <c r="S68" s="414">
        <f t="shared" si="32"/>
        <v>0.62482831374223813</v>
      </c>
      <c r="T68" s="414">
        <f t="shared" si="32"/>
        <v>0.62482831374223813</v>
      </c>
      <c r="U68" s="414">
        <f t="shared" si="32"/>
        <v>0.62482831374223813</v>
      </c>
      <c r="V68" s="414">
        <f t="shared" si="32"/>
        <v>0.62482831374223813</v>
      </c>
      <c r="W68" s="414">
        <f t="shared" si="32"/>
        <v>0.62482831374223813</v>
      </c>
      <c r="X68" s="414">
        <f t="shared" si="32"/>
        <v>0.62482831374223813</v>
      </c>
      <c r="Y68" s="414">
        <f t="shared" si="32"/>
        <v>0.62482831374223813</v>
      </c>
      <c r="Z68" s="414">
        <f t="shared" si="32"/>
        <v>0.62482831374223813</v>
      </c>
      <c r="AA68" s="414">
        <f t="shared" si="32"/>
        <v>0.62482831374223813</v>
      </c>
      <c r="AB68" s="414">
        <f t="shared" si="32"/>
        <v>0.62482831374223813</v>
      </c>
      <c r="AC68" s="414">
        <f t="shared" si="32"/>
        <v>0.62482831374223813</v>
      </c>
      <c r="AD68" s="414">
        <f t="shared" si="32"/>
        <v>0.62482831374223813</v>
      </c>
      <c r="AE68" s="414">
        <f t="shared" si="32"/>
        <v>0.62482831374223813</v>
      </c>
      <c r="AF68" s="414">
        <f t="shared" si="32"/>
        <v>0.62482831374223813</v>
      </c>
      <c r="AG68" s="414">
        <f t="shared" si="32"/>
        <v>0.62482831374223813</v>
      </c>
      <c r="AH68" s="414">
        <f t="shared" si="32"/>
        <v>0.62482831374223813</v>
      </c>
      <c r="AI68" s="414">
        <f t="shared" si="32"/>
        <v>0.62482831374223813</v>
      </c>
      <c r="AJ68" s="414">
        <f t="shared" si="32"/>
        <v>0.62482831374223813</v>
      </c>
      <c r="AK68" s="414">
        <f t="shared" si="32"/>
        <v>0.62482831374223813</v>
      </c>
      <c r="AL68" s="414">
        <f t="shared" si="32"/>
        <v>0.62482831374223813</v>
      </c>
    </row>
    <row r="69" spans="2:38">
      <c r="B69" s="358" t="s">
        <v>683</v>
      </c>
      <c r="C69" s="419" t="s">
        <v>684</v>
      </c>
      <c r="D69" s="414">
        <f t="shared" ref="D69:AL69" si="33">EXP(0.1176*$D$11)</f>
        <v>1.4230465056696404</v>
      </c>
      <c r="E69" s="415">
        <f t="shared" si="33"/>
        <v>1.4230465056696404</v>
      </c>
      <c r="F69" s="415">
        <f t="shared" si="33"/>
        <v>1.4230465056696404</v>
      </c>
      <c r="G69" s="415">
        <f t="shared" si="33"/>
        <v>1.4230465056696404</v>
      </c>
      <c r="H69" s="415">
        <f t="shared" si="33"/>
        <v>1.4230465056696404</v>
      </c>
      <c r="I69" s="415">
        <f t="shared" si="33"/>
        <v>1.4230465056696404</v>
      </c>
      <c r="J69" s="415">
        <f t="shared" si="33"/>
        <v>1.4230465056696404</v>
      </c>
      <c r="K69" s="415">
        <f t="shared" si="33"/>
        <v>1.4230465056696404</v>
      </c>
      <c r="L69" s="415">
        <f t="shared" si="33"/>
        <v>1.4230465056696404</v>
      </c>
      <c r="M69" s="415">
        <f t="shared" si="33"/>
        <v>1.4230465056696404</v>
      </c>
      <c r="N69" s="415">
        <f t="shared" si="33"/>
        <v>1.4230465056696404</v>
      </c>
      <c r="O69" s="415">
        <f t="shared" si="33"/>
        <v>1.4230465056696404</v>
      </c>
      <c r="P69" s="415">
        <f t="shared" si="33"/>
        <v>1.4230465056696404</v>
      </c>
      <c r="Q69" s="415">
        <f t="shared" si="33"/>
        <v>1.4230465056696404</v>
      </c>
      <c r="R69" s="415">
        <f t="shared" si="33"/>
        <v>1.4230465056696404</v>
      </c>
      <c r="S69" s="415">
        <f t="shared" si="33"/>
        <v>1.4230465056696404</v>
      </c>
      <c r="T69" s="415">
        <f t="shared" si="33"/>
        <v>1.4230465056696404</v>
      </c>
      <c r="U69" s="415">
        <f t="shared" si="33"/>
        <v>1.4230465056696404</v>
      </c>
      <c r="V69" s="415">
        <f t="shared" si="33"/>
        <v>1.4230465056696404</v>
      </c>
      <c r="W69" s="415">
        <f t="shared" si="33"/>
        <v>1.4230465056696404</v>
      </c>
      <c r="X69" s="415">
        <f t="shared" si="33"/>
        <v>1.4230465056696404</v>
      </c>
      <c r="Y69" s="415">
        <f t="shared" si="33"/>
        <v>1.4230465056696404</v>
      </c>
      <c r="Z69" s="415">
        <f t="shared" si="33"/>
        <v>1.4230465056696404</v>
      </c>
      <c r="AA69" s="415">
        <f t="shared" si="33"/>
        <v>1.4230465056696404</v>
      </c>
      <c r="AB69" s="415">
        <f t="shared" si="33"/>
        <v>1.4230465056696404</v>
      </c>
      <c r="AC69" s="415">
        <f t="shared" si="33"/>
        <v>1.4230465056696404</v>
      </c>
      <c r="AD69" s="415">
        <f t="shared" si="33"/>
        <v>1.4230465056696404</v>
      </c>
      <c r="AE69" s="415">
        <f t="shared" si="33"/>
        <v>1.4230465056696404</v>
      </c>
      <c r="AF69" s="415">
        <f t="shared" si="33"/>
        <v>1.4230465056696404</v>
      </c>
      <c r="AG69" s="415">
        <f t="shared" si="33"/>
        <v>1.4230465056696404</v>
      </c>
      <c r="AH69" s="415">
        <f t="shared" si="33"/>
        <v>1.4230465056696404</v>
      </c>
      <c r="AI69" s="415">
        <f t="shared" si="33"/>
        <v>1.4230465056696404</v>
      </c>
      <c r="AJ69" s="415">
        <f t="shared" si="33"/>
        <v>1.4230465056696404</v>
      </c>
      <c r="AK69" s="415">
        <f t="shared" si="33"/>
        <v>1.4230465056696404</v>
      </c>
      <c r="AL69" s="415">
        <f t="shared" si="33"/>
        <v>1.4230465056696404</v>
      </c>
    </row>
    <row r="70" spans="2:38">
      <c r="B70" s="433" t="s">
        <v>675</v>
      </c>
      <c r="C70" s="434" t="s">
        <v>676</v>
      </c>
      <c r="D70" s="426">
        <f t="shared" ref="D70:AL70" si="34">EXP(0.1844*$E$5)</f>
        <v>1.2024967255996286</v>
      </c>
      <c r="E70" s="426">
        <f t="shared" si="34"/>
        <v>1.2024967255996286</v>
      </c>
      <c r="F70" s="426">
        <f t="shared" si="34"/>
        <v>1.2024967255996286</v>
      </c>
      <c r="G70" s="426">
        <f t="shared" si="34"/>
        <v>1.2024967255996286</v>
      </c>
      <c r="H70" s="426">
        <f t="shared" si="34"/>
        <v>1.2024967255996286</v>
      </c>
      <c r="I70" s="426">
        <f t="shared" si="34"/>
        <v>1.2024967255996286</v>
      </c>
      <c r="J70" s="426">
        <f t="shared" si="34"/>
        <v>1.2024967255996286</v>
      </c>
      <c r="K70" s="426">
        <f t="shared" si="34"/>
        <v>1.2024967255996286</v>
      </c>
      <c r="L70" s="426">
        <f t="shared" si="34"/>
        <v>1.2024967255996286</v>
      </c>
      <c r="M70" s="426">
        <f t="shared" si="34"/>
        <v>1.2024967255996286</v>
      </c>
      <c r="N70" s="426">
        <f t="shared" si="34"/>
        <v>1.2024967255996286</v>
      </c>
      <c r="O70" s="426">
        <f t="shared" si="34"/>
        <v>1.2024967255996286</v>
      </c>
      <c r="P70" s="426">
        <f t="shared" si="34"/>
        <v>1.2024967255996286</v>
      </c>
      <c r="Q70" s="426">
        <f t="shared" si="34"/>
        <v>1.2024967255996286</v>
      </c>
      <c r="R70" s="426">
        <f t="shared" si="34"/>
        <v>1.2024967255996286</v>
      </c>
      <c r="S70" s="426">
        <f t="shared" si="34"/>
        <v>1.2024967255996286</v>
      </c>
      <c r="T70" s="426">
        <f t="shared" si="34"/>
        <v>1.2024967255996286</v>
      </c>
      <c r="U70" s="426">
        <f t="shared" si="34"/>
        <v>1.2024967255996286</v>
      </c>
      <c r="V70" s="426">
        <f t="shared" si="34"/>
        <v>1.2024967255996286</v>
      </c>
      <c r="W70" s="426">
        <f t="shared" si="34"/>
        <v>1.2024967255996286</v>
      </c>
      <c r="X70" s="426">
        <f t="shared" si="34"/>
        <v>1.2024967255996286</v>
      </c>
      <c r="Y70" s="426">
        <f t="shared" si="34"/>
        <v>1.2024967255996286</v>
      </c>
      <c r="Z70" s="426">
        <f t="shared" si="34"/>
        <v>1.2024967255996286</v>
      </c>
      <c r="AA70" s="426">
        <f t="shared" si="34"/>
        <v>1.2024967255996286</v>
      </c>
      <c r="AB70" s="426">
        <f t="shared" si="34"/>
        <v>1.2024967255996286</v>
      </c>
      <c r="AC70" s="426">
        <f t="shared" si="34"/>
        <v>1.2024967255996286</v>
      </c>
      <c r="AD70" s="426">
        <f t="shared" si="34"/>
        <v>1.2024967255996286</v>
      </c>
      <c r="AE70" s="426">
        <f t="shared" si="34"/>
        <v>1.2024967255996286</v>
      </c>
      <c r="AF70" s="426">
        <f t="shared" si="34"/>
        <v>1.2024967255996286</v>
      </c>
      <c r="AG70" s="426">
        <f t="shared" si="34"/>
        <v>1.2024967255996286</v>
      </c>
      <c r="AH70" s="426">
        <f t="shared" si="34"/>
        <v>1.2024967255996286</v>
      </c>
      <c r="AI70" s="426">
        <f t="shared" si="34"/>
        <v>1.2024967255996286</v>
      </c>
      <c r="AJ70" s="426">
        <f t="shared" si="34"/>
        <v>1.2024967255996286</v>
      </c>
      <c r="AK70" s="426">
        <f t="shared" si="34"/>
        <v>1.2024967255996286</v>
      </c>
      <c r="AL70" s="426">
        <f t="shared" si="34"/>
        <v>1.2024967255996286</v>
      </c>
    </row>
    <row r="71" spans="2:38">
      <c r="B71" s="362"/>
      <c r="C71" s="427" t="s">
        <v>290</v>
      </c>
    </row>
    <row r="72" spans="2:38">
      <c r="B72" s="362" t="s">
        <v>685</v>
      </c>
      <c r="C72" s="438">
        <v>4.28</v>
      </c>
      <c r="D72" s="435">
        <f>D$67/(1+$C$72*PRODUCT(D$68:D$70))</f>
        <v>0.17749046682391356</v>
      </c>
      <c r="E72" s="435">
        <f t="shared" ref="E72:AL72" si="35">E$67/(1+$C$72*PRODUCT(E$68:E$70))</f>
        <v>0.17727045261266039</v>
      </c>
      <c r="F72" s="435">
        <f t="shared" si="35"/>
        <v>0.17726896948588114</v>
      </c>
      <c r="G72" s="435">
        <f t="shared" si="35"/>
        <v>0.17726748018418484</v>
      </c>
      <c r="H72" s="435">
        <f t="shared" si="35"/>
        <v>0.17726598471475208</v>
      </c>
      <c r="I72" s="435">
        <f t="shared" si="35"/>
        <v>0.17726448308494283</v>
      </c>
      <c r="J72" s="435">
        <f t="shared" si="35"/>
        <v>0.17726297530229423</v>
      </c>
      <c r="K72" s="435">
        <f t="shared" si="35"/>
        <v>0.17726146137451795</v>
      </c>
      <c r="L72" s="435">
        <f t="shared" si="35"/>
        <v>0.17725994130949801</v>
      </c>
      <c r="M72" s="435">
        <f t="shared" si="35"/>
        <v>0.177258415115288</v>
      </c>
      <c r="N72" s="435">
        <f t="shared" si="35"/>
        <v>0.17725688280010898</v>
      </c>
      <c r="O72" s="435">
        <f t="shared" si="35"/>
        <v>0.17725534437234672</v>
      </c>
      <c r="P72" s="435">
        <f t="shared" si="35"/>
        <v>0.17725379984054934</v>
      </c>
      <c r="Q72" s="435">
        <f t="shared" si="35"/>
        <v>0.17725224921342481</v>
      </c>
      <c r="R72" s="435">
        <f t="shared" si="35"/>
        <v>0.17725069249983841</v>
      </c>
      <c r="S72" s="435">
        <f t="shared" si="35"/>
        <v>0.17724912970881015</v>
      </c>
      <c r="T72" s="435">
        <f t="shared" si="35"/>
        <v>0.17724756084951232</v>
      </c>
      <c r="U72" s="435">
        <f t="shared" si="35"/>
        <v>0.17724598593126692</v>
      </c>
      <c r="V72" s="435">
        <f t="shared" si="35"/>
        <v>0.17724440496354307</v>
      </c>
      <c r="W72" s="435">
        <f t="shared" si="35"/>
        <v>0.17724281795595448</v>
      </c>
      <c r="X72" s="435">
        <f t="shared" si="35"/>
        <v>0.17724122491825686</v>
      </c>
      <c r="Y72" s="435">
        <f t="shared" si="35"/>
        <v>0.17723962586034542</v>
      </c>
      <c r="Z72" s="435">
        <f t="shared" si="35"/>
        <v>0.17723802079225215</v>
      </c>
      <c r="AA72" s="435">
        <f t="shared" si="35"/>
        <v>0.17723640972414337</v>
      </c>
      <c r="AB72" s="435">
        <f t="shared" si="35"/>
        <v>0.17723479266631711</v>
      </c>
      <c r="AC72" s="435">
        <f t="shared" si="35"/>
        <v>0.17723316962920047</v>
      </c>
      <c r="AD72" s="435">
        <f t="shared" si="35"/>
        <v>0.17723154062334709</v>
      </c>
      <c r="AE72" s="435">
        <f t="shared" si="35"/>
        <v>0.17722990565943453</v>
      </c>
      <c r="AF72" s="435">
        <f t="shared" si="35"/>
        <v>0.1772282647482617</v>
      </c>
      <c r="AG72" s="435">
        <f t="shared" si="35"/>
        <v>0.17722661790074626</v>
      </c>
      <c r="AH72" s="435">
        <f t="shared" si="35"/>
        <v>0.17722496512792202</v>
      </c>
      <c r="AI72" s="435">
        <f t="shared" si="35"/>
        <v>0.1772233064409364</v>
      </c>
      <c r="AJ72" s="435">
        <f t="shared" si="35"/>
        <v>0.17722164185104769</v>
      </c>
      <c r="AK72" s="435">
        <f t="shared" si="35"/>
        <v>0.17721997136962281</v>
      </c>
      <c r="AL72" s="435">
        <f t="shared" si="35"/>
        <v>0.1772182950081343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4" tint="0.39997558519241921"/>
  </sheetPr>
  <dimension ref="A1:AL53"/>
  <sheetViews>
    <sheetView showGridLines="0" workbookViewId="0"/>
  </sheetViews>
  <sheetFormatPr defaultColWidth="8.75" defaultRowHeight="12.5"/>
  <cols>
    <col min="1" max="1" width="0.83203125" style="358" customWidth="1"/>
    <col min="2" max="2" width="39.25" style="358" customWidth="1"/>
    <col min="3" max="3" width="15.5" style="358" customWidth="1"/>
    <col min="4" max="38" width="10.58203125" style="358" customWidth="1"/>
    <col min="39" max="16384" width="8.75" style="358"/>
  </cols>
  <sheetData>
    <row r="1" spans="1:38" ht="25">
      <c r="A1" s="356" t="s">
        <v>1032</v>
      </c>
      <c r="B1" s="748"/>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Demand!F11</f>
        <v>339.25840693051975</v>
      </c>
      <c r="E6" s="383">
        <f>Demand!G11</f>
        <v>349.26452390041231</v>
      </c>
      <c r="F6" s="383">
        <f>Demand!H11</f>
        <v>359.56576215475883</v>
      </c>
      <c r="G6" s="383">
        <f>Demand!I11</f>
        <v>370.17082602639897</v>
      </c>
      <c r="H6" s="383">
        <f>Demand!J11</f>
        <v>381.08867657452242</v>
      </c>
      <c r="I6" s="383">
        <f>Demand!K11</f>
        <v>392.3285391565783</v>
      </c>
      <c r="J6" s="383">
        <f>Demand!L11</f>
        <v>403.89991122351057</v>
      </c>
      <c r="K6" s="383">
        <f>Demand!M11</f>
        <v>415.81257034490807</v>
      </c>
      <c r="L6" s="383">
        <f>Demand!N11</f>
        <v>428.07658247084754</v>
      </c>
      <c r="M6" s="383">
        <f>Demand!O11</f>
        <v>440.70231043741308</v>
      </c>
      <c r="N6" s="383">
        <f>Demand!P11</f>
        <v>453.70042272307779</v>
      </c>
      <c r="O6" s="383">
        <f>Demand!Q11</f>
        <v>467.08190246334703</v>
      </c>
      <c r="P6" s="383">
        <f>Demand!R11</f>
        <v>480.85805673128039</v>
      </c>
      <c r="Q6" s="383">
        <f>Demand!S11</f>
        <v>495.04052609173397</v>
      </c>
      <c r="R6" s="383">
        <f>Demand!T11</f>
        <v>509.64129443739654</v>
      </c>
      <c r="S6" s="383">
        <f>Demand!U11</f>
        <v>524.67269911493008</v>
      </c>
      <c r="T6" s="383">
        <f>Demand!V11</f>
        <v>540.14744134977286</v>
      </c>
      <c r="U6" s="383">
        <f>Demand!W11</f>
        <v>556.07859697841104</v>
      </c>
      <c r="V6" s="383">
        <f>Demand!X11</f>
        <v>572.47962749718977</v>
      </c>
      <c r="W6" s="383">
        <f>Demand!Y11</f>
        <v>589.36439143699829</v>
      </c>
      <c r="X6" s="383">
        <f>Demand!Z11</f>
        <v>606.74715607344228</v>
      </c>
      <c r="Y6" s="383">
        <f>Demand!AA11</f>
        <v>624.6426094823945</v>
      </c>
      <c r="Z6" s="383">
        <f>Demand!AB11</f>
        <v>643.06587295111603</v>
      </c>
      <c r="AA6" s="383">
        <f>Demand!AC11</f>
        <v>662.03251375542993</v>
      </c>
      <c r="AB6" s="383">
        <f>Demand!AD11</f>
        <v>681.55855831374618</v>
      </c>
      <c r="AC6" s="383">
        <f>Demand!AE11</f>
        <v>701.66050572905476</v>
      </c>
      <c r="AD6" s="383">
        <f>Demand!AF11</f>
        <v>722.35534173032374</v>
      </c>
      <c r="AE6" s="383">
        <f>Demand!AG11</f>
        <v>743.66055302508914</v>
      </c>
      <c r="AF6" s="383">
        <f>Demand!AH11</f>
        <v>765.59414207536122</v>
      </c>
      <c r="AG6" s="383">
        <f>Demand!AI11</f>
        <v>788.17464230933024</v>
      </c>
      <c r="AH6" s="383">
        <f>Demand!AJ11</f>
        <v>811.4211337817303</v>
      </c>
      <c r="AI6" s="383">
        <f>Demand!AK11</f>
        <v>835.3532592960895</v>
      </c>
      <c r="AJ6" s="383">
        <f>Demand!AL11</f>
        <v>859.99124100249264</v>
      </c>
      <c r="AK6" s="383">
        <f>Demand!AM11</f>
        <v>885.35589748487791</v>
      </c>
      <c r="AL6" s="383">
        <f>Demand!AN11</f>
        <v>911.46866135231005</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Demand!F29</f>
        <v>2.021212882214602</v>
      </c>
      <c r="E10" s="383">
        <f>Demand!G29</f>
        <v>2.0426507576151294</v>
      </c>
      <c r="F10" s="383">
        <f>Demand!H29</f>
        <v>2.064316012578558</v>
      </c>
      <c r="G10" s="383">
        <f>Demand!I29</f>
        <v>2.0862110587928311</v>
      </c>
      <c r="H10" s="383">
        <f>Demand!J29</f>
        <v>2.1083383335253174</v>
      </c>
      <c r="I10" s="383">
        <f>Demand!K29</f>
        <v>2.1307002998941189</v>
      </c>
      <c r="J10" s="383">
        <f>Demand!L29</f>
        <v>2.1532994471422544</v>
      </c>
      <c r="K10" s="383">
        <f>Demand!M29</f>
        <v>2.1761382909147526</v>
      </c>
      <c r="L10" s="383">
        <f>Demand!N29</f>
        <v>2.1992193735386825</v>
      </c>
      <c r="M10" s="383">
        <f>Demand!O29</f>
        <v>2.2225452643061563</v>
      </c>
      <c r="N10" s="383">
        <f>Demand!P29</f>
        <v>2.2461185597603301</v>
      </c>
      <c r="O10" s="383">
        <f>Demand!Q29</f>
        <v>2.2699418839844441</v>
      </c>
      <c r="P10" s="383">
        <f>Demand!R29</f>
        <v>2.2940178888939209</v>
      </c>
      <c r="Q10" s="383">
        <f>Demand!S29</f>
        <v>2.3183492545315696</v>
      </c>
      <c r="R10" s="383">
        <f>Demand!T29</f>
        <v>2.3429386893659134</v>
      </c>
      <c r="S10" s="383">
        <f>Demand!U29</f>
        <v>2.3677889305926905</v>
      </c>
      <c r="T10" s="383">
        <f>Demand!V29</f>
        <v>2.392902744439541</v>
      </c>
      <c r="U10" s="383">
        <f>Demand!W29</f>
        <v>2.4182829264739381</v>
      </c>
      <c r="V10" s="383">
        <f>Demand!X29</f>
        <v>2.4439323019143755</v>
      </c>
      <c r="W10" s="383">
        <f>Demand!Y29</f>
        <v>2.4698537259448612</v>
      </c>
      <c r="X10" s="383">
        <f>Demand!Z29</f>
        <v>2.4960500840327433</v>
      </c>
      <c r="Y10" s="383">
        <f>Demand!AA29</f>
        <v>2.5225242922499103</v>
      </c>
      <c r="Z10" s="383">
        <f>Demand!AB29</f>
        <v>2.549279297597395</v>
      </c>
      <c r="AA10" s="383">
        <f>Demand!AC29</f>
        <v>2.5763180783334239</v>
      </c>
      <c r="AB10" s="383">
        <f>Demand!AD29</f>
        <v>2.6036436443049418</v>
      </c>
      <c r="AC10" s="383">
        <f>Demand!AE29</f>
        <v>2.631259037282661</v>
      </c>
      <c r="AD10" s="383">
        <f>Demand!AF29</f>
        <v>2.6591673312996531</v>
      </c>
      <c r="AE10" s="383">
        <f>Demand!AG29</f>
        <v>2.6873716329935418</v>
      </c>
      <c r="AF10" s="383">
        <f>Demand!AH29</f>
        <v>2.7158750819523192</v>
      </c>
      <c r="AG10" s="383">
        <f>Demand!AI29</f>
        <v>2.744680851063833</v>
      </c>
      <c r="AH10" s="383">
        <f>Demand!AJ29</f>
        <v>2.7737921468689781</v>
      </c>
      <c r="AI10" s="383">
        <f>Demand!AK29</f>
        <v>2.8032122099186383</v>
      </c>
      <c r="AJ10" s="383">
        <f>Demand!AL29</f>
        <v>2.8329443151344074</v>
      </c>
      <c r="AK10" s="383">
        <f>Demand!AM29</f>
        <v>2.8629917721731437</v>
      </c>
      <c r="AL10" s="383">
        <f>Demand!AN29</f>
        <v>2.8933579257953856</v>
      </c>
    </row>
    <row r="11" spans="1:38">
      <c r="B11" s="363" t="s">
        <v>645</v>
      </c>
      <c r="C11" s="358" t="s">
        <v>1054</v>
      </c>
      <c r="D11" s="383">
        <f>Demand!F30</f>
        <v>1.010606441107301</v>
      </c>
      <c r="E11" s="383">
        <f>Demand!G30</f>
        <v>1.0213253788075647</v>
      </c>
      <c r="F11" s="383">
        <f>Demand!H30</f>
        <v>1.032158006289279</v>
      </c>
      <c r="G11" s="383">
        <f>Demand!I30</f>
        <v>1.0431055293964155</v>
      </c>
      <c r="H11" s="383">
        <f>Demand!J30</f>
        <v>1.0541691667626587</v>
      </c>
      <c r="I11" s="383">
        <f>Demand!K30</f>
        <v>1.0653501499470595</v>
      </c>
      <c r="J11" s="383">
        <f>Demand!L30</f>
        <v>1.0766497235711272</v>
      </c>
      <c r="K11" s="383">
        <f>Demand!M30</f>
        <v>1.0880691454573763</v>
      </c>
      <c r="L11" s="383">
        <f>Demand!N30</f>
        <v>1.0996096867693412</v>
      </c>
      <c r="M11" s="383">
        <f>Demand!O30</f>
        <v>1.1112726321530781</v>
      </c>
      <c r="N11" s="383">
        <f>Demand!P30</f>
        <v>1.1230592798801651</v>
      </c>
      <c r="O11" s="383">
        <f>Demand!Q30</f>
        <v>1.134970941992222</v>
      </c>
      <c r="P11" s="383">
        <f>Demand!R30</f>
        <v>1.1470089444469604</v>
      </c>
      <c r="Q11" s="383">
        <f>Demand!S30</f>
        <v>1.1591746272657848</v>
      </c>
      <c r="R11" s="383">
        <f>Demand!T30</f>
        <v>1.1714693446829567</v>
      </c>
      <c r="S11" s="383">
        <f>Demand!U30</f>
        <v>1.1838944652963452</v>
      </c>
      <c r="T11" s="383">
        <f>Demand!V30</f>
        <v>1.1964513722197705</v>
      </c>
      <c r="U11" s="383">
        <f>Demand!W30</f>
        <v>1.209141463236969</v>
      </c>
      <c r="V11" s="383">
        <f>Demand!X30</f>
        <v>1.2219661509571877</v>
      </c>
      <c r="W11" s="383">
        <f>Demand!Y30</f>
        <v>1.2349268629724306</v>
      </c>
      <c r="X11" s="383">
        <f>Demand!Z30</f>
        <v>1.2480250420163717</v>
      </c>
      <c r="Y11" s="383">
        <f>Demand!AA30</f>
        <v>1.2612621461249551</v>
      </c>
      <c r="Z11" s="383">
        <f>Demand!AB30</f>
        <v>1.2746396487986975</v>
      </c>
      <c r="AA11" s="383">
        <f>Demand!AC30</f>
        <v>1.2881590391667119</v>
      </c>
      <c r="AB11" s="383">
        <f>Demand!AD30</f>
        <v>1.3018218221524709</v>
      </c>
      <c r="AC11" s="383">
        <f>Demand!AE30</f>
        <v>1.3156295186413305</v>
      </c>
      <c r="AD11" s="383">
        <f>Demand!AF30</f>
        <v>1.3295836656498266</v>
      </c>
      <c r="AE11" s="383">
        <f>Demand!AG30</f>
        <v>1.3436858164967709</v>
      </c>
      <c r="AF11" s="383">
        <f>Demand!AH30</f>
        <v>1.3579375409761596</v>
      </c>
      <c r="AG11" s="383">
        <f>Demand!AI30</f>
        <v>1.3723404255319165</v>
      </c>
      <c r="AH11" s="383">
        <f>Demand!AJ30</f>
        <v>1.3868960734344891</v>
      </c>
      <c r="AI11" s="383">
        <f>Demand!AK30</f>
        <v>1.4016061049593191</v>
      </c>
      <c r="AJ11" s="383">
        <f>Demand!AL30</f>
        <v>1.4164721575672037</v>
      </c>
      <c r="AK11" s="383">
        <f>Demand!AM30</f>
        <v>1.4314958860865719</v>
      </c>
      <c r="AL11" s="383">
        <f>Demand!AN30</f>
        <v>1.4466789628976928</v>
      </c>
    </row>
    <row r="13" spans="1:38" ht="13">
      <c r="B13" s="502" t="s">
        <v>1059</v>
      </c>
      <c r="C13" s="497">
        <f>IF('Crossing Inputs'!$C$11&gt;0, 'Crossing Inputs'!$C$20/Feet.Per.Mile/'Crossing Inputs'!$G$33*60+IF('Crossing Inputs'!$G$27="Passive",0,'Crossing Inputs'!$C$21),0)</f>
        <v>9</v>
      </c>
    </row>
    <row r="14" spans="1:38">
      <c r="B14" s="571" t="s">
        <v>1058</v>
      </c>
      <c r="C14" s="572" t="s">
        <v>15</v>
      </c>
      <c r="D14" s="570">
        <f t="shared" ref="D14:AL14" si="2">(D$10*$C$13)/Minutes.Per.Day</f>
        <v>1.2632580513841262E-2</v>
      </c>
      <c r="E14" s="570">
        <f t="shared" si="2"/>
        <v>1.2766567235094558E-2</v>
      </c>
      <c r="F14" s="570">
        <f t="shared" si="2"/>
        <v>1.2901975078615988E-2</v>
      </c>
      <c r="G14" s="570">
        <f t="shared" si="2"/>
        <v>1.3038819117455193E-2</v>
      </c>
      <c r="H14" s="570">
        <f t="shared" si="2"/>
        <v>1.3177114584533235E-2</v>
      </c>
      <c r="I14" s="570">
        <f t="shared" si="2"/>
        <v>1.3316876874338244E-2</v>
      </c>
      <c r="J14" s="570">
        <f t="shared" si="2"/>
        <v>1.3458121544639089E-2</v>
      </c>
      <c r="K14" s="570">
        <f t="shared" si="2"/>
        <v>1.3600864318217205E-2</v>
      </c>
      <c r="L14" s="570">
        <f t="shared" si="2"/>
        <v>1.3745121084616766E-2</v>
      </c>
      <c r="M14" s="570">
        <f t="shared" si="2"/>
        <v>1.3890907901913477E-2</v>
      </c>
      <c r="N14" s="570">
        <f t="shared" si="2"/>
        <v>1.4038240998502063E-2</v>
      </c>
      <c r="O14" s="570">
        <f t="shared" si="2"/>
        <v>1.4187136774902775E-2</v>
      </c>
      <c r="P14" s="570">
        <f t="shared" si="2"/>
        <v>1.4337611805587007E-2</v>
      </c>
      <c r="Q14" s="570">
        <f t="shared" si="2"/>
        <v>1.448968284082231E-2</v>
      </c>
      <c r="R14" s="570">
        <f t="shared" si="2"/>
        <v>1.4643366808536958E-2</v>
      </c>
      <c r="S14" s="570">
        <f t="shared" si="2"/>
        <v>1.4798680816204316E-2</v>
      </c>
      <c r="T14" s="570">
        <f t="shared" si="2"/>
        <v>1.4955642152747133E-2</v>
      </c>
      <c r="U14" s="570">
        <f t="shared" si="2"/>
        <v>1.5114268290462113E-2</v>
      </c>
      <c r="V14" s="570">
        <f t="shared" si="2"/>
        <v>1.5274576886964847E-2</v>
      </c>
      <c r="W14" s="570">
        <f t="shared" si="2"/>
        <v>1.5436585787155383E-2</v>
      </c>
      <c r="X14" s="570">
        <f t="shared" si="2"/>
        <v>1.5600313025204645E-2</v>
      </c>
      <c r="Y14" s="570">
        <f t="shared" si="2"/>
        <v>1.5765776826561939E-2</v>
      </c>
      <c r="Z14" s="570">
        <f t="shared" si="2"/>
        <v>1.5932995609983718E-2</v>
      </c>
      <c r="AA14" s="570">
        <f t="shared" si="2"/>
        <v>1.6101987989583899E-2</v>
      </c>
      <c r="AB14" s="570">
        <f t="shared" si="2"/>
        <v>1.6272772776905885E-2</v>
      </c>
      <c r="AC14" s="570">
        <f t="shared" si="2"/>
        <v>1.6445368983016632E-2</v>
      </c>
      <c r="AD14" s="570">
        <f t="shared" si="2"/>
        <v>1.6619795820622833E-2</v>
      </c>
      <c r="AE14" s="570">
        <f t="shared" si="2"/>
        <v>1.6796072706209638E-2</v>
      </c>
      <c r="AF14" s="570">
        <f t="shared" si="2"/>
        <v>1.6974219262201995E-2</v>
      </c>
      <c r="AG14" s="570">
        <f t="shared" si="2"/>
        <v>1.7154255319148957E-2</v>
      </c>
      <c r="AH14" s="570">
        <f t="shared" si="2"/>
        <v>1.7336200917931113E-2</v>
      </c>
      <c r="AI14" s="570">
        <f t="shared" si="2"/>
        <v>1.7520076311991487E-2</v>
      </c>
      <c r="AJ14" s="570">
        <f t="shared" si="2"/>
        <v>1.7705901969590047E-2</v>
      </c>
      <c r="AK14" s="570">
        <f t="shared" si="2"/>
        <v>1.7893698576082147E-2</v>
      </c>
      <c r="AL14" s="570">
        <f t="shared" si="2"/>
        <v>1.808348703622116E-2</v>
      </c>
    </row>
    <row r="16" spans="1:38">
      <c r="B16" s="573" t="s">
        <v>1055</v>
      </c>
      <c r="C16" s="574" t="s">
        <v>505</v>
      </c>
      <c r="D16" s="383">
        <f t="shared" ref="D16:AK16" si="3">D6*D14</f>
        <v>4.2857091405473131</v>
      </c>
      <c r="E16" s="383">
        <f t="shared" si="3"/>
        <v>4.4589090272079037</v>
      </c>
      <c r="F16" s="383">
        <f t="shared" si="3"/>
        <v>4.6391085024442624</v>
      </c>
      <c r="G16" s="383">
        <f t="shared" si="3"/>
        <v>4.8265904431171913</v>
      </c>
      <c r="H16" s="383">
        <f t="shared" si="3"/>
        <v>5.0216491580906082</v>
      </c>
      <c r="I16" s="383">
        <f t="shared" si="3"/>
        <v>5.2245908502371439</v>
      </c>
      <c r="J16" s="383">
        <f t="shared" si="3"/>
        <v>5.4357340971149428</v>
      </c>
      <c r="K16" s="383">
        <f t="shared" si="3"/>
        <v>5.655410351070242</v>
      </c>
      <c r="L16" s="383">
        <f t="shared" si="3"/>
        <v>5.8839644595507341</v>
      </c>
      <c r="M16" s="383">
        <f t="shared" si="3"/>
        <v>6.1217552064465872</v>
      </c>
      <c r="N16" s="383">
        <f t="shared" si="3"/>
        <v>6.3691558753088273</v>
      </c>
      <c r="O16" s="383">
        <f t="shared" si="3"/>
        <v>6.6265548353293022</v>
      </c>
      <c r="P16" s="383">
        <f t="shared" si="3"/>
        <v>6.8943561510020324</v>
      </c>
      <c r="Q16" s="383">
        <f t="shared" si="3"/>
        <v>7.1729802164230465</v>
      </c>
      <c r="R16" s="383">
        <f t="shared" si="3"/>
        <v>7.4628644152243835</v>
      </c>
      <c r="S16" s="383">
        <f t="shared" si="3"/>
        <v>7.764463807178255</v>
      </c>
      <c r="T16" s="383">
        <f t="shared" si="3"/>
        <v>8.0782518425491734</v>
      </c>
      <c r="U16" s="383">
        <f t="shared" si="3"/>
        <v>8.404721105315458</v>
      </c>
      <c r="V16" s="383">
        <f t="shared" si="3"/>
        <v>8.7443840864268196</v>
      </c>
      <c r="W16" s="383">
        <f t="shared" si="3"/>
        <v>9.0977739883118502</v>
      </c>
      <c r="X16" s="383">
        <f t="shared" si="3"/>
        <v>9.465445561898397</v>
      </c>
      <c r="Y16" s="383">
        <f t="shared" si="3"/>
        <v>9.847975977460715</v>
      </c>
      <c r="Z16" s="383">
        <f t="shared" si="3"/>
        <v>10.24596573066048</v>
      </c>
      <c r="AA16" s="383">
        <f t="shared" si="3"/>
        <v>10.66003958520397</v>
      </c>
      <c r="AB16" s="383">
        <f t="shared" si="3"/>
        <v>11.09084755359515</v>
      </c>
      <c r="AC16" s="383">
        <f t="shared" si="3"/>
        <v>11.539065917524361</v>
      </c>
      <c r="AD16" s="383">
        <f t="shared" si="3"/>
        <v>12.005398289494213</v>
      </c>
      <c r="AE16" s="383">
        <f t="shared" si="3"/>
        <v>12.490576717349464</v>
      </c>
      <c r="AF16" s="383">
        <f t="shared" si="3"/>
        <v>12.995362833444608</v>
      </c>
      <c r="AG16" s="383">
        <f t="shared" si="3"/>
        <v>13.520549050253155</v>
      </c>
      <c r="AH16" s="383">
        <f t="shared" si="3"/>
        <v>14.066959804295537</v>
      </c>
      <c r="AI16" s="383">
        <f t="shared" si="3"/>
        <v>14.6354528503383</v>
      </c>
      <c r="AJ16" s="383">
        <f t="shared" si="3"/>
        <v>15.226920607896224</v>
      </c>
      <c r="AK16" s="383">
        <f t="shared" si="3"/>
        <v>15.842291562151091</v>
      </c>
      <c r="AL16" s="383">
        <f t="shared" ref="AL16" si="4">AL6*AL14</f>
        <v>16.482531721486353</v>
      </c>
    </row>
    <row r="17" spans="2:38">
      <c r="B17" s="573" t="s">
        <v>1056</v>
      </c>
      <c r="C17" s="574" t="s">
        <v>490</v>
      </c>
      <c r="D17" s="383">
        <f>D16*$C13/2</f>
        <v>19.285691132462908</v>
      </c>
      <c r="E17" s="383">
        <f t="shared" ref="E17:AK17" si="5">E16*$C13/2</f>
        <v>20.065090622435566</v>
      </c>
      <c r="F17" s="383">
        <f t="shared" si="5"/>
        <v>20.875988260999179</v>
      </c>
      <c r="G17" s="383">
        <f t="shared" si="5"/>
        <v>21.71965699402736</v>
      </c>
      <c r="H17" s="383">
        <f t="shared" si="5"/>
        <v>22.597421211407738</v>
      </c>
      <c r="I17" s="383">
        <f t="shared" si="5"/>
        <v>23.510658826067147</v>
      </c>
      <c r="J17" s="383">
        <f t="shared" si="5"/>
        <v>24.460803437017244</v>
      </c>
      <c r="K17" s="383">
        <f t="shared" si="5"/>
        <v>25.44934657981609</v>
      </c>
      <c r="L17" s="383">
        <f t="shared" si="5"/>
        <v>26.477840067978303</v>
      </c>
      <c r="M17" s="383">
        <f t="shared" si="5"/>
        <v>27.547898429009642</v>
      </c>
      <c r="N17" s="383">
        <f t="shared" si="5"/>
        <v>28.661201438889723</v>
      </c>
      <c r="O17" s="383">
        <f t="shared" si="5"/>
        <v>29.81949675898186</v>
      </c>
      <c r="P17" s="383">
        <f t="shared" si="5"/>
        <v>31.024602679509144</v>
      </c>
      <c r="Q17" s="383">
        <f t="shared" si="5"/>
        <v>32.278410973903711</v>
      </c>
      <c r="R17" s="383">
        <f t="shared" si="5"/>
        <v>33.582889868509724</v>
      </c>
      <c r="S17" s="383">
        <f t="shared" si="5"/>
        <v>34.940087132302146</v>
      </c>
      <c r="T17" s="383">
        <f t="shared" si="5"/>
        <v>36.352133291471283</v>
      </c>
      <c r="U17" s="383">
        <f t="shared" si="5"/>
        <v>37.821244973919562</v>
      </c>
      <c r="V17" s="383">
        <f t="shared" si="5"/>
        <v>39.349728388920688</v>
      </c>
      <c r="W17" s="383">
        <f t="shared" si="5"/>
        <v>40.939982947403323</v>
      </c>
      <c r="X17" s="383">
        <f t="shared" si="5"/>
        <v>42.594505028542784</v>
      </c>
      <c r="Y17" s="383">
        <f t="shared" si="5"/>
        <v>44.31589189857322</v>
      </c>
      <c r="Z17" s="383">
        <f t="shared" si="5"/>
        <v>46.106845787972162</v>
      </c>
      <c r="AA17" s="383">
        <f t="shared" si="5"/>
        <v>47.970178133417868</v>
      </c>
      <c r="AB17" s="383">
        <f t="shared" si="5"/>
        <v>49.908813991178178</v>
      </c>
      <c r="AC17" s="383">
        <f t="shared" si="5"/>
        <v>51.925796628859629</v>
      </c>
      <c r="AD17" s="383">
        <f t="shared" si="5"/>
        <v>54.024292302723957</v>
      </c>
      <c r="AE17" s="383">
        <f t="shared" si="5"/>
        <v>56.207595228072591</v>
      </c>
      <c r="AF17" s="383">
        <f t="shared" si="5"/>
        <v>58.479132750500732</v>
      </c>
      <c r="AG17" s="383">
        <f t="shared" si="5"/>
        <v>60.842470726139197</v>
      </c>
      <c r="AH17" s="383">
        <f t="shared" si="5"/>
        <v>63.301319119329918</v>
      </c>
      <c r="AI17" s="383">
        <f t="shared" si="5"/>
        <v>65.859537826522356</v>
      </c>
      <c r="AJ17" s="383">
        <f t="shared" si="5"/>
        <v>68.521142735533004</v>
      </c>
      <c r="AK17" s="383">
        <f t="shared" si="5"/>
        <v>71.29031202967991</v>
      </c>
      <c r="AL17" s="383">
        <f t="shared" ref="AL17" si="6">AL16*$C13/2</f>
        <v>74.171392746688582</v>
      </c>
    </row>
    <row r="18" spans="2:38">
      <c r="B18" s="575" t="s">
        <v>1057</v>
      </c>
      <c r="C18" s="574" t="s">
        <v>443</v>
      </c>
      <c r="D18" s="383">
        <f>D17/Minutes.per.Hour*Days.Per.Year</f>
        <v>117.32128772248269</v>
      </c>
      <c r="E18" s="383">
        <f t="shared" ref="E18:AK18" si="7">E17/Minutes.per.Hour*Days.Per.Year</f>
        <v>122.06263461981636</v>
      </c>
      <c r="F18" s="383">
        <f t="shared" si="7"/>
        <v>126.99559525441167</v>
      </c>
      <c r="G18" s="383">
        <f t="shared" si="7"/>
        <v>132.12791338033313</v>
      </c>
      <c r="H18" s="383">
        <f t="shared" si="7"/>
        <v>137.46764570273041</v>
      </c>
      <c r="I18" s="383">
        <f t="shared" si="7"/>
        <v>143.02317452524181</v>
      </c>
      <c r="J18" s="383">
        <f t="shared" si="7"/>
        <v>148.80322090852155</v>
      </c>
      <c r="K18" s="383">
        <f t="shared" si="7"/>
        <v>154.81685836054788</v>
      </c>
      <c r="L18" s="383">
        <f t="shared" si="7"/>
        <v>161.07352708020133</v>
      </c>
      <c r="M18" s="383">
        <f t="shared" si="7"/>
        <v>167.58304877647532</v>
      </c>
      <c r="N18" s="383">
        <f t="shared" si="7"/>
        <v>174.35564208657914</v>
      </c>
      <c r="O18" s="383">
        <f t="shared" si="7"/>
        <v>181.40193861713965</v>
      </c>
      <c r="P18" s="383">
        <f t="shared" si="7"/>
        <v>188.73299963368063</v>
      </c>
      <c r="Q18" s="383">
        <f t="shared" si="7"/>
        <v>196.36033342458092</v>
      </c>
      <c r="R18" s="383">
        <f t="shared" si="7"/>
        <v>204.29591336676748</v>
      </c>
      <c r="S18" s="383">
        <f t="shared" si="7"/>
        <v>212.55219672150474</v>
      </c>
      <c r="T18" s="383">
        <f t="shared" si="7"/>
        <v>221.14214418978361</v>
      </c>
      <c r="U18" s="383">
        <f t="shared" si="7"/>
        <v>230.07924025801066</v>
      </c>
      <c r="V18" s="383">
        <f t="shared" si="7"/>
        <v>239.37751436593419</v>
      </c>
      <c r="W18" s="383">
        <f t="shared" si="7"/>
        <v>249.05156293003685</v>
      </c>
      <c r="X18" s="383">
        <f t="shared" si="7"/>
        <v>259.1165722569686</v>
      </c>
      <c r="Y18" s="383">
        <f t="shared" si="7"/>
        <v>269.58834238298709</v>
      </c>
      <c r="Z18" s="383">
        <f t="shared" si="7"/>
        <v>280.48331187683067</v>
      </c>
      <c r="AA18" s="383">
        <f t="shared" si="7"/>
        <v>291.81858364495872</v>
      </c>
      <c r="AB18" s="383">
        <f t="shared" si="7"/>
        <v>303.61195177966727</v>
      </c>
      <c r="AC18" s="383">
        <f t="shared" si="7"/>
        <v>315.8819294922294</v>
      </c>
      <c r="AD18" s="383">
        <f t="shared" si="7"/>
        <v>328.64777817490409</v>
      </c>
      <c r="AE18" s="383">
        <f t="shared" si="7"/>
        <v>341.92953763744157</v>
      </c>
      <c r="AF18" s="383">
        <f t="shared" si="7"/>
        <v>355.74805756554611</v>
      </c>
      <c r="AG18" s="383">
        <f t="shared" si="7"/>
        <v>370.12503025068014</v>
      </c>
      <c r="AH18" s="383">
        <f t="shared" si="7"/>
        <v>385.08302464259037</v>
      </c>
      <c r="AI18" s="383">
        <f t="shared" si="7"/>
        <v>400.64552177801102</v>
      </c>
      <c r="AJ18" s="383">
        <f t="shared" si="7"/>
        <v>416.83695164115915</v>
      </c>
      <c r="AK18" s="383">
        <f t="shared" si="7"/>
        <v>433.68273151388615</v>
      </c>
      <c r="AL18" s="383">
        <f t="shared" ref="AL18" si="8">AL17/Minutes.per.Hour*Days.Per.Year</f>
        <v>451.20930587568881</v>
      </c>
    </row>
    <row r="20" spans="2:38">
      <c r="B20" s="575" t="s">
        <v>745</v>
      </c>
      <c r="C20" s="574" t="s">
        <v>443</v>
      </c>
      <c r="D20" s="383">
        <f>D18</f>
        <v>117.32128772248269</v>
      </c>
      <c r="E20" s="383">
        <f t="shared" ref="E20:AK20" si="9">E18</f>
        <v>122.06263461981636</v>
      </c>
      <c r="F20" s="383">
        <f t="shared" si="9"/>
        <v>126.99559525441167</v>
      </c>
      <c r="G20" s="383">
        <f t="shared" si="9"/>
        <v>132.12791338033313</v>
      </c>
      <c r="H20" s="383">
        <f t="shared" si="9"/>
        <v>137.46764570273041</v>
      </c>
      <c r="I20" s="383">
        <f t="shared" si="9"/>
        <v>143.02317452524181</v>
      </c>
      <c r="J20" s="383">
        <f t="shared" si="9"/>
        <v>148.80322090852155</v>
      </c>
      <c r="K20" s="383">
        <f t="shared" si="9"/>
        <v>154.81685836054788</v>
      </c>
      <c r="L20" s="383">
        <f t="shared" si="9"/>
        <v>161.07352708020133</v>
      </c>
      <c r="M20" s="383">
        <f t="shared" si="9"/>
        <v>167.58304877647532</v>
      </c>
      <c r="N20" s="383">
        <f t="shared" si="9"/>
        <v>174.35564208657914</v>
      </c>
      <c r="O20" s="383">
        <f t="shared" si="9"/>
        <v>181.40193861713965</v>
      </c>
      <c r="P20" s="383">
        <f t="shared" si="9"/>
        <v>188.73299963368063</v>
      </c>
      <c r="Q20" s="383">
        <f t="shared" si="9"/>
        <v>196.36033342458092</v>
      </c>
      <c r="R20" s="383">
        <f t="shared" si="9"/>
        <v>204.29591336676748</v>
      </c>
      <c r="S20" s="383">
        <f t="shared" si="9"/>
        <v>212.55219672150474</v>
      </c>
      <c r="T20" s="383">
        <f t="shared" si="9"/>
        <v>221.14214418978361</v>
      </c>
      <c r="U20" s="383">
        <f t="shared" si="9"/>
        <v>230.07924025801066</v>
      </c>
      <c r="V20" s="383">
        <f t="shared" si="9"/>
        <v>239.37751436593419</v>
      </c>
      <c r="W20" s="383">
        <f t="shared" si="9"/>
        <v>249.05156293003685</v>
      </c>
      <c r="X20" s="383">
        <f t="shared" si="9"/>
        <v>259.1165722569686</v>
      </c>
      <c r="Y20" s="383">
        <f t="shared" si="9"/>
        <v>269.58834238298709</v>
      </c>
      <c r="Z20" s="383">
        <f t="shared" si="9"/>
        <v>280.48331187683067</v>
      </c>
      <c r="AA20" s="383">
        <f t="shared" si="9"/>
        <v>291.81858364495872</v>
      </c>
      <c r="AB20" s="383">
        <f t="shared" si="9"/>
        <v>303.61195177966727</v>
      </c>
      <c r="AC20" s="383">
        <f t="shared" si="9"/>
        <v>315.8819294922294</v>
      </c>
      <c r="AD20" s="383">
        <f t="shared" si="9"/>
        <v>328.64777817490409</v>
      </c>
      <c r="AE20" s="383">
        <f t="shared" si="9"/>
        <v>341.92953763744157</v>
      </c>
      <c r="AF20" s="383">
        <f t="shared" si="9"/>
        <v>355.74805756554611</v>
      </c>
      <c r="AG20" s="383">
        <f t="shared" si="9"/>
        <v>370.12503025068014</v>
      </c>
      <c r="AH20" s="383">
        <f t="shared" si="9"/>
        <v>385.08302464259037</v>
      </c>
      <c r="AI20" s="383">
        <f t="shared" si="9"/>
        <v>400.64552177801102</v>
      </c>
      <c r="AJ20" s="383">
        <f t="shared" si="9"/>
        <v>416.83695164115915</v>
      </c>
      <c r="AK20" s="383">
        <f t="shared" si="9"/>
        <v>433.68273151388615</v>
      </c>
      <c r="AL20" s="383">
        <f t="shared" ref="AL20" si="10">AL18</f>
        <v>451.20930587568881</v>
      </c>
    </row>
    <row r="22" spans="2:38" ht="13">
      <c r="B22" s="502" t="s">
        <v>506</v>
      </c>
      <c r="C22" s="542">
        <f>SUMIFS('Crossing Inputs'!$C$41:$H$41,'Crossing Inputs'!$C$23:$H$23,$A$1)</f>
        <v>0.995</v>
      </c>
    </row>
    <row r="23" spans="2:38" ht="13">
      <c r="B23" s="502" t="s">
        <v>507</v>
      </c>
      <c r="C23" s="542">
        <f>SUMIFS('Crossing Inputs'!$C$42:$H$42,'Crossing Inputs'!$C$23:$H$23,$A$1)</f>
        <v>5.0000000000000001E-3</v>
      </c>
    </row>
    <row r="24" spans="2:38" ht="13">
      <c r="B24" s="502" t="s">
        <v>746</v>
      </c>
      <c r="C24" s="542">
        <f>SUMIFS('Crossing Inputs'!$C$43:$H$43,'Crossing Inputs'!$C$23:$H$23,$A$1)</f>
        <v>0</v>
      </c>
    </row>
    <row r="25" spans="2:38">
      <c r="B25" s="358" t="s">
        <v>508</v>
      </c>
      <c r="C25" s="358" t="s">
        <v>443</v>
      </c>
      <c r="D25" s="576">
        <f>D$20*$C22</f>
        <v>116.73468128387027</v>
      </c>
      <c r="E25" s="576">
        <f t="shared" ref="E25:AK27" si="11">E$20*$C22</f>
        <v>121.45232144671728</v>
      </c>
      <c r="F25" s="576">
        <f t="shared" si="11"/>
        <v>126.36061727813961</v>
      </c>
      <c r="G25" s="576">
        <f t="shared" si="11"/>
        <v>131.46727381343146</v>
      </c>
      <c r="H25" s="576">
        <f t="shared" si="11"/>
        <v>136.78030747421676</v>
      </c>
      <c r="I25" s="576">
        <f t="shared" si="11"/>
        <v>142.30805865261561</v>
      </c>
      <c r="J25" s="576">
        <f t="shared" si="11"/>
        <v>148.05920480397896</v>
      </c>
      <c r="K25" s="576">
        <f t="shared" si="11"/>
        <v>154.04277406874513</v>
      </c>
      <c r="L25" s="576">
        <f t="shared" si="11"/>
        <v>160.26815944480032</v>
      </c>
      <c r="M25" s="576">
        <f t="shared" si="11"/>
        <v>166.74513353259294</v>
      </c>
      <c r="N25" s="576">
        <f t="shared" si="11"/>
        <v>173.48386387614624</v>
      </c>
      <c r="O25" s="576">
        <f t="shared" si="11"/>
        <v>180.49492892405394</v>
      </c>
      <c r="P25" s="576">
        <f t="shared" si="11"/>
        <v>187.78933463551223</v>
      </c>
      <c r="Q25" s="576">
        <f t="shared" si="11"/>
        <v>195.37853175745801</v>
      </c>
      <c r="R25" s="576">
        <f t="shared" si="11"/>
        <v>203.27443379993363</v>
      </c>
      <c r="S25" s="576">
        <f t="shared" si="11"/>
        <v>211.48943573789722</v>
      </c>
      <c r="T25" s="576">
        <f t="shared" si="11"/>
        <v>220.0364334688347</v>
      </c>
      <c r="U25" s="576">
        <f t="shared" si="11"/>
        <v>228.92884405672061</v>
      </c>
      <c r="V25" s="576">
        <f t="shared" si="11"/>
        <v>238.18062679410451</v>
      </c>
      <c r="W25" s="576">
        <f t="shared" si="11"/>
        <v>247.80630511538666</v>
      </c>
      <c r="X25" s="576">
        <f t="shared" si="11"/>
        <v>257.82098939568374</v>
      </c>
      <c r="Y25" s="576">
        <f t="shared" si="11"/>
        <v>268.24040067107217</v>
      </c>
      <c r="Z25" s="576">
        <f t="shared" si="11"/>
        <v>279.0808953174465</v>
      </c>
      <c r="AA25" s="576">
        <f t="shared" si="11"/>
        <v>290.35949072673395</v>
      </c>
      <c r="AB25" s="576">
        <f t="shared" si="11"/>
        <v>302.09389202076892</v>
      </c>
      <c r="AC25" s="576">
        <f t="shared" si="11"/>
        <v>314.30251984476826</v>
      </c>
      <c r="AD25" s="576">
        <f t="shared" si="11"/>
        <v>327.00453928402959</v>
      </c>
      <c r="AE25" s="576">
        <f t="shared" si="11"/>
        <v>340.21988994925437</v>
      </c>
      <c r="AF25" s="576">
        <f t="shared" si="11"/>
        <v>353.96931727771835</v>
      </c>
      <c r="AG25" s="576">
        <f t="shared" si="11"/>
        <v>368.27440509942676</v>
      </c>
      <c r="AH25" s="576">
        <f t="shared" si="11"/>
        <v>383.15760951937744</v>
      </c>
      <c r="AI25" s="576">
        <f t="shared" si="11"/>
        <v>398.64229416912099</v>
      </c>
      <c r="AJ25" s="576">
        <f t="shared" si="11"/>
        <v>414.75276688295332</v>
      </c>
      <c r="AK25" s="576">
        <f t="shared" si="11"/>
        <v>431.51431785631672</v>
      </c>
      <c r="AL25" s="576">
        <f t="shared" ref="AL25" si="12">AL$20*$C22</f>
        <v>448.95325934631035</v>
      </c>
    </row>
    <row r="26" spans="2:38">
      <c r="B26" s="358" t="s">
        <v>509</v>
      </c>
      <c r="C26" s="358" t="s">
        <v>443</v>
      </c>
      <c r="D26" s="576">
        <f>D$20*$C23</f>
        <v>0.58660643861241346</v>
      </c>
      <c r="E26" s="576">
        <f t="shared" si="11"/>
        <v>0.61031317309908184</v>
      </c>
      <c r="F26" s="576">
        <f t="shared" si="11"/>
        <v>0.63497797627205832</v>
      </c>
      <c r="G26" s="576">
        <f t="shared" si="11"/>
        <v>0.6606395669016657</v>
      </c>
      <c r="H26" s="576">
        <f t="shared" si="11"/>
        <v>0.68733822851365201</v>
      </c>
      <c r="I26" s="576">
        <f t="shared" si="11"/>
        <v>0.71511587262620913</v>
      </c>
      <c r="J26" s="576">
        <f t="shared" si="11"/>
        <v>0.7440161045426078</v>
      </c>
      <c r="K26" s="576">
        <f t="shared" si="11"/>
        <v>0.77408429180273941</v>
      </c>
      <c r="L26" s="576">
        <f t="shared" si="11"/>
        <v>0.80536763540100664</v>
      </c>
      <c r="M26" s="576">
        <f t="shared" si="11"/>
        <v>0.83791524388237659</v>
      </c>
      <c r="N26" s="576">
        <f t="shared" si="11"/>
        <v>0.87177821043289572</v>
      </c>
      <c r="O26" s="576">
        <f t="shared" si="11"/>
        <v>0.90700969308569823</v>
      </c>
      <c r="P26" s="576">
        <f t="shared" si="11"/>
        <v>0.94366499816840321</v>
      </c>
      <c r="Q26" s="576">
        <f t="shared" si="11"/>
        <v>0.98180166712290462</v>
      </c>
      <c r="R26" s="576">
        <f t="shared" si="11"/>
        <v>1.0214795668338374</v>
      </c>
      <c r="S26" s="576">
        <f t="shared" si="11"/>
        <v>1.0627609836075238</v>
      </c>
      <c r="T26" s="576">
        <f t="shared" si="11"/>
        <v>1.1057107209489181</v>
      </c>
      <c r="U26" s="576">
        <f t="shared" si="11"/>
        <v>1.1503962012900533</v>
      </c>
      <c r="V26" s="576">
        <f t="shared" si="11"/>
        <v>1.196887571829671</v>
      </c>
      <c r="W26" s="576">
        <f t="shared" si="11"/>
        <v>1.2452578146501843</v>
      </c>
      <c r="X26" s="576">
        <f t="shared" si="11"/>
        <v>1.295582861284843</v>
      </c>
      <c r="Y26" s="576">
        <f t="shared" si="11"/>
        <v>1.3479417119149355</v>
      </c>
      <c r="Z26" s="576">
        <f t="shared" si="11"/>
        <v>1.4024165593841533</v>
      </c>
      <c r="AA26" s="576">
        <f t="shared" si="11"/>
        <v>1.4590929182247936</v>
      </c>
      <c r="AB26" s="576">
        <f t="shared" si="11"/>
        <v>1.5180597588983364</v>
      </c>
      <c r="AC26" s="576">
        <f t="shared" si="11"/>
        <v>1.579409647461147</v>
      </c>
      <c r="AD26" s="576">
        <f t="shared" si="11"/>
        <v>1.6432388908745206</v>
      </c>
      <c r="AE26" s="576">
        <f t="shared" si="11"/>
        <v>1.7096476881872078</v>
      </c>
      <c r="AF26" s="576">
        <f t="shared" si="11"/>
        <v>1.7787402878277305</v>
      </c>
      <c r="AG26" s="576">
        <f t="shared" si="11"/>
        <v>1.8506251512534007</v>
      </c>
      <c r="AH26" s="576">
        <f t="shared" si="11"/>
        <v>1.9254151232129519</v>
      </c>
      <c r="AI26" s="576">
        <f t="shared" si="11"/>
        <v>2.0032276088900551</v>
      </c>
      <c r="AJ26" s="576">
        <f t="shared" si="11"/>
        <v>2.084184758205796</v>
      </c>
      <c r="AK26" s="576">
        <f t="shared" si="11"/>
        <v>2.1684136575694306</v>
      </c>
      <c r="AL26" s="576">
        <f t="shared" ref="AL26" si="13">AL$20*$C23</f>
        <v>2.2560465293784442</v>
      </c>
    </row>
    <row r="27" spans="2:38">
      <c r="B27" s="358" t="s">
        <v>747</v>
      </c>
      <c r="C27" s="358" t="s">
        <v>443</v>
      </c>
      <c r="D27" s="576">
        <f>D$20*$C24</f>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4">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748" t="s">
        <v>788</v>
      </c>
      <c r="C32" s="358" t="s">
        <v>295</v>
      </c>
      <c r="D32" s="383">
        <f>D25*$C29</f>
        <v>41.73264855898362</v>
      </c>
      <c r="E32" s="383">
        <f t="shared" ref="E32:AK32" si="15">E25*$C29</f>
        <v>43.419204917201426</v>
      </c>
      <c r="F32" s="383">
        <f t="shared" si="15"/>
        <v>45.173920676934912</v>
      </c>
      <c r="G32" s="383">
        <f t="shared" si="15"/>
        <v>46.999550388301742</v>
      </c>
      <c r="H32" s="383">
        <f t="shared" si="15"/>
        <v>48.898959922032489</v>
      </c>
      <c r="I32" s="383">
        <f t="shared" si="15"/>
        <v>50.875130968310081</v>
      </c>
      <c r="J32" s="383">
        <f t="shared" si="15"/>
        <v>52.931165717422473</v>
      </c>
      <c r="K32" s="383">
        <f t="shared" si="15"/>
        <v>55.070291729576383</v>
      </c>
      <c r="L32" s="383">
        <f t="shared" si="15"/>
        <v>57.295867001516115</v>
      </c>
      <c r="M32" s="383">
        <f t="shared" si="15"/>
        <v>59.611385237901978</v>
      </c>
      <c r="N32" s="383">
        <f t="shared" si="15"/>
        <v>62.02048133572228</v>
      </c>
      <c r="O32" s="383">
        <f t="shared" si="15"/>
        <v>64.526937090349278</v>
      </c>
      <c r="P32" s="383">
        <f t="shared" si="15"/>
        <v>67.134687132195623</v>
      </c>
      <c r="Q32" s="383">
        <f t="shared" si="15"/>
        <v>69.847825103291228</v>
      </c>
      <c r="R32" s="383">
        <f t="shared" si="15"/>
        <v>72.670610083476276</v>
      </c>
      <c r="S32" s="383">
        <f t="shared" si="15"/>
        <v>75.607473276298251</v>
      </c>
      <c r="T32" s="383">
        <f t="shared" si="15"/>
        <v>78.663024965108406</v>
      </c>
      <c r="U32" s="383">
        <f t="shared" si="15"/>
        <v>81.842061750277608</v>
      </c>
      <c r="V32" s="383">
        <f t="shared" si="15"/>
        <v>85.149574078892357</v>
      </c>
      <c r="W32" s="383">
        <f t="shared" si="15"/>
        <v>88.590754078750734</v>
      </c>
      <c r="X32" s="383">
        <f t="shared" si="15"/>
        <v>92.171003708956931</v>
      </c>
      <c r="Y32" s="383">
        <f t="shared" si="15"/>
        <v>95.895943239908291</v>
      </c>
      <c r="Z32" s="383">
        <f t="shared" si="15"/>
        <v>99.771420075987123</v>
      </c>
      <c r="AA32" s="383">
        <f t="shared" si="15"/>
        <v>103.80351793480739</v>
      </c>
      <c r="AB32" s="383">
        <f t="shared" si="15"/>
        <v>107.99856639742488</v>
      </c>
      <c r="AC32" s="383">
        <f t="shared" si="15"/>
        <v>112.36315084450464</v>
      </c>
      <c r="AD32" s="383">
        <f t="shared" si="15"/>
        <v>116.90412279404057</v>
      </c>
      <c r="AE32" s="383">
        <f t="shared" si="15"/>
        <v>121.62861065685843</v>
      </c>
      <c r="AF32" s="383">
        <f t="shared" si="15"/>
        <v>126.5440309267843</v>
      </c>
      <c r="AG32" s="383">
        <f t="shared" si="15"/>
        <v>131.65809982304506</v>
      </c>
      <c r="AH32" s="383">
        <f t="shared" si="15"/>
        <v>136.97884540317742</v>
      </c>
      <c r="AI32" s="383">
        <f t="shared" si="15"/>
        <v>142.51462016546074</v>
      </c>
      <c r="AJ32" s="383">
        <f t="shared" si="15"/>
        <v>148.27411416065581</v>
      </c>
      <c r="AK32" s="383">
        <f t="shared" si="15"/>
        <v>154.26636863363322</v>
      </c>
      <c r="AL32" s="383">
        <f t="shared" ref="AL32" si="16">AL25*$C29</f>
        <v>160.50079021630594</v>
      </c>
    </row>
    <row r="33" spans="1:38">
      <c r="B33" s="748" t="s">
        <v>789</v>
      </c>
      <c r="C33" s="358" t="s">
        <v>295</v>
      </c>
      <c r="D33" s="383">
        <f>D26*$C30+D27*$C31</f>
        <v>0.49274940843442727</v>
      </c>
      <c r="E33" s="383">
        <f t="shared" ref="E33:AK33" si="17">E26*$C30+E27*$C31</f>
        <v>0.5126630654032287</v>
      </c>
      <c r="F33" s="383">
        <f t="shared" si="17"/>
        <v>0.53338150006852902</v>
      </c>
      <c r="G33" s="383">
        <f t="shared" si="17"/>
        <v>0.55493723619739921</v>
      </c>
      <c r="H33" s="383">
        <f t="shared" si="17"/>
        <v>0.57736411195146764</v>
      </c>
      <c r="I33" s="383">
        <f t="shared" si="17"/>
        <v>0.60069733300601569</v>
      </c>
      <c r="J33" s="383">
        <f t="shared" si="17"/>
        <v>0.62497352781579052</v>
      </c>
      <c r="K33" s="383">
        <f t="shared" si="17"/>
        <v>0.65023080511430109</v>
      </c>
      <c r="L33" s="383">
        <f t="shared" si="17"/>
        <v>0.67650881373684557</v>
      </c>
      <c r="M33" s="383">
        <f t="shared" si="17"/>
        <v>0.70384880486119628</v>
      </c>
      <c r="N33" s="383">
        <f t="shared" si="17"/>
        <v>0.73229369676363243</v>
      </c>
      <c r="O33" s="383">
        <f t="shared" si="17"/>
        <v>0.76188814219198653</v>
      </c>
      <c r="P33" s="383">
        <f t="shared" si="17"/>
        <v>0.79267859846145872</v>
      </c>
      <c r="Q33" s="383">
        <f t="shared" si="17"/>
        <v>0.82471340038323981</v>
      </c>
      <c r="R33" s="383">
        <f t="shared" si="17"/>
        <v>0.85804283614042343</v>
      </c>
      <c r="S33" s="383">
        <f t="shared" si="17"/>
        <v>0.89271922623031996</v>
      </c>
      <c r="T33" s="383">
        <f t="shared" si="17"/>
        <v>0.92879700559709111</v>
      </c>
      <c r="U33" s="383">
        <f t="shared" si="17"/>
        <v>0.96633280908364472</v>
      </c>
      <c r="V33" s="383">
        <f t="shared" si="17"/>
        <v>1.0053855603369235</v>
      </c>
      <c r="W33" s="383">
        <f t="shared" si="17"/>
        <v>1.0460165643061548</v>
      </c>
      <c r="X33" s="383">
        <f t="shared" si="17"/>
        <v>1.0882896034792682</v>
      </c>
      <c r="Y33" s="383">
        <f t="shared" si="17"/>
        <v>1.1322710380085457</v>
      </c>
      <c r="Z33" s="383">
        <f t="shared" si="17"/>
        <v>1.1780299098826887</v>
      </c>
      <c r="AA33" s="383">
        <f t="shared" si="17"/>
        <v>1.2256380513088265</v>
      </c>
      <c r="AB33" s="383">
        <f t="shared" si="17"/>
        <v>1.2751701974746026</v>
      </c>
      <c r="AC33" s="383">
        <f t="shared" si="17"/>
        <v>1.3267041038673635</v>
      </c>
      <c r="AD33" s="383">
        <f t="shared" si="17"/>
        <v>1.3803206683345972</v>
      </c>
      <c r="AE33" s="383">
        <f t="shared" si="17"/>
        <v>1.4361040580772546</v>
      </c>
      <c r="AF33" s="383">
        <f t="shared" si="17"/>
        <v>1.4941418417752936</v>
      </c>
      <c r="AG33" s="383">
        <f t="shared" si="17"/>
        <v>1.5545251270528564</v>
      </c>
      <c r="AH33" s="383">
        <f t="shared" si="17"/>
        <v>1.6173487034988796</v>
      </c>
      <c r="AI33" s="383">
        <f t="shared" si="17"/>
        <v>1.6827111914676463</v>
      </c>
      <c r="AJ33" s="383">
        <f t="shared" si="17"/>
        <v>1.7507151968928685</v>
      </c>
      <c r="AK33" s="383">
        <f t="shared" si="17"/>
        <v>1.8214674723583217</v>
      </c>
      <c r="AL33" s="383">
        <f t="shared" ref="AL33" si="18">AL26*$C30+AL27*$C31</f>
        <v>1.8950790846778931</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Demand!F51</f>
        <v>2.021212882214602</v>
      </c>
      <c r="E37" s="383">
        <f>Demand!G51</f>
        <v>2.0426507576151294</v>
      </c>
      <c r="F37" s="383">
        <f>Demand!H51</f>
        <v>2.064316012578558</v>
      </c>
      <c r="G37" s="383">
        <f>Demand!I51</f>
        <v>2.0862110587928311</v>
      </c>
      <c r="H37" s="383">
        <f>Demand!J51</f>
        <v>0</v>
      </c>
      <c r="I37" s="383">
        <f>Demand!K51</f>
        <v>0</v>
      </c>
      <c r="J37" s="383">
        <f>Demand!L51</f>
        <v>0</v>
      </c>
      <c r="K37" s="383">
        <f>Demand!M51</f>
        <v>0</v>
      </c>
      <c r="L37" s="383">
        <f>Demand!N51</f>
        <v>0</v>
      </c>
      <c r="M37" s="383">
        <f>Demand!O51</f>
        <v>0</v>
      </c>
      <c r="N37" s="383">
        <f>Demand!P51</f>
        <v>0</v>
      </c>
      <c r="O37" s="383">
        <f>Demand!Q51</f>
        <v>0</v>
      </c>
      <c r="P37" s="383">
        <f>Demand!R51</f>
        <v>0</v>
      </c>
      <c r="Q37" s="383">
        <f>Demand!S51</f>
        <v>0</v>
      </c>
      <c r="R37" s="383">
        <f>Demand!T51</f>
        <v>0</v>
      </c>
      <c r="S37" s="383">
        <f>Demand!U51</f>
        <v>0</v>
      </c>
      <c r="T37" s="383">
        <f>Demand!V51</f>
        <v>0</v>
      </c>
      <c r="U37" s="383">
        <f>Demand!W51</f>
        <v>0</v>
      </c>
      <c r="V37" s="383">
        <f>Demand!X51</f>
        <v>0</v>
      </c>
      <c r="W37" s="383">
        <f>Demand!Y51</f>
        <v>0</v>
      </c>
      <c r="X37" s="383">
        <f>Demand!Z51</f>
        <v>0</v>
      </c>
      <c r="Y37" s="383">
        <f>Demand!AA51</f>
        <v>0</v>
      </c>
      <c r="Z37" s="383">
        <f>Demand!AB51</f>
        <v>0</v>
      </c>
      <c r="AA37" s="383">
        <f>Demand!AC51</f>
        <v>0</v>
      </c>
      <c r="AB37" s="383">
        <f>Demand!AD51</f>
        <v>0</v>
      </c>
      <c r="AC37" s="383">
        <f>Demand!AE51</f>
        <v>0</v>
      </c>
      <c r="AD37" s="383">
        <f>Demand!AF51</f>
        <v>0</v>
      </c>
      <c r="AE37" s="383">
        <f>Demand!AG51</f>
        <v>0</v>
      </c>
      <c r="AF37" s="383">
        <f>Demand!AH51</f>
        <v>0</v>
      </c>
      <c r="AG37" s="383">
        <f>Demand!AI51</f>
        <v>0</v>
      </c>
      <c r="AH37" s="383">
        <f>Demand!AJ51</f>
        <v>0</v>
      </c>
      <c r="AI37" s="383">
        <f>Demand!AK51</f>
        <v>0</v>
      </c>
      <c r="AJ37" s="383">
        <f>Demand!AL51</f>
        <v>0</v>
      </c>
      <c r="AK37" s="383">
        <f>Demand!AM51</f>
        <v>0</v>
      </c>
      <c r="AL37" s="383">
        <f>Demand!AN51</f>
        <v>0</v>
      </c>
    </row>
    <row r="38" spans="1:38">
      <c r="B38" s="363" t="s">
        <v>645</v>
      </c>
      <c r="C38" s="358" t="s">
        <v>1054</v>
      </c>
      <c r="D38" s="383">
        <f>Demand!F52</f>
        <v>1.010606441107301</v>
      </c>
      <c r="E38" s="383">
        <f>Demand!G52</f>
        <v>1.0213253788075647</v>
      </c>
      <c r="F38" s="383">
        <f>Demand!H52</f>
        <v>1.032158006289279</v>
      </c>
      <c r="G38" s="383">
        <f>Demand!I52</f>
        <v>1.0431055293964155</v>
      </c>
      <c r="H38" s="383">
        <f>Demand!J52</f>
        <v>0</v>
      </c>
      <c r="I38" s="383">
        <f>Demand!K52</f>
        <v>0</v>
      </c>
      <c r="J38" s="383">
        <f>Demand!L52</f>
        <v>0</v>
      </c>
      <c r="K38" s="383">
        <f>Demand!M52</f>
        <v>0</v>
      </c>
      <c r="L38" s="383">
        <f>Demand!N52</f>
        <v>0</v>
      </c>
      <c r="M38" s="383">
        <f>Demand!O52</f>
        <v>0</v>
      </c>
      <c r="N38" s="383">
        <f>Demand!P52</f>
        <v>0</v>
      </c>
      <c r="O38" s="383">
        <f>Demand!Q52</f>
        <v>0</v>
      </c>
      <c r="P38" s="383">
        <f>Demand!R52</f>
        <v>0</v>
      </c>
      <c r="Q38" s="383">
        <f>Demand!S52</f>
        <v>0</v>
      </c>
      <c r="R38" s="383">
        <f>Demand!T52</f>
        <v>0</v>
      </c>
      <c r="S38" s="383">
        <f>Demand!U52</f>
        <v>0</v>
      </c>
      <c r="T38" s="383">
        <f>Demand!V52</f>
        <v>0</v>
      </c>
      <c r="U38" s="383">
        <f>Demand!W52</f>
        <v>0</v>
      </c>
      <c r="V38" s="383">
        <f>Demand!X52</f>
        <v>0</v>
      </c>
      <c r="W38" s="383">
        <f>Demand!Y52</f>
        <v>0</v>
      </c>
      <c r="X38" s="383">
        <f>Demand!Z52</f>
        <v>0</v>
      </c>
      <c r="Y38" s="383">
        <f>Demand!AA52</f>
        <v>0</v>
      </c>
      <c r="Z38" s="383">
        <f>Demand!AB52</f>
        <v>0</v>
      </c>
      <c r="AA38" s="383">
        <f>Demand!AC52</f>
        <v>0</v>
      </c>
      <c r="AB38" s="383">
        <f>Demand!AD52</f>
        <v>0</v>
      </c>
      <c r="AC38" s="383">
        <f>Demand!AE52</f>
        <v>0</v>
      </c>
      <c r="AD38" s="383">
        <f>Demand!AF52</f>
        <v>0</v>
      </c>
      <c r="AE38" s="383">
        <f>Demand!AG52</f>
        <v>0</v>
      </c>
      <c r="AF38" s="383">
        <f>Demand!AH52</f>
        <v>0</v>
      </c>
      <c r="AG38" s="383">
        <f>Demand!AI52</f>
        <v>0</v>
      </c>
      <c r="AH38" s="383">
        <f>Demand!AJ52</f>
        <v>0</v>
      </c>
      <c r="AI38" s="383">
        <f>Demand!AK52</f>
        <v>0</v>
      </c>
      <c r="AJ38" s="383">
        <f>Demand!AL52</f>
        <v>0</v>
      </c>
      <c r="AK38" s="383">
        <f>Demand!AM52</f>
        <v>0</v>
      </c>
      <c r="AL38" s="383">
        <f>Demand!AN52</f>
        <v>0</v>
      </c>
    </row>
    <row r="40" spans="1:38">
      <c r="B40" s="571" t="s">
        <v>1058</v>
      </c>
      <c r="C40" s="572" t="s">
        <v>15</v>
      </c>
      <c r="D40" s="570">
        <f t="shared" ref="D40:AL40" si="19">(D$37*$C$13)/Minutes.Per.Day</f>
        <v>1.2632580513841262E-2</v>
      </c>
      <c r="E40" s="570">
        <f t="shared" si="19"/>
        <v>1.2766567235094558E-2</v>
      </c>
      <c r="F40" s="570">
        <f t="shared" si="19"/>
        <v>1.2901975078615988E-2</v>
      </c>
      <c r="G40" s="570">
        <f t="shared" si="19"/>
        <v>1.3038819117455193E-2</v>
      </c>
      <c r="H40" s="570">
        <f t="shared" si="19"/>
        <v>0</v>
      </c>
      <c r="I40" s="570">
        <f t="shared" si="19"/>
        <v>0</v>
      </c>
      <c r="J40" s="570">
        <f t="shared" si="19"/>
        <v>0</v>
      </c>
      <c r="K40" s="570">
        <f t="shared" si="19"/>
        <v>0</v>
      </c>
      <c r="L40" s="570">
        <f t="shared" si="19"/>
        <v>0</v>
      </c>
      <c r="M40" s="570">
        <f t="shared" si="19"/>
        <v>0</v>
      </c>
      <c r="N40" s="570">
        <f t="shared" si="19"/>
        <v>0</v>
      </c>
      <c r="O40" s="570">
        <f t="shared" si="19"/>
        <v>0</v>
      </c>
      <c r="P40" s="570">
        <f t="shared" si="19"/>
        <v>0</v>
      </c>
      <c r="Q40" s="570">
        <f t="shared" si="19"/>
        <v>0</v>
      </c>
      <c r="R40" s="570">
        <f t="shared" si="19"/>
        <v>0</v>
      </c>
      <c r="S40" s="570">
        <f t="shared" si="19"/>
        <v>0</v>
      </c>
      <c r="T40" s="570">
        <f t="shared" si="19"/>
        <v>0</v>
      </c>
      <c r="U40" s="570">
        <f t="shared" si="19"/>
        <v>0</v>
      </c>
      <c r="V40" s="570">
        <f t="shared" si="19"/>
        <v>0</v>
      </c>
      <c r="W40" s="570">
        <f t="shared" si="19"/>
        <v>0</v>
      </c>
      <c r="X40" s="570">
        <f t="shared" si="19"/>
        <v>0</v>
      </c>
      <c r="Y40" s="570">
        <f t="shared" si="19"/>
        <v>0</v>
      </c>
      <c r="Z40" s="570">
        <f t="shared" si="19"/>
        <v>0</v>
      </c>
      <c r="AA40" s="570">
        <f t="shared" si="19"/>
        <v>0</v>
      </c>
      <c r="AB40" s="570">
        <f t="shared" si="19"/>
        <v>0</v>
      </c>
      <c r="AC40" s="570">
        <f t="shared" si="19"/>
        <v>0</v>
      </c>
      <c r="AD40" s="570">
        <f t="shared" si="19"/>
        <v>0</v>
      </c>
      <c r="AE40" s="570">
        <f t="shared" si="19"/>
        <v>0</v>
      </c>
      <c r="AF40" s="570">
        <f t="shared" si="19"/>
        <v>0</v>
      </c>
      <c r="AG40" s="570">
        <f t="shared" si="19"/>
        <v>0</v>
      </c>
      <c r="AH40" s="570">
        <f t="shared" si="19"/>
        <v>0</v>
      </c>
      <c r="AI40" s="570">
        <f t="shared" si="19"/>
        <v>0</v>
      </c>
      <c r="AJ40" s="570">
        <f t="shared" si="19"/>
        <v>0</v>
      </c>
      <c r="AK40" s="570">
        <f t="shared" si="19"/>
        <v>0</v>
      </c>
      <c r="AL40" s="570">
        <f t="shared" si="19"/>
        <v>0</v>
      </c>
    </row>
    <row r="42" spans="1:38">
      <c r="B42" s="573" t="s">
        <v>1055</v>
      </c>
      <c r="C42" s="574" t="s">
        <v>505</v>
      </c>
      <c r="D42" s="383">
        <f t="shared" ref="D42:AK42" si="20">D6*D40</f>
        <v>4.2857091405473131</v>
      </c>
      <c r="E42" s="383">
        <f t="shared" si="20"/>
        <v>4.4589090272079037</v>
      </c>
      <c r="F42" s="383">
        <f t="shared" si="20"/>
        <v>4.6391085024442624</v>
      </c>
      <c r="G42" s="383">
        <f t="shared" si="20"/>
        <v>4.8265904431171913</v>
      </c>
      <c r="H42" s="383">
        <f t="shared" si="20"/>
        <v>0</v>
      </c>
      <c r="I42" s="383">
        <f t="shared" si="20"/>
        <v>0</v>
      </c>
      <c r="J42" s="383">
        <f t="shared" si="20"/>
        <v>0</v>
      </c>
      <c r="K42" s="383">
        <f t="shared" si="20"/>
        <v>0</v>
      </c>
      <c r="L42" s="383">
        <f t="shared" si="20"/>
        <v>0</v>
      </c>
      <c r="M42" s="383">
        <f t="shared" si="20"/>
        <v>0</v>
      </c>
      <c r="N42" s="383">
        <f t="shared" si="20"/>
        <v>0</v>
      </c>
      <c r="O42" s="383">
        <f t="shared" si="20"/>
        <v>0</v>
      </c>
      <c r="P42" s="383">
        <f t="shared" si="20"/>
        <v>0</v>
      </c>
      <c r="Q42" s="383">
        <f t="shared" si="20"/>
        <v>0</v>
      </c>
      <c r="R42" s="383">
        <f t="shared" si="20"/>
        <v>0</v>
      </c>
      <c r="S42" s="383">
        <f t="shared" si="20"/>
        <v>0</v>
      </c>
      <c r="T42" s="383">
        <f t="shared" si="20"/>
        <v>0</v>
      </c>
      <c r="U42" s="383">
        <f t="shared" si="20"/>
        <v>0</v>
      </c>
      <c r="V42" s="383">
        <f t="shared" si="20"/>
        <v>0</v>
      </c>
      <c r="W42" s="383">
        <f t="shared" si="20"/>
        <v>0</v>
      </c>
      <c r="X42" s="383">
        <f t="shared" si="20"/>
        <v>0</v>
      </c>
      <c r="Y42" s="383">
        <f t="shared" si="20"/>
        <v>0</v>
      </c>
      <c r="Z42" s="383">
        <f t="shared" si="20"/>
        <v>0</v>
      </c>
      <c r="AA42" s="383">
        <f t="shared" si="20"/>
        <v>0</v>
      </c>
      <c r="AB42" s="383">
        <f t="shared" si="20"/>
        <v>0</v>
      </c>
      <c r="AC42" s="383">
        <f t="shared" si="20"/>
        <v>0</v>
      </c>
      <c r="AD42" s="383">
        <f t="shared" si="20"/>
        <v>0</v>
      </c>
      <c r="AE42" s="383">
        <f t="shared" si="20"/>
        <v>0</v>
      </c>
      <c r="AF42" s="383">
        <f t="shared" si="20"/>
        <v>0</v>
      </c>
      <c r="AG42" s="383">
        <f t="shared" si="20"/>
        <v>0</v>
      </c>
      <c r="AH42" s="383">
        <f t="shared" si="20"/>
        <v>0</v>
      </c>
      <c r="AI42" s="383">
        <f t="shared" si="20"/>
        <v>0</v>
      </c>
      <c r="AJ42" s="383">
        <f t="shared" si="20"/>
        <v>0</v>
      </c>
      <c r="AK42" s="383">
        <f t="shared" si="20"/>
        <v>0</v>
      </c>
      <c r="AL42" s="383">
        <f t="shared" ref="AL42" si="21">AL6*AL40</f>
        <v>0</v>
      </c>
    </row>
    <row r="43" spans="1:38">
      <c r="B43" s="573" t="s">
        <v>1056</v>
      </c>
      <c r="C43" s="574" t="s">
        <v>490</v>
      </c>
      <c r="D43" s="383">
        <f t="shared" ref="D43:AK43" si="22">D42*$C$13/2</f>
        <v>19.285691132462908</v>
      </c>
      <c r="E43" s="383">
        <f t="shared" si="22"/>
        <v>20.065090622435566</v>
      </c>
      <c r="F43" s="383">
        <f t="shared" si="22"/>
        <v>20.875988260999179</v>
      </c>
      <c r="G43" s="383">
        <f t="shared" si="22"/>
        <v>21.71965699402736</v>
      </c>
      <c r="H43" s="383">
        <f t="shared" si="22"/>
        <v>0</v>
      </c>
      <c r="I43" s="383">
        <f t="shared" si="22"/>
        <v>0</v>
      </c>
      <c r="J43" s="383">
        <f t="shared" si="22"/>
        <v>0</v>
      </c>
      <c r="K43" s="383">
        <f t="shared" si="22"/>
        <v>0</v>
      </c>
      <c r="L43" s="383">
        <f t="shared" si="22"/>
        <v>0</v>
      </c>
      <c r="M43" s="383">
        <f t="shared" si="22"/>
        <v>0</v>
      </c>
      <c r="N43" s="383">
        <f t="shared" si="22"/>
        <v>0</v>
      </c>
      <c r="O43" s="383">
        <f t="shared" si="22"/>
        <v>0</v>
      </c>
      <c r="P43" s="383">
        <f t="shared" si="22"/>
        <v>0</v>
      </c>
      <c r="Q43" s="383">
        <f t="shared" si="22"/>
        <v>0</v>
      </c>
      <c r="R43" s="383">
        <f t="shared" si="22"/>
        <v>0</v>
      </c>
      <c r="S43" s="383">
        <f t="shared" si="22"/>
        <v>0</v>
      </c>
      <c r="T43" s="383">
        <f t="shared" si="22"/>
        <v>0</v>
      </c>
      <c r="U43" s="383">
        <f t="shared" si="22"/>
        <v>0</v>
      </c>
      <c r="V43" s="383">
        <f t="shared" si="22"/>
        <v>0</v>
      </c>
      <c r="W43" s="383">
        <f t="shared" si="22"/>
        <v>0</v>
      </c>
      <c r="X43" s="383">
        <f t="shared" si="22"/>
        <v>0</v>
      </c>
      <c r="Y43" s="383">
        <f t="shared" si="22"/>
        <v>0</v>
      </c>
      <c r="Z43" s="383">
        <f t="shared" si="22"/>
        <v>0</v>
      </c>
      <c r="AA43" s="383">
        <f t="shared" si="22"/>
        <v>0</v>
      </c>
      <c r="AB43" s="383">
        <f t="shared" si="22"/>
        <v>0</v>
      </c>
      <c r="AC43" s="383">
        <f t="shared" si="22"/>
        <v>0</v>
      </c>
      <c r="AD43" s="383">
        <f t="shared" si="22"/>
        <v>0</v>
      </c>
      <c r="AE43" s="383">
        <f t="shared" si="22"/>
        <v>0</v>
      </c>
      <c r="AF43" s="383">
        <f t="shared" si="22"/>
        <v>0</v>
      </c>
      <c r="AG43" s="383">
        <f t="shared" si="22"/>
        <v>0</v>
      </c>
      <c r="AH43" s="383">
        <f t="shared" si="22"/>
        <v>0</v>
      </c>
      <c r="AI43" s="383">
        <f t="shared" si="22"/>
        <v>0</v>
      </c>
      <c r="AJ43" s="383">
        <f t="shared" si="22"/>
        <v>0</v>
      </c>
      <c r="AK43" s="383">
        <f t="shared" si="22"/>
        <v>0</v>
      </c>
      <c r="AL43" s="383">
        <f t="shared" ref="AL43" si="23">AL42*$C$13/2</f>
        <v>0</v>
      </c>
    </row>
    <row r="44" spans="1:38">
      <c r="B44" s="575" t="s">
        <v>1057</v>
      </c>
      <c r="C44" s="574" t="s">
        <v>443</v>
      </c>
      <c r="D44" s="383">
        <f>D43/Minutes.per.Hour*Days.Per.Year</f>
        <v>117.32128772248269</v>
      </c>
      <c r="E44" s="383">
        <f t="shared" ref="E44:AK44" si="24">E43/Minutes.per.Hour*Days.Per.Year</f>
        <v>122.06263461981636</v>
      </c>
      <c r="F44" s="383">
        <f t="shared" si="24"/>
        <v>126.99559525441167</v>
      </c>
      <c r="G44" s="383">
        <f t="shared" si="24"/>
        <v>132.12791338033313</v>
      </c>
      <c r="H44" s="383">
        <f t="shared" si="24"/>
        <v>0</v>
      </c>
      <c r="I44" s="383">
        <f t="shared" si="24"/>
        <v>0</v>
      </c>
      <c r="J44" s="383">
        <f t="shared" si="24"/>
        <v>0</v>
      </c>
      <c r="K44" s="383">
        <f t="shared" si="24"/>
        <v>0</v>
      </c>
      <c r="L44" s="383">
        <f t="shared" si="24"/>
        <v>0</v>
      </c>
      <c r="M44" s="383">
        <f t="shared" si="24"/>
        <v>0</v>
      </c>
      <c r="N44" s="383">
        <f t="shared" si="24"/>
        <v>0</v>
      </c>
      <c r="O44" s="383">
        <f t="shared" si="24"/>
        <v>0</v>
      </c>
      <c r="P44" s="383">
        <f t="shared" si="24"/>
        <v>0</v>
      </c>
      <c r="Q44" s="383">
        <f t="shared" si="24"/>
        <v>0</v>
      </c>
      <c r="R44" s="383">
        <f t="shared" si="24"/>
        <v>0</v>
      </c>
      <c r="S44" s="383">
        <f t="shared" si="24"/>
        <v>0</v>
      </c>
      <c r="T44" s="383">
        <f t="shared" si="24"/>
        <v>0</v>
      </c>
      <c r="U44" s="383">
        <f t="shared" si="24"/>
        <v>0</v>
      </c>
      <c r="V44" s="383">
        <f t="shared" si="24"/>
        <v>0</v>
      </c>
      <c r="W44" s="383">
        <f t="shared" si="24"/>
        <v>0</v>
      </c>
      <c r="X44" s="383">
        <f t="shared" si="24"/>
        <v>0</v>
      </c>
      <c r="Y44" s="383">
        <f t="shared" si="24"/>
        <v>0</v>
      </c>
      <c r="Z44" s="383">
        <f t="shared" si="24"/>
        <v>0</v>
      </c>
      <c r="AA44" s="383">
        <f t="shared" si="24"/>
        <v>0</v>
      </c>
      <c r="AB44" s="383">
        <f t="shared" si="24"/>
        <v>0</v>
      </c>
      <c r="AC44" s="383">
        <f t="shared" si="24"/>
        <v>0</v>
      </c>
      <c r="AD44" s="383">
        <f t="shared" si="24"/>
        <v>0</v>
      </c>
      <c r="AE44" s="383">
        <f t="shared" si="24"/>
        <v>0</v>
      </c>
      <c r="AF44" s="383">
        <f t="shared" si="24"/>
        <v>0</v>
      </c>
      <c r="AG44" s="383">
        <f t="shared" si="24"/>
        <v>0</v>
      </c>
      <c r="AH44" s="383">
        <f t="shared" si="24"/>
        <v>0</v>
      </c>
      <c r="AI44" s="383">
        <f t="shared" si="24"/>
        <v>0</v>
      </c>
      <c r="AJ44" s="383">
        <f t="shared" si="24"/>
        <v>0</v>
      </c>
      <c r="AK44" s="383">
        <f t="shared" si="24"/>
        <v>0</v>
      </c>
      <c r="AL44" s="383">
        <f t="shared" ref="AL44" si="25">AL43/Minutes.per.Hour*Days.Per.Year</f>
        <v>0</v>
      </c>
    </row>
    <row r="46" spans="1:38">
      <c r="B46" s="575" t="s">
        <v>745</v>
      </c>
      <c r="C46" s="574" t="s">
        <v>443</v>
      </c>
      <c r="D46" s="383">
        <f>D44</f>
        <v>117.32128772248269</v>
      </c>
      <c r="E46" s="383">
        <f t="shared" ref="E46:AK46" si="26">E44</f>
        <v>122.06263461981636</v>
      </c>
      <c r="F46" s="383">
        <f t="shared" si="26"/>
        <v>126.99559525441167</v>
      </c>
      <c r="G46" s="383">
        <f t="shared" si="26"/>
        <v>132.12791338033313</v>
      </c>
      <c r="H46" s="383">
        <f t="shared" si="26"/>
        <v>0</v>
      </c>
      <c r="I46" s="383">
        <f t="shared" si="26"/>
        <v>0</v>
      </c>
      <c r="J46" s="383">
        <f t="shared" si="26"/>
        <v>0</v>
      </c>
      <c r="K46" s="383">
        <f t="shared" si="26"/>
        <v>0</v>
      </c>
      <c r="L46" s="383">
        <f t="shared" si="26"/>
        <v>0</v>
      </c>
      <c r="M46" s="383">
        <f t="shared" si="26"/>
        <v>0</v>
      </c>
      <c r="N46" s="383">
        <f t="shared" si="26"/>
        <v>0</v>
      </c>
      <c r="O46" s="383">
        <f t="shared" si="26"/>
        <v>0</v>
      </c>
      <c r="P46" s="383">
        <f t="shared" si="26"/>
        <v>0</v>
      </c>
      <c r="Q46" s="383">
        <f t="shared" si="26"/>
        <v>0</v>
      </c>
      <c r="R46" s="383">
        <f t="shared" si="26"/>
        <v>0</v>
      </c>
      <c r="S46" s="383">
        <f t="shared" si="26"/>
        <v>0</v>
      </c>
      <c r="T46" s="383">
        <f t="shared" si="26"/>
        <v>0</v>
      </c>
      <c r="U46" s="383">
        <f t="shared" si="26"/>
        <v>0</v>
      </c>
      <c r="V46" s="383">
        <f t="shared" si="26"/>
        <v>0</v>
      </c>
      <c r="W46" s="383">
        <f t="shared" si="26"/>
        <v>0</v>
      </c>
      <c r="X46" s="383">
        <f t="shared" si="26"/>
        <v>0</v>
      </c>
      <c r="Y46" s="383">
        <f t="shared" si="26"/>
        <v>0</v>
      </c>
      <c r="Z46" s="383">
        <f t="shared" si="26"/>
        <v>0</v>
      </c>
      <c r="AA46" s="383">
        <f t="shared" si="26"/>
        <v>0</v>
      </c>
      <c r="AB46" s="383">
        <f t="shared" si="26"/>
        <v>0</v>
      </c>
      <c r="AC46" s="383">
        <f t="shared" si="26"/>
        <v>0</v>
      </c>
      <c r="AD46" s="383">
        <f t="shared" si="26"/>
        <v>0</v>
      </c>
      <c r="AE46" s="383">
        <f t="shared" si="26"/>
        <v>0</v>
      </c>
      <c r="AF46" s="383">
        <f t="shared" si="26"/>
        <v>0</v>
      </c>
      <c r="AG46" s="383">
        <f t="shared" si="26"/>
        <v>0</v>
      </c>
      <c r="AH46" s="383">
        <f t="shared" si="26"/>
        <v>0</v>
      </c>
      <c r="AI46" s="383">
        <f t="shared" si="26"/>
        <v>0</v>
      </c>
      <c r="AJ46" s="383">
        <f t="shared" si="26"/>
        <v>0</v>
      </c>
      <c r="AK46" s="383">
        <f t="shared" si="26"/>
        <v>0</v>
      </c>
      <c r="AL46" s="383">
        <f t="shared" ref="AL46" si="27">AL44</f>
        <v>0</v>
      </c>
    </row>
    <row r="48" spans="1:38">
      <c r="B48" s="358" t="s">
        <v>508</v>
      </c>
      <c r="C48" s="358" t="s">
        <v>443</v>
      </c>
      <c r="D48" s="383">
        <f t="shared" ref="D48:AK48" si="28">D$46*$C22</f>
        <v>116.73468128387027</v>
      </c>
      <c r="E48" s="383">
        <f t="shared" si="28"/>
        <v>121.45232144671728</v>
      </c>
      <c r="F48" s="383">
        <f t="shared" si="28"/>
        <v>126.36061727813961</v>
      </c>
      <c r="G48" s="383">
        <f t="shared" si="28"/>
        <v>131.46727381343146</v>
      </c>
      <c r="H48" s="383">
        <f t="shared" si="28"/>
        <v>0</v>
      </c>
      <c r="I48" s="383">
        <f t="shared" si="28"/>
        <v>0</v>
      </c>
      <c r="J48" s="383">
        <f t="shared" si="28"/>
        <v>0</v>
      </c>
      <c r="K48" s="383">
        <f t="shared" si="28"/>
        <v>0</v>
      </c>
      <c r="L48" s="383">
        <f t="shared" si="28"/>
        <v>0</v>
      </c>
      <c r="M48" s="383">
        <f t="shared" si="28"/>
        <v>0</v>
      </c>
      <c r="N48" s="383">
        <f t="shared" si="28"/>
        <v>0</v>
      </c>
      <c r="O48" s="383">
        <f t="shared" si="28"/>
        <v>0</v>
      </c>
      <c r="P48" s="383">
        <f t="shared" si="28"/>
        <v>0</v>
      </c>
      <c r="Q48" s="383">
        <f t="shared" si="28"/>
        <v>0</v>
      </c>
      <c r="R48" s="383">
        <f t="shared" si="28"/>
        <v>0</v>
      </c>
      <c r="S48" s="383">
        <f t="shared" si="28"/>
        <v>0</v>
      </c>
      <c r="T48" s="383">
        <f t="shared" si="28"/>
        <v>0</v>
      </c>
      <c r="U48" s="383">
        <f t="shared" si="28"/>
        <v>0</v>
      </c>
      <c r="V48" s="383">
        <f t="shared" si="28"/>
        <v>0</v>
      </c>
      <c r="W48" s="383">
        <f t="shared" si="28"/>
        <v>0</v>
      </c>
      <c r="X48" s="383">
        <f t="shared" si="28"/>
        <v>0</v>
      </c>
      <c r="Y48" s="383">
        <f t="shared" si="28"/>
        <v>0</v>
      </c>
      <c r="Z48" s="383">
        <f t="shared" si="28"/>
        <v>0</v>
      </c>
      <c r="AA48" s="383">
        <f t="shared" si="28"/>
        <v>0</v>
      </c>
      <c r="AB48" s="383">
        <f t="shared" si="28"/>
        <v>0</v>
      </c>
      <c r="AC48" s="383">
        <f t="shared" si="28"/>
        <v>0</v>
      </c>
      <c r="AD48" s="383">
        <f t="shared" si="28"/>
        <v>0</v>
      </c>
      <c r="AE48" s="383">
        <f t="shared" si="28"/>
        <v>0</v>
      </c>
      <c r="AF48" s="383">
        <f t="shared" si="28"/>
        <v>0</v>
      </c>
      <c r="AG48" s="383">
        <f t="shared" si="28"/>
        <v>0</v>
      </c>
      <c r="AH48" s="383">
        <f t="shared" si="28"/>
        <v>0</v>
      </c>
      <c r="AI48" s="383">
        <f t="shared" si="28"/>
        <v>0</v>
      </c>
      <c r="AJ48" s="383">
        <f t="shared" si="28"/>
        <v>0</v>
      </c>
      <c r="AK48" s="383">
        <f t="shared" si="28"/>
        <v>0</v>
      </c>
      <c r="AL48" s="383">
        <f t="shared" ref="AL48" si="29">AL$46*$C22</f>
        <v>0</v>
      </c>
    </row>
    <row r="49" spans="2:38">
      <c r="B49" s="358" t="s">
        <v>509</v>
      </c>
      <c r="C49" s="358" t="s">
        <v>443</v>
      </c>
      <c r="D49" s="383">
        <f t="shared" ref="D49:AK49" si="30">D$46*$C23</f>
        <v>0.58660643861241346</v>
      </c>
      <c r="E49" s="383">
        <f t="shared" si="30"/>
        <v>0.61031317309908184</v>
      </c>
      <c r="F49" s="383">
        <f t="shared" si="30"/>
        <v>0.63497797627205832</v>
      </c>
      <c r="G49" s="383">
        <f t="shared" si="30"/>
        <v>0.6606395669016657</v>
      </c>
      <c r="H49" s="383">
        <f t="shared" si="30"/>
        <v>0</v>
      </c>
      <c r="I49" s="383">
        <f t="shared" si="30"/>
        <v>0</v>
      </c>
      <c r="J49" s="383">
        <f t="shared" si="30"/>
        <v>0</v>
      </c>
      <c r="K49" s="383">
        <f t="shared" si="30"/>
        <v>0</v>
      </c>
      <c r="L49" s="383">
        <f t="shared" si="30"/>
        <v>0</v>
      </c>
      <c r="M49" s="383">
        <f t="shared" si="30"/>
        <v>0</v>
      </c>
      <c r="N49" s="383">
        <f t="shared" si="30"/>
        <v>0</v>
      </c>
      <c r="O49" s="383">
        <f t="shared" si="30"/>
        <v>0</v>
      </c>
      <c r="P49" s="383">
        <f t="shared" si="30"/>
        <v>0</v>
      </c>
      <c r="Q49" s="383">
        <f t="shared" si="30"/>
        <v>0</v>
      </c>
      <c r="R49" s="383">
        <f t="shared" si="30"/>
        <v>0</v>
      </c>
      <c r="S49" s="383">
        <f t="shared" si="30"/>
        <v>0</v>
      </c>
      <c r="T49" s="383">
        <f t="shared" si="30"/>
        <v>0</v>
      </c>
      <c r="U49" s="383">
        <f t="shared" si="30"/>
        <v>0</v>
      </c>
      <c r="V49" s="383">
        <f t="shared" si="30"/>
        <v>0</v>
      </c>
      <c r="W49" s="383">
        <f t="shared" si="30"/>
        <v>0</v>
      </c>
      <c r="X49" s="383">
        <f t="shared" si="30"/>
        <v>0</v>
      </c>
      <c r="Y49" s="383">
        <f t="shared" si="30"/>
        <v>0</v>
      </c>
      <c r="Z49" s="383">
        <f t="shared" si="30"/>
        <v>0</v>
      </c>
      <c r="AA49" s="383">
        <f t="shared" si="30"/>
        <v>0</v>
      </c>
      <c r="AB49" s="383">
        <f t="shared" si="30"/>
        <v>0</v>
      </c>
      <c r="AC49" s="383">
        <f t="shared" si="30"/>
        <v>0</v>
      </c>
      <c r="AD49" s="383">
        <f t="shared" si="30"/>
        <v>0</v>
      </c>
      <c r="AE49" s="383">
        <f t="shared" si="30"/>
        <v>0</v>
      </c>
      <c r="AF49" s="383">
        <f t="shared" si="30"/>
        <v>0</v>
      </c>
      <c r="AG49" s="383">
        <f t="shared" si="30"/>
        <v>0</v>
      </c>
      <c r="AH49" s="383">
        <f t="shared" si="30"/>
        <v>0</v>
      </c>
      <c r="AI49" s="383">
        <f t="shared" si="30"/>
        <v>0</v>
      </c>
      <c r="AJ49" s="383">
        <f t="shared" si="30"/>
        <v>0</v>
      </c>
      <c r="AK49" s="383">
        <f t="shared" si="30"/>
        <v>0</v>
      </c>
      <c r="AL49" s="383">
        <f t="shared" ref="AL49" si="31">AL$46*$C23</f>
        <v>0</v>
      </c>
    </row>
    <row r="50" spans="2:38">
      <c r="B50" s="358" t="s">
        <v>747</v>
      </c>
      <c r="C50" s="358" t="s">
        <v>443</v>
      </c>
      <c r="D50" s="383">
        <f t="shared" ref="D50:AK50" si="32">D$46*$C24</f>
        <v>0</v>
      </c>
      <c r="E50" s="383">
        <f t="shared" si="32"/>
        <v>0</v>
      </c>
      <c r="F50" s="383">
        <f t="shared" si="32"/>
        <v>0</v>
      </c>
      <c r="G50" s="383">
        <f t="shared" si="32"/>
        <v>0</v>
      </c>
      <c r="H50" s="383">
        <f t="shared" si="32"/>
        <v>0</v>
      </c>
      <c r="I50" s="383">
        <f t="shared" si="32"/>
        <v>0</v>
      </c>
      <c r="J50" s="383">
        <f t="shared" si="32"/>
        <v>0</v>
      </c>
      <c r="K50" s="383">
        <f t="shared" si="32"/>
        <v>0</v>
      </c>
      <c r="L50" s="383">
        <f t="shared" si="32"/>
        <v>0</v>
      </c>
      <c r="M50" s="383">
        <f t="shared" si="32"/>
        <v>0</v>
      </c>
      <c r="N50" s="383">
        <f t="shared" si="32"/>
        <v>0</v>
      </c>
      <c r="O50" s="383">
        <f t="shared" si="32"/>
        <v>0</v>
      </c>
      <c r="P50" s="383">
        <f t="shared" si="32"/>
        <v>0</v>
      </c>
      <c r="Q50" s="383">
        <f t="shared" si="32"/>
        <v>0</v>
      </c>
      <c r="R50" s="383">
        <f t="shared" si="32"/>
        <v>0</v>
      </c>
      <c r="S50" s="383">
        <f t="shared" si="32"/>
        <v>0</v>
      </c>
      <c r="T50" s="383">
        <f t="shared" si="32"/>
        <v>0</v>
      </c>
      <c r="U50" s="383">
        <f t="shared" si="32"/>
        <v>0</v>
      </c>
      <c r="V50" s="383">
        <f t="shared" si="32"/>
        <v>0</v>
      </c>
      <c r="W50" s="383">
        <f t="shared" si="32"/>
        <v>0</v>
      </c>
      <c r="X50" s="383">
        <f t="shared" si="32"/>
        <v>0</v>
      </c>
      <c r="Y50" s="383">
        <f t="shared" si="32"/>
        <v>0</v>
      </c>
      <c r="Z50" s="383">
        <f t="shared" si="32"/>
        <v>0</v>
      </c>
      <c r="AA50" s="383">
        <f t="shared" si="32"/>
        <v>0</v>
      </c>
      <c r="AB50" s="383">
        <f t="shared" si="32"/>
        <v>0</v>
      </c>
      <c r="AC50" s="383">
        <f t="shared" si="32"/>
        <v>0</v>
      </c>
      <c r="AD50" s="383">
        <f t="shared" si="32"/>
        <v>0</v>
      </c>
      <c r="AE50" s="383">
        <f t="shared" si="32"/>
        <v>0</v>
      </c>
      <c r="AF50" s="383">
        <f t="shared" si="32"/>
        <v>0</v>
      </c>
      <c r="AG50" s="383">
        <f t="shared" si="32"/>
        <v>0</v>
      </c>
      <c r="AH50" s="383">
        <f t="shared" si="32"/>
        <v>0</v>
      </c>
      <c r="AI50" s="383">
        <f t="shared" si="32"/>
        <v>0</v>
      </c>
      <c r="AJ50" s="383">
        <f t="shared" si="32"/>
        <v>0</v>
      </c>
      <c r="AK50" s="383">
        <f t="shared" si="32"/>
        <v>0</v>
      </c>
      <c r="AL50" s="383">
        <f t="shared" ref="AL50" si="33">AL$46*$C24</f>
        <v>0</v>
      </c>
    </row>
    <row r="52" spans="2:38">
      <c r="B52" s="748" t="s">
        <v>788</v>
      </c>
      <c r="C52" s="358" t="s">
        <v>295</v>
      </c>
      <c r="D52" s="383">
        <f t="shared" ref="D52:AK53" si="34">IF(D$2&gt;VRCConstEnd,0,D32)</f>
        <v>41.73264855898362</v>
      </c>
      <c r="E52" s="383">
        <f t="shared" si="34"/>
        <v>43.419204917201426</v>
      </c>
      <c r="F52" s="383">
        <f t="shared" si="34"/>
        <v>45.173920676934912</v>
      </c>
      <c r="G52" s="383">
        <f t="shared" si="34"/>
        <v>46.999550388301742</v>
      </c>
      <c r="H52" s="383">
        <f t="shared" si="34"/>
        <v>0</v>
      </c>
      <c r="I52" s="383">
        <f t="shared" si="34"/>
        <v>0</v>
      </c>
      <c r="J52" s="383">
        <f t="shared" si="34"/>
        <v>0</v>
      </c>
      <c r="K52" s="383">
        <f t="shared" si="34"/>
        <v>0</v>
      </c>
      <c r="L52" s="383">
        <f t="shared" si="34"/>
        <v>0</v>
      </c>
      <c r="M52" s="383">
        <f t="shared" si="34"/>
        <v>0</v>
      </c>
      <c r="N52" s="383">
        <f t="shared" si="34"/>
        <v>0</v>
      </c>
      <c r="O52" s="383">
        <f t="shared" si="34"/>
        <v>0</v>
      </c>
      <c r="P52" s="383">
        <f t="shared" si="34"/>
        <v>0</v>
      </c>
      <c r="Q52" s="383">
        <f t="shared" si="34"/>
        <v>0</v>
      </c>
      <c r="R52" s="383">
        <f t="shared" si="34"/>
        <v>0</v>
      </c>
      <c r="S52" s="383">
        <f t="shared" si="34"/>
        <v>0</v>
      </c>
      <c r="T52" s="383">
        <f t="shared" si="34"/>
        <v>0</v>
      </c>
      <c r="U52" s="383">
        <f t="shared" si="34"/>
        <v>0</v>
      </c>
      <c r="V52" s="383">
        <f t="shared" si="34"/>
        <v>0</v>
      </c>
      <c r="W52" s="383">
        <f t="shared" si="34"/>
        <v>0</v>
      </c>
      <c r="X52" s="383">
        <f t="shared" si="34"/>
        <v>0</v>
      </c>
      <c r="Y52" s="383">
        <f t="shared" si="34"/>
        <v>0</v>
      </c>
      <c r="Z52" s="383">
        <f t="shared" si="34"/>
        <v>0</v>
      </c>
      <c r="AA52" s="383">
        <f t="shared" si="34"/>
        <v>0</v>
      </c>
      <c r="AB52" s="383">
        <f t="shared" si="34"/>
        <v>0</v>
      </c>
      <c r="AC52" s="383">
        <f t="shared" si="34"/>
        <v>0</v>
      </c>
      <c r="AD52" s="383">
        <f t="shared" si="34"/>
        <v>0</v>
      </c>
      <c r="AE52" s="383">
        <f t="shared" si="34"/>
        <v>0</v>
      </c>
      <c r="AF52" s="383">
        <f t="shared" si="34"/>
        <v>0</v>
      </c>
      <c r="AG52" s="383">
        <f t="shared" si="34"/>
        <v>0</v>
      </c>
      <c r="AH52" s="383">
        <f t="shared" si="34"/>
        <v>0</v>
      </c>
      <c r="AI52" s="383">
        <f t="shared" si="34"/>
        <v>0</v>
      </c>
      <c r="AJ52" s="383">
        <f t="shared" si="34"/>
        <v>0</v>
      </c>
      <c r="AK52" s="383">
        <f t="shared" si="34"/>
        <v>0</v>
      </c>
      <c r="AL52" s="383">
        <f t="shared" ref="AL52" si="35">IF(AL$2&gt;VRCConstEnd,0,AL32)</f>
        <v>0</v>
      </c>
    </row>
    <row r="53" spans="2:38">
      <c r="B53" s="748" t="s">
        <v>789</v>
      </c>
      <c r="C53" s="358" t="s">
        <v>295</v>
      </c>
      <c r="D53" s="383">
        <f t="shared" si="34"/>
        <v>0.49274940843442727</v>
      </c>
      <c r="E53" s="383">
        <f t="shared" si="34"/>
        <v>0.5126630654032287</v>
      </c>
      <c r="F53" s="383">
        <f t="shared" si="34"/>
        <v>0.53338150006852902</v>
      </c>
      <c r="G53" s="383">
        <f t="shared" si="34"/>
        <v>0.55493723619739921</v>
      </c>
      <c r="H53" s="383">
        <f t="shared" si="34"/>
        <v>0</v>
      </c>
      <c r="I53" s="383">
        <f t="shared" si="34"/>
        <v>0</v>
      </c>
      <c r="J53" s="383">
        <f t="shared" si="34"/>
        <v>0</v>
      </c>
      <c r="K53" s="383">
        <f t="shared" si="34"/>
        <v>0</v>
      </c>
      <c r="L53" s="383">
        <f t="shared" si="34"/>
        <v>0</v>
      </c>
      <c r="M53" s="383">
        <f t="shared" si="34"/>
        <v>0</v>
      </c>
      <c r="N53" s="383">
        <f t="shared" si="34"/>
        <v>0</v>
      </c>
      <c r="O53" s="383">
        <f t="shared" si="34"/>
        <v>0</v>
      </c>
      <c r="P53" s="383">
        <f t="shared" si="34"/>
        <v>0</v>
      </c>
      <c r="Q53" s="383">
        <f t="shared" si="34"/>
        <v>0</v>
      </c>
      <c r="R53" s="383">
        <f t="shared" si="34"/>
        <v>0</v>
      </c>
      <c r="S53" s="383">
        <f t="shared" si="34"/>
        <v>0</v>
      </c>
      <c r="T53" s="383">
        <f t="shared" si="34"/>
        <v>0</v>
      </c>
      <c r="U53" s="383">
        <f t="shared" si="34"/>
        <v>0</v>
      </c>
      <c r="V53" s="383">
        <f t="shared" si="34"/>
        <v>0</v>
      </c>
      <c r="W53" s="383">
        <f t="shared" si="34"/>
        <v>0</v>
      </c>
      <c r="X53" s="383">
        <f t="shared" si="34"/>
        <v>0</v>
      </c>
      <c r="Y53" s="383">
        <f t="shared" si="34"/>
        <v>0</v>
      </c>
      <c r="Z53" s="383">
        <f t="shared" si="34"/>
        <v>0</v>
      </c>
      <c r="AA53" s="383">
        <f t="shared" si="34"/>
        <v>0</v>
      </c>
      <c r="AB53" s="383">
        <f t="shared" si="34"/>
        <v>0</v>
      </c>
      <c r="AC53" s="383">
        <f t="shared" si="34"/>
        <v>0</v>
      </c>
      <c r="AD53" s="383">
        <f t="shared" si="34"/>
        <v>0</v>
      </c>
      <c r="AE53" s="383">
        <f t="shared" si="34"/>
        <v>0</v>
      </c>
      <c r="AF53" s="383">
        <f t="shared" si="34"/>
        <v>0</v>
      </c>
      <c r="AG53" s="383">
        <f t="shared" si="34"/>
        <v>0</v>
      </c>
      <c r="AH53" s="383">
        <f t="shared" si="34"/>
        <v>0</v>
      </c>
      <c r="AI53" s="383">
        <f t="shared" si="34"/>
        <v>0</v>
      </c>
      <c r="AJ53" s="383">
        <f t="shared" si="34"/>
        <v>0</v>
      </c>
      <c r="AK53" s="383">
        <f t="shared" si="34"/>
        <v>0</v>
      </c>
      <c r="AL53" s="383">
        <f t="shared" ref="AL53" si="36">IF(AL$2&gt;VRCConstEnd,0,AL33)</f>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4" tint="0.39997558519241921"/>
  </sheetPr>
  <dimension ref="A1:AL205"/>
  <sheetViews>
    <sheetView showGridLines="0" workbookViewId="0">
      <pane ySplit="4" topLeftCell="A10"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D3+1</f>
        <v>2022</v>
      </c>
      <c r="F3" s="508">
        <f t="shared" ref="F3:AL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si="0"/>
        <v>2049</v>
      </c>
      <c r="AG3" s="508">
        <f t="shared" si="0"/>
        <v>2050</v>
      </c>
      <c r="AH3" s="508">
        <f t="shared" si="0"/>
        <v>2051</v>
      </c>
      <c r="AI3" s="508">
        <f t="shared" si="0"/>
        <v>2052</v>
      </c>
      <c r="AJ3" s="508">
        <f t="shared" si="0"/>
        <v>2053</v>
      </c>
      <c r="AK3" s="508">
        <f t="shared" si="0"/>
        <v>2054</v>
      </c>
      <c r="AL3" s="508">
        <f t="shared" si="0"/>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11" si="1">E9*(1+$C$8)</f>
        <v>12071000</v>
      </c>
      <c r="G9" s="498">
        <f t="shared" si="1"/>
        <v>12071000</v>
      </c>
      <c r="H9" s="498">
        <f t="shared" si="1"/>
        <v>12071000</v>
      </c>
      <c r="I9" s="498">
        <f t="shared" si="1"/>
        <v>12071000</v>
      </c>
      <c r="J9" s="498">
        <f t="shared" si="1"/>
        <v>12071000</v>
      </c>
      <c r="K9" s="498">
        <f t="shared" si="1"/>
        <v>12071000</v>
      </c>
      <c r="L9" s="498">
        <f t="shared" si="1"/>
        <v>12071000</v>
      </c>
      <c r="M9" s="498">
        <f t="shared" si="1"/>
        <v>12071000</v>
      </c>
      <c r="N9" s="498">
        <f t="shared" si="1"/>
        <v>12071000</v>
      </c>
      <c r="O9" s="498">
        <f t="shared" si="1"/>
        <v>12071000</v>
      </c>
      <c r="P9" s="498">
        <f t="shared" si="1"/>
        <v>12071000</v>
      </c>
      <c r="Q9" s="498">
        <f t="shared" si="1"/>
        <v>12071000</v>
      </c>
      <c r="R9" s="498">
        <f t="shared" si="1"/>
        <v>12071000</v>
      </c>
      <c r="S9" s="498">
        <f t="shared" si="1"/>
        <v>12071000</v>
      </c>
      <c r="T9" s="498">
        <f t="shared" si="1"/>
        <v>12071000</v>
      </c>
      <c r="U9" s="498">
        <f t="shared" si="1"/>
        <v>12071000</v>
      </c>
      <c r="V9" s="498">
        <f t="shared" ref="V9:AL11" si="2">U9*(1+$C$8)</f>
        <v>12071000</v>
      </c>
      <c r="W9" s="498">
        <f t="shared" si="2"/>
        <v>12071000</v>
      </c>
      <c r="X9" s="498">
        <f t="shared" si="2"/>
        <v>12071000</v>
      </c>
      <c r="Y9" s="498">
        <f t="shared" si="2"/>
        <v>12071000</v>
      </c>
      <c r="Z9" s="498">
        <f t="shared" si="2"/>
        <v>12071000</v>
      </c>
      <c r="AA9" s="498">
        <f t="shared" si="2"/>
        <v>12071000</v>
      </c>
      <c r="AB9" s="498">
        <f t="shared" si="2"/>
        <v>12071000</v>
      </c>
      <c r="AC9" s="498">
        <f t="shared" si="2"/>
        <v>12071000</v>
      </c>
      <c r="AD9" s="498">
        <f t="shared" si="2"/>
        <v>12071000</v>
      </c>
      <c r="AE9" s="498">
        <f t="shared" si="2"/>
        <v>12071000</v>
      </c>
      <c r="AF9" s="498">
        <f t="shared" si="2"/>
        <v>12071000</v>
      </c>
      <c r="AG9" s="498">
        <f t="shared" si="2"/>
        <v>12071000</v>
      </c>
      <c r="AH9" s="498">
        <f t="shared" si="2"/>
        <v>12071000</v>
      </c>
      <c r="AI9" s="498">
        <f t="shared" si="2"/>
        <v>12071000</v>
      </c>
      <c r="AJ9" s="498">
        <f t="shared" si="2"/>
        <v>12071000</v>
      </c>
      <c r="AK9" s="498">
        <f t="shared" si="2"/>
        <v>12071000</v>
      </c>
      <c r="AL9" s="498">
        <f t="shared" si="2"/>
        <v>12071000</v>
      </c>
    </row>
    <row r="10" spans="1:38">
      <c r="B10" s="476" t="s">
        <v>973</v>
      </c>
      <c r="C10" s="384" t="s">
        <v>1075</v>
      </c>
      <c r="D10" s="498">
        <f>'General Inputs'!D24</f>
        <v>284100</v>
      </c>
      <c r="E10" s="498">
        <f t="shared" ref="E10:T11" si="3">D10*(1+$C$8)</f>
        <v>284100</v>
      </c>
      <c r="F10" s="498">
        <f t="shared" si="3"/>
        <v>284100</v>
      </c>
      <c r="G10" s="498">
        <f t="shared" si="3"/>
        <v>284100</v>
      </c>
      <c r="H10" s="498">
        <f t="shared" si="3"/>
        <v>284100</v>
      </c>
      <c r="I10" s="498">
        <f t="shared" si="3"/>
        <v>284100</v>
      </c>
      <c r="J10" s="498">
        <f t="shared" si="3"/>
        <v>284100</v>
      </c>
      <c r="K10" s="498">
        <f t="shared" si="3"/>
        <v>284100</v>
      </c>
      <c r="L10" s="498">
        <f t="shared" si="3"/>
        <v>284100</v>
      </c>
      <c r="M10" s="498">
        <f t="shared" si="3"/>
        <v>284100</v>
      </c>
      <c r="N10" s="498">
        <f t="shared" si="3"/>
        <v>284100</v>
      </c>
      <c r="O10" s="498">
        <f t="shared" si="3"/>
        <v>284100</v>
      </c>
      <c r="P10" s="498">
        <f t="shared" si="3"/>
        <v>284100</v>
      </c>
      <c r="Q10" s="498">
        <f t="shared" si="3"/>
        <v>284100</v>
      </c>
      <c r="R10" s="498">
        <f t="shared" si="3"/>
        <v>284100</v>
      </c>
      <c r="S10" s="498">
        <f t="shared" si="3"/>
        <v>284100</v>
      </c>
      <c r="T10" s="498">
        <f t="shared" si="3"/>
        <v>284100</v>
      </c>
      <c r="U10" s="498">
        <f t="shared" si="1"/>
        <v>284100</v>
      </c>
      <c r="V10" s="498">
        <f t="shared" si="2"/>
        <v>284100</v>
      </c>
      <c r="W10" s="498">
        <f t="shared" si="2"/>
        <v>284100</v>
      </c>
      <c r="X10" s="498">
        <f t="shared" si="2"/>
        <v>284100</v>
      </c>
      <c r="Y10" s="498">
        <f t="shared" si="2"/>
        <v>284100</v>
      </c>
      <c r="Z10" s="498">
        <f t="shared" si="2"/>
        <v>284100</v>
      </c>
      <c r="AA10" s="498">
        <f t="shared" si="2"/>
        <v>284100</v>
      </c>
      <c r="AB10" s="498">
        <f t="shared" si="2"/>
        <v>284100</v>
      </c>
      <c r="AC10" s="498">
        <f t="shared" si="2"/>
        <v>284100</v>
      </c>
      <c r="AD10" s="498">
        <f t="shared" si="2"/>
        <v>284100</v>
      </c>
      <c r="AE10" s="498">
        <f t="shared" si="2"/>
        <v>284100</v>
      </c>
      <c r="AF10" s="498">
        <f t="shared" si="2"/>
        <v>284100</v>
      </c>
      <c r="AG10" s="498">
        <f t="shared" si="2"/>
        <v>284100</v>
      </c>
      <c r="AH10" s="498">
        <f t="shared" si="2"/>
        <v>284100</v>
      </c>
      <c r="AI10" s="498">
        <f t="shared" si="2"/>
        <v>284100</v>
      </c>
      <c r="AJ10" s="498">
        <f t="shared" si="2"/>
        <v>284100</v>
      </c>
      <c r="AK10" s="498">
        <f t="shared" si="2"/>
        <v>284100</v>
      </c>
      <c r="AL10" s="498">
        <f t="shared" si="2"/>
        <v>284100</v>
      </c>
    </row>
    <row r="11" spans="1:38">
      <c r="B11" s="476" t="s">
        <v>451</v>
      </c>
      <c r="C11" s="473" t="s">
        <v>453</v>
      </c>
      <c r="D11" s="498">
        <f>'General Inputs'!D25</f>
        <v>4500</v>
      </c>
      <c r="E11" s="498">
        <f t="shared" si="3"/>
        <v>4500</v>
      </c>
      <c r="F11" s="498">
        <f t="shared" si="3"/>
        <v>4500</v>
      </c>
      <c r="G11" s="498">
        <f t="shared" si="3"/>
        <v>4500</v>
      </c>
      <c r="H11" s="498">
        <f t="shared" si="3"/>
        <v>4500</v>
      </c>
      <c r="I11" s="498">
        <f t="shared" si="3"/>
        <v>4500</v>
      </c>
      <c r="J11" s="498">
        <f t="shared" si="3"/>
        <v>4500</v>
      </c>
      <c r="K11" s="498">
        <f t="shared" si="3"/>
        <v>4500</v>
      </c>
      <c r="L11" s="498">
        <f t="shared" si="3"/>
        <v>4500</v>
      </c>
      <c r="M11" s="498">
        <f t="shared" si="3"/>
        <v>4500</v>
      </c>
      <c r="N11" s="498">
        <f t="shared" si="3"/>
        <v>4500</v>
      </c>
      <c r="O11" s="498">
        <f t="shared" si="3"/>
        <v>4500</v>
      </c>
      <c r="P11" s="498">
        <f t="shared" si="3"/>
        <v>4500</v>
      </c>
      <c r="Q11" s="498">
        <f t="shared" si="3"/>
        <v>4500</v>
      </c>
      <c r="R11" s="498">
        <f t="shared" si="3"/>
        <v>4500</v>
      </c>
      <c r="S11" s="498">
        <f t="shared" si="3"/>
        <v>4500</v>
      </c>
      <c r="T11" s="498">
        <f t="shared" si="3"/>
        <v>4500</v>
      </c>
      <c r="U11" s="498">
        <f t="shared" si="1"/>
        <v>4500</v>
      </c>
      <c r="V11" s="498">
        <f t="shared" si="2"/>
        <v>4500</v>
      </c>
      <c r="W11" s="498">
        <f t="shared" si="2"/>
        <v>4500</v>
      </c>
      <c r="X11" s="498">
        <f t="shared" si="2"/>
        <v>4500</v>
      </c>
      <c r="Y11" s="498">
        <f t="shared" si="2"/>
        <v>4500</v>
      </c>
      <c r="Z11" s="498">
        <f t="shared" si="2"/>
        <v>4500</v>
      </c>
      <c r="AA11" s="498">
        <f t="shared" si="2"/>
        <v>4500</v>
      </c>
      <c r="AB11" s="498">
        <f t="shared" si="2"/>
        <v>4500</v>
      </c>
      <c r="AC11" s="498">
        <f t="shared" si="2"/>
        <v>4500</v>
      </c>
      <c r="AD11" s="498">
        <f t="shared" si="2"/>
        <v>4500</v>
      </c>
      <c r="AE11" s="498">
        <f t="shared" si="2"/>
        <v>4500</v>
      </c>
      <c r="AF11" s="498">
        <f t="shared" si="2"/>
        <v>4500</v>
      </c>
      <c r="AG11" s="498">
        <f t="shared" si="2"/>
        <v>4500</v>
      </c>
      <c r="AH11" s="498">
        <f t="shared" si="2"/>
        <v>4500</v>
      </c>
      <c r="AI11" s="498">
        <f t="shared" si="2"/>
        <v>4500</v>
      </c>
      <c r="AJ11" s="498">
        <f t="shared" si="2"/>
        <v>4500</v>
      </c>
      <c r="AK11" s="498">
        <f t="shared" si="2"/>
        <v>4500</v>
      </c>
      <c r="AL11" s="498">
        <f t="shared" si="2"/>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'A1.5'!D23</f>
        <v>1.7360165237817991E-4</v>
      </c>
      <c r="E15" s="388">
        <f>'A1.5'!E23</f>
        <v>1.6428517062297865E-4</v>
      </c>
      <c r="F15" s="388">
        <f>'A1.5'!F23</f>
        <v>1.6006574532139304E-4</v>
      </c>
      <c r="G15" s="388">
        <f>'A1.5'!G23</f>
        <v>1.5782800246128752E-4</v>
      </c>
      <c r="H15" s="388">
        <f>'A1.5'!H23</f>
        <v>1.566437524060894E-4</v>
      </c>
      <c r="I15" s="388">
        <f>'A1.5'!I23</f>
        <v>1.5611397611651863E-4</v>
      </c>
      <c r="J15" s="388">
        <f>'A1.5'!J23</f>
        <v>1.5603186776879242E-4</v>
      </c>
      <c r="K15" s="388">
        <f>'A1.5'!K23</f>
        <v>1.562770368913098E-4</v>
      </c>
      <c r="L15" s="388">
        <f>'A1.5'!L23</f>
        <v>1.5677357899240027E-4</v>
      </c>
      <c r="M15" s="388">
        <f>'A1.5'!M23</f>
        <v>1.5747076636390018E-4</v>
      </c>
      <c r="N15" s="388">
        <f>'A1.5'!N23</f>
        <v>1.5833315909197744E-4</v>
      </c>
      <c r="O15" s="388">
        <f>'A1.5'!O23</f>
        <v>1.5933512055346809E-4</v>
      </c>
      <c r="P15" s="388">
        <f>'A1.5'!P23</f>
        <v>1.6045758054750305E-4</v>
      </c>
      <c r="Q15" s="388">
        <f>'A1.5'!Q23</f>
        <v>1.616860270300363E-4</v>
      </c>
      <c r="R15" s="388">
        <f>'A1.5'!R23</f>
        <v>1.6300920781519266E-4</v>
      </c>
      <c r="S15" s="388">
        <f>'A1.5'!S23</f>
        <v>1.6441826183564978E-4</v>
      </c>
      <c r="T15" s="388">
        <f>'A1.5'!T23</f>
        <v>1.6590612055219136E-4</v>
      </c>
      <c r="U15" s="388">
        <f>'A1.5'!U23</f>
        <v>1.6746708496412471E-4</v>
      </c>
      <c r="V15" s="388">
        <f>'A1.5'!V23</f>
        <v>1.6909652006805395E-4</v>
      </c>
      <c r="W15" s="388">
        <f>'A1.5'!W23</f>
        <v>1.7079062985362201E-4</v>
      </c>
      <c r="X15" s="388">
        <f>'A1.5'!X23</f>
        <v>1.7254628875212896E-4</v>
      </c>
      <c r="Y15" s="388">
        <f>'A1.5'!Y23</f>
        <v>1.7436091343598663E-4</v>
      </c>
      <c r="Z15" s="388">
        <f>'A1.5'!Z23</f>
        <v>1.7623236396755362E-4</v>
      </c>
      <c r="AA15" s="388">
        <f>'A1.5'!AA23</f>
        <v>1.7815886663330929E-4</v>
      </c>
      <c r="AB15" s="388">
        <f>'A1.5'!AB23</f>
        <v>1.8013895302994456E-4</v>
      </c>
      <c r="AC15" s="388">
        <f>'A1.5'!AC23</f>
        <v>1.8217141148872833E-4</v>
      </c>
      <c r="AD15" s="388">
        <f>'A1.5'!AD23</f>
        <v>1.842552479781467E-4</v>
      </c>
      <c r="AE15" s="388">
        <f>'A1.5'!AE23</f>
        <v>1.8638965436699486E-4</v>
      </c>
      <c r="AF15" s="388">
        <f>'A1.5'!AF23</f>
        <v>1.8857398246053639E-4</v>
      </c>
      <c r="AG15" s="388">
        <f>'A1.5'!AG23</f>
        <v>1.9080772260655495E-4</v>
      </c>
      <c r="AH15" s="388">
        <f>'A1.5'!AH23</f>
        <v>1.9309048594986589E-4</v>
      </c>
      <c r="AI15" s="388">
        <f>'A1.5'!AI23</f>
        <v>1.9542198962283595E-4</v>
      </c>
      <c r="AJ15" s="388">
        <f>'A1.5'!AJ23</f>
        <v>1.9780204431610692E-4</v>
      </c>
      <c r="AK15" s="388">
        <f>'A1.5'!AK23</f>
        <v>2.0023054379231852E-4</v>
      </c>
      <c r="AL15" s="388">
        <f>'A1.5'!AL23</f>
        <v>2.0330566815936158E-4</v>
      </c>
    </row>
    <row r="16" spans="1:38">
      <c r="B16" s="367" t="s">
        <v>516</v>
      </c>
      <c r="C16" s="367" t="s">
        <v>329</v>
      </c>
      <c r="D16" s="388">
        <f>'A1.5'!D24</f>
        <v>3.2343101389871193E-3</v>
      </c>
      <c r="E16" s="388">
        <f>'A1.5'!E24</f>
        <v>3.2837265968015373E-3</v>
      </c>
      <c r="F16" s="388">
        <f>'A1.5'!F24</f>
        <v>3.3327330981831886E-3</v>
      </c>
      <c r="G16" s="388">
        <f>'A1.5'!G24</f>
        <v>3.382014586845518E-3</v>
      </c>
      <c r="H16" s="388">
        <f>'A1.5'!H24</f>
        <v>3.4317824437083816E-3</v>
      </c>
      <c r="I16" s="388">
        <f>'A1.5'!I24</f>
        <v>3.4821335913829523E-3</v>
      </c>
      <c r="J16" s="388">
        <f>'A1.5'!J24</f>
        <v>3.5331234766038926E-3</v>
      </c>
      <c r="K16" s="388">
        <f>'A1.5'!K24</f>
        <v>3.5847889868203891E-3</v>
      </c>
      <c r="L16" s="388">
        <f>'A1.5'!L24</f>
        <v>3.6371575338111544E-3</v>
      </c>
      <c r="M16" s="388">
        <f>'A1.5'!M24</f>
        <v>3.6902512381241297E-3</v>
      </c>
      <c r="N16" s="388">
        <f>'A1.5'!N24</f>
        <v>3.7440890732674801E-3</v>
      </c>
      <c r="O16" s="388">
        <f>'A1.5'!O24</f>
        <v>3.7986880559865745E-3</v>
      </c>
      <c r="P16" s="388">
        <f>'A1.5'!P24</f>
        <v>3.8540639497706233E-3</v>
      </c>
      <c r="Q16" s="388">
        <f>'A1.5'!Q24</f>
        <v>3.9102317022975093E-3</v>
      </c>
      <c r="R16" s="388">
        <f>'A1.5'!R24</f>
        <v>3.9672057291465206E-3</v>
      </c>
      <c r="S16" s="388">
        <f>'A1.5'!S24</f>
        <v>4.0250001045119051E-3</v>
      </c>
      <c r="T16" s="388">
        <f>'A1.5'!T24</f>
        <v>4.083628693443679E-3</v>
      </c>
      <c r="U16" s="388">
        <f>'A1.5'!U24</f>
        <v>4.143105246094108E-3</v>
      </c>
      <c r="V16" s="388">
        <f>'A1.5'!V24</f>
        <v>4.2034434665653595E-3</v>
      </c>
      <c r="W16" s="388">
        <f>'A1.5'!W24</f>
        <v>4.2646570643534798E-3</v>
      </c>
      <c r="X16" s="388">
        <f>'A1.5'!X24</f>
        <v>4.3267597936054412E-3</v>
      </c>
      <c r="Y16" s="388">
        <f>'A1.5'!Y24</f>
        <v>4.3897654836774136E-3</v>
      </c>
      <c r="Z16" s="388">
        <f>'A1.5'!Z24</f>
        <v>4.4536880633775375E-3</v>
      </c>
      <c r="AA16" s="388">
        <f>'A1.5'!AA24</f>
        <v>4.5185415805537857E-3</v>
      </c>
      <c r="AB16" s="388">
        <f>'A1.5'!AB24</f>
        <v>4.584340218204289E-3</v>
      </c>
      <c r="AC16" s="388">
        <f>'A1.5'!AC24</f>
        <v>4.6510983079584185E-3</v>
      </c>
      <c r="AD16" s="388">
        <f>'A1.5'!AD24</f>
        <v>4.7188303415486594E-3</v>
      </c>
      <c r="AE16" s="388">
        <f>'A1.5'!AE24</f>
        <v>4.787550980732639E-3</v>
      </c>
      <c r="AF16" s="388">
        <f>'A1.5'!AF24</f>
        <v>4.8572750660097483E-3</v>
      </c>
      <c r="AG16" s="388">
        <f>'A1.5'!AG24</f>
        <v>4.9280176243936061E-3</v>
      </c>
      <c r="AH16" s="388">
        <f>'A1.5'!AH24</f>
        <v>4.9997938764406082E-3</v>
      </c>
      <c r="AI16" s="388">
        <f>'A1.5'!AI24</f>
        <v>5.0726192426895694E-3</v>
      </c>
      <c r="AJ16" s="388">
        <f>'A1.5'!AJ24</f>
        <v>5.1465093496334798E-3</v>
      </c>
      <c r="AK16" s="388">
        <f>'A1.5'!AK24</f>
        <v>5.2214800353188092E-3</v>
      </c>
      <c r="AL16" s="388">
        <f>'A1.5'!AL24</f>
        <v>5.2974177903751364E-3</v>
      </c>
    </row>
    <row r="17" spans="1:38">
      <c r="B17" s="367" t="s">
        <v>517</v>
      </c>
      <c r="C17" s="367" t="s">
        <v>518</v>
      </c>
      <c r="D17" s="388">
        <f>'A1.5'!D22</f>
        <v>1.5106758916755635E-2</v>
      </c>
      <c r="E17" s="388">
        <f>'A1.5'!E22</f>
        <v>1.5325603527870234E-2</v>
      </c>
      <c r="F17" s="388">
        <f>'A1.5'!F22</f>
        <v>1.5547652382560595E-2</v>
      </c>
      <c r="G17" s="388">
        <f>'A1.5'!G22</f>
        <v>1.5772952565499921E-2</v>
      </c>
      <c r="H17" s="388">
        <f>'A1.5'!H22</f>
        <v>1.6001551855460126E-2</v>
      </c>
      <c r="I17" s="388">
        <f>'A1.5'!I22</f>
        <v>1.6233498735506835E-2</v>
      </c>
      <c r="J17" s="388">
        <f>'A1.5'!J22</f>
        <v>1.6468842403344973E-2</v>
      </c>
      <c r="K17" s="388">
        <f>'A1.5'!K22</f>
        <v>1.6707632781817409E-2</v>
      </c>
      <c r="L17" s="388">
        <f>'A1.5'!L22</f>
        <v>1.6949920529558706E-2</v>
      </c>
      <c r="M17" s="388">
        <f>'A1.5'!M22</f>
        <v>1.7195757051806208E-2</v>
      </c>
      <c r="N17" s="388">
        <f>'A1.5'!N22</f>
        <v>1.7445194511370967E-2</v>
      </c>
      <c r="O17" s="388">
        <f>'A1.5'!O22</f>
        <v>1.7698285839770719E-2</v>
      </c>
      <c r="P17" s="388">
        <f>'A1.5'!P22</f>
        <v>1.7955084748527219E-2</v>
      </c>
      <c r="Q17" s="388">
        <f>'A1.5'!Q22</f>
        <v>1.8215645740630532E-2</v>
      </c>
      <c r="R17" s="388">
        <f>'A1.5'!R22</f>
        <v>1.848002412217253E-2</v>
      </c>
      <c r="S17" s="388">
        <f>'A1.5'!S22</f>
        <v>1.8748276014152254E-2</v>
      </c>
      <c r="T17" s="388">
        <f>'A1.5'!T22</f>
        <v>1.9020458364455463E-2</v>
      </c>
      <c r="U17" s="388">
        <f>'A1.5'!U22</f>
        <v>1.9296628960011188E-2</v>
      </c>
      <c r="V17" s="388">
        <f>'A1.5'!V22</f>
        <v>1.9576846439127507E-2</v>
      </c>
      <c r="W17" s="388">
        <f>'A1.5'!W22</f>
        <v>1.9861170304009669E-2</v>
      </c>
      <c r="X17" s="388">
        <f>'A1.5'!X22</f>
        <v>2.0149660933462675E-2</v>
      </c>
      <c r="Y17" s="388">
        <f>'A1.5'!Y22</f>
        <v>2.0442379595781601E-2</v>
      </c>
      <c r="Z17" s="388">
        <f>'A1.5'!Z22</f>
        <v>2.0739388461831886E-2</v>
      </c>
      <c r="AA17" s="388">
        <f>'A1.5'!AA22</f>
        <v>2.1040750618322793E-2</v>
      </c>
      <c r="AB17" s="388">
        <f>'A1.5'!AB22</f>
        <v>2.1346530081276578E-2</v>
      </c>
      <c r="AC17" s="388">
        <f>'A1.5'!AC22</f>
        <v>2.1656791809696478E-2</v>
      </c>
      <c r="AD17" s="388">
        <f>'A1.5'!AD22</f>
        <v>2.1971601719436226E-2</v>
      </c>
      <c r="AE17" s="388">
        <f>'A1.5'!AE22</f>
        <v>2.2291026697274192E-2</v>
      </c>
      <c r="AF17" s="388">
        <f>'A1.5'!AF22</f>
        <v>2.261513461519515E-2</v>
      </c>
      <c r="AG17" s="388">
        <f>'A1.5'!AG22</f>
        <v>2.29439943448826E-2</v>
      </c>
      <c r="AH17" s="388">
        <f>'A1.5'!AH22</f>
        <v>2.3277675772424868E-2</v>
      </c>
      <c r="AI17" s="388">
        <f>'A1.5'!AI22</f>
        <v>2.3616249813238142E-2</v>
      </c>
      <c r="AJ17" s="388">
        <f>'A1.5'!AJ22</f>
        <v>2.3959788427209413E-2</v>
      </c>
      <c r="AK17" s="388">
        <f>'A1.5'!AK22</f>
        <v>2.4308364634062826E-2</v>
      </c>
      <c r="AL17" s="388">
        <f>'A1.5'!AL22</f>
        <v>2.4662052528952566E-2</v>
      </c>
    </row>
    <row r="18" spans="1:38">
      <c r="D18" s="358"/>
      <c r="F18" s="464"/>
      <c r="G18" s="465"/>
      <c r="H18" s="465"/>
    </row>
    <row r="19" spans="1:38">
      <c r="B19" s="366" t="s">
        <v>719</v>
      </c>
      <c r="C19" s="484" t="s">
        <v>292</v>
      </c>
      <c r="D19" s="485">
        <f t="shared" ref="D19:AK19" si="4">D15*D9</f>
        <v>2095.5455458570095</v>
      </c>
      <c r="E19" s="485">
        <f t="shared" si="4"/>
        <v>1983.0862945899753</v>
      </c>
      <c r="F19" s="485">
        <f t="shared" si="4"/>
        <v>1932.1536117745354</v>
      </c>
      <c r="G19" s="485">
        <f t="shared" si="4"/>
        <v>1905.1418177102016</v>
      </c>
      <c r="H19" s="485">
        <f t="shared" si="4"/>
        <v>1890.8467352939051</v>
      </c>
      <c r="I19" s="485">
        <f t="shared" si="4"/>
        <v>1884.4518057024964</v>
      </c>
      <c r="J19" s="485">
        <f t="shared" si="4"/>
        <v>1883.4606758370933</v>
      </c>
      <c r="K19" s="485">
        <f t="shared" si="4"/>
        <v>1886.4201123150006</v>
      </c>
      <c r="L19" s="485">
        <f t="shared" si="4"/>
        <v>1892.4138720172637</v>
      </c>
      <c r="M19" s="485">
        <f t="shared" si="4"/>
        <v>1900.8296207786391</v>
      </c>
      <c r="N19" s="485">
        <f t="shared" si="4"/>
        <v>1911.2395633992596</v>
      </c>
      <c r="O19" s="485">
        <f t="shared" si="4"/>
        <v>1923.3342402009134</v>
      </c>
      <c r="P19" s="485">
        <f t="shared" si="4"/>
        <v>1936.8834547889094</v>
      </c>
      <c r="Q19" s="485">
        <f t="shared" si="4"/>
        <v>1951.7120322795681</v>
      </c>
      <c r="R19" s="485">
        <f t="shared" si="4"/>
        <v>1967.6841475371907</v>
      </c>
      <c r="S19" s="485">
        <f t="shared" si="4"/>
        <v>1984.6928386181285</v>
      </c>
      <c r="T19" s="485">
        <f t="shared" si="4"/>
        <v>2002.6527811855019</v>
      </c>
      <c r="U19" s="485">
        <f t="shared" si="4"/>
        <v>2021.4951826019494</v>
      </c>
      <c r="V19" s="485">
        <f t="shared" si="4"/>
        <v>2041.1640937414793</v>
      </c>
      <c r="W19" s="485">
        <f t="shared" si="4"/>
        <v>2061.6136929630711</v>
      </c>
      <c r="X19" s="485">
        <f t="shared" si="4"/>
        <v>2082.8062515269489</v>
      </c>
      <c r="Y19" s="485">
        <f t="shared" si="4"/>
        <v>2104.7105860857946</v>
      </c>
      <c r="Z19" s="485">
        <f t="shared" si="4"/>
        <v>2127.3008654523396</v>
      </c>
      <c r="AA19" s="485">
        <f t="shared" si="4"/>
        <v>2150.5556791306763</v>
      </c>
      <c r="AB19" s="485">
        <f t="shared" si="4"/>
        <v>2174.4573020244607</v>
      </c>
      <c r="AC19" s="485">
        <f t="shared" si="4"/>
        <v>2198.9911080804395</v>
      </c>
      <c r="AD19" s="485">
        <f t="shared" si="4"/>
        <v>2224.1450983442087</v>
      </c>
      <c r="AE19" s="485">
        <f t="shared" si="4"/>
        <v>2249.909517863995</v>
      </c>
      <c r="AF19" s="485">
        <f t="shared" si="4"/>
        <v>2276.2765422811349</v>
      </c>
      <c r="AG19" s="485">
        <f t="shared" si="4"/>
        <v>2303.2400195837249</v>
      </c>
      <c r="AH19" s="485">
        <f t="shared" si="4"/>
        <v>2330.7952559008313</v>
      </c>
      <c r="AI19" s="485">
        <f t="shared" si="4"/>
        <v>2358.9388367372526</v>
      </c>
      <c r="AJ19" s="485">
        <f t="shared" si="4"/>
        <v>2387.6684769397266</v>
      </c>
      <c r="AK19" s="485">
        <f t="shared" si="4"/>
        <v>2416.9828941170767</v>
      </c>
      <c r="AL19" s="485">
        <f t="shared" ref="AL19" si="5">AL15*AL9</f>
        <v>2454.1027203516537</v>
      </c>
    </row>
    <row r="20" spans="1:38">
      <c r="B20" s="366" t="s">
        <v>720</v>
      </c>
      <c r="C20" s="484" t="s">
        <v>292</v>
      </c>
      <c r="D20" s="485">
        <f t="shared" ref="D20:AK20" si="6">D16*D10</f>
        <v>918.86751048624058</v>
      </c>
      <c r="E20" s="485">
        <f t="shared" si="6"/>
        <v>932.90672615131678</v>
      </c>
      <c r="F20" s="485">
        <f t="shared" si="6"/>
        <v>946.82947319384391</v>
      </c>
      <c r="G20" s="485">
        <f t="shared" si="6"/>
        <v>960.83034412281165</v>
      </c>
      <c r="H20" s="485">
        <f t="shared" si="6"/>
        <v>974.96939225755125</v>
      </c>
      <c r="I20" s="485">
        <f t="shared" si="6"/>
        <v>989.27415331189673</v>
      </c>
      <c r="J20" s="485">
        <f t="shared" si="6"/>
        <v>1003.7603797031659</v>
      </c>
      <c r="K20" s="485">
        <f t="shared" si="6"/>
        <v>1018.4385511556725</v>
      </c>
      <c r="L20" s="485">
        <f t="shared" si="6"/>
        <v>1033.316455355749</v>
      </c>
      <c r="M20" s="485">
        <f t="shared" si="6"/>
        <v>1048.4003767510653</v>
      </c>
      <c r="N20" s="485">
        <f t="shared" si="6"/>
        <v>1063.6957057152911</v>
      </c>
      <c r="O20" s="485">
        <f t="shared" si="6"/>
        <v>1079.2072767057857</v>
      </c>
      <c r="P20" s="485">
        <f t="shared" si="6"/>
        <v>1094.939568129834</v>
      </c>
      <c r="Q20" s="485">
        <f t="shared" si="6"/>
        <v>1110.8968266227223</v>
      </c>
      <c r="R20" s="485">
        <f t="shared" si="6"/>
        <v>1127.0831476505266</v>
      </c>
      <c r="S20" s="485">
        <f t="shared" si="6"/>
        <v>1143.5025296918323</v>
      </c>
      <c r="T20" s="485">
        <f t="shared" si="6"/>
        <v>1160.1589118073491</v>
      </c>
      <c r="U20" s="485">
        <f t="shared" si="6"/>
        <v>1177.056200415336</v>
      </c>
      <c r="V20" s="485">
        <f t="shared" si="6"/>
        <v>1194.1982888512186</v>
      </c>
      <c r="W20" s="485">
        <f t="shared" si="6"/>
        <v>1211.5890719828237</v>
      </c>
      <c r="X20" s="485">
        <f t="shared" si="6"/>
        <v>1229.2324573633059</v>
      </c>
      <c r="Y20" s="485">
        <f t="shared" si="6"/>
        <v>1247.1323739127531</v>
      </c>
      <c r="Z20" s="485">
        <f t="shared" si="6"/>
        <v>1265.2927788055583</v>
      </c>
      <c r="AA20" s="485">
        <f t="shared" si="6"/>
        <v>1283.7176630353306</v>
      </c>
      <c r="AB20" s="485">
        <f t="shared" si="6"/>
        <v>1302.4110559918386</v>
      </c>
      <c r="AC20" s="485">
        <f t="shared" si="6"/>
        <v>1321.3770292909867</v>
      </c>
      <c r="AD20" s="485">
        <f t="shared" si="6"/>
        <v>1340.6197000339741</v>
      </c>
      <c r="AE20" s="485">
        <f t="shared" si="6"/>
        <v>1360.1432336261428</v>
      </c>
      <c r="AF20" s="485">
        <f t="shared" si="6"/>
        <v>1379.9518462533695</v>
      </c>
      <c r="AG20" s="485">
        <f t="shared" si="6"/>
        <v>1400.0498070902236</v>
      </c>
      <c r="AH20" s="485">
        <f t="shared" si="6"/>
        <v>1420.4414402967768</v>
      </c>
      <c r="AI20" s="485">
        <f t="shared" si="6"/>
        <v>1441.1311268481068</v>
      </c>
      <c r="AJ20" s="485">
        <f t="shared" si="6"/>
        <v>1462.1233062308715</v>
      </c>
      <c r="AK20" s="485">
        <f t="shared" si="6"/>
        <v>1483.4224780340737</v>
      </c>
      <c r="AL20" s="485">
        <f t="shared" ref="AL20" si="7">AL16*AL10</f>
        <v>1504.9963942455763</v>
      </c>
    </row>
    <row r="21" spans="1:38">
      <c r="B21" s="366" t="s">
        <v>721</v>
      </c>
      <c r="C21" s="484" t="s">
        <v>292</v>
      </c>
      <c r="D21" s="485">
        <f t="shared" ref="D21:AK21" si="8">D17*D11</f>
        <v>67.980415125400356</v>
      </c>
      <c r="E21" s="485">
        <f t="shared" si="8"/>
        <v>68.96521587541605</v>
      </c>
      <c r="F21" s="485">
        <f t="shared" si="8"/>
        <v>69.964435721522676</v>
      </c>
      <c r="G21" s="485">
        <f t="shared" si="8"/>
        <v>70.97828654474965</v>
      </c>
      <c r="H21" s="485">
        <f t="shared" si="8"/>
        <v>72.006983349570561</v>
      </c>
      <c r="I21" s="485">
        <f t="shared" si="8"/>
        <v>73.050744309780754</v>
      </c>
      <c r="J21" s="485">
        <f t="shared" si="8"/>
        <v>74.109790815052378</v>
      </c>
      <c r="K21" s="485">
        <f t="shared" si="8"/>
        <v>75.184347518178342</v>
      </c>
      <c r="L21" s="485">
        <f t="shared" si="8"/>
        <v>76.274642383014182</v>
      </c>
      <c r="M21" s="485">
        <f t="shared" si="8"/>
        <v>77.380906733127929</v>
      </c>
      <c r="N21" s="485">
        <f t="shared" si="8"/>
        <v>78.503375301169356</v>
      </c>
      <c r="O21" s="485">
        <f t="shared" si="8"/>
        <v>79.642286278968243</v>
      </c>
      <c r="P21" s="485">
        <f t="shared" si="8"/>
        <v>80.797881368372487</v>
      </c>
      <c r="Q21" s="485">
        <f t="shared" si="8"/>
        <v>81.970405832837386</v>
      </c>
      <c r="R21" s="485">
        <f t="shared" si="8"/>
        <v>83.160108549776382</v>
      </c>
      <c r="S21" s="485">
        <f t="shared" si="8"/>
        <v>84.36724206368514</v>
      </c>
      <c r="T21" s="485">
        <f t="shared" si="8"/>
        <v>85.592062640049576</v>
      </c>
      <c r="U21" s="485">
        <f t="shared" si="8"/>
        <v>86.834830320050344</v>
      </c>
      <c r="V21" s="485">
        <f t="shared" si="8"/>
        <v>88.095808976073783</v>
      </c>
      <c r="W21" s="485">
        <f t="shared" si="8"/>
        <v>89.375266368043512</v>
      </c>
      <c r="X21" s="485">
        <f t="shared" si="8"/>
        <v>90.673474200582035</v>
      </c>
      <c r="Y21" s="485">
        <f t="shared" si="8"/>
        <v>91.990708181017212</v>
      </c>
      <c r="Z21" s="485">
        <f t="shared" si="8"/>
        <v>93.327248078243485</v>
      </c>
      <c r="AA21" s="485">
        <f t="shared" si="8"/>
        <v>94.683377782452567</v>
      </c>
      <c r="AB21" s="485">
        <f t="shared" si="8"/>
        <v>96.059385365744603</v>
      </c>
      <c r="AC21" s="485">
        <f t="shared" si="8"/>
        <v>97.455563143634151</v>
      </c>
      <c r="AD21" s="485">
        <f t="shared" si="8"/>
        <v>98.872207737463015</v>
      </c>
      <c r="AE21" s="485">
        <f t="shared" si="8"/>
        <v>100.30962013773386</v>
      </c>
      <c r="AF21" s="485">
        <f t="shared" si="8"/>
        <v>101.76810576837818</v>
      </c>
      <c r="AG21" s="485">
        <f t="shared" si="8"/>
        <v>103.24797455197171</v>
      </c>
      <c r="AH21" s="485">
        <f t="shared" si="8"/>
        <v>104.74954097591191</v>
      </c>
      <c r="AI21" s="485">
        <f t="shared" si="8"/>
        <v>106.27312415957164</v>
      </c>
      <c r="AJ21" s="485">
        <f t="shared" si="8"/>
        <v>107.81904792244235</v>
      </c>
      <c r="AK21" s="485">
        <f t="shared" si="8"/>
        <v>109.38764085328272</v>
      </c>
      <c r="AL21" s="485">
        <f t="shared" ref="AL21" si="9">AL17*AL11</f>
        <v>110.97923638028655</v>
      </c>
    </row>
    <row r="22" spans="1:38">
      <c r="D22" s="358"/>
      <c r="F22" s="464"/>
      <c r="G22" s="465"/>
      <c r="H22" s="465"/>
    </row>
    <row r="23" spans="1:38" ht="13">
      <c r="B23" s="486" t="s">
        <v>461</v>
      </c>
      <c r="C23" s="487" t="s">
        <v>292</v>
      </c>
      <c r="D23" s="488">
        <f>SUM(D19:D21)</f>
        <v>3082.3934714686502</v>
      </c>
      <c r="E23" s="488">
        <f t="shared" ref="E23:AK23" si="10">SUM(E19:E21)</f>
        <v>2984.9582366167083</v>
      </c>
      <c r="F23" s="488">
        <f t="shared" si="10"/>
        <v>2948.9475206899019</v>
      </c>
      <c r="G23" s="488">
        <f t="shared" si="10"/>
        <v>2936.9504483777628</v>
      </c>
      <c r="H23" s="488">
        <f t="shared" si="10"/>
        <v>2937.8231109010267</v>
      </c>
      <c r="I23" s="488">
        <f t="shared" si="10"/>
        <v>2946.7767033241739</v>
      </c>
      <c r="J23" s="488">
        <f t="shared" si="10"/>
        <v>2961.3308463553112</v>
      </c>
      <c r="K23" s="488">
        <f t="shared" si="10"/>
        <v>2980.0430109888512</v>
      </c>
      <c r="L23" s="488">
        <f t="shared" si="10"/>
        <v>3002.0049697560266</v>
      </c>
      <c r="M23" s="488">
        <f t="shared" si="10"/>
        <v>3026.6109042628327</v>
      </c>
      <c r="N23" s="488">
        <f t="shared" si="10"/>
        <v>3053.4386444157199</v>
      </c>
      <c r="O23" s="488">
        <f t="shared" si="10"/>
        <v>3082.1838031856673</v>
      </c>
      <c r="P23" s="488">
        <f t="shared" si="10"/>
        <v>3112.620904287116</v>
      </c>
      <c r="Q23" s="488">
        <f t="shared" si="10"/>
        <v>3144.5792647351277</v>
      </c>
      <c r="R23" s="488">
        <f t="shared" si="10"/>
        <v>3177.9274037374939</v>
      </c>
      <c r="S23" s="488">
        <f t="shared" si="10"/>
        <v>3212.5626103736463</v>
      </c>
      <c r="T23" s="488">
        <f t="shared" si="10"/>
        <v>3248.4037556329008</v>
      </c>
      <c r="U23" s="488">
        <f t="shared" si="10"/>
        <v>3285.3862133373359</v>
      </c>
      <c r="V23" s="488">
        <f t="shared" si="10"/>
        <v>3323.4581915687718</v>
      </c>
      <c r="W23" s="488">
        <f t="shared" si="10"/>
        <v>3362.5780313139385</v>
      </c>
      <c r="X23" s="488">
        <f t="shared" si="10"/>
        <v>3402.7121830908368</v>
      </c>
      <c r="Y23" s="488">
        <f t="shared" si="10"/>
        <v>3443.8336681795645</v>
      </c>
      <c r="Z23" s="488">
        <f t="shared" si="10"/>
        <v>3485.9208923361412</v>
      </c>
      <c r="AA23" s="488">
        <f t="shared" si="10"/>
        <v>3528.9567199484595</v>
      </c>
      <c r="AB23" s="488">
        <f t="shared" si="10"/>
        <v>3572.9277433820439</v>
      </c>
      <c r="AC23" s="488">
        <f t="shared" si="10"/>
        <v>3617.8237005150604</v>
      </c>
      <c r="AD23" s="488">
        <f t="shared" si="10"/>
        <v>3663.6370061156458</v>
      </c>
      <c r="AE23" s="488">
        <f t="shared" si="10"/>
        <v>3710.3623716278717</v>
      </c>
      <c r="AF23" s="488">
        <f t="shared" si="10"/>
        <v>3757.9964943028822</v>
      </c>
      <c r="AG23" s="488">
        <f t="shared" si="10"/>
        <v>3806.5378012259202</v>
      </c>
      <c r="AH23" s="488">
        <f t="shared" si="10"/>
        <v>3855.9862371735198</v>
      </c>
      <c r="AI23" s="488">
        <f t="shared" si="10"/>
        <v>3906.3430877449309</v>
      </c>
      <c r="AJ23" s="488">
        <f t="shared" si="10"/>
        <v>3957.6108310930404</v>
      </c>
      <c r="AK23" s="488">
        <f t="shared" si="10"/>
        <v>4009.7930130044333</v>
      </c>
      <c r="AL23" s="488">
        <f t="shared" ref="AL23" si="11">SUM(AL19:AL21)</f>
        <v>4070.0783509775169</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 t="shared" ref="D27:AK27" si="12">IF(D$3&gt;VRCConstEnd,0,D15)</f>
        <v>1.7360165237817991E-4</v>
      </c>
      <c r="E27" s="388">
        <f t="shared" si="12"/>
        <v>1.6428517062297865E-4</v>
      </c>
      <c r="F27" s="388">
        <f t="shared" si="12"/>
        <v>1.6006574532139304E-4</v>
      </c>
      <c r="G27" s="388">
        <f t="shared" si="12"/>
        <v>1.5782800246128752E-4</v>
      </c>
      <c r="H27" s="388">
        <f t="shared" si="12"/>
        <v>0</v>
      </c>
      <c r="I27" s="388">
        <f t="shared" si="12"/>
        <v>0</v>
      </c>
      <c r="J27" s="388">
        <f t="shared" si="12"/>
        <v>0</v>
      </c>
      <c r="K27" s="388">
        <f t="shared" si="12"/>
        <v>0</v>
      </c>
      <c r="L27" s="388">
        <f t="shared" si="12"/>
        <v>0</v>
      </c>
      <c r="M27" s="388">
        <f t="shared" si="12"/>
        <v>0</v>
      </c>
      <c r="N27" s="388">
        <f t="shared" si="12"/>
        <v>0</v>
      </c>
      <c r="O27" s="388">
        <f t="shared" si="12"/>
        <v>0</v>
      </c>
      <c r="P27" s="388">
        <f t="shared" si="12"/>
        <v>0</v>
      </c>
      <c r="Q27" s="388">
        <f t="shared" si="12"/>
        <v>0</v>
      </c>
      <c r="R27" s="388">
        <f t="shared" si="12"/>
        <v>0</v>
      </c>
      <c r="S27" s="388">
        <f t="shared" si="12"/>
        <v>0</v>
      </c>
      <c r="T27" s="388">
        <f t="shared" si="12"/>
        <v>0</v>
      </c>
      <c r="U27" s="388">
        <f t="shared" si="12"/>
        <v>0</v>
      </c>
      <c r="V27" s="388">
        <f t="shared" si="12"/>
        <v>0</v>
      </c>
      <c r="W27" s="388">
        <f t="shared" si="12"/>
        <v>0</v>
      </c>
      <c r="X27" s="388">
        <f t="shared" si="12"/>
        <v>0</v>
      </c>
      <c r="Y27" s="388">
        <f t="shared" si="12"/>
        <v>0</v>
      </c>
      <c r="Z27" s="388">
        <f t="shared" si="12"/>
        <v>0</v>
      </c>
      <c r="AA27" s="388">
        <f t="shared" si="12"/>
        <v>0</v>
      </c>
      <c r="AB27" s="388">
        <f t="shared" si="12"/>
        <v>0</v>
      </c>
      <c r="AC27" s="388">
        <f t="shared" si="12"/>
        <v>0</v>
      </c>
      <c r="AD27" s="388">
        <f t="shared" si="12"/>
        <v>0</v>
      </c>
      <c r="AE27" s="388">
        <f t="shared" si="12"/>
        <v>0</v>
      </c>
      <c r="AF27" s="388">
        <f t="shared" si="12"/>
        <v>0</v>
      </c>
      <c r="AG27" s="388">
        <f t="shared" si="12"/>
        <v>0</v>
      </c>
      <c r="AH27" s="388">
        <f t="shared" si="12"/>
        <v>0</v>
      </c>
      <c r="AI27" s="388">
        <f t="shared" si="12"/>
        <v>0</v>
      </c>
      <c r="AJ27" s="388">
        <f t="shared" si="12"/>
        <v>0</v>
      </c>
      <c r="AK27" s="388">
        <f t="shared" si="12"/>
        <v>0</v>
      </c>
      <c r="AL27" s="388">
        <f t="shared" ref="AL27" si="13">IF(AL$3&gt;VRCConstEnd,0,AL15)</f>
        <v>0</v>
      </c>
    </row>
    <row r="28" spans="1:38">
      <c r="B28" s="367" t="s">
        <v>516</v>
      </c>
      <c r="C28" s="367" t="s">
        <v>329</v>
      </c>
      <c r="D28" s="388">
        <f t="shared" ref="D28:AK28" si="14">IF(D$3&gt;VRCConstEnd,0,D16)</f>
        <v>3.2343101389871193E-3</v>
      </c>
      <c r="E28" s="388">
        <f t="shared" si="14"/>
        <v>3.2837265968015373E-3</v>
      </c>
      <c r="F28" s="388">
        <f t="shared" si="14"/>
        <v>3.3327330981831886E-3</v>
      </c>
      <c r="G28" s="388">
        <f t="shared" si="14"/>
        <v>3.382014586845518E-3</v>
      </c>
      <c r="H28" s="388">
        <f t="shared" si="14"/>
        <v>0</v>
      </c>
      <c r="I28" s="388">
        <f t="shared" si="14"/>
        <v>0</v>
      </c>
      <c r="J28" s="388">
        <f t="shared" si="14"/>
        <v>0</v>
      </c>
      <c r="K28" s="388">
        <f t="shared" si="14"/>
        <v>0</v>
      </c>
      <c r="L28" s="388">
        <f t="shared" si="14"/>
        <v>0</v>
      </c>
      <c r="M28" s="388">
        <f t="shared" si="14"/>
        <v>0</v>
      </c>
      <c r="N28" s="388">
        <f t="shared" si="14"/>
        <v>0</v>
      </c>
      <c r="O28" s="388">
        <f t="shared" si="14"/>
        <v>0</v>
      </c>
      <c r="P28" s="388">
        <f t="shared" si="14"/>
        <v>0</v>
      </c>
      <c r="Q28" s="388">
        <f t="shared" si="14"/>
        <v>0</v>
      </c>
      <c r="R28" s="388">
        <f t="shared" si="14"/>
        <v>0</v>
      </c>
      <c r="S28" s="388">
        <f t="shared" si="14"/>
        <v>0</v>
      </c>
      <c r="T28" s="388">
        <f t="shared" si="14"/>
        <v>0</v>
      </c>
      <c r="U28" s="388">
        <f t="shared" si="14"/>
        <v>0</v>
      </c>
      <c r="V28" s="388">
        <f t="shared" si="14"/>
        <v>0</v>
      </c>
      <c r="W28" s="388">
        <f t="shared" si="14"/>
        <v>0</v>
      </c>
      <c r="X28" s="388">
        <f t="shared" si="14"/>
        <v>0</v>
      </c>
      <c r="Y28" s="388">
        <f t="shared" si="14"/>
        <v>0</v>
      </c>
      <c r="Z28" s="388">
        <f t="shared" si="14"/>
        <v>0</v>
      </c>
      <c r="AA28" s="388">
        <f t="shared" si="14"/>
        <v>0</v>
      </c>
      <c r="AB28" s="388">
        <f t="shared" si="14"/>
        <v>0</v>
      </c>
      <c r="AC28" s="388">
        <f t="shared" si="14"/>
        <v>0</v>
      </c>
      <c r="AD28" s="388">
        <f t="shared" si="14"/>
        <v>0</v>
      </c>
      <c r="AE28" s="388">
        <f t="shared" si="14"/>
        <v>0</v>
      </c>
      <c r="AF28" s="388">
        <f t="shared" si="14"/>
        <v>0</v>
      </c>
      <c r="AG28" s="388">
        <f t="shared" si="14"/>
        <v>0</v>
      </c>
      <c r="AH28" s="388">
        <f t="shared" si="14"/>
        <v>0</v>
      </c>
      <c r="AI28" s="388">
        <f t="shared" si="14"/>
        <v>0</v>
      </c>
      <c r="AJ28" s="388">
        <f t="shared" si="14"/>
        <v>0</v>
      </c>
      <c r="AK28" s="388">
        <f t="shared" si="14"/>
        <v>0</v>
      </c>
      <c r="AL28" s="388">
        <f t="shared" ref="AL28" si="15">IF(AL$3&gt;VRCConstEnd,0,AL16)</f>
        <v>0</v>
      </c>
    </row>
    <row r="29" spans="1:38">
      <c r="B29" s="367" t="s">
        <v>517</v>
      </c>
      <c r="C29" s="367" t="s">
        <v>518</v>
      </c>
      <c r="D29" s="388">
        <f t="shared" ref="D29:AK29" si="16">IF(D$3&gt;VRCConstEnd,0,D17)</f>
        <v>1.5106758916755635E-2</v>
      </c>
      <c r="E29" s="388">
        <f t="shared" si="16"/>
        <v>1.5325603527870234E-2</v>
      </c>
      <c r="F29" s="388">
        <f t="shared" si="16"/>
        <v>1.5547652382560595E-2</v>
      </c>
      <c r="G29" s="388">
        <f t="shared" si="16"/>
        <v>1.5772952565499921E-2</v>
      </c>
      <c r="H29" s="388">
        <f t="shared" si="16"/>
        <v>0</v>
      </c>
      <c r="I29" s="388">
        <f t="shared" si="16"/>
        <v>0</v>
      </c>
      <c r="J29" s="388">
        <f t="shared" si="16"/>
        <v>0</v>
      </c>
      <c r="K29" s="388">
        <f t="shared" si="16"/>
        <v>0</v>
      </c>
      <c r="L29" s="388">
        <f t="shared" si="16"/>
        <v>0</v>
      </c>
      <c r="M29" s="388">
        <f t="shared" si="16"/>
        <v>0</v>
      </c>
      <c r="N29" s="388">
        <f t="shared" si="16"/>
        <v>0</v>
      </c>
      <c r="O29" s="388">
        <f t="shared" si="16"/>
        <v>0</v>
      </c>
      <c r="P29" s="388">
        <f t="shared" si="16"/>
        <v>0</v>
      </c>
      <c r="Q29" s="388">
        <f t="shared" si="16"/>
        <v>0</v>
      </c>
      <c r="R29" s="388">
        <f t="shared" si="16"/>
        <v>0</v>
      </c>
      <c r="S29" s="388">
        <f t="shared" si="16"/>
        <v>0</v>
      </c>
      <c r="T29" s="388">
        <f t="shared" si="16"/>
        <v>0</v>
      </c>
      <c r="U29" s="388">
        <f t="shared" si="16"/>
        <v>0</v>
      </c>
      <c r="V29" s="388">
        <f t="shared" si="16"/>
        <v>0</v>
      </c>
      <c r="W29" s="388">
        <f t="shared" si="16"/>
        <v>0</v>
      </c>
      <c r="X29" s="388">
        <f t="shared" si="16"/>
        <v>0</v>
      </c>
      <c r="Y29" s="388">
        <f t="shared" si="16"/>
        <v>0</v>
      </c>
      <c r="Z29" s="388">
        <f t="shared" si="16"/>
        <v>0</v>
      </c>
      <c r="AA29" s="388">
        <f t="shared" si="16"/>
        <v>0</v>
      </c>
      <c r="AB29" s="388">
        <f t="shared" si="16"/>
        <v>0</v>
      </c>
      <c r="AC29" s="388">
        <f t="shared" si="16"/>
        <v>0</v>
      </c>
      <c r="AD29" s="388">
        <f t="shared" si="16"/>
        <v>0</v>
      </c>
      <c r="AE29" s="388">
        <f t="shared" si="16"/>
        <v>0</v>
      </c>
      <c r="AF29" s="388">
        <f t="shared" si="16"/>
        <v>0</v>
      </c>
      <c r="AG29" s="388">
        <f t="shared" si="16"/>
        <v>0</v>
      </c>
      <c r="AH29" s="388">
        <f t="shared" si="16"/>
        <v>0</v>
      </c>
      <c r="AI29" s="388">
        <f t="shared" si="16"/>
        <v>0</v>
      </c>
      <c r="AJ29" s="388">
        <f t="shared" si="16"/>
        <v>0</v>
      </c>
      <c r="AK29" s="388">
        <f t="shared" si="16"/>
        <v>0</v>
      </c>
      <c r="AL29" s="388">
        <f t="shared" ref="AL29" si="17">IF(AL$3&gt;VRCConstEnd,0,AL17)</f>
        <v>0</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8">D27*D9</f>
        <v>2095.5455458570095</v>
      </c>
      <c r="E31" s="485">
        <f t="shared" si="18"/>
        <v>1983.0862945899753</v>
      </c>
      <c r="F31" s="485">
        <f t="shared" si="18"/>
        <v>1932.1536117745354</v>
      </c>
      <c r="G31" s="485">
        <f t="shared" si="18"/>
        <v>1905.1418177102016</v>
      </c>
      <c r="H31" s="485">
        <f t="shared" si="18"/>
        <v>0</v>
      </c>
      <c r="I31" s="485">
        <f t="shared" si="18"/>
        <v>0</v>
      </c>
      <c r="J31" s="485">
        <f t="shared" si="18"/>
        <v>0</v>
      </c>
      <c r="K31" s="485">
        <f t="shared" si="18"/>
        <v>0</v>
      </c>
      <c r="L31" s="485">
        <f t="shared" si="18"/>
        <v>0</v>
      </c>
      <c r="M31" s="485">
        <f t="shared" si="18"/>
        <v>0</v>
      </c>
      <c r="N31" s="485">
        <f t="shared" si="18"/>
        <v>0</v>
      </c>
      <c r="O31" s="485">
        <f t="shared" si="18"/>
        <v>0</v>
      </c>
      <c r="P31" s="485">
        <f t="shared" si="18"/>
        <v>0</v>
      </c>
      <c r="Q31" s="485">
        <f t="shared" si="18"/>
        <v>0</v>
      </c>
      <c r="R31" s="485">
        <f t="shared" si="18"/>
        <v>0</v>
      </c>
      <c r="S31" s="485">
        <f t="shared" si="18"/>
        <v>0</v>
      </c>
      <c r="T31" s="485">
        <f t="shared" si="18"/>
        <v>0</v>
      </c>
      <c r="U31" s="485">
        <f t="shared" si="18"/>
        <v>0</v>
      </c>
      <c r="V31" s="485">
        <f t="shared" si="18"/>
        <v>0</v>
      </c>
      <c r="W31" s="485">
        <f t="shared" si="18"/>
        <v>0</v>
      </c>
      <c r="X31" s="485">
        <f t="shared" si="18"/>
        <v>0</v>
      </c>
      <c r="Y31" s="485">
        <f t="shared" si="18"/>
        <v>0</v>
      </c>
      <c r="Z31" s="485">
        <f t="shared" si="18"/>
        <v>0</v>
      </c>
      <c r="AA31" s="485">
        <f t="shared" si="18"/>
        <v>0</v>
      </c>
      <c r="AB31" s="485">
        <f t="shared" si="18"/>
        <v>0</v>
      </c>
      <c r="AC31" s="485">
        <f t="shared" si="18"/>
        <v>0</v>
      </c>
      <c r="AD31" s="485">
        <f t="shared" si="18"/>
        <v>0</v>
      </c>
      <c r="AE31" s="485">
        <f t="shared" si="18"/>
        <v>0</v>
      </c>
      <c r="AF31" s="485">
        <f t="shared" si="18"/>
        <v>0</v>
      </c>
      <c r="AG31" s="485">
        <f t="shared" si="18"/>
        <v>0</v>
      </c>
      <c r="AH31" s="485">
        <f t="shared" si="18"/>
        <v>0</v>
      </c>
      <c r="AI31" s="485">
        <f t="shared" si="18"/>
        <v>0</v>
      </c>
      <c r="AJ31" s="485">
        <f t="shared" si="18"/>
        <v>0</v>
      </c>
      <c r="AK31" s="485">
        <f t="shared" si="18"/>
        <v>0</v>
      </c>
      <c r="AL31" s="485">
        <f t="shared" ref="AL31" si="19">AL27*AL9</f>
        <v>0</v>
      </c>
    </row>
    <row r="32" spans="1:38">
      <c r="B32" s="366" t="s">
        <v>720</v>
      </c>
      <c r="C32" s="484" t="s">
        <v>292</v>
      </c>
      <c r="D32" s="485">
        <f t="shared" ref="D32:AK32" si="20">D28*D10</f>
        <v>918.86751048624058</v>
      </c>
      <c r="E32" s="485">
        <f t="shared" si="20"/>
        <v>932.90672615131678</v>
      </c>
      <c r="F32" s="485">
        <f t="shared" si="20"/>
        <v>946.82947319384391</v>
      </c>
      <c r="G32" s="485">
        <f t="shared" si="20"/>
        <v>960.83034412281165</v>
      </c>
      <c r="H32" s="485">
        <f t="shared" si="20"/>
        <v>0</v>
      </c>
      <c r="I32" s="485">
        <f t="shared" si="20"/>
        <v>0</v>
      </c>
      <c r="J32" s="485">
        <f t="shared" si="20"/>
        <v>0</v>
      </c>
      <c r="K32" s="485">
        <f t="shared" si="20"/>
        <v>0</v>
      </c>
      <c r="L32" s="485">
        <f t="shared" si="20"/>
        <v>0</v>
      </c>
      <c r="M32" s="485">
        <f t="shared" si="20"/>
        <v>0</v>
      </c>
      <c r="N32" s="485">
        <f t="shared" si="20"/>
        <v>0</v>
      </c>
      <c r="O32" s="485">
        <f t="shared" si="20"/>
        <v>0</v>
      </c>
      <c r="P32" s="485">
        <f t="shared" si="20"/>
        <v>0</v>
      </c>
      <c r="Q32" s="485">
        <f t="shared" si="20"/>
        <v>0</v>
      </c>
      <c r="R32" s="485">
        <f t="shared" si="20"/>
        <v>0</v>
      </c>
      <c r="S32" s="485">
        <f t="shared" si="20"/>
        <v>0</v>
      </c>
      <c r="T32" s="485">
        <f t="shared" si="20"/>
        <v>0</v>
      </c>
      <c r="U32" s="485">
        <f t="shared" si="20"/>
        <v>0</v>
      </c>
      <c r="V32" s="485">
        <f t="shared" si="20"/>
        <v>0</v>
      </c>
      <c r="W32" s="485">
        <f t="shared" si="20"/>
        <v>0</v>
      </c>
      <c r="X32" s="485">
        <f t="shared" si="20"/>
        <v>0</v>
      </c>
      <c r="Y32" s="485">
        <f t="shared" si="20"/>
        <v>0</v>
      </c>
      <c r="Z32" s="485">
        <f t="shared" si="20"/>
        <v>0</v>
      </c>
      <c r="AA32" s="485">
        <f t="shared" si="20"/>
        <v>0</v>
      </c>
      <c r="AB32" s="485">
        <f t="shared" si="20"/>
        <v>0</v>
      </c>
      <c r="AC32" s="485">
        <f t="shared" si="20"/>
        <v>0</v>
      </c>
      <c r="AD32" s="485">
        <f t="shared" si="20"/>
        <v>0</v>
      </c>
      <c r="AE32" s="485">
        <f t="shared" si="20"/>
        <v>0</v>
      </c>
      <c r="AF32" s="485">
        <f t="shared" si="20"/>
        <v>0</v>
      </c>
      <c r="AG32" s="485">
        <f t="shared" si="20"/>
        <v>0</v>
      </c>
      <c r="AH32" s="485">
        <f t="shared" si="20"/>
        <v>0</v>
      </c>
      <c r="AI32" s="485">
        <f t="shared" si="20"/>
        <v>0</v>
      </c>
      <c r="AJ32" s="485">
        <f t="shared" si="20"/>
        <v>0</v>
      </c>
      <c r="AK32" s="485">
        <f t="shared" si="20"/>
        <v>0</v>
      </c>
      <c r="AL32" s="485">
        <f t="shared" ref="AL32" si="21">AL28*AL10</f>
        <v>0</v>
      </c>
    </row>
    <row r="33" spans="1:38">
      <c r="B33" s="366" t="s">
        <v>721</v>
      </c>
      <c r="C33" s="484" t="s">
        <v>292</v>
      </c>
      <c r="D33" s="485">
        <f t="shared" ref="D33:AK33" si="22">D29*D11</f>
        <v>67.980415125400356</v>
      </c>
      <c r="E33" s="485">
        <f t="shared" si="22"/>
        <v>68.96521587541605</v>
      </c>
      <c r="F33" s="485">
        <f t="shared" si="22"/>
        <v>69.964435721522676</v>
      </c>
      <c r="G33" s="485">
        <f t="shared" si="22"/>
        <v>70.97828654474965</v>
      </c>
      <c r="H33" s="485">
        <f t="shared" si="22"/>
        <v>0</v>
      </c>
      <c r="I33" s="485">
        <f t="shared" si="22"/>
        <v>0</v>
      </c>
      <c r="J33" s="485">
        <f t="shared" si="22"/>
        <v>0</v>
      </c>
      <c r="K33" s="485">
        <f t="shared" si="22"/>
        <v>0</v>
      </c>
      <c r="L33" s="485">
        <f t="shared" si="22"/>
        <v>0</v>
      </c>
      <c r="M33" s="485">
        <f t="shared" si="22"/>
        <v>0</v>
      </c>
      <c r="N33" s="485">
        <f t="shared" si="22"/>
        <v>0</v>
      </c>
      <c r="O33" s="485">
        <f t="shared" si="22"/>
        <v>0</v>
      </c>
      <c r="P33" s="485">
        <f t="shared" si="22"/>
        <v>0</v>
      </c>
      <c r="Q33" s="485">
        <f t="shared" si="22"/>
        <v>0</v>
      </c>
      <c r="R33" s="485">
        <f t="shared" si="22"/>
        <v>0</v>
      </c>
      <c r="S33" s="485">
        <f t="shared" si="22"/>
        <v>0</v>
      </c>
      <c r="T33" s="485">
        <f t="shared" si="22"/>
        <v>0</v>
      </c>
      <c r="U33" s="485">
        <f t="shared" si="22"/>
        <v>0</v>
      </c>
      <c r="V33" s="485">
        <f t="shared" si="22"/>
        <v>0</v>
      </c>
      <c r="W33" s="485">
        <f t="shared" si="22"/>
        <v>0</v>
      </c>
      <c r="X33" s="485">
        <f t="shared" si="22"/>
        <v>0</v>
      </c>
      <c r="Y33" s="485">
        <f t="shared" si="22"/>
        <v>0</v>
      </c>
      <c r="Z33" s="485">
        <f t="shared" si="22"/>
        <v>0</v>
      </c>
      <c r="AA33" s="485">
        <f t="shared" si="22"/>
        <v>0</v>
      </c>
      <c r="AB33" s="485">
        <f t="shared" si="22"/>
        <v>0</v>
      </c>
      <c r="AC33" s="485">
        <f t="shared" si="22"/>
        <v>0</v>
      </c>
      <c r="AD33" s="485">
        <f t="shared" si="22"/>
        <v>0</v>
      </c>
      <c r="AE33" s="485">
        <f t="shared" si="22"/>
        <v>0</v>
      </c>
      <c r="AF33" s="485">
        <f t="shared" si="22"/>
        <v>0</v>
      </c>
      <c r="AG33" s="485">
        <f t="shared" si="22"/>
        <v>0</v>
      </c>
      <c r="AH33" s="485">
        <f t="shared" si="22"/>
        <v>0</v>
      </c>
      <c r="AI33" s="485">
        <f t="shared" si="22"/>
        <v>0</v>
      </c>
      <c r="AJ33" s="485">
        <f t="shared" si="22"/>
        <v>0</v>
      </c>
      <c r="AK33" s="485">
        <f t="shared" si="22"/>
        <v>0</v>
      </c>
      <c r="AL33" s="485">
        <f t="shared" ref="AL33" si="23">AL29*AL11</f>
        <v>0</v>
      </c>
    </row>
    <row r="34" spans="1:38">
      <c r="D34" s="358"/>
      <c r="F34" s="464"/>
      <c r="G34" s="465"/>
      <c r="H34" s="465"/>
    </row>
    <row r="35" spans="1:38" ht="13">
      <c r="B35" s="486" t="s">
        <v>462</v>
      </c>
      <c r="C35" s="487" t="s">
        <v>292</v>
      </c>
      <c r="D35" s="488">
        <f>SUM(D31:D33)</f>
        <v>3082.3934714686502</v>
      </c>
      <c r="E35" s="488">
        <f t="shared" ref="E35:AK35" si="24">SUM(E31:E33)</f>
        <v>2984.9582366167083</v>
      </c>
      <c r="F35" s="488">
        <f t="shared" si="24"/>
        <v>2948.9475206899019</v>
      </c>
      <c r="G35" s="488">
        <f t="shared" si="24"/>
        <v>2936.9504483777628</v>
      </c>
      <c r="H35" s="488">
        <f t="shared" si="24"/>
        <v>0</v>
      </c>
      <c r="I35" s="488">
        <f t="shared" si="24"/>
        <v>0</v>
      </c>
      <c r="J35" s="488">
        <f t="shared" si="24"/>
        <v>0</v>
      </c>
      <c r="K35" s="488">
        <f t="shared" si="24"/>
        <v>0</v>
      </c>
      <c r="L35" s="488">
        <f t="shared" si="24"/>
        <v>0</v>
      </c>
      <c r="M35" s="488">
        <f t="shared" si="24"/>
        <v>0</v>
      </c>
      <c r="N35" s="488">
        <f t="shared" si="24"/>
        <v>0</v>
      </c>
      <c r="O35" s="488">
        <f t="shared" si="24"/>
        <v>0</v>
      </c>
      <c r="P35" s="488">
        <f t="shared" si="24"/>
        <v>0</v>
      </c>
      <c r="Q35" s="488">
        <f t="shared" si="24"/>
        <v>0</v>
      </c>
      <c r="R35" s="488">
        <f t="shared" si="24"/>
        <v>0</v>
      </c>
      <c r="S35" s="488">
        <f t="shared" si="24"/>
        <v>0</v>
      </c>
      <c r="T35" s="488">
        <f t="shared" si="24"/>
        <v>0</v>
      </c>
      <c r="U35" s="488">
        <f t="shared" si="24"/>
        <v>0</v>
      </c>
      <c r="V35" s="488">
        <f t="shared" si="24"/>
        <v>0</v>
      </c>
      <c r="W35" s="488">
        <f t="shared" si="24"/>
        <v>0</v>
      </c>
      <c r="X35" s="488">
        <f t="shared" si="24"/>
        <v>0</v>
      </c>
      <c r="Y35" s="488">
        <f t="shared" si="24"/>
        <v>0</v>
      </c>
      <c r="Z35" s="488">
        <f t="shared" si="24"/>
        <v>0</v>
      </c>
      <c r="AA35" s="488">
        <f t="shared" si="24"/>
        <v>0</v>
      </c>
      <c r="AB35" s="488">
        <f t="shared" si="24"/>
        <v>0</v>
      </c>
      <c r="AC35" s="488">
        <f t="shared" si="24"/>
        <v>0</v>
      </c>
      <c r="AD35" s="488">
        <f t="shared" si="24"/>
        <v>0</v>
      </c>
      <c r="AE35" s="488">
        <f t="shared" si="24"/>
        <v>0</v>
      </c>
      <c r="AF35" s="488">
        <f t="shared" si="24"/>
        <v>0</v>
      </c>
      <c r="AG35" s="488">
        <f t="shared" si="24"/>
        <v>0</v>
      </c>
      <c r="AH35" s="488">
        <f t="shared" si="24"/>
        <v>0</v>
      </c>
      <c r="AI35" s="488">
        <f t="shared" si="24"/>
        <v>0</v>
      </c>
      <c r="AJ35" s="488">
        <f t="shared" si="24"/>
        <v>0</v>
      </c>
      <c r="AK35" s="488">
        <f t="shared" si="24"/>
        <v>0</v>
      </c>
      <c r="AL35" s="488">
        <f t="shared" ref="AL35" si="25">SUM(AL31:AL33)</f>
        <v>0</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D15-D27</f>
        <v>0</v>
      </c>
      <c r="E39" s="388">
        <f t="shared" ref="E39:AK39" si="26">E15-E27</f>
        <v>0</v>
      </c>
      <c r="F39" s="388">
        <f t="shared" si="26"/>
        <v>0</v>
      </c>
      <c r="G39" s="388">
        <f t="shared" si="26"/>
        <v>0</v>
      </c>
      <c r="H39" s="388">
        <f t="shared" si="26"/>
        <v>1.566437524060894E-4</v>
      </c>
      <c r="I39" s="388">
        <f t="shared" si="26"/>
        <v>1.5611397611651863E-4</v>
      </c>
      <c r="J39" s="388">
        <f t="shared" si="26"/>
        <v>1.5603186776879242E-4</v>
      </c>
      <c r="K39" s="388">
        <f t="shared" si="26"/>
        <v>1.562770368913098E-4</v>
      </c>
      <c r="L39" s="388">
        <f t="shared" si="26"/>
        <v>1.5677357899240027E-4</v>
      </c>
      <c r="M39" s="388">
        <f t="shared" si="26"/>
        <v>1.5747076636390018E-4</v>
      </c>
      <c r="N39" s="388">
        <f t="shared" si="26"/>
        <v>1.5833315909197744E-4</v>
      </c>
      <c r="O39" s="388">
        <f t="shared" si="26"/>
        <v>1.5933512055346809E-4</v>
      </c>
      <c r="P39" s="388">
        <f t="shared" si="26"/>
        <v>1.6045758054750305E-4</v>
      </c>
      <c r="Q39" s="388">
        <f t="shared" si="26"/>
        <v>1.616860270300363E-4</v>
      </c>
      <c r="R39" s="388">
        <f t="shared" si="26"/>
        <v>1.6300920781519266E-4</v>
      </c>
      <c r="S39" s="388">
        <f t="shared" si="26"/>
        <v>1.6441826183564978E-4</v>
      </c>
      <c r="T39" s="388">
        <f t="shared" si="26"/>
        <v>1.6590612055219136E-4</v>
      </c>
      <c r="U39" s="388">
        <f t="shared" si="26"/>
        <v>1.6746708496412471E-4</v>
      </c>
      <c r="V39" s="388">
        <f t="shared" si="26"/>
        <v>1.6909652006805395E-4</v>
      </c>
      <c r="W39" s="388">
        <f t="shared" si="26"/>
        <v>1.7079062985362201E-4</v>
      </c>
      <c r="X39" s="388">
        <f t="shared" si="26"/>
        <v>1.7254628875212896E-4</v>
      </c>
      <c r="Y39" s="388">
        <f t="shared" si="26"/>
        <v>1.7436091343598663E-4</v>
      </c>
      <c r="Z39" s="388">
        <f t="shared" si="26"/>
        <v>1.7623236396755362E-4</v>
      </c>
      <c r="AA39" s="388">
        <f t="shared" si="26"/>
        <v>1.7815886663330929E-4</v>
      </c>
      <c r="AB39" s="388">
        <f t="shared" si="26"/>
        <v>1.8013895302994456E-4</v>
      </c>
      <c r="AC39" s="388">
        <f t="shared" si="26"/>
        <v>1.8217141148872833E-4</v>
      </c>
      <c r="AD39" s="388">
        <f t="shared" si="26"/>
        <v>1.842552479781467E-4</v>
      </c>
      <c r="AE39" s="388">
        <f t="shared" si="26"/>
        <v>1.8638965436699486E-4</v>
      </c>
      <c r="AF39" s="388">
        <f t="shared" si="26"/>
        <v>1.8857398246053639E-4</v>
      </c>
      <c r="AG39" s="388">
        <f t="shared" si="26"/>
        <v>1.9080772260655495E-4</v>
      </c>
      <c r="AH39" s="388">
        <f t="shared" si="26"/>
        <v>1.9309048594986589E-4</v>
      </c>
      <c r="AI39" s="388">
        <f t="shared" si="26"/>
        <v>1.9542198962283595E-4</v>
      </c>
      <c r="AJ39" s="388">
        <f t="shared" si="26"/>
        <v>1.9780204431610692E-4</v>
      </c>
      <c r="AK39" s="388">
        <f t="shared" si="26"/>
        <v>2.0023054379231852E-4</v>
      </c>
      <c r="AL39" s="388">
        <f t="shared" ref="AL39" si="27">AL15-AL27</f>
        <v>2.0330566815936158E-4</v>
      </c>
    </row>
    <row r="40" spans="1:38" ht="13">
      <c r="B40" s="581" t="s">
        <v>782</v>
      </c>
      <c r="C40" s="581" t="s">
        <v>329</v>
      </c>
      <c r="D40" s="388">
        <f>D16-D28</f>
        <v>0</v>
      </c>
      <c r="E40" s="388">
        <f t="shared" ref="E40:AK40" si="28">E16-E28</f>
        <v>0</v>
      </c>
      <c r="F40" s="388">
        <f t="shared" si="28"/>
        <v>0</v>
      </c>
      <c r="G40" s="388">
        <f t="shared" si="28"/>
        <v>0</v>
      </c>
      <c r="H40" s="388">
        <f t="shared" si="28"/>
        <v>3.4317824437083816E-3</v>
      </c>
      <c r="I40" s="388">
        <f t="shared" si="28"/>
        <v>3.4821335913829523E-3</v>
      </c>
      <c r="J40" s="388">
        <f t="shared" si="28"/>
        <v>3.5331234766038926E-3</v>
      </c>
      <c r="K40" s="388">
        <f t="shared" si="28"/>
        <v>3.5847889868203891E-3</v>
      </c>
      <c r="L40" s="388">
        <f t="shared" si="28"/>
        <v>3.6371575338111544E-3</v>
      </c>
      <c r="M40" s="388">
        <f t="shared" si="28"/>
        <v>3.6902512381241297E-3</v>
      </c>
      <c r="N40" s="388">
        <f t="shared" si="28"/>
        <v>3.7440890732674801E-3</v>
      </c>
      <c r="O40" s="388">
        <f t="shared" si="28"/>
        <v>3.7986880559865745E-3</v>
      </c>
      <c r="P40" s="388">
        <f t="shared" si="28"/>
        <v>3.8540639497706233E-3</v>
      </c>
      <c r="Q40" s="388">
        <f t="shared" si="28"/>
        <v>3.9102317022975093E-3</v>
      </c>
      <c r="R40" s="388">
        <f t="shared" si="28"/>
        <v>3.9672057291465206E-3</v>
      </c>
      <c r="S40" s="388">
        <f t="shared" si="28"/>
        <v>4.0250001045119051E-3</v>
      </c>
      <c r="T40" s="388">
        <f t="shared" si="28"/>
        <v>4.083628693443679E-3</v>
      </c>
      <c r="U40" s="388">
        <f t="shared" si="28"/>
        <v>4.143105246094108E-3</v>
      </c>
      <c r="V40" s="388">
        <f t="shared" si="28"/>
        <v>4.2034434665653595E-3</v>
      </c>
      <c r="W40" s="388">
        <f t="shared" si="28"/>
        <v>4.2646570643534798E-3</v>
      </c>
      <c r="X40" s="388">
        <f t="shared" si="28"/>
        <v>4.3267597936054412E-3</v>
      </c>
      <c r="Y40" s="388">
        <f t="shared" si="28"/>
        <v>4.3897654836774136E-3</v>
      </c>
      <c r="Z40" s="388">
        <f t="shared" si="28"/>
        <v>4.4536880633775375E-3</v>
      </c>
      <c r="AA40" s="388">
        <f t="shared" si="28"/>
        <v>4.5185415805537857E-3</v>
      </c>
      <c r="AB40" s="388">
        <f t="shared" si="28"/>
        <v>4.584340218204289E-3</v>
      </c>
      <c r="AC40" s="388">
        <f t="shared" si="28"/>
        <v>4.6510983079584185E-3</v>
      </c>
      <c r="AD40" s="388">
        <f t="shared" si="28"/>
        <v>4.7188303415486594E-3</v>
      </c>
      <c r="AE40" s="388">
        <f t="shared" si="28"/>
        <v>4.787550980732639E-3</v>
      </c>
      <c r="AF40" s="388">
        <f t="shared" si="28"/>
        <v>4.8572750660097483E-3</v>
      </c>
      <c r="AG40" s="388">
        <f t="shared" si="28"/>
        <v>4.9280176243936061E-3</v>
      </c>
      <c r="AH40" s="388">
        <f t="shared" si="28"/>
        <v>4.9997938764406082E-3</v>
      </c>
      <c r="AI40" s="388">
        <f t="shared" si="28"/>
        <v>5.0726192426895694E-3</v>
      </c>
      <c r="AJ40" s="388">
        <f t="shared" si="28"/>
        <v>5.1465093496334798E-3</v>
      </c>
      <c r="AK40" s="388">
        <f t="shared" si="28"/>
        <v>5.2214800353188092E-3</v>
      </c>
      <c r="AL40" s="388">
        <f t="shared" ref="AL40" si="29">AL16-AL28</f>
        <v>5.2974177903751364E-3</v>
      </c>
    </row>
    <row r="41" spans="1:38" ht="13">
      <c r="B41" s="581" t="s">
        <v>783</v>
      </c>
      <c r="C41" s="581" t="s">
        <v>518</v>
      </c>
      <c r="D41" s="388">
        <f>D17-D29</f>
        <v>0</v>
      </c>
      <c r="E41" s="388">
        <f t="shared" ref="E41:AK41" si="30">E17-E29</f>
        <v>0</v>
      </c>
      <c r="F41" s="388">
        <f t="shared" si="30"/>
        <v>0</v>
      </c>
      <c r="G41" s="388">
        <f t="shared" si="30"/>
        <v>0</v>
      </c>
      <c r="H41" s="388">
        <f t="shared" si="30"/>
        <v>1.6001551855460126E-2</v>
      </c>
      <c r="I41" s="388">
        <f t="shared" si="30"/>
        <v>1.6233498735506835E-2</v>
      </c>
      <c r="J41" s="388">
        <f t="shared" si="30"/>
        <v>1.6468842403344973E-2</v>
      </c>
      <c r="K41" s="388">
        <f t="shared" si="30"/>
        <v>1.6707632781817409E-2</v>
      </c>
      <c r="L41" s="388">
        <f t="shared" si="30"/>
        <v>1.6949920529558706E-2</v>
      </c>
      <c r="M41" s="388">
        <f t="shared" si="30"/>
        <v>1.7195757051806208E-2</v>
      </c>
      <c r="N41" s="388">
        <f t="shared" si="30"/>
        <v>1.7445194511370967E-2</v>
      </c>
      <c r="O41" s="388">
        <f t="shared" si="30"/>
        <v>1.7698285839770719E-2</v>
      </c>
      <c r="P41" s="388">
        <f t="shared" si="30"/>
        <v>1.7955084748527219E-2</v>
      </c>
      <c r="Q41" s="388">
        <f t="shared" si="30"/>
        <v>1.8215645740630532E-2</v>
      </c>
      <c r="R41" s="388">
        <f t="shared" si="30"/>
        <v>1.848002412217253E-2</v>
      </c>
      <c r="S41" s="388">
        <f t="shared" si="30"/>
        <v>1.8748276014152254E-2</v>
      </c>
      <c r="T41" s="388">
        <f t="shared" si="30"/>
        <v>1.9020458364455463E-2</v>
      </c>
      <c r="U41" s="388">
        <f t="shared" si="30"/>
        <v>1.9296628960011188E-2</v>
      </c>
      <c r="V41" s="388">
        <f t="shared" si="30"/>
        <v>1.9576846439127507E-2</v>
      </c>
      <c r="W41" s="388">
        <f t="shared" si="30"/>
        <v>1.9861170304009669E-2</v>
      </c>
      <c r="X41" s="388">
        <f t="shared" si="30"/>
        <v>2.0149660933462675E-2</v>
      </c>
      <c r="Y41" s="388">
        <f t="shared" si="30"/>
        <v>2.0442379595781601E-2</v>
      </c>
      <c r="Z41" s="388">
        <f t="shared" si="30"/>
        <v>2.0739388461831886E-2</v>
      </c>
      <c r="AA41" s="388">
        <f t="shared" si="30"/>
        <v>2.1040750618322793E-2</v>
      </c>
      <c r="AB41" s="388">
        <f t="shared" si="30"/>
        <v>2.1346530081276578E-2</v>
      </c>
      <c r="AC41" s="388">
        <f t="shared" si="30"/>
        <v>2.1656791809696478E-2</v>
      </c>
      <c r="AD41" s="388">
        <f t="shared" si="30"/>
        <v>2.1971601719436226E-2</v>
      </c>
      <c r="AE41" s="388">
        <f t="shared" si="30"/>
        <v>2.2291026697274192E-2</v>
      </c>
      <c r="AF41" s="388">
        <f t="shared" si="30"/>
        <v>2.261513461519515E-2</v>
      </c>
      <c r="AG41" s="388">
        <f t="shared" si="30"/>
        <v>2.29439943448826E-2</v>
      </c>
      <c r="AH41" s="388">
        <f t="shared" si="30"/>
        <v>2.3277675772424868E-2</v>
      </c>
      <c r="AI41" s="388">
        <f t="shared" si="30"/>
        <v>2.3616249813238142E-2</v>
      </c>
      <c r="AJ41" s="388">
        <f t="shared" si="30"/>
        <v>2.3959788427209413E-2</v>
      </c>
      <c r="AK41" s="388">
        <f t="shared" si="30"/>
        <v>2.4308364634062826E-2</v>
      </c>
      <c r="AL41" s="388">
        <f t="shared" ref="AL41" si="31">AL17-AL29</f>
        <v>2.4662052528952566E-2</v>
      </c>
    </row>
    <row r="42" spans="1:38">
      <c r="D42" s="358"/>
      <c r="F42" s="464"/>
      <c r="G42" s="465"/>
      <c r="H42" s="465"/>
    </row>
    <row r="43" spans="1:38" ht="13">
      <c r="B43" s="492" t="s">
        <v>284</v>
      </c>
      <c r="C43" s="487" t="s">
        <v>292</v>
      </c>
      <c r="D43" s="488">
        <f t="shared" ref="D43:AK43" si="32">D23-D35</f>
        <v>0</v>
      </c>
      <c r="E43" s="488">
        <f t="shared" si="32"/>
        <v>0</v>
      </c>
      <c r="F43" s="488">
        <f t="shared" si="32"/>
        <v>0</v>
      </c>
      <c r="G43" s="488">
        <f t="shared" si="32"/>
        <v>0</v>
      </c>
      <c r="H43" s="488">
        <f t="shared" si="32"/>
        <v>2937.8231109010267</v>
      </c>
      <c r="I43" s="488">
        <f t="shared" si="32"/>
        <v>2946.7767033241739</v>
      </c>
      <c r="J43" s="488">
        <f t="shared" si="32"/>
        <v>2961.3308463553112</v>
      </c>
      <c r="K43" s="488">
        <f t="shared" si="32"/>
        <v>2980.0430109888512</v>
      </c>
      <c r="L43" s="488">
        <f t="shared" si="32"/>
        <v>3002.0049697560266</v>
      </c>
      <c r="M43" s="488">
        <f t="shared" si="32"/>
        <v>3026.6109042628327</v>
      </c>
      <c r="N43" s="488">
        <f t="shared" si="32"/>
        <v>3053.4386444157199</v>
      </c>
      <c r="O43" s="488">
        <f t="shared" si="32"/>
        <v>3082.1838031856673</v>
      </c>
      <c r="P43" s="488">
        <f t="shared" si="32"/>
        <v>3112.620904287116</v>
      </c>
      <c r="Q43" s="488">
        <f t="shared" si="32"/>
        <v>3144.5792647351277</v>
      </c>
      <c r="R43" s="488">
        <f t="shared" si="32"/>
        <v>3177.9274037374939</v>
      </c>
      <c r="S43" s="488">
        <f t="shared" si="32"/>
        <v>3212.5626103736463</v>
      </c>
      <c r="T43" s="488">
        <f t="shared" si="32"/>
        <v>3248.4037556329008</v>
      </c>
      <c r="U43" s="488">
        <f t="shared" si="32"/>
        <v>3285.3862133373359</v>
      </c>
      <c r="V43" s="488">
        <f t="shared" si="32"/>
        <v>3323.4581915687718</v>
      </c>
      <c r="W43" s="488">
        <f t="shared" si="32"/>
        <v>3362.5780313139385</v>
      </c>
      <c r="X43" s="488">
        <f t="shared" si="32"/>
        <v>3402.7121830908368</v>
      </c>
      <c r="Y43" s="488">
        <f t="shared" si="32"/>
        <v>3443.8336681795645</v>
      </c>
      <c r="Z43" s="488">
        <f t="shared" si="32"/>
        <v>3485.9208923361412</v>
      </c>
      <c r="AA43" s="488">
        <f t="shared" si="32"/>
        <v>3528.9567199484595</v>
      </c>
      <c r="AB43" s="488">
        <f t="shared" si="32"/>
        <v>3572.9277433820439</v>
      </c>
      <c r="AC43" s="488">
        <f t="shared" si="32"/>
        <v>3617.8237005150604</v>
      </c>
      <c r="AD43" s="488">
        <f t="shared" si="32"/>
        <v>3663.6370061156458</v>
      </c>
      <c r="AE43" s="488">
        <f t="shared" si="32"/>
        <v>3710.3623716278717</v>
      </c>
      <c r="AF43" s="488">
        <f t="shared" si="32"/>
        <v>3757.9964943028822</v>
      </c>
      <c r="AG43" s="488">
        <f t="shared" si="32"/>
        <v>3806.5378012259202</v>
      </c>
      <c r="AH43" s="488">
        <f t="shared" si="32"/>
        <v>3855.9862371735198</v>
      </c>
      <c r="AI43" s="488">
        <f t="shared" si="32"/>
        <v>3906.3430877449309</v>
      </c>
      <c r="AJ43" s="488">
        <f t="shared" si="32"/>
        <v>3957.6108310930404</v>
      </c>
      <c r="AK43" s="488">
        <f t="shared" si="32"/>
        <v>4009.7930130044333</v>
      </c>
      <c r="AL43" s="488">
        <f t="shared" ref="AL43" si="33">AL23-AL35</f>
        <v>4070.0783509775169</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753" t="s">
        <v>493</v>
      </c>
      <c r="C49" s="384" t="s">
        <v>450</v>
      </c>
      <c r="D49" s="496">
        <f>'General Inputs'!D15</f>
        <v>17.899999999999999</v>
      </c>
      <c r="E49" s="496">
        <f t="shared" ref="E49:T51" si="34">D49*(1+$C$48)</f>
        <v>17.899999999999999</v>
      </c>
      <c r="F49" s="496">
        <f t="shared" si="34"/>
        <v>17.899999999999999</v>
      </c>
      <c r="G49" s="496">
        <f t="shared" si="34"/>
        <v>17.899999999999999</v>
      </c>
      <c r="H49" s="496">
        <f t="shared" si="34"/>
        <v>17.899999999999999</v>
      </c>
      <c r="I49" s="496">
        <f t="shared" si="34"/>
        <v>17.899999999999999</v>
      </c>
      <c r="J49" s="496">
        <f t="shared" si="34"/>
        <v>17.899999999999999</v>
      </c>
      <c r="K49" s="496">
        <f t="shared" si="34"/>
        <v>17.899999999999999</v>
      </c>
      <c r="L49" s="496">
        <f t="shared" si="34"/>
        <v>17.899999999999999</v>
      </c>
      <c r="M49" s="496">
        <f t="shared" si="34"/>
        <v>17.899999999999999</v>
      </c>
      <c r="N49" s="496">
        <f t="shared" si="34"/>
        <v>17.899999999999999</v>
      </c>
      <c r="O49" s="496">
        <f t="shared" si="34"/>
        <v>17.899999999999999</v>
      </c>
      <c r="P49" s="496">
        <f t="shared" si="34"/>
        <v>17.899999999999999</v>
      </c>
      <c r="Q49" s="496">
        <f t="shared" si="34"/>
        <v>17.899999999999999</v>
      </c>
      <c r="R49" s="496">
        <f t="shared" si="34"/>
        <v>17.899999999999999</v>
      </c>
      <c r="S49" s="496">
        <f t="shared" si="34"/>
        <v>17.899999999999999</v>
      </c>
      <c r="T49" s="496">
        <f t="shared" si="34"/>
        <v>17.899999999999999</v>
      </c>
      <c r="U49" s="496">
        <f t="shared" ref="U49:AJ51" si="35">T49*(1+$C$48)</f>
        <v>17.899999999999999</v>
      </c>
      <c r="V49" s="496">
        <f t="shared" si="35"/>
        <v>17.899999999999999</v>
      </c>
      <c r="W49" s="496">
        <f t="shared" si="35"/>
        <v>17.899999999999999</v>
      </c>
      <c r="X49" s="496">
        <f t="shared" si="35"/>
        <v>17.899999999999999</v>
      </c>
      <c r="Y49" s="496">
        <f t="shared" si="35"/>
        <v>17.899999999999999</v>
      </c>
      <c r="Z49" s="496">
        <f t="shared" si="35"/>
        <v>17.899999999999999</v>
      </c>
      <c r="AA49" s="496">
        <f t="shared" si="35"/>
        <v>17.899999999999999</v>
      </c>
      <c r="AB49" s="496">
        <f t="shared" si="35"/>
        <v>17.899999999999999</v>
      </c>
      <c r="AC49" s="496">
        <f t="shared" si="35"/>
        <v>17.899999999999999</v>
      </c>
      <c r="AD49" s="496">
        <f t="shared" si="35"/>
        <v>17.899999999999999</v>
      </c>
      <c r="AE49" s="496">
        <f t="shared" si="35"/>
        <v>17.899999999999999</v>
      </c>
      <c r="AF49" s="496">
        <f t="shared" si="35"/>
        <v>17.899999999999999</v>
      </c>
      <c r="AG49" s="496">
        <f t="shared" si="35"/>
        <v>17.899999999999999</v>
      </c>
      <c r="AH49" s="496">
        <f t="shared" si="35"/>
        <v>17.899999999999999</v>
      </c>
      <c r="AI49" s="496">
        <f t="shared" si="35"/>
        <v>17.899999999999999</v>
      </c>
      <c r="AJ49" s="496">
        <f t="shared" si="35"/>
        <v>17.899999999999999</v>
      </c>
      <c r="AK49" s="496">
        <f t="shared" ref="AJ49:AL51" si="36">AJ49*(1+$C$48)</f>
        <v>17.899999999999999</v>
      </c>
      <c r="AL49" s="496">
        <f t="shared" si="36"/>
        <v>17.899999999999999</v>
      </c>
    </row>
    <row r="50" spans="1:38">
      <c r="B50" s="754" t="s">
        <v>494</v>
      </c>
      <c r="C50" s="384" t="s">
        <v>450</v>
      </c>
      <c r="D50" s="496">
        <f>'General Inputs'!D16</f>
        <v>30.8</v>
      </c>
      <c r="E50" s="496">
        <f t="shared" si="34"/>
        <v>30.8</v>
      </c>
      <c r="F50" s="496">
        <f t="shared" si="34"/>
        <v>30.8</v>
      </c>
      <c r="G50" s="496">
        <f t="shared" si="34"/>
        <v>30.8</v>
      </c>
      <c r="H50" s="496">
        <f t="shared" si="34"/>
        <v>30.8</v>
      </c>
      <c r="I50" s="496">
        <f t="shared" si="34"/>
        <v>30.8</v>
      </c>
      <c r="J50" s="496">
        <f t="shared" si="34"/>
        <v>30.8</v>
      </c>
      <c r="K50" s="496">
        <f t="shared" si="34"/>
        <v>30.8</v>
      </c>
      <c r="L50" s="496">
        <f t="shared" si="34"/>
        <v>30.8</v>
      </c>
      <c r="M50" s="496">
        <f t="shared" si="34"/>
        <v>30.8</v>
      </c>
      <c r="N50" s="496">
        <f t="shared" si="34"/>
        <v>30.8</v>
      </c>
      <c r="O50" s="496">
        <f t="shared" si="34"/>
        <v>30.8</v>
      </c>
      <c r="P50" s="496">
        <f t="shared" si="34"/>
        <v>30.8</v>
      </c>
      <c r="Q50" s="496">
        <f t="shared" si="34"/>
        <v>30.8</v>
      </c>
      <c r="R50" s="496">
        <f t="shared" si="34"/>
        <v>30.8</v>
      </c>
      <c r="S50" s="496">
        <f t="shared" si="34"/>
        <v>30.8</v>
      </c>
      <c r="T50" s="496">
        <f t="shared" si="34"/>
        <v>30.8</v>
      </c>
      <c r="U50" s="496">
        <f t="shared" si="35"/>
        <v>30.8</v>
      </c>
      <c r="V50" s="496">
        <f t="shared" si="35"/>
        <v>30.8</v>
      </c>
      <c r="W50" s="496">
        <f t="shared" si="35"/>
        <v>30.8</v>
      </c>
      <c r="X50" s="496">
        <f t="shared" si="35"/>
        <v>30.8</v>
      </c>
      <c r="Y50" s="496">
        <f t="shared" si="35"/>
        <v>30.8</v>
      </c>
      <c r="Z50" s="496">
        <f t="shared" si="35"/>
        <v>30.8</v>
      </c>
      <c r="AA50" s="496">
        <f t="shared" si="35"/>
        <v>30.8</v>
      </c>
      <c r="AB50" s="496">
        <f t="shared" si="35"/>
        <v>30.8</v>
      </c>
      <c r="AC50" s="496">
        <f t="shared" si="35"/>
        <v>30.8</v>
      </c>
      <c r="AD50" s="496">
        <f t="shared" si="35"/>
        <v>30.8</v>
      </c>
      <c r="AE50" s="496">
        <f t="shared" si="35"/>
        <v>30.8</v>
      </c>
      <c r="AF50" s="496">
        <f t="shared" si="35"/>
        <v>30.8</v>
      </c>
      <c r="AG50" s="496">
        <f t="shared" si="35"/>
        <v>30.8</v>
      </c>
      <c r="AH50" s="496">
        <f t="shared" si="35"/>
        <v>30.8</v>
      </c>
      <c r="AI50" s="496">
        <f t="shared" si="35"/>
        <v>30.8</v>
      </c>
      <c r="AJ50" s="496">
        <f t="shared" si="36"/>
        <v>30.8</v>
      </c>
      <c r="AK50" s="496">
        <f t="shared" si="36"/>
        <v>30.8</v>
      </c>
      <c r="AL50" s="496">
        <f t="shared" si="36"/>
        <v>30.8</v>
      </c>
    </row>
    <row r="51" spans="1:38">
      <c r="B51" s="754" t="s">
        <v>773</v>
      </c>
      <c r="C51" s="384" t="s">
        <v>450</v>
      </c>
      <c r="D51" s="496">
        <f>'General Inputs'!D17</f>
        <v>31.7</v>
      </c>
      <c r="E51" s="496">
        <f t="shared" si="34"/>
        <v>31.7</v>
      </c>
      <c r="F51" s="496">
        <f t="shared" si="34"/>
        <v>31.7</v>
      </c>
      <c r="G51" s="496">
        <f t="shared" si="34"/>
        <v>31.7</v>
      </c>
      <c r="H51" s="496">
        <f t="shared" si="34"/>
        <v>31.7</v>
      </c>
      <c r="I51" s="496">
        <f t="shared" si="34"/>
        <v>31.7</v>
      </c>
      <c r="J51" s="496">
        <f t="shared" si="34"/>
        <v>31.7</v>
      </c>
      <c r="K51" s="496">
        <f t="shared" si="34"/>
        <v>31.7</v>
      </c>
      <c r="L51" s="496">
        <f t="shared" si="34"/>
        <v>31.7</v>
      </c>
      <c r="M51" s="496">
        <f t="shared" si="34"/>
        <v>31.7</v>
      </c>
      <c r="N51" s="496">
        <f t="shared" si="34"/>
        <v>31.7</v>
      </c>
      <c r="O51" s="496">
        <f t="shared" si="34"/>
        <v>31.7</v>
      </c>
      <c r="P51" s="496">
        <f t="shared" si="34"/>
        <v>31.7</v>
      </c>
      <c r="Q51" s="496">
        <f t="shared" si="34"/>
        <v>31.7</v>
      </c>
      <c r="R51" s="496">
        <f t="shared" si="34"/>
        <v>31.7</v>
      </c>
      <c r="S51" s="496">
        <f t="shared" si="34"/>
        <v>31.7</v>
      </c>
      <c r="T51" s="496">
        <f t="shared" si="34"/>
        <v>31.7</v>
      </c>
      <c r="U51" s="496">
        <f t="shared" si="35"/>
        <v>31.7</v>
      </c>
      <c r="V51" s="496">
        <f t="shared" si="35"/>
        <v>31.7</v>
      </c>
      <c r="W51" s="496">
        <f t="shared" si="35"/>
        <v>31.7</v>
      </c>
      <c r="X51" s="496">
        <f t="shared" si="35"/>
        <v>31.7</v>
      </c>
      <c r="Y51" s="496">
        <f t="shared" si="35"/>
        <v>31.7</v>
      </c>
      <c r="Z51" s="496">
        <f t="shared" si="35"/>
        <v>31.7</v>
      </c>
      <c r="AA51" s="496">
        <f t="shared" si="35"/>
        <v>31.7</v>
      </c>
      <c r="AB51" s="496">
        <f t="shared" si="35"/>
        <v>31.7</v>
      </c>
      <c r="AC51" s="496">
        <f t="shared" si="35"/>
        <v>31.7</v>
      </c>
      <c r="AD51" s="496">
        <f t="shared" si="35"/>
        <v>31.7</v>
      </c>
      <c r="AE51" s="496">
        <f t="shared" si="35"/>
        <v>31.7</v>
      </c>
      <c r="AF51" s="496">
        <f t="shared" si="35"/>
        <v>31.7</v>
      </c>
      <c r="AG51" s="496">
        <f t="shared" si="35"/>
        <v>31.7</v>
      </c>
      <c r="AH51" s="496">
        <f t="shared" si="35"/>
        <v>31.7</v>
      </c>
      <c r="AI51" s="496">
        <f t="shared" si="35"/>
        <v>31.7</v>
      </c>
      <c r="AJ51" s="496">
        <f t="shared" si="36"/>
        <v>31.7</v>
      </c>
      <c r="AK51" s="496">
        <f t="shared" si="36"/>
        <v>31.7</v>
      </c>
      <c r="AL51" s="496">
        <f t="shared" si="36"/>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Private!D25</f>
        <v>116.73468128387027</v>
      </c>
      <c r="E55" s="383">
        <f>Private!E25</f>
        <v>121.45232144671728</v>
      </c>
      <c r="F55" s="383">
        <f>Private!F25</f>
        <v>126.36061727813961</v>
      </c>
      <c r="G55" s="383">
        <f>Private!G25</f>
        <v>131.46727381343146</v>
      </c>
      <c r="H55" s="383">
        <f>Private!H25</f>
        <v>136.78030747421676</v>
      </c>
      <c r="I55" s="383">
        <f>Private!I25</f>
        <v>142.30805865261561</v>
      </c>
      <c r="J55" s="383">
        <f>Private!J25</f>
        <v>148.05920480397896</v>
      </c>
      <c r="K55" s="383">
        <f>Private!K25</f>
        <v>154.04277406874513</v>
      </c>
      <c r="L55" s="383">
        <f>Private!L25</f>
        <v>160.26815944480032</v>
      </c>
      <c r="M55" s="383">
        <f>Private!M25</f>
        <v>166.74513353259294</v>
      </c>
      <c r="N55" s="383">
        <f>Private!N25</f>
        <v>173.48386387614624</v>
      </c>
      <c r="O55" s="383">
        <f>Private!O25</f>
        <v>180.49492892405394</v>
      </c>
      <c r="P55" s="383">
        <f>Private!P25</f>
        <v>187.78933463551223</v>
      </c>
      <c r="Q55" s="383">
        <f>Private!Q25</f>
        <v>195.37853175745801</v>
      </c>
      <c r="R55" s="383">
        <f>Private!R25</f>
        <v>203.27443379993363</v>
      </c>
      <c r="S55" s="383">
        <f>Private!S25</f>
        <v>211.48943573789722</v>
      </c>
      <c r="T55" s="383">
        <f>Private!T25</f>
        <v>220.0364334688347</v>
      </c>
      <c r="U55" s="383">
        <f>Private!U25</f>
        <v>228.92884405672061</v>
      </c>
      <c r="V55" s="383">
        <f>Private!V25</f>
        <v>238.18062679410451</v>
      </c>
      <c r="W55" s="383">
        <f>Private!W25</f>
        <v>247.80630511538666</v>
      </c>
      <c r="X55" s="383">
        <f>Private!X25</f>
        <v>257.82098939568374</v>
      </c>
      <c r="Y55" s="383">
        <f>Private!Y25</f>
        <v>268.24040067107217</v>
      </c>
      <c r="Z55" s="383">
        <f>Private!Z25</f>
        <v>279.0808953174465</v>
      </c>
      <c r="AA55" s="383">
        <f>Private!AA25</f>
        <v>290.35949072673395</v>
      </c>
      <c r="AB55" s="383">
        <f>Private!AB25</f>
        <v>302.09389202076892</v>
      </c>
      <c r="AC55" s="383">
        <f>Private!AC25</f>
        <v>314.30251984476826</v>
      </c>
      <c r="AD55" s="383">
        <f>Private!AD25</f>
        <v>327.00453928402959</v>
      </c>
      <c r="AE55" s="383">
        <f>Private!AE25</f>
        <v>340.21988994925437</v>
      </c>
      <c r="AF55" s="383">
        <f>Private!AF25</f>
        <v>353.96931727771835</v>
      </c>
      <c r="AG55" s="383">
        <f>Private!AG25</f>
        <v>368.27440509942676</v>
      </c>
      <c r="AH55" s="383">
        <f>Private!AH25</f>
        <v>383.15760951937744</v>
      </c>
      <c r="AI55" s="383">
        <f>Private!AI25</f>
        <v>398.64229416912099</v>
      </c>
      <c r="AJ55" s="383">
        <f>Private!AJ25</f>
        <v>414.75276688295332</v>
      </c>
      <c r="AK55" s="383">
        <f>Private!AK25</f>
        <v>431.51431785631672</v>
      </c>
      <c r="AL55" s="383">
        <f>Private!AL25</f>
        <v>448.95325934631035</v>
      </c>
    </row>
    <row r="56" spans="1:38">
      <c r="B56" s="385" t="s">
        <v>509</v>
      </c>
      <c r="C56" s="386" t="s">
        <v>443</v>
      </c>
      <c r="D56" s="383">
        <f>Private!D26</f>
        <v>0.58660643861241346</v>
      </c>
      <c r="E56" s="383">
        <f>Private!E26</f>
        <v>0.61031317309908184</v>
      </c>
      <c r="F56" s="383">
        <f>Private!F26</f>
        <v>0.63497797627205832</v>
      </c>
      <c r="G56" s="383">
        <f>Private!G26</f>
        <v>0.6606395669016657</v>
      </c>
      <c r="H56" s="383">
        <f>Private!H26</f>
        <v>0.68733822851365201</v>
      </c>
      <c r="I56" s="383">
        <f>Private!I26</f>
        <v>0.71511587262620913</v>
      </c>
      <c r="J56" s="383">
        <f>Private!J26</f>
        <v>0.7440161045426078</v>
      </c>
      <c r="K56" s="383">
        <f>Private!K26</f>
        <v>0.77408429180273941</v>
      </c>
      <c r="L56" s="383">
        <f>Private!L26</f>
        <v>0.80536763540100664</v>
      </c>
      <c r="M56" s="383">
        <f>Private!M26</f>
        <v>0.83791524388237659</v>
      </c>
      <c r="N56" s="383">
        <f>Private!N26</f>
        <v>0.87177821043289572</v>
      </c>
      <c r="O56" s="383">
        <f>Private!O26</f>
        <v>0.90700969308569823</v>
      </c>
      <c r="P56" s="383">
        <f>Private!P26</f>
        <v>0.94366499816840321</v>
      </c>
      <c r="Q56" s="383">
        <f>Private!Q26</f>
        <v>0.98180166712290462</v>
      </c>
      <c r="R56" s="383">
        <f>Private!R26</f>
        <v>1.0214795668338374</v>
      </c>
      <c r="S56" s="383">
        <f>Private!S26</f>
        <v>1.0627609836075238</v>
      </c>
      <c r="T56" s="383">
        <f>Private!T26</f>
        <v>1.1057107209489181</v>
      </c>
      <c r="U56" s="383">
        <f>Private!U26</f>
        <v>1.1503962012900533</v>
      </c>
      <c r="V56" s="383">
        <f>Private!V26</f>
        <v>1.196887571829671</v>
      </c>
      <c r="W56" s="383">
        <f>Private!W26</f>
        <v>1.2452578146501843</v>
      </c>
      <c r="X56" s="383">
        <f>Private!X26</f>
        <v>1.295582861284843</v>
      </c>
      <c r="Y56" s="383">
        <f>Private!Y26</f>
        <v>1.3479417119149355</v>
      </c>
      <c r="Z56" s="383">
        <f>Private!Z26</f>
        <v>1.4024165593841533</v>
      </c>
      <c r="AA56" s="383">
        <f>Private!AA26</f>
        <v>1.4590929182247936</v>
      </c>
      <c r="AB56" s="383">
        <f>Private!AB26</f>
        <v>1.5180597588983364</v>
      </c>
      <c r="AC56" s="383">
        <f>Private!AC26</f>
        <v>1.579409647461147</v>
      </c>
      <c r="AD56" s="383">
        <f>Private!AD26</f>
        <v>1.6432388908745206</v>
      </c>
      <c r="AE56" s="383">
        <f>Private!AE26</f>
        <v>1.7096476881872078</v>
      </c>
      <c r="AF56" s="383">
        <f>Private!AF26</f>
        <v>1.7787402878277305</v>
      </c>
      <c r="AG56" s="383">
        <f>Private!AG26</f>
        <v>1.8506251512534007</v>
      </c>
      <c r="AH56" s="383">
        <f>Private!AH26</f>
        <v>1.9254151232129519</v>
      </c>
      <c r="AI56" s="383">
        <f>Private!AI26</f>
        <v>2.0032276088900551</v>
      </c>
      <c r="AJ56" s="383">
        <f>Private!AJ26</f>
        <v>2.084184758205796</v>
      </c>
      <c r="AK56" s="383">
        <f>Private!AK26</f>
        <v>2.1684136575694306</v>
      </c>
      <c r="AL56" s="383">
        <f>Private!AL26</f>
        <v>2.2560465293784442</v>
      </c>
    </row>
    <row r="57" spans="1:38">
      <c r="B57" s="358" t="s">
        <v>769</v>
      </c>
      <c r="C57" s="358" t="s">
        <v>443</v>
      </c>
      <c r="D57" s="383">
        <f>Private!D27</f>
        <v>0</v>
      </c>
      <c r="E57" s="383">
        <f>Private!E27</f>
        <v>0</v>
      </c>
      <c r="F57" s="383">
        <f>Private!F27</f>
        <v>0</v>
      </c>
      <c r="G57" s="383">
        <f>Private!G27</f>
        <v>0</v>
      </c>
      <c r="H57" s="383">
        <f>Private!H27</f>
        <v>0</v>
      </c>
      <c r="I57" s="383">
        <f>Private!I27</f>
        <v>0</v>
      </c>
      <c r="J57" s="383">
        <f>Private!J27</f>
        <v>0</v>
      </c>
      <c r="K57" s="383">
        <f>Private!K27</f>
        <v>0</v>
      </c>
      <c r="L57" s="383">
        <f>Private!L27</f>
        <v>0</v>
      </c>
      <c r="M57" s="383">
        <f>Private!M27</f>
        <v>0</v>
      </c>
      <c r="N57" s="383">
        <f>Private!N27</f>
        <v>0</v>
      </c>
      <c r="O57" s="383">
        <f>Private!O27</f>
        <v>0</v>
      </c>
      <c r="P57" s="383">
        <f>Private!P27</f>
        <v>0</v>
      </c>
      <c r="Q57" s="383">
        <f>Private!Q27</f>
        <v>0</v>
      </c>
      <c r="R57" s="383">
        <f>Private!R27</f>
        <v>0</v>
      </c>
      <c r="S57" s="383">
        <f>Private!S27</f>
        <v>0</v>
      </c>
      <c r="T57" s="383">
        <f>Private!T27</f>
        <v>0</v>
      </c>
      <c r="U57" s="383">
        <f>Private!U27</f>
        <v>0</v>
      </c>
      <c r="V57" s="383">
        <f>Private!V27</f>
        <v>0</v>
      </c>
      <c r="W57" s="383">
        <f>Private!W27</f>
        <v>0</v>
      </c>
      <c r="X57" s="383">
        <f>Private!X27</f>
        <v>0</v>
      </c>
      <c r="Y57" s="383">
        <f>Private!Y27</f>
        <v>0</v>
      </c>
      <c r="Z57" s="383">
        <f>Private!Z27</f>
        <v>0</v>
      </c>
      <c r="AA57" s="383">
        <f>Private!AA27</f>
        <v>0</v>
      </c>
      <c r="AB57" s="383">
        <f>Private!AB27</f>
        <v>0</v>
      </c>
      <c r="AC57" s="383">
        <f>Private!AC27</f>
        <v>0</v>
      </c>
      <c r="AD57" s="383">
        <f>Private!AD27</f>
        <v>0</v>
      </c>
      <c r="AE57" s="383">
        <f>Private!AE27</f>
        <v>0</v>
      </c>
      <c r="AF57" s="383">
        <f>Private!AF27</f>
        <v>0</v>
      </c>
      <c r="AG57" s="383">
        <f>Private!AG27</f>
        <v>0</v>
      </c>
      <c r="AH57" s="383">
        <f>Private!AH27</f>
        <v>0</v>
      </c>
      <c r="AI57" s="383">
        <f>Private!AI27</f>
        <v>0</v>
      </c>
      <c r="AJ57" s="383">
        <f>Private!AJ27</f>
        <v>0</v>
      </c>
      <c r="AK57" s="383">
        <f>Private!AK27</f>
        <v>0</v>
      </c>
      <c r="AL57" s="383">
        <f>Private!AL27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194.94691774406334</v>
      </c>
      <c r="E62" s="383">
        <f t="shared" ref="E62:AK64" si="37">E55*$C59</f>
        <v>202.82537681601784</v>
      </c>
      <c r="F62" s="383">
        <f t="shared" si="37"/>
        <v>211.02223085449316</v>
      </c>
      <c r="G62" s="383">
        <f t="shared" si="37"/>
        <v>219.55034726843053</v>
      </c>
      <c r="H62" s="383">
        <f t="shared" si="37"/>
        <v>228.42311348194198</v>
      </c>
      <c r="I62" s="383">
        <f t="shared" si="37"/>
        <v>237.65445794986806</v>
      </c>
      <c r="J62" s="383">
        <f t="shared" si="37"/>
        <v>247.25887202264485</v>
      </c>
      <c r="K62" s="383">
        <f t="shared" si="37"/>
        <v>257.25143269480435</v>
      </c>
      <c r="L62" s="383">
        <f t="shared" si="37"/>
        <v>267.64782627281653</v>
      </c>
      <c r="M62" s="383">
        <f t="shared" si="37"/>
        <v>278.46437299943022</v>
      </c>
      <c r="N62" s="383">
        <f t="shared" si="37"/>
        <v>289.71805267316421</v>
      </c>
      <c r="O62" s="383">
        <f t="shared" si="37"/>
        <v>301.42653130317007</v>
      </c>
      <c r="P62" s="383">
        <f t="shared" si="37"/>
        <v>313.60818884130543</v>
      </c>
      <c r="Q62" s="383">
        <f t="shared" si="37"/>
        <v>326.28214803495484</v>
      </c>
      <c r="R62" s="383">
        <f t="shared" si="37"/>
        <v>339.46830444588915</v>
      </c>
      <c r="S62" s="383">
        <f t="shared" si="37"/>
        <v>353.18735768228834</v>
      </c>
      <c r="T62" s="383">
        <f t="shared" si="37"/>
        <v>367.46084389295396</v>
      </c>
      <c r="U62" s="383">
        <f t="shared" si="37"/>
        <v>382.31116957472341</v>
      </c>
      <c r="V62" s="383">
        <f t="shared" si="37"/>
        <v>397.7616467461545</v>
      </c>
      <c r="W62" s="383">
        <f t="shared" si="37"/>
        <v>413.8365295426957</v>
      </c>
      <c r="X62" s="383">
        <f t="shared" si="37"/>
        <v>430.56105229079185</v>
      </c>
      <c r="Y62" s="383">
        <f t="shared" si="37"/>
        <v>447.96146912069048</v>
      </c>
      <c r="Z62" s="383">
        <f t="shared" si="37"/>
        <v>466.06509518013564</v>
      </c>
      <c r="AA62" s="383">
        <f t="shared" si="37"/>
        <v>484.90034951364566</v>
      </c>
      <c r="AB62" s="383">
        <f t="shared" si="37"/>
        <v>504.4967996746841</v>
      </c>
      <c r="AC62" s="383">
        <f t="shared" si="37"/>
        <v>524.88520814076298</v>
      </c>
      <c r="AD62" s="383">
        <f t="shared" si="37"/>
        <v>546.09758060432944</v>
      </c>
      <c r="AE62" s="383">
        <f t="shared" si="37"/>
        <v>568.16721621525471</v>
      </c>
      <c r="AF62" s="383">
        <f t="shared" si="37"/>
        <v>591.12875985378957</v>
      </c>
      <c r="AG62" s="383">
        <f t="shared" si="37"/>
        <v>615.0182565160427</v>
      </c>
      <c r="AH62" s="383">
        <f t="shared" si="37"/>
        <v>639.87320789736032</v>
      </c>
      <c r="AI62" s="383">
        <f t="shared" si="37"/>
        <v>665.73263126243205</v>
      </c>
      <c r="AJ62" s="383">
        <f t="shared" si="37"/>
        <v>692.63712069453197</v>
      </c>
      <c r="AK62" s="383">
        <f t="shared" si="37"/>
        <v>720.62891082004887</v>
      </c>
      <c r="AL62" s="383">
        <f t="shared" ref="AL62" si="38">AL55*$C59</f>
        <v>749.7519431083382</v>
      </c>
    </row>
    <row r="63" spans="1:38">
      <c r="B63" s="472" t="s">
        <v>513</v>
      </c>
      <c r="C63" s="386" t="s">
        <v>443</v>
      </c>
      <c r="D63" s="383">
        <f>D56*$C60</f>
        <v>0.58660643861241346</v>
      </c>
      <c r="E63" s="383">
        <f t="shared" si="37"/>
        <v>0.61031317309908184</v>
      </c>
      <c r="F63" s="383">
        <f t="shared" si="37"/>
        <v>0.63497797627205832</v>
      </c>
      <c r="G63" s="383">
        <f t="shared" si="37"/>
        <v>0.6606395669016657</v>
      </c>
      <c r="H63" s="383">
        <f t="shared" si="37"/>
        <v>0.68733822851365201</v>
      </c>
      <c r="I63" s="383">
        <f t="shared" si="37"/>
        <v>0.71511587262620913</v>
      </c>
      <c r="J63" s="383">
        <f t="shared" si="37"/>
        <v>0.7440161045426078</v>
      </c>
      <c r="K63" s="383">
        <f t="shared" si="37"/>
        <v>0.77408429180273941</v>
      </c>
      <c r="L63" s="383">
        <f t="shared" si="37"/>
        <v>0.80536763540100664</v>
      </c>
      <c r="M63" s="383">
        <f t="shared" si="37"/>
        <v>0.83791524388237659</v>
      </c>
      <c r="N63" s="383">
        <f t="shared" si="37"/>
        <v>0.87177821043289572</v>
      </c>
      <c r="O63" s="383">
        <f t="shared" si="37"/>
        <v>0.90700969308569823</v>
      </c>
      <c r="P63" s="383">
        <f t="shared" si="37"/>
        <v>0.94366499816840321</v>
      </c>
      <c r="Q63" s="383">
        <f t="shared" si="37"/>
        <v>0.98180166712290462</v>
      </c>
      <c r="R63" s="383">
        <f t="shared" si="37"/>
        <v>1.0214795668338374</v>
      </c>
      <c r="S63" s="383">
        <f t="shared" si="37"/>
        <v>1.0627609836075238</v>
      </c>
      <c r="T63" s="383">
        <f t="shared" si="37"/>
        <v>1.1057107209489181</v>
      </c>
      <c r="U63" s="383">
        <f t="shared" si="37"/>
        <v>1.1503962012900533</v>
      </c>
      <c r="V63" s="383">
        <f t="shared" si="37"/>
        <v>1.196887571829671</v>
      </c>
      <c r="W63" s="383">
        <f t="shared" si="37"/>
        <v>1.2452578146501843</v>
      </c>
      <c r="X63" s="383">
        <f t="shared" si="37"/>
        <v>1.295582861284843</v>
      </c>
      <c r="Y63" s="383">
        <f t="shared" si="37"/>
        <v>1.3479417119149355</v>
      </c>
      <c r="Z63" s="383">
        <f t="shared" si="37"/>
        <v>1.4024165593841533</v>
      </c>
      <c r="AA63" s="383">
        <f t="shared" si="37"/>
        <v>1.4590929182247936</v>
      </c>
      <c r="AB63" s="383">
        <f t="shared" si="37"/>
        <v>1.5180597588983364</v>
      </c>
      <c r="AC63" s="383">
        <f t="shared" si="37"/>
        <v>1.579409647461147</v>
      </c>
      <c r="AD63" s="383">
        <f t="shared" si="37"/>
        <v>1.6432388908745206</v>
      </c>
      <c r="AE63" s="383">
        <f t="shared" si="37"/>
        <v>1.7096476881872078</v>
      </c>
      <c r="AF63" s="383">
        <f t="shared" si="37"/>
        <v>1.7787402878277305</v>
      </c>
      <c r="AG63" s="383">
        <f t="shared" si="37"/>
        <v>1.8506251512534007</v>
      </c>
      <c r="AH63" s="383">
        <f t="shared" si="37"/>
        <v>1.9254151232129519</v>
      </c>
      <c r="AI63" s="383">
        <f t="shared" si="37"/>
        <v>2.0032276088900551</v>
      </c>
      <c r="AJ63" s="383">
        <f t="shared" si="37"/>
        <v>2.084184758205796</v>
      </c>
      <c r="AK63" s="383">
        <f t="shared" si="37"/>
        <v>2.1684136575694306</v>
      </c>
      <c r="AL63" s="383">
        <f t="shared" ref="AL63" si="39">AL56*$C60</f>
        <v>2.2560465293784442</v>
      </c>
    </row>
    <row r="64" spans="1:38">
      <c r="B64" s="472" t="s">
        <v>752</v>
      </c>
      <c r="C64" s="386" t="s">
        <v>443</v>
      </c>
      <c r="D64" s="383">
        <f>D57*$C61</f>
        <v>0</v>
      </c>
      <c r="E64" s="383">
        <f t="shared" si="37"/>
        <v>0</v>
      </c>
      <c r="F64" s="383">
        <f t="shared" si="37"/>
        <v>0</v>
      </c>
      <c r="G64" s="383">
        <f t="shared" si="37"/>
        <v>0</v>
      </c>
      <c r="H64" s="383">
        <f t="shared" si="37"/>
        <v>0</v>
      </c>
      <c r="I64" s="383">
        <f t="shared" si="37"/>
        <v>0</v>
      </c>
      <c r="J64" s="383">
        <f t="shared" si="37"/>
        <v>0</v>
      </c>
      <c r="K64" s="383">
        <f t="shared" si="37"/>
        <v>0</v>
      </c>
      <c r="L64" s="383">
        <f t="shared" si="37"/>
        <v>0</v>
      </c>
      <c r="M64" s="383">
        <f t="shared" si="37"/>
        <v>0</v>
      </c>
      <c r="N64" s="383">
        <f t="shared" si="37"/>
        <v>0</v>
      </c>
      <c r="O64" s="383">
        <f t="shared" si="37"/>
        <v>0</v>
      </c>
      <c r="P64" s="383">
        <f t="shared" si="37"/>
        <v>0</v>
      </c>
      <c r="Q64" s="383">
        <f t="shared" si="37"/>
        <v>0</v>
      </c>
      <c r="R64" s="383">
        <f t="shared" si="37"/>
        <v>0</v>
      </c>
      <c r="S64" s="383">
        <f t="shared" si="37"/>
        <v>0</v>
      </c>
      <c r="T64" s="383">
        <f t="shared" si="37"/>
        <v>0</v>
      </c>
      <c r="U64" s="383">
        <f t="shared" si="37"/>
        <v>0</v>
      </c>
      <c r="V64" s="383">
        <f t="shared" si="37"/>
        <v>0</v>
      </c>
      <c r="W64" s="383">
        <f t="shared" si="37"/>
        <v>0</v>
      </c>
      <c r="X64" s="383">
        <f t="shared" si="37"/>
        <v>0</v>
      </c>
      <c r="Y64" s="383">
        <f t="shared" si="37"/>
        <v>0</v>
      </c>
      <c r="Z64" s="383">
        <f t="shared" si="37"/>
        <v>0</v>
      </c>
      <c r="AA64" s="383">
        <f t="shared" si="37"/>
        <v>0</v>
      </c>
      <c r="AB64" s="383">
        <f t="shared" si="37"/>
        <v>0</v>
      </c>
      <c r="AC64" s="383">
        <f t="shared" si="37"/>
        <v>0</v>
      </c>
      <c r="AD64" s="383">
        <f t="shared" si="37"/>
        <v>0</v>
      </c>
      <c r="AE64" s="383">
        <f t="shared" si="37"/>
        <v>0</v>
      </c>
      <c r="AF64" s="383">
        <f t="shared" si="37"/>
        <v>0</v>
      </c>
      <c r="AG64" s="383">
        <f t="shared" si="37"/>
        <v>0</v>
      </c>
      <c r="AH64" s="383">
        <f t="shared" si="37"/>
        <v>0</v>
      </c>
      <c r="AI64" s="383">
        <f t="shared" si="37"/>
        <v>0</v>
      </c>
      <c r="AJ64" s="383">
        <f t="shared" si="37"/>
        <v>0</v>
      </c>
      <c r="AK64" s="383">
        <f t="shared" si="37"/>
        <v>0</v>
      </c>
      <c r="AL64" s="383">
        <f t="shared" ref="AL64" si="40">AL57*$C61</f>
        <v>0</v>
      </c>
    </row>
    <row r="65" spans="1:38">
      <c r="D65" s="358"/>
      <c r="F65" s="464"/>
      <c r="G65" s="465"/>
      <c r="H65" s="465"/>
    </row>
    <row r="66" spans="1:38" ht="13">
      <c r="B66" s="364" t="s">
        <v>526</v>
      </c>
      <c r="C66" s="487" t="s">
        <v>292</v>
      </c>
      <c r="D66" s="488">
        <f>SUMPRODUCT(D62:D64,D49:D51)</f>
        <v>3507.6173059279959</v>
      </c>
      <c r="E66" s="488">
        <f t="shared" ref="E66:AK66" si="41">SUMPRODUCT(E62:E64,E49:E51)</f>
        <v>3649.3718907381708</v>
      </c>
      <c r="F66" s="488">
        <f t="shared" si="41"/>
        <v>3796.8552539646071</v>
      </c>
      <c r="G66" s="488">
        <f t="shared" si="41"/>
        <v>3950.2989147654775</v>
      </c>
      <c r="H66" s="488">
        <f t="shared" si="41"/>
        <v>4109.943748764982</v>
      </c>
      <c r="I66" s="488">
        <f t="shared" si="41"/>
        <v>4276.0403661795253</v>
      </c>
      <c r="J66" s="488">
        <f t="shared" si="41"/>
        <v>4448.8495052252547</v>
      </c>
      <c r="K66" s="488">
        <f t="shared" si="41"/>
        <v>4628.6424414245221</v>
      </c>
      <c r="L66" s="488">
        <f t="shared" si="41"/>
        <v>4815.7014134537658</v>
      </c>
      <c r="M66" s="488">
        <f t="shared" si="41"/>
        <v>5010.3200662013778</v>
      </c>
      <c r="N66" s="488">
        <f t="shared" si="41"/>
        <v>5212.8039117309727</v>
      </c>
      <c r="O66" s="488">
        <f t="shared" si="41"/>
        <v>5423.4708088737834</v>
      </c>
      <c r="P66" s="488">
        <f t="shared" si="41"/>
        <v>5642.6514622029536</v>
      </c>
      <c r="Q66" s="488">
        <f t="shared" si="41"/>
        <v>5870.6899411730765</v>
      </c>
      <c r="R66" s="488">
        <f t="shared" si="41"/>
        <v>6107.9442202398968</v>
      </c>
      <c r="S66" s="488">
        <f t="shared" si="41"/>
        <v>6354.786740808072</v>
      </c>
      <c r="T66" s="488">
        <f t="shared" si="41"/>
        <v>6611.6049958891026</v>
      </c>
      <c r="U66" s="488">
        <f t="shared" si="41"/>
        <v>6878.802138387282</v>
      </c>
      <c r="V66" s="488">
        <f t="shared" si="41"/>
        <v>7156.7976139685188</v>
      </c>
      <c r="W66" s="488">
        <f t="shared" si="41"/>
        <v>7446.027819505478</v>
      </c>
      <c r="X66" s="488">
        <f t="shared" si="41"/>
        <v>7746.9467881327473</v>
      </c>
      <c r="Y66" s="488">
        <f t="shared" si="41"/>
        <v>8060.0269019873394</v>
      </c>
      <c r="Z66" s="488">
        <f t="shared" si="41"/>
        <v>8385.7596337534596</v>
      </c>
      <c r="AA66" s="488">
        <f t="shared" si="41"/>
        <v>8724.656318175581</v>
      </c>
      <c r="AB66" s="488">
        <f t="shared" si="41"/>
        <v>9077.2489547509122</v>
      </c>
      <c r="AC66" s="488">
        <f t="shared" si="41"/>
        <v>9444.0910428614607</v>
      </c>
      <c r="AD66" s="488">
        <f t="shared" si="41"/>
        <v>9825.7584506564308</v>
      </c>
      <c r="AE66" s="488">
        <f t="shared" si="41"/>
        <v>10222.850319049225</v>
      </c>
      <c r="AF66" s="488">
        <f t="shared" si="41"/>
        <v>10635.990002247925</v>
      </c>
      <c r="AG66" s="488">
        <f t="shared" si="41"/>
        <v>11065.82604629577</v>
      </c>
      <c r="AH66" s="488">
        <f t="shared" si="41"/>
        <v>11513.033207157707</v>
      </c>
      <c r="AI66" s="488">
        <f t="shared" si="41"/>
        <v>11978.313509951347</v>
      </c>
      <c r="AJ66" s="488">
        <f t="shared" si="41"/>
        <v>12462.39735098486</v>
      </c>
      <c r="AK66" s="488">
        <f t="shared" si="41"/>
        <v>12966.044644332011</v>
      </c>
      <c r="AL66" s="488">
        <f t="shared" ref="AL66" si="42">SUMPRODUCT(AL62:AL64,AL49:AL51)</f>
        <v>13490.046014744108</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Private!D48</f>
        <v>116.73468128387027</v>
      </c>
      <c r="E70" s="383">
        <f>Private!E48</f>
        <v>121.45232144671728</v>
      </c>
      <c r="F70" s="383">
        <f>Private!F48</f>
        <v>126.36061727813961</v>
      </c>
      <c r="G70" s="383">
        <f>Private!G48</f>
        <v>131.46727381343146</v>
      </c>
      <c r="H70" s="383">
        <f>Private!H48</f>
        <v>0</v>
      </c>
      <c r="I70" s="383">
        <f>Private!I48</f>
        <v>0</v>
      </c>
      <c r="J70" s="383">
        <f>Private!J48</f>
        <v>0</v>
      </c>
      <c r="K70" s="383">
        <f>Private!K48</f>
        <v>0</v>
      </c>
      <c r="L70" s="383">
        <f>Private!L48</f>
        <v>0</v>
      </c>
      <c r="M70" s="383">
        <f>Private!M48</f>
        <v>0</v>
      </c>
      <c r="N70" s="383">
        <f>Private!N48</f>
        <v>0</v>
      </c>
      <c r="O70" s="383">
        <f>Private!O48</f>
        <v>0</v>
      </c>
      <c r="P70" s="383">
        <f>Private!P48</f>
        <v>0</v>
      </c>
      <c r="Q70" s="383">
        <f>Private!Q48</f>
        <v>0</v>
      </c>
      <c r="R70" s="383">
        <f>Private!R48</f>
        <v>0</v>
      </c>
      <c r="S70" s="383">
        <f>Private!S48</f>
        <v>0</v>
      </c>
      <c r="T70" s="383">
        <f>Private!T48</f>
        <v>0</v>
      </c>
      <c r="U70" s="383">
        <f>Private!U48</f>
        <v>0</v>
      </c>
      <c r="V70" s="383">
        <f>Private!V48</f>
        <v>0</v>
      </c>
      <c r="W70" s="383">
        <f>Private!W48</f>
        <v>0</v>
      </c>
      <c r="X70" s="383">
        <f>Private!X48</f>
        <v>0</v>
      </c>
      <c r="Y70" s="383">
        <f>Private!Y48</f>
        <v>0</v>
      </c>
      <c r="Z70" s="383">
        <f>Private!Z48</f>
        <v>0</v>
      </c>
      <c r="AA70" s="383">
        <f>Private!AA48</f>
        <v>0</v>
      </c>
      <c r="AB70" s="383">
        <f>Private!AB48</f>
        <v>0</v>
      </c>
      <c r="AC70" s="383">
        <f>Private!AC48</f>
        <v>0</v>
      </c>
      <c r="AD70" s="383">
        <f>Private!AD48</f>
        <v>0</v>
      </c>
      <c r="AE70" s="383">
        <f>Private!AE48</f>
        <v>0</v>
      </c>
      <c r="AF70" s="383">
        <f>Private!AF48</f>
        <v>0</v>
      </c>
      <c r="AG70" s="383">
        <f>Private!AG48</f>
        <v>0</v>
      </c>
      <c r="AH70" s="383">
        <f>Private!AH48</f>
        <v>0</v>
      </c>
      <c r="AI70" s="383">
        <f>Private!AI48</f>
        <v>0</v>
      </c>
      <c r="AJ70" s="383">
        <f>Private!AJ48</f>
        <v>0</v>
      </c>
      <c r="AK70" s="383">
        <f>Private!AK48</f>
        <v>0</v>
      </c>
      <c r="AL70" s="383">
        <f>Private!AL48</f>
        <v>0</v>
      </c>
    </row>
    <row r="71" spans="1:38">
      <c r="B71" s="385" t="s">
        <v>509</v>
      </c>
      <c r="C71" s="386" t="s">
        <v>443</v>
      </c>
      <c r="D71" s="383">
        <f>Private!D49</f>
        <v>0.58660643861241346</v>
      </c>
      <c r="E71" s="383">
        <f>Private!E49</f>
        <v>0.61031317309908184</v>
      </c>
      <c r="F71" s="383">
        <f>Private!F49</f>
        <v>0.63497797627205832</v>
      </c>
      <c r="G71" s="383">
        <f>Private!G49</f>
        <v>0.6606395669016657</v>
      </c>
      <c r="H71" s="383">
        <f>Private!H49</f>
        <v>0</v>
      </c>
      <c r="I71" s="383">
        <f>Private!I49</f>
        <v>0</v>
      </c>
      <c r="J71" s="383">
        <f>Private!J49</f>
        <v>0</v>
      </c>
      <c r="K71" s="383">
        <f>Private!K49</f>
        <v>0</v>
      </c>
      <c r="L71" s="383">
        <f>Private!L49</f>
        <v>0</v>
      </c>
      <c r="M71" s="383">
        <f>Private!M49</f>
        <v>0</v>
      </c>
      <c r="N71" s="383">
        <f>Private!N49</f>
        <v>0</v>
      </c>
      <c r="O71" s="383">
        <f>Private!O49</f>
        <v>0</v>
      </c>
      <c r="P71" s="383">
        <f>Private!P49</f>
        <v>0</v>
      </c>
      <c r="Q71" s="383">
        <f>Private!Q49</f>
        <v>0</v>
      </c>
      <c r="R71" s="383">
        <f>Private!R49</f>
        <v>0</v>
      </c>
      <c r="S71" s="383">
        <f>Private!S49</f>
        <v>0</v>
      </c>
      <c r="T71" s="383">
        <f>Private!T49</f>
        <v>0</v>
      </c>
      <c r="U71" s="383">
        <f>Private!U49</f>
        <v>0</v>
      </c>
      <c r="V71" s="383">
        <f>Private!V49</f>
        <v>0</v>
      </c>
      <c r="W71" s="383">
        <f>Private!W49</f>
        <v>0</v>
      </c>
      <c r="X71" s="383">
        <f>Private!X49</f>
        <v>0</v>
      </c>
      <c r="Y71" s="383">
        <f>Private!Y49</f>
        <v>0</v>
      </c>
      <c r="Z71" s="383">
        <f>Private!Z49</f>
        <v>0</v>
      </c>
      <c r="AA71" s="383">
        <f>Private!AA49</f>
        <v>0</v>
      </c>
      <c r="AB71" s="383">
        <f>Private!AB49</f>
        <v>0</v>
      </c>
      <c r="AC71" s="383">
        <f>Private!AC49</f>
        <v>0</v>
      </c>
      <c r="AD71" s="383">
        <f>Private!AD49</f>
        <v>0</v>
      </c>
      <c r="AE71" s="383">
        <f>Private!AE49</f>
        <v>0</v>
      </c>
      <c r="AF71" s="383">
        <f>Private!AF49</f>
        <v>0</v>
      </c>
      <c r="AG71" s="383">
        <f>Private!AG49</f>
        <v>0</v>
      </c>
      <c r="AH71" s="383">
        <f>Private!AH49</f>
        <v>0</v>
      </c>
      <c r="AI71" s="383">
        <f>Private!AI49</f>
        <v>0</v>
      </c>
      <c r="AJ71" s="383">
        <f>Private!AJ49</f>
        <v>0</v>
      </c>
      <c r="AK71" s="383">
        <f>Private!AK49</f>
        <v>0</v>
      </c>
      <c r="AL71" s="383">
        <f>Private!AL49</f>
        <v>0</v>
      </c>
    </row>
    <row r="72" spans="1:38">
      <c r="B72" s="358" t="s">
        <v>769</v>
      </c>
      <c r="C72" s="358" t="s">
        <v>443</v>
      </c>
      <c r="D72" s="383">
        <f>Private!D50</f>
        <v>0</v>
      </c>
      <c r="E72" s="383">
        <f>Private!E50</f>
        <v>0</v>
      </c>
      <c r="F72" s="383">
        <f>Private!F50</f>
        <v>0</v>
      </c>
      <c r="G72" s="383">
        <f>Private!G50</f>
        <v>0</v>
      </c>
      <c r="H72" s="383">
        <f>Private!H50</f>
        <v>0</v>
      </c>
      <c r="I72" s="383">
        <f>Private!I50</f>
        <v>0</v>
      </c>
      <c r="J72" s="383">
        <f>Private!J50</f>
        <v>0</v>
      </c>
      <c r="K72" s="383">
        <f>Private!K50</f>
        <v>0</v>
      </c>
      <c r="L72" s="383">
        <f>Private!L50</f>
        <v>0</v>
      </c>
      <c r="M72" s="383">
        <f>Private!M50</f>
        <v>0</v>
      </c>
      <c r="N72" s="383">
        <f>Private!N50</f>
        <v>0</v>
      </c>
      <c r="O72" s="383">
        <f>Private!O50</f>
        <v>0</v>
      </c>
      <c r="P72" s="383">
        <f>Private!P50</f>
        <v>0</v>
      </c>
      <c r="Q72" s="383">
        <f>Private!Q50</f>
        <v>0</v>
      </c>
      <c r="R72" s="383">
        <f>Private!R50</f>
        <v>0</v>
      </c>
      <c r="S72" s="383">
        <f>Private!S50</f>
        <v>0</v>
      </c>
      <c r="T72" s="383">
        <f>Private!T50</f>
        <v>0</v>
      </c>
      <c r="U72" s="383">
        <f>Private!U50</f>
        <v>0</v>
      </c>
      <c r="V72" s="383">
        <f>Private!V50</f>
        <v>0</v>
      </c>
      <c r="W72" s="383">
        <f>Private!W50</f>
        <v>0</v>
      </c>
      <c r="X72" s="383">
        <f>Private!X50</f>
        <v>0</v>
      </c>
      <c r="Y72" s="383">
        <f>Private!Y50</f>
        <v>0</v>
      </c>
      <c r="Z72" s="383">
        <f>Private!Z50</f>
        <v>0</v>
      </c>
      <c r="AA72" s="383">
        <f>Private!AA50</f>
        <v>0</v>
      </c>
      <c r="AB72" s="383">
        <f>Private!AB50</f>
        <v>0</v>
      </c>
      <c r="AC72" s="383">
        <f>Private!AC50</f>
        <v>0</v>
      </c>
      <c r="AD72" s="383">
        <f>Private!AD50</f>
        <v>0</v>
      </c>
      <c r="AE72" s="383">
        <f>Private!AE50</f>
        <v>0</v>
      </c>
      <c r="AF72" s="383">
        <f>Private!AF50</f>
        <v>0</v>
      </c>
      <c r="AG72" s="383">
        <f>Private!AG50</f>
        <v>0</v>
      </c>
      <c r="AH72" s="383">
        <f>Private!AH50</f>
        <v>0</v>
      </c>
      <c r="AI72" s="383">
        <f>Private!AI50</f>
        <v>0</v>
      </c>
      <c r="AJ72" s="383">
        <f>Private!AJ50</f>
        <v>0</v>
      </c>
      <c r="AK72" s="383">
        <f>Private!AK50</f>
        <v>0</v>
      </c>
      <c r="AL72" s="383">
        <f>Private!AL50</f>
        <v>0</v>
      </c>
    </row>
    <row r="73" spans="1:38">
      <c r="D73" s="358"/>
      <c r="F73" s="464"/>
      <c r="G73" s="465"/>
      <c r="H73" s="465"/>
    </row>
    <row r="74" spans="1:38">
      <c r="B74" s="472" t="s">
        <v>512</v>
      </c>
      <c r="C74" s="386" t="s">
        <v>443</v>
      </c>
      <c r="D74" s="383">
        <f>D70*$C59</f>
        <v>194.94691774406334</v>
      </c>
      <c r="E74" s="383">
        <f t="shared" ref="E74:AK76" si="43">E70*$C59</f>
        <v>202.82537681601784</v>
      </c>
      <c r="F74" s="383">
        <f t="shared" si="43"/>
        <v>211.02223085449316</v>
      </c>
      <c r="G74" s="383">
        <f t="shared" si="43"/>
        <v>219.55034726843053</v>
      </c>
      <c r="H74" s="383">
        <f t="shared" si="43"/>
        <v>0</v>
      </c>
      <c r="I74" s="383">
        <f t="shared" si="43"/>
        <v>0</v>
      </c>
      <c r="J74" s="383">
        <f t="shared" si="43"/>
        <v>0</v>
      </c>
      <c r="K74" s="383">
        <f t="shared" si="43"/>
        <v>0</v>
      </c>
      <c r="L74" s="383">
        <f t="shared" si="43"/>
        <v>0</v>
      </c>
      <c r="M74" s="383">
        <f t="shared" si="43"/>
        <v>0</v>
      </c>
      <c r="N74" s="383">
        <f t="shared" si="43"/>
        <v>0</v>
      </c>
      <c r="O74" s="383">
        <f t="shared" si="43"/>
        <v>0</v>
      </c>
      <c r="P74" s="383">
        <f t="shared" si="43"/>
        <v>0</v>
      </c>
      <c r="Q74" s="383">
        <f t="shared" si="43"/>
        <v>0</v>
      </c>
      <c r="R74" s="383">
        <f t="shared" si="43"/>
        <v>0</v>
      </c>
      <c r="S74" s="383">
        <f t="shared" si="43"/>
        <v>0</v>
      </c>
      <c r="T74" s="383">
        <f t="shared" si="43"/>
        <v>0</v>
      </c>
      <c r="U74" s="383">
        <f t="shared" si="43"/>
        <v>0</v>
      </c>
      <c r="V74" s="383">
        <f t="shared" si="43"/>
        <v>0</v>
      </c>
      <c r="W74" s="383">
        <f t="shared" si="43"/>
        <v>0</v>
      </c>
      <c r="X74" s="383">
        <f t="shared" si="43"/>
        <v>0</v>
      </c>
      <c r="Y74" s="383">
        <f t="shared" si="43"/>
        <v>0</v>
      </c>
      <c r="Z74" s="383">
        <f t="shared" si="43"/>
        <v>0</v>
      </c>
      <c r="AA74" s="383">
        <f t="shared" si="43"/>
        <v>0</v>
      </c>
      <c r="AB74" s="383">
        <f t="shared" si="43"/>
        <v>0</v>
      </c>
      <c r="AC74" s="383">
        <f t="shared" si="43"/>
        <v>0</v>
      </c>
      <c r="AD74" s="383">
        <f t="shared" si="43"/>
        <v>0</v>
      </c>
      <c r="AE74" s="383">
        <f t="shared" si="43"/>
        <v>0</v>
      </c>
      <c r="AF74" s="383">
        <f t="shared" si="43"/>
        <v>0</v>
      </c>
      <c r="AG74" s="383">
        <f t="shared" si="43"/>
        <v>0</v>
      </c>
      <c r="AH74" s="383">
        <f t="shared" si="43"/>
        <v>0</v>
      </c>
      <c r="AI74" s="383">
        <f t="shared" si="43"/>
        <v>0</v>
      </c>
      <c r="AJ74" s="383">
        <f t="shared" si="43"/>
        <v>0</v>
      </c>
      <c r="AK74" s="383">
        <f t="shared" si="43"/>
        <v>0</v>
      </c>
      <c r="AL74" s="383">
        <f t="shared" ref="AL74" si="44">AL70*$C59</f>
        <v>0</v>
      </c>
    </row>
    <row r="75" spans="1:38">
      <c r="B75" s="472" t="s">
        <v>513</v>
      </c>
      <c r="C75" s="386" t="s">
        <v>443</v>
      </c>
      <c r="D75" s="383">
        <f>D71*$C60</f>
        <v>0.58660643861241346</v>
      </c>
      <c r="E75" s="383">
        <f t="shared" ref="D75:S76" si="45">E71*$C60</f>
        <v>0.61031317309908184</v>
      </c>
      <c r="F75" s="383">
        <f t="shared" si="45"/>
        <v>0.63497797627205832</v>
      </c>
      <c r="G75" s="383">
        <f t="shared" si="45"/>
        <v>0.6606395669016657</v>
      </c>
      <c r="H75" s="383">
        <f t="shared" si="45"/>
        <v>0</v>
      </c>
      <c r="I75" s="383">
        <f t="shared" si="45"/>
        <v>0</v>
      </c>
      <c r="J75" s="383">
        <f t="shared" si="45"/>
        <v>0</v>
      </c>
      <c r="K75" s="383">
        <f t="shared" si="45"/>
        <v>0</v>
      </c>
      <c r="L75" s="383">
        <f t="shared" si="45"/>
        <v>0</v>
      </c>
      <c r="M75" s="383">
        <f t="shared" si="45"/>
        <v>0</v>
      </c>
      <c r="N75" s="383">
        <f t="shared" si="45"/>
        <v>0</v>
      </c>
      <c r="O75" s="383">
        <f t="shared" si="45"/>
        <v>0</v>
      </c>
      <c r="P75" s="383">
        <f t="shared" si="45"/>
        <v>0</v>
      </c>
      <c r="Q75" s="383">
        <f t="shared" si="45"/>
        <v>0</v>
      </c>
      <c r="R75" s="383">
        <f t="shared" si="45"/>
        <v>0</v>
      </c>
      <c r="S75" s="383">
        <f t="shared" si="45"/>
        <v>0</v>
      </c>
      <c r="T75" s="383">
        <f t="shared" si="43"/>
        <v>0</v>
      </c>
      <c r="U75" s="383">
        <f t="shared" si="43"/>
        <v>0</v>
      </c>
      <c r="V75" s="383">
        <f t="shared" si="43"/>
        <v>0</v>
      </c>
      <c r="W75" s="383">
        <f t="shared" si="43"/>
        <v>0</v>
      </c>
      <c r="X75" s="383">
        <f t="shared" si="43"/>
        <v>0</v>
      </c>
      <c r="Y75" s="383">
        <f t="shared" si="43"/>
        <v>0</v>
      </c>
      <c r="Z75" s="383">
        <f t="shared" si="43"/>
        <v>0</v>
      </c>
      <c r="AA75" s="383">
        <f t="shared" si="43"/>
        <v>0</v>
      </c>
      <c r="AB75" s="383">
        <f t="shared" si="43"/>
        <v>0</v>
      </c>
      <c r="AC75" s="383">
        <f t="shared" si="43"/>
        <v>0</v>
      </c>
      <c r="AD75" s="383">
        <f t="shared" si="43"/>
        <v>0</v>
      </c>
      <c r="AE75" s="383">
        <f t="shared" si="43"/>
        <v>0</v>
      </c>
      <c r="AF75" s="383">
        <f t="shared" si="43"/>
        <v>0</v>
      </c>
      <c r="AG75" s="383">
        <f t="shared" si="43"/>
        <v>0</v>
      </c>
      <c r="AH75" s="383">
        <f t="shared" si="43"/>
        <v>0</v>
      </c>
      <c r="AI75" s="383">
        <f t="shared" si="43"/>
        <v>0</v>
      </c>
      <c r="AJ75" s="383">
        <f t="shared" si="43"/>
        <v>0</v>
      </c>
      <c r="AK75" s="383">
        <f t="shared" si="43"/>
        <v>0</v>
      </c>
      <c r="AL75" s="383">
        <f t="shared" ref="AL75" si="46">AL71*$C60</f>
        <v>0</v>
      </c>
    </row>
    <row r="76" spans="1:38">
      <c r="B76" s="472" t="s">
        <v>752</v>
      </c>
      <c r="C76" s="386" t="s">
        <v>443</v>
      </c>
      <c r="D76" s="383">
        <f t="shared" si="45"/>
        <v>0</v>
      </c>
      <c r="E76" s="383">
        <f t="shared" si="43"/>
        <v>0</v>
      </c>
      <c r="F76" s="383">
        <f t="shared" si="43"/>
        <v>0</v>
      </c>
      <c r="G76" s="383">
        <f t="shared" si="43"/>
        <v>0</v>
      </c>
      <c r="H76" s="383">
        <f t="shared" si="43"/>
        <v>0</v>
      </c>
      <c r="I76" s="383">
        <f t="shared" si="43"/>
        <v>0</v>
      </c>
      <c r="J76" s="383">
        <f t="shared" si="43"/>
        <v>0</v>
      </c>
      <c r="K76" s="383">
        <f t="shared" si="43"/>
        <v>0</v>
      </c>
      <c r="L76" s="383">
        <f t="shared" si="43"/>
        <v>0</v>
      </c>
      <c r="M76" s="383">
        <f t="shared" si="43"/>
        <v>0</v>
      </c>
      <c r="N76" s="383">
        <f t="shared" si="43"/>
        <v>0</v>
      </c>
      <c r="O76" s="383">
        <f t="shared" si="43"/>
        <v>0</v>
      </c>
      <c r="P76" s="383">
        <f t="shared" si="43"/>
        <v>0</v>
      </c>
      <c r="Q76" s="383">
        <f t="shared" si="43"/>
        <v>0</v>
      </c>
      <c r="R76" s="383">
        <f t="shared" si="43"/>
        <v>0</v>
      </c>
      <c r="S76" s="383">
        <f t="shared" si="43"/>
        <v>0</v>
      </c>
      <c r="T76" s="383">
        <f t="shared" si="43"/>
        <v>0</v>
      </c>
      <c r="U76" s="383">
        <f t="shared" si="43"/>
        <v>0</v>
      </c>
      <c r="V76" s="383">
        <f t="shared" si="43"/>
        <v>0</v>
      </c>
      <c r="W76" s="383">
        <f t="shared" si="43"/>
        <v>0</v>
      </c>
      <c r="X76" s="383">
        <f t="shared" si="43"/>
        <v>0</v>
      </c>
      <c r="Y76" s="383">
        <f t="shared" si="43"/>
        <v>0</v>
      </c>
      <c r="Z76" s="383">
        <f t="shared" si="43"/>
        <v>0</v>
      </c>
      <c r="AA76" s="383">
        <f t="shared" si="43"/>
        <v>0</v>
      </c>
      <c r="AB76" s="383">
        <f t="shared" si="43"/>
        <v>0</v>
      </c>
      <c r="AC76" s="383">
        <f t="shared" si="43"/>
        <v>0</v>
      </c>
      <c r="AD76" s="383">
        <f t="shared" si="43"/>
        <v>0</v>
      </c>
      <c r="AE76" s="383">
        <f t="shared" si="43"/>
        <v>0</v>
      </c>
      <c r="AF76" s="383">
        <f t="shared" si="43"/>
        <v>0</v>
      </c>
      <c r="AG76" s="383">
        <f t="shared" si="43"/>
        <v>0</v>
      </c>
      <c r="AH76" s="383">
        <f t="shared" si="43"/>
        <v>0</v>
      </c>
      <c r="AI76" s="383">
        <f t="shared" si="43"/>
        <v>0</v>
      </c>
      <c r="AJ76" s="383">
        <f t="shared" si="43"/>
        <v>0</v>
      </c>
      <c r="AK76" s="383">
        <f t="shared" si="43"/>
        <v>0</v>
      </c>
      <c r="AL76" s="383">
        <f t="shared" ref="AL76" si="47">AL72*$C61</f>
        <v>0</v>
      </c>
    </row>
    <row r="77" spans="1:38">
      <c r="D77" s="358"/>
      <c r="F77" s="464"/>
      <c r="G77" s="465"/>
      <c r="H77" s="465"/>
    </row>
    <row r="78" spans="1:38" ht="13">
      <c r="B78" s="364" t="s">
        <v>514</v>
      </c>
      <c r="C78" s="487" t="s">
        <v>292</v>
      </c>
      <c r="D78" s="488">
        <f>D74*D49+D75*D50+D76*D51</f>
        <v>3507.6173059279959</v>
      </c>
      <c r="E78" s="488">
        <f t="shared" ref="E78:AK78" si="48">E74*E49+E75*E50+E76*E51</f>
        <v>3649.3718907381708</v>
      </c>
      <c r="F78" s="488">
        <f t="shared" si="48"/>
        <v>3796.8552539646071</v>
      </c>
      <c r="G78" s="488">
        <f t="shared" si="48"/>
        <v>3950.2989147654775</v>
      </c>
      <c r="H78" s="488">
        <f t="shared" si="48"/>
        <v>0</v>
      </c>
      <c r="I78" s="488">
        <f t="shared" si="48"/>
        <v>0</v>
      </c>
      <c r="J78" s="488">
        <f t="shared" si="48"/>
        <v>0</v>
      </c>
      <c r="K78" s="488">
        <f t="shared" si="48"/>
        <v>0</v>
      </c>
      <c r="L78" s="488">
        <f t="shared" si="48"/>
        <v>0</v>
      </c>
      <c r="M78" s="488">
        <f t="shared" si="48"/>
        <v>0</v>
      </c>
      <c r="N78" s="488">
        <f t="shared" si="48"/>
        <v>0</v>
      </c>
      <c r="O78" s="488">
        <f t="shared" si="48"/>
        <v>0</v>
      </c>
      <c r="P78" s="488">
        <f t="shared" si="48"/>
        <v>0</v>
      </c>
      <c r="Q78" s="488">
        <f t="shared" si="48"/>
        <v>0</v>
      </c>
      <c r="R78" s="488">
        <f t="shared" si="48"/>
        <v>0</v>
      </c>
      <c r="S78" s="488">
        <f t="shared" si="48"/>
        <v>0</v>
      </c>
      <c r="T78" s="488">
        <f t="shared" si="48"/>
        <v>0</v>
      </c>
      <c r="U78" s="488">
        <f t="shared" si="48"/>
        <v>0</v>
      </c>
      <c r="V78" s="488">
        <f t="shared" si="48"/>
        <v>0</v>
      </c>
      <c r="W78" s="488">
        <f t="shared" si="48"/>
        <v>0</v>
      </c>
      <c r="X78" s="488">
        <f t="shared" si="48"/>
        <v>0</v>
      </c>
      <c r="Y78" s="488">
        <f t="shared" si="48"/>
        <v>0</v>
      </c>
      <c r="Z78" s="488">
        <f t="shared" si="48"/>
        <v>0</v>
      </c>
      <c r="AA78" s="488">
        <f t="shared" si="48"/>
        <v>0</v>
      </c>
      <c r="AB78" s="488">
        <f t="shared" si="48"/>
        <v>0</v>
      </c>
      <c r="AC78" s="488">
        <f t="shared" si="48"/>
        <v>0</v>
      </c>
      <c r="AD78" s="488">
        <f t="shared" si="48"/>
        <v>0</v>
      </c>
      <c r="AE78" s="488">
        <f t="shared" si="48"/>
        <v>0</v>
      </c>
      <c r="AF78" s="488">
        <f t="shared" si="48"/>
        <v>0</v>
      </c>
      <c r="AG78" s="488">
        <f t="shared" si="48"/>
        <v>0</v>
      </c>
      <c r="AH78" s="488">
        <f t="shared" si="48"/>
        <v>0</v>
      </c>
      <c r="AI78" s="488">
        <f t="shared" si="48"/>
        <v>0</v>
      </c>
      <c r="AJ78" s="488">
        <f t="shared" si="48"/>
        <v>0</v>
      </c>
      <c r="AK78" s="488">
        <f t="shared" si="48"/>
        <v>0</v>
      </c>
      <c r="AL78" s="488">
        <f t="shared" ref="AL78" si="49">AL74*AL49+AL75*AL50+AL76*AL51</f>
        <v>0</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50">SUM(E62:E64)-SUM(E74:E76)</f>
        <v>0</v>
      </c>
      <c r="F82" s="383">
        <f t="shared" si="50"/>
        <v>0</v>
      </c>
      <c r="G82" s="383">
        <f t="shared" si="50"/>
        <v>0</v>
      </c>
      <c r="H82" s="383">
        <f t="shared" si="50"/>
        <v>229.11045171045564</v>
      </c>
      <c r="I82" s="383">
        <f t="shared" si="50"/>
        <v>238.36957382249426</v>
      </c>
      <c r="J82" s="383">
        <f t="shared" si="50"/>
        <v>248.00288812718745</v>
      </c>
      <c r="K82" s="383">
        <f t="shared" si="50"/>
        <v>258.0255169866071</v>
      </c>
      <c r="L82" s="383">
        <f t="shared" si="50"/>
        <v>268.45319390821754</v>
      </c>
      <c r="M82" s="383">
        <f t="shared" si="50"/>
        <v>279.3022882433126</v>
      </c>
      <c r="N82" s="383">
        <f t="shared" si="50"/>
        <v>290.58983088359713</v>
      </c>
      <c r="O82" s="383">
        <f t="shared" si="50"/>
        <v>302.33354099625575</v>
      </c>
      <c r="P82" s="383">
        <f t="shared" si="50"/>
        <v>314.55185383947384</v>
      </c>
      <c r="Q82" s="383">
        <f t="shared" si="50"/>
        <v>327.26394970207775</v>
      </c>
      <c r="R82" s="383">
        <f t="shared" si="50"/>
        <v>340.48978401272296</v>
      </c>
      <c r="S82" s="383">
        <f t="shared" si="50"/>
        <v>354.25011866589585</v>
      </c>
      <c r="T82" s="383">
        <f t="shared" si="50"/>
        <v>368.56655461390289</v>
      </c>
      <c r="U82" s="383">
        <f t="shared" si="50"/>
        <v>383.46156577601346</v>
      </c>
      <c r="V82" s="383">
        <f t="shared" si="50"/>
        <v>398.95853431798417</v>
      </c>
      <c r="W82" s="383">
        <f t="shared" si="50"/>
        <v>415.08178735734589</v>
      </c>
      <c r="X82" s="383">
        <f t="shared" si="50"/>
        <v>431.85663515207671</v>
      </c>
      <c r="Y82" s="383">
        <f t="shared" si="50"/>
        <v>449.30941083260541</v>
      </c>
      <c r="Z82" s="383">
        <f t="shared" si="50"/>
        <v>467.46751173951981</v>
      </c>
      <c r="AA82" s="383">
        <f t="shared" si="50"/>
        <v>486.35944243187043</v>
      </c>
      <c r="AB82" s="383">
        <f t="shared" si="50"/>
        <v>506.01485943358244</v>
      </c>
      <c r="AC82" s="383">
        <f t="shared" si="50"/>
        <v>526.46461778822413</v>
      </c>
      <c r="AD82" s="383">
        <f t="shared" si="50"/>
        <v>547.74081949520394</v>
      </c>
      <c r="AE82" s="383">
        <f t="shared" si="50"/>
        <v>569.87686390344197</v>
      </c>
      <c r="AF82" s="383">
        <f t="shared" ref="AF82:AJ82" si="51">SUM(AF62:AF64)-SUM(AF74:AF76)</f>
        <v>592.90750014161733</v>
      </c>
      <c r="AG82" s="383">
        <f t="shared" si="51"/>
        <v>616.86888166729614</v>
      </c>
      <c r="AH82" s="383">
        <f t="shared" si="51"/>
        <v>641.79862302057325</v>
      </c>
      <c r="AI82" s="383">
        <f t="shared" si="51"/>
        <v>667.73585887132208</v>
      </c>
      <c r="AJ82" s="383">
        <f t="shared" si="51"/>
        <v>694.72130545273774</v>
      </c>
      <c r="AK82" s="383">
        <f t="shared" ref="AK82:AL82" si="52">SUM(AK62:AK64)-SUM(AK74:AK76)</f>
        <v>722.7973244776183</v>
      </c>
      <c r="AL82" s="383">
        <f t="shared" si="52"/>
        <v>752.00798963771661</v>
      </c>
    </row>
    <row r="83" spans="1:38" ht="13">
      <c r="B83" s="364" t="s">
        <v>813</v>
      </c>
      <c r="C83" s="590" t="s">
        <v>443</v>
      </c>
      <c r="D83" s="383">
        <f>SUM(D55:D57)-SUM(D70:D72)</f>
        <v>0</v>
      </c>
      <c r="E83" s="383">
        <f t="shared" ref="E83:AE83" si="53">SUM(E55:E57)-SUM(E70:E72)</f>
        <v>0</v>
      </c>
      <c r="F83" s="383">
        <f t="shared" si="53"/>
        <v>0</v>
      </c>
      <c r="G83" s="383">
        <f t="shared" si="53"/>
        <v>0</v>
      </c>
      <c r="H83" s="383">
        <f t="shared" si="53"/>
        <v>137.46764570273041</v>
      </c>
      <c r="I83" s="383">
        <f t="shared" si="53"/>
        <v>143.02317452524181</v>
      </c>
      <c r="J83" s="383">
        <f t="shared" si="53"/>
        <v>148.80322090852155</v>
      </c>
      <c r="K83" s="383">
        <f t="shared" si="53"/>
        <v>154.81685836054788</v>
      </c>
      <c r="L83" s="383">
        <f t="shared" si="53"/>
        <v>161.07352708020133</v>
      </c>
      <c r="M83" s="383">
        <f t="shared" si="53"/>
        <v>167.58304877647532</v>
      </c>
      <c r="N83" s="383">
        <f t="shared" si="53"/>
        <v>174.35564208657914</v>
      </c>
      <c r="O83" s="383">
        <f t="shared" si="53"/>
        <v>181.40193861713965</v>
      </c>
      <c r="P83" s="383">
        <f t="shared" si="53"/>
        <v>188.73299963368063</v>
      </c>
      <c r="Q83" s="383">
        <f t="shared" si="53"/>
        <v>196.36033342458092</v>
      </c>
      <c r="R83" s="383">
        <f t="shared" si="53"/>
        <v>204.29591336676748</v>
      </c>
      <c r="S83" s="383">
        <f t="shared" si="53"/>
        <v>212.55219672150474</v>
      </c>
      <c r="T83" s="383">
        <f t="shared" si="53"/>
        <v>221.14214418978361</v>
      </c>
      <c r="U83" s="383">
        <f t="shared" si="53"/>
        <v>230.07924025801066</v>
      </c>
      <c r="V83" s="383">
        <f t="shared" si="53"/>
        <v>239.37751436593419</v>
      </c>
      <c r="W83" s="383">
        <f t="shared" si="53"/>
        <v>249.05156293003685</v>
      </c>
      <c r="X83" s="383">
        <f t="shared" si="53"/>
        <v>259.1165722569686</v>
      </c>
      <c r="Y83" s="383">
        <f t="shared" si="53"/>
        <v>269.58834238298709</v>
      </c>
      <c r="Z83" s="383">
        <f t="shared" si="53"/>
        <v>280.48331187683067</v>
      </c>
      <c r="AA83" s="383">
        <f t="shared" si="53"/>
        <v>291.81858364495872</v>
      </c>
      <c r="AB83" s="383">
        <f t="shared" si="53"/>
        <v>303.61195177966727</v>
      </c>
      <c r="AC83" s="383">
        <f t="shared" si="53"/>
        <v>315.8819294922294</v>
      </c>
      <c r="AD83" s="383">
        <f t="shared" si="53"/>
        <v>328.64777817490409</v>
      </c>
      <c r="AE83" s="383">
        <f t="shared" si="53"/>
        <v>341.92953763744157</v>
      </c>
      <c r="AF83" s="383">
        <f t="shared" ref="AF83:AJ83" si="54">SUM(AF55:AF57)-SUM(AF70:AF72)</f>
        <v>355.74805756554611</v>
      </c>
      <c r="AG83" s="383">
        <f t="shared" si="54"/>
        <v>370.12503025068014</v>
      </c>
      <c r="AH83" s="383">
        <f t="shared" si="54"/>
        <v>385.08302464259037</v>
      </c>
      <c r="AI83" s="383">
        <f t="shared" si="54"/>
        <v>400.64552177801102</v>
      </c>
      <c r="AJ83" s="383">
        <f t="shared" si="54"/>
        <v>416.83695164115915</v>
      </c>
      <c r="AK83" s="383">
        <f t="shared" ref="AK83:AL83" si="55">SUM(AK55:AK57)-SUM(AK70:AK72)</f>
        <v>433.68273151388615</v>
      </c>
      <c r="AL83" s="383">
        <f t="shared" si="55"/>
        <v>451.20930587568881</v>
      </c>
    </row>
    <row r="84" spans="1:38">
      <c r="D84" s="358"/>
      <c r="F84" s="464"/>
      <c r="G84" s="465"/>
      <c r="H84" s="465"/>
    </row>
    <row r="85" spans="1:38" ht="13">
      <c r="B85" s="492" t="s">
        <v>284</v>
      </c>
      <c r="C85" s="487" t="s">
        <v>292</v>
      </c>
      <c r="D85" s="488">
        <f>D66-D78</f>
        <v>0</v>
      </c>
      <c r="E85" s="488">
        <f t="shared" ref="E85:AK85" si="56">E66-E78</f>
        <v>0</v>
      </c>
      <c r="F85" s="488">
        <f t="shared" si="56"/>
        <v>0</v>
      </c>
      <c r="G85" s="488">
        <f t="shared" si="56"/>
        <v>0</v>
      </c>
      <c r="H85" s="488">
        <f t="shared" si="56"/>
        <v>4109.943748764982</v>
      </c>
      <c r="I85" s="488">
        <f t="shared" si="56"/>
        <v>4276.0403661795253</v>
      </c>
      <c r="J85" s="488">
        <f t="shared" si="56"/>
        <v>4448.8495052252547</v>
      </c>
      <c r="K85" s="488">
        <f t="shared" si="56"/>
        <v>4628.6424414245221</v>
      </c>
      <c r="L85" s="488">
        <f t="shared" si="56"/>
        <v>4815.7014134537658</v>
      </c>
      <c r="M85" s="488">
        <f t="shared" si="56"/>
        <v>5010.3200662013778</v>
      </c>
      <c r="N85" s="488">
        <f t="shared" si="56"/>
        <v>5212.8039117309727</v>
      </c>
      <c r="O85" s="488">
        <f t="shared" si="56"/>
        <v>5423.4708088737834</v>
      </c>
      <c r="P85" s="488">
        <f t="shared" si="56"/>
        <v>5642.6514622029536</v>
      </c>
      <c r="Q85" s="488">
        <f t="shared" si="56"/>
        <v>5870.6899411730765</v>
      </c>
      <c r="R85" s="488">
        <f t="shared" si="56"/>
        <v>6107.9442202398968</v>
      </c>
      <c r="S85" s="488">
        <f t="shared" si="56"/>
        <v>6354.786740808072</v>
      </c>
      <c r="T85" s="488">
        <f t="shared" si="56"/>
        <v>6611.6049958891026</v>
      </c>
      <c r="U85" s="488">
        <f t="shared" si="56"/>
        <v>6878.802138387282</v>
      </c>
      <c r="V85" s="488">
        <f t="shared" si="56"/>
        <v>7156.7976139685188</v>
      </c>
      <c r="W85" s="488">
        <f t="shared" si="56"/>
        <v>7446.027819505478</v>
      </c>
      <c r="X85" s="488">
        <f t="shared" si="56"/>
        <v>7746.9467881327473</v>
      </c>
      <c r="Y85" s="488">
        <f t="shared" si="56"/>
        <v>8060.0269019873394</v>
      </c>
      <c r="Z85" s="488">
        <f t="shared" si="56"/>
        <v>8385.7596337534596</v>
      </c>
      <c r="AA85" s="488">
        <f t="shared" si="56"/>
        <v>8724.656318175581</v>
      </c>
      <c r="AB85" s="488">
        <f t="shared" si="56"/>
        <v>9077.2489547509122</v>
      </c>
      <c r="AC85" s="488">
        <f t="shared" si="56"/>
        <v>9444.0910428614607</v>
      </c>
      <c r="AD85" s="488">
        <f t="shared" si="56"/>
        <v>9825.7584506564308</v>
      </c>
      <c r="AE85" s="488">
        <f t="shared" si="56"/>
        <v>10222.850319049225</v>
      </c>
      <c r="AF85" s="488">
        <f t="shared" si="56"/>
        <v>10635.990002247925</v>
      </c>
      <c r="AG85" s="488">
        <f t="shared" si="56"/>
        <v>11065.82604629577</v>
      </c>
      <c r="AH85" s="488">
        <f t="shared" si="56"/>
        <v>11513.033207157707</v>
      </c>
      <c r="AI85" s="488">
        <f t="shared" si="56"/>
        <v>11978.313509951347</v>
      </c>
      <c r="AJ85" s="488">
        <f t="shared" si="56"/>
        <v>12462.39735098486</v>
      </c>
      <c r="AK85" s="488">
        <f t="shared" si="56"/>
        <v>12966.044644332011</v>
      </c>
      <c r="AL85" s="488">
        <f t="shared" ref="AL85" si="57">AL66-AL78</f>
        <v>13490.046014744108</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Private!D25</f>
        <v>116.73468128387027</v>
      </c>
      <c r="E112" s="383">
        <f>Private!E25</f>
        <v>121.45232144671728</v>
      </c>
      <c r="F112" s="383">
        <f>Private!F25</f>
        <v>126.36061727813961</v>
      </c>
      <c r="G112" s="383">
        <f>Private!G25</f>
        <v>131.46727381343146</v>
      </c>
      <c r="H112" s="383">
        <f>Private!H25</f>
        <v>136.78030747421676</v>
      </c>
      <c r="I112" s="383">
        <f>Private!I25</f>
        <v>142.30805865261561</v>
      </c>
      <c r="J112" s="383">
        <f>Private!J25</f>
        <v>148.05920480397896</v>
      </c>
      <c r="K112" s="383">
        <f>Private!K25</f>
        <v>154.04277406874513</v>
      </c>
      <c r="L112" s="383">
        <f>Private!L25</f>
        <v>160.26815944480032</v>
      </c>
      <c r="M112" s="383">
        <f>Private!M25</f>
        <v>166.74513353259294</v>
      </c>
      <c r="N112" s="383">
        <f>Private!N25</f>
        <v>173.48386387614624</v>
      </c>
      <c r="O112" s="383">
        <f>Private!O25</f>
        <v>180.49492892405394</v>
      </c>
      <c r="P112" s="383">
        <f>Private!P25</f>
        <v>187.78933463551223</v>
      </c>
      <c r="Q112" s="383">
        <f>Private!Q25</f>
        <v>195.37853175745801</v>
      </c>
      <c r="R112" s="383">
        <f>Private!R25</f>
        <v>203.27443379993363</v>
      </c>
      <c r="S112" s="383">
        <f>Private!S25</f>
        <v>211.48943573789722</v>
      </c>
      <c r="T112" s="383">
        <f>Private!T25</f>
        <v>220.0364334688347</v>
      </c>
      <c r="U112" s="383">
        <f>Private!U25</f>
        <v>228.92884405672061</v>
      </c>
      <c r="V112" s="383">
        <f>Private!V25</f>
        <v>238.18062679410451</v>
      </c>
      <c r="W112" s="383">
        <f>Private!W25</f>
        <v>247.80630511538666</v>
      </c>
      <c r="X112" s="383">
        <f>Private!X25</f>
        <v>257.82098939568374</v>
      </c>
      <c r="Y112" s="383">
        <f>Private!Y25</f>
        <v>268.24040067107217</v>
      </c>
      <c r="Z112" s="383">
        <f>Private!Z25</f>
        <v>279.0808953174465</v>
      </c>
      <c r="AA112" s="383">
        <f>Private!AA25</f>
        <v>290.35949072673395</v>
      </c>
      <c r="AB112" s="383">
        <f>Private!AB25</f>
        <v>302.09389202076892</v>
      </c>
      <c r="AC112" s="383">
        <f>Private!AC25</f>
        <v>314.30251984476826</v>
      </c>
      <c r="AD112" s="383">
        <f>Private!AD25</f>
        <v>327.00453928402959</v>
      </c>
      <c r="AE112" s="383">
        <f>Private!AE25</f>
        <v>340.21988994925437</v>
      </c>
      <c r="AF112" s="383">
        <f>Private!AF25</f>
        <v>353.96931727771835</v>
      </c>
      <c r="AG112" s="383">
        <f>Private!AG25</f>
        <v>368.27440509942676</v>
      </c>
      <c r="AH112" s="383">
        <f>Private!AH25</f>
        <v>383.15760951937744</v>
      </c>
      <c r="AI112" s="383">
        <f>Private!AI25</f>
        <v>398.64229416912099</v>
      </c>
      <c r="AJ112" s="383">
        <f>Private!AJ25</f>
        <v>414.75276688295332</v>
      </c>
      <c r="AK112" s="383">
        <f>Private!AK25</f>
        <v>431.51431785631672</v>
      </c>
      <c r="AL112" s="383">
        <f>Private!AL25</f>
        <v>448.95325934631035</v>
      </c>
    </row>
    <row r="113" spans="1:38">
      <c r="B113" s="385" t="s">
        <v>509</v>
      </c>
      <c r="C113" s="386" t="s">
        <v>443</v>
      </c>
      <c r="D113" s="383">
        <f>Private!D26</f>
        <v>0.58660643861241346</v>
      </c>
      <c r="E113" s="383">
        <f>Private!E26</f>
        <v>0.61031317309908184</v>
      </c>
      <c r="F113" s="383">
        <f>Private!F26</f>
        <v>0.63497797627205832</v>
      </c>
      <c r="G113" s="383">
        <f>Private!G26</f>
        <v>0.6606395669016657</v>
      </c>
      <c r="H113" s="383">
        <f>Private!H26</f>
        <v>0.68733822851365201</v>
      </c>
      <c r="I113" s="383">
        <f>Private!I26</f>
        <v>0.71511587262620913</v>
      </c>
      <c r="J113" s="383">
        <f>Private!J26</f>
        <v>0.7440161045426078</v>
      </c>
      <c r="K113" s="383">
        <f>Private!K26</f>
        <v>0.77408429180273941</v>
      </c>
      <c r="L113" s="383">
        <f>Private!L26</f>
        <v>0.80536763540100664</v>
      </c>
      <c r="M113" s="383">
        <f>Private!M26</f>
        <v>0.83791524388237659</v>
      </c>
      <c r="N113" s="383">
        <f>Private!N26</f>
        <v>0.87177821043289572</v>
      </c>
      <c r="O113" s="383">
        <f>Private!O26</f>
        <v>0.90700969308569823</v>
      </c>
      <c r="P113" s="383">
        <f>Private!P26</f>
        <v>0.94366499816840321</v>
      </c>
      <c r="Q113" s="383">
        <f>Private!Q26</f>
        <v>0.98180166712290462</v>
      </c>
      <c r="R113" s="383">
        <f>Private!R26</f>
        <v>1.0214795668338374</v>
      </c>
      <c r="S113" s="383">
        <f>Private!S26</f>
        <v>1.0627609836075238</v>
      </c>
      <c r="T113" s="383">
        <f>Private!T26</f>
        <v>1.1057107209489181</v>
      </c>
      <c r="U113" s="383">
        <f>Private!U26</f>
        <v>1.1503962012900533</v>
      </c>
      <c r="V113" s="383">
        <f>Private!V26</f>
        <v>1.196887571829671</v>
      </c>
      <c r="W113" s="383">
        <f>Private!W26</f>
        <v>1.2452578146501843</v>
      </c>
      <c r="X113" s="383">
        <f>Private!X26</f>
        <v>1.295582861284843</v>
      </c>
      <c r="Y113" s="383">
        <f>Private!Y26</f>
        <v>1.3479417119149355</v>
      </c>
      <c r="Z113" s="383">
        <f>Private!Z26</f>
        <v>1.4024165593841533</v>
      </c>
      <c r="AA113" s="383">
        <f>Private!AA26</f>
        <v>1.4590929182247936</v>
      </c>
      <c r="AB113" s="383">
        <f>Private!AB26</f>
        <v>1.5180597588983364</v>
      </c>
      <c r="AC113" s="383">
        <f>Private!AC26</f>
        <v>1.579409647461147</v>
      </c>
      <c r="AD113" s="383">
        <f>Private!AD26</f>
        <v>1.6432388908745206</v>
      </c>
      <c r="AE113" s="383">
        <f>Private!AE26</f>
        <v>1.7096476881872078</v>
      </c>
      <c r="AF113" s="383">
        <f>Private!AF26</f>
        <v>1.7787402878277305</v>
      </c>
      <c r="AG113" s="383">
        <f>Private!AG26</f>
        <v>1.8506251512534007</v>
      </c>
      <c r="AH113" s="383">
        <f>Private!AH26</f>
        <v>1.9254151232129519</v>
      </c>
      <c r="AI113" s="383">
        <f>Private!AI26</f>
        <v>2.0032276088900551</v>
      </c>
      <c r="AJ113" s="383">
        <f>Private!AJ26</f>
        <v>2.084184758205796</v>
      </c>
      <c r="AK113" s="383">
        <f>Private!AK26</f>
        <v>2.1684136575694306</v>
      </c>
      <c r="AL113" s="383">
        <f>Private!AL26</f>
        <v>2.2560465293784442</v>
      </c>
    </row>
    <row r="114" spans="1:38">
      <c r="B114" s="358" t="s">
        <v>769</v>
      </c>
      <c r="C114" s="358" t="s">
        <v>443</v>
      </c>
      <c r="D114" s="383">
        <f>Private!D27</f>
        <v>0</v>
      </c>
      <c r="E114" s="383">
        <f>Private!E27</f>
        <v>0</v>
      </c>
      <c r="F114" s="383">
        <f>Private!F27</f>
        <v>0</v>
      </c>
      <c r="G114" s="383">
        <f>Private!G27</f>
        <v>0</v>
      </c>
      <c r="H114" s="383">
        <f>Private!H27</f>
        <v>0</v>
      </c>
      <c r="I114" s="383">
        <f>Private!I27</f>
        <v>0</v>
      </c>
      <c r="J114" s="383">
        <f>Private!J27</f>
        <v>0</v>
      </c>
      <c r="K114" s="383">
        <f>Private!K27</f>
        <v>0</v>
      </c>
      <c r="L114" s="383">
        <f>Private!L27</f>
        <v>0</v>
      </c>
      <c r="M114" s="383">
        <f>Private!M27</f>
        <v>0</v>
      </c>
      <c r="N114" s="383">
        <f>Private!N27</f>
        <v>0</v>
      </c>
      <c r="O114" s="383">
        <f>Private!O27</f>
        <v>0</v>
      </c>
      <c r="P114" s="383">
        <f>Private!P27</f>
        <v>0</v>
      </c>
      <c r="Q114" s="383">
        <f>Private!Q27</f>
        <v>0</v>
      </c>
      <c r="R114" s="383">
        <f>Private!R27</f>
        <v>0</v>
      </c>
      <c r="S114" s="383">
        <f>Private!S27</f>
        <v>0</v>
      </c>
      <c r="T114" s="383">
        <f>Private!T27</f>
        <v>0</v>
      </c>
      <c r="U114" s="383">
        <f>Private!U27</f>
        <v>0</v>
      </c>
      <c r="V114" s="383">
        <f>Private!V27</f>
        <v>0</v>
      </c>
      <c r="W114" s="383">
        <f>Private!W27</f>
        <v>0</v>
      </c>
      <c r="X114" s="383">
        <f>Private!X27</f>
        <v>0</v>
      </c>
      <c r="Y114" s="383">
        <f>Private!Y27</f>
        <v>0</v>
      </c>
      <c r="Z114" s="383">
        <f>Private!Z27</f>
        <v>0</v>
      </c>
      <c r="AA114" s="383">
        <f>Private!AA27</f>
        <v>0</v>
      </c>
      <c r="AB114" s="383">
        <f>Private!AB27</f>
        <v>0</v>
      </c>
      <c r="AC114" s="383">
        <f>Private!AC27</f>
        <v>0</v>
      </c>
      <c r="AD114" s="383">
        <f>Private!AD27</f>
        <v>0</v>
      </c>
      <c r="AE114" s="383">
        <f>Private!AE27</f>
        <v>0</v>
      </c>
      <c r="AF114" s="383">
        <f>Private!AF27</f>
        <v>0</v>
      </c>
      <c r="AG114" s="383">
        <f>Private!AG27</f>
        <v>0</v>
      </c>
      <c r="AH114" s="383">
        <f>Private!AH27</f>
        <v>0</v>
      </c>
      <c r="AI114" s="383">
        <f>Private!AI27</f>
        <v>0</v>
      </c>
      <c r="AJ114" s="383">
        <f>Private!AJ27</f>
        <v>0</v>
      </c>
      <c r="AK114" s="383">
        <f>Private!AK27</f>
        <v>0</v>
      </c>
      <c r="AL114" s="383">
        <f>Private!AL27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8">(D$112*D90+D$113*D95+D$114*D100)/Grams.Per.Metric.Ton*D105</f>
        <v>14.105815926342622</v>
      </c>
      <c r="E116" s="582">
        <f t="shared" si="58"/>
        <v>14.742338137577693</v>
      </c>
      <c r="F116" s="582">
        <f t="shared" si="58"/>
        <v>15.398798868424606</v>
      </c>
      <c r="G116" s="582">
        <f t="shared" si="58"/>
        <v>16.07542773692624</v>
      </c>
      <c r="H116" s="582">
        <f t="shared" si="58"/>
        <v>16.772426520356099</v>
      </c>
      <c r="I116" s="582">
        <f t="shared" si="58"/>
        <v>17.489965970773088</v>
      </c>
      <c r="J116" s="582">
        <f t="shared" si="58"/>
        <v>18.228182396062881</v>
      </c>
      <c r="K116" s="582">
        <f t="shared" si="58"/>
        <v>18.987173991796485</v>
      </c>
      <c r="L116" s="582">
        <f t="shared" si="58"/>
        <v>19.766996908400657</v>
      </c>
      <c r="M116" s="582">
        <f t="shared" si="58"/>
        <v>20.567661037248623</v>
      </c>
      <c r="N116" s="582">
        <f t="shared" si="58"/>
        <v>21.333558557015181</v>
      </c>
      <c r="O116" s="582">
        <f t="shared" si="58"/>
        <v>22.113803713358131</v>
      </c>
      <c r="P116" s="582">
        <f t="shared" si="58"/>
        <v>22.907740894797495</v>
      </c>
      <c r="Q116" s="582">
        <f t="shared" si="58"/>
        <v>24.07945549164468</v>
      </c>
      <c r="R116" s="582">
        <f t="shared" si="58"/>
        <v>24.905285530265076</v>
      </c>
      <c r="S116" s="582">
        <f t="shared" si="58"/>
        <v>25.742173616116034</v>
      </c>
      <c r="T116" s="582">
        <f t="shared" si="58"/>
        <v>26.589003450121666</v>
      </c>
      <c r="U116" s="582">
        <f t="shared" si="58"/>
        <v>27.444523720368846</v>
      </c>
      <c r="V116" s="582">
        <f t="shared" si="58"/>
        <v>28.307337932573699</v>
      </c>
      <c r="W116" s="582">
        <f t="shared" si="58"/>
        <v>29.175893595439234</v>
      </c>
      <c r="X116" s="582">
        <f t="shared" si="58"/>
        <v>30.290051687053055</v>
      </c>
      <c r="Y116" s="582">
        <f t="shared" si="58"/>
        <v>31.857510688253608</v>
      </c>
      <c r="Z116" s="582">
        <f t="shared" si="58"/>
        <v>33.038614950701074</v>
      </c>
      <c r="AA116" s="582">
        <f t="shared" si="58"/>
        <v>34.248141040917446</v>
      </c>
      <c r="AB116" s="582">
        <f t="shared" si="58"/>
        <v>35.485850490305772</v>
      </c>
      <c r="AC116" s="582">
        <f t="shared" si="58"/>
        <v>36.751414617792122</v>
      </c>
      <c r="AD116" s="582">
        <f t="shared" si="58"/>
        <v>38.04440663686033</v>
      </c>
      <c r="AE116" s="582">
        <f t="shared" si="58"/>
        <v>39.364293231921138</v>
      </c>
      <c r="AF116" s="582">
        <f t="shared" si="58"/>
        <v>41.206894176933638</v>
      </c>
      <c r="AG116" s="582">
        <f t="shared" si="58"/>
        <v>42.58904213751719</v>
      </c>
      <c r="AH116" s="582">
        <f t="shared" si="58"/>
        <v>44.310208233791045</v>
      </c>
      <c r="AI116" s="582">
        <f t="shared" si="58"/>
        <v>46.100932427225153</v>
      </c>
      <c r="AJ116" s="582">
        <f t="shared" si="58"/>
        <v>47.964025793921337</v>
      </c>
      <c r="AK116" s="582">
        <f t="shared" si="58"/>
        <v>49.902413014999027</v>
      </c>
      <c r="AL116" s="582">
        <f t="shared" si="58"/>
        <v>51.919136967755186</v>
      </c>
    </row>
    <row r="117" spans="1:38">
      <c r="B117" s="478" t="s">
        <v>709</v>
      </c>
      <c r="C117" s="484" t="s">
        <v>292</v>
      </c>
      <c r="D117" s="582">
        <f t="shared" ref="D117:AL117" si="59">(D$112*D91+D$113*D96+D$114*D101)/Grams.Per.Metric.Ton*D106</f>
        <v>4.3716565074610543</v>
      </c>
      <c r="E117" s="582">
        <f t="shared" si="59"/>
        <v>4.1785655940927668</v>
      </c>
      <c r="F117" s="582">
        <f t="shared" si="59"/>
        <v>3.9759345131137875</v>
      </c>
      <c r="G117" s="582">
        <f t="shared" si="59"/>
        <v>3.7105240157630957</v>
      </c>
      <c r="H117" s="582">
        <f t="shared" si="59"/>
        <v>3.4052207078007286</v>
      </c>
      <c r="I117" s="582">
        <f t="shared" si="59"/>
        <v>3.0567508490729467</v>
      </c>
      <c r="J117" s="582">
        <f t="shared" si="59"/>
        <v>2.6770962811132724</v>
      </c>
      <c r="K117" s="582">
        <f t="shared" si="59"/>
        <v>2.2288448185276559</v>
      </c>
      <c r="L117" s="582">
        <f t="shared" si="59"/>
        <v>1.7259919088267834</v>
      </c>
      <c r="M117" s="582">
        <f t="shared" si="59"/>
        <v>1.1707950927204935</v>
      </c>
      <c r="N117" s="582">
        <f t="shared" si="59"/>
        <v>1.1239437856714223</v>
      </c>
      <c r="O117" s="582">
        <f t="shared" si="59"/>
        <v>1.0713934530245728</v>
      </c>
      <c r="P117" s="582">
        <f t="shared" si="59"/>
        <v>1.0127599806816445</v>
      </c>
      <c r="Q117" s="582">
        <f t="shared" si="59"/>
        <v>0.94763751573780408</v>
      </c>
      <c r="R117" s="582">
        <f t="shared" si="59"/>
        <v>0.87559733675571849</v>
      </c>
      <c r="S117" s="582">
        <f t="shared" si="59"/>
        <v>0.79618666823207129</v>
      </c>
      <c r="T117" s="582">
        <f t="shared" si="59"/>
        <v>0.70892743659133184</v>
      </c>
      <c r="U117" s="582">
        <f t="shared" si="59"/>
        <v>0.61331496491638371</v>
      </c>
      <c r="V117" s="582">
        <f t="shared" si="59"/>
        <v>0.50881660349666813</v>
      </c>
      <c r="W117" s="582">
        <f t="shared" si="59"/>
        <v>0.39487029313731009</v>
      </c>
      <c r="X117" s="582">
        <f t="shared" si="59"/>
        <v>0.39717005898583091</v>
      </c>
      <c r="Y117" s="582">
        <f t="shared" si="59"/>
        <v>0.39901078966426912</v>
      </c>
      <c r="Z117" s="582">
        <f t="shared" si="59"/>
        <v>0.4003516268017509</v>
      </c>
      <c r="AA117" s="582">
        <f t="shared" si="59"/>
        <v>0.40114915929393458</v>
      </c>
      <c r="AB117" s="582">
        <f t="shared" si="59"/>
        <v>0.40135728370547491</v>
      </c>
      <c r="AC117" s="582">
        <f t="shared" si="59"/>
        <v>0.40092705755847424</v>
      </c>
      <c r="AD117" s="582">
        <f t="shared" si="59"/>
        <v>0.39980654515998471</v>
      </c>
      <c r="AE117" s="582">
        <f t="shared" si="59"/>
        <v>0.39794065560501801</v>
      </c>
      <c r="AF117" s="582">
        <f t="shared" si="59"/>
        <v>0.39527097257458893</v>
      </c>
      <c r="AG117" s="582">
        <f t="shared" si="59"/>
        <v>0.39173557553005262</v>
      </c>
      <c r="AH117" s="582">
        <f t="shared" si="59"/>
        <v>0.40756692456884003</v>
      </c>
      <c r="AI117" s="582">
        <f t="shared" si="59"/>
        <v>0.42403807154287693</v>
      </c>
      <c r="AJ117" s="582">
        <f t="shared" si="59"/>
        <v>0.44117487283350831</v>
      </c>
      <c r="AK117" s="582">
        <f t="shared" si="59"/>
        <v>0.45900422976520727</v>
      </c>
      <c r="AL117" s="582">
        <f t="shared" si="59"/>
        <v>0.47755413083523474</v>
      </c>
    </row>
    <row r="118" spans="1:38">
      <c r="B118" s="478" t="s">
        <v>710</v>
      </c>
      <c r="C118" s="484" t="s">
        <v>292</v>
      </c>
      <c r="D118" s="582">
        <f t="shared" ref="D118:AL118" si="60">(D$112*D92+D$113*D97+D$114*D102)/Grams.Per.Metric.Ton*D107</f>
        <v>5.9134440006667992</v>
      </c>
      <c r="E118" s="582">
        <f t="shared" si="60"/>
        <v>6.0064957478590513</v>
      </c>
      <c r="F118" s="582">
        <f t="shared" si="60"/>
        <v>6.0905035105722307</v>
      </c>
      <c r="G118" s="582">
        <f t="shared" si="60"/>
        <v>6.1631885014881282</v>
      </c>
      <c r="H118" s="582">
        <f t="shared" si="60"/>
        <v>6.2229344152656347</v>
      </c>
      <c r="I118" s="582">
        <f t="shared" si="60"/>
        <v>6.2432397674394284</v>
      </c>
      <c r="J118" s="582">
        <f t="shared" si="60"/>
        <v>6.2475673798752878</v>
      </c>
      <c r="K118" s="582">
        <f t="shared" si="60"/>
        <v>6.2332829873085744</v>
      </c>
      <c r="L118" s="582">
        <f t="shared" si="60"/>
        <v>6.1991240909030649</v>
      </c>
      <c r="M118" s="582">
        <f t="shared" si="60"/>
        <v>6.1421647383524212</v>
      </c>
      <c r="N118" s="582">
        <f t="shared" si="60"/>
        <v>6.1370994810968345</v>
      </c>
      <c r="O118" s="582">
        <f t="shared" si="60"/>
        <v>6.1215931909500636</v>
      </c>
      <c r="P118" s="582">
        <f t="shared" si="60"/>
        <v>6.0948102263432853</v>
      </c>
      <c r="Q118" s="582">
        <f t="shared" si="60"/>
        <v>6.0558644562534525</v>
      </c>
      <c r="R118" s="582">
        <f t="shared" si="60"/>
        <v>6.0038165441094007</v>
      </c>
      <c r="S118" s="582">
        <f t="shared" si="60"/>
        <v>5.9376710946263049</v>
      </c>
      <c r="T118" s="582">
        <f t="shared" si="60"/>
        <v>5.856373656925884</v>
      </c>
      <c r="U118" s="582">
        <f t="shared" si="60"/>
        <v>5.7588075769856077</v>
      </c>
      <c r="V118" s="582">
        <f t="shared" si="60"/>
        <v>5.6437906921338445</v>
      </c>
      <c r="W118" s="582">
        <f t="shared" si="60"/>
        <v>5.51007185996398</v>
      </c>
      <c r="X118" s="582">
        <f t="shared" si="60"/>
        <v>5.5351305363688077</v>
      </c>
      <c r="Y118" s="582">
        <f t="shared" si="60"/>
        <v>5.5532153572841558</v>
      </c>
      <c r="Z118" s="582">
        <f t="shared" si="60"/>
        <v>5.5637217220940549</v>
      </c>
      <c r="AA118" s="582">
        <f t="shared" si="60"/>
        <v>5.5660075522783714</v>
      </c>
      <c r="AB118" s="582">
        <f t="shared" si="60"/>
        <v>5.5593912496544107</v>
      </c>
      <c r="AC118" s="582">
        <f t="shared" si="60"/>
        <v>5.5431495508002966</v>
      </c>
      <c r="AD118" s="582">
        <f t="shared" si="60"/>
        <v>5.5165152726040434</v>
      </c>
      <c r="AE118" s="582">
        <f t="shared" si="60"/>
        <v>5.4786749436412503</v>
      </c>
      <c r="AF118" s="582">
        <f t="shared" si="60"/>
        <v>5.4287663158370965</v>
      </c>
      <c r="AG118" s="582">
        <f t="shared" si="60"/>
        <v>5.3658757506034274</v>
      </c>
      <c r="AH118" s="582">
        <f t="shared" si="60"/>
        <v>5.5827287943731294</v>
      </c>
      <c r="AI118" s="582">
        <f t="shared" si="60"/>
        <v>5.8083455972714129</v>
      </c>
      <c r="AJ118" s="582">
        <f t="shared" si="60"/>
        <v>6.0430803322106286</v>
      </c>
      <c r="AK118" s="582">
        <f t="shared" si="60"/>
        <v>6.2873014854189053</v>
      </c>
      <c r="AL118" s="582">
        <f t="shared" si="60"/>
        <v>6.5413924348892749</v>
      </c>
    </row>
    <row r="119" spans="1:38">
      <c r="B119" s="478" t="s">
        <v>711</v>
      </c>
      <c r="C119" s="484" t="s">
        <v>292</v>
      </c>
      <c r="D119" s="582">
        <f t="shared" ref="D119:AL119" si="61">(D$112*D93+D$113*D98+D$114*D103)/Grams.Per.Metric.Ton*D108</f>
        <v>7.4975600873314202E-2</v>
      </c>
      <c r="E119" s="582">
        <f t="shared" si="61"/>
        <v>7.8387376236138492E-2</v>
      </c>
      <c r="F119" s="582">
        <f t="shared" si="61"/>
        <v>8.2098737299864014E-2</v>
      </c>
      <c r="G119" s="582">
        <f t="shared" si="61"/>
        <v>8.5929787602507163E-2</v>
      </c>
      <c r="H119" s="582">
        <f t="shared" si="61"/>
        <v>9.0082657112692269E-2</v>
      </c>
      <c r="I119" s="582">
        <f t="shared" si="61"/>
        <v>9.3545608644517525E-2</v>
      </c>
      <c r="J119" s="582">
        <f t="shared" si="61"/>
        <v>9.7312727326133372E-2</v>
      </c>
      <c r="K119" s="582">
        <f t="shared" si="61"/>
        <v>0.10118391866090204</v>
      </c>
      <c r="L119" s="582">
        <f t="shared" si="61"/>
        <v>0.10515951705337531</v>
      </c>
      <c r="M119" s="582">
        <f t="shared" si="61"/>
        <v>0.10901346715316911</v>
      </c>
      <c r="N119" s="582">
        <f t="shared" si="61"/>
        <v>0.11129284213317148</v>
      </c>
      <c r="O119" s="582">
        <f t="shared" si="61"/>
        <v>0.1135784064172607</v>
      </c>
      <c r="P119" s="582">
        <f t="shared" si="61"/>
        <v>0.11586693750174225</v>
      </c>
      <c r="Q119" s="582">
        <f t="shared" si="61"/>
        <v>0.11815494230993309</v>
      </c>
      <c r="R119" s="582">
        <f t="shared" si="61"/>
        <v>0.12043864058575642</v>
      </c>
      <c r="S119" s="582">
        <f t="shared" si="61"/>
        <v>0.12271394738700597</v>
      </c>
      <c r="T119" s="582">
        <f t="shared" si="61"/>
        <v>0.12497645463263062</v>
      </c>
      <c r="U119" s="582">
        <f t="shared" si="61"/>
        <v>0.12722141165617323</v>
      </c>
      <c r="V119" s="582">
        <f t="shared" si="61"/>
        <v>0.12944370471516992</v>
      </c>
      <c r="W119" s="582">
        <f t="shared" si="61"/>
        <v>0.13163783540388574</v>
      </c>
      <c r="X119" s="582">
        <f t="shared" si="61"/>
        <v>0.13476704839936904</v>
      </c>
      <c r="Y119" s="582">
        <f t="shared" si="61"/>
        <v>0.13793418930319909</v>
      </c>
      <c r="Z119" s="582">
        <f t="shared" si="61"/>
        <v>0.14113721294982617</v>
      </c>
      <c r="AA119" s="582">
        <f t="shared" si="61"/>
        <v>0.14437384692434907</v>
      </c>
      <c r="AB119" s="582">
        <f t="shared" si="61"/>
        <v>0.14764157653493856</v>
      </c>
      <c r="AC119" s="582">
        <f t="shared" si="61"/>
        <v>0.150937628941786</v>
      </c>
      <c r="AD119" s="582">
        <f t="shared" si="61"/>
        <v>0.15425895639894971</v>
      </c>
      <c r="AE119" s="582">
        <f t="shared" si="61"/>
        <v>0.15760221856330076</v>
      </c>
      <c r="AF119" s="582">
        <f t="shared" si="61"/>
        <v>0.16096376382255981</v>
      </c>
      <c r="AG119" s="582">
        <f t="shared" si="61"/>
        <v>0.16433960959201199</v>
      </c>
      <c r="AH119" s="582">
        <f t="shared" si="61"/>
        <v>0.17098112464161871</v>
      </c>
      <c r="AI119" s="582">
        <f t="shared" si="61"/>
        <v>0.17789104559935467</v>
      </c>
      <c r="AJ119" s="582">
        <f t="shared" si="61"/>
        <v>0.18508021964857804</v>
      </c>
      <c r="AK119" s="582">
        <f t="shared" si="61"/>
        <v>0.19255993234372301</v>
      </c>
      <c r="AL119" s="582">
        <f t="shared" si="61"/>
        <v>0.20034192532634629</v>
      </c>
    </row>
    <row r="120" spans="1:38">
      <c r="D120" s="358"/>
      <c r="F120" s="464"/>
      <c r="G120" s="465"/>
      <c r="H120" s="465"/>
    </row>
    <row r="121" spans="1:38" ht="13">
      <c r="B121" s="493" t="s">
        <v>463</v>
      </c>
      <c r="C121" s="487" t="s">
        <v>292</v>
      </c>
      <c r="D121" s="488">
        <f t="shared" ref="D121:AL121" si="62">D116</f>
        <v>14.105815926342622</v>
      </c>
      <c r="E121" s="488">
        <f t="shared" si="62"/>
        <v>14.742338137577693</v>
      </c>
      <c r="F121" s="488">
        <f t="shared" si="62"/>
        <v>15.398798868424606</v>
      </c>
      <c r="G121" s="488">
        <f t="shared" si="62"/>
        <v>16.07542773692624</v>
      </c>
      <c r="H121" s="488">
        <f t="shared" si="62"/>
        <v>16.772426520356099</v>
      </c>
      <c r="I121" s="488">
        <f t="shared" si="62"/>
        <v>17.489965970773088</v>
      </c>
      <c r="J121" s="488">
        <f t="shared" si="62"/>
        <v>18.228182396062881</v>
      </c>
      <c r="K121" s="488">
        <f t="shared" si="62"/>
        <v>18.987173991796485</v>
      </c>
      <c r="L121" s="488">
        <f t="shared" si="62"/>
        <v>19.766996908400657</v>
      </c>
      <c r="M121" s="488">
        <f t="shared" si="62"/>
        <v>20.567661037248623</v>
      </c>
      <c r="N121" s="488">
        <f t="shared" si="62"/>
        <v>21.333558557015181</v>
      </c>
      <c r="O121" s="488">
        <f t="shared" si="62"/>
        <v>22.113803713358131</v>
      </c>
      <c r="P121" s="488">
        <f t="shared" si="62"/>
        <v>22.907740894797495</v>
      </c>
      <c r="Q121" s="488">
        <f t="shared" si="62"/>
        <v>24.07945549164468</v>
      </c>
      <c r="R121" s="488">
        <f t="shared" si="62"/>
        <v>24.905285530265076</v>
      </c>
      <c r="S121" s="488">
        <f t="shared" si="62"/>
        <v>25.742173616116034</v>
      </c>
      <c r="T121" s="488">
        <f t="shared" si="62"/>
        <v>26.589003450121666</v>
      </c>
      <c r="U121" s="488">
        <f t="shared" si="62"/>
        <v>27.444523720368846</v>
      </c>
      <c r="V121" s="488">
        <f t="shared" si="62"/>
        <v>28.307337932573699</v>
      </c>
      <c r="W121" s="488">
        <f t="shared" si="62"/>
        <v>29.175893595439234</v>
      </c>
      <c r="X121" s="488">
        <f t="shared" si="62"/>
        <v>30.290051687053055</v>
      </c>
      <c r="Y121" s="488">
        <f t="shared" si="62"/>
        <v>31.857510688253608</v>
      </c>
      <c r="Z121" s="488">
        <f t="shared" si="62"/>
        <v>33.038614950701074</v>
      </c>
      <c r="AA121" s="488">
        <f t="shared" si="62"/>
        <v>34.248141040917446</v>
      </c>
      <c r="AB121" s="488">
        <f t="shared" si="62"/>
        <v>35.485850490305772</v>
      </c>
      <c r="AC121" s="488">
        <f t="shared" si="62"/>
        <v>36.751414617792122</v>
      </c>
      <c r="AD121" s="488">
        <f t="shared" si="62"/>
        <v>38.04440663686033</v>
      </c>
      <c r="AE121" s="488">
        <f t="shared" si="62"/>
        <v>39.364293231921138</v>
      </c>
      <c r="AF121" s="488">
        <f t="shared" si="62"/>
        <v>41.206894176933638</v>
      </c>
      <c r="AG121" s="488">
        <f t="shared" si="62"/>
        <v>42.58904213751719</v>
      </c>
      <c r="AH121" s="488">
        <f t="shared" si="62"/>
        <v>44.310208233791045</v>
      </c>
      <c r="AI121" s="488">
        <f t="shared" si="62"/>
        <v>46.100932427225153</v>
      </c>
      <c r="AJ121" s="488">
        <f t="shared" si="62"/>
        <v>47.964025793921337</v>
      </c>
      <c r="AK121" s="488">
        <f t="shared" si="62"/>
        <v>49.902413014999027</v>
      </c>
      <c r="AL121" s="488">
        <f t="shared" si="62"/>
        <v>51.919136967755186</v>
      </c>
    </row>
    <row r="122" spans="1:38" ht="13">
      <c r="B122" s="494" t="s">
        <v>464</v>
      </c>
      <c r="C122" s="487" t="s">
        <v>292</v>
      </c>
      <c r="D122" s="488">
        <f t="shared" ref="D122:AL122" si="63">SUM(D116:D119)</f>
        <v>24.465892035343792</v>
      </c>
      <c r="E122" s="488">
        <f t="shared" si="63"/>
        <v>25.005786855765653</v>
      </c>
      <c r="F122" s="488">
        <f t="shared" si="63"/>
        <v>25.547335629410487</v>
      </c>
      <c r="G122" s="488">
        <f t="shared" si="63"/>
        <v>26.035070041779971</v>
      </c>
      <c r="H122" s="488">
        <f t="shared" si="63"/>
        <v>26.490664300535155</v>
      </c>
      <c r="I122" s="488">
        <f t="shared" si="63"/>
        <v>26.883502195929985</v>
      </c>
      <c r="J122" s="488">
        <f t="shared" si="63"/>
        <v>27.250158784377575</v>
      </c>
      <c r="K122" s="488">
        <f t="shared" si="63"/>
        <v>27.550485716293615</v>
      </c>
      <c r="L122" s="488">
        <f t="shared" si="63"/>
        <v>27.797272425183884</v>
      </c>
      <c r="M122" s="488">
        <f t="shared" si="63"/>
        <v>27.989634335474705</v>
      </c>
      <c r="N122" s="488">
        <f t="shared" si="63"/>
        <v>28.705894665916606</v>
      </c>
      <c r="O122" s="488">
        <f t="shared" si="63"/>
        <v>29.420368763750027</v>
      </c>
      <c r="P122" s="488">
        <f t="shared" si="63"/>
        <v>30.131178039324165</v>
      </c>
      <c r="Q122" s="488">
        <f t="shared" si="63"/>
        <v>31.201112405945867</v>
      </c>
      <c r="R122" s="488">
        <f t="shared" si="63"/>
        <v>31.905138051715952</v>
      </c>
      <c r="S122" s="488">
        <f t="shared" si="63"/>
        <v>32.598745326361417</v>
      </c>
      <c r="T122" s="488">
        <f t="shared" si="63"/>
        <v>33.27928099827151</v>
      </c>
      <c r="U122" s="488">
        <f t="shared" si="63"/>
        <v>33.943867673927009</v>
      </c>
      <c r="V122" s="488">
        <f t="shared" si="63"/>
        <v>34.589388932919384</v>
      </c>
      <c r="W122" s="488">
        <f t="shared" si="63"/>
        <v>35.212473583944409</v>
      </c>
      <c r="X122" s="488">
        <f t="shared" si="63"/>
        <v>36.357119330807066</v>
      </c>
      <c r="Y122" s="488">
        <f t="shared" si="63"/>
        <v>37.947671024505233</v>
      </c>
      <c r="Z122" s="488">
        <f t="shared" si="63"/>
        <v>39.143825512546712</v>
      </c>
      <c r="AA122" s="488">
        <f t="shared" si="63"/>
        <v>40.359671599414099</v>
      </c>
      <c r="AB122" s="488">
        <f t="shared" si="63"/>
        <v>41.594240600200592</v>
      </c>
      <c r="AC122" s="488">
        <f t="shared" si="63"/>
        <v>42.846428855092675</v>
      </c>
      <c r="AD122" s="488">
        <f t="shared" si="63"/>
        <v>44.114987411023307</v>
      </c>
      <c r="AE122" s="488">
        <f t="shared" si="63"/>
        <v>45.398511049730708</v>
      </c>
      <c r="AF122" s="488">
        <f t="shared" si="63"/>
        <v>47.191895229167876</v>
      </c>
      <c r="AG122" s="488">
        <f t="shared" si="63"/>
        <v>48.51099307324268</v>
      </c>
      <c r="AH122" s="488">
        <f t="shared" si="63"/>
        <v>50.471485077374638</v>
      </c>
      <c r="AI122" s="488">
        <f t="shared" si="63"/>
        <v>52.511207141638792</v>
      </c>
      <c r="AJ122" s="488">
        <f t="shared" si="63"/>
        <v>54.633361218614048</v>
      </c>
      <c r="AK122" s="488">
        <f t="shared" si="63"/>
        <v>56.841278662526861</v>
      </c>
      <c r="AL122" s="488">
        <f t="shared" si="63"/>
        <v>59.138425458806047</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Private!D48</f>
        <v>116.73468128387027</v>
      </c>
      <c r="E126" s="383">
        <f>Private!E48</f>
        <v>121.45232144671728</v>
      </c>
      <c r="F126" s="383">
        <f>Private!F48</f>
        <v>126.36061727813961</v>
      </c>
      <c r="G126" s="383">
        <f>Private!G48</f>
        <v>131.46727381343146</v>
      </c>
      <c r="H126" s="383">
        <f>Private!H48</f>
        <v>0</v>
      </c>
      <c r="I126" s="383">
        <f>Private!I48</f>
        <v>0</v>
      </c>
      <c r="J126" s="383">
        <f>Private!J48</f>
        <v>0</v>
      </c>
      <c r="K126" s="383">
        <f>Private!K48</f>
        <v>0</v>
      </c>
      <c r="L126" s="383">
        <f>Private!L48</f>
        <v>0</v>
      </c>
      <c r="M126" s="383">
        <f>Private!M48</f>
        <v>0</v>
      </c>
      <c r="N126" s="383">
        <f>Private!N48</f>
        <v>0</v>
      </c>
      <c r="O126" s="383">
        <f>Private!O48</f>
        <v>0</v>
      </c>
      <c r="P126" s="383">
        <f>Private!P48</f>
        <v>0</v>
      </c>
      <c r="Q126" s="383">
        <f>Private!Q48</f>
        <v>0</v>
      </c>
      <c r="R126" s="383">
        <f>Private!R48</f>
        <v>0</v>
      </c>
      <c r="S126" s="383">
        <f>Private!S48</f>
        <v>0</v>
      </c>
      <c r="T126" s="383">
        <f>Private!T48</f>
        <v>0</v>
      </c>
      <c r="U126" s="383">
        <f>Private!U48</f>
        <v>0</v>
      </c>
      <c r="V126" s="383">
        <f>Private!V48</f>
        <v>0</v>
      </c>
      <c r="W126" s="383">
        <f>Private!W48</f>
        <v>0</v>
      </c>
      <c r="X126" s="383">
        <f>Private!X48</f>
        <v>0</v>
      </c>
      <c r="Y126" s="383">
        <f>Private!Y48</f>
        <v>0</v>
      </c>
      <c r="Z126" s="383">
        <f>Private!Z48</f>
        <v>0</v>
      </c>
      <c r="AA126" s="383">
        <f>Private!AA48</f>
        <v>0</v>
      </c>
      <c r="AB126" s="383">
        <f>Private!AB48</f>
        <v>0</v>
      </c>
      <c r="AC126" s="383">
        <f>Private!AC48</f>
        <v>0</v>
      </c>
      <c r="AD126" s="383">
        <f>Private!AD48</f>
        <v>0</v>
      </c>
      <c r="AE126" s="383">
        <f>Private!AE48</f>
        <v>0</v>
      </c>
      <c r="AF126" s="383">
        <f>Private!AF48</f>
        <v>0</v>
      </c>
      <c r="AG126" s="383">
        <f>Private!AG48</f>
        <v>0</v>
      </c>
      <c r="AH126" s="383">
        <f>Private!AH48</f>
        <v>0</v>
      </c>
      <c r="AI126" s="383">
        <f>Private!AI48</f>
        <v>0</v>
      </c>
      <c r="AJ126" s="383">
        <f>Private!AJ48</f>
        <v>0</v>
      </c>
      <c r="AK126" s="383">
        <f>Private!AK48</f>
        <v>0</v>
      </c>
      <c r="AL126" s="383">
        <f>Private!AL48</f>
        <v>0</v>
      </c>
    </row>
    <row r="127" spans="1:38">
      <c r="B127" s="385" t="s">
        <v>509</v>
      </c>
      <c r="C127" s="386" t="s">
        <v>443</v>
      </c>
      <c r="D127" s="383">
        <f>Private!D49</f>
        <v>0.58660643861241346</v>
      </c>
      <c r="E127" s="383">
        <f>Private!E49</f>
        <v>0.61031317309908184</v>
      </c>
      <c r="F127" s="383">
        <f>Private!F49</f>
        <v>0.63497797627205832</v>
      </c>
      <c r="G127" s="383">
        <f>Private!G49</f>
        <v>0.6606395669016657</v>
      </c>
      <c r="H127" s="383">
        <f>Private!H49</f>
        <v>0</v>
      </c>
      <c r="I127" s="383">
        <f>Private!I49</f>
        <v>0</v>
      </c>
      <c r="J127" s="383">
        <f>Private!J49</f>
        <v>0</v>
      </c>
      <c r="K127" s="383">
        <f>Private!K49</f>
        <v>0</v>
      </c>
      <c r="L127" s="383">
        <f>Private!L49</f>
        <v>0</v>
      </c>
      <c r="M127" s="383">
        <f>Private!M49</f>
        <v>0</v>
      </c>
      <c r="N127" s="383">
        <f>Private!N49</f>
        <v>0</v>
      </c>
      <c r="O127" s="383">
        <f>Private!O49</f>
        <v>0</v>
      </c>
      <c r="P127" s="383">
        <f>Private!P49</f>
        <v>0</v>
      </c>
      <c r="Q127" s="383">
        <f>Private!Q49</f>
        <v>0</v>
      </c>
      <c r="R127" s="383">
        <f>Private!R49</f>
        <v>0</v>
      </c>
      <c r="S127" s="383">
        <f>Private!S49</f>
        <v>0</v>
      </c>
      <c r="T127" s="383">
        <f>Private!T49</f>
        <v>0</v>
      </c>
      <c r="U127" s="383">
        <f>Private!U49</f>
        <v>0</v>
      </c>
      <c r="V127" s="383">
        <f>Private!V49</f>
        <v>0</v>
      </c>
      <c r="W127" s="383">
        <f>Private!W49</f>
        <v>0</v>
      </c>
      <c r="X127" s="383">
        <f>Private!X49</f>
        <v>0</v>
      </c>
      <c r="Y127" s="383">
        <f>Private!Y49</f>
        <v>0</v>
      </c>
      <c r="Z127" s="383">
        <f>Private!Z49</f>
        <v>0</v>
      </c>
      <c r="AA127" s="383">
        <f>Private!AA49</f>
        <v>0</v>
      </c>
      <c r="AB127" s="383">
        <f>Private!AB49</f>
        <v>0</v>
      </c>
      <c r="AC127" s="383">
        <f>Private!AC49</f>
        <v>0</v>
      </c>
      <c r="AD127" s="383">
        <f>Private!AD49</f>
        <v>0</v>
      </c>
      <c r="AE127" s="383">
        <f>Private!AE49</f>
        <v>0</v>
      </c>
      <c r="AF127" s="383">
        <f>Private!AF49</f>
        <v>0</v>
      </c>
      <c r="AG127" s="383">
        <f>Private!AG49</f>
        <v>0</v>
      </c>
      <c r="AH127" s="383">
        <f>Private!AH49</f>
        <v>0</v>
      </c>
      <c r="AI127" s="383">
        <f>Private!AI49</f>
        <v>0</v>
      </c>
      <c r="AJ127" s="383">
        <f>Private!AJ49</f>
        <v>0</v>
      </c>
      <c r="AK127" s="383">
        <f>Private!AK49</f>
        <v>0</v>
      </c>
      <c r="AL127" s="383">
        <f>Private!AL49</f>
        <v>0</v>
      </c>
    </row>
    <row r="128" spans="1:38">
      <c r="B128" s="358" t="s">
        <v>769</v>
      </c>
      <c r="C128" s="358" t="s">
        <v>443</v>
      </c>
      <c r="D128" s="383">
        <f>Private!D50</f>
        <v>0</v>
      </c>
      <c r="E128" s="383">
        <f>Private!E50</f>
        <v>0</v>
      </c>
      <c r="F128" s="383">
        <f>Private!F50</f>
        <v>0</v>
      </c>
      <c r="G128" s="383">
        <f>Private!G50</f>
        <v>0</v>
      </c>
      <c r="H128" s="383">
        <f>Private!H50</f>
        <v>0</v>
      </c>
      <c r="I128" s="383">
        <f>Private!I50</f>
        <v>0</v>
      </c>
      <c r="J128" s="383">
        <f>Private!J50</f>
        <v>0</v>
      </c>
      <c r="K128" s="383">
        <f>Private!K50</f>
        <v>0</v>
      </c>
      <c r="L128" s="383">
        <f>Private!L50</f>
        <v>0</v>
      </c>
      <c r="M128" s="383">
        <f>Private!M50</f>
        <v>0</v>
      </c>
      <c r="N128" s="383">
        <f>Private!N50</f>
        <v>0</v>
      </c>
      <c r="O128" s="383">
        <f>Private!O50</f>
        <v>0</v>
      </c>
      <c r="P128" s="383">
        <f>Private!P50</f>
        <v>0</v>
      </c>
      <c r="Q128" s="383">
        <f>Private!Q50</f>
        <v>0</v>
      </c>
      <c r="R128" s="383">
        <f>Private!R50</f>
        <v>0</v>
      </c>
      <c r="S128" s="383">
        <f>Private!S50</f>
        <v>0</v>
      </c>
      <c r="T128" s="383">
        <f>Private!T50</f>
        <v>0</v>
      </c>
      <c r="U128" s="383">
        <f>Private!U50</f>
        <v>0</v>
      </c>
      <c r="V128" s="383">
        <f>Private!V50</f>
        <v>0</v>
      </c>
      <c r="W128" s="383">
        <f>Private!W50</f>
        <v>0</v>
      </c>
      <c r="X128" s="383">
        <f>Private!X50</f>
        <v>0</v>
      </c>
      <c r="Y128" s="383">
        <f>Private!Y50</f>
        <v>0</v>
      </c>
      <c r="Z128" s="383">
        <f>Private!Z50</f>
        <v>0</v>
      </c>
      <c r="AA128" s="383">
        <f>Private!AA50</f>
        <v>0</v>
      </c>
      <c r="AB128" s="383">
        <f>Private!AB50</f>
        <v>0</v>
      </c>
      <c r="AC128" s="383">
        <f>Private!AC50</f>
        <v>0</v>
      </c>
      <c r="AD128" s="383">
        <f>Private!AD50</f>
        <v>0</v>
      </c>
      <c r="AE128" s="383">
        <f>Private!AE50</f>
        <v>0</v>
      </c>
      <c r="AF128" s="383">
        <f>Private!AF50</f>
        <v>0</v>
      </c>
      <c r="AG128" s="383">
        <f>Private!AG50</f>
        <v>0</v>
      </c>
      <c r="AH128" s="383">
        <f>Private!AH50</f>
        <v>0</v>
      </c>
      <c r="AI128" s="383">
        <f>Private!AI50</f>
        <v>0</v>
      </c>
      <c r="AJ128" s="383">
        <f>Private!AJ50</f>
        <v>0</v>
      </c>
      <c r="AK128" s="383">
        <f>Private!AK50</f>
        <v>0</v>
      </c>
      <c r="AL128" s="383">
        <f>Private!AL50</f>
        <v>0</v>
      </c>
    </row>
    <row r="129" spans="1:38">
      <c r="D129" s="358"/>
      <c r="F129" s="464"/>
      <c r="G129" s="465"/>
      <c r="H129" s="465"/>
    </row>
    <row r="130" spans="1:38">
      <c r="B130" s="476" t="s">
        <v>708</v>
      </c>
      <c r="C130" s="484" t="s">
        <v>292</v>
      </c>
      <c r="D130" s="582">
        <f t="shared" ref="D130:AL130" si="64">(D$126*D90+D$127*D95+D$128*D100)/Grams.Per.Metric.Ton*D105</f>
        <v>14.105815926342622</v>
      </c>
      <c r="E130" s="582">
        <f t="shared" si="64"/>
        <v>14.742338137577693</v>
      </c>
      <c r="F130" s="582">
        <f t="shared" si="64"/>
        <v>15.398798868424606</v>
      </c>
      <c r="G130" s="582">
        <f t="shared" si="64"/>
        <v>16.07542773692624</v>
      </c>
      <c r="H130" s="582">
        <f t="shared" si="64"/>
        <v>0</v>
      </c>
      <c r="I130" s="582">
        <f t="shared" si="64"/>
        <v>0</v>
      </c>
      <c r="J130" s="582">
        <f t="shared" si="64"/>
        <v>0</v>
      </c>
      <c r="K130" s="582">
        <f t="shared" si="64"/>
        <v>0</v>
      </c>
      <c r="L130" s="582">
        <f t="shared" si="64"/>
        <v>0</v>
      </c>
      <c r="M130" s="582">
        <f t="shared" si="64"/>
        <v>0</v>
      </c>
      <c r="N130" s="582">
        <f t="shared" si="64"/>
        <v>0</v>
      </c>
      <c r="O130" s="582">
        <f t="shared" si="64"/>
        <v>0</v>
      </c>
      <c r="P130" s="582">
        <f t="shared" si="64"/>
        <v>0</v>
      </c>
      <c r="Q130" s="582">
        <f t="shared" si="64"/>
        <v>0</v>
      </c>
      <c r="R130" s="582">
        <f t="shared" si="64"/>
        <v>0</v>
      </c>
      <c r="S130" s="582">
        <f t="shared" si="64"/>
        <v>0</v>
      </c>
      <c r="T130" s="582">
        <f t="shared" si="64"/>
        <v>0</v>
      </c>
      <c r="U130" s="582">
        <f t="shared" si="64"/>
        <v>0</v>
      </c>
      <c r="V130" s="582">
        <f t="shared" si="64"/>
        <v>0</v>
      </c>
      <c r="W130" s="582">
        <f t="shared" si="64"/>
        <v>0</v>
      </c>
      <c r="X130" s="582">
        <f t="shared" si="64"/>
        <v>0</v>
      </c>
      <c r="Y130" s="582">
        <f t="shared" si="64"/>
        <v>0</v>
      </c>
      <c r="Z130" s="582">
        <f t="shared" si="64"/>
        <v>0</v>
      </c>
      <c r="AA130" s="582">
        <f t="shared" si="64"/>
        <v>0</v>
      </c>
      <c r="AB130" s="582">
        <f t="shared" si="64"/>
        <v>0</v>
      </c>
      <c r="AC130" s="582">
        <f t="shared" si="64"/>
        <v>0</v>
      </c>
      <c r="AD130" s="582">
        <f t="shared" si="64"/>
        <v>0</v>
      </c>
      <c r="AE130" s="582">
        <f t="shared" si="64"/>
        <v>0</v>
      </c>
      <c r="AF130" s="582">
        <f t="shared" si="64"/>
        <v>0</v>
      </c>
      <c r="AG130" s="582">
        <f t="shared" si="64"/>
        <v>0</v>
      </c>
      <c r="AH130" s="582">
        <f t="shared" si="64"/>
        <v>0</v>
      </c>
      <c r="AI130" s="582">
        <f t="shared" si="64"/>
        <v>0</v>
      </c>
      <c r="AJ130" s="582">
        <f t="shared" si="64"/>
        <v>0</v>
      </c>
      <c r="AK130" s="582">
        <f t="shared" si="64"/>
        <v>0</v>
      </c>
      <c r="AL130" s="582">
        <f t="shared" si="64"/>
        <v>0</v>
      </c>
    </row>
    <row r="131" spans="1:38">
      <c r="B131" s="478" t="s">
        <v>709</v>
      </c>
      <c r="C131" s="484" t="s">
        <v>292</v>
      </c>
      <c r="D131" s="582">
        <f t="shared" ref="D131:AL131" si="65">(D$126*D91+D$127*D96+D$128*D101)/Grams.Per.Metric.Ton*D106</f>
        <v>4.3716565074610543</v>
      </c>
      <c r="E131" s="582">
        <f t="shared" si="65"/>
        <v>4.1785655940927668</v>
      </c>
      <c r="F131" s="582">
        <f t="shared" si="65"/>
        <v>3.9759345131137875</v>
      </c>
      <c r="G131" s="582">
        <f t="shared" si="65"/>
        <v>3.7105240157630957</v>
      </c>
      <c r="H131" s="582">
        <f t="shared" si="65"/>
        <v>0</v>
      </c>
      <c r="I131" s="582">
        <f t="shared" si="65"/>
        <v>0</v>
      </c>
      <c r="J131" s="582">
        <f t="shared" si="65"/>
        <v>0</v>
      </c>
      <c r="K131" s="582">
        <f t="shared" si="65"/>
        <v>0</v>
      </c>
      <c r="L131" s="582">
        <f t="shared" si="65"/>
        <v>0</v>
      </c>
      <c r="M131" s="582">
        <f t="shared" si="65"/>
        <v>0</v>
      </c>
      <c r="N131" s="582">
        <f t="shared" si="65"/>
        <v>0</v>
      </c>
      <c r="O131" s="582">
        <f t="shared" si="65"/>
        <v>0</v>
      </c>
      <c r="P131" s="582">
        <f t="shared" si="65"/>
        <v>0</v>
      </c>
      <c r="Q131" s="582">
        <f t="shared" si="65"/>
        <v>0</v>
      </c>
      <c r="R131" s="582">
        <f t="shared" si="65"/>
        <v>0</v>
      </c>
      <c r="S131" s="582">
        <f t="shared" si="65"/>
        <v>0</v>
      </c>
      <c r="T131" s="582">
        <f t="shared" si="65"/>
        <v>0</v>
      </c>
      <c r="U131" s="582">
        <f t="shared" si="65"/>
        <v>0</v>
      </c>
      <c r="V131" s="582">
        <f t="shared" si="65"/>
        <v>0</v>
      </c>
      <c r="W131" s="582">
        <f t="shared" si="65"/>
        <v>0</v>
      </c>
      <c r="X131" s="582">
        <f t="shared" si="65"/>
        <v>0</v>
      </c>
      <c r="Y131" s="582">
        <f t="shared" si="65"/>
        <v>0</v>
      </c>
      <c r="Z131" s="582">
        <f t="shared" si="65"/>
        <v>0</v>
      </c>
      <c r="AA131" s="582">
        <f t="shared" si="65"/>
        <v>0</v>
      </c>
      <c r="AB131" s="582">
        <f t="shared" si="65"/>
        <v>0</v>
      </c>
      <c r="AC131" s="582">
        <f t="shared" si="65"/>
        <v>0</v>
      </c>
      <c r="AD131" s="582">
        <f t="shared" si="65"/>
        <v>0</v>
      </c>
      <c r="AE131" s="582">
        <f t="shared" si="65"/>
        <v>0</v>
      </c>
      <c r="AF131" s="582">
        <f t="shared" si="65"/>
        <v>0</v>
      </c>
      <c r="AG131" s="582">
        <f t="shared" si="65"/>
        <v>0</v>
      </c>
      <c r="AH131" s="582">
        <f t="shared" si="65"/>
        <v>0</v>
      </c>
      <c r="AI131" s="582">
        <f t="shared" si="65"/>
        <v>0</v>
      </c>
      <c r="AJ131" s="582">
        <f t="shared" si="65"/>
        <v>0</v>
      </c>
      <c r="AK131" s="582">
        <f t="shared" si="65"/>
        <v>0</v>
      </c>
      <c r="AL131" s="582">
        <f t="shared" si="65"/>
        <v>0</v>
      </c>
    </row>
    <row r="132" spans="1:38">
      <c r="B132" s="478" t="s">
        <v>710</v>
      </c>
      <c r="C132" s="484" t="s">
        <v>292</v>
      </c>
      <c r="D132" s="582">
        <f t="shared" ref="D132:AL132" si="66">(D$126*D92+D$127*D97+D$128*D102)/Grams.Per.Metric.Ton*D107</f>
        <v>5.9134440006667992</v>
      </c>
      <c r="E132" s="582">
        <f t="shared" si="66"/>
        <v>6.0064957478590513</v>
      </c>
      <c r="F132" s="582">
        <f t="shared" si="66"/>
        <v>6.0905035105722307</v>
      </c>
      <c r="G132" s="582">
        <f t="shared" si="66"/>
        <v>6.1631885014881282</v>
      </c>
      <c r="H132" s="582">
        <f t="shared" si="66"/>
        <v>0</v>
      </c>
      <c r="I132" s="582">
        <f t="shared" si="66"/>
        <v>0</v>
      </c>
      <c r="J132" s="582">
        <f t="shared" si="66"/>
        <v>0</v>
      </c>
      <c r="K132" s="582">
        <f t="shared" si="66"/>
        <v>0</v>
      </c>
      <c r="L132" s="582">
        <f t="shared" si="66"/>
        <v>0</v>
      </c>
      <c r="M132" s="582">
        <f t="shared" si="66"/>
        <v>0</v>
      </c>
      <c r="N132" s="582">
        <f t="shared" si="66"/>
        <v>0</v>
      </c>
      <c r="O132" s="582">
        <f t="shared" si="66"/>
        <v>0</v>
      </c>
      <c r="P132" s="582">
        <f t="shared" si="66"/>
        <v>0</v>
      </c>
      <c r="Q132" s="582">
        <f t="shared" si="66"/>
        <v>0</v>
      </c>
      <c r="R132" s="582">
        <f t="shared" si="66"/>
        <v>0</v>
      </c>
      <c r="S132" s="582">
        <f t="shared" si="66"/>
        <v>0</v>
      </c>
      <c r="T132" s="582">
        <f t="shared" si="66"/>
        <v>0</v>
      </c>
      <c r="U132" s="582">
        <f t="shared" si="66"/>
        <v>0</v>
      </c>
      <c r="V132" s="582">
        <f t="shared" si="66"/>
        <v>0</v>
      </c>
      <c r="W132" s="582">
        <f t="shared" si="66"/>
        <v>0</v>
      </c>
      <c r="X132" s="582">
        <f t="shared" si="66"/>
        <v>0</v>
      </c>
      <c r="Y132" s="582">
        <f t="shared" si="66"/>
        <v>0</v>
      </c>
      <c r="Z132" s="582">
        <f t="shared" si="66"/>
        <v>0</v>
      </c>
      <c r="AA132" s="582">
        <f t="shared" si="66"/>
        <v>0</v>
      </c>
      <c r="AB132" s="582">
        <f t="shared" si="66"/>
        <v>0</v>
      </c>
      <c r="AC132" s="582">
        <f t="shared" si="66"/>
        <v>0</v>
      </c>
      <c r="AD132" s="582">
        <f t="shared" si="66"/>
        <v>0</v>
      </c>
      <c r="AE132" s="582">
        <f t="shared" si="66"/>
        <v>0</v>
      </c>
      <c r="AF132" s="582">
        <f t="shared" si="66"/>
        <v>0</v>
      </c>
      <c r="AG132" s="582">
        <f t="shared" si="66"/>
        <v>0</v>
      </c>
      <c r="AH132" s="582">
        <f t="shared" si="66"/>
        <v>0</v>
      </c>
      <c r="AI132" s="582">
        <f t="shared" si="66"/>
        <v>0</v>
      </c>
      <c r="AJ132" s="582">
        <f t="shared" si="66"/>
        <v>0</v>
      </c>
      <c r="AK132" s="582">
        <f t="shared" si="66"/>
        <v>0</v>
      </c>
      <c r="AL132" s="582">
        <f t="shared" si="66"/>
        <v>0</v>
      </c>
    </row>
    <row r="133" spans="1:38">
      <c r="B133" s="478" t="s">
        <v>711</v>
      </c>
      <c r="C133" s="484" t="s">
        <v>292</v>
      </c>
      <c r="D133" s="582">
        <f t="shared" ref="D133:AL133" si="67">(D$126*D93+D$127*D98+D$128*D103)/Grams.Per.Metric.Ton*D108</f>
        <v>7.4975600873314202E-2</v>
      </c>
      <c r="E133" s="582">
        <f t="shared" si="67"/>
        <v>7.8387376236138492E-2</v>
      </c>
      <c r="F133" s="582">
        <f t="shared" si="67"/>
        <v>8.2098737299864014E-2</v>
      </c>
      <c r="G133" s="582">
        <f t="shared" si="67"/>
        <v>8.5929787602507163E-2</v>
      </c>
      <c r="H133" s="582">
        <f t="shared" si="67"/>
        <v>0</v>
      </c>
      <c r="I133" s="582">
        <f t="shared" si="67"/>
        <v>0</v>
      </c>
      <c r="J133" s="582">
        <f t="shared" si="67"/>
        <v>0</v>
      </c>
      <c r="K133" s="582">
        <f t="shared" si="67"/>
        <v>0</v>
      </c>
      <c r="L133" s="582">
        <f t="shared" si="67"/>
        <v>0</v>
      </c>
      <c r="M133" s="582">
        <f t="shared" si="67"/>
        <v>0</v>
      </c>
      <c r="N133" s="582">
        <f t="shared" si="67"/>
        <v>0</v>
      </c>
      <c r="O133" s="582">
        <f t="shared" si="67"/>
        <v>0</v>
      </c>
      <c r="P133" s="582">
        <f t="shared" si="67"/>
        <v>0</v>
      </c>
      <c r="Q133" s="582">
        <f t="shared" si="67"/>
        <v>0</v>
      </c>
      <c r="R133" s="582">
        <f t="shared" si="67"/>
        <v>0</v>
      </c>
      <c r="S133" s="582">
        <f t="shared" si="67"/>
        <v>0</v>
      </c>
      <c r="T133" s="582">
        <f t="shared" si="67"/>
        <v>0</v>
      </c>
      <c r="U133" s="582">
        <f t="shared" si="67"/>
        <v>0</v>
      </c>
      <c r="V133" s="582">
        <f t="shared" si="67"/>
        <v>0</v>
      </c>
      <c r="W133" s="582">
        <f t="shared" si="67"/>
        <v>0</v>
      </c>
      <c r="X133" s="582">
        <f t="shared" si="67"/>
        <v>0</v>
      </c>
      <c r="Y133" s="582">
        <f t="shared" si="67"/>
        <v>0</v>
      </c>
      <c r="Z133" s="582">
        <f t="shared" si="67"/>
        <v>0</v>
      </c>
      <c r="AA133" s="582">
        <f t="shared" si="67"/>
        <v>0</v>
      </c>
      <c r="AB133" s="582">
        <f t="shared" si="67"/>
        <v>0</v>
      </c>
      <c r="AC133" s="582">
        <f t="shared" si="67"/>
        <v>0</v>
      </c>
      <c r="AD133" s="582">
        <f t="shared" si="67"/>
        <v>0</v>
      </c>
      <c r="AE133" s="582">
        <f t="shared" si="67"/>
        <v>0</v>
      </c>
      <c r="AF133" s="582">
        <f t="shared" si="67"/>
        <v>0</v>
      </c>
      <c r="AG133" s="582">
        <f t="shared" si="67"/>
        <v>0</v>
      </c>
      <c r="AH133" s="582">
        <f t="shared" si="67"/>
        <v>0</v>
      </c>
      <c r="AI133" s="582">
        <f t="shared" si="67"/>
        <v>0</v>
      </c>
      <c r="AJ133" s="582">
        <f t="shared" si="67"/>
        <v>0</v>
      </c>
      <c r="AK133" s="582">
        <f t="shared" si="67"/>
        <v>0</v>
      </c>
      <c r="AL133" s="582">
        <f t="shared" si="67"/>
        <v>0</v>
      </c>
    </row>
    <row r="134" spans="1:38">
      <c r="D134" s="358"/>
      <c r="F134" s="464"/>
      <c r="G134" s="465"/>
      <c r="H134" s="465"/>
    </row>
    <row r="135" spans="1:38" ht="13">
      <c r="B135" s="493" t="s">
        <v>465</v>
      </c>
      <c r="C135" s="487" t="s">
        <v>292</v>
      </c>
      <c r="D135" s="488">
        <f t="shared" ref="D135:AL135" si="68">D130</f>
        <v>14.105815926342622</v>
      </c>
      <c r="E135" s="488">
        <f t="shared" si="68"/>
        <v>14.742338137577693</v>
      </c>
      <c r="F135" s="488">
        <f t="shared" si="68"/>
        <v>15.398798868424606</v>
      </c>
      <c r="G135" s="488">
        <f t="shared" si="68"/>
        <v>16.07542773692624</v>
      </c>
      <c r="H135" s="488">
        <f t="shared" si="68"/>
        <v>0</v>
      </c>
      <c r="I135" s="488">
        <f t="shared" si="68"/>
        <v>0</v>
      </c>
      <c r="J135" s="488">
        <f t="shared" si="68"/>
        <v>0</v>
      </c>
      <c r="K135" s="488">
        <f t="shared" si="68"/>
        <v>0</v>
      </c>
      <c r="L135" s="488">
        <f t="shared" si="68"/>
        <v>0</v>
      </c>
      <c r="M135" s="488">
        <f t="shared" si="68"/>
        <v>0</v>
      </c>
      <c r="N135" s="488">
        <f t="shared" si="68"/>
        <v>0</v>
      </c>
      <c r="O135" s="488">
        <f t="shared" si="68"/>
        <v>0</v>
      </c>
      <c r="P135" s="488">
        <f t="shared" si="68"/>
        <v>0</v>
      </c>
      <c r="Q135" s="488">
        <f t="shared" si="68"/>
        <v>0</v>
      </c>
      <c r="R135" s="488">
        <f t="shared" si="68"/>
        <v>0</v>
      </c>
      <c r="S135" s="488">
        <f t="shared" si="68"/>
        <v>0</v>
      </c>
      <c r="T135" s="488">
        <f t="shared" si="68"/>
        <v>0</v>
      </c>
      <c r="U135" s="488">
        <f t="shared" si="68"/>
        <v>0</v>
      </c>
      <c r="V135" s="488">
        <f t="shared" si="68"/>
        <v>0</v>
      </c>
      <c r="W135" s="488">
        <f t="shared" si="68"/>
        <v>0</v>
      </c>
      <c r="X135" s="488">
        <f t="shared" si="68"/>
        <v>0</v>
      </c>
      <c r="Y135" s="488">
        <f t="shared" si="68"/>
        <v>0</v>
      </c>
      <c r="Z135" s="488">
        <f t="shared" si="68"/>
        <v>0</v>
      </c>
      <c r="AA135" s="488">
        <f t="shared" si="68"/>
        <v>0</v>
      </c>
      <c r="AB135" s="488">
        <f t="shared" si="68"/>
        <v>0</v>
      </c>
      <c r="AC135" s="488">
        <f t="shared" si="68"/>
        <v>0</v>
      </c>
      <c r="AD135" s="488">
        <f t="shared" si="68"/>
        <v>0</v>
      </c>
      <c r="AE135" s="488">
        <f t="shared" si="68"/>
        <v>0</v>
      </c>
      <c r="AF135" s="488">
        <f t="shared" si="68"/>
        <v>0</v>
      </c>
      <c r="AG135" s="488">
        <f t="shared" si="68"/>
        <v>0</v>
      </c>
      <c r="AH135" s="488">
        <f t="shared" si="68"/>
        <v>0</v>
      </c>
      <c r="AI135" s="488">
        <f t="shared" si="68"/>
        <v>0</v>
      </c>
      <c r="AJ135" s="488">
        <f t="shared" si="68"/>
        <v>0</v>
      </c>
      <c r="AK135" s="488">
        <f t="shared" si="68"/>
        <v>0</v>
      </c>
      <c r="AL135" s="488">
        <f t="shared" si="68"/>
        <v>0</v>
      </c>
    </row>
    <row r="136" spans="1:38" ht="13">
      <c r="B136" s="494" t="s">
        <v>466</v>
      </c>
      <c r="C136" s="487" t="s">
        <v>292</v>
      </c>
      <c r="D136" s="488">
        <f t="shared" ref="D136:AL136" si="69">SUM(D130:D133)</f>
        <v>24.465892035343792</v>
      </c>
      <c r="E136" s="488">
        <f t="shared" si="69"/>
        <v>25.005786855765653</v>
      </c>
      <c r="F136" s="488">
        <f t="shared" si="69"/>
        <v>25.547335629410487</v>
      </c>
      <c r="G136" s="488">
        <f t="shared" si="69"/>
        <v>26.035070041779971</v>
      </c>
      <c r="H136" s="488">
        <f t="shared" si="69"/>
        <v>0</v>
      </c>
      <c r="I136" s="488">
        <f t="shared" si="69"/>
        <v>0</v>
      </c>
      <c r="J136" s="488">
        <f t="shared" si="69"/>
        <v>0</v>
      </c>
      <c r="K136" s="488">
        <f t="shared" si="69"/>
        <v>0</v>
      </c>
      <c r="L136" s="488">
        <f t="shared" si="69"/>
        <v>0</v>
      </c>
      <c r="M136" s="488">
        <f t="shared" si="69"/>
        <v>0</v>
      </c>
      <c r="N136" s="488">
        <f t="shared" si="69"/>
        <v>0</v>
      </c>
      <c r="O136" s="488">
        <f t="shared" si="69"/>
        <v>0</v>
      </c>
      <c r="P136" s="488">
        <f t="shared" si="69"/>
        <v>0</v>
      </c>
      <c r="Q136" s="488">
        <f t="shared" si="69"/>
        <v>0</v>
      </c>
      <c r="R136" s="488">
        <f t="shared" si="69"/>
        <v>0</v>
      </c>
      <c r="S136" s="488">
        <f t="shared" si="69"/>
        <v>0</v>
      </c>
      <c r="T136" s="488">
        <f t="shared" si="69"/>
        <v>0</v>
      </c>
      <c r="U136" s="488">
        <f t="shared" si="69"/>
        <v>0</v>
      </c>
      <c r="V136" s="488">
        <f t="shared" si="69"/>
        <v>0</v>
      </c>
      <c r="W136" s="488">
        <f t="shared" si="69"/>
        <v>0</v>
      </c>
      <c r="X136" s="488">
        <f t="shared" si="69"/>
        <v>0</v>
      </c>
      <c r="Y136" s="488">
        <f t="shared" si="69"/>
        <v>0</v>
      </c>
      <c r="Z136" s="488">
        <f t="shared" si="69"/>
        <v>0</v>
      </c>
      <c r="AA136" s="488">
        <f t="shared" si="69"/>
        <v>0</v>
      </c>
      <c r="AB136" s="488">
        <f t="shared" si="69"/>
        <v>0</v>
      </c>
      <c r="AC136" s="488">
        <f t="shared" si="69"/>
        <v>0</v>
      </c>
      <c r="AD136" s="488">
        <f t="shared" si="69"/>
        <v>0</v>
      </c>
      <c r="AE136" s="488">
        <f t="shared" si="69"/>
        <v>0</v>
      </c>
      <c r="AF136" s="488">
        <f t="shared" si="69"/>
        <v>0</v>
      </c>
      <c r="AG136" s="488">
        <f t="shared" si="69"/>
        <v>0</v>
      </c>
      <c r="AH136" s="488">
        <f t="shared" si="69"/>
        <v>0</v>
      </c>
      <c r="AI136" s="488">
        <f t="shared" si="69"/>
        <v>0</v>
      </c>
      <c r="AJ136" s="488">
        <f t="shared" si="69"/>
        <v>0</v>
      </c>
      <c r="AK136" s="488">
        <f t="shared" si="69"/>
        <v>0</v>
      </c>
      <c r="AL136" s="488">
        <f t="shared" si="69"/>
        <v>0</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70">((D$112*D90+D$113*D95+D$114*D100)-(D$126*D90+D$127*D95+D$128*D100))/Grams.Per.Metric.Ton</f>
        <v>0</v>
      </c>
      <c r="E140" s="474">
        <f t="shared" si="70"/>
        <v>0</v>
      </c>
      <c r="F140" s="474">
        <f t="shared" si="70"/>
        <v>0</v>
      </c>
      <c r="G140" s="474">
        <f t="shared" si="70"/>
        <v>0</v>
      </c>
      <c r="H140" s="474">
        <f t="shared" si="70"/>
        <v>0.29950761643493035</v>
      </c>
      <c r="I140" s="474">
        <f t="shared" si="70"/>
        <v>0.306841508259177</v>
      </c>
      <c r="J140" s="474">
        <f t="shared" si="70"/>
        <v>0.31427900682867038</v>
      </c>
      <c r="K140" s="474">
        <f t="shared" si="70"/>
        <v>0.32181650833553366</v>
      </c>
      <c r="L140" s="474">
        <f t="shared" si="70"/>
        <v>0.3294499484733443</v>
      </c>
      <c r="M140" s="474">
        <f t="shared" si="70"/>
        <v>0.33717477110243643</v>
      </c>
      <c r="N140" s="474">
        <f t="shared" si="70"/>
        <v>0.34408965414540615</v>
      </c>
      <c r="O140" s="474">
        <f t="shared" si="70"/>
        <v>0.35101275735489096</v>
      </c>
      <c r="P140" s="474">
        <f t="shared" si="70"/>
        <v>0.35793345148121086</v>
      </c>
      <c r="Q140" s="474">
        <f t="shared" si="70"/>
        <v>0.36484023472188909</v>
      </c>
      <c r="R140" s="474">
        <f t="shared" si="70"/>
        <v>0.37172067955619514</v>
      </c>
      <c r="S140" s="474">
        <f t="shared" si="70"/>
        <v>0.37856137670758871</v>
      </c>
      <c r="T140" s="474">
        <f t="shared" si="70"/>
        <v>0.38534787608871979</v>
      </c>
      <c r="U140" s="474">
        <f t="shared" si="70"/>
        <v>0.39206462457669777</v>
      </c>
      <c r="V140" s="474">
        <f t="shared" si="70"/>
        <v>0.39869490045878447</v>
      </c>
      <c r="W140" s="474">
        <f t="shared" si="70"/>
        <v>0.40522074438110045</v>
      </c>
      <c r="X140" s="474">
        <f t="shared" si="70"/>
        <v>0.41493221489113774</v>
      </c>
      <c r="Y140" s="474">
        <f t="shared" si="70"/>
        <v>0.42476680917671478</v>
      </c>
      <c r="Z140" s="474">
        <f t="shared" si="70"/>
        <v>0.43471861777238258</v>
      </c>
      <c r="AA140" s="474">
        <f t="shared" si="70"/>
        <v>0.44478105247944733</v>
      </c>
      <c r="AB140" s="474">
        <f t="shared" si="70"/>
        <v>0.45494680115776631</v>
      </c>
      <c r="AC140" s="474">
        <f t="shared" si="70"/>
        <v>0.4652077799720522</v>
      </c>
      <c r="AD140" s="474">
        <f t="shared" si="70"/>
        <v>0.47555508296075411</v>
      </c>
      <c r="AE140" s="474">
        <f t="shared" si="70"/>
        <v>0.48597892878914989</v>
      </c>
      <c r="AF140" s="474">
        <f t="shared" si="70"/>
        <v>0.49646860454136915</v>
      </c>
      <c r="AG140" s="474">
        <f t="shared" si="70"/>
        <v>0.50701240639901413</v>
      </c>
      <c r="AH140" s="474">
        <f t="shared" si="70"/>
        <v>0.52750247897370295</v>
      </c>
      <c r="AI140" s="474">
        <f t="shared" si="70"/>
        <v>0.54882062413363275</v>
      </c>
      <c r="AJ140" s="474">
        <f t="shared" si="70"/>
        <v>0.5710003070704921</v>
      </c>
      <c r="AK140" s="474">
        <f t="shared" si="70"/>
        <v>0.5940763454166551</v>
      </c>
      <c r="AL140" s="474">
        <f t="shared" si="70"/>
        <v>0.61808496390184742</v>
      </c>
    </row>
    <row r="141" spans="1:38" ht="13">
      <c r="B141" s="494" t="s">
        <v>815</v>
      </c>
      <c r="C141" s="387" t="s">
        <v>818</v>
      </c>
      <c r="D141" s="541">
        <f t="shared" ref="D141:AL141" si="71">((D$112*D91+D$113*D96+D$114*D101)-(D$126*D91+D$127*D96+D$128*D101))/Grams.Per.Metric.Ton</f>
        <v>0</v>
      </c>
      <c r="E141" s="541">
        <f t="shared" si="71"/>
        <v>0</v>
      </c>
      <c r="F141" s="541">
        <f t="shared" si="71"/>
        <v>0</v>
      </c>
      <c r="G141" s="541">
        <f t="shared" si="71"/>
        <v>0</v>
      </c>
      <c r="H141" s="541">
        <f t="shared" si="71"/>
        <v>2.0269170879766242E-4</v>
      </c>
      <c r="I141" s="541">
        <f t="shared" si="71"/>
        <v>1.7980887347487923E-4</v>
      </c>
      <c r="J141" s="541">
        <f t="shared" si="71"/>
        <v>1.5474544977533367E-4</v>
      </c>
      <c r="K141" s="541">
        <f t="shared" si="71"/>
        <v>1.2736256105872319E-4</v>
      </c>
      <c r="L141" s="541">
        <f t="shared" si="71"/>
        <v>9.7513667165354998E-5</v>
      </c>
      <c r="M141" s="541">
        <f t="shared" si="71"/>
        <v>6.5044171817805192E-5</v>
      </c>
      <c r="N141" s="541">
        <f t="shared" si="71"/>
        <v>6.2441321426190128E-5</v>
      </c>
      <c r="O141" s="541">
        <f t="shared" si="71"/>
        <v>5.952185850136516E-5</v>
      </c>
      <c r="P141" s="541">
        <f t="shared" si="71"/>
        <v>5.6264443371202472E-5</v>
      </c>
      <c r="Q141" s="541">
        <f t="shared" si="71"/>
        <v>5.2646528652100229E-5</v>
      </c>
      <c r="R141" s="541">
        <f t="shared" si="71"/>
        <v>4.8644296486428802E-5</v>
      </c>
      <c r="S141" s="541">
        <f t="shared" si="71"/>
        <v>4.4232592679559516E-5</v>
      </c>
      <c r="T141" s="541">
        <f t="shared" si="71"/>
        <v>3.9384857588407326E-5</v>
      </c>
      <c r="U141" s="541">
        <f t="shared" si="71"/>
        <v>3.407305360646576E-5</v>
      </c>
      <c r="V141" s="541">
        <f t="shared" si="71"/>
        <v>2.826758908314823E-5</v>
      </c>
      <c r="W141" s="541">
        <f t="shared" si="71"/>
        <v>2.1937238507628337E-5</v>
      </c>
      <c r="X141" s="541">
        <f t="shared" si="71"/>
        <v>2.2065003276990607E-5</v>
      </c>
      <c r="Y141" s="541">
        <f t="shared" si="71"/>
        <v>2.2167266092459397E-5</v>
      </c>
      <c r="Z141" s="541">
        <f t="shared" si="71"/>
        <v>2.2241757044541716E-5</v>
      </c>
      <c r="AA141" s="541">
        <f t="shared" si="71"/>
        <v>2.2286064405218588E-5</v>
      </c>
      <c r="AB141" s="541">
        <f t="shared" si="71"/>
        <v>2.2297626872526385E-5</v>
      </c>
      <c r="AC141" s="541">
        <f t="shared" si="71"/>
        <v>2.2273725419915237E-5</v>
      </c>
      <c r="AD141" s="541">
        <f t="shared" si="71"/>
        <v>2.2211474731110262E-5</v>
      </c>
      <c r="AE141" s="541">
        <f t="shared" si="71"/>
        <v>2.2107814200278779E-5</v>
      </c>
      <c r="AF141" s="541">
        <f t="shared" si="71"/>
        <v>2.1959498476366051E-5</v>
      </c>
      <c r="AG141" s="541">
        <f t="shared" si="71"/>
        <v>2.1763087529447369E-5</v>
      </c>
      <c r="AH141" s="541">
        <f t="shared" si="71"/>
        <v>2.2642606920491113E-5</v>
      </c>
      <c r="AI141" s="541">
        <f t="shared" si="71"/>
        <v>2.3557670641270939E-5</v>
      </c>
      <c r="AJ141" s="541">
        <f t="shared" si="71"/>
        <v>2.4509715157417127E-5</v>
      </c>
      <c r="AK141" s="541">
        <f t="shared" si="71"/>
        <v>2.550023498695596E-5</v>
      </c>
      <c r="AL141" s="541">
        <f t="shared" si="71"/>
        <v>2.6530785046401931E-5</v>
      </c>
    </row>
    <row r="142" spans="1:38" ht="13">
      <c r="B142" s="494" t="s">
        <v>816</v>
      </c>
      <c r="C142" s="387" t="s">
        <v>818</v>
      </c>
      <c r="D142" s="541">
        <f t="shared" ref="D142:AL142" si="72">((D$112*D92+D$113*D97+D$114*D102)-(D$126*D92+D$127*D97+D$128*D102))/Grams.Per.Metric.Ton</f>
        <v>0</v>
      </c>
      <c r="E142" s="541">
        <f t="shared" si="72"/>
        <v>0</v>
      </c>
      <c r="F142" s="541">
        <f t="shared" si="72"/>
        <v>0</v>
      </c>
      <c r="G142" s="541">
        <f t="shared" si="72"/>
        <v>0</v>
      </c>
      <c r="H142" s="541">
        <f t="shared" si="72"/>
        <v>7.8118684600372017E-6</v>
      </c>
      <c r="I142" s="541">
        <f t="shared" si="72"/>
        <v>7.7315662754667842E-6</v>
      </c>
      <c r="J142" s="541">
        <f t="shared" si="72"/>
        <v>7.6320148789094643E-6</v>
      </c>
      <c r="K142" s="541">
        <f t="shared" si="72"/>
        <v>7.5117895725579352E-6</v>
      </c>
      <c r="L142" s="541">
        <f t="shared" si="72"/>
        <v>7.3693819435366915E-6</v>
      </c>
      <c r="M142" s="541">
        <f t="shared" si="72"/>
        <v>7.2031954243607618E-6</v>
      </c>
      <c r="N142" s="541">
        <f t="shared" si="72"/>
        <v>7.1972551672297816E-6</v>
      </c>
      <c r="O142" s="541">
        <f t="shared" si="72"/>
        <v>7.1790702368360076E-6</v>
      </c>
      <c r="P142" s="541">
        <f t="shared" si="72"/>
        <v>7.1476606383760817E-6</v>
      </c>
      <c r="Q142" s="541">
        <f t="shared" si="72"/>
        <v>7.1019871657716104E-6</v>
      </c>
      <c r="R142" s="541">
        <f t="shared" si="72"/>
        <v>7.0409482163825508E-6</v>
      </c>
      <c r="S142" s="541">
        <f t="shared" si="72"/>
        <v>6.9633764449704531E-6</v>
      </c>
      <c r="T142" s="541">
        <f t="shared" si="72"/>
        <v>6.8680352491214777E-6</v>
      </c>
      <c r="U142" s="541">
        <f t="shared" si="72"/>
        <v>6.7536150779706908E-6</v>
      </c>
      <c r="V142" s="541">
        <f t="shared" si="72"/>
        <v>6.6187295556864596E-6</v>
      </c>
      <c r="W142" s="541">
        <f t="shared" si="72"/>
        <v>6.4619114107704701E-6</v>
      </c>
      <c r="X142" s="541">
        <f t="shared" si="72"/>
        <v>6.4912988581785011E-6</v>
      </c>
      <c r="Y142" s="541">
        <f t="shared" si="72"/>
        <v>6.5125077486620804E-6</v>
      </c>
      <c r="Z142" s="541">
        <f t="shared" si="72"/>
        <v>6.524829039631822E-6</v>
      </c>
      <c r="AA142" s="541">
        <f t="shared" si="72"/>
        <v>6.5275097364587449E-6</v>
      </c>
      <c r="AB142" s="541">
        <f t="shared" si="72"/>
        <v>6.5197504980115057E-6</v>
      </c>
      <c r="AC142" s="541">
        <f t="shared" si="72"/>
        <v>6.5007031204412997E-6</v>
      </c>
      <c r="AD142" s="541">
        <f t="shared" si="72"/>
        <v>6.4694678932849105E-6</v>
      </c>
      <c r="AE142" s="541">
        <f t="shared" si="72"/>
        <v>6.4250908216738013E-6</v>
      </c>
      <c r="AF142" s="541">
        <f t="shared" si="72"/>
        <v>6.3665607081471749E-6</v>
      </c>
      <c r="AG142" s="541">
        <f t="shared" si="72"/>
        <v>6.2928060872562765E-6</v>
      </c>
      <c r="AH142" s="541">
        <f t="shared" si="72"/>
        <v>6.5471194961570653E-6</v>
      </c>
      <c r="AI142" s="541">
        <f t="shared" si="72"/>
        <v>6.8117105632360891E-6</v>
      </c>
      <c r="AJ142" s="541">
        <f t="shared" si="72"/>
        <v>7.0869946431460406E-6</v>
      </c>
      <c r="AK142" s="541">
        <f t="shared" si="72"/>
        <v>7.3734038764148061E-6</v>
      </c>
      <c r="AL142" s="541">
        <f t="shared" si="72"/>
        <v>7.6713878678190157E-6</v>
      </c>
    </row>
    <row r="143" spans="1:38" ht="13">
      <c r="B143" s="494" t="s">
        <v>817</v>
      </c>
      <c r="C143" s="387" t="s">
        <v>818</v>
      </c>
      <c r="D143" s="541">
        <f t="shared" ref="D143:AL143" si="73">((D$112*D93+D$113*D98+D$114*D103)-(D$126*D93+D$127*D98+D$128*D103))/Grams.Per.Metric.Ton</f>
        <v>0</v>
      </c>
      <c r="E143" s="541">
        <f t="shared" si="73"/>
        <v>0</v>
      </c>
      <c r="F143" s="541">
        <f t="shared" si="73"/>
        <v>0</v>
      </c>
      <c r="G143" s="541">
        <f t="shared" si="73"/>
        <v>0</v>
      </c>
      <c r="H143" s="541">
        <f t="shared" si="73"/>
        <v>2.0062952586345718E-6</v>
      </c>
      <c r="I143" s="541">
        <f t="shared" si="73"/>
        <v>2.0559474427366489E-6</v>
      </c>
      <c r="J143" s="541">
        <f t="shared" si="73"/>
        <v>2.1063360893102461E-6</v>
      </c>
      <c r="K143" s="541">
        <f t="shared" si="73"/>
        <v>2.1574396302964186E-6</v>
      </c>
      <c r="L143" s="541">
        <f t="shared" si="73"/>
        <v>2.2092335515414982E-6</v>
      </c>
      <c r="M143" s="541">
        <f t="shared" si="73"/>
        <v>2.2616901898997741E-6</v>
      </c>
      <c r="N143" s="541">
        <f t="shared" si="73"/>
        <v>2.3089801272442215E-6</v>
      </c>
      <c r="O143" s="541">
        <f t="shared" si="73"/>
        <v>2.3563984733871515E-6</v>
      </c>
      <c r="P143" s="541">
        <f t="shared" si="73"/>
        <v>2.4038783714054408E-6</v>
      </c>
      <c r="Q143" s="541">
        <f t="shared" si="73"/>
        <v>2.4513473508284873E-6</v>
      </c>
      <c r="R143" s="541">
        <f t="shared" si="73"/>
        <v>2.4987269831069795E-6</v>
      </c>
      <c r="S143" s="541">
        <f t="shared" si="73"/>
        <v>2.5459325184026135E-6</v>
      </c>
      <c r="T143" s="541">
        <f t="shared" si="73"/>
        <v>2.5928725027516725E-6</v>
      </c>
      <c r="U143" s="541">
        <f t="shared" si="73"/>
        <v>2.639448374609403E-6</v>
      </c>
      <c r="V143" s="541">
        <f t="shared" si="73"/>
        <v>2.6855540397338156E-6</v>
      </c>
      <c r="W143" s="541">
        <f t="shared" si="73"/>
        <v>2.7310754233171316E-6</v>
      </c>
      <c r="X143" s="541">
        <f t="shared" si="73"/>
        <v>2.795996854758694E-6</v>
      </c>
      <c r="Y143" s="541">
        <f t="shared" si="73"/>
        <v>2.8617051722655412E-6</v>
      </c>
      <c r="Z143" s="541">
        <f t="shared" si="73"/>
        <v>2.9281579450171406E-6</v>
      </c>
      <c r="AA143" s="541">
        <f t="shared" si="73"/>
        <v>2.9953080274761218E-6</v>
      </c>
      <c r="AB143" s="541">
        <f t="shared" si="73"/>
        <v>3.063103247612833E-6</v>
      </c>
      <c r="AC143" s="541">
        <f t="shared" si="73"/>
        <v>3.1314860776304151E-6</v>
      </c>
      <c r="AD143" s="541">
        <f t="shared" si="73"/>
        <v>3.2003932862852636E-6</v>
      </c>
      <c r="AE143" s="541">
        <f t="shared" si="73"/>
        <v>3.2697555718527126E-6</v>
      </c>
      <c r="AF143" s="541">
        <f t="shared" si="73"/>
        <v>3.3394971747419048E-6</v>
      </c>
      <c r="AG143" s="541">
        <f t="shared" si="73"/>
        <v>3.4095354687139417E-6</v>
      </c>
      <c r="AH143" s="541">
        <f t="shared" si="73"/>
        <v>3.5473262373779818E-6</v>
      </c>
      <c r="AI143" s="541">
        <f t="shared" si="73"/>
        <v>3.6906855933476073E-6</v>
      </c>
      <c r="AJ143" s="541">
        <f t="shared" si="73"/>
        <v>3.8398385819207063E-6</v>
      </c>
      <c r="AK143" s="541">
        <f t="shared" si="73"/>
        <v>3.9950193432307676E-6</v>
      </c>
      <c r="AL143" s="541">
        <f t="shared" si="73"/>
        <v>4.1564714797997155E-6</v>
      </c>
    </row>
    <row r="144" spans="1:38">
      <c r="D144" s="358"/>
      <c r="F144" s="464"/>
      <c r="G144" s="465"/>
      <c r="H144" s="465"/>
    </row>
    <row r="145" spans="1:38" ht="13">
      <c r="B145" s="492" t="s">
        <v>284</v>
      </c>
      <c r="C145" s="487" t="s">
        <v>292</v>
      </c>
      <c r="D145" s="583">
        <f t="shared" ref="D145:AL145" si="74">D122-D136</f>
        <v>0</v>
      </c>
      <c r="E145" s="583">
        <f t="shared" si="74"/>
        <v>0</v>
      </c>
      <c r="F145" s="583">
        <f t="shared" si="74"/>
        <v>0</v>
      </c>
      <c r="G145" s="583">
        <f t="shared" si="74"/>
        <v>0</v>
      </c>
      <c r="H145" s="583">
        <f t="shared" si="74"/>
        <v>26.490664300535155</v>
      </c>
      <c r="I145" s="583">
        <f t="shared" si="74"/>
        <v>26.883502195929985</v>
      </c>
      <c r="J145" s="583">
        <f t="shared" si="74"/>
        <v>27.250158784377575</v>
      </c>
      <c r="K145" s="583">
        <f t="shared" si="74"/>
        <v>27.550485716293615</v>
      </c>
      <c r="L145" s="583">
        <f t="shared" si="74"/>
        <v>27.797272425183884</v>
      </c>
      <c r="M145" s="583">
        <f t="shared" si="74"/>
        <v>27.989634335474705</v>
      </c>
      <c r="N145" s="583">
        <f t="shared" si="74"/>
        <v>28.705894665916606</v>
      </c>
      <c r="O145" s="583">
        <f t="shared" si="74"/>
        <v>29.420368763750027</v>
      </c>
      <c r="P145" s="583">
        <f t="shared" si="74"/>
        <v>30.131178039324165</v>
      </c>
      <c r="Q145" s="583">
        <f t="shared" si="74"/>
        <v>31.201112405945867</v>
      </c>
      <c r="R145" s="583">
        <f t="shared" si="74"/>
        <v>31.905138051715952</v>
      </c>
      <c r="S145" s="583">
        <f t="shared" si="74"/>
        <v>32.598745326361417</v>
      </c>
      <c r="T145" s="583">
        <f t="shared" si="74"/>
        <v>33.27928099827151</v>
      </c>
      <c r="U145" s="583">
        <f t="shared" si="74"/>
        <v>33.943867673927009</v>
      </c>
      <c r="V145" s="583">
        <f t="shared" si="74"/>
        <v>34.589388932919384</v>
      </c>
      <c r="W145" s="583">
        <f t="shared" si="74"/>
        <v>35.212473583944409</v>
      </c>
      <c r="X145" s="583">
        <f t="shared" si="74"/>
        <v>36.357119330807066</v>
      </c>
      <c r="Y145" s="583">
        <f t="shared" si="74"/>
        <v>37.947671024505233</v>
      </c>
      <c r="Z145" s="583">
        <f t="shared" si="74"/>
        <v>39.143825512546712</v>
      </c>
      <c r="AA145" s="583">
        <f t="shared" si="74"/>
        <v>40.359671599414099</v>
      </c>
      <c r="AB145" s="583">
        <f t="shared" si="74"/>
        <v>41.594240600200592</v>
      </c>
      <c r="AC145" s="583">
        <f t="shared" si="74"/>
        <v>42.846428855092675</v>
      </c>
      <c r="AD145" s="583">
        <f t="shared" si="74"/>
        <v>44.114987411023307</v>
      </c>
      <c r="AE145" s="583">
        <f t="shared" si="74"/>
        <v>45.398511049730708</v>
      </c>
      <c r="AF145" s="583">
        <f t="shared" si="74"/>
        <v>47.191895229167876</v>
      </c>
      <c r="AG145" s="583">
        <f t="shared" si="74"/>
        <v>48.51099307324268</v>
      </c>
      <c r="AH145" s="583">
        <f t="shared" si="74"/>
        <v>50.471485077374638</v>
      </c>
      <c r="AI145" s="583">
        <f t="shared" si="74"/>
        <v>52.511207141638792</v>
      </c>
      <c r="AJ145" s="583">
        <f t="shared" si="74"/>
        <v>54.633361218614048</v>
      </c>
      <c r="AK145" s="583">
        <f t="shared" si="74"/>
        <v>56.841278662526861</v>
      </c>
      <c r="AL145" s="583">
        <f t="shared" si="74"/>
        <v>59.138425458806047</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Private!D25</f>
        <v>116.73468128387027</v>
      </c>
      <c r="E159" s="383">
        <f>Private!E25</f>
        <v>121.45232144671728</v>
      </c>
      <c r="F159" s="383">
        <f>Private!F25</f>
        <v>126.36061727813961</v>
      </c>
      <c r="G159" s="383">
        <f>Private!G25</f>
        <v>131.46727381343146</v>
      </c>
      <c r="H159" s="383">
        <f>Private!H25</f>
        <v>136.78030747421676</v>
      </c>
      <c r="I159" s="383">
        <f>Private!I25</f>
        <v>142.30805865261561</v>
      </c>
      <c r="J159" s="383">
        <f>Private!J25</f>
        <v>148.05920480397896</v>
      </c>
      <c r="K159" s="383">
        <f>Private!K25</f>
        <v>154.04277406874513</v>
      </c>
      <c r="L159" s="383">
        <f>Private!L25</f>
        <v>160.26815944480032</v>
      </c>
      <c r="M159" s="383">
        <f>Private!M25</f>
        <v>166.74513353259294</v>
      </c>
      <c r="N159" s="383">
        <f>Private!N25</f>
        <v>173.48386387614624</v>
      </c>
      <c r="O159" s="383">
        <f>Private!O25</f>
        <v>180.49492892405394</v>
      </c>
      <c r="P159" s="383">
        <f>Private!P25</f>
        <v>187.78933463551223</v>
      </c>
      <c r="Q159" s="383">
        <f>Private!Q25</f>
        <v>195.37853175745801</v>
      </c>
      <c r="R159" s="383">
        <f>Private!R25</f>
        <v>203.27443379993363</v>
      </c>
      <c r="S159" s="383">
        <f>Private!S25</f>
        <v>211.48943573789722</v>
      </c>
      <c r="T159" s="383">
        <f>Private!T25</f>
        <v>220.0364334688347</v>
      </c>
      <c r="U159" s="383">
        <f>Private!U25</f>
        <v>228.92884405672061</v>
      </c>
      <c r="V159" s="383">
        <f>Private!V25</f>
        <v>238.18062679410451</v>
      </c>
      <c r="W159" s="383">
        <f>Private!W25</f>
        <v>247.80630511538666</v>
      </c>
      <c r="X159" s="383">
        <f>Private!X25</f>
        <v>257.82098939568374</v>
      </c>
      <c r="Y159" s="383">
        <f>Private!Y25</f>
        <v>268.24040067107217</v>
      </c>
      <c r="Z159" s="383">
        <f>Private!Z25</f>
        <v>279.0808953174465</v>
      </c>
      <c r="AA159" s="383">
        <f>Private!AA25</f>
        <v>290.35949072673395</v>
      </c>
      <c r="AB159" s="383">
        <f>Private!AB25</f>
        <v>302.09389202076892</v>
      </c>
      <c r="AC159" s="383">
        <f>Private!AC25</f>
        <v>314.30251984476826</v>
      </c>
      <c r="AD159" s="383">
        <f>Private!AD25</f>
        <v>327.00453928402959</v>
      </c>
      <c r="AE159" s="383">
        <f>Private!AE25</f>
        <v>340.21988994925437</v>
      </c>
      <c r="AF159" s="383">
        <f>Private!AF25</f>
        <v>353.96931727771835</v>
      </c>
      <c r="AG159" s="383">
        <f>Private!AG25</f>
        <v>368.27440509942676</v>
      </c>
      <c r="AH159" s="383">
        <f>Private!AH25</f>
        <v>383.15760951937744</v>
      </c>
      <c r="AI159" s="383">
        <f>Private!AI25</f>
        <v>398.64229416912099</v>
      </c>
      <c r="AJ159" s="383">
        <f>Private!AJ25</f>
        <v>414.75276688295332</v>
      </c>
      <c r="AK159" s="383">
        <f>Private!AK25</f>
        <v>431.51431785631672</v>
      </c>
      <c r="AL159" s="383">
        <f>Private!AL25</f>
        <v>448.95325934631035</v>
      </c>
    </row>
    <row r="160" spans="1:38">
      <c r="B160" s="385" t="s">
        <v>509</v>
      </c>
      <c r="C160" s="386" t="s">
        <v>443</v>
      </c>
      <c r="D160" s="383">
        <f>Private!D26</f>
        <v>0.58660643861241346</v>
      </c>
      <c r="E160" s="383">
        <f>Private!E26</f>
        <v>0.61031317309908184</v>
      </c>
      <c r="F160" s="383">
        <f>Private!F26</f>
        <v>0.63497797627205832</v>
      </c>
      <c r="G160" s="383">
        <f>Private!G26</f>
        <v>0.6606395669016657</v>
      </c>
      <c r="H160" s="383">
        <f>Private!H26</f>
        <v>0.68733822851365201</v>
      </c>
      <c r="I160" s="383">
        <f>Private!I26</f>
        <v>0.71511587262620913</v>
      </c>
      <c r="J160" s="383">
        <f>Private!J26</f>
        <v>0.7440161045426078</v>
      </c>
      <c r="K160" s="383">
        <f>Private!K26</f>
        <v>0.77408429180273941</v>
      </c>
      <c r="L160" s="383">
        <f>Private!L26</f>
        <v>0.80536763540100664</v>
      </c>
      <c r="M160" s="383">
        <f>Private!M26</f>
        <v>0.83791524388237659</v>
      </c>
      <c r="N160" s="383">
        <f>Private!N26</f>
        <v>0.87177821043289572</v>
      </c>
      <c r="O160" s="383">
        <f>Private!O26</f>
        <v>0.90700969308569823</v>
      </c>
      <c r="P160" s="383">
        <f>Private!P26</f>
        <v>0.94366499816840321</v>
      </c>
      <c r="Q160" s="383">
        <f>Private!Q26</f>
        <v>0.98180166712290462</v>
      </c>
      <c r="R160" s="383">
        <f>Private!R26</f>
        <v>1.0214795668338374</v>
      </c>
      <c r="S160" s="383">
        <f>Private!S26</f>
        <v>1.0627609836075238</v>
      </c>
      <c r="T160" s="383">
        <f>Private!T26</f>
        <v>1.1057107209489181</v>
      </c>
      <c r="U160" s="383">
        <f>Private!U26</f>
        <v>1.1503962012900533</v>
      </c>
      <c r="V160" s="383">
        <f>Private!V26</f>
        <v>1.196887571829671</v>
      </c>
      <c r="W160" s="383">
        <f>Private!W26</f>
        <v>1.2452578146501843</v>
      </c>
      <c r="X160" s="383">
        <f>Private!X26</f>
        <v>1.295582861284843</v>
      </c>
      <c r="Y160" s="383">
        <f>Private!Y26</f>
        <v>1.3479417119149355</v>
      </c>
      <c r="Z160" s="383">
        <f>Private!Z26</f>
        <v>1.4024165593841533</v>
      </c>
      <c r="AA160" s="383">
        <f>Private!AA26</f>
        <v>1.4590929182247936</v>
      </c>
      <c r="AB160" s="383">
        <f>Private!AB26</f>
        <v>1.5180597588983364</v>
      </c>
      <c r="AC160" s="383">
        <f>Private!AC26</f>
        <v>1.579409647461147</v>
      </c>
      <c r="AD160" s="383">
        <f>Private!AD26</f>
        <v>1.6432388908745206</v>
      </c>
      <c r="AE160" s="383">
        <f>Private!AE26</f>
        <v>1.7096476881872078</v>
      </c>
      <c r="AF160" s="383">
        <f>Private!AF26</f>
        <v>1.7787402878277305</v>
      </c>
      <c r="AG160" s="383">
        <f>Private!AG26</f>
        <v>1.8506251512534007</v>
      </c>
      <c r="AH160" s="383">
        <f>Private!AH26</f>
        <v>1.9254151232129519</v>
      </c>
      <c r="AI160" s="383">
        <f>Private!AI26</f>
        <v>2.0032276088900551</v>
      </c>
      <c r="AJ160" s="383">
        <f>Private!AJ26</f>
        <v>2.084184758205796</v>
      </c>
      <c r="AK160" s="383">
        <f>Private!AK26</f>
        <v>2.1684136575694306</v>
      </c>
      <c r="AL160" s="383">
        <f>Private!AL26</f>
        <v>2.2560465293784442</v>
      </c>
    </row>
    <row r="161" spans="2:38">
      <c r="B161" s="358" t="s">
        <v>769</v>
      </c>
      <c r="C161" s="358" t="s">
        <v>443</v>
      </c>
      <c r="D161" s="383">
        <f>Private!D27</f>
        <v>0</v>
      </c>
      <c r="E161" s="383">
        <f>Private!E27</f>
        <v>0</v>
      </c>
      <c r="F161" s="383">
        <f>Private!F27</f>
        <v>0</v>
      </c>
      <c r="G161" s="383">
        <f>Private!G27</f>
        <v>0</v>
      </c>
      <c r="H161" s="383">
        <f>Private!H27</f>
        <v>0</v>
      </c>
      <c r="I161" s="383">
        <f>Private!I27</f>
        <v>0</v>
      </c>
      <c r="J161" s="383">
        <f>Private!J27</f>
        <v>0</v>
      </c>
      <c r="K161" s="383">
        <f>Private!K27</f>
        <v>0</v>
      </c>
      <c r="L161" s="383">
        <f>Private!L27</f>
        <v>0</v>
      </c>
      <c r="M161" s="383">
        <f>Private!M27</f>
        <v>0</v>
      </c>
      <c r="N161" s="383">
        <f>Private!N27</f>
        <v>0</v>
      </c>
      <c r="O161" s="383">
        <f>Private!O27</f>
        <v>0</v>
      </c>
      <c r="P161" s="383">
        <f>Private!P27</f>
        <v>0</v>
      </c>
      <c r="Q161" s="383">
        <f>Private!Q27</f>
        <v>0</v>
      </c>
      <c r="R161" s="383">
        <f>Private!R27</f>
        <v>0</v>
      </c>
      <c r="S161" s="383">
        <f>Private!S27</f>
        <v>0</v>
      </c>
      <c r="T161" s="383">
        <f>Private!T27</f>
        <v>0</v>
      </c>
      <c r="U161" s="383">
        <f>Private!U27</f>
        <v>0</v>
      </c>
      <c r="V161" s="383">
        <f>Private!V27</f>
        <v>0</v>
      </c>
      <c r="W161" s="383">
        <f>Private!W27</f>
        <v>0</v>
      </c>
      <c r="X161" s="383">
        <f>Private!X27</f>
        <v>0</v>
      </c>
      <c r="Y161" s="383">
        <f>Private!Y27</f>
        <v>0</v>
      </c>
      <c r="Z161" s="383">
        <f>Private!Z27</f>
        <v>0</v>
      </c>
      <c r="AA161" s="383">
        <f>Private!AA27</f>
        <v>0</v>
      </c>
      <c r="AB161" s="383">
        <f>Private!AB27</f>
        <v>0</v>
      </c>
      <c r="AC161" s="383">
        <f>Private!AC27</f>
        <v>0</v>
      </c>
      <c r="AD161" s="383">
        <f>Private!AD27</f>
        <v>0</v>
      </c>
      <c r="AE161" s="383">
        <f>Private!AE27</f>
        <v>0</v>
      </c>
      <c r="AF161" s="383">
        <f>Private!AF27</f>
        <v>0</v>
      </c>
      <c r="AG161" s="383">
        <f>Private!AG27</f>
        <v>0</v>
      </c>
      <c r="AH161" s="383">
        <f>Private!AH27</f>
        <v>0</v>
      </c>
      <c r="AI161" s="383">
        <f>Private!AI27</f>
        <v>0</v>
      </c>
      <c r="AJ161" s="383">
        <f>Private!AJ27</f>
        <v>0</v>
      </c>
      <c r="AK161" s="383">
        <f>Private!AK27</f>
        <v>0</v>
      </c>
      <c r="AL161" s="383">
        <f>Private!AL27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4.0273465042935239</v>
      </c>
      <c r="E166" s="383">
        <f t="shared" ref="E166:AK168" si="75">E159*$C163</f>
        <v>4.1901050899117456</v>
      </c>
      <c r="F166" s="383">
        <f t="shared" si="75"/>
        <v>4.3594412960958158</v>
      </c>
      <c r="G166" s="383">
        <f t="shared" si="75"/>
        <v>4.5356209465633848</v>
      </c>
      <c r="H166" s="383">
        <f t="shared" si="75"/>
        <v>4.7189206078604773</v>
      </c>
      <c r="I166" s="383">
        <f t="shared" si="75"/>
        <v>4.9096280235152383</v>
      </c>
      <c r="J166" s="383">
        <f t="shared" si="75"/>
        <v>5.1080425657372732</v>
      </c>
      <c r="K166" s="383">
        <f t="shared" si="75"/>
        <v>5.3144757053717067</v>
      </c>
      <c r="L166" s="383">
        <f t="shared" si="75"/>
        <v>5.5292515008456107</v>
      </c>
      <c r="M166" s="383">
        <f t="shared" si="75"/>
        <v>5.752707106874456</v>
      </c>
      <c r="N166" s="383">
        <f t="shared" si="75"/>
        <v>5.9851933037270451</v>
      </c>
      <c r="O166" s="383">
        <f t="shared" si="75"/>
        <v>6.2270750478798602</v>
      </c>
      <c r="P166" s="383">
        <f t="shared" si="75"/>
        <v>6.4787320449251711</v>
      </c>
      <c r="Q166" s="383">
        <f t="shared" si="75"/>
        <v>6.7405593456323007</v>
      </c>
      <c r="R166" s="383">
        <f t="shared" si="75"/>
        <v>7.0129679660977091</v>
      </c>
      <c r="S166" s="383">
        <f t="shared" si="75"/>
        <v>7.2963855329574532</v>
      </c>
      <c r="T166" s="383">
        <f t="shared" si="75"/>
        <v>7.5912569546747966</v>
      </c>
      <c r="U166" s="383">
        <f t="shared" si="75"/>
        <v>7.8980451199568602</v>
      </c>
      <c r="V166" s="383">
        <f t="shared" si="75"/>
        <v>8.2172316243966055</v>
      </c>
      <c r="W166" s="383">
        <f t="shared" si="75"/>
        <v>8.5493175264808396</v>
      </c>
      <c r="X166" s="383">
        <f t="shared" si="75"/>
        <v>8.8948241341510883</v>
      </c>
      <c r="Y166" s="383">
        <f t="shared" si="75"/>
        <v>9.254293823151988</v>
      </c>
      <c r="Z166" s="383">
        <f t="shared" si="75"/>
        <v>9.6282908884519038</v>
      </c>
      <c r="AA166" s="383">
        <f t="shared" si="75"/>
        <v>10.01740243007232</v>
      </c>
      <c r="AB166" s="383">
        <f t="shared" si="75"/>
        <v>10.422239274716526</v>
      </c>
      <c r="AC166" s="383">
        <f t="shared" si="75"/>
        <v>10.843436934644503</v>
      </c>
      <c r="AD166" s="383">
        <f t="shared" si="75"/>
        <v>11.28165660529902</v>
      </c>
      <c r="AE166" s="383">
        <f t="shared" si="75"/>
        <v>11.737586203249274</v>
      </c>
      <c r="AF166" s="383">
        <f t="shared" si="75"/>
        <v>12.211941446081282</v>
      </c>
      <c r="AG166" s="383">
        <f t="shared" si="75"/>
        <v>12.705466975930221</v>
      </c>
      <c r="AH166" s="383">
        <f t="shared" si="75"/>
        <v>13.21893752841852</v>
      </c>
      <c r="AI166" s="383">
        <f t="shared" si="75"/>
        <v>13.753159148834673</v>
      </c>
      <c r="AJ166" s="383">
        <f t="shared" si="75"/>
        <v>14.308970457461887</v>
      </c>
      <c r="AK166" s="383">
        <f t="shared" si="75"/>
        <v>14.887243966042925</v>
      </c>
      <c r="AL166" s="383">
        <f t="shared" ref="AL166" si="76">AL159*$C163</f>
        <v>15.488887447447706</v>
      </c>
    </row>
    <row r="167" spans="2:38">
      <c r="B167" s="385" t="s">
        <v>501</v>
      </c>
      <c r="C167" s="386" t="s">
        <v>479</v>
      </c>
      <c r="D167" s="383">
        <f>D160*$C164</f>
        <v>2.0237922132128262E-2</v>
      </c>
      <c r="E167" s="383">
        <f t="shared" si="75"/>
        <v>2.1055804471918321E-2</v>
      </c>
      <c r="F167" s="383">
        <f t="shared" si="75"/>
        <v>2.1906740181386008E-2</v>
      </c>
      <c r="G167" s="383">
        <f t="shared" si="75"/>
        <v>2.2792065058107464E-2</v>
      </c>
      <c r="H167" s="383">
        <f t="shared" si="75"/>
        <v>2.3713168883720992E-2</v>
      </c>
      <c r="I167" s="383">
        <f t="shared" si="75"/>
        <v>2.4671497605604213E-2</v>
      </c>
      <c r="J167" s="383">
        <f t="shared" si="75"/>
        <v>2.5668555606719965E-2</v>
      </c>
      <c r="K167" s="383">
        <f t="shared" si="75"/>
        <v>2.6705908067194507E-2</v>
      </c>
      <c r="L167" s="383">
        <f t="shared" si="75"/>
        <v>2.7785183421334726E-2</v>
      </c>
      <c r="M167" s="383">
        <f t="shared" si="75"/>
        <v>2.890807591394199E-2</v>
      </c>
      <c r="N167" s="383">
        <f t="shared" si="75"/>
        <v>3.0076348259934899E-2</v>
      </c>
      <c r="O167" s="383">
        <f t="shared" si="75"/>
        <v>3.1291834411456589E-2</v>
      </c>
      <c r="P167" s="383">
        <f t="shared" si="75"/>
        <v>3.2556442436809906E-2</v>
      </c>
      <c r="Q167" s="383">
        <f t="shared" si="75"/>
        <v>3.3872157515740207E-2</v>
      </c>
      <c r="R167" s="383">
        <f t="shared" si="75"/>
        <v>3.5241045055767389E-2</v>
      </c>
      <c r="S167" s="383">
        <f t="shared" si="75"/>
        <v>3.6665253934459567E-2</v>
      </c>
      <c r="T167" s="383">
        <f t="shared" si="75"/>
        <v>3.8147019872737671E-2</v>
      </c>
      <c r="U167" s="383">
        <f t="shared" si="75"/>
        <v>3.968866894450683E-2</v>
      </c>
      <c r="V167" s="383">
        <f t="shared" si="75"/>
        <v>4.1292621228123647E-2</v>
      </c>
      <c r="W167" s="383">
        <f t="shared" si="75"/>
        <v>4.2961394605431351E-2</v>
      </c>
      <c r="X167" s="383">
        <f t="shared" si="75"/>
        <v>4.4697608714327076E-2</v>
      </c>
      <c r="Y167" s="383">
        <f t="shared" si="75"/>
        <v>4.6503989061065266E-2</v>
      </c>
      <c r="Z167" s="383">
        <f t="shared" si="75"/>
        <v>4.8383371298753287E-2</v>
      </c>
      <c r="AA167" s="383">
        <f t="shared" si="75"/>
        <v>5.0338705678755376E-2</v>
      </c>
      <c r="AB167" s="383">
        <f t="shared" si="75"/>
        <v>5.23730616819926E-2</v>
      </c>
      <c r="AC167" s="383">
        <f t="shared" si="75"/>
        <v>5.4489632837409561E-2</v>
      </c>
      <c r="AD167" s="383">
        <f t="shared" si="75"/>
        <v>5.6691741735170956E-2</v>
      </c>
      <c r="AE167" s="383">
        <f t="shared" si="75"/>
        <v>5.8982845242458663E-2</v>
      </c>
      <c r="AF167" s="383">
        <f t="shared" si="75"/>
        <v>6.1366539930056696E-2</v>
      </c>
      <c r="AG167" s="383">
        <f t="shared" si="75"/>
        <v>6.384656771824232E-2</v>
      </c>
      <c r="AH167" s="383">
        <f t="shared" si="75"/>
        <v>6.642682175084684E-2</v>
      </c>
      <c r="AI167" s="383">
        <f t="shared" si="75"/>
        <v>6.91113525067069E-2</v>
      </c>
      <c r="AJ167" s="383">
        <f t="shared" si="75"/>
        <v>7.1904374158099957E-2</v>
      </c>
      <c r="AK167" s="383">
        <f t="shared" si="75"/>
        <v>7.4810271186145347E-2</v>
      </c>
      <c r="AL167" s="383">
        <f t="shared" ref="AL167" si="77">AL160*$C164</f>
        <v>7.7833605263556316E-2</v>
      </c>
    </row>
    <row r="168" spans="2:38">
      <c r="B168" s="385" t="s">
        <v>768</v>
      </c>
      <c r="C168" s="386" t="s">
        <v>479</v>
      </c>
      <c r="D168" s="383">
        <f>D161*$C165</f>
        <v>0</v>
      </c>
      <c r="E168" s="383">
        <f t="shared" si="75"/>
        <v>0</v>
      </c>
      <c r="F168" s="383">
        <f t="shared" si="75"/>
        <v>0</v>
      </c>
      <c r="G168" s="383">
        <f t="shared" si="75"/>
        <v>0</v>
      </c>
      <c r="H168" s="383">
        <f t="shared" si="75"/>
        <v>0</v>
      </c>
      <c r="I168" s="383">
        <f t="shared" si="75"/>
        <v>0</v>
      </c>
      <c r="J168" s="383">
        <f t="shared" si="75"/>
        <v>0</v>
      </c>
      <c r="K168" s="383">
        <f t="shared" si="75"/>
        <v>0</v>
      </c>
      <c r="L168" s="383">
        <f t="shared" si="75"/>
        <v>0</v>
      </c>
      <c r="M168" s="383">
        <f t="shared" si="75"/>
        <v>0</v>
      </c>
      <c r="N168" s="383">
        <f t="shared" si="75"/>
        <v>0</v>
      </c>
      <c r="O168" s="383">
        <f t="shared" si="75"/>
        <v>0</v>
      </c>
      <c r="P168" s="383">
        <f t="shared" si="75"/>
        <v>0</v>
      </c>
      <c r="Q168" s="383">
        <f t="shared" si="75"/>
        <v>0</v>
      </c>
      <c r="R168" s="383">
        <f t="shared" si="75"/>
        <v>0</v>
      </c>
      <c r="S168" s="383">
        <f t="shared" si="75"/>
        <v>0</v>
      </c>
      <c r="T168" s="383">
        <f t="shared" si="75"/>
        <v>0</v>
      </c>
      <c r="U168" s="383">
        <f t="shared" si="75"/>
        <v>0</v>
      </c>
      <c r="V168" s="383">
        <f t="shared" si="75"/>
        <v>0</v>
      </c>
      <c r="W168" s="383">
        <f t="shared" si="75"/>
        <v>0</v>
      </c>
      <c r="X168" s="383">
        <f t="shared" si="75"/>
        <v>0</v>
      </c>
      <c r="Y168" s="383">
        <f t="shared" si="75"/>
        <v>0</v>
      </c>
      <c r="Z168" s="383">
        <f t="shared" si="75"/>
        <v>0</v>
      </c>
      <c r="AA168" s="383">
        <f t="shared" si="75"/>
        <v>0</v>
      </c>
      <c r="AB168" s="383">
        <f t="shared" si="75"/>
        <v>0</v>
      </c>
      <c r="AC168" s="383">
        <f t="shared" si="75"/>
        <v>0</v>
      </c>
      <c r="AD168" s="383">
        <f t="shared" si="75"/>
        <v>0</v>
      </c>
      <c r="AE168" s="383">
        <f t="shared" si="75"/>
        <v>0</v>
      </c>
      <c r="AF168" s="383">
        <f t="shared" si="75"/>
        <v>0</v>
      </c>
      <c r="AG168" s="383">
        <f t="shared" si="75"/>
        <v>0</v>
      </c>
      <c r="AH168" s="383">
        <f t="shared" si="75"/>
        <v>0</v>
      </c>
      <c r="AI168" s="383">
        <f t="shared" si="75"/>
        <v>0</v>
      </c>
      <c r="AJ168" s="383">
        <f t="shared" si="75"/>
        <v>0</v>
      </c>
      <c r="AK168" s="383">
        <f t="shared" si="75"/>
        <v>0</v>
      </c>
      <c r="AL168" s="383">
        <f t="shared" ref="AL168" si="78">AL161*$C165</f>
        <v>0</v>
      </c>
    </row>
    <row r="169" spans="2:38">
      <c r="D169" s="358"/>
      <c r="F169" s="464"/>
      <c r="G169" s="465"/>
      <c r="H169" s="465"/>
    </row>
    <row r="170" spans="2:38">
      <c r="B170" s="358" t="s">
        <v>459</v>
      </c>
      <c r="C170" s="362" t="s">
        <v>292</v>
      </c>
      <c r="D170" s="485">
        <f>SUMPRODUCT($C$153:$C$155,D166:D168)</f>
        <v>43.24099775496105</v>
      </c>
      <c r="E170" s="485">
        <f t="shared" ref="E170:AK170" si="79">SUMPRODUCT($C$153:$C$155,E166:E168)</f>
        <v>44.988511565311164</v>
      </c>
      <c r="F170" s="485">
        <f t="shared" si="79"/>
        <v>46.806648272354565</v>
      </c>
      <c r="G170" s="485">
        <f t="shared" si="79"/>
        <v>48.698261984315103</v>
      </c>
      <c r="H170" s="485">
        <f t="shared" si="79"/>
        <v>50.666322153506599</v>
      </c>
      <c r="I170" s="485">
        <f t="shared" si="79"/>
        <v>52.713918237774628</v>
      </c>
      <c r="J170" s="485">
        <f t="shared" si="79"/>
        <v>54.844264550322592</v>
      </c>
      <c r="K170" s="485">
        <f t="shared" si="79"/>
        <v>57.060705305535919</v>
      </c>
      <c r="L170" s="485">
        <f t="shared" si="79"/>
        <v>59.366719868724395</v>
      </c>
      <c r="M170" s="485">
        <f t="shared" si="79"/>
        <v>61.76592821802479</v>
      </c>
      <c r="N170" s="485">
        <f t="shared" si="79"/>
        <v>64.26209662703674</v>
      </c>
      <c r="O170" s="485">
        <f t="shared" si="79"/>
        <v>66.859143577113542</v>
      </c>
      <c r="P170" s="485">
        <f t="shared" si="79"/>
        <v>69.561145908587974</v>
      </c>
      <c r="Q170" s="485">
        <f t="shared" si="79"/>
        <v>72.372345220590205</v>
      </c>
      <c r="R170" s="485">
        <f t="shared" si="79"/>
        <v>75.297154529503402</v>
      </c>
      <c r="S170" s="485">
        <f t="shared" si="79"/>
        <v>78.340165196510455</v>
      </c>
      <c r="T170" s="485">
        <f t="shared" si="79"/>
        <v>81.506154135105263</v>
      </c>
      <c r="U170" s="485">
        <f t="shared" si="79"/>
        <v>84.800091309884678</v>
      </c>
      <c r="V170" s="485">
        <f t="shared" si="79"/>
        <v>88.227147538391151</v>
      </c>
      <c r="W170" s="485">
        <f t="shared" si="79"/>
        <v>91.792702608254103</v>
      </c>
      <c r="X170" s="485">
        <f t="shared" si="79"/>
        <v>95.502353722372519</v>
      </c>
      <c r="Y170" s="485">
        <f t="shared" si="79"/>
        <v>99.361924285395432</v>
      </c>
      <c r="Z170" s="485">
        <f t="shared" si="79"/>
        <v>103.3774730452935</v>
      </c>
      <c r="AA170" s="485">
        <f t="shared" si="79"/>
        <v>107.55530360437258</v>
      </c>
      <c r="AB170" s="485">
        <f t="shared" si="79"/>
        <v>111.90197431465864</v>
      </c>
      <c r="AC170" s="485">
        <f t="shared" si="79"/>
        <v>116.42430857318936</v>
      </c>
      <c r="AD170" s="485">
        <f t="shared" si="79"/>
        <v>121.12940553337152</v>
      </c>
      <c r="AE170" s="485">
        <f t="shared" si="79"/>
        <v>126.02465124922173</v>
      </c>
      <c r="AF170" s="485">
        <f t="shared" si="79"/>
        <v>131.11773026998281</v>
      </c>
      <c r="AG170" s="485">
        <f t="shared" si="79"/>
        <v>136.41663770331718</v>
      </c>
      <c r="AH170" s="485">
        <f t="shared" si="79"/>
        <v>141.92969176601446</v>
      </c>
      <c r="AI170" s="485">
        <f t="shared" si="79"/>
        <v>147.66554684191604</v>
      </c>
      <c r="AJ170" s="485">
        <f t="shared" si="79"/>
        <v>153.6332070675532</v>
      </c>
      <c r="AK170" s="485">
        <f t="shared" si="79"/>
        <v>159.84204046682697</v>
      </c>
      <c r="AL170" s="485">
        <f t="shared" ref="AL170" si="80">SUMPRODUCT($C$153:$C$155,AL166:AL168)</f>
        <v>166.30179365691774</v>
      </c>
    </row>
    <row r="171" spans="2:38">
      <c r="D171" s="358"/>
      <c r="F171" s="464"/>
      <c r="G171" s="465"/>
      <c r="H171" s="465"/>
    </row>
    <row r="172" spans="2:38">
      <c r="B172" s="753" t="s">
        <v>715</v>
      </c>
      <c r="C172" s="358" t="s">
        <v>295</v>
      </c>
      <c r="D172" s="383">
        <f>Private!D32</f>
        <v>41.73264855898362</v>
      </c>
      <c r="E172" s="383">
        <f>Private!E32</f>
        <v>43.419204917201426</v>
      </c>
      <c r="F172" s="383">
        <f>Private!F32</f>
        <v>45.173920676934912</v>
      </c>
      <c r="G172" s="383">
        <f>Private!G32</f>
        <v>46.999550388301742</v>
      </c>
      <c r="H172" s="383">
        <f>Private!H32</f>
        <v>48.898959922032489</v>
      </c>
      <c r="I172" s="383">
        <f>Private!I32</f>
        <v>50.875130968310081</v>
      </c>
      <c r="J172" s="383">
        <f>Private!J32</f>
        <v>52.931165717422473</v>
      </c>
      <c r="K172" s="383">
        <f>Private!K32</f>
        <v>55.070291729576383</v>
      </c>
      <c r="L172" s="383">
        <f>Private!L32</f>
        <v>57.295867001516115</v>
      </c>
      <c r="M172" s="383">
        <f>Private!M32</f>
        <v>59.611385237901978</v>
      </c>
      <c r="N172" s="383">
        <f>Private!N32</f>
        <v>62.02048133572228</v>
      </c>
      <c r="O172" s="383">
        <f>Private!O32</f>
        <v>64.526937090349278</v>
      </c>
      <c r="P172" s="383">
        <f>Private!P32</f>
        <v>67.134687132195623</v>
      </c>
      <c r="Q172" s="383">
        <f>Private!Q32</f>
        <v>69.847825103291228</v>
      </c>
      <c r="R172" s="383">
        <f>Private!R32</f>
        <v>72.670610083476276</v>
      </c>
      <c r="S172" s="383">
        <f>Private!S32</f>
        <v>75.607473276298251</v>
      </c>
      <c r="T172" s="383">
        <f>Private!T32</f>
        <v>78.663024965108406</v>
      </c>
      <c r="U172" s="383">
        <f>Private!U32</f>
        <v>81.842061750277608</v>
      </c>
      <c r="V172" s="383">
        <f>Private!V32</f>
        <v>85.149574078892357</v>
      </c>
      <c r="W172" s="383">
        <f>Private!W32</f>
        <v>88.590754078750734</v>
      </c>
      <c r="X172" s="383">
        <f>Private!X32</f>
        <v>92.171003708956931</v>
      </c>
      <c r="Y172" s="383">
        <f>Private!Y32</f>
        <v>95.895943239908291</v>
      </c>
      <c r="Z172" s="383">
        <f>Private!Z32</f>
        <v>99.771420075987123</v>
      </c>
      <c r="AA172" s="383">
        <f>Private!AA32</f>
        <v>103.80351793480739</v>
      </c>
      <c r="AB172" s="383">
        <f>Private!AB32</f>
        <v>107.99856639742488</v>
      </c>
      <c r="AC172" s="383">
        <f>Private!AC32</f>
        <v>112.36315084450464</v>
      </c>
      <c r="AD172" s="383">
        <f>Private!AD32</f>
        <v>116.90412279404057</v>
      </c>
      <c r="AE172" s="383">
        <f>Private!AE32</f>
        <v>121.62861065685843</v>
      </c>
      <c r="AF172" s="383">
        <f>Private!AF32</f>
        <v>126.5440309267843</v>
      </c>
      <c r="AG172" s="383">
        <f>Private!AG32</f>
        <v>131.65809982304506</v>
      </c>
      <c r="AH172" s="383">
        <f>Private!AH32</f>
        <v>136.97884540317742</v>
      </c>
      <c r="AI172" s="383">
        <f>Private!AI32</f>
        <v>142.51462016546074</v>
      </c>
      <c r="AJ172" s="383">
        <f>Private!AJ32</f>
        <v>148.27411416065581</v>
      </c>
      <c r="AK172" s="383">
        <f>Private!AK32</f>
        <v>154.26636863363322</v>
      </c>
      <c r="AL172" s="383">
        <f>Private!AL32</f>
        <v>160.50079021630594</v>
      </c>
    </row>
    <row r="173" spans="2:38">
      <c r="B173" s="753" t="s">
        <v>716</v>
      </c>
      <c r="C173" s="358" t="s">
        <v>295</v>
      </c>
      <c r="D173" s="383">
        <f>Private!D33</f>
        <v>0.49274940843442727</v>
      </c>
      <c r="E173" s="383">
        <f>Private!E33</f>
        <v>0.5126630654032287</v>
      </c>
      <c r="F173" s="383">
        <f>Private!F33</f>
        <v>0.53338150006852902</v>
      </c>
      <c r="G173" s="383">
        <f>Private!G33</f>
        <v>0.55493723619739921</v>
      </c>
      <c r="H173" s="383">
        <f>Private!H33</f>
        <v>0.57736411195146764</v>
      </c>
      <c r="I173" s="383">
        <f>Private!I33</f>
        <v>0.60069733300601569</v>
      </c>
      <c r="J173" s="383">
        <f>Private!J33</f>
        <v>0.62497352781579052</v>
      </c>
      <c r="K173" s="383">
        <f>Private!K33</f>
        <v>0.65023080511430109</v>
      </c>
      <c r="L173" s="383">
        <f>Private!L33</f>
        <v>0.67650881373684557</v>
      </c>
      <c r="M173" s="383">
        <f>Private!M33</f>
        <v>0.70384880486119628</v>
      </c>
      <c r="N173" s="383">
        <f>Private!N33</f>
        <v>0.73229369676363243</v>
      </c>
      <c r="O173" s="383">
        <f>Private!O33</f>
        <v>0.76188814219198653</v>
      </c>
      <c r="P173" s="383">
        <f>Private!P33</f>
        <v>0.79267859846145872</v>
      </c>
      <c r="Q173" s="383">
        <f>Private!Q33</f>
        <v>0.82471340038323981</v>
      </c>
      <c r="R173" s="383">
        <f>Private!R33</f>
        <v>0.85804283614042343</v>
      </c>
      <c r="S173" s="383">
        <f>Private!S33</f>
        <v>0.89271922623031996</v>
      </c>
      <c r="T173" s="383">
        <f>Private!T33</f>
        <v>0.92879700559709111</v>
      </c>
      <c r="U173" s="383">
        <f>Private!U33</f>
        <v>0.96633280908364472</v>
      </c>
      <c r="V173" s="383">
        <f>Private!V33</f>
        <v>1.0053855603369235</v>
      </c>
      <c r="W173" s="383">
        <f>Private!W33</f>
        <v>1.0460165643061548</v>
      </c>
      <c r="X173" s="383">
        <f>Private!X33</f>
        <v>1.0882896034792682</v>
      </c>
      <c r="Y173" s="383">
        <f>Private!Y33</f>
        <v>1.1322710380085457</v>
      </c>
      <c r="Z173" s="383">
        <f>Private!Z33</f>
        <v>1.1780299098826887</v>
      </c>
      <c r="AA173" s="383">
        <f>Private!AA33</f>
        <v>1.2256380513088265</v>
      </c>
      <c r="AB173" s="383">
        <f>Private!AB33</f>
        <v>1.2751701974746026</v>
      </c>
      <c r="AC173" s="383">
        <f>Private!AC33</f>
        <v>1.3267041038673635</v>
      </c>
      <c r="AD173" s="383">
        <f>Private!AD33</f>
        <v>1.3803206683345972</v>
      </c>
      <c r="AE173" s="383">
        <f>Private!AE33</f>
        <v>1.4361040580772546</v>
      </c>
      <c r="AF173" s="383">
        <f>Private!AF33</f>
        <v>1.4941418417752936</v>
      </c>
      <c r="AG173" s="383">
        <f>Private!AG33</f>
        <v>1.5545251270528564</v>
      </c>
      <c r="AH173" s="383">
        <f>Private!AH33</f>
        <v>1.6173487034988796</v>
      </c>
      <c r="AI173" s="383">
        <f>Private!AI33</f>
        <v>1.6827111914676463</v>
      </c>
      <c r="AJ173" s="383">
        <f>Private!AJ33</f>
        <v>1.7507151968928685</v>
      </c>
      <c r="AK173" s="383">
        <f>Private!AK33</f>
        <v>1.8214674723583217</v>
      </c>
      <c r="AL173" s="383">
        <f>Private!AL33</f>
        <v>1.8950790846778931</v>
      </c>
    </row>
    <row r="174" spans="2:38">
      <c r="D174" s="358"/>
      <c r="F174" s="464"/>
      <c r="G174" s="465"/>
      <c r="H174" s="465"/>
    </row>
    <row r="175" spans="2:38">
      <c r="B175" s="358" t="s">
        <v>208</v>
      </c>
      <c r="C175" s="362" t="s">
        <v>292</v>
      </c>
      <c r="D175" s="485">
        <f>SUMPRODUCT(D172:D173,D$150:D$151)</f>
        <v>89.180307059686115</v>
      </c>
      <c r="E175" s="485">
        <f t="shared" ref="E175:AK175" si="81">SUMPRODUCT(E172:E173,E$150:E$151)</f>
        <v>93.033409996358372</v>
      </c>
      <c r="F175" s="485">
        <f t="shared" si="81"/>
        <v>96.531866857763234</v>
      </c>
      <c r="G175" s="485">
        <f t="shared" si="81"/>
        <v>99.039462546034542</v>
      </c>
      <c r="H175" s="485">
        <f t="shared" si="81"/>
        <v>104.67571306901426</v>
      </c>
      <c r="I175" s="485">
        <f t="shared" si="81"/>
        <v>110.24680666840706</v>
      </c>
      <c r="J175" s="485">
        <f t="shared" si="81"/>
        <v>116.59143564723404</v>
      </c>
      <c r="K175" s="485">
        <f t="shared" si="81"/>
        <v>122.26152049107584</v>
      </c>
      <c r="L175" s="485">
        <f t="shared" si="81"/>
        <v>129.43672093844552</v>
      </c>
      <c r="M175" s="485">
        <f t="shared" si="81"/>
        <v>139.92203622945931</v>
      </c>
      <c r="N175" s="485">
        <f t="shared" si="81"/>
        <v>146.99701931656907</v>
      </c>
      <c r="O175" s="485">
        <f t="shared" si="81"/>
        <v>154.74864271291514</v>
      </c>
      <c r="P175" s="485">
        <f t="shared" si="81"/>
        <v>164.61992142019605</v>
      </c>
      <c r="Q175" s="485">
        <f t="shared" si="81"/>
        <v>174.70779270131112</v>
      </c>
      <c r="R175" s="485">
        <f t="shared" si="81"/>
        <v>184.20796197200502</v>
      </c>
      <c r="S175" s="485">
        <f t="shared" si="81"/>
        <v>194.54134472422601</v>
      </c>
      <c r="T175" s="485">
        <f t="shared" si="81"/>
        <v>203.34443899770193</v>
      </c>
      <c r="U175" s="485">
        <f t="shared" si="81"/>
        <v>214.47646454855922</v>
      </c>
      <c r="V175" s="485">
        <f t="shared" si="81"/>
        <v>226.83278506137987</v>
      </c>
      <c r="W175" s="485">
        <f t="shared" si="81"/>
        <v>237.17214116379574</v>
      </c>
      <c r="X175" s="485">
        <f t="shared" si="81"/>
        <v>249.0241657791934</v>
      </c>
      <c r="Y175" s="485">
        <f t="shared" si="81"/>
        <v>263.95549897397967</v>
      </c>
      <c r="Z175" s="485">
        <f t="shared" si="81"/>
        <v>277.42557558761689</v>
      </c>
      <c r="AA175" s="485">
        <f t="shared" si="81"/>
        <v>291.4983329870272</v>
      </c>
      <c r="AB175" s="485">
        <f t="shared" si="81"/>
        <v>308.03750754562736</v>
      </c>
      <c r="AC175" s="485">
        <f t="shared" si="81"/>
        <v>321.86279430219815</v>
      </c>
      <c r="AD175" s="485">
        <f t="shared" si="81"/>
        <v>341.77783600270095</v>
      </c>
      <c r="AE175" s="485">
        <f t="shared" si="81"/>
        <v>360.5331324356693</v>
      </c>
      <c r="AF175" s="485">
        <f t="shared" si="81"/>
        <v>379.07784987346594</v>
      </c>
      <c r="AG175" s="485">
        <f t="shared" si="81"/>
        <v>397.96307684978433</v>
      </c>
      <c r="AH175" s="485">
        <f t="shared" si="81"/>
        <v>418.30817289606239</v>
      </c>
      <c r="AI175" s="485">
        <f>SUMPRODUCT(AI172:AI173,AI$150:AI$151)</f>
        <v>439.67764237302168</v>
      </c>
      <c r="AJ175" s="485">
        <f>SUMPRODUCT(AJ172:AJ173,AJ$150:AJ$151)</f>
        <v>462.12255614797294</v>
      </c>
      <c r="AK175" s="485">
        <f t="shared" si="81"/>
        <v>485.69651472147171</v>
      </c>
      <c r="AL175" s="485">
        <f t="shared" ref="AL175" si="82">SUMPRODUCT(AL172:AL173,AL$150:AL$151)</f>
        <v>510.45577297881658</v>
      </c>
    </row>
    <row r="177" spans="1:38" ht="13">
      <c r="B177" s="364" t="s">
        <v>527</v>
      </c>
      <c r="C177" s="387" t="s">
        <v>292</v>
      </c>
      <c r="D177" s="488">
        <f>D170+D175</f>
        <v>132.42130481464716</v>
      </c>
      <c r="E177" s="488">
        <f t="shared" ref="E177:AK177" si="83">E170+E175</f>
        <v>138.02192156166953</v>
      </c>
      <c r="F177" s="488">
        <f t="shared" si="83"/>
        <v>143.3385151301178</v>
      </c>
      <c r="G177" s="488">
        <f t="shared" si="83"/>
        <v>147.73772453034965</v>
      </c>
      <c r="H177" s="488">
        <f t="shared" si="83"/>
        <v>155.34203522252085</v>
      </c>
      <c r="I177" s="488">
        <f t="shared" si="83"/>
        <v>162.9607249061817</v>
      </c>
      <c r="J177" s="488">
        <f t="shared" si="83"/>
        <v>171.43570019755663</v>
      </c>
      <c r="K177" s="488">
        <f t="shared" si="83"/>
        <v>179.32222579661175</v>
      </c>
      <c r="L177" s="488">
        <f t="shared" si="83"/>
        <v>188.80344080716992</v>
      </c>
      <c r="M177" s="488">
        <f t="shared" si="83"/>
        <v>201.68796444748409</v>
      </c>
      <c r="N177" s="488">
        <f t="shared" si="83"/>
        <v>211.25911594360582</v>
      </c>
      <c r="O177" s="488">
        <f t="shared" si="83"/>
        <v>221.60778629002868</v>
      </c>
      <c r="P177" s="488">
        <f t="shared" si="83"/>
        <v>234.18106732878402</v>
      </c>
      <c r="Q177" s="488">
        <f t="shared" si="83"/>
        <v>247.08013792190133</v>
      </c>
      <c r="R177" s="488">
        <f t="shared" si="83"/>
        <v>259.50511650150844</v>
      </c>
      <c r="S177" s="488">
        <f t="shared" si="83"/>
        <v>272.88150992073645</v>
      </c>
      <c r="T177" s="488">
        <f t="shared" si="83"/>
        <v>284.85059313280721</v>
      </c>
      <c r="U177" s="488">
        <f t="shared" si="83"/>
        <v>299.27655585844388</v>
      </c>
      <c r="V177" s="488">
        <f t="shared" si="83"/>
        <v>315.059932599771</v>
      </c>
      <c r="W177" s="488">
        <f t="shared" si="83"/>
        <v>328.96484377204985</v>
      </c>
      <c r="X177" s="488">
        <f t="shared" si="83"/>
        <v>344.52651950156593</v>
      </c>
      <c r="Y177" s="488">
        <f t="shared" si="83"/>
        <v>363.31742325937512</v>
      </c>
      <c r="Z177" s="488">
        <f t="shared" si="83"/>
        <v>380.80304863291042</v>
      </c>
      <c r="AA177" s="488">
        <f t="shared" si="83"/>
        <v>399.05363659139977</v>
      </c>
      <c r="AB177" s="488">
        <f t="shared" si="83"/>
        <v>419.93948186028604</v>
      </c>
      <c r="AC177" s="488">
        <f t="shared" si="83"/>
        <v>438.28710287538752</v>
      </c>
      <c r="AD177" s="488">
        <f t="shared" si="83"/>
        <v>462.90724153607249</v>
      </c>
      <c r="AE177" s="488">
        <f t="shared" si="83"/>
        <v>486.55778368489104</v>
      </c>
      <c r="AF177" s="488">
        <f t="shared" si="83"/>
        <v>510.19558014344875</v>
      </c>
      <c r="AG177" s="488">
        <f t="shared" si="83"/>
        <v>534.37971455310151</v>
      </c>
      <c r="AH177" s="488">
        <f t="shared" si="83"/>
        <v>560.23786466207684</v>
      </c>
      <c r="AI177" s="488">
        <f t="shared" si="83"/>
        <v>587.34318921493775</v>
      </c>
      <c r="AJ177" s="488">
        <f t="shared" si="83"/>
        <v>615.75576321552614</v>
      </c>
      <c r="AK177" s="488">
        <f t="shared" si="83"/>
        <v>645.53855518829869</v>
      </c>
      <c r="AL177" s="488">
        <f t="shared" ref="AL177" si="84">AL170+AL175</f>
        <v>676.75756663573429</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Private!D48</f>
        <v>116.73468128387027</v>
      </c>
      <c r="E181" s="383">
        <f>Private!E48</f>
        <v>121.45232144671728</v>
      </c>
      <c r="F181" s="383">
        <f>Private!F48</f>
        <v>126.36061727813961</v>
      </c>
      <c r="G181" s="383">
        <f>Private!G48</f>
        <v>131.46727381343146</v>
      </c>
      <c r="H181" s="383">
        <f>Private!H48</f>
        <v>0</v>
      </c>
      <c r="I181" s="383">
        <f>Private!I48</f>
        <v>0</v>
      </c>
      <c r="J181" s="383">
        <f>Private!J48</f>
        <v>0</v>
      </c>
      <c r="K181" s="383">
        <f>Private!K48</f>
        <v>0</v>
      </c>
      <c r="L181" s="383">
        <f>Private!L48</f>
        <v>0</v>
      </c>
      <c r="M181" s="383">
        <f>Private!M48</f>
        <v>0</v>
      </c>
      <c r="N181" s="383">
        <f>Private!N48</f>
        <v>0</v>
      </c>
      <c r="O181" s="383">
        <f>Private!O48</f>
        <v>0</v>
      </c>
      <c r="P181" s="383">
        <f>Private!P48</f>
        <v>0</v>
      </c>
      <c r="Q181" s="383">
        <f>Private!Q48</f>
        <v>0</v>
      </c>
      <c r="R181" s="383">
        <f>Private!R48</f>
        <v>0</v>
      </c>
      <c r="S181" s="383">
        <f>Private!S48</f>
        <v>0</v>
      </c>
      <c r="T181" s="383">
        <f>Private!T48</f>
        <v>0</v>
      </c>
      <c r="U181" s="383">
        <f>Private!U48</f>
        <v>0</v>
      </c>
      <c r="V181" s="383">
        <f>Private!V48</f>
        <v>0</v>
      </c>
      <c r="W181" s="383">
        <f>Private!W48</f>
        <v>0</v>
      </c>
      <c r="X181" s="383">
        <f>Private!X48</f>
        <v>0</v>
      </c>
      <c r="Y181" s="383">
        <f>Private!Y48</f>
        <v>0</v>
      </c>
      <c r="Z181" s="383">
        <f>Private!Z48</f>
        <v>0</v>
      </c>
      <c r="AA181" s="383">
        <f>Private!AA48</f>
        <v>0</v>
      </c>
      <c r="AB181" s="383">
        <f>Private!AB48</f>
        <v>0</v>
      </c>
      <c r="AC181" s="383">
        <f>Private!AC48</f>
        <v>0</v>
      </c>
      <c r="AD181" s="383">
        <f>Private!AD48</f>
        <v>0</v>
      </c>
      <c r="AE181" s="383">
        <f>Private!AE48</f>
        <v>0</v>
      </c>
      <c r="AF181" s="383">
        <f>Private!AF48</f>
        <v>0</v>
      </c>
      <c r="AG181" s="383">
        <f>Private!AG48</f>
        <v>0</v>
      </c>
      <c r="AH181" s="383">
        <f>Private!AH48</f>
        <v>0</v>
      </c>
      <c r="AI181" s="383">
        <f>Private!AI48</f>
        <v>0</v>
      </c>
      <c r="AJ181" s="383">
        <f>Private!AJ48</f>
        <v>0</v>
      </c>
      <c r="AK181" s="383">
        <f>Private!AK48</f>
        <v>0</v>
      </c>
      <c r="AL181" s="383">
        <f>Private!AL48</f>
        <v>0</v>
      </c>
    </row>
    <row r="182" spans="1:38">
      <c r="B182" s="385" t="s">
        <v>509</v>
      </c>
      <c r="C182" s="386" t="s">
        <v>443</v>
      </c>
      <c r="D182" s="383">
        <f>Private!D49</f>
        <v>0.58660643861241346</v>
      </c>
      <c r="E182" s="383">
        <f>Private!E49</f>
        <v>0.61031317309908184</v>
      </c>
      <c r="F182" s="383">
        <f>Private!F49</f>
        <v>0.63497797627205832</v>
      </c>
      <c r="G182" s="383">
        <f>Private!G49</f>
        <v>0.6606395669016657</v>
      </c>
      <c r="H182" s="383">
        <f>Private!H49</f>
        <v>0</v>
      </c>
      <c r="I182" s="383">
        <f>Private!I49</f>
        <v>0</v>
      </c>
      <c r="J182" s="383">
        <f>Private!J49</f>
        <v>0</v>
      </c>
      <c r="K182" s="383">
        <f>Private!K49</f>
        <v>0</v>
      </c>
      <c r="L182" s="383">
        <f>Private!L49</f>
        <v>0</v>
      </c>
      <c r="M182" s="383">
        <f>Private!M49</f>
        <v>0</v>
      </c>
      <c r="N182" s="383">
        <f>Private!N49</f>
        <v>0</v>
      </c>
      <c r="O182" s="383">
        <f>Private!O49</f>
        <v>0</v>
      </c>
      <c r="P182" s="383">
        <f>Private!P49</f>
        <v>0</v>
      </c>
      <c r="Q182" s="383">
        <f>Private!Q49</f>
        <v>0</v>
      </c>
      <c r="R182" s="383">
        <f>Private!R49</f>
        <v>0</v>
      </c>
      <c r="S182" s="383">
        <f>Private!S49</f>
        <v>0</v>
      </c>
      <c r="T182" s="383">
        <f>Private!T49</f>
        <v>0</v>
      </c>
      <c r="U182" s="383">
        <f>Private!U49</f>
        <v>0</v>
      </c>
      <c r="V182" s="383">
        <f>Private!V49</f>
        <v>0</v>
      </c>
      <c r="W182" s="383">
        <f>Private!W49</f>
        <v>0</v>
      </c>
      <c r="X182" s="383">
        <f>Private!X49</f>
        <v>0</v>
      </c>
      <c r="Y182" s="383">
        <f>Private!Y49</f>
        <v>0</v>
      </c>
      <c r="Z182" s="383">
        <f>Private!Z49</f>
        <v>0</v>
      </c>
      <c r="AA182" s="383">
        <f>Private!AA49</f>
        <v>0</v>
      </c>
      <c r="AB182" s="383">
        <f>Private!AB49</f>
        <v>0</v>
      </c>
      <c r="AC182" s="383">
        <f>Private!AC49</f>
        <v>0</v>
      </c>
      <c r="AD182" s="383">
        <f>Private!AD49</f>
        <v>0</v>
      </c>
      <c r="AE182" s="383">
        <f>Private!AE49</f>
        <v>0</v>
      </c>
      <c r="AF182" s="383">
        <f>Private!AF49</f>
        <v>0</v>
      </c>
      <c r="AG182" s="383">
        <f>Private!AG49</f>
        <v>0</v>
      </c>
      <c r="AH182" s="383">
        <f>Private!AH49</f>
        <v>0</v>
      </c>
      <c r="AI182" s="383">
        <f>Private!AI49</f>
        <v>0</v>
      </c>
      <c r="AJ182" s="383">
        <f>Private!AJ49</f>
        <v>0</v>
      </c>
      <c r="AK182" s="383">
        <f>Private!AK49</f>
        <v>0</v>
      </c>
      <c r="AL182" s="383">
        <f>Private!AL49</f>
        <v>0</v>
      </c>
    </row>
    <row r="183" spans="1:38">
      <c r="B183" s="358" t="s">
        <v>769</v>
      </c>
      <c r="C183" s="358" t="s">
        <v>443</v>
      </c>
      <c r="D183" s="383">
        <f>Private!D50</f>
        <v>0</v>
      </c>
      <c r="E183" s="383">
        <f>Private!E50</f>
        <v>0</v>
      </c>
      <c r="F183" s="383">
        <f>Private!F50</f>
        <v>0</v>
      </c>
      <c r="G183" s="383">
        <f>Private!G50</f>
        <v>0</v>
      </c>
      <c r="H183" s="383">
        <f>Private!H50</f>
        <v>0</v>
      </c>
      <c r="I183" s="383">
        <f>Private!I50</f>
        <v>0</v>
      </c>
      <c r="J183" s="383">
        <f>Private!J50</f>
        <v>0</v>
      </c>
      <c r="K183" s="383">
        <f>Private!K50</f>
        <v>0</v>
      </c>
      <c r="L183" s="383">
        <f>Private!L50</f>
        <v>0</v>
      </c>
      <c r="M183" s="383">
        <f>Private!M50</f>
        <v>0</v>
      </c>
      <c r="N183" s="383">
        <f>Private!N50</f>
        <v>0</v>
      </c>
      <c r="O183" s="383">
        <f>Private!O50</f>
        <v>0</v>
      </c>
      <c r="P183" s="383">
        <f>Private!P50</f>
        <v>0</v>
      </c>
      <c r="Q183" s="383">
        <f>Private!Q50</f>
        <v>0</v>
      </c>
      <c r="R183" s="383">
        <f>Private!R50</f>
        <v>0</v>
      </c>
      <c r="S183" s="383">
        <f>Private!S50</f>
        <v>0</v>
      </c>
      <c r="T183" s="383">
        <f>Private!T50</f>
        <v>0</v>
      </c>
      <c r="U183" s="383">
        <f>Private!U50</f>
        <v>0</v>
      </c>
      <c r="V183" s="383">
        <f>Private!V50</f>
        <v>0</v>
      </c>
      <c r="W183" s="383">
        <f>Private!W50</f>
        <v>0</v>
      </c>
      <c r="X183" s="383">
        <f>Private!X50</f>
        <v>0</v>
      </c>
      <c r="Y183" s="383">
        <f>Private!Y50</f>
        <v>0</v>
      </c>
      <c r="Z183" s="383">
        <f>Private!Z50</f>
        <v>0</v>
      </c>
      <c r="AA183" s="383">
        <f>Private!AA50</f>
        <v>0</v>
      </c>
      <c r="AB183" s="383">
        <f>Private!AB50</f>
        <v>0</v>
      </c>
      <c r="AC183" s="383">
        <f>Private!AC50</f>
        <v>0</v>
      </c>
      <c r="AD183" s="383">
        <f>Private!AD50</f>
        <v>0</v>
      </c>
      <c r="AE183" s="383">
        <f>Private!AE50</f>
        <v>0</v>
      </c>
      <c r="AF183" s="383">
        <f>Private!AF50</f>
        <v>0</v>
      </c>
      <c r="AG183" s="383">
        <f>Private!AG50</f>
        <v>0</v>
      </c>
      <c r="AH183" s="383">
        <f>Private!AH50</f>
        <v>0</v>
      </c>
      <c r="AI183" s="383">
        <f>Private!AI50</f>
        <v>0</v>
      </c>
      <c r="AJ183" s="383">
        <f>Private!AJ50</f>
        <v>0</v>
      </c>
      <c r="AK183" s="383">
        <f>Private!AK50</f>
        <v>0</v>
      </c>
      <c r="AL183" s="383">
        <f>Private!AL50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4.0273465042935239</v>
      </c>
      <c r="E185" s="383">
        <f t="shared" ref="E185:AK187" si="85">E181*$C163</f>
        <v>4.1901050899117456</v>
      </c>
      <c r="F185" s="383">
        <f t="shared" si="85"/>
        <v>4.3594412960958158</v>
      </c>
      <c r="G185" s="383">
        <f t="shared" si="85"/>
        <v>4.5356209465633848</v>
      </c>
      <c r="H185" s="383">
        <f t="shared" si="85"/>
        <v>0</v>
      </c>
      <c r="I185" s="383">
        <f t="shared" si="85"/>
        <v>0</v>
      </c>
      <c r="J185" s="383">
        <f t="shared" si="85"/>
        <v>0</v>
      </c>
      <c r="K185" s="383">
        <f t="shared" si="85"/>
        <v>0</v>
      </c>
      <c r="L185" s="383">
        <f t="shared" si="85"/>
        <v>0</v>
      </c>
      <c r="M185" s="383">
        <f t="shared" si="85"/>
        <v>0</v>
      </c>
      <c r="N185" s="383">
        <f t="shared" si="85"/>
        <v>0</v>
      </c>
      <c r="O185" s="383">
        <f t="shared" si="85"/>
        <v>0</v>
      </c>
      <c r="P185" s="383">
        <f t="shared" si="85"/>
        <v>0</v>
      </c>
      <c r="Q185" s="383">
        <f t="shared" si="85"/>
        <v>0</v>
      </c>
      <c r="R185" s="383">
        <f t="shared" si="85"/>
        <v>0</v>
      </c>
      <c r="S185" s="383">
        <f t="shared" si="85"/>
        <v>0</v>
      </c>
      <c r="T185" s="383">
        <f t="shared" si="85"/>
        <v>0</v>
      </c>
      <c r="U185" s="383">
        <f t="shared" si="85"/>
        <v>0</v>
      </c>
      <c r="V185" s="383">
        <f t="shared" si="85"/>
        <v>0</v>
      </c>
      <c r="W185" s="383">
        <f t="shared" si="85"/>
        <v>0</v>
      </c>
      <c r="X185" s="383">
        <f t="shared" si="85"/>
        <v>0</v>
      </c>
      <c r="Y185" s="383">
        <f t="shared" si="85"/>
        <v>0</v>
      </c>
      <c r="Z185" s="383">
        <f t="shared" si="85"/>
        <v>0</v>
      </c>
      <c r="AA185" s="383">
        <f t="shared" si="85"/>
        <v>0</v>
      </c>
      <c r="AB185" s="383">
        <f t="shared" si="85"/>
        <v>0</v>
      </c>
      <c r="AC185" s="383">
        <f t="shared" si="85"/>
        <v>0</v>
      </c>
      <c r="AD185" s="383">
        <f t="shared" si="85"/>
        <v>0</v>
      </c>
      <c r="AE185" s="383">
        <f t="shared" si="85"/>
        <v>0</v>
      </c>
      <c r="AF185" s="383">
        <f t="shared" si="85"/>
        <v>0</v>
      </c>
      <c r="AG185" s="383">
        <f t="shared" si="85"/>
        <v>0</v>
      </c>
      <c r="AH185" s="383">
        <f t="shared" si="85"/>
        <v>0</v>
      </c>
      <c r="AI185" s="383">
        <f t="shared" si="85"/>
        <v>0</v>
      </c>
      <c r="AJ185" s="383">
        <f t="shared" si="85"/>
        <v>0</v>
      </c>
      <c r="AK185" s="383">
        <f t="shared" si="85"/>
        <v>0</v>
      </c>
      <c r="AL185" s="383">
        <f t="shared" ref="AL185" si="86">AL181*$C163</f>
        <v>0</v>
      </c>
    </row>
    <row r="186" spans="1:38">
      <c r="B186" s="385" t="s">
        <v>501</v>
      </c>
      <c r="C186" s="386" t="s">
        <v>479</v>
      </c>
      <c r="D186" s="383">
        <f>D182*$C164</f>
        <v>2.0237922132128262E-2</v>
      </c>
      <c r="E186" s="383">
        <f t="shared" si="85"/>
        <v>2.1055804471918321E-2</v>
      </c>
      <c r="F186" s="383">
        <f t="shared" si="85"/>
        <v>2.1906740181386008E-2</v>
      </c>
      <c r="G186" s="383">
        <f t="shared" si="85"/>
        <v>2.2792065058107464E-2</v>
      </c>
      <c r="H186" s="383">
        <f t="shared" si="85"/>
        <v>0</v>
      </c>
      <c r="I186" s="383">
        <f t="shared" si="85"/>
        <v>0</v>
      </c>
      <c r="J186" s="383">
        <f t="shared" si="85"/>
        <v>0</v>
      </c>
      <c r="K186" s="383">
        <f t="shared" si="85"/>
        <v>0</v>
      </c>
      <c r="L186" s="383">
        <f t="shared" si="85"/>
        <v>0</v>
      </c>
      <c r="M186" s="383">
        <f t="shared" si="85"/>
        <v>0</v>
      </c>
      <c r="N186" s="383">
        <f t="shared" si="85"/>
        <v>0</v>
      </c>
      <c r="O186" s="383">
        <f t="shared" si="85"/>
        <v>0</v>
      </c>
      <c r="P186" s="383">
        <f t="shared" si="85"/>
        <v>0</v>
      </c>
      <c r="Q186" s="383">
        <f t="shared" si="85"/>
        <v>0</v>
      </c>
      <c r="R186" s="383">
        <f t="shared" si="85"/>
        <v>0</v>
      </c>
      <c r="S186" s="383">
        <f t="shared" si="85"/>
        <v>0</v>
      </c>
      <c r="T186" s="383">
        <f t="shared" si="85"/>
        <v>0</v>
      </c>
      <c r="U186" s="383">
        <f t="shared" si="85"/>
        <v>0</v>
      </c>
      <c r="V186" s="383">
        <f t="shared" si="85"/>
        <v>0</v>
      </c>
      <c r="W186" s="383">
        <f t="shared" si="85"/>
        <v>0</v>
      </c>
      <c r="X186" s="383">
        <f t="shared" si="85"/>
        <v>0</v>
      </c>
      <c r="Y186" s="383">
        <f t="shared" si="85"/>
        <v>0</v>
      </c>
      <c r="Z186" s="383">
        <f t="shared" si="85"/>
        <v>0</v>
      </c>
      <c r="AA186" s="383">
        <f t="shared" si="85"/>
        <v>0</v>
      </c>
      <c r="AB186" s="383">
        <f t="shared" si="85"/>
        <v>0</v>
      </c>
      <c r="AC186" s="383">
        <f t="shared" si="85"/>
        <v>0</v>
      </c>
      <c r="AD186" s="383">
        <f t="shared" si="85"/>
        <v>0</v>
      </c>
      <c r="AE186" s="383">
        <f t="shared" si="85"/>
        <v>0</v>
      </c>
      <c r="AF186" s="383">
        <f t="shared" si="85"/>
        <v>0</v>
      </c>
      <c r="AG186" s="383">
        <f t="shared" si="85"/>
        <v>0</v>
      </c>
      <c r="AH186" s="383">
        <f t="shared" si="85"/>
        <v>0</v>
      </c>
      <c r="AI186" s="383">
        <f t="shared" si="85"/>
        <v>0</v>
      </c>
      <c r="AJ186" s="383">
        <f t="shared" si="85"/>
        <v>0</v>
      </c>
      <c r="AK186" s="383">
        <f t="shared" si="85"/>
        <v>0</v>
      </c>
      <c r="AL186" s="383">
        <f t="shared" ref="AL186" si="87">AL182*$C164</f>
        <v>0</v>
      </c>
    </row>
    <row r="187" spans="1:38">
      <c r="B187" s="385" t="s">
        <v>768</v>
      </c>
      <c r="C187" s="386" t="s">
        <v>479</v>
      </c>
      <c r="D187" s="383">
        <f>D183*$C165</f>
        <v>0</v>
      </c>
      <c r="E187" s="383">
        <f t="shared" si="85"/>
        <v>0</v>
      </c>
      <c r="F187" s="383">
        <f t="shared" si="85"/>
        <v>0</v>
      </c>
      <c r="G187" s="383">
        <f t="shared" si="85"/>
        <v>0</v>
      </c>
      <c r="H187" s="383">
        <f t="shared" si="85"/>
        <v>0</v>
      </c>
      <c r="I187" s="383">
        <f t="shared" si="85"/>
        <v>0</v>
      </c>
      <c r="J187" s="383">
        <f t="shared" si="85"/>
        <v>0</v>
      </c>
      <c r="K187" s="383">
        <f t="shared" si="85"/>
        <v>0</v>
      </c>
      <c r="L187" s="383">
        <f t="shared" si="85"/>
        <v>0</v>
      </c>
      <c r="M187" s="383">
        <f t="shared" si="85"/>
        <v>0</v>
      </c>
      <c r="N187" s="383">
        <f t="shared" si="85"/>
        <v>0</v>
      </c>
      <c r="O187" s="383">
        <f t="shared" si="85"/>
        <v>0</v>
      </c>
      <c r="P187" s="383">
        <f t="shared" si="85"/>
        <v>0</v>
      </c>
      <c r="Q187" s="383">
        <f t="shared" si="85"/>
        <v>0</v>
      </c>
      <c r="R187" s="383">
        <f t="shared" si="85"/>
        <v>0</v>
      </c>
      <c r="S187" s="383">
        <f t="shared" si="85"/>
        <v>0</v>
      </c>
      <c r="T187" s="383">
        <f t="shared" si="85"/>
        <v>0</v>
      </c>
      <c r="U187" s="383">
        <f t="shared" si="85"/>
        <v>0</v>
      </c>
      <c r="V187" s="383">
        <f t="shared" si="85"/>
        <v>0</v>
      </c>
      <c r="W187" s="383">
        <f t="shared" si="85"/>
        <v>0</v>
      </c>
      <c r="X187" s="383">
        <f t="shared" si="85"/>
        <v>0</v>
      </c>
      <c r="Y187" s="383">
        <f t="shared" si="85"/>
        <v>0</v>
      </c>
      <c r="Z187" s="383">
        <f t="shared" si="85"/>
        <v>0</v>
      </c>
      <c r="AA187" s="383">
        <f t="shared" si="85"/>
        <v>0</v>
      </c>
      <c r="AB187" s="383">
        <f t="shared" si="85"/>
        <v>0</v>
      </c>
      <c r="AC187" s="383">
        <f t="shared" si="85"/>
        <v>0</v>
      </c>
      <c r="AD187" s="383">
        <f t="shared" si="85"/>
        <v>0</v>
      </c>
      <c r="AE187" s="383">
        <f t="shared" si="85"/>
        <v>0</v>
      </c>
      <c r="AF187" s="383">
        <f t="shared" si="85"/>
        <v>0</v>
      </c>
      <c r="AG187" s="383">
        <f t="shared" si="85"/>
        <v>0</v>
      </c>
      <c r="AH187" s="383">
        <f t="shared" si="85"/>
        <v>0</v>
      </c>
      <c r="AI187" s="383">
        <f t="shared" si="85"/>
        <v>0</v>
      </c>
      <c r="AJ187" s="383">
        <f t="shared" si="85"/>
        <v>0</v>
      </c>
      <c r="AK187" s="383">
        <f t="shared" si="85"/>
        <v>0</v>
      </c>
      <c r="AL187" s="383">
        <f t="shared" ref="AL187" si="88">AL183*$C165</f>
        <v>0</v>
      </c>
    </row>
    <row r="188" spans="1:38">
      <c r="D188" s="358"/>
      <c r="F188" s="464"/>
      <c r="G188" s="465"/>
      <c r="H188" s="465"/>
    </row>
    <row r="189" spans="1:38">
      <c r="B189" s="358" t="s">
        <v>459</v>
      </c>
      <c r="C189" s="362" t="s">
        <v>292</v>
      </c>
      <c r="D189" s="485">
        <f>SUMPRODUCT($C$153:$C$155,D185:D187)</f>
        <v>43.24099775496105</v>
      </c>
      <c r="E189" s="485">
        <f t="shared" ref="E189:AK189" si="89">SUMPRODUCT($C$153:$C$155,E185:E187)</f>
        <v>44.988511565311164</v>
      </c>
      <c r="F189" s="485">
        <f t="shared" si="89"/>
        <v>46.806648272354565</v>
      </c>
      <c r="G189" s="485">
        <f t="shared" si="89"/>
        <v>48.698261984315103</v>
      </c>
      <c r="H189" s="485">
        <f t="shared" si="89"/>
        <v>0</v>
      </c>
      <c r="I189" s="485">
        <f t="shared" si="89"/>
        <v>0</v>
      </c>
      <c r="J189" s="485">
        <f t="shared" si="89"/>
        <v>0</v>
      </c>
      <c r="K189" s="485">
        <f t="shared" si="89"/>
        <v>0</v>
      </c>
      <c r="L189" s="485">
        <f t="shared" si="89"/>
        <v>0</v>
      </c>
      <c r="M189" s="485">
        <f t="shared" si="89"/>
        <v>0</v>
      </c>
      <c r="N189" s="485">
        <f t="shared" si="89"/>
        <v>0</v>
      </c>
      <c r="O189" s="485">
        <f t="shared" si="89"/>
        <v>0</v>
      </c>
      <c r="P189" s="485">
        <f t="shared" si="89"/>
        <v>0</v>
      </c>
      <c r="Q189" s="485">
        <f t="shared" si="89"/>
        <v>0</v>
      </c>
      <c r="R189" s="485">
        <f t="shared" si="89"/>
        <v>0</v>
      </c>
      <c r="S189" s="485">
        <f t="shared" si="89"/>
        <v>0</v>
      </c>
      <c r="T189" s="485">
        <f t="shared" si="89"/>
        <v>0</v>
      </c>
      <c r="U189" s="485">
        <f t="shared" si="89"/>
        <v>0</v>
      </c>
      <c r="V189" s="485">
        <f t="shared" si="89"/>
        <v>0</v>
      </c>
      <c r="W189" s="485">
        <f t="shared" si="89"/>
        <v>0</v>
      </c>
      <c r="X189" s="485">
        <f t="shared" si="89"/>
        <v>0</v>
      </c>
      <c r="Y189" s="485">
        <f t="shared" si="89"/>
        <v>0</v>
      </c>
      <c r="Z189" s="485">
        <f t="shared" si="89"/>
        <v>0</v>
      </c>
      <c r="AA189" s="485">
        <f t="shared" si="89"/>
        <v>0</v>
      </c>
      <c r="AB189" s="485">
        <f t="shared" si="89"/>
        <v>0</v>
      </c>
      <c r="AC189" s="485">
        <f t="shared" si="89"/>
        <v>0</v>
      </c>
      <c r="AD189" s="485">
        <f t="shared" si="89"/>
        <v>0</v>
      </c>
      <c r="AE189" s="485">
        <f t="shared" si="89"/>
        <v>0</v>
      </c>
      <c r="AF189" s="485">
        <f t="shared" si="89"/>
        <v>0</v>
      </c>
      <c r="AG189" s="485">
        <f t="shared" si="89"/>
        <v>0</v>
      </c>
      <c r="AH189" s="485">
        <f t="shared" si="89"/>
        <v>0</v>
      </c>
      <c r="AI189" s="485">
        <f t="shared" si="89"/>
        <v>0</v>
      </c>
      <c r="AJ189" s="485">
        <f t="shared" si="89"/>
        <v>0</v>
      </c>
      <c r="AK189" s="485">
        <f t="shared" si="89"/>
        <v>0</v>
      </c>
      <c r="AL189" s="485">
        <f t="shared" ref="AL189" si="90">SUMPRODUCT($C$153:$C$155,AL185:AL187)</f>
        <v>0</v>
      </c>
    </row>
    <row r="190" spans="1:38">
      <c r="D190" s="358"/>
      <c r="F190" s="464"/>
      <c r="G190" s="465"/>
      <c r="H190" s="465"/>
    </row>
    <row r="191" spans="1:38">
      <c r="B191" s="753" t="s">
        <v>715</v>
      </c>
      <c r="C191" s="358" t="s">
        <v>295</v>
      </c>
      <c r="D191" s="383">
        <f>Private!D52</f>
        <v>41.73264855898362</v>
      </c>
      <c r="E191" s="383">
        <f>Private!E52</f>
        <v>43.419204917201426</v>
      </c>
      <c r="F191" s="383">
        <f>Private!F52</f>
        <v>45.173920676934912</v>
      </c>
      <c r="G191" s="383">
        <f>Private!G52</f>
        <v>46.999550388301742</v>
      </c>
      <c r="H191" s="383">
        <f>Private!H52</f>
        <v>0</v>
      </c>
      <c r="I191" s="383">
        <f>Private!I52</f>
        <v>0</v>
      </c>
      <c r="J191" s="383">
        <f>Private!J52</f>
        <v>0</v>
      </c>
      <c r="K191" s="383">
        <f>Private!K52</f>
        <v>0</v>
      </c>
      <c r="L191" s="383">
        <f>Private!L52</f>
        <v>0</v>
      </c>
      <c r="M191" s="383">
        <f>Private!M52</f>
        <v>0</v>
      </c>
      <c r="N191" s="383">
        <f>Private!N52</f>
        <v>0</v>
      </c>
      <c r="O191" s="383">
        <f>Private!O52</f>
        <v>0</v>
      </c>
      <c r="P191" s="383">
        <f>Private!P52</f>
        <v>0</v>
      </c>
      <c r="Q191" s="383">
        <f>Private!Q52</f>
        <v>0</v>
      </c>
      <c r="R191" s="383">
        <f>Private!R52</f>
        <v>0</v>
      </c>
      <c r="S191" s="383">
        <f>Private!S52</f>
        <v>0</v>
      </c>
      <c r="T191" s="383">
        <f>Private!T52</f>
        <v>0</v>
      </c>
      <c r="U191" s="383">
        <f>Private!U52</f>
        <v>0</v>
      </c>
      <c r="V191" s="383">
        <f>Private!V52</f>
        <v>0</v>
      </c>
      <c r="W191" s="383">
        <f>Private!W52</f>
        <v>0</v>
      </c>
      <c r="X191" s="383">
        <f>Private!X52</f>
        <v>0</v>
      </c>
      <c r="Y191" s="383">
        <f>Private!Y52</f>
        <v>0</v>
      </c>
      <c r="Z191" s="383">
        <f>Private!Z52</f>
        <v>0</v>
      </c>
      <c r="AA191" s="383">
        <f>Private!AA52</f>
        <v>0</v>
      </c>
      <c r="AB191" s="383">
        <f>Private!AB52</f>
        <v>0</v>
      </c>
      <c r="AC191" s="383">
        <f>Private!AC52</f>
        <v>0</v>
      </c>
      <c r="AD191" s="383">
        <f>Private!AD52</f>
        <v>0</v>
      </c>
      <c r="AE191" s="383">
        <f>Private!AE52</f>
        <v>0</v>
      </c>
      <c r="AF191" s="383">
        <f>Private!AF52</f>
        <v>0</v>
      </c>
      <c r="AG191" s="383">
        <f>Private!AG52</f>
        <v>0</v>
      </c>
      <c r="AH191" s="383">
        <f>Private!AH52</f>
        <v>0</v>
      </c>
      <c r="AI191" s="383">
        <f>Private!AI52</f>
        <v>0</v>
      </c>
      <c r="AJ191" s="383">
        <f>Private!AJ52</f>
        <v>0</v>
      </c>
      <c r="AK191" s="383">
        <f>'400 West'!AK52</f>
        <v>0</v>
      </c>
      <c r="AL191" s="383">
        <f>'400 West'!AL52</f>
        <v>0</v>
      </c>
    </row>
    <row r="192" spans="1:38">
      <c r="B192" s="753" t="s">
        <v>716</v>
      </c>
      <c r="C192" s="358" t="s">
        <v>295</v>
      </c>
      <c r="D192" s="383">
        <f>Private!D53</f>
        <v>0.49274940843442727</v>
      </c>
      <c r="E192" s="383">
        <f>Private!E53</f>
        <v>0.5126630654032287</v>
      </c>
      <c r="F192" s="383">
        <f>Private!F53</f>
        <v>0.53338150006852902</v>
      </c>
      <c r="G192" s="383">
        <f>Private!G53</f>
        <v>0.55493723619739921</v>
      </c>
      <c r="H192" s="383">
        <f>Private!H53</f>
        <v>0</v>
      </c>
      <c r="I192" s="383">
        <f>Private!I53</f>
        <v>0</v>
      </c>
      <c r="J192" s="383">
        <f>Private!J53</f>
        <v>0</v>
      </c>
      <c r="K192" s="383">
        <f>Private!K53</f>
        <v>0</v>
      </c>
      <c r="L192" s="383">
        <f>Private!L53</f>
        <v>0</v>
      </c>
      <c r="M192" s="383">
        <f>Private!M53</f>
        <v>0</v>
      </c>
      <c r="N192" s="383">
        <f>Private!N53</f>
        <v>0</v>
      </c>
      <c r="O192" s="383">
        <f>Private!O53</f>
        <v>0</v>
      </c>
      <c r="P192" s="383">
        <f>Private!P53</f>
        <v>0</v>
      </c>
      <c r="Q192" s="383">
        <f>Private!Q53</f>
        <v>0</v>
      </c>
      <c r="R192" s="383">
        <f>Private!R53</f>
        <v>0</v>
      </c>
      <c r="S192" s="383">
        <f>Private!S53</f>
        <v>0</v>
      </c>
      <c r="T192" s="383">
        <f>Private!T53</f>
        <v>0</v>
      </c>
      <c r="U192" s="383">
        <f>Private!U53</f>
        <v>0</v>
      </c>
      <c r="V192" s="383">
        <f>Private!V53</f>
        <v>0</v>
      </c>
      <c r="W192" s="383">
        <f>Private!W53</f>
        <v>0</v>
      </c>
      <c r="X192" s="383">
        <f>Private!X53</f>
        <v>0</v>
      </c>
      <c r="Y192" s="383">
        <f>Private!Y53</f>
        <v>0</v>
      </c>
      <c r="Z192" s="383">
        <f>Private!Z53</f>
        <v>0</v>
      </c>
      <c r="AA192" s="383">
        <f>Private!AA53</f>
        <v>0</v>
      </c>
      <c r="AB192" s="383">
        <f>Private!AB53</f>
        <v>0</v>
      </c>
      <c r="AC192" s="383">
        <f>Private!AC53</f>
        <v>0</v>
      </c>
      <c r="AD192" s="383">
        <f>Private!AD53</f>
        <v>0</v>
      </c>
      <c r="AE192" s="383">
        <f>Private!AE53</f>
        <v>0</v>
      </c>
      <c r="AF192" s="383">
        <f>Private!AF53</f>
        <v>0</v>
      </c>
      <c r="AG192" s="383">
        <f>Private!AG53</f>
        <v>0</v>
      </c>
      <c r="AH192" s="383">
        <f>Private!AH53</f>
        <v>0</v>
      </c>
      <c r="AI192" s="383">
        <f>Private!AI53</f>
        <v>0</v>
      </c>
      <c r="AJ192" s="383">
        <f>Private!AJ53</f>
        <v>0</v>
      </c>
      <c r="AK192" s="383">
        <f>'400 West'!AK53</f>
        <v>0</v>
      </c>
      <c r="AL192" s="383">
        <f>'400 West'!AL53</f>
        <v>0</v>
      </c>
    </row>
    <row r="193" spans="1:38">
      <c r="D193" s="358"/>
      <c r="F193" s="464"/>
      <c r="G193" s="465"/>
      <c r="H193" s="465"/>
    </row>
    <row r="194" spans="1:38">
      <c r="B194" s="358" t="s">
        <v>208</v>
      </c>
      <c r="C194" s="362" t="s">
        <v>292</v>
      </c>
      <c r="D194" s="485">
        <f>SUMPRODUCT(D191:D192,D$150:D$151)</f>
        <v>89.180307059686115</v>
      </c>
      <c r="E194" s="485">
        <f t="shared" ref="E194:AK194" si="91">SUMPRODUCT(E191:E192,E$150:E$151)</f>
        <v>93.033409996358372</v>
      </c>
      <c r="F194" s="485">
        <f t="shared" si="91"/>
        <v>96.531866857763234</v>
      </c>
      <c r="G194" s="485">
        <f t="shared" si="91"/>
        <v>99.039462546034542</v>
      </c>
      <c r="H194" s="485">
        <f t="shared" si="91"/>
        <v>0</v>
      </c>
      <c r="I194" s="485">
        <f t="shared" si="91"/>
        <v>0</v>
      </c>
      <c r="J194" s="485">
        <f t="shared" si="91"/>
        <v>0</v>
      </c>
      <c r="K194" s="485">
        <f t="shared" si="91"/>
        <v>0</v>
      </c>
      <c r="L194" s="485">
        <f t="shared" si="91"/>
        <v>0</v>
      </c>
      <c r="M194" s="485">
        <f t="shared" si="91"/>
        <v>0</v>
      </c>
      <c r="N194" s="485">
        <f t="shared" si="91"/>
        <v>0</v>
      </c>
      <c r="O194" s="485">
        <f t="shared" si="91"/>
        <v>0</v>
      </c>
      <c r="P194" s="485">
        <f t="shared" si="91"/>
        <v>0</v>
      </c>
      <c r="Q194" s="485">
        <f t="shared" si="91"/>
        <v>0</v>
      </c>
      <c r="R194" s="485">
        <f t="shared" si="91"/>
        <v>0</v>
      </c>
      <c r="S194" s="485">
        <f t="shared" si="91"/>
        <v>0</v>
      </c>
      <c r="T194" s="485">
        <f t="shared" si="91"/>
        <v>0</v>
      </c>
      <c r="U194" s="485">
        <f t="shared" si="91"/>
        <v>0</v>
      </c>
      <c r="V194" s="485">
        <f t="shared" si="91"/>
        <v>0</v>
      </c>
      <c r="W194" s="485">
        <f t="shared" si="91"/>
        <v>0</v>
      </c>
      <c r="X194" s="485">
        <f t="shared" si="91"/>
        <v>0</v>
      </c>
      <c r="Y194" s="485">
        <f t="shared" si="91"/>
        <v>0</v>
      </c>
      <c r="Z194" s="485">
        <f t="shared" si="91"/>
        <v>0</v>
      </c>
      <c r="AA194" s="485">
        <f t="shared" si="91"/>
        <v>0</v>
      </c>
      <c r="AB194" s="485">
        <f t="shared" si="91"/>
        <v>0</v>
      </c>
      <c r="AC194" s="485">
        <f t="shared" si="91"/>
        <v>0</v>
      </c>
      <c r="AD194" s="485">
        <f t="shared" si="91"/>
        <v>0</v>
      </c>
      <c r="AE194" s="485">
        <f t="shared" si="91"/>
        <v>0</v>
      </c>
      <c r="AF194" s="485">
        <f t="shared" si="91"/>
        <v>0</v>
      </c>
      <c r="AG194" s="485">
        <f t="shared" si="91"/>
        <v>0</v>
      </c>
      <c r="AH194" s="485">
        <f t="shared" si="91"/>
        <v>0</v>
      </c>
      <c r="AI194" s="485">
        <f t="shared" si="91"/>
        <v>0</v>
      </c>
      <c r="AJ194" s="485">
        <f t="shared" si="91"/>
        <v>0</v>
      </c>
      <c r="AK194" s="485">
        <f t="shared" si="91"/>
        <v>0</v>
      </c>
      <c r="AL194" s="485">
        <f t="shared" ref="AL194" si="92">SUMPRODUCT(AL191:AL192,AL$150:AL$151)</f>
        <v>0</v>
      </c>
    </row>
    <row r="196" spans="1:38" ht="13">
      <c r="B196" s="364" t="s">
        <v>520</v>
      </c>
      <c r="C196" s="387" t="s">
        <v>292</v>
      </c>
      <c r="D196" s="488">
        <f>D189+D194</f>
        <v>132.42130481464716</v>
      </c>
      <c r="E196" s="488">
        <f t="shared" ref="E196:AK196" si="93">E189+E194</f>
        <v>138.02192156166953</v>
      </c>
      <c r="F196" s="488">
        <f t="shared" si="93"/>
        <v>143.3385151301178</v>
      </c>
      <c r="G196" s="488">
        <f t="shared" si="93"/>
        <v>147.73772453034965</v>
      </c>
      <c r="H196" s="488">
        <f t="shared" si="93"/>
        <v>0</v>
      </c>
      <c r="I196" s="488">
        <f t="shared" si="93"/>
        <v>0</v>
      </c>
      <c r="J196" s="488">
        <f t="shared" si="93"/>
        <v>0</v>
      </c>
      <c r="K196" s="488">
        <f t="shared" si="93"/>
        <v>0</v>
      </c>
      <c r="L196" s="488">
        <f t="shared" si="93"/>
        <v>0</v>
      </c>
      <c r="M196" s="488">
        <f t="shared" si="93"/>
        <v>0</v>
      </c>
      <c r="N196" s="488">
        <f t="shared" si="93"/>
        <v>0</v>
      </c>
      <c r="O196" s="488">
        <f t="shared" si="93"/>
        <v>0</v>
      </c>
      <c r="P196" s="488">
        <f t="shared" si="93"/>
        <v>0</v>
      </c>
      <c r="Q196" s="488">
        <f t="shared" si="93"/>
        <v>0</v>
      </c>
      <c r="R196" s="488">
        <f t="shared" si="93"/>
        <v>0</v>
      </c>
      <c r="S196" s="488">
        <f t="shared" si="93"/>
        <v>0</v>
      </c>
      <c r="T196" s="488">
        <f t="shared" si="93"/>
        <v>0</v>
      </c>
      <c r="U196" s="488">
        <f t="shared" si="93"/>
        <v>0</v>
      </c>
      <c r="V196" s="488">
        <f t="shared" si="93"/>
        <v>0</v>
      </c>
      <c r="W196" s="488">
        <f t="shared" si="93"/>
        <v>0</v>
      </c>
      <c r="X196" s="488">
        <f t="shared" si="93"/>
        <v>0</v>
      </c>
      <c r="Y196" s="488">
        <f t="shared" si="93"/>
        <v>0</v>
      </c>
      <c r="Z196" s="488">
        <f t="shared" si="93"/>
        <v>0</v>
      </c>
      <c r="AA196" s="488">
        <f t="shared" si="93"/>
        <v>0</v>
      </c>
      <c r="AB196" s="488">
        <f t="shared" si="93"/>
        <v>0</v>
      </c>
      <c r="AC196" s="488">
        <f t="shared" si="93"/>
        <v>0</v>
      </c>
      <c r="AD196" s="488">
        <f t="shared" si="93"/>
        <v>0</v>
      </c>
      <c r="AE196" s="488">
        <f t="shared" si="93"/>
        <v>0</v>
      </c>
      <c r="AF196" s="488">
        <f t="shared" si="93"/>
        <v>0</v>
      </c>
      <c r="AG196" s="488">
        <f t="shared" si="93"/>
        <v>0</v>
      </c>
      <c r="AH196" s="488">
        <f t="shared" si="93"/>
        <v>0</v>
      </c>
      <c r="AI196" s="488">
        <f t="shared" si="93"/>
        <v>0</v>
      </c>
      <c r="AJ196" s="488">
        <f t="shared" si="93"/>
        <v>0</v>
      </c>
      <c r="AK196" s="488">
        <f t="shared" si="93"/>
        <v>0</v>
      </c>
      <c r="AL196" s="488">
        <f t="shared" ref="AL196" si="94">AL189+AL194</f>
        <v>0</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5">E172-E191</f>
        <v>0</v>
      </c>
      <c r="F200" s="383">
        <f t="shared" si="95"/>
        <v>0</v>
      </c>
      <c r="G200" s="383">
        <f t="shared" si="95"/>
        <v>0</v>
      </c>
      <c r="H200" s="383">
        <f t="shared" si="95"/>
        <v>48.898959922032489</v>
      </c>
      <c r="I200" s="383">
        <f t="shared" si="95"/>
        <v>50.875130968310081</v>
      </c>
      <c r="J200" s="383">
        <f t="shared" si="95"/>
        <v>52.931165717422473</v>
      </c>
      <c r="K200" s="383">
        <f t="shared" si="95"/>
        <v>55.070291729576383</v>
      </c>
      <c r="L200" s="383">
        <f t="shared" si="95"/>
        <v>57.295867001516115</v>
      </c>
      <c r="M200" s="383">
        <f t="shared" si="95"/>
        <v>59.611385237901978</v>
      </c>
      <c r="N200" s="383">
        <f t="shared" si="95"/>
        <v>62.02048133572228</v>
      </c>
      <c r="O200" s="383">
        <f t="shared" si="95"/>
        <v>64.526937090349278</v>
      </c>
      <c r="P200" s="383">
        <f t="shared" si="95"/>
        <v>67.134687132195623</v>
      </c>
      <c r="Q200" s="383">
        <f t="shared" si="95"/>
        <v>69.847825103291228</v>
      </c>
      <c r="R200" s="383">
        <f t="shared" si="95"/>
        <v>72.670610083476276</v>
      </c>
      <c r="S200" s="383">
        <f t="shared" si="95"/>
        <v>75.607473276298251</v>
      </c>
      <c r="T200" s="383">
        <f t="shared" si="95"/>
        <v>78.663024965108406</v>
      </c>
      <c r="U200" s="383">
        <f t="shared" si="95"/>
        <v>81.842061750277608</v>
      </c>
      <c r="V200" s="383">
        <f t="shared" si="95"/>
        <v>85.149574078892357</v>
      </c>
      <c r="W200" s="383">
        <f t="shared" si="95"/>
        <v>88.590754078750734</v>
      </c>
      <c r="X200" s="383">
        <f t="shared" si="95"/>
        <v>92.171003708956931</v>
      </c>
      <c r="Y200" s="383">
        <f t="shared" si="95"/>
        <v>95.895943239908291</v>
      </c>
      <c r="Z200" s="383">
        <f t="shared" si="95"/>
        <v>99.771420075987123</v>
      </c>
      <c r="AA200" s="383">
        <f t="shared" si="95"/>
        <v>103.80351793480739</v>
      </c>
      <c r="AB200" s="383">
        <f t="shared" si="95"/>
        <v>107.99856639742488</v>
      </c>
      <c r="AC200" s="383">
        <f t="shared" si="95"/>
        <v>112.36315084450464</v>
      </c>
      <c r="AD200" s="383">
        <f t="shared" si="95"/>
        <v>116.90412279404057</v>
      </c>
      <c r="AE200" s="383">
        <f t="shared" si="95"/>
        <v>121.62861065685843</v>
      </c>
      <c r="AF200" s="383">
        <f t="shared" si="95"/>
        <v>126.5440309267843</v>
      </c>
      <c r="AG200" s="383">
        <f t="shared" si="95"/>
        <v>131.65809982304506</v>
      </c>
      <c r="AH200" s="383">
        <f t="shared" si="95"/>
        <v>136.97884540317742</v>
      </c>
      <c r="AI200" s="383">
        <f t="shared" si="95"/>
        <v>142.51462016546074</v>
      </c>
      <c r="AJ200" s="383">
        <f t="shared" si="95"/>
        <v>148.27411416065581</v>
      </c>
      <c r="AK200" s="383">
        <f t="shared" si="95"/>
        <v>154.26636863363322</v>
      </c>
      <c r="AL200" s="383">
        <f t="shared" ref="AL200" si="96">AL172-AL191</f>
        <v>160.50079021630594</v>
      </c>
    </row>
    <row r="201" spans="1:38" ht="13">
      <c r="B201" s="364" t="s">
        <v>820</v>
      </c>
      <c r="C201" s="387" t="s">
        <v>295</v>
      </c>
      <c r="D201" s="383">
        <f>D173-D192</f>
        <v>0</v>
      </c>
      <c r="E201" s="383">
        <f t="shared" si="95"/>
        <v>0</v>
      </c>
      <c r="F201" s="383">
        <f t="shared" si="95"/>
        <v>0</v>
      </c>
      <c r="G201" s="383">
        <f t="shared" si="95"/>
        <v>0</v>
      </c>
      <c r="H201" s="383">
        <f t="shared" si="95"/>
        <v>0.57736411195146764</v>
      </c>
      <c r="I201" s="383">
        <f t="shared" si="95"/>
        <v>0.60069733300601569</v>
      </c>
      <c r="J201" s="383">
        <f t="shared" si="95"/>
        <v>0.62497352781579052</v>
      </c>
      <c r="K201" s="383">
        <f t="shared" si="95"/>
        <v>0.65023080511430109</v>
      </c>
      <c r="L201" s="383">
        <f t="shared" si="95"/>
        <v>0.67650881373684557</v>
      </c>
      <c r="M201" s="383">
        <f t="shared" si="95"/>
        <v>0.70384880486119628</v>
      </c>
      <c r="N201" s="383">
        <f t="shared" si="95"/>
        <v>0.73229369676363243</v>
      </c>
      <c r="O201" s="383">
        <f t="shared" si="95"/>
        <v>0.76188814219198653</v>
      </c>
      <c r="P201" s="383">
        <f t="shared" si="95"/>
        <v>0.79267859846145872</v>
      </c>
      <c r="Q201" s="383">
        <f t="shared" si="95"/>
        <v>0.82471340038323981</v>
      </c>
      <c r="R201" s="383">
        <f t="shared" si="95"/>
        <v>0.85804283614042343</v>
      </c>
      <c r="S201" s="383">
        <f t="shared" si="95"/>
        <v>0.89271922623031996</v>
      </c>
      <c r="T201" s="383">
        <f t="shared" si="95"/>
        <v>0.92879700559709111</v>
      </c>
      <c r="U201" s="383">
        <f t="shared" si="95"/>
        <v>0.96633280908364472</v>
      </c>
      <c r="V201" s="383">
        <f t="shared" si="95"/>
        <v>1.0053855603369235</v>
      </c>
      <c r="W201" s="383">
        <f t="shared" si="95"/>
        <v>1.0460165643061548</v>
      </c>
      <c r="X201" s="383">
        <f t="shared" si="95"/>
        <v>1.0882896034792682</v>
      </c>
      <c r="Y201" s="383">
        <f t="shared" si="95"/>
        <v>1.1322710380085457</v>
      </c>
      <c r="Z201" s="383">
        <f t="shared" si="95"/>
        <v>1.1780299098826887</v>
      </c>
      <c r="AA201" s="383">
        <f t="shared" si="95"/>
        <v>1.2256380513088265</v>
      </c>
      <c r="AB201" s="383">
        <f t="shared" si="95"/>
        <v>1.2751701974746026</v>
      </c>
      <c r="AC201" s="383">
        <f t="shared" si="95"/>
        <v>1.3267041038673635</v>
      </c>
      <c r="AD201" s="383">
        <f t="shared" si="95"/>
        <v>1.3803206683345972</v>
      </c>
      <c r="AE201" s="383">
        <f t="shared" si="95"/>
        <v>1.4361040580772546</v>
      </c>
      <c r="AF201" s="383">
        <f t="shared" si="95"/>
        <v>1.4941418417752936</v>
      </c>
      <c r="AG201" s="383">
        <f t="shared" si="95"/>
        <v>1.5545251270528564</v>
      </c>
      <c r="AH201" s="383">
        <f t="shared" si="95"/>
        <v>1.6173487034988796</v>
      </c>
      <c r="AI201" s="383">
        <f t="shared" si="95"/>
        <v>1.6827111914676463</v>
      </c>
      <c r="AJ201" s="383">
        <f t="shared" si="95"/>
        <v>1.7507151968928685</v>
      </c>
      <c r="AK201" s="383">
        <f t="shared" si="95"/>
        <v>1.8214674723583217</v>
      </c>
      <c r="AL201" s="383">
        <f t="shared" ref="AL201" si="97">AL173-AL192</f>
        <v>1.8950790846778931</v>
      </c>
    </row>
    <row r="202" spans="1:38" ht="13">
      <c r="B202" s="364" t="s">
        <v>821</v>
      </c>
      <c r="C202" s="387" t="s">
        <v>479</v>
      </c>
      <c r="D202" s="383">
        <f>SUM(D166:D168)-SUM(D185:D187)</f>
        <v>0</v>
      </c>
      <c r="E202" s="383">
        <f t="shared" ref="E202:AE202" si="98">SUM(E166:E168)-SUM(E185:E187)</f>
        <v>0</v>
      </c>
      <c r="F202" s="383">
        <f t="shared" si="98"/>
        <v>0</v>
      </c>
      <c r="G202" s="383">
        <f t="shared" si="98"/>
        <v>0</v>
      </c>
      <c r="H202" s="383">
        <f t="shared" si="98"/>
        <v>4.7426337767441984</v>
      </c>
      <c r="I202" s="383">
        <f t="shared" si="98"/>
        <v>4.9342995211208427</v>
      </c>
      <c r="J202" s="383">
        <f t="shared" si="98"/>
        <v>5.1337111213439934</v>
      </c>
      <c r="K202" s="383">
        <f t="shared" si="98"/>
        <v>5.3411816134389012</v>
      </c>
      <c r="L202" s="383">
        <f t="shared" si="98"/>
        <v>5.5570366842669454</v>
      </c>
      <c r="M202" s="383">
        <f t="shared" si="98"/>
        <v>5.7816151827883981</v>
      </c>
      <c r="N202" s="383">
        <f t="shared" si="98"/>
        <v>6.0152696519869799</v>
      </c>
      <c r="O202" s="383">
        <f t="shared" si="98"/>
        <v>6.258366882291317</v>
      </c>
      <c r="P202" s="383">
        <f t="shared" si="98"/>
        <v>6.5112884873619814</v>
      </c>
      <c r="Q202" s="383">
        <f t="shared" si="98"/>
        <v>6.7744315031480413</v>
      </c>
      <c r="R202" s="383">
        <f t="shared" si="98"/>
        <v>7.0482090111534763</v>
      </c>
      <c r="S202" s="383">
        <f t="shared" si="98"/>
        <v>7.3330507868919126</v>
      </c>
      <c r="T202" s="383">
        <f t="shared" si="98"/>
        <v>7.6294039745475342</v>
      </c>
      <c r="U202" s="383">
        <f t="shared" si="98"/>
        <v>7.937733788901367</v>
      </c>
      <c r="V202" s="383">
        <f t="shared" si="98"/>
        <v>8.258524245624729</v>
      </c>
      <c r="W202" s="383">
        <f t="shared" si="98"/>
        <v>8.5922789210862707</v>
      </c>
      <c r="X202" s="383">
        <f t="shared" si="98"/>
        <v>8.9395217428654146</v>
      </c>
      <c r="Y202" s="383">
        <f t="shared" si="98"/>
        <v>9.3007978122130535</v>
      </c>
      <c r="Z202" s="383">
        <f t="shared" si="98"/>
        <v>9.6766742597506568</v>
      </c>
      <c r="AA202" s="383">
        <f t="shared" si="98"/>
        <v>10.067741135751074</v>
      </c>
      <c r="AB202" s="383">
        <f t="shared" si="98"/>
        <v>10.474612336398518</v>
      </c>
      <c r="AC202" s="383">
        <f t="shared" si="98"/>
        <v>10.897926567481912</v>
      </c>
      <c r="AD202" s="383">
        <f t="shared" si="98"/>
        <v>11.338348347034191</v>
      </c>
      <c r="AE202" s="383">
        <f t="shared" si="98"/>
        <v>11.796569048491733</v>
      </c>
      <c r="AF202" s="383">
        <f t="shared" ref="AF202:AJ202" si="99">SUM(AF166:AF168)-SUM(AF185:AF187)</f>
        <v>12.273307986011339</v>
      </c>
      <c r="AG202" s="383">
        <f t="shared" si="99"/>
        <v>12.769313543648463</v>
      </c>
      <c r="AH202" s="383">
        <f t="shared" si="99"/>
        <v>13.285364350169367</v>
      </c>
      <c r="AI202" s="383">
        <f t="shared" si="99"/>
        <v>13.82227050134138</v>
      </c>
      <c r="AJ202" s="383">
        <f t="shared" si="99"/>
        <v>14.380874831619987</v>
      </c>
      <c r="AK202" s="383">
        <f t="shared" ref="AK202:AL202" si="100">SUM(AK166:AK168)-SUM(AK185:AK187)</f>
        <v>14.96205423722907</v>
      </c>
      <c r="AL202" s="383">
        <f t="shared" si="100"/>
        <v>15.566721052711262</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101">D177-D196</f>
        <v>0</v>
      </c>
      <c r="E204" s="488">
        <f t="shared" si="101"/>
        <v>0</v>
      </c>
      <c r="F204" s="488">
        <f t="shared" si="101"/>
        <v>0</v>
      </c>
      <c r="G204" s="488">
        <f t="shared" si="101"/>
        <v>0</v>
      </c>
      <c r="H204" s="488">
        <f t="shared" si="101"/>
        <v>155.34203522252085</v>
      </c>
      <c r="I204" s="488">
        <f t="shared" si="101"/>
        <v>162.9607249061817</v>
      </c>
      <c r="J204" s="488">
        <f t="shared" si="101"/>
        <v>171.43570019755663</v>
      </c>
      <c r="K204" s="488">
        <f t="shared" si="101"/>
        <v>179.32222579661175</v>
      </c>
      <c r="L204" s="488">
        <f t="shared" si="101"/>
        <v>188.80344080716992</v>
      </c>
      <c r="M204" s="488">
        <f t="shared" si="101"/>
        <v>201.68796444748409</v>
      </c>
      <c r="N204" s="488">
        <f t="shared" si="101"/>
        <v>211.25911594360582</v>
      </c>
      <c r="O204" s="488">
        <f t="shared" si="101"/>
        <v>221.60778629002868</v>
      </c>
      <c r="P204" s="488">
        <f t="shared" si="101"/>
        <v>234.18106732878402</v>
      </c>
      <c r="Q204" s="488">
        <f t="shared" si="101"/>
        <v>247.08013792190133</v>
      </c>
      <c r="R204" s="488">
        <f t="shared" si="101"/>
        <v>259.50511650150844</v>
      </c>
      <c r="S204" s="488">
        <f t="shared" si="101"/>
        <v>272.88150992073645</v>
      </c>
      <c r="T204" s="488">
        <f t="shared" si="101"/>
        <v>284.85059313280721</v>
      </c>
      <c r="U204" s="488">
        <f t="shared" si="101"/>
        <v>299.27655585844388</v>
      </c>
      <c r="V204" s="488">
        <f t="shared" si="101"/>
        <v>315.059932599771</v>
      </c>
      <c r="W204" s="488">
        <f t="shared" si="101"/>
        <v>328.96484377204985</v>
      </c>
      <c r="X204" s="488">
        <f t="shared" si="101"/>
        <v>344.52651950156593</v>
      </c>
      <c r="Y204" s="488">
        <f t="shared" si="101"/>
        <v>363.31742325937512</v>
      </c>
      <c r="Z204" s="488">
        <f t="shared" si="101"/>
        <v>380.80304863291042</v>
      </c>
      <c r="AA204" s="488">
        <f t="shared" si="101"/>
        <v>399.05363659139977</v>
      </c>
      <c r="AB204" s="488">
        <f t="shared" si="101"/>
        <v>419.93948186028604</v>
      </c>
      <c r="AC204" s="488">
        <f t="shared" si="101"/>
        <v>438.28710287538752</v>
      </c>
      <c r="AD204" s="488">
        <f t="shared" si="101"/>
        <v>462.90724153607249</v>
      </c>
      <c r="AE204" s="488">
        <f t="shared" si="101"/>
        <v>486.55778368489104</v>
      </c>
      <c r="AF204" s="488">
        <f t="shared" si="101"/>
        <v>510.19558014344875</v>
      </c>
      <c r="AG204" s="488">
        <f t="shared" si="101"/>
        <v>534.37971455310151</v>
      </c>
      <c r="AH204" s="488">
        <f t="shared" si="101"/>
        <v>560.23786466207684</v>
      </c>
      <c r="AI204" s="488">
        <f t="shared" si="101"/>
        <v>587.34318921493775</v>
      </c>
      <c r="AJ204" s="488">
        <f t="shared" si="101"/>
        <v>615.75576321552614</v>
      </c>
      <c r="AK204" s="488">
        <f t="shared" si="101"/>
        <v>645.53855518829869</v>
      </c>
      <c r="AL204" s="488">
        <f t="shared" ref="AL204" si="102">AL177-AL196</f>
        <v>676.75756663573429</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4" tint="0.39997558519241921"/>
  </sheetPr>
  <dimension ref="A1:AL72"/>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6" width="6.33203125" style="398" bestFit="1" customWidth="1"/>
    <col min="37" max="38" width="6" style="398"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Inputs'!G24</f>
        <v>254402J</v>
      </c>
      <c r="E4" s="410"/>
    </row>
    <row r="5" spans="1:38">
      <c r="B5" s="358" t="s">
        <v>628</v>
      </c>
      <c r="C5" s="399" t="s">
        <v>629</v>
      </c>
      <c r="D5" s="439" t="str">
        <f>'Crossing Inputs'!G26</f>
        <v>Urban</v>
      </c>
      <c r="E5" s="398">
        <f>SUMIFS('Accidents Methodology'!$C$22:$C$23,'Accidents Methodology'!$B$22:$B$23,$D5)</f>
        <v>1</v>
      </c>
    </row>
    <row r="6" spans="1:38">
      <c r="B6" s="358" t="s">
        <v>615</v>
      </c>
      <c r="C6" s="399" t="s">
        <v>150</v>
      </c>
      <c r="D6" s="439" t="str">
        <f>'Crossing Inputs'!G27</f>
        <v>Passive</v>
      </c>
      <c r="E6" s="398">
        <f>SUMIFS('Accidents Methodology'!$C$3:$C$5,'Accidents Methodology'!$B$3:$B$5,$D6)</f>
        <v>2.2680000000000001E-3</v>
      </c>
    </row>
    <row r="7" spans="1:38">
      <c r="B7" s="358" t="s">
        <v>630</v>
      </c>
      <c r="C7" s="399" t="s">
        <v>631</v>
      </c>
      <c r="D7" s="439" t="str">
        <f>'Crossing Inputs'!G29</f>
        <v>No</v>
      </c>
      <c r="E7" s="398">
        <f>SUMIFS('Accidents Methodology'!$C$26:$C$27,'Accidents Methodology'!$B$26:$B$27,$D7)</f>
        <v>2</v>
      </c>
    </row>
    <row r="8" spans="1:38">
      <c r="B8" s="358" t="s">
        <v>632</v>
      </c>
      <c r="C8" s="399" t="s">
        <v>633</v>
      </c>
      <c r="D8" s="439" t="str">
        <f>'Crossing Inputs'!$G$26&amp;" - "&amp;'Crossing Inputs'!$G$28</f>
        <v>Urban - Local</v>
      </c>
      <c r="E8" s="398">
        <f>SUMIFS('Accidents Methodology'!$C$8:$C$19,'Accidents Methodology'!$B$8:$B$19,$D8)</f>
        <v>6</v>
      </c>
    </row>
    <row r="9" spans="1:38">
      <c r="B9" s="358" t="s">
        <v>607</v>
      </c>
      <c r="C9" s="399" t="s">
        <v>635</v>
      </c>
      <c r="D9" s="439">
        <f>'Crossing Inputs'!G30</f>
        <v>0</v>
      </c>
    </row>
    <row r="10" spans="1:38">
      <c r="B10" s="358" t="s">
        <v>636</v>
      </c>
      <c r="C10" s="399" t="s">
        <v>637</v>
      </c>
      <c r="D10" s="439">
        <f>'Crossing Inputs'!G35</f>
        <v>2</v>
      </c>
    </row>
    <row r="11" spans="1:38">
      <c r="B11" s="358" t="s">
        <v>610</v>
      </c>
      <c r="C11" s="399" t="s">
        <v>638</v>
      </c>
      <c r="D11" s="439">
        <f>'Crossing Inputs'!G31</f>
        <v>1</v>
      </c>
    </row>
    <row r="12" spans="1:38">
      <c r="C12" s="399"/>
    </row>
    <row r="13" spans="1:38" ht="13">
      <c r="C13" s="399"/>
      <c r="D13" s="440">
        <f>D$1</f>
        <v>2021</v>
      </c>
      <c r="E13" s="440">
        <f t="shared" ref="E13:AL13" si="0">E$1</f>
        <v>2022</v>
      </c>
      <c r="F13" s="440">
        <f t="shared" si="0"/>
        <v>2023</v>
      </c>
      <c r="G13" s="440">
        <f t="shared" si="0"/>
        <v>2024</v>
      </c>
      <c r="H13" s="440">
        <f t="shared" si="0"/>
        <v>2025</v>
      </c>
      <c r="I13" s="440">
        <f t="shared" si="0"/>
        <v>2026</v>
      </c>
      <c r="J13" s="440">
        <f t="shared" si="0"/>
        <v>2027</v>
      </c>
      <c r="K13" s="440">
        <f t="shared" si="0"/>
        <v>2028</v>
      </c>
      <c r="L13" s="440">
        <f t="shared" si="0"/>
        <v>2029</v>
      </c>
      <c r="M13" s="440">
        <f t="shared" si="0"/>
        <v>2030</v>
      </c>
      <c r="N13" s="440">
        <f t="shared" si="0"/>
        <v>2031</v>
      </c>
      <c r="O13" s="440">
        <f t="shared" si="0"/>
        <v>2032</v>
      </c>
      <c r="P13" s="440">
        <f t="shared" si="0"/>
        <v>2033</v>
      </c>
      <c r="Q13" s="440">
        <f t="shared" si="0"/>
        <v>2034</v>
      </c>
      <c r="R13" s="440">
        <f t="shared" si="0"/>
        <v>2035</v>
      </c>
      <c r="S13" s="440">
        <f t="shared" si="0"/>
        <v>2036</v>
      </c>
      <c r="T13" s="440">
        <f t="shared" si="0"/>
        <v>2037</v>
      </c>
      <c r="U13" s="440">
        <f t="shared" si="0"/>
        <v>2038</v>
      </c>
      <c r="V13" s="440">
        <f t="shared" si="0"/>
        <v>2039</v>
      </c>
      <c r="W13" s="440">
        <f t="shared" si="0"/>
        <v>2040</v>
      </c>
      <c r="X13" s="440">
        <f t="shared" si="0"/>
        <v>2041</v>
      </c>
      <c r="Y13" s="440">
        <f t="shared" si="0"/>
        <v>2042</v>
      </c>
      <c r="Z13" s="440">
        <f t="shared" si="0"/>
        <v>2043</v>
      </c>
      <c r="AA13" s="440">
        <f t="shared" si="0"/>
        <v>2044</v>
      </c>
      <c r="AB13" s="440">
        <f t="shared" si="0"/>
        <v>2045</v>
      </c>
      <c r="AC13" s="440">
        <f t="shared" si="0"/>
        <v>2046</v>
      </c>
      <c r="AD13" s="440">
        <f t="shared" si="0"/>
        <v>2047</v>
      </c>
      <c r="AE13" s="440">
        <f t="shared" si="0"/>
        <v>2048</v>
      </c>
      <c r="AF13" s="440">
        <f t="shared" si="0"/>
        <v>2049</v>
      </c>
      <c r="AG13" s="440">
        <f t="shared" si="0"/>
        <v>2050</v>
      </c>
      <c r="AH13" s="440">
        <f t="shared" si="0"/>
        <v>2051</v>
      </c>
      <c r="AI13" s="440">
        <f t="shared" si="0"/>
        <v>2052</v>
      </c>
      <c r="AJ13" s="440">
        <f t="shared" si="0"/>
        <v>2053</v>
      </c>
      <c r="AK13" s="440">
        <f t="shared" si="0"/>
        <v>2054</v>
      </c>
      <c r="AL13" s="440">
        <f t="shared" si="0"/>
        <v>2055</v>
      </c>
    </row>
    <row r="14" spans="1:38" ht="13">
      <c r="B14" s="400" t="s">
        <v>639</v>
      </c>
      <c r="C14" s="401" t="s">
        <v>640</v>
      </c>
      <c r="D14" s="441">
        <f>Private!D6</f>
        <v>339.25840693051975</v>
      </c>
      <c r="E14" s="441">
        <f>Private!E6</f>
        <v>349.26452390041231</v>
      </c>
      <c r="F14" s="441">
        <f>Private!F6</f>
        <v>359.56576215475883</v>
      </c>
      <c r="G14" s="441">
        <f>Private!G6</f>
        <v>370.17082602639897</v>
      </c>
      <c r="H14" s="441">
        <f>Private!H6</f>
        <v>381.08867657452242</v>
      </c>
      <c r="I14" s="441">
        <f>Private!I6</f>
        <v>392.3285391565783</v>
      </c>
      <c r="J14" s="441">
        <f>Private!J6</f>
        <v>403.89991122351057</v>
      </c>
      <c r="K14" s="441">
        <f>Private!K6</f>
        <v>415.81257034490807</v>
      </c>
      <c r="L14" s="441">
        <f>Private!L6</f>
        <v>428.07658247084754</v>
      </c>
      <c r="M14" s="441">
        <f>Private!M6</f>
        <v>440.70231043741308</v>
      </c>
      <c r="N14" s="441">
        <f>Private!N6</f>
        <v>453.70042272307779</v>
      </c>
      <c r="O14" s="441">
        <f>Private!O6</f>
        <v>467.08190246334703</v>
      </c>
      <c r="P14" s="441">
        <f>Private!P6</f>
        <v>480.85805673128039</v>
      </c>
      <c r="Q14" s="441">
        <f>Private!Q6</f>
        <v>495.04052609173397</v>
      </c>
      <c r="R14" s="441">
        <f>Private!R6</f>
        <v>509.64129443739654</v>
      </c>
      <c r="S14" s="441">
        <f>Private!S6</f>
        <v>524.67269911493008</v>
      </c>
      <c r="T14" s="441">
        <f>Private!T6</f>
        <v>540.14744134977286</v>
      </c>
      <c r="U14" s="441">
        <f>Private!U6</f>
        <v>556.07859697841104</v>
      </c>
      <c r="V14" s="441">
        <f>Private!V6</f>
        <v>572.47962749718977</v>
      </c>
      <c r="W14" s="441">
        <f>Private!W6</f>
        <v>589.36439143699829</v>
      </c>
      <c r="X14" s="441">
        <f>Private!X6</f>
        <v>606.74715607344228</v>
      </c>
      <c r="Y14" s="441">
        <f>Private!Y6</f>
        <v>624.6426094823945</v>
      </c>
      <c r="Z14" s="441">
        <f>Private!Z6</f>
        <v>643.06587295111603</v>
      </c>
      <c r="AA14" s="441">
        <f>Private!AA6</f>
        <v>662.03251375542993</v>
      </c>
      <c r="AB14" s="441">
        <f>Private!AB6</f>
        <v>681.55855831374618</v>
      </c>
      <c r="AC14" s="441">
        <f>Private!AC6</f>
        <v>701.66050572905476</v>
      </c>
      <c r="AD14" s="441">
        <f>Private!AD6</f>
        <v>722.35534173032374</v>
      </c>
      <c r="AE14" s="441">
        <f>Private!AE6</f>
        <v>743.66055302508914</v>
      </c>
      <c r="AF14" s="441">
        <f>Private!AF6</f>
        <v>765.59414207536122</v>
      </c>
      <c r="AG14" s="441">
        <f>Private!AG6</f>
        <v>788.17464230933024</v>
      </c>
      <c r="AH14" s="441">
        <f>Private!AH6</f>
        <v>811.4211337817303</v>
      </c>
      <c r="AI14" s="441">
        <f>Private!AI6</f>
        <v>835.3532592960895</v>
      </c>
      <c r="AJ14" s="441">
        <f>Private!AJ6</f>
        <v>859.99124100249264</v>
      </c>
      <c r="AK14" s="441">
        <f>Private!AK6</f>
        <v>885.35589748487791</v>
      </c>
      <c r="AL14" s="441">
        <f>Private!AL6</f>
        <v>911.46866135231005</v>
      </c>
    </row>
    <row r="15" spans="1:38" ht="13">
      <c r="B15" s="400" t="s">
        <v>641</v>
      </c>
      <c r="C15" s="401" t="s">
        <v>642</v>
      </c>
      <c r="D15" s="442">
        <f>Private!D10</f>
        <v>2.021212882214602</v>
      </c>
      <c r="E15" s="442">
        <f>Private!E10</f>
        <v>2.0426507576151294</v>
      </c>
      <c r="F15" s="442">
        <f>Private!F10</f>
        <v>2.064316012578558</v>
      </c>
      <c r="G15" s="442">
        <f>Private!G10</f>
        <v>2.0862110587928311</v>
      </c>
      <c r="H15" s="442">
        <f>Private!H10</f>
        <v>2.1083383335253174</v>
      </c>
      <c r="I15" s="442">
        <f>Private!I10</f>
        <v>2.1307002998941189</v>
      </c>
      <c r="J15" s="442">
        <f>Private!J10</f>
        <v>2.1532994471422544</v>
      </c>
      <c r="K15" s="442">
        <f>Private!K10</f>
        <v>2.1761382909147526</v>
      </c>
      <c r="L15" s="442">
        <f>Private!L10</f>
        <v>2.1992193735386825</v>
      </c>
      <c r="M15" s="442">
        <f>Private!M10</f>
        <v>2.2225452643061563</v>
      </c>
      <c r="N15" s="442">
        <f>Private!N10</f>
        <v>2.2461185597603301</v>
      </c>
      <c r="O15" s="442">
        <f>Private!O10</f>
        <v>2.2699418839844441</v>
      </c>
      <c r="P15" s="442">
        <f>Private!P10</f>
        <v>2.2940178888939209</v>
      </c>
      <c r="Q15" s="442">
        <f>Private!Q10</f>
        <v>2.3183492545315696</v>
      </c>
      <c r="R15" s="442">
        <f>Private!R10</f>
        <v>2.3429386893659134</v>
      </c>
      <c r="S15" s="442">
        <f>Private!S10</f>
        <v>2.3677889305926905</v>
      </c>
      <c r="T15" s="442">
        <f>Private!T10</f>
        <v>2.392902744439541</v>
      </c>
      <c r="U15" s="442">
        <f>Private!U10</f>
        <v>2.4182829264739381</v>
      </c>
      <c r="V15" s="442">
        <f>Private!V10</f>
        <v>2.4439323019143755</v>
      </c>
      <c r="W15" s="442">
        <f>Private!W10</f>
        <v>2.4698537259448612</v>
      </c>
      <c r="X15" s="442">
        <f>Private!X10</f>
        <v>2.4960500840327433</v>
      </c>
      <c r="Y15" s="442">
        <f>Private!Y10</f>
        <v>2.5225242922499103</v>
      </c>
      <c r="Z15" s="442">
        <f>Private!Z10</f>
        <v>2.549279297597395</v>
      </c>
      <c r="AA15" s="442">
        <f>Private!AA10</f>
        <v>2.5763180783334239</v>
      </c>
      <c r="AB15" s="442">
        <f>Private!AB10</f>
        <v>2.6036436443049418</v>
      </c>
      <c r="AC15" s="442">
        <f>Private!AC10</f>
        <v>2.631259037282661</v>
      </c>
      <c r="AD15" s="442">
        <f>Private!AD10</f>
        <v>2.6591673312996531</v>
      </c>
      <c r="AE15" s="442">
        <f>Private!AE10</f>
        <v>2.6873716329935418</v>
      </c>
      <c r="AF15" s="442">
        <f>Private!AF10</f>
        <v>2.7158750819523192</v>
      </c>
      <c r="AG15" s="442">
        <f>Private!AG10</f>
        <v>2.744680851063833</v>
      </c>
      <c r="AH15" s="442">
        <f>Private!AH10</f>
        <v>2.7737921468689781</v>
      </c>
      <c r="AI15" s="442">
        <f>Private!AI10</f>
        <v>2.8032122099186383</v>
      </c>
      <c r="AJ15" s="442">
        <f>Private!AJ10</f>
        <v>2.8329443151344074</v>
      </c>
      <c r="AK15" s="442">
        <f>Private!AK10</f>
        <v>2.8629917721731437</v>
      </c>
      <c r="AL15" s="442">
        <f>Private!AL10</f>
        <v>2.8933579257953856</v>
      </c>
    </row>
    <row r="16" spans="1:38" ht="13">
      <c r="B16" s="400" t="s">
        <v>643</v>
      </c>
      <c r="C16" s="401" t="s">
        <v>644</v>
      </c>
      <c r="D16" s="442">
        <f>Private!D10</f>
        <v>2.021212882214602</v>
      </c>
      <c r="E16" s="442">
        <f>Private!E10</f>
        <v>2.0426507576151294</v>
      </c>
      <c r="F16" s="442">
        <f>Private!F10</f>
        <v>2.064316012578558</v>
      </c>
      <c r="G16" s="442">
        <f>Private!G10</f>
        <v>2.0862110587928311</v>
      </c>
      <c r="H16" s="442">
        <f>Private!H10</f>
        <v>2.1083383335253174</v>
      </c>
      <c r="I16" s="442">
        <f>Private!I10</f>
        <v>2.1307002998941189</v>
      </c>
      <c r="J16" s="442">
        <f>Private!J10</f>
        <v>2.1532994471422544</v>
      </c>
      <c r="K16" s="442">
        <f>Private!K10</f>
        <v>2.1761382909147526</v>
      </c>
      <c r="L16" s="442">
        <f>Private!L10</f>
        <v>2.1992193735386825</v>
      </c>
      <c r="M16" s="442">
        <f>Private!M10</f>
        <v>2.2225452643061563</v>
      </c>
      <c r="N16" s="442">
        <f>Private!N10</f>
        <v>2.2461185597603301</v>
      </c>
      <c r="O16" s="442">
        <f>Private!O10</f>
        <v>2.2699418839844441</v>
      </c>
      <c r="P16" s="442">
        <f>Private!P10</f>
        <v>2.2940178888939209</v>
      </c>
      <c r="Q16" s="442">
        <f>Private!Q10</f>
        <v>2.3183492545315696</v>
      </c>
      <c r="R16" s="442">
        <f>Private!R10</f>
        <v>2.3429386893659134</v>
      </c>
      <c r="S16" s="442">
        <f>Private!S10</f>
        <v>2.3677889305926905</v>
      </c>
      <c r="T16" s="442">
        <f>Private!T10</f>
        <v>2.392902744439541</v>
      </c>
      <c r="U16" s="442">
        <f>Private!U10</f>
        <v>2.4182829264739381</v>
      </c>
      <c r="V16" s="442">
        <f>Private!V10</f>
        <v>2.4439323019143755</v>
      </c>
      <c r="W16" s="442">
        <f>Private!W10</f>
        <v>2.4698537259448612</v>
      </c>
      <c r="X16" s="442">
        <f>Private!X10</f>
        <v>2.4960500840327433</v>
      </c>
      <c r="Y16" s="442">
        <f>Private!Y10</f>
        <v>2.5225242922499103</v>
      </c>
      <c r="Z16" s="442">
        <f>Private!Z10</f>
        <v>2.549279297597395</v>
      </c>
      <c r="AA16" s="442">
        <f>Private!AA10</f>
        <v>2.5763180783334239</v>
      </c>
      <c r="AB16" s="442">
        <f>Private!AB10</f>
        <v>2.6036436443049418</v>
      </c>
      <c r="AC16" s="442">
        <f>Private!AC10</f>
        <v>2.631259037282661</v>
      </c>
      <c r="AD16" s="442">
        <f>Private!AD10</f>
        <v>2.6591673312996531</v>
      </c>
      <c r="AE16" s="442">
        <f>Private!AE10</f>
        <v>2.6873716329935418</v>
      </c>
      <c r="AF16" s="442">
        <f>Private!AF10</f>
        <v>2.7158750819523192</v>
      </c>
      <c r="AG16" s="442">
        <f>Private!AG10</f>
        <v>2.744680851063833</v>
      </c>
      <c r="AH16" s="442">
        <f>Private!AH10</f>
        <v>2.7737921468689781</v>
      </c>
      <c r="AI16" s="442">
        <f>Private!AI10</f>
        <v>2.8032122099186383</v>
      </c>
      <c r="AJ16" s="442">
        <f>Private!AJ10</f>
        <v>2.8329443151344074</v>
      </c>
      <c r="AK16" s="442">
        <f>Private!AK10</f>
        <v>2.8629917721731437</v>
      </c>
      <c r="AL16" s="442">
        <f>Private!AL10</f>
        <v>2.8933579257953856</v>
      </c>
    </row>
    <row r="17" spans="2:38" ht="13">
      <c r="B17" s="400" t="s">
        <v>645</v>
      </c>
      <c r="C17" s="401" t="s">
        <v>646</v>
      </c>
      <c r="D17" s="442">
        <f>Private!D11</f>
        <v>1.010606441107301</v>
      </c>
      <c r="E17" s="442">
        <f>Private!E11</f>
        <v>1.0213253788075647</v>
      </c>
      <c r="F17" s="442">
        <f>Private!F11</f>
        <v>1.032158006289279</v>
      </c>
      <c r="G17" s="442">
        <f>Private!G11</f>
        <v>1.0431055293964155</v>
      </c>
      <c r="H17" s="442">
        <f>Private!H11</f>
        <v>1.0541691667626587</v>
      </c>
      <c r="I17" s="442">
        <f>Private!I11</f>
        <v>1.0653501499470595</v>
      </c>
      <c r="J17" s="442">
        <f>Private!J11</f>
        <v>1.0766497235711272</v>
      </c>
      <c r="K17" s="442">
        <f>Private!K11</f>
        <v>1.0880691454573763</v>
      </c>
      <c r="L17" s="442">
        <f>Private!L11</f>
        <v>1.0996096867693412</v>
      </c>
      <c r="M17" s="442">
        <f>Private!M11</f>
        <v>1.1112726321530781</v>
      </c>
      <c r="N17" s="442">
        <f>Private!N11</f>
        <v>1.1230592798801651</v>
      </c>
      <c r="O17" s="442">
        <f>Private!O11</f>
        <v>1.134970941992222</v>
      </c>
      <c r="P17" s="442">
        <f>Private!P11</f>
        <v>1.1470089444469604</v>
      </c>
      <c r="Q17" s="442">
        <f>Private!Q11</f>
        <v>1.1591746272657848</v>
      </c>
      <c r="R17" s="442">
        <f>Private!R11</f>
        <v>1.1714693446829567</v>
      </c>
      <c r="S17" s="442">
        <f>Private!S11</f>
        <v>1.1838944652963452</v>
      </c>
      <c r="T17" s="442">
        <f>Private!T11</f>
        <v>1.1964513722197705</v>
      </c>
      <c r="U17" s="442">
        <f>Private!U11</f>
        <v>1.209141463236969</v>
      </c>
      <c r="V17" s="442">
        <f>Private!V11</f>
        <v>1.2219661509571877</v>
      </c>
      <c r="W17" s="442">
        <f>Private!W11</f>
        <v>1.2349268629724306</v>
      </c>
      <c r="X17" s="442">
        <f>Private!X11</f>
        <v>1.2480250420163717</v>
      </c>
      <c r="Y17" s="442">
        <f>Private!Y11</f>
        <v>1.2612621461249551</v>
      </c>
      <c r="Z17" s="442">
        <f>Private!Z11</f>
        <v>1.2746396487986975</v>
      </c>
      <c r="AA17" s="442">
        <f>Private!AA11</f>
        <v>1.2881590391667119</v>
      </c>
      <c r="AB17" s="442">
        <f>Private!AB11</f>
        <v>1.3018218221524709</v>
      </c>
      <c r="AC17" s="442">
        <f>Private!AC11</f>
        <v>1.3156295186413305</v>
      </c>
      <c r="AD17" s="442">
        <f>Private!AD11</f>
        <v>1.3295836656498266</v>
      </c>
      <c r="AE17" s="442">
        <f>Private!AE11</f>
        <v>1.3436858164967709</v>
      </c>
      <c r="AF17" s="442">
        <f>Private!AF11</f>
        <v>1.3579375409761596</v>
      </c>
      <c r="AG17" s="442">
        <f>Private!AG11</f>
        <v>1.3723404255319165</v>
      </c>
      <c r="AH17" s="442">
        <f>Private!AH11</f>
        <v>1.3868960734344891</v>
      </c>
      <c r="AI17" s="442">
        <f>Private!AI11</f>
        <v>1.4016061049593191</v>
      </c>
      <c r="AJ17" s="442">
        <f>Private!AJ11</f>
        <v>1.4164721575672037</v>
      </c>
      <c r="AK17" s="442">
        <f>Private!AK11</f>
        <v>1.4314958860865719</v>
      </c>
      <c r="AL17" s="442">
        <f>Private!AL11</f>
        <v>1.4466789628976928</v>
      </c>
    </row>
    <row r="18" spans="2:38" ht="13">
      <c r="B18" s="400" t="s">
        <v>1048</v>
      </c>
      <c r="C18" s="401" t="s">
        <v>647</v>
      </c>
      <c r="D18" s="442">
        <v>0</v>
      </c>
      <c r="E18" s="442">
        <v>1</v>
      </c>
      <c r="F18" s="442">
        <v>2</v>
      </c>
      <c r="G18" s="442">
        <v>3</v>
      </c>
      <c r="H18" s="442">
        <v>4</v>
      </c>
      <c r="I18" s="442">
        <v>5</v>
      </c>
      <c r="J18" s="442">
        <v>6</v>
      </c>
      <c r="K18" s="442">
        <v>7</v>
      </c>
      <c r="L18" s="442">
        <v>8</v>
      </c>
      <c r="M18" s="442">
        <v>9</v>
      </c>
      <c r="N18" s="442">
        <v>10</v>
      </c>
      <c r="O18" s="442">
        <v>11</v>
      </c>
      <c r="P18" s="442">
        <v>12</v>
      </c>
      <c r="Q18" s="442">
        <v>13</v>
      </c>
      <c r="R18" s="442">
        <v>14</v>
      </c>
      <c r="S18" s="442">
        <v>15</v>
      </c>
      <c r="T18" s="442">
        <v>16</v>
      </c>
      <c r="U18" s="442">
        <v>17</v>
      </c>
      <c r="V18" s="442">
        <v>18</v>
      </c>
      <c r="W18" s="442">
        <v>19</v>
      </c>
      <c r="X18" s="442">
        <v>20</v>
      </c>
      <c r="Y18" s="442">
        <v>21</v>
      </c>
      <c r="Z18" s="442">
        <v>22</v>
      </c>
      <c r="AA18" s="442">
        <v>23</v>
      </c>
      <c r="AB18" s="442">
        <v>24</v>
      </c>
      <c r="AC18" s="442">
        <v>25</v>
      </c>
      <c r="AD18" s="442">
        <v>26</v>
      </c>
      <c r="AE18" s="442">
        <v>27</v>
      </c>
      <c r="AF18" s="442">
        <v>28</v>
      </c>
      <c r="AG18" s="442">
        <v>29</v>
      </c>
      <c r="AH18" s="442">
        <v>30</v>
      </c>
      <c r="AI18" s="442">
        <v>31</v>
      </c>
      <c r="AJ18" s="442">
        <v>32</v>
      </c>
      <c r="AK18" s="442">
        <v>33</v>
      </c>
      <c r="AL18" s="442">
        <v>33</v>
      </c>
    </row>
    <row r="19" spans="2:38" ht="13">
      <c r="B19" s="400" t="s">
        <v>648</v>
      </c>
      <c r="C19" s="401" t="s">
        <v>649</v>
      </c>
      <c r="D19" s="441">
        <f>'Crossing Inputs'!$G34</f>
        <v>7.5</v>
      </c>
      <c r="E19" s="441">
        <f>'Crossing Inputs'!$G34</f>
        <v>7.5</v>
      </c>
      <c r="F19" s="441">
        <f>'Crossing Inputs'!$G34</f>
        <v>7.5</v>
      </c>
      <c r="G19" s="441">
        <f>'Crossing Inputs'!$G34</f>
        <v>7.5</v>
      </c>
      <c r="H19" s="441">
        <f>'Crossing Inputs'!$G34</f>
        <v>7.5</v>
      </c>
      <c r="I19" s="441">
        <f>'Crossing Inputs'!$G34</f>
        <v>7.5</v>
      </c>
      <c r="J19" s="441">
        <f>'Crossing Inputs'!$G34</f>
        <v>7.5</v>
      </c>
      <c r="K19" s="441">
        <f>'Crossing Inputs'!$G34</f>
        <v>7.5</v>
      </c>
      <c r="L19" s="441">
        <f>'Crossing Inputs'!$G34</f>
        <v>7.5</v>
      </c>
      <c r="M19" s="441">
        <f>'Crossing Inputs'!$G34</f>
        <v>7.5</v>
      </c>
      <c r="N19" s="441">
        <f>'Crossing Inputs'!$G34</f>
        <v>7.5</v>
      </c>
      <c r="O19" s="441">
        <f>'Crossing Inputs'!$G34</f>
        <v>7.5</v>
      </c>
      <c r="P19" s="441">
        <f>'Crossing Inputs'!$G34</f>
        <v>7.5</v>
      </c>
      <c r="Q19" s="441">
        <f>'Crossing Inputs'!$G34</f>
        <v>7.5</v>
      </c>
      <c r="R19" s="441">
        <f>'Crossing Inputs'!$G34</f>
        <v>7.5</v>
      </c>
      <c r="S19" s="441">
        <f>'Crossing Inputs'!$G34</f>
        <v>7.5</v>
      </c>
      <c r="T19" s="441">
        <f>'Crossing Inputs'!$G34</f>
        <v>7.5</v>
      </c>
      <c r="U19" s="441">
        <f>'Crossing Inputs'!$G34</f>
        <v>7.5</v>
      </c>
      <c r="V19" s="441">
        <f>'Crossing Inputs'!$G34</f>
        <v>7.5</v>
      </c>
      <c r="W19" s="441">
        <f>'Crossing Inputs'!$G34</f>
        <v>7.5</v>
      </c>
      <c r="X19" s="441">
        <f>'Crossing Inputs'!$G34</f>
        <v>7.5</v>
      </c>
      <c r="Y19" s="441">
        <f>'Crossing Inputs'!$G34</f>
        <v>7.5</v>
      </c>
      <c r="Z19" s="441">
        <f>'Crossing Inputs'!$G34</f>
        <v>7.5</v>
      </c>
      <c r="AA19" s="441">
        <f>'Crossing Inputs'!$G34</f>
        <v>7.5</v>
      </c>
      <c r="AB19" s="441">
        <f>'Crossing Inputs'!$G34</f>
        <v>7.5</v>
      </c>
      <c r="AC19" s="441">
        <f>'Crossing Inputs'!$G34</f>
        <v>7.5</v>
      </c>
      <c r="AD19" s="441">
        <f>'Crossing Inputs'!$G34</f>
        <v>7.5</v>
      </c>
      <c r="AE19" s="441">
        <f>'Crossing Inputs'!$G34</f>
        <v>7.5</v>
      </c>
      <c r="AF19" s="441">
        <f>'Crossing Inputs'!$G34</f>
        <v>7.5</v>
      </c>
      <c r="AG19" s="441">
        <f>'Crossing Inputs'!$G34</f>
        <v>7.5</v>
      </c>
      <c r="AH19" s="441">
        <f>'Crossing Inputs'!$G34</f>
        <v>7.5</v>
      </c>
      <c r="AI19" s="441">
        <f>'Crossing Inputs'!$G34</f>
        <v>7.5</v>
      </c>
      <c r="AJ19" s="441">
        <f>'Crossing Inputs'!$G34</f>
        <v>7.5</v>
      </c>
      <c r="AK19" s="441">
        <f>'Crossing Inputs'!$G34</f>
        <v>7.5</v>
      </c>
      <c r="AL19" s="441">
        <f>'Crossing Inputs'!$G34</f>
        <v>7.5</v>
      </c>
    </row>
    <row r="20" spans="2:38" ht="13">
      <c r="B20" s="400"/>
      <c r="C20" s="403"/>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2:38" ht="13">
      <c r="B21" s="400"/>
      <c r="C21" s="404"/>
      <c r="D21" s="440">
        <f>D$1</f>
        <v>2021</v>
      </c>
      <c r="E21" s="440">
        <f t="shared" ref="E21:AL21" si="1">E$1</f>
        <v>2022</v>
      </c>
      <c r="F21" s="440">
        <f t="shared" si="1"/>
        <v>2023</v>
      </c>
      <c r="G21" s="440">
        <f t="shared" si="1"/>
        <v>2024</v>
      </c>
      <c r="H21" s="440">
        <f t="shared" si="1"/>
        <v>2025</v>
      </c>
      <c r="I21" s="440">
        <f t="shared" si="1"/>
        <v>2026</v>
      </c>
      <c r="J21" s="440">
        <f t="shared" si="1"/>
        <v>2027</v>
      </c>
      <c r="K21" s="440">
        <f t="shared" si="1"/>
        <v>2028</v>
      </c>
      <c r="L21" s="440">
        <f t="shared" si="1"/>
        <v>2029</v>
      </c>
      <c r="M21" s="440">
        <f t="shared" si="1"/>
        <v>2030</v>
      </c>
      <c r="N21" s="440">
        <f t="shared" si="1"/>
        <v>2031</v>
      </c>
      <c r="O21" s="440">
        <f t="shared" si="1"/>
        <v>2032</v>
      </c>
      <c r="P21" s="440">
        <f t="shared" si="1"/>
        <v>2033</v>
      </c>
      <c r="Q21" s="440">
        <f t="shared" si="1"/>
        <v>2034</v>
      </c>
      <c r="R21" s="440">
        <f t="shared" si="1"/>
        <v>2035</v>
      </c>
      <c r="S21" s="440">
        <f t="shared" si="1"/>
        <v>2036</v>
      </c>
      <c r="T21" s="440">
        <f t="shared" si="1"/>
        <v>2037</v>
      </c>
      <c r="U21" s="440">
        <f t="shared" si="1"/>
        <v>2038</v>
      </c>
      <c r="V21" s="440">
        <f t="shared" si="1"/>
        <v>2039</v>
      </c>
      <c r="W21" s="440">
        <f t="shared" si="1"/>
        <v>2040</v>
      </c>
      <c r="X21" s="440">
        <f t="shared" si="1"/>
        <v>2041</v>
      </c>
      <c r="Y21" s="440">
        <f t="shared" si="1"/>
        <v>2042</v>
      </c>
      <c r="Z21" s="440">
        <f t="shared" si="1"/>
        <v>2043</v>
      </c>
      <c r="AA21" s="440">
        <f t="shared" si="1"/>
        <v>2044</v>
      </c>
      <c r="AB21" s="440">
        <f t="shared" si="1"/>
        <v>2045</v>
      </c>
      <c r="AC21" s="440">
        <f t="shared" si="1"/>
        <v>2046</v>
      </c>
      <c r="AD21" s="440">
        <f t="shared" si="1"/>
        <v>2047</v>
      </c>
      <c r="AE21" s="440">
        <f t="shared" si="1"/>
        <v>2048</v>
      </c>
      <c r="AF21" s="440">
        <f t="shared" si="1"/>
        <v>2049</v>
      </c>
      <c r="AG21" s="440">
        <f t="shared" si="1"/>
        <v>2050</v>
      </c>
      <c r="AH21" s="440">
        <f t="shared" si="1"/>
        <v>2051</v>
      </c>
      <c r="AI21" s="440">
        <f t="shared" si="1"/>
        <v>2052</v>
      </c>
      <c r="AJ21" s="440">
        <f t="shared" si="1"/>
        <v>2053</v>
      </c>
      <c r="AK21" s="440">
        <f t="shared" si="1"/>
        <v>2054</v>
      </c>
      <c r="AL21" s="440">
        <f t="shared" si="1"/>
        <v>2055</v>
      </c>
    </row>
    <row r="22" spans="2:38" ht="13">
      <c r="B22" s="400" t="s">
        <v>354</v>
      </c>
      <c r="C22" s="404"/>
      <c r="D22" s="405">
        <f>D$55</f>
        <v>1.5106758916755635E-2</v>
      </c>
      <c r="E22" s="405">
        <f t="shared" ref="E22:AL22" si="2">E$55</f>
        <v>1.5325603527870234E-2</v>
      </c>
      <c r="F22" s="405">
        <f t="shared" si="2"/>
        <v>1.5547652382560595E-2</v>
      </c>
      <c r="G22" s="405">
        <f t="shared" si="2"/>
        <v>1.5772952565499921E-2</v>
      </c>
      <c r="H22" s="405">
        <f t="shared" si="2"/>
        <v>1.6001551855460126E-2</v>
      </c>
      <c r="I22" s="405">
        <f t="shared" si="2"/>
        <v>1.6233498735506835E-2</v>
      </c>
      <c r="J22" s="405">
        <f t="shared" si="2"/>
        <v>1.6468842403344973E-2</v>
      </c>
      <c r="K22" s="405">
        <f t="shared" si="2"/>
        <v>1.6707632781817409E-2</v>
      </c>
      <c r="L22" s="405">
        <f t="shared" si="2"/>
        <v>1.6949920529558706E-2</v>
      </c>
      <c r="M22" s="405">
        <f t="shared" si="2"/>
        <v>1.7195757051806208E-2</v>
      </c>
      <c r="N22" s="405">
        <f t="shared" si="2"/>
        <v>1.7445194511370967E-2</v>
      </c>
      <c r="O22" s="405">
        <f t="shared" si="2"/>
        <v>1.7698285839770719E-2</v>
      </c>
      <c r="P22" s="405">
        <f t="shared" si="2"/>
        <v>1.7955084748527219E-2</v>
      </c>
      <c r="Q22" s="405">
        <f t="shared" si="2"/>
        <v>1.8215645740630532E-2</v>
      </c>
      <c r="R22" s="405">
        <f t="shared" si="2"/>
        <v>1.848002412217253E-2</v>
      </c>
      <c r="S22" s="405">
        <f t="shared" si="2"/>
        <v>1.8748276014152254E-2</v>
      </c>
      <c r="T22" s="405">
        <f t="shared" si="2"/>
        <v>1.9020458364455463E-2</v>
      </c>
      <c r="U22" s="405">
        <f t="shared" si="2"/>
        <v>1.9296628960011188E-2</v>
      </c>
      <c r="V22" s="405">
        <f t="shared" si="2"/>
        <v>1.9576846439127507E-2</v>
      </c>
      <c r="W22" s="405">
        <f t="shared" si="2"/>
        <v>1.9861170304009669E-2</v>
      </c>
      <c r="X22" s="405">
        <f t="shared" si="2"/>
        <v>2.0149660933462675E-2</v>
      </c>
      <c r="Y22" s="405">
        <f t="shared" si="2"/>
        <v>2.0442379595781601E-2</v>
      </c>
      <c r="Z22" s="405">
        <f t="shared" si="2"/>
        <v>2.0739388461831886E-2</v>
      </c>
      <c r="AA22" s="405">
        <f t="shared" si="2"/>
        <v>2.1040750618322793E-2</v>
      </c>
      <c r="AB22" s="405">
        <f t="shared" si="2"/>
        <v>2.1346530081276578E-2</v>
      </c>
      <c r="AC22" s="405">
        <f t="shared" si="2"/>
        <v>2.1656791809696478E-2</v>
      </c>
      <c r="AD22" s="405">
        <f t="shared" si="2"/>
        <v>2.1971601719436226E-2</v>
      </c>
      <c r="AE22" s="405">
        <f t="shared" si="2"/>
        <v>2.2291026697274192E-2</v>
      </c>
      <c r="AF22" s="405">
        <f t="shared" si="2"/>
        <v>2.261513461519515E-2</v>
      </c>
      <c r="AG22" s="405">
        <f t="shared" si="2"/>
        <v>2.29439943448826E-2</v>
      </c>
      <c r="AH22" s="405">
        <f t="shared" si="2"/>
        <v>2.3277675772424868E-2</v>
      </c>
      <c r="AI22" s="405">
        <f t="shared" si="2"/>
        <v>2.3616249813238142E-2</v>
      </c>
      <c r="AJ22" s="405">
        <f t="shared" si="2"/>
        <v>2.3959788427209413E-2</v>
      </c>
      <c r="AK22" s="405">
        <f t="shared" si="2"/>
        <v>2.4308364634062826E-2</v>
      </c>
      <c r="AL22" s="405">
        <f t="shared" si="2"/>
        <v>2.4662052528952566E-2</v>
      </c>
    </row>
    <row r="23" spans="2:38" ht="13">
      <c r="B23" s="400" t="s">
        <v>650</v>
      </c>
      <c r="C23" s="404"/>
      <c r="D23" s="405">
        <f t="shared" ref="D23:AL23" si="3">D$63*D$22</f>
        <v>1.7360165237817991E-4</v>
      </c>
      <c r="E23" s="405">
        <f t="shared" si="3"/>
        <v>1.6428517062297865E-4</v>
      </c>
      <c r="F23" s="405">
        <f t="shared" si="3"/>
        <v>1.6006574532139304E-4</v>
      </c>
      <c r="G23" s="405">
        <f t="shared" si="3"/>
        <v>1.5782800246128752E-4</v>
      </c>
      <c r="H23" s="405">
        <f t="shared" si="3"/>
        <v>1.566437524060894E-4</v>
      </c>
      <c r="I23" s="405">
        <f t="shared" si="3"/>
        <v>1.5611397611651863E-4</v>
      </c>
      <c r="J23" s="405">
        <f t="shared" si="3"/>
        <v>1.5603186776879242E-4</v>
      </c>
      <c r="K23" s="405">
        <f t="shared" si="3"/>
        <v>1.562770368913098E-4</v>
      </c>
      <c r="L23" s="405">
        <f t="shared" si="3"/>
        <v>1.5677357899240027E-4</v>
      </c>
      <c r="M23" s="405">
        <f t="shared" si="3"/>
        <v>1.5747076636390018E-4</v>
      </c>
      <c r="N23" s="405">
        <f t="shared" si="3"/>
        <v>1.5833315909197744E-4</v>
      </c>
      <c r="O23" s="405">
        <f t="shared" si="3"/>
        <v>1.5933512055346809E-4</v>
      </c>
      <c r="P23" s="405">
        <f t="shared" si="3"/>
        <v>1.6045758054750305E-4</v>
      </c>
      <c r="Q23" s="405">
        <f t="shared" si="3"/>
        <v>1.616860270300363E-4</v>
      </c>
      <c r="R23" s="405">
        <f t="shared" si="3"/>
        <v>1.6300920781519266E-4</v>
      </c>
      <c r="S23" s="405">
        <f t="shared" si="3"/>
        <v>1.6441826183564978E-4</v>
      </c>
      <c r="T23" s="405">
        <f t="shared" si="3"/>
        <v>1.6590612055219136E-4</v>
      </c>
      <c r="U23" s="405">
        <f t="shared" si="3"/>
        <v>1.6746708496412471E-4</v>
      </c>
      <c r="V23" s="405">
        <f t="shared" si="3"/>
        <v>1.6909652006805395E-4</v>
      </c>
      <c r="W23" s="405">
        <f t="shared" si="3"/>
        <v>1.7079062985362201E-4</v>
      </c>
      <c r="X23" s="405">
        <f t="shared" si="3"/>
        <v>1.7254628875212896E-4</v>
      </c>
      <c r="Y23" s="405">
        <f t="shared" si="3"/>
        <v>1.7436091343598663E-4</v>
      </c>
      <c r="Z23" s="405">
        <f t="shared" si="3"/>
        <v>1.7623236396755362E-4</v>
      </c>
      <c r="AA23" s="405">
        <f t="shared" si="3"/>
        <v>1.7815886663330929E-4</v>
      </c>
      <c r="AB23" s="405">
        <f t="shared" si="3"/>
        <v>1.8013895302994456E-4</v>
      </c>
      <c r="AC23" s="405">
        <f t="shared" si="3"/>
        <v>1.8217141148872833E-4</v>
      </c>
      <c r="AD23" s="405">
        <f t="shared" si="3"/>
        <v>1.842552479781467E-4</v>
      </c>
      <c r="AE23" s="405">
        <f t="shared" si="3"/>
        <v>1.8638965436699486E-4</v>
      </c>
      <c r="AF23" s="405">
        <f t="shared" si="3"/>
        <v>1.8857398246053639E-4</v>
      </c>
      <c r="AG23" s="405">
        <f t="shared" si="3"/>
        <v>1.9080772260655495E-4</v>
      </c>
      <c r="AH23" s="405">
        <f t="shared" si="3"/>
        <v>1.9309048594986589E-4</v>
      </c>
      <c r="AI23" s="405">
        <f t="shared" si="3"/>
        <v>1.9542198962283595E-4</v>
      </c>
      <c r="AJ23" s="405">
        <f t="shared" si="3"/>
        <v>1.9780204431610692E-4</v>
      </c>
      <c r="AK23" s="405">
        <f t="shared" si="3"/>
        <v>2.0023054379231852E-4</v>
      </c>
      <c r="AL23" s="405">
        <f t="shared" si="3"/>
        <v>2.0330566815936158E-4</v>
      </c>
    </row>
    <row r="24" spans="2:38" ht="13">
      <c r="B24" s="400" t="s">
        <v>651</v>
      </c>
      <c r="C24" s="404"/>
      <c r="D24" s="405">
        <f t="shared" ref="D24:AK24" si="4">D$72*D22</f>
        <v>3.2343101389871193E-3</v>
      </c>
      <c r="E24" s="405">
        <f t="shared" si="4"/>
        <v>3.2837265968015373E-3</v>
      </c>
      <c r="F24" s="405">
        <f t="shared" si="4"/>
        <v>3.3327330981831886E-3</v>
      </c>
      <c r="G24" s="405">
        <f t="shared" si="4"/>
        <v>3.382014586845518E-3</v>
      </c>
      <c r="H24" s="405">
        <f t="shared" si="4"/>
        <v>3.4317824437083816E-3</v>
      </c>
      <c r="I24" s="405">
        <f t="shared" si="4"/>
        <v>3.4821335913829523E-3</v>
      </c>
      <c r="J24" s="405">
        <f t="shared" si="4"/>
        <v>3.5331234766038926E-3</v>
      </c>
      <c r="K24" s="405">
        <f t="shared" si="4"/>
        <v>3.5847889868203891E-3</v>
      </c>
      <c r="L24" s="405">
        <f t="shared" si="4"/>
        <v>3.6371575338111544E-3</v>
      </c>
      <c r="M24" s="405">
        <f t="shared" si="4"/>
        <v>3.6902512381241297E-3</v>
      </c>
      <c r="N24" s="405">
        <f t="shared" si="4"/>
        <v>3.7440890732674801E-3</v>
      </c>
      <c r="O24" s="405">
        <f t="shared" si="4"/>
        <v>3.7986880559865745E-3</v>
      </c>
      <c r="P24" s="405">
        <f t="shared" si="4"/>
        <v>3.8540639497706233E-3</v>
      </c>
      <c r="Q24" s="405">
        <f t="shared" si="4"/>
        <v>3.9102317022975093E-3</v>
      </c>
      <c r="R24" s="405">
        <f t="shared" si="4"/>
        <v>3.9672057291465206E-3</v>
      </c>
      <c r="S24" s="405">
        <f t="shared" si="4"/>
        <v>4.0250001045119051E-3</v>
      </c>
      <c r="T24" s="405">
        <f t="shared" si="4"/>
        <v>4.083628693443679E-3</v>
      </c>
      <c r="U24" s="405">
        <f t="shared" si="4"/>
        <v>4.143105246094108E-3</v>
      </c>
      <c r="V24" s="405">
        <f t="shared" si="4"/>
        <v>4.2034434665653595E-3</v>
      </c>
      <c r="W24" s="405">
        <f t="shared" si="4"/>
        <v>4.2646570643534798E-3</v>
      </c>
      <c r="X24" s="405">
        <f t="shared" si="4"/>
        <v>4.3267597936054412E-3</v>
      </c>
      <c r="Y24" s="405">
        <f t="shared" si="4"/>
        <v>4.3897654836774136E-3</v>
      </c>
      <c r="Z24" s="405">
        <f t="shared" si="4"/>
        <v>4.4536880633775375E-3</v>
      </c>
      <c r="AA24" s="405">
        <f t="shared" si="4"/>
        <v>4.5185415805537857E-3</v>
      </c>
      <c r="AB24" s="405">
        <f t="shared" si="4"/>
        <v>4.584340218204289E-3</v>
      </c>
      <c r="AC24" s="405">
        <f t="shared" si="4"/>
        <v>4.6510983079584185E-3</v>
      </c>
      <c r="AD24" s="405">
        <f t="shared" si="4"/>
        <v>4.7188303415486594E-3</v>
      </c>
      <c r="AE24" s="405">
        <f t="shared" si="4"/>
        <v>4.787550980732639E-3</v>
      </c>
      <c r="AF24" s="405">
        <f t="shared" si="4"/>
        <v>4.8572750660097483E-3</v>
      </c>
      <c r="AG24" s="405">
        <f t="shared" si="4"/>
        <v>4.9280176243936061E-3</v>
      </c>
      <c r="AH24" s="405">
        <f t="shared" si="4"/>
        <v>4.9997938764406082E-3</v>
      </c>
      <c r="AI24" s="405">
        <f t="shared" si="4"/>
        <v>5.0726192426895694E-3</v>
      </c>
      <c r="AJ24" s="405">
        <f t="shared" si="4"/>
        <v>5.1465093496334798E-3</v>
      </c>
      <c r="AK24" s="405">
        <f t="shared" si="4"/>
        <v>5.2214800353188092E-3</v>
      </c>
      <c r="AL24" s="405">
        <f t="shared" ref="AL24" si="5">AL$72*AL22</f>
        <v>5.2974177903751364E-3</v>
      </c>
    </row>
    <row r="26" spans="2:38" ht="13">
      <c r="B26" s="364" t="s">
        <v>652</v>
      </c>
    </row>
    <row r="27" spans="2:38" ht="13">
      <c r="B27" s="407" t="s">
        <v>615</v>
      </c>
      <c r="C27" s="396" t="s">
        <v>627</v>
      </c>
      <c r="D27" s="440">
        <f>D$1</f>
        <v>2021</v>
      </c>
      <c r="E27" s="440">
        <f t="shared" ref="E27:AL27" si="6">E$1</f>
        <v>2022</v>
      </c>
      <c r="F27" s="440">
        <f t="shared" si="6"/>
        <v>2023</v>
      </c>
      <c r="G27" s="440">
        <f t="shared" si="6"/>
        <v>2024</v>
      </c>
      <c r="H27" s="440">
        <f t="shared" si="6"/>
        <v>2025</v>
      </c>
      <c r="I27" s="440">
        <f t="shared" si="6"/>
        <v>2026</v>
      </c>
      <c r="J27" s="440">
        <f t="shared" si="6"/>
        <v>2027</v>
      </c>
      <c r="K27" s="440">
        <f t="shared" si="6"/>
        <v>2028</v>
      </c>
      <c r="L27" s="440">
        <f t="shared" si="6"/>
        <v>2029</v>
      </c>
      <c r="M27" s="440">
        <f t="shared" si="6"/>
        <v>2030</v>
      </c>
      <c r="N27" s="440">
        <f t="shared" si="6"/>
        <v>2031</v>
      </c>
      <c r="O27" s="440">
        <f t="shared" si="6"/>
        <v>2032</v>
      </c>
      <c r="P27" s="440">
        <f t="shared" si="6"/>
        <v>2033</v>
      </c>
      <c r="Q27" s="440">
        <f t="shared" si="6"/>
        <v>2034</v>
      </c>
      <c r="R27" s="440">
        <f t="shared" si="6"/>
        <v>2035</v>
      </c>
      <c r="S27" s="440">
        <f t="shared" si="6"/>
        <v>2036</v>
      </c>
      <c r="T27" s="440">
        <f t="shared" si="6"/>
        <v>2037</v>
      </c>
      <c r="U27" s="440">
        <f t="shared" si="6"/>
        <v>2038</v>
      </c>
      <c r="V27" s="440">
        <f t="shared" si="6"/>
        <v>2039</v>
      </c>
      <c r="W27" s="440">
        <f t="shared" si="6"/>
        <v>2040</v>
      </c>
      <c r="X27" s="440">
        <f t="shared" si="6"/>
        <v>2041</v>
      </c>
      <c r="Y27" s="440">
        <f t="shared" si="6"/>
        <v>2042</v>
      </c>
      <c r="Z27" s="440">
        <f t="shared" si="6"/>
        <v>2043</v>
      </c>
      <c r="AA27" s="440">
        <f t="shared" si="6"/>
        <v>2044</v>
      </c>
      <c r="AB27" s="440">
        <f t="shared" si="6"/>
        <v>2045</v>
      </c>
      <c r="AC27" s="440">
        <f t="shared" si="6"/>
        <v>2046</v>
      </c>
      <c r="AD27" s="440">
        <f t="shared" si="6"/>
        <v>2047</v>
      </c>
      <c r="AE27" s="440">
        <f t="shared" si="6"/>
        <v>2048</v>
      </c>
      <c r="AF27" s="440">
        <f t="shared" si="6"/>
        <v>2049</v>
      </c>
      <c r="AG27" s="440">
        <f t="shared" si="6"/>
        <v>2050</v>
      </c>
      <c r="AH27" s="440">
        <f t="shared" si="6"/>
        <v>2051</v>
      </c>
      <c r="AI27" s="440">
        <f t="shared" si="6"/>
        <v>2052</v>
      </c>
      <c r="AJ27" s="440">
        <f t="shared" si="6"/>
        <v>2053</v>
      </c>
      <c r="AK27" s="440">
        <f t="shared" si="6"/>
        <v>2054</v>
      </c>
      <c r="AL27" s="440">
        <f t="shared" si="6"/>
        <v>2055</v>
      </c>
    </row>
    <row r="28" spans="2:38" ht="13">
      <c r="B28" s="364" t="s">
        <v>624</v>
      </c>
      <c r="C28" s="408"/>
      <c r="D28" s="358"/>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row>
    <row r="29" spans="2:38">
      <c r="B29" s="411" t="s">
        <v>653</v>
      </c>
      <c r="C29" s="412" t="s">
        <v>654</v>
      </c>
      <c r="D29" s="413">
        <f>((D$14*D$15+0.2)/0.2)^(0.3334)</f>
        <v>15.08859470236769</v>
      </c>
      <c r="E29" s="413">
        <f t="shared" ref="E29:AL29" si="7">((E$14*E$15+0.2)/0.2)^(0.3334)</f>
        <v>15.289159321808128</v>
      </c>
      <c r="F29" s="413">
        <f t="shared" si="7"/>
        <v>15.492392211242898</v>
      </c>
      <c r="G29" s="413">
        <f t="shared" si="7"/>
        <v>15.698328809585265</v>
      </c>
      <c r="H29" s="413">
        <f t="shared" si="7"/>
        <v>15.907005027974151</v>
      </c>
      <c r="I29" s="413">
        <f t="shared" si="7"/>
        <v>16.118457256026559</v>
      </c>
      <c r="J29" s="413">
        <f t="shared" si="7"/>
        <v>16.332722368173691</v>
      </c>
      <c r="K29" s="413">
        <f t="shared" si="7"/>
        <v>16.549837730082139</v>
      </c>
      <c r="L29" s="413">
        <f t="shared" si="7"/>
        <v>16.769841205161022</v>
      </c>
      <c r="M29" s="413">
        <f t="shared" si="7"/>
        <v>16.992771161156217</v>
      </c>
      <c r="N29" s="413">
        <f t="shared" si="7"/>
        <v>17.218666476833011</v>
      </c>
      <c r="O29" s="413">
        <f t="shared" si="7"/>
        <v>17.447566548748135</v>
      </c>
      <c r="P29" s="413">
        <f t="shared" si="7"/>
        <v>17.679511298112409</v>
      </c>
      <c r="Q29" s="413">
        <f t="shared" si="7"/>
        <v>17.914541177745235</v>
      </c>
      <c r="R29" s="413">
        <f t="shared" si="7"/>
        <v>18.152697179122139</v>
      </c>
      <c r="S29" s="413">
        <f t="shared" si="7"/>
        <v>18.394020839516511</v>
      </c>
      <c r="T29" s="413">
        <f t="shared" si="7"/>
        <v>18.63855424923684</v>
      </c>
      <c r="U29" s="413">
        <f t="shared" si="7"/>
        <v>18.886340058960752</v>
      </c>
      <c r="V29" s="413">
        <f t="shared" si="7"/>
        <v>19.137421487166929</v>
      </c>
      <c r="W29" s="413">
        <f t="shared" si="7"/>
        <v>19.391842327666517</v>
      </c>
      <c r="X29" s="413">
        <f t="shared" si="7"/>
        <v>19.64964695723496</v>
      </c>
      <c r="Y29" s="413">
        <f t="shared" si="7"/>
        <v>19.910880343345951</v>
      </c>
      <c r="Z29" s="413">
        <f t="shared" si="7"/>
        <v>20.175588052008486</v>
      </c>
      <c r="AA29" s="413">
        <f t="shared" si="7"/>
        <v>20.443816255708754</v>
      </c>
      <c r="AB29" s="413">
        <f t="shared" si="7"/>
        <v>20.715611741457838</v>
      </c>
      <c r="AC29" s="413">
        <f t="shared" si="7"/>
        <v>20.991021918947077</v>
      </c>
      <c r="AD29" s="413">
        <f t="shared" si="7"/>
        <v>21.270094828812045</v>
      </c>
      <c r="AE29" s="413">
        <f t="shared" si="7"/>
        <v>21.552879151006948</v>
      </c>
      <c r="AF29" s="413">
        <f t="shared" si="7"/>
        <v>21.839424213290741</v>
      </c>
      <c r="AG29" s="413">
        <f t="shared" si="7"/>
        <v>22.129779999826368</v>
      </c>
      <c r="AH29" s="413">
        <f t="shared" si="7"/>
        <v>22.423997159894796</v>
      </c>
      <c r="AI29" s="413">
        <f t="shared" si="7"/>
        <v>22.722127016725281</v>
      </c>
      <c r="AJ29" s="413">
        <f t="shared" si="7"/>
        <v>23.024221576443278</v>
      </c>
      <c r="AK29" s="413">
        <f t="shared" si="7"/>
        <v>23.330333537137786</v>
      </c>
      <c r="AL29" s="413">
        <f t="shared" si="7"/>
        <v>23.640516298049498</v>
      </c>
    </row>
    <row r="30" spans="2:38">
      <c r="B30" s="411" t="s">
        <v>655</v>
      </c>
      <c r="C30" s="412" t="s">
        <v>656</v>
      </c>
      <c r="D30" s="414">
        <f t="shared" ref="D30:AL30" si="8">EXP(0.2094*$D$9)</f>
        <v>1</v>
      </c>
      <c r="E30" s="415">
        <f t="shared" si="8"/>
        <v>1</v>
      </c>
      <c r="F30" s="415">
        <f t="shared" si="8"/>
        <v>1</v>
      </c>
      <c r="G30" s="415">
        <f t="shared" si="8"/>
        <v>1</v>
      </c>
      <c r="H30" s="415">
        <f t="shared" si="8"/>
        <v>1</v>
      </c>
      <c r="I30" s="415">
        <f t="shared" si="8"/>
        <v>1</v>
      </c>
      <c r="J30" s="415">
        <f t="shared" si="8"/>
        <v>1</v>
      </c>
      <c r="K30" s="415">
        <f t="shared" si="8"/>
        <v>1</v>
      </c>
      <c r="L30" s="415">
        <f t="shared" si="8"/>
        <v>1</v>
      </c>
      <c r="M30" s="415">
        <f t="shared" si="8"/>
        <v>1</v>
      </c>
      <c r="N30" s="415">
        <f t="shared" si="8"/>
        <v>1</v>
      </c>
      <c r="O30" s="415">
        <f t="shared" si="8"/>
        <v>1</v>
      </c>
      <c r="P30" s="415">
        <f t="shared" si="8"/>
        <v>1</v>
      </c>
      <c r="Q30" s="415">
        <f t="shared" si="8"/>
        <v>1</v>
      </c>
      <c r="R30" s="415">
        <f t="shared" si="8"/>
        <v>1</v>
      </c>
      <c r="S30" s="415">
        <f t="shared" si="8"/>
        <v>1</v>
      </c>
      <c r="T30" s="415">
        <f t="shared" si="8"/>
        <v>1</v>
      </c>
      <c r="U30" s="415">
        <f t="shared" si="8"/>
        <v>1</v>
      </c>
      <c r="V30" s="415">
        <f t="shared" si="8"/>
        <v>1</v>
      </c>
      <c r="W30" s="415">
        <f t="shared" si="8"/>
        <v>1</v>
      </c>
      <c r="X30" s="415">
        <f t="shared" si="8"/>
        <v>1</v>
      </c>
      <c r="Y30" s="415">
        <f t="shared" si="8"/>
        <v>1</v>
      </c>
      <c r="Z30" s="415">
        <f t="shared" si="8"/>
        <v>1</v>
      </c>
      <c r="AA30" s="415">
        <f t="shared" si="8"/>
        <v>1</v>
      </c>
      <c r="AB30" s="415">
        <f t="shared" si="8"/>
        <v>1</v>
      </c>
      <c r="AC30" s="415">
        <f t="shared" si="8"/>
        <v>1</v>
      </c>
      <c r="AD30" s="415">
        <f t="shared" si="8"/>
        <v>1</v>
      </c>
      <c r="AE30" s="415">
        <f t="shared" si="8"/>
        <v>1</v>
      </c>
      <c r="AF30" s="415">
        <f t="shared" si="8"/>
        <v>1</v>
      </c>
      <c r="AG30" s="415">
        <f t="shared" si="8"/>
        <v>1</v>
      </c>
      <c r="AH30" s="415">
        <f t="shared" si="8"/>
        <v>1</v>
      </c>
      <c r="AI30" s="415">
        <f t="shared" si="8"/>
        <v>1</v>
      </c>
      <c r="AJ30" s="415">
        <f t="shared" si="8"/>
        <v>1</v>
      </c>
      <c r="AK30" s="415">
        <f t="shared" si="8"/>
        <v>1</v>
      </c>
      <c r="AL30" s="415">
        <f t="shared" si="8"/>
        <v>1</v>
      </c>
    </row>
    <row r="31" spans="2:38">
      <c r="B31" s="411" t="s">
        <v>657</v>
      </c>
      <c r="C31" s="416" t="s">
        <v>658</v>
      </c>
      <c r="D31" s="417">
        <f>((D$17+0.2)/0.2)^(0.1336)</f>
        <v>1.2719545428016041</v>
      </c>
      <c r="E31" s="417">
        <f t="shared" ref="E31:AL31" si="9">((E$17+0.2)/0.2)^(0.1336)</f>
        <v>1.2734534231676795</v>
      </c>
      <c r="F31" s="417">
        <f t="shared" si="9"/>
        <v>1.2749566663159739</v>
      </c>
      <c r="G31" s="417">
        <f t="shared" si="9"/>
        <v>1.2764642651048659</v>
      </c>
      <c r="H31" s="417">
        <f t="shared" si="9"/>
        <v>1.2779762123985068</v>
      </c>
      <c r="I31" s="417">
        <f t="shared" si="9"/>
        <v>1.2794925010679286</v>
      </c>
      <c r="J31" s="417">
        <f t="shared" si="9"/>
        <v>1.2810131239921325</v>
      </c>
      <c r="K31" s="417">
        <f t="shared" si="9"/>
        <v>1.2825380740591648</v>
      </c>
      <c r="L31" s="417">
        <f t="shared" si="9"/>
        <v>1.2840673441671746</v>
      </c>
      <c r="M31" s="417">
        <f t="shared" si="9"/>
        <v>1.2856009272254585</v>
      </c>
      <c r="N31" s="417">
        <f t="shared" si="9"/>
        <v>1.2871388161554864</v>
      </c>
      <c r="O31" s="417">
        <f t="shared" si="9"/>
        <v>1.2886810038919141</v>
      </c>
      <c r="P31" s="417">
        <f t="shared" si="9"/>
        <v>1.2902274833835794</v>
      </c>
      <c r="Q31" s="417">
        <f t="shared" si="9"/>
        <v>1.2917782475944826</v>
      </c>
      <c r="R31" s="417">
        <f t="shared" si="9"/>
        <v>1.2933332895047505</v>
      </c>
      <c r="S31" s="417">
        <f t="shared" si="9"/>
        <v>1.2948926021115859</v>
      </c>
      <c r="T31" s="417">
        <f t="shared" si="9"/>
        <v>1.2964561784302011</v>
      </c>
      <c r="U31" s="417">
        <f t="shared" si="9"/>
        <v>1.2980240114947363</v>
      </c>
      <c r="V31" s="417">
        <f t="shared" si="9"/>
        <v>1.2995960943591611</v>
      </c>
      <c r="W31" s="417">
        <f t="shared" si="9"/>
        <v>1.3011724200981616</v>
      </c>
      <c r="X31" s="417">
        <f t="shared" si="9"/>
        <v>1.3027529818080126</v>
      </c>
      <c r="Y31" s="417">
        <f t="shared" si="9"/>
        <v>1.304337772607433</v>
      </c>
      <c r="Z31" s="417">
        <f t="shared" si="9"/>
        <v>1.3059267856384269</v>
      </c>
      <c r="AA31" s="417">
        <f t="shared" si="9"/>
        <v>1.3075200140671086</v>
      </c>
      <c r="AB31" s="417">
        <f t="shared" si="9"/>
        <v>1.3091174510845145</v>
      </c>
      <c r="AC31" s="417">
        <f t="shared" si="9"/>
        <v>1.3107190899073964</v>
      </c>
      <c r="AD31" s="417">
        <f t="shared" si="9"/>
        <v>1.3123249237790029</v>
      </c>
      <c r="AE31" s="417">
        <f t="shared" si="9"/>
        <v>1.3139349459698444</v>
      </c>
      <c r="AF31" s="417">
        <f t="shared" si="9"/>
        <v>1.3155491497784433</v>
      </c>
      <c r="AG31" s="417">
        <f t="shared" si="9"/>
        <v>1.3171675285320701</v>
      </c>
      <c r="AH31" s="417">
        <f t="shared" si="9"/>
        <v>1.3187900755874631</v>
      </c>
      <c r="AI31" s="417">
        <f t="shared" si="9"/>
        <v>1.3204167843315362</v>
      </c>
      <c r="AJ31" s="417">
        <f t="shared" si="9"/>
        <v>1.3220476481820695</v>
      </c>
      <c r="AK31" s="417">
        <f t="shared" si="9"/>
        <v>1.3236826605883865</v>
      </c>
      <c r="AL31" s="417">
        <f t="shared" si="9"/>
        <v>1.3253218150320181</v>
      </c>
    </row>
    <row r="32" spans="2:38">
      <c r="B32" s="411" t="s">
        <v>659</v>
      </c>
      <c r="C32" s="412" t="s">
        <v>660</v>
      </c>
      <c r="D32" s="414">
        <f t="shared" ref="D32:AL32" si="10">EXP(-0.616*($E$7-1))</f>
        <v>0.54010052464437064</v>
      </c>
      <c r="E32" s="415">
        <f t="shared" si="10"/>
        <v>0.54010052464437064</v>
      </c>
      <c r="F32" s="415">
        <f t="shared" si="10"/>
        <v>0.54010052464437064</v>
      </c>
      <c r="G32" s="415">
        <f t="shared" si="10"/>
        <v>0.54010052464437064</v>
      </c>
      <c r="H32" s="415">
        <f t="shared" si="10"/>
        <v>0.54010052464437064</v>
      </c>
      <c r="I32" s="415">
        <f t="shared" si="10"/>
        <v>0.54010052464437064</v>
      </c>
      <c r="J32" s="415">
        <f t="shared" si="10"/>
        <v>0.54010052464437064</v>
      </c>
      <c r="K32" s="415">
        <f t="shared" si="10"/>
        <v>0.54010052464437064</v>
      </c>
      <c r="L32" s="415">
        <f t="shared" si="10"/>
        <v>0.54010052464437064</v>
      </c>
      <c r="M32" s="415">
        <f t="shared" si="10"/>
        <v>0.54010052464437064</v>
      </c>
      <c r="N32" s="415">
        <f t="shared" si="10"/>
        <v>0.54010052464437064</v>
      </c>
      <c r="O32" s="415">
        <f t="shared" si="10"/>
        <v>0.54010052464437064</v>
      </c>
      <c r="P32" s="415">
        <f t="shared" si="10"/>
        <v>0.54010052464437064</v>
      </c>
      <c r="Q32" s="415">
        <f t="shared" si="10"/>
        <v>0.54010052464437064</v>
      </c>
      <c r="R32" s="415">
        <f t="shared" si="10"/>
        <v>0.54010052464437064</v>
      </c>
      <c r="S32" s="415">
        <f t="shared" si="10"/>
        <v>0.54010052464437064</v>
      </c>
      <c r="T32" s="415">
        <f t="shared" si="10"/>
        <v>0.54010052464437064</v>
      </c>
      <c r="U32" s="415">
        <f t="shared" si="10"/>
        <v>0.54010052464437064</v>
      </c>
      <c r="V32" s="415">
        <f t="shared" si="10"/>
        <v>0.54010052464437064</v>
      </c>
      <c r="W32" s="415">
        <f t="shared" si="10"/>
        <v>0.54010052464437064</v>
      </c>
      <c r="X32" s="415">
        <f t="shared" si="10"/>
        <v>0.54010052464437064</v>
      </c>
      <c r="Y32" s="415">
        <f t="shared" si="10"/>
        <v>0.54010052464437064</v>
      </c>
      <c r="Z32" s="415">
        <f t="shared" si="10"/>
        <v>0.54010052464437064</v>
      </c>
      <c r="AA32" s="415">
        <f t="shared" si="10"/>
        <v>0.54010052464437064</v>
      </c>
      <c r="AB32" s="415">
        <f t="shared" si="10"/>
        <v>0.54010052464437064</v>
      </c>
      <c r="AC32" s="415">
        <f t="shared" si="10"/>
        <v>0.54010052464437064</v>
      </c>
      <c r="AD32" s="415">
        <f t="shared" si="10"/>
        <v>0.54010052464437064</v>
      </c>
      <c r="AE32" s="415">
        <f t="shared" si="10"/>
        <v>0.54010052464437064</v>
      </c>
      <c r="AF32" s="415">
        <f t="shared" si="10"/>
        <v>0.54010052464437064</v>
      </c>
      <c r="AG32" s="415">
        <f t="shared" si="10"/>
        <v>0.54010052464437064</v>
      </c>
      <c r="AH32" s="415">
        <f t="shared" si="10"/>
        <v>0.54010052464437064</v>
      </c>
      <c r="AI32" s="415">
        <f t="shared" si="10"/>
        <v>0.54010052464437064</v>
      </c>
      <c r="AJ32" s="415">
        <f t="shared" si="10"/>
        <v>0.54010052464437064</v>
      </c>
      <c r="AK32" s="415">
        <f t="shared" si="10"/>
        <v>0.54010052464437064</v>
      </c>
      <c r="AL32" s="415">
        <f t="shared" si="10"/>
        <v>0.54010052464437064</v>
      </c>
    </row>
    <row r="33" spans="2:38">
      <c r="B33" s="411" t="s">
        <v>661</v>
      </c>
      <c r="C33" s="412" t="s">
        <v>662</v>
      </c>
      <c r="D33" s="414">
        <f t="shared" ref="D33:AL33" si="11">EXP(0.0077*D$19)</f>
        <v>1.0594501000746941</v>
      </c>
      <c r="E33" s="415">
        <f t="shared" si="11"/>
        <v>1.0594501000746941</v>
      </c>
      <c r="F33" s="415">
        <f t="shared" si="11"/>
        <v>1.0594501000746941</v>
      </c>
      <c r="G33" s="415">
        <f t="shared" si="11"/>
        <v>1.0594501000746941</v>
      </c>
      <c r="H33" s="415">
        <f t="shared" si="11"/>
        <v>1.0594501000746941</v>
      </c>
      <c r="I33" s="415">
        <f t="shared" si="11"/>
        <v>1.0594501000746941</v>
      </c>
      <c r="J33" s="415">
        <f t="shared" si="11"/>
        <v>1.0594501000746941</v>
      </c>
      <c r="K33" s="415">
        <f t="shared" si="11"/>
        <v>1.0594501000746941</v>
      </c>
      <c r="L33" s="415">
        <f t="shared" si="11"/>
        <v>1.0594501000746941</v>
      </c>
      <c r="M33" s="415">
        <f t="shared" si="11"/>
        <v>1.0594501000746941</v>
      </c>
      <c r="N33" s="415">
        <f t="shared" si="11"/>
        <v>1.0594501000746941</v>
      </c>
      <c r="O33" s="415">
        <f t="shared" si="11"/>
        <v>1.0594501000746941</v>
      </c>
      <c r="P33" s="415">
        <f t="shared" si="11"/>
        <v>1.0594501000746941</v>
      </c>
      <c r="Q33" s="415">
        <f t="shared" si="11"/>
        <v>1.0594501000746941</v>
      </c>
      <c r="R33" s="415">
        <f t="shared" si="11"/>
        <v>1.0594501000746941</v>
      </c>
      <c r="S33" s="415">
        <f t="shared" si="11"/>
        <v>1.0594501000746941</v>
      </c>
      <c r="T33" s="415">
        <f t="shared" si="11"/>
        <v>1.0594501000746941</v>
      </c>
      <c r="U33" s="415">
        <f t="shared" si="11"/>
        <v>1.0594501000746941</v>
      </c>
      <c r="V33" s="415">
        <f t="shared" si="11"/>
        <v>1.0594501000746941</v>
      </c>
      <c r="W33" s="415">
        <f t="shared" si="11"/>
        <v>1.0594501000746941</v>
      </c>
      <c r="X33" s="415">
        <f t="shared" si="11"/>
        <v>1.0594501000746941</v>
      </c>
      <c r="Y33" s="415">
        <f t="shared" si="11"/>
        <v>1.0594501000746941</v>
      </c>
      <c r="Z33" s="415">
        <f t="shared" si="11"/>
        <v>1.0594501000746941</v>
      </c>
      <c r="AA33" s="415">
        <f t="shared" si="11"/>
        <v>1.0594501000746941</v>
      </c>
      <c r="AB33" s="415">
        <f t="shared" si="11"/>
        <v>1.0594501000746941</v>
      </c>
      <c r="AC33" s="415">
        <f t="shared" si="11"/>
        <v>1.0594501000746941</v>
      </c>
      <c r="AD33" s="415">
        <f t="shared" si="11"/>
        <v>1.0594501000746941</v>
      </c>
      <c r="AE33" s="415">
        <f t="shared" si="11"/>
        <v>1.0594501000746941</v>
      </c>
      <c r="AF33" s="415">
        <f t="shared" si="11"/>
        <v>1.0594501000746941</v>
      </c>
      <c r="AG33" s="415">
        <f t="shared" si="11"/>
        <v>1.0594501000746941</v>
      </c>
      <c r="AH33" s="415">
        <f t="shared" si="11"/>
        <v>1.0594501000746941</v>
      </c>
      <c r="AI33" s="415">
        <f t="shared" si="11"/>
        <v>1.0594501000746941</v>
      </c>
      <c r="AJ33" s="415">
        <f t="shared" si="11"/>
        <v>1.0594501000746941</v>
      </c>
      <c r="AK33" s="415">
        <f t="shared" si="11"/>
        <v>1.0594501000746941</v>
      </c>
      <c r="AL33" s="415">
        <f t="shared" si="11"/>
        <v>1.0594501000746941</v>
      </c>
    </row>
    <row r="34" spans="2:38">
      <c r="B34" s="411" t="s">
        <v>663</v>
      </c>
      <c r="C34" s="412" t="s">
        <v>664</v>
      </c>
      <c r="D34" s="414">
        <f t="shared" ref="D34:AL34" si="12">EXP(-0.1*($E$8-1))</f>
        <v>0.60653065971263342</v>
      </c>
      <c r="E34" s="415">
        <f t="shared" si="12"/>
        <v>0.60653065971263342</v>
      </c>
      <c r="F34" s="415">
        <f t="shared" si="12"/>
        <v>0.60653065971263342</v>
      </c>
      <c r="G34" s="415">
        <f t="shared" si="12"/>
        <v>0.60653065971263342</v>
      </c>
      <c r="H34" s="415">
        <f t="shared" si="12"/>
        <v>0.60653065971263342</v>
      </c>
      <c r="I34" s="415">
        <f t="shared" si="12"/>
        <v>0.60653065971263342</v>
      </c>
      <c r="J34" s="415">
        <f t="shared" si="12"/>
        <v>0.60653065971263342</v>
      </c>
      <c r="K34" s="415">
        <f t="shared" si="12"/>
        <v>0.60653065971263342</v>
      </c>
      <c r="L34" s="415">
        <f t="shared" si="12"/>
        <v>0.60653065971263342</v>
      </c>
      <c r="M34" s="415">
        <f t="shared" si="12"/>
        <v>0.60653065971263342</v>
      </c>
      <c r="N34" s="415">
        <f t="shared" si="12"/>
        <v>0.60653065971263342</v>
      </c>
      <c r="O34" s="415">
        <f t="shared" si="12"/>
        <v>0.60653065971263342</v>
      </c>
      <c r="P34" s="415">
        <f t="shared" si="12"/>
        <v>0.60653065971263342</v>
      </c>
      <c r="Q34" s="415">
        <f t="shared" si="12"/>
        <v>0.60653065971263342</v>
      </c>
      <c r="R34" s="415">
        <f t="shared" si="12"/>
        <v>0.60653065971263342</v>
      </c>
      <c r="S34" s="415">
        <f t="shared" si="12"/>
        <v>0.60653065971263342</v>
      </c>
      <c r="T34" s="415">
        <f t="shared" si="12"/>
        <v>0.60653065971263342</v>
      </c>
      <c r="U34" s="415">
        <f t="shared" si="12"/>
        <v>0.60653065971263342</v>
      </c>
      <c r="V34" s="415">
        <f t="shared" si="12"/>
        <v>0.60653065971263342</v>
      </c>
      <c r="W34" s="415">
        <f t="shared" si="12"/>
        <v>0.60653065971263342</v>
      </c>
      <c r="X34" s="415">
        <f t="shared" si="12"/>
        <v>0.60653065971263342</v>
      </c>
      <c r="Y34" s="415">
        <f t="shared" si="12"/>
        <v>0.60653065971263342</v>
      </c>
      <c r="Z34" s="415">
        <f t="shared" si="12"/>
        <v>0.60653065971263342</v>
      </c>
      <c r="AA34" s="415">
        <f t="shared" si="12"/>
        <v>0.60653065971263342</v>
      </c>
      <c r="AB34" s="415">
        <f t="shared" si="12"/>
        <v>0.60653065971263342</v>
      </c>
      <c r="AC34" s="415">
        <f t="shared" si="12"/>
        <v>0.60653065971263342</v>
      </c>
      <c r="AD34" s="415">
        <f t="shared" si="12"/>
        <v>0.60653065971263342</v>
      </c>
      <c r="AE34" s="415">
        <f t="shared" si="12"/>
        <v>0.60653065971263342</v>
      </c>
      <c r="AF34" s="415">
        <f t="shared" si="12"/>
        <v>0.60653065971263342</v>
      </c>
      <c r="AG34" s="415">
        <f t="shared" si="12"/>
        <v>0.60653065971263342</v>
      </c>
      <c r="AH34" s="415">
        <f t="shared" si="12"/>
        <v>0.60653065971263342</v>
      </c>
      <c r="AI34" s="415">
        <f t="shared" si="12"/>
        <v>0.60653065971263342</v>
      </c>
      <c r="AJ34" s="415">
        <f t="shared" si="12"/>
        <v>0.60653065971263342</v>
      </c>
      <c r="AK34" s="415">
        <f t="shared" si="12"/>
        <v>0.60653065971263342</v>
      </c>
      <c r="AL34" s="415">
        <f t="shared" si="12"/>
        <v>0.60653065971263342</v>
      </c>
    </row>
    <row r="35" spans="2:38">
      <c r="B35" s="411" t="s">
        <v>665</v>
      </c>
      <c r="C35" s="412" t="s">
        <v>666</v>
      </c>
      <c r="D35" s="414">
        <v>1</v>
      </c>
      <c r="E35" s="414">
        <v>1</v>
      </c>
      <c r="F35" s="414">
        <v>1</v>
      </c>
      <c r="G35" s="414">
        <v>1</v>
      </c>
      <c r="H35" s="414">
        <v>1</v>
      </c>
      <c r="I35" s="414">
        <v>1</v>
      </c>
      <c r="J35" s="414">
        <v>1</v>
      </c>
      <c r="K35" s="414">
        <v>1</v>
      </c>
      <c r="L35" s="414">
        <v>1</v>
      </c>
      <c r="M35" s="414">
        <v>1</v>
      </c>
      <c r="N35" s="414">
        <v>1</v>
      </c>
      <c r="O35" s="414">
        <v>1</v>
      </c>
      <c r="P35" s="414">
        <v>1</v>
      </c>
      <c r="Q35" s="414">
        <v>1</v>
      </c>
      <c r="R35" s="414">
        <v>1</v>
      </c>
      <c r="S35" s="414">
        <v>1</v>
      </c>
      <c r="T35" s="414">
        <v>1</v>
      </c>
      <c r="U35" s="414">
        <v>1</v>
      </c>
      <c r="V35" s="414">
        <v>1</v>
      </c>
      <c r="W35" s="414">
        <v>1</v>
      </c>
      <c r="X35" s="414">
        <v>1</v>
      </c>
      <c r="Y35" s="414">
        <v>1</v>
      </c>
      <c r="Z35" s="414">
        <v>1</v>
      </c>
      <c r="AA35" s="414">
        <v>1</v>
      </c>
      <c r="AB35" s="414">
        <v>1</v>
      </c>
      <c r="AC35" s="414">
        <v>1</v>
      </c>
      <c r="AD35" s="414">
        <v>1</v>
      </c>
      <c r="AE35" s="414">
        <v>1</v>
      </c>
      <c r="AF35" s="414">
        <v>1</v>
      </c>
      <c r="AG35" s="414">
        <v>1</v>
      </c>
      <c r="AH35" s="414">
        <v>1</v>
      </c>
      <c r="AI35" s="414">
        <v>1</v>
      </c>
      <c r="AJ35" s="414">
        <v>1</v>
      </c>
      <c r="AK35" s="414">
        <v>1</v>
      </c>
      <c r="AL35" s="414">
        <v>1</v>
      </c>
    </row>
    <row r="36" spans="2:38" s="421" customFormat="1" ht="13">
      <c r="B36" s="418"/>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row>
    <row r="37" spans="2:38" s="421" customFormat="1" ht="13">
      <c r="B37" s="422" t="s">
        <v>667</v>
      </c>
      <c r="C37" s="408"/>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c r="B38" s="411" t="s">
        <v>653</v>
      </c>
      <c r="C38" s="412" t="s">
        <v>654</v>
      </c>
      <c r="D38" s="423">
        <f>((D$14*D$15+0.2)/0.2)^(0.2953)</f>
        <v>11.065121180767468</v>
      </c>
      <c r="E38" s="423">
        <f t="shared" ref="E38:AL38" si="13">((E$14*E$15+0.2)/0.2)^(0.2953)</f>
        <v>11.195297263256993</v>
      </c>
      <c r="F38" s="423">
        <f t="shared" si="13"/>
        <v>11.327006278893263</v>
      </c>
      <c r="G38" s="423">
        <f t="shared" si="13"/>
        <v>11.460266238762005</v>
      </c>
      <c r="H38" s="423">
        <f t="shared" si="13"/>
        <v>11.595095366681592</v>
      </c>
      <c r="I38" s="423">
        <f t="shared" si="13"/>
        <v>11.731512101685158</v>
      </c>
      <c r="J38" s="423">
        <f t="shared" si="13"/>
        <v>11.869535100532358</v>
      </c>
      <c r="K38" s="423">
        <f t="shared" si="13"/>
        <v>12.009183240251362</v>
      </c>
      <c r="L38" s="423">
        <f t="shared" si="13"/>
        <v>12.150475620711278</v>
      </c>
      <c r="M38" s="423">
        <f t="shared" si="13"/>
        <v>12.293431567225372</v>
      </c>
      <c r="N38" s="423">
        <f t="shared" si="13"/>
        <v>12.438070633185458</v>
      </c>
      <c r="O38" s="423">
        <f t="shared" si="13"/>
        <v>12.58441260272782</v>
      </c>
      <c r="P38" s="423">
        <f t="shared" si="13"/>
        <v>12.732477493430967</v>
      </c>
      <c r="Q38" s="423">
        <f t="shared" si="13"/>
        <v>12.882285559045615</v>
      </c>
      <c r="R38" s="423">
        <f t="shared" si="13"/>
        <v>13.033857292257297</v>
      </c>
      <c r="S38" s="423">
        <f t="shared" si="13"/>
        <v>13.187213427481931</v>
      </c>
      <c r="T38" s="423">
        <f t="shared" si="13"/>
        <v>13.34237494369469</v>
      </c>
      <c r="U38" s="423">
        <f t="shared" si="13"/>
        <v>13.49936306729267</v>
      </c>
      <c r="V38" s="423">
        <f t="shared" si="13"/>
        <v>13.658199274991556</v>
      </c>
      <c r="W38" s="423">
        <f t="shared" si="13"/>
        <v>13.818905296756903</v>
      </c>
      <c r="X38" s="423">
        <f t="shared" si="13"/>
        <v>13.981503118770222</v>
      </c>
      <c r="Y38" s="423">
        <f t="shared" si="13"/>
        <v>14.14601498643041</v>
      </c>
      <c r="Z38" s="423">
        <f t="shared" si="13"/>
        <v>14.312463407390831</v>
      </c>
      <c r="AA38" s="423">
        <f t="shared" si="13"/>
        <v>14.480871154632565</v>
      </c>
      <c r="AB38" s="423">
        <f t="shared" si="13"/>
        <v>14.651261269574086</v>
      </c>
      <c r="AC38" s="423">
        <f t="shared" si="13"/>
        <v>14.823657065218002</v>
      </c>
      <c r="AD38" s="423">
        <f t="shared" si="13"/>
        <v>14.998082129335051</v>
      </c>
      <c r="AE38" s="423">
        <f t="shared" si="13"/>
        <v>15.174560327685924</v>
      </c>
      <c r="AF38" s="423">
        <f t="shared" si="13"/>
        <v>15.353115807281403</v>
      </c>
      <c r="AG38" s="423">
        <f t="shared" si="13"/>
        <v>15.533772999681034</v>
      </c>
      <c r="AH38" s="423">
        <f t="shared" si="13"/>
        <v>15.716556624331032</v>
      </c>
      <c r="AI38" s="423">
        <f t="shared" si="13"/>
        <v>15.901491691941722</v>
      </c>
      <c r="AJ38" s="423">
        <f t="shared" si="13"/>
        <v>16.088603507904978</v>
      </c>
      <c r="AK38" s="423">
        <f t="shared" si="13"/>
        <v>16.277917675752224</v>
      </c>
      <c r="AL38" s="423">
        <f t="shared" si="13"/>
        <v>16.469460100653325</v>
      </c>
    </row>
    <row r="39" spans="2:38" s="421" customFormat="1">
      <c r="B39" s="411" t="s">
        <v>655</v>
      </c>
      <c r="C39" s="412" t="s">
        <v>656</v>
      </c>
      <c r="D39" s="414">
        <f t="shared" ref="D39:AL39" si="14">EXP(0.1088*$D$9)</f>
        <v>1</v>
      </c>
      <c r="E39" s="414">
        <f t="shared" si="14"/>
        <v>1</v>
      </c>
      <c r="F39" s="414">
        <f t="shared" si="14"/>
        <v>1</v>
      </c>
      <c r="G39" s="414">
        <f t="shared" si="14"/>
        <v>1</v>
      </c>
      <c r="H39" s="414">
        <f t="shared" si="14"/>
        <v>1</v>
      </c>
      <c r="I39" s="414">
        <f t="shared" si="14"/>
        <v>1</v>
      </c>
      <c r="J39" s="414">
        <f t="shared" si="14"/>
        <v>1</v>
      </c>
      <c r="K39" s="414">
        <f t="shared" si="14"/>
        <v>1</v>
      </c>
      <c r="L39" s="414">
        <f t="shared" si="14"/>
        <v>1</v>
      </c>
      <c r="M39" s="414">
        <f t="shared" si="14"/>
        <v>1</v>
      </c>
      <c r="N39" s="414">
        <f t="shared" si="14"/>
        <v>1</v>
      </c>
      <c r="O39" s="414">
        <f t="shared" si="14"/>
        <v>1</v>
      </c>
      <c r="P39" s="414">
        <f t="shared" si="14"/>
        <v>1</v>
      </c>
      <c r="Q39" s="414">
        <f t="shared" si="14"/>
        <v>1</v>
      </c>
      <c r="R39" s="414">
        <f t="shared" si="14"/>
        <v>1</v>
      </c>
      <c r="S39" s="414">
        <f t="shared" si="14"/>
        <v>1</v>
      </c>
      <c r="T39" s="414">
        <f t="shared" si="14"/>
        <v>1</v>
      </c>
      <c r="U39" s="414">
        <f t="shared" si="14"/>
        <v>1</v>
      </c>
      <c r="V39" s="414">
        <f t="shared" si="14"/>
        <v>1</v>
      </c>
      <c r="W39" s="414">
        <f t="shared" si="14"/>
        <v>1</v>
      </c>
      <c r="X39" s="414">
        <f t="shared" si="14"/>
        <v>1</v>
      </c>
      <c r="Y39" s="414">
        <f t="shared" si="14"/>
        <v>1</v>
      </c>
      <c r="Z39" s="414">
        <f t="shared" si="14"/>
        <v>1</v>
      </c>
      <c r="AA39" s="414">
        <f t="shared" si="14"/>
        <v>1</v>
      </c>
      <c r="AB39" s="414">
        <f t="shared" si="14"/>
        <v>1</v>
      </c>
      <c r="AC39" s="414">
        <f t="shared" si="14"/>
        <v>1</v>
      </c>
      <c r="AD39" s="414">
        <f t="shared" si="14"/>
        <v>1</v>
      </c>
      <c r="AE39" s="414">
        <f t="shared" si="14"/>
        <v>1</v>
      </c>
      <c r="AF39" s="414">
        <f t="shared" si="14"/>
        <v>1</v>
      </c>
      <c r="AG39" s="414">
        <f t="shared" si="14"/>
        <v>1</v>
      </c>
      <c r="AH39" s="414">
        <f t="shared" si="14"/>
        <v>1</v>
      </c>
      <c r="AI39" s="414">
        <f t="shared" si="14"/>
        <v>1</v>
      </c>
      <c r="AJ39" s="414">
        <f t="shared" si="14"/>
        <v>1</v>
      </c>
      <c r="AK39" s="414">
        <f t="shared" si="14"/>
        <v>1</v>
      </c>
      <c r="AL39" s="414">
        <f t="shared" si="14"/>
        <v>1</v>
      </c>
    </row>
    <row r="40" spans="2:38" s="421" customFormat="1">
      <c r="B40" s="411" t="s">
        <v>657</v>
      </c>
      <c r="C40" s="416" t="s">
        <v>658</v>
      </c>
      <c r="D40" s="417">
        <f>((D$17+0.2)/0.2)^(0.047)</f>
        <v>1.0883102770199353</v>
      </c>
      <c r="E40" s="417">
        <f t="shared" ref="E40:AL40" si="15">((E$17+0.2)/0.2)^(0.047)</f>
        <v>1.0887612740878003</v>
      </c>
      <c r="F40" s="417">
        <f t="shared" si="15"/>
        <v>1.0892132384111224</v>
      </c>
      <c r="G40" s="417">
        <f t="shared" si="15"/>
        <v>1.0896661655079605</v>
      </c>
      <c r="H40" s="417">
        <f t="shared" si="15"/>
        <v>1.090120050905572</v>
      </c>
      <c r="I40" s="417">
        <f t="shared" si="15"/>
        <v>1.0905748901407866</v>
      </c>
      <c r="J40" s="417">
        <f t="shared" si="15"/>
        <v>1.0910306787603721</v>
      </c>
      <c r="K40" s="417">
        <f t="shared" si="15"/>
        <v>1.0914874123213936</v>
      </c>
      <c r="L40" s="417">
        <f t="shared" si="15"/>
        <v>1.0919450863915652</v>
      </c>
      <c r="M40" s="417">
        <f t="shared" si="15"/>
        <v>1.0924036965495967</v>
      </c>
      <c r="N40" s="417">
        <f t="shared" si="15"/>
        <v>1.0928632383855312</v>
      </c>
      <c r="O40" s="417">
        <f t="shared" si="15"/>
        <v>1.0933237075010782</v>
      </c>
      <c r="P40" s="417">
        <f t="shared" si="15"/>
        <v>1.0937850995099379</v>
      </c>
      <c r="Q40" s="417">
        <f t="shared" si="15"/>
        <v>1.0942474100381201</v>
      </c>
      <c r="R40" s="417">
        <f t="shared" si="15"/>
        <v>1.0947106347242561</v>
      </c>
      <c r="S40" s="417">
        <f t="shared" si="15"/>
        <v>1.0951747692199041</v>
      </c>
      <c r="T40" s="417">
        <f t="shared" si="15"/>
        <v>1.0956398091898469</v>
      </c>
      <c r="U40" s="417">
        <f t="shared" si="15"/>
        <v>1.0961057503123854</v>
      </c>
      <c r="V40" s="417">
        <f t="shared" si="15"/>
        <v>1.0965725882796231</v>
      </c>
      <c r="W40" s="417">
        <f t="shared" si="15"/>
        <v>1.0970403187977449</v>
      </c>
      <c r="X40" s="417">
        <f t="shared" si="15"/>
        <v>1.0975089375872908</v>
      </c>
      <c r="Y40" s="417">
        <f t="shared" si="15"/>
        <v>1.0979784403834214</v>
      </c>
      <c r="Z40" s="417">
        <f t="shared" si="15"/>
        <v>1.0984488229361773</v>
      </c>
      <c r="AA40" s="417">
        <f t="shared" si="15"/>
        <v>1.0989200810107336</v>
      </c>
      <c r="AB40" s="417">
        <f t="shared" si="15"/>
        <v>1.0993922103876466</v>
      </c>
      <c r="AC40" s="417">
        <f t="shared" si="15"/>
        <v>1.0998652068630947</v>
      </c>
      <c r="AD40" s="417">
        <f t="shared" si="15"/>
        <v>1.1003390662491142</v>
      </c>
      <c r="AE40" s="417">
        <f t="shared" si="15"/>
        <v>1.1008137843738262</v>
      </c>
      <c r="AF40" s="417">
        <f t="shared" si="15"/>
        <v>1.101289357081662</v>
      </c>
      <c r="AG40" s="417">
        <f t="shared" si="15"/>
        <v>1.1017657802335772</v>
      </c>
      <c r="AH40" s="417">
        <f t="shared" si="15"/>
        <v>1.1022430497072639</v>
      </c>
      <c r="AI40" s="417">
        <f t="shared" si="15"/>
        <v>1.1027211613973558</v>
      </c>
      <c r="AJ40" s="417">
        <f t="shared" si="15"/>
        <v>1.103200111215626</v>
      </c>
      <c r="AK40" s="417">
        <f t="shared" si="15"/>
        <v>1.1036798950911813</v>
      </c>
      <c r="AL40" s="417">
        <f t="shared" si="15"/>
        <v>1.1041605089706492</v>
      </c>
    </row>
    <row r="41" spans="2:38" s="421" customFormat="1">
      <c r="B41" s="411" t="s">
        <v>659</v>
      </c>
      <c r="C41" s="412" t="s">
        <v>660</v>
      </c>
      <c r="D41" s="414">
        <v>1</v>
      </c>
      <c r="E41" s="414">
        <v>1</v>
      </c>
      <c r="F41" s="414">
        <v>1</v>
      </c>
      <c r="G41" s="414">
        <v>1</v>
      </c>
      <c r="H41" s="414">
        <v>1</v>
      </c>
      <c r="I41" s="414">
        <v>1</v>
      </c>
      <c r="J41" s="414">
        <v>1</v>
      </c>
      <c r="K41" s="414">
        <v>1</v>
      </c>
      <c r="L41" s="414">
        <v>1</v>
      </c>
      <c r="M41" s="414">
        <v>1</v>
      </c>
      <c r="N41" s="414">
        <v>1</v>
      </c>
      <c r="O41" s="414">
        <v>1</v>
      </c>
      <c r="P41" s="414">
        <v>1</v>
      </c>
      <c r="Q41" s="414">
        <v>1</v>
      </c>
      <c r="R41" s="414">
        <v>1</v>
      </c>
      <c r="S41" s="414">
        <v>1</v>
      </c>
      <c r="T41" s="414">
        <v>1</v>
      </c>
      <c r="U41" s="414">
        <v>1</v>
      </c>
      <c r="V41" s="414">
        <v>1</v>
      </c>
      <c r="W41" s="414">
        <v>1</v>
      </c>
      <c r="X41" s="414">
        <v>1</v>
      </c>
      <c r="Y41" s="414">
        <v>1</v>
      </c>
      <c r="Z41" s="414">
        <v>1</v>
      </c>
      <c r="AA41" s="414">
        <v>1</v>
      </c>
      <c r="AB41" s="414">
        <v>1</v>
      </c>
      <c r="AC41" s="414">
        <v>1</v>
      </c>
      <c r="AD41" s="414">
        <v>1</v>
      </c>
      <c r="AE41" s="414">
        <v>1</v>
      </c>
      <c r="AF41" s="414">
        <v>1</v>
      </c>
      <c r="AG41" s="414">
        <v>1</v>
      </c>
      <c r="AH41" s="414">
        <v>1</v>
      </c>
      <c r="AI41" s="414">
        <v>1</v>
      </c>
      <c r="AJ41" s="414">
        <v>1</v>
      </c>
      <c r="AK41" s="414">
        <v>1</v>
      </c>
      <c r="AL41" s="414">
        <v>1</v>
      </c>
    </row>
    <row r="42" spans="2:38" s="421" customFormat="1">
      <c r="B42" s="411" t="s">
        <v>661</v>
      </c>
      <c r="C42" s="412" t="s">
        <v>662</v>
      </c>
      <c r="D42" s="414">
        <v>1</v>
      </c>
      <c r="E42" s="414">
        <v>1</v>
      </c>
      <c r="F42" s="414">
        <v>1</v>
      </c>
      <c r="G42" s="414">
        <v>1</v>
      </c>
      <c r="H42" s="414">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663</v>
      </c>
      <c r="C43" s="412" t="s">
        <v>664</v>
      </c>
      <c r="D43" s="414">
        <v>1</v>
      </c>
      <c r="E43" s="414">
        <v>1</v>
      </c>
      <c r="F43" s="414">
        <v>1</v>
      </c>
      <c r="G43" s="414">
        <v>1</v>
      </c>
      <c r="H43" s="414">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665</v>
      </c>
      <c r="C44" s="412" t="s">
        <v>666</v>
      </c>
      <c r="D44" s="414">
        <f t="shared" ref="D44:AL44" si="16">EXP(0.138*($D$10-1))</f>
        <v>1.1479755502741786</v>
      </c>
      <c r="E44" s="414">
        <f t="shared" si="16"/>
        <v>1.1479755502741786</v>
      </c>
      <c r="F44" s="414">
        <f t="shared" si="16"/>
        <v>1.1479755502741786</v>
      </c>
      <c r="G44" s="414">
        <f t="shared" si="16"/>
        <v>1.1479755502741786</v>
      </c>
      <c r="H44" s="414">
        <f t="shared" si="16"/>
        <v>1.1479755502741786</v>
      </c>
      <c r="I44" s="414">
        <f t="shared" si="16"/>
        <v>1.1479755502741786</v>
      </c>
      <c r="J44" s="414">
        <f t="shared" si="16"/>
        <v>1.1479755502741786</v>
      </c>
      <c r="K44" s="414">
        <f t="shared" si="16"/>
        <v>1.1479755502741786</v>
      </c>
      <c r="L44" s="414">
        <f t="shared" si="16"/>
        <v>1.1479755502741786</v>
      </c>
      <c r="M44" s="414">
        <f t="shared" si="16"/>
        <v>1.1479755502741786</v>
      </c>
      <c r="N44" s="414">
        <f t="shared" si="16"/>
        <v>1.1479755502741786</v>
      </c>
      <c r="O44" s="414">
        <f t="shared" si="16"/>
        <v>1.1479755502741786</v>
      </c>
      <c r="P44" s="414">
        <f t="shared" si="16"/>
        <v>1.1479755502741786</v>
      </c>
      <c r="Q44" s="414">
        <f t="shared" si="16"/>
        <v>1.1479755502741786</v>
      </c>
      <c r="R44" s="414">
        <f t="shared" si="16"/>
        <v>1.1479755502741786</v>
      </c>
      <c r="S44" s="414">
        <f t="shared" si="16"/>
        <v>1.1479755502741786</v>
      </c>
      <c r="T44" s="414">
        <f t="shared" si="16"/>
        <v>1.1479755502741786</v>
      </c>
      <c r="U44" s="414">
        <f t="shared" si="16"/>
        <v>1.1479755502741786</v>
      </c>
      <c r="V44" s="414">
        <f t="shared" si="16"/>
        <v>1.1479755502741786</v>
      </c>
      <c r="W44" s="414">
        <f t="shared" si="16"/>
        <v>1.1479755502741786</v>
      </c>
      <c r="X44" s="414">
        <f t="shared" si="16"/>
        <v>1.1479755502741786</v>
      </c>
      <c r="Y44" s="414">
        <f t="shared" si="16"/>
        <v>1.1479755502741786</v>
      </c>
      <c r="Z44" s="414">
        <f t="shared" si="16"/>
        <v>1.1479755502741786</v>
      </c>
      <c r="AA44" s="414">
        <f t="shared" si="16"/>
        <v>1.1479755502741786</v>
      </c>
      <c r="AB44" s="414">
        <f t="shared" si="16"/>
        <v>1.1479755502741786</v>
      </c>
      <c r="AC44" s="414">
        <f t="shared" si="16"/>
        <v>1.1479755502741786</v>
      </c>
      <c r="AD44" s="414">
        <f t="shared" si="16"/>
        <v>1.1479755502741786</v>
      </c>
      <c r="AE44" s="414">
        <f t="shared" si="16"/>
        <v>1.1479755502741786</v>
      </c>
      <c r="AF44" s="414">
        <f t="shared" si="16"/>
        <v>1.1479755502741786</v>
      </c>
      <c r="AG44" s="414">
        <f t="shared" si="16"/>
        <v>1.1479755502741786</v>
      </c>
      <c r="AH44" s="414">
        <f t="shared" si="16"/>
        <v>1.1479755502741786</v>
      </c>
      <c r="AI44" s="414">
        <f t="shared" si="16"/>
        <v>1.1479755502741786</v>
      </c>
      <c r="AJ44" s="414">
        <f t="shared" si="16"/>
        <v>1.1479755502741786</v>
      </c>
      <c r="AK44" s="414">
        <f t="shared" si="16"/>
        <v>1.1479755502741786</v>
      </c>
      <c r="AL44" s="414">
        <f t="shared" si="16"/>
        <v>1.1479755502741786</v>
      </c>
    </row>
    <row r="45" spans="2:38" s="421" customFormat="1" ht="13">
      <c r="B45" s="418"/>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row>
    <row r="46" spans="2:38" s="421" customFormat="1" ht="13">
      <c r="B46" s="422" t="s">
        <v>668</v>
      </c>
      <c r="C46" s="408"/>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c r="B47" s="411" t="s">
        <v>653</v>
      </c>
      <c r="C47" s="412" t="s">
        <v>654</v>
      </c>
      <c r="D47" s="423">
        <f>((D$14*D$15+0.2)/0.2)^(0.3116)</f>
        <v>12.635155048630516</v>
      </c>
      <c r="E47" s="423">
        <f t="shared" ref="E47:AL47" si="17">((E$14*E$15+0.2)/0.2)^(0.3116)</f>
        <v>12.792057623202203</v>
      </c>
      <c r="F47" s="423">
        <f t="shared" si="17"/>
        <v>12.950910379171482</v>
      </c>
      <c r="G47" s="423">
        <f t="shared" si="17"/>
        <v>13.111737508090084</v>
      </c>
      <c r="H47" s="423">
        <f t="shared" si="17"/>
        <v>13.274563502882328</v>
      </c>
      <c r="I47" s="423">
        <f t="shared" si="17"/>
        <v>13.439413161565186</v>
      </c>
      <c r="J47" s="423">
        <f t="shared" si="17"/>
        <v>13.606311591015055</v>
      </c>
      <c r="K47" s="423">
        <f t="shared" si="17"/>
        <v>13.775284210782024</v>
      </c>
      <c r="L47" s="423">
        <f t="shared" si="17"/>
        <v>13.946356756952087</v>
      </c>
      <c r="M47" s="423">
        <f t="shared" si="17"/>
        <v>14.119555286057876</v>
      </c>
      <c r="N47" s="423">
        <f t="shared" si="17"/>
        <v>14.294906179038561</v>
      </c>
      <c r="O47" s="423">
        <f t="shared" si="17"/>
        <v>14.472436145249539</v>
      </c>
      <c r="P47" s="423">
        <f t="shared" si="17"/>
        <v>14.652172226522328</v>
      </c>
      <c r="Q47" s="423">
        <f t="shared" si="17"/>
        <v>14.834141801275551</v>
      </c>
      <c r="R47" s="423">
        <f t="shared" si="17"/>
        <v>15.0183725886774</v>
      </c>
      <c r="S47" s="423">
        <f t="shared" si="17"/>
        <v>15.204892652860357</v>
      </c>
      <c r="T47" s="423">
        <f t="shared" si="17"/>
        <v>15.3937304071887</v>
      </c>
      <c r="U47" s="423">
        <f t="shared" si="17"/>
        <v>15.584914618579498</v>
      </c>
      <c r="V47" s="423">
        <f t="shared" si="17"/>
        <v>15.778474411877756</v>
      </c>
      <c r="W47" s="423">
        <f t="shared" si="17"/>
        <v>15.974439274286322</v>
      </c>
      <c r="X47" s="423">
        <f t="shared" si="17"/>
        <v>16.17283905985127</v>
      </c>
      <c r="Y47" s="423">
        <f t="shared" si="17"/>
        <v>16.373703994003371</v>
      </c>
      <c r="Z47" s="423">
        <f t="shared" si="17"/>
        <v>16.577064678156479</v>
      </c>
      <c r="AA47" s="423">
        <f t="shared" si="17"/>
        <v>16.782952094363349</v>
      </c>
      <c r="AB47" s="423">
        <f t="shared" si="17"/>
        <v>16.991397610029654</v>
      </c>
      <c r="AC47" s="423">
        <f t="shared" si="17"/>
        <v>17.202432982687061</v>
      </c>
      <c r="AD47" s="423">
        <f t="shared" si="17"/>
        <v>17.416090364825827</v>
      </c>
      <c r="AE47" s="423">
        <f t="shared" si="17"/>
        <v>17.632402308787828</v>
      </c>
      <c r="AF47" s="423">
        <f t="shared" si="17"/>
        <v>17.85140177172077</v>
      </c>
      <c r="AG47" s="423">
        <f t="shared" si="17"/>
        <v>18.073122120594142</v>
      </c>
      <c r="AH47" s="423">
        <f t="shared" si="17"/>
        <v>18.297597137277982</v>
      </c>
      <c r="AI47" s="423">
        <f t="shared" si="17"/>
        <v>18.524861023684878</v>
      </c>
      <c r="AJ47" s="423">
        <f t="shared" si="17"/>
        <v>18.754948406976261</v>
      </c>
      <c r="AK47" s="423">
        <f t="shared" si="17"/>
        <v>18.987894344833649</v>
      </c>
      <c r="AL47" s="423">
        <f t="shared" si="17"/>
        <v>19.223734330795612</v>
      </c>
    </row>
    <row r="48" spans="2:38" s="421" customFormat="1">
      <c r="B48" s="411" t="s">
        <v>655</v>
      </c>
      <c r="C48" s="412" t="s">
        <v>656</v>
      </c>
      <c r="D48" s="414">
        <f t="shared" ref="D48:AL48" si="18">EXP(0.2912*$D$9)</f>
        <v>1</v>
      </c>
      <c r="E48" s="414">
        <f t="shared" si="18"/>
        <v>1</v>
      </c>
      <c r="F48" s="414">
        <f t="shared" si="18"/>
        <v>1</v>
      </c>
      <c r="G48" s="414">
        <f t="shared" si="18"/>
        <v>1</v>
      </c>
      <c r="H48" s="414">
        <f t="shared" si="18"/>
        <v>1</v>
      </c>
      <c r="I48" s="414">
        <f t="shared" si="18"/>
        <v>1</v>
      </c>
      <c r="J48" s="414">
        <f t="shared" si="18"/>
        <v>1</v>
      </c>
      <c r="K48" s="414">
        <f t="shared" si="18"/>
        <v>1</v>
      </c>
      <c r="L48" s="414">
        <f t="shared" si="18"/>
        <v>1</v>
      </c>
      <c r="M48" s="414">
        <f t="shared" si="18"/>
        <v>1</v>
      </c>
      <c r="N48" s="414">
        <f t="shared" si="18"/>
        <v>1</v>
      </c>
      <c r="O48" s="414">
        <f t="shared" si="18"/>
        <v>1</v>
      </c>
      <c r="P48" s="414">
        <f t="shared" si="18"/>
        <v>1</v>
      </c>
      <c r="Q48" s="414">
        <f t="shared" si="18"/>
        <v>1</v>
      </c>
      <c r="R48" s="414">
        <f t="shared" si="18"/>
        <v>1</v>
      </c>
      <c r="S48" s="414">
        <f t="shared" si="18"/>
        <v>1</v>
      </c>
      <c r="T48" s="414">
        <f t="shared" si="18"/>
        <v>1</v>
      </c>
      <c r="U48" s="414">
        <f t="shared" si="18"/>
        <v>1</v>
      </c>
      <c r="V48" s="414">
        <f t="shared" si="18"/>
        <v>1</v>
      </c>
      <c r="W48" s="414">
        <f t="shared" si="18"/>
        <v>1</v>
      </c>
      <c r="X48" s="414">
        <f t="shared" si="18"/>
        <v>1</v>
      </c>
      <c r="Y48" s="414">
        <f t="shared" si="18"/>
        <v>1</v>
      </c>
      <c r="Z48" s="414">
        <f t="shared" si="18"/>
        <v>1</v>
      </c>
      <c r="AA48" s="414">
        <f t="shared" si="18"/>
        <v>1</v>
      </c>
      <c r="AB48" s="414">
        <f t="shared" si="18"/>
        <v>1</v>
      </c>
      <c r="AC48" s="414">
        <f t="shared" si="18"/>
        <v>1</v>
      </c>
      <c r="AD48" s="414">
        <f t="shared" si="18"/>
        <v>1</v>
      </c>
      <c r="AE48" s="414">
        <f t="shared" si="18"/>
        <v>1</v>
      </c>
      <c r="AF48" s="414">
        <f t="shared" si="18"/>
        <v>1</v>
      </c>
      <c r="AG48" s="414">
        <f t="shared" si="18"/>
        <v>1</v>
      </c>
      <c r="AH48" s="414">
        <f t="shared" si="18"/>
        <v>1</v>
      </c>
      <c r="AI48" s="414">
        <f t="shared" si="18"/>
        <v>1</v>
      </c>
      <c r="AJ48" s="414">
        <f t="shared" si="18"/>
        <v>1</v>
      </c>
      <c r="AK48" s="414">
        <f t="shared" si="18"/>
        <v>1</v>
      </c>
      <c r="AL48" s="414">
        <f t="shared" si="18"/>
        <v>1</v>
      </c>
    </row>
    <row r="49" spans="2:38" s="421" customFormat="1">
      <c r="B49" s="411" t="s">
        <v>657</v>
      </c>
      <c r="C49" s="416" t="s">
        <v>658</v>
      </c>
      <c r="D49" s="414">
        <v>1</v>
      </c>
      <c r="E49" s="414">
        <v>1</v>
      </c>
      <c r="F49" s="414">
        <v>1</v>
      </c>
      <c r="G49" s="414">
        <v>1</v>
      </c>
      <c r="H49" s="414">
        <v>1</v>
      </c>
      <c r="I49" s="414">
        <v>1</v>
      </c>
      <c r="J49" s="414">
        <v>1</v>
      </c>
      <c r="K49" s="414">
        <v>1</v>
      </c>
      <c r="L49" s="414">
        <v>1</v>
      </c>
      <c r="M49" s="414">
        <v>1</v>
      </c>
      <c r="N49" s="414">
        <v>1</v>
      </c>
      <c r="O49" s="414">
        <v>1</v>
      </c>
      <c r="P49" s="414">
        <v>1</v>
      </c>
      <c r="Q49" s="414">
        <v>1</v>
      </c>
      <c r="R49" s="414">
        <v>1</v>
      </c>
      <c r="S49" s="414">
        <v>1</v>
      </c>
      <c r="T49" s="414">
        <v>1</v>
      </c>
      <c r="U49" s="414">
        <v>1</v>
      </c>
      <c r="V49" s="414">
        <v>1</v>
      </c>
      <c r="W49" s="414">
        <v>1</v>
      </c>
      <c r="X49" s="414">
        <v>1</v>
      </c>
      <c r="Y49" s="414">
        <v>1</v>
      </c>
      <c r="Z49" s="414">
        <v>1</v>
      </c>
      <c r="AA49" s="414">
        <v>1</v>
      </c>
      <c r="AB49" s="414">
        <v>1</v>
      </c>
      <c r="AC49" s="414">
        <v>1</v>
      </c>
      <c r="AD49" s="414">
        <v>1</v>
      </c>
      <c r="AE49" s="414">
        <v>1</v>
      </c>
      <c r="AF49" s="414">
        <v>1</v>
      </c>
      <c r="AG49" s="414">
        <v>1</v>
      </c>
      <c r="AH49" s="414">
        <v>1</v>
      </c>
      <c r="AI49" s="414">
        <v>1</v>
      </c>
      <c r="AJ49" s="414">
        <v>1</v>
      </c>
      <c r="AK49" s="414">
        <v>1</v>
      </c>
      <c r="AL49" s="414">
        <v>1</v>
      </c>
    </row>
    <row r="50" spans="2:38" s="421" customFormat="1">
      <c r="B50" s="411" t="s">
        <v>659</v>
      </c>
      <c r="C50" s="412" t="s">
        <v>660</v>
      </c>
      <c r="D50" s="414">
        <v>1</v>
      </c>
      <c r="E50" s="414">
        <v>1</v>
      </c>
      <c r="F50" s="414">
        <v>1</v>
      </c>
      <c r="G50" s="414">
        <v>1</v>
      </c>
      <c r="H50" s="414">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661</v>
      </c>
      <c r="C51" s="412" t="s">
        <v>662</v>
      </c>
      <c r="D51" s="414">
        <v>1</v>
      </c>
      <c r="E51" s="414">
        <v>1</v>
      </c>
      <c r="F51" s="414">
        <v>1</v>
      </c>
      <c r="G51" s="414">
        <v>1</v>
      </c>
      <c r="H51" s="414">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663</v>
      </c>
      <c r="C52" s="412" t="s">
        <v>664</v>
      </c>
      <c r="D52" s="414">
        <v>1</v>
      </c>
      <c r="E52" s="414">
        <v>1</v>
      </c>
      <c r="F52" s="414">
        <v>1</v>
      </c>
      <c r="G52" s="414">
        <v>1</v>
      </c>
      <c r="H52" s="414">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24" t="s">
        <v>665</v>
      </c>
      <c r="C53" s="425" t="s">
        <v>666</v>
      </c>
      <c r="D53" s="426">
        <f t="shared" ref="D53:AL53" si="19">EXP(0.1036*($D$10-1))</f>
        <v>1.1091567034898182</v>
      </c>
      <c r="E53" s="426">
        <f t="shared" si="19"/>
        <v>1.1091567034898182</v>
      </c>
      <c r="F53" s="426">
        <f t="shared" si="19"/>
        <v>1.1091567034898182</v>
      </c>
      <c r="G53" s="426">
        <f t="shared" si="19"/>
        <v>1.1091567034898182</v>
      </c>
      <c r="H53" s="426">
        <f t="shared" si="19"/>
        <v>1.1091567034898182</v>
      </c>
      <c r="I53" s="426">
        <f t="shared" si="19"/>
        <v>1.1091567034898182</v>
      </c>
      <c r="J53" s="426">
        <f t="shared" si="19"/>
        <v>1.1091567034898182</v>
      </c>
      <c r="K53" s="426">
        <f t="shared" si="19"/>
        <v>1.1091567034898182</v>
      </c>
      <c r="L53" s="426">
        <f t="shared" si="19"/>
        <v>1.1091567034898182</v>
      </c>
      <c r="M53" s="426">
        <f t="shared" si="19"/>
        <v>1.1091567034898182</v>
      </c>
      <c r="N53" s="426">
        <f t="shared" si="19"/>
        <v>1.1091567034898182</v>
      </c>
      <c r="O53" s="426">
        <f t="shared" si="19"/>
        <v>1.1091567034898182</v>
      </c>
      <c r="P53" s="426">
        <f t="shared" si="19"/>
        <v>1.1091567034898182</v>
      </c>
      <c r="Q53" s="426">
        <f t="shared" si="19"/>
        <v>1.1091567034898182</v>
      </c>
      <c r="R53" s="426">
        <f t="shared" si="19"/>
        <v>1.1091567034898182</v>
      </c>
      <c r="S53" s="426">
        <f t="shared" si="19"/>
        <v>1.1091567034898182</v>
      </c>
      <c r="T53" s="426">
        <f t="shared" si="19"/>
        <v>1.1091567034898182</v>
      </c>
      <c r="U53" s="426">
        <f t="shared" si="19"/>
        <v>1.1091567034898182</v>
      </c>
      <c r="V53" s="426">
        <f t="shared" si="19"/>
        <v>1.1091567034898182</v>
      </c>
      <c r="W53" s="426">
        <f t="shared" si="19"/>
        <v>1.1091567034898182</v>
      </c>
      <c r="X53" s="426">
        <f t="shared" si="19"/>
        <v>1.1091567034898182</v>
      </c>
      <c r="Y53" s="426">
        <f t="shared" si="19"/>
        <v>1.1091567034898182</v>
      </c>
      <c r="Z53" s="426">
        <f t="shared" si="19"/>
        <v>1.1091567034898182</v>
      </c>
      <c r="AA53" s="426">
        <f t="shared" si="19"/>
        <v>1.1091567034898182</v>
      </c>
      <c r="AB53" s="426">
        <f t="shared" si="19"/>
        <v>1.1091567034898182</v>
      </c>
      <c r="AC53" s="426">
        <f t="shared" si="19"/>
        <v>1.1091567034898182</v>
      </c>
      <c r="AD53" s="426">
        <f t="shared" si="19"/>
        <v>1.1091567034898182</v>
      </c>
      <c r="AE53" s="426">
        <f t="shared" si="19"/>
        <v>1.1091567034898182</v>
      </c>
      <c r="AF53" s="426">
        <f t="shared" si="19"/>
        <v>1.1091567034898182</v>
      </c>
      <c r="AG53" s="426">
        <f t="shared" si="19"/>
        <v>1.1091567034898182</v>
      </c>
      <c r="AH53" s="426">
        <f t="shared" si="19"/>
        <v>1.1091567034898182</v>
      </c>
      <c r="AI53" s="426">
        <f t="shared" si="19"/>
        <v>1.1091567034898182</v>
      </c>
      <c r="AJ53" s="426">
        <f t="shared" si="19"/>
        <v>1.1091567034898182</v>
      </c>
      <c r="AK53" s="426">
        <f t="shared" si="19"/>
        <v>1.1091567034898182</v>
      </c>
      <c r="AL53" s="426">
        <f t="shared" si="19"/>
        <v>1.1091567034898182</v>
      </c>
    </row>
    <row r="54" spans="2:38">
      <c r="B54" s="362"/>
      <c r="C54" s="427" t="s">
        <v>290</v>
      </c>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row>
    <row r="55" spans="2:38">
      <c r="B55" s="362" t="s">
        <v>669</v>
      </c>
      <c r="C55" s="428">
        <f>$E$6</f>
        <v>2.2680000000000001E-3</v>
      </c>
      <c r="D55" s="429">
        <f>IF($D$6=$B28,$C$55*PRODUCT(D$29:D$35),IF($D$6=$B37,$C$55*PRODUCT(D$38:D$44),$C$55*PRODUCT(D$47:D$53)))</f>
        <v>1.5106758916755635E-2</v>
      </c>
      <c r="E55" s="429">
        <f t="shared" ref="E55:AK55" si="20">IF($D$6=$B28,$C$55*PRODUCT(E$29:E$35),IF($D$6=$B37,$C$55*PRODUCT(E$38:E$44), $C$55*PRODUCT(E$47:E$53)))</f>
        <v>1.5325603527870234E-2</v>
      </c>
      <c r="F55" s="429">
        <f t="shared" si="20"/>
        <v>1.5547652382560595E-2</v>
      </c>
      <c r="G55" s="429">
        <f t="shared" si="20"/>
        <v>1.5772952565499921E-2</v>
      </c>
      <c r="H55" s="429">
        <f t="shared" si="20"/>
        <v>1.6001551855460126E-2</v>
      </c>
      <c r="I55" s="429">
        <f t="shared" si="20"/>
        <v>1.6233498735506835E-2</v>
      </c>
      <c r="J55" s="429">
        <f t="shared" si="20"/>
        <v>1.6468842403344973E-2</v>
      </c>
      <c r="K55" s="429">
        <f t="shared" si="20"/>
        <v>1.6707632781817409E-2</v>
      </c>
      <c r="L55" s="429">
        <f t="shared" si="20"/>
        <v>1.6949920529558706E-2</v>
      </c>
      <c r="M55" s="429">
        <f t="shared" si="20"/>
        <v>1.7195757051806208E-2</v>
      </c>
      <c r="N55" s="429">
        <f t="shared" si="20"/>
        <v>1.7445194511370967E-2</v>
      </c>
      <c r="O55" s="429">
        <f t="shared" si="20"/>
        <v>1.7698285839770719E-2</v>
      </c>
      <c r="P55" s="429">
        <f t="shared" si="20"/>
        <v>1.7955084748527219E-2</v>
      </c>
      <c r="Q55" s="429">
        <f t="shared" si="20"/>
        <v>1.8215645740630532E-2</v>
      </c>
      <c r="R55" s="429">
        <f t="shared" si="20"/>
        <v>1.848002412217253E-2</v>
      </c>
      <c r="S55" s="429">
        <f t="shared" si="20"/>
        <v>1.8748276014152254E-2</v>
      </c>
      <c r="T55" s="429">
        <f t="shared" si="20"/>
        <v>1.9020458364455463E-2</v>
      </c>
      <c r="U55" s="429">
        <f t="shared" si="20"/>
        <v>1.9296628960011188E-2</v>
      </c>
      <c r="V55" s="429">
        <f t="shared" si="20"/>
        <v>1.9576846439127507E-2</v>
      </c>
      <c r="W55" s="429">
        <f t="shared" si="20"/>
        <v>1.9861170304009669E-2</v>
      </c>
      <c r="X55" s="429">
        <f t="shared" si="20"/>
        <v>2.0149660933462675E-2</v>
      </c>
      <c r="Y55" s="429">
        <f t="shared" si="20"/>
        <v>2.0442379595781601E-2</v>
      </c>
      <c r="Z55" s="429">
        <f t="shared" si="20"/>
        <v>2.0739388461831886E-2</v>
      </c>
      <c r="AA55" s="429">
        <f t="shared" si="20"/>
        <v>2.1040750618322793E-2</v>
      </c>
      <c r="AB55" s="429">
        <f t="shared" si="20"/>
        <v>2.1346530081276578E-2</v>
      </c>
      <c r="AC55" s="429">
        <f t="shared" si="20"/>
        <v>2.1656791809696478E-2</v>
      </c>
      <c r="AD55" s="429">
        <f t="shared" si="20"/>
        <v>2.1971601719436226E-2</v>
      </c>
      <c r="AE55" s="429">
        <f t="shared" si="20"/>
        <v>2.2291026697274192E-2</v>
      </c>
      <c r="AF55" s="429">
        <f t="shared" si="20"/>
        <v>2.261513461519515E-2</v>
      </c>
      <c r="AG55" s="429">
        <f t="shared" si="20"/>
        <v>2.29439943448826E-2</v>
      </c>
      <c r="AH55" s="429">
        <f t="shared" si="20"/>
        <v>2.3277675772424868E-2</v>
      </c>
      <c r="AI55" s="429">
        <f t="shared" si="20"/>
        <v>2.3616249813238142E-2</v>
      </c>
      <c r="AJ55" s="429">
        <f t="shared" si="20"/>
        <v>2.3959788427209413E-2</v>
      </c>
      <c r="AK55" s="429">
        <f t="shared" si="20"/>
        <v>2.4308364634062826E-2</v>
      </c>
      <c r="AL55" s="429">
        <f t="shared" ref="AL55" si="21">IF($D$6=$B28,$C$55*PRODUCT(AL$29:AL$35),IF($D$6=$B37,$C$55*PRODUCT(AL$38:AL$44), $C$55*PRODUCT(AL$47:AL$53)))</f>
        <v>2.4662052528952566E-2</v>
      </c>
    </row>
    <row r="57" spans="2:38" ht="13">
      <c r="B57" s="407" t="s">
        <v>670</v>
      </c>
      <c r="C57" s="396" t="s">
        <v>627</v>
      </c>
      <c r="D57" s="397">
        <v>2018</v>
      </c>
      <c r="E57" s="397">
        <v>2020</v>
      </c>
      <c r="F57" s="397">
        <v>2021</v>
      </c>
      <c r="G57" s="397">
        <v>2022</v>
      </c>
      <c r="H57" s="397">
        <v>2023</v>
      </c>
      <c r="I57" s="397">
        <v>2024</v>
      </c>
      <c r="J57" s="397">
        <v>2025</v>
      </c>
      <c r="K57" s="397">
        <v>2026</v>
      </c>
      <c r="L57" s="397">
        <v>2027</v>
      </c>
      <c r="M57" s="397">
        <v>2028</v>
      </c>
      <c r="N57" s="397">
        <v>2029</v>
      </c>
      <c r="O57" s="397">
        <v>2030</v>
      </c>
      <c r="P57" s="397">
        <v>2031</v>
      </c>
      <c r="Q57" s="397">
        <v>2032</v>
      </c>
      <c r="R57" s="397">
        <v>2033</v>
      </c>
      <c r="S57" s="397">
        <v>2034</v>
      </c>
      <c r="T57" s="397">
        <v>2035</v>
      </c>
      <c r="U57" s="397">
        <v>2036</v>
      </c>
      <c r="V57" s="397">
        <v>2037</v>
      </c>
      <c r="W57" s="397">
        <v>2038</v>
      </c>
      <c r="X57" s="397">
        <v>2039</v>
      </c>
      <c r="Y57" s="397">
        <v>2040</v>
      </c>
      <c r="Z57" s="397">
        <v>2041</v>
      </c>
      <c r="AA57" s="397">
        <v>2042</v>
      </c>
      <c r="AB57" s="397">
        <v>2043</v>
      </c>
      <c r="AC57" s="397">
        <v>2044</v>
      </c>
      <c r="AD57" s="397">
        <v>2044</v>
      </c>
      <c r="AE57" s="397">
        <v>2044</v>
      </c>
      <c r="AF57" s="397">
        <v>2044</v>
      </c>
      <c r="AG57" s="397">
        <v>2044</v>
      </c>
      <c r="AH57" s="397">
        <v>2044</v>
      </c>
      <c r="AI57" s="397">
        <v>2044</v>
      </c>
      <c r="AJ57" s="397">
        <v>2044</v>
      </c>
      <c r="AK57" s="397">
        <v>2044</v>
      </c>
      <c r="AL57" s="397">
        <v>2044</v>
      </c>
    </row>
    <row r="58" spans="2:38" s="366" customFormat="1">
      <c r="B58" s="366" t="s">
        <v>671</v>
      </c>
      <c r="C58" s="430" t="s">
        <v>662</v>
      </c>
      <c r="D58" s="431">
        <f t="shared" ref="D58:AK58" si="22">D19^(-1.074)</f>
        <v>0.11486407065121609</v>
      </c>
      <c r="E58" s="432">
        <f t="shared" si="22"/>
        <v>0.11486407065121609</v>
      </c>
      <c r="F58" s="432">
        <f t="shared" si="22"/>
        <v>0.11486407065121609</v>
      </c>
      <c r="G58" s="432">
        <f t="shared" si="22"/>
        <v>0.11486407065121609</v>
      </c>
      <c r="H58" s="432">
        <f t="shared" si="22"/>
        <v>0.11486407065121609</v>
      </c>
      <c r="I58" s="432">
        <f t="shared" si="22"/>
        <v>0.11486407065121609</v>
      </c>
      <c r="J58" s="432">
        <f t="shared" si="22"/>
        <v>0.11486407065121609</v>
      </c>
      <c r="K58" s="432">
        <f t="shared" si="22"/>
        <v>0.11486407065121609</v>
      </c>
      <c r="L58" s="432">
        <f t="shared" si="22"/>
        <v>0.11486407065121609</v>
      </c>
      <c r="M58" s="432">
        <f t="shared" si="22"/>
        <v>0.11486407065121609</v>
      </c>
      <c r="N58" s="432">
        <f t="shared" si="22"/>
        <v>0.11486407065121609</v>
      </c>
      <c r="O58" s="432">
        <f t="shared" si="22"/>
        <v>0.11486407065121609</v>
      </c>
      <c r="P58" s="432">
        <f t="shared" si="22"/>
        <v>0.11486407065121609</v>
      </c>
      <c r="Q58" s="432">
        <f t="shared" si="22"/>
        <v>0.11486407065121609</v>
      </c>
      <c r="R58" s="432">
        <f t="shared" si="22"/>
        <v>0.11486407065121609</v>
      </c>
      <c r="S58" s="432">
        <f t="shared" si="22"/>
        <v>0.11486407065121609</v>
      </c>
      <c r="T58" s="432">
        <f t="shared" si="22"/>
        <v>0.11486407065121609</v>
      </c>
      <c r="U58" s="432">
        <f t="shared" si="22"/>
        <v>0.11486407065121609</v>
      </c>
      <c r="V58" s="432">
        <f t="shared" si="22"/>
        <v>0.11486407065121609</v>
      </c>
      <c r="W58" s="432">
        <f t="shared" si="22"/>
        <v>0.11486407065121609</v>
      </c>
      <c r="X58" s="432">
        <f t="shared" si="22"/>
        <v>0.11486407065121609</v>
      </c>
      <c r="Y58" s="432">
        <f t="shared" si="22"/>
        <v>0.11486407065121609</v>
      </c>
      <c r="Z58" s="432">
        <f t="shared" si="22"/>
        <v>0.11486407065121609</v>
      </c>
      <c r="AA58" s="432">
        <f t="shared" si="22"/>
        <v>0.11486407065121609</v>
      </c>
      <c r="AB58" s="432">
        <f t="shared" si="22"/>
        <v>0.11486407065121609</v>
      </c>
      <c r="AC58" s="432">
        <f t="shared" si="22"/>
        <v>0.11486407065121609</v>
      </c>
      <c r="AD58" s="432">
        <f t="shared" si="22"/>
        <v>0.11486407065121609</v>
      </c>
      <c r="AE58" s="432">
        <f t="shared" si="22"/>
        <v>0.11486407065121609</v>
      </c>
      <c r="AF58" s="432">
        <f t="shared" si="22"/>
        <v>0.11486407065121609</v>
      </c>
      <c r="AG58" s="432">
        <f t="shared" si="22"/>
        <v>0.11486407065121609</v>
      </c>
      <c r="AH58" s="432">
        <f t="shared" si="22"/>
        <v>0.11486407065121609</v>
      </c>
      <c r="AI58" s="432">
        <f t="shared" si="22"/>
        <v>0.11486407065121609</v>
      </c>
      <c r="AJ58" s="432">
        <f t="shared" si="22"/>
        <v>0.11486407065121609</v>
      </c>
      <c r="AK58" s="432">
        <f t="shared" si="22"/>
        <v>0.11486407065121609</v>
      </c>
      <c r="AL58" s="432">
        <f t="shared" ref="AL58" si="23">AL19^(-1.074)</f>
        <v>0.11486407065121609</v>
      </c>
    </row>
    <row r="59" spans="2:38">
      <c r="B59" s="358" t="s">
        <v>606</v>
      </c>
      <c r="C59" s="419" t="s">
        <v>672</v>
      </c>
      <c r="D59" s="417">
        <f>(D$16+1)^(-0.1025)</f>
        <v>0.89285598450946391</v>
      </c>
      <c r="E59" s="417">
        <f t="shared" ref="E59:AL59" si="24">(E$16+1)^(-0.1025)</f>
        <v>0.89220912192398749</v>
      </c>
      <c r="F59" s="417">
        <f t="shared" si="24"/>
        <v>0.89156048349501171</v>
      </c>
      <c r="G59" s="417">
        <f t="shared" si="24"/>
        <v>0.89091008192725418</v>
      </c>
      <c r="H59" s="417">
        <f t="shared" si="24"/>
        <v>0.89025792999093223</v>
      </c>
      <c r="I59" s="417">
        <f t="shared" si="24"/>
        <v>0.88960404051976527</v>
      </c>
      <c r="J59" s="417">
        <f t="shared" si="24"/>
        <v>0.88894842640897598</v>
      </c>
      <c r="K59" s="417">
        <f t="shared" si="24"/>
        <v>0.88829110061329519</v>
      </c>
      <c r="L59" s="417">
        <f t="shared" si="24"/>
        <v>0.88763207614496653</v>
      </c>
      <c r="M59" s="417">
        <f t="shared" si="24"/>
        <v>0.88697136607175475</v>
      </c>
      <c r="N59" s="417">
        <f t="shared" si="24"/>
        <v>0.88630898351495846</v>
      </c>
      <c r="O59" s="417">
        <f t="shared" si="24"/>
        <v>0.88564494164742358</v>
      </c>
      <c r="P59" s="417">
        <f t="shared" si="24"/>
        <v>0.88497925369156449</v>
      </c>
      <c r="Q59" s="417">
        <f t="shared" si="24"/>
        <v>0.8843119329173883</v>
      </c>
      <c r="R59" s="417">
        <f t="shared" si="24"/>
        <v>0.88364299264052493</v>
      </c>
      <c r="S59" s="417">
        <f t="shared" si="24"/>
        <v>0.88297244622026427</v>
      </c>
      <c r="T59" s="417">
        <f t="shared" si="24"/>
        <v>0.88230030705759988</v>
      </c>
      <c r="U59" s="417">
        <f t="shared" si="24"/>
        <v>0.88162658859327914</v>
      </c>
      <c r="V59" s="417">
        <f t="shared" si="24"/>
        <v>0.88095130430586199</v>
      </c>
      <c r="W59" s="417">
        <f t="shared" si="24"/>
        <v>0.88027446770978857</v>
      </c>
      <c r="X59" s="417">
        <f t="shared" si="24"/>
        <v>0.87959609235345493</v>
      </c>
      <c r="Y59" s="417">
        <f t="shared" si="24"/>
        <v>0.87891619181729919</v>
      </c>
      <c r="Z59" s="417">
        <f t="shared" si="24"/>
        <v>0.87823477971189645</v>
      </c>
      <c r="AA59" s="417">
        <f t="shared" si="24"/>
        <v>0.87755186967606535</v>
      </c>
      <c r="AB59" s="417">
        <f t="shared" si="24"/>
        <v>0.87686747537498577</v>
      </c>
      <c r="AC59" s="417">
        <f t="shared" si="24"/>
        <v>0.87618161049832688</v>
      </c>
      <c r="AD59" s="417">
        <f t="shared" si="24"/>
        <v>0.87549428875838731</v>
      </c>
      <c r="AE59" s="417">
        <f t="shared" si="24"/>
        <v>0.87480552388824917</v>
      </c>
      <c r="AF59" s="417">
        <f t="shared" si="24"/>
        <v>0.87411532963994387</v>
      </c>
      <c r="AG59" s="417">
        <f t="shared" si="24"/>
        <v>0.87342371978263023</v>
      </c>
      <c r="AH59" s="417">
        <f t="shared" si="24"/>
        <v>0.87273070810078812</v>
      </c>
      <c r="AI59" s="417">
        <f t="shared" si="24"/>
        <v>0.87203630839242585</v>
      </c>
      <c r="AJ59" s="417">
        <f t="shared" si="24"/>
        <v>0.87134053446730064</v>
      </c>
      <c r="AK59" s="417">
        <f t="shared" si="24"/>
        <v>0.87064340014515562</v>
      </c>
      <c r="AL59" s="417">
        <f t="shared" si="24"/>
        <v>0.86994491925397133</v>
      </c>
    </row>
    <row r="60" spans="2:38">
      <c r="B60" s="358" t="s">
        <v>673</v>
      </c>
      <c r="C60" s="419" t="s">
        <v>674</v>
      </c>
      <c r="D60" s="414">
        <f>(D$18+1)^(0.1025)</f>
        <v>1</v>
      </c>
      <c r="E60" s="415">
        <f t="shared" ref="E60:AL60" si="25">(E$18+1)^(0.1025)</f>
        <v>1.0736323145280531</v>
      </c>
      <c r="F60" s="415">
        <f t="shared" si="25"/>
        <v>1.1191928541763052</v>
      </c>
      <c r="G60" s="415">
        <f t="shared" si="25"/>
        <v>1.1526863467988642</v>
      </c>
      <c r="H60" s="415">
        <f t="shared" si="25"/>
        <v>1.1793546546403431</v>
      </c>
      <c r="I60" s="415">
        <f t="shared" si="25"/>
        <v>1.2016016144325645</v>
      </c>
      <c r="J60" s="415">
        <f t="shared" si="25"/>
        <v>1.2207382397400015</v>
      </c>
      <c r="K60" s="415">
        <f t="shared" si="25"/>
        <v>1.2375613104385508</v>
      </c>
      <c r="L60" s="415">
        <f t="shared" si="25"/>
        <v>1.2525926448393045</v>
      </c>
      <c r="M60" s="415">
        <f t="shared" si="25"/>
        <v>1.2661932675109442</v>
      </c>
      <c r="N60" s="415">
        <f t="shared" si="25"/>
        <v>1.2786237004916208</v>
      </c>
      <c r="O60" s="415">
        <f t="shared" si="25"/>
        <v>1.2900783224438794</v>
      </c>
      <c r="P60" s="415">
        <f t="shared" si="25"/>
        <v>1.3007061497920991</v>
      </c>
      <c r="Q60" s="415">
        <f t="shared" si="25"/>
        <v>1.310624021764959</v>
      </c>
      <c r="R60" s="415">
        <f t="shared" si="25"/>
        <v>1.3199253020130364</v>
      </c>
      <c r="S60" s="415">
        <f t="shared" si="25"/>
        <v>1.3286858140965114</v>
      </c>
      <c r="T60" s="415">
        <f t="shared" si="25"/>
        <v>1.3369680054994646</v>
      </c>
      <c r="U60" s="415">
        <f t="shared" si="25"/>
        <v>1.344823940439638</v>
      </c>
      <c r="V60" s="415">
        <f t="shared" si="25"/>
        <v>1.3522974967156791</v>
      </c>
      <c r="W60" s="415">
        <f t="shared" si="25"/>
        <v>1.3594260084376133</v>
      </c>
      <c r="X60" s="415">
        <f t="shared" si="25"/>
        <v>1.366241514736771</v>
      </c>
      <c r="Y60" s="415">
        <f t="shared" si="25"/>
        <v>1.3727717229692429</v>
      </c>
      <c r="Z60" s="415">
        <f t="shared" si="25"/>
        <v>1.3790407615278675</v>
      </c>
      <c r="AA60" s="415">
        <f t="shared" si="25"/>
        <v>1.3850697752478902</v>
      </c>
      <c r="AB60" s="415">
        <f t="shared" si="25"/>
        <v>1.3908774014218428</v>
      </c>
      <c r="AC60" s="415">
        <f t="shared" si="25"/>
        <v>1.3964801541221639</v>
      </c>
      <c r="AD60" s="415">
        <f t="shared" si="25"/>
        <v>1.4018927372979484</v>
      </c>
      <c r="AE60" s="415">
        <f t="shared" si="25"/>
        <v>1.4071283019635785</v>
      </c>
      <c r="AF60" s="415">
        <f t="shared" si="25"/>
        <v>1.4121986590793192</v>
      </c>
      <c r="AG60" s="415">
        <f t="shared" si="25"/>
        <v>1.4171144570043956</v>
      </c>
      <c r="AH60" s="415">
        <f t="shared" si="25"/>
        <v>1.4218853303895889</v>
      </c>
      <c r="AI60" s="415">
        <f t="shared" si="25"/>
        <v>1.426520025869028</v>
      </c>
      <c r="AJ60" s="415">
        <f t="shared" si="25"/>
        <v>1.4310265087706864</v>
      </c>
      <c r="AK60" s="415">
        <f t="shared" si="25"/>
        <v>1.4354120541943449</v>
      </c>
      <c r="AL60" s="415">
        <f t="shared" si="25"/>
        <v>1.4354120541943449</v>
      </c>
    </row>
    <row r="61" spans="2:38">
      <c r="B61" s="433" t="s">
        <v>675</v>
      </c>
      <c r="C61" s="434" t="s">
        <v>676</v>
      </c>
      <c r="D61" s="426">
        <f t="shared" ref="D61:AL61" si="26">EXP(0.188*$E$5)</f>
        <v>1.2068335153496053</v>
      </c>
      <c r="E61" s="426">
        <f t="shared" si="26"/>
        <v>1.2068335153496053</v>
      </c>
      <c r="F61" s="426">
        <f t="shared" si="26"/>
        <v>1.2068335153496053</v>
      </c>
      <c r="G61" s="426">
        <f t="shared" si="26"/>
        <v>1.2068335153496053</v>
      </c>
      <c r="H61" s="426">
        <f t="shared" si="26"/>
        <v>1.2068335153496053</v>
      </c>
      <c r="I61" s="426">
        <f t="shared" si="26"/>
        <v>1.2068335153496053</v>
      </c>
      <c r="J61" s="426">
        <f t="shared" si="26"/>
        <v>1.2068335153496053</v>
      </c>
      <c r="K61" s="426">
        <f t="shared" si="26"/>
        <v>1.2068335153496053</v>
      </c>
      <c r="L61" s="426">
        <f t="shared" si="26"/>
        <v>1.2068335153496053</v>
      </c>
      <c r="M61" s="426">
        <f t="shared" si="26"/>
        <v>1.2068335153496053</v>
      </c>
      <c r="N61" s="426">
        <f t="shared" si="26"/>
        <v>1.2068335153496053</v>
      </c>
      <c r="O61" s="426">
        <f t="shared" si="26"/>
        <v>1.2068335153496053</v>
      </c>
      <c r="P61" s="426">
        <f t="shared" si="26"/>
        <v>1.2068335153496053</v>
      </c>
      <c r="Q61" s="426">
        <f t="shared" si="26"/>
        <v>1.2068335153496053</v>
      </c>
      <c r="R61" s="426">
        <f t="shared" si="26"/>
        <v>1.2068335153496053</v>
      </c>
      <c r="S61" s="426">
        <f t="shared" si="26"/>
        <v>1.2068335153496053</v>
      </c>
      <c r="T61" s="426">
        <f t="shared" si="26"/>
        <v>1.2068335153496053</v>
      </c>
      <c r="U61" s="426">
        <f t="shared" si="26"/>
        <v>1.2068335153496053</v>
      </c>
      <c r="V61" s="426">
        <f t="shared" si="26"/>
        <v>1.2068335153496053</v>
      </c>
      <c r="W61" s="426">
        <f t="shared" si="26"/>
        <v>1.2068335153496053</v>
      </c>
      <c r="X61" s="426">
        <f t="shared" si="26"/>
        <v>1.2068335153496053</v>
      </c>
      <c r="Y61" s="426">
        <f t="shared" si="26"/>
        <v>1.2068335153496053</v>
      </c>
      <c r="Z61" s="426">
        <f t="shared" si="26"/>
        <v>1.2068335153496053</v>
      </c>
      <c r="AA61" s="426">
        <f t="shared" si="26"/>
        <v>1.2068335153496053</v>
      </c>
      <c r="AB61" s="426">
        <f t="shared" si="26"/>
        <v>1.2068335153496053</v>
      </c>
      <c r="AC61" s="426">
        <f t="shared" si="26"/>
        <v>1.2068335153496053</v>
      </c>
      <c r="AD61" s="426">
        <f t="shared" si="26"/>
        <v>1.2068335153496053</v>
      </c>
      <c r="AE61" s="426">
        <f t="shared" si="26"/>
        <v>1.2068335153496053</v>
      </c>
      <c r="AF61" s="426">
        <f t="shared" si="26"/>
        <v>1.2068335153496053</v>
      </c>
      <c r="AG61" s="426">
        <f t="shared" si="26"/>
        <v>1.2068335153496053</v>
      </c>
      <c r="AH61" s="426">
        <f t="shared" si="26"/>
        <v>1.2068335153496053</v>
      </c>
      <c r="AI61" s="426">
        <f t="shared" si="26"/>
        <v>1.2068335153496053</v>
      </c>
      <c r="AJ61" s="426">
        <f t="shared" si="26"/>
        <v>1.2068335153496053</v>
      </c>
      <c r="AK61" s="426">
        <f t="shared" si="26"/>
        <v>1.2068335153496053</v>
      </c>
      <c r="AL61" s="426">
        <f t="shared" si="26"/>
        <v>1.2068335153496053</v>
      </c>
    </row>
    <row r="62" spans="2:38">
      <c r="B62" s="362"/>
      <c r="C62" s="427" t="s">
        <v>290</v>
      </c>
    </row>
    <row r="63" spans="2:38">
      <c r="B63" s="362" t="s">
        <v>677</v>
      </c>
      <c r="C63" s="406">
        <v>695</v>
      </c>
      <c r="D63" s="435">
        <f>1/(1+$C$63*PRODUCT(D$58:D$61))</f>
        <v>1.1491654386940005E-2</v>
      </c>
      <c r="E63" s="435">
        <f t="shared" ref="E63:AL63" si="27">1/(1+$C$63*PRODUCT(E$58:E$61))</f>
        <v>1.071965422596372E-2</v>
      </c>
      <c r="F63" s="435">
        <f t="shared" si="27"/>
        <v>1.0295171346957481E-2</v>
      </c>
      <c r="G63" s="435">
        <f t="shared" si="27"/>
        <v>1.0006243397098886E-2</v>
      </c>
      <c r="H63" s="435">
        <f t="shared" si="27"/>
        <v>9.789285053164308E-3</v>
      </c>
      <c r="I63" s="435">
        <f t="shared" si="27"/>
        <v>9.6167793930372648E-3</v>
      </c>
      <c r="J63" s="435">
        <f t="shared" si="27"/>
        <v>9.474367654225711E-3</v>
      </c>
      <c r="K63" s="435">
        <f t="shared" si="27"/>
        <v>9.3536312972704941E-3</v>
      </c>
      <c r="L63" s="435">
        <f t="shared" si="27"/>
        <v>9.2492220667940734E-3</v>
      </c>
      <c r="M63" s="435">
        <f t="shared" si="27"/>
        <v>9.1575361229798112E-3</v>
      </c>
      <c r="N63" s="435">
        <f t="shared" si="27"/>
        <v>9.0760328862354717E-3</v>
      </c>
      <c r="O63" s="435">
        <f t="shared" si="27"/>
        <v>9.0028560955557647E-3</v>
      </c>
      <c r="P63" s="435">
        <f t="shared" si="27"/>
        <v>8.936609478307515E-3</v>
      </c>
      <c r="Q63" s="435">
        <f t="shared" si="27"/>
        <v>8.8762171449893144E-3</v>
      </c>
      <c r="R63" s="435">
        <f t="shared" si="27"/>
        <v>8.820833064801711E-3</v>
      </c>
      <c r="S63" s="435">
        <f t="shared" si="27"/>
        <v>8.7697803100155788E-3</v>
      </c>
      <c r="T63" s="435">
        <f t="shared" si="27"/>
        <v>8.7225090675116905E-3</v>
      </c>
      <c r="U63" s="435">
        <f t="shared" si="27"/>
        <v>8.6785668787626221E-3</v>
      </c>
      <c r="V63" s="435">
        <f t="shared" si="27"/>
        <v>8.6375770783024119E-3</v>
      </c>
      <c r="W63" s="435">
        <f t="shared" si="27"/>
        <v>8.5992228675035309E-3</v>
      </c>
      <c r="X63" s="435">
        <f t="shared" si="27"/>
        <v>8.5632353478256405E-3</v>
      </c>
      <c r="Y63" s="435">
        <f t="shared" si="27"/>
        <v>8.5293843908449372E-3</v>
      </c>
      <c r="Z63" s="435">
        <f t="shared" si="27"/>
        <v>8.4974715764587795E-3</v>
      </c>
      <c r="AA63" s="435">
        <f t="shared" si="27"/>
        <v>8.4673246627505888E-3</v>
      </c>
      <c r="AB63" s="435">
        <f t="shared" si="27"/>
        <v>8.4387932063931855E-3</v>
      </c>
      <c r="AC63" s="435">
        <f t="shared" si="27"/>
        <v>8.4117450585254293E-3</v>
      </c>
      <c r="AD63" s="435">
        <f t="shared" si="27"/>
        <v>8.3860635346922965E-3</v>
      </c>
      <c r="AE63" s="435">
        <f t="shared" si="27"/>
        <v>8.3616451094101953E-3</v>
      </c>
      <c r="AF63" s="435">
        <f t="shared" si="27"/>
        <v>8.338397523127419E-3</v>
      </c>
      <c r="AG63" s="435">
        <f t="shared" si="27"/>
        <v>8.3162382163466872E-3</v>
      </c>
      <c r="AH63" s="435">
        <f t="shared" si="27"/>
        <v>8.2950930255074763E-3</v>
      </c>
      <c r="AI63" s="435">
        <f t="shared" si="27"/>
        <v>8.2748950899601218E-3</v>
      </c>
      <c r="AJ63" s="435">
        <f t="shared" si="27"/>
        <v>8.2555839304272547E-3</v>
      </c>
      <c r="AK63" s="435">
        <f t="shared" si="27"/>
        <v>8.2371046677380943E-3</v>
      </c>
      <c r="AL63" s="435">
        <f t="shared" si="27"/>
        <v>8.2436637388833053E-3</v>
      </c>
    </row>
    <row r="65" spans="2:38" ht="13">
      <c r="B65" s="407" t="s">
        <v>678</v>
      </c>
      <c r="C65" s="396" t="s">
        <v>627</v>
      </c>
      <c r="D65" s="397">
        <v>2018</v>
      </c>
      <c r="E65" s="397">
        <v>2020</v>
      </c>
      <c r="F65" s="397">
        <v>2021</v>
      </c>
      <c r="G65" s="397">
        <v>2022</v>
      </c>
      <c r="H65" s="397">
        <v>2023</v>
      </c>
      <c r="I65" s="397">
        <v>2024</v>
      </c>
      <c r="J65" s="397">
        <v>2025</v>
      </c>
      <c r="K65" s="397">
        <v>2026</v>
      </c>
      <c r="L65" s="397">
        <v>2027</v>
      </c>
      <c r="M65" s="397">
        <v>2028</v>
      </c>
      <c r="N65" s="397">
        <v>2029</v>
      </c>
      <c r="O65" s="397">
        <v>2030</v>
      </c>
      <c r="P65" s="397">
        <v>2031</v>
      </c>
      <c r="Q65" s="397">
        <v>2032</v>
      </c>
      <c r="R65" s="397">
        <v>2033</v>
      </c>
      <c r="S65" s="397">
        <v>2034</v>
      </c>
      <c r="T65" s="397">
        <v>2035</v>
      </c>
      <c r="U65" s="397">
        <v>2036</v>
      </c>
      <c r="V65" s="397">
        <v>2037</v>
      </c>
      <c r="W65" s="397">
        <v>2038</v>
      </c>
      <c r="X65" s="397">
        <v>2039</v>
      </c>
      <c r="Y65" s="397">
        <v>2040</v>
      </c>
      <c r="Z65" s="397">
        <v>2041</v>
      </c>
      <c r="AA65" s="397">
        <v>2042</v>
      </c>
      <c r="AB65" s="397">
        <v>2043</v>
      </c>
      <c r="AC65" s="397">
        <v>2044</v>
      </c>
      <c r="AD65" s="397">
        <v>2044</v>
      </c>
      <c r="AE65" s="397">
        <v>2044</v>
      </c>
      <c r="AF65" s="397">
        <v>2044</v>
      </c>
      <c r="AG65" s="397">
        <v>2044</v>
      </c>
      <c r="AH65" s="397">
        <v>2044</v>
      </c>
      <c r="AI65" s="397">
        <v>2044</v>
      </c>
      <c r="AJ65" s="397">
        <v>2044</v>
      </c>
      <c r="AK65" s="397">
        <v>2044</v>
      </c>
      <c r="AL65" s="397">
        <v>2044</v>
      </c>
    </row>
    <row r="66" spans="2:38">
      <c r="B66" s="358" t="s">
        <v>679</v>
      </c>
      <c r="C66" s="436" t="s">
        <v>680</v>
      </c>
      <c r="D66" s="437">
        <f>D$63</f>
        <v>1.1491654386940005E-2</v>
      </c>
      <c r="E66" s="415">
        <f>E$63</f>
        <v>1.071965422596372E-2</v>
      </c>
      <c r="F66" s="415">
        <f t="shared" ref="F66:AL66" si="28">F$63</f>
        <v>1.0295171346957481E-2</v>
      </c>
      <c r="G66" s="415">
        <f t="shared" si="28"/>
        <v>1.0006243397098886E-2</v>
      </c>
      <c r="H66" s="415">
        <f t="shared" si="28"/>
        <v>9.789285053164308E-3</v>
      </c>
      <c r="I66" s="415">
        <f t="shared" si="28"/>
        <v>9.6167793930372648E-3</v>
      </c>
      <c r="J66" s="415">
        <f t="shared" si="28"/>
        <v>9.474367654225711E-3</v>
      </c>
      <c r="K66" s="415">
        <f t="shared" si="28"/>
        <v>9.3536312972704941E-3</v>
      </c>
      <c r="L66" s="415">
        <f t="shared" si="28"/>
        <v>9.2492220667940734E-3</v>
      </c>
      <c r="M66" s="415">
        <f t="shared" si="28"/>
        <v>9.1575361229798112E-3</v>
      </c>
      <c r="N66" s="415">
        <f t="shared" si="28"/>
        <v>9.0760328862354717E-3</v>
      </c>
      <c r="O66" s="415">
        <f t="shared" si="28"/>
        <v>9.0028560955557647E-3</v>
      </c>
      <c r="P66" s="415">
        <f t="shared" si="28"/>
        <v>8.936609478307515E-3</v>
      </c>
      <c r="Q66" s="415">
        <f t="shared" si="28"/>
        <v>8.8762171449893144E-3</v>
      </c>
      <c r="R66" s="415">
        <f t="shared" si="28"/>
        <v>8.820833064801711E-3</v>
      </c>
      <c r="S66" s="415">
        <f t="shared" si="28"/>
        <v>8.7697803100155788E-3</v>
      </c>
      <c r="T66" s="415">
        <f t="shared" si="28"/>
        <v>8.7225090675116905E-3</v>
      </c>
      <c r="U66" s="415">
        <f t="shared" si="28"/>
        <v>8.6785668787626221E-3</v>
      </c>
      <c r="V66" s="415">
        <f t="shared" si="28"/>
        <v>8.6375770783024119E-3</v>
      </c>
      <c r="W66" s="415">
        <f t="shared" si="28"/>
        <v>8.5992228675035309E-3</v>
      </c>
      <c r="X66" s="415">
        <f t="shared" si="28"/>
        <v>8.5632353478256405E-3</v>
      </c>
      <c r="Y66" s="415">
        <f t="shared" si="28"/>
        <v>8.5293843908449372E-3</v>
      </c>
      <c r="Z66" s="415">
        <f t="shared" si="28"/>
        <v>8.4974715764587795E-3</v>
      </c>
      <c r="AA66" s="415">
        <f t="shared" si="28"/>
        <v>8.4673246627505888E-3</v>
      </c>
      <c r="AB66" s="415">
        <f t="shared" si="28"/>
        <v>8.4387932063931855E-3</v>
      </c>
      <c r="AC66" s="415">
        <f t="shared" si="28"/>
        <v>8.4117450585254293E-3</v>
      </c>
      <c r="AD66" s="415">
        <f t="shared" si="28"/>
        <v>8.3860635346922965E-3</v>
      </c>
      <c r="AE66" s="415">
        <f t="shared" si="28"/>
        <v>8.3616451094101953E-3</v>
      </c>
      <c r="AF66" s="415">
        <f t="shared" si="28"/>
        <v>8.338397523127419E-3</v>
      </c>
      <c r="AG66" s="415">
        <f t="shared" si="28"/>
        <v>8.3162382163466872E-3</v>
      </c>
      <c r="AH66" s="415">
        <f t="shared" si="28"/>
        <v>8.2950930255074763E-3</v>
      </c>
      <c r="AI66" s="415">
        <f t="shared" si="28"/>
        <v>8.2748950899601218E-3</v>
      </c>
      <c r="AJ66" s="415">
        <f t="shared" si="28"/>
        <v>8.2555839304272547E-3</v>
      </c>
      <c r="AK66" s="415">
        <f t="shared" si="28"/>
        <v>8.2371046677380943E-3</v>
      </c>
      <c r="AL66" s="415">
        <f t="shared" si="28"/>
        <v>8.2436637388833053E-3</v>
      </c>
    </row>
    <row r="67" spans="2:38">
      <c r="B67" s="358" t="s">
        <v>681</v>
      </c>
      <c r="C67" s="419" t="s">
        <v>682</v>
      </c>
      <c r="D67" s="414">
        <f>1-D66</f>
        <v>0.98850834561306</v>
      </c>
      <c r="E67" s="414">
        <f t="shared" ref="E67:AK67" si="29">1-E66</f>
        <v>0.98928034577403623</v>
      </c>
      <c r="F67" s="414">
        <f t="shared" si="29"/>
        <v>0.98970482865304255</v>
      </c>
      <c r="G67" s="414">
        <f t="shared" si="29"/>
        <v>0.98999375660290112</v>
      </c>
      <c r="H67" s="414">
        <f t="shared" si="29"/>
        <v>0.99021071494683566</v>
      </c>
      <c r="I67" s="414">
        <f t="shared" si="29"/>
        <v>0.99038322060696271</v>
      </c>
      <c r="J67" s="414">
        <f t="shared" si="29"/>
        <v>0.99052563234577429</v>
      </c>
      <c r="K67" s="414">
        <f t="shared" si="29"/>
        <v>0.99064636870272949</v>
      </c>
      <c r="L67" s="414">
        <f t="shared" si="29"/>
        <v>0.99075077793320587</v>
      </c>
      <c r="M67" s="414">
        <f t="shared" si="29"/>
        <v>0.99084246387702024</v>
      </c>
      <c r="N67" s="414">
        <f t="shared" si="29"/>
        <v>0.99092396711376451</v>
      </c>
      <c r="O67" s="414">
        <f t="shared" si="29"/>
        <v>0.99099714390444427</v>
      </c>
      <c r="P67" s="414">
        <f t="shared" si="29"/>
        <v>0.99106339052169246</v>
      </c>
      <c r="Q67" s="414">
        <f t="shared" si="29"/>
        <v>0.99112378285501068</v>
      </c>
      <c r="R67" s="414">
        <f t="shared" si="29"/>
        <v>0.99117916693519825</v>
      </c>
      <c r="S67" s="414">
        <f t="shared" si="29"/>
        <v>0.99123021968998437</v>
      </c>
      <c r="T67" s="414">
        <f t="shared" si="29"/>
        <v>0.99127749093248829</v>
      </c>
      <c r="U67" s="414">
        <f t="shared" si="29"/>
        <v>0.99132143312123733</v>
      </c>
      <c r="V67" s="414">
        <f t="shared" si="29"/>
        <v>0.99136242292169763</v>
      </c>
      <c r="W67" s="414">
        <f t="shared" si="29"/>
        <v>0.99140077713249641</v>
      </c>
      <c r="X67" s="414">
        <f t="shared" si="29"/>
        <v>0.99143676465217434</v>
      </c>
      <c r="Y67" s="414">
        <f t="shared" si="29"/>
        <v>0.99147061560915506</v>
      </c>
      <c r="Z67" s="414">
        <f t="shared" si="29"/>
        <v>0.99150252842354125</v>
      </c>
      <c r="AA67" s="414">
        <f t="shared" si="29"/>
        <v>0.99153267533724943</v>
      </c>
      <c r="AB67" s="414">
        <f t="shared" si="29"/>
        <v>0.99156120679360682</v>
      </c>
      <c r="AC67" s="414">
        <f t="shared" si="29"/>
        <v>0.99158825494147462</v>
      </c>
      <c r="AD67" s="414">
        <f t="shared" si="29"/>
        <v>0.99161393646530771</v>
      </c>
      <c r="AE67" s="414">
        <f t="shared" si="29"/>
        <v>0.99163835489058982</v>
      </c>
      <c r="AF67" s="414">
        <f t="shared" si="29"/>
        <v>0.99166160247687263</v>
      </c>
      <c r="AG67" s="414">
        <f t="shared" si="29"/>
        <v>0.99168376178365336</v>
      </c>
      <c r="AH67" s="414">
        <f t="shared" si="29"/>
        <v>0.99170490697449254</v>
      </c>
      <c r="AI67" s="414">
        <f t="shared" si="29"/>
        <v>0.99172510491003985</v>
      </c>
      <c r="AJ67" s="414">
        <f t="shared" si="29"/>
        <v>0.99174441606957275</v>
      </c>
      <c r="AK67" s="414">
        <f t="shared" si="29"/>
        <v>0.99176289533226192</v>
      </c>
      <c r="AL67" s="414">
        <f t="shared" ref="AL67" si="30">1-AL66</f>
        <v>0.9917563362611167</v>
      </c>
    </row>
    <row r="68" spans="2:38">
      <c r="B68" s="358" t="s">
        <v>671</v>
      </c>
      <c r="C68" s="419" t="s">
        <v>662</v>
      </c>
      <c r="D68" s="414">
        <f>D$19^(-0.2334)</f>
        <v>0.62482831374223813</v>
      </c>
      <c r="E68" s="414">
        <f t="shared" ref="E68:AL68" si="31">E$19^(-0.2334)</f>
        <v>0.62482831374223813</v>
      </c>
      <c r="F68" s="414">
        <f t="shared" si="31"/>
        <v>0.62482831374223813</v>
      </c>
      <c r="G68" s="414">
        <f t="shared" si="31"/>
        <v>0.62482831374223813</v>
      </c>
      <c r="H68" s="414">
        <f t="shared" si="31"/>
        <v>0.62482831374223813</v>
      </c>
      <c r="I68" s="414">
        <f t="shared" si="31"/>
        <v>0.62482831374223813</v>
      </c>
      <c r="J68" s="414">
        <f t="shared" si="31"/>
        <v>0.62482831374223813</v>
      </c>
      <c r="K68" s="414">
        <f t="shared" si="31"/>
        <v>0.62482831374223813</v>
      </c>
      <c r="L68" s="414">
        <f t="shared" si="31"/>
        <v>0.62482831374223813</v>
      </c>
      <c r="M68" s="414">
        <f t="shared" si="31"/>
        <v>0.62482831374223813</v>
      </c>
      <c r="N68" s="414">
        <f t="shared" si="31"/>
        <v>0.62482831374223813</v>
      </c>
      <c r="O68" s="414">
        <f t="shared" si="31"/>
        <v>0.62482831374223813</v>
      </c>
      <c r="P68" s="414">
        <f t="shared" si="31"/>
        <v>0.62482831374223813</v>
      </c>
      <c r="Q68" s="414">
        <f t="shared" si="31"/>
        <v>0.62482831374223813</v>
      </c>
      <c r="R68" s="414">
        <f t="shared" si="31"/>
        <v>0.62482831374223813</v>
      </c>
      <c r="S68" s="414">
        <f t="shared" si="31"/>
        <v>0.62482831374223813</v>
      </c>
      <c r="T68" s="414">
        <f t="shared" si="31"/>
        <v>0.62482831374223813</v>
      </c>
      <c r="U68" s="414">
        <f t="shared" si="31"/>
        <v>0.62482831374223813</v>
      </c>
      <c r="V68" s="414">
        <f t="shared" si="31"/>
        <v>0.62482831374223813</v>
      </c>
      <c r="W68" s="414">
        <f t="shared" si="31"/>
        <v>0.62482831374223813</v>
      </c>
      <c r="X68" s="414">
        <f t="shared" si="31"/>
        <v>0.62482831374223813</v>
      </c>
      <c r="Y68" s="414">
        <f t="shared" si="31"/>
        <v>0.62482831374223813</v>
      </c>
      <c r="Z68" s="414">
        <f t="shared" si="31"/>
        <v>0.62482831374223813</v>
      </c>
      <c r="AA68" s="414">
        <f t="shared" si="31"/>
        <v>0.62482831374223813</v>
      </c>
      <c r="AB68" s="414">
        <f t="shared" si="31"/>
        <v>0.62482831374223813</v>
      </c>
      <c r="AC68" s="414">
        <f t="shared" si="31"/>
        <v>0.62482831374223813</v>
      </c>
      <c r="AD68" s="414">
        <f t="shared" si="31"/>
        <v>0.62482831374223813</v>
      </c>
      <c r="AE68" s="414">
        <f t="shared" si="31"/>
        <v>0.62482831374223813</v>
      </c>
      <c r="AF68" s="414">
        <f t="shared" si="31"/>
        <v>0.62482831374223813</v>
      </c>
      <c r="AG68" s="414">
        <f t="shared" si="31"/>
        <v>0.62482831374223813</v>
      </c>
      <c r="AH68" s="414">
        <f t="shared" si="31"/>
        <v>0.62482831374223813</v>
      </c>
      <c r="AI68" s="414">
        <f t="shared" si="31"/>
        <v>0.62482831374223813</v>
      </c>
      <c r="AJ68" s="414">
        <f t="shared" si="31"/>
        <v>0.62482831374223813</v>
      </c>
      <c r="AK68" s="414">
        <f t="shared" si="31"/>
        <v>0.62482831374223813</v>
      </c>
      <c r="AL68" s="414">
        <f t="shared" si="31"/>
        <v>0.62482831374223813</v>
      </c>
    </row>
    <row r="69" spans="2:38">
      <c r="B69" s="358" t="s">
        <v>683</v>
      </c>
      <c r="C69" s="419" t="s">
        <v>684</v>
      </c>
      <c r="D69" s="414">
        <f t="shared" ref="D69:AL69" si="32">EXP(0.1176*$D$11)</f>
        <v>1.1247941037303228</v>
      </c>
      <c r="E69" s="415">
        <f t="shared" si="32"/>
        <v>1.1247941037303228</v>
      </c>
      <c r="F69" s="415">
        <f t="shared" si="32"/>
        <v>1.1247941037303228</v>
      </c>
      <c r="G69" s="415">
        <f t="shared" si="32"/>
        <v>1.1247941037303228</v>
      </c>
      <c r="H69" s="415">
        <f t="shared" si="32"/>
        <v>1.1247941037303228</v>
      </c>
      <c r="I69" s="415">
        <f t="shared" si="32"/>
        <v>1.1247941037303228</v>
      </c>
      <c r="J69" s="415">
        <f t="shared" si="32"/>
        <v>1.1247941037303228</v>
      </c>
      <c r="K69" s="415">
        <f t="shared" si="32"/>
        <v>1.1247941037303228</v>
      </c>
      <c r="L69" s="415">
        <f t="shared" si="32"/>
        <v>1.1247941037303228</v>
      </c>
      <c r="M69" s="415">
        <f t="shared" si="32"/>
        <v>1.1247941037303228</v>
      </c>
      <c r="N69" s="415">
        <f t="shared" si="32"/>
        <v>1.1247941037303228</v>
      </c>
      <c r="O69" s="415">
        <f t="shared" si="32"/>
        <v>1.1247941037303228</v>
      </c>
      <c r="P69" s="415">
        <f t="shared" si="32"/>
        <v>1.1247941037303228</v>
      </c>
      <c r="Q69" s="415">
        <f t="shared" si="32"/>
        <v>1.1247941037303228</v>
      </c>
      <c r="R69" s="415">
        <f t="shared" si="32"/>
        <v>1.1247941037303228</v>
      </c>
      <c r="S69" s="415">
        <f t="shared" si="32"/>
        <v>1.1247941037303228</v>
      </c>
      <c r="T69" s="415">
        <f t="shared" si="32"/>
        <v>1.1247941037303228</v>
      </c>
      <c r="U69" s="415">
        <f t="shared" si="32"/>
        <v>1.1247941037303228</v>
      </c>
      <c r="V69" s="415">
        <f t="shared" si="32"/>
        <v>1.1247941037303228</v>
      </c>
      <c r="W69" s="415">
        <f t="shared" si="32"/>
        <v>1.1247941037303228</v>
      </c>
      <c r="X69" s="415">
        <f t="shared" si="32"/>
        <v>1.1247941037303228</v>
      </c>
      <c r="Y69" s="415">
        <f t="shared" si="32"/>
        <v>1.1247941037303228</v>
      </c>
      <c r="Z69" s="415">
        <f t="shared" si="32"/>
        <v>1.1247941037303228</v>
      </c>
      <c r="AA69" s="415">
        <f t="shared" si="32"/>
        <v>1.1247941037303228</v>
      </c>
      <c r="AB69" s="415">
        <f t="shared" si="32"/>
        <v>1.1247941037303228</v>
      </c>
      <c r="AC69" s="415">
        <f t="shared" si="32"/>
        <v>1.1247941037303228</v>
      </c>
      <c r="AD69" s="415">
        <f t="shared" si="32"/>
        <v>1.1247941037303228</v>
      </c>
      <c r="AE69" s="415">
        <f t="shared" si="32"/>
        <v>1.1247941037303228</v>
      </c>
      <c r="AF69" s="415">
        <f t="shared" si="32"/>
        <v>1.1247941037303228</v>
      </c>
      <c r="AG69" s="415">
        <f t="shared" si="32"/>
        <v>1.1247941037303228</v>
      </c>
      <c r="AH69" s="415">
        <f t="shared" si="32"/>
        <v>1.1247941037303228</v>
      </c>
      <c r="AI69" s="415">
        <f t="shared" si="32"/>
        <v>1.1247941037303228</v>
      </c>
      <c r="AJ69" s="415">
        <f t="shared" si="32"/>
        <v>1.1247941037303228</v>
      </c>
      <c r="AK69" s="415">
        <f t="shared" si="32"/>
        <v>1.1247941037303228</v>
      </c>
      <c r="AL69" s="415">
        <f t="shared" si="32"/>
        <v>1.1247941037303228</v>
      </c>
    </row>
    <row r="70" spans="2:38">
      <c r="B70" s="433" t="s">
        <v>675</v>
      </c>
      <c r="C70" s="434" t="s">
        <v>676</v>
      </c>
      <c r="D70" s="426">
        <f t="shared" ref="D70:AL70" si="33">EXP(0.1844*$E$5)</f>
        <v>1.2024967255996286</v>
      </c>
      <c r="E70" s="426">
        <f t="shared" si="33"/>
        <v>1.2024967255996286</v>
      </c>
      <c r="F70" s="426">
        <f t="shared" si="33"/>
        <v>1.2024967255996286</v>
      </c>
      <c r="G70" s="426">
        <f t="shared" si="33"/>
        <v>1.2024967255996286</v>
      </c>
      <c r="H70" s="426">
        <f t="shared" si="33"/>
        <v>1.2024967255996286</v>
      </c>
      <c r="I70" s="426">
        <f t="shared" si="33"/>
        <v>1.2024967255996286</v>
      </c>
      <c r="J70" s="426">
        <f t="shared" si="33"/>
        <v>1.2024967255996286</v>
      </c>
      <c r="K70" s="426">
        <f t="shared" si="33"/>
        <v>1.2024967255996286</v>
      </c>
      <c r="L70" s="426">
        <f t="shared" si="33"/>
        <v>1.2024967255996286</v>
      </c>
      <c r="M70" s="426">
        <f t="shared" si="33"/>
        <v>1.2024967255996286</v>
      </c>
      <c r="N70" s="426">
        <f t="shared" si="33"/>
        <v>1.2024967255996286</v>
      </c>
      <c r="O70" s="426">
        <f t="shared" si="33"/>
        <v>1.2024967255996286</v>
      </c>
      <c r="P70" s="426">
        <f t="shared" si="33"/>
        <v>1.2024967255996286</v>
      </c>
      <c r="Q70" s="426">
        <f t="shared" si="33"/>
        <v>1.2024967255996286</v>
      </c>
      <c r="R70" s="426">
        <f t="shared" si="33"/>
        <v>1.2024967255996286</v>
      </c>
      <c r="S70" s="426">
        <f t="shared" si="33"/>
        <v>1.2024967255996286</v>
      </c>
      <c r="T70" s="426">
        <f t="shared" si="33"/>
        <v>1.2024967255996286</v>
      </c>
      <c r="U70" s="426">
        <f t="shared" si="33"/>
        <v>1.2024967255996286</v>
      </c>
      <c r="V70" s="426">
        <f t="shared" si="33"/>
        <v>1.2024967255996286</v>
      </c>
      <c r="W70" s="426">
        <f t="shared" si="33"/>
        <v>1.2024967255996286</v>
      </c>
      <c r="X70" s="426">
        <f t="shared" si="33"/>
        <v>1.2024967255996286</v>
      </c>
      <c r="Y70" s="426">
        <f t="shared" si="33"/>
        <v>1.2024967255996286</v>
      </c>
      <c r="Z70" s="426">
        <f t="shared" si="33"/>
        <v>1.2024967255996286</v>
      </c>
      <c r="AA70" s="426">
        <f t="shared" si="33"/>
        <v>1.2024967255996286</v>
      </c>
      <c r="AB70" s="426">
        <f t="shared" si="33"/>
        <v>1.2024967255996286</v>
      </c>
      <c r="AC70" s="426">
        <f t="shared" si="33"/>
        <v>1.2024967255996286</v>
      </c>
      <c r="AD70" s="426">
        <f t="shared" si="33"/>
        <v>1.2024967255996286</v>
      </c>
      <c r="AE70" s="426">
        <f t="shared" si="33"/>
        <v>1.2024967255996286</v>
      </c>
      <c r="AF70" s="426">
        <f t="shared" si="33"/>
        <v>1.2024967255996286</v>
      </c>
      <c r="AG70" s="426">
        <f t="shared" si="33"/>
        <v>1.2024967255996286</v>
      </c>
      <c r="AH70" s="426">
        <f t="shared" si="33"/>
        <v>1.2024967255996286</v>
      </c>
      <c r="AI70" s="426">
        <f t="shared" si="33"/>
        <v>1.2024967255996286</v>
      </c>
      <c r="AJ70" s="426">
        <f t="shared" si="33"/>
        <v>1.2024967255996286</v>
      </c>
      <c r="AK70" s="426">
        <f t="shared" si="33"/>
        <v>1.2024967255996286</v>
      </c>
      <c r="AL70" s="426">
        <f t="shared" si="33"/>
        <v>1.2024967255996286</v>
      </c>
    </row>
    <row r="71" spans="2:38">
      <c r="B71" s="362"/>
      <c r="C71" s="427" t="s">
        <v>290</v>
      </c>
    </row>
    <row r="72" spans="2:38">
      <c r="B72" s="362" t="s">
        <v>685</v>
      </c>
      <c r="C72" s="438">
        <v>4.28</v>
      </c>
      <c r="D72" s="435">
        <f>D$67/(1+$C$72*PRODUCT(D$68:D$70))</f>
        <v>0.21409689244459909</v>
      </c>
      <c r="E72" s="435">
        <f t="shared" ref="E72:AL72" si="34">E$67/(1+$C$72*PRODUCT(E$68:E$70))</f>
        <v>0.21426409673393593</v>
      </c>
      <c r="F72" s="435">
        <f t="shared" si="34"/>
        <v>0.21435603370714865</v>
      </c>
      <c r="G72" s="435">
        <f t="shared" si="34"/>
        <v>0.21441861140462548</v>
      </c>
      <c r="H72" s="435">
        <f t="shared" si="34"/>
        <v>0.21446560150585472</v>
      </c>
      <c r="I72" s="435">
        <f t="shared" si="34"/>
        <v>0.2145029637860279</v>
      </c>
      <c r="J72" s="435">
        <f t="shared" si="34"/>
        <v>0.21453380814952014</v>
      </c>
      <c r="K72" s="435">
        <f t="shared" si="34"/>
        <v>0.21455995793261898</v>
      </c>
      <c r="L72" s="435">
        <f t="shared" si="34"/>
        <v>0.21458257149161089</v>
      </c>
      <c r="M72" s="435">
        <f t="shared" si="34"/>
        <v>0.21460242936710444</v>
      </c>
      <c r="N72" s="435">
        <f t="shared" si="34"/>
        <v>0.21462008181261849</v>
      </c>
      <c r="O72" s="435">
        <f t="shared" si="34"/>
        <v>0.21463593086796853</v>
      </c>
      <c r="P72" s="435">
        <f t="shared" si="34"/>
        <v>0.21465027894601033</v>
      </c>
      <c r="Q72" s="435">
        <f t="shared" si="34"/>
        <v>0.21466335906915576</v>
      </c>
      <c r="R72" s="435">
        <f t="shared" si="34"/>
        <v>0.21467535447568084</v>
      </c>
      <c r="S72" s="435">
        <f t="shared" si="34"/>
        <v>0.21468641177853412</v>
      </c>
      <c r="T72" s="435">
        <f t="shared" si="34"/>
        <v>0.21469665005944191</v>
      </c>
      <c r="U72" s="435">
        <f t="shared" si="34"/>
        <v>0.2147061673145062</v>
      </c>
      <c r="V72" s="435">
        <f t="shared" si="34"/>
        <v>0.21471504512412656</v>
      </c>
      <c r="W72" s="435">
        <f t="shared" si="34"/>
        <v>0.21472335210239399</v>
      </c>
      <c r="X72" s="435">
        <f t="shared" si="34"/>
        <v>0.21473114648891994</v>
      </c>
      <c r="Y72" s="435">
        <f t="shared" si="34"/>
        <v>0.21473847812625815</v>
      </c>
      <c r="Z72" s="435">
        <f t="shared" si="34"/>
        <v>0.21474538998938969</v>
      </c>
      <c r="AA72" s="435">
        <f t="shared" si="34"/>
        <v>0.21475191938347155</v>
      </c>
      <c r="AB72" s="435">
        <f t="shared" si="34"/>
        <v>0.21475809889239542</v>
      </c>
      <c r="AC72" s="435">
        <f t="shared" si="34"/>
        <v>0.214763957137731</v>
      </c>
      <c r="AD72" s="435">
        <f t="shared" si="34"/>
        <v>0.21476951939167688</v>
      </c>
      <c r="AE72" s="435">
        <f t="shared" si="34"/>
        <v>0.21477480807638499</v>
      </c>
      <c r="AF72" s="435">
        <f t="shared" si="34"/>
        <v>0.21477984317396617</v>
      </c>
      <c r="AG72" s="435">
        <f t="shared" si="34"/>
        <v>0.21478464256563701</v>
      </c>
      <c r="AH72" s="435">
        <f t="shared" si="34"/>
        <v>0.21478922231417319</v>
      </c>
      <c r="AI72" s="435">
        <f t="shared" si="34"/>
        <v>0.21479359690064345</v>
      </c>
      <c r="AJ72" s="435">
        <f t="shared" si="34"/>
        <v>0.21479777942400186</v>
      </c>
      <c r="AK72" s="435">
        <f t="shared" si="34"/>
        <v>0.21480178177029866</v>
      </c>
      <c r="AL72" s="435">
        <f t="shared" si="34"/>
        <v>0.21480036116848406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4" tint="-0.249977111117893"/>
  </sheetPr>
  <dimension ref="A1:AL53"/>
  <sheetViews>
    <sheetView showGridLines="0" zoomScaleNormal="10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Inputs'!$H$23</f>
        <v>Canyon Creek Parkway</v>
      </c>
      <c r="B1" s="520"/>
    </row>
    <row r="2" spans="1:38" ht="13">
      <c r="A2" s="524" t="s">
        <v>457</v>
      </c>
      <c r="B2" s="523"/>
      <c r="C2" s="522" t="s">
        <v>0</v>
      </c>
      <c r="D2" s="376">
        <f>VRCBY</f>
        <v>2021</v>
      </c>
      <c r="E2" s="376">
        <f>D2+1</f>
        <v>2022</v>
      </c>
      <c r="F2" s="376">
        <f t="shared" ref="F2:AE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ref="AF2" si="1">AE2+1</f>
        <v>2049</v>
      </c>
      <c r="AG2" s="376">
        <f t="shared" ref="AG2" si="2">AF2+1</f>
        <v>2050</v>
      </c>
      <c r="AH2" s="376">
        <f t="shared" ref="AH2" si="3">AG2+1</f>
        <v>2051</v>
      </c>
      <c r="AI2" s="376">
        <f t="shared" ref="AI2" si="4">AH2+1</f>
        <v>2052</v>
      </c>
      <c r="AJ2" s="376">
        <f t="shared" ref="AJ2:AK2" si="5">AI2+1</f>
        <v>2053</v>
      </c>
      <c r="AK2" s="376">
        <f t="shared" si="5"/>
        <v>2054</v>
      </c>
      <c r="AL2" s="376">
        <f t="shared" ref="AL2" si="6">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Demand!F12</f>
        <v>5369.4157090707613</v>
      </c>
      <c r="E6" s="383">
        <f>Demand!G12</f>
        <v>5527.7817231396275</v>
      </c>
      <c r="F6" s="383">
        <f>Demand!H12</f>
        <v>5690.8185982054729</v>
      </c>
      <c r="G6" s="383">
        <f>Demand!I12</f>
        <v>5858.6640970489125</v>
      </c>
      <c r="H6" s="383">
        <f>Demand!J12</f>
        <v>6031.4600456379985</v>
      </c>
      <c r="I6" s="383">
        <f>Demand!K12</f>
        <v>6209.3524529682218</v>
      </c>
      <c r="J6" s="383">
        <f>Demand!L12</f>
        <v>6392.491634437094</v>
      </c>
      <c r="K6" s="383">
        <f>Demand!M12</f>
        <v>6581.0323388575353</v>
      </c>
      <c r="L6" s="383">
        <f>Demand!N12</f>
        <v>6775.1338792174183</v>
      </c>
      <c r="M6" s="383">
        <f>Demand!O12</f>
        <v>6974.960267295738</v>
      </c>
      <c r="N6" s="383">
        <f>Demand!P12</f>
        <v>7180.6803522491737</v>
      </c>
      <c r="O6" s="383">
        <f>Demand!Q12</f>
        <v>7392.467963286118</v>
      </c>
      <c r="P6" s="383">
        <f>Demand!R12</f>
        <v>7610.5020565487584</v>
      </c>
      <c r="Q6" s="383">
        <f>Demand!S12</f>
        <v>7834.9668663273123</v>
      </c>
      <c r="R6" s="383">
        <f>Demand!T12</f>
        <v>8066.0520607341778</v>
      </c>
      <c r="S6" s="383">
        <f>Demand!U12</f>
        <v>8303.9529019695674</v>
      </c>
      <c r="T6" s="383">
        <f>Demand!V12</f>
        <v>8548.8704113140102</v>
      </c>
      <c r="U6" s="383">
        <f>Demand!W12</f>
        <v>8801.011538987168</v>
      </c>
      <c r="V6" s="383">
        <f>Demand!X12</f>
        <v>9060.5893390164965</v>
      </c>
      <c r="W6" s="383">
        <f>Demand!Y12</f>
        <v>9327.8231492634677</v>
      </c>
      <c r="X6" s="383">
        <f>Demand!Z12</f>
        <v>9602.9387767595217</v>
      </c>
      <c r="Y6" s="383">
        <f>Demand!AA12</f>
        <v>9886.1686885083291</v>
      </c>
      <c r="Z6" s="383">
        <f>Demand!AB12</f>
        <v>10177.752207915593</v>
      </c>
      <c r="AA6" s="383">
        <f>Demand!AC12</f>
        <v>10477.935717012369</v>
      </c>
      <c r="AB6" s="383">
        <f>Demand!AD12</f>
        <v>10786.972864642765</v>
      </c>
      <c r="AC6" s="383">
        <f>Demand!AE12</f>
        <v>11105.124780791968</v>
      </c>
      <c r="AD6" s="383">
        <f>Demand!AF12</f>
        <v>11432.660297235674</v>
      </c>
      <c r="AE6" s="383">
        <f>Demand!AG12</f>
        <v>11769.856174697348</v>
      </c>
      <c r="AF6" s="383">
        <f>Demand!AH12</f>
        <v>12116.997336705317</v>
      </c>
      <c r="AG6" s="383">
        <f>Demand!AI12</f>
        <v>12474.377110347241</v>
      </c>
      <c r="AH6" s="383">
        <f>Demand!AJ12</f>
        <v>12842.297474125426</v>
      </c>
      <c r="AI6" s="383">
        <f>Demand!AK12</f>
        <v>13221.069313122392</v>
      </c>
      <c r="AJ6" s="383">
        <f>Demand!AL12</f>
        <v>13611.012681692333</v>
      </c>
      <c r="AK6" s="383">
        <f>Demand!AM12</f>
        <v>14012.45707390041</v>
      </c>
      <c r="AL6" s="383">
        <f>Demand!AN12</f>
        <v>14425.741701938412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Demand!F29</f>
        <v>2.021212882214602</v>
      </c>
      <c r="E10" s="383">
        <f>Demand!G29</f>
        <v>2.0426507576151294</v>
      </c>
      <c r="F10" s="383">
        <f>Demand!H29</f>
        <v>2.064316012578558</v>
      </c>
      <c r="G10" s="383">
        <f>Demand!I29</f>
        <v>2.0862110587928311</v>
      </c>
      <c r="H10" s="383">
        <f>Demand!J29</f>
        <v>2.1083383335253174</v>
      </c>
      <c r="I10" s="383">
        <f>Demand!K29</f>
        <v>2.1307002998941189</v>
      </c>
      <c r="J10" s="383">
        <f>Demand!L29</f>
        <v>2.1532994471422544</v>
      </c>
      <c r="K10" s="383">
        <f>Demand!M29</f>
        <v>2.1761382909147526</v>
      </c>
      <c r="L10" s="383">
        <f>Demand!N29</f>
        <v>2.1992193735386825</v>
      </c>
      <c r="M10" s="383">
        <f>Demand!O29</f>
        <v>2.2225452643061563</v>
      </c>
      <c r="N10" s="383">
        <f>Demand!P29</f>
        <v>2.2461185597603301</v>
      </c>
      <c r="O10" s="383">
        <f>Demand!Q29</f>
        <v>2.2699418839844441</v>
      </c>
      <c r="P10" s="383">
        <f>Demand!R29</f>
        <v>2.2940178888939209</v>
      </c>
      <c r="Q10" s="383">
        <f>Demand!S29</f>
        <v>2.3183492545315696</v>
      </c>
      <c r="R10" s="383">
        <f>Demand!T29</f>
        <v>2.3429386893659134</v>
      </c>
      <c r="S10" s="383">
        <f>Demand!U29</f>
        <v>2.3677889305926905</v>
      </c>
      <c r="T10" s="383">
        <f>Demand!V29</f>
        <v>2.392902744439541</v>
      </c>
      <c r="U10" s="383">
        <f>Demand!W29</f>
        <v>2.4182829264739381</v>
      </c>
      <c r="V10" s="383">
        <f>Demand!X29</f>
        <v>2.4439323019143755</v>
      </c>
      <c r="W10" s="383">
        <f>Demand!Y29</f>
        <v>2.4698537259448612</v>
      </c>
      <c r="X10" s="383">
        <f>Demand!Z29</f>
        <v>2.4960500840327433</v>
      </c>
      <c r="Y10" s="383">
        <f>Demand!AA29</f>
        <v>2.5225242922499103</v>
      </c>
      <c r="Z10" s="383">
        <f>Demand!AB29</f>
        <v>2.549279297597395</v>
      </c>
      <c r="AA10" s="383">
        <f>Demand!AC29</f>
        <v>2.5763180783334239</v>
      </c>
      <c r="AB10" s="383">
        <f>Demand!AD29</f>
        <v>2.6036436443049418</v>
      </c>
      <c r="AC10" s="383">
        <f>Demand!AE29</f>
        <v>2.631259037282661</v>
      </c>
      <c r="AD10" s="383">
        <f>Demand!AF29</f>
        <v>2.6591673312996531</v>
      </c>
      <c r="AE10" s="383">
        <f>Demand!AG29</f>
        <v>2.6873716329935418</v>
      </c>
      <c r="AF10" s="383">
        <f>Demand!AH29</f>
        <v>2.7158750819523192</v>
      </c>
      <c r="AG10" s="383">
        <f>Demand!AI29</f>
        <v>2.744680851063833</v>
      </c>
      <c r="AH10" s="383">
        <f>Demand!AJ29</f>
        <v>2.7737921468689781</v>
      </c>
      <c r="AI10" s="383">
        <f>Demand!AK29</f>
        <v>2.8032122099186383</v>
      </c>
      <c r="AJ10" s="383">
        <f>Demand!AL29</f>
        <v>2.8329443151344074</v>
      </c>
      <c r="AK10" s="383">
        <f>Demand!AM29</f>
        <v>2.8629917721731437</v>
      </c>
      <c r="AL10" s="383">
        <f>Demand!AN29</f>
        <v>2.8933579257953856</v>
      </c>
    </row>
    <row r="11" spans="1:38">
      <c r="B11" s="363" t="s">
        <v>645</v>
      </c>
      <c r="C11" s="358" t="s">
        <v>1054</v>
      </c>
      <c r="D11" s="383">
        <f>Demand!F30</f>
        <v>1.010606441107301</v>
      </c>
      <c r="E11" s="383">
        <f>Demand!G30</f>
        <v>1.0213253788075647</v>
      </c>
      <c r="F11" s="383">
        <f>Demand!H30</f>
        <v>1.032158006289279</v>
      </c>
      <c r="G11" s="383">
        <f>Demand!I30</f>
        <v>1.0431055293964155</v>
      </c>
      <c r="H11" s="383">
        <f>Demand!J30</f>
        <v>1.0541691667626587</v>
      </c>
      <c r="I11" s="383">
        <f>Demand!K30</f>
        <v>1.0653501499470595</v>
      </c>
      <c r="J11" s="383">
        <f>Demand!L30</f>
        <v>1.0766497235711272</v>
      </c>
      <c r="K11" s="383">
        <f>Demand!M30</f>
        <v>1.0880691454573763</v>
      </c>
      <c r="L11" s="383">
        <f>Demand!N30</f>
        <v>1.0996096867693412</v>
      </c>
      <c r="M11" s="383">
        <f>Demand!O30</f>
        <v>1.1112726321530781</v>
      </c>
      <c r="N11" s="383">
        <f>Demand!P30</f>
        <v>1.1230592798801651</v>
      </c>
      <c r="O11" s="383">
        <f>Demand!Q30</f>
        <v>1.134970941992222</v>
      </c>
      <c r="P11" s="383">
        <f>Demand!R30</f>
        <v>1.1470089444469604</v>
      </c>
      <c r="Q11" s="383">
        <f>Demand!S30</f>
        <v>1.1591746272657848</v>
      </c>
      <c r="R11" s="383">
        <f>Demand!T30</f>
        <v>1.1714693446829567</v>
      </c>
      <c r="S11" s="383">
        <f>Demand!U30</f>
        <v>1.1838944652963452</v>
      </c>
      <c r="T11" s="383">
        <f>Demand!V30</f>
        <v>1.1964513722197705</v>
      </c>
      <c r="U11" s="383">
        <f>Demand!W30</f>
        <v>1.209141463236969</v>
      </c>
      <c r="V11" s="383">
        <f>Demand!X30</f>
        <v>1.2219661509571877</v>
      </c>
      <c r="W11" s="383">
        <f>Demand!Y30</f>
        <v>1.2349268629724306</v>
      </c>
      <c r="X11" s="383">
        <f>Demand!Z30</f>
        <v>1.2480250420163717</v>
      </c>
      <c r="Y11" s="383">
        <f>Demand!AA30</f>
        <v>1.2612621461249551</v>
      </c>
      <c r="Z11" s="383">
        <f>Demand!AB30</f>
        <v>1.2746396487986975</v>
      </c>
      <c r="AA11" s="383">
        <f>Demand!AC30</f>
        <v>1.2881590391667119</v>
      </c>
      <c r="AB11" s="383">
        <f>Demand!AD30</f>
        <v>1.3018218221524709</v>
      </c>
      <c r="AC11" s="383">
        <f>Demand!AE30</f>
        <v>1.3156295186413305</v>
      </c>
      <c r="AD11" s="383">
        <f>Demand!AF30</f>
        <v>1.3295836656498266</v>
      </c>
      <c r="AE11" s="383">
        <f>Demand!AG30</f>
        <v>1.3436858164967709</v>
      </c>
      <c r="AF11" s="383">
        <f>Demand!AH30</f>
        <v>1.3579375409761596</v>
      </c>
      <c r="AG11" s="383">
        <f>Demand!AI30</f>
        <v>1.3723404255319165</v>
      </c>
      <c r="AH11" s="383">
        <f>Demand!AJ30</f>
        <v>1.3868960734344891</v>
      </c>
      <c r="AI11" s="383">
        <f>Demand!AK30</f>
        <v>1.4016061049593191</v>
      </c>
      <c r="AJ11" s="383">
        <f>Demand!AL30</f>
        <v>1.4164721575672037</v>
      </c>
      <c r="AK11" s="383">
        <f>Demand!AM30</f>
        <v>1.4314958860865719</v>
      </c>
      <c r="AL11" s="383">
        <f>Demand!AN30</f>
        <v>1.4466789628976928</v>
      </c>
    </row>
    <row r="13" spans="1:38" ht="13">
      <c r="B13" s="502" t="s">
        <v>1059</v>
      </c>
      <c r="C13" s="497">
        <f>IF('Crossing Inputs'!$C$11&gt;0, 'Crossing Inputs'!$C$20/Feet.Per.Mile/'Crossing Inputs'!$H$33*60+IF('Crossing Inputs'!$H$27="Passive",0,'Crossing Inputs'!$C$21),0)</f>
        <v>9</v>
      </c>
    </row>
    <row r="14" spans="1:38">
      <c r="B14" s="571" t="s">
        <v>1058</v>
      </c>
      <c r="C14" s="572" t="s">
        <v>15</v>
      </c>
      <c r="D14" s="570">
        <f t="shared" ref="D14:AL14" si="7">(D$10*$C$13)/Minutes.Per.Day</f>
        <v>1.2632580513841262E-2</v>
      </c>
      <c r="E14" s="570">
        <f t="shared" si="7"/>
        <v>1.2766567235094558E-2</v>
      </c>
      <c r="F14" s="570">
        <f t="shared" si="7"/>
        <v>1.2901975078615988E-2</v>
      </c>
      <c r="G14" s="570">
        <f t="shared" si="7"/>
        <v>1.3038819117455193E-2</v>
      </c>
      <c r="H14" s="570">
        <f t="shared" si="7"/>
        <v>1.3177114584533235E-2</v>
      </c>
      <c r="I14" s="570">
        <f t="shared" si="7"/>
        <v>1.3316876874338244E-2</v>
      </c>
      <c r="J14" s="570">
        <f t="shared" si="7"/>
        <v>1.3458121544639089E-2</v>
      </c>
      <c r="K14" s="570">
        <f t="shared" si="7"/>
        <v>1.3600864318217205E-2</v>
      </c>
      <c r="L14" s="570">
        <f t="shared" si="7"/>
        <v>1.3745121084616766E-2</v>
      </c>
      <c r="M14" s="570">
        <f t="shared" si="7"/>
        <v>1.3890907901913477E-2</v>
      </c>
      <c r="N14" s="570">
        <f t="shared" si="7"/>
        <v>1.4038240998502063E-2</v>
      </c>
      <c r="O14" s="570">
        <f t="shared" si="7"/>
        <v>1.4187136774902775E-2</v>
      </c>
      <c r="P14" s="570">
        <f t="shared" si="7"/>
        <v>1.4337611805587007E-2</v>
      </c>
      <c r="Q14" s="570">
        <f t="shared" si="7"/>
        <v>1.448968284082231E-2</v>
      </c>
      <c r="R14" s="570">
        <f t="shared" si="7"/>
        <v>1.4643366808536958E-2</v>
      </c>
      <c r="S14" s="570">
        <f t="shared" si="7"/>
        <v>1.4798680816204316E-2</v>
      </c>
      <c r="T14" s="570">
        <f t="shared" si="7"/>
        <v>1.4955642152747133E-2</v>
      </c>
      <c r="U14" s="570">
        <f t="shared" si="7"/>
        <v>1.5114268290462113E-2</v>
      </c>
      <c r="V14" s="570">
        <f t="shared" si="7"/>
        <v>1.5274576886964847E-2</v>
      </c>
      <c r="W14" s="570">
        <f t="shared" si="7"/>
        <v>1.5436585787155383E-2</v>
      </c>
      <c r="X14" s="570">
        <f t="shared" si="7"/>
        <v>1.5600313025204645E-2</v>
      </c>
      <c r="Y14" s="570">
        <f t="shared" si="7"/>
        <v>1.5765776826561939E-2</v>
      </c>
      <c r="Z14" s="570">
        <f t="shared" si="7"/>
        <v>1.5932995609983718E-2</v>
      </c>
      <c r="AA14" s="570">
        <f t="shared" si="7"/>
        <v>1.6101987989583899E-2</v>
      </c>
      <c r="AB14" s="570">
        <f t="shared" si="7"/>
        <v>1.6272772776905885E-2</v>
      </c>
      <c r="AC14" s="570">
        <f t="shared" si="7"/>
        <v>1.6445368983016632E-2</v>
      </c>
      <c r="AD14" s="570">
        <f t="shared" si="7"/>
        <v>1.6619795820622833E-2</v>
      </c>
      <c r="AE14" s="570">
        <f t="shared" si="7"/>
        <v>1.6796072706209638E-2</v>
      </c>
      <c r="AF14" s="570">
        <f t="shared" si="7"/>
        <v>1.6974219262201995E-2</v>
      </c>
      <c r="AG14" s="570">
        <f t="shared" si="7"/>
        <v>1.7154255319148957E-2</v>
      </c>
      <c r="AH14" s="570">
        <f t="shared" si="7"/>
        <v>1.7336200917931113E-2</v>
      </c>
      <c r="AI14" s="570">
        <f t="shared" si="7"/>
        <v>1.7520076311991487E-2</v>
      </c>
      <c r="AJ14" s="570">
        <f t="shared" si="7"/>
        <v>1.7705901969590047E-2</v>
      </c>
      <c r="AK14" s="570">
        <f t="shared" si="7"/>
        <v>1.7893698576082147E-2</v>
      </c>
      <c r="AL14" s="570">
        <f t="shared" si="7"/>
        <v>1.808348703622116E-2</v>
      </c>
    </row>
    <row r="16" spans="1:38">
      <c r="B16" s="573" t="s">
        <v>1055</v>
      </c>
      <c r="C16" s="574" t="s">
        <v>505</v>
      </c>
      <c r="D16" s="383">
        <f t="shared" ref="D16:AK16" si="8">D6*D14</f>
        <v>67.829576257120465</v>
      </c>
      <c r="E16" s="383">
        <f t="shared" si="8"/>
        <v>70.570797029388899</v>
      </c>
      <c r="F16" s="383">
        <f t="shared" si="8"/>
        <v>73.422799730971377</v>
      </c>
      <c r="G16" s="383">
        <f t="shared" si="8"/>
        <v>76.390061431349721</v>
      </c>
      <c r="H16" s="383">
        <f t="shared" si="8"/>
        <v>79.477240133405957</v>
      </c>
      <c r="I16" s="383">
        <f t="shared" si="8"/>
        <v>82.689182085547969</v>
      </c>
      <c r="J16" s="383">
        <f t="shared" si="8"/>
        <v>86.030929389343001</v>
      </c>
      <c r="K16" s="383">
        <f t="shared" si="8"/>
        <v>89.507727914600963</v>
      </c>
      <c r="L16" s="383">
        <f t="shared" si="8"/>
        <v>93.12503553433271</v>
      </c>
      <c r="M16" s="383">
        <f t="shared" si="8"/>
        <v>96.888530692510912</v>
      </c>
      <c r="N16" s="383">
        <f t="shared" si="8"/>
        <v>100.80412131808258</v>
      </c>
      <c r="O16" s="383">
        <f t="shared" si="8"/>
        <v>104.8779540992271</v>
      </c>
      <c r="P16" s="383">
        <f t="shared" si="8"/>
        <v>109.11642413241768</v>
      </c>
      <c r="Q16" s="383">
        <f t="shared" si="8"/>
        <v>113.5261849614342</v>
      </c>
      <c r="R16" s="383">
        <f t="shared" si="8"/>
        <v>118.11415902208599</v>
      </c>
      <c r="S16" s="383">
        <f t="shared" si="8"/>
        <v>122.8875485090412</v>
      </c>
      <c r="T16" s="383">
        <f t="shared" si="8"/>
        <v>127.85384668182053</v>
      </c>
      <c r="U16" s="383">
        <f t="shared" si="8"/>
        <v>133.02084962770491</v>
      </c>
      <c r="V16" s="383">
        <f t="shared" si="8"/>
        <v>138.39666850002149</v>
      </c>
      <c r="W16" s="383">
        <f t="shared" si="8"/>
        <v>143.98974225101941</v>
      </c>
      <c r="X16" s="383">
        <f t="shared" si="8"/>
        <v>149.80885087932432</v>
      </c>
      <c r="Y16" s="383">
        <f t="shared" si="8"/>
        <v>155.86312921276686</v>
      </c>
      <c r="Z16" s="383">
        <f t="shared" si="8"/>
        <v>162.16208124822126</v>
      </c>
      <c r="AA16" s="383">
        <f t="shared" si="8"/>
        <v>168.71559507096532</v>
      </c>
      <c r="AB16" s="383">
        <f t="shared" si="8"/>
        <v>175.53395837698127</v>
      </c>
      <c r="AC16" s="383">
        <f t="shared" si="8"/>
        <v>182.6278746225656</v>
      </c>
      <c r="AD16" s="383">
        <f t="shared" si="8"/>
        <v>190.00847982659806</v>
      </c>
      <c r="AE16" s="383">
        <f t="shared" si="8"/>
        <v>197.68736005184712</v>
      </c>
      <c r="AF16" s="383">
        <f t="shared" si="8"/>
        <v>205.67656959275368</v>
      </c>
      <c r="AG16" s="383">
        <f t="shared" si="8"/>
        <v>213.98864989824415</v>
      </c>
      <c r="AH16" s="383">
        <f t="shared" si="8"/>
        <v>222.63664925927762</v>
      </c>
      <c r="AI16" s="383">
        <f t="shared" si="8"/>
        <v>231.6341432920332</v>
      </c>
      <c r="AJ16" s="383">
        <f t="shared" si="8"/>
        <v>240.99525624889139</v>
      </c>
      <c r="AK16" s="383">
        <f t="shared" si="8"/>
        <v>250.73468319066399</v>
      </c>
      <c r="AL16" s="383">
        <f t="shared" ref="AL16" si="9">AL6*AL14</f>
        <v>260.86771305487827</v>
      </c>
    </row>
    <row r="17" spans="2:38">
      <c r="B17" s="573" t="s">
        <v>1056</v>
      </c>
      <c r="C17" s="574" t="s">
        <v>490</v>
      </c>
      <c r="D17" s="383">
        <f t="shared" ref="D17:AJ17" si="10">D16*$C13/2</f>
        <v>305.23309315704211</v>
      </c>
      <c r="E17" s="383">
        <f t="shared" si="10"/>
        <v>317.56858663225006</v>
      </c>
      <c r="F17" s="383">
        <f t="shared" si="10"/>
        <v>330.40259878937121</v>
      </c>
      <c r="G17" s="383">
        <f t="shared" si="10"/>
        <v>343.75527644107376</v>
      </c>
      <c r="H17" s="383">
        <f t="shared" si="10"/>
        <v>357.64758060032682</v>
      </c>
      <c r="I17" s="383">
        <f t="shared" si="10"/>
        <v>372.10131938496585</v>
      </c>
      <c r="J17" s="383">
        <f t="shared" si="10"/>
        <v>387.1391822520435</v>
      </c>
      <c r="K17" s="383">
        <f t="shared" si="10"/>
        <v>402.78477561570435</v>
      </c>
      <c r="L17" s="383">
        <f t="shared" si="10"/>
        <v>419.0626599044972</v>
      </c>
      <c r="M17" s="383">
        <f t="shared" si="10"/>
        <v>435.99838811629911</v>
      </c>
      <c r="N17" s="383">
        <f t="shared" si="10"/>
        <v>453.61854593137161</v>
      </c>
      <c r="O17" s="383">
        <f t="shared" si="10"/>
        <v>471.95079344652191</v>
      </c>
      <c r="P17" s="383">
        <f t="shared" si="10"/>
        <v>491.02390859587956</v>
      </c>
      <c r="Q17" s="383">
        <f t="shared" si="10"/>
        <v>510.86783232645388</v>
      </c>
      <c r="R17" s="383">
        <f t="shared" si="10"/>
        <v>531.51371559938696</v>
      </c>
      <c r="S17" s="383">
        <f t="shared" si="10"/>
        <v>552.99396829068542</v>
      </c>
      <c r="T17" s="383">
        <f t="shared" si="10"/>
        <v>575.34231006819232</v>
      </c>
      <c r="U17" s="383">
        <f t="shared" si="10"/>
        <v>598.59382332467203</v>
      </c>
      <c r="V17" s="383">
        <f t="shared" si="10"/>
        <v>622.78500825009667</v>
      </c>
      <c r="W17" s="383">
        <f t="shared" si="10"/>
        <v>647.95384012958732</v>
      </c>
      <c r="X17" s="383">
        <f t="shared" si="10"/>
        <v>674.13982895695949</v>
      </c>
      <c r="Y17" s="383">
        <f t="shared" si="10"/>
        <v>701.38408145745086</v>
      </c>
      <c r="Z17" s="383">
        <f t="shared" si="10"/>
        <v>729.72936561699566</v>
      </c>
      <c r="AA17" s="383">
        <f t="shared" si="10"/>
        <v>759.22017781934392</v>
      </c>
      <c r="AB17" s="383">
        <f t="shared" si="10"/>
        <v>789.90281269641571</v>
      </c>
      <c r="AC17" s="383">
        <f t="shared" si="10"/>
        <v>821.82543580154515</v>
      </c>
      <c r="AD17" s="383">
        <f t="shared" si="10"/>
        <v>855.03815921969124</v>
      </c>
      <c r="AE17" s="383">
        <f t="shared" si="10"/>
        <v>889.59312023331199</v>
      </c>
      <c r="AF17" s="383">
        <f t="shared" si="10"/>
        <v>925.54456316739152</v>
      </c>
      <c r="AG17" s="383">
        <f t="shared" si="10"/>
        <v>962.94892454209867</v>
      </c>
      <c r="AH17" s="383">
        <f t="shared" si="10"/>
        <v>1001.8649216667493</v>
      </c>
      <c r="AI17" s="383">
        <f t="shared" si="10"/>
        <v>1042.3536448141494</v>
      </c>
      <c r="AJ17" s="383">
        <f t="shared" si="10"/>
        <v>1084.4786531200114</v>
      </c>
      <c r="AK17" s="383">
        <f t="shared" ref="AK17:AL17" si="11">AK16*$C13/2</f>
        <v>1128.3060743579879</v>
      </c>
      <c r="AL17" s="383">
        <f t="shared" si="11"/>
        <v>1173.9047087469521</v>
      </c>
    </row>
    <row r="18" spans="2:38">
      <c r="B18" s="575" t="s">
        <v>1057</v>
      </c>
      <c r="C18" s="574" t="s">
        <v>443</v>
      </c>
      <c r="D18" s="383">
        <f t="shared" ref="D18:AJ18" si="12">D17/Minutes.per.Hour*Days.Per.Year</f>
        <v>1856.8346500386729</v>
      </c>
      <c r="E18" s="383">
        <f t="shared" si="12"/>
        <v>1931.8755686795212</v>
      </c>
      <c r="F18" s="383">
        <f t="shared" si="12"/>
        <v>2009.9491426353416</v>
      </c>
      <c r="G18" s="383">
        <f t="shared" si="12"/>
        <v>2091.1779316831985</v>
      </c>
      <c r="H18" s="383">
        <f t="shared" si="12"/>
        <v>2175.6894486519882</v>
      </c>
      <c r="I18" s="383">
        <f t="shared" si="12"/>
        <v>2263.6163595918756</v>
      </c>
      <c r="J18" s="383">
        <f t="shared" si="12"/>
        <v>2355.0966920332644</v>
      </c>
      <c r="K18" s="383">
        <f t="shared" si="12"/>
        <v>2450.2740516622011</v>
      </c>
      <c r="L18" s="383">
        <f t="shared" si="12"/>
        <v>2549.2978477523579</v>
      </c>
      <c r="M18" s="383">
        <f t="shared" si="12"/>
        <v>2652.3235277074864</v>
      </c>
      <c r="N18" s="383">
        <f t="shared" si="12"/>
        <v>2759.5128210825105</v>
      </c>
      <c r="O18" s="383">
        <f t="shared" si="12"/>
        <v>2871.0339934663416</v>
      </c>
      <c r="P18" s="383">
        <f t="shared" si="12"/>
        <v>2987.0621106249337</v>
      </c>
      <c r="Q18" s="383">
        <f t="shared" si="12"/>
        <v>3107.7793133192608</v>
      </c>
      <c r="R18" s="383">
        <f t="shared" si="12"/>
        <v>3233.3751032296041</v>
      </c>
      <c r="S18" s="383">
        <f t="shared" si="12"/>
        <v>3364.0466404350027</v>
      </c>
      <c r="T18" s="383">
        <f t="shared" si="12"/>
        <v>3499.9990529148367</v>
      </c>
      <c r="U18" s="383">
        <f t="shared" si="12"/>
        <v>3641.4457585584214</v>
      </c>
      <c r="V18" s="383">
        <f t="shared" si="12"/>
        <v>3788.608800188088</v>
      </c>
      <c r="W18" s="383">
        <f t="shared" si="12"/>
        <v>3941.7191941216561</v>
      </c>
      <c r="X18" s="383">
        <f t="shared" si="12"/>
        <v>4101.0172928215034</v>
      </c>
      <c r="Y18" s="383">
        <f t="shared" si="12"/>
        <v>4266.7531621994931</v>
      </c>
      <c r="Z18" s="383">
        <f t="shared" si="12"/>
        <v>4439.1869741700575</v>
      </c>
      <c r="AA18" s="383">
        <f t="shared" si="12"/>
        <v>4618.5894150676759</v>
      </c>
      <c r="AB18" s="383">
        <f t="shared" si="12"/>
        <v>4805.2421105698622</v>
      </c>
      <c r="AC18" s="383">
        <f t="shared" si="12"/>
        <v>4999.4380677927329</v>
      </c>
      <c r="AD18" s="383">
        <f t="shared" si="12"/>
        <v>5201.4821352531217</v>
      </c>
      <c r="AE18" s="383">
        <f t="shared" si="12"/>
        <v>5411.6914814193151</v>
      </c>
      <c r="AF18" s="383">
        <f t="shared" si="12"/>
        <v>5630.3960926016316</v>
      </c>
      <c r="AG18" s="383">
        <f t="shared" si="12"/>
        <v>5857.939290964433</v>
      </c>
      <c r="AH18" s="383">
        <f t="shared" si="12"/>
        <v>6094.6782734727249</v>
      </c>
      <c r="AI18" s="383">
        <f t="shared" si="12"/>
        <v>6340.9846726194091</v>
      </c>
      <c r="AJ18" s="383">
        <f t="shared" si="12"/>
        <v>6597.2451398134017</v>
      </c>
      <c r="AK18" s="383">
        <f t="shared" ref="AK18:AL18" si="13">AK17/Minutes.per.Hour*Days.Per.Year</f>
        <v>6863.8619523444268</v>
      </c>
      <c r="AL18" s="383">
        <f t="shared" si="13"/>
        <v>7141.2536448772917</v>
      </c>
    </row>
    <row r="20" spans="2:38">
      <c r="B20" s="575" t="s">
        <v>745</v>
      </c>
      <c r="C20" s="574" t="s">
        <v>443</v>
      </c>
      <c r="D20" s="383">
        <f>D18</f>
        <v>1856.8346500386729</v>
      </c>
      <c r="E20" s="383">
        <f t="shared" ref="E20:AJ20" si="14">E18</f>
        <v>1931.8755686795212</v>
      </c>
      <c r="F20" s="383">
        <f t="shared" si="14"/>
        <v>2009.9491426353416</v>
      </c>
      <c r="G20" s="383">
        <f t="shared" si="14"/>
        <v>2091.1779316831985</v>
      </c>
      <c r="H20" s="383">
        <f t="shared" si="14"/>
        <v>2175.6894486519882</v>
      </c>
      <c r="I20" s="383">
        <f t="shared" si="14"/>
        <v>2263.6163595918756</v>
      </c>
      <c r="J20" s="383">
        <f t="shared" si="14"/>
        <v>2355.0966920332644</v>
      </c>
      <c r="K20" s="383">
        <f t="shared" si="14"/>
        <v>2450.2740516622011</v>
      </c>
      <c r="L20" s="383">
        <f t="shared" si="14"/>
        <v>2549.2978477523579</v>
      </c>
      <c r="M20" s="383">
        <f t="shared" si="14"/>
        <v>2652.3235277074864</v>
      </c>
      <c r="N20" s="383">
        <f t="shared" si="14"/>
        <v>2759.5128210825105</v>
      </c>
      <c r="O20" s="383">
        <f t="shared" si="14"/>
        <v>2871.0339934663416</v>
      </c>
      <c r="P20" s="383">
        <f t="shared" si="14"/>
        <v>2987.0621106249337</v>
      </c>
      <c r="Q20" s="383">
        <f t="shared" si="14"/>
        <v>3107.7793133192608</v>
      </c>
      <c r="R20" s="383">
        <f t="shared" si="14"/>
        <v>3233.3751032296041</v>
      </c>
      <c r="S20" s="383">
        <f t="shared" si="14"/>
        <v>3364.0466404350027</v>
      </c>
      <c r="T20" s="383">
        <f t="shared" si="14"/>
        <v>3499.9990529148367</v>
      </c>
      <c r="U20" s="383">
        <f t="shared" si="14"/>
        <v>3641.4457585584214</v>
      </c>
      <c r="V20" s="383">
        <f t="shared" si="14"/>
        <v>3788.608800188088</v>
      </c>
      <c r="W20" s="383">
        <f t="shared" si="14"/>
        <v>3941.7191941216561</v>
      </c>
      <c r="X20" s="383">
        <f t="shared" si="14"/>
        <v>4101.0172928215034</v>
      </c>
      <c r="Y20" s="383">
        <f t="shared" si="14"/>
        <v>4266.7531621994931</v>
      </c>
      <c r="Z20" s="383">
        <f t="shared" si="14"/>
        <v>4439.1869741700575</v>
      </c>
      <c r="AA20" s="383">
        <f t="shared" si="14"/>
        <v>4618.5894150676759</v>
      </c>
      <c r="AB20" s="383">
        <f t="shared" si="14"/>
        <v>4805.2421105698622</v>
      </c>
      <c r="AC20" s="383">
        <f t="shared" si="14"/>
        <v>4999.4380677927329</v>
      </c>
      <c r="AD20" s="383">
        <f t="shared" si="14"/>
        <v>5201.4821352531217</v>
      </c>
      <c r="AE20" s="383">
        <f t="shared" si="14"/>
        <v>5411.6914814193151</v>
      </c>
      <c r="AF20" s="383">
        <f t="shared" si="14"/>
        <v>5630.3960926016316</v>
      </c>
      <c r="AG20" s="383">
        <f t="shared" si="14"/>
        <v>5857.939290964433</v>
      </c>
      <c r="AH20" s="383">
        <f t="shared" si="14"/>
        <v>6094.6782734727249</v>
      </c>
      <c r="AI20" s="383">
        <f t="shared" si="14"/>
        <v>6340.9846726194091</v>
      </c>
      <c r="AJ20" s="383">
        <f t="shared" si="14"/>
        <v>6597.2451398134017</v>
      </c>
      <c r="AK20" s="383">
        <f t="shared" ref="AK20:AL20" si="15">AK18</f>
        <v>6863.8619523444268</v>
      </c>
      <c r="AL20" s="383">
        <f t="shared" si="15"/>
        <v>7141.2536448772917</v>
      </c>
    </row>
    <row r="22" spans="2:38" ht="13">
      <c r="B22" s="502" t="s">
        <v>506</v>
      </c>
      <c r="C22" s="542">
        <f>SUMIFS('Crossing Inputs'!$C$41:$H$41,'Crossing Inputs'!$C$23:$H$23,$A$1)</f>
        <v>0.9</v>
      </c>
    </row>
    <row r="23" spans="2:38" ht="13">
      <c r="B23" s="502" t="s">
        <v>507</v>
      </c>
      <c r="C23" s="542">
        <f>SUMIFS('Crossing Inputs'!$C$42:$H$42,'Crossing Inputs'!$C$23:$H$23,$A$1)</f>
        <v>0.1</v>
      </c>
    </row>
    <row r="24" spans="2:38" ht="13">
      <c r="B24" s="502" t="s">
        <v>746</v>
      </c>
      <c r="C24" s="542">
        <f>SUMIFS('Crossing Inputs'!$C$43:$H$43,'Crossing Inputs'!$C$23:$H$23,$A$1)</f>
        <v>0</v>
      </c>
    </row>
    <row r="25" spans="2:38">
      <c r="B25" s="358" t="s">
        <v>508</v>
      </c>
      <c r="C25" s="358" t="s">
        <v>443</v>
      </c>
      <c r="D25" s="576">
        <f>D$20*$C22</f>
        <v>1671.1511850348056</v>
      </c>
      <c r="E25" s="576">
        <f t="shared" ref="E25:AJ27" si="16">E$20*$C22</f>
        <v>1738.6880118115691</v>
      </c>
      <c r="F25" s="576">
        <f t="shared" si="16"/>
        <v>1808.9542283718074</v>
      </c>
      <c r="G25" s="576">
        <f t="shared" si="16"/>
        <v>1882.0601385148786</v>
      </c>
      <c r="H25" s="576">
        <f t="shared" si="16"/>
        <v>1958.1205037867894</v>
      </c>
      <c r="I25" s="576">
        <f t="shared" si="16"/>
        <v>2037.2547236326882</v>
      </c>
      <c r="J25" s="576">
        <f t="shared" si="16"/>
        <v>2119.5870228299382</v>
      </c>
      <c r="K25" s="576">
        <f t="shared" si="16"/>
        <v>2205.2466464959812</v>
      </c>
      <c r="L25" s="576">
        <f t="shared" si="16"/>
        <v>2294.368062977122</v>
      </c>
      <c r="M25" s="576">
        <f t="shared" si="16"/>
        <v>2387.0911749367378</v>
      </c>
      <c r="N25" s="576">
        <f t="shared" si="16"/>
        <v>2483.5615389742597</v>
      </c>
      <c r="O25" s="576">
        <f t="shared" si="16"/>
        <v>2583.9305941197076</v>
      </c>
      <c r="P25" s="576">
        <f t="shared" si="16"/>
        <v>2688.3558995624403</v>
      </c>
      <c r="Q25" s="576">
        <f t="shared" si="16"/>
        <v>2797.0013819873348</v>
      </c>
      <c r="R25" s="576">
        <f t="shared" si="16"/>
        <v>2910.0375929066436</v>
      </c>
      <c r="S25" s="576">
        <f t="shared" si="16"/>
        <v>3027.6419763915023</v>
      </c>
      <c r="T25" s="576">
        <f t="shared" si="16"/>
        <v>3149.9991476233531</v>
      </c>
      <c r="U25" s="576">
        <f t="shared" si="16"/>
        <v>3277.3011827025794</v>
      </c>
      <c r="V25" s="576">
        <f t="shared" si="16"/>
        <v>3409.7479201692795</v>
      </c>
      <c r="W25" s="576">
        <f t="shared" si="16"/>
        <v>3547.5472747094905</v>
      </c>
      <c r="X25" s="576">
        <f t="shared" si="16"/>
        <v>3690.9155635393531</v>
      </c>
      <c r="Y25" s="576">
        <f t="shared" si="16"/>
        <v>3840.0778459795438</v>
      </c>
      <c r="Z25" s="576">
        <f t="shared" si="16"/>
        <v>3995.2682767530519</v>
      </c>
      <c r="AA25" s="576">
        <f t="shared" si="16"/>
        <v>4156.7304735609086</v>
      </c>
      <c r="AB25" s="576">
        <f t="shared" si="16"/>
        <v>4324.7178995128761</v>
      </c>
      <c r="AC25" s="576">
        <f t="shared" si="16"/>
        <v>4499.4942610134594</v>
      </c>
      <c r="AD25" s="576">
        <f t="shared" si="16"/>
        <v>4681.3339217278099</v>
      </c>
      <c r="AE25" s="576">
        <f t="shared" si="16"/>
        <v>4870.522333277384</v>
      </c>
      <c r="AF25" s="576">
        <f t="shared" si="16"/>
        <v>5067.3564833414684</v>
      </c>
      <c r="AG25" s="576">
        <f t="shared" si="16"/>
        <v>5272.1453618679898</v>
      </c>
      <c r="AH25" s="576">
        <f t="shared" si="16"/>
        <v>5485.2104461254521</v>
      </c>
      <c r="AI25" s="576">
        <f t="shared" si="16"/>
        <v>5706.8862053574685</v>
      </c>
      <c r="AJ25" s="576">
        <f t="shared" si="16"/>
        <v>5937.5206258320613</v>
      </c>
      <c r="AK25" s="576">
        <f t="shared" ref="AK25:AL25" si="17">AK$20*$C22</f>
        <v>6177.4757571099844</v>
      </c>
      <c r="AL25" s="576">
        <f t="shared" si="17"/>
        <v>6427.1282803895629</v>
      </c>
    </row>
    <row r="26" spans="2:38">
      <c r="B26" s="358" t="s">
        <v>509</v>
      </c>
      <c r="C26" s="358" t="s">
        <v>443</v>
      </c>
      <c r="D26" s="576">
        <f t="shared" ref="D26:S27" si="18">D$20*$C23</f>
        <v>185.6834650038673</v>
      </c>
      <c r="E26" s="576">
        <f t="shared" si="18"/>
        <v>193.18755686795214</v>
      </c>
      <c r="F26" s="576">
        <f t="shared" si="18"/>
        <v>200.99491426353416</v>
      </c>
      <c r="G26" s="576">
        <f t="shared" si="18"/>
        <v>209.11779316831985</v>
      </c>
      <c r="H26" s="576">
        <f t="shared" si="18"/>
        <v>217.56894486519883</v>
      </c>
      <c r="I26" s="576">
        <f t="shared" si="18"/>
        <v>226.36163595918757</v>
      </c>
      <c r="J26" s="576">
        <f t="shared" si="18"/>
        <v>235.50966920332644</v>
      </c>
      <c r="K26" s="576">
        <f t="shared" si="18"/>
        <v>245.02740516622012</v>
      </c>
      <c r="L26" s="576">
        <f t="shared" si="18"/>
        <v>254.92978477523582</v>
      </c>
      <c r="M26" s="576">
        <f t="shared" si="18"/>
        <v>265.23235277074866</v>
      </c>
      <c r="N26" s="576">
        <f t="shared" si="18"/>
        <v>275.95128210825106</v>
      </c>
      <c r="O26" s="576">
        <f t="shared" si="18"/>
        <v>287.10339934663415</v>
      </c>
      <c r="P26" s="576">
        <f t="shared" si="18"/>
        <v>298.70621106249337</v>
      </c>
      <c r="Q26" s="576">
        <f t="shared" si="18"/>
        <v>310.77793133192608</v>
      </c>
      <c r="R26" s="576">
        <f t="shared" si="18"/>
        <v>323.33751032296044</v>
      </c>
      <c r="S26" s="576">
        <f t="shared" si="18"/>
        <v>336.4046640435003</v>
      </c>
      <c r="T26" s="576">
        <f t="shared" si="16"/>
        <v>349.99990529148369</v>
      </c>
      <c r="U26" s="576">
        <f t="shared" si="16"/>
        <v>364.14457585584216</v>
      </c>
      <c r="V26" s="576">
        <f t="shared" si="16"/>
        <v>378.86088001880881</v>
      </c>
      <c r="W26" s="576">
        <f t="shared" si="16"/>
        <v>394.17191941216561</v>
      </c>
      <c r="X26" s="576">
        <f t="shared" si="16"/>
        <v>410.10172928215036</v>
      </c>
      <c r="Y26" s="576">
        <f t="shared" si="16"/>
        <v>426.67531621994931</v>
      </c>
      <c r="Z26" s="576">
        <f t="shared" si="16"/>
        <v>443.91869741700577</v>
      </c>
      <c r="AA26" s="576">
        <f t="shared" si="16"/>
        <v>461.85894150676762</v>
      </c>
      <c r="AB26" s="576">
        <f t="shared" si="16"/>
        <v>480.52421105698625</v>
      </c>
      <c r="AC26" s="576">
        <f t="shared" si="16"/>
        <v>499.9438067792733</v>
      </c>
      <c r="AD26" s="576">
        <f t="shared" si="16"/>
        <v>520.14821352531214</v>
      </c>
      <c r="AE26" s="576">
        <f t="shared" si="16"/>
        <v>541.16914814193149</v>
      </c>
      <c r="AF26" s="576">
        <f t="shared" si="16"/>
        <v>563.03960926016316</v>
      </c>
      <c r="AG26" s="576">
        <f t="shared" si="16"/>
        <v>585.79392909644332</v>
      </c>
      <c r="AH26" s="576">
        <f t="shared" si="16"/>
        <v>609.46782734727253</v>
      </c>
      <c r="AI26" s="576">
        <f t="shared" si="16"/>
        <v>634.09846726194098</v>
      </c>
      <c r="AJ26" s="576">
        <f t="shared" si="16"/>
        <v>659.72451398134024</v>
      </c>
      <c r="AK26" s="576">
        <f t="shared" ref="AK26:AL26" si="19">AK$20*$C23</f>
        <v>686.38619523444277</v>
      </c>
      <c r="AL26" s="576">
        <f t="shared" si="19"/>
        <v>714.12536448772926</v>
      </c>
    </row>
    <row r="27" spans="2:38">
      <c r="B27" s="358" t="s">
        <v>747</v>
      </c>
      <c r="C27" s="358" t="s">
        <v>443</v>
      </c>
      <c r="D27" s="576">
        <f t="shared" si="18"/>
        <v>0</v>
      </c>
      <c r="E27" s="576">
        <f t="shared" si="16"/>
        <v>0</v>
      </c>
      <c r="F27" s="576">
        <f t="shared" si="16"/>
        <v>0</v>
      </c>
      <c r="G27" s="576">
        <f t="shared" si="16"/>
        <v>0</v>
      </c>
      <c r="H27" s="576">
        <f t="shared" si="16"/>
        <v>0</v>
      </c>
      <c r="I27" s="576">
        <f t="shared" si="16"/>
        <v>0</v>
      </c>
      <c r="J27" s="576">
        <f t="shared" si="16"/>
        <v>0</v>
      </c>
      <c r="K27" s="576">
        <f t="shared" si="16"/>
        <v>0</v>
      </c>
      <c r="L27" s="576">
        <f t="shared" si="16"/>
        <v>0</v>
      </c>
      <c r="M27" s="576">
        <f t="shared" si="16"/>
        <v>0</v>
      </c>
      <c r="N27" s="576">
        <f t="shared" si="16"/>
        <v>0</v>
      </c>
      <c r="O27" s="576">
        <f t="shared" si="16"/>
        <v>0</v>
      </c>
      <c r="P27" s="576">
        <f t="shared" si="16"/>
        <v>0</v>
      </c>
      <c r="Q27" s="576">
        <f t="shared" si="16"/>
        <v>0</v>
      </c>
      <c r="R27" s="576">
        <f t="shared" si="16"/>
        <v>0</v>
      </c>
      <c r="S27" s="576">
        <f t="shared" si="16"/>
        <v>0</v>
      </c>
      <c r="T27" s="576">
        <f t="shared" si="16"/>
        <v>0</v>
      </c>
      <c r="U27" s="576">
        <f t="shared" si="16"/>
        <v>0</v>
      </c>
      <c r="V27" s="576">
        <f t="shared" si="16"/>
        <v>0</v>
      </c>
      <c r="W27" s="576">
        <f t="shared" si="16"/>
        <v>0</v>
      </c>
      <c r="X27" s="576">
        <f t="shared" si="16"/>
        <v>0</v>
      </c>
      <c r="Y27" s="576">
        <f t="shared" si="16"/>
        <v>0</v>
      </c>
      <c r="Z27" s="576">
        <f t="shared" si="16"/>
        <v>0</v>
      </c>
      <c r="AA27" s="576">
        <f t="shared" si="16"/>
        <v>0</v>
      </c>
      <c r="AB27" s="576">
        <f t="shared" si="16"/>
        <v>0</v>
      </c>
      <c r="AC27" s="576">
        <f t="shared" si="16"/>
        <v>0</v>
      </c>
      <c r="AD27" s="576">
        <f t="shared" si="16"/>
        <v>0</v>
      </c>
      <c r="AE27" s="576">
        <f t="shared" si="16"/>
        <v>0</v>
      </c>
      <c r="AF27" s="576">
        <f t="shared" si="16"/>
        <v>0</v>
      </c>
      <c r="AG27" s="576">
        <f t="shared" si="16"/>
        <v>0</v>
      </c>
      <c r="AH27" s="576">
        <f t="shared" si="16"/>
        <v>0</v>
      </c>
      <c r="AI27" s="576">
        <f t="shared" si="16"/>
        <v>0</v>
      </c>
      <c r="AJ27" s="576">
        <f t="shared" si="16"/>
        <v>0</v>
      </c>
      <c r="AK27" s="576">
        <f t="shared" ref="AK27:AL27" si="20">AK$20*$C24</f>
        <v>0</v>
      </c>
      <c r="AL27" s="576">
        <f t="shared" si="20"/>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647" t="s">
        <v>788</v>
      </c>
      <c r="C32" s="358" t="s">
        <v>295</v>
      </c>
      <c r="D32" s="383">
        <f>D25*$C29</f>
        <v>597.43654864994301</v>
      </c>
      <c r="E32" s="383">
        <f t="shared" ref="E32:AJ32" si="21">E25*$C29</f>
        <v>621.58096422263588</v>
      </c>
      <c r="F32" s="383">
        <f t="shared" si="21"/>
        <v>646.70113664292114</v>
      </c>
      <c r="G32" s="383">
        <f t="shared" si="21"/>
        <v>672.83649951906909</v>
      </c>
      <c r="H32" s="383">
        <f t="shared" si="21"/>
        <v>700.02808010377714</v>
      </c>
      <c r="I32" s="383">
        <f t="shared" si="21"/>
        <v>728.31856369868603</v>
      </c>
      <c r="J32" s="383">
        <f t="shared" si="21"/>
        <v>757.75236066170282</v>
      </c>
      <c r="K32" s="383">
        <f t="shared" si="21"/>
        <v>788.37567612231328</v>
      </c>
      <c r="L32" s="383">
        <f t="shared" si="21"/>
        <v>820.23658251432107</v>
      </c>
      <c r="M32" s="383">
        <f t="shared" si="21"/>
        <v>853.38509503988371</v>
      </c>
      <c r="N32" s="383">
        <f t="shared" si="21"/>
        <v>887.87325018329784</v>
      </c>
      <c r="O32" s="383">
        <f t="shared" si="21"/>
        <v>923.75518739779545</v>
      </c>
      <c r="P32" s="383">
        <f t="shared" si="21"/>
        <v>961.08723409357242</v>
      </c>
      <c r="Q32" s="383">
        <f t="shared" si="21"/>
        <v>999.92799406047209</v>
      </c>
      <c r="R32" s="383">
        <f t="shared" si="21"/>
        <v>1040.338439464125</v>
      </c>
      <c r="S32" s="383">
        <f t="shared" si="21"/>
        <v>1082.3820065599621</v>
      </c>
      <c r="T32" s="383">
        <f t="shared" si="21"/>
        <v>1126.1246952753486</v>
      </c>
      <c r="U32" s="383">
        <f t="shared" si="21"/>
        <v>1171.6351728161721</v>
      </c>
      <c r="V32" s="383">
        <f t="shared" si="21"/>
        <v>1218.9848814605173</v>
      </c>
      <c r="W32" s="383">
        <f t="shared" si="21"/>
        <v>1268.2481507086427</v>
      </c>
      <c r="X32" s="383">
        <f t="shared" si="21"/>
        <v>1319.5023139653188</v>
      </c>
      <c r="Y32" s="383">
        <f t="shared" si="21"/>
        <v>1372.8278299376868</v>
      </c>
      <c r="Z32" s="383">
        <f t="shared" si="21"/>
        <v>1428.308408939216</v>
      </c>
      <c r="AA32" s="383">
        <f t="shared" si="21"/>
        <v>1486.0311442980249</v>
      </c>
      <c r="AB32" s="383">
        <f t="shared" si="21"/>
        <v>1546.0866490758531</v>
      </c>
      <c r="AC32" s="383">
        <f t="shared" si="21"/>
        <v>1608.5691983123118</v>
      </c>
      <c r="AD32" s="383">
        <f t="shared" si="21"/>
        <v>1673.5768770176919</v>
      </c>
      <c r="AE32" s="383">
        <f t="shared" si="21"/>
        <v>1741.2117341466646</v>
      </c>
      <c r="AF32" s="383">
        <f t="shared" si="21"/>
        <v>1811.5799427945749</v>
      </c>
      <c r="AG32" s="383">
        <f t="shared" si="21"/>
        <v>1884.7919668678062</v>
      </c>
      <c r="AH32" s="383">
        <f t="shared" si="21"/>
        <v>1960.962734489849</v>
      </c>
      <c r="AI32" s="383">
        <f t="shared" si="21"/>
        <v>2040.2118184152948</v>
      </c>
      <c r="AJ32" s="383">
        <f t="shared" si="21"/>
        <v>2122.6636237349617</v>
      </c>
      <c r="AK32" s="383">
        <f t="shared" ref="AK32:AL32" si="22">AK25*$C29</f>
        <v>2208.4475831668192</v>
      </c>
      <c r="AL32" s="383">
        <f t="shared" si="22"/>
        <v>2297.6983602392688</v>
      </c>
    </row>
    <row r="33" spans="1:38">
      <c r="B33" s="647" t="s">
        <v>789</v>
      </c>
      <c r="C33" s="358" t="s">
        <v>295</v>
      </c>
      <c r="D33" s="383">
        <f>D26*$C30+D27*$C31</f>
        <v>155.97411060324853</v>
      </c>
      <c r="E33" s="383">
        <f t="shared" ref="E33:AJ33" si="23">E26*$C30+E27*$C31</f>
        <v>162.2775477690798</v>
      </c>
      <c r="F33" s="383">
        <f t="shared" si="23"/>
        <v>168.83572798136868</v>
      </c>
      <c r="G33" s="383">
        <f t="shared" si="23"/>
        <v>175.65894626138868</v>
      </c>
      <c r="H33" s="383">
        <f t="shared" si="23"/>
        <v>182.75791368676701</v>
      </c>
      <c r="I33" s="383">
        <f t="shared" si="23"/>
        <v>190.14377420571756</v>
      </c>
      <c r="J33" s="383">
        <f t="shared" si="23"/>
        <v>197.82812213079421</v>
      </c>
      <c r="K33" s="383">
        <f t="shared" si="23"/>
        <v>205.82302033962489</v>
      </c>
      <c r="L33" s="383">
        <f t="shared" si="23"/>
        <v>214.14101921119808</v>
      </c>
      <c r="M33" s="383">
        <f t="shared" si="23"/>
        <v>222.79517632742886</v>
      </c>
      <c r="N33" s="383">
        <f t="shared" si="23"/>
        <v>231.79907697093088</v>
      </c>
      <c r="O33" s="383">
        <f t="shared" si="23"/>
        <v>241.16685545117267</v>
      </c>
      <c r="P33" s="383">
        <f t="shared" si="23"/>
        <v>250.91321729249441</v>
      </c>
      <c r="Q33" s="383">
        <f t="shared" si="23"/>
        <v>261.05346231881788</v>
      </c>
      <c r="R33" s="383">
        <f t="shared" si="23"/>
        <v>271.60350867128676</v>
      </c>
      <c r="S33" s="383">
        <f t="shared" si="23"/>
        <v>282.57991779654026</v>
      </c>
      <c r="T33" s="383">
        <f t="shared" si="23"/>
        <v>293.99992044484628</v>
      </c>
      <c r="U33" s="383">
        <f t="shared" si="23"/>
        <v>305.88144371890741</v>
      </c>
      <c r="V33" s="383">
        <f t="shared" si="23"/>
        <v>318.24313921579937</v>
      </c>
      <c r="W33" s="383">
        <f t="shared" si="23"/>
        <v>331.1044123062191</v>
      </c>
      <c r="X33" s="383">
        <f t="shared" si="23"/>
        <v>344.48545259700632</v>
      </c>
      <c r="Y33" s="383">
        <f t="shared" si="23"/>
        <v>358.40726562475743</v>
      </c>
      <c r="Z33" s="383">
        <f t="shared" si="23"/>
        <v>372.89170583028482</v>
      </c>
      <c r="AA33" s="383">
        <f t="shared" si="23"/>
        <v>387.96151086568477</v>
      </c>
      <c r="AB33" s="383">
        <f t="shared" si="23"/>
        <v>403.64033728786842</v>
      </c>
      <c r="AC33" s="383">
        <f t="shared" si="23"/>
        <v>419.95279769458955</v>
      </c>
      <c r="AD33" s="383">
        <f t="shared" si="23"/>
        <v>436.92449936126218</v>
      </c>
      <c r="AE33" s="383">
        <f t="shared" si="23"/>
        <v>454.58208443922246</v>
      </c>
      <c r="AF33" s="383">
        <f t="shared" si="23"/>
        <v>472.95327177853704</v>
      </c>
      <c r="AG33" s="383">
        <f t="shared" si="23"/>
        <v>492.06690044101236</v>
      </c>
      <c r="AH33" s="383">
        <f t="shared" si="23"/>
        <v>511.9529749717089</v>
      </c>
      <c r="AI33" s="383">
        <f t="shared" si="23"/>
        <v>532.64271250003037</v>
      </c>
      <c r="AJ33" s="383">
        <f t="shared" si="23"/>
        <v>554.16859174432579</v>
      </c>
      <c r="AK33" s="383">
        <f t="shared" ref="AK33:AL33" si="24">AK26*$C30+AK27*$C31</f>
        <v>576.5644039969319</v>
      </c>
      <c r="AL33" s="383">
        <f t="shared" si="24"/>
        <v>599.86530616969253</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Demand!F51</f>
        <v>2.021212882214602</v>
      </c>
      <c r="E37" s="383">
        <f>Demand!G51</f>
        <v>2.0426507576151294</v>
      </c>
      <c r="F37" s="383">
        <f>Demand!H51</f>
        <v>2.064316012578558</v>
      </c>
      <c r="G37" s="383">
        <f>Demand!I51</f>
        <v>2.0862110587928311</v>
      </c>
      <c r="H37" s="383">
        <f>Demand!J51</f>
        <v>0</v>
      </c>
      <c r="I37" s="383">
        <f>Demand!K51</f>
        <v>0</v>
      </c>
      <c r="J37" s="383">
        <f>Demand!L51</f>
        <v>0</v>
      </c>
      <c r="K37" s="383">
        <f>Demand!M51</f>
        <v>0</v>
      </c>
      <c r="L37" s="383">
        <f>Demand!N51</f>
        <v>0</v>
      </c>
      <c r="M37" s="383">
        <f>Demand!O51</f>
        <v>0</v>
      </c>
      <c r="N37" s="383">
        <f>Demand!P51</f>
        <v>0</v>
      </c>
      <c r="O37" s="383">
        <f>Demand!Q51</f>
        <v>0</v>
      </c>
      <c r="P37" s="383">
        <f>Demand!R51</f>
        <v>0</v>
      </c>
      <c r="Q37" s="383">
        <f>Demand!S51</f>
        <v>0</v>
      </c>
      <c r="R37" s="383">
        <f>Demand!T51</f>
        <v>0</v>
      </c>
      <c r="S37" s="383">
        <f>Demand!U51</f>
        <v>0</v>
      </c>
      <c r="T37" s="383">
        <f>Demand!V51</f>
        <v>0</v>
      </c>
      <c r="U37" s="383">
        <f>Demand!W51</f>
        <v>0</v>
      </c>
      <c r="V37" s="383">
        <f>Demand!X51</f>
        <v>0</v>
      </c>
      <c r="W37" s="383">
        <f>Demand!Y51</f>
        <v>0</v>
      </c>
      <c r="X37" s="383">
        <f>Demand!Z51</f>
        <v>0</v>
      </c>
      <c r="Y37" s="383">
        <f>Demand!AA51</f>
        <v>0</v>
      </c>
      <c r="Z37" s="383">
        <f>Demand!AB51</f>
        <v>0</v>
      </c>
      <c r="AA37" s="383">
        <f>Demand!AC51</f>
        <v>0</v>
      </c>
      <c r="AB37" s="383">
        <f>Demand!AD51</f>
        <v>0</v>
      </c>
      <c r="AC37" s="383">
        <f>Demand!AE51</f>
        <v>0</v>
      </c>
      <c r="AD37" s="383">
        <f>Demand!AF51</f>
        <v>0</v>
      </c>
      <c r="AE37" s="383">
        <f>Demand!AG51</f>
        <v>0</v>
      </c>
      <c r="AF37" s="383">
        <f>Demand!AH51</f>
        <v>0</v>
      </c>
      <c r="AG37" s="383">
        <f>Demand!AI51</f>
        <v>0</v>
      </c>
      <c r="AH37" s="383">
        <f>Demand!AJ51</f>
        <v>0</v>
      </c>
      <c r="AI37" s="383">
        <f>Demand!AK51</f>
        <v>0</v>
      </c>
      <c r="AJ37" s="383">
        <f>Demand!AL51</f>
        <v>0</v>
      </c>
      <c r="AK37" s="383">
        <f>Demand!AM51</f>
        <v>0</v>
      </c>
      <c r="AL37" s="383">
        <f>Demand!AN51</f>
        <v>0</v>
      </c>
    </row>
    <row r="38" spans="1:38">
      <c r="B38" s="363" t="s">
        <v>645</v>
      </c>
      <c r="C38" s="358" t="s">
        <v>1054</v>
      </c>
      <c r="D38" s="383">
        <f>Demand!F52</f>
        <v>1.010606441107301</v>
      </c>
      <c r="E38" s="383">
        <f>Demand!G52</f>
        <v>1.0213253788075647</v>
      </c>
      <c r="F38" s="383">
        <f>Demand!H52</f>
        <v>1.032158006289279</v>
      </c>
      <c r="G38" s="383">
        <f>Demand!I52</f>
        <v>1.0431055293964155</v>
      </c>
      <c r="H38" s="383">
        <f>Demand!J52</f>
        <v>0</v>
      </c>
      <c r="I38" s="383">
        <f>Demand!K52</f>
        <v>0</v>
      </c>
      <c r="J38" s="383">
        <f>Demand!L52</f>
        <v>0</v>
      </c>
      <c r="K38" s="383">
        <f>Demand!M52</f>
        <v>0</v>
      </c>
      <c r="L38" s="383">
        <f>Demand!N52</f>
        <v>0</v>
      </c>
      <c r="M38" s="383">
        <f>Demand!O52</f>
        <v>0</v>
      </c>
      <c r="N38" s="383">
        <f>Demand!P52</f>
        <v>0</v>
      </c>
      <c r="O38" s="383">
        <f>Demand!Q52</f>
        <v>0</v>
      </c>
      <c r="P38" s="383">
        <f>Demand!R52</f>
        <v>0</v>
      </c>
      <c r="Q38" s="383">
        <f>Demand!S52</f>
        <v>0</v>
      </c>
      <c r="R38" s="383">
        <f>Demand!T52</f>
        <v>0</v>
      </c>
      <c r="S38" s="383">
        <f>Demand!U52</f>
        <v>0</v>
      </c>
      <c r="T38" s="383">
        <f>Demand!V52</f>
        <v>0</v>
      </c>
      <c r="U38" s="383">
        <f>Demand!W52</f>
        <v>0</v>
      </c>
      <c r="V38" s="383">
        <f>Demand!X52</f>
        <v>0</v>
      </c>
      <c r="W38" s="383">
        <f>Demand!Y52</f>
        <v>0</v>
      </c>
      <c r="X38" s="383">
        <f>Demand!Z52</f>
        <v>0</v>
      </c>
      <c r="Y38" s="383">
        <f>Demand!AA52</f>
        <v>0</v>
      </c>
      <c r="Z38" s="383">
        <f>Demand!AB52</f>
        <v>0</v>
      </c>
      <c r="AA38" s="383">
        <f>Demand!AC52</f>
        <v>0</v>
      </c>
      <c r="AB38" s="383">
        <f>Demand!AD52</f>
        <v>0</v>
      </c>
      <c r="AC38" s="383">
        <f>Demand!AE52</f>
        <v>0</v>
      </c>
      <c r="AD38" s="383">
        <f>Demand!AF52</f>
        <v>0</v>
      </c>
      <c r="AE38" s="383">
        <f>Demand!AG52</f>
        <v>0</v>
      </c>
      <c r="AF38" s="383">
        <f>Demand!AH52</f>
        <v>0</v>
      </c>
      <c r="AG38" s="383">
        <f>Demand!AI52</f>
        <v>0</v>
      </c>
      <c r="AH38" s="383">
        <f>Demand!AJ52</f>
        <v>0</v>
      </c>
      <c r="AI38" s="383">
        <f>Demand!AK52</f>
        <v>0</v>
      </c>
      <c r="AJ38" s="383">
        <f>Demand!AL52</f>
        <v>0</v>
      </c>
      <c r="AK38" s="383">
        <f>Demand!AM52</f>
        <v>0</v>
      </c>
      <c r="AL38" s="383">
        <f>Demand!AN52</f>
        <v>0</v>
      </c>
    </row>
    <row r="40" spans="1:38">
      <c r="B40" s="571" t="s">
        <v>1058</v>
      </c>
      <c r="C40" s="572" t="s">
        <v>15</v>
      </c>
      <c r="D40" s="570">
        <f t="shared" ref="D40:AL40" si="25">(D$37*$C$13)/Minutes.Per.Day</f>
        <v>1.2632580513841262E-2</v>
      </c>
      <c r="E40" s="570">
        <f t="shared" si="25"/>
        <v>1.2766567235094558E-2</v>
      </c>
      <c r="F40" s="570">
        <f t="shared" si="25"/>
        <v>1.2901975078615988E-2</v>
      </c>
      <c r="G40" s="570">
        <f t="shared" si="25"/>
        <v>1.3038819117455193E-2</v>
      </c>
      <c r="H40" s="570">
        <f t="shared" si="25"/>
        <v>0</v>
      </c>
      <c r="I40" s="570">
        <f t="shared" si="25"/>
        <v>0</v>
      </c>
      <c r="J40" s="570">
        <f t="shared" si="25"/>
        <v>0</v>
      </c>
      <c r="K40" s="570">
        <f t="shared" si="25"/>
        <v>0</v>
      </c>
      <c r="L40" s="570">
        <f t="shared" si="25"/>
        <v>0</v>
      </c>
      <c r="M40" s="570">
        <f t="shared" si="25"/>
        <v>0</v>
      </c>
      <c r="N40" s="570">
        <f t="shared" si="25"/>
        <v>0</v>
      </c>
      <c r="O40" s="570">
        <f t="shared" si="25"/>
        <v>0</v>
      </c>
      <c r="P40" s="570">
        <f t="shared" si="25"/>
        <v>0</v>
      </c>
      <c r="Q40" s="570">
        <f t="shared" si="25"/>
        <v>0</v>
      </c>
      <c r="R40" s="570">
        <f t="shared" si="25"/>
        <v>0</v>
      </c>
      <c r="S40" s="570">
        <f t="shared" si="25"/>
        <v>0</v>
      </c>
      <c r="T40" s="570">
        <f t="shared" si="25"/>
        <v>0</v>
      </c>
      <c r="U40" s="570">
        <f t="shared" si="25"/>
        <v>0</v>
      </c>
      <c r="V40" s="570">
        <f t="shared" si="25"/>
        <v>0</v>
      </c>
      <c r="W40" s="570">
        <f t="shared" si="25"/>
        <v>0</v>
      </c>
      <c r="X40" s="570">
        <f t="shared" si="25"/>
        <v>0</v>
      </c>
      <c r="Y40" s="570">
        <f t="shared" si="25"/>
        <v>0</v>
      </c>
      <c r="Z40" s="570">
        <f t="shared" si="25"/>
        <v>0</v>
      </c>
      <c r="AA40" s="570">
        <f t="shared" si="25"/>
        <v>0</v>
      </c>
      <c r="AB40" s="570">
        <f t="shared" si="25"/>
        <v>0</v>
      </c>
      <c r="AC40" s="570">
        <f t="shared" si="25"/>
        <v>0</v>
      </c>
      <c r="AD40" s="570">
        <f t="shared" si="25"/>
        <v>0</v>
      </c>
      <c r="AE40" s="570">
        <f t="shared" si="25"/>
        <v>0</v>
      </c>
      <c r="AF40" s="570">
        <f t="shared" si="25"/>
        <v>0</v>
      </c>
      <c r="AG40" s="570">
        <f t="shared" si="25"/>
        <v>0</v>
      </c>
      <c r="AH40" s="570">
        <f t="shared" si="25"/>
        <v>0</v>
      </c>
      <c r="AI40" s="570">
        <f t="shared" si="25"/>
        <v>0</v>
      </c>
      <c r="AJ40" s="570">
        <f t="shared" si="25"/>
        <v>0</v>
      </c>
      <c r="AK40" s="570">
        <f t="shared" si="25"/>
        <v>0</v>
      </c>
      <c r="AL40" s="570">
        <f t="shared" si="25"/>
        <v>0</v>
      </c>
    </row>
    <row r="42" spans="1:38">
      <c r="B42" s="573" t="s">
        <v>1055</v>
      </c>
      <c r="C42" s="574" t="s">
        <v>505</v>
      </c>
      <c r="D42" s="383">
        <f t="shared" ref="D42:AK42" si="26">D6*D40</f>
        <v>67.829576257120465</v>
      </c>
      <c r="E42" s="383">
        <f t="shared" si="26"/>
        <v>70.570797029388899</v>
      </c>
      <c r="F42" s="383">
        <f t="shared" si="26"/>
        <v>73.422799730971377</v>
      </c>
      <c r="G42" s="383">
        <f t="shared" si="26"/>
        <v>76.390061431349721</v>
      </c>
      <c r="H42" s="383">
        <f t="shared" si="26"/>
        <v>0</v>
      </c>
      <c r="I42" s="383">
        <f t="shared" si="26"/>
        <v>0</v>
      </c>
      <c r="J42" s="383">
        <f t="shared" si="26"/>
        <v>0</v>
      </c>
      <c r="K42" s="383">
        <f t="shared" si="26"/>
        <v>0</v>
      </c>
      <c r="L42" s="383">
        <f t="shared" si="26"/>
        <v>0</v>
      </c>
      <c r="M42" s="383">
        <f t="shared" si="26"/>
        <v>0</v>
      </c>
      <c r="N42" s="383">
        <f t="shared" si="26"/>
        <v>0</v>
      </c>
      <c r="O42" s="383">
        <f t="shared" si="26"/>
        <v>0</v>
      </c>
      <c r="P42" s="383">
        <f t="shared" si="26"/>
        <v>0</v>
      </c>
      <c r="Q42" s="383">
        <f t="shared" si="26"/>
        <v>0</v>
      </c>
      <c r="R42" s="383">
        <f t="shared" si="26"/>
        <v>0</v>
      </c>
      <c r="S42" s="383">
        <f t="shared" si="26"/>
        <v>0</v>
      </c>
      <c r="T42" s="383">
        <f t="shared" si="26"/>
        <v>0</v>
      </c>
      <c r="U42" s="383">
        <f t="shared" si="26"/>
        <v>0</v>
      </c>
      <c r="V42" s="383">
        <f t="shared" si="26"/>
        <v>0</v>
      </c>
      <c r="W42" s="383">
        <f t="shared" si="26"/>
        <v>0</v>
      </c>
      <c r="X42" s="383">
        <f t="shared" si="26"/>
        <v>0</v>
      </c>
      <c r="Y42" s="383">
        <f t="shared" si="26"/>
        <v>0</v>
      </c>
      <c r="Z42" s="383">
        <f t="shared" si="26"/>
        <v>0</v>
      </c>
      <c r="AA42" s="383">
        <f t="shared" si="26"/>
        <v>0</v>
      </c>
      <c r="AB42" s="383">
        <f t="shared" si="26"/>
        <v>0</v>
      </c>
      <c r="AC42" s="383">
        <f t="shared" si="26"/>
        <v>0</v>
      </c>
      <c r="AD42" s="383">
        <f t="shared" si="26"/>
        <v>0</v>
      </c>
      <c r="AE42" s="383">
        <f t="shared" si="26"/>
        <v>0</v>
      </c>
      <c r="AF42" s="383">
        <f t="shared" si="26"/>
        <v>0</v>
      </c>
      <c r="AG42" s="383">
        <f t="shared" si="26"/>
        <v>0</v>
      </c>
      <c r="AH42" s="383">
        <f t="shared" si="26"/>
        <v>0</v>
      </c>
      <c r="AI42" s="383">
        <f t="shared" si="26"/>
        <v>0</v>
      </c>
      <c r="AJ42" s="383">
        <f t="shared" si="26"/>
        <v>0</v>
      </c>
      <c r="AK42" s="383">
        <f t="shared" si="26"/>
        <v>0</v>
      </c>
      <c r="AL42" s="383">
        <f t="shared" ref="AL42" si="27">AL6*AL40</f>
        <v>0</v>
      </c>
    </row>
    <row r="43" spans="1:38">
      <c r="B43" s="573" t="s">
        <v>1056</v>
      </c>
      <c r="C43" s="574" t="s">
        <v>490</v>
      </c>
      <c r="D43" s="383">
        <f t="shared" ref="D43:AJ43" si="28">D42*$C$13/2</f>
        <v>305.23309315704211</v>
      </c>
      <c r="E43" s="383">
        <f t="shared" si="28"/>
        <v>317.56858663225006</v>
      </c>
      <c r="F43" s="383">
        <f t="shared" si="28"/>
        <v>330.40259878937121</v>
      </c>
      <c r="G43" s="383">
        <f t="shared" si="28"/>
        <v>343.75527644107376</v>
      </c>
      <c r="H43" s="383">
        <f t="shared" si="28"/>
        <v>0</v>
      </c>
      <c r="I43" s="383">
        <f t="shared" si="28"/>
        <v>0</v>
      </c>
      <c r="J43" s="383">
        <f t="shared" si="28"/>
        <v>0</v>
      </c>
      <c r="K43" s="383">
        <f t="shared" si="28"/>
        <v>0</v>
      </c>
      <c r="L43" s="383">
        <f t="shared" si="28"/>
        <v>0</v>
      </c>
      <c r="M43" s="383">
        <f t="shared" si="28"/>
        <v>0</v>
      </c>
      <c r="N43" s="383">
        <f t="shared" si="28"/>
        <v>0</v>
      </c>
      <c r="O43" s="383">
        <f t="shared" si="28"/>
        <v>0</v>
      </c>
      <c r="P43" s="383">
        <f t="shared" si="28"/>
        <v>0</v>
      </c>
      <c r="Q43" s="383">
        <f t="shared" si="28"/>
        <v>0</v>
      </c>
      <c r="R43" s="383">
        <f t="shared" si="28"/>
        <v>0</v>
      </c>
      <c r="S43" s="383">
        <f t="shared" si="28"/>
        <v>0</v>
      </c>
      <c r="T43" s="383">
        <f t="shared" si="28"/>
        <v>0</v>
      </c>
      <c r="U43" s="383">
        <f t="shared" si="28"/>
        <v>0</v>
      </c>
      <c r="V43" s="383">
        <f t="shared" si="28"/>
        <v>0</v>
      </c>
      <c r="W43" s="383">
        <f t="shared" si="28"/>
        <v>0</v>
      </c>
      <c r="X43" s="383">
        <f t="shared" si="28"/>
        <v>0</v>
      </c>
      <c r="Y43" s="383">
        <f t="shared" si="28"/>
        <v>0</v>
      </c>
      <c r="Z43" s="383">
        <f t="shared" si="28"/>
        <v>0</v>
      </c>
      <c r="AA43" s="383">
        <f t="shared" si="28"/>
        <v>0</v>
      </c>
      <c r="AB43" s="383">
        <f t="shared" si="28"/>
        <v>0</v>
      </c>
      <c r="AC43" s="383">
        <f t="shared" si="28"/>
        <v>0</v>
      </c>
      <c r="AD43" s="383">
        <f t="shared" si="28"/>
        <v>0</v>
      </c>
      <c r="AE43" s="383">
        <f t="shared" si="28"/>
        <v>0</v>
      </c>
      <c r="AF43" s="383">
        <f t="shared" si="28"/>
        <v>0</v>
      </c>
      <c r="AG43" s="383">
        <f t="shared" si="28"/>
        <v>0</v>
      </c>
      <c r="AH43" s="383">
        <f t="shared" si="28"/>
        <v>0</v>
      </c>
      <c r="AI43" s="383">
        <f t="shared" si="28"/>
        <v>0</v>
      </c>
      <c r="AJ43" s="383">
        <f t="shared" si="28"/>
        <v>0</v>
      </c>
      <c r="AK43" s="383">
        <f t="shared" ref="AK43:AL43" si="29">AK42*$C$13/2</f>
        <v>0</v>
      </c>
      <c r="AL43" s="383">
        <f t="shared" si="29"/>
        <v>0</v>
      </c>
    </row>
    <row r="44" spans="1:38">
      <c r="B44" s="575" t="s">
        <v>1057</v>
      </c>
      <c r="C44" s="574" t="s">
        <v>443</v>
      </c>
      <c r="D44" s="383">
        <f t="shared" ref="D44:AJ44" si="30">D43/Minutes.per.Hour*Days.Per.Year</f>
        <v>1856.8346500386729</v>
      </c>
      <c r="E44" s="383">
        <f t="shared" si="30"/>
        <v>1931.8755686795212</v>
      </c>
      <c r="F44" s="383">
        <f t="shared" si="30"/>
        <v>2009.9491426353416</v>
      </c>
      <c r="G44" s="383">
        <f t="shared" si="30"/>
        <v>2091.1779316831985</v>
      </c>
      <c r="H44" s="383">
        <f t="shared" si="30"/>
        <v>0</v>
      </c>
      <c r="I44" s="383">
        <f t="shared" si="30"/>
        <v>0</v>
      </c>
      <c r="J44" s="383">
        <f t="shared" si="30"/>
        <v>0</v>
      </c>
      <c r="K44" s="383">
        <f t="shared" si="30"/>
        <v>0</v>
      </c>
      <c r="L44" s="383">
        <f t="shared" si="30"/>
        <v>0</v>
      </c>
      <c r="M44" s="383">
        <f t="shared" si="30"/>
        <v>0</v>
      </c>
      <c r="N44" s="383">
        <f t="shared" si="30"/>
        <v>0</v>
      </c>
      <c r="O44" s="383">
        <f t="shared" si="30"/>
        <v>0</v>
      </c>
      <c r="P44" s="383">
        <f t="shared" si="30"/>
        <v>0</v>
      </c>
      <c r="Q44" s="383">
        <f t="shared" si="30"/>
        <v>0</v>
      </c>
      <c r="R44" s="383">
        <f t="shared" si="30"/>
        <v>0</v>
      </c>
      <c r="S44" s="383">
        <f t="shared" si="30"/>
        <v>0</v>
      </c>
      <c r="T44" s="383">
        <f t="shared" si="30"/>
        <v>0</v>
      </c>
      <c r="U44" s="383">
        <f t="shared" si="30"/>
        <v>0</v>
      </c>
      <c r="V44" s="383">
        <f t="shared" si="30"/>
        <v>0</v>
      </c>
      <c r="W44" s="383">
        <f t="shared" si="30"/>
        <v>0</v>
      </c>
      <c r="X44" s="383">
        <f t="shared" si="30"/>
        <v>0</v>
      </c>
      <c r="Y44" s="383">
        <f t="shared" si="30"/>
        <v>0</v>
      </c>
      <c r="Z44" s="383">
        <f t="shared" si="30"/>
        <v>0</v>
      </c>
      <c r="AA44" s="383">
        <f t="shared" si="30"/>
        <v>0</v>
      </c>
      <c r="AB44" s="383">
        <f t="shared" si="30"/>
        <v>0</v>
      </c>
      <c r="AC44" s="383">
        <f t="shared" si="30"/>
        <v>0</v>
      </c>
      <c r="AD44" s="383">
        <f t="shared" si="30"/>
        <v>0</v>
      </c>
      <c r="AE44" s="383">
        <f t="shared" si="30"/>
        <v>0</v>
      </c>
      <c r="AF44" s="383">
        <f t="shared" si="30"/>
        <v>0</v>
      </c>
      <c r="AG44" s="383">
        <f t="shared" si="30"/>
        <v>0</v>
      </c>
      <c r="AH44" s="383">
        <f t="shared" si="30"/>
        <v>0</v>
      </c>
      <c r="AI44" s="383">
        <f t="shared" si="30"/>
        <v>0</v>
      </c>
      <c r="AJ44" s="383">
        <f t="shared" si="30"/>
        <v>0</v>
      </c>
      <c r="AK44" s="383">
        <f t="shared" ref="AK44:AL44" si="31">AK43/Minutes.per.Hour*Days.Per.Year</f>
        <v>0</v>
      </c>
      <c r="AL44" s="383">
        <f t="shared" si="31"/>
        <v>0</v>
      </c>
    </row>
    <row r="46" spans="1:38">
      <c r="B46" s="575" t="s">
        <v>745</v>
      </c>
      <c r="C46" s="574" t="s">
        <v>443</v>
      </c>
      <c r="D46" s="383">
        <f>D44</f>
        <v>1856.8346500386729</v>
      </c>
      <c r="E46" s="383">
        <f t="shared" ref="E46:AJ46" si="32">E44</f>
        <v>1931.8755686795212</v>
      </c>
      <c r="F46" s="383">
        <f t="shared" si="32"/>
        <v>2009.9491426353416</v>
      </c>
      <c r="G46" s="383">
        <f t="shared" si="32"/>
        <v>2091.1779316831985</v>
      </c>
      <c r="H46" s="383">
        <f t="shared" si="32"/>
        <v>0</v>
      </c>
      <c r="I46" s="383">
        <f t="shared" si="32"/>
        <v>0</v>
      </c>
      <c r="J46" s="383">
        <f t="shared" si="32"/>
        <v>0</v>
      </c>
      <c r="K46" s="383">
        <f t="shared" si="32"/>
        <v>0</v>
      </c>
      <c r="L46" s="383">
        <f t="shared" si="32"/>
        <v>0</v>
      </c>
      <c r="M46" s="383">
        <f t="shared" si="32"/>
        <v>0</v>
      </c>
      <c r="N46" s="383">
        <f t="shared" si="32"/>
        <v>0</v>
      </c>
      <c r="O46" s="383">
        <f t="shared" si="32"/>
        <v>0</v>
      </c>
      <c r="P46" s="383">
        <f t="shared" si="32"/>
        <v>0</v>
      </c>
      <c r="Q46" s="383">
        <f t="shared" si="32"/>
        <v>0</v>
      </c>
      <c r="R46" s="383">
        <f t="shared" si="32"/>
        <v>0</v>
      </c>
      <c r="S46" s="383">
        <f t="shared" si="32"/>
        <v>0</v>
      </c>
      <c r="T46" s="383">
        <f t="shared" si="32"/>
        <v>0</v>
      </c>
      <c r="U46" s="383">
        <f t="shared" si="32"/>
        <v>0</v>
      </c>
      <c r="V46" s="383">
        <f t="shared" si="32"/>
        <v>0</v>
      </c>
      <c r="W46" s="383">
        <f t="shared" si="32"/>
        <v>0</v>
      </c>
      <c r="X46" s="383">
        <f t="shared" si="32"/>
        <v>0</v>
      </c>
      <c r="Y46" s="383">
        <f t="shared" si="32"/>
        <v>0</v>
      </c>
      <c r="Z46" s="383">
        <f t="shared" si="32"/>
        <v>0</v>
      </c>
      <c r="AA46" s="383">
        <f t="shared" si="32"/>
        <v>0</v>
      </c>
      <c r="AB46" s="383">
        <f t="shared" si="32"/>
        <v>0</v>
      </c>
      <c r="AC46" s="383">
        <f t="shared" si="32"/>
        <v>0</v>
      </c>
      <c r="AD46" s="383">
        <f t="shared" si="32"/>
        <v>0</v>
      </c>
      <c r="AE46" s="383">
        <f t="shared" si="32"/>
        <v>0</v>
      </c>
      <c r="AF46" s="383">
        <f t="shared" si="32"/>
        <v>0</v>
      </c>
      <c r="AG46" s="383">
        <f t="shared" si="32"/>
        <v>0</v>
      </c>
      <c r="AH46" s="383">
        <f t="shared" si="32"/>
        <v>0</v>
      </c>
      <c r="AI46" s="383">
        <f t="shared" si="32"/>
        <v>0</v>
      </c>
      <c r="AJ46" s="383">
        <f t="shared" si="32"/>
        <v>0</v>
      </c>
      <c r="AK46" s="383">
        <f t="shared" ref="AK46:AL46" si="33">AK44</f>
        <v>0</v>
      </c>
      <c r="AL46" s="383">
        <f t="shared" si="33"/>
        <v>0</v>
      </c>
    </row>
    <row r="48" spans="1:38">
      <c r="B48" s="358" t="s">
        <v>508</v>
      </c>
      <c r="C48" s="358" t="s">
        <v>443</v>
      </c>
      <c r="D48" s="383">
        <f t="shared" ref="D48:AK48" si="34">D$46*$C22</f>
        <v>1671.1511850348056</v>
      </c>
      <c r="E48" s="383">
        <f t="shared" si="34"/>
        <v>1738.6880118115691</v>
      </c>
      <c r="F48" s="383">
        <f t="shared" si="34"/>
        <v>1808.9542283718074</v>
      </c>
      <c r="G48" s="383">
        <f t="shared" si="34"/>
        <v>1882.0601385148786</v>
      </c>
      <c r="H48" s="383">
        <f t="shared" si="34"/>
        <v>0</v>
      </c>
      <c r="I48" s="383">
        <f t="shared" si="34"/>
        <v>0</v>
      </c>
      <c r="J48" s="383">
        <f t="shared" si="34"/>
        <v>0</v>
      </c>
      <c r="K48" s="383">
        <f t="shared" si="34"/>
        <v>0</v>
      </c>
      <c r="L48" s="383">
        <f t="shared" si="34"/>
        <v>0</v>
      </c>
      <c r="M48" s="383">
        <f t="shared" si="34"/>
        <v>0</v>
      </c>
      <c r="N48" s="383">
        <f t="shared" si="34"/>
        <v>0</v>
      </c>
      <c r="O48" s="383">
        <f t="shared" si="34"/>
        <v>0</v>
      </c>
      <c r="P48" s="383">
        <f t="shared" si="34"/>
        <v>0</v>
      </c>
      <c r="Q48" s="383">
        <f t="shared" si="34"/>
        <v>0</v>
      </c>
      <c r="R48" s="383">
        <f t="shared" si="34"/>
        <v>0</v>
      </c>
      <c r="S48" s="383">
        <f t="shared" si="34"/>
        <v>0</v>
      </c>
      <c r="T48" s="383">
        <f t="shared" si="34"/>
        <v>0</v>
      </c>
      <c r="U48" s="383">
        <f t="shared" si="34"/>
        <v>0</v>
      </c>
      <c r="V48" s="383">
        <f t="shared" si="34"/>
        <v>0</v>
      </c>
      <c r="W48" s="383">
        <f t="shared" si="34"/>
        <v>0</v>
      </c>
      <c r="X48" s="383">
        <f t="shared" si="34"/>
        <v>0</v>
      </c>
      <c r="Y48" s="383">
        <f t="shared" si="34"/>
        <v>0</v>
      </c>
      <c r="Z48" s="383">
        <f t="shared" si="34"/>
        <v>0</v>
      </c>
      <c r="AA48" s="383">
        <f t="shared" si="34"/>
        <v>0</v>
      </c>
      <c r="AB48" s="383">
        <f t="shared" si="34"/>
        <v>0</v>
      </c>
      <c r="AC48" s="383">
        <f t="shared" si="34"/>
        <v>0</v>
      </c>
      <c r="AD48" s="383">
        <f t="shared" si="34"/>
        <v>0</v>
      </c>
      <c r="AE48" s="383">
        <f t="shared" si="34"/>
        <v>0</v>
      </c>
      <c r="AF48" s="383">
        <f t="shared" si="34"/>
        <v>0</v>
      </c>
      <c r="AG48" s="383">
        <f t="shared" si="34"/>
        <v>0</v>
      </c>
      <c r="AH48" s="383">
        <f t="shared" si="34"/>
        <v>0</v>
      </c>
      <c r="AI48" s="383">
        <f t="shared" si="34"/>
        <v>0</v>
      </c>
      <c r="AJ48" s="383">
        <f t="shared" si="34"/>
        <v>0</v>
      </c>
      <c r="AK48" s="383">
        <f t="shared" si="34"/>
        <v>0</v>
      </c>
      <c r="AL48" s="383">
        <f t="shared" ref="AL48" si="35">AL$46*$C22</f>
        <v>0</v>
      </c>
    </row>
    <row r="49" spans="2:38">
      <c r="B49" s="358" t="s">
        <v>509</v>
      </c>
      <c r="C49" s="358" t="s">
        <v>443</v>
      </c>
      <c r="D49" s="383">
        <f t="shared" ref="D49:AK49" si="36">D$46*$C23</f>
        <v>185.6834650038673</v>
      </c>
      <c r="E49" s="383">
        <f t="shared" si="36"/>
        <v>193.18755686795214</v>
      </c>
      <c r="F49" s="383">
        <f t="shared" si="36"/>
        <v>200.99491426353416</v>
      </c>
      <c r="G49" s="383">
        <f t="shared" si="36"/>
        <v>209.11779316831985</v>
      </c>
      <c r="H49" s="383">
        <f t="shared" si="36"/>
        <v>0</v>
      </c>
      <c r="I49" s="383">
        <f t="shared" si="36"/>
        <v>0</v>
      </c>
      <c r="J49" s="383">
        <f t="shared" si="36"/>
        <v>0</v>
      </c>
      <c r="K49" s="383">
        <f t="shared" si="36"/>
        <v>0</v>
      </c>
      <c r="L49" s="383">
        <f t="shared" si="36"/>
        <v>0</v>
      </c>
      <c r="M49" s="383">
        <f t="shared" si="36"/>
        <v>0</v>
      </c>
      <c r="N49" s="383">
        <f t="shared" si="36"/>
        <v>0</v>
      </c>
      <c r="O49" s="383">
        <f t="shared" si="36"/>
        <v>0</v>
      </c>
      <c r="P49" s="383">
        <f t="shared" si="36"/>
        <v>0</v>
      </c>
      <c r="Q49" s="383">
        <f t="shared" si="36"/>
        <v>0</v>
      </c>
      <c r="R49" s="383">
        <f t="shared" si="36"/>
        <v>0</v>
      </c>
      <c r="S49" s="383">
        <f t="shared" si="36"/>
        <v>0</v>
      </c>
      <c r="T49" s="383">
        <f t="shared" si="36"/>
        <v>0</v>
      </c>
      <c r="U49" s="383">
        <f t="shared" si="36"/>
        <v>0</v>
      </c>
      <c r="V49" s="383">
        <f t="shared" si="36"/>
        <v>0</v>
      </c>
      <c r="W49" s="383">
        <f t="shared" si="36"/>
        <v>0</v>
      </c>
      <c r="X49" s="383">
        <f t="shared" si="36"/>
        <v>0</v>
      </c>
      <c r="Y49" s="383">
        <f t="shared" si="36"/>
        <v>0</v>
      </c>
      <c r="Z49" s="383">
        <f t="shared" si="36"/>
        <v>0</v>
      </c>
      <c r="AA49" s="383">
        <f t="shared" si="36"/>
        <v>0</v>
      </c>
      <c r="AB49" s="383">
        <f t="shared" si="36"/>
        <v>0</v>
      </c>
      <c r="AC49" s="383">
        <f t="shared" si="36"/>
        <v>0</v>
      </c>
      <c r="AD49" s="383">
        <f t="shared" si="36"/>
        <v>0</v>
      </c>
      <c r="AE49" s="383">
        <f t="shared" si="36"/>
        <v>0</v>
      </c>
      <c r="AF49" s="383">
        <f t="shared" si="36"/>
        <v>0</v>
      </c>
      <c r="AG49" s="383">
        <f t="shared" si="36"/>
        <v>0</v>
      </c>
      <c r="AH49" s="383">
        <f t="shared" si="36"/>
        <v>0</v>
      </c>
      <c r="AI49" s="383">
        <f t="shared" si="36"/>
        <v>0</v>
      </c>
      <c r="AJ49" s="383">
        <f t="shared" si="36"/>
        <v>0</v>
      </c>
      <c r="AK49" s="383">
        <f t="shared" si="36"/>
        <v>0</v>
      </c>
      <c r="AL49" s="383">
        <f t="shared" ref="AL49" si="37">AL$46*$C23</f>
        <v>0</v>
      </c>
    </row>
    <row r="50" spans="2:38">
      <c r="B50" s="358" t="s">
        <v>747</v>
      </c>
      <c r="C50" s="358" t="s">
        <v>443</v>
      </c>
      <c r="D50" s="383">
        <f t="shared" ref="D50:AK50" si="38">D$46*$C24</f>
        <v>0</v>
      </c>
      <c r="E50" s="383">
        <f t="shared" si="38"/>
        <v>0</v>
      </c>
      <c r="F50" s="383">
        <f t="shared" si="38"/>
        <v>0</v>
      </c>
      <c r="G50" s="383">
        <f t="shared" si="38"/>
        <v>0</v>
      </c>
      <c r="H50" s="383">
        <f t="shared" si="38"/>
        <v>0</v>
      </c>
      <c r="I50" s="383">
        <f t="shared" si="38"/>
        <v>0</v>
      </c>
      <c r="J50" s="383">
        <f t="shared" si="38"/>
        <v>0</v>
      </c>
      <c r="K50" s="383">
        <f t="shared" si="38"/>
        <v>0</v>
      </c>
      <c r="L50" s="383">
        <f t="shared" si="38"/>
        <v>0</v>
      </c>
      <c r="M50" s="383">
        <f t="shared" si="38"/>
        <v>0</v>
      </c>
      <c r="N50" s="383">
        <f t="shared" si="38"/>
        <v>0</v>
      </c>
      <c r="O50" s="383">
        <f t="shared" si="38"/>
        <v>0</v>
      </c>
      <c r="P50" s="383">
        <f t="shared" si="38"/>
        <v>0</v>
      </c>
      <c r="Q50" s="383">
        <f t="shared" si="38"/>
        <v>0</v>
      </c>
      <c r="R50" s="383">
        <f t="shared" si="38"/>
        <v>0</v>
      </c>
      <c r="S50" s="383">
        <f t="shared" si="38"/>
        <v>0</v>
      </c>
      <c r="T50" s="383">
        <f t="shared" si="38"/>
        <v>0</v>
      </c>
      <c r="U50" s="383">
        <f t="shared" si="38"/>
        <v>0</v>
      </c>
      <c r="V50" s="383">
        <f t="shared" si="38"/>
        <v>0</v>
      </c>
      <c r="W50" s="383">
        <f t="shared" si="38"/>
        <v>0</v>
      </c>
      <c r="X50" s="383">
        <f t="shared" si="38"/>
        <v>0</v>
      </c>
      <c r="Y50" s="383">
        <f t="shared" si="38"/>
        <v>0</v>
      </c>
      <c r="Z50" s="383">
        <f t="shared" si="38"/>
        <v>0</v>
      </c>
      <c r="AA50" s="383">
        <f t="shared" si="38"/>
        <v>0</v>
      </c>
      <c r="AB50" s="383">
        <f t="shared" si="38"/>
        <v>0</v>
      </c>
      <c r="AC50" s="383">
        <f t="shared" si="38"/>
        <v>0</v>
      </c>
      <c r="AD50" s="383">
        <f t="shared" si="38"/>
        <v>0</v>
      </c>
      <c r="AE50" s="383">
        <f t="shared" si="38"/>
        <v>0</v>
      </c>
      <c r="AF50" s="383">
        <f t="shared" si="38"/>
        <v>0</v>
      </c>
      <c r="AG50" s="383">
        <f t="shared" si="38"/>
        <v>0</v>
      </c>
      <c r="AH50" s="383">
        <f t="shared" si="38"/>
        <v>0</v>
      </c>
      <c r="AI50" s="383">
        <f t="shared" si="38"/>
        <v>0</v>
      </c>
      <c r="AJ50" s="383">
        <f t="shared" si="38"/>
        <v>0</v>
      </c>
      <c r="AK50" s="383">
        <f t="shared" si="38"/>
        <v>0</v>
      </c>
      <c r="AL50" s="383">
        <f t="shared" ref="AL50" si="39">AL$46*$C24</f>
        <v>0</v>
      </c>
    </row>
    <row r="52" spans="2:38">
      <c r="B52" s="647" t="s">
        <v>788</v>
      </c>
      <c r="C52" s="358" t="s">
        <v>295</v>
      </c>
      <c r="D52" s="383">
        <f t="shared" ref="D52:AJ53" si="40">IF(D$2&gt;VRCConstEnd,0,D32)</f>
        <v>597.43654864994301</v>
      </c>
      <c r="E52" s="383">
        <f t="shared" si="40"/>
        <v>621.58096422263588</v>
      </c>
      <c r="F52" s="383">
        <f t="shared" si="40"/>
        <v>646.70113664292114</v>
      </c>
      <c r="G52" s="383">
        <f t="shared" si="40"/>
        <v>672.83649951906909</v>
      </c>
      <c r="H52" s="383">
        <f t="shared" si="40"/>
        <v>0</v>
      </c>
      <c r="I52" s="383">
        <f t="shared" si="40"/>
        <v>0</v>
      </c>
      <c r="J52" s="383">
        <f t="shared" si="40"/>
        <v>0</v>
      </c>
      <c r="K52" s="383">
        <f t="shared" si="40"/>
        <v>0</v>
      </c>
      <c r="L52" s="383">
        <f t="shared" si="40"/>
        <v>0</v>
      </c>
      <c r="M52" s="383">
        <f t="shared" si="40"/>
        <v>0</v>
      </c>
      <c r="N52" s="383">
        <f t="shared" si="40"/>
        <v>0</v>
      </c>
      <c r="O52" s="383">
        <f t="shared" si="40"/>
        <v>0</v>
      </c>
      <c r="P52" s="383">
        <f t="shared" si="40"/>
        <v>0</v>
      </c>
      <c r="Q52" s="383">
        <f t="shared" si="40"/>
        <v>0</v>
      </c>
      <c r="R52" s="383">
        <f t="shared" si="40"/>
        <v>0</v>
      </c>
      <c r="S52" s="383">
        <f t="shared" si="40"/>
        <v>0</v>
      </c>
      <c r="T52" s="383">
        <f t="shared" si="40"/>
        <v>0</v>
      </c>
      <c r="U52" s="383">
        <f t="shared" si="40"/>
        <v>0</v>
      </c>
      <c r="V52" s="383">
        <f t="shared" si="40"/>
        <v>0</v>
      </c>
      <c r="W52" s="383">
        <f t="shared" si="40"/>
        <v>0</v>
      </c>
      <c r="X52" s="383">
        <f t="shared" si="40"/>
        <v>0</v>
      </c>
      <c r="Y52" s="383">
        <f t="shared" si="40"/>
        <v>0</v>
      </c>
      <c r="Z52" s="383">
        <f t="shared" si="40"/>
        <v>0</v>
      </c>
      <c r="AA52" s="383">
        <f t="shared" si="40"/>
        <v>0</v>
      </c>
      <c r="AB52" s="383">
        <f t="shared" si="40"/>
        <v>0</v>
      </c>
      <c r="AC52" s="383">
        <f t="shared" si="40"/>
        <v>0</v>
      </c>
      <c r="AD52" s="383">
        <f t="shared" si="40"/>
        <v>0</v>
      </c>
      <c r="AE52" s="383">
        <f t="shared" si="40"/>
        <v>0</v>
      </c>
      <c r="AF52" s="383">
        <f t="shared" si="40"/>
        <v>0</v>
      </c>
      <c r="AG52" s="383">
        <f t="shared" si="40"/>
        <v>0</v>
      </c>
      <c r="AH52" s="383">
        <f t="shared" si="40"/>
        <v>0</v>
      </c>
      <c r="AI52" s="383">
        <f t="shared" si="40"/>
        <v>0</v>
      </c>
      <c r="AJ52" s="383">
        <f t="shared" si="40"/>
        <v>0</v>
      </c>
      <c r="AK52" s="383">
        <f t="shared" ref="AK52:AL52" si="41">IF(AK$2&gt;VRCConstEnd,0,AK32)</f>
        <v>0</v>
      </c>
      <c r="AL52" s="383">
        <f t="shared" si="41"/>
        <v>0</v>
      </c>
    </row>
    <row r="53" spans="2:38">
      <c r="B53" s="647" t="s">
        <v>789</v>
      </c>
      <c r="C53" s="358" t="s">
        <v>295</v>
      </c>
      <c r="D53" s="383">
        <f t="shared" si="40"/>
        <v>155.97411060324853</v>
      </c>
      <c r="E53" s="383">
        <f t="shared" si="40"/>
        <v>162.2775477690798</v>
      </c>
      <c r="F53" s="383">
        <f t="shared" si="40"/>
        <v>168.83572798136868</v>
      </c>
      <c r="G53" s="383">
        <f t="shared" si="40"/>
        <v>175.65894626138868</v>
      </c>
      <c r="H53" s="383">
        <f t="shared" si="40"/>
        <v>0</v>
      </c>
      <c r="I53" s="383">
        <f t="shared" si="40"/>
        <v>0</v>
      </c>
      <c r="J53" s="383">
        <f t="shared" si="40"/>
        <v>0</v>
      </c>
      <c r="K53" s="383">
        <f t="shared" si="40"/>
        <v>0</v>
      </c>
      <c r="L53" s="383">
        <f t="shared" si="40"/>
        <v>0</v>
      </c>
      <c r="M53" s="383">
        <f t="shared" si="40"/>
        <v>0</v>
      </c>
      <c r="N53" s="383">
        <f t="shared" si="40"/>
        <v>0</v>
      </c>
      <c r="O53" s="383">
        <f t="shared" si="40"/>
        <v>0</v>
      </c>
      <c r="P53" s="383">
        <f t="shared" si="40"/>
        <v>0</v>
      </c>
      <c r="Q53" s="383">
        <f t="shared" si="40"/>
        <v>0</v>
      </c>
      <c r="R53" s="383">
        <f t="shared" si="40"/>
        <v>0</v>
      </c>
      <c r="S53" s="383">
        <f t="shared" si="40"/>
        <v>0</v>
      </c>
      <c r="T53" s="383">
        <f t="shared" si="40"/>
        <v>0</v>
      </c>
      <c r="U53" s="383">
        <f t="shared" si="40"/>
        <v>0</v>
      </c>
      <c r="V53" s="383">
        <f t="shared" si="40"/>
        <v>0</v>
      </c>
      <c r="W53" s="383">
        <f t="shared" si="40"/>
        <v>0</v>
      </c>
      <c r="X53" s="383">
        <f t="shared" si="40"/>
        <v>0</v>
      </c>
      <c r="Y53" s="383">
        <f t="shared" si="40"/>
        <v>0</v>
      </c>
      <c r="Z53" s="383">
        <f t="shared" si="40"/>
        <v>0</v>
      </c>
      <c r="AA53" s="383">
        <f t="shared" si="40"/>
        <v>0</v>
      </c>
      <c r="AB53" s="383">
        <f t="shared" si="40"/>
        <v>0</v>
      </c>
      <c r="AC53" s="383">
        <f t="shared" si="40"/>
        <v>0</v>
      </c>
      <c r="AD53" s="383">
        <f t="shared" si="40"/>
        <v>0</v>
      </c>
      <c r="AE53" s="383">
        <f t="shared" si="40"/>
        <v>0</v>
      </c>
      <c r="AF53" s="383">
        <f t="shared" si="40"/>
        <v>0</v>
      </c>
      <c r="AG53" s="383">
        <f t="shared" si="40"/>
        <v>0</v>
      </c>
      <c r="AH53" s="383">
        <f t="shared" si="40"/>
        <v>0</v>
      </c>
      <c r="AI53" s="383">
        <f t="shared" si="40"/>
        <v>0</v>
      </c>
      <c r="AJ53" s="383">
        <f t="shared" si="40"/>
        <v>0</v>
      </c>
      <c r="AK53" s="383">
        <f t="shared" ref="AK53:AL53" si="42">IF(AK$2&gt;VRCConstEnd,0,AK33)</f>
        <v>0</v>
      </c>
      <c r="AL53" s="383">
        <f t="shared" si="42"/>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9">
    <tabColor theme="4" tint="-0.249977111117893"/>
    <pageSetUpPr autoPageBreaks="0"/>
  </sheetPr>
  <dimension ref="A1:AL205"/>
  <sheetViews>
    <sheetView showGridLines="0" zoomScaleNormal="100" workbookViewId="0">
      <pane ySplit="4" topLeftCell="A110"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U9:AE11"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ref="AF9:AF11" si="2">AE9*(1+$C$8)</f>
        <v>12071000</v>
      </c>
      <c r="AG9" s="498">
        <f t="shared" ref="AG9:AG11" si="3">AF9*(1+$C$8)</f>
        <v>12071000</v>
      </c>
      <c r="AH9" s="498">
        <f t="shared" ref="AH9:AH11" si="4">AG9*(1+$C$8)</f>
        <v>12071000</v>
      </c>
      <c r="AI9" s="498">
        <f t="shared" ref="AI9:AI11" si="5">AH9*(1+$C$8)</f>
        <v>12071000</v>
      </c>
      <c r="AJ9" s="498">
        <f t="shared" ref="AJ9:AL11" si="6">AI9*(1+$C$8)</f>
        <v>12071000</v>
      </c>
      <c r="AK9" s="498">
        <f t="shared" si="6"/>
        <v>12071000</v>
      </c>
      <c r="AL9" s="498">
        <f t="shared" si="6"/>
        <v>12071000</v>
      </c>
    </row>
    <row r="10" spans="1:38">
      <c r="B10" s="476" t="s">
        <v>973</v>
      </c>
      <c r="C10" s="384" t="s">
        <v>1075</v>
      </c>
      <c r="D10" s="498">
        <f>'General Inputs'!D24</f>
        <v>284100</v>
      </c>
      <c r="E10" s="498">
        <f t="shared" ref="E10:T11" si="7">D10*(1+$C$8)</f>
        <v>284100</v>
      </c>
      <c r="F10" s="498">
        <f t="shared" si="7"/>
        <v>284100</v>
      </c>
      <c r="G10" s="498">
        <f t="shared" si="7"/>
        <v>284100</v>
      </c>
      <c r="H10" s="498">
        <f t="shared" si="7"/>
        <v>284100</v>
      </c>
      <c r="I10" s="498">
        <f t="shared" si="7"/>
        <v>284100</v>
      </c>
      <c r="J10" s="498">
        <f t="shared" si="7"/>
        <v>284100</v>
      </c>
      <c r="K10" s="498">
        <f t="shared" si="7"/>
        <v>284100</v>
      </c>
      <c r="L10" s="498">
        <f t="shared" si="7"/>
        <v>284100</v>
      </c>
      <c r="M10" s="498">
        <f t="shared" si="7"/>
        <v>284100</v>
      </c>
      <c r="N10" s="498">
        <f t="shared" si="7"/>
        <v>284100</v>
      </c>
      <c r="O10" s="498">
        <f t="shared" si="7"/>
        <v>284100</v>
      </c>
      <c r="P10" s="498">
        <f t="shared" si="7"/>
        <v>284100</v>
      </c>
      <c r="Q10" s="498">
        <f t="shared" si="7"/>
        <v>284100</v>
      </c>
      <c r="R10" s="498">
        <f t="shared" si="7"/>
        <v>284100</v>
      </c>
      <c r="S10" s="498">
        <f t="shared" si="7"/>
        <v>284100</v>
      </c>
      <c r="T10" s="498">
        <f t="shared" si="7"/>
        <v>284100</v>
      </c>
      <c r="U10" s="498">
        <f t="shared" si="1"/>
        <v>284100</v>
      </c>
      <c r="V10" s="498">
        <f t="shared" si="1"/>
        <v>284100</v>
      </c>
      <c r="W10" s="498">
        <f t="shared" si="1"/>
        <v>284100</v>
      </c>
      <c r="X10" s="498">
        <f t="shared" si="1"/>
        <v>284100</v>
      </c>
      <c r="Y10" s="498">
        <f t="shared" si="1"/>
        <v>284100</v>
      </c>
      <c r="Z10" s="498">
        <f t="shared" si="1"/>
        <v>284100</v>
      </c>
      <c r="AA10" s="498">
        <f t="shared" si="1"/>
        <v>284100</v>
      </c>
      <c r="AB10" s="498">
        <f t="shared" si="1"/>
        <v>284100</v>
      </c>
      <c r="AC10" s="498">
        <f t="shared" si="1"/>
        <v>284100</v>
      </c>
      <c r="AD10" s="498">
        <f t="shared" si="1"/>
        <v>284100</v>
      </c>
      <c r="AE10" s="498">
        <f t="shared" si="1"/>
        <v>284100</v>
      </c>
      <c r="AF10" s="498">
        <f t="shared" si="2"/>
        <v>284100</v>
      </c>
      <c r="AG10" s="498">
        <f t="shared" si="3"/>
        <v>284100</v>
      </c>
      <c r="AH10" s="498">
        <f t="shared" si="4"/>
        <v>284100</v>
      </c>
      <c r="AI10" s="498">
        <f t="shared" si="5"/>
        <v>284100</v>
      </c>
      <c r="AJ10" s="498">
        <f t="shared" si="6"/>
        <v>284100</v>
      </c>
      <c r="AK10" s="498">
        <f t="shared" si="6"/>
        <v>284100</v>
      </c>
      <c r="AL10" s="498">
        <f t="shared" si="6"/>
        <v>284100</v>
      </c>
    </row>
    <row r="11" spans="1:38">
      <c r="B11" s="476" t="s">
        <v>451</v>
      </c>
      <c r="C11" s="473" t="s">
        <v>453</v>
      </c>
      <c r="D11" s="498">
        <f>'General Inputs'!D25</f>
        <v>4500</v>
      </c>
      <c r="E11" s="498">
        <f t="shared" si="7"/>
        <v>4500</v>
      </c>
      <c r="F11" s="498">
        <f t="shared" si="7"/>
        <v>4500</v>
      </c>
      <c r="G11" s="498">
        <f t="shared" si="7"/>
        <v>4500</v>
      </c>
      <c r="H11" s="498">
        <f t="shared" si="7"/>
        <v>4500</v>
      </c>
      <c r="I11" s="498">
        <f t="shared" si="7"/>
        <v>4500</v>
      </c>
      <c r="J11" s="498">
        <f t="shared" si="7"/>
        <v>4500</v>
      </c>
      <c r="K11" s="498">
        <f t="shared" si="7"/>
        <v>4500</v>
      </c>
      <c r="L11" s="498">
        <f t="shared" si="7"/>
        <v>4500</v>
      </c>
      <c r="M11" s="498">
        <f t="shared" si="7"/>
        <v>4500</v>
      </c>
      <c r="N11" s="498">
        <f t="shared" si="7"/>
        <v>4500</v>
      </c>
      <c r="O11" s="498">
        <f t="shared" si="7"/>
        <v>4500</v>
      </c>
      <c r="P11" s="498">
        <f t="shared" si="7"/>
        <v>4500</v>
      </c>
      <c r="Q11" s="498">
        <f t="shared" si="7"/>
        <v>4500</v>
      </c>
      <c r="R11" s="498">
        <f t="shared" si="7"/>
        <v>4500</v>
      </c>
      <c r="S11" s="498">
        <f t="shared" si="7"/>
        <v>4500</v>
      </c>
      <c r="T11" s="498">
        <f t="shared" si="7"/>
        <v>4500</v>
      </c>
      <c r="U11" s="498">
        <f t="shared" si="1"/>
        <v>4500</v>
      </c>
      <c r="V11" s="498">
        <f t="shared" si="1"/>
        <v>4500</v>
      </c>
      <c r="W11" s="498">
        <f t="shared" si="1"/>
        <v>4500</v>
      </c>
      <c r="X11" s="498">
        <f t="shared" si="1"/>
        <v>4500</v>
      </c>
      <c r="Y11" s="498">
        <f t="shared" si="1"/>
        <v>4500</v>
      </c>
      <c r="Z11" s="498">
        <f t="shared" si="1"/>
        <v>4500</v>
      </c>
      <c r="AA11" s="498">
        <f t="shared" si="1"/>
        <v>4500</v>
      </c>
      <c r="AB11" s="498">
        <f t="shared" si="1"/>
        <v>4500</v>
      </c>
      <c r="AC11" s="498">
        <f t="shared" si="1"/>
        <v>4500</v>
      </c>
      <c r="AD11" s="498">
        <f t="shared" si="1"/>
        <v>4500</v>
      </c>
      <c r="AE11" s="498">
        <f t="shared" si="1"/>
        <v>4500</v>
      </c>
      <c r="AF11" s="498">
        <f t="shared" si="2"/>
        <v>4500</v>
      </c>
      <c r="AG11" s="498">
        <f t="shared" si="3"/>
        <v>4500</v>
      </c>
      <c r="AH11" s="498">
        <f t="shared" si="4"/>
        <v>4500</v>
      </c>
      <c r="AI11" s="498">
        <f t="shared" si="5"/>
        <v>4500</v>
      </c>
      <c r="AJ11" s="498">
        <f t="shared" si="6"/>
        <v>4500</v>
      </c>
      <c r="AK11" s="498">
        <f t="shared" si="6"/>
        <v>4500</v>
      </c>
      <c r="AL11" s="498">
        <f t="shared" si="6"/>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'A1.6'!D23</f>
        <v>8.0708348687975819E-4</v>
      </c>
      <c r="E15" s="388">
        <f>'A1.6'!E23</f>
        <v>8.1936502517225389E-4</v>
      </c>
      <c r="F15" s="388">
        <f>'A1.6'!F23</f>
        <v>8.3183722073205295E-4</v>
      </c>
      <c r="G15" s="388">
        <f>'A1.6'!G23</f>
        <v>8.4450306933779573E-4</v>
      </c>
      <c r="H15" s="388">
        <f>'A1.6'!H23</f>
        <v>8.5736561407694274E-4</v>
      </c>
      <c r="I15" s="388">
        <f>'A1.6'!I23</f>
        <v>8.7042794609316074E-4</v>
      </c>
      <c r="J15" s="388">
        <f>'A1.6'!J23</f>
        <v>8.8369320534552201E-4</v>
      </c>
      <c r="K15" s="388">
        <f>'A1.6'!K23</f>
        <v>8.9716458137969134E-4</v>
      </c>
      <c r="L15" s="388">
        <f>'A1.6'!L23</f>
        <v>9.1084531411129825E-4</v>
      </c>
      <c r="M15" s="388">
        <f>'A1.6'!M23</f>
        <v>9.2473869462169191E-4</v>
      </c>
      <c r="N15" s="388">
        <f>'A1.6'!N23</f>
        <v>9.3884806596625323E-4</v>
      </c>
      <c r="O15" s="388">
        <f>'A1.6'!O23</f>
        <v>9.5317682399549545E-4</v>
      </c>
      <c r="P15" s="388">
        <f>'A1.6'!P23</f>
        <v>9.6772841818911946E-4</v>
      </c>
      <c r="Q15" s="388">
        <f>'A1.6'!Q23</f>
        <v>9.8250635250325918E-4</v>
      </c>
      <c r="R15" s="388">
        <f>'A1.6'!R23</f>
        <v>9.9751418623110662E-4</v>
      </c>
      <c r="S15" s="388">
        <f>'A1.6'!S23</f>
        <v>1.0127555348771326E-3</v>
      </c>
      <c r="T15" s="388">
        <f>'A1.6'!T23</f>
        <v>1.028234071045124E-3</v>
      </c>
      <c r="U15" s="388">
        <f>'A1.6'!U23</f>
        <v>1.0439535253402492E-3</v>
      </c>
      <c r="V15" s="388">
        <f>'A1.6'!V23</f>
        <v>1.0599176872853728E-3</v>
      </c>
      <c r="W15" s="388">
        <f>'A1.6'!W23</f>
        <v>1.0761304062518523E-3</v>
      </c>
      <c r="X15" s="388">
        <f>'A1.6'!X23</f>
        <v>1.0925955924050369E-3</v>
      </c>
      <c r="Y15" s="388">
        <f>'A1.6'!Y23</f>
        <v>1.1093172176647077E-3</v>
      </c>
      <c r="Z15" s="388">
        <f>'A1.6'!Z23</f>
        <v>1.1262993166806922E-3</v>
      </c>
      <c r="AA15" s="388">
        <f>'A1.6'!AA23</f>
        <v>1.1435459878238879E-3</v>
      </c>
      <c r="AB15" s="388">
        <f>'A1.6'!AB23</f>
        <v>1.1610613941929542E-3</v>
      </c>
      <c r="AC15" s="388">
        <f>'A1.6'!AC23</f>
        <v>1.1788497646369018E-3</v>
      </c>
      <c r="AD15" s="388">
        <f>'A1.6'!AD23</f>
        <v>1.1969153947938411E-3</v>
      </c>
      <c r="AE15" s="388">
        <f>'A1.6'!AE23</f>
        <v>1.2152626481461456E-3</v>
      </c>
      <c r="AF15" s="388">
        <f>'A1.6'!AF23</f>
        <v>1.2338959570922848E-3</v>
      </c>
      <c r="AG15" s="388">
        <f>'A1.6'!AG23</f>
        <v>1.2528198240355918E-3</v>
      </c>
      <c r="AH15" s="388">
        <f>'A1.6'!AH23</f>
        <v>1.2720388224902361E-3</v>
      </c>
      <c r="AI15" s="388">
        <f>'A1.6'!AI23</f>
        <v>1.2915575982046729E-3</v>
      </c>
      <c r="AJ15" s="388">
        <f>'A1.6'!AJ23</f>
        <v>1.3113808703028387E-3</v>
      </c>
      <c r="AK15" s="388">
        <f>'A1.6'!AK23</f>
        <v>1.3315134324433809E-3</v>
      </c>
      <c r="AL15" s="388">
        <f>'A1.6'!AL23</f>
        <v>1.351960153997211E-3</v>
      </c>
    </row>
    <row r="16" spans="1:38">
      <c r="B16" s="367" t="s">
        <v>516</v>
      </c>
      <c r="C16" s="367" t="s">
        <v>329</v>
      </c>
      <c r="D16" s="388">
        <f>'A1.6'!D24</f>
        <v>1.5036483056842014E-2</v>
      </c>
      <c r="E16" s="388">
        <f>'A1.6'!E24</f>
        <v>1.5254236484068562E-2</v>
      </c>
      <c r="F16" s="388">
        <f>'A1.6'!F24</f>
        <v>1.5475174463584254E-2</v>
      </c>
      <c r="G16" s="388">
        <f>'A1.6'!G24</f>
        <v>1.5699343782944637E-2</v>
      </c>
      <c r="H16" s="388">
        <f>'A1.6'!H24</f>
        <v>1.5926791917880139E-2</v>
      </c>
      <c r="I16" s="388">
        <f>'A1.6'!I24</f>
        <v>1.6157567042414275E-2</v>
      </c>
      <c r="J16" s="388">
        <f>'A1.6'!J24</f>
        <v>1.639171803913082E-2</v>
      </c>
      <c r="K16" s="388">
        <f>'A1.6'!K24</f>
        <v>1.6629294509591972E-2</v>
      </c>
      <c r="L16" s="388">
        <f>'A1.6'!L24</f>
        <v>1.6870346784909795E-2</v>
      </c>
      <c r="M16" s="388">
        <f>'A1.6'!M24</f>
        <v>1.7114925936473249E-2</v>
      </c>
      <c r="N16" s="388">
        <f>'A1.6'!N24</f>
        <v>1.7363083786832902E-2</v>
      </c>
      <c r="O16" s="388">
        <f>'A1.6'!O24</f>
        <v>1.7614872920745962E-2</v>
      </c>
      <c r="P16" s="388">
        <f>'A1.6'!P24</f>
        <v>1.7870346696383592E-2</v>
      </c>
      <c r="Q16" s="388">
        <f>'A1.6'!Q24</f>
        <v>1.8129559256703291E-2</v>
      </c>
      <c r="R16" s="388">
        <f>'A1.6'!R24</f>
        <v>1.8392565540988417E-2</v>
      </c>
      <c r="S16" s="388">
        <f>'A1.6'!S24</f>
        <v>1.8659421296557576E-2</v>
      </c>
      <c r="T16" s="388">
        <f>'A1.6'!T24</f>
        <v>1.8930183090646233E-2</v>
      </c>
      <c r="U16" s="388">
        <f>'A1.6'!U24</f>
        <v>1.920490832246315E-2</v>
      </c>
      <c r="V16" s="388">
        <f>'A1.6'!V24</f>
        <v>1.9483655235424075E-2</v>
      </c>
      <c r="W16" s="388">
        <f>'A1.6'!W24</f>
        <v>1.9766482929565555E-2</v>
      </c>
      <c r="X16" s="388">
        <f>'A1.6'!X24</f>
        <v>2.0053451374141221E-2</v>
      </c>
      <c r="Y16" s="388">
        <f>'A1.6'!Y24</f>
        <v>2.03446214204035E-2</v>
      </c>
      <c r="Z16" s="388">
        <f>'A1.6'!Z24</f>
        <v>2.0640054814573251E-2</v>
      </c>
      <c r="AA16" s="388">
        <f>'A1.6'!AA24</f>
        <v>2.0939814211000211E-2</v>
      </c>
      <c r="AB16" s="388">
        <f>'A1.6'!AB24</f>
        <v>2.1243963185517106E-2</v>
      </c>
      <c r="AC16" s="388">
        <f>'A1.6'!AC24</f>
        <v>2.1552566248990129E-2</v>
      </c>
      <c r="AD16" s="388">
        <f>'A1.6'!AD24</f>
        <v>2.1865688861068763E-2</v>
      </c>
      <c r="AE16" s="388">
        <f>'A1.6'!AE24</f>
        <v>2.2183397444137873E-2</v>
      </c>
      <c r="AF16" s="388">
        <f>'A1.6'!AF24</f>
        <v>2.2505759397475081E-2</v>
      </c>
      <c r="AG16" s="388">
        <f>'A1.6'!AG24</f>
        <v>2.2832843111616288E-2</v>
      </c>
      <c r="AH16" s="388">
        <f>'A1.6'!AH24</f>
        <v>2.3164717982932601E-2</v>
      </c>
      <c r="AI16" s="388">
        <f>'A1.6'!AI24</f>
        <v>2.3501454428421692E-2</v>
      </c>
      <c r="AJ16" s="388">
        <f>'A1.6'!AJ24</f>
        <v>2.3843123900716641E-2</v>
      </c>
      <c r="AK16" s="388">
        <f>'A1.6'!AK24</f>
        <v>2.4189798903315615E-2</v>
      </c>
      <c r="AL16" s="388">
        <f>'A1.6'!AL24</f>
        <v>2.4541553006035659E-2</v>
      </c>
    </row>
    <row r="17" spans="1:38">
      <c r="B17" s="367" t="s">
        <v>517</v>
      </c>
      <c r="C17" s="367" t="s">
        <v>518</v>
      </c>
      <c r="D17" s="388">
        <f>'A1.6'!D22</f>
        <v>7.0232140621718453E-2</v>
      </c>
      <c r="E17" s="388">
        <f>'A1.6'!E22</f>
        <v>7.1249813119410269E-2</v>
      </c>
      <c r="F17" s="388">
        <f>'A1.6'!F22</f>
        <v>7.2282379694297225E-2</v>
      </c>
      <c r="G17" s="388">
        <f>'A1.6'!G22</f>
        <v>7.3330059365326758E-2</v>
      </c>
      <c r="H17" s="388">
        <f>'A1.6'!H22</f>
        <v>7.4393074376132406E-2</v>
      </c>
      <c r="I17" s="388">
        <f>'A1.6'!I22</f>
        <v>7.5471650242498106E-2</v>
      </c>
      <c r="J17" s="388">
        <f>'A1.6'!J22</f>
        <v>7.6566015800522025E-2</v>
      </c>
      <c r="K17" s="388">
        <f>'A1.6'!K22</f>
        <v>7.7676403255489565E-2</v>
      </c>
      <c r="L17" s="388">
        <f>'A1.6'!L22</f>
        <v>7.8803048231466041E-2</v>
      </c>
      <c r="M17" s="388">
        <f>'A1.6'!M22</f>
        <v>7.9946189821620564E-2</v>
      </c>
      <c r="N17" s="388">
        <f>'A1.6'!N22</f>
        <v>8.1106070639290026E-2</v>
      </c>
      <c r="O17" s="388">
        <f>'A1.6'!O22</f>
        <v>8.2282936869796361E-2</v>
      </c>
      <c r="P17" s="388">
        <f>'A1.6'!P22</f>
        <v>8.3477038323026012E-2</v>
      </c>
      <c r="Q17" s="388">
        <f>'A1.6'!Q22</f>
        <v>8.4688628486784601E-2</v>
      </c>
      <c r="R17" s="388">
        <f>'A1.6'!R22</f>
        <v>8.5917964580936881E-2</v>
      </c>
      <c r="S17" s="388">
        <f>'A1.6'!S22</f>
        <v>8.7165307612344381E-2</v>
      </c>
      <c r="T17" s="388">
        <f>'A1.6'!T22</f>
        <v>8.8430922430612138E-2</v>
      </c>
      <c r="U17" s="388">
        <f>'A1.6'!U22</f>
        <v>8.9715077784656608E-2</v>
      </c>
      <c r="V17" s="388">
        <f>'A1.6'!V22</f>
        <v>9.1018046380106313E-2</v>
      </c>
      <c r="W17" s="388">
        <f>'A1.6'!W22</f>
        <v>9.2340104937548434E-2</v>
      </c>
      <c r="X17" s="388">
        <f>'A1.6'!X22</f>
        <v>9.3681534251632864E-2</v>
      </c>
      <c r="Y17" s="388">
        <f>'A1.6'!Y22</f>
        <v>9.504261925104697E-2</v>
      </c>
      <c r="Z17" s="388">
        <f>'A1.6'!Z22</f>
        <v>9.6423649059373645E-2</v>
      </c>
      <c r="AA17" s="388">
        <f>'A1.6'!AA22</f>
        <v>9.7824917056845345E-2</v>
      </c>
      <c r="AB17" s="388">
        <f>'A1.6'!AB22</f>
        <v>9.9246720943008224E-2</v>
      </c>
      <c r="AC17" s="388">
        <f>'A1.6'!AC22</f>
        <v>0.10068936280030873</v>
      </c>
      <c r="AD17" s="388">
        <f>'A1.6'!AD22</f>
        <v>0.10215314915861674</v>
      </c>
      <c r="AE17" s="388">
        <f>'A1.6'!AE22</f>
        <v>0.10363839106069909</v>
      </c>
      <c r="AF17" s="388">
        <f>'A1.6'!AF22</f>
        <v>0.10514540412865746</v>
      </c>
      <c r="AG17" s="388">
        <f>'A1.6'!AG22</f>
        <v>0.1066745086313443</v>
      </c>
      <c r="AH17" s="388">
        <f>'A1.6'!AH22</f>
        <v>0.10822602955277211</v>
      </c>
      <c r="AI17" s="388">
        <f>'A1.6'!AI22</f>
        <v>0.10980029666153007</v>
      </c>
      <c r="AJ17" s="388">
        <f>'A1.6'!AJ22</f>
        <v>0.11139764458122287</v>
      </c>
      <c r="AK17" s="388">
        <f>'A1.6'!AK22</f>
        <v>0.11301841286194672</v>
      </c>
      <c r="AL17" s="388">
        <f>'A1.6'!AL22</f>
        <v>0.11466294605281897</v>
      </c>
    </row>
    <row r="18" spans="1:38">
      <c r="D18" s="358"/>
      <c r="F18" s="464"/>
      <c r="G18" s="465"/>
      <c r="H18" s="465"/>
    </row>
    <row r="19" spans="1:38">
      <c r="B19" s="366" t="s">
        <v>719</v>
      </c>
      <c r="C19" s="484" t="s">
        <v>292</v>
      </c>
      <c r="D19" s="485">
        <f t="shared" ref="D19:AK19" si="8">D15*D9</f>
        <v>9742.3047701255618</v>
      </c>
      <c r="E19" s="485">
        <f t="shared" si="8"/>
        <v>9890.555218854277</v>
      </c>
      <c r="F19" s="485">
        <f t="shared" si="8"/>
        <v>10041.107091456612</v>
      </c>
      <c r="G19" s="485">
        <f t="shared" si="8"/>
        <v>10193.996549976533</v>
      </c>
      <c r="H19" s="485">
        <f t="shared" si="8"/>
        <v>10349.260327522776</v>
      </c>
      <c r="I19" s="485">
        <f t="shared" si="8"/>
        <v>10506.935737290543</v>
      </c>
      <c r="J19" s="485">
        <f t="shared" si="8"/>
        <v>10667.060681725796</v>
      </c>
      <c r="K19" s="485">
        <f t="shared" si="8"/>
        <v>10829.673661834255</v>
      </c>
      <c r="L19" s="485">
        <f t="shared" si="8"/>
        <v>10994.813786637482</v>
      </c>
      <c r="M19" s="485">
        <f t="shared" si="8"/>
        <v>11162.520782778443</v>
      </c>
      <c r="N19" s="485">
        <f t="shared" si="8"/>
        <v>11332.835004278642</v>
      </c>
      <c r="O19" s="485">
        <f t="shared" si="8"/>
        <v>11505.797442449626</v>
      </c>
      <c r="P19" s="485">
        <f t="shared" si="8"/>
        <v>11681.449735960861</v>
      </c>
      <c r="Q19" s="485">
        <f t="shared" si="8"/>
        <v>11859.834181066841</v>
      </c>
      <c r="R19" s="485">
        <f t="shared" si="8"/>
        <v>12040.993741995688</v>
      </c>
      <c r="S19" s="485">
        <f t="shared" si="8"/>
        <v>12224.972061501867</v>
      </c>
      <c r="T19" s="485">
        <f t="shared" si="8"/>
        <v>12411.813471585692</v>
      </c>
      <c r="U19" s="485">
        <f t="shared" si="8"/>
        <v>12601.563004382147</v>
      </c>
      <c r="V19" s="485">
        <f t="shared" si="8"/>
        <v>12794.266403221734</v>
      </c>
      <c r="W19" s="485">
        <f t="shared" si="8"/>
        <v>12989.970133866109</v>
      </c>
      <c r="X19" s="485">
        <f t="shared" si="8"/>
        <v>13188.7213959212</v>
      </c>
      <c r="Y19" s="485">
        <f t="shared" si="8"/>
        <v>13390.568134430687</v>
      </c>
      <c r="Z19" s="485">
        <f t="shared" si="8"/>
        <v>13595.559051652635</v>
      </c>
      <c r="AA19" s="485">
        <f t="shared" si="8"/>
        <v>13803.743619022151</v>
      </c>
      <c r="AB19" s="485">
        <f t="shared" si="8"/>
        <v>14015.172089303151</v>
      </c>
      <c r="AC19" s="485">
        <f t="shared" si="8"/>
        <v>14229.895508932043</v>
      </c>
      <c r="AD19" s="485">
        <f t="shared" si="8"/>
        <v>14447.965730556456</v>
      </c>
      <c r="AE19" s="485">
        <f t="shared" si="8"/>
        <v>14669.435425772124</v>
      </c>
      <c r="AF19" s="485">
        <f t="shared" si="8"/>
        <v>14894.358098060969</v>
      </c>
      <c r="AG19" s="485">
        <f t="shared" si="8"/>
        <v>15122.788095933629</v>
      </c>
      <c r="AH19" s="485">
        <f t="shared" si="8"/>
        <v>15354.78062627964</v>
      </c>
      <c r="AI19" s="485">
        <f t="shared" si="8"/>
        <v>15590.391767928606</v>
      </c>
      <c r="AJ19" s="485">
        <f t="shared" si="8"/>
        <v>15829.678485425566</v>
      </c>
      <c r="AK19" s="485">
        <f t="shared" si="8"/>
        <v>16072.69864302405</v>
      </c>
      <c r="AL19" s="485">
        <f t="shared" ref="AL19" si="9">AL15*AL9</f>
        <v>16319.511018900334</v>
      </c>
    </row>
    <row r="20" spans="1:38">
      <c r="B20" s="366" t="s">
        <v>720</v>
      </c>
      <c r="C20" s="484" t="s">
        <v>292</v>
      </c>
      <c r="D20" s="485">
        <f t="shared" ref="D20:AK20" si="10">D16*D10</f>
        <v>4271.8648364488163</v>
      </c>
      <c r="E20" s="485">
        <f t="shared" si="10"/>
        <v>4333.7285851238785</v>
      </c>
      <c r="F20" s="485">
        <f t="shared" si="10"/>
        <v>4396.4970651042868</v>
      </c>
      <c r="G20" s="485">
        <f t="shared" si="10"/>
        <v>4460.1835687345711</v>
      </c>
      <c r="H20" s="485">
        <f t="shared" si="10"/>
        <v>4524.8015838697474</v>
      </c>
      <c r="I20" s="485">
        <f t="shared" si="10"/>
        <v>4590.3647967498955</v>
      </c>
      <c r="J20" s="485">
        <f t="shared" si="10"/>
        <v>4656.887094917066</v>
      </c>
      <c r="K20" s="485">
        <f t="shared" si="10"/>
        <v>4724.3825701750793</v>
      </c>
      <c r="L20" s="485">
        <f t="shared" si="10"/>
        <v>4792.8655215928729</v>
      </c>
      <c r="M20" s="485">
        <f t="shared" si="10"/>
        <v>4862.3504585520504</v>
      </c>
      <c r="N20" s="485">
        <f t="shared" si="10"/>
        <v>4932.8521038392273</v>
      </c>
      <c r="O20" s="485">
        <f t="shared" si="10"/>
        <v>5004.3853967839277</v>
      </c>
      <c r="P20" s="485">
        <f t="shared" si="10"/>
        <v>5076.9654964425781</v>
      </c>
      <c r="Q20" s="485">
        <f t="shared" si="10"/>
        <v>5150.6077848294044</v>
      </c>
      <c r="R20" s="485">
        <f t="shared" si="10"/>
        <v>5225.3278701948093</v>
      </c>
      <c r="S20" s="485">
        <f t="shared" si="10"/>
        <v>5301.1415903520074</v>
      </c>
      <c r="T20" s="485">
        <f t="shared" si="10"/>
        <v>5378.0650160525947</v>
      </c>
      <c r="U20" s="485">
        <f t="shared" si="10"/>
        <v>5456.1144544117806</v>
      </c>
      <c r="V20" s="485">
        <f t="shared" si="10"/>
        <v>5535.3064523839794</v>
      </c>
      <c r="W20" s="485">
        <f t="shared" si="10"/>
        <v>5615.657800289574</v>
      </c>
      <c r="X20" s="485">
        <f t="shared" si="10"/>
        <v>5697.1855353935207</v>
      </c>
      <c r="Y20" s="485">
        <f t="shared" si="10"/>
        <v>5779.9069455366343</v>
      </c>
      <c r="Z20" s="485">
        <f t="shared" si="10"/>
        <v>5863.8395728202604</v>
      </c>
      <c r="AA20" s="485">
        <f t="shared" si="10"/>
        <v>5949.0012173451605</v>
      </c>
      <c r="AB20" s="485">
        <f t="shared" si="10"/>
        <v>6035.4099410054096</v>
      </c>
      <c r="AC20" s="485">
        <f t="shared" si="10"/>
        <v>6123.0840713380958</v>
      </c>
      <c r="AD20" s="485">
        <f t="shared" si="10"/>
        <v>6212.042205429635</v>
      </c>
      <c r="AE20" s="485">
        <f t="shared" si="10"/>
        <v>6302.3032138795697</v>
      </c>
      <c r="AF20" s="485">
        <f t="shared" si="10"/>
        <v>6393.8862448226701</v>
      </c>
      <c r="AG20" s="485">
        <f t="shared" si="10"/>
        <v>6486.8107280101876</v>
      </c>
      <c r="AH20" s="485">
        <f t="shared" si="10"/>
        <v>6581.0963789511516</v>
      </c>
      <c r="AI20" s="485">
        <f t="shared" si="10"/>
        <v>6676.7632031146031</v>
      </c>
      <c r="AJ20" s="485">
        <f t="shared" si="10"/>
        <v>6773.831500193598</v>
      </c>
      <c r="AK20" s="485">
        <f t="shared" si="10"/>
        <v>6872.3218684319663</v>
      </c>
      <c r="AL20" s="485">
        <f t="shared" ref="AL20" si="11">AL16*AL10</f>
        <v>6972.255209014731</v>
      </c>
    </row>
    <row r="21" spans="1:38">
      <c r="B21" s="366" t="s">
        <v>721</v>
      </c>
      <c r="C21" s="484" t="s">
        <v>292</v>
      </c>
      <c r="D21" s="485">
        <f t="shared" ref="D21:AK21" si="12">D17*D11</f>
        <v>316.04463279773302</v>
      </c>
      <c r="E21" s="485">
        <f t="shared" si="12"/>
        <v>320.6241590373462</v>
      </c>
      <c r="F21" s="485">
        <f t="shared" si="12"/>
        <v>325.27070862433749</v>
      </c>
      <c r="G21" s="485">
        <f t="shared" si="12"/>
        <v>329.98526714397042</v>
      </c>
      <c r="H21" s="485">
        <f t="shared" si="12"/>
        <v>334.76883469259582</v>
      </c>
      <c r="I21" s="485">
        <f t="shared" si="12"/>
        <v>339.62242609124149</v>
      </c>
      <c r="J21" s="485">
        <f t="shared" si="12"/>
        <v>344.54707110234909</v>
      </c>
      <c r="K21" s="485">
        <f t="shared" si="12"/>
        <v>349.54381464970305</v>
      </c>
      <c r="L21" s="485">
        <f t="shared" si="12"/>
        <v>354.61371704159717</v>
      </c>
      <c r="M21" s="485">
        <f t="shared" si="12"/>
        <v>359.75785419729254</v>
      </c>
      <c r="N21" s="485">
        <f t="shared" si="12"/>
        <v>364.9773178768051</v>
      </c>
      <c r="O21" s="485">
        <f t="shared" si="12"/>
        <v>370.27321591408361</v>
      </c>
      <c r="P21" s="485">
        <f t="shared" si="12"/>
        <v>375.64667245361704</v>
      </c>
      <c r="Q21" s="485">
        <f t="shared" si="12"/>
        <v>381.0988281905307</v>
      </c>
      <c r="R21" s="485">
        <f t="shared" si="12"/>
        <v>386.63084061421597</v>
      </c>
      <c r="S21" s="485">
        <f t="shared" si="12"/>
        <v>392.24388425554969</v>
      </c>
      <c r="T21" s="485">
        <f t="shared" si="12"/>
        <v>397.93915093775462</v>
      </c>
      <c r="U21" s="485">
        <f t="shared" si="12"/>
        <v>403.71785003095471</v>
      </c>
      <c r="V21" s="485">
        <f t="shared" si="12"/>
        <v>409.58120871047839</v>
      </c>
      <c r="W21" s="485">
        <f t="shared" si="12"/>
        <v>415.53047221896793</v>
      </c>
      <c r="X21" s="485">
        <f t="shared" si="12"/>
        <v>421.56690413234787</v>
      </c>
      <c r="Y21" s="485">
        <f t="shared" si="12"/>
        <v>427.69178662971137</v>
      </c>
      <c r="Z21" s="485">
        <f t="shared" si="12"/>
        <v>433.90642076718143</v>
      </c>
      <c r="AA21" s="485">
        <f t="shared" si="12"/>
        <v>440.21212675580404</v>
      </c>
      <c r="AB21" s="485">
        <f t="shared" si="12"/>
        <v>446.61024424353701</v>
      </c>
      <c r="AC21" s="485">
        <f t="shared" si="12"/>
        <v>453.10213260138926</v>
      </c>
      <c r="AD21" s="485">
        <f t="shared" si="12"/>
        <v>459.68917121377535</v>
      </c>
      <c r="AE21" s="485">
        <f t="shared" si="12"/>
        <v>466.3727597731459</v>
      </c>
      <c r="AF21" s="485">
        <f t="shared" si="12"/>
        <v>473.15431857895857</v>
      </c>
      <c r="AG21" s="485">
        <f t="shared" si="12"/>
        <v>480.03528884104935</v>
      </c>
      <c r="AH21" s="485">
        <f t="shared" si="12"/>
        <v>487.0171329874745</v>
      </c>
      <c r="AI21" s="485">
        <f t="shared" si="12"/>
        <v>494.10133497688531</v>
      </c>
      <c r="AJ21" s="485">
        <f t="shared" si="12"/>
        <v>501.28940061550287</v>
      </c>
      <c r="AK21" s="485">
        <f t="shared" si="12"/>
        <v>508.58285787876025</v>
      </c>
      <c r="AL21" s="485">
        <f t="shared" ref="AL21" si="13">AL17*AL11</f>
        <v>515.98325723768539</v>
      </c>
    </row>
    <row r="22" spans="1:38">
      <c r="D22" s="358"/>
      <c r="F22" s="464"/>
      <c r="G22" s="465"/>
      <c r="H22" s="465"/>
    </row>
    <row r="23" spans="1:38" ht="13">
      <c r="B23" s="486" t="s">
        <v>461</v>
      </c>
      <c r="C23" s="487" t="s">
        <v>292</v>
      </c>
      <c r="D23" s="488">
        <f>SUM(D19:D21)</f>
        <v>14330.214239372111</v>
      </c>
      <c r="E23" s="488">
        <f t="shared" ref="E23:AE23" si="14">SUM(E19:E21)</f>
        <v>14544.907963015503</v>
      </c>
      <c r="F23" s="488">
        <f t="shared" si="14"/>
        <v>14762.874865185235</v>
      </c>
      <c r="G23" s="488">
        <f t="shared" si="14"/>
        <v>14984.165385855076</v>
      </c>
      <c r="H23" s="488">
        <f t="shared" si="14"/>
        <v>15208.830746085119</v>
      </c>
      <c r="I23" s="488">
        <f t="shared" si="14"/>
        <v>15436.92296013168</v>
      </c>
      <c r="J23" s="488">
        <f t="shared" si="14"/>
        <v>15668.494847745211</v>
      </c>
      <c r="K23" s="488">
        <f t="shared" si="14"/>
        <v>15903.600046659038</v>
      </c>
      <c r="L23" s="488">
        <f t="shared" si="14"/>
        <v>16142.293025271953</v>
      </c>
      <c r="M23" s="488">
        <f t="shared" si="14"/>
        <v>16384.629095527787</v>
      </c>
      <c r="N23" s="488">
        <f t="shared" si="14"/>
        <v>16630.664425994673</v>
      </c>
      <c r="O23" s="488">
        <f t="shared" si="14"/>
        <v>16880.456055147635</v>
      </c>
      <c r="P23" s="488">
        <f t="shared" si="14"/>
        <v>17134.061904857059</v>
      </c>
      <c r="Q23" s="488">
        <f t="shared" si="14"/>
        <v>17391.540794086774</v>
      </c>
      <c r="R23" s="488">
        <f t="shared" si="14"/>
        <v>17652.952452804715</v>
      </c>
      <c r="S23" s="488">
        <f t="shared" si="14"/>
        <v>17918.357536109423</v>
      </c>
      <c r="T23" s="488">
        <f t="shared" si="14"/>
        <v>18187.817638576038</v>
      </c>
      <c r="U23" s="488">
        <f t="shared" si="14"/>
        <v>18461.395308824885</v>
      </c>
      <c r="V23" s="488">
        <f t="shared" si="14"/>
        <v>18739.154064316193</v>
      </c>
      <c r="W23" s="488">
        <f t="shared" si="14"/>
        <v>19021.158406374652</v>
      </c>
      <c r="X23" s="488">
        <f t="shared" si="14"/>
        <v>19307.473835447068</v>
      </c>
      <c r="Y23" s="488">
        <f t="shared" si="14"/>
        <v>19598.166866597032</v>
      </c>
      <c r="Z23" s="488">
        <f t="shared" si="14"/>
        <v>19893.305045240075</v>
      </c>
      <c r="AA23" s="488">
        <f t="shared" si="14"/>
        <v>20192.956963123113</v>
      </c>
      <c r="AB23" s="488">
        <f t="shared" si="14"/>
        <v>20497.192274552097</v>
      </c>
      <c r="AC23" s="488">
        <f t="shared" si="14"/>
        <v>20806.081712871528</v>
      </c>
      <c r="AD23" s="488">
        <f t="shared" si="14"/>
        <v>21119.697107199867</v>
      </c>
      <c r="AE23" s="488">
        <f t="shared" si="14"/>
        <v>21438.111399424841</v>
      </c>
      <c r="AF23" s="488">
        <f t="shared" ref="AF23:AJ23" si="15">SUM(AF19:AF21)</f>
        <v>21761.398661462601</v>
      </c>
      <c r="AG23" s="488">
        <f t="shared" si="15"/>
        <v>22089.634112784865</v>
      </c>
      <c r="AH23" s="488">
        <f t="shared" si="15"/>
        <v>22422.894138218267</v>
      </c>
      <c r="AI23" s="488">
        <f t="shared" si="15"/>
        <v>22761.256306020092</v>
      </c>
      <c r="AJ23" s="488">
        <f t="shared" si="15"/>
        <v>23104.799386234667</v>
      </c>
      <c r="AK23" s="488">
        <f t="shared" ref="AK23:AL23" si="16">SUM(AK19:AK21)</f>
        <v>23453.603369334774</v>
      </c>
      <c r="AL23" s="488">
        <f t="shared" si="16"/>
        <v>23807.749485152752</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 t="shared" ref="D27:AK27" si="17">IF(D$3&gt;VRCConstEnd,0,D15)</f>
        <v>8.0708348687975819E-4</v>
      </c>
      <c r="E27" s="388">
        <f t="shared" si="17"/>
        <v>8.1936502517225389E-4</v>
      </c>
      <c r="F27" s="388">
        <f t="shared" si="17"/>
        <v>8.3183722073205295E-4</v>
      </c>
      <c r="G27" s="388">
        <f t="shared" si="17"/>
        <v>8.4450306933779573E-4</v>
      </c>
      <c r="H27" s="388">
        <f t="shared" si="17"/>
        <v>0</v>
      </c>
      <c r="I27" s="388">
        <f t="shared" si="17"/>
        <v>0</v>
      </c>
      <c r="J27" s="388">
        <f t="shared" si="17"/>
        <v>0</v>
      </c>
      <c r="K27" s="388">
        <f t="shared" si="17"/>
        <v>0</v>
      </c>
      <c r="L27" s="388">
        <f t="shared" si="17"/>
        <v>0</v>
      </c>
      <c r="M27" s="388">
        <f t="shared" si="17"/>
        <v>0</v>
      </c>
      <c r="N27" s="388">
        <f t="shared" si="17"/>
        <v>0</v>
      </c>
      <c r="O27" s="388">
        <f t="shared" si="17"/>
        <v>0</v>
      </c>
      <c r="P27" s="388">
        <f t="shared" si="17"/>
        <v>0</v>
      </c>
      <c r="Q27" s="388">
        <f t="shared" si="17"/>
        <v>0</v>
      </c>
      <c r="R27" s="388">
        <f t="shared" si="17"/>
        <v>0</v>
      </c>
      <c r="S27" s="388">
        <f t="shared" si="17"/>
        <v>0</v>
      </c>
      <c r="T27" s="388">
        <f t="shared" si="17"/>
        <v>0</v>
      </c>
      <c r="U27" s="388">
        <f t="shared" si="17"/>
        <v>0</v>
      </c>
      <c r="V27" s="388">
        <f t="shared" si="17"/>
        <v>0</v>
      </c>
      <c r="W27" s="388">
        <f t="shared" si="17"/>
        <v>0</v>
      </c>
      <c r="X27" s="388">
        <f t="shared" si="17"/>
        <v>0</v>
      </c>
      <c r="Y27" s="388">
        <f t="shared" si="17"/>
        <v>0</v>
      </c>
      <c r="Z27" s="388">
        <f t="shared" si="17"/>
        <v>0</v>
      </c>
      <c r="AA27" s="388">
        <f t="shared" si="17"/>
        <v>0</v>
      </c>
      <c r="AB27" s="388">
        <f t="shared" si="17"/>
        <v>0</v>
      </c>
      <c r="AC27" s="388">
        <f t="shared" si="17"/>
        <v>0</v>
      </c>
      <c r="AD27" s="388">
        <f t="shared" si="17"/>
        <v>0</v>
      </c>
      <c r="AE27" s="388">
        <f t="shared" si="17"/>
        <v>0</v>
      </c>
      <c r="AF27" s="388">
        <f t="shared" si="17"/>
        <v>0</v>
      </c>
      <c r="AG27" s="388">
        <f t="shared" si="17"/>
        <v>0</v>
      </c>
      <c r="AH27" s="388">
        <f t="shared" si="17"/>
        <v>0</v>
      </c>
      <c r="AI27" s="388">
        <f t="shared" si="17"/>
        <v>0</v>
      </c>
      <c r="AJ27" s="388">
        <f t="shared" si="17"/>
        <v>0</v>
      </c>
      <c r="AK27" s="388">
        <f t="shared" si="17"/>
        <v>0</v>
      </c>
      <c r="AL27" s="388">
        <f t="shared" ref="AL27" si="18">IF(AL$3&gt;VRCConstEnd,0,AL15)</f>
        <v>0</v>
      </c>
    </row>
    <row r="28" spans="1:38">
      <c r="B28" s="367" t="s">
        <v>516</v>
      </c>
      <c r="C28" s="367" t="s">
        <v>329</v>
      </c>
      <c r="D28" s="388">
        <f t="shared" ref="D28:AK28" si="19">IF(D$3&gt;VRCConstEnd,0,D16)</f>
        <v>1.5036483056842014E-2</v>
      </c>
      <c r="E28" s="388">
        <f t="shared" si="19"/>
        <v>1.5254236484068562E-2</v>
      </c>
      <c r="F28" s="388">
        <f t="shared" si="19"/>
        <v>1.5475174463584254E-2</v>
      </c>
      <c r="G28" s="388">
        <f t="shared" si="19"/>
        <v>1.5699343782944637E-2</v>
      </c>
      <c r="H28" s="388">
        <f t="shared" si="19"/>
        <v>0</v>
      </c>
      <c r="I28" s="388">
        <f t="shared" si="19"/>
        <v>0</v>
      </c>
      <c r="J28" s="388">
        <f t="shared" si="19"/>
        <v>0</v>
      </c>
      <c r="K28" s="388">
        <f t="shared" si="19"/>
        <v>0</v>
      </c>
      <c r="L28" s="388">
        <f t="shared" si="19"/>
        <v>0</v>
      </c>
      <c r="M28" s="388">
        <f t="shared" si="19"/>
        <v>0</v>
      </c>
      <c r="N28" s="388">
        <f t="shared" si="19"/>
        <v>0</v>
      </c>
      <c r="O28" s="388">
        <f t="shared" si="19"/>
        <v>0</v>
      </c>
      <c r="P28" s="388">
        <f t="shared" si="19"/>
        <v>0</v>
      </c>
      <c r="Q28" s="388">
        <f t="shared" si="19"/>
        <v>0</v>
      </c>
      <c r="R28" s="388">
        <f t="shared" si="19"/>
        <v>0</v>
      </c>
      <c r="S28" s="388">
        <f t="shared" si="19"/>
        <v>0</v>
      </c>
      <c r="T28" s="388">
        <f t="shared" si="19"/>
        <v>0</v>
      </c>
      <c r="U28" s="388">
        <f t="shared" si="19"/>
        <v>0</v>
      </c>
      <c r="V28" s="388">
        <f t="shared" si="19"/>
        <v>0</v>
      </c>
      <c r="W28" s="388">
        <f t="shared" si="19"/>
        <v>0</v>
      </c>
      <c r="X28" s="388">
        <f t="shared" si="19"/>
        <v>0</v>
      </c>
      <c r="Y28" s="388">
        <f t="shared" si="19"/>
        <v>0</v>
      </c>
      <c r="Z28" s="388">
        <f t="shared" si="19"/>
        <v>0</v>
      </c>
      <c r="AA28" s="388">
        <f t="shared" si="19"/>
        <v>0</v>
      </c>
      <c r="AB28" s="388">
        <f t="shared" si="19"/>
        <v>0</v>
      </c>
      <c r="AC28" s="388">
        <f t="shared" si="19"/>
        <v>0</v>
      </c>
      <c r="AD28" s="388">
        <f t="shared" si="19"/>
        <v>0</v>
      </c>
      <c r="AE28" s="388">
        <f t="shared" si="19"/>
        <v>0</v>
      </c>
      <c r="AF28" s="388">
        <f t="shared" si="19"/>
        <v>0</v>
      </c>
      <c r="AG28" s="388">
        <f t="shared" si="19"/>
        <v>0</v>
      </c>
      <c r="AH28" s="388">
        <f t="shared" si="19"/>
        <v>0</v>
      </c>
      <c r="AI28" s="388">
        <f t="shared" si="19"/>
        <v>0</v>
      </c>
      <c r="AJ28" s="388">
        <f t="shared" si="19"/>
        <v>0</v>
      </c>
      <c r="AK28" s="388">
        <f t="shared" si="19"/>
        <v>0</v>
      </c>
      <c r="AL28" s="388">
        <f t="shared" ref="AL28" si="20">IF(AL$3&gt;VRCConstEnd,0,AL16)</f>
        <v>0</v>
      </c>
    </row>
    <row r="29" spans="1:38">
      <c r="B29" s="367" t="s">
        <v>517</v>
      </c>
      <c r="C29" s="367" t="s">
        <v>518</v>
      </c>
      <c r="D29" s="388">
        <f t="shared" ref="D29:AK29" si="21">IF(D$3&gt;VRCConstEnd,0,D17)</f>
        <v>7.0232140621718453E-2</v>
      </c>
      <c r="E29" s="388">
        <f t="shared" si="21"/>
        <v>7.1249813119410269E-2</v>
      </c>
      <c r="F29" s="388">
        <f t="shared" si="21"/>
        <v>7.2282379694297225E-2</v>
      </c>
      <c r="G29" s="388">
        <f t="shared" si="21"/>
        <v>7.3330059365326758E-2</v>
      </c>
      <c r="H29" s="388">
        <f t="shared" si="21"/>
        <v>0</v>
      </c>
      <c r="I29" s="388">
        <f t="shared" si="21"/>
        <v>0</v>
      </c>
      <c r="J29" s="388">
        <f t="shared" si="21"/>
        <v>0</v>
      </c>
      <c r="K29" s="388">
        <f t="shared" si="21"/>
        <v>0</v>
      </c>
      <c r="L29" s="388">
        <f t="shared" si="21"/>
        <v>0</v>
      </c>
      <c r="M29" s="388">
        <f t="shared" si="21"/>
        <v>0</v>
      </c>
      <c r="N29" s="388">
        <f t="shared" si="21"/>
        <v>0</v>
      </c>
      <c r="O29" s="388">
        <f t="shared" si="21"/>
        <v>0</v>
      </c>
      <c r="P29" s="388">
        <f t="shared" si="21"/>
        <v>0</v>
      </c>
      <c r="Q29" s="388">
        <f t="shared" si="21"/>
        <v>0</v>
      </c>
      <c r="R29" s="388">
        <f t="shared" si="21"/>
        <v>0</v>
      </c>
      <c r="S29" s="388">
        <f t="shared" si="21"/>
        <v>0</v>
      </c>
      <c r="T29" s="388">
        <f t="shared" si="21"/>
        <v>0</v>
      </c>
      <c r="U29" s="388">
        <f t="shared" si="21"/>
        <v>0</v>
      </c>
      <c r="V29" s="388">
        <f t="shared" si="21"/>
        <v>0</v>
      </c>
      <c r="W29" s="388">
        <f t="shared" si="21"/>
        <v>0</v>
      </c>
      <c r="X29" s="388">
        <f t="shared" si="21"/>
        <v>0</v>
      </c>
      <c r="Y29" s="388">
        <f t="shared" si="21"/>
        <v>0</v>
      </c>
      <c r="Z29" s="388">
        <f t="shared" si="21"/>
        <v>0</v>
      </c>
      <c r="AA29" s="388">
        <f t="shared" si="21"/>
        <v>0</v>
      </c>
      <c r="AB29" s="388">
        <f t="shared" si="21"/>
        <v>0</v>
      </c>
      <c r="AC29" s="388">
        <f t="shared" si="21"/>
        <v>0</v>
      </c>
      <c r="AD29" s="388">
        <f t="shared" si="21"/>
        <v>0</v>
      </c>
      <c r="AE29" s="388">
        <f t="shared" si="21"/>
        <v>0</v>
      </c>
      <c r="AF29" s="388">
        <f t="shared" si="21"/>
        <v>0</v>
      </c>
      <c r="AG29" s="388">
        <f t="shared" si="21"/>
        <v>0</v>
      </c>
      <c r="AH29" s="388">
        <f t="shared" si="21"/>
        <v>0</v>
      </c>
      <c r="AI29" s="388">
        <f t="shared" si="21"/>
        <v>0</v>
      </c>
      <c r="AJ29" s="388">
        <f t="shared" si="21"/>
        <v>0</v>
      </c>
      <c r="AK29" s="388">
        <f t="shared" si="21"/>
        <v>0</v>
      </c>
      <c r="AL29" s="388">
        <f t="shared" ref="AL29" si="22">IF(AL$3&gt;VRCConstEnd,0,AL17)</f>
        <v>0</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23">D27*D9</f>
        <v>9742.3047701255618</v>
      </c>
      <c r="E31" s="485">
        <f t="shared" si="23"/>
        <v>9890.555218854277</v>
      </c>
      <c r="F31" s="485">
        <f t="shared" si="23"/>
        <v>10041.107091456612</v>
      </c>
      <c r="G31" s="485">
        <f t="shared" si="23"/>
        <v>10193.996549976533</v>
      </c>
      <c r="H31" s="485">
        <f t="shared" si="23"/>
        <v>0</v>
      </c>
      <c r="I31" s="485">
        <f t="shared" si="23"/>
        <v>0</v>
      </c>
      <c r="J31" s="485">
        <f t="shared" si="23"/>
        <v>0</v>
      </c>
      <c r="K31" s="485">
        <f t="shared" si="23"/>
        <v>0</v>
      </c>
      <c r="L31" s="485">
        <f t="shared" si="23"/>
        <v>0</v>
      </c>
      <c r="M31" s="485">
        <f t="shared" si="23"/>
        <v>0</v>
      </c>
      <c r="N31" s="485">
        <f t="shared" si="23"/>
        <v>0</v>
      </c>
      <c r="O31" s="485">
        <f t="shared" si="23"/>
        <v>0</v>
      </c>
      <c r="P31" s="485">
        <f t="shared" si="23"/>
        <v>0</v>
      </c>
      <c r="Q31" s="485">
        <f t="shared" si="23"/>
        <v>0</v>
      </c>
      <c r="R31" s="485">
        <f t="shared" si="23"/>
        <v>0</v>
      </c>
      <c r="S31" s="485">
        <f t="shared" si="23"/>
        <v>0</v>
      </c>
      <c r="T31" s="485">
        <f t="shared" si="23"/>
        <v>0</v>
      </c>
      <c r="U31" s="485">
        <f t="shared" si="23"/>
        <v>0</v>
      </c>
      <c r="V31" s="485">
        <f t="shared" si="23"/>
        <v>0</v>
      </c>
      <c r="W31" s="485">
        <f t="shared" si="23"/>
        <v>0</v>
      </c>
      <c r="X31" s="485">
        <f t="shared" si="23"/>
        <v>0</v>
      </c>
      <c r="Y31" s="485">
        <f t="shared" si="23"/>
        <v>0</v>
      </c>
      <c r="Z31" s="485">
        <f t="shared" si="23"/>
        <v>0</v>
      </c>
      <c r="AA31" s="485">
        <f t="shared" si="23"/>
        <v>0</v>
      </c>
      <c r="AB31" s="485">
        <f t="shared" si="23"/>
        <v>0</v>
      </c>
      <c r="AC31" s="485">
        <f t="shared" si="23"/>
        <v>0</v>
      </c>
      <c r="AD31" s="485">
        <f t="shared" si="23"/>
        <v>0</v>
      </c>
      <c r="AE31" s="485">
        <f t="shared" si="23"/>
        <v>0</v>
      </c>
      <c r="AF31" s="485">
        <f t="shared" si="23"/>
        <v>0</v>
      </c>
      <c r="AG31" s="485">
        <f t="shared" si="23"/>
        <v>0</v>
      </c>
      <c r="AH31" s="485">
        <f t="shared" si="23"/>
        <v>0</v>
      </c>
      <c r="AI31" s="485">
        <f t="shared" si="23"/>
        <v>0</v>
      </c>
      <c r="AJ31" s="485">
        <f t="shared" si="23"/>
        <v>0</v>
      </c>
      <c r="AK31" s="485">
        <f t="shared" si="23"/>
        <v>0</v>
      </c>
      <c r="AL31" s="485">
        <f t="shared" ref="AL31" si="24">AL27*AL9</f>
        <v>0</v>
      </c>
    </row>
    <row r="32" spans="1:38">
      <c r="B32" s="366" t="s">
        <v>720</v>
      </c>
      <c r="C32" s="484" t="s">
        <v>292</v>
      </c>
      <c r="D32" s="485">
        <f t="shared" ref="D32:AK32" si="25">D28*D10</f>
        <v>4271.8648364488163</v>
      </c>
      <c r="E32" s="485">
        <f t="shared" si="25"/>
        <v>4333.7285851238785</v>
      </c>
      <c r="F32" s="485">
        <f t="shared" si="25"/>
        <v>4396.4970651042868</v>
      </c>
      <c r="G32" s="485">
        <f t="shared" si="25"/>
        <v>4460.1835687345711</v>
      </c>
      <c r="H32" s="485">
        <f t="shared" si="25"/>
        <v>0</v>
      </c>
      <c r="I32" s="485">
        <f t="shared" si="25"/>
        <v>0</v>
      </c>
      <c r="J32" s="485">
        <f t="shared" si="25"/>
        <v>0</v>
      </c>
      <c r="K32" s="485">
        <f t="shared" si="25"/>
        <v>0</v>
      </c>
      <c r="L32" s="485">
        <f t="shared" si="25"/>
        <v>0</v>
      </c>
      <c r="M32" s="485">
        <f t="shared" si="25"/>
        <v>0</v>
      </c>
      <c r="N32" s="485">
        <f t="shared" si="25"/>
        <v>0</v>
      </c>
      <c r="O32" s="485">
        <f t="shared" si="25"/>
        <v>0</v>
      </c>
      <c r="P32" s="485">
        <f t="shared" si="25"/>
        <v>0</v>
      </c>
      <c r="Q32" s="485">
        <f t="shared" si="25"/>
        <v>0</v>
      </c>
      <c r="R32" s="485">
        <f t="shared" si="25"/>
        <v>0</v>
      </c>
      <c r="S32" s="485">
        <f t="shared" si="25"/>
        <v>0</v>
      </c>
      <c r="T32" s="485">
        <f t="shared" si="25"/>
        <v>0</v>
      </c>
      <c r="U32" s="485">
        <f t="shared" si="25"/>
        <v>0</v>
      </c>
      <c r="V32" s="485">
        <f t="shared" si="25"/>
        <v>0</v>
      </c>
      <c r="W32" s="485">
        <f t="shared" si="25"/>
        <v>0</v>
      </c>
      <c r="X32" s="485">
        <f t="shared" si="25"/>
        <v>0</v>
      </c>
      <c r="Y32" s="485">
        <f t="shared" si="25"/>
        <v>0</v>
      </c>
      <c r="Z32" s="485">
        <f t="shared" si="25"/>
        <v>0</v>
      </c>
      <c r="AA32" s="485">
        <f t="shared" si="25"/>
        <v>0</v>
      </c>
      <c r="AB32" s="485">
        <f t="shared" si="25"/>
        <v>0</v>
      </c>
      <c r="AC32" s="485">
        <f t="shared" si="25"/>
        <v>0</v>
      </c>
      <c r="AD32" s="485">
        <f t="shared" si="25"/>
        <v>0</v>
      </c>
      <c r="AE32" s="485">
        <f t="shared" si="25"/>
        <v>0</v>
      </c>
      <c r="AF32" s="485">
        <f t="shared" si="25"/>
        <v>0</v>
      </c>
      <c r="AG32" s="485">
        <f t="shared" si="25"/>
        <v>0</v>
      </c>
      <c r="AH32" s="485">
        <f t="shared" si="25"/>
        <v>0</v>
      </c>
      <c r="AI32" s="485">
        <f t="shared" si="25"/>
        <v>0</v>
      </c>
      <c r="AJ32" s="485">
        <f t="shared" si="25"/>
        <v>0</v>
      </c>
      <c r="AK32" s="485">
        <f t="shared" si="25"/>
        <v>0</v>
      </c>
      <c r="AL32" s="485">
        <f t="shared" ref="AL32" si="26">AL28*AL10</f>
        <v>0</v>
      </c>
    </row>
    <row r="33" spans="1:38">
      <c r="B33" s="366" t="s">
        <v>721</v>
      </c>
      <c r="C33" s="484" t="s">
        <v>292</v>
      </c>
      <c r="D33" s="485">
        <f t="shared" ref="D33:AK33" si="27">D29*D11</f>
        <v>316.04463279773302</v>
      </c>
      <c r="E33" s="485">
        <f t="shared" si="27"/>
        <v>320.6241590373462</v>
      </c>
      <c r="F33" s="485">
        <f t="shared" si="27"/>
        <v>325.27070862433749</v>
      </c>
      <c r="G33" s="485">
        <f t="shared" si="27"/>
        <v>329.98526714397042</v>
      </c>
      <c r="H33" s="485">
        <f t="shared" si="27"/>
        <v>0</v>
      </c>
      <c r="I33" s="485">
        <f t="shared" si="27"/>
        <v>0</v>
      </c>
      <c r="J33" s="485">
        <f t="shared" si="27"/>
        <v>0</v>
      </c>
      <c r="K33" s="485">
        <f t="shared" si="27"/>
        <v>0</v>
      </c>
      <c r="L33" s="485">
        <f t="shared" si="27"/>
        <v>0</v>
      </c>
      <c r="M33" s="485">
        <f t="shared" si="27"/>
        <v>0</v>
      </c>
      <c r="N33" s="485">
        <f t="shared" si="27"/>
        <v>0</v>
      </c>
      <c r="O33" s="485">
        <f t="shared" si="27"/>
        <v>0</v>
      </c>
      <c r="P33" s="485">
        <f t="shared" si="27"/>
        <v>0</v>
      </c>
      <c r="Q33" s="485">
        <f t="shared" si="27"/>
        <v>0</v>
      </c>
      <c r="R33" s="485">
        <f t="shared" si="27"/>
        <v>0</v>
      </c>
      <c r="S33" s="485">
        <f t="shared" si="27"/>
        <v>0</v>
      </c>
      <c r="T33" s="485">
        <f t="shared" si="27"/>
        <v>0</v>
      </c>
      <c r="U33" s="485">
        <f t="shared" si="27"/>
        <v>0</v>
      </c>
      <c r="V33" s="485">
        <f t="shared" si="27"/>
        <v>0</v>
      </c>
      <c r="W33" s="485">
        <f t="shared" si="27"/>
        <v>0</v>
      </c>
      <c r="X33" s="485">
        <f t="shared" si="27"/>
        <v>0</v>
      </c>
      <c r="Y33" s="485">
        <f t="shared" si="27"/>
        <v>0</v>
      </c>
      <c r="Z33" s="485">
        <f t="shared" si="27"/>
        <v>0</v>
      </c>
      <c r="AA33" s="485">
        <f t="shared" si="27"/>
        <v>0</v>
      </c>
      <c r="AB33" s="485">
        <f t="shared" si="27"/>
        <v>0</v>
      </c>
      <c r="AC33" s="485">
        <f t="shared" si="27"/>
        <v>0</v>
      </c>
      <c r="AD33" s="485">
        <f t="shared" si="27"/>
        <v>0</v>
      </c>
      <c r="AE33" s="485">
        <f t="shared" si="27"/>
        <v>0</v>
      </c>
      <c r="AF33" s="485">
        <f t="shared" si="27"/>
        <v>0</v>
      </c>
      <c r="AG33" s="485">
        <f t="shared" si="27"/>
        <v>0</v>
      </c>
      <c r="AH33" s="485">
        <f t="shared" si="27"/>
        <v>0</v>
      </c>
      <c r="AI33" s="485">
        <f t="shared" si="27"/>
        <v>0</v>
      </c>
      <c r="AJ33" s="485">
        <f t="shared" si="27"/>
        <v>0</v>
      </c>
      <c r="AK33" s="485">
        <f t="shared" si="27"/>
        <v>0</v>
      </c>
      <c r="AL33" s="485">
        <f t="shared" ref="AL33" si="28">AL29*AL11</f>
        <v>0</v>
      </c>
    </row>
    <row r="34" spans="1:38">
      <c r="D34" s="358"/>
      <c r="F34" s="464"/>
      <c r="G34" s="465"/>
      <c r="H34" s="465"/>
    </row>
    <row r="35" spans="1:38" ht="13">
      <c r="B35" s="486" t="s">
        <v>462</v>
      </c>
      <c r="C35" s="487" t="s">
        <v>292</v>
      </c>
      <c r="D35" s="488">
        <f>SUM(D31:D33)</f>
        <v>14330.214239372111</v>
      </c>
      <c r="E35" s="488">
        <f t="shared" ref="E35:AE35" si="29">SUM(E31:E33)</f>
        <v>14544.907963015503</v>
      </c>
      <c r="F35" s="488">
        <f t="shared" si="29"/>
        <v>14762.874865185235</v>
      </c>
      <c r="G35" s="488">
        <f t="shared" si="29"/>
        <v>14984.165385855076</v>
      </c>
      <c r="H35" s="488">
        <f t="shared" si="29"/>
        <v>0</v>
      </c>
      <c r="I35" s="488">
        <f t="shared" si="29"/>
        <v>0</v>
      </c>
      <c r="J35" s="488">
        <f t="shared" si="29"/>
        <v>0</v>
      </c>
      <c r="K35" s="488">
        <f t="shared" si="29"/>
        <v>0</v>
      </c>
      <c r="L35" s="488">
        <f t="shared" si="29"/>
        <v>0</v>
      </c>
      <c r="M35" s="488">
        <f t="shared" si="29"/>
        <v>0</v>
      </c>
      <c r="N35" s="488">
        <f t="shared" si="29"/>
        <v>0</v>
      </c>
      <c r="O35" s="488">
        <f t="shared" si="29"/>
        <v>0</v>
      </c>
      <c r="P35" s="488">
        <f t="shared" si="29"/>
        <v>0</v>
      </c>
      <c r="Q35" s="488">
        <f t="shared" si="29"/>
        <v>0</v>
      </c>
      <c r="R35" s="488">
        <f t="shared" si="29"/>
        <v>0</v>
      </c>
      <c r="S35" s="488">
        <f t="shared" si="29"/>
        <v>0</v>
      </c>
      <c r="T35" s="488">
        <f t="shared" si="29"/>
        <v>0</v>
      </c>
      <c r="U35" s="488">
        <f t="shared" si="29"/>
        <v>0</v>
      </c>
      <c r="V35" s="488">
        <f t="shared" si="29"/>
        <v>0</v>
      </c>
      <c r="W35" s="488">
        <f t="shared" si="29"/>
        <v>0</v>
      </c>
      <c r="X35" s="488">
        <f t="shared" si="29"/>
        <v>0</v>
      </c>
      <c r="Y35" s="488">
        <f t="shared" si="29"/>
        <v>0</v>
      </c>
      <c r="Z35" s="488">
        <f t="shared" si="29"/>
        <v>0</v>
      </c>
      <c r="AA35" s="488">
        <f t="shared" si="29"/>
        <v>0</v>
      </c>
      <c r="AB35" s="488">
        <f t="shared" si="29"/>
        <v>0</v>
      </c>
      <c r="AC35" s="488">
        <f t="shared" si="29"/>
        <v>0</v>
      </c>
      <c r="AD35" s="488">
        <f t="shared" si="29"/>
        <v>0</v>
      </c>
      <c r="AE35" s="488">
        <f t="shared" si="29"/>
        <v>0</v>
      </c>
      <c r="AF35" s="488">
        <f t="shared" ref="AF35:AJ35" si="30">SUM(AF31:AF33)</f>
        <v>0</v>
      </c>
      <c r="AG35" s="488">
        <f t="shared" si="30"/>
        <v>0</v>
      </c>
      <c r="AH35" s="488">
        <f t="shared" si="30"/>
        <v>0</v>
      </c>
      <c r="AI35" s="488">
        <f t="shared" si="30"/>
        <v>0</v>
      </c>
      <c r="AJ35" s="488">
        <f t="shared" si="30"/>
        <v>0</v>
      </c>
      <c r="AK35" s="488">
        <f t="shared" ref="AK35:AL35" si="31">SUM(AK31:AK33)</f>
        <v>0</v>
      </c>
      <c r="AL35" s="488">
        <f t="shared" si="31"/>
        <v>0</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D15-D27</f>
        <v>0</v>
      </c>
      <c r="E39" s="388">
        <f t="shared" ref="E39:AK39" si="32">E15-E27</f>
        <v>0</v>
      </c>
      <c r="F39" s="388">
        <f t="shared" si="32"/>
        <v>0</v>
      </c>
      <c r="G39" s="388">
        <f t="shared" si="32"/>
        <v>0</v>
      </c>
      <c r="H39" s="388">
        <f t="shared" si="32"/>
        <v>8.5736561407694274E-4</v>
      </c>
      <c r="I39" s="388">
        <f t="shared" si="32"/>
        <v>8.7042794609316074E-4</v>
      </c>
      <c r="J39" s="388">
        <f t="shared" si="32"/>
        <v>8.8369320534552201E-4</v>
      </c>
      <c r="K39" s="388">
        <f t="shared" si="32"/>
        <v>8.9716458137969134E-4</v>
      </c>
      <c r="L39" s="388">
        <f t="shared" si="32"/>
        <v>9.1084531411129825E-4</v>
      </c>
      <c r="M39" s="388">
        <f t="shared" si="32"/>
        <v>9.2473869462169191E-4</v>
      </c>
      <c r="N39" s="388">
        <f t="shared" si="32"/>
        <v>9.3884806596625323E-4</v>
      </c>
      <c r="O39" s="388">
        <f t="shared" si="32"/>
        <v>9.5317682399549545E-4</v>
      </c>
      <c r="P39" s="388">
        <f t="shared" si="32"/>
        <v>9.6772841818911946E-4</v>
      </c>
      <c r="Q39" s="388">
        <f t="shared" si="32"/>
        <v>9.8250635250325918E-4</v>
      </c>
      <c r="R39" s="388">
        <f t="shared" si="32"/>
        <v>9.9751418623110662E-4</v>
      </c>
      <c r="S39" s="388">
        <f t="shared" si="32"/>
        <v>1.0127555348771326E-3</v>
      </c>
      <c r="T39" s="388">
        <f t="shared" si="32"/>
        <v>1.028234071045124E-3</v>
      </c>
      <c r="U39" s="388">
        <f t="shared" si="32"/>
        <v>1.0439535253402492E-3</v>
      </c>
      <c r="V39" s="388">
        <f t="shared" si="32"/>
        <v>1.0599176872853728E-3</v>
      </c>
      <c r="W39" s="388">
        <f t="shared" si="32"/>
        <v>1.0761304062518523E-3</v>
      </c>
      <c r="X39" s="388">
        <f t="shared" si="32"/>
        <v>1.0925955924050369E-3</v>
      </c>
      <c r="Y39" s="388">
        <f t="shared" si="32"/>
        <v>1.1093172176647077E-3</v>
      </c>
      <c r="Z39" s="388">
        <f t="shared" si="32"/>
        <v>1.1262993166806922E-3</v>
      </c>
      <c r="AA39" s="388">
        <f t="shared" si="32"/>
        <v>1.1435459878238879E-3</v>
      </c>
      <c r="AB39" s="388">
        <f t="shared" si="32"/>
        <v>1.1610613941929542E-3</v>
      </c>
      <c r="AC39" s="388">
        <f t="shared" si="32"/>
        <v>1.1788497646369018E-3</v>
      </c>
      <c r="AD39" s="388">
        <f t="shared" si="32"/>
        <v>1.1969153947938411E-3</v>
      </c>
      <c r="AE39" s="388">
        <f t="shared" si="32"/>
        <v>1.2152626481461456E-3</v>
      </c>
      <c r="AF39" s="388">
        <f t="shared" si="32"/>
        <v>1.2338959570922848E-3</v>
      </c>
      <c r="AG39" s="388">
        <f t="shared" si="32"/>
        <v>1.2528198240355918E-3</v>
      </c>
      <c r="AH39" s="388">
        <f t="shared" si="32"/>
        <v>1.2720388224902361E-3</v>
      </c>
      <c r="AI39" s="388">
        <f t="shared" si="32"/>
        <v>1.2915575982046729E-3</v>
      </c>
      <c r="AJ39" s="388">
        <f t="shared" si="32"/>
        <v>1.3113808703028387E-3</v>
      </c>
      <c r="AK39" s="388">
        <f t="shared" si="32"/>
        <v>1.3315134324433809E-3</v>
      </c>
      <c r="AL39" s="388">
        <f t="shared" ref="AL39" si="33">AL15-AL27</f>
        <v>1.351960153997211E-3</v>
      </c>
    </row>
    <row r="40" spans="1:38" ht="13">
      <c r="B40" s="581" t="s">
        <v>782</v>
      </c>
      <c r="C40" s="581" t="s">
        <v>329</v>
      </c>
      <c r="D40" s="388">
        <f>D16-D28</f>
        <v>0</v>
      </c>
      <c r="E40" s="388">
        <f t="shared" ref="E40:AK40" si="34">E16-E28</f>
        <v>0</v>
      </c>
      <c r="F40" s="388">
        <f t="shared" si="34"/>
        <v>0</v>
      </c>
      <c r="G40" s="388">
        <f t="shared" si="34"/>
        <v>0</v>
      </c>
      <c r="H40" s="388">
        <f t="shared" si="34"/>
        <v>1.5926791917880139E-2</v>
      </c>
      <c r="I40" s="388">
        <f t="shared" si="34"/>
        <v>1.6157567042414275E-2</v>
      </c>
      <c r="J40" s="388">
        <f t="shared" si="34"/>
        <v>1.639171803913082E-2</v>
      </c>
      <c r="K40" s="388">
        <f t="shared" si="34"/>
        <v>1.6629294509591972E-2</v>
      </c>
      <c r="L40" s="388">
        <f t="shared" si="34"/>
        <v>1.6870346784909795E-2</v>
      </c>
      <c r="M40" s="388">
        <f t="shared" si="34"/>
        <v>1.7114925936473249E-2</v>
      </c>
      <c r="N40" s="388">
        <f t="shared" si="34"/>
        <v>1.7363083786832902E-2</v>
      </c>
      <c r="O40" s="388">
        <f t="shared" si="34"/>
        <v>1.7614872920745962E-2</v>
      </c>
      <c r="P40" s="388">
        <f t="shared" si="34"/>
        <v>1.7870346696383592E-2</v>
      </c>
      <c r="Q40" s="388">
        <f t="shared" si="34"/>
        <v>1.8129559256703291E-2</v>
      </c>
      <c r="R40" s="388">
        <f t="shared" si="34"/>
        <v>1.8392565540988417E-2</v>
      </c>
      <c r="S40" s="388">
        <f t="shared" si="34"/>
        <v>1.8659421296557576E-2</v>
      </c>
      <c r="T40" s="388">
        <f t="shared" si="34"/>
        <v>1.8930183090646233E-2</v>
      </c>
      <c r="U40" s="388">
        <f t="shared" si="34"/>
        <v>1.920490832246315E-2</v>
      </c>
      <c r="V40" s="388">
        <f t="shared" si="34"/>
        <v>1.9483655235424075E-2</v>
      </c>
      <c r="W40" s="388">
        <f t="shared" si="34"/>
        <v>1.9766482929565555E-2</v>
      </c>
      <c r="X40" s="388">
        <f t="shared" si="34"/>
        <v>2.0053451374141221E-2</v>
      </c>
      <c r="Y40" s="388">
        <f t="shared" si="34"/>
        <v>2.03446214204035E-2</v>
      </c>
      <c r="Z40" s="388">
        <f t="shared" si="34"/>
        <v>2.0640054814573251E-2</v>
      </c>
      <c r="AA40" s="388">
        <f t="shared" si="34"/>
        <v>2.0939814211000211E-2</v>
      </c>
      <c r="AB40" s="388">
        <f t="shared" si="34"/>
        <v>2.1243963185517106E-2</v>
      </c>
      <c r="AC40" s="388">
        <f t="shared" si="34"/>
        <v>2.1552566248990129E-2</v>
      </c>
      <c r="AD40" s="388">
        <f t="shared" si="34"/>
        <v>2.1865688861068763E-2</v>
      </c>
      <c r="AE40" s="388">
        <f t="shared" si="34"/>
        <v>2.2183397444137873E-2</v>
      </c>
      <c r="AF40" s="388">
        <f t="shared" si="34"/>
        <v>2.2505759397475081E-2</v>
      </c>
      <c r="AG40" s="388">
        <f t="shared" si="34"/>
        <v>2.2832843111616288E-2</v>
      </c>
      <c r="AH40" s="388">
        <f t="shared" si="34"/>
        <v>2.3164717982932601E-2</v>
      </c>
      <c r="AI40" s="388">
        <f t="shared" si="34"/>
        <v>2.3501454428421692E-2</v>
      </c>
      <c r="AJ40" s="388">
        <f t="shared" si="34"/>
        <v>2.3843123900716641E-2</v>
      </c>
      <c r="AK40" s="388">
        <f t="shared" si="34"/>
        <v>2.4189798903315615E-2</v>
      </c>
      <c r="AL40" s="388">
        <f t="shared" ref="AL40" si="35">AL16-AL28</f>
        <v>2.4541553006035659E-2</v>
      </c>
    </row>
    <row r="41" spans="1:38" ht="13">
      <c r="B41" s="581" t="s">
        <v>783</v>
      </c>
      <c r="C41" s="581" t="s">
        <v>518</v>
      </c>
      <c r="D41" s="388">
        <f>D17-D29</f>
        <v>0</v>
      </c>
      <c r="E41" s="388">
        <f t="shared" ref="E41:AK41" si="36">E17-E29</f>
        <v>0</v>
      </c>
      <c r="F41" s="388">
        <f t="shared" si="36"/>
        <v>0</v>
      </c>
      <c r="G41" s="388">
        <f t="shared" si="36"/>
        <v>0</v>
      </c>
      <c r="H41" s="388">
        <f t="shared" si="36"/>
        <v>7.4393074376132406E-2</v>
      </c>
      <c r="I41" s="388">
        <f t="shared" si="36"/>
        <v>7.5471650242498106E-2</v>
      </c>
      <c r="J41" s="388">
        <f t="shared" si="36"/>
        <v>7.6566015800522025E-2</v>
      </c>
      <c r="K41" s="388">
        <f t="shared" si="36"/>
        <v>7.7676403255489565E-2</v>
      </c>
      <c r="L41" s="388">
        <f t="shared" si="36"/>
        <v>7.8803048231466041E-2</v>
      </c>
      <c r="M41" s="388">
        <f t="shared" si="36"/>
        <v>7.9946189821620564E-2</v>
      </c>
      <c r="N41" s="388">
        <f t="shared" si="36"/>
        <v>8.1106070639290026E-2</v>
      </c>
      <c r="O41" s="388">
        <f t="shared" si="36"/>
        <v>8.2282936869796361E-2</v>
      </c>
      <c r="P41" s="388">
        <f t="shared" si="36"/>
        <v>8.3477038323026012E-2</v>
      </c>
      <c r="Q41" s="388">
        <f t="shared" si="36"/>
        <v>8.4688628486784601E-2</v>
      </c>
      <c r="R41" s="388">
        <f t="shared" si="36"/>
        <v>8.5917964580936881E-2</v>
      </c>
      <c r="S41" s="388">
        <f t="shared" si="36"/>
        <v>8.7165307612344381E-2</v>
      </c>
      <c r="T41" s="388">
        <f t="shared" si="36"/>
        <v>8.8430922430612138E-2</v>
      </c>
      <c r="U41" s="388">
        <f t="shared" si="36"/>
        <v>8.9715077784656608E-2</v>
      </c>
      <c r="V41" s="388">
        <f t="shared" si="36"/>
        <v>9.1018046380106313E-2</v>
      </c>
      <c r="W41" s="388">
        <f t="shared" si="36"/>
        <v>9.2340104937548434E-2</v>
      </c>
      <c r="X41" s="388">
        <f t="shared" si="36"/>
        <v>9.3681534251632864E-2</v>
      </c>
      <c r="Y41" s="388">
        <f t="shared" si="36"/>
        <v>9.504261925104697E-2</v>
      </c>
      <c r="Z41" s="388">
        <f t="shared" si="36"/>
        <v>9.6423649059373645E-2</v>
      </c>
      <c r="AA41" s="388">
        <f t="shared" si="36"/>
        <v>9.7824917056845345E-2</v>
      </c>
      <c r="AB41" s="388">
        <f t="shared" si="36"/>
        <v>9.9246720943008224E-2</v>
      </c>
      <c r="AC41" s="388">
        <f t="shared" si="36"/>
        <v>0.10068936280030873</v>
      </c>
      <c r="AD41" s="388">
        <f t="shared" si="36"/>
        <v>0.10215314915861674</v>
      </c>
      <c r="AE41" s="388">
        <f t="shared" si="36"/>
        <v>0.10363839106069909</v>
      </c>
      <c r="AF41" s="388">
        <f t="shared" si="36"/>
        <v>0.10514540412865746</v>
      </c>
      <c r="AG41" s="388">
        <f t="shared" si="36"/>
        <v>0.1066745086313443</v>
      </c>
      <c r="AH41" s="388">
        <f t="shared" si="36"/>
        <v>0.10822602955277211</v>
      </c>
      <c r="AI41" s="388">
        <f t="shared" si="36"/>
        <v>0.10980029666153007</v>
      </c>
      <c r="AJ41" s="388">
        <f t="shared" si="36"/>
        <v>0.11139764458122287</v>
      </c>
      <c r="AK41" s="388">
        <f t="shared" si="36"/>
        <v>0.11301841286194672</v>
      </c>
      <c r="AL41" s="388">
        <f t="shared" ref="AL41" si="37">AL17-AL29</f>
        <v>0.11466294605281897</v>
      </c>
    </row>
    <row r="42" spans="1:38">
      <c r="D42" s="358"/>
      <c r="F42" s="464"/>
      <c r="G42" s="465"/>
      <c r="H42" s="465"/>
    </row>
    <row r="43" spans="1:38" ht="13">
      <c r="B43" s="492" t="s">
        <v>284</v>
      </c>
      <c r="C43" s="487" t="s">
        <v>292</v>
      </c>
      <c r="D43" s="488">
        <f t="shared" ref="D43:AE43" si="38">D23-D35</f>
        <v>0</v>
      </c>
      <c r="E43" s="488">
        <f t="shared" si="38"/>
        <v>0</v>
      </c>
      <c r="F43" s="488">
        <f t="shared" si="38"/>
        <v>0</v>
      </c>
      <c r="G43" s="488">
        <f t="shared" si="38"/>
        <v>0</v>
      </c>
      <c r="H43" s="488">
        <f t="shared" si="38"/>
        <v>15208.830746085119</v>
      </c>
      <c r="I43" s="488">
        <f t="shared" si="38"/>
        <v>15436.92296013168</v>
      </c>
      <c r="J43" s="488">
        <f t="shared" si="38"/>
        <v>15668.494847745211</v>
      </c>
      <c r="K43" s="488">
        <f t="shared" si="38"/>
        <v>15903.600046659038</v>
      </c>
      <c r="L43" s="488">
        <f t="shared" si="38"/>
        <v>16142.293025271953</v>
      </c>
      <c r="M43" s="488">
        <f t="shared" si="38"/>
        <v>16384.629095527787</v>
      </c>
      <c r="N43" s="488">
        <f t="shared" si="38"/>
        <v>16630.664425994673</v>
      </c>
      <c r="O43" s="488">
        <f t="shared" si="38"/>
        <v>16880.456055147635</v>
      </c>
      <c r="P43" s="488">
        <f t="shared" si="38"/>
        <v>17134.061904857059</v>
      </c>
      <c r="Q43" s="488">
        <f t="shared" si="38"/>
        <v>17391.540794086774</v>
      </c>
      <c r="R43" s="488">
        <f t="shared" si="38"/>
        <v>17652.952452804715</v>
      </c>
      <c r="S43" s="488">
        <f t="shared" si="38"/>
        <v>17918.357536109423</v>
      </c>
      <c r="T43" s="488">
        <f t="shared" si="38"/>
        <v>18187.817638576038</v>
      </c>
      <c r="U43" s="488">
        <f t="shared" si="38"/>
        <v>18461.395308824885</v>
      </c>
      <c r="V43" s="488">
        <f t="shared" si="38"/>
        <v>18739.154064316193</v>
      </c>
      <c r="W43" s="488">
        <f t="shared" si="38"/>
        <v>19021.158406374652</v>
      </c>
      <c r="X43" s="488">
        <f t="shared" si="38"/>
        <v>19307.473835447068</v>
      </c>
      <c r="Y43" s="488">
        <f t="shared" si="38"/>
        <v>19598.166866597032</v>
      </c>
      <c r="Z43" s="488">
        <f t="shared" si="38"/>
        <v>19893.305045240075</v>
      </c>
      <c r="AA43" s="488">
        <f t="shared" si="38"/>
        <v>20192.956963123113</v>
      </c>
      <c r="AB43" s="488">
        <f t="shared" si="38"/>
        <v>20497.192274552097</v>
      </c>
      <c r="AC43" s="488">
        <f t="shared" si="38"/>
        <v>20806.081712871528</v>
      </c>
      <c r="AD43" s="488">
        <f t="shared" si="38"/>
        <v>21119.697107199867</v>
      </c>
      <c r="AE43" s="488">
        <f t="shared" si="38"/>
        <v>21438.111399424841</v>
      </c>
      <c r="AF43" s="488">
        <f t="shared" ref="AF43:AJ43" si="39">AF23-AF35</f>
        <v>21761.398661462601</v>
      </c>
      <c r="AG43" s="488">
        <f t="shared" si="39"/>
        <v>22089.634112784865</v>
      </c>
      <c r="AH43" s="488">
        <f t="shared" si="39"/>
        <v>22422.894138218267</v>
      </c>
      <c r="AI43" s="488">
        <f t="shared" si="39"/>
        <v>22761.256306020092</v>
      </c>
      <c r="AJ43" s="488">
        <f t="shared" si="39"/>
        <v>23104.799386234667</v>
      </c>
      <c r="AK43" s="488">
        <f t="shared" ref="AK43:AL43" si="40">AK23-AK35</f>
        <v>23453.603369334774</v>
      </c>
      <c r="AL43" s="488">
        <f t="shared" si="40"/>
        <v>23807.749485152752</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520" t="s">
        <v>493</v>
      </c>
      <c r="C49" s="384" t="s">
        <v>450</v>
      </c>
      <c r="D49" s="496">
        <f>'General Inputs'!D15</f>
        <v>17.899999999999999</v>
      </c>
      <c r="E49" s="496">
        <f t="shared" ref="E49:T51" si="41">D49*(1+$C$48)</f>
        <v>17.899999999999999</v>
      </c>
      <c r="F49" s="496">
        <f t="shared" si="41"/>
        <v>17.899999999999999</v>
      </c>
      <c r="G49" s="496">
        <f t="shared" si="41"/>
        <v>17.899999999999999</v>
      </c>
      <c r="H49" s="496">
        <f t="shared" si="41"/>
        <v>17.899999999999999</v>
      </c>
      <c r="I49" s="496">
        <f t="shared" si="41"/>
        <v>17.899999999999999</v>
      </c>
      <c r="J49" s="496">
        <f t="shared" si="41"/>
        <v>17.899999999999999</v>
      </c>
      <c r="K49" s="496">
        <f t="shared" si="41"/>
        <v>17.899999999999999</v>
      </c>
      <c r="L49" s="496">
        <f t="shared" si="41"/>
        <v>17.899999999999999</v>
      </c>
      <c r="M49" s="496">
        <f t="shared" si="41"/>
        <v>17.899999999999999</v>
      </c>
      <c r="N49" s="496">
        <f t="shared" si="41"/>
        <v>17.899999999999999</v>
      </c>
      <c r="O49" s="496">
        <f t="shared" si="41"/>
        <v>17.899999999999999</v>
      </c>
      <c r="P49" s="496">
        <f t="shared" si="41"/>
        <v>17.899999999999999</v>
      </c>
      <c r="Q49" s="496">
        <f t="shared" si="41"/>
        <v>17.899999999999999</v>
      </c>
      <c r="R49" s="496">
        <f t="shared" si="41"/>
        <v>17.899999999999999</v>
      </c>
      <c r="S49" s="496">
        <f t="shared" si="41"/>
        <v>17.899999999999999</v>
      </c>
      <c r="T49" s="496">
        <f t="shared" si="41"/>
        <v>17.899999999999999</v>
      </c>
      <c r="U49" s="496">
        <f t="shared" ref="U49:AE51" si="42">T49*(1+$C$48)</f>
        <v>17.899999999999999</v>
      </c>
      <c r="V49" s="496">
        <f t="shared" si="42"/>
        <v>17.899999999999999</v>
      </c>
      <c r="W49" s="496">
        <f t="shared" si="42"/>
        <v>17.899999999999999</v>
      </c>
      <c r="X49" s="496">
        <f t="shared" si="42"/>
        <v>17.899999999999999</v>
      </c>
      <c r="Y49" s="496">
        <f t="shared" si="42"/>
        <v>17.899999999999999</v>
      </c>
      <c r="Z49" s="496">
        <f t="shared" si="42"/>
        <v>17.899999999999999</v>
      </c>
      <c r="AA49" s="496">
        <f t="shared" si="42"/>
        <v>17.899999999999999</v>
      </c>
      <c r="AB49" s="496">
        <f t="shared" si="42"/>
        <v>17.899999999999999</v>
      </c>
      <c r="AC49" s="496">
        <f t="shared" si="42"/>
        <v>17.899999999999999</v>
      </c>
      <c r="AD49" s="496">
        <f t="shared" si="42"/>
        <v>17.899999999999999</v>
      </c>
      <c r="AE49" s="496">
        <f t="shared" si="42"/>
        <v>17.899999999999999</v>
      </c>
      <c r="AF49" s="496">
        <f t="shared" ref="AF49:AF51" si="43">AE49*(1+$C$48)</f>
        <v>17.899999999999999</v>
      </c>
      <c r="AG49" s="496">
        <f t="shared" ref="AG49:AG51" si="44">AF49*(1+$C$48)</f>
        <v>17.899999999999999</v>
      </c>
      <c r="AH49" s="496">
        <f t="shared" ref="AH49:AH51" si="45">AG49*(1+$C$48)</f>
        <v>17.899999999999999</v>
      </c>
      <c r="AI49" s="496">
        <f t="shared" ref="AI49:AI51" si="46">AH49*(1+$C$48)</f>
        <v>17.899999999999999</v>
      </c>
      <c r="AJ49" s="496">
        <f t="shared" ref="AJ49:AL51" si="47">AI49*(1+$C$48)</f>
        <v>17.899999999999999</v>
      </c>
      <c r="AK49" s="496">
        <f t="shared" si="47"/>
        <v>17.899999999999999</v>
      </c>
      <c r="AL49" s="496">
        <f t="shared" si="47"/>
        <v>17.899999999999999</v>
      </c>
    </row>
    <row r="50" spans="1:38">
      <c r="B50" s="475" t="s">
        <v>494</v>
      </c>
      <c r="C50" s="384" t="s">
        <v>450</v>
      </c>
      <c r="D50" s="496">
        <f>'General Inputs'!D16</f>
        <v>30.8</v>
      </c>
      <c r="E50" s="496">
        <f t="shared" si="41"/>
        <v>30.8</v>
      </c>
      <c r="F50" s="496">
        <f t="shared" si="41"/>
        <v>30.8</v>
      </c>
      <c r="G50" s="496">
        <f t="shared" si="41"/>
        <v>30.8</v>
      </c>
      <c r="H50" s="496">
        <f t="shared" si="41"/>
        <v>30.8</v>
      </c>
      <c r="I50" s="496">
        <f t="shared" si="41"/>
        <v>30.8</v>
      </c>
      <c r="J50" s="496">
        <f t="shared" si="41"/>
        <v>30.8</v>
      </c>
      <c r="K50" s="496">
        <f t="shared" si="41"/>
        <v>30.8</v>
      </c>
      <c r="L50" s="496">
        <f t="shared" si="41"/>
        <v>30.8</v>
      </c>
      <c r="M50" s="496">
        <f t="shared" si="41"/>
        <v>30.8</v>
      </c>
      <c r="N50" s="496">
        <f t="shared" si="41"/>
        <v>30.8</v>
      </c>
      <c r="O50" s="496">
        <f t="shared" si="41"/>
        <v>30.8</v>
      </c>
      <c r="P50" s="496">
        <f t="shared" si="41"/>
        <v>30.8</v>
      </c>
      <c r="Q50" s="496">
        <f t="shared" si="41"/>
        <v>30.8</v>
      </c>
      <c r="R50" s="496">
        <f t="shared" si="41"/>
        <v>30.8</v>
      </c>
      <c r="S50" s="496">
        <f t="shared" si="41"/>
        <v>30.8</v>
      </c>
      <c r="T50" s="496">
        <f t="shared" si="41"/>
        <v>30.8</v>
      </c>
      <c r="U50" s="496">
        <f t="shared" si="42"/>
        <v>30.8</v>
      </c>
      <c r="V50" s="496">
        <f t="shared" si="42"/>
        <v>30.8</v>
      </c>
      <c r="W50" s="496">
        <f t="shared" si="42"/>
        <v>30.8</v>
      </c>
      <c r="X50" s="496">
        <f t="shared" si="42"/>
        <v>30.8</v>
      </c>
      <c r="Y50" s="496">
        <f t="shared" si="42"/>
        <v>30.8</v>
      </c>
      <c r="Z50" s="496">
        <f t="shared" si="42"/>
        <v>30.8</v>
      </c>
      <c r="AA50" s="496">
        <f t="shared" si="42"/>
        <v>30.8</v>
      </c>
      <c r="AB50" s="496">
        <f t="shared" si="42"/>
        <v>30.8</v>
      </c>
      <c r="AC50" s="496">
        <f t="shared" si="42"/>
        <v>30.8</v>
      </c>
      <c r="AD50" s="496">
        <f t="shared" si="42"/>
        <v>30.8</v>
      </c>
      <c r="AE50" s="496">
        <f t="shared" si="42"/>
        <v>30.8</v>
      </c>
      <c r="AF50" s="496">
        <f t="shared" si="43"/>
        <v>30.8</v>
      </c>
      <c r="AG50" s="496">
        <f t="shared" si="44"/>
        <v>30.8</v>
      </c>
      <c r="AH50" s="496">
        <f t="shared" si="45"/>
        <v>30.8</v>
      </c>
      <c r="AI50" s="496">
        <f t="shared" si="46"/>
        <v>30.8</v>
      </c>
      <c r="AJ50" s="496">
        <f t="shared" si="47"/>
        <v>30.8</v>
      </c>
      <c r="AK50" s="496">
        <f t="shared" si="47"/>
        <v>30.8</v>
      </c>
      <c r="AL50" s="496">
        <f t="shared" si="47"/>
        <v>30.8</v>
      </c>
    </row>
    <row r="51" spans="1:38">
      <c r="B51" s="475" t="s">
        <v>773</v>
      </c>
      <c r="C51" s="384" t="s">
        <v>450</v>
      </c>
      <c r="D51" s="496">
        <f>'General Inputs'!D17</f>
        <v>31.7</v>
      </c>
      <c r="E51" s="496">
        <f t="shared" si="41"/>
        <v>31.7</v>
      </c>
      <c r="F51" s="496">
        <f t="shared" si="41"/>
        <v>31.7</v>
      </c>
      <c r="G51" s="496">
        <f t="shared" si="41"/>
        <v>31.7</v>
      </c>
      <c r="H51" s="496">
        <f t="shared" si="41"/>
        <v>31.7</v>
      </c>
      <c r="I51" s="496">
        <f t="shared" si="41"/>
        <v>31.7</v>
      </c>
      <c r="J51" s="496">
        <f t="shared" si="41"/>
        <v>31.7</v>
      </c>
      <c r="K51" s="496">
        <f t="shared" si="41"/>
        <v>31.7</v>
      </c>
      <c r="L51" s="496">
        <f t="shared" si="41"/>
        <v>31.7</v>
      </c>
      <c r="M51" s="496">
        <f t="shared" si="41"/>
        <v>31.7</v>
      </c>
      <c r="N51" s="496">
        <f t="shared" si="41"/>
        <v>31.7</v>
      </c>
      <c r="O51" s="496">
        <f t="shared" si="41"/>
        <v>31.7</v>
      </c>
      <c r="P51" s="496">
        <f t="shared" si="41"/>
        <v>31.7</v>
      </c>
      <c r="Q51" s="496">
        <f t="shared" si="41"/>
        <v>31.7</v>
      </c>
      <c r="R51" s="496">
        <f t="shared" si="41"/>
        <v>31.7</v>
      </c>
      <c r="S51" s="496">
        <f t="shared" si="41"/>
        <v>31.7</v>
      </c>
      <c r="T51" s="496">
        <f t="shared" si="41"/>
        <v>31.7</v>
      </c>
      <c r="U51" s="496">
        <f t="shared" si="42"/>
        <v>31.7</v>
      </c>
      <c r="V51" s="496">
        <f t="shared" si="42"/>
        <v>31.7</v>
      </c>
      <c r="W51" s="496">
        <f t="shared" si="42"/>
        <v>31.7</v>
      </c>
      <c r="X51" s="496">
        <f t="shared" si="42"/>
        <v>31.7</v>
      </c>
      <c r="Y51" s="496">
        <f t="shared" si="42"/>
        <v>31.7</v>
      </c>
      <c r="Z51" s="496">
        <f t="shared" si="42"/>
        <v>31.7</v>
      </c>
      <c r="AA51" s="496">
        <f t="shared" si="42"/>
        <v>31.7</v>
      </c>
      <c r="AB51" s="496">
        <f t="shared" si="42"/>
        <v>31.7</v>
      </c>
      <c r="AC51" s="496">
        <f t="shared" si="42"/>
        <v>31.7</v>
      </c>
      <c r="AD51" s="496">
        <f t="shared" si="42"/>
        <v>31.7</v>
      </c>
      <c r="AE51" s="496">
        <f t="shared" si="42"/>
        <v>31.7</v>
      </c>
      <c r="AF51" s="496">
        <f t="shared" si="43"/>
        <v>31.7</v>
      </c>
      <c r="AG51" s="496">
        <f t="shared" si="44"/>
        <v>31.7</v>
      </c>
      <c r="AH51" s="496">
        <f t="shared" si="45"/>
        <v>31.7</v>
      </c>
      <c r="AI51" s="496">
        <f t="shared" si="46"/>
        <v>31.7</v>
      </c>
      <c r="AJ51" s="496">
        <f t="shared" si="47"/>
        <v>31.7</v>
      </c>
      <c r="AK51" s="496">
        <f t="shared" si="47"/>
        <v>31.7</v>
      </c>
      <c r="AL51" s="496">
        <f t="shared" si="47"/>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'Canyon Creek Parkway'!D25</f>
        <v>1671.1511850348056</v>
      </c>
      <c r="E55" s="383">
        <f>'Canyon Creek Parkway'!E25</f>
        <v>1738.6880118115691</v>
      </c>
      <c r="F55" s="383">
        <f>'Canyon Creek Parkway'!F25</f>
        <v>1808.9542283718074</v>
      </c>
      <c r="G55" s="383">
        <f>'Canyon Creek Parkway'!G25</f>
        <v>1882.0601385148786</v>
      </c>
      <c r="H55" s="383">
        <f>'Canyon Creek Parkway'!H25</f>
        <v>1958.1205037867894</v>
      </c>
      <c r="I55" s="383">
        <f>'Canyon Creek Parkway'!I25</f>
        <v>2037.2547236326882</v>
      </c>
      <c r="J55" s="383">
        <f>'Canyon Creek Parkway'!J25</f>
        <v>2119.5870228299382</v>
      </c>
      <c r="K55" s="383">
        <f>'Canyon Creek Parkway'!K25</f>
        <v>2205.2466464959812</v>
      </c>
      <c r="L55" s="383">
        <f>'Canyon Creek Parkway'!L25</f>
        <v>2294.368062977122</v>
      </c>
      <c r="M55" s="383">
        <f>'Canyon Creek Parkway'!M25</f>
        <v>2387.0911749367378</v>
      </c>
      <c r="N55" s="383">
        <f>'Canyon Creek Parkway'!N25</f>
        <v>2483.5615389742597</v>
      </c>
      <c r="O55" s="383">
        <f>'Canyon Creek Parkway'!O25</f>
        <v>2583.9305941197076</v>
      </c>
      <c r="P55" s="383">
        <f>'Canyon Creek Parkway'!P25</f>
        <v>2688.3558995624403</v>
      </c>
      <c r="Q55" s="383">
        <f>'Canyon Creek Parkway'!Q25</f>
        <v>2797.0013819873348</v>
      </c>
      <c r="R55" s="383">
        <f>'Canyon Creek Parkway'!R25</f>
        <v>2910.0375929066436</v>
      </c>
      <c r="S55" s="383">
        <f>'Canyon Creek Parkway'!S25</f>
        <v>3027.6419763915023</v>
      </c>
      <c r="T55" s="383">
        <f>'Canyon Creek Parkway'!T25</f>
        <v>3149.9991476233531</v>
      </c>
      <c r="U55" s="383">
        <f>'Canyon Creek Parkway'!U25</f>
        <v>3277.3011827025794</v>
      </c>
      <c r="V55" s="383">
        <f>'Canyon Creek Parkway'!V25</f>
        <v>3409.7479201692795</v>
      </c>
      <c r="W55" s="383">
        <f>'Canyon Creek Parkway'!W25</f>
        <v>3547.5472747094905</v>
      </c>
      <c r="X55" s="383">
        <f>'Canyon Creek Parkway'!X25</f>
        <v>3690.9155635393531</v>
      </c>
      <c r="Y55" s="383">
        <f>'Canyon Creek Parkway'!Y25</f>
        <v>3840.0778459795438</v>
      </c>
      <c r="Z55" s="383">
        <f>'Canyon Creek Parkway'!Z25</f>
        <v>3995.2682767530519</v>
      </c>
      <c r="AA55" s="383">
        <f>'Canyon Creek Parkway'!AA25</f>
        <v>4156.7304735609086</v>
      </c>
      <c r="AB55" s="383">
        <f>'Canyon Creek Parkway'!AB25</f>
        <v>4324.7178995128761</v>
      </c>
      <c r="AC55" s="383">
        <f>'Canyon Creek Parkway'!AC25</f>
        <v>4499.4942610134594</v>
      </c>
      <c r="AD55" s="383">
        <f>'Canyon Creek Parkway'!AD25</f>
        <v>4681.3339217278099</v>
      </c>
      <c r="AE55" s="383">
        <f>'Canyon Creek Parkway'!AE25</f>
        <v>4870.522333277384</v>
      </c>
      <c r="AF55" s="383">
        <f>'Canyon Creek Parkway'!AF25</f>
        <v>5067.3564833414684</v>
      </c>
      <c r="AG55" s="383">
        <f>'Canyon Creek Parkway'!AG25</f>
        <v>5272.1453618679898</v>
      </c>
      <c r="AH55" s="383">
        <f>'Canyon Creek Parkway'!AH25</f>
        <v>5485.2104461254521</v>
      </c>
      <c r="AI55" s="383">
        <f>'Canyon Creek Parkway'!AI25</f>
        <v>5706.8862053574685</v>
      </c>
      <c r="AJ55" s="383">
        <f>'Canyon Creek Parkway'!AJ25</f>
        <v>5937.5206258320613</v>
      </c>
      <c r="AK55" s="383">
        <f>'Canyon Creek Parkway'!AK25</f>
        <v>6177.4757571099844</v>
      </c>
      <c r="AL55" s="383">
        <f>'Canyon Creek Parkway'!AL25</f>
        <v>6427.1282803895629</v>
      </c>
    </row>
    <row r="56" spans="1:38">
      <c r="B56" s="385" t="s">
        <v>509</v>
      </c>
      <c r="C56" s="386" t="s">
        <v>443</v>
      </c>
      <c r="D56" s="383">
        <f>'Canyon Creek Parkway'!D26</f>
        <v>185.6834650038673</v>
      </c>
      <c r="E56" s="383">
        <f>'Canyon Creek Parkway'!E26</f>
        <v>193.18755686795214</v>
      </c>
      <c r="F56" s="383">
        <f>'Canyon Creek Parkway'!F26</f>
        <v>200.99491426353416</v>
      </c>
      <c r="G56" s="383">
        <f>'Canyon Creek Parkway'!G26</f>
        <v>209.11779316831985</v>
      </c>
      <c r="H56" s="383">
        <f>'Canyon Creek Parkway'!H26</f>
        <v>217.56894486519883</v>
      </c>
      <c r="I56" s="383">
        <f>'Canyon Creek Parkway'!I26</f>
        <v>226.36163595918757</v>
      </c>
      <c r="J56" s="383">
        <f>'Canyon Creek Parkway'!J26</f>
        <v>235.50966920332644</v>
      </c>
      <c r="K56" s="383">
        <f>'Canyon Creek Parkway'!K26</f>
        <v>245.02740516622012</v>
      </c>
      <c r="L56" s="383">
        <f>'Canyon Creek Parkway'!L26</f>
        <v>254.92978477523582</v>
      </c>
      <c r="M56" s="383">
        <f>'Canyon Creek Parkway'!M26</f>
        <v>265.23235277074866</v>
      </c>
      <c r="N56" s="383">
        <f>'Canyon Creek Parkway'!N26</f>
        <v>275.95128210825106</v>
      </c>
      <c r="O56" s="383">
        <f>'Canyon Creek Parkway'!O26</f>
        <v>287.10339934663415</v>
      </c>
      <c r="P56" s="383">
        <f>'Canyon Creek Parkway'!P26</f>
        <v>298.70621106249337</v>
      </c>
      <c r="Q56" s="383">
        <f>'Canyon Creek Parkway'!Q26</f>
        <v>310.77793133192608</v>
      </c>
      <c r="R56" s="383">
        <f>'Canyon Creek Parkway'!R26</f>
        <v>323.33751032296044</v>
      </c>
      <c r="S56" s="383">
        <f>'Canyon Creek Parkway'!S26</f>
        <v>336.4046640435003</v>
      </c>
      <c r="T56" s="383">
        <f>'Canyon Creek Parkway'!T26</f>
        <v>349.99990529148369</v>
      </c>
      <c r="U56" s="383">
        <f>'Canyon Creek Parkway'!U26</f>
        <v>364.14457585584216</v>
      </c>
      <c r="V56" s="383">
        <f>'Canyon Creek Parkway'!V26</f>
        <v>378.86088001880881</v>
      </c>
      <c r="W56" s="383">
        <f>'Canyon Creek Parkway'!W26</f>
        <v>394.17191941216561</v>
      </c>
      <c r="X56" s="383">
        <f>'Canyon Creek Parkway'!X26</f>
        <v>410.10172928215036</v>
      </c>
      <c r="Y56" s="383">
        <f>'Canyon Creek Parkway'!Y26</f>
        <v>426.67531621994931</v>
      </c>
      <c r="Z56" s="383">
        <f>'Canyon Creek Parkway'!Z26</f>
        <v>443.91869741700577</v>
      </c>
      <c r="AA56" s="383">
        <f>'Canyon Creek Parkway'!AA26</f>
        <v>461.85894150676762</v>
      </c>
      <c r="AB56" s="383">
        <f>'Canyon Creek Parkway'!AB26</f>
        <v>480.52421105698625</v>
      </c>
      <c r="AC56" s="383">
        <f>'Canyon Creek Parkway'!AC26</f>
        <v>499.9438067792733</v>
      </c>
      <c r="AD56" s="383">
        <f>'Canyon Creek Parkway'!AD26</f>
        <v>520.14821352531214</v>
      </c>
      <c r="AE56" s="383">
        <f>'Canyon Creek Parkway'!AE26</f>
        <v>541.16914814193149</v>
      </c>
      <c r="AF56" s="383">
        <f>'Canyon Creek Parkway'!AF26</f>
        <v>563.03960926016316</v>
      </c>
      <c r="AG56" s="383">
        <f>'Canyon Creek Parkway'!AG26</f>
        <v>585.79392909644332</v>
      </c>
      <c r="AH56" s="383">
        <f>'Canyon Creek Parkway'!AH26</f>
        <v>609.46782734727253</v>
      </c>
      <c r="AI56" s="383">
        <f>'Canyon Creek Parkway'!AI26</f>
        <v>634.09846726194098</v>
      </c>
      <c r="AJ56" s="383">
        <f>'Canyon Creek Parkway'!AJ26</f>
        <v>659.72451398134024</v>
      </c>
      <c r="AK56" s="383">
        <f>'Canyon Creek Parkway'!AK26</f>
        <v>686.38619523444277</v>
      </c>
      <c r="AL56" s="383">
        <f>'Canyon Creek Parkway'!AL26</f>
        <v>714.12536448772926</v>
      </c>
    </row>
    <row r="57" spans="1:38">
      <c r="B57" s="358" t="s">
        <v>769</v>
      </c>
      <c r="C57" s="358" t="s">
        <v>443</v>
      </c>
      <c r="D57" s="383">
        <f>'Canyon Creek Parkway'!D27</f>
        <v>0</v>
      </c>
      <c r="E57" s="383">
        <f>'Canyon Creek Parkway'!E27</f>
        <v>0</v>
      </c>
      <c r="F57" s="383">
        <f>'Canyon Creek Parkway'!F27</f>
        <v>0</v>
      </c>
      <c r="G57" s="383">
        <f>'Canyon Creek Parkway'!G27</f>
        <v>0</v>
      </c>
      <c r="H57" s="383">
        <f>'Canyon Creek Parkway'!H27</f>
        <v>0</v>
      </c>
      <c r="I57" s="383">
        <f>'Canyon Creek Parkway'!I27</f>
        <v>0</v>
      </c>
      <c r="J57" s="383">
        <f>'Canyon Creek Parkway'!J27</f>
        <v>0</v>
      </c>
      <c r="K57" s="383">
        <f>'Canyon Creek Parkway'!K27</f>
        <v>0</v>
      </c>
      <c r="L57" s="383">
        <f>'Canyon Creek Parkway'!L27</f>
        <v>0</v>
      </c>
      <c r="M57" s="383">
        <f>'Canyon Creek Parkway'!M27</f>
        <v>0</v>
      </c>
      <c r="N57" s="383">
        <f>'Canyon Creek Parkway'!N27</f>
        <v>0</v>
      </c>
      <c r="O57" s="383">
        <f>'Canyon Creek Parkway'!O27</f>
        <v>0</v>
      </c>
      <c r="P57" s="383">
        <f>'Canyon Creek Parkway'!P27</f>
        <v>0</v>
      </c>
      <c r="Q57" s="383">
        <f>'Canyon Creek Parkway'!Q27</f>
        <v>0</v>
      </c>
      <c r="R57" s="383">
        <f>'Canyon Creek Parkway'!R27</f>
        <v>0</v>
      </c>
      <c r="S57" s="383">
        <f>'Canyon Creek Parkway'!S27</f>
        <v>0</v>
      </c>
      <c r="T57" s="383">
        <f>'Canyon Creek Parkway'!T27</f>
        <v>0</v>
      </c>
      <c r="U57" s="383">
        <f>'Canyon Creek Parkway'!U27</f>
        <v>0</v>
      </c>
      <c r="V57" s="383">
        <f>'Canyon Creek Parkway'!V27</f>
        <v>0</v>
      </c>
      <c r="W57" s="383">
        <f>'Canyon Creek Parkway'!W27</f>
        <v>0</v>
      </c>
      <c r="X57" s="383">
        <f>'Canyon Creek Parkway'!X27</f>
        <v>0</v>
      </c>
      <c r="Y57" s="383">
        <f>'Canyon Creek Parkway'!Y27</f>
        <v>0</v>
      </c>
      <c r="Z57" s="383">
        <f>'Canyon Creek Parkway'!Z27</f>
        <v>0</v>
      </c>
      <c r="AA57" s="383">
        <f>'Canyon Creek Parkway'!AA27</f>
        <v>0</v>
      </c>
      <c r="AB57" s="383">
        <f>'Canyon Creek Parkway'!AB27</f>
        <v>0</v>
      </c>
      <c r="AC57" s="383">
        <f>'Canyon Creek Parkway'!AC27</f>
        <v>0</v>
      </c>
      <c r="AD57" s="383">
        <f>'Canyon Creek Parkway'!AD27</f>
        <v>0</v>
      </c>
      <c r="AE57" s="383">
        <f>'Canyon Creek Parkway'!AE27</f>
        <v>0</v>
      </c>
      <c r="AF57" s="383">
        <f>'Canyon Creek Parkway'!AF27</f>
        <v>0</v>
      </c>
      <c r="AG57" s="383">
        <f>'Canyon Creek Parkway'!AG27</f>
        <v>0</v>
      </c>
      <c r="AH57" s="383">
        <f>'Canyon Creek Parkway'!AH27</f>
        <v>0</v>
      </c>
      <c r="AI57" s="383">
        <f>'Canyon Creek Parkway'!AI27</f>
        <v>0</v>
      </c>
      <c r="AJ57" s="383">
        <f>'Canyon Creek Parkway'!AJ27</f>
        <v>0</v>
      </c>
      <c r="AK57" s="383">
        <f>'Canyon Creek Parkway'!AK27</f>
        <v>0</v>
      </c>
      <c r="AL57" s="383">
        <f>'Canyon Creek Parkway'!AL27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 t="shared" ref="D62:AE64" si="48">D55*$C59</f>
        <v>2790.8224790081254</v>
      </c>
      <c r="E62" s="383">
        <f t="shared" si="48"/>
        <v>2903.6089797253203</v>
      </c>
      <c r="F62" s="383">
        <f t="shared" si="48"/>
        <v>3020.953561380918</v>
      </c>
      <c r="G62" s="383">
        <f t="shared" si="48"/>
        <v>3143.0404313198474</v>
      </c>
      <c r="H62" s="383">
        <f t="shared" si="48"/>
        <v>3270.0612413239382</v>
      </c>
      <c r="I62" s="383">
        <f t="shared" si="48"/>
        <v>3402.215388466589</v>
      </c>
      <c r="J62" s="383">
        <f t="shared" si="48"/>
        <v>3539.7103281259965</v>
      </c>
      <c r="K62" s="383">
        <f t="shared" si="48"/>
        <v>3682.7618996482884</v>
      </c>
      <c r="L62" s="383">
        <f t="shared" si="48"/>
        <v>3831.5946651717936</v>
      </c>
      <c r="M62" s="383">
        <f t="shared" si="48"/>
        <v>3986.4422621443518</v>
      </c>
      <c r="N62" s="383">
        <f t="shared" si="48"/>
        <v>4147.5477700870133</v>
      </c>
      <c r="O62" s="383">
        <f t="shared" si="48"/>
        <v>4315.1640921799117</v>
      </c>
      <c r="P62" s="383">
        <f t="shared" si="48"/>
        <v>4489.5543522692751</v>
      </c>
      <c r="Q62" s="383">
        <f t="shared" si="48"/>
        <v>4670.9923079188493</v>
      </c>
      <c r="R62" s="383">
        <f t="shared" si="48"/>
        <v>4859.7627801540948</v>
      </c>
      <c r="S62" s="383">
        <f t="shared" si="48"/>
        <v>5056.1621005738089</v>
      </c>
      <c r="T62" s="383">
        <f t="shared" si="48"/>
        <v>5260.4985765309993</v>
      </c>
      <c r="U62" s="383">
        <f t="shared" si="48"/>
        <v>5473.0929751133071</v>
      </c>
      <c r="V62" s="383">
        <f t="shared" si="48"/>
        <v>5694.2790266826969</v>
      </c>
      <c r="W62" s="383">
        <f t="shared" si="48"/>
        <v>5924.4039487648488</v>
      </c>
      <c r="X62" s="383">
        <f t="shared" si="48"/>
        <v>6163.8289911107195</v>
      </c>
      <c r="Y62" s="383">
        <f t="shared" si="48"/>
        <v>6412.930002785838</v>
      </c>
      <c r="Z62" s="383">
        <f t="shared" si="48"/>
        <v>6672.0980221775962</v>
      </c>
      <c r="AA62" s="383">
        <f t="shared" si="48"/>
        <v>6941.7398908467176</v>
      </c>
      <c r="AB62" s="383">
        <f t="shared" si="48"/>
        <v>7222.2788921865031</v>
      </c>
      <c r="AC62" s="383">
        <f t="shared" si="48"/>
        <v>7514.1554158924773</v>
      </c>
      <c r="AD62" s="383">
        <f t="shared" si="48"/>
        <v>7817.827649285442</v>
      </c>
      <c r="AE62" s="383">
        <f t="shared" si="48"/>
        <v>8133.772296573231</v>
      </c>
      <c r="AF62" s="383">
        <f t="shared" ref="AF62:AJ62" si="49">AF55*$C59</f>
        <v>8462.4853271802513</v>
      </c>
      <c r="AG62" s="383">
        <f t="shared" si="49"/>
        <v>8804.4827543195424</v>
      </c>
      <c r="AH62" s="383">
        <f t="shared" si="49"/>
        <v>9160.301445029505</v>
      </c>
      <c r="AI62" s="383">
        <f t="shared" si="49"/>
        <v>9530.4999629469712</v>
      </c>
      <c r="AJ62" s="383">
        <f t="shared" si="49"/>
        <v>9915.6594451395413</v>
      </c>
      <c r="AK62" s="383">
        <f t="shared" ref="AK62:AL62" si="50">AK55*$C59</f>
        <v>10316.384514373674</v>
      </c>
      <c r="AL62" s="383">
        <f t="shared" si="50"/>
        <v>10733.30422825057</v>
      </c>
    </row>
    <row r="63" spans="1:38">
      <c r="B63" s="472" t="s">
        <v>513</v>
      </c>
      <c r="C63" s="386" t="s">
        <v>443</v>
      </c>
      <c r="D63" s="383">
        <f t="shared" si="48"/>
        <v>185.6834650038673</v>
      </c>
      <c r="E63" s="383">
        <f t="shared" si="48"/>
        <v>193.18755686795214</v>
      </c>
      <c r="F63" s="383">
        <f t="shared" si="48"/>
        <v>200.99491426353416</v>
      </c>
      <c r="G63" s="383">
        <f t="shared" si="48"/>
        <v>209.11779316831985</v>
      </c>
      <c r="H63" s="383">
        <f t="shared" si="48"/>
        <v>217.56894486519883</v>
      </c>
      <c r="I63" s="383">
        <f t="shared" si="48"/>
        <v>226.36163595918757</v>
      </c>
      <c r="J63" s="383">
        <f t="shared" si="48"/>
        <v>235.50966920332644</v>
      </c>
      <c r="K63" s="383">
        <f t="shared" si="48"/>
        <v>245.02740516622012</v>
      </c>
      <c r="L63" s="383">
        <f t="shared" si="48"/>
        <v>254.92978477523582</v>
      </c>
      <c r="M63" s="383">
        <f t="shared" si="48"/>
        <v>265.23235277074866</v>
      </c>
      <c r="N63" s="383">
        <f t="shared" si="48"/>
        <v>275.95128210825106</v>
      </c>
      <c r="O63" s="383">
        <f t="shared" si="48"/>
        <v>287.10339934663415</v>
      </c>
      <c r="P63" s="383">
        <f t="shared" si="48"/>
        <v>298.70621106249337</v>
      </c>
      <c r="Q63" s="383">
        <f t="shared" si="48"/>
        <v>310.77793133192608</v>
      </c>
      <c r="R63" s="383">
        <f t="shared" si="48"/>
        <v>323.33751032296044</v>
      </c>
      <c r="S63" s="383">
        <f t="shared" si="48"/>
        <v>336.4046640435003</v>
      </c>
      <c r="T63" s="383">
        <f t="shared" si="48"/>
        <v>349.99990529148369</v>
      </c>
      <c r="U63" s="383">
        <f t="shared" si="48"/>
        <v>364.14457585584216</v>
      </c>
      <c r="V63" s="383">
        <f t="shared" si="48"/>
        <v>378.86088001880881</v>
      </c>
      <c r="W63" s="383">
        <f t="shared" si="48"/>
        <v>394.17191941216561</v>
      </c>
      <c r="X63" s="383">
        <f t="shared" si="48"/>
        <v>410.10172928215036</v>
      </c>
      <c r="Y63" s="383">
        <f t="shared" si="48"/>
        <v>426.67531621994931</v>
      </c>
      <c r="Z63" s="383">
        <f t="shared" si="48"/>
        <v>443.91869741700577</v>
      </c>
      <c r="AA63" s="383">
        <f t="shared" si="48"/>
        <v>461.85894150676762</v>
      </c>
      <c r="AB63" s="383">
        <f t="shared" si="48"/>
        <v>480.52421105698625</v>
      </c>
      <c r="AC63" s="383">
        <f t="shared" si="48"/>
        <v>499.9438067792733</v>
      </c>
      <c r="AD63" s="383">
        <f t="shared" si="48"/>
        <v>520.14821352531214</v>
      </c>
      <c r="AE63" s="383">
        <f t="shared" si="48"/>
        <v>541.16914814193149</v>
      </c>
      <c r="AF63" s="383">
        <f t="shared" ref="AF63:AJ63" si="51">AF56*$C60</f>
        <v>563.03960926016316</v>
      </c>
      <c r="AG63" s="383">
        <f t="shared" si="51"/>
        <v>585.79392909644332</v>
      </c>
      <c r="AH63" s="383">
        <f t="shared" si="51"/>
        <v>609.46782734727253</v>
      </c>
      <c r="AI63" s="383">
        <f t="shared" si="51"/>
        <v>634.09846726194098</v>
      </c>
      <c r="AJ63" s="383">
        <f t="shared" si="51"/>
        <v>659.72451398134024</v>
      </c>
      <c r="AK63" s="383">
        <f t="shared" ref="AK63:AL63" si="52">AK56*$C60</f>
        <v>686.38619523444277</v>
      </c>
      <c r="AL63" s="383">
        <f t="shared" si="52"/>
        <v>714.12536448772926</v>
      </c>
    </row>
    <row r="64" spans="1:38">
      <c r="B64" s="472" t="s">
        <v>752</v>
      </c>
      <c r="C64" s="386" t="s">
        <v>443</v>
      </c>
      <c r="D64" s="383">
        <f t="shared" si="48"/>
        <v>0</v>
      </c>
      <c r="E64" s="383">
        <f t="shared" si="48"/>
        <v>0</v>
      </c>
      <c r="F64" s="383">
        <f t="shared" si="48"/>
        <v>0</v>
      </c>
      <c r="G64" s="383">
        <f t="shared" si="48"/>
        <v>0</v>
      </c>
      <c r="H64" s="383">
        <f t="shared" si="48"/>
        <v>0</v>
      </c>
      <c r="I64" s="383">
        <f t="shared" si="48"/>
        <v>0</v>
      </c>
      <c r="J64" s="383">
        <f t="shared" si="48"/>
        <v>0</v>
      </c>
      <c r="K64" s="383">
        <f t="shared" si="48"/>
        <v>0</v>
      </c>
      <c r="L64" s="383">
        <f t="shared" si="48"/>
        <v>0</v>
      </c>
      <c r="M64" s="383">
        <f t="shared" si="48"/>
        <v>0</v>
      </c>
      <c r="N64" s="383">
        <f t="shared" si="48"/>
        <v>0</v>
      </c>
      <c r="O64" s="383">
        <f t="shared" si="48"/>
        <v>0</v>
      </c>
      <c r="P64" s="383">
        <f t="shared" si="48"/>
        <v>0</v>
      </c>
      <c r="Q64" s="383">
        <f t="shared" si="48"/>
        <v>0</v>
      </c>
      <c r="R64" s="383">
        <f t="shared" si="48"/>
        <v>0</v>
      </c>
      <c r="S64" s="383">
        <f t="shared" si="48"/>
        <v>0</v>
      </c>
      <c r="T64" s="383">
        <f t="shared" si="48"/>
        <v>0</v>
      </c>
      <c r="U64" s="383">
        <f t="shared" si="48"/>
        <v>0</v>
      </c>
      <c r="V64" s="383">
        <f t="shared" si="48"/>
        <v>0</v>
      </c>
      <c r="W64" s="383">
        <f t="shared" si="48"/>
        <v>0</v>
      </c>
      <c r="X64" s="383">
        <f t="shared" si="48"/>
        <v>0</v>
      </c>
      <c r="Y64" s="383">
        <f t="shared" si="48"/>
        <v>0</v>
      </c>
      <c r="Z64" s="383">
        <f t="shared" si="48"/>
        <v>0</v>
      </c>
      <c r="AA64" s="383">
        <f t="shared" si="48"/>
        <v>0</v>
      </c>
      <c r="AB64" s="383">
        <f t="shared" si="48"/>
        <v>0</v>
      </c>
      <c r="AC64" s="383">
        <f t="shared" si="48"/>
        <v>0</v>
      </c>
      <c r="AD64" s="383">
        <f t="shared" si="48"/>
        <v>0</v>
      </c>
      <c r="AE64" s="383">
        <f t="shared" si="48"/>
        <v>0</v>
      </c>
      <c r="AF64" s="383">
        <f t="shared" ref="AF64:AJ64" si="53">AF57*$C61</f>
        <v>0</v>
      </c>
      <c r="AG64" s="383">
        <f t="shared" si="53"/>
        <v>0</v>
      </c>
      <c r="AH64" s="383">
        <f t="shared" si="53"/>
        <v>0</v>
      </c>
      <c r="AI64" s="383">
        <f t="shared" si="53"/>
        <v>0</v>
      </c>
      <c r="AJ64" s="383">
        <f t="shared" si="53"/>
        <v>0</v>
      </c>
      <c r="AK64" s="383">
        <f t="shared" ref="AK64:AL64" si="54">AK57*$C61</f>
        <v>0</v>
      </c>
      <c r="AL64" s="383">
        <f t="shared" si="54"/>
        <v>0</v>
      </c>
    </row>
    <row r="65" spans="1:38">
      <c r="D65" s="358"/>
      <c r="F65" s="464"/>
      <c r="G65" s="465"/>
      <c r="H65" s="465"/>
    </row>
    <row r="66" spans="1:38" ht="13">
      <c r="B66" s="364" t="s">
        <v>526</v>
      </c>
      <c r="C66" s="487" t="s">
        <v>292</v>
      </c>
      <c r="D66" s="488">
        <f>SUMPRODUCT(D62:D64,D49:D51)</f>
        <v>55674.773096364552</v>
      </c>
      <c r="E66" s="488">
        <f t="shared" ref="E66:AE66" si="55">SUMPRODUCT(E62:E64,E49:E51)</f>
        <v>57924.777488616157</v>
      </c>
      <c r="F66" s="488">
        <f t="shared" si="55"/>
        <v>60265.712108035281</v>
      </c>
      <c r="G66" s="488">
        <f t="shared" si="55"/>
        <v>62701.251750209514</v>
      </c>
      <c r="H66" s="488">
        <f t="shared" si="55"/>
        <v>65235.219721546615</v>
      </c>
      <c r="I66" s="488">
        <f t="shared" si="55"/>
        <v>67871.593841094917</v>
      </c>
      <c r="J66" s="488">
        <f t="shared" si="55"/>
        <v>70614.51268491779</v>
      </c>
      <c r="K66" s="488">
        <f t="shared" si="55"/>
        <v>73468.282082823935</v>
      </c>
      <c r="L66" s="488">
        <f t="shared" si="55"/>
        <v>76437.381877652355</v>
      </c>
      <c r="M66" s="488">
        <f t="shared" si="55"/>
        <v>79526.472957722945</v>
      </c>
      <c r="N66" s="488">
        <f t="shared" si="55"/>
        <v>82740.404573491673</v>
      </c>
      <c r="O66" s="488">
        <f t="shared" si="55"/>
        <v>86084.221949896746</v>
      </c>
      <c r="P66" s="488">
        <f t="shared" si="55"/>
        <v>89563.174206344818</v>
      </c>
      <c r="Q66" s="488">
        <f t="shared" si="55"/>
        <v>93182.72259677072</v>
      </c>
      <c r="R66" s="488">
        <f t="shared" si="55"/>
        <v>96948.549082705475</v>
      </c>
      <c r="S66" s="488">
        <f t="shared" si="55"/>
        <v>100866.56525281098</v>
      </c>
      <c r="T66" s="488">
        <f t="shared" si="55"/>
        <v>104942.92160288258</v>
      </c>
      <c r="U66" s="488">
        <f t="shared" si="55"/>
        <v>109184.01719088813</v>
      </c>
      <c r="V66" s="488">
        <f t="shared" si="55"/>
        <v>113596.50968219958</v>
      </c>
      <c r="W66" s="488">
        <f t="shared" si="55"/>
        <v>118187.32580078547</v>
      </c>
      <c r="X66" s="488">
        <f t="shared" si="55"/>
        <v>122963.67220277211</v>
      </c>
      <c r="Y66" s="488">
        <f t="shared" si="55"/>
        <v>127933.04678944092</v>
      </c>
      <c r="Z66" s="488">
        <f t="shared" si="55"/>
        <v>133103.25047742276</v>
      </c>
      <c r="AA66" s="488">
        <f t="shared" si="55"/>
        <v>138482.39944456468</v>
      </c>
      <c r="AB66" s="488">
        <f t="shared" si="55"/>
        <v>144078.93787069357</v>
      </c>
      <c r="AC66" s="488">
        <f t="shared" si="55"/>
        <v>149901.65119327698</v>
      </c>
      <c r="AD66" s="488">
        <f t="shared" si="55"/>
        <v>155959.67989878904</v>
      </c>
      <c r="AE66" s="488">
        <f t="shared" si="55"/>
        <v>162262.5338714323</v>
      </c>
      <c r="AF66" s="488">
        <f t="shared" ref="AF66:AJ66" si="56">SUMPRODUCT(AF62:AF64,AF49:AF51)</f>
        <v>168820.10732173952</v>
      </c>
      <c r="AG66" s="488">
        <f t="shared" si="56"/>
        <v>175642.69431849025</v>
      </c>
      <c r="AH66" s="488">
        <f t="shared" si="56"/>
        <v>182741.00494832412</v>
      </c>
      <c r="AI66" s="488">
        <f t="shared" si="56"/>
        <v>190126.18212841856</v>
      </c>
      <c r="AJ66" s="488">
        <f t="shared" si="56"/>
        <v>197809.81909862306</v>
      </c>
      <c r="AK66" s="488">
        <f t="shared" ref="AK66:AL66" si="57">SUMPRODUCT(AK62:AK64,AK49:AK51)</f>
        <v>205803.9776205096</v>
      </c>
      <c r="AL66" s="488">
        <f t="shared" si="57"/>
        <v>214121.20691190724</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'Canyon Creek Parkway'!D48</f>
        <v>1671.1511850348056</v>
      </c>
      <c r="E70" s="383">
        <f>'Canyon Creek Parkway'!E48</f>
        <v>1738.6880118115691</v>
      </c>
      <c r="F70" s="383">
        <f>'Canyon Creek Parkway'!F48</f>
        <v>1808.9542283718074</v>
      </c>
      <c r="G70" s="383">
        <f>'Canyon Creek Parkway'!G48</f>
        <v>1882.0601385148786</v>
      </c>
      <c r="H70" s="383">
        <f>'Canyon Creek Parkway'!H48</f>
        <v>0</v>
      </c>
      <c r="I70" s="383">
        <f>'Canyon Creek Parkway'!I48</f>
        <v>0</v>
      </c>
      <c r="J70" s="383">
        <f>'Canyon Creek Parkway'!J48</f>
        <v>0</v>
      </c>
      <c r="K70" s="383">
        <f>'Canyon Creek Parkway'!K48</f>
        <v>0</v>
      </c>
      <c r="L70" s="383">
        <f>'Canyon Creek Parkway'!L48</f>
        <v>0</v>
      </c>
      <c r="M70" s="383">
        <f>'Canyon Creek Parkway'!M48</f>
        <v>0</v>
      </c>
      <c r="N70" s="383">
        <f>'Canyon Creek Parkway'!N48</f>
        <v>0</v>
      </c>
      <c r="O70" s="383">
        <f>'Canyon Creek Parkway'!O48</f>
        <v>0</v>
      </c>
      <c r="P70" s="383">
        <f>'Canyon Creek Parkway'!P48</f>
        <v>0</v>
      </c>
      <c r="Q70" s="383">
        <f>'Canyon Creek Parkway'!Q48</f>
        <v>0</v>
      </c>
      <c r="R70" s="383">
        <f>'Canyon Creek Parkway'!R48</f>
        <v>0</v>
      </c>
      <c r="S70" s="383">
        <f>'Canyon Creek Parkway'!S48</f>
        <v>0</v>
      </c>
      <c r="T70" s="383">
        <f>'Canyon Creek Parkway'!T48</f>
        <v>0</v>
      </c>
      <c r="U70" s="383">
        <f>'Canyon Creek Parkway'!U48</f>
        <v>0</v>
      </c>
      <c r="V70" s="383">
        <f>'Canyon Creek Parkway'!V48</f>
        <v>0</v>
      </c>
      <c r="W70" s="383">
        <f>'Canyon Creek Parkway'!W48</f>
        <v>0</v>
      </c>
      <c r="X70" s="383">
        <f>'Canyon Creek Parkway'!X48</f>
        <v>0</v>
      </c>
      <c r="Y70" s="383">
        <f>'Canyon Creek Parkway'!Y48</f>
        <v>0</v>
      </c>
      <c r="Z70" s="383">
        <f>'Canyon Creek Parkway'!Z48</f>
        <v>0</v>
      </c>
      <c r="AA70" s="383">
        <f>'Canyon Creek Parkway'!AA48</f>
        <v>0</v>
      </c>
      <c r="AB70" s="383">
        <f>'Canyon Creek Parkway'!AB48</f>
        <v>0</v>
      </c>
      <c r="AC70" s="383">
        <f>'Canyon Creek Parkway'!AC48</f>
        <v>0</v>
      </c>
      <c r="AD70" s="383">
        <f>'Canyon Creek Parkway'!AD48</f>
        <v>0</v>
      </c>
      <c r="AE70" s="383">
        <f>'Canyon Creek Parkway'!AE48</f>
        <v>0</v>
      </c>
      <c r="AF70" s="383">
        <f>'Canyon Creek Parkway'!AF48</f>
        <v>0</v>
      </c>
      <c r="AG70" s="383">
        <f>'Canyon Creek Parkway'!AG48</f>
        <v>0</v>
      </c>
      <c r="AH70" s="383">
        <f>'Canyon Creek Parkway'!AH48</f>
        <v>0</v>
      </c>
      <c r="AI70" s="383">
        <f>'Canyon Creek Parkway'!AI48</f>
        <v>0</v>
      </c>
      <c r="AJ70" s="383">
        <f>'Canyon Creek Parkway'!AJ48</f>
        <v>0</v>
      </c>
      <c r="AK70" s="383">
        <f>'Canyon Creek Parkway'!AK48</f>
        <v>0</v>
      </c>
      <c r="AL70" s="383">
        <f>'Canyon Creek Parkway'!AL48</f>
        <v>0</v>
      </c>
    </row>
    <row r="71" spans="1:38">
      <c r="B71" s="385" t="s">
        <v>509</v>
      </c>
      <c r="C71" s="386" t="s">
        <v>443</v>
      </c>
      <c r="D71" s="383">
        <f>'Canyon Creek Parkway'!D49</f>
        <v>185.6834650038673</v>
      </c>
      <c r="E71" s="383">
        <f>'Canyon Creek Parkway'!E49</f>
        <v>193.18755686795214</v>
      </c>
      <c r="F71" s="383">
        <f>'Canyon Creek Parkway'!F49</f>
        <v>200.99491426353416</v>
      </c>
      <c r="G71" s="383">
        <f>'Canyon Creek Parkway'!G49</f>
        <v>209.11779316831985</v>
      </c>
      <c r="H71" s="383">
        <f>'Canyon Creek Parkway'!H49</f>
        <v>0</v>
      </c>
      <c r="I71" s="383">
        <f>'Canyon Creek Parkway'!I49</f>
        <v>0</v>
      </c>
      <c r="J71" s="383">
        <f>'Canyon Creek Parkway'!J49</f>
        <v>0</v>
      </c>
      <c r="K71" s="383">
        <f>'Canyon Creek Parkway'!K49</f>
        <v>0</v>
      </c>
      <c r="L71" s="383">
        <f>'Canyon Creek Parkway'!L49</f>
        <v>0</v>
      </c>
      <c r="M71" s="383">
        <f>'Canyon Creek Parkway'!M49</f>
        <v>0</v>
      </c>
      <c r="N71" s="383">
        <f>'Canyon Creek Parkway'!N49</f>
        <v>0</v>
      </c>
      <c r="O71" s="383">
        <f>'Canyon Creek Parkway'!O49</f>
        <v>0</v>
      </c>
      <c r="P71" s="383">
        <f>'Canyon Creek Parkway'!P49</f>
        <v>0</v>
      </c>
      <c r="Q71" s="383">
        <f>'Canyon Creek Parkway'!Q49</f>
        <v>0</v>
      </c>
      <c r="R71" s="383">
        <f>'Canyon Creek Parkway'!R49</f>
        <v>0</v>
      </c>
      <c r="S71" s="383">
        <f>'Canyon Creek Parkway'!S49</f>
        <v>0</v>
      </c>
      <c r="T71" s="383">
        <f>'Canyon Creek Parkway'!T49</f>
        <v>0</v>
      </c>
      <c r="U71" s="383">
        <f>'Canyon Creek Parkway'!U49</f>
        <v>0</v>
      </c>
      <c r="V71" s="383">
        <f>'Canyon Creek Parkway'!V49</f>
        <v>0</v>
      </c>
      <c r="W71" s="383">
        <f>'Canyon Creek Parkway'!W49</f>
        <v>0</v>
      </c>
      <c r="X71" s="383">
        <f>'Canyon Creek Parkway'!X49</f>
        <v>0</v>
      </c>
      <c r="Y71" s="383">
        <f>'Canyon Creek Parkway'!Y49</f>
        <v>0</v>
      </c>
      <c r="Z71" s="383">
        <f>'Canyon Creek Parkway'!Z49</f>
        <v>0</v>
      </c>
      <c r="AA71" s="383">
        <f>'Canyon Creek Parkway'!AA49</f>
        <v>0</v>
      </c>
      <c r="AB71" s="383">
        <f>'Canyon Creek Parkway'!AB49</f>
        <v>0</v>
      </c>
      <c r="AC71" s="383">
        <f>'Canyon Creek Parkway'!AC49</f>
        <v>0</v>
      </c>
      <c r="AD71" s="383">
        <f>'Canyon Creek Parkway'!AD49</f>
        <v>0</v>
      </c>
      <c r="AE71" s="383">
        <f>'Canyon Creek Parkway'!AE49</f>
        <v>0</v>
      </c>
      <c r="AF71" s="383">
        <f>'Canyon Creek Parkway'!AF49</f>
        <v>0</v>
      </c>
      <c r="AG71" s="383">
        <f>'Canyon Creek Parkway'!AG49</f>
        <v>0</v>
      </c>
      <c r="AH71" s="383">
        <f>'Canyon Creek Parkway'!AH49</f>
        <v>0</v>
      </c>
      <c r="AI71" s="383">
        <f>'Canyon Creek Parkway'!AI49</f>
        <v>0</v>
      </c>
      <c r="AJ71" s="383">
        <f>'Canyon Creek Parkway'!AJ49</f>
        <v>0</v>
      </c>
      <c r="AK71" s="383">
        <f>'Canyon Creek Parkway'!AK49</f>
        <v>0</v>
      </c>
      <c r="AL71" s="383">
        <f>'Canyon Creek Parkway'!AL49</f>
        <v>0</v>
      </c>
    </row>
    <row r="72" spans="1:38">
      <c r="B72" s="358" t="s">
        <v>769</v>
      </c>
      <c r="C72" s="358" t="s">
        <v>443</v>
      </c>
      <c r="D72" s="383">
        <f>'Canyon Creek Parkway'!D50</f>
        <v>0</v>
      </c>
      <c r="E72" s="383">
        <f>'Canyon Creek Parkway'!E50</f>
        <v>0</v>
      </c>
      <c r="F72" s="383">
        <f>'Canyon Creek Parkway'!F50</f>
        <v>0</v>
      </c>
      <c r="G72" s="383">
        <f>'Canyon Creek Parkway'!G50</f>
        <v>0</v>
      </c>
      <c r="H72" s="383">
        <f>'Canyon Creek Parkway'!H50</f>
        <v>0</v>
      </c>
      <c r="I72" s="383">
        <f>'Canyon Creek Parkway'!I50</f>
        <v>0</v>
      </c>
      <c r="J72" s="383">
        <f>'Canyon Creek Parkway'!J50</f>
        <v>0</v>
      </c>
      <c r="K72" s="383">
        <f>'Canyon Creek Parkway'!K50</f>
        <v>0</v>
      </c>
      <c r="L72" s="383">
        <f>'Canyon Creek Parkway'!L50</f>
        <v>0</v>
      </c>
      <c r="M72" s="383">
        <f>'Canyon Creek Parkway'!M50</f>
        <v>0</v>
      </c>
      <c r="N72" s="383">
        <f>'Canyon Creek Parkway'!N50</f>
        <v>0</v>
      </c>
      <c r="O72" s="383">
        <f>'Canyon Creek Parkway'!O50</f>
        <v>0</v>
      </c>
      <c r="P72" s="383">
        <f>'Canyon Creek Parkway'!P50</f>
        <v>0</v>
      </c>
      <c r="Q72" s="383">
        <f>'Canyon Creek Parkway'!Q50</f>
        <v>0</v>
      </c>
      <c r="R72" s="383">
        <f>'Canyon Creek Parkway'!R50</f>
        <v>0</v>
      </c>
      <c r="S72" s="383">
        <f>'Canyon Creek Parkway'!S50</f>
        <v>0</v>
      </c>
      <c r="T72" s="383">
        <f>'Canyon Creek Parkway'!T50</f>
        <v>0</v>
      </c>
      <c r="U72" s="383">
        <f>'Canyon Creek Parkway'!U50</f>
        <v>0</v>
      </c>
      <c r="V72" s="383">
        <f>'Canyon Creek Parkway'!V50</f>
        <v>0</v>
      </c>
      <c r="W72" s="383">
        <f>'Canyon Creek Parkway'!W50</f>
        <v>0</v>
      </c>
      <c r="X72" s="383">
        <f>'Canyon Creek Parkway'!X50</f>
        <v>0</v>
      </c>
      <c r="Y72" s="383">
        <f>'Canyon Creek Parkway'!Y50</f>
        <v>0</v>
      </c>
      <c r="Z72" s="383">
        <f>'Canyon Creek Parkway'!Z50</f>
        <v>0</v>
      </c>
      <c r="AA72" s="383">
        <f>'Canyon Creek Parkway'!AA50</f>
        <v>0</v>
      </c>
      <c r="AB72" s="383">
        <f>'Canyon Creek Parkway'!AB50</f>
        <v>0</v>
      </c>
      <c r="AC72" s="383">
        <f>'Canyon Creek Parkway'!AC50</f>
        <v>0</v>
      </c>
      <c r="AD72" s="383">
        <f>'Canyon Creek Parkway'!AD50</f>
        <v>0</v>
      </c>
      <c r="AE72" s="383">
        <f>'Canyon Creek Parkway'!AE50</f>
        <v>0</v>
      </c>
      <c r="AF72" s="383">
        <f>'Canyon Creek Parkway'!AF50</f>
        <v>0</v>
      </c>
      <c r="AG72" s="383">
        <f>'Canyon Creek Parkway'!AG50</f>
        <v>0</v>
      </c>
      <c r="AH72" s="383">
        <f>'Canyon Creek Parkway'!AH50</f>
        <v>0</v>
      </c>
      <c r="AI72" s="383">
        <f>'Canyon Creek Parkway'!AI50</f>
        <v>0</v>
      </c>
      <c r="AJ72" s="383">
        <f>'Canyon Creek Parkway'!AJ50</f>
        <v>0</v>
      </c>
      <c r="AK72" s="383">
        <f>'Canyon Creek Parkway'!AK50</f>
        <v>0</v>
      </c>
      <c r="AL72" s="383">
        <f>'Canyon Creek Parkway'!AL50</f>
        <v>0</v>
      </c>
    </row>
    <row r="73" spans="1:38">
      <c r="D73" s="358"/>
      <c r="F73" s="464"/>
      <c r="G73" s="465"/>
      <c r="H73" s="465"/>
    </row>
    <row r="74" spans="1:38">
      <c r="B74" s="472" t="s">
        <v>512</v>
      </c>
      <c r="C74" s="386" t="s">
        <v>443</v>
      </c>
      <c r="D74" s="383">
        <f>D70*$C59</f>
        <v>2790.8224790081254</v>
      </c>
      <c r="E74" s="383">
        <f t="shared" ref="E74:AE76" si="58">E70*$C59</f>
        <v>2903.6089797253203</v>
      </c>
      <c r="F74" s="383">
        <f t="shared" si="58"/>
        <v>3020.953561380918</v>
      </c>
      <c r="G74" s="383">
        <f t="shared" si="58"/>
        <v>3143.0404313198474</v>
      </c>
      <c r="H74" s="383">
        <f t="shared" si="58"/>
        <v>0</v>
      </c>
      <c r="I74" s="383">
        <f t="shared" si="58"/>
        <v>0</v>
      </c>
      <c r="J74" s="383">
        <f t="shared" si="58"/>
        <v>0</v>
      </c>
      <c r="K74" s="383">
        <f t="shared" si="58"/>
        <v>0</v>
      </c>
      <c r="L74" s="383">
        <f t="shared" si="58"/>
        <v>0</v>
      </c>
      <c r="M74" s="383">
        <f t="shared" si="58"/>
        <v>0</v>
      </c>
      <c r="N74" s="383">
        <f t="shared" si="58"/>
        <v>0</v>
      </c>
      <c r="O74" s="383">
        <f t="shared" si="58"/>
        <v>0</v>
      </c>
      <c r="P74" s="383">
        <f t="shared" si="58"/>
        <v>0</v>
      </c>
      <c r="Q74" s="383">
        <f t="shared" si="58"/>
        <v>0</v>
      </c>
      <c r="R74" s="383">
        <f t="shared" si="58"/>
        <v>0</v>
      </c>
      <c r="S74" s="383">
        <f t="shared" si="58"/>
        <v>0</v>
      </c>
      <c r="T74" s="383">
        <f t="shared" si="58"/>
        <v>0</v>
      </c>
      <c r="U74" s="383">
        <f t="shared" si="58"/>
        <v>0</v>
      </c>
      <c r="V74" s="383">
        <f t="shared" si="58"/>
        <v>0</v>
      </c>
      <c r="W74" s="383">
        <f t="shared" si="58"/>
        <v>0</v>
      </c>
      <c r="X74" s="383">
        <f t="shared" si="58"/>
        <v>0</v>
      </c>
      <c r="Y74" s="383">
        <f t="shared" si="58"/>
        <v>0</v>
      </c>
      <c r="Z74" s="383">
        <f t="shared" si="58"/>
        <v>0</v>
      </c>
      <c r="AA74" s="383">
        <f t="shared" si="58"/>
        <v>0</v>
      </c>
      <c r="AB74" s="383">
        <f t="shared" si="58"/>
        <v>0</v>
      </c>
      <c r="AC74" s="383">
        <f t="shared" si="58"/>
        <v>0</v>
      </c>
      <c r="AD74" s="383">
        <f t="shared" si="58"/>
        <v>0</v>
      </c>
      <c r="AE74" s="383">
        <f t="shared" si="58"/>
        <v>0</v>
      </c>
      <c r="AF74" s="383">
        <f t="shared" ref="AF74:AJ74" si="59">AF70*$C59</f>
        <v>0</v>
      </c>
      <c r="AG74" s="383">
        <f t="shared" si="59"/>
        <v>0</v>
      </c>
      <c r="AH74" s="383">
        <f t="shared" si="59"/>
        <v>0</v>
      </c>
      <c r="AI74" s="383">
        <f t="shared" si="59"/>
        <v>0</v>
      </c>
      <c r="AJ74" s="383">
        <f t="shared" si="59"/>
        <v>0</v>
      </c>
      <c r="AK74" s="383">
        <f t="shared" ref="AK74:AL74" si="60">AK70*$C59</f>
        <v>0</v>
      </c>
      <c r="AL74" s="383">
        <f t="shared" si="60"/>
        <v>0</v>
      </c>
    </row>
    <row r="75" spans="1:38">
      <c r="B75" s="472" t="s">
        <v>513</v>
      </c>
      <c r="C75" s="386" t="s">
        <v>443</v>
      </c>
      <c r="D75" s="383">
        <f t="shared" ref="D75:S76" si="61">D71*$C60</f>
        <v>185.6834650038673</v>
      </c>
      <c r="E75" s="383">
        <f t="shared" si="61"/>
        <v>193.18755686795214</v>
      </c>
      <c r="F75" s="383">
        <f t="shared" si="61"/>
        <v>200.99491426353416</v>
      </c>
      <c r="G75" s="383">
        <f t="shared" si="61"/>
        <v>209.11779316831985</v>
      </c>
      <c r="H75" s="383">
        <f t="shared" si="61"/>
        <v>0</v>
      </c>
      <c r="I75" s="383">
        <f t="shared" si="61"/>
        <v>0</v>
      </c>
      <c r="J75" s="383">
        <f t="shared" si="61"/>
        <v>0</v>
      </c>
      <c r="K75" s="383">
        <f t="shared" si="61"/>
        <v>0</v>
      </c>
      <c r="L75" s="383">
        <f t="shared" si="61"/>
        <v>0</v>
      </c>
      <c r="M75" s="383">
        <f t="shared" si="61"/>
        <v>0</v>
      </c>
      <c r="N75" s="383">
        <f t="shared" si="61"/>
        <v>0</v>
      </c>
      <c r="O75" s="383">
        <f t="shared" si="61"/>
        <v>0</v>
      </c>
      <c r="P75" s="383">
        <f t="shared" si="61"/>
        <v>0</v>
      </c>
      <c r="Q75" s="383">
        <f t="shared" si="61"/>
        <v>0</v>
      </c>
      <c r="R75" s="383">
        <f t="shared" si="61"/>
        <v>0</v>
      </c>
      <c r="S75" s="383">
        <f t="shared" si="61"/>
        <v>0</v>
      </c>
      <c r="T75" s="383">
        <f t="shared" si="58"/>
        <v>0</v>
      </c>
      <c r="U75" s="383">
        <f t="shared" si="58"/>
        <v>0</v>
      </c>
      <c r="V75" s="383">
        <f t="shared" si="58"/>
        <v>0</v>
      </c>
      <c r="W75" s="383">
        <f t="shared" si="58"/>
        <v>0</v>
      </c>
      <c r="X75" s="383">
        <f t="shared" si="58"/>
        <v>0</v>
      </c>
      <c r="Y75" s="383">
        <f t="shared" si="58"/>
        <v>0</v>
      </c>
      <c r="Z75" s="383">
        <f t="shared" si="58"/>
        <v>0</v>
      </c>
      <c r="AA75" s="383">
        <f t="shared" si="58"/>
        <v>0</v>
      </c>
      <c r="AB75" s="383">
        <f t="shared" si="58"/>
        <v>0</v>
      </c>
      <c r="AC75" s="383">
        <f t="shared" si="58"/>
        <v>0</v>
      </c>
      <c r="AD75" s="383">
        <f t="shared" si="58"/>
        <v>0</v>
      </c>
      <c r="AE75" s="383">
        <f t="shared" si="58"/>
        <v>0</v>
      </c>
      <c r="AF75" s="383">
        <f t="shared" ref="AF75:AJ75" si="62">AF71*$C60</f>
        <v>0</v>
      </c>
      <c r="AG75" s="383">
        <f t="shared" si="62"/>
        <v>0</v>
      </c>
      <c r="AH75" s="383">
        <f t="shared" si="62"/>
        <v>0</v>
      </c>
      <c r="AI75" s="383">
        <f t="shared" si="62"/>
        <v>0</v>
      </c>
      <c r="AJ75" s="383">
        <f t="shared" si="62"/>
        <v>0</v>
      </c>
      <c r="AK75" s="383">
        <f t="shared" ref="AK75:AL75" si="63">AK71*$C60</f>
        <v>0</v>
      </c>
      <c r="AL75" s="383">
        <f t="shared" si="63"/>
        <v>0</v>
      </c>
    </row>
    <row r="76" spans="1:38">
      <c r="B76" s="472" t="s">
        <v>752</v>
      </c>
      <c r="C76" s="386" t="s">
        <v>443</v>
      </c>
      <c r="D76" s="383">
        <f t="shared" si="61"/>
        <v>0</v>
      </c>
      <c r="E76" s="383">
        <f t="shared" si="58"/>
        <v>0</v>
      </c>
      <c r="F76" s="383">
        <f t="shared" si="58"/>
        <v>0</v>
      </c>
      <c r="G76" s="383">
        <f t="shared" si="58"/>
        <v>0</v>
      </c>
      <c r="H76" s="383">
        <f t="shared" si="58"/>
        <v>0</v>
      </c>
      <c r="I76" s="383">
        <f t="shared" si="58"/>
        <v>0</v>
      </c>
      <c r="J76" s="383">
        <f t="shared" si="58"/>
        <v>0</v>
      </c>
      <c r="K76" s="383">
        <f t="shared" si="58"/>
        <v>0</v>
      </c>
      <c r="L76" s="383">
        <f t="shared" si="58"/>
        <v>0</v>
      </c>
      <c r="M76" s="383">
        <f t="shared" si="58"/>
        <v>0</v>
      </c>
      <c r="N76" s="383">
        <f t="shared" si="58"/>
        <v>0</v>
      </c>
      <c r="O76" s="383">
        <f t="shared" si="58"/>
        <v>0</v>
      </c>
      <c r="P76" s="383">
        <f t="shared" si="58"/>
        <v>0</v>
      </c>
      <c r="Q76" s="383">
        <f t="shared" si="58"/>
        <v>0</v>
      </c>
      <c r="R76" s="383">
        <f t="shared" si="58"/>
        <v>0</v>
      </c>
      <c r="S76" s="383">
        <f t="shared" si="58"/>
        <v>0</v>
      </c>
      <c r="T76" s="383">
        <f t="shared" si="58"/>
        <v>0</v>
      </c>
      <c r="U76" s="383">
        <f t="shared" si="58"/>
        <v>0</v>
      </c>
      <c r="V76" s="383">
        <f t="shared" si="58"/>
        <v>0</v>
      </c>
      <c r="W76" s="383">
        <f t="shared" si="58"/>
        <v>0</v>
      </c>
      <c r="X76" s="383">
        <f t="shared" si="58"/>
        <v>0</v>
      </c>
      <c r="Y76" s="383">
        <f t="shared" si="58"/>
        <v>0</v>
      </c>
      <c r="Z76" s="383">
        <f t="shared" si="58"/>
        <v>0</v>
      </c>
      <c r="AA76" s="383">
        <f t="shared" si="58"/>
        <v>0</v>
      </c>
      <c r="AB76" s="383">
        <f t="shared" si="58"/>
        <v>0</v>
      </c>
      <c r="AC76" s="383">
        <f t="shared" si="58"/>
        <v>0</v>
      </c>
      <c r="AD76" s="383">
        <f t="shared" si="58"/>
        <v>0</v>
      </c>
      <c r="AE76" s="383">
        <f t="shared" si="58"/>
        <v>0</v>
      </c>
      <c r="AF76" s="383">
        <f t="shared" ref="AF76:AJ76" si="64">AF72*$C61</f>
        <v>0</v>
      </c>
      <c r="AG76" s="383">
        <f t="shared" si="64"/>
        <v>0</v>
      </c>
      <c r="AH76" s="383">
        <f t="shared" si="64"/>
        <v>0</v>
      </c>
      <c r="AI76" s="383">
        <f t="shared" si="64"/>
        <v>0</v>
      </c>
      <c r="AJ76" s="383">
        <f t="shared" si="64"/>
        <v>0</v>
      </c>
      <c r="AK76" s="383">
        <f t="shared" ref="AK76:AL76" si="65">AK72*$C61</f>
        <v>0</v>
      </c>
      <c r="AL76" s="383">
        <f t="shared" si="65"/>
        <v>0</v>
      </c>
    </row>
    <row r="77" spans="1:38">
      <c r="D77" s="358"/>
      <c r="F77" s="464"/>
      <c r="G77" s="465"/>
      <c r="H77" s="465"/>
    </row>
    <row r="78" spans="1:38" ht="13">
      <c r="B78" s="364" t="s">
        <v>514</v>
      </c>
      <c r="C78" s="487" t="s">
        <v>292</v>
      </c>
      <c r="D78" s="488">
        <f t="shared" ref="D78:AE78" si="66">D74*D49+D75*D50+D76*D51</f>
        <v>55674.773096364552</v>
      </c>
      <c r="E78" s="488">
        <f t="shared" si="66"/>
        <v>57924.777488616157</v>
      </c>
      <c r="F78" s="488">
        <f t="shared" si="66"/>
        <v>60265.712108035281</v>
      </c>
      <c r="G78" s="488">
        <f t="shared" si="66"/>
        <v>62701.251750209514</v>
      </c>
      <c r="H78" s="488">
        <f t="shared" si="66"/>
        <v>0</v>
      </c>
      <c r="I78" s="488">
        <f t="shared" si="66"/>
        <v>0</v>
      </c>
      <c r="J78" s="488">
        <f t="shared" si="66"/>
        <v>0</v>
      </c>
      <c r="K78" s="488">
        <f t="shared" si="66"/>
        <v>0</v>
      </c>
      <c r="L78" s="488">
        <f t="shared" si="66"/>
        <v>0</v>
      </c>
      <c r="M78" s="488">
        <f t="shared" si="66"/>
        <v>0</v>
      </c>
      <c r="N78" s="488">
        <f t="shared" si="66"/>
        <v>0</v>
      </c>
      <c r="O78" s="488">
        <f t="shared" si="66"/>
        <v>0</v>
      </c>
      <c r="P78" s="488">
        <f t="shared" si="66"/>
        <v>0</v>
      </c>
      <c r="Q78" s="488">
        <f t="shared" si="66"/>
        <v>0</v>
      </c>
      <c r="R78" s="488">
        <f t="shared" si="66"/>
        <v>0</v>
      </c>
      <c r="S78" s="488">
        <f t="shared" si="66"/>
        <v>0</v>
      </c>
      <c r="T78" s="488">
        <f t="shared" si="66"/>
        <v>0</v>
      </c>
      <c r="U78" s="488">
        <f t="shared" si="66"/>
        <v>0</v>
      </c>
      <c r="V78" s="488">
        <f t="shared" si="66"/>
        <v>0</v>
      </c>
      <c r="W78" s="488">
        <f t="shared" si="66"/>
        <v>0</v>
      </c>
      <c r="X78" s="488">
        <f t="shared" si="66"/>
        <v>0</v>
      </c>
      <c r="Y78" s="488">
        <f t="shared" si="66"/>
        <v>0</v>
      </c>
      <c r="Z78" s="488">
        <f t="shared" si="66"/>
        <v>0</v>
      </c>
      <c r="AA78" s="488">
        <f t="shared" si="66"/>
        <v>0</v>
      </c>
      <c r="AB78" s="488">
        <f t="shared" si="66"/>
        <v>0</v>
      </c>
      <c r="AC78" s="488">
        <f t="shared" si="66"/>
        <v>0</v>
      </c>
      <c r="AD78" s="488">
        <f t="shared" si="66"/>
        <v>0</v>
      </c>
      <c r="AE78" s="488">
        <f t="shared" si="66"/>
        <v>0</v>
      </c>
      <c r="AF78" s="488">
        <f t="shared" ref="AF78:AJ78" si="67">AF74*AF49+AF75*AF50+AF76*AF51</f>
        <v>0</v>
      </c>
      <c r="AG78" s="488">
        <f t="shared" si="67"/>
        <v>0</v>
      </c>
      <c r="AH78" s="488">
        <f t="shared" si="67"/>
        <v>0</v>
      </c>
      <c r="AI78" s="488">
        <f t="shared" si="67"/>
        <v>0</v>
      </c>
      <c r="AJ78" s="488">
        <f t="shared" si="67"/>
        <v>0</v>
      </c>
      <c r="AK78" s="488">
        <f t="shared" ref="AK78:AL78" si="68">AK74*AK49+AK75*AK50+AK76*AK51</f>
        <v>0</v>
      </c>
      <c r="AL78" s="488">
        <f t="shared" si="68"/>
        <v>0</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69">SUM(E62:E64)-SUM(E74:E76)</f>
        <v>0</v>
      </c>
      <c r="F82" s="383">
        <f t="shared" si="69"/>
        <v>0</v>
      </c>
      <c r="G82" s="383">
        <f t="shared" si="69"/>
        <v>0</v>
      </c>
      <c r="H82" s="383">
        <f t="shared" si="69"/>
        <v>3487.630186189137</v>
      </c>
      <c r="I82" s="383">
        <f t="shared" si="69"/>
        <v>3628.5770244257765</v>
      </c>
      <c r="J82" s="383">
        <f t="shared" si="69"/>
        <v>3775.2199973293227</v>
      </c>
      <c r="K82" s="383">
        <f t="shared" si="69"/>
        <v>3927.7893048145083</v>
      </c>
      <c r="L82" s="383">
        <f t="shared" si="69"/>
        <v>4086.5244499470296</v>
      </c>
      <c r="M82" s="383">
        <f t="shared" si="69"/>
        <v>4251.6746149151004</v>
      </c>
      <c r="N82" s="383">
        <f t="shared" si="69"/>
        <v>4423.4990521952641</v>
      </c>
      <c r="O82" s="383">
        <f t="shared" si="69"/>
        <v>4602.2674915265461</v>
      </c>
      <c r="P82" s="383">
        <f t="shared" si="69"/>
        <v>4788.2605633317689</v>
      </c>
      <c r="Q82" s="383">
        <f t="shared" si="69"/>
        <v>4981.7702392507754</v>
      </c>
      <c r="R82" s="383">
        <f t="shared" si="69"/>
        <v>5183.1002904770548</v>
      </c>
      <c r="S82" s="383">
        <f t="shared" si="69"/>
        <v>5392.5667646173088</v>
      </c>
      <c r="T82" s="383">
        <f t="shared" si="69"/>
        <v>5610.498481822483</v>
      </c>
      <c r="U82" s="383">
        <f t="shared" si="69"/>
        <v>5837.2375509691492</v>
      </c>
      <c r="V82" s="383">
        <f t="shared" si="69"/>
        <v>6073.1399067015054</v>
      </c>
      <c r="W82" s="383">
        <f t="shared" si="69"/>
        <v>6318.5758681770149</v>
      </c>
      <c r="X82" s="383">
        <f t="shared" si="69"/>
        <v>6573.9307203928702</v>
      </c>
      <c r="Y82" s="383">
        <f t="shared" si="69"/>
        <v>6839.6053190057874</v>
      </c>
      <c r="Z82" s="383">
        <f t="shared" si="69"/>
        <v>7116.0167195946024</v>
      </c>
      <c r="AA82" s="383">
        <f t="shared" si="69"/>
        <v>7403.5988323534848</v>
      </c>
      <c r="AB82" s="383">
        <f t="shared" si="69"/>
        <v>7702.8031032434892</v>
      </c>
      <c r="AC82" s="383">
        <f t="shared" si="69"/>
        <v>8014.0992226717508</v>
      </c>
      <c r="AD82" s="383">
        <f t="shared" si="69"/>
        <v>8337.9758628107538</v>
      </c>
      <c r="AE82" s="383">
        <f t="shared" si="69"/>
        <v>8674.941444715163</v>
      </c>
      <c r="AF82" s="383">
        <f t="shared" ref="AF82:AJ82" si="70">SUM(AF62:AF64)-SUM(AF74:AF76)</f>
        <v>9025.5249364404153</v>
      </c>
      <c r="AG82" s="383">
        <f t="shared" si="70"/>
        <v>9390.2766834159866</v>
      </c>
      <c r="AH82" s="383">
        <f t="shared" si="70"/>
        <v>9769.7692723767777</v>
      </c>
      <c r="AI82" s="383">
        <f t="shared" si="70"/>
        <v>10164.598430208913</v>
      </c>
      <c r="AJ82" s="383">
        <f t="shared" si="70"/>
        <v>10575.383959120882</v>
      </c>
      <c r="AK82" s="383">
        <f t="shared" ref="AK82:AL82" si="71">SUM(AK62:AK64)-SUM(AK74:AK76)</f>
        <v>11002.770709608118</v>
      </c>
      <c r="AL82" s="383">
        <f t="shared" si="71"/>
        <v>11447.429592738299</v>
      </c>
    </row>
    <row r="83" spans="1:38" ht="13">
      <c r="B83" s="364" t="s">
        <v>813</v>
      </c>
      <c r="C83" s="590" t="s">
        <v>443</v>
      </c>
      <c r="D83" s="383">
        <f>SUM(D55:D57)-SUM(D70:D72)</f>
        <v>0</v>
      </c>
      <c r="E83" s="383">
        <f t="shared" ref="E83:AE83" si="72">SUM(E55:E57)-SUM(E70:E72)</f>
        <v>0</v>
      </c>
      <c r="F83" s="383">
        <f t="shared" si="72"/>
        <v>0</v>
      </c>
      <c r="G83" s="383">
        <f t="shared" si="72"/>
        <v>0</v>
      </c>
      <c r="H83" s="383">
        <f t="shared" si="72"/>
        <v>2175.6894486519882</v>
      </c>
      <c r="I83" s="383">
        <f t="shared" si="72"/>
        <v>2263.6163595918756</v>
      </c>
      <c r="J83" s="383">
        <f t="shared" si="72"/>
        <v>2355.0966920332648</v>
      </c>
      <c r="K83" s="383">
        <f t="shared" si="72"/>
        <v>2450.2740516622011</v>
      </c>
      <c r="L83" s="383">
        <f t="shared" si="72"/>
        <v>2549.2978477523579</v>
      </c>
      <c r="M83" s="383">
        <f t="shared" si="72"/>
        <v>2652.3235277074864</v>
      </c>
      <c r="N83" s="383">
        <f t="shared" si="72"/>
        <v>2759.512821082511</v>
      </c>
      <c r="O83" s="383">
        <f t="shared" si="72"/>
        <v>2871.0339934663416</v>
      </c>
      <c r="P83" s="383">
        <f t="shared" si="72"/>
        <v>2987.0621106249337</v>
      </c>
      <c r="Q83" s="383">
        <f t="shared" si="72"/>
        <v>3107.7793133192608</v>
      </c>
      <c r="R83" s="383">
        <f t="shared" si="72"/>
        <v>3233.3751032296041</v>
      </c>
      <c r="S83" s="383">
        <f t="shared" si="72"/>
        <v>3364.0466404350027</v>
      </c>
      <c r="T83" s="383">
        <f t="shared" si="72"/>
        <v>3499.9990529148367</v>
      </c>
      <c r="U83" s="383">
        <f t="shared" si="72"/>
        <v>3641.4457585584214</v>
      </c>
      <c r="V83" s="383">
        <f t="shared" si="72"/>
        <v>3788.6088001880885</v>
      </c>
      <c r="W83" s="383">
        <f t="shared" si="72"/>
        <v>3941.7191941216561</v>
      </c>
      <c r="X83" s="383">
        <f t="shared" si="72"/>
        <v>4101.0172928215034</v>
      </c>
      <c r="Y83" s="383">
        <f t="shared" si="72"/>
        <v>4266.7531621994931</v>
      </c>
      <c r="Z83" s="383">
        <f t="shared" si="72"/>
        <v>4439.1869741700575</v>
      </c>
      <c r="AA83" s="383">
        <f t="shared" si="72"/>
        <v>4618.5894150676759</v>
      </c>
      <c r="AB83" s="383">
        <f t="shared" si="72"/>
        <v>4805.2421105698622</v>
      </c>
      <c r="AC83" s="383">
        <f t="shared" si="72"/>
        <v>4999.4380677927329</v>
      </c>
      <c r="AD83" s="383">
        <f t="shared" si="72"/>
        <v>5201.4821352531217</v>
      </c>
      <c r="AE83" s="383">
        <f t="shared" si="72"/>
        <v>5411.6914814193151</v>
      </c>
      <c r="AF83" s="383">
        <f t="shared" ref="AF83:AJ83" si="73">SUM(AF55:AF57)-SUM(AF70:AF72)</f>
        <v>5630.3960926016316</v>
      </c>
      <c r="AG83" s="383">
        <f t="shared" si="73"/>
        <v>5857.939290964433</v>
      </c>
      <c r="AH83" s="383">
        <f t="shared" si="73"/>
        <v>6094.6782734727249</v>
      </c>
      <c r="AI83" s="383">
        <f t="shared" si="73"/>
        <v>6340.9846726194091</v>
      </c>
      <c r="AJ83" s="383">
        <f t="shared" si="73"/>
        <v>6597.2451398134017</v>
      </c>
      <c r="AK83" s="383">
        <f t="shared" ref="AK83:AL83" si="74">SUM(AK55:AK57)-SUM(AK70:AK72)</f>
        <v>6863.8619523444268</v>
      </c>
      <c r="AL83" s="383">
        <f t="shared" si="74"/>
        <v>7141.2536448772917</v>
      </c>
    </row>
    <row r="84" spans="1:38">
      <c r="D84" s="358"/>
      <c r="F84" s="464"/>
      <c r="G84" s="465"/>
      <c r="H84" s="465"/>
    </row>
    <row r="85" spans="1:38" ht="13">
      <c r="B85" s="492" t="s">
        <v>284</v>
      </c>
      <c r="C85" s="487" t="s">
        <v>292</v>
      </c>
      <c r="D85" s="488">
        <f>D66-D78</f>
        <v>0</v>
      </c>
      <c r="E85" s="488">
        <f t="shared" ref="E85:AE85" si="75">E66-E78</f>
        <v>0</v>
      </c>
      <c r="F85" s="488">
        <f t="shared" si="75"/>
        <v>0</v>
      </c>
      <c r="G85" s="488">
        <f t="shared" si="75"/>
        <v>0</v>
      </c>
      <c r="H85" s="488">
        <f t="shared" si="75"/>
        <v>65235.219721546615</v>
      </c>
      <c r="I85" s="488">
        <f t="shared" si="75"/>
        <v>67871.593841094917</v>
      </c>
      <c r="J85" s="488">
        <f t="shared" si="75"/>
        <v>70614.51268491779</v>
      </c>
      <c r="K85" s="488">
        <f t="shared" si="75"/>
        <v>73468.282082823935</v>
      </c>
      <c r="L85" s="488">
        <f t="shared" si="75"/>
        <v>76437.381877652355</v>
      </c>
      <c r="M85" s="488">
        <f t="shared" si="75"/>
        <v>79526.472957722945</v>
      </c>
      <c r="N85" s="488">
        <f t="shared" si="75"/>
        <v>82740.404573491673</v>
      </c>
      <c r="O85" s="488">
        <f t="shared" si="75"/>
        <v>86084.221949896746</v>
      </c>
      <c r="P85" s="488">
        <f t="shared" si="75"/>
        <v>89563.174206344818</v>
      </c>
      <c r="Q85" s="488">
        <f t="shared" si="75"/>
        <v>93182.72259677072</v>
      </c>
      <c r="R85" s="488">
        <f t="shared" si="75"/>
        <v>96948.549082705475</v>
      </c>
      <c r="S85" s="488">
        <f t="shared" si="75"/>
        <v>100866.56525281098</v>
      </c>
      <c r="T85" s="488">
        <f t="shared" si="75"/>
        <v>104942.92160288258</v>
      </c>
      <c r="U85" s="488">
        <f t="shared" si="75"/>
        <v>109184.01719088813</v>
      </c>
      <c r="V85" s="488">
        <f t="shared" si="75"/>
        <v>113596.50968219958</v>
      </c>
      <c r="W85" s="488">
        <f t="shared" si="75"/>
        <v>118187.32580078547</v>
      </c>
      <c r="X85" s="488">
        <f t="shared" si="75"/>
        <v>122963.67220277211</v>
      </c>
      <c r="Y85" s="488">
        <f t="shared" si="75"/>
        <v>127933.04678944092</v>
      </c>
      <c r="Z85" s="488">
        <f t="shared" si="75"/>
        <v>133103.25047742276</v>
      </c>
      <c r="AA85" s="488">
        <f t="shared" si="75"/>
        <v>138482.39944456468</v>
      </c>
      <c r="AB85" s="488">
        <f t="shared" si="75"/>
        <v>144078.93787069357</v>
      </c>
      <c r="AC85" s="488">
        <f t="shared" si="75"/>
        <v>149901.65119327698</v>
      </c>
      <c r="AD85" s="488">
        <f t="shared" si="75"/>
        <v>155959.67989878904</v>
      </c>
      <c r="AE85" s="488">
        <f t="shared" si="75"/>
        <v>162262.5338714323</v>
      </c>
      <c r="AF85" s="488">
        <f t="shared" ref="AF85:AJ85" si="76">AF66-AF78</f>
        <v>168820.10732173952</v>
      </c>
      <c r="AG85" s="488">
        <f t="shared" si="76"/>
        <v>175642.69431849025</v>
      </c>
      <c r="AH85" s="488">
        <f t="shared" si="76"/>
        <v>182741.00494832412</v>
      </c>
      <c r="AI85" s="488">
        <f t="shared" si="76"/>
        <v>190126.18212841856</v>
      </c>
      <c r="AJ85" s="488">
        <f t="shared" si="76"/>
        <v>197809.81909862306</v>
      </c>
      <c r="AK85" s="488">
        <f t="shared" ref="AK85:AL85" si="77">AK66-AK78</f>
        <v>205803.9776205096</v>
      </c>
      <c r="AL85" s="488">
        <f t="shared" si="77"/>
        <v>214121.20691190724</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'Canyon Creek Parkway'!D25</f>
        <v>1671.1511850348056</v>
      </c>
      <c r="E112" s="383">
        <f>'Canyon Creek Parkway'!E25</f>
        <v>1738.6880118115691</v>
      </c>
      <c r="F112" s="383">
        <f>'Canyon Creek Parkway'!F25</f>
        <v>1808.9542283718074</v>
      </c>
      <c r="G112" s="383">
        <f>'Canyon Creek Parkway'!G25</f>
        <v>1882.0601385148786</v>
      </c>
      <c r="H112" s="383">
        <f>'Canyon Creek Parkway'!H25</f>
        <v>1958.1205037867894</v>
      </c>
      <c r="I112" s="383">
        <f>'Canyon Creek Parkway'!I25</f>
        <v>2037.2547236326882</v>
      </c>
      <c r="J112" s="383">
        <f>'Canyon Creek Parkway'!J25</f>
        <v>2119.5870228299382</v>
      </c>
      <c r="K112" s="383">
        <f>'Canyon Creek Parkway'!K25</f>
        <v>2205.2466464959812</v>
      </c>
      <c r="L112" s="383">
        <f>'Canyon Creek Parkway'!L25</f>
        <v>2294.368062977122</v>
      </c>
      <c r="M112" s="383">
        <f>'Canyon Creek Parkway'!M25</f>
        <v>2387.0911749367378</v>
      </c>
      <c r="N112" s="383">
        <f>'Canyon Creek Parkway'!N25</f>
        <v>2483.5615389742597</v>
      </c>
      <c r="O112" s="383">
        <f>'Canyon Creek Parkway'!O25</f>
        <v>2583.9305941197076</v>
      </c>
      <c r="P112" s="383">
        <f>'Canyon Creek Parkway'!P25</f>
        <v>2688.3558995624403</v>
      </c>
      <c r="Q112" s="383">
        <f>'Canyon Creek Parkway'!Q25</f>
        <v>2797.0013819873348</v>
      </c>
      <c r="R112" s="383">
        <f>'Canyon Creek Parkway'!R25</f>
        <v>2910.0375929066436</v>
      </c>
      <c r="S112" s="383">
        <f>'Canyon Creek Parkway'!S25</f>
        <v>3027.6419763915023</v>
      </c>
      <c r="T112" s="383">
        <f>'Canyon Creek Parkway'!T25</f>
        <v>3149.9991476233531</v>
      </c>
      <c r="U112" s="383">
        <f>'Canyon Creek Parkway'!U25</f>
        <v>3277.3011827025794</v>
      </c>
      <c r="V112" s="383">
        <f>'Canyon Creek Parkway'!V25</f>
        <v>3409.7479201692795</v>
      </c>
      <c r="W112" s="383">
        <f>'Canyon Creek Parkway'!W25</f>
        <v>3547.5472747094905</v>
      </c>
      <c r="X112" s="383">
        <f>'Canyon Creek Parkway'!X25</f>
        <v>3690.9155635393531</v>
      </c>
      <c r="Y112" s="383">
        <f>'Canyon Creek Parkway'!Y25</f>
        <v>3840.0778459795438</v>
      </c>
      <c r="Z112" s="383">
        <f>'Canyon Creek Parkway'!Z25</f>
        <v>3995.2682767530519</v>
      </c>
      <c r="AA112" s="383">
        <f>'Canyon Creek Parkway'!AA25</f>
        <v>4156.7304735609086</v>
      </c>
      <c r="AB112" s="383">
        <f>'Canyon Creek Parkway'!AB25</f>
        <v>4324.7178995128761</v>
      </c>
      <c r="AC112" s="383">
        <f>'Canyon Creek Parkway'!AC25</f>
        <v>4499.4942610134594</v>
      </c>
      <c r="AD112" s="383">
        <f>'Canyon Creek Parkway'!AD25</f>
        <v>4681.3339217278099</v>
      </c>
      <c r="AE112" s="383">
        <f>'Canyon Creek Parkway'!AE25</f>
        <v>4870.522333277384</v>
      </c>
      <c r="AF112" s="383">
        <f>'Canyon Creek Parkway'!AF25</f>
        <v>5067.3564833414684</v>
      </c>
      <c r="AG112" s="383">
        <f>'Canyon Creek Parkway'!AG25</f>
        <v>5272.1453618679898</v>
      </c>
      <c r="AH112" s="383">
        <f>'Canyon Creek Parkway'!AH25</f>
        <v>5485.2104461254521</v>
      </c>
      <c r="AI112" s="383">
        <f>'Canyon Creek Parkway'!AI25</f>
        <v>5706.8862053574685</v>
      </c>
      <c r="AJ112" s="383">
        <f>'Canyon Creek Parkway'!AJ25</f>
        <v>5937.5206258320613</v>
      </c>
      <c r="AK112" s="383">
        <f>'Canyon Creek Parkway'!AK25</f>
        <v>6177.4757571099844</v>
      </c>
      <c r="AL112" s="383">
        <f>'Canyon Creek Parkway'!AL25</f>
        <v>6427.1282803895629</v>
      </c>
    </row>
    <row r="113" spans="1:38">
      <c r="B113" s="385" t="s">
        <v>509</v>
      </c>
      <c r="C113" s="386" t="s">
        <v>443</v>
      </c>
      <c r="D113" s="383">
        <f>'Canyon Creek Parkway'!D26</f>
        <v>185.6834650038673</v>
      </c>
      <c r="E113" s="383">
        <f>'Canyon Creek Parkway'!E26</f>
        <v>193.18755686795214</v>
      </c>
      <c r="F113" s="383">
        <f>'Canyon Creek Parkway'!F26</f>
        <v>200.99491426353416</v>
      </c>
      <c r="G113" s="383">
        <f>'Canyon Creek Parkway'!G26</f>
        <v>209.11779316831985</v>
      </c>
      <c r="H113" s="383">
        <f>'Canyon Creek Parkway'!H26</f>
        <v>217.56894486519883</v>
      </c>
      <c r="I113" s="383">
        <f>'Canyon Creek Parkway'!I26</f>
        <v>226.36163595918757</v>
      </c>
      <c r="J113" s="383">
        <f>'Canyon Creek Parkway'!J26</f>
        <v>235.50966920332644</v>
      </c>
      <c r="K113" s="383">
        <f>'Canyon Creek Parkway'!K26</f>
        <v>245.02740516622012</v>
      </c>
      <c r="L113" s="383">
        <f>'Canyon Creek Parkway'!L26</f>
        <v>254.92978477523582</v>
      </c>
      <c r="M113" s="383">
        <f>'Canyon Creek Parkway'!M26</f>
        <v>265.23235277074866</v>
      </c>
      <c r="N113" s="383">
        <f>'Canyon Creek Parkway'!N26</f>
        <v>275.95128210825106</v>
      </c>
      <c r="O113" s="383">
        <f>'Canyon Creek Parkway'!O26</f>
        <v>287.10339934663415</v>
      </c>
      <c r="P113" s="383">
        <f>'Canyon Creek Parkway'!P26</f>
        <v>298.70621106249337</v>
      </c>
      <c r="Q113" s="383">
        <f>'Canyon Creek Parkway'!Q26</f>
        <v>310.77793133192608</v>
      </c>
      <c r="R113" s="383">
        <f>'Canyon Creek Parkway'!R26</f>
        <v>323.33751032296044</v>
      </c>
      <c r="S113" s="383">
        <f>'Canyon Creek Parkway'!S26</f>
        <v>336.4046640435003</v>
      </c>
      <c r="T113" s="383">
        <f>'Canyon Creek Parkway'!T26</f>
        <v>349.99990529148369</v>
      </c>
      <c r="U113" s="383">
        <f>'Canyon Creek Parkway'!U26</f>
        <v>364.14457585584216</v>
      </c>
      <c r="V113" s="383">
        <f>'Canyon Creek Parkway'!V26</f>
        <v>378.86088001880881</v>
      </c>
      <c r="W113" s="383">
        <f>'Canyon Creek Parkway'!W26</f>
        <v>394.17191941216561</v>
      </c>
      <c r="X113" s="383">
        <f>'Canyon Creek Parkway'!X26</f>
        <v>410.10172928215036</v>
      </c>
      <c r="Y113" s="383">
        <f>'Canyon Creek Parkway'!Y26</f>
        <v>426.67531621994931</v>
      </c>
      <c r="Z113" s="383">
        <f>'Canyon Creek Parkway'!Z26</f>
        <v>443.91869741700577</v>
      </c>
      <c r="AA113" s="383">
        <f>'Canyon Creek Parkway'!AA26</f>
        <v>461.85894150676762</v>
      </c>
      <c r="AB113" s="383">
        <f>'Canyon Creek Parkway'!AB26</f>
        <v>480.52421105698625</v>
      </c>
      <c r="AC113" s="383">
        <f>'Canyon Creek Parkway'!AC26</f>
        <v>499.9438067792733</v>
      </c>
      <c r="AD113" s="383">
        <f>'Canyon Creek Parkway'!AD26</f>
        <v>520.14821352531214</v>
      </c>
      <c r="AE113" s="383">
        <f>'Canyon Creek Parkway'!AE26</f>
        <v>541.16914814193149</v>
      </c>
      <c r="AF113" s="383">
        <f>'Canyon Creek Parkway'!AF26</f>
        <v>563.03960926016316</v>
      </c>
      <c r="AG113" s="383">
        <f>'Canyon Creek Parkway'!AG26</f>
        <v>585.79392909644332</v>
      </c>
      <c r="AH113" s="383">
        <f>'Canyon Creek Parkway'!AH26</f>
        <v>609.46782734727253</v>
      </c>
      <c r="AI113" s="383">
        <f>'Canyon Creek Parkway'!AI26</f>
        <v>634.09846726194098</v>
      </c>
      <c r="AJ113" s="383">
        <f>'Canyon Creek Parkway'!AJ26</f>
        <v>659.72451398134024</v>
      </c>
      <c r="AK113" s="383">
        <f>'Canyon Creek Parkway'!AK26</f>
        <v>686.38619523444277</v>
      </c>
      <c r="AL113" s="383">
        <f>'Canyon Creek Parkway'!AL26</f>
        <v>714.12536448772926</v>
      </c>
    </row>
    <row r="114" spans="1:38">
      <c r="B114" s="358" t="s">
        <v>769</v>
      </c>
      <c r="C114" s="358" t="s">
        <v>443</v>
      </c>
      <c r="D114" s="383">
        <f>'Canyon Creek Parkway'!D27</f>
        <v>0</v>
      </c>
      <c r="E114" s="383">
        <f>'Canyon Creek Parkway'!E27</f>
        <v>0</v>
      </c>
      <c r="F114" s="383">
        <f>'Canyon Creek Parkway'!F27</f>
        <v>0</v>
      </c>
      <c r="G114" s="383">
        <f>'Canyon Creek Parkway'!G27</f>
        <v>0</v>
      </c>
      <c r="H114" s="383">
        <f>'Canyon Creek Parkway'!H27</f>
        <v>0</v>
      </c>
      <c r="I114" s="383">
        <f>'Canyon Creek Parkway'!I27</f>
        <v>0</v>
      </c>
      <c r="J114" s="383">
        <f>'Canyon Creek Parkway'!J27</f>
        <v>0</v>
      </c>
      <c r="K114" s="383">
        <f>'Canyon Creek Parkway'!K27</f>
        <v>0</v>
      </c>
      <c r="L114" s="383">
        <f>'Canyon Creek Parkway'!L27</f>
        <v>0</v>
      </c>
      <c r="M114" s="383">
        <f>'Canyon Creek Parkway'!M27</f>
        <v>0</v>
      </c>
      <c r="N114" s="383">
        <f>'Canyon Creek Parkway'!N27</f>
        <v>0</v>
      </c>
      <c r="O114" s="383">
        <f>'Canyon Creek Parkway'!O27</f>
        <v>0</v>
      </c>
      <c r="P114" s="383">
        <f>'Canyon Creek Parkway'!P27</f>
        <v>0</v>
      </c>
      <c r="Q114" s="383">
        <f>'Canyon Creek Parkway'!Q27</f>
        <v>0</v>
      </c>
      <c r="R114" s="383">
        <f>'Canyon Creek Parkway'!R27</f>
        <v>0</v>
      </c>
      <c r="S114" s="383">
        <f>'Canyon Creek Parkway'!S27</f>
        <v>0</v>
      </c>
      <c r="T114" s="383">
        <f>'Canyon Creek Parkway'!T27</f>
        <v>0</v>
      </c>
      <c r="U114" s="383">
        <f>'Canyon Creek Parkway'!U27</f>
        <v>0</v>
      </c>
      <c r="V114" s="383">
        <f>'Canyon Creek Parkway'!V27</f>
        <v>0</v>
      </c>
      <c r="W114" s="383">
        <f>'Canyon Creek Parkway'!W27</f>
        <v>0</v>
      </c>
      <c r="X114" s="383">
        <f>'Canyon Creek Parkway'!X27</f>
        <v>0</v>
      </c>
      <c r="Y114" s="383">
        <f>'Canyon Creek Parkway'!Y27</f>
        <v>0</v>
      </c>
      <c r="Z114" s="383">
        <f>'Canyon Creek Parkway'!Z27</f>
        <v>0</v>
      </c>
      <c r="AA114" s="383">
        <f>'Canyon Creek Parkway'!AA27</f>
        <v>0</v>
      </c>
      <c r="AB114" s="383">
        <f>'Canyon Creek Parkway'!AB27</f>
        <v>0</v>
      </c>
      <c r="AC114" s="383">
        <f>'Canyon Creek Parkway'!AC27</f>
        <v>0</v>
      </c>
      <c r="AD114" s="383">
        <f>'Canyon Creek Parkway'!AD27</f>
        <v>0</v>
      </c>
      <c r="AE114" s="383">
        <f>'Canyon Creek Parkway'!AE27</f>
        <v>0</v>
      </c>
      <c r="AF114" s="383">
        <f>'Canyon Creek Parkway'!AF27</f>
        <v>0</v>
      </c>
      <c r="AG114" s="383">
        <f>'Canyon Creek Parkway'!AG27</f>
        <v>0</v>
      </c>
      <c r="AH114" s="383">
        <f>'Canyon Creek Parkway'!AH27</f>
        <v>0</v>
      </c>
      <c r="AI114" s="383">
        <f>'Canyon Creek Parkway'!AI27</f>
        <v>0</v>
      </c>
      <c r="AJ114" s="383">
        <f>'Canyon Creek Parkway'!AJ27</f>
        <v>0</v>
      </c>
      <c r="AK114" s="383">
        <f>'Canyon Creek Parkway'!AK27</f>
        <v>0</v>
      </c>
      <c r="AL114" s="383">
        <f>'Canyon Creek Parkway'!AL27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78">(D$112*D90+D$113*D95+D$114*D100)/Grams.Per.Metric.Ton*D105</f>
        <v>293.05138875499176</v>
      </c>
      <c r="E116" s="582">
        <f t="shared" si="78"/>
        <v>307.40486019580817</v>
      </c>
      <c r="F116" s="582">
        <f t="shared" si="78"/>
        <v>322.30820776848742</v>
      </c>
      <c r="G116" s="582">
        <f t="shared" si="78"/>
        <v>337.77711329409755</v>
      </c>
      <c r="H116" s="582">
        <f t="shared" si="78"/>
        <v>353.82741301710678</v>
      </c>
      <c r="I116" s="582">
        <f t="shared" si="78"/>
        <v>370.47507578557645</v>
      </c>
      <c r="J116" s="582">
        <f t="shared" si="78"/>
        <v>387.73617886438393</v>
      </c>
      <c r="K116" s="582">
        <f t="shared" si="78"/>
        <v>405.62688121156333</v>
      </c>
      <c r="L116" s="582">
        <f t="shared" si="78"/>
        <v>424.16339403748611</v>
      </c>
      <c r="M116" s="582">
        <f t="shared" si="78"/>
        <v>443.36194845553564</v>
      </c>
      <c r="N116" s="582">
        <f t="shared" si="78"/>
        <v>462.4296402083736</v>
      </c>
      <c r="O116" s="582">
        <f t="shared" si="78"/>
        <v>482.09919637242302</v>
      </c>
      <c r="P116" s="582">
        <f t="shared" si="78"/>
        <v>502.37942468201732</v>
      </c>
      <c r="Q116" s="582">
        <f t="shared" si="78"/>
        <v>531.32894893304876</v>
      </c>
      <c r="R116" s="582">
        <f t="shared" si="78"/>
        <v>553.0585420790469</v>
      </c>
      <c r="S116" s="582">
        <f t="shared" si="78"/>
        <v>575.42452746501181</v>
      </c>
      <c r="T116" s="582">
        <f t="shared" si="78"/>
        <v>598.43266264937051</v>
      </c>
      <c r="U116" s="582">
        <f t="shared" si="78"/>
        <v>622.08771934973186</v>
      </c>
      <c r="V116" s="582">
        <f t="shared" si="78"/>
        <v>646.39337771391297</v>
      </c>
      <c r="W116" s="582">
        <f t="shared" si="78"/>
        <v>671.352112982775</v>
      </c>
      <c r="X116" s="582">
        <f t="shared" si="78"/>
        <v>700.76961392955639</v>
      </c>
      <c r="Y116" s="582">
        <f t="shared" si="78"/>
        <v>741.13883935580066</v>
      </c>
      <c r="Z116" s="582">
        <f t="shared" si="78"/>
        <v>773.01537708310127</v>
      </c>
      <c r="AA116" s="582">
        <f t="shared" si="78"/>
        <v>806.02913614274826</v>
      </c>
      <c r="AB116" s="582">
        <f t="shared" si="78"/>
        <v>840.21072591434995</v>
      </c>
      <c r="AC116" s="582">
        <f t="shared" si="78"/>
        <v>875.59099879770156</v>
      </c>
      <c r="AD116" s="582">
        <f t="shared" si="78"/>
        <v>912.20100476116386</v>
      </c>
      <c r="AE116" s="582">
        <f t="shared" si="78"/>
        <v>950.07194120914141</v>
      </c>
      <c r="AF116" s="582">
        <f t="shared" si="78"/>
        <v>1001.2989404964218</v>
      </c>
      <c r="AG116" s="582">
        <f t="shared" si="78"/>
        <v>1042.1280828451645</v>
      </c>
      <c r="AH116" s="582">
        <f t="shared" si="78"/>
        <v>1084.2439754350078</v>
      </c>
      <c r="AI116" s="582">
        <f t="shared" si="78"/>
        <v>1128.0619125602952</v>
      </c>
      <c r="AJ116" s="582">
        <f t="shared" si="78"/>
        <v>1173.650679551753</v>
      </c>
      <c r="AK116" s="582">
        <f t="shared" si="78"/>
        <v>1221.0818415861245</v>
      </c>
      <c r="AL116" s="582">
        <f t="shared" si="78"/>
        <v>1270.4298560290767</v>
      </c>
    </row>
    <row r="117" spans="1:38">
      <c r="B117" s="478" t="s">
        <v>709</v>
      </c>
      <c r="C117" s="484" t="s">
        <v>292</v>
      </c>
      <c r="D117" s="582">
        <f t="shared" ref="D117:AL117" si="79">(D$112*D91+D$113*D96+D$114*D101)/Grams.Per.Metric.Ton*D106</f>
        <v>269.42088674034181</v>
      </c>
      <c r="E117" s="582">
        <f t="shared" si="79"/>
        <v>263.66643377268866</v>
      </c>
      <c r="F117" s="582">
        <f t="shared" si="79"/>
        <v>258.05903669724529</v>
      </c>
      <c r="G117" s="582">
        <f t="shared" si="79"/>
        <v>249.25265774793613</v>
      </c>
      <c r="H117" s="582">
        <f t="shared" si="79"/>
        <v>238.74869440570964</v>
      </c>
      <c r="I117" s="582">
        <f t="shared" si="79"/>
        <v>226.40151330297888</v>
      </c>
      <c r="J117" s="582">
        <f t="shared" si="79"/>
        <v>213.28844206339213</v>
      </c>
      <c r="K117" s="582">
        <f t="shared" si="79"/>
        <v>196.66858272559716</v>
      </c>
      <c r="L117" s="582">
        <f t="shared" si="79"/>
        <v>177.69581712382384</v>
      </c>
      <c r="M117" s="582">
        <f t="shared" si="79"/>
        <v>157.05290554617599</v>
      </c>
      <c r="N117" s="582">
        <f t="shared" si="79"/>
        <v>152.27322193290527</v>
      </c>
      <c r="O117" s="582">
        <f t="shared" si="79"/>
        <v>146.85070723771545</v>
      </c>
      <c r="P117" s="582">
        <f t="shared" si="79"/>
        <v>140.74120990573761</v>
      </c>
      <c r="Q117" s="582">
        <f t="shared" si="79"/>
        <v>133.89805965413385</v>
      </c>
      <c r="R117" s="582">
        <f t="shared" si="79"/>
        <v>126.27193600164576</v>
      </c>
      <c r="S117" s="582">
        <f t="shared" si="79"/>
        <v>117.81073028553105</v>
      </c>
      <c r="T117" s="582">
        <f t="shared" si="79"/>
        <v>108.45940085414377</v>
      </c>
      <c r="U117" s="582">
        <f t="shared" si="79"/>
        <v>98.159821109022687</v>
      </c>
      <c r="V117" s="582">
        <f t="shared" si="79"/>
        <v>86.85062005496728</v>
      </c>
      <c r="W117" s="582">
        <f t="shared" si="79"/>
        <v>74.467015000786731</v>
      </c>
      <c r="X117" s="582">
        <f t="shared" si="79"/>
        <v>77.00444053552944</v>
      </c>
      <c r="Y117" s="582">
        <f t="shared" si="79"/>
        <v>79.625335375081875</v>
      </c>
      <c r="Z117" s="582">
        <f t="shared" si="79"/>
        <v>82.332301845714809</v>
      </c>
      <c r="AA117" s="582">
        <f t="shared" si="79"/>
        <v>85.128016285822426</v>
      </c>
      <c r="AB117" s="582">
        <f t="shared" si="79"/>
        <v>88.01523077785788</v>
      </c>
      <c r="AC117" s="582">
        <f t="shared" si="79"/>
        <v>90.996774899375993</v>
      </c>
      <c r="AD117" s="582">
        <f t="shared" si="79"/>
        <v>94.07555749189838</v>
      </c>
      <c r="AE117" s="582">
        <f t="shared" si="79"/>
        <v>97.254568446180684</v>
      </c>
      <c r="AF117" s="582">
        <f t="shared" si="79"/>
        <v>100.53688050232284</v>
      </c>
      <c r="AG117" s="582">
        <f t="shared" si="79"/>
        <v>103.92565106300145</v>
      </c>
      <c r="AH117" s="582">
        <f t="shared" si="79"/>
        <v>108.12563533513553</v>
      </c>
      <c r="AI117" s="582">
        <f t="shared" si="79"/>
        <v>112.49535506435592</v>
      </c>
      <c r="AJ117" s="582">
        <f t="shared" si="79"/>
        <v>117.04166983001475</v>
      </c>
      <c r="AK117" s="582">
        <f t="shared" si="79"/>
        <v>121.77171643008239</v>
      </c>
      <c r="AL117" s="582">
        <f t="shared" si="79"/>
        <v>126.69292008448214</v>
      </c>
    </row>
    <row r="118" spans="1:38">
      <c r="B118" s="478" t="s">
        <v>710</v>
      </c>
      <c r="C118" s="484" t="s">
        <v>292</v>
      </c>
      <c r="D118" s="582">
        <f t="shared" ref="D118:AL118" si="80">(D$112*D92+D$113*D97+D$114*D102)/Grams.Per.Metric.Ton*D107</f>
        <v>438.60269704243171</v>
      </c>
      <c r="E118" s="582">
        <f t="shared" si="80"/>
        <v>434.69252067386003</v>
      </c>
      <c r="F118" s="582">
        <f t="shared" si="80"/>
        <v>428.83565157291605</v>
      </c>
      <c r="G118" s="582">
        <f t="shared" si="80"/>
        <v>420.7520618423348</v>
      </c>
      <c r="H118" s="582">
        <f t="shared" si="80"/>
        <v>410.20256366424013</v>
      </c>
      <c r="I118" s="582">
        <f t="shared" si="80"/>
        <v>395.36166016298131</v>
      </c>
      <c r="J118" s="582">
        <f t="shared" si="80"/>
        <v>377.69702718817973</v>
      </c>
      <c r="K118" s="582">
        <f t="shared" si="80"/>
        <v>356.89313059069679</v>
      </c>
      <c r="L118" s="582">
        <f t="shared" si="80"/>
        <v>332.70597560097269</v>
      </c>
      <c r="M118" s="582">
        <f t="shared" si="80"/>
        <v>304.78405726231938</v>
      </c>
      <c r="N118" s="582">
        <f t="shared" si="80"/>
        <v>293.59812625036147</v>
      </c>
      <c r="O118" s="582">
        <f t="shared" si="80"/>
        <v>281.01028792850752</v>
      </c>
      <c r="P118" s="582">
        <f t="shared" si="80"/>
        <v>266.92550004211188</v>
      </c>
      <c r="Q118" s="582">
        <f t="shared" si="80"/>
        <v>251.24332803382615</v>
      </c>
      <c r="R118" s="582">
        <f t="shared" si="80"/>
        <v>233.85766442820193</v>
      </c>
      <c r="S118" s="582">
        <f t="shared" si="80"/>
        <v>214.65643434210352</v>
      </c>
      <c r="T118" s="582">
        <f t="shared" si="80"/>
        <v>193.52128645761294</v>
      </c>
      <c r="U118" s="582">
        <f t="shared" si="80"/>
        <v>170.32726876360778</v>
      </c>
      <c r="V118" s="582">
        <f t="shared" si="80"/>
        <v>144.94248833944138</v>
      </c>
      <c r="W118" s="582">
        <f t="shared" si="80"/>
        <v>117.22775442055642</v>
      </c>
      <c r="X118" s="582">
        <f t="shared" si="80"/>
        <v>119.08502121239064</v>
      </c>
      <c r="Y118" s="582">
        <f t="shared" si="80"/>
        <v>120.9009437951068</v>
      </c>
      <c r="Z118" s="582">
        <f t="shared" si="80"/>
        <v>122.66914709116625</v>
      </c>
      <c r="AA118" s="582">
        <f t="shared" si="80"/>
        <v>124.38280827146811</v>
      </c>
      <c r="AB118" s="582">
        <f t="shared" si="80"/>
        <v>126.03463097709096</v>
      </c>
      <c r="AC118" s="582">
        <f t="shared" si="80"/>
        <v>127.61681818874511</v>
      </c>
      <c r="AD118" s="582">
        <f t="shared" si="80"/>
        <v>129.12104367674789</v>
      </c>
      <c r="AE118" s="582">
        <f t="shared" si="80"/>
        <v>130.53842196107925</v>
      </c>
      <c r="AF118" s="582">
        <f t="shared" si="80"/>
        <v>131.8594767077484</v>
      </c>
      <c r="AG118" s="582">
        <f t="shared" si="80"/>
        <v>133.07410748412357</v>
      </c>
      <c r="AH118" s="582">
        <f t="shared" si="80"/>
        <v>138.45207868511974</v>
      </c>
      <c r="AI118" s="582">
        <f t="shared" si="80"/>
        <v>144.04739174762108</v>
      </c>
      <c r="AJ118" s="582">
        <f t="shared" si="80"/>
        <v>149.86883018552109</v>
      </c>
      <c r="AK118" s="582">
        <f t="shared" si="80"/>
        <v>155.9255324839819</v>
      </c>
      <c r="AL118" s="582">
        <f t="shared" si="80"/>
        <v>162.22700644501438</v>
      </c>
    </row>
    <row r="119" spans="1:38">
      <c r="B119" s="478" t="s">
        <v>711</v>
      </c>
      <c r="C119" s="484" t="s">
        <v>292</v>
      </c>
      <c r="D119" s="582">
        <f t="shared" ref="D119:AL119" si="81">(D$112*D93+D$113*D98+D$114*D103)/Grams.Per.Metric.Ton*D108</f>
        <v>1.7007945827770699</v>
      </c>
      <c r="E119" s="582">
        <f t="shared" si="81"/>
        <v>1.7842928610334277</v>
      </c>
      <c r="F119" s="582">
        <f t="shared" si="81"/>
        <v>1.8753519474417648</v>
      </c>
      <c r="G119" s="582">
        <f t="shared" si="81"/>
        <v>1.9699537766372457</v>
      </c>
      <c r="H119" s="582">
        <f t="shared" si="81"/>
        <v>2.0728159955289889</v>
      </c>
      <c r="I119" s="582">
        <f t="shared" si="81"/>
        <v>2.1606935431347138</v>
      </c>
      <c r="J119" s="582">
        <f t="shared" si="81"/>
        <v>2.256494686178633</v>
      </c>
      <c r="K119" s="582">
        <f t="shared" si="81"/>
        <v>2.3556871744367087</v>
      </c>
      <c r="L119" s="582">
        <f t="shared" si="81"/>
        <v>2.4583553921393548</v>
      </c>
      <c r="M119" s="582">
        <f t="shared" si="81"/>
        <v>2.5592739639350639</v>
      </c>
      <c r="N119" s="582">
        <f t="shared" si="81"/>
        <v>2.6274813070262</v>
      </c>
      <c r="O119" s="582">
        <f t="shared" si="81"/>
        <v>2.6970217185076675</v>
      </c>
      <c r="P119" s="582">
        <f t="shared" si="81"/>
        <v>2.7678915469997851</v>
      </c>
      <c r="Q119" s="582">
        <f t="shared" si="81"/>
        <v>2.8400846687741859</v>
      </c>
      <c r="R119" s="582">
        <f t="shared" si="81"/>
        <v>2.9135922938855847</v>
      </c>
      <c r="S119" s="582">
        <f t="shared" si="81"/>
        <v>2.9884027606717454</v>
      </c>
      <c r="T119" s="582">
        <f t="shared" si="81"/>
        <v>3.0645013179981189</v>
      </c>
      <c r="U119" s="582">
        <f t="shared" si="81"/>
        <v>3.1418698945922547</v>
      </c>
      <c r="V119" s="582">
        <f t="shared" si="81"/>
        <v>3.2204868547801109</v>
      </c>
      <c r="W119" s="582">
        <f t="shared" si="81"/>
        <v>3.3003267399018958</v>
      </c>
      <c r="X119" s="582">
        <f t="shared" si="81"/>
        <v>3.3998643978812497</v>
      </c>
      <c r="Y119" s="582">
        <f t="shared" si="81"/>
        <v>3.5020571340385618</v>
      </c>
      <c r="Z119" s="582">
        <f t="shared" si="81"/>
        <v>3.6069569807955122</v>
      </c>
      <c r="AA119" s="582">
        <f t="shared" si="81"/>
        <v>3.7146158398053166</v>
      </c>
      <c r="AB119" s="582">
        <f t="shared" si="81"/>
        <v>3.8250853864016916</v>
      </c>
      <c r="AC119" s="582">
        <f t="shared" si="81"/>
        <v>3.9384169665383517</v>
      </c>
      <c r="AD119" s="582">
        <f t="shared" si="81"/>
        <v>4.054661485768202</v>
      </c>
      <c r="AE119" s="582">
        <f t="shared" si="81"/>
        <v>4.1738692897868512</v>
      </c>
      <c r="AF119" s="582">
        <f t="shared" si="81"/>
        <v>4.2960900360403356</v>
      </c>
      <c r="AG119" s="582">
        <f t="shared" si="81"/>
        <v>4.4213725558695689</v>
      </c>
      <c r="AH119" s="582">
        <f t="shared" si="81"/>
        <v>4.6000550563490714</v>
      </c>
      <c r="AI119" s="582">
        <f t="shared" si="81"/>
        <v>4.7859587162251565</v>
      </c>
      <c r="AJ119" s="582">
        <f t="shared" si="81"/>
        <v>4.979375366778954</v>
      </c>
      <c r="AK119" s="582">
        <f t="shared" si="81"/>
        <v>5.1806086331728816</v>
      </c>
      <c r="AL119" s="582">
        <f t="shared" si="81"/>
        <v>5.389974411080952</v>
      </c>
    </row>
    <row r="120" spans="1:38">
      <c r="D120" s="358"/>
      <c r="F120" s="464"/>
      <c r="G120" s="465"/>
      <c r="H120" s="465"/>
    </row>
    <row r="121" spans="1:38" ht="13">
      <c r="B121" s="493" t="s">
        <v>463</v>
      </c>
      <c r="C121" s="487" t="s">
        <v>292</v>
      </c>
      <c r="D121" s="488">
        <f t="shared" ref="D121:AL121" si="82">D116</f>
        <v>293.05138875499176</v>
      </c>
      <c r="E121" s="488">
        <f t="shared" si="82"/>
        <v>307.40486019580817</v>
      </c>
      <c r="F121" s="488">
        <f t="shared" si="82"/>
        <v>322.30820776848742</v>
      </c>
      <c r="G121" s="488">
        <f t="shared" si="82"/>
        <v>337.77711329409755</v>
      </c>
      <c r="H121" s="488">
        <f t="shared" si="82"/>
        <v>353.82741301710678</v>
      </c>
      <c r="I121" s="488">
        <f t="shared" si="82"/>
        <v>370.47507578557645</v>
      </c>
      <c r="J121" s="488">
        <f t="shared" si="82"/>
        <v>387.73617886438393</v>
      </c>
      <c r="K121" s="488">
        <f t="shared" si="82"/>
        <v>405.62688121156333</v>
      </c>
      <c r="L121" s="488">
        <f t="shared" si="82"/>
        <v>424.16339403748611</v>
      </c>
      <c r="M121" s="488">
        <f t="shared" si="82"/>
        <v>443.36194845553564</v>
      </c>
      <c r="N121" s="488">
        <f t="shared" si="82"/>
        <v>462.4296402083736</v>
      </c>
      <c r="O121" s="488">
        <f t="shared" si="82"/>
        <v>482.09919637242302</v>
      </c>
      <c r="P121" s="488">
        <f t="shared" si="82"/>
        <v>502.37942468201732</v>
      </c>
      <c r="Q121" s="488">
        <f t="shared" si="82"/>
        <v>531.32894893304876</v>
      </c>
      <c r="R121" s="488">
        <f t="shared" si="82"/>
        <v>553.0585420790469</v>
      </c>
      <c r="S121" s="488">
        <f t="shared" si="82"/>
        <v>575.42452746501181</v>
      </c>
      <c r="T121" s="488">
        <f t="shared" si="82"/>
        <v>598.43266264937051</v>
      </c>
      <c r="U121" s="488">
        <f t="shared" si="82"/>
        <v>622.08771934973186</v>
      </c>
      <c r="V121" s="488">
        <f t="shared" si="82"/>
        <v>646.39337771391297</v>
      </c>
      <c r="W121" s="488">
        <f t="shared" si="82"/>
        <v>671.352112982775</v>
      </c>
      <c r="X121" s="488">
        <f t="shared" si="82"/>
        <v>700.76961392955639</v>
      </c>
      <c r="Y121" s="488">
        <f t="shared" si="82"/>
        <v>741.13883935580066</v>
      </c>
      <c r="Z121" s="488">
        <f t="shared" si="82"/>
        <v>773.01537708310127</v>
      </c>
      <c r="AA121" s="488">
        <f t="shared" si="82"/>
        <v>806.02913614274826</v>
      </c>
      <c r="AB121" s="488">
        <f t="shared" si="82"/>
        <v>840.21072591434995</v>
      </c>
      <c r="AC121" s="488">
        <f t="shared" si="82"/>
        <v>875.59099879770156</v>
      </c>
      <c r="AD121" s="488">
        <f t="shared" si="82"/>
        <v>912.20100476116386</v>
      </c>
      <c r="AE121" s="488">
        <f t="shared" si="82"/>
        <v>950.07194120914141</v>
      </c>
      <c r="AF121" s="488">
        <f t="shared" si="82"/>
        <v>1001.2989404964218</v>
      </c>
      <c r="AG121" s="488">
        <f t="shared" si="82"/>
        <v>1042.1280828451645</v>
      </c>
      <c r="AH121" s="488">
        <f t="shared" si="82"/>
        <v>1084.2439754350078</v>
      </c>
      <c r="AI121" s="488">
        <f t="shared" si="82"/>
        <v>1128.0619125602952</v>
      </c>
      <c r="AJ121" s="488">
        <f t="shared" si="82"/>
        <v>1173.650679551753</v>
      </c>
      <c r="AK121" s="488">
        <f t="shared" si="82"/>
        <v>1221.0818415861245</v>
      </c>
      <c r="AL121" s="488">
        <f t="shared" si="82"/>
        <v>1270.4298560290767</v>
      </c>
    </row>
    <row r="122" spans="1:38" ht="13">
      <c r="B122" s="494" t="s">
        <v>464</v>
      </c>
      <c r="C122" s="487" t="s">
        <v>292</v>
      </c>
      <c r="D122" s="488">
        <f t="shared" ref="D122:AL122" si="83">SUM(D116:D119)</f>
        <v>1002.7757671205425</v>
      </c>
      <c r="E122" s="488">
        <f t="shared" si="83"/>
        <v>1007.5481075033903</v>
      </c>
      <c r="F122" s="488">
        <f t="shared" si="83"/>
        <v>1011.0782479860906</v>
      </c>
      <c r="G122" s="488">
        <f t="shared" si="83"/>
        <v>1009.7517866610057</v>
      </c>
      <c r="H122" s="488">
        <f t="shared" si="83"/>
        <v>1004.8514870825857</v>
      </c>
      <c r="I122" s="488">
        <f t="shared" si="83"/>
        <v>994.39894279467137</v>
      </c>
      <c r="J122" s="488">
        <f t="shared" si="83"/>
        <v>980.97814280213436</v>
      </c>
      <c r="K122" s="488">
        <f t="shared" si="83"/>
        <v>961.54428170229403</v>
      </c>
      <c r="L122" s="488">
        <f t="shared" si="83"/>
        <v>937.02354215442199</v>
      </c>
      <c r="M122" s="488">
        <f t="shared" si="83"/>
        <v>907.75818522796612</v>
      </c>
      <c r="N122" s="488">
        <f t="shared" si="83"/>
        <v>910.9284696986665</v>
      </c>
      <c r="O122" s="488">
        <f t="shared" si="83"/>
        <v>912.65721325715367</v>
      </c>
      <c r="P122" s="488">
        <f t="shared" si="83"/>
        <v>912.81402617686661</v>
      </c>
      <c r="Q122" s="488">
        <f t="shared" si="83"/>
        <v>919.31042128978299</v>
      </c>
      <c r="R122" s="488">
        <f t="shared" si="83"/>
        <v>916.10173480278013</v>
      </c>
      <c r="S122" s="488">
        <f t="shared" si="83"/>
        <v>910.88009485331804</v>
      </c>
      <c r="T122" s="488">
        <f t="shared" si="83"/>
        <v>903.47785127912528</v>
      </c>
      <c r="U122" s="488">
        <f t="shared" si="83"/>
        <v>893.71667911695454</v>
      </c>
      <c r="V122" s="488">
        <f t="shared" si="83"/>
        <v>881.40697296310179</v>
      </c>
      <c r="W122" s="488">
        <f t="shared" si="83"/>
        <v>866.3472091440201</v>
      </c>
      <c r="X122" s="488">
        <f t="shared" si="83"/>
        <v>900.25894007535771</v>
      </c>
      <c r="Y122" s="488">
        <f t="shared" si="83"/>
        <v>945.16717566002785</v>
      </c>
      <c r="Z122" s="488">
        <f t="shared" si="83"/>
        <v>981.62378300077785</v>
      </c>
      <c r="AA122" s="488">
        <f t="shared" si="83"/>
        <v>1019.2545765398442</v>
      </c>
      <c r="AB122" s="488">
        <f t="shared" si="83"/>
        <v>1058.0856730557005</v>
      </c>
      <c r="AC122" s="488">
        <f t="shared" si="83"/>
        <v>1098.1430088523609</v>
      </c>
      <c r="AD122" s="488">
        <f t="shared" si="83"/>
        <v>1139.4522674155785</v>
      </c>
      <c r="AE122" s="488">
        <f t="shared" si="83"/>
        <v>1182.038800906188</v>
      </c>
      <c r="AF122" s="488">
        <f t="shared" si="83"/>
        <v>1237.9913877425333</v>
      </c>
      <c r="AG122" s="488">
        <f t="shared" si="83"/>
        <v>1283.5492139481589</v>
      </c>
      <c r="AH122" s="488">
        <f t="shared" si="83"/>
        <v>1335.4217445116119</v>
      </c>
      <c r="AI122" s="488">
        <f t="shared" si="83"/>
        <v>1389.3906180884974</v>
      </c>
      <c r="AJ122" s="488">
        <f t="shared" si="83"/>
        <v>1445.5405549340678</v>
      </c>
      <c r="AK122" s="488">
        <f t="shared" si="83"/>
        <v>1503.9596991333617</v>
      </c>
      <c r="AL122" s="488">
        <f t="shared" si="83"/>
        <v>1564.7397569696543</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'Canyon Creek Parkway'!D48</f>
        <v>1671.1511850348056</v>
      </c>
      <c r="E126" s="383">
        <f>'Canyon Creek Parkway'!E48</f>
        <v>1738.6880118115691</v>
      </c>
      <c r="F126" s="383">
        <f>'Canyon Creek Parkway'!F48</f>
        <v>1808.9542283718074</v>
      </c>
      <c r="G126" s="383">
        <f>'Canyon Creek Parkway'!G48</f>
        <v>1882.0601385148786</v>
      </c>
      <c r="H126" s="383">
        <f>'Canyon Creek Parkway'!H48</f>
        <v>0</v>
      </c>
      <c r="I126" s="383">
        <f>'Canyon Creek Parkway'!I48</f>
        <v>0</v>
      </c>
      <c r="J126" s="383">
        <f>'Canyon Creek Parkway'!J48</f>
        <v>0</v>
      </c>
      <c r="K126" s="383">
        <f>'Canyon Creek Parkway'!K48</f>
        <v>0</v>
      </c>
      <c r="L126" s="383">
        <f>'Canyon Creek Parkway'!L48</f>
        <v>0</v>
      </c>
      <c r="M126" s="383">
        <f>'Canyon Creek Parkway'!M48</f>
        <v>0</v>
      </c>
      <c r="N126" s="383">
        <f>'Canyon Creek Parkway'!N48</f>
        <v>0</v>
      </c>
      <c r="O126" s="383">
        <f>'Canyon Creek Parkway'!O48</f>
        <v>0</v>
      </c>
      <c r="P126" s="383">
        <f>'Canyon Creek Parkway'!P48</f>
        <v>0</v>
      </c>
      <c r="Q126" s="383">
        <f>'Canyon Creek Parkway'!Q48</f>
        <v>0</v>
      </c>
      <c r="R126" s="383">
        <f>'Canyon Creek Parkway'!R48</f>
        <v>0</v>
      </c>
      <c r="S126" s="383">
        <f>'Canyon Creek Parkway'!S48</f>
        <v>0</v>
      </c>
      <c r="T126" s="383">
        <f>'Canyon Creek Parkway'!T48</f>
        <v>0</v>
      </c>
      <c r="U126" s="383">
        <f>'Canyon Creek Parkway'!U48</f>
        <v>0</v>
      </c>
      <c r="V126" s="383">
        <f>'Canyon Creek Parkway'!V48</f>
        <v>0</v>
      </c>
      <c r="W126" s="383">
        <f>'Canyon Creek Parkway'!W48</f>
        <v>0</v>
      </c>
      <c r="X126" s="383">
        <f>'Canyon Creek Parkway'!X48</f>
        <v>0</v>
      </c>
      <c r="Y126" s="383">
        <f>'Canyon Creek Parkway'!Y48</f>
        <v>0</v>
      </c>
      <c r="Z126" s="383">
        <f>'Canyon Creek Parkway'!Z48</f>
        <v>0</v>
      </c>
      <c r="AA126" s="383">
        <f>'Canyon Creek Parkway'!AA48</f>
        <v>0</v>
      </c>
      <c r="AB126" s="383">
        <f>'Canyon Creek Parkway'!AB48</f>
        <v>0</v>
      </c>
      <c r="AC126" s="383">
        <f>'Canyon Creek Parkway'!AC48</f>
        <v>0</v>
      </c>
      <c r="AD126" s="383">
        <f>'Canyon Creek Parkway'!AD48</f>
        <v>0</v>
      </c>
      <c r="AE126" s="383">
        <f>'Canyon Creek Parkway'!AE48</f>
        <v>0</v>
      </c>
      <c r="AF126" s="383">
        <f>'Canyon Creek Parkway'!AF48</f>
        <v>0</v>
      </c>
      <c r="AG126" s="383">
        <f>'Canyon Creek Parkway'!AG48</f>
        <v>0</v>
      </c>
      <c r="AH126" s="383">
        <f>'Canyon Creek Parkway'!AH48</f>
        <v>0</v>
      </c>
      <c r="AI126" s="383">
        <f>'Canyon Creek Parkway'!AI48</f>
        <v>0</v>
      </c>
      <c r="AJ126" s="383">
        <f>'Canyon Creek Parkway'!AJ48</f>
        <v>0</v>
      </c>
      <c r="AK126" s="383">
        <f>'Canyon Creek Parkway'!AK48</f>
        <v>0</v>
      </c>
      <c r="AL126" s="383">
        <f>'Canyon Creek Parkway'!AL48</f>
        <v>0</v>
      </c>
    </row>
    <row r="127" spans="1:38">
      <c r="B127" s="385" t="s">
        <v>509</v>
      </c>
      <c r="C127" s="386" t="s">
        <v>443</v>
      </c>
      <c r="D127" s="383">
        <f>'Canyon Creek Parkway'!D49</f>
        <v>185.6834650038673</v>
      </c>
      <c r="E127" s="383">
        <f>'Canyon Creek Parkway'!E49</f>
        <v>193.18755686795214</v>
      </c>
      <c r="F127" s="383">
        <f>'Canyon Creek Parkway'!F49</f>
        <v>200.99491426353416</v>
      </c>
      <c r="G127" s="383">
        <f>'Canyon Creek Parkway'!G49</f>
        <v>209.11779316831985</v>
      </c>
      <c r="H127" s="383">
        <f>'Canyon Creek Parkway'!H49</f>
        <v>0</v>
      </c>
      <c r="I127" s="383">
        <f>'Canyon Creek Parkway'!I49</f>
        <v>0</v>
      </c>
      <c r="J127" s="383">
        <f>'Canyon Creek Parkway'!J49</f>
        <v>0</v>
      </c>
      <c r="K127" s="383">
        <f>'Canyon Creek Parkway'!K49</f>
        <v>0</v>
      </c>
      <c r="L127" s="383">
        <f>'Canyon Creek Parkway'!L49</f>
        <v>0</v>
      </c>
      <c r="M127" s="383">
        <f>'Canyon Creek Parkway'!M49</f>
        <v>0</v>
      </c>
      <c r="N127" s="383">
        <f>'Canyon Creek Parkway'!N49</f>
        <v>0</v>
      </c>
      <c r="O127" s="383">
        <f>'Canyon Creek Parkway'!O49</f>
        <v>0</v>
      </c>
      <c r="P127" s="383">
        <f>'Canyon Creek Parkway'!P49</f>
        <v>0</v>
      </c>
      <c r="Q127" s="383">
        <f>'Canyon Creek Parkway'!Q49</f>
        <v>0</v>
      </c>
      <c r="R127" s="383">
        <f>'Canyon Creek Parkway'!R49</f>
        <v>0</v>
      </c>
      <c r="S127" s="383">
        <f>'Canyon Creek Parkway'!S49</f>
        <v>0</v>
      </c>
      <c r="T127" s="383">
        <f>'Canyon Creek Parkway'!T49</f>
        <v>0</v>
      </c>
      <c r="U127" s="383">
        <f>'Canyon Creek Parkway'!U49</f>
        <v>0</v>
      </c>
      <c r="V127" s="383">
        <f>'Canyon Creek Parkway'!V49</f>
        <v>0</v>
      </c>
      <c r="W127" s="383">
        <f>'Canyon Creek Parkway'!W49</f>
        <v>0</v>
      </c>
      <c r="X127" s="383">
        <f>'Canyon Creek Parkway'!X49</f>
        <v>0</v>
      </c>
      <c r="Y127" s="383">
        <f>'Canyon Creek Parkway'!Y49</f>
        <v>0</v>
      </c>
      <c r="Z127" s="383">
        <f>'Canyon Creek Parkway'!Z49</f>
        <v>0</v>
      </c>
      <c r="AA127" s="383">
        <f>'Canyon Creek Parkway'!AA49</f>
        <v>0</v>
      </c>
      <c r="AB127" s="383">
        <f>'Canyon Creek Parkway'!AB49</f>
        <v>0</v>
      </c>
      <c r="AC127" s="383">
        <f>'Canyon Creek Parkway'!AC49</f>
        <v>0</v>
      </c>
      <c r="AD127" s="383">
        <f>'Canyon Creek Parkway'!AD49</f>
        <v>0</v>
      </c>
      <c r="AE127" s="383">
        <f>'Canyon Creek Parkway'!AE49</f>
        <v>0</v>
      </c>
      <c r="AF127" s="383">
        <f>'Canyon Creek Parkway'!AF49</f>
        <v>0</v>
      </c>
      <c r="AG127" s="383">
        <f>'Canyon Creek Parkway'!AG49</f>
        <v>0</v>
      </c>
      <c r="AH127" s="383">
        <f>'Canyon Creek Parkway'!AH49</f>
        <v>0</v>
      </c>
      <c r="AI127" s="383">
        <f>'Canyon Creek Parkway'!AI49</f>
        <v>0</v>
      </c>
      <c r="AJ127" s="383">
        <f>'Canyon Creek Parkway'!AJ49</f>
        <v>0</v>
      </c>
      <c r="AK127" s="383">
        <f>'Canyon Creek Parkway'!AK49</f>
        <v>0</v>
      </c>
      <c r="AL127" s="383">
        <f>'Canyon Creek Parkway'!AL49</f>
        <v>0</v>
      </c>
    </row>
    <row r="128" spans="1:38">
      <c r="B128" s="358" t="s">
        <v>769</v>
      </c>
      <c r="C128" s="358" t="s">
        <v>443</v>
      </c>
      <c r="D128" s="383">
        <f>'Canyon Creek Parkway'!D50</f>
        <v>0</v>
      </c>
      <c r="E128" s="383">
        <f>'Canyon Creek Parkway'!E50</f>
        <v>0</v>
      </c>
      <c r="F128" s="383">
        <f>'Canyon Creek Parkway'!F50</f>
        <v>0</v>
      </c>
      <c r="G128" s="383">
        <f>'Canyon Creek Parkway'!G50</f>
        <v>0</v>
      </c>
      <c r="H128" s="383">
        <f>'Canyon Creek Parkway'!H50</f>
        <v>0</v>
      </c>
      <c r="I128" s="383">
        <f>'Canyon Creek Parkway'!I50</f>
        <v>0</v>
      </c>
      <c r="J128" s="383">
        <f>'Canyon Creek Parkway'!J50</f>
        <v>0</v>
      </c>
      <c r="K128" s="383">
        <f>'Canyon Creek Parkway'!K50</f>
        <v>0</v>
      </c>
      <c r="L128" s="383">
        <f>'Canyon Creek Parkway'!L50</f>
        <v>0</v>
      </c>
      <c r="M128" s="383">
        <f>'Canyon Creek Parkway'!M50</f>
        <v>0</v>
      </c>
      <c r="N128" s="383">
        <f>'Canyon Creek Parkway'!N50</f>
        <v>0</v>
      </c>
      <c r="O128" s="383">
        <f>'Canyon Creek Parkway'!O50</f>
        <v>0</v>
      </c>
      <c r="P128" s="383">
        <f>'Canyon Creek Parkway'!P50</f>
        <v>0</v>
      </c>
      <c r="Q128" s="383">
        <f>'Canyon Creek Parkway'!Q50</f>
        <v>0</v>
      </c>
      <c r="R128" s="383">
        <f>'Canyon Creek Parkway'!R50</f>
        <v>0</v>
      </c>
      <c r="S128" s="383">
        <f>'Canyon Creek Parkway'!S50</f>
        <v>0</v>
      </c>
      <c r="T128" s="383">
        <f>'Canyon Creek Parkway'!T50</f>
        <v>0</v>
      </c>
      <c r="U128" s="383">
        <f>'Canyon Creek Parkway'!U50</f>
        <v>0</v>
      </c>
      <c r="V128" s="383">
        <f>'Canyon Creek Parkway'!V50</f>
        <v>0</v>
      </c>
      <c r="W128" s="383">
        <f>'Canyon Creek Parkway'!W50</f>
        <v>0</v>
      </c>
      <c r="X128" s="383">
        <f>'Canyon Creek Parkway'!X50</f>
        <v>0</v>
      </c>
      <c r="Y128" s="383">
        <f>'Canyon Creek Parkway'!Y50</f>
        <v>0</v>
      </c>
      <c r="Z128" s="383">
        <f>'Canyon Creek Parkway'!Z50</f>
        <v>0</v>
      </c>
      <c r="AA128" s="383">
        <f>'Canyon Creek Parkway'!AA50</f>
        <v>0</v>
      </c>
      <c r="AB128" s="383">
        <f>'Canyon Creek Parkway'!AB50</f>
        <v>0</v>
      </c>
      <c r="AC128" s="383">
        <f>'Canyon Creek Parkway'!AC50</f>
        <v>0</v>
      </c>
      <c r="AD128" s="383">
        <f>'Canyon Creek Parkway'!AD50</f>
        <v>0</v>
      </c>
      <c r="AE128" s="383">
        <f>'Canyon Creek Parkway'!AE50</f>
        <v>0</v>
      </c>
      <c r="AF128" s="383">
        <f>'Canyon Creek Parkway'!AF50</f>
        <v>0</v>
      </c>
      <c r="AG128" s="383">
        <f>'Canyon Creek Parkway'!AG50</f>
        <v>0</v>
      </c>
      <c r="AH128" s="383">
        <f>'Canyon Creek Parkway'!AH50</f>
        <v>0</v>
      </c>
      <c r="AI128" s="383">
        <f>'Canyon Creek Parkway'!AI50</f>
        <v>0</v>
      </c>
      <c r="AJ128" s="383">
        <f>'Canyon Creek Parkway'!AJ50</f>
        <v>0</v>
      </c>
      <c r="AK128" s="383">
        <f>'Canyon Creek Parkway'!AK50</f>
        <v>0</v>
      </c>
      <c r="AL128" s="383">
        <f>'Canyon Creek Parkway'!AL50</f>
        <v>0</v>
      </c>
    </row>
    <row r="129" spans="1:38">
      <c r="D129" s="358"/>
      <c r="F129" s="464"/>
      <c r="G129" s="465"/>
      <c r="H129" s="465"/>
    </row>
    <row r="130" spans="1:38">
      <c r="B130" s="476" t="s">
        <v>708</v>
      </c>
      <c r="C130" s="484" t="s">
        <v>292</v>
      </c>
      <c r="D130" s="582">
        <f t="shared" ref="D130:AL130" si="84">(D$126*D90+D$127*D95+D$128*D100)/Grams.Per.Metric.Ton*D105</f>
        <v>293.05138875499176</v>
      </c>
      <c r="E130" s="582">
        <f t="shared" si="84"/>
        <v>307.40486019580817</v>
      </c>
      <c r="F130" s="582">
        <f t="shared" si="84"/>
        <v>322.30820776848742</v>
      </c>
      <c r="G130" s="582">
        <f t="shared" si="84"/>
        <v>337.77711329409755</v>
      </c>
      <c r="H130" s="582">
        <f t="shared" si="84"/>
        <v>0</v>
      </c>
      <c r="I130" s="582">
        <f t="shared" si="84"/>
        <v>0</v>
      </c>
      <c r="J130" s="582">
        <f t="shared" si="84"/>
        <v>0</v>
      </c>
      <c r="K130" s="582">
        <f t="shared" si="84"/>
        <v>0</v>
      </c>
      <c r="L130" s="582">
        <f t="shared" si="84"/>
        <v>0</v>
      </c>
      <c r="M130" s="582">
        <f t="shared" si="84"/>
        <v>0</v>
      </c>
      <c r="N130" s="582">
        <f t="shared" si="84"/>
        <v>0</v>
      </c>
      <c r="O130" s="582">
        <f t="shared" si="84"/>
        <v>0</v>
      </c>
      <c r="P130" s="582">
        <f t="shared" si="84"/>
        <v>0</v>
      </c>
      <c r="Q130" s="582">
        <f t="shared" si="84"/>
        <v>0</v>
      </c>
      <c r="R130" s="582">
        <f t="shared" si="84"/>
        <v>0</v>
      </c>
      <c r="S130" s="582">
        <f t="shared" si="84"/>
        <v>0</v>
      </c>
      <c r="T130" s="582">
        <f t="shared" si="84"/>
        <v>0</v>
      </c>
      <c r="U130" s="582">
        <f t="shared" si="84"/>
        <v>0</v>
      </c>
      <c r="V130" s="582">
        <f t="shared" si="84"/>
        <v>0</v>
      </c>
      <c r="W130" s="582">
        <f t="shared" si="84"/>
        <v>0</v>
      </c>
      <c r="X130" s="582">
        <f t="shared" si="84"/>
        <v>0</v>
      </c>
      <c r="Y130" s="582">
        <f t="shared" si="84"/>
        <v>0</v>
      </c>
      <c r="Z130" s="582">
        <f t="shared" si="84"/>
        <v>0</v>
      </c>
      <c r="AA130" s="582">
        <f t="shared" si="84"/>
        <v>0</v>
      </c>
      <c r="AB130" s="582">
        <f t="shared" si="84"/>
        <v>0</v>
      </c>
      <c r="AC130" s="582">
        <f t="shared" si="84"/>
        <v>0</v>
      </c>
      <c r="AD130" s="582">
        <f t="shared" si="84"/>
        <v>0</v>
      </c>
      <c r="AE130" s="582">
        <f t="shared" si="84"/>
        <v>0</v>
      </c>
      <c r="AF130" s="582">
        <f t="shared" si="84"/>
        <v>0</v>
      </c>
      <c r="AG130" s="582">
        <f t="shared" si="84"/>
        <v>0</v>
      </c>
      <c r="AH130" s="582">
        <f t="shared" si="84"/>
        <v>0</v>
      </c>
      <c r="AI130" s="582">
        <f t="shared" si="84"/>
        <v>0</v>
      </c>
      <c r="AJ130" s="582">
        <f t="shared" si="84"/>
        <v>0</v>
      </c>
      <c r="AK130" s="582">
        <f t="shared" si="84"/>
        <v>0</v>
      </c>
      <c r="AL130" s="582">
        <f t="shared" si="84"/>
        <v>0</v>
      </c>
    </row>
    <row r="131" spans="1:38">
      <c r="B131" s="478" t="s">
        <v>709</v>
      </c>
      <c r="C131" s="484" t="s">
        <v>292</v>
      </c>
      <c r="D131" s="582">
        <f t="shared" ref="D131:AL131" si="85">(D$126*D91+D$127*D96+D$128*D101)/Grams.Per.Metric.Ton*D106</f>
        <v>269.42088674034181</v>
      </c>
      <c r="E131" s="582">
        <f t="shared" si="85"/>
        <v>263.66643377268866</v>
      </c>
      <c r="F131" s="582">
        <f t="shared" si="85"/>
        <v>258.05903669724529</v>
      </c>
      <c r="G131" s="582">
        <f t="shared" si="85"/>
        <v>249.25265774793613</v>
      </c>
      <c r="H131" s="582">
        <f t="shared" si="85"/>
        <v>0</v>
      </c>
      <c r="I131" s="582">
        <f t="shared" si="85"/>
        <v>0</v>
      </c>
      <c r="J131" s="582">
        <f t="shared" si="85"/>
        <v>0</v>
      </c>
      <c r="K131" s="582">
        <f t="shared" si="85"/>
        <v>0</v>
      </c>
      <c r="L131" s="582">
        <f t="shared" si="85"/>
        <v>0</v>
      </c>
      <c r="M131" s="582">
        <f t="shared" si="85"/>
        <v>0</v>
      </c>
      <c r="N131" s="582">
        <f t="shared" si="85"/>
        <v>0</v>
      </c>
      <c r="O131" s="582">
        <f t="shared" si="85"/>
        <v>0</v>
      </c>
      <c r="P131" s="582">
        <f t="shared" si="85"/>
        <v>0</v>
      </c>
      <c r="Q131" s="582">
        <f t="shared" si="85"/>
        <v>0</v>
      </c>
      <c r="R131" s="582">
        <f t="shared" si="85"/>
        <v>0</v>
      </c>
      <c r="S131" s="582">
        <f t="shared" si="85"/>
        <v>0</v>
      </c>
      <c r="T131" s="582">
        <f t="shared" si="85"/>
        <v>0</v>
      </c>
      <c r="U131" s="582">
        <f t="shared" si="85"/>
        <v>0</v>
      </c>
      <c r="V131" s="582">
        <f t="shared" si="85"/>
        <v>0</v>
      </c>
      <c r="W131" s="582">
        <f t="shared" si="85"/>
        <v>0</v>
      </c>
      <c r="X131" s="582">
        <f t="shared" si="85"/>
        <v>0</v>
      </c>
      <c r="Y131" s="582">
        <f t="shared" si="85"/>
        <v>0</v>
      </c>
      <c r="Z131" s="582">
        <f t="shared" si="85"/>
        <v>0</v>
      </c>
      <c r="AA131" s="582">
        <f t="shared" si="85"/>
        <v>0</v>
      </c>
      <c r="AB131" s="582">
        <f t="shared" si="85"/>
        <v>0</v>
      </c>
      <c r="AC131" s="582">
        <f t="shared" si="85"/>
        <v>0</v>
      </c>
      <c r="AD131" s="582">
        <f t="shared" si="85"/>
        <v>0</v>
      </c>
      <c r="AE131" s="582">
        <f t="shared" si="85"/>
        <v>0</v>
      </c>
      <c r="AF131" s="582">
        <f t="shared" si="85"/>
        <v>0</v>
      </c>
      <c r="AG131" s="582">
        <f t="shared" si="85"/>
        <v>0</v>
      </c>
      <c r="AH131" s="582">
        <f t="shared" si="85"/>
        <v>0</v>
      </c>
      <c r="AI131" s="582">
        <f t="shared" si="85"/>
        <v>0</v>
      </c>
      <c r="AJ131" s="582">
        <f t="shared" si="85"/>
        <v>0</v>
      </c>
      <c r="AK131" s="582">
        <f t="shared" si="85"/>
        <v>0</v>
      </c>
      <c r="AL131" s="582">
        <f t="shared" si="85"/>
        <v>0</v>
      </c>
    </row>
    <row r="132" spans="1:38">
      <c r="B132" s="478" t="s">
        <v>710</v>
      </c>
      <c r="C132" s="484" t="s">
        <v>292</v>
      </c>
      <c r="D132" s="582">
        <f t="shared" ref="D132:AL132" si="86">(D$126*D92+D$127*D97+D$128*D102)/Grams.Per.Metric.Ton*D107</f>
        <v>438.60269704243171</v>
      </c>
      <c r="E132" s="582">
        <f t="shared" si="86"/>
        <v>434.69252067386003</v>
      </c>
      <c r="F132" s="582">
        <f t="shared" si="86"/>
        <v>428.83565157291605</v>
      </c>
      <c r="G132" s="582">
        <f t="shared" si="86"/>
        <v>420.7520618423348</v>
      </c>
      <c r="H132" s="582">
        <f t="shared" si="86"/>
        <v>0</v>
      </c>
      <c r="I132" s="582">
        <f t="shared" si="86"/>
        <v>0</v>
      </c>
      <c r="J132" s="582">
        <f t="shared" si="86"/>
        <v>0</v>
      </c>
      <c r="K132" s="582">
        <f t="shared" si="86"/>
        <v>0</v>
      </c>
      <c r="L132" s="582">
        <f t="shared" si="86"/>
        <v>0</v>
      </c>
      <c r="M132" s="582">
        <f t="shared" si="86"/>
        <v>0</v>
      </c>
      <c r="N132" s="582">
        <f t="shared" si="86"/>
        <v>0</v>
      </c>
      <c r="O132" s="582">
        <f t="shared" si="86"/>
        <v>0</v>
      </c>
      <c r="P132" s="582">
        <f t="shared" si="86"/>
        <v>0</v>
      </c>
      <c r="Q132" s="582">
        <f t="shared" si="86"/>
        <v>0</v>
      </c>
      <c r="R132" s="582">
        <f t="shared" si="86"/>
        <v>0</v>
      </c>
      <c r="S132" s="582">
        <f t="shared" si="86"/>
        <v>0</v>
      </c>
      <c r="T132" s="582">
        <f t="shared" si="86"/>
        <v>0</v>
      </c>
      <c r="U132" s="582">
        <f t="shared" si="86"/>
        <v>0</v>
      </c>
      <c r="V132" s="582">
        <f t="shared" si="86"/>
        <v>0</v>
      </c>
      <c r="W132" s="582">
        <f t="shared" si="86"/>
        <v>0</v>
      </c>
      <c r="X132" s="582">
        <f t="shared" si="86"/>
        <v>0</v>
      </c>
      <c r="Y132" s="582">
        <f t="shared" si="86"/>
        <v>0</v>
      </c>
      <c r="Z132" s="582">
        <f t="shared" si="86"/>
        <v>0</v>
      </c>
      <c r="AA132" s="582">
        <f t="shared" si="86"/>
        <v>0</v>
      </c>
      <c r="AB132" s="582">
        <f t="shared" si="86"/>
        <v>0</v>
      </c>
      <c r="AC132" s="582">
        <f t="shared" si="86"/>
        <v>0</v>
      </c>
      <c r="AD132" s="582">
        <f t="shared" si="86"/>
        <v>0</v>
      </c>
      <c r="AE132" s="582">
        <f t="shared" si="86"/>
        <v>0</v>
      </c>
      <c r="AF132" s="582">
        <f t="shared" si="86"/>
        <v>0</v>
      </c>
      <c r="AG132" s="582">
        <f t="shared" si="86"/>
        <v>0</v>
      </c>
      <c r="AH132" s="582">
        <f t="shared" si="86"/>
        <v>0</v>
      </c>
      <c r="AI132" s="582">
        <f t="shared" si="86"/>
        <v>0</v>
      </c>
      <c r="AJ132" s="582">
        <f t="shared" si="86"/>
        <v>0</v>
      </c>
      <c r="AK132" s="582">
        <f t="shared" si="86"/>
        <v>0</v>
      </c>
      <c r="AL132" s="582">
        <f t="shared" si="86"/>
        <v>0</v>
      </c>
    </row>
    <row r="133" spans="1:38">
      <c r="B133" s="478" t="s">
        <v>711</v>
      </c>
      <c r="C133" s="484" t="s">
        <v>292</v>
      </c>
      <c r="D133" s="582">
        <f t="shared" ref="D133:AL133" si="87">(D$126*D93+D$127*D98+D$128*D103)/Grams.Per.Metric.Ton*D108</f>
        <v>1.7007945827770699</v>
      </c>
      <c r="E133" s="582">
        <f t="shared" si="87"/>
        <v>1.7842928610334277</v>
      </c>
      <c r="F133" s="582">
        <f t="shared" si="87"/>
        <v>1.8753519474417648</v>
      </c>
      <c r="G133" s="582">
        <f t="shared" si="87"/>
        <v>1.9699537766372457</v>
      </c>
      <c r="H133" s="582">
        <f t="shared" si="87"/>
        <v>0</v>
      </c>
      <c r="I133" s="582">
        <f t="shared" si="87"/>
        <v>0</v>
      </c>
      <c r="J133" s="582">
        <f t="shared" si="87"/>
        <v>0</v>
      </c>
      <c r="K133" s="582">
        <f t="shared" si="87"/>
        <v>0</v>
      </c>
      <c r="L133" s="582">
        <f t="shared" si="87"/>
        <v>0</v>
      </c>
      <c r="M133" s="582">
        <f t="shared" si="87"/>
        <v>0</v>
      </c>
      <c r="N133" s="582">
        <f t="shared" si="87"/>
        <v>0</v>
      </c>
      <c r="O133" s="582">
        <f t="shared" si="87"/>
        <v>0</v>
      </c>
      <c r="P133" s="582">
        <f t="shared" si="87"/>
        <v>0</v>
      </c>
      <c r="Q133" s="582">
        <f t="shared" si="87"/>
        <v>0</v>
      </c>
      <c r="R133" s="582">
        <f t="shared" si="87"/>
        <v>0</v>
      </c>
      <c r="S133" s="582">
        <f t="shared" si="87"/>
        <v>0</v>
      </c>
      <c r="T133" s="582">
        <f t="shared" si="87"/>
        <v>0</v>
      </c>
      <c r="U133" s="582">
        <f t="shared" si="87"/>
        <v>0</v>
      </c>
      <c r="V133" s="582">
        <f t="shared" si="87"/>
        <v>0</v>
      </c>
      <c r="W133" s="582">
        <f t="shared" si="87"/>
        <v>0</v>
      </c>
      <c r="X133" s="582">
        <f t="shared" si="87"/>
        <v>0</v>
      </c>
      <c r="Y133" s="582">
        <f t="shared" si="87"/>
        <v>0</v>
      </c>
      <c r="Z133" s="582">
        <f t="shared" si="87"/>
        <v>0</v>
      </c>
      <c r="AA133" s="582">
        <f t="shared" si="87"/>
        <v>0</v>
      </c>
      <c r="AB133" s="582">
        <f t="shared" si="87"/>
        <v>0</v>
      </c>
      <c r="AC133" s="582">
        <f t="shared" si="87"/>
        <v>0</v>
      </c>
      <c r="AD133" s="582">
        <f t="shared" si="87"/>
        <v>0</v>
      </c>
      <c r="AE133" s="582">
        <f t="shared" si="87"/>
        <v>0</v>
      </c>
      <c r="AF133" s="582">
        <f t="shared" si="87"/>
        <v>0</v>
      </c>
      <c r="AG133" s="582">
        <f t="shared" si="87"/>
        <v>0</v>
      </c>
      <c r="AH133" s="582">
        <f t="shared" si="87"/>
        <v>0</v>
      </c>
      <c r="AI133" s="582">
        <f t="shared" si="87"/>
        <v>0</v>
      </c>
      <c r="AJ133" s="582">
        <f t="shared" si="87"/>
        <v>0</v>
      </c>
      <c r="AK133" s="582">
        <f t="shared" si="87"/>
        <v>0</v>
      </c>
      <c r="AL133" s="582">
        <f t="shared" si="87"/>
        <v>0</v>
      </c>
    </row>
    <row r="134" spans="1:38">
      <c r="D134" s="358"/>
      <c r="F134" s="464"/>
      <c r="G134" s="465"/>
      <c r="H134" s="465"/>
    </row>
    <row r="135" spans="1:38" ht="13">
      <c r="B135" s="493" t="s">
        <v>465</v>
      </c>
      <c r="C135" s="487" t="s">
        <v>292</v>
      </c>
      <c r="D135" s="488">
        <f t="shared" ref="D135:AL135" si="88">D130</f>
        <v>293.05138875499176</v>
      </c>
      <c r="E135" s="488">
        <f t="shared" si="88"/>
        <v>307.40486019580817</v>
      </c>
      <c r="F135" s="488">
        <f t="shared" si="88"/>
        <v>322.30820776848742</v>
      </c>
      <c r="G135" s="488">
        <f t="shared" si="88"/>
        <v>337.77711329409755</v>
      </c>
      <c r="H135" s="488">
        <f t="shared" si="88"/>
        <v>0</v>
      </c>
      <c r="I135" s="488">
        <f t="shared" si="88"/>
        <v>0</v>
      </c>
      <c r="J135" s="488">
        <f t="shared" si="88"/>
        <v>0</v>
      </c>
      <c r="K135" s="488">
        <f t="shared" si="88"/>
        <v>0</v>
      </c>
      <c r="L135" s="488">
        <f t="shared" si="88"/>
        <v>0</v>
      </c>
      <c r="M135" s="488">
        <f t="shared" si="88"/>
        <v>0</v>
      </c>
      <c r="N135" s="488">
        <f t="shared" si="88"/>
        <v>0</v>
      </c>
      <c r="O135" s="488">
        <f t="shared" si="88"/>
        <v>0</v>
      </c>
      <c r="P135" s="488">
        <f t="shared" si="88"/>
        <v>0</v>
      </c>
      <c r="Q135" s="488">
        <f t="shared" si="88"/>
        <v>0</v>
      </c>
      <c r="R135" s="488">
        <f t="shared" si="88"/>
        <v>0</v>
      </c>
      <c r="S135" s="488">
        <f t="shared" si="88"/>
        <v>0</v>
      </c>
      <c r="T135" s="488">
        <f t="shared" si="88"/>
        <v>0</v>
      </c>
      <c r="U135" s="488">
        <f t="shared" si="88"/>
        <v>0</v>
      </c>
      <c r="V135" s="488">
        <f t="shared" si="88"/>
        <v>0</v>
      </c>
      <c r="W135" s="488">
        <f t="shared" si="88"/>
        <v>0</v>
      </c>
      <c r="X135" s="488">
        <f t="shared" si="88"/>
        <v>0</v>
      </c>
      <c r="Y135" s="488">
        <f t="shared" si="88"/>
        <v>0</v>
      </c>
      <c r="Z135" s="488">
        <f t="shared" si="88"/>
        <v>0</v>
      </c>
      <c r="AA135" s="488">
        <f t="shared" si="88"/>
        <v>0</v>
      </c>
      <c r="AB135" s="488">
        <f t="shared" si="88"/>
        <v>0</v>
      </c>
      <c r="AC135" s="488">
        <f t="shared" si="88"/>
        <v>0</v>
      </c>
      <c r="AD135" s="488">
        <f t="shared" si="88"/>
        <v>0</v>
      </c>
      <c r="AE135" s="488">
        <f t="shared" si="88"/>
        <v>0</v>
      </c>
      <c r="AF135" s="488">
        <f t="shared" si="88"/>
        <v>0</v>
      </c>
      <c r="AG135" s="488">
        <f t="shared" si="88"/>
        <v>0</v>
      </c>
      <c r="AH135" s="488">
        <f t="shared" si="88"/>
        <v>0</v>
      </c>
      <c r="AI135" s="488">
        <f t="shared" si="88"/>
        <v>0</v>
      </c>
      <c r="AJ135" s="488">
        <f t="shared" si="88"/>
        <v>0</v>
      </c>
      <c r="AK135" s="488">
        <f t="shared" si="88"/>
        <v>0</v>
      </c>
      <c r="AL135" s="488">
        <f t="shared" si="88"/>
        <v>0</v>
      </c>
    </row>
    <row r="136" spans="1:38" ht="13">
      <c r="B136" s="494" t="s">
        <v>466</v>
      </c>
      <c r="C136" s="487" t="s">
        <v>292</v>
      </c>
      <c r="D136" s="488">
        <f t="shared" ref="D136:AL136" si="89">SUM(D130:D133)</f>
        <v>1002.7757671205425</v>
      </c>
      <c r="E136" s="488">
        <f t="shared" si="89"/>
        <v>1007.5481075033903</v>
      </c>
      <c r="F136" s="488">
        <f t="shared" si="89"/>
        <v>1011.0782479860906</v>
      </c>
      <c r="G136" s="488">
        <f t="shared" si="89"/>
        <v>1009.7517866610057</v>
      </c>
      <c r="H136" s="488">
        <f t="shared" si="89"/>
        <v>0</v>
      </c>
      <c r="I136" s="488">
        <f t="shared" si="89"/>
        <v>0</v>
      </c>
      <c r="J136" s="488">
        <f t="shared" si="89"/>
        <v>0</v>
      </c>
      <c r="K136" s="488">
        <f t="shared" si="89"/>
        <v>0</v>
      </c>
      <c r="L136" s="488">
        <f t="shared" si="89"/>
        <v>0</v>
      </c>
      <c r="M136" s="488">
        <f t="shared" si="89"/>
        <v>0</v>
      </c>
      <c r="N136" s="488">
        <f t="shared" si="89"/>
        <v>0</v>
      </c>
      <c r="O136" s="488">
        <f t="shared" si="89"/>
        <v>0</v>
      </c>
      <c r="P136" s="488">
        <f t="shared" si="89"/>
        <v>0</v>
      </c>
      <c r="Q136" s="488">
        <f t="shared" si="89"/>
        <v>0</v>
      </c>
      <c r="R136" s="488">
        <f t="shared" si="89"/>
        <v>0</v>
      </c>
      <c r="S136" s="488">
        <f t="shared" si="89"/>
        <v>0</v>
      </c>
      <c r="T136" s="488">
        <f t="shared" si="89"/>
        <v>0</v>
      </c>
      <c r="U136" s="488">
        <f t="shared" si="89"/>
        <v>0</v>
      </c>
      <c r="V136" s="488">
        <f t="shared" si="89"/>
        <v>0</v>
      </c>
      <c r="W136" s="488">
        <f t="shared" si="89"/>
        <v>0</v>
      </c>
      <c r="X136" s="488">
        <f t="shared" si="89"/>
        <v>0</v>
      </c>
      <c r="Y136" s="488">
        <f t="shared" si="89"/>
        <v>0</v>
      </c>
      <c r="Z136" s="488">
        <f t="shared" si="89"/>
        <v>0</v>
      </c>
      <c r="AA136" s="488">
        <f t="shared" si="89"/>
        <v>0</v>
      </c>
      <c r="AB136" s="488">
        <f t="shared" si="89"/>
        <v>0</v>
      </c>
      <c r="AC136" s="488">
        <f t="shared" si="89"/>
        <v>0</v>
      </c>
      <c r="AD136" s="488">
        <f t="shared" si="89"/>
        <v>0</v>
      </c>
      <c r="AE136" s="488">
        <f t="shared" si="89"/>
        <v>0</v>
      </c>
      <c r="AF136" s="488">
        <f t="shared" si="89"/>
        <v>0</v>
      </c>
      <c r="AG136" s="488">
        <f t="shared" si="89"/>
        <v>0</v>
      </c>
      <c r="AH136" s="488">
        <f t="shared" si="89"/>
        <v>0</v>
      </c>
      <c r="AI136" s="488">
        <f t="shared" si="89"/>
        <v>0</v>
      </c>
      <c r="AJ136" s="488">
        <f t="shared" si="89"/>
        <v>0</v>
      </c>
      <c r="AK136" s="488">
        <f t="shared" si="89"/>
        <v>0</v>
      </c>
      <c r="AL136" s="488">
        <f t="shared" si="89"/>
        <v>0</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90">((D$112*D90+D$113*D95+D$114*D100)-(D$126*D90+D$127*D95+D$128*D100))/Grams.Per.Metric.Ton</f>
        <v>0</v>
      </c>
      <c r="E140" s="474">
        <f t="shared" si="90"/>
        <v>0</v>
      </c>
      <c r="F140" s="474">
        <f t="shared" si="90"/>
        <v>0</v>
      </c>
      <c r="G140" s="474">
        <f t="shared" si="90"/>
        <v>0</v>
      </c>
      <c r="H140" s="474">
        <f t="shared" si="90"/>
        <v>6.3183466610197634</v>
      </c>
      <c r="I140" s="474">
        <f t="shared" si="90"/>
        <v>6.499562733080289</v>
      </c>
      <c r="J140" s="474">
        <f t="shared" si="90"/>
        <v>6.6851065321445509</v>
      </c>
      <c r="K140" s="474">
        <f t="shared" si="90"/>
        <v>6.8750318849417509</v>
      </c>
      <c r="L140" s="474">
        <f t="shared" si="90"/>
        <v>7.0693899006247687</v>
      </c>
      <c r="M140" s="474">
        <f t="shared" si="90"/>
        <v>7.2682286632055026</v>
      </c>
      <c r="N140" s="474">
        <f t="shared" si="90"/>
        <v>7.4585425840060262</v>
      </c>
      <c r="O140" s="474">
        <f t="shared" si="90"/>
        <v>7.6523681963876671</v>
      </c>
      <c r="P140" s="474">
        <f t="shared" si="90"/>
        <v>7.8496785106565206</v>
      </c>
      <c r="Q140" s="474">
        <f t="shared" si="90"/>
        <v>8.0504386201977081</v>
      </c>
      <c r="R140" s="474">
        <f t="shared" si="90"/>
        <v>8.2546051056574168</v>
      </c>
      <c r="S140" s="474">
        <f t="shared" si="90"/>
        <v>8.4621254038972324</v>
      </c>
      <c r="T140" s="474">
        <f t="shared" si="90"/>
        <v>8.6729371398459492</v>
      </c>
      <c r="U140" s="474">
        <f t="shared" si="90"/>
        <v>8.8869674192818842</v>
      </c>
      <c r="V140" s="474">
        <f t="shared" si="90"/>
        <v>9.1041320804776475</v>
      </c>
      <c r="W140" s="474">
        <f t="shared" si="90"/>
        <v>9.324334902538542</v>
      </c>
      <c r="X140" s="474">
        <f t="shared" si="90"/>
        <v>9.5995837524596759</v>
      </c>
      <c r="Y140" s="474">
        <f t="shared" si="90"/>
        <v>9.881851191410675</v>
      </c>
      <c r="Z140" s="474">
        <f t="shared" si="90"/>
        <v>10.171254961619754</v>
      </c>
      <c r="AA140" s="474">
        <f t="shared" si="90"/>
        <v>10.467910858996731</v>
      </c>
      <c r="AB140" s="474">
        <f t="shared" si="90"/>
        <v>10.771932383517306</v>
      </c>
      <c r="AC140" s="474">
        <f t="shared" si="90"/>
        <v>11.083430364527867</v>
      </c>
      <c r="AD140" s="474">
        <f t="shared" si="90"/>
        <v>11.402512559514548</v>
      </c>
      <c r="AE140" s="474">
        <f t="shared" si="90"/>
        <v>11.729283224804215</v>
      </c>
      <c r="AF140" s="474">
        <f t="shared" si="90"/>
        <v>12.063842656583395</v>
      </c>
      <c r="AG140" s="474">
        <f t="shared" si="90"/>
        <v>12.406286700537674</v>
      </c>
      <c r="AH140" s="474">
        <f t="shared" si="90"/>
        <v>12.907666374226283</v>
      </c>
      <c r="AI140" s="474">
        <f t="shared" si="90"/>
        <v>13.429308482860659</v>
      </c>
      <c r="AJ140" s="474">
        <f t="shared" si="90"/>
        <v>13.97203189942563</v>
      </c>
      <c r="AK140" s="474">
        <f t="shared" si="90"/>
        <v>14.536688590311005</v>
      </c>
      <c r="AL140" s="474">
        <f t="shared" si="90"/>
        <v>15.124164952727103</v>
      </c>
    </row>
    <row r="141" spans="1:38" ht="13">
      <c r="B141" s="494" t="s">
        <v>815</v>
      </c>
      <c r="C141" s="387" t="s">
        <v>818</v>
      </c>
      <c r="D141" s="541">
        <f t="shared" ref="D141:AL141" si="91">((D$112*D91+D$113*D96+D$114*D101)-(D$126*D91+D$127*D96+D$128*D101))/Grams.Per.Metric.Ton</f>
        <v>0</v>
      </c>
      <c r="E141" s="541">
        <f t="shared" si="91"/>
        <v>0</v>
      </c>
      <c r="F141" s="541">
        <f t="shared" si="91"/>
        <v>0</v>
      </c>
      <c r="G141" s="541">
        <f t="shared" si="91"/>
        <v>0</v>
      </c>
      <c r="H141" s="541">
        <f t="shared" si="91"/>
        <v>1.4211231809863669E-2</v>
      </c>
      <c r="I141" s="541">
        <f t="shared" si="91"/>
        <v>1.3317736076645817E-2</v>
      </c>
      <c r="J141" s="541">
        <f t="shared" si="91"/>
        <v>1.2328811679964862E-2</v>
      </c>
      <c r="K141" s="541">
        <f t="shared" si="91"/>
        <v>1.123820472717698E-2</v>
      </c>
      <c r="L141" s="541">
        <f t="shared" si="91"/>
        <v>1.0039311701910952E-2</v>
      </c>
      <c r="M141" s="541">
        <f t="shared" si="91"/>
        <v>8.7251614192320002E-3</v>
      </c>
      <c r="N141" s="541">
        <f t="shared" si="91"/>
        <v>8.4596234407169589E-3</v>
      </c>
      <c r="O141" s="541">
        <f t="shared" si="91"/>
        <v>8.1583726243175253E-3</v>
      </c>
      <c r="P141" s="541">
        <f t="shared" si="91"/>
        <v>7.8189561058743112E-3</v>
      </c>
      <c r="Q141" s="541">
        <f t="shared" si="91"/>
        <v>7.4387810918963241E-3</v>
      </c>
      <c r="R141" s="541">
        <f t="shared" si="91"/>
        <v>7.0151075556469863E-3</v>
      </c>
      <c r="S141" s="541">
        <f t="shared" si="91"/>
        <v>6.545040571418392E-3</v>
      </c>
      <c r="T141" s="541">
        <f t="shared" si="91"/>
        <v>6.0255222696746534E-3</v>
      </c>
      <c r="U141" s="541">
        <f t="shared" si="91"/>
        <v>5.453323394945705E-3</v>
      </c>
      <c r="V141" s="541">
        <f t="shared" si="91"/>
        <v>4.8250344474981824E-3</v>
      </c>
      <c r="W141" s="541">
        <f t="shared" si="91"/>
        <v>4.1370563889325963E-3</v>
      </c>
      <c r="X141" s="541">
        <f t="shared" si="91"/>
        <v>4.27802447419608E-3</v>
      </c>
      <c r="Y141" s="541">
        <f t="shared" si="91"/>
        <v>4.423629743060104E-3</v>
      </c>
      <c r="Z141" s="541">
        <f t="shared" si="91"/>
        <v>4.5740167692063785E-3</v>
      </c>
      <c r="AA141" s="541">
        <f t="shared" si="91"/>
        <v>4.7293342381012462E-3</v>
      </c>
      <c r="AB141" s="541">
        <f t="shared" si="91"/>
        <v>4.8897350432143263E-3</v>
      </c>
      <c r="AC141" s="541">
        <f t="shared" si="91"/>
        <v>5.0553763832986666E-3</v>
      </c>
      <c r="AD141" s="541">
        <f t="shared" si="91"/>
        <v>5.2264198606610211E-3</v>
      </c>
      <c r="AE141" s="541">
        <f t="shared" si="91"/>
        <v>5.4030315803433714E-3</v>
      </c>
      <c r="AF141" s="541">
        <f t="shared" si="91"/>
        <v>5.5853822501290467E-3</v>
      </c>
      <c r="AG141" s="541">
        <f t="shared" si="91"/>
        <v>5.7736472812778585E-3</v>
      </c>
      <c r="AH141" s="541">
        <f t="shared" si="91"/>
        <v>6.0069797408408626E-3</v>
      </c>
      <c r="AI141" s="541">
        <f t="shared" si="91"/>
        <v>6.2497419480197734E-3</v>
      </c>
      <c r="AJ141" s="541">
        <f t="shared" si="91"/>
        <v>6.5023149905563751E-3</v>
      </c>
      <c r="AK141" s="541">
        <f t="shared" si="91"/>
        <v>6.7650953572267998E-3</v>
      </c>
      <c r="AL141" s="541">
        <f t="shared" si="91"/>
        <v>7.0384955602490074E-3</v>
      </c>
    </row>
    <row r="142" spans="1:38" ht="13">
      <c r="B142" s="494" t="s">
        <v>816</v>
      </c>
      <c r="C142" s="387" t="s">
        <v>818</v>
      </c>
      <c r="D142" s="541">
        <f t="shared" ref="D142:AL142" si="92">((D$112*D92+D$113*D97+D$114*D102)-(D$126*D92+D$127*D97+D$128*D102))/Grams.Per.Metric.Ton</f>
        <v>0</v>
      </c>
      <c r="E142" s="541">
        <f t="shared" si="92"/>
        <v>0</v>
      </c>
      <c r="F142" s="541">
        <f t="shared" si="92"/>
        <v>0</v>
      </c>
      <c r="G142" s="541">
        <f t="shared" si="92"/>
        <v>0</v>
      </c>
      <c r="H142" s="541">
        <f t="shared" si="92"/>
        <v>5.1494170683434614E-4</v>
      </c>
      <c r="I142" s="541">
        <f t="shared" si="92"/>
        <v>4.8961196305013165E-4</v>
      </c>
      <c r="J142" s="541">
        <f t="shared" si="92"/>
        <v>4.6139387635985794E-4</v>
      </c>
      <c r="K142" s="541">
        <f t="shared" si="92"/>
        <v>4.3009536103964422E-4</v>
      </c>
      <c r="L142" s="541">
        <f t="shared" si="92"/>
        <v>3.9551352306344825E-4</v>
      </c>
      <c r="M142" s="541">
        <f t="shared" si="92"/>
        <v>3.5743410022554169E-4</v>
      </c>
      <c r="N142" s="541">
        <f t="shared" si="92"/>
        <v>3.4431585112039577E-4</v>
      </c>
      <c r="O142" s="541">
        <f t="shared" si="92"/>
        <v>3.2955352167058461E-4</v>
      </c>
      <c r="P142" s="541">
        <f t="shared" si="92"/>
        <v>3.1303565150945454E-4</v>
      </c>
      <c r="Q142" s="541">
        <f t="shared" si="92"/>
        <v>2.9464445647217798E-4</v>
      </c>
      <c r="R142" s="541">
        <f t="shared" si="92"/>
        <v>2.7425549950533824E-4</v>
      </c>
      <c r="S142" s="541">
        <f t="shared" si="92"/>
        <v>2.5173734530562159E-4</v>
      </c>
      <c r="T142" s="541">
        <f t="shared" si="92"/>
        <v>2.2695119790971379E-4</v>
      </c>
      <c r="U142" s="541">
        <f t="shared" si="92"/>
        <v>1.9975052042172837E-4</v>
      </c>
      <c r="V142" s="541">
        <f t="shared" si="92"/>
        <v>1.6998063602608347E-4</v>
      </c>
      <c r="W142" s="541">
        <f t="shared" si="92"/>
        <v>1.3747830939434317E-4</v>
      </c>
      <c r="X142" s="541">
        <f t="shared" si="92"/>
        <v>1.3965641047542E-4</v>
      </c>
      <c r="Y142" s="541">
        <f t="shared" si="92"/>
        <v>1.417860253255621E-4</v>
      </c>
      <c r="Z142" s="541">
        <f t="shared" si="92"/>
        <v>1.4385967760193063E-4</v>
      </c>
      <c r="AA142" s="541">
        <f t="shared" si="92"/>
        <v>1.4586936586310321E-4</v>
      </c>
      <c r="AB142" s="541">
        <f t="shared" si="92"/>
        <v>1.4780653333774007E-4</v>
      </c>
      <c r="AC142" s="541">
        <f t="shared" si="92"/>
        <v>1.496620361073591E-4</v>
      </c>
      <c r="AD142" s="541">
        <f t="shared" si="92"/>
        <v>1.5142610962442583E-4</v>
      </c>
      <c r="AE142" s="541">
        <f t="shared" si="92"/>
        <v>1.5308833348314676E-4</v>
      </c>
      <c r="AF142" s="541">
        <f t="shared" si="92"/>
        <v>1.5463759435645409E-4</v>
      </c>
      <c r="AG142" s="541">
        <f t="shared" si="92"/>
        <v>1.5606204700847141E-4</v>
      </c>
      <c r="AH142" s="541">
        <f t="shared" si="92"/>
        <v>1.623690379795001E-4</v>
      </c>
      <c r="AI142" s="541">
        <f t="shared" si="92"/>
        <v>1.6893091561817882E-4</v>
      </c>
      <c r="AJ142" s="541">
        <f t="shared" si="92"/>
        <v>1.7575798074999542E-4</v>
      </c>
      <c r="AK142" s="541">
        <f t="shared" si="92"/>
        <v>1.8286095049135909E-4</v>
      </c>
      <c r="AL142" s="541">
        <f t="shared" si="92"/>
        <v>1.9025097507331345E-4</v>
      </c>
    </row>
    <row r="143" spans="1:38" ht="13">
      <c r="B143" s="494" t="s">
        <v>817</v>
      </c>
      <c r="C143" s="387" t="s">
        <v>818</v>
      </c>
      <c r="D143" s="541">
        <f t="shared" ref="D143:AL143" si="93">((D$112*D93+D$113*D98+D$114*D103)-(D$126*D93+D$127*D98+D$128*D103))/Grams.Per.Metric.Ton</f>
        <v>0</v>
      </c>
      <c r="E143" s="541">
        <f t="shared" si="93"/>
        <v>0</v>
      </c>
      <c r="F143" s="541">
        <f t="shared" si="93"/>
        <v>0</v>
      </c>
      <c r="G143" s="541">
        <f t="shared" si="93"/>
        <v>0</v>
      </c>
      <c r="H143" s="541">
        <f t="shared" si="93"/>
        <v>4.6165166938284833E-5</v>
      </c>
      <c r="I143" s="541">
        <f t="shared" si="93"/>
        <v>4.7487770178784919E-5</v>
      </c>
      <c r="J143" s="541">
        <f t="shared" si="93"/>
        <v>4.8841876324212836E-5</v>
      </c>
      <c r="K143" s="541">
        <f t="shared" si="93"/>
        <v>5.0227871523170762E-5</v>
      </c>
      <c r="L143" s="541">
        <f t="shared" si="93"/>
        <v>5.1646121683599889E-5</v>
      </c>
      <c r="M143" s="541">
        <f t="shared" si="93"/>
        <v>5.3096970206121654E-5</v>
      </c>
      <c r="N143" s="541">
        <f t="shared" si="93"/>
        <v>5.4512060311746892E-5</v>
      </c>
      <c r="O143" s="541">
        <f t="shared" si="93"/>
        <v>5.5954807437918413E-5</v>
      </c>
      <c r="P143" s="541">
        <f t="shared" si="93"/>
        <v>5.7425135829871059E-5</v>
      </c>
      <c r="Q143" s="541">
        <f t="shared" si="93"/>
        <v>5.892291843929846E-5</v>
      </c>
      <c r="R143" s="541">
        <f t="shared" si="93"/>
        <v>6.0447972902190552E-5</v>
      </c>
      <c r="S143" s="541">
        <f t="shared" si="93"/>
        <v>6.2000057275347418E-5</v>
      </c>
      <c r="T143" s="541">
        <f t="shared" si="93"/>
        <v>6.3578865518633171E-5</v>
      </c>
      <c r="U143" s="541">
        <f t="shared" si="93"/>
        <v>6.5184022709382882E-5</v>
      </c>
      <c r="V143" s="541">
        <f t="shared" si="93"/>
        <v>6.6815079974691098E-5</v>
      </c>
      <c r="W143" s="541">
        <f t="shared" si="93"/>
        <v>6.847150912659535E-5</v>
      </c>
      <c r="X143" s="541">
        <f t="shared" si="93"/>
        <v>7.0536605765171155E-5</v>
      </c>
      <c r="Y143" s="541">
        <f t="shared" si="93"/>
        <v>7.2656787013248168E-5</v>
      </c>
      <c r="Z143" s="541">
        <f t="shared" si="93"/>
        <v>7.4833132381649635E-5</v>
      </c>
      <c r="AA143" s="541">
        <f t="shared" si="93"/>
        <v>7.7066718668160095E-5</v>
      </c>
      <c r="AB143" s="541">
        <f t="shared" si="93"/>
        <v>7.9358617975138829E-5</v>
      </c>
      <c r="AC143" s="541">
        <f t="shared" si="93"/>
        <v>8.1709895571335095E-5</v>
      </c>
      <c r="AD143" s="541">
        <f t="shared" si="93"/>
        <v>8.4121607588551916E-5</v>
      </c>
      <c r="AE143" s="541">
        <f t="shared" si="93"/>
        <v>8.6594798543295661E-5</v>
      </c>
      <c r="AF143" s="541">
        <f t="shared" si="93"/>
        <v>8.9130498673036006E-5</v>
      </c>
      <c r="AG143" s="541">
        <f t="shared" si="93"/>
        <v>9.1729721076132142E-5</v>
      </c>
      <c r="AH143" s="541">
        <f t="shared" si="93"/>
        <v>9.5436826895208948E-5</v>
      </c>
      <c r="AI143" s="541">
        <f t="shared" si="93"/>
        <v>9.9293749299277098E-5</v>
      </c>
      <c r="AJ143" s="541">
        <f t="shared" si="93"/>
        <v>1.0330654287923141E-4</v>
      </c>
      <c r="AK143" s="541">
        <f t="shared" si="93"/>
        <v>1.0748150691230045E-4</v>
      </c>
      <c r="AL143" s="541">
        <f t="shared" si="93"/>
        <v>1.1182519525064216E-4</v>
      </c>
    </row>
    <row r="144" spans="1:38">
      <c r="D144" s="358"/>
      <c r="F144" s="464"/>
      <c r="G144" s="465"/>
      <c r="H144" s="465"/>
    </row>
    <row r="145" spans="1:38" ht="13">
      <c r="B145" s="492" t="s">
        <v>284</v>
      </c>
      <c r="C145" s="487" t="s">
        <v>292</v>
      </c>
      <c r="D145" s="583">
        <f t="shared" ref="D145:AL145" si="94">D122-D136</f>
        <v>0</v>
      </c>
      <c r="E145" s="583">
        <f t="shared" si="94"/>
        <v>0</v>
      </c>
      <c r="F145" s="583">
        <f t="shared" si="94"/>
        <v>0</v>
      </c>
      <c r="G145" s="583">
        <f t="shared" si="94"/>
        <v>0</v>
      </c>
      <c r="H145" s="583">
        <f t="shared" si="94"/>
        <v>1004.8514870825857</v>
      </c>
      <c r="I145" s="583">
        <f t="shared" si="94"/>
        <v>994.39894279467137</v>
      </c>
      <c r="J145" s="583">
        <f t="shared" si="94"/>
        <v>980.97814280213436</v>
      </c>
      <c r="K145" s="583">
        <f t="shared" si="94"/>
        <v>961.54428170229403</v>
      </c>
      <c r="L145" s="583">
        <f t="shared" si="94"/>
        <v>937.02354215442199</v>
      </c>
      <c r="M145" s="583">
        <f t="shared" si="94"/>
        <v>907.75818522796612</v>
      </c>
      <c r="N145" s="583">
        <f t="shared" si="94"/>
        <v>910.9284696986665</v>
      </c>
      <c r="O145" s="583">
        <f t="shared" si="94"/>
        <v>912.65721325715367</v>
      </c>
      <c r="P145" s="583">
        <f t="shared" si="94"/>
        <v>912.81402617686661</v>
      </c>
      <c r="Q145" s="583">
        <f t="shared" si="94"/>
        <v>919.31042128978299</v>
      </c>
      <c r="R145" s="583">
        <f t="shared" si="94"/>
        <v>916.10173480278013</v>
      </c>
      <c r="S145" s="583">
        <f t="shared" si="94"/>
        <v>910.88009485331804</v>
      </c>
      <c r="T145" s="583">
        <f t="shared" si="94"/>
        <v>903.47785127912528</v>
      </c>
      <c r="U145" s="583">
        <f t="shared" si="94"/>
        <v>893.71667911695454</v>
      </c>
      <c r="V145" s="583">
        <f t="shared" si="94"/>
        <v>881.40697296310179</v>
      </c>
      <c r="W145" s="583">
        <f t="shared" si="94"/>
        <v>866.3472091440201</v>
      </c>
      <c r="X145" s="583">
        <f t="shared" si="94"/>
        <v>900.25894007535771</v>
      </c>
      <c r="Y145" s="583">
        <f t="shared" si="94"/>
        <v>945.16717566002785</v>
      </c>
      <c r="Z145" s="583">
        <f t="shared" si="94"/>
        <v>981.62378300077785</v>
      </c>
      <c r="AA145" s="583">
        <f t="shared" si="94"/>
        <v>1019.2545765398442</v>
      </c>
      <c r="AB145" s="583">
        <f t="shared" si="94"/>
        <v>1058.0856730557005</v>
      </c>
      <c r="AC145" s="583">
        <f t="shared" si="94"/>
        <v>1098.1430088523609</v>
      </c>
      <c r="AD145" s="583">
        <f t="shared" si="94"/>
        <v>1139.4522674155785</v>
      </c>
      <c r="AE145" s="583">
        <f t="shared" si="94"/>
        <v>1182.038800906188</v>
      </c>
      <c r="AF145" s="583">
        <f t="shared" si="94"/>
        <v>1237.9913877425333</v>
      </c>
      <c r="AG145" s="583">
        <f t="shared" si="94"/>
        <v>1283.5492139481589</v>
      </c>
      <c r="AH145" s="583">
        <f t="shared" si="94"/>
        <v>1335.4217445116119</v>
      </c>
      <c r="AI145" s="583">
        <f t="shared" si="94"/>
        <v>1389.3906180884974</v>
      </c>
      <c r="AJ145" s="583">
        <f t="shared" si="94"/>
        <v>1445.5405549340678</v>
      </c>
      <c r="AK145" s="583">
        <f t="shared" si="94"/>
        <v>1503.9596991333617</v>
      </c>
      <c r="AL145" s="583">
        <f t="shared" si="94"/>
        <v>1564.7397569696543</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'Canyon Creek Parkway'!D25</f>
        <v>1671.1511850348056</v>
      </c>
      <c r="E159" s="383">
        <f>'Canyon Creek Parkway'!E25</f>
        <v>1738.6880118115691</v>
      </c>
      <c r="F159" s="383">
        <f>'Canyon Creek Parkway'!F25</f>
        <v>1808.9542283718074</v>
      </c>
      <c r="G159" s="383">
        <f>'Canyon Creek Parkway'!G25</f>
        <v>1882.0601385148786</v>
      </c>
      <c r="H159" s="383">
        <f>'Canyon Creek Parkway'!H25</f>
        <v>1958.1205037867894</v>
      </c>
      <c r="I159" s="383">
        <f>'Canyon Creek Parkway'!I25</f>
        <v>2037.2547236326882</v>
      </c>
      <c r="J159" s="383">
        <f>'Canyon Creek Parkway'!J25</f>
        <v>2119.5870228299382</v>
      </c>
      <c r="K159" s="383">
        <f>'Canyon Creek Parkway'!K25</f>
        <v>2205.2466464959812</v>
      </c>
      <c r="L159" s="383">
        <f>'Canyon Creek Parkway'!L25</f>
        <v>2294.368062977122</v>
      </c>
      <c r="M159" s="383">
        <f>'Canyon Creek Parkway'!M25</f>
        <v>2387.0911749367378</v>
      </c>
      <c r="N159" s="383">
        <f>'Canyon Creek Parkway'!N25</f>
        <v>2483.5615389742597</v>
      </c>
      <c r="O159" s="383">
        <f>'Canyon Creek Parkway'!O25</f>
        <v>2583.9305941197076</v>
      </c>
      <c r="P159" s="383">
        <f>'Canyon Creek Parkway'!P25</f>
        <v>2688.3558995624403</v>
      </c>
      <c r="Q159" s="383">
        <f>'Canyon Creek Parkway'!Q25</f>
        <v>2797.0013819873348</v>
      </c>
      <c r="R159" s="383">
        <f>'Canyon Creek Parkway'!R25</f>
        <v>2910.0375929066436</v>
      </c>
      <c r="S159" s="383">
        <f>'Canyon Creek Parkway'!S25</f>
        <v>3027.6419763915023</v>
      </c>
      <c r="T159" s="383">
        <f>'Canyon Creek Parkway'!T25</f>
        <v>3149.9991476233531</v>
      </c>
      <c r="U159" s="383">
        <f>'Canyon Creek Parkway'!U25</f>
        <v>3277.3011827025794</v>
      </c>
      <c r="V159" s="383">
        <f>'Canyon Creek Parkway'!V25</f>
        <v>3409.7479201692795</v>
      </c>
      <c r="W159" s="383">
        <f>'Canyon Creek Parkway'!W25</f>
        <v>3547.5472747094905</v>
      </c>
      <c r="X159" s="383">
        <f>'Canyon Creek Parkway'!X25</f>
        <v>3690.9155635393531</v>
      </c>
      <c r="Y159" s="383">
        <f>'Canyon Creek Parkway'!Y25</f>
        <v>3840.0778459795438</v>
      </c>
      <c r="Z159" s="383">
        <f>'Canyon Creek Parkway'!Z25</f>
        <v>3995.2682767530519</v>
      </c>
      <c r="AA159" s="383">
        <f>'Canyon Creek Parkway'!AA25</f>
        <v>4156.7304735609086</v>
      </c>
      <c r="AB159" s="383">
        <f>'Canyon Creek Parkway'!AB25</f>
        <v>4324.7178995128761</v>
      </c>
      <c r="AC159" s="383">
        <f>'Canyon Creek Parkway'!AC25</f>
        <v>4499.4942610134594</v>
      </c>
      <c r="AD159" s="383">
        <f>'Canyon Creek Parkway'!AD25</f>
        <v>4681.3339217278099</v>
      </c>
      <c r="AE159" s="383">
        <f>'Canyon Creek Parkway'!AE25</f>
        <v>4870.522333277384</v>
      </c>
      <c r="AF159" s="383">
        <f>'Canyon Creek Parkway'!AF25</f>
        <v>5067.3564833414684</v>
      </c>
      <c r="AG159" s="383">
        <f>'Canyon Creek Parkway'!AG25</f>
        <v>5272.1453618679898</v>
      </c>
      <c r="AH159" s="383">
        <f>'Canyon Creek Parkway'!AH25</f>
        <v>5485.2104461254521</v>
      </c>
      <c r="AI159" s="383">
        <f>'Canyon Creek Parkway'!AI25</f>
        <v>5706.8862053574685</v>
      </c>
      <c r="AJ159" s="383">
        <f>'Canyon Creek Parkway'!AJ25</f>
        <v>5937.5206258320613</v>
      </c>
      <c r="AK159" s="383">
        <f>'Canyon Creek Parkway'!AK25</f>
        <v>6177.4757571099844</v>
      </c>
      <c r="AL159" s="383">
        <f>'Canyon Creek Parkway'!AL25</f>
        <v>6427.1282803895629</v>
      </c>
    </row>
    <row r="160" spans="1:38">
      <c r="B160" s="385" t="s">
        <v>509</v>
      </c>
      <c r="C160" s="386" t="s">
        <v>443</v>
      </c>
      <c r="D160" s="383">
        <f>'Canyon Creek Parkway'!D26</f>
        <v>185.6834650038673</v>
      </c>
      <c r="E160" s="383">
        <f>'Canyon Creek Parkway'!E26</f>
        <v>193.18755686795214</v>
      </c>
      <c r="F160" s="383">
        <f>'Canyon Creek Parkway'!F26</f>
        <v>200.99491426353416</v>
      </c>
      <c r="G160" s="383">
        <f>'Canyon Creek Parkway'!G26</f>
        <v>209.11779316831985</v>
      </c>
      <c r="H160" s="383">
        <f>'Canyon Creek Parkway'!H26</f>
        <v>217.56894486519883</v>
      </c>
      <c r="I160" s="383">
        <f>'Canyon Creek Parkway'!I26</f>
        <v>226.36163595918757</v>
      </c>
      <c r="J160" s="383">
        <f>'Canyon Creek Parkway'!J26</f>
        <v>235.50966920332644</v>
      </c>
      <c r="K160" s="383">
        <f>'Canyon Creek Parkway'!K26</f>
        <v>245.02740516622012</v>
      </c>
      <c r="L160" s="383">
        <f>'Canyon Creek Parkway'!L26</f>
        <v>254.92978477523582</v>
      </c>
      <c r="M160" s="383">
        <f>'Canyon Creek Parkway'!M26</f>
        <v>265.23235277074866</v>
      </c>
      <c r="N160" s="383">
        <f>'Canyon Creek Parkway'!N26</f>
        <v>275.95128210825106</v>
      </c>
      <c r="O160" s="383">
        <f>'Canyon Creek Parkway'!O26</f>
        <v>287.10339934663415</v>
      </c>
      <c r="P160" s="383">
        <f>'Canyon Creek Parkway'!P26</f>
        <v>298.70621106249337</v>
      </c>
      <c r="Q160" s="383">
        <f>'Canyon Creek Parkway'!Q26</f>
        <v>310.77793133192608</v>
      </c>
      <c r="R160" s="383">
        <f>'Canyon Creek Parkway'!R26</f>
        <v>323.33751032296044</v>
      </c>
      <c r="S160" s="383">
        <f>'Canyon Creek Parkway'!S26</f>
        <v>336.4046640435003</v>
      </c>
      <c r="T160" s="383">
        <f>'Canyon Creek Parkway'!T26</f>
        <v>349.99990529148369</v>
      </c>
      <c r="U160" s="383">
        <f>'Canyon Creek Parkway'!U26</f>
        <v>364.14457585584216</v>
      </c>
      <c r="V160" s="383">
        <f>'Canyon Creek Parkway'!V26</f>
        <v>378.86088001880881</v>
      </c>
      <c r="W160" s="383">
        <f>'Canyon Creek Parkway'!W26</f>
        <v>394.17191941216561</v>
      </c>
      <c r="X160" s="383">
        <f>'Canyon Creek Parkway'!X26</f>
        <v>410.10172928215036</v>
      </c>
      <c r="Y160" s="383">
        <f>'Canyon Creek Parkway'!Y26</f>
        <v>426.67531621994931</v>
      </c>
      <c r="Z160" s="383">
        <f>'Canyon Creek Parkway'!Z26</f>
        <v>443.91869741700577</v>
      </c>
      <c r="AA160" s="383">
        <f>'Canyon Creek Parkway'!AA26</f>
        <v>461.85894150676762</v>
      </c>
      <c r="AB160" s="383">
        <f>'Canyon Creek Parkway'!AB26</f>
        <v>480.52421105698625</v>
      </c>
      <c r="AC160" s="383">
        <f>'Canyon Creek Parkway'!AC26</f>
        <v>499.9438067792733</v>
      </c>
      <c r="AD160" s="383">
        <f>'Canyon Creek Parkway'!AD26</f>
        <v>520.14821352531214</v>
      </c>
      <c r="AE160" s="383">
        <f>'Canyon Creek Parkway'!AE26</f>
        <v>541.16914814193149</v>
      </c>
      <c r="AF160" s="383">
        <f>'Canyon Creek Parkway'!AF26</f>
        <v>563.03960926016316</v>
      </c>
      <c r="AG160" s="383">
        <f>'Canyon Creek Parkway'!AG26</f>
        <v>585.79392909644332</v>
      </c>
      <c r="AH160" s="383">
        <f>'Canyon Creek Parkway'!AH26</f>
        <v>609.46782734727253</v>
      </c>
      <c r="AI160" s="383">
        <f>'Canyon Creek Parkway'!AI26</f>
        <v>634.09846726194098</v>
      </c>
      <c r="AJ160" s="383">
        <f>'Canyon Creek Parkway'!AJ26</f>
        <v>659.72451398134024</v>
      </c>
      <c r="AK160" s="383">
        <f>'Canyon Creek Parkway'!AK26</f>
        <v>686.38619523444277</v>
      </c>
      <c r="AL160" s="383">
        <f>'Canyon Creek Parkway'!AL26</f>
        <v>714.12536448772926</v>
      </c>
    </row>
    <row r="161" spans="2:38">
      <c r="B161" s="358" t="s">
        <v>769</v>
      </c>
      <c r="C161" s="358" t="s">
        <v>443</v>
      </c>
      <c r="D161" s="383">
        <f>'Canyon Creek Parkway'!D27</f>
        <v>0</v>
      </c>
      <c r="E161" s="383">
        <f>'Canyon Creek Parkway'!E27</f>
        <v>0</v>
      </c>
      <c r="F161" s="383">
        <f>'Canyon Creek Parkway'!F27</f>
        <v>0</v>
      </c>
      <c r="G161" s="383">
        <f>'Canyon Creek Parkway'!G27</f>
        <v>0</v>
      </c>
      <c r="H161" s="383">
        <f>'Canyon Creek Parkway'!H27</f>
        <v>0</v>
      </c>
      <c r="I161" s="383">
        <f>'Canyon Creek Parkway'!I27</f>
        <v>0</v>
      </c>
      <c r="J161" s="383">
        <f>'Canyon Creek Parkway'!J27</f>
        <v>0</v>
      </c>
      <c r="K161" s="383">
        <f>'Canyon Creek Parkway'!K27</f>
        <v>0</v>
      </c>
      <c r="L161" s="383">
        <f>'Canyon Creek Parkway'!L27</f>
        <v>0</v>
      </c>
      <c r="M161" s="383">
        <f>'Canyon Creek Parkway'!M27</f>
        <v>0</v>
      </c>
      <c r="N161" s="383">
        <f>'Canyon Creek Parkway'!N27</f>
        <v>0</v>
      </c>
      <c r="O161" s="383">
        <f>'Canyon Creek Parkway'!O27</f>
        <v>0</v>
      </c>
      <c r="P161" s="383">
        <f>'Canyon Creek Parkway'!P27</f>
        <v>0</v>
      </c>
      <c r="Q161" s="383">
        <f>'Canyon Creek Parkway'!Q27</f>
        <v>0</v>
      </c>
      <c r="R161" s="383">
        <f>'Canyon Creek Parkway'!R27</f>
        <v>0</v>
      </c>
      <c r="S161" s="383">
        <f>'Canyon Creek Parkway'!S27</f>
        <v>0</v>
      </c>
      <c r="T161" s="383">
        <f>'Canyon Creek Parkway'!T27</f>
        <v>0</v>
      </c>
      <c r="U161" s="383">
        <f>'Canyon Creek Parkway'!U27</f>
        <v>0</v>
      </c>
      <c r="V161" s="383">
        <f>'Canyon Creek Parkway'!V27</f>
        <v>0</v>
      </c>
      <c r="W161" s="383">
        <f>'Canyon Creek Parkway'!W27</f>
        <v>0</v>
      </c>
      <c r="X161" s="383">
        <f>'Canyon Creek Parkway'!X27</f>
        <v>0</v>
      </c>
      <c r="Y161" s="383">
        <f>'Canyon Creek Parkway'!Y27</f>
        <v>0</v>
      </c>
      <c r="Z161" s="383">
        <f>'Canyon Creek Parkway'!Z27</f>
        <v>0</v>
      </c>
      <c r="AA161" s="383">
        <f>'Canyon Creek Parkway'!AA27</f>
        <v>0</v>
      </c>
      <c r="AB161" s="383">
        <f>'Canyon Creek Parkway'!AB27</f>
        <v>0</v>
      </c>
      <c r="AC161" s="383">
        <f>'Canyon Creek Parkway'!AC27</f>
        <v>0</v>
      </c>
      <c r="AD161" s="383">
        <f>'Canyon Creek Parkway'!AD27</f>
        <v>0</v>
      </c>
      <c r="AE161" s="383">
        <f>'Canyon Creek Parkway'!AE27</f>
        <v>0</v>
      </c>
      <c r="AF161" s="383">
        <f>'Canyon Creek Parkway'!AF27</f>
        <v>0</v>
      </c>
      <c r="AG161" s="383">
        <f>'Canyon Creek Parkway'!AG27</f>
        <v>0</v>
      </c>
      <c r="AH161" s="383">
        <f>'Canyon Creek Parkway'!AH27</f>
        <v>0</v>
      </c>
      <c r="AI161" s="383">
        <f>'Canyon Creek Parkway'!AI27</f>
        <v>0</v>
      </c>
      <c r="AJ161" s="383">
        <f>'Canyon Creek Parkway'!AJ27</f>
        <v>0</v>
      </c>
      <c r="AK161" s="383">
        <f>'Canyon Creek Parkway'!AK27</f>
        <v>0</v>
      </c>
      <c r="AL161" s="383">
        <f>'Canyon Creek Parkway'!AL27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57.654715883700788</v>
      </c>
      <c r="E166" s="383">
        <f t="shared" ref="E166:AE168" si="95">E159*$C163</f>
        <v>59.984736407499128</v>
      </c>
      <c r="F166" s="383">
        <f t="shared" si="95"/>
        <v>62.408920878827345</v>
      </c>
      <c r="G166" s="383">
        <f t="shared" si="95"/>
        <v>64.931074778763303</v>
      </c>
      <c r="H166" s="383">
        <f t="shared" si="95"/>
        <v>67.555157380644232</v>
      </c>
      <c r="I166" s="383">
        <f t="shared" si="95"/>
        <v>70.28528796532774</v>
      </c>
      <c r="J166" s="383">
        <f t="shared" si="95"/>
        <v>73.125752287632864</v>
      </c>
      <c r="K166" s="383">
        <f t="shared" si="95"/>
        <v>76.081009304111348</v>
      </c>
      <c r="L166" s="383">
        <f t="shared" si="95"/>
        <v>79.1556981727107</v>
      </c>
      <c r="M166" s="383">
        <f t="shared" si="95"/>
        <v>82.354645535317445</v>
      </c>
      <c r="N166" s="383">
        <f t="shared" si="95"/>
        <v>85.682873094611949</v>
      </c>
      <c r="O166" s="383">
        <f t="shared" si="95"/>
        <v>89.145605497129907</v>
      </c>
      <c r="P166" s="383">
        <f t="shared" si="95"/>
        <v>92.748278534904173</v>
      </c>
      <c r="Q166" s="383">
        <f t="shared" si="95"/>
        <v>96.496547678563033</v>
      </c>
      <c r="R166" s="383">
        <f t="shared" si="95"/>
        <v>100.3962969552792</v>
      </c>
      <c r="S166" s="383">
        <f t="shared" si="95"/>
        <v>104.45364818550682</v>
      </c>
      <c r="T166" s="383">
        <f t="shared" si="95"/>
        <v>108.67497059300567</v>
      </c>
      <c r="U166" s="383">
        <f t="shared" si="95"/>
        <v>113.06689080323898</v>
      </c>
      <c r="V166" s="383">
        <f t="shared" si="95"/>
        <v>117.63630324584012</v>
      </c>
      <c r="W166" s="383">
        <f t="shared" si="95"/>
        <v>122.39038097747741</v>
      </c>
      <c r="X166" s="383">
        <f t="shared" si="95"/>
        <v>127.33658694210767</v>
      </c>
      <c r="Y166" s="383">
        <f t="shared" si="95"/>
        <v>132.48268568629425</v>
      </c>
      <c r="Z166" s="383">
        <f t="shared" si="95"/>
        <v>137.83675554798026</v>
      </c>
      <c r="AA166" s="383">
        <f t="shared" si="95"/>
        <v>143.40720133785132</v>
      </c>
      <c r="AB166" s="383">
        <f t="shared" si="95"/>
        <v>149.20276753319422</v>
      </c>
      <c r="AC166" s="383">
        <f t="shared" si="95"/>
        <v>155.23255200496433</v>
      </c>
      <c r="AD166" s="383">
        <f t="shared" si="95"/>
        <v>161.50602029960942</v>
      </c>
      <c r="AE166" s="383">
        <f t="shared" si="95"/>
        <v>168.03302049806973</v>
      </c>
      <c r="AF166" s="383">
        <f t="shared" ref="AF166:AJ166" si="96">AF159*$C163</f>
        <v>174.82379867528064</v>
      </c>
      <c r="AG166" s="383">
        <f t="shared" si="96"/>
        <v>181.88901498444562</v>
      </c>
      <c r="AH166" s="383">
        <f t="shared" si="96"/>
        <v>189.23976039132808</v>
      </c>
      <c r="AI166" s="383">
        <f t="shared" si="96"/>
        <v>196.88757408483264</v>
      </c>
      <c r="AJ166" s="383">
        <f t="shared" si="96"/>
        <v>204.84446159120608</v>
      </c>
      <c r="AK166" s="383">
        <f t="shared" ref="AK166:AL166" si="97">AK159*$C163</f>
        <v>213.12291362029444</v>
      </c>
      <c r="AL166" s="383">
        <f t="shared" si="97"/>
        <v>221.73592567343988</v>
      </c>
    </row>
    <row r="167" spans="2:38">
      <c r="B167" s="385" t="s">
        <v>501</v>
      </c>
      <c r="C167" s="386" t="s">
        <v>479</v>
      </c>
      <c r="D167" s="383">
        <f t="shared" ref="D167:S168" si="98">D160*$C164</f>
        <v>6.4060795426334209</v>
      </c>
      <c r="E167" s="383">
        <f t="shared" si="98"/>
        <v>6.6649707119443482</v>
      </c>
      <c r="F167" s="383">
        <f t="shared" si="98"/>
        <v>6.9343245420919279</v>
      </c>
      <c r="G167" s="383">
        <f t="shared" si="98"/>
        <v>7.214563864307034</v>
      </c>
      <c r="H167" s="383">
        <f t="shared" si="98"/>
        <v>7.5061285978493588</v>
      </c>
      <c r="I167" s="383">
        <f t="shared" si="98"/>
        <v>7.8094764405919701</v>
      </c>
      <c r="J167" s="383">
        <f t="shared" si="98"/>
        <v>8.1250835875147605</v>
      </c>
      <c r="K167" s="383">
        <f t="shared" si="98"/>
        <v>8.4534454782345936</v>
      </c>
      <c r="L167" s="383">
        <f t="shared" si="98"/>
        <v>8.7950775747456351</v>
      </c>
      <c r="M167" s="383">
        <f t="shared" si="98"/>
        <v>9.1505161705908282</v>
      </c>
      <c r="N167" s="383">
        <f t="shared" si="98"/>
        <v>9.5203192327346606</v>
      </c>
      <c r="O167" s="383">
        <f t="shared" si="98"/>
        <v>9.9050672774588762</v>
      </c>
      <c r="P167" s="383">
        <f t="shared" si="98"/>
        <v>10.30536428165602</v>
      </c>
      <c r="Q167" s="383">
        <f t="shared" si="98"/>
        <v>10.721838630951449</v>
      </c>
      <c r="R167" s="383">
        <f t="shared" si="98"/>
        <v>11.155144106142133</v>
      </c>
      <c r="S167" s="383">
        <f t="shared" si="98"/>
        <v>11.605960909500759</v>
      </c>
      <c r="T167" s="383">
        <f t="shared" si="95"/>
        <v>12.074996732556185</v>
      </c>
      <c r="U167" s="383">
        <f t="shared" si="95"/>
        <v>12.562987867026553</v>
      </c>
      <c r="V167" s="383">
        <f t="shared" si="95"/>
        <v>13.070700360648903</v>
      </c>
      <c r="W167" s="383">
        <f t="shared" si="95"/>
        <v>13.598931219719711</v>
      </c>
      <c r="X167" s="383">
        <f t="shared" si="95"/>
        <v>14.148509660234186</v>
      </c>
      <c r="Y167" s="383">
        <f t="shared" si="95"/>
        <v>14.720298409588249</v>
      </c>
      <c r="Z167" s="383">
        <f t="shared" si="95"/>
        <v>15.315195060886698</v>
      </c>
      <c r="AA167" s="383">
        <f t="shared" si="95"/>
        <v>15.934133481983482</v>
      </c>
      <c r="AB167" s="383">
        <f t="shared" si="95"/>
        <v>16.578085281466024</v>
      </c>
      <c r="AC167" s="383">
        <f t="shared" si="95"/>
        <v>17.248061333884927</v>
      </c>
      <c r="AD167" s="383">
        <f t="shared" si="95"/>
        <v>17.945113366623268</v>
      </c>
      <c r="AE167" s="383">
        <f t="shared" si="95"/>
        <v>18.670335610896633</v>
      </c>
      <c r="AF167" s="383">
        <f t="shared" ref="AF167:AJ167" si="99">AF160*$C164</f>
        <v>19.424866519475628</v>
      </c>
      <c r="AG167" s="383">
        <f t="shared" si="99"/>
        <v>20.209890553827293</v>
      </c>
      <c r="AH167" s="383">
        <f t="shared" si="99"/>
        <v>21.026640043480899</v>
      </c>
      <c r="AI167" s="383">
        <f t="shared" si="99"/>
        <v>21.876397120536961</v>
      </c>
      <c r="AJ167" s="383">
        <f t="shared" si="99"/>
        <v>22.760495732356237</v>
      </c>
      <c r="AK167" s="383">
        <f t="shared" ref="AK167:AL167" si="100">AK160*$C164</f>
        <v>23.680323735588274</v>
      </c>
      <c r="AL167" s="383">
        <f t="shared" si="100"/>
        <v>24.637325074826656</v>
      </c>
    </row>
    <row r="168" spans="2:38">
      <c r="B168" s="385" t="s">
        <v>768</v>
      </c>
      <c r="C168" s="386" t="s">
        <v>479</v>
      </c>
      <c r="D168" s="383">
        <f t="shared" si="98"/>
        <v>0</v>
      </c>
      <c r="E168" s="383">
        <f t="shared" si="95"/>
        <v>0</v>
      </c>
      <c r="F168" s="383">
        <f t="shared" si="95"/>
        <v>0</v>
      </c>
      <c r="G168" s="383">
        <f t="shared" si="95"/>
        <v>0</v>
      </c>
      <c r="H168" s="383">
        <f t="shared" si="95"/>
        <v>0</v>
      </c>
      <c r="I168" s="383">
        <f t="shared" si="95"/>
        <v>0</v>
      </c>
      <c r="J168" s="383">
        <f t="shared" si="95"/>
        <v>0</v>
      </c>
      <c r="K168" s="383">
        <f t="shared" si="95"/>
        <v>0</v>
      </c>
      <c r="L168" s="383">
        <f t="shared" si="95"/>
        <v>0</v>
      </c>
      <c r="M168" s="383">
        <f t="shared" si="95"/>
        <v>0</v>
      </c>
      <c r="N168" s="383">
        <f t="shared" si="95"/>
        <v>0</v>
      </c>
      <c r="O168" s="383">
        <f t="shared" si="95"/>
        <v>0</v>
      </c>
      <c r="P168" s="383">
        <f t="shared" si="95"/>
        <v>0</v>
      </c>
      <c r="Q168" s="383">
        <f t="shared" si="95"/>
        <v>0</v>
      </c>
      <c r="R168" s="383">
        <f t="shared" si="95"/>
        <v>0</v>
      </c>
      <c r="S168" s="383">
        <f t="shared" si="95"/>
        <v>0</v>
      </c>
      <c r="T168" s="383">
        <f t="shared" si="95"/>
        <v>0</v>
      </c>
      <c r="U168" s="383">
        <f t="shared" si="95"/>
        <v>0</v>
      </c>
      <c r="V168" s="383">
        <f t="shared" si="95"/>
        <v>0</v>
      </c>
      <c r="W168" s="383">
        <f t="shared" si="95"/>
        <v>0</v>
      </c>
      <c r="X168" s="383">
        <f t="shared" si="95"/>
        <v>0</v>
      </c>
      <c r="Y168" s="383">
        <f t="shared" si="95"/>
        <v>0</v>
      </c>
      <c r="Z168" s="383">
        <f t="shared" si="95"/>
        <v>0</v>
      </c>
      <c r="AA168" s="383">
        <f t="shared" si="95"/>
        <v>0</v>
      </c>
      <c r="AB168" s="383">
        <f t="shared" si="95"/>
        <v>0</v>
      </c>
      <c r="AC168" s="383">
        <f t="shared" si="95"/>
        <v>0</v>
      </c>
      <c r="AD168" s="383">
        <f t="shared" si="95"/>
        <v>0</v>
      </c>
      <c r="AE168" s="383">
        <f t="shared" si="95"/>
        <v>0</v>
      </c>
      <c r="AF168" s="383">
        <f t="shared" ref="AF168:AJ168" si="101">AF161*$C165</f>
        <v>0</v>
      </c>
      <c r="AG168" s="383">
        <f t="shared" si="101"/>
        <v>0</v>
      </c>
      <c r="AH168" s="383">
        <f t="shared" si="101"/>
        <v>0</v>
      </c>
      <c r="AI168" s="383">
        <f t="shared" si="101"/>
        <v>0</v>
      </c>
      <c r="AJ168" s="383">
        <f t="shared" si="101"/>
        <v>0</v>
      </c>
      <c r="AK168" s="383">
        <f t="shared" ref="AK168:AL168" si="102">AK161*$C165</f>
        <v>0</v>
      </c>
      <c r="AL168" s="383">
        <f t="shared" si="102"/>
        <v>0</v>
      </c>
    </row>
    <row r="169" spans="2:38">
      <c r="D169" s="358"/>
      <c r="F169" s="464"/>
      <c r="G169" s="465"/>
      <c r="H169" s="465"/>
    </row>
    <row r="170" spans="2:38">
      <c r="B170" s="358" t="s">
        <v>459</v>
      </c>
      <c r="C170" s="362" t="s">
        <v>292</v>
      </c>
      <c r="D170" s="485">
        <f>SUMPRODUCT($C$153:$C$155,D166:D168)</f>
        <v>645.24158318002515</v>
      </c>
      <c r="E170" s="485">
        <f t="shared" ref="E170:AE170" si="103">SUMPRODUCT($C$153:$C$155,E166:E168)</f>
        <v>671.31796060334398</v>
      </c>
      <c r="F170" s="485">
        <f t="shared" si="103"/>
        <v>698.44817193515371</v>
      </c>
      <c r="G170" s="485">
        <f t="shared" si="103"/>
        <v>726.67480613973623</v>
      </c>
      <c r="H170" s="485">
        <f t="shared" si="103"/>
        <v>756.04217334432371</v>
      </c>
      <c r="I170" s="485">
        <f t="shared" si="103"/>
        <v>786.59637439706717</v>
      </c>
      <c r="J170" s="485">
        <f t="shared" si="103"/>
        <v>818.3853732360792</v>
      </c>
      <c r="K170" s="485">
        <f t="shared" si="103"/>
        <v>851.45907218315062</v>
      </c>
      <c r="L170" s="485">
        <f t="shared" si="103"/>
        <v>885.86939028033703</v>
      </c>
      <c r="M170" s="485">
        <f t="shared" si="103"/>
        <v>921.67034479239396</v>
      </c>
      <c r="N170" s="485">
        <f t="shared" si="103"/>
        <v>958.91813600299452</v>
      </c>
      <c r="O170" s="485">
        <f t="shared" si="103"/>
        <v>997.67123543785101</v>
      </c>
      <c r="P170" s="485">
        <f t="shared" si="103"/>
        <v>1037.9904776532242</v>
      </c>
      <c r="Q170" s="485">
        <f t="shared" si="103"/>
        <v>1079.9391557339191</v>
      </c>
      <c r="R170" s="485">
        <f t="shared" si="103"/>
        <v>1123.5831206506703</v>
      </c>
      <c r="S170" s="485">
        <f t="shared" si="103"/>
        <v>1168.9908846328983</v>
      </c>
      <c r="T170" s="485">
        <f t="shared" si="103"/>
        <v>1216.2337287190987</v>
      </c>
      <c r="U170" s="485">
        <f t="shared" si="103"/>
        <v>1265.3858146537107</v>
      </c>
      <c r="V170" s="485">
        <f t="shared" si="103"/>
        <v>1316.5243013061092</v>
      </c>
      <c r="W170" s="485">
        <f t="shared" si="103"/>
        <v>1369.7294657944792</v>
      </c>
      <c r="X170" s="485">
        <f t="shared" si="103"/>
        <v>1425.0848295047142</v>
      </c>
      <c r="Y170" s="485">
        <f t="shared" si="103"/>
        <v>1482.6772892021593</v>
      </c>
      <c r="Z170" s="485">
        <f t="shared" si="103"/>
        <v>1542.5972534420212</v>
      </c>
      <c r="AA170" s="485">
        <f t="shared" si="103"/>
        <v>1604.9387844925805</v>
      </c>
      <c r="AB170" s="485">
        <f t="shared" si="103"/>
        <v>1669.7997459939947</v>
      </c>
      <c r="AC170" s="485">
        <f t="shared" si="103"/>
        <v>1737.2819565844936</v>
      </c>
      <c r="AD170" s="485">
        <f t="shared" si="103"/>
        <v>1807.4913497351213</v>
      </c>
      <c r="AE170" s="485">
        <f t="shared" si="103"/>
        <v>1880.5381400439342</v>
      </c>
      <c r="AF170" s="485">
        <f t="shared" ref="AF170:AJ170" si="104">SUMPRODUCT($C$153:$C$155,AF166:AF168)</f>
        <v>1956.5369962507104</v>
      </c>
      <c r="AG170" s="485">
        <f t="shared" si="104"/>
        <v>2035.6072212437668</v>
      </c>
      <c r="AH170" s="485">
        <f t="shared" si="104"/>
        <v>2117.8729393414428</v>
      </c>
      <c r="AI170" s="485">
        <f t="shared" si="104"/>
        <v>2203.4632911422714</v>
      </c>
      <c r="AJ170" s="485">
        <f t="shared" si="104"/>
        <v>2292.5126362496885</v>
      </c>
      <c r="AK170" s="485">
        <f t="shared" ref="AK170:AL170" si="105">SUMPRODUCT($C$153:$C$155,AK166:AK168)</f>
        <v>2385.1607641895393</v>
      </c>
      <c r="AL170" s="485">
        <f t="shared" si="105"/>
        <v>2481.5531138514571</v>
      </c>
    </row>
    <row r="171" spans="2:38">
      <c r="D171" s="358"/>
      <c r="F171" s="464"/>
      <c r="G171" s="465"/>
      <c r="H171" s="465"/>
    </row>
    <row r="172" spans="2:38">
      <c r="B172" s="520" t="s">
        <v>715</v>
      </c>
      <c r="C172" s="358" t="s">
        <v>295</v>
      </c>
      <c r="D172" s="383">
        <f>'Canyon Creek Parkway'!D32</f>
        <v>597.43654864994301</v>
      </c>
      <c r="E172" s="383">
        <f>'Canyon Creek Parkway'!E32</f>
        <v>621.58096422263588</v>
      </c>
      <c r="F172" s="383">
        <f>'Canyon Creek Parkway'!F32</f>
        <v>646.70113664292114</v>
      </c>
      <c r="G172" s="383">
        <f>'Canyon Creek Parkway'!G32</f>
        <v>672.83649951906909</v>
      </c>
      <c r="H172" s="383">
        <f>'Canyon Creek Parkway'!H32</f>
        <v>700.02808010377714</v>
      </c>
      <c r="I172" s="383">
        <f>'Canyon Creek Parkway'!I32</f>
        <v>728.31856369868603</v>
      </c>
      <c r="J172" s="383">
        <f>'Canyon Creek Parkway'!J32</f>
        <v>757.75236066170282</v>
      </c>
      <c r="K172" s="383">
        <f>'Canyon Creek Parkway'!K32</f>
        <v>788.37567612231328</v>
      </c>
      <c r="L172" s="383">
        <f>'Canyon Creek Parkway'!L32</f>
        <v>820.23658251432107</v>
      </c>
      <c r="M172" s="383">
        <f>'Canyon Creek Parkway'!M32</f>
        <v>853.38509503988371</v>
      </c>
      <c r="N172" s="383">
        <f>'Canyon Creek Parkway'!N32</f>
        <v>887.87325018329784</v>
      </c>
      <c r="O172" s="383">
        <f>'Canyon Creek Parkway'!O32</f>
        <v>923.75518739779545</v>
      </c>
      <c r="P172" s="383">
        <f>'Canyon Creek Parkway'!P32</f>
        <v>961.08723409357242</v>
      </c>
      <c r="Q172" s="383">
        <f>'Canyon Creek Parkway'!Q32</f>
        <v>999.92799406047209</v>
      </c>
      <c r="R172" s="383">
        <f>'Canyon Creek Parkway'!R32</f>
        <v>1040.338439464125</v>
      </c>
      <c r="S172" s="383">
        <f>'Canyon Creek Parkway'!S32</f>
        <v>1082.3820065599621</v>
      </c>
      <c r="T172" s="383">
        <f>'Canyon Creek Parkway'!T32</f>
        <v>1126.1246952753486</v>
      </c>
      <c r="U172" s="383">
        <f>'Canyon Creek Parkway'!U32</f>
        <v>1171.6351728161721</v>
      </c>
      <c r="V172" s="383">
        <f>'Canyon Creek Parkway'!V32</f>
        <v>1218.9848814605173</v>
      </c>
      <c r="W172" s="383">
        <f>'Canyon Creek Parkway'!W32</f>
        <v>1268.2481507086427</v>
      </c>
      <c r="X172" s="383">
        <f>'Canyon Creek Parkway'!X32</f>
        <v>1319.5023139653188</v>
      </c>
      <c r="Y172" s="383">
        <f>'Canyon Creek Parkway'!Y32</f>
        <v>1372.8278299376868</v>
      </c>
      <c r="Z172" s="383">
        <f>'Canyon Creek Parkway'!Z32</f>
        <v>1428.308408939216</v>
      </c>
      <c r="AA172" s="383">
        <f>'Canyon Creek Parkway'!AA32</f>
        <v>1486.0311442980249</v>
      </c>
      <c r="AB172" s="383">
        <f>'Canyon Creek Parkway'!AB32</f>
        <v>1546.0866490758531</v>
      </c>
      <c r="AC172" s="383">
        <f>'Canyon Creek Parkway'!AC32</f>
        <v>1608.5691983123118</v>
      </c>
      <c r="AD172" s="383">
        <f>'Canyon Creek Parkway'!AD32</f>
        <v>1673.5768770176919</v>
      </c>
      <c r="AE172" s="383">
        <f>'Canyon Creek Parkway'!AE32</f>
        <v>1741.2117341466646</v>
      </c>
      <c r="AF172" s="383">
        <f>'Canyon Creek Parkway'!AF32</f>
        <v>1811.5799427945749</v>
      </c>
      <c r="AG172" s="383">
        <f>'Canyon Creek Parkway'!AG32</f>
        <v>1884.7919668678062</v>
      </c>
      <c r="AH172" s="383">
        <f>'Canyon Creek Parkway'!AH32</f>
        <v>1960.962734489849</v>
      </c>
      <c r="AI172" s="383">
        <f>'Canyon Creek Parkway'!AI32</f>
        <v>2040.2118184152948</v>
      </c>
      <c r="AJ172" s="383">
        <f>'Canyon Creek Parkway'!AJ32</f>
        <v>2122.6636237349617</v>
      </c>
      <c r="AK172" s="383">
        <f>'Canyon Creek Parkway'!AK32</f>
        <v>2208.4475831668192</v>
      </c>
      <c r="AL172" s="383">
        <f>'Canyon Creek Parkway'!AL32</f>
        <v>2297.6983602392688</v>
      </c>
    </row>
    <row r="173" spans="2:38">
      <c r="B173" s="520" t="s">
        <v>716</v>
      </c>
      <c r="C173" s="358" t="s">
        <v>295</v>
      </c>
      <c r="D173" s="383">
        <f>'Canyon Creek Parkway'!D33</f>
        <v>155.97411060324853</v>
      </c>
      <c r="E173" s="383">
        <f>'Canyon Creek Parkway'!E33</f>
        <v>162.2775477690798</v>
      </c>
      <c r="F173" s="383">
        <f>'Canyon Creek Parkway'!F33</f>
        <v>168.83572798136868</v>
      </c>
      <c r="G173" s="383">
        <f>'Canyon Creek Parkway'!G33</f>
        <v>175.65894626138868</v>
      </c>
      <c r="H173" s="383">
        <f>'Canyon Creek Parkway'!H33</f>
        <v>182.75791368676701</v>
      </c>
      <c r="I173" s="383">
        <f>'Canyon Creek Parkway'!I33</f>
        <v>190.14377420571756</v>
      </c>
      <c r="J173" s="383">
        <f>'Canyon Creek Parkway'!J33</f>
        <v>197.82812213079421</v>
      </c>
      <c r="K173" s="383">
        <f>'Canyon Creek Parkway'!K33</f>
        <v>205.82302033962489</v>
      </c>
      <c r="L173" s="383">
        <f>'Canyon Creek Parkway'!L33</f>
        <v>214.14101921119808</v>
      </c>
      <c r="M173" s="383">
        <f>'Canyon Creek Parkway'!M33</f>
        <v>222.79517632742886</v>
      </c>
      <c r="N173" s="383">
        <f>'Canyon Creek Parkway'!N33</f>
        <v>231.79907697093088</v>
      </c>
      <c r="O173" s="383">
        <f>'Canyon Creek Parkway'!O33</f>
        <v>241.16685545117267</v>
      </c>
      <c r="P173" s="383">
        <f>'Canyon Creek Parkway'!P33</f>
        <v>250.91321729249441</v>
      </c>
      <c r="Q173" s="383">
        <f>'Canyon Creek Parkway'!Q33</f>
        <v>261.05346231881788</v>
      </c>
      <c r="R173" s="383">
        <f>'Canyon Creek Parkway'!R33</f>
        <v>271.60350867128676</v>
      </c>
      <c r="S173" s="383">
        <f>'Canyon Creek Parkway'!S33</f>
        <v>282.57991779654026</v>
      </c>
      <c r="T173" s="383">
        <f>'Canyon Creek Parkway'!T33</f>
        <v>293.99992044484628</v>
      </c>
      <c r="U173" s="383">
        <f>'Canyon Creek Parkway'!U33</f>
        <v>305.88144371890741</v>
      </c>
      <c r="V173" s="383">
        <f>'Canyon Creek Parkway'!V33</f>
        <v>318.24313921579937</v>
      </c>
      <c r="W173" s="383">
        <f>'Canyon Creek Parkway'!W33</f>
        <v>331.1044123062191</v>
      </c>
      <c r="X173" s="383">
        <f>'Canyon Creek Parkway'!X33</f>
        <v>344.48545259700632</v>
      </c>
      <c r="Y173" s="383">
        <f>'Canyon Creek Parkway'!Y33</f>
        <v>358.40726562475743</v>
      </c>
      <c r="Z173" s="383">
        <f>'Canyon Creek Parkway'!Z33</f>
        <v>372.89170583028482</v>
      </c>
      <c r="AA173" s="383">
        <f>'Canyon Creek Parkway'!AA33</f>
        <v>387.96151086568477</v>
      </c>
      <c r="AB173" s="383">
        <f>'Canyon Creek Parkway'!AB33</f>
        <v>403.64033728786842</v>
      </c>
      <c r="AC173" s="383">
        <f>'Canyon Creek Parkway'!AC33</f>
        <v>419.95279769458955</v>
      </c>
      <c r="AD173" s="383">
        <f>'Canyon Creek Parkway'!AD33</f>
        <v>436.92449936126218</v>
      </c>
      <c r="AE173" s="383">
        <f>'Canyon Creek Parkway'!AE33</f>
        <v>454.58208443922246</v>
      </c>
      <c r="AF173" s="383">
        <f>'Canyon Creek Parkway'!AF33</f>
        <v>472.95327177853704</v>
      </c>
      <c r="AG173" s="383">
        <f>'Canyon Creek Parkway'!AG33</f>
        <v>492.06690044101236</v>
      </c>
      <c r="AH173" s="383">
        <f>'Canyon Creek Parkway'!AH33</f>
        <v>511.9529749717089</v>
      </c>
      <c r="AI173" s="383">
        <f>'Canyon Creek Parkway'!AI33</f>
        <v>532.64271250003037</v>
      </c>
      <c r="AJ173" s="383">
        <f>'Canyon Creek Parkway'!AJ33</f>
        <v>554.16859174432579</v>
      </c>
      <c r="AK173" s="383">
        <f>'Canyon Creek Parkway'!AK33</f>
        <v>576.5644039969319</v>
      </c>
      <c r="AL173" s="383">
        <f>'Canyon Creek Parkway'!AL33</f>
        <v>599.86530616969253</v>
      </c>
    </row>
    <row r="174" spans="2:38">
      <c r="D174" s="358"/>
      <c r="F174" s="464"/>
      <c r="G174" s="465"/>
      <c r="H174" s="465"/>
    </row>
    <row r="175" spans="2:38">
      <c r="B175" s="358" t="s">
        <v>208</v>
      </c>
      <c r="C175" s="362" t="s">
        <v>292</v>
      </c>
      <c r="D175" s="485">
        <f>SUMPRODUCT(D172:D173,D$150:D$151)</f>
        <v>1629.1379470755533</v>
      </c>
      <c r="E175" s="485">
        <f t="shared" ref="E175:AE175" si="106">SUMPRODUCT(E172:E173,E$150:E$151)</f>
        <v>1706.1583674987428</v>
      </c>
      <c r="F175" s="485">
        <f t="shared" si="106"/>
        <v>1775.1082410129516</v>
      </c>
      <c r="G175" s="485">
        <f t="shared" si="106"/>
        <v>1836.8541377407144</v>
      </c>
      <c r="H175" s="485">
        <f t="shared" si="106"/>
        <v>1938.5013324241199</v>
      </c>
      <c r="I175" s="485">
        <f t="shared" si="106"/>
        <v>2047.1793645106816</v>
      </c>
      <c r="J175" s="485">
        <f t="shared" si="106"/>
        <v>2159.3633695326166</v>
      </c>
      <c r="K175" s="485">
        <f t="shared" si="106"/>
        <v>2270.6871992274228</v>
      </c>
      <c r="L175" s="485">
        <f t="shared" si="106"/>
        <v>2401.4182406577361</v>
      </c>
      <c r="M175" s="485">
        <f t="shared" si="106"/>
        <v>2588.8442141698342</v>
      </c>
      <c r="N175" s="485">
        <f t="shared" si="106"/>
        <v>2722.9271607775413</v>
      </c>
      <c r="O175" s="485">
        <f t="shared" si="106"/>
        <v>2865.3406354421422</v>
      </c>
      <c r="P175" s="485">
        <f t="shared" si="106"/>
        <v>3046.8070045208624</v>
      </c>
      <c r="Q175" s="485">
        <f t="shared" si="106"/>
        <v>3226.8766942478615</v>
      </c>
      <c r="R175" s="485">
        <f t="shared" si="106"/>
        <v>3401.1547263584625</v>
      </c>
      <c r="S175" s="485">
        <f t="shared" si="106"/>
        <v>3590.3486347967914</v>
      </c>
      <c r="T175" s="485">
        <f t="shared" si="106"/>
        <v>3756.7812784306357</v>
      </c>
      <c r="U175" s="485">
        <f t="shared" si="106"/>
        <v>3959.8358679668904</v>
      </c>
      <c r="V175" s="485">
        <f t="shared" si="106"/>
        <v>4183.1233479664679</v>
      </c>
      <c r="W175" s="485">
        <f t="shared" si="106"/>
        <v>4369.8580046129327</v>
      </c>
      <c r="X175" s="485">
        <f t="shared" si="106"/>
        <v>4587.5968143817145</v>
      </c>
      <c r="Y175" s="485">
        <f t="shared" si="106"/>
        <v>4861.8765278615219</v>
      </c>
      <c r="Z175" s="485">
        <f t="shared" si="106"/>
        <v>5107.9139151477029</v>
      </c>
      <c r="AA175" s="485">
        <f t="shared" si="106"/>
        <v>5366.7275432529605</v>
      </c>
      <c r="AB175" s="485">
        <f t="shared" si="106"/>
        <v>5672.5341876832099</v>
      </c>
      <c r="AC175" s="485">
        <f t="shared" si="106"/>
        <v>5923.5595936393474</v>
      </c>
      <c r="AD175" s="485">
        <f t="shared" si="106"/>
        <v>6278.1866655031954</v>
      </c>
      <c r="AE175" s="485">
        <f t="shared" si="106"/>
        <v>6618.1959679894253</v>
      </c>
      <c r="AF175" s="485">
        <f t="shared" ref="AF175:AJ175" si="107">SUMPRODUCT(AF172:AF173,AF$150:AF$151)</f>
        <v>6954.5248399485799</v>
      </c>
      <c r="AG175" s="485">
        <f t="shared" si="107"/>
        <v>7297.9185508706196</v>
      </c>
      <c r="AH175" s="485">
        <f t="shared" si="107"/>
        <v>7670.5160260835164</v>
      </c>
      <c r="AI175" s="485">
        <f t="shared" si="107"/>
        <v>8061.8494559004293</v>
      </c>
      <c r="AJ175" s="485">
        <f t="shared" si="107"/>
        <v>8472.8517716143451</v>
      </c>
      <c r="AK175" s="485">
        <f t="shared" ref="AK175:AL175" si="108">SUMPRODUCT(AK172:AK173,AK$150:AK$151)</f>
        <v>8904.5020592065866</v>
      </c>
      <c r="AL175" s="485">
        <f t="shared" si="108"/>
        <v>9357.8278329110708</v>
      </c>
    </row>
    <row r="177" spans="1:38" ht="13">
      <c r="B177" s="364" t="s">
        <v>527</v>
      </c>
      <c r="C177" s="387" t="s">
        <v>292</v>
      </c>
      <c r="D177" s="488">
        <f>D170+D175</f>
        <v>2274.3795302555782</v>
      </c>
      <c r="E177" s="488">
        <f t="shared" ref="E177:AE177" si="109">E170+E175</f>
        <v>2377.4763281020869</v>
      </c>
      <c r="F177" s="488">
        <f t="shared" si="109"/>
        <v>2473.5564129481054</v>
      </c>
      <c r="G177" s="488">
        <f t="shared" si="109"/>
        <v>2563.5289438804507</v>
      </c>
      <c r="H177" s="488">
        <f t="shared" si="109"/>
        <v>2694.5435057684435</v>
      </c>
      <c r="I177" s="488">
        <f t="shared" si="109"/>
        <v>2833.7757389077487</v>
      </c>
      <c r="J177" s="488">
        <f t="shared" si="109"/>
        <v>2977.7487427686956</v>
      </c>
      <c r="K177" s="488">
        <f t="shared" si="109"/>
        <v>3122.1462714105733</v>
      </c>
      <c r="L177" s="488">
        <f t="shared" si="109"/>
        <v>3287.2876309380731</v>
      </c>
      <c r="M177" s="488">
        <f t="shared" si="109"/>
        <v>3510.514558962228</v>
      </c>
      <c r="N177" s="488">
        <f t="shared" si="109"/>
        <v>3681.845296780536</v>
      </c>
      <c r="O177" s="488">
        <f t="shared" si="109"/>
        <v>3863.0118708799932</v>
      </c>
      <c r="P177" s="488">
        <f t="shared" si="109"/>
        <v>4084.7974821740863</v>
      </c>
      <c r="Q177" s="488">
        <f t="shared" si="109"/>
        <v>4306.81584998178</v>
      </c>
      <c r="R177" s="488">
        <f t="shared" si="109"/>
        <v>4524.7378470091326</v>
      </c>
      <c r="S177" s="488">
        <f t="shared" si="109"/>
        <v>4759.33951942969</v>
      </c>
      <c r="T177" s="488">
        <f t="shared" si="109"/>
        <v>4973.0150071497346</v>
      </c>
      <c r="U177" s="488">
        <f t="shared" si="109"/>
        <v>5225.2216826206013</v>
      </c>
      <c r="V177" s="488">
        <f t="shared" si="109"/>
        <v>5499.6476492725769</v>
      </c>
      <c r="W177" s="488">
        <f t="shared" si="109"/>
        <v>5739.5874704074122</v>
      </c>
      <c r="X177" s="488">
        <f t="shared" si="109"/>
        <v>6012.6816438864289</v>
      </c>
      <c r="Y177" s="488">
        <f t="shared" si="109"/>
        <v>6344.553817063681</v>
      </c>
      <c r="Z177" s="488">
        <f t="shared" si="109"/>
        <v>6650.5111685897245</v>
      </c>
      <c r="AA177" s="488">
        <f t="shared" si="109"/>
        <v>6971.6663277455409</v>
      </c>
      <c r="AB177" s="488">
        <f t="shared" si="109"/>
        <v>7342.3339336772042</v>
      </c>
      <c r="AC177" s="488">
        <f t="shared" si="109"/>
        <v>7660.8415502238413</v>
      </c>
      <c r="AD177" s="488">
        <f t="shared" si="109"/>
        <v>8085.6780152383162</v>
      </c>
      <c r="AE177" s="488">
        <f t="shared" si="109"/>
        <v>8498.734108033359</v>
      </c>
      <c r="AF177" s="488">
        <f t="shared" ref="AF177:AJ177" si="110">AF170+AF175</f>
        <v>8911.0618361992911</v>
      </c>
      <c r="AG177" s="488">
        <f t="shared" si="110"/>
        <v>9333.5257721143862</v>
      </c>
      <c r="AH177" s="488">
        <f t="shared" si="110"/>
        <v>9788.3889654249597</v>
      </c>
      <c r="AI177" s="488">
        <f t="shared" si="110"/>
        <v>10265.312747042701</v>
      </c>
      <c r="AJ177" s="488">
        <f t="shared" si="110"/>
        <v>10765.364407864034</v>
      </c>
      <c r="AK177" s="488">
        <f t="shared" ref="AK177:AL177" si="111">AK170+AK175</f>
        <v>11289.662823396126</v>
      </c>
      <c r="AL177" s="488">
        <f t="shared" si="111"/>
        <v>11839.380946762529</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'Canyon Creek Parkway'!D48</f>
        <v>1671.1511850348056</v>
      </c>
      <c r="E181" s="383">
        <f>'Canyon Creek Parkway'!E48</f>
        <v>1738.6880118115691</v>
      </c>
      <c r="F181" s="383">
        <f>'Canyon Creek Parkway'!F48</f>
        <v>1808.9542283718074</v>
      </c>
      <c r="G181" s="383">
        <f>'Canyon Creek Parkway'!G48</f>
        <v>1882.0601385148786</v>
      </c>
      <c r="H181" s="383">
        <f>'Canyon Creek Parkway'!H48</f>
        <v>0</v>
      </c>
      <c r="I181" s="383">
        <f>'Canyon Creek Parkway'!I48</f>
        <v>0</v>
      </c>
      <c r="J181" s="383">
        <f>'Canyon Creek Parkway'!J48</f>
        <v>0</v>
      </c>
      <c r="K181" s="383">
        <f>'Canyon Creek Parkway'!K48</f>
        <v>0</v>
      </c>
      <c r="L181" s="383">
        <f>'Canyon Creek Parkway'!L48</f>
        <v>0</v>
      </c>
      <c r="M181" s="383">
        <f>'Canyon Creek Parkway'!M48</f>
        <v>0</v>
      </c>
      <c r="N181" s="383">
        <f>'Canyon Creek Parkway'!N48</f>
        <v>0</v>
      </c>
      <c r="O181" s="383">
        <f>'Canyon Creek Parkway'!O48</f>
        <v>0</v>
      </c>
      <c r="P181" s="383">
        <f>'Canyon Creek Parkway'!P48</f>
        <v>0</v>
      </c>
      <c r="Q181" s="383">
        <f>'Canyon Creek Parkway'!Q48</f>
        <v>0</v>
      </c>
      <c r="R181" s="383">
        <f>'Canyon Creek Parkway'!R48</f>
        <v>0</v>
      </c>
      <c r="S181" s="383">
        <f>'Canyon Creek Parkway'!S48</f>
        <v>0</v>
      </c>
      <c r="T181" s="383">
        <f>'Canyon Creek Parkway'!T48</f>
        <v>0</v>
      </c>
      <c r="U181" s="383">
        <f>'Canyon Creek Parkway'!U48</f>
        <v>0</v>
      </c>
      <c r="V181" s="383">
        <f>'Canyon Creek Parkway'!V48</f>
        <v>0</v>
      </c>
      <c r="W181" s="383">
        <f>'Canyon Creek Parkway'!W48</f>
        <v>0</v>
      </c>
      <c r="X181" s="383">
        <f>'Canyon Creek Parkway'!X48</f>
        <v>0</v>
      </c>
      <c r="Y181" s="383">
        <f>'Canyon Creek Parkway'!Y48</f>
        <v>0</v>
      </c>
      <c r="Z181" s="383">
        <f>'Canyon Creek Parkway'!Z48</f>
        <v>0</v>
      </c>
      <c r="AA181" s="383">
        <f>'Canyon Creek Parkway'!AA48</f>
        <v>0</v>
      </c>
      <c r="AB181" s="383">
        <f>'Canyon Creek Parkway'!AB48</f>
        <v>0</v>
      </c>
      <c r="AC181" s="383">
        <f>'Canyon Creek Parkway'!AC48</f>
        <v>0</v>
      </c>
      <c r="AD181" s="383">
        <f>'Canyon Creek Parkway'!AD48</f>
        <v>0</v>
      </c>
      <c r="AE181" s="383">
        <f>'Canyon Creek Parkway'!AE48</f>
        <v>0</v>
      </c>
      <c r="AF181" s="383">
        <f>'Canyon Creek Parkway'!AF48</f>
        <v>0</v>
      </c>
      <c r="AG181" s="383">
        <f>'Canyon Creek Parkway'!AG48</f>
        <v>0</v>
      </c>
      <c r="AH181" s="383">
        <f>'Canyon Creek Parkway'!AH48</f>
        <v>0</v>
      </c>
      <c r="AI181" s="383">
        <f>'Canyon Creek Parkway'!AI48</f>
        <v>0</v>
      </c>
      <c r="AJ181" s="383">
        <f>'Canyon Creek Parkway'!AJ48</f>
        <v>0</v>
      </c>
      <c r="AK181" s="383">
        <f>'Canyon Creek Parkway'!AK48</f>
        <v>0</v>
      </c>
      <c r="AL181" s="383">
        <f>'Canyon Creek Parkway'!AL48</f>
        <v>0</v>
      </c>
    </row>
    <row r="182" spans="1:38">
      <c r="B182" s="385" t="s">
        <v>509</v>
      </c>
      <c r="C182" s="386" t="s">
        <v>443</v>
      </c>
      <c r="D182" s="383">
        <f>'Canyon Creek Parkway'!D49</f>
        <v>185.6834650038673</v>
      </c>
      <c r="E182" s="383">
        <f>'Canyon Creek Parkway'!E49</f>
        <v>193.18755686795214</v>
      </c>
      <c r="F182" s="383">
        <f>'Canyon Creek Parkway'!F49</f>
        <v>200.99491426353416</v>
      </c>
      <c r="G182" s="383">
        <f>'Canyon Creek Parkway'!G49</f>
        <v>209.11779316831985</v>
      </c>
      <c r="H182" s="383">
        <f>'Canyon Creek Parkway'!H49</f>
        <v>0</v>
      </c>
      <c r="I182" s="383">
        <f>'Canyon Creek Parkway'!I49</f>
        <v>0</v>
      </c>
      <c r="J182" s="383">
        <f>'Canyon Creek Parkway'!J49</f>
        <v>0</v>
      </c>
      <c r="K182" s="383">
        <f>'Canyon Creek Parkway'!K49</f>
        <v>0</v>
      </c>
      <c r="L182" s="383">
        <f>'Canyon Creek Parkway'!L49</f>
        <v>0</v>
      </c>
      <c r="M182" s="383">
        <f>'Canyon Creek Parkway'!M49</f>
        <v>0</v>
      </c>
      <c r="N182" s="383">
        <f>'Canyon Creek Parkway'!N49</f>
        <v>0</v>
      </c>
      <c r="O182" s="383">
        <f>'Canyon Creek Parkway'!O49</f>
        <v>0</v>
      </c>
      <c r="P182" s="383">
        <f>'Canyon Creek Parkway'!P49</f>
        <v>0</v>
      </c>
      <c r="Q182" s="383">
        <f>'Canyon Creek Parkway'!Q49</f>
        <v>0</v>
      </c>
      <c r="R182" s="383">
        <f>'Canyon Creek Parkway'!R49</f>
        <v>0</v>
      </c>
      <c r="S182" s="383">
        <f>'Canyon Creek Parkway'!S49</f>
        <v>0</v>
      </c>
      <c r="T182" s="383">
        <f>'Canyon Creek Parkway'!T49</f>
        <v>0</v>
      </c>
      <c r="U182" s="383">
        <f>'Canyon Creek Parkway'!U49</f>
        <v>0</v>
      </c>
      <c r="V182" s="383">
        <f>'Canyon Creek Parkway'!V49</f>
        <v>0</v>
      </c>
      <c r="W182" s="383">
        <f>'Canyon Creek Parkway'!W49</f>
        <v>0</v>
      </c>
      <c r="X182" s="383">
        <f>'Canyon Creek Parkway'!X49</f>
        <v>0</v>
      </c>
      <c r="Y182" s="383">
        <f>'Canyon Creek Parkway'!Y49</f>
        <v>0</v>
      </c>
      <c r="Z182" s="383">
        <f>'Canyon Creek Parkway'!Z49</f>
        <v>0</v>
      </c>
      <c r="AA182" s="383">
        <f>'Canyon Creek Parkway'!AA49</f>
        <v>0</v>
      </c>
      <c r="AB182" s="383">
        <f>'Canyon Creek Parkway'!AB49</f>
        <v>0</v>
      </c>
      <c r="AC182" s="383">
        <f>'Canyon Creek Parkway'!AC49</f>
        <v>0</v>
      </c>
      <c r="AD182" s="383">
        <f>'Canyon Creek Parkway'!AD49</f>
        <v>0</v>
      </c>
      <c r="AE182" s="383">
        <f>'Canyon Creek Parkway'!AE49</f>
        <v>0</v>
      </c>
      <c r="AF182" s="383">
        <f>'Canyon Creek Parkway'!AF49</f>
        <v>0</v>
      </c>
      <c r="AG182" s="383">
        <f>'Canyon Creek Parkway'!AG49</f>
        <v>0</v>
      </c>
      <c r="AH182" s="383">
        <f>'Canyon Creek Parkway'!AH49</f>
        <v>0</v>
      </c>
      <c r="AI182" s="383">
        <f>'Canyon Creek Parkway'!AI49</f>
        <v>0</v>
      </c>
      <c r="AJ182" s="383">
        <f>'Canyon Creek Parkway'!AJ49</f>
        <v>0</v>
      </c>
      <c r="AK182" s="383">
        <f>'Canyon Creek Parkway'!AK49</f>
        <v>0</v>
      </c>
      <c r="AL182" s="383">
        <f>'Canyon Creek Parkway'!AL49</f>
        <v>0</v>
      </c>
    </row>
    <row r="183" spans="1:38">
      <c r="B183" s="358" t="s">
        <v>769</v>
      </c>
      <c r="C183" s="358" t="s">
        <v>443</v>
      </c>
      <c r="D183" s="383">
        <f>'Canyon Creek Parkway'!D50</f>
        <v>0</v>
      </c>
      <c r="E183" s="383">
        <f>'Canyon Creek Parkway'!E50</f>
        <v>0</v>
      </c>
      <c r="F183" s="383">
        <f>'Canyon Creek Parkway'!F50</f>
        <v>0</v>
      </c>
      <c r="G183" s="383">
        <f>'Canyon Creek Parkway'!G50</f>
        <v>0</v>
      </c>
      <c r="H183" s="383">
        <f>'Canyon Creek Parkway'!H50</f>
        <v>0</v>
      </c>
      <c r="I183" s="383">
        <f>'Canyon Creek Parkway'!I50</f>
        <v>0</v>
      </c>
      <c r="J183" s="383">
        <f>'Canyon Creek Parkway'!J50</f>
        <v>0</v>
      </c>
      <c r="K183" s="383">
        <f>'Canyon Creek Parkway'!K50</f>
        <v>0</v>
      </c>
      <c r="L183" s="383">
        <f>'Canyon Creek Parkway'!L50</f>
        <v>0</v>
      </c>
      <c r="M183" s="383">
        <f>'Canyon Creek Parkway'!M50</f>
        <v>0</v>
      </c>
      <c r="N183" s="383">
        <f>'Canyon Creek Parkway'!N50</f>
        <v>0</v>
      </c>
      <c r="O183" s="383">
        <f>'Canyon Creek Parkway'!O50</f>
        <v>0</v>
      </c>
      <c r="P183" s="383">
        <f>'Canyon Creek Parkway'!P50</f>
        <v>0</v>
      </c>
      <c r="Q183" s="383">
        <f>'Canyon Creek Parkway'!Q50</f>
        <v>0</v>
      </c>
      <c r="R183" s="383">
        <f>'Canyon Creek Parkway'!R50</f>
        <v>0</v>
      </c>
      <c r="S183" s="383">
        <f>'Canyon Creek Parkway'!S50</f>
        <v>0</v>
      </c>
      <c r="T183" s="383">
        <f>'Canyon Creek Parkway'!T50</f>
        <v>0</v>
      </c>
      <c r="U183" s="383">
        <f>'Canyon Creek Parkway'!U50</f>
        <v>0</v>
      </c>
      <c r="V183" s="383">
        <f>'Canyon Creek Parkway'!V50</f>
        <v>0</v>
      </c>
      <c r="W183" s="383">
        <f>'Canyon Creek Parkway'!W50</f>
        <v>0</v>
      </c>
      <c r="X183" s="383">
        <f>'Canyon Creek Parkway'!X50</f>
        <v>0</v>
      </c>
      <c r="Y183" s="383">
        <f>'Canyon Creek Parkway'!Y50</f>
        <v>0</v>
      </c>
      <c r="Z183" s="383">
        <f>'Canyon Creek Parkway'!Z50</f>
        <v>0</v>
      </c>
      <c r="AA183" s="383">
        <f>'Canyon Creek Parkway'!AA50</f>
        <v>0</v>
      </c>
      <c r="AB183" s="383">
        <f>'Canyon Creek Parkway'!AB50</f>
        <v>0</v>
      </c>
      <c r="AC183" s="383">
        <f>'Canyon Creek Parkway'!AC50</f>
        <v>0</v>
      </c>
      <c r="AD183" s="383">
        <f>'Canyon Creek Parkway'!AD50</f>
        <v>0</v>
      </c>
      <c r="AE183" s="383">
        <f>'Canyon Creek Parkway'!AE50</f>
        <v>0</v>
      </c>
      <c r="AF183" s="383">
        <f>'Canyon Creek Parkway'!AF50</f>
        <v>0</v>
      </c>
      <c r="AG183" s="383">
        <f>'Canyon Creek Parkway'!AG50</f>
        <v>0</v>
      </c>
      <c r="AH183" s="383">
        <f>'Canyon Creek Parkway'!AH50</f>
        <v>0</v>
      </c>
      <c r="AI183" s="383">
        <f>'Canyon Creek Parkway'!AI50</f>
        <v>0</v>
      </c>
      <c r="AJ183" s="383">
        <f>'Canyon Creek Parkway'!AJ50</f>
        <v>0</v>
      </c>
      <c r="AK183" s="383">
        <f>'Canyon Creek Parkway'!AK50</f>
        <v>0</v>
      </c>
      <c r="AL183" s="383">
        <f>'Canyon Creek Parkway'!AL50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57.654715883700788</v>
      </c>
      <c r="E185" s="383">
        <f t="shared" ref="E185:AE187" si="112">E181*$C163</f>
        <v>59.984736407499128</v>
      </c>
      <c r="F185" s="383">
        <f t="shared" si="112"/>
        <v>62.408920878827345</v>
      </c>
      <c r="G185" s="383">
        <f t="shared" si="112"/>
        <v>64.931074778763303</v>
      </c>
      <c r="H185" s="383">
        <f t="shared" si="112"/>
        <v>0</v>
      </c>
      <c r="I185" s="383">
        <f t="shared" si="112"/>
        <v>0</v>
      </c>
      <c r="J185" s="383">
        <f t="shared" si="112"/>
        <v>0</v>
      </c>
      <c r="K185" s="383">
        <f t="shared" si="112"/>
        <v>0</v>
      </c>
      <c r="L185" s="383">
        <f t="shared" si="112"/>
        <v>0</v>
      </c>
      <c r="M185" s="383">
        <f t="shared" si="112"/>
        <v>0</v>
      </c>
      <c r="N185" s="383">
        <f t="shared" si="112"/>
        <v>0</v>
      </c>
      <c r="O185" s="383">
        <f t="shared" si="112"/>
        <v>0</v>
      </c>
      <c r="P185" s="383">
        <f t="shared" si="112"/>
        <v>0</v>
      </c>
      <c r="Q185" s="383">
        <f t="shared" si="112"/>
        <v>0</v>
      </c>
      <c r="R185" s="383">
        <f t="shared" si="112"/>
        <v>0</v>
      </c>
      <c r="S185" s="383">
        <f t="shared" si="112"/>
        <v>0</v>
      </c>
      <c r="T185" s="383">
        <f t="shared" si="112"/>
        <v>0</v>
      </c>
      <c r="U185" s="383">
        <f t="shared" si="112"/>
        <v>0</v>
      </c>
      <c r="V185" s="383">
        <f t="shared" si="112"/>
        <v>0</v>
      </c>
      <c r="W185" s="383">
        <f t="shared" si="112"/>
        <v>0</v>
      </c>
      <c r="X185" s="383">
        <f t="shared" si="112"/>
        <v>0</v>
      </c>
      <c r="Y185" s="383">
        <f t="shared" si="112"/>
        <v>0</v>
      </c>
      <c r="Z185" s="383">
        <f t="shared" si="112"/>
        <v>0</v>
      </c>
      <c r="AA185" s="383">
        <f t="shared" si="112"/>
        <v>0</v>
      </c>
      <c r="AB185" s="383">
        <f t="shared" si="112"/>
        <v>0</v>
      </c>
      <c r="AC185" s="383">
        <f t="shared" si="112"/>
        <v>0</v>
      </c>
      <c r="AD185" s="383">
        <f t="shared" si="112"/>
        <v>0</v>
      </c>
      <c r="AE185" s="383">
        <f t="shared" si="112"/>
        <v>0</v>
      </c>
      <c r="AF185" s="383">
        <f t="shared" ref="AF185:AJ185" si="113">AF181*$C163</f>
        <v>0</v>
      </c>
      <c r="AG185" s="383">
        <f t="shared" si="113"/>
        <v>0</v>
      </c>
      <c r="AH185" s="383">
        <f t="shared" si="113"/>
        <v>0</v>
      </c>
      <c r="AI185" s="383">
        <f t="shared" si="113"/>
        <v>0</v>
      </c>
      <c r="AJ185" s="383">
        <f t="shared" si="113"/>
        <v>0</v>
      </c>
      <c r="AK185" s="383">
        <f t="shared" ref="AK185:AL185" si="114">AK181*$C163</f>
        <v>0</v>
      </c>
      <c r="AL185" s="383">
        <f t="shared" si="114"/>
        <v>0</v>
      </c>
    </row>
    <row r="186" spans="1:38">
      <c r="B186" s="385" t="s">
        <v>501</v>
      </c>
      <c r="C186" s="386" t="s">
        <v>479</v>
      </c>
      <c r="D186" s="383">
        <f>D182*$C164</f>
        <v>6.4060795426334209</v>
      </c>
      <c r="E186" s="383">
        <f t="shared" si="112"/>
        <v>6.6649707119443482</v>
      </c>
      <c r="F186" s="383">
        <f t="shared" si="112"/>
        <v>6.9343245420919279</v>
      </c>
      <c r="G186" s="383">
        <f t="shared" si="112"/>
        <v>7.214563864307034</v>
      </c>
      <c r="H186" s="383">
        <f t="shared" si="112"/>
        <v>0</v>
      </c>
      <c r="I186" s="383">
        <f t="shared" si="112"/>
        <v>0</v>
      </c>
      <c r="J186" s="383">
        <f t="shared" si="112"/>
        <v>0</v>
      </c>
      <c r="K186" s="383">
        <f t="shared" si="112"/>
        <v>0</v>
      </c>
      <c r="L186" s="383">
        <f t="shared" si="112"/>
        <v>0</v>
      </c>
      <c r="M186" s="383">
        <f t="shared" si="112"/>
        <v>0</v>
      </c>
      <c r="N186" s="383">
        <f t="shared" si="112"/>
        <v>0</v>
      </c>
      <c r="O186" s="383">
        <f t="shared" si="112"/>
        <v>0</v>
      </c>
      <c r="P186" s="383">
        <f t="shared" si="112"/>
        <v>0</v>
      </c>
      <c r="Q186" s="383">
        <f t="shared" si="112"/>
        <v>0</v>
      </c>
      <c r="R186" s="383">
        <f t="shared" si="112"/>
        <v>0</v>
      </c>
      <c r="S186" s="383">
        <f t="shared" si="112"/>
        <v>0</v>
      </c>
      <c r="T186" s="383">
        <f t="shared" si="112"/>
        <v>0</v>
      </c>
      <c r="U186" s="383">
        <f t="shared" si="112"/>
        <v>0</v>
      </c>
      <c r="V186" s="383">
        <f t="shared" si="112"/>
        <v>0</v>
      </c>
      <c r="W186" s="383">
        <f t="shared" si="112"/>
        <v>0</v>
      </c>
      <c r="X186" s="383">
        <f t="shared" si="112"/>
        <v>0</v>
      </c>
      <c r="Y186" s="383">
        <f t="shared" si="112"/>
        <v>0</v>
      </c>
      <c r="Z186" s="383">
        <f t="shared" si="112"/>
        <v>0</v>
      </c>
      <c r="AA186" s="383">
        <f t="shared" si="112"/>
        <v>0</v>
      </c>
      <c r="AB186" s="383">
        <f t="shared" si="112"/>
        <v>0</v>
      </c>
      <c r="AC186" s="383">
        <f t="shared" si="112"/>
        <v>0</v>
      </c>
      <c r="AD186" s="383">
        <f t="shared" si="112"/>
        <v>0</v>
      </c>
      <c r="AE186" s="383">
        <f t="shared" si="112"/>
        <v>0</v>
      </c>
      <c r="AF186" s="383">
        <f t="shared" ref="AF186:AJ186" si="115">AF182*$C164</f>
        <v>0</v>
      </c>
      <c r="AG186" s="383">
        <f t="shared" si="115"/>
        <v>0</v>
      </c>
      <c r="AH186" s="383">
        <f t="shared" si="115"/>
        <v>0</v>
      </c>
      <c r="AI186" s="383">
        <f t="shared" si="115"/>
        <v>0</v>
      </c>
      <c r="AJ186" s="383">
        <f t="shared" si="115"/>
        <v>0</v>
      </c>
      <c r="AK186" s="383">
        <f t="shared" ref="AK186:AL186" si="116">AK182*$C164</f>
        <v>0</v>
      </c>
      <c r="AL186" s="383">
        <f t="shared" si="116"/>
        <v>0</v>
      </c>
    </row>
    <row r="187" spans="1:38">
      <c r="B187" s="385" t="s">
        <v>768</v>
      </c>
      <c r="C187" s="386" t="s">
        <v>479</v>
      </c>
      <c r="D187" s="383">
        <f>D183*$C165</f>
        <v>0</v>
      </c>
      <c r="E187" s="383">
        <f t="shared" si="112"/>
        <v>0</v>
      </c>
      <c r="F187" s="383">
        <f t="shared" si="112"/>
        <v>0</v>
      </c>
      <c r="G187" s="383">
        <f t="shared" si="112"/>
        <v>0</v>
      </c>
      <c r="H187" s="383">
        <f t="shared" si="112"/>
        <v>0</v>
      </c>
      <c r="I187" s="383">
        <f t="shared" si="112"/>
        <v>0</v>
      </c>
      <c r="J187" s="383">
        <f t="shared" si="112"/>
        <v>0</v>
      </c>
      <c r="K187" s="383">
        <f t="shared" si="112"/>
        <v>0</v>
      </c>
      <c r="L187" s="383">
        <f t="shared" si="112"/>
        <v>0</v>
      </c>
      <c r="M187" s="383">
        <f t="shared" si="112"/>
        <v>0</v>
      </c>
      <c r="N187" s="383">
        <f t="shared" si="112"/>
        <v>0</v>
      </c>
      <c r="O187" s="383">
        <f t="shared" si="112"/>
        <v>0</v>
      </c>
      <c r="P187" s="383">
        <f t="shared" si="112"/>
        <v>0</v>
      </c>
      <c r="Q187" s="383">
        <f t="shared" si="112"/>
        <v>0</v>
      </c>
      <c r="R187" s="383">
        <f t="shared" si="112"/>
        <v>0</v>
      </c>
      <c r="S187" s="383">
        <f t="shared" si="112"/>
        <v>0</v>
      </c>
      <c r="T187" s="383">
        <f t="shared" si="112"/>
        <v>0</v>
      </c>
      <c r="U187" s="383">
        <f t="shared" si="112"/>
        <v>0</v>
      </c>
      <c r="V187" s="383">
        <f t="shared" si="112"/>
        <v>0</v>
      </c>
      <c r="W187" s="383">
        <f t="shared" si="112"/>
        <v>0</v>
      </c>
      <c r="X187" s="383">
        <f t="shared" si="112"/>
        <v>0</v>
      </c>
      <c r="Y187" s="383">
        <f t="shared" si="112"/>
        <v>0</v>
      </c>
      <c r="Z187" s="383">
        <f t="shared" si="112"/>
        <v>0</v>
      </c>
      <c r="AA187" s="383">
        <f t="shared" si="112"/>
        <v>0</v>
      </c>
      <c r="AB187" s="383">
        <f t="shared" si="112"/>
        <v>0</v>
      </c>
      <c r="AC187" s="383">
        <f t="shared" si="112"/>
        <v>0</v>
      </c>
      <c r="AD187" s="383">
        <f t="shared" si="112"/>
        <v>0</v>
      </c>
      <c r="AE187" s="383">
        <f t="shared" si="112"/>
        <v>0</v>
      </c>
      <c r="AF187" s="383">
        <f t="shared" ref="AF187:AJ187" si="117">AF183*$C165</f>
        <v>0</v>
      </c>
      <c r="AG187" s="383">
        <f t="shared" si="117"/>
        <v>0</v>
      </c>
      <c r="AH187" s="383">
        <f t="shared" si="117"/>
        <v>0</v>
      </c>
      <c r="AI187" s="383">
        <f t="shared" si="117"/>
        <v>0</v>
      </c>
      <c r="AJ187" s="383">
        <f t="shared" si="117"/>
        <v>0</v>
      </c>
      <c r="AK187" s="383">
        <f t="shared" ref="AK187:AL187" si="118">AK183*$C165</f>
        <v>0</v>
      </c>
      <c r="AL187" s="383">
        <f t="shared" si="118"/>
        <v>0</v>
      </c>
    </row>
    <row r="188" spans="1:38">
      <c r="D188" s="358"/>
      <c r="F188" s="464"/>
      <c r="G188" s="465"/>
      <c r="H188" s="465"/>
    </row>
    <row r="189" spans="1:38">
      <c r="B189" s="358" t="s">
        <v>459</v>
      </c>
      <c r="C189" s="362" t="s">
        <v>292</v>
      </c>
      <c r="D189" s="485">
        <f>SUMPRODUCT($C$153:$C$155,D185:D187)</f>
        <v>645.24158318002515</v>
      </c>
      <c r="E189" s="485">
        <f t="shared" ref="E189:AE189" si="119">SUMPRODUCT($C$153:$C$155,E185:E187)</f>
        <v>671.31796060334398</v>
      </c>
      <c r="F189" s="485">
        <f t="shared" si="119"/>
        <v>698.44817193515371</v>
      </c>
      <c r="G189" s="485">
        <f t="shared" si="119"/>
        <v>726.67480613973623</v>
      </c>
      <c r="H189" s="485">
        <f t="shared" si="119"/>
        <v>0</v>
      </c>
      <c r="I189" s="485">
        <f t="shared" si="119"/>
        <v>0</v>
      </c>
      <c r="J189" s="485">
        <f t="shared" si="119"/>
        <v>0</v>
      </c>
      <c r="K189" s="485">
        <f t="shared" si="119"/>
        <v>0</v>
      </c>
      <c r="L189" s="485">
        <f t="shared" si="119"/>
        <v>0</v>
      </c>
      <c r="M189" s="485">
        <f t="shared" si="119"/>
        <v>0</v>
      </c>
      <c r="N189" s="485">
        <f t="shared" si="119"/>
        <v>0</v>
      </c>
      <c r="O189" s="485">
        <f t="shared" si="119"/>
        <v>0</v>
      </c>
      <c r="P189" s="485">
        <f t="shared" si="119"/>
        <v>0</v>
      </c>
      <c r="Q189" s="485">
        <f t="shared" si="119"/>
        <v>0</v>
      </c>
      <c r="R189" s="485">
        <f t="shared" si="119"/>
        <v>0</v>
      </c>
      <c r="S189" s="485">
        <f t="shared" si="119"/>
        <v>0</v>
      </c>
      <c r="T189" s="485">
        <f t="shared" si="119"/>
        <v>0</v>
      </c>
      <c r="U189" s="485">
        <f t="shared" si="119"/>
        <v>0</v>
      </c>
      <c r="V189" s="485">
        <f t="shared" si="119"/>
        <v>0</v>
      </c>
      <c r="W189" s="485">
        <f t="shared" si="119"/>
        <v>0</v>
      </c>
      <c r="X189" s="485">
        <f t="shared" si="119"/>
        <v>0</v>
      </c>
      <c r="Y189" s="485">
        <f t="shared" si="119"/>
        <v>0</v>
      </c>
      <c r="Z189" s="485">
        <f t="shared" si="119"/>
        <v>0</v>
      </c>
      <c r="AA189" s="485">
        <f t="shared" si="119"/>
        <v>0</v>
      </c>
      <c r="AB189" s="485">
        <f t="shared" si="119"/>
        <v>0</v>
      </c>
      <c r="AC189" s="485">
        <f t="shared" si="119"/>
        <v>0</v>
      </c>
      <c r="AD189" s="485">
        <f t="shared" si="119"/>
        <v>0</v>
      </c>
      <c r="AE189" s="485">
        <f t="shared" si="119"/>
        <v>0</v>
      </c>
      <c r="AF189" s="485">
        <f t="shared" ref="AF189:AJ189" si="120">SUMPRODUCT($C$153:$C$155,AF185:AF187)</f>
        <v>0</v>
      </c>
      <c r="AG189" s="485">
        <f t="shared" si="120"/>
        <v>0</v>
      </c>
      <c r="AH189" s="485">
        <f t="shared" si="120"/>
        <v>0</v>
      </c>
      <c r="AI189" s="485">
        <f t="shared" si="120"/>
        <v>0</v>
      </c>
      <c r="AJ189" s="485">
        <f t="shared" si="120"/>
        <v>0</v>
      </c>
      <c r="AK189" s="485">
        <f t="shared" ref="AK189:AL189" si="121">SUMPRODUCT($C$153:$C$155,AK185:AK187)</f>
        <v>0</v>
      </c>
      <c r="AL189" s="485">
        <f t="shared" si="121"/>
        <v>0</v>
      </c>
    </row>
    <row r="190" spans="1:38">
      <c r="D190" s="358"/>
      <c r="F190" s="464"/>
      <c r="G190" s="465"/>
      <c r="H190" s="465"/>
    </row>
    <row r="191" spans="1:38">
      <c r="B191" s="520" t="s">
        <v>715</v>
      </c>
      <c r="C191" s="358" t="s">
        <v>295</v>
      </c>
      <c r="D191" s="383">
        <f>'Canyon Creek Parkway'!D52</f>
        <v>597.43654864994301</v>
      </c>
      <c r="E191" s="383">
        <f>'Canyon Creek Parkway'!E52</f>
        <v>621.58096422263588</v>
      </c>
      <c r="F191" s="383">
        <f>'Canyon Creek Parkway'!F52</f>
        <v>646.70113664292114</v>
      </c>
      <c r="G191" s="383">
        <f>'Canyon Creek Parkway'!G52</f>
        <v>672.83649951906909</v>
      </c>
      <c r="H191" s="383">
        <f>'Canyon Creek Parkway'!H52</f>
        <v>0</v>
      </c>
      <c r="I191" s="383">
        <f>'Canyon Creek Parkway'!I52</f>
        <v>0</v>
      </c>
      <c r="J191" s="383">
        <f>'Canyon Creek Parkway'!J52</f>
        <v>0</v>
      </c>
      <c r="K191" s="383">
        <f>'Canyon Creek Parkway'!K52</f>
        <v>0</v>
      </c>
      <c r="L191" s="383">
        <f>'Canyon Creek Parkway'!L52</f>
        <v>0</v>
      </c>
      <c r="M191" s="383">
        <f>'Canyon Creek Parkway'!M52</f>
        <v>0</v>
      </c>
      <c r="N191" s="383">
        <f>'Canyon Creek Parkway'!N52</f>
        <v>0</v>
      </c>
      <c r="O191" s="383">
        <f>'Canyon Creek Parkway'!O52</f>
        <v>0</v>
      </c>
      <c r="P191" s="383">
        <f>'Canyon Creek Parkway'!P52</f>
        <v>0</v>
      </c>
      <c r="Q191" s="383">
        <f>'Canyon Creek Parkway'!Q52</f>
        <v>0</v>
      </c>
      <c r="R191" s="383">
        <f>'Canyon Creek Parkway'!R52</f>
        <v>0</v>
      </c>
      <c r="S191" s="383">
        <f>'Canyon Creek Parkway'!S52</f>
        <v>0</v>
      </c>
      <c r="T191" s="383">
        <f>'Canyon Creek Parkway'!T52</f>
        <v>0</v>
      </c>
      <c r="U191" s="383">
        <f>'Canyon Creek Parkway'!U52</f>
        <v>0</v>
      </c>
      <c r="V191" s="383">
        <f>'Canyon Creek Parkway'!V52</f>
        <v>0</v>
      </c>
      <c r="W191" s="383">
        <f>'Canyon Creek Parkway'!W52</f>
        <v>0</v>
      </c>
      <c r="X191" s="383">
        <f>'Canyon Creek Parkway'!X52</f>
        <v>0</v>
      </c>
      <c r="Y191" s="383">
        <f>'Canyon Creek Parkway'!Y52</f>
        <v>0</v>
      </c>
      <c r="Z191" s="383">
        <f>'Canyon Creek Parkway'!Z52</f>
        <v>0</v>
      </c>
      <c r="AA191" s="383">
        <f>'Canyon Creek Parkway'!AA52</f>
        <v>0</v>
      </c>
      <c r="AB191" s="383">
        <f>'Canyon Creek Parkway'!AB52</f>
        <v>0</v>
      </c>
      <c r="AC191" s="383">
        <f>'Canyon Creek Parkway'!AC52</f>
        <v>0</v>
      </c>
      <c r="AD191" s="383">
        <f>'Canyon Creek Parkway'!AD52</f>
        <v>0</v>
      </c>
      <c r="AE191" s="383">
        <f>'Canyon Creek Parkway'!AE52</f>
        <v>0</v>
      </c>
      <c r="AF191" s="383">
        <f>'Canyon Creek Parkway'!AF52</f>
        <v>0</v>
      </c>
      <c r="AG191" s="383">
        <f>'Canyon Creek Parkway'!AG52</f>
        <v>0</v>
      </c>
      <c r="AH191" s="383">
        <f>'Canyon Creek Parkway'!AH52</f>
        <v>0</v>
      </c>
      <c r="AI191" s="383">
        <f>'Canyon Creek Parkway'!AI52</f>
        <v>0</v>
      </c>
      <c r="AJ191" s="383">
        <f>'Canyon Creek Parkway'!AJ52</f>
        <v>0</v>
      </c>
      <c r="AK191" s="383">
        <f>'Canyon Creek Parkway'!AK52</f>
        <v>0</v>
      </c>
      <c r="AL191" s="383">
        <f>'Canyon Creek Parkway'!AL52</f>
        <v>0</v>
      </c>
    </row>
    <row r="192" spans="1:38">
      <c r="B192" s="520" t="s">
        <v>716</v>
      </c>
      <c r="C192" s="358" t="s">
        <v>295</v>
      </c>
      <c r="D192" s="383">
        <f>'Canyon Creek Parkway'!D53</f>
        <v>155.97411060324853</v>
      </c>
      <c r="E192" s="383">
        <f>'Canyon Creek Parkway'!E53</f>
        <v>162.2775477690798</v>
      </c>
      <c r="F192" s="383">
        <f>'Canyon Creek Parkway'!F53</f>
        <v>168.83572798136868</v>
      </c>
      <c r="G192" s="383">
        <f>'Canyon Creek Parkway'!G53</f>
        <v>175.65894626138868</v>
      </c>
      <c r="H192" s="383">
        <f>'Canyon Creek Parkway'!H53</f>
        <v>0</v>
      </c>
      <c r="I192" s="383">
        <f>'Canyon Creek Parkway'!I53</f>
        <v>0</v>
      </c>
      <c r="J192" s="383">
        <f>'Canyon Creek Parkway'!J53</f>
        <v>0</v>
      </c>
      <c r="K192" s="383">
        <f>'Canyon Creek Parkway'!K53</f>
        <v>0</v>
      </c>
      <c r="L192" s="383">
        <f>'Canyon Creek Parkway'!L53</f>
        <v>0</v>
      </c>
      <c r="M192" s="383">
        <f>'Canyon Creek Parkway'!M53</f>
        <v>0</v>
      </c>
      <c r="N192" s="383">
        <f>'Canyon Creek Parkway'!N53</f>
        <v>0</v>
      </c>
      <c r="O192" s="383">
        <f>'Canyon Creek Parkway'!O53</f>
        <v>0</v>
      </c>
      <c r="P192" s="383">
        <f>'Canyon Creek Parkway'!P53</f>
        <v>0</v>
      </c>
      <c r="Q192" s="383">
        <f>'Canyon Creek Parkway'!Q53</f>
        <v>0</v>
      </c>
      <c r="R192" s="383">
        <f>'Canyon Creek Parkway'!R53</f>
        <v>0</v>
      </c>
      <c r="S192" s="383">
        <f>'Canyon Creek Parkway'!S53</f>
        <v>0</v>
      </c>
      <c r="T192" s="383">
        <f>'Canyon Creek Parkway'!T53</f>
        <v>0</v>
      </c>
      <c r="U192" s="383">
        <f>'Canyon Creek Parkway'!U53</f>
        <v>0</v>
      </c>
      <c r="V192" s="383">
        <f>'Canyon Creek Parkway'!V53</f>
        <v>0</v>
      </c>
      <c r="W192" s="383">
        <f>'Canyon Creek Parkway'!W53</f>
        <v>0</v>
      </c>
      <c r="X192" s="383">
        <f>'Canyon Creek Parkway'!X53</f>
        <v>0</v>
      </c>
      <c r="Y192" s="383">
        <f>'Canyon Creek Parkway'!Y53</f>
        <v>0</v>
      </c>
      <c r="Z192" s="383">
        <f>'Canyon Creek Parkway'!Z53</f>
        <v>0</v>
      </c>
      <c r="AA192" s="383">
        <f>'Canyon Creek Parkway'!AA53</f>
        <v>0</v>
      </c>
      <c r="AB192" s="383">
        <f>'Canyon Creek Parkway'!AB53</f>
        <v>0</v>
      </c>
      <c r="AC192" s="383">
        <f>'Canyon Creek Parkway'!AC53</f>
        <v>0</v>
      </c>
      <c r="AD192" s="383">
        <f>'Canyon Creek Parkway'!AD53</f>
        <v>0</v>
      </c>
      <c r="AE192" s="383">
        <f>'Canyon Creek Parkway'!AE53</f>
        <v>0</v>
      </c>
      <c r="AF192" s="383">
        <f>'Canyon Creek Parkway'!AF53</f>
        <v>0</v>
      </c>
      <c r="AG192" s="383">
        <f>'Canyon Creek Parkway'!AG53</f>
        <v>0</v>
      </c>
      <c r="AH192" s="383">
        <f>'Canyon Creek Parkway'!AH53</f>
        <v>0</v>
      </c>
      <c r="AI192" s="383">
        <f>'Canyon Creek Parkway'!AI53</f>
        <v>0</v>
      </c>
      <c r="AJ192" s="383">
        <f>'Canyon Creek Parkway'!AJ53</f>
        <v>0</v>
      </c>
      <c r="AK192" s="383">
        <f>'Canyon Creek Parkway'!AK53</f>
        <v>0</v>
      </c>
      <c r="AL192" s="383">
        <f>'Canyon Creek Parkway'!AL53</f>
        <v>0</v>
      </c>
    </row>
    <row r="193" spans="1:38">
      <c r="D193" s="358"/>
      <c r="F193" s="464"/>
      <c r="G193" s="465"/>
      <c r="H193" s="465"/>
    </row>
    <row r="194" spans="1:38">
      <c r="B194" s="358" t="s">
        <v>208</v>
      </c>
      <c r="C194" s="362" t="s">
        <v>292</v>
      </c>
      <c r="D194" s="485">
        <f>SUMPRODUCT(D191:D192,D$150:D$151)</f>
        <v>1629.1379470755533</v>
      </c>
      <c r="E194" s="485">
        <f t="shared" ref="E194:AE194" si="122">SUMPRODUCT(E191:E192,E$150:E$151)</f>
        <v>1706.1583674987428</v>
      </c>
      <c r="F194" s="485">
        <f t="shared" si="122"/>
        <v>1775.1082410129516</v>
      </c>
      <c r="G194" s="485">
        <f t="shared" si="122"/>
        <v>1836.8541377407144</v>
      </c>
      <c r="H194" s="485">
        <f t="shared" si="122"/>
        <v>0</v>
      </c>
      <c r="I194" s="485">
        <f t="shared" si="122"/>
        <v>0</v>
      </c>
      <c r="J194" s="485">
        <f t="shared" si="122"/>
        <v>0</v>
      </c>
      <c r="K194" s="485">
        <f t="shared" si="122"/>
        <v>0</v>
      </c>
      <c r="L194" s="485">
        <f t="shared" si="122"/>
        <v>0</v>
      </c>
      <c r="M194" s="485">
        <f t="shared" si="122"/>
        <v>0</v>
      </c>
      <c r="N194" s="485">
        <f t="shared" si="122"/>
        <v>0</v>
      </c>
      <c r="O194" s="485">
        <f t="shared" si="122"/>
        <v>0</v>
      </c>
      <c r="P194" s="485">
        <f t="shared" si="122"/>
        <v>0</v>
      </c>
      <c r="Q194" s="485">
        <f t="shared" si="122"/>
        <v>0</v>
      </c>
      <c r="R194" s="485">
        <f t="shared" si="122"/>
        <v>0</v>
      </c>
      <c r="S194" s="485">
        <f t="shared" si="122"/>
        <v>0</v>
      </c>
      <c r="T194" s="485">
        <f t="shared" si="122"/>
        <v>0</v>
      </c>
      <c r="U194" s="485">
        <f t="shared" si="122"/>
        <v>0</v>
      </c>
      <c r="V194" s="485">
        <f t="shared" si="122"/>
        <v>0</v>
      </c>
      <c r="W194" s="485">
        <f t="shared" si="122"/>
        <v>0</v>
      </c>
      <c r="X194" s="485">
        <f t="shared" si="122"/>
        <v>0</v>
      </c>
      <c r="Y194" s="485">
        <f t="shared" si="122"/>
        <v>0</v>
      </c>
      <c r="Z194" s="485">
        <f t="shared" si="122"/>
        <v>0</v>
      </c>
      <c r="AA194" s="485">
        <f t="shared" si="122"/>
        <v>0</v>
      </c>
      <c r="AB194" s="485">
        <f t="shared" si="122"/>
        <v>0</v>
      </c>
      <c r="AC194" s="485">
        <f t="shared" si="122"/>
        <v>0</v>
      </c>
      <c r="AD194" s="485">
        <f t="shared" si="122"/>
        <v>0</v>
      </c>
      <c r="AE194" s="485">
        <f t="shared" si="122"/>
        <v>0</v>
      </c>
      <c r="AF194" s="485">
        <f t="shared" ref="AF194:AJ194" si="123">SUMPRODUCT(AF191:AF192,AF$150:AF$151)</f>
        <v>0</v>
      </c>
      <c r="AG194" s="485">
        <f t="shared" si="123"/>
        <v>0</v>
      </c>
      <c r="AH194" s="485">
        <f t="shared" si="123"/>
        <v>0</v>
      </c>
      <c r="AI194" s="485">
        <f t="shared" si="123"/>
        <v>0</v>
      </c>
      <c r="AJ194" s="485">
        <f t="shared" si="123"/>
        <v>0</v>
      </c>
      <c r="AK194" s="485">
        <f t="shared" ref="AK194:AL194" si="124">SUMPRODUCT(AK191:AK192,AK$150:AK$151)</f>
        <v>0</v>
      </c>
      <c r="AL194" s="485">
        <f t="shared" si="124"/>
        <v>0</v>
      </c>
    </row>
    <row r="196" spans="1:38" ht="13">
      <c r="B196" s="364" t="s">
        <v>520</v>
      </c>
      <c r="C196" s="387" t="s">
        <v>292</v>
      </c>
      <c r="D196" s="488">
        <f>D189+D194</f>
        <v>2274.3795302555782</v>
      </c>
      <c r="E196" s="488">
        <f t="shared" ref="E196:AE196" si="125">E189+E194</f>
        <v>2377.4763281020869</v>
      </c>
      <c r="F196" s="488">
        <f t="shared" si="125"/>
        <v>2473.5564129481054</v>
      </c>
      <c r="G196" s="488">
        <f t="shared" si="125"/>
        <v>2563.5289438804507</v>
      </c>
      <c r="H196" s="488">
        <f t="shared" si="125"/>
        <v>0</v>
      </c>
      <c r="I196" s="488">
        <f t="shared" si="125"/>
        <v>0</v>
      </c>
      <c r="J196" s="488">
        <f t="shared" si="125"/>
        <v>0</v>
      </c>
      <c r="K196" s="488">
        <f t="shared" si="125"/>
        <v>0</v>
      </c>
      <c r="L196" s="488">
        <f t="shared" si="125"/>
        <v>0</v>
      </c>
      <c r="M196" s="488">
        <f t="shared" si="125"/>
        <v>0</v>
      </c>
      <c r="N196" s="488">
        <f t="shared" si="125"/>
        <v>0</v>
      </c>
      <c r="O196" s="488">
        <f t="shared" si="125"/>
        <v>0</v>
      </c>
      <c r="P196" s="488">
        <f t="shared" si="125"/>
        <v>0</v>
      </c>
      <c r="Q196" s="488">
        <f t="shared" si="125"/>
        <v>0</v>
      </c>
      <c r="R196" s="488">
        <f t="shared" si="125"/>
        <v>0</v>
      </c>
      <c r="S196" s="488">
        <f t="shared" si="125"/>
        <v>0</v>
      </c>
      <c r="T196" s="488">
        <f t="shared" si="125"/>
        <v>0</v>
      </c>
      <c r="U196" s="488">
        <f t="shared" si="125"/>
        <v>0</v>
      </c>
      <c r="V196" s="488">
        <f t="shared" si="125"/>
        <v>0</v>
      </c>
      <c r="W196" s="488">
        <f t="shared" si="125"/>
        <v>0</v>
      </c>
      <c r="X196" s="488">
        <f t="shared" si="125"/>
        <v>0</v>
      </c>
      <c r="Y196" s="488">
        <f t="shared" si="125"/>
        <v>0</v>
      </c>
      <c r="Z196" s="488">
        <f t="shared" si="125"/>
        <v>0</v>
      </c>
      <c r="AA196" s="488">
        <f t="shared" si="125"/>
        <v>0</v>
      </c>
      <c r="AB196" s="488">
        <f t="shared" si="125"/>
        <v>0</v>
      </c>
      <c r="AC196" s="488">
        <f t="shared" si="125"/>
        <v>0</v>
      </c>
      <c r="AD196" s="488">
        <f t="shared" si="125"/>
        <v>0</v>
      </c>
      <c r="AE196" s="488">
        <f t="shared" si="125"/>
        <v>0</v>
      </c>
      <c r="AF196" s="488">
        <f t="shared" ref="AF196:AJ196" si="126">AF189+AF194</f>
        <v>0</v>
      </c>
      <c r="AG196" s="488">
        <f t="shared" si="126"/>
        <v>0</v>
      </c>
      <c r="AH196" s="488">
        <f t="shared" si="126"/>
        <v>0</v>
      </c>
      <c r="AI196" s="488">
        <f t="shared" si="126"/>
        <v>0</v>
      </c>
      <c r="AJ196" s="488">
        <f t="shared" si="126"/>
        <v>0</v>
      </c>
      <c r="AK196" s="488">
        <f t="shared" ref="AK196:AL196" si="127">AK189+AK194</f>
        <v>0</v>
      </c>
      <c r="AL196" s="488">
        <f t="shared" si="127"/>
        <v>0</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E201" si="128">E172-E191</f>
        <v>0</v>
      </c>
      <c r="F200" s="383">
        <f t="shared" si="128"/>
        <v>0</v>
      </c>
      <c r="G200" s="383">
        <f t="shared" si="128"/>
        <v>0</v>
      </c>
      <c r="H200" s="383">
        <f t="shared" si="128"/>
        <v>700.02808010377714</v>
      </c>
      <c r="I200" s="383">
        <f t="shared" si="128"/>
        <v>728.31856369868603</v>
      </c>
      <c r="J200" s="383">
        <f t="shared" si="128"/>
        <v>757.75236066170282</v>
      </c>
      <c r="K200" s="383">
        <f t="shared" si="128"/>
        <v>788.37567612231328</v>
      </c>
      <c r="L200" s="383">
        <f t="shared" si="128"/>
        <v>820.23658251432107</v>
      </c>
      <c r="M200" s="383">
        <f t="shared" si="128"/>
        <v>853.38509503988371</v>
      </c>
      <c r="N200" s="383">
        <f t="shared" si="128"/>
        <v>887.87325018329784</v>
      </c>
      <c r="O200" s="383">
        <f t="shared" si="128"/>
        <v>923.75518739779545</v>
      </c>
      <c r="P200" s="383">
        <f t="shared" si="128"/>
        <v>961.08723409357242</v>
      </c>
      <c r="Q200" s="383">
        <f t="shared" si="128"/>
        <v>999.92799406047209</v>
      </c>
      <c r="R200" s="383">
        <f t="shared" si="128"/>
        <v>1040.338439464125</v>
      </c>
      <c r="S200" s="383">
        <f t="shared" si="128"/>
        <v>1082.3820065599621</v>
      </c>
      <c r="T200" s="383">
        <f t="shared" si="128"/>
        <v>1126.1246952753486</v>
      </c>
      <c r="U200" s="383">
        <f t="shared" si="128"/>
        <v>1171.6351728161721</v>
      </c>
      <c r="V200" s="383">
        <f t="shared" si="128"/>
        <v>1218.9848814605173</v>
      </c>
      <c r="W200" s="383">
        <f t="shared" si="128"/>
        <v>1268.2481507086427</v>
      </c>
      <c r="X200" s="383">
        <f t="shared" si="128"/>
        <v>1319.5023139653188</v>
      </c>
      <c r="Y200" s="383">
        <f t="shared" si="128"/>
        <v>1372.8278299376868</v>
      </c>
      <c r="Z200" s="383">
        <f t="shared" si="128"/>
        <v>1428.308408939216</v>
      </c>
      <c r="AA200" s="383">
        <f t="shared" si="128"/>
        <v>1486.0311442980249</v>
      </c>
      <c r="AB200" s="383">
        <f t="shared" si="128"/>
        <v>1546.0866490758531</v>
      </c>
      <c r="AC200" s="383">
        <f t="shared" si="128"/>
        <v>1608.5691983123118</v>
      </c>
      <c r="AD200" s="383">
        <f t="shared" si="128"/>
        <v>1673.5768770176919</v>
      </c>
      <c r="AE200" s="383">
        <f t="shared" si="128"/>
        <v>1741.2117341466646</v>
      </c>
      <c r="AF200" s="383">
        <f t="shared" ref="AF200:AJ200" si="129">AF172-AF191</f>
        <v>1811.5799427945749</v>
      </c>
      <c r="AG200" s="383">
        <f t="shared" si="129"/>
        <v>1884.7919668678062</v>
      </c>
      <c r="AH200" s="383">
        <f t="shared" si="129"/>
        <v>1960.962734489849</v>
      </c>
      <c r="AI200" s="383">
        <f t="shared" si="129"/>
        <v>2040.2118184152948</v>
      </c>
      <c r="AJ200" s="383">
        <f t="shared" si="129"/>
        <v>2122.6636237349617</v>
      </c>
      <c r="AK200" s="383">
        <f t="shared" ref="AK200:AL200" si="130">AK172-AK191</f>
        <v>2208.4475831668192</v>
      </c>
      <c r="AL200" s="383">
        <f t="shared" si="130"/>
        <v>2297.6983602392688</v>
      </c>
    </row>
    <row r="201" spans="1:38" ht="13">
      <c r="B201" s="364" t="s">
        <v>820</v>
      </c>
      <c r="C201" s="387" t="s">
        <v>295</v>
      </c>
      <c r="D201" s="383">
        <f>D173-D192</f>
        <v>0</v>
      </c>
      <c r="E201" s="383">
        <f t="shared" si="128"/>
        <v>0</v>
      </c>
      <c r="F201" s="383">
        <f t="shared" si="128"/>
        <v>0</v>
      </c>
      <c r="G201" s="383">
        <f t="shared" si="128"/>
        <v>0</v>
      </c>
      <c r="H201" s="383">
        <f t="shared" si="128"/>
        <v>182.75791368676701</v>
      </c>
      <c r="I201" s="383">
        <f t="shared" si="128"/>
        <v>190.14377420571756</v>
      </c>
      <c r="J201" s="383">
        <f t="shared" si="128"/>
        <v>197.82812213079421</v>
      </c>
      <c r="K201" s="383">
        <f t="shared" si="128"/>
        <v>205.82302033962489</v>
      </c>
      <c r="L201" s="383">
        <f t="shared" si="128"/>
        <v>214.14101921119808</v>
      </c>
      <c r="M201" s="383">
        <f t="shared" si="128"/>
        <v>222.79517632742886</v>
      </c>
      <c r="N201" s="383">
        <f t="shared" si="128"/>
        <v>231.79907697093088</v>
      </c>
      <c r="O201" s="383">
        <f t="shared" si="128"/>
        <v>241.16685545117267</v>
      </c>
      <c r="P201" s="383">
        <f t="shared" si="128"/>
        <v>250.91321729249441</v>
      </c>
      <c r="Q201" s="383">
        <f t="shared" si="128"/>
        <v>261.05346231881788</v>
      </c>
      <c r="R201" s="383">
        <f t="shared" si="128"/>
        <v>271.60350867128676</v>
      </c>
      <c r="S201" s="383">
        <f t="shared" si="128"/>
        <v>282.57991779654026</v>
      </c>
      <c r="T201" s="383">
        <f t="shared" si="128"/>
        <v>293.99992044484628</v>
      </c>
      <c r="U201" s="383">
        <f t="shared" si="128"/>
        <v>305.88144371890741</v>
      </c>
      <c r="V201" s="383">
        <f t="shared" si="128"/>
        <v>318.24313921579937</v>
      </c>
      <c r="W201" s="383">
        <f t="shared" si="128"/>
        <v>331.1044123062191</v>
      </c>
      <c r="X201" s="383">
        <f t="shared" si="128"/>
        <v>344.48545259700632</v>
      </c>
      <c r="Y201" s="383">
        <f t="shared" si="128"/>
        <v>358.40726562475743</v>
      </c>
      <c r="Z201" s="383">
        <f t="shared" si="128"/>
        <v>372.89170583028482</v>
      </c>
      <c r="AA201" s="383">
        <f t="shared" si="128"/>
        <v>387.96151086568477</v>
      </c>
      <c r="AB201" s="383">
        <f t="shared" si="128"/>
        <v>403.64033728786842</v>
      </c>
      <c r="AC201" s="383">
        <f t="shared" si="128"/>
        <v>419.95279769458955</v>
      </c>
      <c r="AD201" s="383">
        <f t="shared" si="128"/>
        <v>436.92449936126218</v>
      </c>
      <c r="AE201" s="383">
        <f t="shared" si="128"/>
        <v>454.58208443922246</v>
      </c>
      <c r="AF201" s="383">
        <f t="shared" ref="AF201:AJ201" si="131">AF173-AF192</f>
        <v>472.95327177853704</v>
      </c>
      <c r="AG201" s="383">
        <f t="shared" si="131"/>
        <v>492.06690044101236</v>
      </c>
      <c r="AH201" s="383">
        <f t="shared" si="131"/>
        <v>511.9529749717089</v>
      </c>
      <c r="AI201" s="383">
        <f t="shared" si="131"/>
        <v>532.64271250003037</v>
      </c>
      <c r="AJ201" s="383">
        <f t="shared" si="131"/>
        <v>554.16859174432579</v>
      </c>
      <c r="AK201" s="383">
        <f t="shared" ref="AK201:AL201" si="132">AK173-AK192</f>
        <v>576.5644039969319</v>
      </c>
      <c r="AL201" s="383">
        <f t="shared" si="132"/>
        <v>599.86530616969253</v>
      </c>
    </row>
    <row r="202" spans="1:38" ht="13">
      <c r="B202" s="364" t="s">
        <v>821</v>
      </c>
      <c r="C202" s="387" t="s">
        <v>479</v>
      </c>
      <c r="D202" s="383">
        <f>SUM(D166:D168)-SUM(D185:D187)</f>
        <v>0</v>
      </c>
      <c r="E202" s="383">
        <f t="shared" ref="E202:AE202" si="133">SUM(E166:E168)-SUM(E185:E187)</f>
        <v>0</v>
      </c>
      <c r="F202" s="383">
        <f t="shared" si="133"/>
        <v>0</v>
      </c>
      <c r="G202" s="383">
        <f t="shared" si="133"/>
        <v>0</v>
      </c>
      <c r="H202" s="383">
        <f t="shared" si="133"/>
        <v>75.061285978493586</v>
      </c>
      <c r="I202" s="383">
        <f t="shared" si="133"/>
        <v>78.094764405919705</v>
      </c>
      <c r="J202" s="383">
        <f t="shared" si="133"/>
        <v>81.250835875147629</v>
      </c>
      <c r="K202" s="383">
        <f t="shared" si="133"/>
        <v>84.534454782345946</v>
      </c>
      <c r="L202" s="383">
        <f t="shared" si="133"/>
        <v>87.950775747456333</v>
      </c>
      <c r="M202" s="383">
        <f t="shared" si="133"/>
        <v>91.505161705908279</v>
      </c>
      <c r="N202" s="383">
        <f t="shared" si="133"/>
        <v>95.203192327346613</v>
      </c>
      <c r="O202" s="383">
        <f t="shared" si="133"/>
        <v>99.050672774588776</v>
      </c>
      <c r="P202" s="383">
        <f t="shared" si="133"/>
        <v>103.0536428165602</v>
      </c>
      <c r="Q202" s="383">
        <f t="shared" si="133"/>
        <v>107.21838630951449</v>
      </c>
      <c r="R202" s="383">
        <f t="shared" si="133"/>
        <v>111.55144106142133</v>
      </c>
      <c r="S202" s="383">
        <f t="shared" si="133"/>
        <v>116.05960909500757</v>
      </c>
      <c r="T202" s="383">
        <f t="shared" si="133"/>
        <v>120.74996732556185</v>
      </c>
      <c r="U202" s="383">
        <f t="shared" si="133"/>
        <v>125.62987867026553</v>
      </c>
      <c r="V202" s="383">
        <f t="shared" si="133"/>
        <v>130.70700360648902</v>
      </c>
      <c r="W202" s="383">
        <f t="shared" si="133"/>
        <v>135.98931219719711</v>
      </c>
      <c r="X202" s="383">
        <f t="shared" si="133"/>
        <v>141.48509660234186</v>
      </c>
      <c r="Y202" s="383">
        <f t="shared" si="133"/>
        <v>147.2029840958825</v>
      </c>
      <c r="Z202" s="383">
        <f t="shared" si="133"/>
        <v>153.15195060886697</v>
      </c>
      <c r="AA202" s="383">
        <f t="shared" si="133"/>
        <v>159.3413348198348</v>
      </c>
      <c r="AB202" s="383">
        <f t="shared" si="133"/>
        <v>165.78085281466025</v>
      </c>
      <c r="AC202" s="383">
        <f t="shared" si="133"/>
        <v>172.48061333884925</v>
      </c>
      <c r="AD202" s="383">
        <f t="shared" si="133"/>
        <v>179.45113366623269</v>
      </c>
      <c r="AE202" s="383">
        <f t="shared" si="133"/>
        <v>186.70335610896637</v>
      </c>
      <c r="AF202" s="383">
        <f t="shared" ref="AF202:AJ202" si="134">SUM(AF166:AF168)-SUM(AF185:AF187)</f>
        <v>194.24866519475626</v>
      </c>
      <c r="AG202" s="383">
        <f t="shared" si="134"/>
        <v>202.0989055382729</v>
      </c>
      <c r="AH202" s="383">
        <f t="shared" si="134"/>
        <v>210.26640043480899</v>
      </c>
      <c r="AI202" s="383">
        <f t="shared" si="134"/>
        <v>218.76397120536959</v>
      </c>
      <c r="AJ202" s="383">
        <f t="shared" si="134"/>
        <v>227.60495732356233</v>
      </c>
      <c r="AK202" s="383">
        <f t="shared" ref="AK202:AL202" si="135">SUM(AK166:AK168)-SUM(AK185:AK187)</f>
        <v>236.80323735588271</v>
      </c>
      <c r="AL202" s="383">
        <f t="shared" si="135"/>
        <v>246.37325074826654</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E204" si="136">D177-D196</f>
        <v>0</v>
      </c>
      <c r="E204" s="488">
        <f t="shared" si="136"/>
        <v>0</v>
      </c>
      <c r="F204" s="488">
        <f t="shared" si="136"/>
        <v>0</v>
      </c>
      <c r="G204" s="488">
        <f t="shared" si="136"/>
        <v>0</v>
      </c>
      <c r="H204" s="488">
        <f t="shared" si="136"/>
        <v>2694.5435057684435</v>
      </c>
      <c r="I204" s="488">
        <f t="shared" si="136"/>
        <v>2833.7757389077487</v>
      </c>
      <c r="J204" s="488">
        <f t="shared" si="136"/>
        <v>2977.7487427686956</v>
      </c>
      <c r="K204" s="488">
        <f t="shared" si="136"/>
        <v>3122.1462714105733</v>
      </c>
      <c r="L204" s="488">
        <f t="shared" si="136"/>
        <v>3287.2876309380731</v>
      </c>
      <c r="M204" s="488">
        <f t="shared" si="136"/>
        <v>3510.514558962228</v>
      </c>
      <c r="N204" s="488">
        <f t="shared" si="136"/>
        <v>3681.845296780536</v>
      </c>
      <c r="O204" s="488">
        <f t="shared" si="136"/>
        <v>3863.0118708799932</v>
      </c>
      <c r="P204" s="488">
        <f t="shared" si="136"/>
        <v>4084.7974821740863</v>
      </c>
      <c r="Q204" s="488">
        <f t="shared" si="136"/>
        <v>4306.81584998178</v>
      </c>
      <c r="R204" s="488">
        <f t="shared" si="136"/>
        <v>4524.7378470091326</v>
      </c>
      <c r="S204" s="488">
        <f t="shared" si="136"/>
        <v>4759.33951942969</v>
      </c>
      <c r="T204" s="488">
        <f t="shared" si="136"/>
        <v>4973.0150071497346</v>
      </c>
      <c r="U204" s="488">
        <f t="shared" si="136"/>
        <v>5225.2216826206013</v>
      </c>
      <c r="V204" s="488">
        <f t="shared" si="136"/>
        <v>5499.6476492725769</v>
      </c>
      <c r="W204" s="488">
        <f t="shared" si="136"/>
        <v>5739.5874704074122</v>
      </c>
      <c r="X204" s="488">
        <f t="shared" si="136"/>
        <v>6012.6816438864289</v>
      </c>
      <c r="Y204" s="488">
        <f t="shared" si="136"/>
        <v>6344.553817063681</v>
      </c>
      <c r="Z204" s="488">
        <f t="shared" si="136"/>
        <v>6650.5111685897245</v>
      </c>
      <c r="AA204" s="488">
        <f t="shared" si="136"/>
        <v>6971.6663277455409</v>
      </c>
      <c r="AB204" s="488">
        <f t="shared" si="136"/>
        <v>7342.3339336772042</v>
      </c>
      <c r="AC204" s="488">
        <f t="shared" si="136"/>
        <v>7660.8415502238413</v>
      </c>
      <c r="AD204" s="488">
        <f t="shared" si="136"/>
        <v>8085.6780152383162</v>
      </c>
      <c r="AE204" s="488">
        <f t="shared" si="136"/>
        <v>8498.734108033359</v>
      </c>
      <c r="AF204" s="488">
        <f t="shared" ref="AF204:AJ204" si="137">AF177-AF196</f>
        <v>8911.0618361992911</v>
      </c>
      <c r="AG204" s="488">
        <f t="shared" si="137"/>
        <v>9333.5257721143862</v>
      </c>
      <c r="AH204" s="488">
        <f t="shared" si="137"/>
        <v>9788.3889654249597</v>
      </c>
      <c r="AI204" s="488">
        <f t="shared" si="137"/>
        <v>10265.312747042701</v>
      </c>
      <c r="AJ204" s="488">
        <f t="shared" si="137"/>
        <v>10765.364407864034</v>
      </c>
      <c r="AK204" s="488">
        <f t="shared" ref="AK204:AL204" si="138">AK177-AK196</f>
        <v>11289.662823396126</v>
      </c>
      <c r="AL204" s="488">
        <f t="shared" si="138"/>
        <v>11839.380946762529</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theme="4" tint="-0.249977111117893"/>
  </sheetPr>
  <dimension ref="A1:AL72"/>
  <sheetViews>
    <sheetView showGridLines="0" zoomScaleNormal="10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Inputs'!H24</f>
        <v>967139F</v>
      </c>
      <c r="E4" s="410"/>
    </row>
    <row r="5" spans="1:38">
      <c r="B5" s="358" t="s">
        <v>628</v>
      </c>
      <c r="C5" s="399" t="s">
        <v>629</v>
      </c>
      <c r="D5" s="439" t="str">
        <f>'Crossing Inputs'!H26</f>
        <v>Urban</v>
      </c>
      <c r="E5" s="398">
        <f>SUMIFS('Accidents Methodology'!$C$22:$C$23,'Accidents Methodology'!$B$22:$B$23,$D5)</f>
        <v>1</v>
      </c>
    </row>
    <row r="6" spans="1:38">
      <c r="B6" s="358" t="s">
        <v>615</v>
      </c>
      <c r="C6" s="399" t="s">
        <v>150</v>
      </c>
      <c r="D6" s="439" t="str">
        <f>'Crossing Inputs'!H27</f>
        <v>Passive</v>
      </c>
      <c r="E6" s="398">
        <f>SUMIFS('Accidents Methodology'!$C$3:$C$5,'Accidents Methodology'!$B$3:$B$5,$D6)</f>
        <v>2.2680000000000001E-3</v>
      </c>
    </row>
    <row r="7" spans="1:38">
      <c r="B7" s="358" t="s">
        <v>630</v>
      </c>
      <c r="C7" s="399" t="s">
        <v>631</v>
      </c>
      <c r="D7" s="439" t="str">
        <f>'Crossing Inputs'!H29</f>
        <v>Yes</v>
      </c>
      <c r="E7" s="398">
        <f>SUMIFS('Accidents Methodology'!$C$26:$C$27,'Accidents Methodology'!$B$26:$B$27,$D7)</f>
        <v>1</v>
      </c>
    </row>
    <row r="8" spans="1:38">
      <c r="B8" s="358" t="s">
        <v>632</v>
      </c>
      <c r="C8" s="399" t="s">
        <v>633</v>
      </c>
      <c r="D8" s="439" t="str">
        <f>'Crossing Inputs'!$H$26&amp;" - "&amp;'Crossing Inputs'!$H$28</f>
        <v>Urban - Local</v>
      </c>
      <c r="E8" s="398">
        <f>SUMIFS('Accidents Methodology'!$C$8:$C$19,'Accidents Methodology'!$B$8:$B$19,$D8)</f>
        <v>6</v>
      </c>
    </row>
    <row r="9" spans="1:38">
      <c r="B9" s="358" t="s">
        <v>607</v>
      </c>
      <c r="C9" s="399" t="s">
        <v>635</v>
      </c>
      <c r="D9" s="439">
        <f>'Crossing Inputs'!H30</f>
        <v>0</v>
      </c>
    </row>
    <row r="10" spans="1:38">
      <c r="B10" s="358" t="s">
        <v>636</v>
      </c>
      <c r="C10" s="399" t="s">
        <v>637</v>
      </c>
      <c r="D10" s="439">
        <f>'Crossing Inputs'!H35</f>
        <v>2</v>
      </c>
    </row>
    <row r="11" spans="1:38">
      <c r="B11" s="358" t="s">
        <v>610</v>
      </c>
      <c r="C11" s="399" t="s">
        <v>638</v>
      </c>
      <c r="D11" s="439">
        <f>'Crossing Inputs'!H31</f>
        <v>1</v>
      </c>
    </row>
    <row r="12" spans="1:38">
      <c r="C12" s="399"/>
    </row>
    <row r="13" spans="1:38" ht="13">
      <c r="C13" s="399"/>
      <c r="D13" s="440">
        <f>D$1</f>
        <v>2021</v>
      </c>
      <c r="E13" s="440">
        <f t="shared" ref="E13:AL13" si="0">E$1</f>
        <v>2022</v>
      </c>
      <c r="F13" s="440">
        <f t="shared" si="0"/>
        <v>2023</v>
      </c>
      <c r="G13" s="440">
        <f t="shared" si="0"/>
        <v>2024</v>
      </c>
      <c r="H13" s="440">
        <f t="shared" si="0"/>
        <v>2025</v>
      </c>
      <c r="I13" s="440">
        <f t="shared" si="0"/>
        <v>2026</v>
      </c>
      <c r="J13" s="440">
        <f t="shared" si="0"/>
        <v>2027</v>
      </c>
      <c r="K13" s="440">
        <f t="shared" si="0"/>
        <v>2028</v>
      </c>
      <c r="L13" s="440">
        <f t="shared" si="0"/>
        <v>2029</v>
      </c>
      <c r="M13" s="440">
        <f t="shared" si="0"/>
        <v>2030</v>
      </c>
      <c r="N13" s="440">
        <f t="shared" si="0"/>
        <v>2031</v>
      </c>
      <c r="O13" s="440">
        <f t="shared" si="0"/>
        <v>2032</v>
      </c>
      <c r="P13" s="440">
        <f t="shared" si="0"/>
        <v>2033</v>
      </c>
      <c r="Q13" s="440">
        <f t="shared" si="0"/>
        <v>2034</v>
      </c>
      <c r="R13" s="440">
        <f t="shared" si="0"/>
        <v>2035</v>
      </c>
      <c r="S13" s="440">
        <f t="shared" si="0"/>
        <v>2036</v>
      </c>
      <c r="T13" s="440">
        <f t="shared" si="0"/>
        <v>2037</v>
      </c>
      <c r="U13" s="440">
        <f t="shared" si="0"/>
        <v>2038</v>
      </c>
      <c r="V13" s="440">
        <f t="shared" si="0"/>
        <v>2039</v>
      </c>
      <c r="W13" s="440">
        <f t="shared" si="0"/>
        <v>2040</v>
      </c>
      <c r="X13" s="440">
        <f t="shared" si="0"/>
        <v>2041</v>
      </c>
      <c r="Y13" s="440">
        <f t="shared" si="0"/>
        <v>2042</v>
      </c>
      <c r="Z13" s="440">
        <f t="shared" si="0"/>
        <v>2043</v>
      </c>
      <c r="AA13" s="440">
        <f t="shared" si="0"/>
        <v>2044</v>
      </c>
      <c r="AB13" s="440">
        <f t="shared" si="0"/>
        <v>2045</v>
      </c>
      <c r="AC13" s="440">
        <f t="shared" si="0"/>
        <v>2046</v>
      </c>
      <c r="AD13" s="440">
        <f t="shared" si="0"/>
        <v>2047</v>
      </c>
      <c r="AE13" s="440">
        <f t="shared" si="0"/>
        <v>2048</v>
      </c>
      <c r="AF13" s="440">
        <f t="shared" si="0"/>
        <v>2049</v>
      </c>
      <c r="AG13" s="440">
        <f t="shared" si="0"/>
        <v>2050</v>
      </c>
      <c r="AH13" s="440">
        <f t="shared" si="0"/>
        <v>2051</v>
      </c>
      <c r="AI13" s="440">
        <f t="shared" si="0"/>
        <v>2052</v>
      </c>
      <c r="AJ13" s="440">
        <f t="shared" si="0"/>
        <v>2053</v>
      </c>
      <c r="AK13" s="440">
        <f t="shared" si="0"/>
        <v>2054</v>
      </c>
      <c r="AL13" s="440">
        <f t="shared" si="0"/>
        <v>2055</v>
      </c>
    </row>
    <row r="14" spans="1:38" ht="13">
      <c r="B14" s="400" t="s">
        <v>639</v>
      </c>
      <c r="C14" s="401" t="s">
        <v>640</v>
      </c>
      <c r="D14" s="441">
        <f>'Canyon Creek Parkway'!D6</f>
        <v>5369.4157090707613</v>
      </c>
      <c r="E14" s="441">
        <f>'Canyon Creek Parkway'!E6</f>
        <v>5527.7817231396275</v>
      </c>
      <c r="F14" s="441">
        <f>'Canyon Creek Parkway'!F6</f>
        <v>5690.8185982054729</v>
      </c>
      <c r="G14" s="441">
        <f>'Canyon Creek Parkway'!G6</f>
        <v>5858.6640970489125</v>
      </c>
      <c r="H14" s="441">
        <f>'Canyon Creek Parkway'!H6</f>
        <v>6031.4600456379985</v>
      </c>
      <c r="I14" s="441">
        <f>'Canyon Creek Parkway'!I6</f>
        <v>6209.3524529682218</v>
      </c>
      <c r="J14" s="441">
        <f>'Canyon Creek Parkway'!J6</f>
        <v>6392.491634437094</v>
      </c>
      <c r="K14" s="441">
        <f>'Canyon Creek Parkway'!K6</f>
        <v>6581.0323388575353</v>
      </c>
      <c r="L14" s="441">
        <f>'Canyon Creek Parkway'!L6</f>
        <v>6775.1338792174183</v>
      </c>
      <c r="M14" s="441">
        <f>'Canyon Creek Parkway'!M6</f>
        <v>6974.960267295738</v>
      </c>
      <c r="N14" s="441">
        <f>'Canyon Creek Parkway'!N6</f>
        <v>7180.6803522491737</v>
      </c>
      <c r="O14" s="441">
        <f>'Canyon Creek Parkway'!O6</f>
        <v>7392.467963286118</v>
      </c>
      <c r="P14" s="441">
        <f>'Canyon Creek Parkway'!P6</f>
        <v>7610.5020565487584</v>
      </c>
      <c r="Q14" s="441">
        <f>'Canyon Creek Parkway'!Q6</f>
        <v>7834.9668663273123</v>
      </c>
      <c r="R14" s="441">
        <f>'Canyon Creek Parkway'!R6</f>
        <v>8066.0520607341778</v>
      </c>
      <c r="S14" s="441">
        <f>'Canyon Creek Parkway'!S6</f>
        <v>8303.9529019695674</v>
      </c>
      <c r="T14" s="441">
        <f>'Canyon Creek Parkway'!T6</f>
        <v>8548.8704113140102</v>
      </c>
      <c r="U14" s="441">
        <f>'Canyon Creek Parkway'!U6</f>
        <v>8801.011538987168</v>
      </c>
      <c r="V14" s="441">
        <f>'Canyon Creek Parkway'!V6</f>
        <v>9060.5893390164965</v>
      </c>
      <c r="W14" s="441">
        <f>'Canyon Creek Parkway'!W6</f>
        <v>9327.8231492634677</v>
      </c>
      <c r="X14" s="441">
        <f>'Canyon Creek Parkway'!X6</f>
        <v>9602.9387767595217</v>
      </c>
      <c r="Y14" s="441">
        <f>'Canyon Creek Parkway'!Y6</f>
        <v>9886.1686885083291</v>
      </c>
      <c r="Z14" s="441">
        <f>'Canyon Creek Parkway'!Z6</f>
        <v>10177.752207915593</v>
      </c>
      <c r="AA14" s="441">
        <f>'Canyon Creek Parkway'!AA6</f>
        <v>10477.935717012369</v>
      </c>
      <c r="AB14" s="441">
        <f>'Canyon Creek Parkway'!AB6</f>
        <v>10786.972864642765</v>
      </c>
      <c r="AC14" s="441">
        <f>'Canyon Creek Parkway'!AC6</f>
        <v>11105.124780791968</v>
      </c>
      <c r="AD14" s="441">
        <f>'Canyon Creek Parkway'!AD6</f>
        <v>11432.660297235674</v>
      </c>
      <c r="AE14" s="441">
        <f>'Canyon Creek Parkway'!AE6</f>
        <v>11769.856174697348</v>
      </c>
      <c r="AF14" s="441">
        <f>'Canyon Creek Parkway'!AF6</f>
        <v>12116.997336705317</v>
      </c>
      <c r="AG14" s="441">
        <f>'Canyon Creek Parkway'!AG6</f>
        <v>12474.377110347241</v>
      </c>
      <c r="AH14" s="441">
        <f>'Canyon Creek Parkway'!AH6</f>
        <v>12842.297474125426</v>
      </c>
      <c r="AI14" s="441">
        <f>'Canyon Creek Parkway'!AI6</f>
        <v>13221.069313122392</v>
      </c>
      <c r="AJ14" s="441">
        <f>'Canyon Creek Parkway'!AJ6</f>
        <v>13611.012681692333</v>
      </c>
      <c r="AK14" s="441">
        <f>'Canyon Creek Parkway'!AK6</f>
        <v>14012.45707390041</v>
      </c>
      <c r="AL14" s="441">
        <f>'Canyon Creek Parkway'!AL6</f>
        <v>14425.741701938412</v>
      </c>
    </row>
    <row r="15" spans="1:38" ht="13">
      <c r="B15" s="400" t="s">
        <v>641</v>
      </c>
      <c r="C15" s="401" t="s">
        <v>642</v>
      </c>
      <c r="D15" s="442">
        <f>'Canyon Creek Parkway'!D10</f>
        <v>2.021212882214602</v>
      </c>
      <c r="E15" s="442">
        <f>'Canyon Creek Parkway'!E10</f>
        <v>2.0426507576151294</v>
      </c>
      <c r="F15" s="442">
        <f>'Canyon Creek Parkway'!F10</f>
        <v>2.064316012578558</v>
      </c>
      <c r="G15" s="442">
        <f>'Canyon Creek Parkway'!G10</f>
        <v>2.0862110587928311</v>
      </c>
      <c r="H15" s="442">
        <f>'Canyon Creek Parkway'!H10</f>
        <v>2.1083383335253174</v>
      </c>
      <c r="I15" s="442">
        <f>'Canyon Creek Parkway'!I10</f>
        <v>2.1307002998941189</v>
      </c>
      <c r="J15" s="442">
        <f>'Canyon Creek Parkway'!J10</f>
        <v>2.1532994471422544</v>
      </c>
      <c r="K15" s="442">
        <f>'Canyon Creek Parkway'!K10</f>
        <v>2.1761382909147526</v>
      </c>
      <c r="L15" s="442">
        <f>'Canyon Creek Parkway'!L10</f>
        <v>2.1992193735386825</v>
      </c>
      <c r="M15" s="442">
        <f>'Canyon Creek Parkway'!M10</f>
        <v>2.2225452643061563</v>
      </c>
      <c r="N15" s="442">
        <f>'Canyon Creek Parkway'!N10</f>
        <v>2.2461185597603301</v>
      </c>
      <c r="O15" s="442">
        <f>'Canyon Creek Parkway'!O10</f>
        <v>2.2699418839844441</v>
      </c>
      <c r="P15" s="442">
        <f>'Canyon Creek Parkway'!P10</f>
        <v>2.2940178888939209</v>
      </c>
      <c r="Q15" s="442">
        <f>'Canyon Creek Parkway'!Q10</f>
        <v>2.3183492545315696</v>
      </c>
      <c r="R15" s="442">
        <f>'Canyon Creek Parkway'!R10</f>
        <v>2.3429386893659134</v>
      </c>
      <c r="S15" s="442">
        <f>'Canyon Creek Parkway'!S10</f>
        <v>2.3677889305926905</v>
      </c>
      <c r="T15" s="442">
        <f>'Canyon Creek Parkway'!T10</f>
        <v>2.392902744439541</v>
      </c>
      <c r="U15" s="442">
        <f>'Canyon Creek Parkway'!U10</f>
        <v>2.4182829264739381</v>
      </c>
      <c r="V15" s="442">
        <f>'Canyon Creek Parkway'!V10</f>
        <v>2.4439323019143755</v>
      </c>
      <c r="W15" s="442">
        <f>'Canyon Creek Parkway'!W10</f>
        <v>2.4698537259448612</v>
      </c>
      <c r="X15" s="442">
        <f>'Canyon Creek Parkway'!X10</f>
        <v>2.4960500840327433</v>
      </c>
      <c r="Y15" s="442">
        <f>'Canyon Creek Parkway'!Y10</f>
        <v>2.5225242922499103</v>
      </c>
      <c r="Z15" s="442">
        <f>'Canyon Creek Parkway'!Z10</f>
        <v>2.549279297597395</v>
      </c>
      <c r="AA15" s="442">
        <f>'Canyon Creek Parkway'!AA10</f>
        <v>2.5763180783334239</v>
      </c>
      <c r="AB15" s="442">
        <f>'Canyon Creek Parkway'!AB10</f>
        <v>2.6036436443049418</v>
      </c>
      <c r="AC15" s="442">
        <f>'Canyon Creek Parkway'!AC10</f>
        <v>2.631259037282661</v>
      </c>
      <c r="AD15" s="442">
        <f>'Canyon Creek Parkway'!AD10</f>
        <v>2.6591673312996531</v>
      </c>
      <c r="AE15" s="442">
        <f>'Canyon Creek Parkway'!AE10</f>
        <v>2.6873716329935418</v>
      </c>
      <c r="AF15" s="442">
        <f>'Canyon Creek Parkway'!AF10</f>
        <v>2.7158750819523192</v>
      </c>
      <c r="AG15" s="442">
        <f>'Canyon Creek Parkway'!AG10</f>
        <v>2.744680851063833</v>
      </c>
      <c r="AH15" s="442">
        <f>'Canyon Creek Parkway'!AH10</f>
        <v>2.7737921468689781</v>
      </c>
      <c r="AI15" s="442">
        <f>'Canyon Creek Parkway'!AI10</f>
        <v>2.8032122099186383</v>
      </c>
      <c r="AJ15" s="442">
        <f>'Canyon Creek Parkway'!AJ10</f>
        <v>2.8329443151344074</v>
      </c>
      <c r="AK15" s="442">
        <f>'Canyon Creek Parkway'!AK10</f>
        <v>2.8629917721731437</v>
      </c>
      <c r="AL15" s="442">
        <f>'Canyon Creek Parkway'!AL10</f>
        <v>2.8933579257953856</v>
      </c>
    </row>
    <row r="16" spans="1:38" ht="13">
      <c r="B16" s="400" t="s">
        <v>643</v>
      </c>
      <c r="C16" s="401" t="s">
        <v>644</v>
      </c>
      <c r="D16" s="442">
        <f>'Canyon Creek Parkway'!D10</f>
        <v>2.021212882214602</v>
      </c>
      <c r="E16" s="442">
        <f>'Canyon Creek Parkway'!E10</f>
        <v>2.0426507576151294</v>
      </c>
      <c r="F16" s="442">
        <f>'Canyon Creek Parkway'!F10</f>
        <v>2.064316012578558</v>
      </c>
      <c r="G16" s="442">
        <f>'Canyon Creek Parkway'!G10</f>
        <v>2.0862110587928311</v>
      </c>
      <c r="H16" s="442">
        <f>'Canyon Creek Parkway'!H10</f>
        <v>2.1083383335253174</v>
      </c>
      <c r="I16" s="442">
        <f>'Canyon Creek Parkway'!I10</f>
        <v>2.1307002998941189</v>
      </c>
      <c r="J16" s="442">
        <f>'Canyon Creek Parkway'!J10</f>
        <v>2.1532994471422544</v>
      </c>
      <c r="K16" s="442">
        <f>'Canyon Creek Parkway'!K10</f>
        <v>2.1761382909147526</v>
      </c>
      <c r="L16" s="442">
        <f>'Canyon Creek Parkway'!L10</f>
        <v>2.1992193735386825</v>
      </c>
      <c r="M16" s="442">
        <f>'Canyon Creek Parkway'!M10</f>
        <v>2.2225452643061563</v>
      </c>
      <c r="N16" s="442">
        <f>'Canyon Creek Parkway'!N10</f>
        <v>2.2461185597603301</v>
      </c>
      <c r="O16" s="442">
        <f>'Canyon Creek Parkway'!O10</f>
        <v>2.2699418839844441</v>
      </c>
      <c r="P16" s="442">
        <f>'Canyon Creek Parkway'!P10</f>
        <v>2.2940178888939209</v>
      </c>
      <c r="Q16" s="442">
        <f>'Canyon Creek Parkway'!Q10</f>
        <v>2.3183492545315696</v>
      </c>
      <c r="R16" s="442">
        <f>'Canyon Creek Parkway'!R10</f>
        <v>2.3429386893659134</v>
      </c>
      <c r="S16" s="442">
        <f>'Canyon Creek Parkway'!S10</f>
        <v>2.3677889305926905</v>
      </c>
      <c r="T16" s="442">
        <f>'Canyon Creek Parkway'!T10</f>
        <v>2.392902744439541</v>
      </c>
      <c r="U16" s="442">
        <f>'Canyon Creek Parkway'!U10</f>
        <v>2.4182829264739381</v>
      </c>
      <c r="V16" s="442">
        <f>'Canyon Creek Parkway'!V10</f>
        <v>2.4439323019143755</v>
      </c>
      <c r="W16" s="442">
        <f>'Canyon Creek Parkway'!W10</f>
        <v>2.4698537259448612</v>
      </c>
      <c r="X16" s="442">
        <f>'Canyon Creek Parkway'!X10</f>
        <v>2.4960500840327433</v>
      </c>
      <c r="Y16" s="442">
        <f>'Canyon Creek Parkway'!Y10</f>
        <v>2.5225242922499103</v>
      </c>
      <c r="Z16" s="442">
        <f>'Canyon Creek Parkway'!Z10</f>
        <v>2.549279297597395</v>
      </c>
      <c r="AA16" s="442">
        <f>'Canyon Creek Parkway'!AA10</f>
        <v>2.5763180783334239</v>
      </c>
      <c r="AB16" s="442">
        <f>'Canyon Creek Parkway'!AB10</f>
        <v>2.6036436443049418</v>
      </c>
      <c r="AC16" s="442">
        <f>'Canyon Creek Parkway'!AC10</f>
        <v>2.631259037282661</v>
      </c>
      <c r="AD16" s="442">
        <f>'Canyon Creek Parkway'!AD10</f>
        <v>2.6591673312996531</v>
      </c>
      <c r="AE16" s="442">
        <f>'Canyon Creek Parkway'!AE10</f>
        <v>2.6873716329935418</v>
      </c>
      <c r="AF16" s="442">
        <f>'Canyon Creek Parkway'!AF10</f>
        <v>2.7158750819523192</v>
      </c>
      <c r="AG16" s="442">
        <f>'Canyon Creek Parkway'!AG10</f>
        <v>2.744680851063833</v>
      </c>
      <c r="AH16" s="442">
        <f>'Canyon Creek Parkway'!AH10</f>
        <v>2.7737921468689781</v>
      </c>
      <c r="AI16" s="442">
        <f>'Canyon Creek Parkway'!AI10</f>
        <v>2.8032122099186383</v>
      </c>
      <c r="AJ16" s="442">
        <f>'Canyon Creek Parkway'!AJ10</f>
        <v>2.8329443151344074</v>
      </c>
      <c r="AK16" s="442">
        <f>'Canyon Creek Parkway'!AK10</f>
        <v>2.8629917721731437</v>
      </c>
      <c r="AL16" s="442">
        <f>'Canyon Creek Parkway'!AL10</f>
        <v>2.8933579257953856</v>
      </c>
    </row>
    <row r="17" spans="2:38" ht="13">
      <c r="B17" s="400" t="s">
        <v>645</v>
      </c>
      <c r="C17" s="401" t="s">
        <v>646</v>
      </c>
      <c r="D17" s="442">
        <f>'Canyon Creek Parkway'!D11</f>
        <v>1.010606441107301</v>
      </c>
      <c r="E17" s="442">
        <f>'Canyon Creek Parkway'!E11</f>
        <v>1.0213253788075647</v>
      </c>
      <c r="F17" s="442">
        <f>'Canyon Creek Parkway'!F11</f>
        <v>1.032158006289279</v>
      </c>
      <c r="G17" s="442">
        <f>'Canyon Creek Parkway'!G11</f>
        <v>1.0431055293964155</v>
      </c>
      <c r="H17" s="442">
        <f>'Canyon Creek Parkway'!H11</f>
        <v>1.0541691667626587</v>
      </c>
      <c r="I17" s="442">
        <f>'Canyon Creek Parkway'!I11</f>
        <v>1.0653501499470595</v>
      </c>
      <c r="J17" s="442">
        <f>'Canyon Creek Parkway'!J11</f>
        <v>1.0766497235711272</v>
      </c>
      <c r="K17" s="442">
        <f>'Canyon Creek Parkway'!K11</f>
        <v>1.0880691454573763</v>
      </c>
      <c r="L17" s="442">
        <f>'Canyon Creek Parkway'!L11</f>
        <v>1.0996096867693412</v>
      </c>
      <c r="M17" s="442">
        <f>'Canyon Creek Parkway'!M11</f>
        <v>1.1112726321530781</v>
      </c>
      <c r="N17" s="442">
        <f>'Canyon Creek Parkway'!N11</f>
        <v>1.1230592798801651</v>
      </c>
      <c r="O17" s="442">
        <f>'Canyon Creek Parkway'!O11</f>
        <v>1.134970941992222</v>
      </c>
      <c r="P17" s="442">
        <f>'Canyon Creek Parkway'!P11</f>
        <v>1.1470089444469604</v>
      </c>
      <c r="Q17" s="442">
        <f>'Canyon Creek Parkway'!Q11</f>
        <v>1.1591746272657848</v>
      </c>
      <c r="R17" s="442">
        <f>'Canyon Creek Parkway'!R11</f>
        <v>1.1714693446829567</v>
      </c>
      <c r="S17" s="442">
        <f>'Canyon Creek Parkway'!S11</f>
        <v>1.1838944652963452</v>
      </c>
      <c r="T17" s="442">
        <f>'Canyon Creek Parkway'!T11</f>
        <v>1.1964513722197705</v>
      </c>
      <c r="U17" s="442">
        <f>'Canyon Creek Parkway'!U11</f>
        <v>1.209141463236969</v>
      </c>
      <c r="V17" s="442">
        <f>'Canyon Creek Parkway'!V11</f>
        <v>1.2219661509571877</v>
      </c>
      <c r="W17" s="442">
        <f>'Canyon Creek Parkway'!W11</f>
        <v>1.2349268629724306</v>
      </c>
      <c r="X17" s="442">
        <f>'Canyon Creek Parkway'!X11</f>
        <v>1.2480250420163717</v>
      </c>
      <c r="Y17" s="442">
        <f>'Canyon Creek Parkway'!Y11</f>
        <v>1.2612621461249551</v>
      </c>
      <c r="Z17" s="442">
        <f>'Canyon Creek Parkway'!Z11</f>
        <v>1.2746396487986975</v>
      </c>
      <c r="AA17" s="442">
        <f>'Canyon Creek Parkway'!AA11</f>
        <v>1.2881590391667119</v>
      </c>
      <c r="AB17" s="442">
        <f>'Canyon Creek Parkway'!AB11</f>
        <v>1.3018218221524709</v>
      </c>
      <c r="AC17" s="442">
        <f>'Canyon Creek Parkway'!AC11</f>
        <v>1.3156295186413305</v>
      </c>
      <c r="AD17" s="442">
        <f>'Canyon Creek Parkway'!AD11</f>
        <v>1.3295836656498266</v>
      </c>
      <c r="AE17" s="442">
        <f>'Canyon Creek Parkway'!AE11</f>
        <v>1.3436858164967709</v>
      </c>
      <c r="AF17" s="442">
        <f>'Canyon Creek Parkway'!AF11</f>
        <v>1.3579375409761596</v>
      </c>
      <c r="AG17" s="442">
        <f>'Canyon Creek Parkway'!AG11</f>
        <v>1.3723404255319165</v>
      </c>
      <c r="AH17" s="442">
        <f>'Canyon Creek Parkway'!AH11</f>
        <v>1.3868960734344891</v>
      </c>
      <c r="AI17" s="442">
        <f>'Canyon Creek Parkway'!AI11</f>
        <v>1.4016061049593191</v>
      </c>
      <c r="AJ17" s="442">
        <f>'Canyon Creek Parkway'!AJ11</f>
        <v>1.4164721575672037</v>
      </c>
      <c r="AK17" s="442">
        <f>'Canyon Creek Parkway'!AK11</f>
        <v>1.4314958860865719</v>
      </c>
      <c r="AL17" s="442">
        <f>'Canyon Creek Parkway'!AL11</f>
        <v>1.4466789628976928</v>
      </c>
    </row>
    <row r="18" spans="2:38" ht="13">
      <c r="B18" s="400" t="s">
        <v>1048</v>
      </c>
      <c r="C18" s="401" t="s">
        <v>647</v>
      </c>
      <c r="D18" s="442">
        <v>0</v>
      </c>
      <c r="E18" s="442">
        <v>0</v>
      </c>
      <c r="F18" s="442">
        <v>0</v>
      </c>
      <c r="G18" s="442">
        <v>0</v>
      </c>
      <c r="H18" s="442">
        <v>0</v>
      </c>
      <c r="I18" s="442">
        <v>0</v>
      </c>
      <c r="J18" s="442">
        <v>0</v>
      </c>
      <c r="K18" s="442">
        <v>0</v>
      </c>
      <c r="L18" s="442">
        <v>0</v>
      </c>
      <c r="M18" s="442">
        <v>0</v>
      </c>
      <c r="N18" s="442">
        <v>0</v>
      </c>
      <c r="O18" s="442">
        <v>0</v>
      </c>
      <c r="P18" s="442">
        <v>0</v>
      </c>
      <c r="Q18" s="442">
        <v>0</v>
      </c>
      <c r="R18" s="442">
        <v>0</v>
      </c>
      <c r="S18" s="442">
        <v>0</v>
      </c>
      <c r="T18" s="442">
        <v>0</v>
      </c>
      <c r="U18" s="442">
        <v>0</v>
      </c>
      <c r="V18" s="442">
        <v>0</v>
      </c>
      <c r="W18" s="442">
        <v>0</v>
      </c>
      <c r="X18" s="442">
        <v>0</v>
      </c>
      <c r="Y18" s="442">
        <v>0</v>
      </c>
      <c r="Z18" s="442">
        <v>0</v>
      </c>
      <c r="AA18" s="442">
        <v>0</v>
      </c>
      <c r="AB18" s="442">
        <v>0</v>
      </c>
      <c r="AC18" s="442">
        <v>0</v>
      </c>
      <c r="AD18" s="442">
        <v>0</v>
      </c>
      <c r="AE18" s="442">
        <v>0</v>
      </c>
      <c r="AF18" s="442">
        <v>0</v>
      </c>
      <c r="AG18" s="442">
        <v>0</v>
      </c>
      <c r="AH18" s="442">
        <v>0</v>
      </c>
      <c r="AI18" s="442">
        <v>0</v>
      </c>
      <c r="AJ18" s="442">
        <v>0</v>
      </c>
      <c r="AK18" s="442">
        <v>0</v>
      </c>
      <c r="AL18" s="442">
        <v>0</v>
      </c>
    </row>
    <row r="19" spans="2:38" ht="13">
      <c r="B19" s="400" t="s">
        <v>648</v>
      </c>
      <c r="C19" s="401" t="s">
        <v>649</v>
      </c>
      <c r="D19" s="441">
        <f>'Crossing Inputs'!$H34</f>
        <v>7.5</v>
      </c>
      <c r="E19" s="441">
        <f>'Crossing Inputs'!$H34</f>
        <v>7.5</v>
      </c>
      <c r="F19" s="441">
        <f>'Crossing Inputs'!$H34</f>
        <v>7.5</v>
      </c>
      <c r="G19" s="441">
        <f>'Crossing Inputs'!$H34</f>
        <v>7.5</v>
      </c>
      <c r="H19" s="441">
        <f>'Crossing Inputs'!$H34</f>
        <v>7.5</v>
      </c>
      <c r="I19" s="441">
        <f>'Crossing Inputs'!$H34</f>
        <v>7.5</v>
      </c>
      <c r="J19" s="441">
        <f>'Crossing Inputs'!$H34</f>
        <v>7.5</v>
      </c>
      <c r="K19" s="441">
        <f>'Crossing Inputs'!$H34</f>
        <v>7.5</v>
      </c>
      <c r="L19" s="441">
        <f>'Crossing Inputs'!$H34</f>
        <v>7.5</v>
      </c>
      <c r="M19" s="441">
        <f>'Crossing Inputs'!$H34</f>
        <v>7.5</v>
      </c>
      <c r="N19" s="441">
        <f>'Crossing Inputs'!$H34</f>
        <v>7.5</v>
      </c>
      <c r="O19" s="441">
        <f>'Crossing Inputs'!$H34</f>
        <v>7.5</v>
      </c>
      <c r="P19" s="441">
        <f>'Crossing Inputs'!$H34</f>
        <v>7.5</v>
      </c>
      <c r="Q19" s="441">
        <f>'Crossing Inputs'!$H34</f>
        <v>7.5</v>
      </c>
      <c r="R19" s="441">
        <f>'Crossing Inputs'!$H34</f>
        <v>7.5</v>
      </c>
      <c r="S19" s="441">
        <f>'Crossing Inputs'!$H34</f>
        <v>7.5</v>
      </c>
      <c r="T19" s="441">
        <f>'Crossing Inputs'!$H34</f>
        <v>7.5</v>
      </c>
      <c r="U19" s="441">
        <f>'Crossing Inputs'!$H34</f>
        <v>7.5</v>
      </c>
      <c r="V19" s="441">
        <f>'Crossing Inputs'!$H34</f>
        <v>7.5</v>
      </c>
      <c r="W19" s="441">
        <f>'Crossing Inputs'!$H34</f>
        <v>7.5</v>
      </c>
      <c r="X19" s="441">
        <f>'Crossing Inputs'!$H34</f>
        <v>7.5</v>
      </c>
      <c r="Y19" s="441">
        <f>'Crossing Inputs'!$H34</f>
        <v>7.5</v>
      </c>
      <c r="Z19" s="441">
        <f>'Crossing Inputs'!$H34</f>
        <v>7.5</v>
      </c>
      <c r="AA19" s="441">
        <f>'Crossing Inputs'!$H34</f>
        <v>7.5</v>
      </c>
      <c r="AB19" s="441">
        <f>'Crossing Inputs'!$H34</f>
        <v>7.5</v>
      </c>
      <c r="AC19" s="441">
        <f>'Crossing Inputs'!$H34</f>
        <v>7.5</v>
      </c>
      <c r="AD19" s="441">
        <f>'Crossing Inputs'!$H34</f>
        <v>7.5</v>
      </c>
      <c r="AE19" s="441">
        <f>'Crossing Inputs'!$H34</f>
        <v>7.5</v>
      </c>
      <c r="AF19" s="441">
        <f>'Crossing Inputs'!$H34</f>
        <v>7.5</v>
      </c>
      <c r="AG19" s="441">
        <f>'Crossing Inputs'!$H34</f>
        <v>7.5</v>
      </c>
      <c r="AH19" s="441">
        <f>'Crossing Inputs'!$H34</f>
        <v>7.5</v>
      </c>
      <c r="AI19" s="441">
        <f>'Crossing Inputs'!$H34</f>
        <v>7.5</v>
      </c>
      <c r="AJ19" s="441">
        <f>'Crossing Inputs'!$H34</f>
        <v>7.5</v>
      </c>
      <c r="AK19" s="441">
        <f>'Crossing Inputs'!$H34</f>
        <v>7.5</v>
      </c>
      <c r="AL19" s="441">
        <f>'Crossing Inputs'!$H34</f>
        <v>7.5</v>
      </c>
    </row>
    <row r="20" spans="2:38" ht="13">
      <c r="B20" s="400"/>
      <c r="C20" s="403"/>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row>
    <row r="21" spans="2:38" ht="13">
      <c r="B21" s="400"/>
      <c r="C21" s="404"/>
      <c r="D21" s="440">
        <f>D$1</f>
        <v>2021</v>
      </c>
      <c r="E21" s="440">
        <f t="shared" ref="E21:AL21" si="1">E$1</f>
        <v>2022</v>
      </c>
      <c r="F21" s="440">
        <f t="shared" si="1"/>
        <v>2023</v>
      </c>
      <c r="G21" s="440">
        <f t="shared" si="1"/>
        <v>2024</v>
      </c>
      <c r="H21" s="440">
        <f t="shared" si="1"/>
        <v>2025</v>
      </c>
      <c r="I21" s="440">
        <f t="shared" si="1"/>
        <v>2026</v>
      </c>
      <c r="J21" s="440">
        <f t="shared" si="1"/>
        <v>2027</v>
      </c>
      <c r="K21" s="440">
        <f t="shared" si="1"/>
        <v>2028</v>
      </c>
      <c r="L21" s="440">
        <f t="shared" si="1"/>
        <v>2029</v>
      </c>
      <c r="M21" s="440">
        <f t="shared" si="1"/>
        <v>2030</v>
      </c>
      <c r="N21" s="440">
        <f t="shared" si="1"/>
        <v>2031</v>
      </c>
      <c r="O21" s="440">
        <f t="shared" si="1"/>
        <v>2032</v>
      </c>
      <c r="P21" s="440">
        <f t="shared" si="1"/>
        <v>2033</v>
      </c>
      <c r="Q21" s="440">
        <f t="shared" si="1"/>
        <v>2034</v>
      </c>
      <c r="R21" s="440">
        <f t="shared" si="1"/>
        <v>2035</v>
      </c>
      <c r="S21" s="440">
        <f t="shared" si="1"/>
        <v>2036</v>
      </c>
      <c r="T21" s="440">
        <f t="shared" si="1"/>
        <v>2037</v>
      </c>
      <c r="U21" s="440">
        <f t="shared" si="1"/>
        <v>2038</v>
      </c>
      <c r="V21" s="440">
        <f t="shared" si="1"/>
        <v>2039</v>
      </c>
      <c r="W21" s="440">
        <f t="shared" si="1"/>
        <v>2040</v>
      </c>
      <c r="X21" s="440">
        <f t="shared" si="1"/>
        <v>2041</v>
      </c>
      <c r="Y21" s="440">
        <f t="shared" si="1"/>
        <v>2042</v>
      </c>
      <c r="Z21" s="440">
        <f t="shared" si="1"/>
        <v>2043</v>
      </c>
      <c r="AA21" s="440">
        <f t="shared" si="1"/>
        <v>2044</v>
      </c>
      <c r="AB21" s="440">
        <f t="shared" si="1"/>
        <v>2045</v>
      </c>
      <c r="AC21" s="440">
        <f t="shared" si="1"/>
        <v>2046</v>
      </c>
      <c r="AD21" s="440">
        <f t="shared" si="1"/>
        <v>2047</v>
      </c>
      <c r="AE21" s="440">
        <f t="shared" si="1"/>
        <v>2048</v>
      </c>
      <c r="AF21" s="440">
        <f t="shared" si="1"/>
        <v>2049</v>
      </c>
      <c r="AG21" s="440">
        <f t="shared" si="1"/>
        <v>2050</v>
      </c>
      <c r="AH21" s="440">
        <f t="shared" si="1"/>
        <v>2051</v>
      </c>
      <c r="AI21" s="440">
        <f t="shared" si="1"/>
        <v>2052</v>
      </c>
      <c r="AJ21" s="440">
        <f t="shared" si="1"/>
        <v>2053</v>
      </c>
      <c r="AK21" s="440">
        <f t="shared" si="1"/>
        <v>2054</v>
      </c>
      <c r="AL21" s="440">
        <f t="shared" si="1"/>
        <v>2055</v>
      </c>
    </row>
    <row r="22" spans="2:38" ht="13">
      <c r="B22" s="400" t="s">
        <v>354</v>
      </c>
      <c r="C22" s="404"/>
      <c r="D22" s="405">
        <f>D$55</f>
        <v>7.0232140621718453E-2</v>
      </c>
      <c r="E22" s="405">
        <f t="shared" ref="E22:AL22" si="2">E$55</f>
        <v>7.1249813119410269E-2</v>
      </c>
      <c r="F22" s="405">
        <f t="shared" si="2"/>
        <v>7.2282379694297225E-2</v>
      </c>
      <c r="G22" s="405">
        <f t="shared" si="2"/>
        <v>7.3330059365326758E-2</v>
      </c>
      <c r="H22" s="405">
        <f t="shared" si="2"/>
        <v>7.4393074376132406E-2</v>
      </c>
      <c r="I22" s="405">
        <f t="shared" si="2"/>
        <v>7.5471650242498106E-2</v>
      </c>
      <c r="J22" s="405">
        <f t="shared" si="2"/>
        <v>7.6566015800522025E-2</v>
      </c>
      <c r="K22" s="405">
        <f t="shared" si="2"/>
        <v>7.7676403255489565E-2</v>
      </c>
      <c r="L22" s="405">
        <f t="shared" si="2"/>
        <v>7.8803048231466041E-2</v>
      </c>
      <c r="M22" s="405">
        <f t="shared" si="2"/>
        <v>7.9946189821620564E-2</v>
      </c>
      <c r="N22" s="405">
        <f t="shared" si="2"/>
        <v>8.1106070639290026E-2</v>
      </c>
      <c r="O22" s="405">
        <f t="shared" si="2"/>
        <v>8.2282936869796361E-2</v>
      </c>
      <c r="P22" s="405">
        <f t="shared" si="2"/>
        <v>8.3477038323026012E-2</v>
      </c>
      <c r="Q22" s="405">
        <f t="shared" si="2"/>
        <v>8.4688628486784601E-2</v>
      </c>
      <c r="R22" s="405">
        <f t="shared" si="2"/>
        <v>8.5917964580936881E-2</v>
      </c>
      <c r="S22" s="405">
        <f t="shared" si="2"/>
        <v>8.7165307612344381E-2</v>
      </c>
      <c r="T22" s="405">
        <f t="shared" si="2"/>
        <v>8.8430922430612138E-2</v>
      </c>
      <c r="U22" s="405">
        <f t="shared" si="2"/>
        <v>8.9715077784656608E-2</v>
      </c>
      <c r="V22" s="405">
        <f t="shared" si="2"/>
        <v>9.1018046380106313E-2</v>
      </c>
      <c r="W22" s="405">
        <f t="shared" si="2"/>
        <v>9.2340104937548434E-2</v>
      </c>
      <c r="X22" s="405">
        <f t="shared" si="2"/>
        <v>9.3681534251632864E-2</v>
      </c>
      <c r="Y22" s="405">
        <f t="shared" si="2"/>
        <v>9.504261925104697E-2</v>
      </c>
      <c r="Z22" s="405">
        <f t="shared" si="2"/>
        <v>9.6423649059373645E-2</v>
      </c>
      <c r="AA22" s="405">
        <f t="shared" si="2"/>
        <v>9.7824917056845345E-2</v>
      </c>
      <c r="AB22" s="405">
        <f t="shared" si="2"/>
        <v>9.9246720943008224E-2</v>
      </c>
      <c r="AC22" s="405">
        <f t="shared" si="2"/>
        <v>0.10068936280030873</v>
      </c>
      <c r="AD22" s="405">
        <f t="shared" si="2"/>
        <v>0.10215314915861674</v>
      </c>
      <c r="AE22" s="405">
        <f t="shared" si="2"/>
        <v>0.10363839106069909</v>
      </c>
      <c r="AF22" s="405">
        <f t="shared" si="2"/>
        <v>0.10514540412865746</v>
      </c>
      <c r="AG22" s="405">
        <f t="shared" si="2"/>
        <v>0.1066745086313443</v>
      </c>
      <c r="AH22" s="405">
        <f t="shared" si="2"/>
        <v>0.10822602955277211</v>
      </c>
      <c r="AI22" s="405">
        <f t="shared" si="2"/>
        <v>0.10980029666153007</v>
      </c>
      <c r="AJ22" s="405">
        <f t="shared" si="2"/>
        <v>0.11139764458122287</v>
      </c>
      <c r="AK22" s="405">
        <f t="shared" si="2"/>
        <v>0.11301841286194672</v>
      </c>
      <c r="AL22" s="405">
        <f t="shared" si="2"/>
        <v>0.11466294605281897</v>
      </c>
    </row>
    <row r="23" spans="2:38" ht="13">
      <c r="B23" s="400" t="s">
        <v>650</v>
      </c>
      <c r="C23" s="404"/>
      <c r="D23" s="405">
        <f t="shared" ref="D23:AL23" si="3">D$63*D$22</f>
        <v>8.0708348687975819E-4</v>
      </c>
      <c r="E23" s="405">
        <f t="shared" si="3"/>
        <v>8.1936502517225389E-4</v>
      </c>
      <c r="F23" s="405">
        <f t="shared" si="3"/>
        <v>8.3183722073205295E-4</v>
      </c>
      <c r="G23" s="405">
        <f t="shared" si="3"/>
        <v>8.4450306933779573E-4</v>
      </c>
      <c r="H23" s="405">
        <f t="shared" si="3"/>
        <v>8.5736561407694274E-4</v>
      </c>
      <c r="I23" s="405">
        <f t="shared" si="3"/>
        <v>8.7042794609316074E-4</v>
      </c>
      <c r="J23" s="405">
        <f t="shared" si="3"/>
        <v>8.8369320534552201E-4</v>
      </c>
      <c r="K23" s="405">
        <f t="shared" si="3"/>
        <v>8.9716458137969134E-4</v>
      </c>
      <c r="L23" s="405">
        <f t="shared" si="3"/>
        <v>9.1084531411129825E-4</v>
      </c>
      <c r="M23" s="405">
        <f t="shared" si="3"/>
        <v>9.2473869462169191E-4</v>
      </c>
      <c r="N23" s="405">
        <f t="shared" si="3"/>
        <v>9.3884806596625323E-4</v>
      </c>
      <c r="O23" s="405">
        <f t="shared" si="3"/>
        <v>9.5317682399549545E-4</v>
      </c>
      <c r="P23" s="405">
        <f t="shared" si="3"/>
        <v>9.6772841818911946E-4</v>
      </c>
      <c r="Q23" s="405">
        <f t="shared" si="3"/>
        <v>9.8250635250325918E-4</v>
      </c>
      <c r="R23" s="405">
        <f t="shared" si="3"/>
        <v>9.9751418623110662E-4</v>
      </c>
      <c r="S23" s="405">
        <f t="shared" si="3"/>
        <v>1.0127555348771326E-3</v>
      </c>
      <c r="T23" s="405">
        <f t="shared" si="3"/>
        <v>1.028234071045124E-3</v>
      </c>
      <c r="U23" s="405">
        <f t="shared" si="3"/>
        <v>1.0439535253402492E-3</v>
      </c>
      <c r="V23" s="405">
        <f t="shared" si="3"/>
        <v>1.0599176872853728E-3</v>
      </c>
      <c r="W23" s="405">
        <f t="shared" si="3"/>
        <v>1.0761304062518523E-3</v>
      </c>
      <c r="X23" s="405">
        <f t="shared" si="3"/>
        <v>1.0925955924050369E-3</v>
      </c>
      <c r="Y23" s="405">
        <f t="shared" si="3"/>
        <v>1.1093172176647077E-3</v>
      </c>
      <c r="Z23" s="405">
        <f t="shared" si="3"/>
        <v>1.1262993166806922E-3</v>
      </c>
      <c r="AA23" s="405">
        <f t="shared" si="3"/>
        <v>1.1435459878238879E-3</v>
      </c>
      <c r="AB23" s="405">
        <f t="shared" si="3"/>
        <v>1.1610613941929542E-3</v>
      </c>
      <c r="AC23" s="405">
        <f t="shared" si="3"/>
        <v>1.1788497646369018E-3</v>
      </c>
      <c r="AD23" s="405">
        <f t="shared" si="3"/>
        <v>1.1969153947938411E-3</v>
      </c>
      <c r="AE23" s="405">
        <f t="shared" si="3"/>
        <v>1.2152626481461456E-3</v>
      </c>
      <c r="AF23" s="405">
        <f t="shared" si="3"/>
        <v>1.2338959570922848E-3</v>
      </c>
      <c r="AG23" s="405">
        <f t="shared" si="3"/>
        <v>1.2528198240355918E-3</v>
      </c>
      <c r="AH23" s="405">
        <f t="shared" si="3"/>
        <v>1.2720388224902361E-3</v>
      </c>
      <c r="AI23" s="405">
        <f t="shared" si="3"/>
        <v>1.2915575982046729E-3</v>
      </c>
      <c r="AJ23" s="405">
        <f t="shared" si="3"/>
        <v>1.3113808703028387E-3</v>
      </c>
      <c r="AK23" s="405">
        <f t="shared" si="3"/>
        <v>1.3315134324433809E-3</v>
      </c>
      <c r="AL23" s="405">
        <f t="shared" si="3"/>
        <v>1.351960153997211E-3</v>
      </c>
    </row>
    <row r="24" spans="2:38" ht="13">
      <c r="B24" s="400" t="s">
        <v>651</v>
      </c>
      <c r="C24" s="404"/>
      <c r="D24" s="405">
        <f t="shared" ref="D24:AE24" si="4">D$72*D22</f>
        <v>1.5036483056842014E-2</v>
      </c>
      <c r="E24" s="405">
        <f t="shared" si="4"/>
        <v>1.5254236484068562E-2</v>
      </c>
      <c r="F24" s="405">
        <f t="shared" si="4"/>
        <v>1.5475174463584254E-2</v>
      </c>
      <c r="G24" s="405">
        <f t="shared" si="4"/>
        <v>1.5699343782944637E-2</v>
      </c>
      <c r="H24" s="405">
        <f t="shared" si="4"/>
        <v>1.5926791917880139E-2</v>
      </c>
      <c r="I24" s="405">
        <f t="shared" si="4"/>
        <v>1.6157567042414275E-2</v>
      </c>
      <c r="J24" s="405">
        <f t="shared" si="4"/>
        <v>1.639171803913082E-2</v>
      </c>
      <c r="K24" s="405">
        <f t="shared" si="4"/>
        <v>1.6629294509591972E-2</v>
      </c>
      <c r="L24" s="405">
        <f t="shared" si="4"/>
        <v>1.6870346784909795E-2</v>
      </c>
      <c r="M24" s="405">
        <f t="shared" si="4"/>
        <v>1.7114925936473249E-2</v>
      </c>
      <c r="N24" s="405">
        <f t="shared" si="4"/>
        <v>1.7363083786832902E-2</v>
      </c>
      <c r="O24" s="405">
        <f t="shared" si="4"/>
        <v>1.7614872920745962E-2</v>
      </c>
      <c r="P24" s="405">
        <f t="shared" si="4"/>
        <v>1.7870346696383592E-2</v>
      </c>
      <c r="Q24" s="405">
        <f t="shared" si="4"/>
        <v>1.8129559256703291E-2</v>
      </c>
      <c r="R24" s="405">
        <f t="shared" si="4"/>
        <v>1.8392565540988417E-2</v>
      </c>
      <c r="S24" s="405">
        <f t="shared" si="4"/>
        <v>1.8659421296557576E-2</v>
      </c>
      <c r="T24" s="405">
        <f t="shared" si="4"/>
        <v>1.8930183090646233E-2</v>
      </c>
      <c r="U24" s="405">
        <f t="shared" si="4"/>
        <v>1.920490832246315E-2</v>
      </c>
      <c r="V24" s="405">
        <f t="shared" si="4"/>
        <v>1.9483655235424075E-2</v>
      </c>
      <c r="W24" s="405">
        <f t="shared" si="4"/>
        <v>1.9766482929565555E-2</v>
      </c>
      <c r="X24" s="405">
        <f t="shared" si="4"/>
        <v>2.0053451374141221E-2</v>
      </c>
      <c r="Y24" s="405">
        <f t="shared" si="4"/>
        <v>2.03446214204035E-2</v>
      </c>
      <c r="Z24" s="405">
        <f t="shared" si="4"/>
        <v>2.0640054814573251E-2</v>
      </c>
      <c r="AA24" s="405">
        <f t="shared" si="4"/>
        <v>2.0939814211000211E-2</v>
      </c>
      <c r="AB24" s="405">
        <f t="shared" si="4"/>
        <v>2.1243963185517106E-2</v>
      </c>
      <c r="AC24" s="405">
        <f t="shared" si="4"/>
        <v>2.1552566248990129E-2</v>
      </c>
      <c r="AD24" s="405">
        <f t="shared" si="4"/>
        <v>2.1865688861068763E-2</v>
      </c>
      <c r="AE24" s="405">
        <f t="shared" si="4"/>
        <v>2.2183397444137873E-2</v>
      </c>
      <c r="AF24" s="405">
        <f t="shared" ref="AF24:AJ24" si="5">AF$72*AF22</f>
        <v>2.2505759397475081E-2</v>
      </c>
      <c r="AG24" s="405">
        <f t="shared" si="5"/>
        <v>2.2832843111616288E-2</v>
      </c>
      <c r="AH24" s="405">
        <f t="shared" si="5"/>
        <v>2.3164717982932601E-2</v>
      </c>
      <c r="AI24" s="405">
        <f t="shared" si="5"/>
        <v>2.3501454428421692E-2</v>
      </c>
      <c r="AJ24" s="405">
        <f t="shared" si="5"/>
        <v>2.3843123900716641E-2</v>
      </c>
      <c r="AK24" s="405">
        <f t="shared" ref="AK24:AL24" si="6">AK$72*AK22</f>
        <v>2.4189798903315615E-2</v>
      </c>
      <c r="AL24" s="405">
        <f t="shared" si="6"/>
        <v>2.4541553006035659E-2</v>
      </c>
    </row>
    <row r="26" spans="2:38" ht="13">
      <c r="B26" s="364" t="s">
        <v>652</v>
      </c>
    </row>
    <row r="27" spans="2:38" ht="13">
      <c r="B27" s="407" t="s">
        <v>615</v>
      </c>
      <c r="C27" s="396" t="s">
        <v>627</v>
      </c>
      <c r="D27" s="440">
        <f>D$1</f>
        <v>2021</v>
      </c>
      <c r="E27" s="440">
        <f t="shared" ref="E27:AL27" si="7">E$1</f>
        <v>2022</v>
      </c>
      <c r="F27" s="440">
        <f t="shared" si="7"/>
        <v>2023</v>
      </c>
      <c r="G27" s="440">
        <f t="shared" si="7"/>
        <v>2024</v>
      </c>
      <c r="H27" s="440">
        <f t="shared" si="7"/>
        <v>2025</v>
      </c>
      <c r="I27" s="440">
        <f t="shared" si="7"/>
        <v>2026</v>
      </c>
      <c r="J27" s="440">
        <f t="shared" si="7"/>
        <v>2027</v>
      </c>
      <c r="K27" s="440">
        <f t="shared" si="7"/>
        <v>2028</v>
      </c>
      <c r="L27" s="440">
        <f t="shared" si="7"/>
        <v>2029</v>
      </c>
      <c r="M27" s="440">
        <f t="shared" si="7"/>
        <v>2030</v>
      </c>
      <c r="N27" s="440">
        <f t="shared" si="7"/>
        <v>2031</v>
      </c>
      <c r="O27" s="440">
        <f t="shared" si="7"/>
        <v>2032</v>
      </c>
      <c r="P27" s="440">
        <f t="shared" si="7"/>
        <v>2033</v>
      </c>
      <c r="Q27" s="440">
        <f t="shared" si="7"/>
        <v>2034</v>
      </c>
      <c r="R27" s="440">
        <f t="shared" si="7"/>
        <v>2035</v>
      </c>
      <c r="S27" s="440">
        <f t="shared" si="7"/>
        <v>2036</v>
      </c>
      <c r="T27" s="440">
        <f t="shared" si="7"/>
        <v>2037</v>
      </c>
      <c r="U27" s="440">
        <f t="shared" si="7"/>
        <v>2038</v>
      </c>
      <c r="V27" s="440">
        <f t="shared" si="7"/>
        <v>2039</v>
      </c>
      <c r="W27" s="440">
        <f t="shared" si="7"/>
        <v>2040</v>
      </c>
      <c r="X27" s="440">
        <f t="shared" si="7"/>
        <v>2041</v>
      </c>
      <c r="Y27" s="440">
        <f t="shared" si="7"/>
        <v>2042</v>
      </c>
      <c r="Z27" s="440">
        <f t="shared" si="7"/>
        <v>2043</v>
      </c>
      <c r="AA27" s="440">
        <f t="shared" si="7"/>
        <v>2044</v>
      </c>
      <c r="AB27" s="440">
        <f t="shared" si="7"/>
        <v>2045</v>
      </c>
      <c r="AC27" s="440">
        <f t="shared" si="7"/>
        <v>2046</v>
      </c>
      <c r="AD27" s="440">
        <f t="shared" si="7"/>
        <v>2047</v>
      </c>
      <c r="AE27" s="440">
        <f t="shared" si="7"/>
        <v>2048</v>
      </c>
      <c r="AF27" s="440">
        <f t="shared" si="7"/>
        <v>2049</v>
      </c>
      <c r="AG27" s="440">
        <f t="shared" si="7"/>
        <v>2050</v>
      </c>
      <c r="AH27" s="440">
        <f t="shared" si="7"/>
        <v>2051</v>
      </c>
      <c r="AI27" s="440">
        <f t="shared" si="7"/>
        <v>2052</v>
      </c>
      <c r="AJ27" s="440">
        <f t="shared" si="7"/>
        <v>2053</v>
      </c>
      <c r="AK27" s="440">
        <f t="shared" si="7"/>
        <v>2054</v>
      </c>
      <c r="AL27" s="440">
        <f t="shared" si="7"/>
        <v>2055</v>
      </c>
    </row>
    <row r="28" spans="2:38" ht="13">
      <c r="B28" s="364" t="s">
        <v>624</v>
      </c>
      <c r="C28" s="408"/>
      <c r="D28" s="358"/>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row>
    <row r="29" spans="2:38">
      <c r="B29" s="411" t="s">
        <v>653</v>
      </c>
      <c r="C29" s="412" t="s">
        <v>654</v>
      </c>
      <c r="D29" s="413">
        <f t="shared" ref="D29:AL29" si="8">((D$14*D$15+0.2)/0.2)^(0.3334)</f>
        <v>37.886806442698081</v>
      </c>
      <c r="E29" s="413">
        <f t="shared" si="8"/>
        <v>38.390551303172401</v>
      </c>
      <c r="F29" s="413">
        <f t="shared" si="8"/>
        <v>38.900994340946632</v>
      </c>
      <c r="G29" s="413">
        <f t="shared" si="8"/>
        <v>39.418224610715072</v>
      </c>
      <c r="H29" s="413">
        <f t="shared" si="8"/>
        <v>39.942332351431446</v>
      </c>
      <c r="I29" s="413">
        <f t="shared" si="8"/>
        <v>40.473409002050857</v>
      </c>
      <c r="J29" s="413">
        <f t="shared" si="8"/>
        <v>41.011547217481251</v>
      </c>
      <c r="K29" s="413">
        <f t="shared" si="8"/>
        <v>41.556840884747125</v>
      </c>
      <c r="L29" s="413">
        <f t="shared" si="8"/>
        <v>42.109385139368079</v>
      </c>
      <c r="M29" s="413">
        <f t="shared" si="8"/>
        <v>42.669276381955541</v>
      </c>
      <c r="N29" s="413">
        <f t="shared" si="8"/>
        <v>43.236612295029893</v>
      </c>
      <c r="O29" s="413">
        <f t="shared" si="8"/>
        <v>43.811491860061736</v>
      </c>
      <c r="P29" s="413">
        <f t="shared" si="8"/>
        <v>44.394015374739347</v>
      </c>
      <c r="Q29" s="413">
        <f t="shared" si="8"/>
        <v>44.984284470466271</v>
      </c>
      <c r="R29" s="413">
        <f t="shared" si="8"/>
        <v>45.582402130091317</v>
      </c>
      <c r="S29" s="413">
        <f t="shared" si="8"/>
        <v>46.188472705874624</v>
      </c>
      <c r="T29" s="413">
        <f t="shared" si="8"/>
        <v>46.802601937692508</v>
      </c>
      <c r="U29" s="413">
        <f t="shared" si="8"/>
        <v>47.424896971484628</v>
      </c>
      <c r="V29" s="413">
        <f t="shared" si="8"/>
        <v>48.055466377946289</v>
      </c>
      <c r="W29" s="413">
        <f t="shared" si="8"/>
        <v>48.694420171469638</v>
      </c>
      <c r="X29" s="413">
        <f t="shared" si="8"/>
        <v>49.341869829336495</v>
      </c>
      <c r="Y29" s="413">
        <f t="shared" si="8"/>
        <v>49.997928311166667</v>
      </c>
      <c r="Z29" s="413">
        <f t="shared" si="8"/>
        <v>50.662710078624869</v>
      </c>
      <c r="AA29" s="413">
        <f t="shared" si="8"/>
        <v>51.336331115389605</v>
      </c>
      <c r="AB29" s="413">
        <f t="shared" si="8"/>
        <v>52.018908947387878</v>
      </c>
      <c r="AC29" s="413">
        <f t="shared" si="8"/>
        <v>52.710562663298859</v>
      </c>
      <c r="AD29" s="413">
        <f t="shared" si="8"/>
        <v>53.411412935330169</v>
      </c>
      <c r="AE29" s="413">
        <f t="shared" si="8"/>
        <v>54.121582040270695</v>
      </c>
      <c r="AF29" s="413">
        <f t="shared" si="8"/>
        <v>54.841193880823212</v>
      </c>
      <c r="AG29" s="413">
        <f t="shared" si="8"/>
        <v>55.570374007220749</v>
      </c>
      <c r="AH29" s="413">
        <f t="shared" si="8"/>
        <v>56.309249639130478</v>
      </c>
      <c r="AI29" s="413">
        <f t="shared" si="8"/>
        <v>57.057949687848847</v>
      </c>
      <c r="AJ29" s="413">
        <f t="shared" si="8"/>
        <v>57.816604778791955</v>
      </c>
      <c r="AK29" s="413">
        <f t="shared" si="8"/>
        <v>58.585347274284828</v>
      </c>
      <c r="AL29" s="413">
        <f t="shared" si="8"/>
        <v>59.364311296654137</v>
      </c>
    </row>
    <row r="30" spans="2:38">
      <c r="B30" s="411" t="s">
        <v>655</v>
      </c>
      <c r="C30" s="412" t="s">
        <v>656</v>
      </c>
      <c r="D30" s="414">
        <f t="shared" ref="D30:AL30" si="9">EXP(0.2094*$D$9)</f>
        <v>1</v>
      </c>
      <c r="E30" s="415">
        <f t="shared" si="9"/>
        <v>1</v>
      </c>
      <c r="F30" s="415">
        <f t="shared" si="9"/>
        <v>1</v>
      </c>
      <c r="G30" s="415">
        <f t="shared" si="9"/>
        <v>1</v>
      </c>
      <c r="H30" s="415">
        <f t="shared" si="9"/>
        <v>1</v>
      </c>
      <c r="I30" s="415">
        <f t="shared" si="9"/>
        <v>1</v>
      </c>
      <c r="J30" s="415">
        <f t="shared" si="9"/>
        <v>1</v>
      </c>
      <c r="K30" s="415">
        <f t="shared" si="9"/>
        <v>1</v>
      </c>
      <c r="L30" s="415">
        <f t="shared" si="9"/>
        <v>1</v>
      </c>
      <c r="M30" s="415">
        <f t="shared" si="9"/>
        <v>1</v>
      </c>
      <c r="N30" s="415">
        <f t="shared" si="9"/>
        <v>1</v>
      </c>
      <c r="O30" s="415">
        <f t="shared" si="9"/>
        <v>1</v>
      </c>
      <c r="P30" s="415">
        <f t="shared" si="9"/>
        <v>1</v>
      </c>
      <c r="Q30" s="415">
        <f t="shared" si="9"/>
        <v>1</v>
      </c>
      <c r="R30" s="415">
        <f t="shared" si="9"/>
        <v>1</v>
      </c>
      <c r="S30" s="415">
        <f t="shared" si="9"/>
        <v>1</v>
      </c>
      <c r="T30" s="415">
        <f t="shared" si="9"/>
        <v>1</v>
      </c>
      <c r="U30" s="415">
        <f t="shared" si="9"/>
        <v>1</v>
      </c>
      <c r="V30" s="415">
        <f t="shared" si="9"/>
        <v>1</v>
      </c>
      <c r="W30" s="415">
        <f t="shared" si="9"/>
        <v>1</v>
      </c>
      <c r="X30" s="415">
        <f t="shared" si="9"/>
        <v>1</v>
      </c>
      <c r="Y30" s="415">
        <f t="shared" si="9"/>
        <v>1</v>
      </c>
      <c r="Z30" s="415">
        <f t="shared" si="9"/>
        <v>1</v>
      </c>
      <c r="AA30" s="415">
        <f t="shared" si="9"/>
        <v>1</v>
      </c>
      <c r="AB30" s="415">
        <f t="shared" si="9"/>
        <v>1</v>
      </c>
      <c r="AC30" s="415">
        <f t="shared" si="9"/>
        <v>1</v>
      </c>
      <c r="AD30" s="415">
        <f t="shared" si="9"/>
        <v>1</v>
      </c>
      <c r="AE30" s="415">
        <f t="shared" si="9"/>
        <v>1</v>
      </c>
      <c r="AF30" s="415">
        <f t="shared" si="9"/>
        <v>1</v>
      </c>
      <c r="AG30" s="415">
        <f t="shared" si="9"/>
        <v>1</v>
      </c>
      <c r="AH30" s="415">
        <f t="shared" si="9"/>
        <v>1</v>
      </c>
      <c r="AI30" s="415">
        <f t="shared" si="9"/>
        <v>1</v>
      </c>
      <c r="AJ30" s="415">
        <f t="shared" si="9"/>
        <v>1</v>
      </c>
      <c r="AK30" s="415">
        <f t="shared" si="9"/>
        <v>1</v>
      </c>
      <c r="AL30" s="415">
        <f t="shared" si="9"/>
        <v>1</v>
      </c>
    </row>
    <row r="31" spans="2:38">
      <c r="B31" s="411" t="s">
        <v>657</v>
      </c>
      <c r="C31" s="416" t="s">
        <v>658</v>
      </c>
      <c r="D31" s="417">
        <f>((D$17+0.2)/0.2)^(0.1336)</f>
        <v>1.2719545428016041</v>
      </c>
      <c r="E31" s="417">
        <f t="shared" ref="E31:AL31" si="10">((E$17+0.2)/0.2)^(0.1336)</f>
        <v>1.2734534231676795</v>
      </c>
      <c r="F31" s="417">
        <f t="shared" si="10"/>
        <v>1.2749566663159739</v>
      </c>
      <c r="G31" s="417">
        <f t="shared" si="10"/>
        <v>1.2764642651048659</v>
      </c>
      <c r="H31" s="417">
        <f t="shared" si="10"/>
        <v>1.2779762123985068</v>
      </c>
      <c r="I31" s="417">
        <f t="shared" si="10"/>
        <v>1.2794925010679286</v>
      </c>
      <c r="J31" s="417">
        <f t="shared" si="10"/>
        <v>1.2810131239921325</v>
      </c>
      <c r="K31" s="417">
        <f t="shared" si="10"/>
        <v>1.2825380740591648</v>
      </c>
      <c r="L31" s="417">
        <f t="shared" si="10"/>
        <v>1.2840673441671746</v>
      </c>
      <c r="M31" s="417">
        <f t="shared" si="10"/>
        <v>1.2856009272254585</v>
      </c>
      <c r="N31" s="417">
        <f t="shared" si="10"/>
        <v>1.2871388161554864</v>
      </c>
      <c r="O31" s="417">
        <f t="shared" si="10"/>
        <v>1.2886810038919141</v>
      </c>
      <c r="P31" s="417">
        <f t="shared" si="10"/>
        <v>1.2902274833835794</v>
      </c>
      <c r="Q31" s="417">
        <f t="shared" si="10"/>
        <v>1.2917782475944826</v>
      </c>
      <c r="R31" s="417">
        <f t="shared" si="10"/>
        <v>1.2933332895047505</v>
      </c>
      <c r="S31" s="417">
        <f t="shared" si="10"/>
        <v>1.2948926021115859</v>
      </c>
      <c r="T31" s="417">
        <f t="shared" si="10"/>
        <v>1.2964561784302011</v>
      </c>
      <c r="U31" s="417">
        <f t="shared" si="10"/>
        <v>1.2980240114947363</v>
      </c>
      <c r="V31" s="417">
        <f t="shared" si="10"/>
        <v>1.2995960943591611</v>
      </c>
      <c r="W31" s="417">
        <f t="shared" si="10"/>
        <v>1.3011724200981616</v>
      </c>
      <c r="X31" s="417">
        <f t="shared" si="10"/>
        <v>1.3027529818080126</v>
      </c>
      <c r="Y31" s="417">
        <f t="shared" si="10"/>
        <v>1.304337772607433</v>
      </c>
      <c r="Z31" s="417">
        <f t="shared" si="10"/>
        <v>1.3059267856384269</v>
      </c>
      <c r="AA31" s="417">
        <f t="shared" si="10"/>
        <v>1.3075200140671086</v>
      </c>
      <c r="AB31" s="417">
        <f t="shared" si="10"/>
        <v>1.3091174510845145</v>
      </c>
      <c r="AC31" s="417">
        <f t="shared" si="10"/>
        <v>1.3107190899073964</v>
      </c>
      <c r="AD31" s="417">
        <f t="shared" si="10"/>
        <v>1.3123249237790029</v>
      </c>
      <c r="AE31" s="417">
        <f t="shared" si="10"/>
        <v>1.3139349459698444</v>
      </c>
      <c r="AF31" s="417">
        <f t="shared" si="10"/>
        <v>1.3155491497784433</v>
      </c>
      <c r="AG31" s="417">
        <f t="shared" si="10"/>
        <v>1.3171675285320701</v>
      </c>
      <c r="AH31" s="417">
        <f t="shared" si="10"/>
        <v>1.3187900755874631</v>
      </c>
      <c r="AI31" s="417">
        <f t="shared" si="10"/>
        <v>1.3204167843315362</v>
      </c>
      <c r="AJ31" s="417">
        <f t="shared" si="10"/>
        <v>1.3220476481820695</v>
      </c>
      <c r="AK31" s="417">
        <f t="shared" si="10"/>
        <v>1.3236826605883865</v>
      </c>
      <c r="AL31" s="417">
        <f t="shared" si="10"/>
        <v>1.3253218150320181</v>
      </c>
    </row>
    <row r="32" spans="2:38">
      <c r="B32" s="411" t="s">
        <v>659</v>
      </c>
      <c r="C32" s="412" t="s">
        <v>660</v>
      </c>
      <c r="D32" s="414">
        <f t="shared" ref="D32:AL32" si="11">EXP(-0.616*($E$7-1))</f>
        <v>1</v>
      </c>
      <c r="E32" s="415">
        <f t="shared" si="11"/>
        <v>1</v>
      </c>
      <c r="F32" s="415">
        <f t="shared" si="11"/>
        <v>1</v>
      </c>
      <c r="G32" s="415">
        <f t="shared" si="11"/>
        <v>1</v>
      </c>
      <c r="H32" s="415">
        <f t="shared" si="11"/>
        <v>1</v>
      </c>
      <c r="I32" s="415">
        <f t="shared" si="11"/>
        <v>1</v>
      </c>
      <c r="J32" s="415">
        <f t="shared" si="11"/>
        <v>1</v>
      </c>
      <c r="K32" s="415">
        <f t="shared" si="11"/>
        <v>1</v>
      </c>
      <c r="L32" s="415">
        <f t="shared" si="11"/>
        <v>1</v>
      </c>
      <c r="M32" s="415">
        <f t="shared" si="11"/>
        <v>1</v>
      </c>
      <c r="N32" s="415">
        <f t="shared" si="11"/>
        <v>1</v>
      </c>
      <c r="O32" s="415">
        <f t="shared" si="11"/>
        <v>1</v>
      </c>
      <c r="P32" s="415">
        <f t="shared" si="11"/>
        <v>1</v>
      </c>
      <c r="Q32" s="415">
        <f t="shared" si="11"/>
        <v>1</v>
      </c>
      <c r="R32" s="415">
        <f t="shared" si="11"/>
        <v>1</v>
      </c>
      <c r="S32" s="415">
        <f t="shared" si="11"/>
        <v>1</v>
      </c>
      <c r="T32" s="415">
        <f t="shared" si="11"/>
        <v>1</v>
      </c>
      <c r="U32" s="415">
        <f t="shared" si="11"/>
        <v>1</v>
      </c>
      <c r="V32" s="415">
        <f t="shared" si="11"/>
        <v>1</v>
      </c>
      <c r="W32" s="415">
        <f t="shared" si="11"/>
        <v>1</v>
      </c>
      <c r="X32" s="415">
        <f t="shared" si="11"/>
        <v>1</v>
      </c>
      <c r="Y32" s="415">
        <f t="shared" si="11"/>
        <v>1</v>
      </c>
      <c r="Z32" s="415">
        <f t="shared" si="11"/>
        <v>1</v>
      </c>
      <c r="AA32" s="415">
        <f t="shared" si="11"/>
        <v>1</v>
      </c>
      <c r="AB32" s="415">
        <f t="shared" si="11"/>
        <v>1</v>
      </c>
      <c r="AC32" s="415">
        <f t="shared" si="11"/>
        <v>1</v>
      </c>
      <c r="AD32" s="415">
        <f t="shared" si="11"/>
        <v>1</v>
      </c>
      <c r="AE32" s="415">
        <f t="shared" si="11"/>
        <v>1</v>
      </c>
      <c r="AF32" s="415">
        <f t="shared" si="11"/>
        <v>1</v>
      </c>
      <c r="AG32" s="415">
        <f t="shared" si="11"/>
        <v>1</v>
      </c>
      <c r="AH32" s="415">
        <f t="shared" si="11"/>
        <v>1</v>
      </c>
      <c r="AI32" s="415">
        <f t="shared" si="11"/>
        <v>1</v>
      </c>
      <c r="AJ32" s="415">
        <f t="shared" si="11"/>
        <v>1</v>
      </c>
      <c r="AK32" s="415">
        <f t="shared" si="11"/>
        <v>1</v>
      </c>
      <c r="AL32" s="415">
        <f t="shared" si="11"/>
        <v>1</v>
      </c>
    </row>
    <row r="33" spans="2:38">
      <c r="B33" s="411" t="s">
        <v>661</v>
      </c>
      <c r="C33" s="412" t="s">
        <v>662</v>
      </c>
      <c r="D33" s="414">
        <f t="shared" ref="D33:AL33" si="12">EXP(0.0077*D$19)</f>
        <v>1.0594501000746941</v>
      </c>
      <c r="E33" s="415">
        <f t="shared" si="12"/>
        <v>1.0594501000746941</v>
      </c>
      <c r="F33" s="415">
        <f t="shared" si="12"/>
        <v>1.0594501000746941</v>
      </c>
      <c r="G33" s="415">
        <f t="shared" si="12"/>
        <v>1.0594501000746941</v>
      </c>
      <c r="H33" s="415">
        <f t="shared" si="12"/>
        <v>1.0594501000746941</v>
      </c>
      <c r="I33" s="415">
        <f t="shared" si="12"/>
        <v>1.0594501000746941</v>
      </c>
      <c r="J33" s="415">
        <f t="shared" si="12"/>
        <v>1.0594501000746941</v>
      </c>
      <c r="K33" s="415">
        <f t="shared" si="12"/>
        <v>1.0594501000746941</v>
      </c>
      <c r="L33" s="415">
        <f t="shared" si="12"/>
        <v>1.0594501000746941</v>
      </c>
      <c r="M33" s="415">
        <f t="shared" si="12"/>
        <v>1.0594501000746941</v>
      </c>
      <c r="N33" s="415">
        <f t="shared" si="12"/>
        <v>1.0594501000746941</v>
      </c>
      <c r="O33" s="415">
        <f t="shared" si="12"/>
        <v>1.0594501000746941</v>
      </c>
      <c r="P33" s="415">
        <f t="shared" si="12"/>
        <v>1.0594501000746941</v>
      </c>
      <c r="Q33" s="415">
        <f t="shared" si="12"/>
        <v>1.0594501000746941</v>
      </c>
      <c r="R33" s="415">
        <f t="shared" si="12"/>
        <v>1.0594501000746941</v>
      </c>
      <c r="S33" s="415">
        <f t="shared" si="12"/>
        <v>1.0594501000746941</v>
      </c>
      <c r="T33" s="415">
        <f t="shared" si="12"/>
        <v>1.0594501000746941</v>
      </c>
      <c r="U33" s="415">
        <f t="shared" si="12"/>
        <v>1.0594501000746941</v>
      </c>
      <c r="V33" s="415">
        <f t="shared" si="12"/>
        <v>1.0594501000746941</v>
      </c>
      <c r="W33" s="415">
        <f t="shared" si="12"/>
        <v>1.0594501000746941</v>
      </c>
      <c r="X33" s="415">
        <f t="shared" si="12"/>
        <v>1.0594501000746941</v>
      </c>
      <c r="Y33" s="415">
        <f t="shared" si="12"/>
        <v>1.0594501000746941</v>
      </c>
      <c r="Z33" s="415">
        <f t="shared" si="12"/>
        <v>1.0594501000746941</v>
      </c>
      <c r="AA33" s="415">
        <f t="shared" si="12"/>
        <v>1.0594501000746941</v>
      </c>
      <c r="AB33" s="415">
        <f t="shared" si="12"/>
        <v>1.0594501000746941</v>
      </c>
      <c r="AC33" s="415">
        <f t="shared" si="12"/>
        <v>1.0594501000746941</v>
      </c>
      <c r="AD33" s="415">
        <f t="shared" si="12"/>
        <v>1.0594501000746941</v>
      </c>
      <c r="AE33" s="415">
        <f t="shared" si="12"/>
        <v>1.0594501000746941</v>
      </c>
      <c r="AF33" s="415">
        <f t="shared" si="12"/>
        <v>1.0594501000746941</v>
      </c>
      <c r="AG33" s="415">
        <f t="shared" si="12"/>
        <v>1.0594501000746941</v>
      </c>
      <c r="AH33" s="415">
        <f t="shared" si="12"/>
        <v>1.0594501000746941</v>
      </c>
      <c r="AI33" s="415">
        <f t="shared" si="12"/>
        <v>1.0594501000746941</v>
      </c>
      <c r="AJ33" s="415">
        <f t="shared" si="12"/>
        <v>1.0594501000746941</v>
      </c>
      <c r="AK33" s="415">
        <f t="shared" si="12"/>
        <v>1.0594501000746941</v>
      </c>
      <c r="AL33" s="415">
        <f t="shared" si="12"/>
        <v>1.0594501000746941</v>
      </c>
    </row>
    <row r="34" spans="2:38">
      <c r="B34" s="411" t="s">
        <v>663</v>
      </c>
      <c r="C34" s="412" t="s">
        <v>664</v>
      </c>
      <c r="D34" s="414">
        <f t="shared" ref="D34:AL34" si="13">EXP(-0.1*($E$8-1))</f>
        <v>0.60653065971263342</v>
      </c>
      <c r="E34" s="415">
        <f t="shared" si="13"/>
        <v>0.60653065971263342</v>
      </c>
      <c r="F34" s="415">
        <f t="shared" si="13"/>
        <v>0.60653065971263342</v>
      </c>
      <c r="G34" s="415">
        <f t="shared" si="13"/>
        <v>0.60653065971263342</v>
      </c>
      <c r="H34" s="415">
        <f t="shared" si="13"/>
        <v>0.60653065971263342</v>
      </c>
      <c r="I34" s="415">
        <f t="shared" si="13"/>
        <v>0.60653065971263342</v>
      </c>
      <c r="J34" s="415">
        <f t="shared" si="13"/>
        <v>0.60653065971263342</v>
      </c>
      <c r="K34" s="415">
        <f t="shared" si="13"/>
        <v>0.60653065971263342</v>
      </c>
      <c r="L34" s="415">
        <f t="shared" si="13"/>
        <v>0.60653065971263342</v>
      </c>
      <c r="M34" s="415">
        <f t="shared" si="13"/>
        <v>0.60653065971263342</v>
      </c>
      <c r="N34" s="415">
        <f t="shared" si="13"/>
        <v>0.60653065971263342</v>
      </c>
      <c r="O34" s="415">
        <f t="shared" si="13"/>
        <v>0.60653065971263342</v>
      </c>
      <c r="P34" s="415">
        <f t="shared" si="13"/>
        <v>0.60653065971263342</v>
      </c>
      <c r="Q34" s="415">
        <f t="shared" si="13"/>
        <v>0.60653065971263342</v>
      </c>
      <c r="R34" s="415">
        <f t="shared" si="13"/>
        <v>0.60653065971263342</v>
      </c>
      <c r="S34" s="415">
        <f t="shared" si="13"/>
        <v>0.60653065971263342</v>
      </c>
      <c r="T34" s="415">
        <f t="shared" si="13"/>
        <v>0.60653065971263342</v>
      </c>
      <c r="U34" s="415">
        <f t="shared" si="13"/>
        <v>0.60653065971263342</v>
      </c>
      <c r="V34" s="415">
        <f t="shared" si="13"/>
        <v>0.60653065971263342</v>
      </c>
      <c r="W34" s="415">
        <f t="shared" si="13"/>
        <v>0.60653065971263342</v>
      </c>
      <c r="X34" s="415">
        <f t="shared" si="13"/>
        <v>0.60653065971263342</v>
      </c>
      <c r="Y34" s="415">
        <f t="shared" si="13"/>
        <v>0.60653065971263342</v>
      </c>
      <c r="Z34" s="415">
        <f t="shared" si="13"/>
        <v>0.60653065971263342</v>
      </c>
      <c r="AA34" s="415">
        <f t="shared" si="13"/>
        <v>0.60653065971263342</v>
      </c>
      <c r="AB34" s="415">
        <f t="shared" si="13"/>
        <v>0.60653065971263342</v>
      </c>
      <c r="AC34" s="415">
        <f t="shared" si="13"/>
        <v>0.60653065971263342</v>
      </c>
      <c r="AD34" s="415">
        <f t="shared" si="13"/>
        <v>0.60653065971263342</v>
      </c>
      <c r="AE34" s="415">
        <f t="shared" si="13"/>
        <v>0.60653065971263342</v>
      </c>
      <c r="AF34" s="415">
        <f t="shared" si="13"/>
        <v>0.60653065971263342</v>
      </c>
      <c r="AG34" s="415">
        <f t="shared" si="13"/>
        <v>0.60653065971263342</v>
      </c>
      <c r="AH34" s="415">
        <f t="shared" si="13"/>
        <v>0.60653065971263342</v>
      </c>
      <c r="AI34" s="415">
        <f t="shared" si="13"/>
        <v>0.60653065971263342</v>
      </c>
      <c r="AJ34" s="415">
        <f t="shared" si="13"/>
        <v>0.60653065971263342</v>
      </c>
      <c r="AK34" s="415">
        <f t="shared" si="13"/>
        <v>0.60653065971263342</v>
      </c>
      <c r="AL34" s="415">
        <f t="shared" si="13"/>
        <v>0.60653065971263342</v>
      </c>
    </row>
    <row r="35" spans="2:38">
      <c r="B35" s="411" t="s">
        <v>665</v>
      </c>
      <c r="C35" s="412" t="s">
        <v>666</v>
      </c>
      <c r="D35" s="414">
        <v>1</v>
      </c>
      <c r="E35" s="414">
        <v>1</v>
      </c>
      <c r="F35" s="414">
        <v>1</v>
      </c>
      <c r="G35" s="414">
        <v>1</v>
      </c>
      <c r="H35" s="414">
        <v>1</v>
      </c>
      <c r="I35" s="414">
        <v>1</v>
      </c>
      <c r="J35" s="414">
        <v>1</v>
      </c>
      <c r="K35" s="414">
        <v>1</v>
      </c>
      <c r="L35" s="414">
        <v>1</v>
      </c>
      <c r="M35" s="414">
        <v>1</v>
      </c>
      <c r="N35" s="414">
        <v>1</v>
      </c>
      <c r="O35" s="414">
        <v>1</v>
      </c>
      <c r="P35" s="414">
        <v>1</v>
      </c>
      <c r="Q35" s="414">
        <v>1</v>
      </c>
      <c r="R35" s="414">
        <v>1</v>
      </c>
      <c r="S35" s="414">
        <v>1</v>
      </c>
      <c r="T35" s="414">
        <v>1</v>
      </c>
      <c r="U35" s="414">
        <v>1</v>
      </c>
      <c r="V35" s="414">
        <v>1</v>
      </c>
      <c r="W35" s="414">
        <v>1</v>
      </c>
      <c r="X35" s="414">
        <v>1</v>
      </c>
      <c r="Y35" s="414">
        <v>1</v>
      </c>
      <c r="Z35" s="414">
        <v>1</v>
      </c>
      <c r="AA35" s="414">
        <v>1</v>
      </c>
      <c r="AB35" s="414">
        <v>1</v>
      </c>
      <c r="AC35" s="414">
        <v>1</v>
      </c>
      <c r="AD35" s="414">
        <v>1</v>
      </c>
      <c r="AE35" s="414">
        <v>1</v>
      </c>
      <c r="AF35" s="414">
        <v>1</v>
      </c>
      <c r="AG35" s="414">
        <v>1</v>
      </c>
      <c r="AH35" s="414">
        <v>1</v>
      </c>
      <c r="AI35" s="414">
        <v>1</v>
      </c>
      <c r="AJ35" s="414">
        <v>1</v>
      </c>
      <c r="AK35" s="414">
        <v>1</v>
      </c>
      <c r="AL35" s="414">
        <v>1</v>
      </c>
    </row>
    <row r="36" spans="2:38" s="421" customFormat="1" ht="13">
      <c r="B36" s="418"/>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row>
    <row r="37" spans="2:38" s="421" customFormat="1" ht="13">
      <c r="B37" s="422" t="s">
        <v>667</v>
      </c>
      <c r="C37" s="408"/>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c r="B38" s="411" t="s">
        <v>653</v>
      </c>
      <c r="C38" s="412" t="s">
        <v>654</v>
      </c>
      <c r="D38" s="423">
        <f>((D$14*D$15+0.2)/0.2)^(0.2953)</f>
        <v>25.009378418935455</v>
      </c>
      <c r="E38" s="423">
        <f t="shared" ref="E38:AL38" si="14">((E$14*E$15+0.2)/0.2)^(0.2953)</f>
        <v>25.303681583013912</v>
      </c>
      <c r="F38" s="423">
        <f t="shared" si="14"/>
        <v>25.601448232190371</v>
      </c>
      <c r="G38" s="423">
        <f t="shared" si="14"/>
        <v>25.902719120446555</v>
      </c>
      <c r="H38" s="423">
        <f t="shared" si="14"/>
        <v>26.207535481465637</v>
      </c>
      <c r="I38" s="423">
        <f t="shared" si="14"/>
        <v>26.515939034274318</v>
      </c>
      <c r="J38" s="423">
        <f t="shared" si="14"/>
        <v>26.827971988951177</v>
      </c>
      <c r="K38" s="423">
        <f t="shared" si="14"/>
        <v>27.143677052402616</v>
      </c>
      <c r="L38" s="423">
        <f t="shared" si="14"/>
        <v>27.463097434206503</v>
      </c>
      <c r="M38" s="423">
        <f t="shared" si="14"/>
        <v>27.78627685252496</v>
      </c>
      <c r="N38" s="423">
        <f t="shared" si="14"/>
        <v>28.113259540086545</v>
      </c>
      <c r="O38" s="423">
        <f t="shared" si="14"/>
        <v>28.444090250239128</v>
      </c>
      <c r="P38" s="423">
        <f t="shared" si="14"/>
        <v>28.778814263073937</v>
      </c>
      <c r="Q38" s="423">
        <f t="shared" si="14"/>
        <v>29.117477391621797</v>
      </c>
      <c r="R38" s="423">
        <f t="shared" si="14"/>
        <v>29.460125988122275</v>
      </c>
      <c r="S38" s="423">
        <f t="shared" si="14"/>
        <v>29.806806950366816</v>
      </c>
      <c r="T38" s="423">
        <f t="shared" si="14"/>
        <v>30.157567728116394</v>
      </c>
      <c r="U38" s="423">
        <f t="shared" si="14"/>
        <v>30.512456329594965</v>
      </c>
      <c r="V38" s="423">
        <f t="shared" si="14"/>
        <v>30.871521328059174</v>
      </c>
      <c r="W38" s="423">
        <f t="shared" si="14"/>
        <v>31.234811868445593</v>
      </c>
      <c r="X38" s="423">
        <f t="shared" si="14"/>
        <v>31.602377674096211</v>
      </c>
      <c r="Y38" s="423">
        <f t="shared" si="14"/>
        <v>31.974269053563006</v>
      </c>
      <c r="Z38" s="423">
        <f t="shared" si="14"/>
        <v>32.350536907492888</v>
      </c>
      <c r="AA38" s="423">
        <f t="shared" si="14"/>
        <v>32.731232735593366</v>
      </c>
      <c r="AB38" s="423">
        <f t="shared" si="14"/>
        <v>33.116408643680685</v>
      </c>
      <c r="AC38" s="423">
        <f t="shared" si="14"/>
        <v>33.506117350810499</v>
      </c>
      <c r="AD38" s="423">
        <f t="shared" si="14"/>
        <v>33.900412196492816</v>
      </c>
      <c r="AE38" s="423">
        <f t="shared" si="14"/>
        <v>34.29934714799181</v>
      </c>
      <c r="AF38" s="423">
        <f t="shared" si="14"/>
        <v>34.702976807711529</v>
      </c>
      <c r="AG38" s="423">
        <f t="shared" si="14"/>
        <v>35.111356420668606</v>
      </c>
      <c r="AH38" s="423">
        <f t="shared" si="14"/>
        <v>35.52454188205293</v>
      </c>
      <c r="AI38" s="423">
        <f t="shared" si="14"/>
        <v>35.942589744877431</v>
      </c>
      <c r="AJ38" s="423">
        <f t="shared" si="14"/>
        <v>36.365557227717751</v>
      </c>
      <c r="AK38" s="423">
        <f t="shared" si="14"/>
        <v>36.793502222543182</v>
      </c>
      <c r="AL38" s="423">
        <f t="shared" si="14"/>
        <v>37.226483302639721</v>
      </c>
    </row>
    <row r="39" spans="2:38" s="421" customFormat="1">
      <c r="B39" s="411" t="s">
        <v>655</v>
      </c>
      <c r="C39" s="412" t="s">
        <v>656</v>
      </c>
      <c r="D39" s="414">
        <f t="shared" ref="D39:AL39" si="15">EXP(0.1088*$D$9)</f>
        <v>1</v>
      </c>
      <c r="E39" s="414">
        <f t="shared" si="15"/>
        <v>1</v>
      </c>
      <c r="F39" s="414">
        <f t="shared" si="15"/>
        <v>1</v>
      </c>
      <c r="G39" s="414">
        <f t="shared" si="15"/>
        <v>1</v>
      </c>
      <c r="H39" s="414">
        <f t="shared" si="15"/>
        <v>1</v>
      </c>
      <c r="I39" s="414">
        <f t="shared" si="15"/>
        <v>1</v>
      </c>
      <c r="J39" s="414">
        <f t="shared" si="15"/>
        <v>1</v>
      </c>
      <c r="K39" s="414">
        <f t="shared" si="15"/>
        <v>1</v>
      </c>
      <c r="L39" s="414">
        <f t="shared" si="15"/>
        <v>1</v>
      </c>
      <c r="M39" s="414">
        <f t="shared" si="15"/>
        <v>1</v>
      </c>
      <c r="N39" s="414">
        <f t="shared" si="15"/>
        <v>1</v>
      </c>
      <c r="O39" s="414">
        <f t="shared" si="15"/>
        <v>1</v>
      </c>
      <c r="P39" s="414">
        <f t="shared" si="15"/>
        <v>1</v>
      </c>
      <c r="Q39" s="414">
        <f t="shared" si="15"/>
        <v>1</v>
      </c>
      <c r="R39" s="414">
        <f t="shared" si="15"/>
        <v>1</v>
      </c>
      <c r="S39" s="414">
        <f t="shared" si="15"/>
        <v>1</v>
      </c>
      <c r="T39" s="414">
        <f t="shared" si="15"/>
        <v>1</v>
      </c>
      <c r="U39" s="414">
        <f t="shared" si="15"/>
        <v>1</v>
      </c>
      <c r="V39" s="414">
        <f t="shared" si="15"/>
        <v>1</v>
      </c>
      <c r="W39" s="414">
        <f t="shared" si="15"/>
        <v>1</v>
      </c>
      <c r="X39" s="414">
        <f t="shared" si="15"/>
        <v>1</v>
      </c>
      <c r="Y39" s="414">
        <f t="shared" si="15"/>
        <v>1</v>
      </c>
      <c r="Z39" s="414">
        <f t="shared" si="15"/>
        <v>1</v>
      </c>
      <c r="AA39" s="414">
        <f t="shared" si="15"/>
        <v>1</v>
      </c>
      <c r="AB39" s="414">
        <f t="shared" si="15"/>
        <v>1</v>
      </c>
      <c r="AC39" s="414">
        <f t="shared" si="15"/>
        <v>1</v>
      </c>
      <c r="AD39" s="414">
        <f t="shared" si="15"/>
        <v>1</v>
      </c>
      <c r="AE39" s="414">
        <f t="shared" si="15"/>
        <v>1</v>
      </c>
      <c r="AF39" s="414">
        <f t="shared" si="15"/>
        <v>1</v>
      </c>
      <c r="AG39" s="414">
        <f t="shared" si="15"/>
        <v>1</v>
      </c>
      <c r="AH39" s="414">
        <f t="shared" si="15"/>
        <v>1</v>
      </c>
      <c r="AI39" s="414">
        <f t="shared" si="15"/>
        <v>1</v>
      </c>
      <c r="AJ39" s="414">
        <f t="shared" si="15"/>
        <v>1</v>
      </c>
      <c r="AK39" s="414">
        <f t="shared" si="15"/>
        <v>1</v>
      </c>
      <c r="AL39" s="414">
        <f t="shared" si="15"/>
        <v>1</v>
      </c>
    </row>
    <row r="40" spans="2:38" s="421" customFormat="1">
      <c r="B40" s="411" t="s">
        <v>657</v>
      </c>
      <c r="C40" s="416" t="s">
        <v>658</v>
      </c>
      <c r="D40" s="417">
        <f>((D$17+0.2)/0.2)^(0.047)</f>
        <v>1.0883102770199353</v>
      </c>
      <c r="E40" s="417">
        <f t="shared" ref="E40:AL40" si="16">((E$17+0.2)/0.2)^(0.047)</f>
        <v>1.0887612740878003</v>
      </c>
      <c r="F40" s="417">
        <f t="shared" si="16"/>
        <v>1.0892132384111224</v>
      </c>
      <c r="G40" s="417">
        <f t="shared" si="16"/>
        <v>1.0896661655079605</v>
      </c>
      <c r="H40" s="417">
        <f t="shared" si="16"/>
        <v>1.090120050905572</v>
      </c>
      <c r="I40" s="417">
        <f t="shared" si="16"/>
        <v>1.0905748901407866</v>
      </c>
      <c r="J40" s="417">
        <f t="shared" si="16"/>
        <v>1.0910306787603721</v>
      </c>
      <c r="K40" s="417">
        <f t="shared" si="16"/>
        <v>1.0914874123213936</v>
      </c>
      <c r="L40" s="417">
        <f t="shared" si="16"/>
        <v>1.0919450863915652</v>
      </c>
      <c r="M40" s="417">
        <f t="shared" si="16"/>
        <v>1.0924036965495967</v>
      </c>
      <c r="N40" s="417">
        <f t="shared" si="16"/>
        <v>1.0928632383855312</v>
      </c>
      <c r="O40" s="417">
        <f t="shared" si="16"/>
        <v>1.0933237075010782</v>
      </c>
      <c r="P40" s="417">
        <f t="shared" si="16"/>
        <v>1.0937850995099379</v>
      </c>
      <c r="Q40" s="417">
        <f t="shared" si="16"/>
        <v>1.0942474100381201</v>
      </c>
      <c r="R40" s="417">
        <f t="shared" si="16"/>
        <v>1.0947106347242561</v>
      </c>
      <c r="S40" s="417">
        <f t="shared" si="16"/>
        <v>1.0951747692199041</v>
      </c>
      <c r="T40" s="417">
        <f t="shared" si="16"/>
        <v>1.0956398091898469</v>
      </c>
      <c r="U40" s="417">
        <f t="shared" si="16"/>
        <v>1.0961057503123854</v>
      </c>
      <c r="V40" s="417">
        <f t="shared" si="16"/>
        <v>1.0965725882796231</v>
      </c>
      <c r="W40" s="417">
        <f t="shared" si="16"/>
        <v>1.0970403187977449</v>
      </c>
      <c r="X40" s="417">
        <f t="shared" si="16"/>
        <v>1.0975089375872908</v>
      </c>
      <c r="Y40" s="417">
        <f t="shared" si="16"/>
        <v>1.0979784403834214</v>
      </c>
      <c r="Z40" s="417">
        <f t="shared" si="16"/>
        <v>1.0984488229361773</v>
      </c>
      <c r="AA40" s="417">
        <f t="shared" si="16"/>
        <v>1.0989200810107336</v>
      </c>
      <c r="AB40" s="417">
        <f t="shared" si="16"/>
        <v>1.0993922103876466</v>
      </c>
      <c r="AC40" s="417">
        <f t="shared" si="16"/>
        <v>1.0998652068630947</v>
      </c>
      <c r="AD40" s="417">
        <f t="shared" si="16"/>
        <v>1.1003390662491142</v>
      </c>
      <c r="AE40" s="417">
        <f t="shared" si="16"/>
        <v>1.1008137843738262</v>
      </c>
      <c r="AF40" s="417">
        <f t="shared" si="16"/>
        <v>1.101289357081662</v>
      </c>
      <c r="AG40" s="417">
        <f t="shared" si="16"/>
        <v>1.1017657802335772</v>
      </c>
      <c r="AH40" s="417">
        <f t="shared" si="16"/>
        <v>1.1022430497072639</v>
      </c>
      <c r="AI40" s="417">
        <f t="shared" si="16"/>
        <v>1.1027211613973558</v>
      </c>
      <c r="AJ40" s="417">
        <f t="shared" si="16"/>
        <v>1.103200111215626</v>
      </c>
      <c r="AK40" s="417">
        <f t="shared" si="16"/>
        <v>1.1036798950911813</v>
      </c>
      <c r="AL40" s="417">
        <f t="shared" si="16"/>
        <v>1.1041605089706492</v>
      </c>
    </row>
    <row r="41" spans="2:38" s="421" customFormat="1">
      <c r="B41" s="411" t="s">
        <v>659</v>
      </c>
      <c r="C41" s="412" t="s">
        <v>660</v>
      </c>
      <c r="D41" s="414">
        <v>1</v>
      </c>
      <c r="E41" s="414">
        <v>1</v>
      </c>
      <c r="F41" s="414">
        <v>1</v>
      </c>
      <c r="G41" s="414">
        <v>1</v>
      </c>
      <c r="H41" s="414">
        <v>1</v>
      </c>
      <c r="I41" s="414">
        <v>1</v>
      </c>
      <c r="J41" s="414">
        <v>1</v>
      </c>
      <c r="K41" s="414">
        <v>1</v>
      </c>
      <c r="L41" s="414">
        <v>1</v>
      </c>
      <c r="M41" s="414">
        <v>1</v>
      </c>
      <c r="N41" s="414">
        <v>1</v>
      </c>
      <c r="O41" s="414">
        <v>1</v>
      </c>
      <c r="P41" s="414">
        <v>1</v>
      </c>
      <c r="Q41" s="414">
        <v>1</v>
      </c>
      <c r="R41" s="414">
        <v>1</v>
      </c>
      <c r="S41" s="414">
        <v>1</v>
      </c>
      <c r="T41" s="414">
        <v>1</v>
      </c>
      <c r="U41" s="414">
        <v>1</v>
      </c>
      <c r="V41" s="414">
        <v>1</v>
      </c>
      <c r="W41" s="414">
        <v>1</v>
      </c>
      <c r="X41" s="414">
        <v>1</v>
      </c>
      <c r="Y41" s="414">
        <v>1</v>
      </c>
      <c r="Z41" s="414">
        <v>1</v>
      </c>
      <c r="AA41" s="414">
        <v>1</v>
      </c>
      <c r="AB41" s="414">
        <v>1</v>
      </c>
      <c r="AC41" s="414">
        <v>1</v>
      </c>
      <c r="AD41" s="414">
        <v>1</v>
      </c>
      <c r="AE41" s="414">
        <v>1</v>
      </c>
      <c r="AF41" s="414">
        <v>1</v>
      </c>
      <c r="AG41" s="414">
        <v>1</v>
      </c>
      <c r="AH41" s="414">
        <v>1</v>
      </c>
      <c r="AI41" s="414">
        <v>1</v>
      </c>
      <c r="AJ41" s="414">
        <v>1</v>
      </c>
      <c r="AK41" s="414">
        <v>1</v>
      </c>
      <c r="AL41" s="414">
        <v>1</v>
      </c>
    </row>
    <row r="42" spans="2:38" s="421" customFormat="1">
      <c r="B42" s="411" t="s">
        <v>661</v>
      </c>
      <c r="C42" s="412" t="s">
        <v>662</v>
      </c>
      <c r="D42" s="414">
        <v>1</v>
      </c>
      <c r="E42" s="414">
        <v>1</v>
      </c>
      <c r="F42" s="414">
        <v>1</v>
      </c>
      <c r="G42" s="414">
        <v>1</v>
      </c>
      <c r="H42" s="414">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663</v>
      </c>
      <c r="C43" s="412" t="s">
        <v>664</v>
      </c>
      <c r="D43" s="414">
        <v>1</v>
      </c>
      <c r="E43" s="414">
        <v>1</v>
      </c>
      <c r="F43" s="414">
        <v>1</v>
      </c>
      <c r="G43" s="414">
        <v>1</v>
      </c>
      <c r="H43" s="414">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665</v>
      </c>
      <c r="C44" s="412" t="s">
        <v>666</v>
      </c>
      <c r="D44" s="414">
        <f t="shared" ref="D44:AL44" si="17">EXP(0.138*($D$10-1))</f>
        <v>1.1479755502741786</v>
      </c>
      <c r="E44" s="414">
        <f t="shared" si="17"/>
        <v>1.1479755502741786</v>
      </c>
      <c r="F44" s="414">
        <f t="shared" si="17"/>
        <v>1.1479755502741786</v>
      </c>
      <c r="G44" s="414">
        <f t="shared" si="17"/>
        <v>1.1479755502741786</v>
      </c>
      <c r="H44" s="414">
        <f t="shared" si="17"/>
        <v>1.1479755502741786</v>
      </c>
      <c r="I44" s="414">
        <f t="shared" si="17"/>
        <v>1.1479755502741786</v>
      </c>
      <c r="J44" s="414">
        <f t="shared" si="17"/>
        <v>1.1479755502741786</v>
      </c>
      <c r="K44" s="414">
        <f t="shared" si="17"/>
        <v>1.1479755502741786</v>
      </c>
      <c r="L44" s="414">
        <f t="shared" si="17"/>
        <v>1.1479755502741786</v>
      </c>
      <c r="M44" s="414">
        <f t="shared" si="17"/>
        <v>1.1479755502741786</v>
      </c>
      <c r="N44" s="414">
        <f t="shared" si="17"/>
        <v>1.1479755502741786</v>
      </c>
      <c r="O44" s="414">
        <f t="shared" si="17"/>
        <v>1.1479755502741786</v>
      </c>
      <c r="P44" s="414">
        <f t="shared" si="17"/>
        <v>1.1479755502741786</v>
      </c>
      <c r="Q44" s="414">
        <f t="shared" si="17"/>
        <v>1.1479755502741786</v>
      </c>
      <c r="R44" s="414">
        <f t="shared" si="17"/>
        <v>1.1479755502741786</v>
      </c>
      <c r="S44" s="414">
        <f t="shared" si="17"/>
        <v>1.1479755502741786</v>
      </c>
      <c r="T44" s="414">
        <f t="shared" si="17"/>
        <v>1.1479755502741786</v>
      </c>
      <c r="U44" s="414">
        <f t="shared" si="17"/>
        <v>1.1479755502741786</v>
      </c>
      <c r="V44" s="414">
        <f t="shared" si="17"/>
        <v>1.1479755502741786</v>
      </c>
      <c r="W44" s="414">
        <f t="shared" si="17"/>
        <v>1.1479755502741786</v>
      </c>
      <c r="X44" s="414">
        <f t="shared" si="17"/>
        <v>1.1479755502741786</v>
      </c>
      <c r="Y44" s="414">
        <f t="shared" si="17"/>
        <v>1.1479755502741786</v>
      </c>
      <c r="Z44" s="414">
        <f t="shared" si="17"/>
        <v>1.1479755502741786</v>
      </c>
      <c r="AA44" s="414">
        <f t="shared" si="17"/>
        <v>1.1479755502741786</v>
      </c>
      <c r="AB44" s="414">
        <f t="shared" si="17"/>
        <v>1.1479755502741786</v>
      </c>
      <c r="AC44" s="414">
        <f t="shared" si="17"/>
        <v>1.1479755502741786</v>
      </c>
      <c r="AD44" s="414">
        <f t="shared" si="17"/>
        <v>1.1479755502741786</v>
      </c>
      <c r="AE44" s="414">
        <f t="shared" si="17"/>
        <v>1.1479755502741786</v>
      </c>
      <c r="AF44" s="414">
        <f t="shared" si="17"/>
        <v>1.1479755502741786</v>
      </c>
      <c r="AG44" s="414">
        <f t="shared" si="17"/>
        <v>1.1479755502741786</v>
      </c>
      <c r="AH44" s="414">
        <f t="shared" si="17"/>
        <v>1.1479755502741786</v>
      </c>
      <c r="AI44" s="414">
        <f t="shared" si="17"/>
        <v>1.1479755502741786</v>
      </c>
      <c r="AJ44" s="414">
        <f t="shared" si="17"/>
        <v>1.1479755502741786</v>
      </c>
      <c r="AK44" s="414">
        <f t="shared" si="17"/>
        <v>1.1479755502741786</v>
      </c>
      <c r="AL44" s="414">
        <f t="shared" si="17"/>
        <v>1.1479755502741786</v>
      </c>
    </row>
    <row r="45" spans="2:38" s="421" customFormat="1" ht="13">
      <c r="B45" s="418"/>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row>
    <row r="46" spans="2:38" s="421" customFormat="1" ht="13">
      <c r="B46" s="422" t="s">
        <v>668</v>
      </c>
      <c r="C46" s="408"/>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c r="B47" s="411" t="s">
        <v>653</v>
      </c>
      <c r="C47" s="412" t="s">
        <v>654</v>
      </c>
      <c r="D47" s="423">
        <f>((D$14*D$15+0.2)/0.2)^(0.3116)</f>
        <v>29.872772164339281</v>
      </c>
      <c r="E47" s="423">
        <f t="shared" ref="E47:AL47" si="18">((E$14*E$15+0.2)/0.2)^(0.3116)</f>
        <v>30.243830394338076</v>
      </c>
      <c r="F47" s="423">
        <f t="shared" si="18"/>
        <v>30.619497909810075</v>
      </c>
      <c r="G47" s="423">
        <f t="shared" si="18"/>
        <v>30.999831960163949</v>
      </c>
      <c r="H47" s="423">
        <f t="shared" si="18"/>
        <v>31.384890506063932</v>
      </c>
      <c r="I47" s="423">
        <f t="shared" si="18"/>
        <v>31.774732228261112</v>
      </c>
      <c r="J47" s="423">
        <f t="shared" si="18"/>
        <v>32.169416536534555</v>
      </c>
      <c r="K47" s="423">
        <f t="shared" si="18"/>
        <v>32.56900357874364</v>
      </c>
      <c r="L47" s="423">
        <f t="shared" si="18"/>
        <v>32.973554249992773</v>
      </c>
      <c r="M47" s="423">
        <f t="shared" si="18"/>
        <v>33.383130201910298</v>
      </c>
      <c r="N47" s="423">
        <f t="shared" si="18"/>
        <v>33.797793852042389</v>
      </c>
      <c r="O47" s="423">
        <f t="shared" si="18"/>
        <v>34.217608393364067</v>
      </c>
      <c r="P47" s="423">
        <f t="shared" si="18"/>
        <v>34.642637803908165</v>
      </c>
      <c r="Q47" s="423">
        <f t="shared" si="18"/>
        <v>35.072946856514179</v>
      </c>
      <c r="R47" s="423">
        <f t="shared" si="18"/>
        <v>35.508601128698153</v>
      </c>
      <c r="S47" s="423">
        <f t="shared" si="18"/>
        <v>35.949667012645307</v>
      </c>
      <c r="T47" s="423">
        <f t="shared" si="18"/>
        <v>36.396211725326815</v>
      </c>
      <c r="U47" s="423">
        <f t="shared" si="18"/>
        <v>36.848303318742389</v>
      </c>
      <c r="V47" s="423">
        <f t="shared" si="18"/>
        <v>37.306010690290051</v>
      </c>
      <c r="W47" s="423">
        <f t="shared" si="18"/>
        <v>37.769403593264947</v>
      </c>
      <c r="X47" s="423">
        <f t="shared" si="18"/>
        <v>38.238552647488426</v>
      </c>
      <c r="Y47" s="423">
        <f t="shared" si="18"/>
        <v>38.713529350069408</v>
      </c>
      <c r="Z47" s="423">
        <f t="shared" si="18"/>
        <v>39.194406086299352</v>
      </c>
      <c r="AA47" s="423">
        <f t="shared" si="18"/>
        <v>39.681256140682621</v>
      </c>
      <c r="AB47" s="423">
        <f t="shared" si="18"/>
        <v>40.174153708104065</v>
      </c>
      <c r="AC47" s="423">
        <f t="shared" si="18"/>
        <v>40.673173905135243</v>
      </c>
      <c r="AD47" s="423">
        <f t="shared" si="18"/>
        <v>41.178392781481087</v>
      </c>
      <c r="AE47" s="423">
        <f t="shared" si="18"/>
        <v>41.689887331568933</v>
      </c>
      <c r="AF47" s="423">
        <f t="shared" si="18"/>
        <v>42.207735506281679</v>
      </c>
      <c r="AG47" s="423">
        <f t="shared" si="18"/>
        <v>42.732016224836222</v>
      </c>
      <c r="AH47" s="423">
        <f t="shared" si="18"/>
        <v>43.26280938681019</v>
      </c>
      <c r="AI47" s="423">
        <f t="shared" si="18"/>
        <v>43.800195884317567</v>
      </c>
      <c r="AJ47" s="423">
        <f t="shared" si="18"/>
        <v>44.344257614335866</v>
      </c>
      <c r="AK47" s="423">
        <f t="shared" si="18"/>
        <v>44.895077491186377</v>
      </c>
      <c r="AL47" s="423">
        <f t="shared" si="18"/>
        <v>45.452739459169571</v>
      </c>
    </row>
    <row r="48" spans="2:38" s="421" customFormat="1">
      <c r="B48" s="411" t="s">
        <v>655</v>
      </c>
      <c r="C48" s="412" t="s">
        <v>656</v>
      </c>
      <c r="D48" s="414">
        <f t="shared" ref="D48:AL48" si="19">EXP(0.2912*$D$9)</f>
        <v>1</v>
      </c>
      <c r="E48" s="414">
        <f t="shared" si="19"/>
        <v>1</v>
      </c>
      <c r="F48" s="414">
        <f t="shared" si="19"/>
        <v>1</v>
      </c>
      <c r="G48" s="414">
        <f t="shared" si="19"/>
        <v>1</v>
      </c>
      <c r="H48" s="414">
        <f t="shared" si="19"/>
        <v>1</v>
      </c>
      <c r="I48" s="414">
        <f t="shared" si="19"/>
        <v>1</v>
      </c>
      <c r="J48" s="414">
        <f t="shared" si="19"/>
        <v>1</v>
      </c>
      <c r="K48" s="414">
        <f t="shared" si="19"/>
        <v>1</v>
      </c>
      <c r="L48" s="414">
        <f t="shared" si="19"/>
        <v>1</v>
      </c>
      <c r="M48" s="414">
        <f t="shared" si="19"/>
        <v>1</v>
      </c>
      <c r="N48" s="414">
        <f t="shared" si="19"/>
        <v>1</v>
      </c>
      <c r="O48" s="414">
        <f t="shared" si="19"/>
        <v>1</v>
      </c>
      <c r="P48" s="414">
        <f t="shared" si="19"/>
        <v>1</v>
      </c>
      <c r="Q48" s="414">
        <f t="shared" si="19"/>
        <v>1</v>
      </c>
      <c r="R48" s="414">
        <f t="shared" si="19"/>
        <v>1</v>
      </c>
      <c r="S48" s="414">
        <f t="shared" si="19"/>
        <v>1</v>
      </c>
      <c r="T48" s="414">
        <f t="shared" si="19"/>
        <v>1</v>
      </c>
      <c r="U48" s="414">
        <f t="shared" si="19"/>
        <v>1</v>
      </c>
      <c r="V48" s="414">
        <f t="shared" si="19"/>
        <v>1</v>
      </c>
      <c r="W48" s="414">
        <f t="shared" si="19"/>
        <v>1</v>
      </c>
      <c r="X48" s="414">
        <f t="shared" si="19"/>
        <v>1</v>
      </c>
      <c r="Y48" s="414">
        <f t="shared" si="19"/>
        <v>1</v>
      </c>
      <c r="Z48" s="414">
        <f t="shared" si="19"/>
        <v>1</v>
      </c>
      <c r="AA48" s="414">
        <f t="shared" si="19"/>
        <v>1</v>
      </c>
      <c r="AB48" s="414">
        <f t="shared" si="19"/>
        <v>1</v>
      </c>
      <c r="AC48" s="414">
        <f t="shared" si="19"/>
        <v>1</v>
      </c>
      <c r="AD48" s="414">
        <f t="shared" si="19"/>
        <v>1</v>
      </c>
      <c r="AE48" s="414">
        <f t="shared" si="19"/>
        <v>1</v>
      </c>
      <c r="AF48" s="414">
        <f t="shared" si="19"/>
        <v>1</v>
      </c>
      <c r="AG48" s="414">
        <f t="shared" si="19"/>
        <v>1</v>
      </c>
      <c r="AH48" s="414">
        <f t="shared" si="19"/>
        <v>1</v>
      </c>
      <c r="AI48" s="414">
        <f t="shared" si="19"/>
        <v>1</v>
      </c>
      <c r="AJ48" s="414">
        <f t="shared" si="19"/>
        <v>1</v>
      </c>
      <c r="AK48" s="414">
        <f t="shared" si="19"/>
        <v>1</v>
      </c>
      <c r="AL48" s="414">
        <f t="shared" si="19"/>
        <v>1</v>
      </c>
    </row>
    <row r="49" spans="2:38" s="421" customFormat="1">
      <c r="B49" s="411" t="s">
        <v>657</v>
      </c>
      <c r="C49" s="416" t="s">
        <v>658</v>
      </c>
      <c r="D49" s="414">
        <v>1</v>
      </c>
      <c r="E49" s="414">
        <v>1</v>
      </c>
      <c r="F49" s="414">
        <v>1</v>
      </c>
      <c r="G49" s="414">
        <v>1</v>
      </c>
      <c r="H49" s="414">
        <v>1</v>
      </c>
      <c r="I49" s="414">
        <v>1</v>
      </c>
      <c r="J49" s="414">
        <v>1</v>
      </c>
      <c r="K49" s="414">
        <v>1</v>
      </c>
      <c r="L49" s="414">
        <v>1</v>
      </c>
      <c r="M49" s="414">
        <v>1</v>
      </c>
      <c r="N49" s="414">
        <v>1</v>
      </c>
      <c r="O49" s="414">
        <v>1</v>
      </c>
      <c r="P49" s="414">
        <v>1</v>
      </c>
      <c r="Q49" s="414">
        <v>1</v>
      </c>
      <c r="R49" s="414">
        <v>1</v>
      </c>
      <c r="S49" s="414">
        <v>1</v>
      </c>
      <c r="T49" s="414">
        <v>1</v>
      </c>
      <c r="U49" s="414">
        <v>1</v>
      </c>
      <c r="V49" s="414">
        <v>1</v>
      </c>
      <c r="W49" s="414">
        <v>1</v>
      </c>
      <c r="X49" s="414">
        <v>1</v>
      </c>
      <c r="Y49" s="414">
        <v>1</v>
      </c>
      <c r="Z49" s="414">
        <v>1</v>
      </c>
      <c r="AA49" s="414">
        <v>1</v>
      </c>
      <c r="AB49" s="414">
        <v>1</v>
      </c>
      <c r="AC49" s="414">
        <v>1</v>
      </c>
      <c r="AD49" s="414">
        <v>1</v>
      </c>
      <c r="AE49" s="414">
        <v>1</v>
      </c>
      <c r="AF49" s="414">
        <v>1</v>
      </c>
      <c r="AG49" s="414">
        <v>1</v>
      </c>
      <c r="AH49" s="414">
        <v>1</v>
      </c>
      <c r="AI49" s="414">
        <v>1</v>
      </c>
      <c r="AJ49" s="414">
        <v>1</v>
      </c>
      <c r="AK49" s="414">
        <v>1</v>
      </c>
      <c r="AL49" s="414">
        <v>1</v>
      </c>
    </row>
    <row r="50" spans="2:38" s="421" customFormat="1">
      <c r="B50" s="411" t="s">
        <v>659</v>
      </c>
      <c r="C50" s="412" t="s">
        <v>660</v>
      </c>
      <c r="D50" s="414">
        <v>1</v>
      </c>
      <c r="E50" s="414">
        <v>1</v>
      </c>
      <c r="F50" s="414">
        <v>1</v>
      </c>
      <c r="G50" s="414">
        <v>1</v>
      </c>
      <c r="H50" s="414">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661</v>
      </c>
      <c r="C51" s="412" t="s">
        <v>662</v>
      </c>
      <c r="D51" s="414">
        <v>1</v>
      </c>
      <c r="E51" s="414">
        <v>1</v>
      </c>
      <c r="F51" s="414">
        <v>1</v>
      </c>
      <c r="G51" s="414">
        <v>1</v>
      </c>
      <c r="H51" s="414">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663</v>
      </c>
      <c r="C52" s="412" t="s">
        <v>664</v>
      </c>
      <c r="D52" s="414">
        <v>1</v>
      </c>
      <c r="E52" s="414">
        <v>1</v>
      </c>
      <c r="F52" s="414">
        <v>1</v>
      </c>
      <c r="G52" s="414">
        <v>1</v>
      </c>
      <c r="H52" s="414">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24" t="s">
        <v>665</v>
      </c>
      <c r="C53" s="425" t="s">
        <v>666</v>
      </c>
      <c r="D53" s="426">
        <f t="shared" ref="D53:AL53" si="20">EXP(0.1036*($D$10-1))</f>
        <v>1.1091567034898182</v>
      </c>
      <c r="E53" s="426">
        <f t="shared" si="20"/>
        <v>1.1091567034898182</v>
      </c>
      <c r="F53" s="426">
        <f t="shared" si="20"/>
        <v>1.1091567034898182</v>
      </c>
      <c r="G53" s="426">
        <f t="shared" si="20"/>
        <v>1.1091567034898182</v>
      </c>
      <c r="H53" s="426">
        <f t="shared" si="20"/>
        <v>1.1091567034898182</v>
      </c>
      <c r="I53" s="426">
        <f t="shared" si="20"/>
        <v>1.1091567034898182</v>
      </c>
      <c r="J53" s="426">
        <f t="shared" si="20"/>
        <v>1.1091567034898182</v>
      </c>
      <c r="K53" s="426">
        <f t="shared" si="20"/>
        <v>1.1091567034898182</v>
      </c>
      <c r="L53" s="426">
        <f t="shared" si="20"/>
        <v>1.1091567034898182</v>
      </c>
      <c r="M53" s="426">
        <f t="shared" si="20"/>
        <v>1.1091567034898182</v>
      </c>
      <c r="N53" s="426">
        <f t="shared" si="20"/>
        <v>1.1091567034898182</v>
      </c>
      <c r="O53" s="426">
        <f t="shared" si="20"/>
        <v>1.1091567034898182</v>
      </c>
      <c r="P53" s="426">
        <f t="shared" si="20"/>
        <v>1.1091567034898182</v>
      </c>
      <c r="Q53" s="426">
        <f t="shared" si="20"/>
        <v>1.1091567034898182</v>
      </c>
      <c r="R53" s="426">
        <f t="shared" si="20"/>
        <v>1.1091567034898182</v>
      </c>
      <c r="S53" s="426">
        <f t="shared" si="20"/>
        <v>1.1091567034898182</v>
      </c>
      <c r="T53" s="426">
        <f t="shared" si="20"/>
        <v>1.1091567034898182</v>
      </c>
      <c r="U53" s="426">
        <f t="shared" si="20"/>
        <v>1.1091567034898182</v>
      </c>
      <c r="V53" s="426">
        <f t="shared" si="20"/>
        <v>1.1091567034898182</v>
      </c>
      <c r="W53" s="426">
        <f t="shared" si="20"/>
        <v>1.1091567034898182</v>
      </c>
      <c r="X53" s="426">
        <f t="shared" si="20"/>
        <v>1.1091567034898182</v>
      </c>
      <c r="Y53" s="426">
        <f t="shared" si="20"/>
        <v>1.1091567034898182</v>
      </c>
      <c r="Z53" s="426">
        <f t="shared" si="20"/>
        <v>1.1091567034898182</v>
      </c>
      <c r="AA53" s="426">
        <f t="shared" si="20"/>
        <v>1.1091567034898182</v>
      </c>
      <c r="AB53" s="426">
        <f t="shared" si="20"/>
        <v>1.1091567034898182</v>
      </c>
      <c r="AC53" s="426">
        <f t="shared" si="20"/>
        <v>1.1091567034898182</v>
      </c>
      <c r="AD53" s="426">
        <f t="shared" si="20"/>
        <v>1.1091567034898182</v>
      </c>
      <c r="AE53" s="426">
        <f t="shared" si="20"/>
        <v>1.1091567034898182</v>
      </c>
      <c r="AF53" s="426">
        <f t="shared" si="20"/>
        <v>1.1091567034898182</v>
      </c>
      <c r="AG53" s="426">
        <f t="shared" si="20"/>
        <v>1.1091567034898182</v>
      </c>
      <c r="AH53" s="426">
        <f t="shared" si="20"/>
        <v>1.1091567034898182</v>
      </c>
      <c r="AI53" s="426">
        <f t="shared" si="20"/>
        <v>1.1091567034898182</v>
      </c>
      <c r="AJ53" s="426">
        <f t="shared" si="20"/>
        <v>1.1091567034898182</v>
      </c>
      <c r="AK53" s="426">
        <f t="shared" si="20"/>
        <v>1.1091567034898182</v>
      </c>
      <c r="AL53" s="426">
        <f t="shared" si="20"/>
        <v>1.1091567034898182</v>
      </c>
    </row>
    <row r="54" spans="2:38">
      <c r="B54" s="362"/>
      <c r="C54" s="427" t="s">
        <v>290</v>
      </c>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row>
    <row r="55" spans="2:38">
      <c r="B55" s="362" t="s">
        <v>669</v>
      </c>
      <c r="C55" s="428">
        <f>$E$6</f>
        <v>2.2680000000000001E-3</v>
      </c>
      <c r="D55" s="429">
        <f t="shared" ref="D55:AJ55" si="21">IF($D$6=$B28,$C$55*PRODUCT(D$29:D$35),IF($D$6=$B37,$C$55*PRODUCT(D$38:D$44), $C$55*PRODUCT(D$47:D$53)))</f>
        <v>7.0232140621718453E-2</v>
      </c>
      <c r="E55" s="429">
        <f t="shared" si="21"/>
        <v>7.1249813119410269E-2</v>
      </c>
      <c r="F55" s="429">
        <f t="shared" si="21"/>
        <v>7.2282379694297225E-2</v>
      </c>
      <c r="G55" s="429">
        <f t="shared" si="21"/>
        <v>7.3330059365326758E-2</v>
      </c>
      <c r="H55" s="429">
        <f t="shared" si="21"/>
        <v>7.4393074376132406E-2</v>
      </c>
      <c r="I55" s="429">
        <f t="shared" si="21"/>
        <v>7.5471650242498106E-2</v>
      </c>
      <c r="J55" s="429">
        <f t="shared" si="21"/>
        <v>7.6566015800522025E-2</v>
      </c>
      <c r="K55" s="429">
        <f t="shared" si="21"/>
        <v>7.7676403255489565E-2</v>
      </c>
      <c r="L55" s="429">
        <f t="shared" si="21"/>
        <v>7.8803048231466041E-2</v>
      </c>
      <c r="M55" s="429">
        <f t="shared" si="21"/>
        <v>7.9946189821620564E-2</v>
      </c>
      <c r="N55" s="429">
        <f t="shared" si="21"/>
        <v>8.1106070639290026E-2</v>
      </c>
      <c r="O55" s="429">
        <f t="shared" si="21"/>
        <v>8.2282936869796361E-2</v>
      </c>
      <c r="P55" s="429">
        <f t="shared" si="21"/>
        <v>8.3477038323026012E-2</v>
      </c>
      <c r="Q55" s="429">
        <f t="shared" si="21"/>
        <v>8.4688628486784601E-2</v>
      </c>
      <c r="R55" s="429">
        <f t="shared" si="21"/>
        <v>8.5917964580936881E-2</v>
      </c>
      <c r="S55" s="429">
        <f t="shared" si="21"/>
        <v>8.7165307612344381E-2</v>
      </c>
      <c r="T55" s="429">
        <f t="shared" si="21"/>
        <v>8.8430922430612138E-2</v>
      </c>
      <c r="U55" s="429">
        <f t="shared" si="21"/>
        <v>8.9715077784656608E-2</v>
      </c>
      <c r="V55" s="429">
        <f t="shared" si="21"/>
        <v>9.1018046380106313E-2</v>
      </c>
      <c r="W55" s="429">
        <f t="shared" si="21"/>
        <v>9.2340104937548434E-2</v>
      </c>
      <c r="X55" s="429">
        <f t="shared" si="21"/>
        <v>9.3681534251632864E-2</v>
      </c>
      <c r="Y55" s="429">
        <f t="shared" si="21"/>
        <v>9.504261925104697E-2</v>
      </c>
      <c r="Z55" s="429">
        <f t="shared" si="21"/>
        <v>9.6423649059373645E-2</v>
      </c>
      <c r="AA55" s="429">
        <f t="shared" si="21"/>
        <v>9.7824917056845345E-2</v>
      </c>
      <c r="AB55" s="429">
        <f t="shared" si="21"/>
        <v>9.9246720943008224E-2</v>
      </c>
      <c r="AC55" s="429">
        <f t="shared" si="21"/>
        <v>0.10068936280030873</v>
      </c>
      <c r="AD55" s="429">
        <f t="shared" si="21"/>
        <v>0.10215314915861674</v>
      </c>
      <c r="AE55" s="429">
        <f t="shared" si="21"/>
        <v>0.10363839106069909</v>
      </c>
      <c r="AF55" s="429">
        <f t="shared" si="21"/>
        <v>0.10514540412865746</v>
      </c>
      <c r="AG55" s="429">
        <f t="shared" si="21"/>
        <v>0.1066745086313443</v>
      </c>
      <c r="AH55" s="429">
        <f t="shared" si="21"/>
        <v>0.10822602955277211</v>
      </c>
      <c r="AI55" s="429">
        <f t="shared" si="21"/>
        <v>0.10980029666153007</v>
      </c>
      <c r="AJ55" s="429">
        <f t="shared" si="21"/>
        <v>0.11139764458122287</v>
      </c>
      <c r="AK55" s="429">
        <f t="shared" ref="AK55:AL55" si="22">IF($D$6=$B28,$C$55*PRODUCT(AK$29:AK$35),IF($D$6=$B37,$C$55*PRODUCT(AK$38:AK$44), $C$55*PRODUCT(AK$47:AK$53)))</f>
        <v>0.11301841286194672</v>
      </c>
      <c r="AL55" s="429">
        <f t="shared" si="22"/>
        <v>0.11466294605281897</v>
      </c>
    </row>
    <row r="57" spans="2:38" ht="13">
      <c r="B57" s="407" t="s">
        <v>670</v>
      </c>
      <c r="C57" s="396" t="s">
        <v>627</v>
      </c>
      <c r="D57" s="397">
        <v>2018</v>
      </c>
      <c r="E57" s="397">
        <v>2020</v>
      </c>
      <c r="F57" s="397">
        <v>2021</v>
      </c>
      <c r="G57" s="397">
        <v>2022</v>
      </c>
      <c r="H57" s="397">
        <v>2023</v>
      </c>
      <c r="I57" s="397">
        <v>2024</v>
      </c>
      <c r="J57" s="397">
        <v>2025</v>
      </c>
      <c r="K57" s="397">
        <v>2026</v>
      </c>
      <c r="L57" s="397">
        <v>2027</v>
      </c>
      <c r="M57" s="397">
        <v>2028</v>
      </c>
      <c r="N57" s="397">
        <v>2029</v>
      </c>
      <c r="O57" s="397">
        <v>2030</v>
      </c>
      <c r="P57" s="397">
        <v>2031</v>
      </c>
      <c r="Q57" s="397">
        <v>2032</v>
      </c>
      <c r="R57" s="397">
        <v>2033</v>
      </c>
      <c r="S57" s="397">
        <v>2034</v>
      </c>
      <c r="T57" s="397">
        <v>2035</v>
      </c>
      <c r="U57" s="397">
        <v>2036</v>
      </c>
      <c r="V57" s="397">
        <v>2037</v>
      </c>
      <c r="W57" s="397">
        <v>2038</v>
      </c>
      <c r="X57" s="397">
        <v>2039</v>
      </c>
      <c r="Y57" s="397">
        <v>2040</v>
      </c>
      <c r="Z57" s="397">
        <v>2041</v>
      </c>
      <c r="AA57" s="397">
        <v>2042</v>
      </c>
      <c r="AB57" s="397">
        <v>2043</v>
      </c>
      <c r="AC57" s="397">
        <v>2044</v>
      </c>
      <c r="AD57" s="397">
        <v>2044</v>
      </c>
      <c r="AE57" s="397">
        <v>2044</v>
      </c>
      <c r="AF57" s="397">
        <v>2044</v>
      </c>
      <c r="AG57" s="397">
        <v>2044</v>
      </c>
      <c r="AH57" s="397">
        <v>2044</v>
      </c>
      <c r="AI57" s="397">
        <v>2044</v>
      </c>
      <c r="AJ57" s="397">
        <v>2044</v>
      </c>
      <c r="AK57" s="397">
        <v>2044</v>
      </c>
      <c r="AL57" s="397">
        <v>2044</v>
      </c>
    </row>
    <row r="58" spans="2:38" s="366" customFormat="1">
      <c r="B58" s="366" t="s">
        <v>671</v>
      </c>
      <c r="C58" s="430" t="s">
        <v>662</v>
      </c>
      <c r="D58" s="431">
        <f t="shared" ref="D58:AE58" si="23">D19^(-1.074)</f>
        <v>0.11486407065121609</v>
      </c>
      <c r="E58" s="432">
        <f t="shared" si="23"/>
        <v>0.11486407065121609</v>
      </c>
      <c r="F58" s="432">
        <f t="shared" si="23"/>
        <v>0.11486407065121609</v>
      </c>
      <c r="G58" s="432">
        <f t="shared" si="23"/>
        <v>0.11486407065121609</v>
      </c>
      <c r="H58" s="432">
        <f t="shared" si="23"/>
        <v>0.11486407065121609</v>
      </c>
      <c r="I58" s="432">
        <f t="shared" si="23"/>
        <v>0.11486407065121609</v>
      </c>
      <c r="J58" s="432">
        <f t="shared" si="23"/>
        <v>0.11486407065121609</v>
      </c>
      <c r="K58" s="432">
        <f t="shared" si="23"/>
        <v>0.11486407065121609</v>
      </c>
      <c r="L58" s="432">
        <f t="shared" si="23"/>
        <v>0.11486407065121609</v>
      </c>
      <c r="M58" s="432">
        <f t="shared" si="23"/>
        <v>0.11486407065121609</v>
      </c>
      <c r="N58" s="432">
        <f t="shared" si="23"/>
        <v>0.11486407065121609</v>
      </c>
      <c r="O58" s="432">
        <f t="shared" si="23"/>
        <v>0.11486407065121609</v>
      </c>
      <c r="P58" s="432">
        <f t="shared" si="23"/>
        <v>0.11486407065121609</v>
      </c>
      <c r="Q58" s="432">
        <f t="shared" si="23"/>
        <v>0.11486407065121609</v>
      </c>
      <c r="R58" s="432">
        <f t="shared" si="23"/>
        <v>0.11486407065121609</v>
      </c>
      <c r="S58" s="432">
        <f t="shared" si="23"/>
        <v>0.11486407065121609</v>
      </c>
      <c r="T58" s="432">
        <f t="shared" si="23"/>
        <v>0.11486407065121609</v>
      </c>
      <c r="U58" s="432">
        <f t="shared" si="23"/>
        <v>0.11486407065121609</v>
      </c>
      <c r="V58" s="432">
        <f t="shared" si="23"/>
        <v>0.11486407065121609</v>
      </c>
      <c r="W58" s="432">
        <f t="shared" si="23"/>
        <v>0.11486407065121609</v>
      </c>
      <c r="X58" s="432">
        <f t="shared" si="23"/>
        <v>0.11486407065121609</v>
      </c>
      <c r="Y58" s="432">
        <f t="shared" si="23"/>
        <v>0.11486407065121609</v>
      </c>
      <c r="Z58" s="432">
        <f t="shared" si="23"/>
        <v>0.11486407065121609</v>
      </c>
      <c r="AA58" s="432">
        <f t="shared" si="23"/>
        <v>0.11486407065121609</v>
      </c>
      <c r="AB58" s="432">
        <f t="shared" si="23"/>
        <v>0.11486407065121609</v>
      </c>
      <c r="AC58" s="432">
        <f t="shared" si="23"/>
        <v>0.11486407065121609</v>
      </c>
      <c r="AD58" s="432">
        <f t="shared" si="23"/>
        <v>0.11486407065121609</v>
      </c>
      <c r="AE58" s="432">
        <f t="shared" si="23"/>
        <v>0.11486407065121609</v>
      </c>
      <c r="AF58" s="432">
        <f t="shared" ref="AF58:AJ58" si="24">AF19^(-1.074)</f>
        <v>0.11486407065121609</v>
      </c>
      <c r="AG58" s="432">
        <f t="shared" si="24"/>
        <v>0.11486407065121609</v>
      </c>
      <c r="AH58" s="432">
        <f t="shared" si="24"/>
        <v>0.11486407065121609</v>
      </c>
      <c r="AI58" s="432">
        <f t="shared" si="24"/>
        <v>0.11486407065121609</v>
      </c>
      <c r="AJ58" s="432">
        <f t="shared" si="24"/>
        <v>0.11486407065121609</v>
      </c>
      <c r="AK58" s="432">
        <f t="shared" ref="AK58:AL58" si="25">AK19^(-1.074)</f>
        <v>0.11486407065121609</v>
      </c>
      <c r="AL58" s="432">
        <f t="shared" si="25"/>
        <v>0.11486407065121609</v>
      </c>
    </row>
    <row r="59" spans="2:38">
      <c r="B59" s="358" t="s">
        <v>606</v>
      </c>
      <c r="C59" s="419" t="s">
        <v>672</v>
      </c>
      <c r="D59" s="417">
        <f>(D$16+1)^(-0.1025)</f>
        <v>0.89285598450946391</v>
      </c>
      <c r="E59" s="417">
        <f t="shared" ref="E59:AL59" si="26">(E$16+1)^(-0.1025)</f>
        <v>0.89220912192398749</v>
      </c>
      <c r="F59" s="417">
        <f t="shared" si="26"/>
        <v>0.89156048349501171</v>
      </c>
      <c r="G59" s="417">
        <f t="shared" si="26"/>
        <v>0.89091008192725418</v>
      </c>
      <c r="H59" s="417">
        <f t="shared" si="26"/>
        <v>0.89025792999093223</v>
      </c>
      <c r="I59" s="417">
        <f t="shared" si="26"/>
        <v>0.88960404051976527</v>
      </c>
      <c r="J59" s="417">
        <f t="shared" si="26"/>
        <v>0.88894842640897598</v>
      </c>
      <c r="K59" s="417">
        <f t="shared" si="26"/>
        <v>0.88829110061329519</v>
      </c>
      <c r="L59" s="417">
        <f t="shared" si="26"/>
        <v>0.88763207614496653</v>
      </c>
      <c r="M59" s="417">
        <f t="shared" si="26"/>
        <v>0.88697136607175475</v>
      </c>
      <c r="N59" s="417">
        <f t="shared" si="26"/>
        <v>0.88630898351495846</v>
      </c>
      <c r="O59" s="417">
        <f t="shared" si="26"/>
        <v>0.88564494164742358</v>
      </c>
      <c r="P59" s="417">
        <f t="shared" si="26"/>
        <v>0.88497925369156449</v>
      </c>
      <c r="Q59" s="417">
        <f t="shared" si="26"/>
        <v>0.8843119329173883</v>
      </c>
      <c r="R59" s="417">
        <f t="shared" si="26"/>
        <v>0.88364299264052493</v>
      </c>
      <c r="S59" s="417">
        <f t="shared" si="26"/>
        <v>0.88297244622026427</v>
      </c>
      <c r="T59" s="417">
        <f t="shared" si="26"/>
        <v>0.88230030705759988</v>
      </c>
      <c r="U59" s="417">
        <f t="shared" si="26"/>
        <v>0.88162658859327914</v>
      </c>
      <c r="V59" s="417">
        <f t="shared" si="26"/>
        <v>0.88095130430586199</v>
      </c>
      <c r="W59" s="417">
        <f t="shared" si="26"/>
        <v>0.88027446770978857</v>
      </c>
      <c r="X59" s="417">
        <f t="shared" si="26"/>
        <v>0.87959609235345493</v>
      </c>
      <c r="Y59" s="417">
        <f t="shared" si="26"/>
        <v>0.87891619181729919</v>
      </c>
      <c r="Z59" s="417">
        <f t="shared" si="26"/>
        <v>0.87823477971189645</v>
      </c>
      <c r="AA59" s="417">
        <f t="shared" si="26"/>
        <v>0.87755186967606535</v>
      </c>
      <c r="AB59" s="417">
        <f t="shared" si="26"/>
        <v>0.87686747537498577</v>
      </c>
      <c r="AC59" s="417">
        <f t="shared" si="26"/>
        <v>0.87618161049832688</v>
      </c>
      <c r="AD59" s="417">
        <f t="shared" si="26"/>
        <v>0.87549428875838731</v>
      </c>
      <c r="AE59" s="417">
        <f t="shared" si="26"/>
        <v>0.87480552388824917</v>
      </c>
      <c r="AF59" s="417">
        <f t="shared" si="26"/>
        <v>0.87411532963994387</v>
      </c>
      <c r="AG59" s="417">
        <f t="shared" si="26"/>
        <v>0.87342371978263023</v>
      </c>
      <c r="AH59" s="417">
        <f t="shared" si="26"/>
        <v>0.87273070810078812</v>
      </c>
      <c r="AI59" s="417">
        <f t="shared" si="26"/>
        <v>0.87203630839242585</v>
      </c>
      <c r="AJ59" s="417">
        <f t="shared" si="26"/>
        <v>0.87134053446730064</v>
      </c>
      <c r="AK59" s="417">
        <f t="shared" si="26"/>
        <v>0.87064340014515562</v>
      </c>
      <c r="AL59" s="417">
        <f t="shared" si="26"/>
        <v>0.86994491925397133</v>
      </c>
    </row>
    <row r="60" spans="2:38">
      <c r="B60" s="358" t="s">
        <v>673</v>
      </c>
      <c r="C60" s="419" t="s">
        <v>674</v>
      </c>
      <c r="D60" s="414">
        <f t="shared" ref="D60:AL60" si="27">(D$18+1)^(0.1025)</f>
        <v>1</v>
      </c>
      <c r="E60" s="415">
        <f t="shared" si="27"/>
        <v>1</v>
      </c>
      <c r="F60" s="415">
        <f t="shared" si="27"/>
        <v>1</v>
      </c>
      <c r="G60" s="415">
        <f t="shared" si="27"/>
        <v>1</v>
      </c>
      <c r="H60" s="415">
        <f t="shared" si="27"/>
        <v>1</v>
      </c>
      <c r="I60" s="415">
        <f t="shared" si="27"/>
        <v>1</v>
      </c>
      <c r="J60" s="415">
        <f t="shared" si="27"/>
        <v>1</v>
      </c>
      <c r="K60" s="415">
        <f t="shared" si="27"/>
        <v>1</v>
      </c>
      <c r="L60" s="415">
        <f t="shared" si="27"/>
        <v>1</v>
      </c>
      <c r="M60" s="415">
        <f t="shared" si="27"/>
        <v>1</v>
      </c>
      <c r="N60" s="415">
        <f t="shared" si="27"/>
        <v>1</v>
      </c>
      <c r="O60" s="415">
        <f t="shared" si="27"/>
        <v>1</v>
      </c>
      <c r="P60" s="415">
        <f t="shared" si="27"/>
        <v>1</v>
      </c>
      <c r="Q60" s="415">
        <f t="shared" si="27"/>
        <v>1</v>
      </c>
      <c r="R60" s="415">
        <f t="shared" si="27"/>
        <v>1</v>
      </c>
      <c r="S60" s="415">
        <f t="shared" si="27"/>
        <v>1</v>
      </c>
      <c r="T60" s="415">
        <f t="shared" si="27"/>
        <v>1</v>
      </c>
      <c r="U60" s="415">
        <f t="shared" si="27"/>
        <v>1</v>
      </c>
      <c r="V60" s="415">
        <f t="shared" si="27"/>
        <v>1</v>
      </c>
      <c r="W60" s="415">
        <f t="shared" si="27"/>
        <v>1</v>
      </c>
      <c r="X60" s="415">
        <f t="shared" si="27"/>
        <v>1</v>
      </c>
      <c r="Y60" s="415">
        <f t="shared" si="27"/>
        <v>1</v>
      </c>
      <c r="Z60" s="415">
        <f t="shared" si="27"/>
        <v>1</v>
      </c>
      <c r="AA60" s="415">
        <f t="shared" si="27"/>
        <v>1</v>
      </c>
      <c r="AB60" s="415">
        <f t="shared" si="27"/>
        <v>1</v>
      </c>
      <c r="AC60" s="415">
        <f t="shared" si="27"/>
        <v>1</v>
      </c>
      <c r="AD60" s="415">
        <f t="shared" si="27"/>
        <v>1</v>
      </c>
      <c r="AE60" s="415">
        <f t="shared" si="27"/>
        <v>1</v>
      </c>
      <c r="AF60" s="415">
        <f t="shared" si="27"/>
        <v>1</v>
      </c>
      <c r="AG60" s="415">
        <f t="shared" si="27"/>
        <v>1</v>
      </c>
      <c r="AH60" s="415">
        <f t="shared" si="27"/>
        <v>1</v>
      </c>
      <c r="AI60" s="415">
        <f t="shared" si="27"/>
        <v>1</v>
      </c>
      <c r="AJ60" s="415">
        <f t="shared" si="27"/>
        <v>1</v>
      </c>
      <c r="AK60" s="415">
        <f t="shared" si="27"/>
        <v>1</v>
      </c>
      <c r="AL60" s="415">
        <f t="shared" si="27"/>
        <v>1</v>
      </c>
    </row>
    <row r="61" spans="2:38">
      <c r="B61" s="433" t="s">
        <v>675</v>
      </c>
      <c r="C61" s="434" t="s">
        <v>676</v>
      </c>
      <c r="D61" s="426">
        <f t="shared" ref="D61:AL61" si="28">EXP(0.188*$E$5)</f>
        <v>1.2068335153496053</v>
      </c>
      <c r="E61" s="426">
        <f t="shared" si="28"/>
        <v>1.2068335153496053</v>
      </c>
      <c r="F61" s="426">
        <f t="shared" si="28"/>
        <v>1.2068335153496053</v>
      </c>
      <c r="G61" s="426">
        <f t="shared" si="28"/>
        <v>1.2068335153496053</v>
      </c>
      <c r="H61" s="426">
        <f t="shared" si="28"/>
        <v>1.2068335153496053</v>
      </c>
      <c r="I61" s="426">
        <f t="shared" si="28"/>
        <v>1.2068335153496053</v>
      </c>
      <c r="J61" s="426">
        <f t="shared" si="28"/>
        <v>1.2068335153496053</v>
      </c>
      <c r="K61" s="426">
        <f t="shared" si="28"/>
        <v>1.2068335153496053</v>
      </c>
      <c r="L61" s="426">
        <f t="shared" si="28"/>
        <v>1.2068335153496053</v>
      </c>
      <c r="M61" s="426">
        <f t="shared" si="28"/>
        <v>1.2068335153496053</v>
      </c>
      <c r="N61" s="426">
        <f t="shared" si="28"/>
        <v>1.2068335153496053</v>
      </c>
      <c r="O61" s="426">
        <f t="shared" si="28"/>
        <v>1.2068335153496053</v>
      </c>
      <c r="P61" s="426">
        <f t="shared" si="28"/>
        <v>1.2068335153496053</v>
      </c>
      <c r="Q61" s="426">
        <f t="shared" si="28"/>
        <v>1.2068335153496053</v>
      </c>
      <c r="R61" s="426">
        <f t="shared" si="28"/>
        <v>1.2068335153496053</v>
      </c>
      <c r="S61" s="426">
        <f t="shared" si="28"/>
        <v>1.2068335153496053</v>
      </c>
      <c r="T61" s="426">
        <f t="shared" si="28"/>
        <v>1.2068335153496053</v>
      </c>
      <c r="U61" s="426">
        <f t="shared" si="28"/>
        <v>1.2068335153496053</v>
      </c>
      <c r="V61" s="426">
        <f t="shared" si="28"/>
        <v>1.2068335153496053</v>
      </c>
      <c r="W61" s="426">
        <f t="shared" si="28"/>
        <v>1.2068335153496053</v>
      </c>
      <c r="X61" s="426">
        <f t="shared" si="28"/>
        <v>1.2068335153496053</v>
      </c>
      <c r="Y61" s="426">
        <f t="shared" si="28"/>
        <v>1.2068335153496053</v>
      </c>
      <c r="Z61" s="426">
        <f t="shared" si="28"/>
        <v>1.2068335153496053</v>
      </c>
      <c r="AA61" s="426">
        <f t="shared" si="28"/>
        <v>1.2068335153496053</v>
      </c>
      <c r="AB61" s="426">
        <f t="shared" si="28"/>
        <v>1.2068335153496053</v>
      </c>
      <c r="AC61" s="426">
        <f t="shared" si="28"/>
        <v>1.2068335153496053</v>
      </c>
      <c r="AD61" s="426">
        <f t="shared" si="28"/>
        <v>1.2068335153496053</v>
      </c>
      <c r="AE61" s="426">
        <f t="shared" si="28"/>
        <v>1.2068335153496053</v>
      </c>
      <c r="AF61" s="426">
        <f t="shared" si="28"/>
        <v>1.2068335153496053</v>
      </c>
      <c r="AG61" s="426">
        <f t="shared" si="28"/>
        <v>1.2068335153496053</v>
      </c>
      <c r="AH61" s="426">
        <f t="shared" si="28"/>
        <v>1.2068335153496053</v>
      </c>
      <c r="AI61" s="426">
        <f t="shared" si="28"/>
        <v>1.2068335153496053</v>
      </c>
      <c r="AJ61" s="426">
        <f t="shared" si="28"/>
        <v>1.2068335153496053</v>
      </c>
      <c r="AK61" s="426">
        <f t="shared" si="28"/>
        <v>1.2068335153496053</v>
      </c>
      <c r="AL61" s="426">
        <f t="shared" si="28"/>
        <v>1.2068335153496053</v>
      </c>
    </row>
    <row r="62" spans="2:38">
      <c r="B62" s="362"/>
      <c r="C62" s="427" t="s">
        <v>290</v>
      </c>
    </row>
    <row r="63" spans="2:38">
      <c r="B63" s="362" t="s">
        <v>677</v>
      </c>
      <c r="C63" s="406">
        <v>695</v>
      </c>
      <c r="D63" s="435">
        <f>1/(1+$C$63*PRODUCT(D$58:D$61))</f>
        <v>1.1491654386940005E-2</v>
      </c>
      <c r="E63" s="435">
        <f t="shared" ref="E63:AL63" si="29">1/(1+$C$63*PRODUCT(E$58:E$61))</f>
        <v>1.1499890165312419E-2</v>
      </c>
      <c r="F63" s="435">
        <f t="shared" si="29"/>
        <v>1.150816041544467E-2</v>
      </c>
      <c r="G63" s="435">
        <f t="shared" si="29"/>
        <v>1.1516465098310133E-2</v>
      </c>
      <c r="H63" s="435">
        <f t="shared" si="29"/>
        <v>1.1524804173868261E-2</v>
      </c>
      <c r="I63" s="435">
        <f t="shared" si="29"/>
        <v>1.1533177601077849E-2</v>
      </c>
      <c r="J63" s="435">
        <f t="shared" si="29"/>
        <v>1.1541585337910413E-2</v>
      </c>
      <c r="K63" s="435">
        <f t="shared" si="29"/>
        <v>1.1550027341363629E-2</v>
      </c>
      <c r="L63" s="435">
        <f t="shared" si="29"/>
        <v>1.1558503567474917E-2</v>
      </c>
      <c r="M63" s="435">
        <f t="shared" si="29"/>
        <v>1.1567013971335086E-2</v>
      </c>
      <c r="N63" s="435">
        <f t="shared" si="29"/>
        <v>1.1575558507102048E-2</v>
      </c>
      <c r="O63" s="435">
        <f t="shared" si="29"/>
        <v>1.1584137128014673E-2</v>
      </c>
      <c r="P63" s="435">
        <f t="shared" si="29"/>
        <v>1.1592749786406649E-2</v>
      </c>
      <c r="Q63" s="435">
        <f t="shared" si="29"/>
        <v>1.1601396433720454E-2</v>
      </c>
      <c r="R63" s="435">
        <f t="shared" si="29"/>
        <v>1.1610077020521397E-2</v>
      </c>
      <c r="S63" s="435">
        <f t="shared" si="29"/>
        <v>1.1618791496511691E-2</v>
      </c>
      <c r="T63" s="435">
        <f t="shared" si="29"/>
        <v>1.1627539810544599E-2</v>
      </c>
      <c r="U63" s="435">
        <f t="shared" si="29"/>
        <v>1.1636321910638635E-2</v>
      </c>
      <c r="V63" s="435">
        <f t="shared" si="29"/>
        <v>1.1645137743991806E-2</v>
      </c>
      <c r="W63" s="435">
        <f t="shared" si="29"/>
        <v>1.1653987256995886E-2</v>
      </c>
      <c r="X63" s="435">
        <f t="shared" si="29"/>
        <v>1.1662870395250737E-2</v>
      </c>
      <c r="Y63" s="435">
        <f t="shared" si="29"/>
        <v>1.1671787103578669E-2</v>
      </c>
      <c r="Z63" s="435">
        <f t="shared" si="29"/>
        <v>1.1680737326038804E-2</v>
      </c>
      <c r="AA63" s="435">
        <f t="shared" si="29"/>
        <v>1.1689721005941478E-2</v>
      </c>
      <c r="AB63" s="435">
        <f t="shared" si="29"/>
        <v>1.1698738085862666E-2</v>
      </c>
      <c r="AC63" s="435">
        <f t="shared" si="29"/>
        <v>1.17077885076584E-2</v>
      </c>
      <c r="AD63" s="435">
        <f t="shared" si="29"/>
        <v>1.1716872212479216E-2</v>
      </c>
      <c r="AE63" s="435">
        <f t="shared" si="29"/>
        <v>1.1725989140784604E-2</v>
      </c>
      <c r="AF63" s="435">
        <f t="shared" si="29"/>
        <v>1.1735139232357429E-2</v>
      </c>
      <c r="AG63" s="435">
        <f t="shared" si="29"/>
        <v>1.1744322426318392E-2</v>
      </c>
      <c r="AH63" s="435">
        <f t="shared" si="29"/>
        <v>1.1753538661140452E-2</v>
      </c>
      <c r="AI63" s="435">
        <f t="shared" si="29"/>
        <v>1.1762787874663243E-2</v>
      </c>
      <c r="AJ63" s="435">
        <f t="shared" si="29"/>
        <v>1.177207000410747E-2</v>
      </c>
      <c r="AK63" s="435">
        <f t="shared" si="29"/>
        <v>1.1781384986089299E-2</v>
      </c>
      <c r="AL63" s="435">
        <f t="shared" si="29"/>
        <v>1.1790732756634708E-2</v>
      </c>
    </row>
    <row r="65" spans="2:38" ht="13">
      <c r="B65" s="407" t="s">
        <v>678</v>
      </c>
      <c r="C65" s="396" t="s">
        <v>627</v>
      </c>
      <c r="D65" s="397">
        <v>2018</v>
      </c>
      <c r="E65" s="397">
        <v>2020</v>
      </c>
      <c r="F65" s="397">
        <v>2021</v>
      </c>
      <c r="G65" s="397">
        <v>2022</v>
      </c>
      <c r="H65" s="397">
        <v>2023</v>
      </c>
      <c r="I65" s="397">
        <v>2024</v>
      </c>
      <c r="J65" s="397">
        <v>2025</v>
      </c>
      <c r="K65" s="397">
        <v>2026</v>
      </c>
      <c r="L65" s="397">
        <v>2027</v>
      </c>
      <c r="M65" s="397">
        <v>2028</v>
      </c>
      <c r="N65" s="397">
        <v>2029</v>
      </c>
      <c r="O65" s="397">
        <v>2030</v>
      </c>
      <c r="P65" s="397">
        <v>2031</v>
      </c>
      <c r="Q65" s="397">
        <v>2032</v>
      </c>
      <c r="R65" s="397">
        <v>2033</v>
      </c>
      <c r="S65" s="397">
        <v>2034</v>
      </c>
      <c r="T65" s="397">
        <v>2035</v>
      </c>
      <c r="U65" s="397">
        <v>2036</v>
      </c>
      <c r="V65" s="397">
        <v>2037</v>
      </c>
      <c r="W65" s="397">
        <v>2038</v>
      </c>
      <c r="X65" s="397">
        <v>2039</v>
      </c>
      <c r="Y65" s="397">
        <v>2040</v>
      </c>
      <c r="Z65" s="397">
        <v>2041</v>
      </c>
      <c r="AA65" s="397">
        <v>2042</v>
      </c>
      <c r="AB65" s="397">
        <v>2043</v>
      </c>
      <c r="AC65" s="397">
        <v>2044</v>
      </c>
      <c r="AD65" s="397">
        <v>2044</v>
      </c>
      <c r="AE65" s="397">
        <v>2044</v>
      </c>
      <c r="AF65" s="397">
        <v>2044</v>
      </c>
      <c r="AG65" s="397">
        <v>2044</v>
      </c>
      <c r="AH65" s="397">
        <v>2044</v>
      </c>
      <c r="AI65" s="397">
        <v>2044</v>
      </c>
      <c r="AJ65" s="397">
        <v>2044</v>
      </c>
      <c r="AK65" s="397">
        <v>2044</v>
      </c>
      <c r="AL65" s="397">
        <v>2044</v>
      </c>
    </row>
    <row r="66" spans="2:38">
      <c r="B66" s="358" t="s">
        <v>679</v>
      </c>
      <c r="C66" s="436" t="s">
        <v>680</v>
      </c>
      <c r="D66" s="437">
        <f>D$63</f>
        <v>1.1491654386940005E-2</v>
      </c>
      <c r="E66" s="415">
        <f>E$63</f>
        <v>1.1499890165312419E-2</v>
      </c>
      <c r="F66" s="415">
        <f t="shared" ref="F66:AL66" si="30">F$63</f>
        <v>1.150816041544467E-2</v>
      </c>
      <c r="G66" s="415">
        <f t="shared" si="30"/>
        <v>1.1516465098310133E-2</v>
      </c>
      <c r="H66" s="415">
        <f t="shared" si="30"/>
        <v>1.1524804173868261E-2</v>
      </c>
      <c r="I66" s="415">
        <f t="shared" si="30"/>
        <v>1.1533177601077849E-2</v>
      </c>
      <c r="J66" s="415">
        <f t="shared" si="30"/>
        <v>1.1541585337910413E-2</v>
      </c>
      <c r="K66" s="415">
        <f t="shared" si="30"/>
        <v>1.1550027341363629E-2</v>
      </c>
      <c r="L66" s="415">
        <f t="shared" si="30"/>
        <v>1.1558503567474917E-2</v>
      </c>
      <c r="M66" s="415">
        <f t="shared" si="30"/>
        <v>1.1567013971335086E-2</v>
      </c>
      <c r="N66" s="415">
        <f t="shared" si="30"/>
        <v>1.1575558507102048E-2</v>
      </c>
      <c r="O66" s="415">
        <f t="shared" si="30"/>
        <v>1.1584137128014673E-2</v>
      </c>
      <c r="P66" s="415">
        <f t="shared" si="30"/>
        <v>1.1592749786406649E-2</v>
      </c>
      <c r="Q66" s="415">
        <f t="shared" si="30"/>
        <v>1.1601396433720454E-2</v>
      </c>
      <c r="R66" s="415">
        <f t="shared" si="30"/>
        <v>1.1610077020521397E-2</v>
      </c>
      <c r="S66" s="415">
        <f t="shared" si="30"/>
        <v>1.1618791496511691E-2</v>
      </c>
      <c r="T66" s="415">
        <f t="shared" si="30"/>
        <v>1.1627539810544599E-2</v>
      </c>
      <c r="U66" s="415">
        <f t="shared" si="30"/>
        <v>1.1636321910638635E-2</v>
      </c>
      <c r="V66" s="415">
        <f t="shared" si="30"/>
        <v>1.1645137743991806E-2</v>
      </c>
      <c r="W66" s="415">
        <f t="shared" si="30"/>
        <v>1.1653987256995886E-2</v>
      </c>
      <c r="X66" s="415">
        <f t="shared" si="30"/>
        <v>1.1662870395250737E-2</v>
      </c>
      <c r="Y66" s="415">
        <f t="shared" si="30"/>
        <v>1.1671787103578669E-2</v>
      </c>
      <c r="Z66" s="415">
        <f t="shared" si="30"/>
        <v>1.1680737326038804E-2</v>
      </c>
      <c r="AA66" s="415">
        <f t="shared" si="30"/>
        <v>1.1689721005941478E-2</v>
      </c>
      <c r="AB66" s="415">
        <f t="shared" si="30"/>
        <v>1.1698738085862666E-2</v>
      </c>
      <c r="AC66" s="415">
        <f t="shared" si="30"/>
        <v>1.17077885076584E-2</v>
      </c>
      <c r="AD66" s="415">
        <f t="shared" si="30"/>
        <v>1.1716872212479216E-2</v>
      </c>
      <c r="AE66" s="415">
        <f t="shared" si="30"/>
        <v>1.1725989140784604E-2</v>
      </c>
      <c r="AF66" s="415">
        <f t="shared" si="30"/>
        <v>1.1735139232357429E-2</v>
      </c>
      <c r="AG66" s="415">
        <f t="shared" si="30"/>
        <v>1.1744322426318392E-2</v>
      </c>
      <c r="AH66" s="415">
        <f t="shared" si="30"/>
        <v>1.1753538661140452E-2</v>
      </c>
      <c r="AI66" s="415">
        <f t="shared" si="30"/>
        <v>1.1762787874663243E-2</v>
      </c>
      <c r="AJ66" s="415">
        <f t="shared" si="30"/>
        <v>1.177207000410747E-2</v>
      </c>
      <c r="AK66" s="415">
        <f t="shared" si="30"/>
        <v>1.1781384986089299E-2</v>
      </c>
      <c r="AL66" s="415">
        <f t="shared" si="30"/>
        <v>1.1790732756634708E-2</v>
      </c>
    </row>
    <row r="67" spans="2:38">
      <c r="B67" s="358" t="s">
        <v>681</v>
      </c>
      <c r="C67" s="419" t="s">
        <v>682</v>
      </c>
      <c r="D67" s="414">
        <f>1-D66</f>
        <v>0.98850834561306</v>
      </c>
      <c r="E67" s="414">
        <f t="shared" ref="E67:AE67" si="31">1-E66</f>
        <v>0.98850010983468761</v>
      </c>
      <c r="F67" s="414">
        <f t="shared" si="31"/>
        <v>0.98849183958455533</v>
      </c>
      <c r="G67" s="414">
        <f t="shared" si="31"/>
        <v>0.98848353490168983</v>
      </c>
      <c r="H67" s="414">
        <f t="shared" si="31"/>
        <v>0.98847519582613175</v>
      </c>
      <c r="I67" s="414">
        <f t="shared" si="31"/>
        <v>0.98846682239892214</v>
      </c>
      <c r="J67" s="414">
        <f t="shared" si="31"/>
        <v>0.98845841466208961</v>
      </c>
      <c r="K67" s="414">
        <f t="shared" si="31"/>
        <v>0.98844997265863632</v>
      </c>
      <c r="L67" s="414">
        <f t="shared" si="31"/>
        <v>0.9884414964325251</v>
      </c>
      <c r="M67" s="414">
        <f t="shared" si="31"/>
        <v>0.98843298602866492</v>
      </c>
      <c r="N67" s="414">
        <f t="shared" si="31"/>
        <v>0.98842444149289799</v>
      </c>
      <c r="O67" s="414">
        <f t="shared" si="31"/>
        <v>0.98841586287198535</v>
      </c>
      <c r="P67" s="414">
        <f t="shared" si="31"/>
        <v>0.98840725021359332</v>
      </c>
      <c r="Q67" s="414">
        <f t="shared" si="31"/>
        <v>0.98839860356627951</v>
      </c>
      <c r="R67" s="414">
        <f t="shared" si="31"/>
        <v>0.98838992297947859</v>
      </c>
      <c r="S67" s="414">
        <f t="shared" si="31"/>
        <v>0.98838120850348832</v>
      </c>
      <c r="T67" s="414">
        <f t="shared" si="31"/>
        <v>0.98837246018945535</v>
      </c>
      <c r="U67" s="414">
        <f t="shared" si="31"/>
        <v>0.98836367808936132</v>
      </c>
      <c r="V67" s="414">
        <f t="shared" si="31"/>
        <v>0.98835486225600822</v>
      </c>
      <c r="W67" s="414">
        <f t="shared" si="31"/>
        <v>0.98834601274300415</v>
      </c>
      <c r="X67" s="414">
        <f t="shared" si="31"/>
        <v>0.98833712960474929</v>
      </c>
      <c r="Y67" s="414">
        <f t="shared" si="31"/>
        <v>0.98832821289642137</v>
      </c>
      <c r="Z67" s="414">
        <f t="shared" si="31"/>
        <v>0.9883192626739612</v>
      </c>
      <c r="AA67" s="414">
        <f t="shared" si="31"/>
        <v>0.98831027899405854</v>
      </c>
      <c r="AB67" s="414">
        <f t="shared" si="31"/>
        <v>0.98830126191413736</v>
      </c>
      <c r="AC67" s="414">
        <f t="shared" si="31"/>
        <v>0.98829221149234159</v>
      </c>
      <c r="AD67" s="414">
        <f t="shared" si="31"/>
        <v>0.98828312778752081</v>
      </c>
      <c r="AE67" s="414">
        <f t="shared" si="31"/>
        <v>0.9882740108592154</v>
      </c>
      <c r="AF67" s="414">
        <f t="shared" ref="AF67:AJ67" si="32">1-AF66</f>
        <v>0.98826486076764253</v>
      </c>
      <c r="AG67" s="414">
        <f t="shared" si="32"/>
        <v>0.9882556775736816</v>
      </c>
      <c r="AH67" s="414">
        <f t="shared" si="32"/>
        <v>0.98824646133885952</v>
      </c>
      <c r="AI67" s="414">
        <f t="shared" si="32"/>
        <v>0.98823721212533677</v>
      </c>
      <c r="AJ67" s="414">
        <f t="shared" si="32"/>
        <v>0.98822792999589248</v>
      </c>
      <c r="AK67" s="414">
        <f t="shared" ref="AK67:AL67" si="33">1-AK66</f>
        <v>0.98821861501391073</v>
      </c>
      <c r="AL67" s="414">
        <f t="shared" si="33"/>
        <v>0.98820926724336533</v>
      </c>
    </row>
    <row r="68" spans="2:38">
      <c r="B68" s="358" t="s">
        <v>671</v>
      </c>
      <c r="C68" s="419" t="s">
        <v>662</v>
      </c>
      <c r="D68" s="414">
        <f>D$19^(-0.2334)</f>
        <v>0.62482831374223813</v>
      </c>
      <c r="E68" s="414">
        <f t="shared" ref="E68:AL68" si="34">E$19^(-0.2334)</f>
        <v>0.62482831374223813</v>
      </c>
      <c r="F68" s="414">
        <f t="shared" si="34"/>
        <v>0.62482831374223813</v>
      </c>
      <c r="G68" s="414">
        <f t="shared" si="34"/>
        <v>0.62482831374223813</v>
      </c>
      <c r="H68" s="414">
        <f t="shared" si="34"/>
        <v>0.62482831374223813</v>
      </c>
      <c r="I68" s="414">
        <f t="shared" si="34"/>
        <v>0.62482831374223813</v>
      </c>
      <c r="J68" s="414">
        <f t="shared" si="34"/>
        <v>0.62482831374223813</v>
      </c>
      <c r="K68" s="414">
        <f t="shared" si="34"/>
        <v>0.62482831374223813</v>
      </c>
      <c r="L68" s="414">
        <f t="shared" si="34"/>
        <v>0.62482831374223813</v>
      </c>
      <c r="M68" s="414">
        <f t="shared" si="34"/>
        <v>0.62482831374223813</v>
      </c>
      <c r="N68" s="414">
        <f t="shared" si="34"/>
        <v>0.62482831374223813</v>
      </c>
      <c r="O68" s="414">
        <f t="shared" si="34"/>
        <v>0.62482831374223813</v>
      </c>
      <c r="P68" s="414">
        <f t="shared" si="34"/>
        <v>0.62482831374223813</v>
      </c>
      <c r="Q68" s="414">
        <f t="shared" si="34"/>
        <v>0.62482831374223813</v>
      </c>
      <c r="R68" s="414">
        <f t="shared" si="34"/>
        <v>0.62482831374223813</v>
      </c>
      <c r="S68" s="414">
        <f t="shared" si="34"/>
        <v>0.62482831374223813</v>
      </c>
      <c r="T68" s="414">
        <f t="shared" si="34"/>
        <v>0.62482831374223813</v>
      </c>
      <c r="U68" s="414">
        <f t="shared" si="34"/>
        <v>0.62482831374223813</v>
      </c>
      <c r="V68" s="414">
        <f t="shared" si="34"/>
        <v>0.62482831374223813</v>
      </c>
      <c r="W68" s="414">
        <f t="shared" si="34"/>
        <v>0.62482831374223813</v>
      </c>
      <c r="X68" s="414">
        <f t="shared" si="34"/>
        <v>0.62482831374223813</v>
      </c>
      <c r="Y68" s="414">
        <f t="shared" si="34"/>
        <v>0.62482831374223813</v>
      </c>
      <c r="Z68" s="414">
        <f t="shared" si="34"/>
        <v>0.62482831374223813</v>
      </c>
      <c r="AA68" s="414">
        <f t="shared" si="34"/>
        <v>0.62482831374223813</v>
      </c>
      <c r="AB68" s="414">
        <f t="shared" si="34"/>
        <v>0.62482831374223813</v>
      </c>
      <c r="AC68" s="414">
        <f t="shared" si="34"/>
        <v>0.62482831374223813</v>
      </c>
      <c r="AD68" s="414">
        <f t="shared" si="34"/>
        <v>0.62482831374223813</v>
      </c>
      <c r="AE68" s="414">
        <f t="shared" si="34"/>
        <v>0.62482831374223813</v>
      </c>
      <c r="AF68" s="414">
        <f t="shared" si="34"/>
        <v>0.62482831374223813</v>
      </c>
      <c r="AG68" s="414">
        <f t="shared" si="34"/>
        <v>0.62482831374223813</v>
      </c>
      <c r="AH68" s="414">
        <f t="shared" si="34"/>
        <v>0.62482831374223813</v>
      </c>
      <c r="AI68" s="414">
        <f t="shared" si="34"/>
        <v>0.62482831374223813</v>
      </c>
      <c r="AJ68" s="414">
        <f t="shared" si="34"/>
        <v>0.62482831374223813</v>
      </c>
      <c r="AK68" s="414">
        <f t="shared" si="34"/>
        <v>0.62482831374223813</v>
      </c>
      <c r="AL68" s="414">
        <f t="shared" si="34"/>
        <v>0.62482831374223813</v>
      </c>
    </row>
    <row r="69" spans="2:38">
      <c r="B69" s="358" t="s">
        <v>683</v>
      </c>
      <c r="C69" s="419" t="s">
        <v>684</v>
      </c>
      <c r="D69" s="414">
        <f t="shared" ref="D69:AL69" si="35">EXP(0.1176*$D$11)</f>
        <v>1.1247941037303228</v>
      </c>
      <c r="E69" s="415">
        <f t="shared" si="35"/>
        <v>1.1247941037303228</v>
      </c>
      <c r="F69" s="415">
        <f t="shared" si="35"/>
        <v>1.1247941037303228</v>
      </c>
      <c r="G69" s="415">
        <f t="shared" si="35"/>
        <v>1.1247941037303228</v>
      </c>
      <c r="H69" s="415">
        <f t="shared" si="35"/>
        <v>1.1247941037303228</v>
      </c>
      <c r="I69" s="415">
        <f t="shared" si="35"/>
        <v>1.1247941037303228</v>
      </c>
      <c r="J69" s="415">
        <f t="shared" si="35"/>
        <v>1.1247941037303228</v>
      </c>
      <c r="K69" s="415">
        <f t="shared" si="35"/>
        <v>1.1247941037303228</v>
      </c>
      <c r="L69" s="415">
        <f t="shared" si="35"/>
        <v>1.1247941037303228</v>
      </c>
      <c r="M69" s="415">
        <f t="shared" si="35"/>
        <v>1.1247941037303228</v>
      </c>
      <c r="N69" s="415">
        <f t="shared" si="35"/>
        <v>1.1247941037303228</v>
      </c>
      <c r="O69" s="415">
        <f t="shared" si="35"/>
        <v>1.1247941037303228</v>
      </c>
      <c r="P69" s="415">
        <f t="shared" si="35"/>
        <v>1.1247941037303228</v>
      </c>
      <c r="Q69" s="415">
        <f t="shared" si="35"/>
        <v>1.1247941037303228</v>
      </c>
      <c r="R69" s="415">
        <f t="shared" si="35"/>
        <v>1.1247941037303228</v>
      </c>
      <c r="S69" s="415">
        <f t="shared" si="35"/>
        <v>1.1247941037303228</v>
      </c>
      <c r="T69" s="415">
        <f t="shared" si="35"/>
        <v>1.1247941037303228</v>
      </c>
      <c r="U69" s="415">
        <f t="shared" si="35"/>
        <v>1.1247941037303228</v>
      </c>
      <c r="V69" s="415">
        <f t="shared" si="35"/>
        <v>1.1247941037303228</v>
      </c>
      <c r="W69" s="415">
        <f t="shared" si="35"/>
        <v>1.1247941037303228</v>
      </c>
      <c r="X69" s="415">
        <f t="shared" si="35"/>
        <v>1.1247941037303228</v>
      </c>
      <c r="Y69" s="415">
        <f t="shared" si="35"/>
        <v>1.1247941037303228</v>
      </c>
      <c r="Z69" s="415">
        <f t="shared" si="35"/>
        <v>1.1247941037303228</v>
      </c>
      <c r="AA69" s="415">
        <f t="shared" si="35"/>
        <v>1.1247941037303228</v>
      </c>
      <c r="AB69" s="415">
        <f t="shared" si="35"/>
        <v>1.1247941037303228</v>
      </c>
      <c r="AC69" s="415">
        <f t="shared" si="35"/>
        <v>1.1247941037303228</v>
      </c>
      <c r="AD69" s="415">
        <f t="shared" si="35"/>
        <v>1.1247941037303228</v>
      </c>
      <c r="AE69" s="415">
        <f t="shared" si="35"/>
        <v>1.1247941037303228</v>
      </c>
      <c r="AF69" s="415">
        <f t="shared" si="35"/>
        <v>1.1247941037303228</v>
      </c>
      <c r="AG69" s="415">
        <f t="shared" si="35"/>
        <v>1.1247941037303228</v>
      </c>
      <c r="AH69" s="415">
        <f t="shared" si="35"/>
        <v>1.1247941037303228</v>
      </c>
      <c r="AI69" s="415">
        <f t="shared" si="35"/>
        <v>1.1247941037303228</v>
      </c>
      <c r="AJ69" s="415">
        <f t="shared" si="35"/>
        <v>1.1247941037303228</v>
      </c>
      <c r="AK69" s="415">
        <f t="shared" si="35"/>
        <v>1.1247941037303228</v>
      </c>
      <c r="AL69" s="415">
        <f t="shared" si="35"/>
        <v>1.1247941037303228</v>
      </c>
    </row>
    <row r="70" spans="2:38">
      <c r="B70" s="433" t="s">
        <v>675</v>
      </c>
      <c r="C70" s="434" t="s">
        <v>676</v>
      </c>
      <c r="D70" s="426">
        <f t="shared" ref="D70:AL70" si="36">EXP(0.1844*$E$5)</f>
        <v>1.2024967255996286</v>
      </c>
      <c r="E70" s="426">
        <f t="shared" si="36"/>
        <v>1.2024967255996286</v>
      </c>
      <c r="F70" s="426">
        <f t="shared" si="36"/>
        <v>1.2024967255996286</v>
      </c>
      <c r="G70" s="426">
        <f t="shared" si="36"/>
        <v>1.2024967255996286</v>
      </c>
      <c r="H70" s="426">
        <f t="shared" si="36"/>
        <v>1.2024967255996286</v>
      </c>
      <c r="I70" s="426">
        <f t="shared" si="36"/>
        <v>1.2024967255996286</v>
      </c>
      <c r="J70" s="426">
        <f t="shared" si="36"/>
        <v>1.2024967255996286</v>
      </c>
      <c r="K70" s="426">
        <f t="shared" si="36"/>
        <v>1.2024967255996286</v>
      </c>
      <c r="L70" s="426">
        <f t="shared" si="36"/>
        <v>1.2024967255996286</v>
      </c>
      <c r="M70" s="426">
        <f t="shared" si="36"/>
        <v>1.2024967255996286</v>
      </c>
      <c r="N70" s="426">
        <f t="shared" si="36"/>
        <v>1.2024967255996286</v>
      </c>
      <c r="O70" s="426">
        <f t="shared" si="36"/>
        <v>1.2024967255996286</v>
      </c>
      <c r="P70" s="426">
        <f t="shared" si="36"/>
        <v>1.2024967255996286</v>
      </c>
      <c r="Q70" s="426">
        <f t="shared" si="36"/>
        <v>1.2024967255996286</v>
      </c>
      <c r="R70" s="426">
        <f t="shared" si="36"/>
        <v>1.2024967255996286</v>
      </c>
      <c r="S70" s="426">
        <f t="shared" si="36"/>
        <v>1.2024967255996286</v>
      </c>
      <c r="T70" s="426">
        <f t="shared" si="36"/>
        <v>1.2024967255996286</v>
      </c>
      <c r="U70" s="426">
        <f t="shared" si="36"/>
        <v>1.2024967255996286</v>
      </c>
      <c r="V70" s="426">
        <f t="shared" si="36"/>
        <v>1.2024967255996286</v>
      </c>
      <c r="W70" s="426">
        <f t="shared" si="36"/>
        <v>1.2024967255996286</v>
      </c>
      <c r="X70" s="426">
        <f t="shared" si="36"/>
        <v>1.2024967255996286</v>
      </c>
      <c r="Y70" s="426">
        <f t="shared" si="36"/>
        <v>1.2024967255996286</v>
      </c>
      <c r="Z70" s="426">
        <f t="shared" si="36"/>
        <v>1.2024967255996286</v>
      </c>
      <c r="AA70" s="426">
        <f t="shared" si="36"/>
        <v>1.2024967255996286</v>
      </c>
      <c r="AB70" s="426">
        <f t="shared" si="36"/>
        <v>1.2024967255996286</v>
      </c>
      <c r="AC70" s="426">
        <f t="shared" si="36"/>
        <v>1.2024967255996286</v>
      </c>
      <c r="AD70" s="426">
        <f t="shared" si="36"/>
        <v>1.2024967255996286</v>
      </c>
      <c r="AE70" s="426">
        <f t="shared" si="36"/>
        <v>1.2024967255996286</v>
      </c>
      <c r="AF70" s="426">
        <f t="shared" si="36"/>
        <v>1.2024967255996286</v>
      </c>
      <c r="AG70" s="426">
        <f t="shared" si="36"/>
        <v>1.2024967255996286</v>
      </c>
      <c r="AH70" s="426">
        <f t="shared" si="36"/>
        <v>1.2024967255996286</v>
      </c>
      <c r="AI70" s="426">
        <f t="shared" si="36"/>
        <v>1.2024967255996286</v>
      </c>
      <c r="AJ70" s="426">
        <f t="shared" si="36"/>
        <v>1.2024967255996286</v>
      </c>
      <c r="AK70" s="426">
        <f t="shared" si="36"/>
        <v>1.2024967255996286</v>
      </c>
      <c r="AL70" s="426">
        <f t="shared" si="36"/>
        <v>1.2024967255996286</v>
      </c>
    </row>
    <row r="71" spans="2:38">
      <c r="B71" s="362"/>
      <c r="C71" s="427" t="s">
        <v>290</v>
      </c>
    </row>
    <row r="72" spans="2:38">
      <c r="B72" s="362" t="s">
        <v>685</v>
      </c>
      <c r="C72" s="438">
        <v>4.28</v>
      </c>
      <c r="D72" s="435">
        <f>D$67/(1+$C$72*PRODUCT(D$68:D$70))</f>
        <v>0.21409689244459909</v>
      </c>
      <c r="E72" s="435">
        <f t="shared" ref="E72:AL72" si="37">E$67/(1+$C$72*PRODUCT(E$68:E$70))</f>
        <v>0.2140951086917717</v>
      </c>
      <c r="F72" s="435">
        <f t="shared" si="37"/>
        <v>0.21409331747284988</v>
      </c>
      <c r="G72" s="435">
        <f t="shared" si="37"/>
        <v>0.21409151879628621</v>
      </c>
      <c r="H72" s="435">
        <f t="shared" si="37"/>
        <v>0.21408971267075294</v>
      </c>
      <c r="I72" s="435">
        <f t="shared" si="37"/>
        <v>0.21408789910513901</v>
      </c>
      <c r="J72" s="435">
        <f t="shared" si="37"/>
        <v>0.21408607810854721</v>
      </c>
      <c r="K72" s="435">
        <f t="shared" si="37"/>
        <v>0.21408424969029116</v>
      </c>
      <c r="L72" s="435">
        <f t="shared" si="37"/>
        <v>0.21408241385989266</v>
      </c>
      <c r="M72" s="435">
        <f t="shared" si="37"/>
        <v>0.21408057062707828</v>
      </c>
      <c r="N72" s="435">
        <f t="shared" si="37"/>
        <v>0.21407872000177683</v>
      </c>
      <c r="O72" s="435">
        <f t="shared" si="37"/>
        <v>0.2140768619941161</v>
      </c>
      <c r="P72" s="435">
        <f t="shared" si="37"/>
        <v>0.21407499661441989</v>
      </c>
      <c r="Q72" s="435">
        <f t="shared" si="37"/>
        <v>0.21407312387320515</v>
      </c>
      <c r="R72" s="435">
        <f t="shared" si="37"/>
        <v>0.2140712437811787</v>
      </c>
      <c r="S72" s="435">
        <f t="shared" si="37"/>
        <v>0.21406935634923432</v>
      </c>
      <c r="T72" s="435">
        <f t="shared" si="37"/>
        <v>0.21406746158844964</v>
      </c>
      <c r="U72" s="435">
        <f t="shared" si="37"/>
        <v>0.21406555951008316</v>
      </c>
      <c r="V72" s="435">
        <f t="shared" si="37"/>
        <v>0.21406365012557105</v>
      </c>
      <c r="W72" s="435">
        <f t="shared" si="37"/>
        <v>0.21406173344652407</v>
      </c>
      <c r="X72" s="435">
        <f t="shared" si="37"/>
        <v>0.21405980948472447</v>
      </c>
      <c r="Y72" s="435">
        <f t="shared" si="37"/>
        <v>0.21405787825212305</v>
      </c>
      <c r="Z72" s="435">
        <f t="shared" si="37"/>
        <v>0.21405593976083573</v>
      </c>
      <c r="AA72" s="435">
        <f t="shared" si="37"/>
        <v>0.21405399402314074</v>
      </c>
      <c r="AB72" s="435">
        <f t="shared" si="37"/>
        <v>0.21405204105147527</v>
      </c>
      <c r="AC72" s="435">
        <f t="shared" si="37"/>
        <v>0.21405008085843252</v>
      </c>
      <c r="AD72" s="435">
        <f t="shared" si="37"/>
        <v>0.21404811345675842</v>
      </c>
      <c r="AE72" s="435">
        <f t="shared" si="37"/>
        <v>0.21404613885934862</v>
      </c>
      <c r="AF72" s="435">
        <f t="shared" si="37"/>
        <v>0.21404415707924526</v>
      </c>
      <c r="AG72" s="435">
        <f t="shared" si="37"/>
        <v>0.21404216812963398</v>
      </c>
      <c r="AH72" s="435">
        <f t="shared" si="37"/>
        <v>0.21404017202384062</v>
      </c>
      <c r="AI72" s="435">
        <f t="shared" si="37"/>
        <v>0.2140381687753283</v>
      </c>
      <c r="AJ72" s="435">
        <f t="shared" si="37"/>
        <v>0.21403615839769405</v>
      </c>
      <c r="AK72" s="435">
        <f t="shared" si="37"/>
        <v>0.21403414090466596</v>
      </c>
      <c r="AL72" s="435">
        <f t="shared" si="37"/>
        <v>0.21403211631009988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0" tint="-0.14999847407452621"/>
  </sheetPr>
  <dimension ref="A1:O14"/>
  <sheetViews>
    <sheetView showGridLines="0" zoomScale="85" zoomScaleNormal="85" workbookViewId="0">
      <selection activeCell="O14" sqref="O14"/>
    </sheetView>
  </sheetViews>
  <sheetFormatPr defaultRowHeight="14"/>
  <cols>
    <col min="1" max="1" width="0.83203125" customWidth="1"/>
    <col min="2" max="2" width="34.5" customWidth="1"/>
    <col min="3" max="6" width="12.58203125" customWidth="1"/>
    <col min="8" max="8" width="23.33203125" customWidth="1"/>
    <col min="9" max="10" width="12.58203125" customWidth="1"/>
  </cols>
  <sheetData>
    <row r="1" spans="1:15" s="298" customFormat="1" ht="18">
      <c r="A1"/>
      <c r="B1" s="1423" t="s">
        <v>1125</v>
      </c>
      <c r="C1" s="1423"/>
      <c r="D1" s="1423"/>
      <c r="E1"/>
      <c r="F1"/>
      <c r="G1"/>
      <c r="H1"/>
      <c r="I1"/>
      <c r="J1"/>
      <c r="K1"/>
      <c r="L1"/>
      <c r="M1"/>
      <c r="N1"/>
      <c r="O1"/>
    </row>
    <row r="2" spans="1:15" s="298" customFormat="1" ht="15.5">
      <c r="A2"/>
      <c r="B2" s="299" t="s">
        <v>446</v>
      </c>
      <c r="C2" s="299" t="s">
        <v>529</v>
      </c>
      <c r="D2" s="300" t="s">
        <v>530</v>
      </c>
      <c r="E2"/>
      <c r="F2"/>
      <c r="G2"/>
      <c r="H2"/>
      <c r="I2"/>
      <c r="J2"/>
      <c r="K2"/>
      <c r="L2"/>
      <c r="M2"/>
      <c r="N2"/>
      <c r="O2"/>
    </row>
    <row r="3" spans="1:15" s="298" customFormat="1" ht="15.5">
      <c r="A3"/>
      <c r="B3" s="298" t="str">
        <f>Results!B18</f>
        <v>Accident Cost Savings</v>
      </c>
      <c r="C3" s="301">
        <f>Results!E18</f>
        <v>0.72980724506103756</v>
      </c>
      <c r="D3" s="301"/>
      <c r="E3"/>
      <c r="F3"/>
      <c r="G3"/>
      <c r="H3"/>
      <c r="I3"/>
      <c r="J3"/>
      <c r="K3"/>
      <c r="L3"/>
      <c r="M3"/>
      <c r="N3"/>
      <c r="O3"/>
    </row>
    <row r="4" spans="1:15" s="298" customFormat="1" ht="15.5">
      <c r="A4"/>
      <c r="B4" s="298" t="str">
        <f>Results!B19</f>
        <v xml:space="preserve">Travel Time Savings </v>
      </c>
      <c r="C4" s="301">
        <f>Results!E19</f>
        <v>5.8947933747501846</v>
      </c>
      <c r="D4" s="301"/>
      <c r="E4"/>
      <c r="F4"/>
      <c r="G4"/>
      <c r="H4"/>
      <c r="I4"/>
      <c r="J4"/>
      <c r="K4"/>
      <c r="L4"/>
      <c r="M4"/>
      <c r="N4"/>
      <c r="O4"/>
    </row>
    <row r="5" spans="1:15" s="298" customFormat="1" ht="15.5">
      <c r="A5"/>
      <c r="B5" s="298" t="str">
        <f>Results!B20</f>
        <v>Emissions Cost Savings</v>
      </c>
      <c r="C5" s="301">
        <f>Results!E20</f>
        <v>5.4756430371836869E-2</v>
      </c>
      <c r="D5" s="301"/>
      <c r="E5"/>
      <c r="F5"/>
      <c r="G5"/>
      <c r="H5"/>
      <c r="I5"/>
      <c r="J5"/>
      <c r="K5"/>
      <c r="L5"/>
      <c r="M5"/>
      <c r="N5"/>
      <c r="O5"/>
    </row>
    <row r="6" spans="1:15" s="298" customFormat="1" ht="15.5">
      <c r="A6"/>
      <c r="B6" s="298" t="str">
        <f>Results!B21</f>
        <v xml:space="preserve">Vehicle Operating Cost Savings </v>
      </c>
      <c r="C6" s="301">
        <f>Results!E21</f>
        <v>0.65718290077804808</v>
      </c>
      <c r="D6" s="301"/>
      <c r="E6"/>
      <c r="F6"/>
      <c r="G6"/>
      <c r="H6"/>
      <c r="I6"/>
      <c r="J6"/>
      <c r="K6"/>
      <c r="L6"/>
      <c r="M6"/>
      <c r="N6"/>
      <c r="O6"/>
    </row>
    <row r="7" spans="1:15" s="298" customFormat="1" ht="15.5">
      <c r="A7"/>
      <c r="B7" s="298" t="str">
        <f>Results!B22</f>
        <v>Land Value Increase</v>
      </c>
      <c r="C7" s="301">
        <f>Results!E22</f>
        <v>9.3440655554559804</v>
      </c>
      <c r="D7" s="301"/>
      <c r="E7"/>
      <c r="F7"/>
      <c r="G7"/>
      <c r="H7"/>
      <c r="I7"/>
      <c r="J7"/>
      <c r="K7"/>
      <c r="L7"/>
      <c r="M7"/>
      <c r="N7"/>
      <c r="O7"/>
    </row>
    <row r="8" spans="1:15" s="298" customFormat="1" ht="15.5">
      <c r="A8"/>
      <c r="B8" s="298" t="str">
        <f>Results!B23</f>
        <v>O&amp;M Costs Savings</v>
      </c>
      <c r="C8" s="301">
        <f>Results!E23</f>
        <v>0.24791396048264702</v>
      </c>
      <c r="D8" s="301"/>
      <c r="E8"/>
      <c r="F8"/>
      <c r="G8"/>
      <c r="H8"/>
      <c r="I8"/>
      <c r="J8"/>
      <c r="K8"/>
      <c r="L8"/>
      <c r="M8"/>
      <c r="N8"/>
      <c r="O8"/>
    </row>
    <row r="9" spans="1:15" s="298" customFormat="1" ht="15.5">
      <c r="A9" s="150"/>
      <c r="B9" s="298" t="str">
        <f>Results!B24</f>
        <v>Residual Value</v>
      </c>
      <c r="C9" s="301">
        <f>Results!E24</f>
        <v>0.38820677926744362</v>
      </c>
      <c r="D9" s="301"/>
      <c r="E9" s="150"/>
      <c r="F9" s="150"/>
      <c r="G9" s="150"/>
      <c r="H9" s="150"/>
      <c r="I9" s="150"/>
      <c r="J9" s="150"/>
      <c r="K9" s="150"/>
      <c r="L9" s="150"/>
      <c r="M9" s="150"/>
      <c r="N9" s="150"/>
      <c r="O9" s="150"/>
    </row>
    <row r="10" spans="1:15" s="298" customFormat="1" ht="15.5">
      <c r="A10"/>
      <c r="B10" s="302" t="str">
        <f>Results!B25</f>
        <v>PV Benefits</v>
      </c>
      <c r="C10" s="303">
        <f>SUM(C3:C9)</f>
        <v>17.316726246167178</v>
      </c>
      <c r="D10" s="303"/>
      <c r="E10"/>
      <c r="F10"/>
      <c r="G10"/>
      <c r="H10"/>
      <c r="I10"/>
      <c r="J10"/>
      <c r="K10"/>
      <c r="L10"/>
      <c r="M10"/>
      <c r="N10"/>
      <c r="O10"/>
    </row>
    <row r="11" spans="1:15" s="298" customFormat="1" ht="15.5">
      <c r="A11"/>
      <c r="B11" s="298" t="str">
        <f>Results!B27</f>
        <v>Capital Costs</v>
      </c>
      <c r="C11" s="301"/>
      <c r="D11" s="301">
        <f>Results!E27</f>
        <v>12.527545168895445</v>
      </c>
      <c r="E11"/>
      <c r="F11"/>
      <c r="G11"/>
      <c r="H11"/>
      <c r="I11"/>
      <c r="J11"/>
      <c r="K11"/>
      <c r="L11"/>
      <c r="M11"/>
      <c r="N11"/>
      <c r="O11"/>
    </row>
    <row r="12" spans="1:15" s="298" customFormat="1" ht="15.5">
      <c r="A12"/>
      <c r="B12" s="302" t="str">
        <f>Results!B28</f>
        <v>PV Costs</v>
      </c>
      <c r="C12" s="303"/>
      <c r="D12" s="303">
        <f>SUM(D11:D11)</f>
        <v>12.527545168895445</v>
      </c>
      <c r="E12"/>
      <c r="F12"/>
      <c r="G12"/>
      <c r="H12"/>
      <c r="I12"/>
      <c r="J12"/>
      <c r="K12"/>
      <c r="L12"/>
      <c r="M12"/>
      <c r="N12"/>
      <c r="O12"/>
    </row>
    <row r="13" spans="1:15" s="298" customFormat="1" ht="16" thickBot="1">
      <c r="A13"/>
      <c r="B13" s="304" t="str">
        <f>Results!B29</f>
        <v>Net Present Value (NPV)</v>
      </c>
      <c r="C13" s="305"/>
      <c r="D13" s="306">
        <f>Results!E29</f>
        <v>4.7891810772717331</v>
      </c>
      <c r="E13"/>
      <c r="F13"/>
      <c r="G13"/>
      <c r="H13"/>
      <c r="I13"/>
      <c r="J13"/>
      <c r="K13"/>
      <c r="L13"/>
      <c r="M13"/>
      <c r="N13"/>
      <c r="O13"/>
    </row>
    <row r="14" spans="1:15" ht="14.5" thickTop="1"/>
  </sheetData>
  <mergeCells count="1">
    <mergeCell ref="B1:D1"/>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4" tint="0.39997558519241921"/>
  </sheetPr>
  <dimension ref="A1:AL53"/>
  <sheetViews>
    <sheetView showGridLines="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Inputs'!$C$49</f>
        <v>Colorado Avenue</v>
      </c>
      <c r="B1" s="1172"/>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Demand!F15</f>
        <v>272.77940536209769</v>
      </c>
      <c r="E6" s="383">
        <f>Demand!G15</f>
        <v>280.82478487597916</v>
      </c>
      <c r="F6" s="383">
        <f>Demand!H15</f>
        <v>289.10745551320059</v>
      </c>
      <c r="G6" s="383">
        <f>Demand!I15</f>
        <v>297.63441595879846</v>
      </c>
      <c r="H6" s="383">
        <f>Demand!J15</f>
        <v>306.41287131763443</v>
      </c>
      <c r="I6" s="383">
        <f>Demand!K15</f>
        <v>315.45023920255994</v>
      </c>
      <c r="J6" s="383">
        <f>Demand!L15</f>
        <v>324.75415600214512</v>
      </c>
      <c r="K6" s="383">
        <f>Demand!M15</f>
        <v>334.33248333326912</v>
      </c>
      <c r="L6" s="383">
        <f>Demand!N15</f>
        <v>344.19331468402316</v>
      </c>
      <c r="M6" s="383">
        <f>Demand!O15</f>
        <v>354.34498225254026</v>
      </c>
      <c r="N6" s="383">
        <f>Demand!P15</f>
        <v>364.79606398753032</v>
      </c>
      <c r="O6" s="383">
        <f>Demand!Q15</f>
        <v>375.55539083646875</v>
      </c>
      <c r="P6" s="383">
        <f>Demand!R15</f>
        <v>386.63205420756401</v>
      </c>
      <c r="Q6" s="383">
        <f>Demand!S15</f>
        <v>398.03541365180911</v>
      </c>
      <c r="R6" s="383">
        <f>Demand!T15</f>
        <v>409.7751047716086</v>
      </c>
      <c r="S6" s="383">
        <f>Demand!U15</f>
        <v>421.86104736266248</v>
      </c>
      <c r="T6" s="383">
        <f>Demand!V15</f>
        <v>434.30345379598833</v>
      </c>
      <c r="U6" s="383">
        <f>Demand!W15</f>
        <v>447.11283764716268</v>
      </c>
      <c r="V6" s="383">
        <f>Demand!X15</f>
        <v>460.30002258007522</v>
      </c>
      <c r="W6" s="383">
        <f>Demand!Y15</f>
        <v>473.87615149269988</v>
      </c>
      <c r="X6" s="383">
        <f>Demand!Z15</f>
        <v>487.85269593261273</v>
      </c>
      <c r="Y6" s="383">
        <f>Demand!AA15</f>
        <v>502.24146579021232</v>
      </c>
      <c r="Z6" s="383">
        <f>Demand!AB15</f>
        <v>517.05461927783188</v>
      </c>
      <c r="AA6" s="383">
        <f>Demand!AC15</f>
        <v>532.30467320317746</v>
      </c>
      <c r="AB6" s="383">
        <f>Demand!AD15</f>
        <v>548.0045135457699</v>
      </c>
      <c r="AC6" s="383">
        <f>Demand!AE15</f>
        <v>564.1674063453313</v>
      </c>
      <c r="AD6" s="383">
        <f>Demand!AF15</f>
        <v>580.80700891131391</v>
      </c>
      <c r="AE6" s="383">
        <f>Demand!AG15</f>
        <v>597.93738136304273</v>
      </c>
      <c r="AF6" s="383">
        <f>Demand!AH15</f>
        <v>615.57299851022572</v>
      </c>
      <c r="AG6" s="383">
        <f>Demand!AI15</f>
        <v>633.7287620838672</v>
      </c>
      <c r="AH6" s="383">
        <f>Demand!AJ15</f>
        <v>652.42001332792267</v>
      </c>
      <c r="AI6" s="383">
        <f>Demand!AK15</f>
        <v>671.66254596233136</v>
      </c>
      <c r="AJ6" s="383">
        <f>Demand!AL15</f>
        <v>691.47261952838232</v>
      </c>
      <c r="AK6" s="383">
        <f>Demand!AM15</f>
        <v>711.86697312769036</v>
      </c>
      <c r="AL6" s="383">
        <f>Demand!AN15</f>
        <v>732.86283956638931</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Demand!F39</f>
        <v>6.0636386466438061</v>
      </c>
      <c r="E10" s="383">
        <f>Demand!G39</f>
        <v>6.1279522728453877</v>
      </c>
      <c r="F10" s="383">
        <f>Demand!H39</f>
        <v>6.1929480377356736</v>
      </c>
      <c r="G10" s="383">
        <f>Demand!I39</f>
        <v>6.2586331763784937</v>
      </c>
      <c r="H10" s="383">
        <f>Demand!J39</f>
        <v>6.3250150005759522</v>
      </c>
      <c r="I10" s="383">
        <f>Demand!K39</f>
        <v>6.3921008996823563</v>
      </c>
      <c r="J10" s="383">
        <f>Demand!L39</f>
        <v>6.4598983414267632</v>
      </c>
      <c r="K10" s="383">
        <f>Demand!M39</f>
        <v>6.5284148727442579</v>
      </c>
      <c r="L10" s="383">
        <f>Demand!N39</f>
        <v>6.5976581206160478</v>
      </c>
      <c r="M10" s="383">
        <f>Demand!O39</f>
        <v>6.6676357929184693</v>
      </c>
      <c r="N10" s="383">
        <f>Demand!P39</f>
        <v>6.7383556792809909</v>
      </c>
      <c r="O10" s="383">
        <f>Demand!Q39</f>
        <v>6.8098256519533322</v>
      </c>
      <c r="P10" s="383">
        <f>Demand!R39</f>
        <v>6.8820536666817631</v>
      </c>
      <c r="Q10" s="383">
        <f>Demand!S39</f>
        <v>6.9550477635947088</v>
      </c>
      <c r="R10" s="383">
        <f>Demand!T39</f>
        <v>7.0288160680977398</v>
      </c>
      <c r="S10" s="383">
        <f>Demand!U39</f>
        <v>7.1033667917780718</v>
      </c>
      <c r="T10" s="383">
        <f>Demand!V39</f>
        <v>7.1787082333186234</v>
      </c>
      <c r="U10" s="383">
        <f>Demand!W39</f>
        <v>7.2548487794218142</v>
      </c>
      <c r="V10" s="383">
        <f>Demand!X39</f>
        <v>7.3317969057431265</v>
      </c>
      <c r="W10" s="383">
        <f>Demand!Y39</f>
        <v>7.4095611778345836</v>
      </c>
      <c r="X10" s="383">
        <f>Demand!Z39</f>
        <v>7.4881502520982295</v>
      </c>
      <c r="Y10" s="383">
        <f>Demand!AA39</f>
        <v>7.5675728767497308</v>
      </c>
      <c r="Z10" s="383">
        <f>Demand!AB39</f>
        <v>7.6478378927921851</v>
      </c>
      <c r="AA10" s="383">
        <f>Demand!AC39</f>
        <v>7.7289542350002716</v>
      </c>
      <c r="AB10" s="383">
        <f>Demand!AD39</f>
        <v>7.8109309329148253</v>
      </c>
      <c r="AC10" s="383">
        <f>Demand!AE39</f>
        <v>7.8937771118479834</v>
      </c>
      <c r="AD10" s="383">
        <f>Demand!AF39</f>
        <v>7.9775019938989598</v>
      </c>
      <c r="AE10" s="383">
        <f>Demand!AG39</f>
        <v>8.0621148989806244</v>
      </c>
      <c r="AF10" s="383">
        <f>Demand!AH39</f>
        <v>8.1476252458569576</v>
      </c>
      <c r="AG10" s="383">
        <f>Demand!AI39</f>
        <v>8.2340425531914985</v>
      </c>
      <c r="AH10" s="383">
        <f>Demand!AJ39</f>
        <v>8.3213764406069348</v>
      </c>
      <c r="AI10" s="383">
        <f>Demand!AK39</f>
        <v>8.4096366297559157</v>
      </c>
      <c r="AJ10" s="383">
        <f>Demand!AL39</f>
        <v>8.4988329454032225</v>
      </c>
      <c r="AK10" s="383">
        <f>Demand!AM39</f>
        <v>8.5889753165194307</v>
      </c>
      <c r="AL10" s="383">
        <f>Demand!AN39</f>
        <v>8.6800737773861574</v>
      </c>
    </row>
    <row r="11" spans="1:38">
      <c r="B11" s="363" t="s">
        <v>645</v>
      </c>
      <c r="C11" s="358" t="s">
        <v>1054</v>
      </c>
      <c r="D11" s="383">
        <f>Demand!F40</f>
        <v>2.021212882214602</v>
      </c>
      <c r="E11" s="383">
        <f>Demand!G40</f>
        <v>2.0426507576151294</v>
      </c>
      <c r="F11" s="383">
        <f>Demand!H40</f>
        <v>2.064316012578558</v>
      </c>
      <c r="G11" s="383">
        <f>Demand!I40</f>
        <v>2.0862110587928311</v>
      </c>
      <c r="H11" s="383">
        <f>Demand!J40</f>
        <v>2.1083383335253174</v>
      </c>
      <c r="I11" s="383">
        <f>Demand!K40</f>
        <v>2.1307002998941189</v>
      </c>
      <c r="J11" s="383">
        <f>Demand!L40</f>
        <v>2.1532994471422544</v>
      </c>
      <c r="K11" s="383">
        <f>Demand!M40</f>
        <v>2.1761382909147526</v>
      </c>
      <c r="L11" s="383">
        <f>Demand!N40</f>
        <v>2.1992193735386825</v>
      </c>
      <c r="M11" s="383">
        <f>Demand!O40</f>
        <v>2.2225452643061563</v>
      </c>
      <c r="N11" s="383">
        <f>Demand!P40</f>
        <v>2.2461185597603301</v>
      </c>
      <c r="O11" s="383">
        <f>Demand!Q40</f>
        <v>2.2699418839844441</v>
      </c>
      <c r="P11" s="383">
        <f>Demand!R40</f>
        <v>2.2940178888939209</v>
      </c>
      <c r="Q11" s="383">
        <f>Demand!S40</f>
        <v>2.3183492545315696</v>
      </c>
      <c r="R11" s="383">
        <f>Demand!T40</f>
        <v>2.3429386893659134</v>
      </c>
      <c r="S11" s="383">
        <f>Demand!U40</f>
        <v>2.3677889305926905</v>
      </c>
      <c r="T11" s="383">
        <f>Demand!V40</f>
        <v>2.392902744439541</v>
      </c>
      <c r="U11" s="383">
        <f>Demand!W40</f>
        <v>2.4182829264739381</v>
      </c>
      <c r="V11" s="383">
        <f>Demand!X40</f>
        <v>2.4439323019143755</v>
      </c>
      <c r="W11" s="383">
        <f>Demand!Y40</f>
        <v>2.4698537259448612</v>
      </c>
      <c r="X11" s="383">
        <f>Demand!Z40</f>
        <v>2.4960500840327433</v>
      </c>
      <c r="Y11" s="383">
        <f>Demand!AA40</f>
        <v>2.5225242922499103</v>
      </c>
      <c r="Z11" s="383">
        <f>Demand!AB40</f>
        <v>2.549279297597395</v>
      </c>
      <c r="AA11" s="383">
        <f>Demand!AC40</f>
        <v>2.5763180783334239</v>
      </c>
      <c r="AB11" s="383">
        <f>Demand!AD40</f>
        <v>2.6036436443049418</v>
      </c>
      <c r="AC11" s="383">
        <f>Demand!AE40</f>
        <v>2.631259037282661</v>
      </c>
      <c r="AD11" s="383">
        <f>Demand!AF40</f>
        <v>2.6591673312996531</v>
      </c>
      <c r="AE11" s="383">
        <f>Demand!AG40</f>
        <v>2.6873716329935418</v>
      </c>
      <c r="AF11" s="383">
        <f>Demand!AH40</f>
        <v>2.7158750819523192</v>
      </c>
      <c r="AG11" s="383">
        <f>Demand!AI40</f>
        <v>2.744680851063833</v>
      </c>
      <c r="AH11" s="383">
        <f>Demand!AJ40</f>
        <v>2.7737921468689781</v>
      </c>
      <c r="AI11" s="383">
        <f>Demand!AK40</f>
        <v>2.8032122099186383</v>
      </c>
      <c r="AJ11" s="383">
        <f>Demand!AL40</f>
        <v>2.8329443151344074</v>
      </c>
      <c r="AK11" s="383">
        <f>Demand!AM40</f>
        <v>2.8629917721731437</v>
      </c>
      <c r="AL11" s="383">
        <f>Demand!AN40</f>
        <v>2.8933579257953856</v>
      </c>
    </row>
    <row r="13" spans="1:38" ht="13">
      <c r="B13" s="502" t="s">
        <v>1059</v>
      </c>
      <c r="C13" s="497">
        <f>IF('Crossing Inputs'!$C$14&gt;0, 'Crossing Inputs'!$C$20/Feet.Per.Mile/'Crossing Inputs'!$C$59*60+IF('Crossing Inputs'!$C$53="Passive",0,'Crossing Inputs'!$C$21),0)</f>
        <v>9</v>
      </c>
    </row>
    <row r="14" spans="1:38">
      <c r="B14" s="571" t="s">
        <v>1058</v>
      </c>
      <c r="C14" s="572" t="s">
        <v>15</v>
      </c>
      <c r="D14" s="570">
        <f t="shared" ref="D14:AL14" si="2">(D$10*$C$13)/Minutes.Per.Day</f>
        <v>3.789774154152379E-2</v>
      </c>
      <c r="E14" s="570">
        <f t="shared" si="2"/>
        <v>3.8299701705283677E-2</v>
      </c>
      <c r="F14" s="570">
        <f t="shared" si="2"/>
        <v>3.8705925235847961E-2</v>
      </c>
      <c r="G14" s="570">
        <f t="shared" si="2"/>
        <v>3.9116457352365588E-2</v>
      </c>
      <c r="H14" s="570">
        <f t="shared" si="2"/>
        <v>3.95313437535997E-2</v>
      </c>
      <c r="I14" s="570">
        <f t="shared" si="2"/>
        <v>3.9950630623014724E-2</v>
      </c>
      <c r="J14" s="570">
        <f t="shared" si="2"/>
        <v>4.0374364633917269E-2</v>
      </c>
      <c r="K14" s="570">
        <f t="shared" si="2"/>
        <v>4.0802592954651613E-2</v>
      </c>
      <c r="L14" s="570">
        <f t="shared" si="2"/>
        <v>4.1235363253850299E-2</v>
      </c>
      <c r="M14" s="570">
        <f t="shared" si="2"/>
        <v>4.1672723705740433E-2</v>
      </c>
      <c r="N14" s="570">
        <f t="shared" si="2"/>
        <v>4.2114722995506192E-2</v>
      </c>
      <c r="O14" s="570">
        <f t="shared" si="2"/>
        <v>4.2561410324708324E-2</v>
      </c>
      <c r="P14" s="570">
        <f t="shared" si="2"/>
        <v>4.3012835416761021E-2</v>
      </c>
      <c r="Q14" s="570">
        <f t="shared" si="2"/>
        <v>4.3469048522466927E-2</v>
      </c>
      <c r="R14" s="570">
        <f t="shared" si="2"/>
        <v>4.3930100425610873E-2</v>
      </c>
      <c r="S14" s="570">
        <f t="shared" si="2"/>
        <v>4.4396042448612949E-2</v>
      </c>
      <c r="T14" s="570">
        <f t="shared" si="2"/>
        <v>4.4866926458241391E-2</v>
      </c>
      <c r="U14" s="570">
        <f t="shared" si="2"/>
        <v>4.5342804871386339E-2</v>
      </c>
      <c r="V14" s="570">
        <f t="shared" si="2"/>
        <v>4.5823730660894541E-2</v>
      </c>
      <c r="W14" s="570">
        <f t="shared" si="2"/>
        <v>4.6309757361466149E-2</v>
      </c>
      <c r="X14" s="570">
        <f t="shared" si="2"/>
        <v>4.6800939075613932E-2</v>
      </c>
      <c r="Y14" s="570">
        <f t="shared" si="2"/>
        <v>4.7297330479685824E-2</v>
      </c>
      <c r="Z14" s="570">
        <f t="shared" si="2"/>
        <v>4.7798986829951158E-2</v>
      </c>
      <c r="AA14" s="570">
        <f t="shared" si="2"/>
        <v>4.8305963968751697E-2</v>
      </c>
      <c r="AB14" s="570">
        <f t="shared" si="2"/>
        <v>4.8818318330717661E-2</v>
      </c>
      <c r="AC14" s="570">
        <f t="shared" si="2"/>
        <v>4.9336106949049892E-2</v>
      </c>
      <c r="AD14" s="570">
        <f t="shared" si="2"/>
        <v>4.9859387461868493E-2</v>
      </c>
      <c r="AE14" s="570">
        <f t="shared" si="2"/>
        <v>5.0388218118628904E-2</v>
      </c>
      <c r="AF14" s="570">
        <f t="shared" si="2"/>
        <v>5.0922657786605985E-2</v>
      </c>
      <c r="AG14" s="570">
        <f t="shared" si="2"/>
        <v>5.1462765957446865E-2</v>
      </c>
      <c r="AH14" s="570">
        <f t="shared" si="2"/>
        <v>5.2008602753793348E-2</v>
      </c>
      <c r="AI14" s="570">
        <f t="shared" si="2"/>
        <v>5.2560228935974465E-2</v>
      </c>
      <c r="AJ14" s="570">
        <f t="shared" si="2"/>
        <v>5.3117705908770144E-2</v>
      </c>
      <c r="AK14" s="570">
        <f t="shared" si="2"/>
        <v>5.3681095728246433E-2</v>
      </c>
      <c r="AL14" s="570">
        <f t="shared" si="2"/>
        <v>5.4250461108663481E-2</v>
      </c>
    </row>
    <row r="16" spans="1:38">
      <c r="B16" s="573" t="s">
        <v>1055</v>
      </c>
      <c r="C16" s="574" t="s">
        <v>505</v>
      </c>
      <c r="D16" s="383">
        <f t="shared" ref="D16:AK16" si="3">D6*D14</f>
        <v>10.337723402263327</v>
      </c>
      <c r="E16" s="383">
        <f t="shared" si="3"/>
        <v>10.755505492200461</v>
      </c>
      <c r="F16" s="383">
        <f t="shared" si="3"/>
        <v>11.190171558220182</v>
      </c>
      <c r="G16" s="383">
        <f t="shared" si="3"/>
        <v>11.642403938448579</v>
      </c>
      <c r="H16" s="383">
        <f t="shared" si="3"/>
        <v>12.112912546584916</v>
      </c>
      <c r="I16" s="383">
        <f t="shared" si="3"/>
        <v>12.60243598632311</v>
      </c>
      <c r="J16" s="383">
        <f t="shared" si="3"/>
        <v>13.11174271081066</v>
      </c>
      <c r="K16" s="383">
        <f t="shared" si="3"/>
        <v>13.641632228965225</v>
      </c>
      <c r="L16" s="383">
        <f t="shared" si="3"/>
        <v>14.192936360542502</v>
      </c>
      <c r="M16" s="383">
        <f t="shared" si="3"/>
        <v>14.766520541925608</v>
      </c>
      <c r="N16" s="383">
        <f t="shared" si="3"/>
        <v>15.363285184685791</v>
      </c>
      <c r="O16" s="383">
        <f t="shared" si="3"/>
        <v>15.984167089047151</v>
      </c>
      <c r="P16" s="383">
        <f t="shared" si="3"/>
        <v>16.630140914474175</v>
      </c>
      <c r="Q16" s="383">
        <f t="shared" si="3"/>
        <v>17.302220709690683</v>
      </c>
      <c r="R16" s="383">
        <f t="shared" si="3"/>
        <v>18.001461504531981</v>
      </c>
      <c r="S16" s="383">
        <f t="shared" si="3"/>
        <v>18.72896096612908</v>
      </c>
      <c r="T16" s="383">
        <f t="shared" si="3"/>
        <v>19.485861122024847</v>
      </c>
      <c r="U16" s="383">
        <f t="shared" si="3"/>
        <v>20.273350152927136</v>
      </c>
      <c r="V16" s="383">
        <f t="shared" si="3"/>
        <v>21.092664257913043</v>
      </c>
      <c r="W16" s="383">
        <f t="shared" si="3"/>
        <v>21.945089595012305</v>
      </c>
      <c r="X16" s="383">
        <f t="shared" si="3"/>
        <v>22.831964300216217</v>
      </c>
      <c r="Y16" s="383">
        <f t="shared" si="3"/>
        <v>23.754680588081495</v>
      </c>
      <c r="Z16" s="383">
        <f t="shared" si="3"/>
        <v>24.714686937226496</v>
      </c>
      <c r="AA16" s="383">
        <f t="shared" si="3"/>
        <v>25.713490364150836</v>
      </c>
      <c r="AB16" s="383">
        <f t="shared" si="3"/>
        <v>26.752658788947475</v>
      </c>
      <c r="AC16" s="383">
        <f t="shared" si="3"/>
        <v>27.833823496621353</v>
      </c>
      <c r="AD16" s="383">
        <f t="shared" si="3"/>
        <v>28.958681697878106</v>
      </c>
      <c r="AE16" s="383">
        <f t="shared" si="3"/>
        <v>30.128999193402791</v>
      </c>
      <c r="AF16" s="383">
        <f t="shared" si="3"/>
        <v>31.346613145811141</v>
      </c>
      <c r="AG16" s="383">
        <f t="shared" si="3"/>
        <v>32.613434963624584</v>
      </c>
      <c r="AH16" s="383">
        <f t="shared" si="3"/>
        <v>33.931453301796495</v>
      </c>
      <c r="AI16" s="383">
        <f t="shared" si="3"/>
        <v>35.302737183499609</v>
      </c>
      <c r="AJ16" s="383">
        <f t="shared" si="3"/>
        <v>36.729439248075522</v>
      </c>
      <c r="AK16" s="383">
        <f t="shared" si="3"/>
        <v>38.213799130244574</v>
      </c>
      <c r="AL16" s="383">
        <f t="shared" ref="AL16" si="4">AL6*AL14</f>
        <v>39.75814697588109</v>
      </c>
    </row>
    <row r="17" spans="2:38">
      <c r="B17" s="573" t="s">
        <v>1056</v>
      </c>
      <c r="C17" s="574" t="s">
        <v>490</v>
      </c>
      <c r="D17" s="383">
        <f t="shared" ref="D17:AK17" si="5">D16*$C13/2</f>
        <v>46.519755310184969</v>
      </c>
      <c r="E17" s="383">
        <f t="shared" si="5"/>
        <v>48.399774714902073</v>
      </c>
      <c r="F17" s="383">
        <f t="shared" si="5"/>
        <v>50.355772011990823</v>
      </c>
      <c r="G17" s="383">
        <f t="shared" si="5"/>
        <v>52.390817723018607</v>
      </c>
      <c r="H17" s="383">
        <f t="shared" si="5"/>
        <v>54.508106459632117</v>
      </c>
      <c r="I17" s="383">
        <f t="shared" si="5"/>
        <v>56.710961938453998</v>
      </c>
      <c r="J17" s="383">
        <f t="shared" si="5"/>
        <v>59.002842198647969</v>
      </c>
      <c r="K17" s="383">
        <f t="shared" si="5"/>
        <v>61.387345030343511</v>
      </c>
      <c r="L17" s="383">
        <f t="shared" si="5"/>
        <v>63.86821362244126</v>
      </c>
      <c r="M17" s="383">
        <f t="shared" si="5"/>
        <v>66.449342438665241</v>
      </c>
      <c r="N17" s="383">
        <f t="shared" si="5"/>
        <v>69.134783331086055</v>
      </c>
      <c r="O17" s="383">
        <f t="shared" si="5"/>
        <v>71.928751900712186</v>
      </c>
      <c r="P17" s="383">
        <f t="shared" si="5"/>
        <v>74.835634115133786</v>
      </c>
      <c r="Q17" s="383">
        <f t="shared" si="5"/>
        <v>77.859993193608076</v>
      </c>
      <c r="R17" s="383">
        <f t="shared" si="5"/>
        <v>81.00657677039392</v>
      </c>
      <c r="S17" s="383">
        <f t="shared" si="5"/>
        <v>84.280324347580859</v>
      </c>
      <c r="T17" s="383">
        <f t="shared" si="5"/>
        <v>87.686375049111817</v>
      </c>
      <c r="U17" s="383">
        <f t="shared" si="5"/>
        <v>91.230075688172121</v>
      </c>
      <c r="V17" s="383">
        <f t="shared" si="5"/>
        <v>94.916989160608694</v>
      </c>
      <c r="W17" s="383">
        <f t="shared" si="5"/>
        <v>98.752903177555368</v>
      </c>
      <c r="X17" s="383">
        <f t="shared" si="5"/>
        <v>102.74383935097298</v>
      </c>
      <c r="Y17" s="383">
        <f t="shared" si="5"/>
        <v>106.89606264636673</v>
      </c>
      <c r="Z17" s="383">
        <f t="shared" si="5"/>
        <v>111.21609121751924</v>
      </c>
      <c r="AA17" s="383">
        <f t="shared" si="5"/>
        <v>115.71070663867876</v>
      </c>
      <c r="AB17" s="383">
        <f t="shared" si="5"/>
        <v>120.38696455026364</v>
      </c>
      <c r="AC17" s="383">
        <f t="shared" si="5"/>
        <v>125.25220573479609</v>
      </c>
      <c r="AD17" s="383">
        <f t="shared" si="5"/>
        <v>130.31406764045147</v>
      </c>
      <c r="AE17" s="383">
        <f t="shared" si="5"/>
        <v>135.58049637031257</v>
      </c>
      <c r="AF17" s="383">
        <f t="shared" si="5"/>
        <v>141.05975915615014</v>
      </c>
      <c r="AG17" s="383">
        <f t="shared" si="5"/>
        <v>146.76045733631062</v>
      </c>
      <c r="AH17" s="383">
        <f t="shared" si="5"/>
        <v>152.69153985808424</v>
      </c>
      <c r="AI17" s="383">
        <f t="shared" si="5"/>
        <v>158.86231732574825</v>
      </c>
      <c r="AJ17" s="383">
        <f t="shared" si="5"/>
        <v>165.28247661633986</v>
      </c>
      <c r="AK17" s="383">
        <f t="shared" si="5"/>
        <v>171.96209608610059</v>
      </c>
      <c r="AL17" s="383">
        <f t="shared" ref="AL17" si="6">AL16*$C13/2</f>
        <v>178.91166139146492</v>
      </c>
    </row>
    <row r="18" spans="2:38">
      <c r="B18" s="575" t="s">
        <v>1057</v>
      </c>
      <c r="C18" s="574" t="s">
        <v>443</v>
      </c>
      <c r="D18" s="383">
        <f t="shared" ref="D18:AK18" si="7">D17/Minutes.per.Hour*Days.Per.Year</f>
        <v>282.99517813695854</v>
      </c>
      <c r="E18" s="383">
        <f t="shared" si="7"/>
        <v>294.43196284898761</v>
      </c>
      <c r="F18" s="383">
        <f t="shared" si="7"/>
        <v>306.33094640627752</v>
      </c>
      <c r="G18" s="383">
        <f t="shared" si="7"/>
        <v>318.71080781502985</v>
      </c>
      <c r="H18" s="383">
        <f t="shared" si="7"/>
        <v>331.59098096276205</v>
      </c>
      <c r="I18" s="383">
        <f t="shared" si="7"/>
        <v>344.99168512559515</v>
      </c>
      <c r="J18" s="383">
        <f t="shared" si="7"/>
        <v>358.93395670844183</v>
      </c>
      <c r="K18" s="383">
        <f t="shared" si="7"/>
        <v>373.43968226792299</v>
      </c>
      <c r="L18" s="383">
        <f t="shared" si="7"/>
        <v>388.53163286985097</v>
      </c>
      <c r="M18" s="383">
        <f t="shared" si="7"/>
        <v>404.23349983521354</v>
      </c>
      <c r="N18" s="383">
        <f t="shared" si="7"/>
        <v>420.56993193077352</v>
      </c>
      <c r="O18" s="383">
        <f t="shared" si="7"/>
        <v>437.56657406266584</v>
      </c>
      <c r="P18" s="383">
        <f t="shared" si="7"/>
        <v>455.25010753373056</v>
      </c>
      <c r="Q18" s="383">
        <f t="shared" si="7"/>
        <v>473.64829192778245</v>
      </c>
      <c r="R18" s="383">
        <f t="shared" si="7"/>
        <v>492.790008686563</v>
      </c>
      <c r="S18" s="383">
        <f t="shared" si="7"/>
        <v>512.70530644778364</v>
      </c>
      <c r="T18" s="383">
        <f t="shared" si="7"/>
        <v>533.42544821543027</v>
      </c>
      <c r="U18" s="383">
        <f t="shared" si="7"/>
        <v>554.98296043638049</v>
      </c>
      <c r="V18" s="383">
        <f t="shared" si="7"/>
        <v>577.41168406036957</v>
      </c>
      <c r="W18" s="383">
        <f t="shared" si="7"/>
        <v>600.74682766346177</v>
      </c>
      <c r="X18" s="383">
        <f t="shared" si="7"/>
        <v>625.025022718419</v>
      </c>
      <c r="Y18" s="383">
        <f t="shared" si="7"/>
        <v>650.28438109873093</v>
      </c>
      <c r="Z18" s="383">
        <f t="shared" si="7"/>
        <v>676.56455490657538</v>
      </c>
      <c r="AA18" s="383">
        <f t="shared" si="7"/>
        <v>703.90679871862915</v>
      </c>
      <c r="AB18" s="383">
        <f t="shared" si="7"/>
        <v>732.35403434743705</v>
      </c>
      <c r="AC18" s="383">
        <f t="shared" si="7"/>
        <v>761.9509182200095</v>
      </c>
      <c r="AD18" s="383">
        <f t="shared" si="7"/>
        <v>792.7439114794131</v>
      </c>
      <c r="AE18" s="383">
        <f t="shared" si="7"/>
        <v>824.78135291940146</v>
      </c>
      <c r="AF18" s="383">
        <f t="shared" si="7"/>
        <v>858.11353486658004</v>
      </c>
      <c r="AG18" s="383">
        <f t="shared" si="7"/>
        <v>892.79278212922293</v>
      </c>
      <c r="AH18" s="383">
        <f t="shared" si="7"/>
        <v>928.87353413667915</v>
      </c>
      <c r="AI18" s="383">
        <f t="shared" si="7"/>
        <v>966.41243039830192</v>
      </c>
      <c r="AJ18" s="383">
        <f t="shared" si="7"/>
        <v>1005.4683994160675</v>
      </c>
      <c r="AK18" s="383">
        <f t="shared" si="7"/>
        <v>1046.1027511904454</v>
      </c>
      <c r="AL18" s="383">
        <f t="shared" ref="AL18" si="8">AL17/Minutes.per.Hour*Days.Per.Year</f>
        <v>1088.3792734647448</v>
      </c>
    </row>
    <row r="20" spans="2:38">
      <c r="B20" s="575" t="s">
        <v>745</v>
      </c>
      <c r="C20" s="574" t="s">
        <v>443</v>
      </c>
      <c r="D20" s="383">
        <f>D18</f>
        <v>282.99517813695854</v>
      </c>
      <c r="E20" s="383">
        <f t="shared" ref="E20:AK20" si="9">E18</f>
        <v>294.43196284898761</v>
      </c>
      <c r="F20" s="383">
        <f t="shared" si="9"/>
        <v>306.33094640627752</v>
      </c>
      <c r="G20" s="383">
        <f t="shared" si="9"/>
        <v>318.71080781502985</v>
      </c>
      <c r="H20" s="383">
        <f t="shared" si="9"/>
        <v>331.59098096276205</v>
      </c>
      <c r="I20" s="383">
        <f t="shared" si="9"/>
        <v>344.99168512559515</v>
      </c>
      <c r="J20" s="383">
        <f t="shared" si="9"/>
        <v>358.93395670844183</v>
      </c>
      <c r="K20" s="383">
        <f t="shared" si="9"/>
        <v>373.43968226792299</v>
      </c>
      <c r="L20" s="383">
        <f t="shared" si="9"/>
        <v>388.53163286985097</v>
      </c>
      <c r="M20" s="383">
        <f t="shared" si="9"/>
        <v>404.23349983521354</v>
      </c>
      <c r="N20" s="383">
        <f t="shared" si="9"/>
        <v>420.56993193077352</v>
      </c>
      <c r="O20" s="383">
        <f t="shared" si="9"/>
        <v>437.56657406266584</v>
      </c>
      <c r="P20" s="383">
        <f t="shared" si="9"/>
        <v>455.25010753373056</v>
      </c>
      <c r="Q20" s="383">
        <f t="shared" si="9"/>
        <v>473.64829192778245</v>
      </c>
      <c r="R20" s="383">
        <f t="shared" si="9"/>
        <v>492.790008686563</v>
      </c>
      <c r="S20" s="383">
        <f t="shared" si="9"/>
        <v>512.70530644778364</v>
      </c>
      <c r="T20" s="383">
        <f t="shared" si="9"/>
        <v>533.42544821543027</v>
      </c>
      <c r="U20" s="383">
        <f t="shared" si="9"/>
        <v>554.98296043638049</v>
      </c>
      <c r="V20" s="383">
        <f t="shared" si="9"/>
        <v>577.41168406036957</v>
      </c>
      <c r="W20" s="383">
        <f t="shared" si="9"/>
        <v>600.74682766346177</v>
      </c>
      <c r="X20" s="383">
        <f t="shared" si="9"/>
        <v>625.025022718419</v>
      </c>
      <c r="Y20" s="383">
        <f t="shared" si="9"/>
        <v>650.28438109873093</v>
      </c>
      <c r="Z20" s="383">
        <f t="shared" si="9"/>
        <v>676.56455490657538</v>
      </c>
      <c r="AA20" s="383">
        <f t="shared" si="9"/>
        <v>703.90679871862915</v>
      </c>
      <c r="AB20" s="383">
        <f t="shared" si="9"/>
        <v>732.35403434743705</v>
      </c>
      <c r="AC20" s="383">
        <f t="shared" si="9"/>
        <v>761.9509182200095</v>
      </c>
      <c r="AD20" s="383">
        <f t="shared" si="9"/>
        <v>792.7439114794131</v>
      </c>
      <c r="AE20" s="383">
        <f t="shared" si="9"/>
        <v>824.78135291940146</v>
      </c>
      <c r="AF20" s="383">
        <f t="shared" si="9"/>
        <v>858.11353486658004</v>
      </c>
      <c r="AG20" s="383">
        <f t="shared" si="9"/>
        <v>892.79278212922293</v>
      </c>
      <c r="AH20" s="383">
        <f t="shared" si="9"/>
        <v>928.87353413667915</v>
      </c>
      <c r="AI20" s="383">
        <f t="shared" si="9"/>
        <v>966.41243039830192</v>
      </c>
      <c r="AJ20" s="383">
        <f t="shared" si="9"/>
        <v>1005.4683994160675</v>
      </c>
      <c r="AK20" s="383">
        <f t="shared" si="9"/>
        <v>1046.1027511904454</v>
      </c>
      <c r="AL20" s="383">
        <f t="shared" ref="AL20" si="10">AL18</f>
        <v>1088.3792734647448</v>
      </c>
    </row>
    <row r="22" spans="2:38" ht="13">
      <c r="B22" s="502" t="s">
        <v>506</v>
      </c>
      <c r="C22" s="542">
        <f>SUMIFS('Crossing Inputs'!$C$67:$H$67,'Crossing Inputs'!$C$49:$H$49,$A$1)</f>
        <v>0.998</v>
      </c>
    </row>
    <row r="23" spans="2:38" ht="13">
      <c r="B23" s="502" t="s">
        <v>507</v>
      </c>
      <c r="C23" s="542">
        <f>SUMIFS('Crossing Inputs'!$C$68:$H$68,'Crossing Inputs'!$C$49:$H$49,$A$1)</f>
        <v>2E-3</v>
      </c>
    </row>
    <row r="24" spans="2:38" ht="13">
      <c r="B24" s="502" t="s">
        <v>746</v>
      </c>
      <c r="C24" s="542">
        <f>SUMIFS('Crossing Inputs'!$C$69:$H$69,'Crossing Inputs'!$C$49:$H$49,$A$1)</f>
        <v>0</v>
      </c>
    </row>
    <row r="25" spans="2:38">
      <c r="B25" s="358" t="s">
        <v>508</v>
      </c>
      <c r="C25" s="358" t="s">
        <v>443</v>
      </c>
      <c r="D25" s="576">
        <f>D$20*$C22</f>
        <v>282.42918778068463</v>
      </c>
      <c r="E25" s="576">
        <f t="shared" ref="E25:AK27" si="11">E$20*$C22</f>
        <v>293.84309892328963</v>
      </c>
      <c r="F25" s="576">
        <f t="shared" si="11"/>
        <v>305.71828451346494</v>
      </c>
      <c r="G25" s="576">
        <f t="shared" si="11"/>
        <v>318.07338619939981</v>
      </c>
      <c r="H25" s="576">
        <f t="shared" si="11"/>
        <v>330.9277990008365</v>
      </c>
      <c r="I25" s="576">
        <f t="shared" si="11"/>
        <v>344.30170175534397</v>
      </c>
      <c r="J25" s="576">
        <f t="shared" si="11"/>
        <v>358.21608879502492</v>
      </c>
      <c r="K25" s="576">
        <f t="shared" si="11"/>
        <v>372.69280290338713</v>
      </c>
      <c r="L25" s="576">
        <f t="shared" si="11"/>
        <v>387.75456960411128</v>
      </c>
      <c r="M25" s="576">
        <f t="shared" si="11"/>
        <v>403.42503283554311</v>
      </c>
      <c r="N25" s="576">
        <f t="shared" si="11"/>
        <v>419.72879206691198</v>
      </c>
      <c r="O25" s="576">
        <f>O$20*$C22</f>
        <v>436.69144091454052</v>
      </c>
      <c r="P25" s="576">
        <f t="shared" si="11"/>
        <v>454.33960731866307</v>
      </c>
      <c r="Q25" s="576">
        <f t="shared" si="11"/>
        <v>472.70099534392688</v>
      </c>
      <c r="R25" s="576">
        <f t="shared" si="11"/>
        <v>491.80442866918986</v>
      </c>
      <c r="S25" s="576">
        <f t="shared" si="11"/>
        <v>511.6798958348881</v>
      </c>
      <c r="T25" s="576">
        <f t="shared" si="11"/>
        <v>532.35859731899939</v>
      </c>
      <c r="U25" s="576">
        <f t="shared" si="11"/>
        <v>553.87299451550768</v>
      </c>
      <c r="V25" s="576">
        <f t="shared" si="11"/>
        <v>576.25686069224878</v>
      </c>
      <c r="W25" s="576">
        <f t="shared" si="11"/>
        <v>599.54533400813489</v>
      </c>
      <c r="X25" s="576">
        <f t="shared" si="11"/>
        <v>623.77497267298213</v>
      </c>
      <c r="Y25" s="576">
        <f t="shared" si="11"/>
        <v>648.98381233653345</v>
      </c>
      <c r="Z25" s="576">
        <f t="shared" si="11"/>
        <v>675.21142579676223</v>
      </c>
      <c r="AA25" s="576">
        <f t="shared" si="11"/>
        <v>702.49898512119194</v>
      </c>
      <c r="AB25" s="576">
        <f t="shared" si="11"/>
        <v>730.88932627874215</v>
      </c>
      <c r="AC25" s="576">
        <f t="shared" si="11"/>
        <v>760.42701638356948</v>
      </c>
      <c r="AD25" s="576">
        <f t="shared" si="11"/>
        <v>791.15842365645426</v>
      </c>
      <c r="AE25" s="576">
        <f t="shared" si="11"/>
        <v>823.13179021356268</v>
      </c>
      <c r="AF25" s="576">
        <f t="shared" si="11"/>
        <v>856.39730779684692</v>
      </c>
      <c r="AG25" s="576">
        <f t="shared" si="11"/>
        <v>891.00719656496449</v>
      </c>
      <c r="AH25" s="576">
        <f t="shared" si="11"/>
        <v>927.01578706840576</v>
      </c>
      <c r="AI25" s="576">
        <f t="shared" si="11"/>
        <v>964.47960553750534</v>
      </c>
      <c r="AJ25" s="576">
        <f t="shared" si="11"/>
        <v>1003.4574626172354</v>
      </c>
      <c r="AK25" s="576">
        <f t="shared" si="11"/>
        <v>1044.0105456880644</v>
      </c>
      <c r="AL25" s="576">
        <f t="shared" ref="AL25" si="12">AL$20*$C22</f>
        <v>1086.2025149178153</v>
      </c>
    </row>
    <row r="26" spans="2:38">
      <c r="B26" s="358" t="s">
        <v>509</v>
      </c>
      <c r="C26" s="358" t="s">
        <v>443</v>
      </c>
      <c r="D26" s="576">
        <f t="shared" ref="D26:S27" si="13">D$20*$C23</f>
        <v>0.56599035627391714</v>
      </c>
      <c r="E26" s="576">
        <f t="shared" si="13"/>
        <v>0.58886392569797519</v>
      </c>
      <c r="F26" s="576">
        <f t="shared" si="13"/>
        <v>0.61266189281255501</v>
      </c>
      <c r="G26" s="576">
        <f t="shared" si="13"/>
        <v>0.63742161563005972</v>
      </c>
      <c r="H26" s="576">
        <f t="shared" si="13"/>
        <v>0.66318196192552414</v>
      </c>
      <c r="I26" s="576">
        <f t="shared" si="13"/>
        <v>0.68998337025119028</v>
      </c>
      <c r="J26" s="576">
        <f t="shared" si="13"/>
        <v>0.71786791341688372</v>
      </c>
      <c r="K26" s="576">
        <f t="shared" si="13"/>
        <v>0.74687936453584602</v>
      </c>
      <c r="L26" s="576">
        <f t="shared" si="13"/>
        <v>0.77706326573970197</v>
      </c>
      <c r="M26" s="576">
        <f t="shared" si="13"/>
        <v>0.80846699967042712</v>
      </c>
      <c r="N26" s="576">
        <f t="shared" si="13"/>
        <v>0.84113986386154704</v>
      </c>
      <c r="O26" s="576">
        <f t="shared" si="13"/>
        <v>0.87513314812533172</v>
      </c>
      <c r="P26" s="576">
        <f t="shared" si="13"/>
        <v>0.91050021506746115</v>
      </c>
      <c r="Q26" s="576">
        <f t="shared" si="13"/>
        <v>0.94729658385556492</v>
      </c>
      <c r="R26" s="576">
        <f t="shared" si="13"/>
        <v>0.98558001737312606</v>
      </c>
      <c r="S26" s="576">
        <f t="shared" si="13"/>
        <v>1.0254106128955673</v>
      </c>
      <c r="T26" s="576">
        <f t="shared" si="11"/>
        <v>1.0668508964308605</v>
      </c>
      <c r="U26" s="576">
        <f t="shared" si="11"/>
        <v>1.109965920872761</v>
      </c>
      <c r="V26" s="576">
        <f t="shared" si="11"/>
        <v>1.1548233681207392</v>
      </c>
      <c r="W26" s="576">
        <f t="shared" si="11"/>
        <v>1.2014936553269235</v>
      </c>
      <c r="X26" s="576">
        <f t="shared" si="11"/>
        <v>1.250050045436838</v>
      </c>
      <c r="Y26" s="576">
        <f t="shared" si="11"/>
        <v>1.300568762197462</v>
      </c>
      <c r="Z26" s="576">
        <f t="shared" si="11"/>
        <v>1.3531291098131508</v>
      </c>
      <c r="AA26" s="576">
        <f t="shared" si="11"/>
        <v>1.4078135974372583</v>
      </c>
      <c r="AB26" s="576">
        <f t="shared" si="11"/>
        <v>1.4647080686948741</v>
      </c>
      <c r="AC26" s="576">
        <f t="shared" si="11"/>
        <v>1.523901836440019</v>
      </c>
      <c r="AD26" s="576">
        <f t="shared" si="11"/>
        <v>1.5854878229588263</v>
      </c>
      <c r="AE26" s="576">
        <f t="shared" si="11"/>
        <v>1.6495627058388029</v>
      </c>
      <c r="AF26" s="576">
        <f t="shared" si="11"/>
        <v>1.7162270697331601</v>
      </c>
      <c r="AG26" s="576">
        <f t="shared" si="11"/>
        <v>1.7855855642584459</v>
      </c>
      <c r="AH26" s="576">
        <f t="shared" si="11"/>
        <v>1.8577470682733583</v>
      </c>
      <c r="AI26" s="576">
        <f t="shared" si="11"/>
        <v>1.9328248607966039</v>
      </c>
      <c r="AJ26" s="576">
        <f t="shared" si="11"/>
        <v>2.0109367988321352</v>
      </c>
      <c r="AK26" s="576">
        <f t="shared" si="11"/>
        <v>2.092205502380891</v>
      </c>
      <c r="AL26" s="576">
        <f t="shared" ref="AL26" si="14">AL$20*$C23</f>
        <v>2.1767585469294897</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1172" t="s">
        <v>788</v>
      </c>
      <c r="C32" s="358" t="s">
        <v>295</v>
      </c>
      <c r="D32" s="383">
        <f>D25*$C29</f>
        <v>100.96843463159475</v>
      </c>
      <c r="E32" s="383">
        <f t="shared" ref="E32:AK32" si="16">E25*$C29</f>
        <v>105.04890786507603</v>
      </c>
      <c r="F32" s="383">
        <f t="shared" si="16"/>
        <v>109.29428671356371</v>
      </c>
      <c r="G32" s="383">
        <f t="shared" si="16"/>
        <v>113.71123556628542</v>
      </c>
      <c r="H32" s="383">
        <f t="shared" si="16"/>
        <v>118.30668814279905</v>
      </c>
      <c r="I32" s="383">
        <f t="shared" si="16"/>
        <v>123.08785837753547</v>
      </c>
      <c r="J32" s="383">
        <f t="shared" si="16"/>
        <v>128.06225174422141</v>
      </c>
      <c r="K32" s="383">
        <f t="shared" si="16"/>
        <v>133.23767703796091</v>
      </c>
      <c r="L32" s="383">
        <f t="shared" si="16"/>
        <v>138.62225863346978</v>
      </c>
      <c r="M32" s="383">
        <f t="shared" si="16"/>
        <v>144.22444923870665</v>
      </c>
      <c r="N32" s="383">
        <f t="shared" si="16"/>
        <v>150.05304316392102</v>
      </c>
      <c r="O32" s="383">
        <f t="shared" si="16"/>
        <v>156.11719012694823</v>
      </c>
      <c r="P32" s="383">
        <f t="shared" si="16"/>
        <v>162.42640961642203</v>
      </c>
      <c r="Q32" s="383">
        <f t="shared" si="16"/>
        <v>168.99060583545386</v>
      </c>
      <c r="R32" s="383">
        <f t="shared" si="16"/>
        <v>175.82008324923538</v>
      </c>
      <c r="S32" s="383">
        <f t="shared" si="16"/>
        <v>182.9255627609725</v>
      </c>
      <c r="T32" s="383">
        <f t="shared" si="16"/>
        <v>190.31819854154227</v>
      </c>
      <c r="U32" s="383">
        <f t="shared" si="16"/>
        <v>198.009595539294</v>
      </c>
      <c r="V32" s="383">
        <f t="shared" si="16"/>
        <v>206.01182769747894</v>
      </c>
      <c r="W32" s="383">
        <f t="shared" si="16"/>
        <v>214.33745690790821</v>
      </c>
      <c r="X32" s="383">
        <f t="shared" si="16"/>
        <v>222.99955273059109</v>
      </c>
      <c r="Y32" s="383">
        <f t="shared" si="16"/>
        <v>232.01171291031071</v>
      </c>
      <c r="Z32" s="383">
        <f t="shared" si="16"/>
        <v>241.38808472234248</v>
      </c>
      <c r="AA32" s="383">
        <f t="shared" si="16"/>
        <v>251.1433871808261</v>
      </c>
      <c r="AB32" s="383">
        <f t="shared" si="16"/>
        <v>261.2929341446503</v>
      </c>
      <c r="AC32" s="383">
        <f t="shared" si="16"/>
        <v>271.85265835712607</v>
      </c>
      <c r="AD32" s="383">
        <f t="shared" si="16"/>
        <v>282.83913645718241</v>
      </c>
      <c r="AE32" s="383">
        <f t="shared" si="16"/>
        <v>294.26961500134865</v>
      </c>
      <c r="AF32" s="383">
        <f t="shared" si="16"/>
        <v>306.16203753737278</v>
      </c>
      <c r="AG32" s="383">
        <f t="shared" si="16"/>
        <v>318.5350727719748</v>
      </c>
      <c r="AH32" s="383">
        <f t="shared" si="16"/>
        <v>331.40814387695502</v>
      </c>
      <c r="AI32" s="383">
        <f t="shared" si="16"/>
        <v>344.80145897965815</v>
      </c>
      <c r="AJ32" s="383">
        <f t="shared" si="16"/>
        <v>358.73604288566162</v>
      </c>
      <c r="AK32" s="383">
        <f t="shared" si="16"/>
        <v>373.23377008348302</v>
      </c>
      <c r="AL32" s="383">
        <f t="shared" ref="AL32" si="17">AL25*$C29</f>
        <v>388.31739908311897</v>
      </c>
    </row>
    <row r="33" spans="1:38">
      <c r="B33" s="1172" t="s">
        <v>789</v>
      </c>
      <c r="C33" s="358" t="s">
        <v>295</v>
      </c>
      <c r="D33" s="383">
        <f>D26*$C30+D27*$C31</f>
        <v>0.47543189927009039</v>
      </c>
      <c r="E33" s="383">
        <f t="shared" ref="E33:AK33" si="18">E26*$C30+E27*$C31</f>
        <v>0.49464569758629912</v>
      </c>
      <c r="F33" s="383">
        <f t="shared" si="18"/>
        <v>0.51463598996254623</v>
      </c>
      <c r="G33" s="383">
        <f t="shared" si="18"/>
        <v>0.53543415712925013</v>
      </c>
      <c r="H33" s="383">
        <f t="shared" si="18"/>
        <v>0.55707284801744028</v>
      </c>
      <c r="I33" s="383">
        <f t="shared" si="18"/>
        <v>0.57958603101099981</v>
      </c>
      <c r="J33" s="383">
        <f t="shared" si="18"/>
        <v>0.60300904727018234</v>
      </c>
      <c r="K33" s="383">
        <f t="shared" si="18"/>
        <v>0.62737866621011062</v>
      </c>
      <c r="L33" s="383">
        <f t="shared" si="18"/>
        <v>0.65273314322134968</v>
      </c>
      <c r="M33" s="383">
        <f t="shared" si="18"/>
        <v>0.6791122797231588</v>
      </c>
      <c r="N33" s="383">
        <f t="shared" si="18"/>
        <v>0.70655748564369947</v>
      </c>
      <c r="O33" s="383">
        <f t="shared" si="18"/>
        <v>0.73511184442527866</v>
      </c>
      <c r="P33" s="383">
        <f t="shared" si="18"/>
        <v>0.76482018065666735</v>
      </c>
      <c r="Q33" s="383">
        <f t="shared" si="18"/>
        <v>0.79572913043867455</v>
      </c>
      <c r="R33" s="383">
        <f t="shared" si="18"/>
        <v>0.82788721459342585</v>
      </c>
      <c r="S33" s="383">
        <f t="shared" si="18"/>
        <v>0.86134491483227649</v>
      </c>
      <c r="T33" s="383">
        <f t="shared" si="18"/>
        <v>0.89615475300192282</v>
      </c>
      <c r="U33" s="383">
        <f t="shared" si="18"/>
        <v>0.93237137353311927</v>
      </c>
      <c r="V33" s="383">
        <f t="shared" si="18"/>
        <v>0.97005162922142085</v>
      </c>
      <c r="W33" s="383">
        <f t="shared" si="18"/>
        <v>1.0092546704746157</v>
      </c>
      <c r="X33" s="383">
        <f t="shared" si="18"/>
        <v>1.0500420381669437</v>
      </c>
      <c r="Y33" s="383">
        <f t="shared" si="18"/>
        <v>1.092477760245868</v>
      </c>
      <c r="Z33" s="383">
        <f t="shared" si="18"/>
        <v>1.1366284522430465</v>
      </c>
      <c r="AA33" s="383">
        <f t="shared" si="18"/>
        <v>1.1825634218472969</v>
      </c>
      <c r="AB33" s="383">
        <f t="shared" si="18"/>
        <v>1.2303547777036943</v>
      </c>
      <c r="AC33" s="383">
        <f t="shared" si="18"/>
        <v>1.2800775426096158</v>
      </c>
      <c r="AD33" s="383">
        <f t="shared" si="18"/>
        <v>1.331809771285414</v>
      </c>
      <c r="AE33" s="383">
        <f t="shared" si="18"/>
        <v>1.3856326729045945</v>
      </c>
      <c r="AF33" s="383">
        <f t="shared" si="18"/>
        <v>1.4416307385758544</v>
      </c>
      <c r="AG33" s="383">
        <f t="shared" si="18"/>
        <v>1.4998918739770946</v>
      </c>
      <c r="AH33" s="383">
        <f t="shared" si="18"/>
        <v>1.5605075373496209</v>
      </c>
      <c r="AI33" s="383">
        <f t="shared" si="18"/>
        <v>1.6235728830691472</v>
      </c>
      <c r="AJ33" s="383">
        <f t="shared" si="18"/>
        <v>1.6891869110189934</v>
      </c>
      <c r="AK33" s="383">
        <f t="shared" si="18"/>
        <v>1.7574526219999484</v>
      </c>
      <c r="AL33" s="383">
        <f t="shared" ref="AL33" si="19">AL26*$C30+AL27*$C31</f>
        <v>1.8284771794207713</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Demand!F61</f>
        <v>6.0636386466438061</v>
      </c>
      <c r="E37" s="383">
        <f>Demand!G61</f>
        <v>6.1279522728453877</v>
      </c>
      <c r="F37" s="383">
        <f>Demand!H61</f>
        <v>6.1929480377356736</v>
      </c>
      <c r="G37" s="383">
        <f>Demand!I61</f>
        <v>6.2586331763784937</v>
      </c>
      <c r="H37" s="383">
        <f>Demand!J61</f>
        <v>8.4333533341012696</v>
      </c>
      <c r="I37" s="383">
        <f>Demand!K61</f>
        <v>8.5228011995764756</v>
      </c>
      <c r="J37" s="383">
        <f>Demand!L61</f>
        <v>8.6131977885690176</v>
      </c>
      <c r="K37" s="383">
        <f>Demand!M61</f>
        <v>8.7045531636590106</v>
      </c>
      <c r="L37" s="383">
        <f>Demand!N61</f>
        <v>8.7968774941547299</v>
      </c>
      <c r="M37" s="383">
        <f>Demand!O61</f>
        <v>8.8901810572246251</v>
      </c>
      <c r="N37" s="383">
        <f>Demand!P61</f>
        <v>8.9844742390413206</v>
      </c>
      <c r="O37" s="383">
        <f>Demand!Q61</f>
        <v>9.0797675359377763</v>
      </c>
      <c r="P37" s="383">
        <f>Demand!R61</f>
        <v>9.1760715555756835</v>
      </c>
      <c r="Q37" s="383">
        <f>Demand!S61</f>
        <v>9.2733970181262784</v>
      </c>
      <c r="R37" s="383">
        <f>Demand!T61</f>
        <v>9.3717547574636537</v>
      </c>
      <c r="S37" s="383">
        <f>Demand!U61</f>
        <v>9.4711557223707619</v>
      </c>
      <c r="T37" s="383">
        <f>Demand!V61</f>
        <v>9.5716109777581639</v>
      </c>
      <c r="U37" s="383">
        <f>Demand!W61</f>
        <v>9.6731317058957522</v>
      </c>
      <c r="V37" s="383">
        <f>Demand!X61</f>
        <v>9.775729207657502</v>
      </c>
      <c r="W37" s="383">
        <f>Demand!Y61</f>
        <v>9.8794149037794448</v>
      </c>
      <c r="X37" s="383">
        <f>Demand!Z61</f>
        <v>9.9842003361309732</v>
      </c>
      <c r="Y37" s="383">
        <f>Demand!AA61</f>
        <v>10.090097168999641</v>
      </c>
      <c r="Z37" s="383">
        <f>Demand!AB61</f>
        <v>10.19711719038958</v>
      </c>
      <c r="AA37" s="383">
        <f>Demand!AC61</f>
        <v>10.305272313333695</v>
      </c>
      <c r="AB37" s="383">
        <f>Demand!AD61</f>
        <v>10.414574577219767</v>
      </c>
      <c r="AC37" s="383">
        <f>Demand!AE61</f>
        <v>10.525036149130644</v>
      </c>
      <c r="AD37" s="383">
        <f>Demand!AF61</f>
        <v>10.636669325198612</v>
      </c>
      <c r="AE37" s="383">
        <f>Demand!AG61</f>
        <v>10.749486531974167</v>
      </c>
      <c r="AF37" s="383">
        <f>Demand!AH61</f>
        <v>10.863500327809277</v>
      </c>
      <c r="AG37" s="383">
        <f>Demand!AI61</f>
        <v>10.978723404255332</v>
      </c>
      <c r="AH37" s="383">
        <f>Demand!AJ61</f>
        <v>11.095168587475913</v>
      </c>
      <c r="AI37" s="383">
        <f>Demand!AK61</f>
        <v>11.212848839674553</v>
      </c>
      <c r="AJ37" s="383">
        <f>Demand!AL61</f>
        <v>11.331777260537629</v>
      </c>
      <c r="AK37" s="383">
        <f>Demand!AM61</f>
        <v>11.451967088692575</v>
      </c>
      <c r="AL37" s="383">
        <f>Demand!AN61</f>
        <v>11.573431703181543</v>
      </c>
    </row>
    <row r="38" spans="1:38">
      <c r="B38" s="363" t="s">
        <v>645</v>
      </c>
      <c r="C38" s="358" t="s">
        <v>1054</v>
      </c>
      <c r="D38" s="383">
        <f>Demand!F62</f>
        <v>2.021212882214602</v>
      </c>
      <c r="E38" s="383">
        <f>Demand!G62</f>
        <v>2.0426507576151294</v>
      </c>
      <c r="F38" s="383">
        <f>Demand!H62</f>
        <v>2.064316012578558</v>
      </c>
      <c r="G38" s="383">
        <f>Demand!I62</f>
        <v>2.0862110587928311</v>
      </c>
      <c r="H38" s="383">
        <f>Demand!J62</f>
        <v>3.1625075002879761</v>
      </c>
      <c r="I38" s="383">
        <f>Demand!K62</f>
        <v>3.1960504498411781</v>
      </c>
      <c r="J38" s="383">
        <f>Demand!L62</f>
        <v>3.2299491707133816</v>
      </c>
      <c r="K38" s="383">
        <f>Demand!M62</f>
        <v>3.264207436372129</v>
      </c>
      <c r="L38" s="383">
        <f>Demand!N62</f>
        <v>3.2988290603080239</v>
      </c>
      <c r="M38" s="383">
        <f>Demand!O62</f>
        <v>3.3338178964592347</v>
      </c>
      <c r="N38" s="383">
        <f>Demand!P62</f>
        <v>3.3691778396404954</v>
      </c>
      <c r="O38" s="383">
        <f>Demand!Q62</f>
        <v>3.4049128259766661</v>
      </c>
      <c r="P38" s="383">
        <f>Demand!R62</f>
        <v>3.4410268333408816</v>
      </c>
      <c r="Q38" s="383">
        <f>Demand!S62</f>
        <v>3.4775238817973544</v>
      </c>
      <c r="R38" s="383">
        <f>Demand!T62</f>
        <v>3.5144080340488699</v>
      </c>
      <c r="S38" s="383">
        <f>Demand!U62</f>
        <v>3.5516833958890359</v>
      </c>
      <c r="T38" s="383">
        <f>Demand!V62</f>
        <v>3.5893541166593117</v>
      </c>
      <c r="U38" s="383">
        <f>Demand!W62</f>
        <v>3.6274243897109071</v>
      </c>
      <c r="V38" s="383">
        <f>Demand!X62</f>
        <v>3.6658984528715632</v>
      </c>
      <c r="W38" s="383">
        <f>Demand!Y62</f>
        <v>3.7047805889172918</v>
      </c>
      <c r="X38" s="383">
        <f>Demand!Z62</f>
        <v>3.7440751260491147</v>
      </c>
      <c r="Y38" s="383">
        <f>Demand!AA62</f>
        <v>3.7837864383748654</v>
      </c>
      <c r="Z38" s="383">
        <f>Demand!AB62</f>
        <v>3.8239189463960925</v>
      </c>
      <c r="AA38" s="383">
        <f>Demand!AC62</f>
        <v>3.8644771175001358</v>
      </c>
      <c r="AB38" s="383">
        <f>Demand!AD62</f>
        <v>3.9054654664574127</v>
      </c>
      <c r="AC38" s="383">
        <f>Demand!AE62</f>
        <v>3.9468885559239917</v>
      </c>
      <c r="AD38" s="383">
        <f>Demand!AF62</f>
        <v>3.9887509969494799</v>
      </c>
      <c r="AE38" s="383">
        <f>Demand!AG62</f>
        <v>4.0310574494903122</v>
      </c>
      <c r="AF38" s="383">
        <f>Demand!AH62</f>
        <v>4.0738126229284788</v>
      </c>
      <c r="AG38" s="383">
        <f>Demand!AI62</f>
        <v>4.1170212765957492</v>
      </c>
      <c r="AH38" s="383">
        <f>Demand!AJ62</f>
        <v>4.1606882203034674</v>
      </c>
      <c r="AI38" s="383">
        <f>Demand!AK62</f>
        <v>4.2048183148779579</v>
      </c>
      <c r="AJ38" s="383">
        <f>Demand!AL62</f>
        <v>4.2494164727016113</v>
      </c>
      <c r="AK38" s="383">
        <f>Demand!AM62</f>
        <v>4.2944876582597153</v>
      </c>
      <c r="AL38" s="383">
        <f>Demand!AN62</f>
        <v>4.3400368886930787</v>
      </c>
    </row>
    <row r="39" spans="1:38">
      <c r="D39" s="1241"/>
    </row>
    <row r="40" spans="1:38">
      <c r="B40" s="571" t="s">
        <v>1058</v>
      </c>
      <c r="C40" s="572" t="s">
        <v>15</v>
      </c>
      <c r="D40" s="1242">
        <f>(D$37*$C$13)/Minutes.Per.Day</f>
        <v>3.789774154152379E-2</v>
      </c>
      <c r="E40" s="1242">
        <f t="shared" ref="E40:AL40" si="20">(E$37*$C$13)/Minutes.Per.Day</f>
        <v>3.8299701705283677E-2</v>
      </c>
      <c r="F40" s="1242">
        <f t="shared" si="20"/>
        <v>3.8705925235847961E-2</v>
      </c>
      <c r="G40" s="1242">
        <f t="shared" si="20"/>
        <v>3.9116457352365588E-2</v>
      </c>
      <c r="H40" s="1242">
        <f t="shared" si="20"/>
        <v>5.2708458338132938E-2</v>
      </c>
      <c r="I40" s="1242">
        <f t="shared" si="20"/>
        <v>5.3267507497352977E-2</v>
      </c>
      <c r="J40" s="1242">
        <f t="shared" si="20"/>
        <v>5.3832486178556356E-2</v>
      </c>
      <c r="K40" s="1242">
        <f t="shared" si="20"/>
        <v>5.440345727286882E-2</v>
      </c>
      <c r="L40" s="1242">
        <f t="shared" si="20"/>
        <v>5.4980484338467063E-2</v>
      </c>
      <c r="M40" s="1242">
        <f t="shared" si="20"/>
        <v>5.5563631607653909E-2</v>
      </c>
      <c r="N40" s="1242">
        <f t="shared" si="20"/>
        <v>5.6152963994008251E-2</v>
      </c>
      <c r="O40" s="1242">
        <f t="shared" si="20"/>
        <v>5.67485470996111E-2</v>
      </c>
      <c r="P40" s="1242">
        <f t="shared" si="20"/>
        <v>5.7350447222348028E-2</v>
      </c>
      <c r="Q40" s="1242">
        <f t="shared" si="20"/>
        <v>5.7958731363289238E-2</v>
      </c>
      <c r="R40" s="1242">
        <f t="shared" si="20"/>
        <v>5.857346723414783E-2</v>
      </c>
      <c r="S40" s="1242">
        <f t="shared" si="20"/>
        <v>5.9194723264817263E-2</v>
      </c>
      <c r="T40" s="1242">
        <f t="shared" si="20"/>
        <v>5.982256861098853E-2</v>
      </c>
      <c r="U40" s="1242">
        <f t="shared" si="20"/>
        <v>6.0457073161848451E-2</v>
      </c>
      <c r="V40" s="1242">
        <f t="shared" si="20"/>
        <v>6.1098307547859387E-2</v>
      </c>
      <c r="W40" s="1242">
        <f t="shared" si="20"/>
        <v>6.1746343148621534E-2</v>
      </c>
      <c r="X40" s="1242">
        <f t="shared" si="20"/>
        <v>6.240125210081858E-2</v>
      </c>
      <c r="Y40" s="1242">
        <f t="shared" si="20"/>
        <v>6.3063107306247757E-2</v>
      </c>
      <c r="Z40" s="1242">
        <f t="shared" si="20"/>
        <v>6.3731982439934873E-2</v>
      </c>
      <c r="AA40" s="1242">
        <f t="shared" si="20"/>
        <v>6.4407951958335596E-2</v>
      </c>
      <c r="AB40" s="1242">
        <f t="shared" si="20"/>
        <v>6.5091091107623539E-2</v>
      </c>
      <c r="AC40" s="1242">
        <f t="shared" si="20"/>
        <v>6.5781475932066527E-2</v>
      </c>
      <c r="AD40" s="1242">
        <f t="shared" si="20"/>
        <v>6.6479183282491333E-2</v>
      </c>
      <c r="AE40" s="1242">
        <f t="shared" si="20"/>
        <v>6.7184290824838552E-2</v>
      </c>
      <c r="AF40" s="1242">
        <f t="shared" si="20"/>
        <v>6.789687704880798E-2</v>
      </c>
      <c r="AG40" s="1242">
        <f t="shared" si="20"/>
        <v>6.861702127659583E-2</v>
      </c>
      <c r="AH40" s="1242">
        <f t="shared" si="20"/>
        <v>6.934480367172445E-2</v>
      </c>
      <c r="AI40" s="1242">
        <f t="shared" si="20"/>
        <v>7.0080305247965949E-2</v>
      </c>
      <c r="AJ40" s="1242">
        <f t="shared" si="20"/>
        <v>7.0823607878360187E-2</v>
      </c>
      <c r="AK40" s="1242">
        <f t="shared" si="20"/>
        <v>7.1574794304328587E-2</v>
      </c>
      <c r="AL40" s="1242">
        <f t="shared" si="20"/>
        <v>7.2333948144884641E-2</v>
      </c>
    </row>
    <row r="42" spans="1:38">
      <c r="B42" s="573" t="s">
        <v>1055</v>
      </c>
      <c r="C42" s="574" t="s">
        <v>505</v>
      </c>
      <c r="D42" s="383">
        <f t="shared" ref="D42:AK42" si="21">D6*D40</f>
        <v>10.337723402263327</v>
      </c>
      <c r="E42" s="383">
        <f t="shared" si="21"/>
        <v>10.755505492200461</v>
      </c>
      <c r="F42" s="383">
        <f t="shared" si="21"/>
        <v>11.190171558220182</v>
      </c>
      <c r="G42" s="383">
        <f t="shared" si="21"/>
        <v>11.642403938448579</v>
      </c>
      <c r="H42" s="383">
        <f t="shared" si="21"/>
        <v>16.150550062113222</v>
      </c>
      <c r="I42" s="383">
        <f t="shared" si="21"/>
        <v>16.803247981764152</v>
      </c>
      <c r="J42" s="383">
        <f t="shared" si="21"/>
        <v>17.482323614414213</v>
      </c>
      <c r="K42" s="383">
        <f t="shared" si="21"/>
        <v>18.188842971953633</v>
      </c>
      <c r="L42" s="383">
        <f t="shared" si="21"/>
        <v>18.923915147390002</v>
      </c>
      <c r="M42" s="383">
        <f t="shared" si="21"/>
        <v>19.688694055900811</v>
      </c>
      <c r="N42" s="383">
        <f t="shared" si="21"/>
        <v>20.484380246247721</v>
      </c>
      <c r="O42" s="383">
        <f t="shared" si="21"/>
        <v>21.312222785396202</v>
      </c>
      <c r="P42" s="383">
        <f t="shared" si="21"/>
        <v>22.173521219298902</v>
      </c>
      <c r="Q42" s="383">
        <f t="shared" si="21"/>
        <v>23.069627612920915</v>
      </c>
      <c r="R42" s="383">
        <f t="shared" si="21"/>
        <v>24.001948672709311</v>
      </c>
      <c r="S42" s="383">
        <f t="shared" si="21"/>
        <v>24.971947954838775</v>
      </c>
      <c r="T42" s="383">
        <f t="shared" si="21"/>
        <v>25.9811481626998</v>
      </c>
      <c r="U42" s="383">
        <f t="shared" si="21"/>
        <v>27.031133537236183</v>
      </c>
      <c r="V42" s="383">
        <f t="shared" si="21"/>
        <v>28.123552343884057</v>
      </c>
      <c r="W42" s="383">
        <f t="shared" si="21"/>
        <v>29.260119460016409</v>
      </c>
      <c r="X42" s="383">
        <f t="shared" si="21"/>
        <v>30.442619066954958</v>
      </c>
      <c r="Y42" s="383">
        <f t="shared" si="21"/>
        <v>31.67290745077532</v>
      </c>
      <c r="Z42" s="383">
        <f t="shared" si="21"/>
        <v>32.95291591630199</v>
      </c>
      <c r="AA42" s="383">
        <f t="shared" si="21"/>
        <v>34.284653818867781</v>
      </c>
      <c r="AB42" s="383">
        <f t="shared" si="21"/>
        <v>35.670211718596626</v>
      </c>
      <c r="AC42" s="383">
        <f t="shared" si="21"/>
        <v>37.111764662161811</v>
      </c>
      <c r="AD42" s="383">
        <f t="shared" si="21"/>
        <v>38.611575597170813</v>
      </c>
      <c r="AE42" s="383">
        <f t="shared" si="21"/>
        <v>40.171998924537064</v>
      </c>
      <c r="AF42" s="383">
        <f t="shared" si="21"/>
        <v>41.795484194414854</v>
      </c>
      <c r="AG42" s="383">
        <f t="shared" si="21"/>
        <v>43.484579951499455</v>
      </c>
      <c r="AH42" s="383">
        <f t="shared" si="21"/>
        <v>45.241937735728648</v>
      </c>
      <c r="AI42" s="383">
        <f t="shared" si="21"/>
        <v>47.070316244666138</v>
      </c>
      <c r="AJ42" s="383">
        <f t="shared" si="21"/>
        <v>48.972585664100691</v>
      </c>
      <c r="AK42" s="383">
        <f t="shared" si="21"/>
        <v>50.951732173659444</v>
      </c>
      <c r="AL42" s="383">
        <f t="shared" ref="AL42" si="22">AL6*AL40</f>
        <v>53.010862634508115</v>
      </c>
    </row>
    <row r="43" spans="1:38">
      <c r="B43" s="573" t="s">
        <v>1056</v>
      </c>
      <c r="C43" s="574" t="s">
        <v>490</v>
      </c>
      <c r="D43" s="383">
        <f>D42*$C$13/2</f>
        <v>46.519755310184969</v>
      </c>
      <c r="E43" s="383">
        <f t="shared" ref="E43:AK43" si="23">E42*$C$13/2</f>
        <v>48.399774714902073</v>
      </c>
      <c r="F43" s="383">
        <f t="shared" si="23"/>
        <v>50.355772011990823</v>
      </c>
      <c r="G43" s="383">
        <f t="shared" si="23"/>
        <v>52.390817723018607</v>
      </c>
      <c r="H43" s="383">
        <f t="shared" si="23"/>
        <v>72.677475279509494</v>
      </c>
      <c r="I43" s="383">
        <f t="shared" si="23"/>
        <v>75.614615917938679</v>
      </c>
      <c r="J43" s="383">
        <f t="shared" si="23"/>
        <v>78.670456264863958</v>
      </c>
      <c r="K43" s="383">
        <f t="shared" si="23"/>
        <v>81.849793373791357</v>
      </c>
      <c r="L43" s="383">
        <f t="shared" si="23"/>
        <v>85.157618163255009</v>
      </c>
      <c r="M43" s="383">
        <f t="shared" si="23"/>
        <v>88.59912325155365</v>
      </c>
      <c r="N43" s="383">
        <f t="shared" si="23"/>
        <v>92.179711108114745</v>
      </c>
      <c r="O43" s="383">
        <f t="shared" si="23"/>
        <v>95.905002534282914</v>
      </c>
      <c r="P43" s="383">
        <f t="shared" si="23"/>
        <v>99.780845486845053</v>
      </c>
      <c r="Q43" s="383">
        <f t="shared" si="23"/>
        <v>103.81332425814412</v>
      </c>
      <c r="R43" s="383">
        <f t="shared" si="23"/>
        <v>108.0087690271919</v>
      </c>
      <c r="S43" s="383">
        <f t="shared" si="23"/>
        <v>112.37376579677449</v>
      </c>
      <c r="T43" s="383">
        <f t="shared" si="23"/>
        <v>116.9151667321491</v>
      </c>
      <c r="U43" s="383">
        <f t="shared" si="23"/>
        <v>121.64010091756282</v>
      </c>
      <c r="V43" s="383">
        <f t="shared" si="23"/>
        <v>126.55598554747826</v>
      </c>
      <c r="W43" s="383">
        <f t="shared" si="23"/>
        <v>131.67053757007383</v>
      </c>
      <c r="X43" s="383">
        <f t="shared" si="23"/>
        <v>136.99178580129731</v>
      </c>
      <c r="Y43" s="383">
        <f t="shared" si="23"/>
        <v>142.52808352848893</v>
      </c>
      <c r="Z43" s="383">
        <f t="shared" si="23"/>
        <v>148.28812162335896</v>
      </c>
      <c r="AA43" s="383">
        <f t="shared" si="23"/>
        <v>154.28094218490503</v>
      </c>
      <c r="AB43" s="383">
        <f t="shared" si="23"/>
        <v>160.51595273368483</v>
      </c>
      <c r="AC43" s="383">
        <f t="shared" si="23"/>
        <v>167.00294097972815</v>
      </c>
      <c r="AD43" s="383">
        <f t="shared" si="23"/>
        <v>173.75209018726866</v>
      </c>
      <c r="AE43" s="383">
        <f t="shared" si="23"/>
        <v>180.7739951604168</v>
      </c>
      <c r="AF43" s="383">
        <f t="shared" si="23"/>
        <v>188.07967887486683</v>
      </c>
      <c r="AG43" s="383">
        <f t="shared" si="23"/>
        <v>195.68060978174753</v>
      </c>
      <c r="AH43" s="383">
        <f t="shared" si="23"/>
        <v>203.58871981077891</v>
      </c>
      <c r="AI43" s="383">
        <f t="shared" si="23"/>
        <v>211.81642310099761</v>
      </c>
      <c r="AJ43" s="383">
        <f t="shared" si="23"/>
        <v>220.3766354884531</v>
      </c>
      <c r="AK43" s="383">
        <f t="shared" si="23"/>
        <v>229.28279478146749</v>
      </c>
      <c r="AL43" s="383">
        <f t="shared" ref="AL43" si="24">AL42*$C$13/2</f>
        <v>238.54888185528651</v>
      </c>
    </row>
    <row r="44" spans="1:38">
      <c r="B44" s="575" t="s">
        <v>1057</v>
      </c>
      <c r="C44" s="574" t="s">
        <v>443</v>
      </c>
      <c r="D44" s="383">
        <f>D43/Minutes.per.Hour*Days.Per.Year</f>
        <v>282.99517813695854</v>
      </c>
      <c r="E44" s="383">
        <f t="shared" ref="E44:AK44" si="25">E43/Minutes.per.Hour*Days.Per.Year</f>
        <v>294.43196284898761</v>
      </c>
      <c r="F44" s="383">
        <f t="shared" si="25"/>
        <v>306.33094640627752</v>
      </c>
      <c r="G44" s="383">
        <f t="shared" si="25"/>
        <v>318.71080781502985</v>
      </c>
      <c r="H44" s="383">
        <f t="shared" si="25"/>
        <v>442.12130795034943</v>
      </c>
      <c r="I44" s="383">
        <f t="shared" si="25"/>
        <v>459.98891350079361</v>
      </c>
      <c r="J44" s="383">
        <f t="shared" si="25"/>
        <v>478.57860894458906</v>
      </c>
      <c r="K44" s="383">
        <f t="shared" si="25"/>
        <v>497.91957635723077</v>
      </c>
      <c r="L44" s="383">
        <f t="shared" si="25"/>
        <v>518.04217715980133</v>
      </c>
      <c r="M44" s="383">
        <f t="shared" si="25"/>
        <v>538.97799978028468</v>
      </c>
      <c r="N44" s="383">
        <f t="shared" si="25"/>
        <v>560.75990924103132</v>
      </c>
      <c r="O44" s="383">
        <f t="shared" si="25"/>
        <v>583.42209875022104</v>
      </c>
      <c r="P44" s="383">
        <f t="shared" si="25"/>
        <v>607.00014337830748</v>
      </c>
      <c r="Q44" s="383">
        <f t="shared" si="25"/>
        <v>631.53105590371013</v>
      </c>
      <c r="R44" s="383">
        <f t="shared" si="25"/>
        <v>657.05334491541737</v>
      </c>
      <c r="S44" s="383">
        <f t="shared" si="25"/>
        <v>683.60707526371152</v>
      </c>
      <c r="T44" s="383">
        <f t="shared" si="25"/>
        <v>711.23393095390702</v>
      </c>
      <c r="U44" s="383">
        <f t="shared" si="25"/>
        <v>739.97728058184043</v>
      </c>
      <c r="V44" s="383">
        <f t="shared" si="25"/>
        <v>769.88224541382601</v>
      </c>
      <c r="W44" s="383">
        <f t="shared" si="25"/>
        <v>800.99577021794903</v>
      </c>
      <c r="X44" s="383">
        <f t="shared" si="25"/>
        <v>833.36669695789192</v>
      </c>
      <c r="Y44" s="383">
        <f t="shared" si="25"/>
        <v>867.04584146497427</v>
      </c>
      <c r="Z44" s="383">
        <f t="shared" si="25"/>
        <v>902.08607320876695</v>
      </c>
      <c r="AA44" s="383">
        <f t="shared" si="25"/>
        <v>938.54239829150561</v>
      </c>
      <c r="AB44" s="383">
        <f t="shared" si="25"/>
        <v>976.47204579658273</v>
      </c>
      <c r="AC44" s="383">
        <f t="shared" si="25"/>
        <v>1015.9345576266795</v>
      </c>
      <c r="AD44" s="383">
        <f t="shared" si="25"/>
        <v>1056.991881972551</v>
      </c>
      <c r="AE44" s="383">
        <f t="shared" si="25"/>
        <v>1099.7084705592022</v>
      </c>
      <c r="AF44" s="383">
        <f t="shared" si="25"/>
        <v>1144.1513798221065</v>
      </c>
      <c r="AG44" s="383">
        <f t="shared" si="25"/>
        <v>1190.3903761722975</v>
      </c>
      <c r="AH44" s="383">
        <f t="shared" si="25"/>
        <v>1238.4980455155717</v>
      </c>
      <c r="AI44" s="383">
        <f t="shared" si="25"/>
        <v>1288.5499071977354</v>
      </c>
      <c r="AJ44" s="383">
        <f t="shared" si="25"/>
        <v>1340.6245325547566</v>
      </c>
      <c r="AK44" s="383">
        <f t="shared" si="25"/>
        <v>1394.8036682539273</v>
      </c>
      <c r="AL44" s="383">
        <f t="shared" ref="AL44" si="26">AL43/Minutes.per.Hour*Days.Per.Year</f>
        <v>1451.1723646196594</v>
      </c>
    </row>
    <row r="46" spans="1:38">
      <c r="B46" s="575" t="s">
        <v>745</v>
      </c>
      <c r="C46" s="574" t="s">
        <v>443</v>
      </c>
      <c r="D46" s="383">
        <f>D44</f>
        <v>282.99517813695854</v>
      </c>
      <c r="E46" s="383">
        <f t="shared" ref="E46:AK46" si="27">E44</f>
        <v>294.43196284898761</v>
      </c>
      <c r="F46" s="383">
        <f t="shared" si="27"/>
        <v>306.33094640627752</v>
      </c>
      <c r="G46" s="383">
        <f t="shared" si="27"/>
        <v>318.71080781502985</v>
      </c>
      <c r="H46" s="383">
        <f t="shared" si="27"/>
        <v>442.12130795034943</v>
      </c>
      <c r="I46" s="383">
        <f t="shared" si="27"/>
        <v>459.98891350079361</v>
      </c>
      <c r="J46" s="383">
        <f t="shared" si="27"/>
        <v>478.57860894458906</v>
      </c>
      <c r="K46" s="383">
        <f t="shared" si="27"/>
        <v>497.91957635723077</v>
      </c>
      <c r="L46" s="383">
        <f t="shared" si="27"/>
        <v>518.04217715980133</v>
      </c>
      <c r="M46" s="383">
        <f t="shared" si="27"/>
        <v>538.97799978028468</v>
      </c>
      <c r="N46" s="383">
        <f t="shared" si="27"/>
        <v>560.75990924103132</v>
      </c>
      <c r="O46" s="383">
        <f t="shared" si="27"/>
        <v>583.42209875022104</v>
      </c>
      <c r="P46" s="383">
        <f t="shared" si="27"/>
        <v>607.00014337830748</v>
      </c>
      <c r="Q46" s="383">
        <f t="shared" si="27"/>
        <v>631.53105590371013</v>
      </c>
      <c r="R46" s="383">
        <f t="shared" si="27"/>
        <v>657.05334491541737</v>
      </c>
      <c r="S46" s="383">
        <f t="shared" si="27"/>
        <v>683.60707526371152</v>
      </c>
      <c r="T46" s="383">
        <f t="shared" si="27"/>
        <v>711.23393095390702</v>
      </c>
      <c r="U46" s="383">
        <f t="shared" si="27"/>
        <v>739.97728058184043</v>
      </c>
      <c r="V46" s="383">
        <f t="shared" si="27"/>
        <v>769.88224541382601</v>
      </c>
      <c r="W46" s="383">
        <f t="shared" si="27"/>
        <v>800.99577021794903</v>
      </c>
      <c r="X46" s="383">
        <f t="shared" si="27"/>
        <v>833.36669695789192</v>
      </c>
      <c r="Y46" s="383">
        <f t="shared" si="27"/>
        <v>867.04584146497427</v>
      </c>
      <c r="Z46" s="383">
        <f t="shared" si="27"/>
        <v>902.08607320876695</v>
      </c>
      <c r="AA46" s="383">
        <f t="shared" si="27"/>
        <v>938.54239829150561</v>
      </c>
      <c r="AB46" s="383">
        <f t="shared" si="27"/>
        <v>976.47204579658273</v>
      </c>
      <c r="AC46" s="383">
        <f t="shared" si="27"/>
        <v>1015.9345576266795</v>
      </c>
      <c r="AD46" s="383">
        <f t="shared" si="27"/>
        <v>1056.991881972551</v>
      </c>
      <c r="AE46" s="383">
        <f t="shared" si="27"/>
        <v>1099.7084705592022</v>
      </c>
      <c r="AF46" s="383">
        <f t="shared" si="27"/>
        <v>1144.1513798221065</v>
      </c>
      <c r="AG46" s="383">
        <f t="shared" si="27"/>
        <v>1190.3903761722975</v>
      </c>
      <c r="AH46" s="383">
        <f t="shared" si="27"/>
        <v>1238.4980455155717</v>
      </c>
      <c r="AI46" s="383">
        <f t="shared" si="27"/>
        <v>1288.5499071977354</v>
      </c>
      <c r="AJ46" s="383">
        <f t="shared" si="27"/>
        <v>1340.6245325547566</v>
      </c>
      <c r="AK46" s="383">
        <f t="shared" si="27"/>
        <v>1394.8036682539273</v>
      </c>
      <c r="AL46" s="383">
        <f t="shared" ref="AL46" si="28">AL44</f>
        <v>1451.1723646196594</v>
      </c>
    </row>
    <row r="48" spans="1:38">
      <c r="B48" s="358" t="s">
        <v>508</v>
      </c>
      <c r="C48" s="358" t="s">
        <v>443</v>
      </c>
      <c r="D48" s="383">
        <f t="shared" ref="D48:AK48" si="29">D$46*$C22</f>
        <v>282.42918778068463</v>
      </c>
      <c r="E48" s="383">
        <f t="shared" si="29"/>
        <v>293.84309892328963</v>
      </c>
      <c r="F48" s="383">
        <f t="shared" si="29"/>
        <v>305.71828451346494</v>
      </c>
      <c r="G48" s="383">
        <f t="shared" si="29"/>
        <v>318.07338619939981</v>
      </c>
      <c r="H48" s="383">
        <f t="shared" si="29"/>
        <v>441.23706533444874</v>
      </c>
      <c r="I48" s="383">
        <f t="shared" si="29"/>
        <v>459.06893567379205</v>
      </c>
      <c r="J48" s="383">
        <f t="shared" si="29"/>
        <v>477.62145172669989</v>
      </c>
      <c r="K48" s="383">
        <f t="shared" si="29"/>
        <v>496.92373720451633</v>
      </c>
      <c r="L48" s="383">
        <f t="shared" si="29"/>
        <v>517.00609280548167</v>
      </c>
      <c r="M48" s="383">
        <f t="shared" si="29"/>
        <v>537.9000437807241</v>
      </c>
      <c r="N48" s="383">
        <f t="shared" si="29"/>
        <v>559.63838942254927</v>
      </c>
      <c r="O48" s="383">
        <f t="shared" si="29"/>
        <v>582.25525455272054</v>
      </c>
      <c r="P48" s="383">
        <f t="shared" si="29"/>
        <v>605.78614309155091</v>
      </c>
      <c r="Q48" s="383">
        <f t="shared" si="29"/>
        <v>630.26799379190265</v>
      </c>
      <c r="R48" s="383">
        <f t="shared" si="29"/>
        <v>655.73923822558652</v>
      </c>
      <c r="S48" s="383">
        <f t="shared" si="29"/>
        <v>682.23986111318413</v>
      </c>
      <c r="T48" s="383">
        <f t="shared" si="29"/>
        <v>709.81146309199926</v>
      </c>
      <c r="U48" s="383">
        <f t="shared" si="29"/>
        <v>738.49732602067672</v>
      </c>
      <c r="V48" s="383">
        <f t="shared" si="29"/>
        <v>768.34248092299833</v>
      </c>
      <c r="W48" s="383">
        <f t="shared" si="29"/>
        <v>799.39377867751318</v>
      </c>
      <c r="X48" s="383">
        <f t="shared" si="29"/>
        <v>831.6999635639761</v>
      </c>
      <c r="Y48" s="383">
        <f t="shared" si="29"/>
        <v>865.31174978204433</v>
      </c>
      <c r="Z48" s="383">
        <f t="shared" si="29"/>
        <v>900.28190106234945</v>
      </c>
      <c r="AA48" s="383">
        <f t="shared" si="29"/>
        <v>936.66531349492254</v>
      </c>
      <c r="AB48" s="383">
        <f t="shared" si="29"/>
        <v>974.51910170498957</v>
      </c>
      <c r="AC48" s="383">
        <f t="shared" si="29"/>
        <v>1013.9026885114262</v>
      </c>
      <c r="AD48" s="383">
        <f t="shared" si="29"/>
        <v>1054.877898208606</v>
      </c>
      <c r="AE48" s="383">
        <f t="shared" si="29"/>
        <v>1097.5090536180837</v>
      </c>
      <c r="AF48" s="383">
        <f t="shared" si="29"/>
        <v>1141.8630770624623</v>
      </c>
      <c r="AG48" s="383">
        <f t="shared" si="29"/>
        <v>1188.0095954199528</v>
      </c>
      <c r="AH48" s="383">
        <f t="shared" si="29"/>
        <v>1236.0210494245405</v>
      </c>
      <c r="AI48" s="383">
        <f t="shared" si="29"/>
        <v>1285.9728073833398</v>
      </c>
      <c r="AJ48" s="383">
        <f t="shared" si="29"/>
        <v>1337.943283489647</v>
      </c>
      <c r="AK48" s="383">
        <f t="shared" si="29"/>
        <v>1392.0140609174193</v>
      </c>
      <c r="AL48" s="383">
        <f t="shared" ref="AL48" si="30">AL$46*$C22</f>
        <v>1448.2700198904201</v>
      </c>
    </row>
    <row r="49" spans="2:38">
      <c r="B49" s="358" t="s">
        <v>509</v>
      </c>
      <c r="C49" s="358" t="s">
        <v>443</v>
      </c>
      <c r="D49" s="383">
        <f t="shared" ref="D49:AK49" si="31">D$46*$C23</f>
        <v>0.56599035627391714</v>
      </c>
      <c r="E49" s="383">
        <f t="shared" si="31"/>
        <v>0.58886392569797519</v>
      </c>
      <c r="F49" s="383">
        <f t="shared" si="31"/>
        <v>0.61266189281255501</v>
      </c>
      <c r="G49" s="383">
        <f t="shared" si="31"/>
        <v>0.63742161563005972</v>
      </c>
      <c r="H49" s="383">
        <f t="shared" si="31"/>
        <v>0.88424261590069886</v>
      </c>
      <c r="I49" s="383">
        <f t="shared" si="31"/>
        <v>0.91997782700158726</v>
      </c>
      <c r="J49" s="383">
        <f t="shared" si="31"/>
        <v>0.95715721788917818</v>
      </c>
      <c r="K49" s="383">
        <f t="shared" si="31"/>
        <v>0.99583915271446155</v>
      </c>
      <c r="L49" s="383">
        <f t="shared" si="31"/>
        <v>1.0360843543196028</v>
      </c>
      <c r="M49" s="383">
        <f t="shared" si="31"/>
        <v>1.0779559995605694</v>
      </c>
      <c r="N49" s="383">
        <f t="shared" si="31"/>
        <v>1.1215198184820627</v>
      </c>
      <c r="O49" s="383">
        <f t="shared" si="31"/>
        <v>1.166844197500442</v>
      </c>
      <c r="P49" s="383">
        <f t="shared" si="31"/>
        <v>1.2140002867566151</v>
      </c>
      <c r="Q49" s="383">
        <f t="shared" si="31"/>
        <v>1.2630621118074203</v>
      </c>
      <c r="R49" s="383">
        <f t="shared" si="31"/>
        <v>1.3141066898308347</v>
      </c>
      <c r="S49" s="383">
        <f t="shared" si="31"/>
        <v>1.3672141505274231</v>
      </c>
      <c r="T49" s="383">
        <f t="shared" si="31"/>
        <v>1.4224678619078142</v>
      </c>
      <c r="U49" s="383">
        <f t="shared" si="31"/>
        <v>1.4799545611636808</v>
      </c>
      <c r="V49" s="383">
        <f t="shared" si="31"/>
        <v>1.539764490827652</v>
      </c>
      <c r="W49" s="383">
        <f t="shared" si="31"/>
        <v>1.6019915404358982</v>
      </c>
      <c r="X49" s="383">
        <f t="shared" si="31"/>
        <v>1.6667333939157838</v>
      </c>
      <c r="Y49" s="383">
        <f t="shared" si="31"/>
        <v>1.7340916829299486</v>
      </c>
      <c r="Z49" s="383">
        <f t="shared" si="31"/>
        <v>1.804172146417534</v>
      </c>
      <c r="AA49" s="383">
        <f t="shared" si="31"/>
        <v>1.8770847965830113</v>
      </c>
      <c r="AB49" s="383">
        <f t="shared" si="31"/>
        <v>1.9529440915931655</v>
      </c>
      <c r="AC49" s="383">
        <f t="shared" si="31"/>
        <v>2.0318691152533592</v>
      </c>
      <c r="AD49" s="383">
        <f t="shared" si="31"/>
        <v>2.113983763945102</v>
      </c>
      <c r="AE49" s="383">
        <f t="shared" si="31"/>
        <v>2.1994169411184044</v>
      </c>
      <c r="AF49" s="383">
        <f t="shared" si="31"/>
        <v>2.2883027596442131</v>
      </c>
      <c r="AG49" s="383">
        <f t="shared" si="31"/>
        <v>2.3807807523445952</v>
      </c>
      <c r="AH49" s="383">
        <f t="shared" si="31"/>
        <v>2.4769960910311433</v>
      </c>
      <c r="AI49" s="383">
        <f t="shared" si="31"/>
        <v>2.5770998143954706</v>
      </c>
      <c r="AJ49" s="383">
        <f t="shared" si="31"/>
        <v>2.6812490651095131</v>
      </c>
      <c r="AK49" s="383">
        <f t="shared" si="31"/>
        <v>2.7896073365078546</v>
      </c>
      <c r="AL49" s="383">
        <f t="shared" ref="AL49" si="32">AL$46*$C23</f>
        <v>2.902344729239319</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1172" t="s">
        <v>788</v>
      </c>
      <c r="C52" s="358" t="s">
        <v>295</v>
      </c>
      <c r="D52" s="383">
        <f>D48*$C$29</f>
        <v>100.96843463159475</v>
      </c>
      <c r="E52" s="383">
        <f>E48*$C$29</f>
        <v>105.04890786507603</v>
      </c>
      <c r="F52" s="383">
        <f t="shared" ref="F52:AK52" si="35">F48*$C$29</f>
        <v>109.29428671356371</v>
      </c>
      <c r="G52" s="383">
        <f t="shared" si="35"/>
        <v>113.71123556628542</v>
      </c>
      <c r="H52" s="383">
        <f t="shared" si="35"/>
        <v>157.74225085706541</v>
      </c>
      <c r="I52" s="383">
        <f t="shared" si="35"/>
        <v>164.11714450338064</v>
      </c>
      <c r="J52" s="383">
        <f t="shared" si="35"/>
        <v>170.7496689922952</v>
      </c>
      <c r="K52" s="383">
        <f t="shared" si="35"/>
        <v>177.65023605061458</v>
      </c>
      <c r="L52" s="383">
        <f t="shared" si="35"/>
        <v>184.82967817795969</v>
      </c>
      <c r="M52" s="383">
        <f t="shared" si="35"/>
        <v>192.29926565160886</v>
      </c>
      <c r="N52" s="383">
        <f t="shared" si="35"/>
        <v>200.07072421856137</v>
      </c>
      <c r="O52" s="383">
        <f t="shared" si="35"/>
        <v>208.15625350259759</v>
      </c>
      <c r="P52" s="383">
        <f t="shared" si="35"/>
        <v>216.56854615522946</v>
      </c>
      <c r="Q52" s="383">
        <f t="shared" si="35"/>
        <v>225.32080778060518</v>
      </c>
      <c r="R52" s="383">
        <f t="shared" si="35"/>
        <v>234.42677766564717</v>
      </c>
      <c r="S52" s="383">
        <f t="shared" si="35"/>
        <v>243.90075034796331</v>
      </c>
      <c r="T52" s="383">
        <f t="shared" si="35"/>
        <v>253.75759805538974</v>
      </c>
      <c r="U52" s="383">
        <f t="shared" si="35"/>
        <v>264.01279405239194</v>
      </c>
      <c r="V52" s="383">
        <f t="shared" si="35"/>
        <v>274.68243692997191</v>
      </c>
      <c r="W52" s="383">
        <f t="shared" si="35"/>
        <v>285.78327587721094</v>
      </c>
      <c r="X52" s="383">
        <f t="shared" si="35"/>
        <v>297.33273697412142</v>
      </c>
      <c r="Y52" s="383">
        <f t="shared" si="35"/>
        <v>309.34895054708085</v>
      </c>
      <c r="Z52" s="383">
        <f t="shared" si="35"/>
        <v>321.85077962978994</v>
      </c>
      <c r="AA52" s="383">
        <f t="shared" si="35"/>
        <v>334.85784957443479</v>
      </c>
      <c r="AB52" s="383">
        <f t="shared" si="35"/>
        <v>348.39057885953378</v>
      </c>
      <c r="AC52" s="383">
        <f t="shared" si="35"/>
        <v>362.47021114283484</v>
      </c>
      <c r="AD52" s="383">
        <f t="shared" si="35"/>
        <v>377.11884860957662</v>
      </c>
      <c r="AE52" s="383">
        <f t="shared" si="35"/>
        <v>392.35948666846491</v>
      </c>
      <c r="AF52" s="383">
        <f t="shared" si="35"/>
        <v>408.21605004983024</v>
      </c>
      <c r="AG52" s="383">
        <f t="shared" si="35"/>
        <v>424.71343036263312</v>
      </c>
      <c r="AH52" s="383">
        <f t="shared" si="35"/>
        <v>441.87752516927321</v>
      </c>
      <c r="AI52" s="383">
        <f t="shared" si="35"/>
        <v>459.73527863954399</v>
      </c>
      <c r="AJ52" s="383">
        <f t="shared" si="35"/>
        <v>478.31472384754881</v>
      </c>
      <c r="AK52" s="383">
        <f t="shared" si="35"/>
        <v>497.64502677797736</v>
      </c>
      <c r="AL52" s="383">
        <f t="shared" ref="AL52" si="36">AL48*$C$29</f>
        <v>517.75653211082522</v>
      </c>
    </row>
    <row r="53" spans="2:38">
      <c r="B53" s="1172" t="s">
        <v>789</v>
      </c>
      <c r="C53" s="358" t="s">
        <v>295</v>
      </c>
      <c r="D53" s="383">
        <f>D49*$C$30+D50*$C$31</f>
        <v>0.47543189927009039</v>
      </c>
      <c r="E53" s="383">
        <f t="shared" ref="E53:AK53" si="37">E49*$C$30+E50*$C$31</f>
        <v>0.49464569758629912</v>
      </c>
      <c r="F53" s="383">
        <f t="shared" si="37"/>
        <v>0.51463598996254623</v>
      </c>
      <c r="G53" s="383">
        <f t="shared" si="37"/>
        <v>0.53543415712925013</v>
      </c>
      <c r="H53" s="383">
        <f t="shared" si="37"/>
        <v>0.74276379735658704</v>
      </c>
      <c r="I53" s="383">
        <f t="shared" si="37"/>
        <v>0.77278137468133323</v>
      </c>
      <c r="J53" s="383">
        <f t="shared" si="37"/>
        <v>0.80401206302690964</v>
      </c>
      <c r="K53" s="383">
        <f t="shared" si="37"/>
        <v>0.83650488828014768</v>
      </c>
      <c r="L53" s="383">
        <f t="shared" si="37"/>
        <v>0.87031085762846627</v>
      </c>
      <c r="M53" s="383">
        <f t="shared" si="37"/>
        <v>0.90548303963087828</v>
      </c>
      <c r="N53" s="383">
        <f t="shared" si="37"/>
        <v>0.9420766475249327</v>
      </c>
      <c r="O53" s="383">
        <f t="shared" si="37"/>
        <v>0.98014912590037129</v>
      </c>
      <c r="P53" s="383">
        <f t="shared" si="37"/>
        <v>1.0197602408755566</v>
      </c>
      <c r="Q53" s="383">
        <f t="shared" si="37"/>
        <v>1.060972173918233</v>
      </c>
      <c r="R53" s="383">
        <f t="shared" si="37"/>
        <v>1.1038496194579011</v>
      </c>
      <c r="S53" s="383">
        <f t="shared" si="37"/>
        <v>1.1484598864430353</v>
      </c>
      <c r="T53" s="383">
        <f t="shared" si="37"/>
        <v>1.1948730040025639</v>
      </c>
      <c r="U53" s="383">
        <f t="shared" si="37"/>
        <v>1.2431618313774919</v>
      </c>
      <c r="V53" s="383">
        <f t="shared" si="37"/>
        <v>1.2934021722952276</v>
      </c>
      <c r="W53" s="383">
        <f t="shared" si="37"/>
        <v>1.3456728939661544</v>
      </c>
      <c r="X53" s="383">
        <f t="shared" si="37"/>
        <v>1.4000560508892583</v>
      </c>
      <c r="Y53" s="383">
        <f t="shared" si="37"/>
        <v>1.4566370136611568</v>
      </c>
      <c r="Z53" s="383">
        <f t="shared" si="37"/>
        <v>1.5155046029907284</v>
      </c>
      <c r="AA53" s="383">
        <f t="shared" si="37"/>
        <v>1.5767512291297294</v>
      </c>
      <c r="AB53" s="383">
        <f t="shared" si="37"/>
        <v>1.640473036938259</v>
      </c>
      <c r="AC53" s="383">
        <f t="shared" si="37"/>
        <v>1.7067700568128217</v>
      </c>
      <c r="AD53" s="383">
        <f t="shared" si="37"/>
        <v>1.7757463617138856</v>
      </c>
      <c r="AE53" s="383">
        <f t="shared" si="37"/>
        <v>1.8475102305394595</v>
      </c>
      <c r="AF53" s="383">
        <f t="shared" si="37"/>
        <v>1.922174318101139</v>
      </c>
      <c r="AG53" s="383">
        <f t="shared" si="37"/>
        <v>1.9998558319694599</v>
      </c>
      <c r="AH53" s="383">
        <f t="shared" si="37"/>
        <v>2.0806767164661601</v>
      </c>
      <c r="AI53" s="383">
        <f t="shared" si="37"/>
        <v>2.1647638440921955</v>
      </c>
      <c r="AJ53" s="383">
        <f t="shared" si="37"/>
        <v>2.2522492146919908</v>
      </c>
      <c r="AK53" s="383">
        <f t="shared" si="37"/>
        <v>2.3432701626665979</v>
      </c>
      <c r="AL53" s="383">
        <f t="shared" ref="AL53" si="38">AL49*$C$30+AL50*$C$31</f>
        <v>2.4379695725610278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theme="4" tint="0.39997558519241921"/>
  </sheetPr>
  <dimension ref="A1:AL205"/>
  <sheetViews>
    <sheetView showGridLines="0" workbookViewId="0">
      <pane ySplit="4" topLeftCell="A5"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AL11"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si="0"/>
        <v>12071000</v>
      </c>
      <c r="W9" s="498">
        <f t="shared" si="0"/>
        <v>12071000</v>
      </c>
      <c r="X9" s="498">
        <f t="shared" si="0"/>
        <v>12071000</v>
      </c>
      <c r="Y9" s="498">
        <f t="shared" si="0"/>
        <v>12071000</v>
      </c>
      <c r="Z9" s="498">
        <f t="shared" si="0"/>
        <v>12071000</v>
      </c>
      <c r="AA9" s="498">
        <f t="shared" si="0"/>
        <v>12071000</v>
      </c>
      <c r="AB9" s="498">
        <f t="shared" si="0"/>
        <v>12071000</v>
      </c>
      <c r="AC9" s="498">
        <f t="shared" si="0"/>
        <v>12071000</v>
      </c>
      <c r="AD9" s="498">
        <f t="shared" si="0"/>
        <v>12071000</v>
      </c>
      <c r="AE9" s="498">
        <f t="shared" si="0"/>
        <v>12071000</v>
      </c>
      <c r="AF9" s="498">
        <f t="shared" si="0"/>
        <v>12071000</v>
      </c>
      <c r="AG9" s="498">
        <f t="shared" si="0"/>
        <v>12071000</v>
      </c>
      <c r="AH9" s="498">
        <f t="shared" si="0"/>
        <v>12071000</v>
      </c>
      <c r="AI9" s="498">
        <f t="shared" si="0"/>
        <v>12071000</v>
      </c>
      <c r="AJ9" s="498">
        <f t="shared" si="0"/>
        <v>12071000</v>
      </c>
      <c r="AK9" s="498">
        <f t="shared" si="0"/>
        <v>12071000</v>
      </c>
      <c r="AL9" s="498">
        <f t="shared" si="0"/>
        <v>12071000</v>
      </c>
    </row>
    <row r="10" spans="1:38">
      <c r="B10" s="476" t="s">
        <v>973</v>
      </c>
      <c r="C10" s="384" t="s">
        <v>1075</v>
      </c>
      <c r="D10" s="498">
        <f>'General Inputs'!D24</f>
        <v>284100</v>
      </c>
      <c r="E10" s="498">
        <f t="shared" ref="E10:T11" si="1">D10*(1+$C$8)</f>
        <v>284100</v>
      </c>
      <c r="F10" s="498">
        <f t="shared" si="1"/>
        <v>284100</v>
      </c>
      <c r="G10" s="498">
        <f t="shared" si="1"/>
        <v>284100</v>
      </c>
      <c r="H10" s="498">
        <f t="shared" si="1"/>
        <v>284100</v>
      </c>
      <c r="I10" s="498">
        <f t="shared" si="1"/>
        <v>284100</v>
      </c>
      <c r="J10" s="498">
        <f t="shared" si="1"/>
        <v>284100</v>
      </c>
      <c r="K10" s="498">
        <f t="shared" si="1"/>
        <v>284100</v>
      </c>
      <c r="L10" s="498">
        <f t="shared" si="1"/>
        <v>284100</v>
      </c>
      <c r="M10" s="498">
        <f t="shared" si="1"/>
        <v>284100</v>
      </c>
      <c r="N10" s="498">
        <f t="shared" si="1"/>
        <v>284100</v>
      </c>
      <c r="O10" s="498">
        <f t="shared" si="1"/>
        <v>284100</v>
      </c>
      <c r="P10" s="498">
        <f t="shared" si="1"/>
        <v>284100</v>
      </c>
      <c r="Q10" s="498">
        <f t="shared" si="1"/>
        <v>284100</v>
      </c>
      <c r="R10" s="498">
        <f t="shared" si="1"/>
        <v>284100</v>
      </c>
      <c r="S10" s="498">
        <f t="shared" si="1"/>
        <v>284100</v>
      </c>
      <c r="T10" s="498">
        <f t="shared" si="1"/>
        <v>284100</v>
      </c>
      <c r="U10" s="498">
        <f t="shared" si="0"/>
        <v>284100</v>
      </c>
      <c r="V10" s="498">
        <f t="shared" si="0"/>
        <v>284100</v>
      </c>
      <c r="W10" s="498">
        <f t="shared" si="0"/>
        <v>284100</v>
      </c>
      <c r="X10" s="498">
        <f t="shared" si="0"/>
        <v>284100</v>
      </c>
      <c r="Y10" s="498">
        <f t="shared" si="0"/>
        <v>284100</v>
      </c>
      <c r="Z10" s="498">
        <f t="shared" si="0"/>
        <v>284100</v>
      </c>
      <c r="AA10" s="498">
        <f t="shared" si="0"/>
        <v>284100</v>
      </c>
      <c r="AB10" s="498">
        <f t="shared" si="0"/>
        <v>284100</v>
      </c>
      <c r="AC10" s="498">
        <f t="shared" si="0"/>
        <v>284100</v>
      </c>
      <c r="AD10" s="498">
        <f t="shared" si="0"/>
        <v>284100</v>
      </c>
      <c r="AE10" s="498">
        <f t="shared" si="0"/>
        <v>284100</v>
      </c>
      <c r="AF10" s="498">
        <f t="shared" si="0"/>
        <v>284100</v>
      </c>
      <c r="AG10" s="498">
        <f t="shared" si="0"/>
        <v>284100</v>
      </c>
      <c r="AH10" s="498">
        <f t="shared" si="0"/>
        <v>284100</v>
      </c>
      <c r="AI10" s="498">
        <f t="shared" si="0"/>
        <v>284100</v>
      </c>
      <c r="AJ10" s="498">
        <f t="shared" si="0"/>
        <v>284100</v>
      </c>
      <c r="AK10" s="498">
        <f t="shared" si="0"/>
        <v>284100</v>
      </c>
      <c r="AL10" s="498">
        <f t="shared" si="0"/>
        <v>284100</v>
      </c>
    </row>
    <row r="11" spans="1:38">
      <c r="B11" s="476" t="s">
        <v>451</v>
      </c>
      <c r="C11" s="473" t="s">
        <v>453</v>
      </c>
      <c r="D11" s="498">
        <f>'General Inputs'!D25</f>
        <v>4500</v>
      </c>
      <c r="E11" s="498">
        <f t="shared" si="1"/>
        <v>4500</v>
      </c>
      <c r="F11" s="498">
        <f t="shared" si="1"/>
        <v>4500</v>
      </c>
      <c r="G11" s="498">
        <f t="shared" si="1"/>
        <v>4500</v>
      </c>
      <c r="H11" s="498">
        <f t="shared" si="1"/>
        <v>4500</v>
      </c>
      <c r="I11" s="498">
        <f t="shared" si="1"/>
        <v>4500</v>
      </c>
      <c r="J11" s="498">
        <f t="shared" si="1"/>
        <v>4500</v>
      </c>
      <c r="K11" s="498">
        <f t="shared" si="1"/>
        <v>4500</v>
      </c>
      <c r="L11" s="498">
        <f t="shared" si="1"/>
        <v>4500</v>
      </c>
      <c r="M11" s="498">
        <f t="shared" si="1"/>
        <v>4500</v>
      </c>
      <c r="N11" s="498">
        <f t="shared" si="1"/>
        <v>4500</v>
      </c>
      <c r="O11" s="498">
        <f t="shared" si="1"/>
        <v>4500</v>
      </c>
      <c r="P11" s="498">
        <f t="shared" si="1"/>
        <v>4500</v>
      </c>
      <c r="Q11" s="498">
        <f t="shared" si="1"/>
        <v>4500</v>
      </c>
      <c r="R11" s="498">
        <f t="shared" si="1"/>
        <v>4500</v>
      </c>
      <c r="S11" s="498">
        <f t="shared" si="1"/>
        <v>4500</v>
      </c>
      <c r="T11" s="498">
        <f t="shared" si="1"/>
        <v>4500</v>
      </c>
      <c r="U11" s="498">
        <f t="shared" si="0"/>
        <v>4500</v>
      </c>
      <c r="V11" s="498">
        <f t="shared" si="0"/>
        <v>4500</v>
      </c>
      <c r="W11" s="498">
        <f t="shared" si="0"/>
        <v>4500</v>
      </c>
      <c r="X11" s="498">
        <f t="shared" si="0"/>
        <v>4500</v>
      </c>
      <c r="Y11" s="498">
        <f t="shared" si="0"/>
        <v>4500</v>
      </c>
      <c r="Z11" s="498">
        <f t="shared" si="0"/>
        <v>4500</v>
      </c>
      <c r="AA11" s="498">
        <f t="shared" si="0"/>
        <v>4500</v>
      </c>
      <c r="AB11" s="498">
        <f t="shared" si="0"/>
        <v>4500</v>
      </c>
      <c r="AC11" s="498">
        <f t="shared" si="0"/>
        <v>4500</v>
      </c>
      <c r="AD11" s="498">
        <f t="shared" si="0"/>
        <v>4500</v>
      </c>
      <c r="AE11" s="498">
        <f t="shared" si="0"/>
        <v>4500</v>
      </c>
      <c r="AF11" s="498">
        <f t="shared" si="0"/>
        <v>4500</v>
      </c>
      <c r="AG11" s="498">
        <f t="shared" si="0"/>
        <v>4500</v>
      </c>
      <c r="AH11" s="498">
        <f t="shared" si="0"/>
        <v>4500</v>
      </c>
      <c r="AI11" s="498">
        <f t="shared" si="0"/>
        <v>4500</v>
      </c>
      <c r="AJ11" s="498">
        <f t="shared" si="0"/>
        <v>4500</v>
      </c>
      <c r="AK11" s="498">
        <f t="shared" si="0"/>
        <v>4500</v>
      </c>
      <c r="AL11" s="498">
        <f t="shared" si="0"/>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'A1.7'!D24</f>
        <v>5.0946672080095438E-4</v>
      </c>
      <c r="E15" s="388">
        <f>'A1.7'!E24</f>
        <v>5.1737723747160907E-4</v>
      </c>
      <c r="F15" s="388">
        <f>'A1.7'!F24</f>
        <v>5.2541195615072971E-4</v>
      </c>
      <c r="G15" s="388">
        <f>'A1.7'!G24</f>
        <v>5.3357283568796886E-4</v>
      </c>
      <c r="H15" s="388">
        <f>'A1.7'!H24</f>
        <v>5.4186186588863524E-4</v>
      </c>
      <c r="I15" s="388">
        <f>'A1.7'!I24</f>
        <v>5.5028106800255315E-4</v>
      </c>
      <c r="J15" s="388">
        <f>'A1.7'!J24</f>
        <v>5.5883249522065289E-4</v>
      </c>
      <c r="K15" s="388">
        <f>'A1.7'!K24</f>
        <v>5.6751823317941711E-4</v>
      </c>
      <c r="L15" s="388">
        <f>'A1.7'!L24</f>
        <v>5.7634040047330616E-4</v>
      </c>
      <c r="M15" s="388">
        <f>'A1.7'!M24</f>
        <v>5.8530114917528756E-4</v>
      </c>
      <c r="N15" s="388">
        <f>'A1.7'!N24</f>
        <v>5.9440266536559601E-4</v>
      </c>
      <c r="O15" s="388">
        <f>'A1.7'!O24</f>
        <v>6.0364716966886144E-4</v>
      </c>
      <c r="P15" s="388">
        <f>'A1.7'!P24</f>
        <v>6.1303691779972475E-4</v>
      </c>
      <c r="Q15" s="388">
        <f>'A1.7'!Q24</f>
        <v>6.2257420111708748E-4</v>
      </c>
      <c r="R15" s="388">
        <f>'A1.7'!R24</f>
        <v>6.3226134718712243E-4</v>
      </c>
      <c r="S15" s="388">
        <f>'A1.7'!S24</f>
        <v>6.4210072035519243E-4</v>
      </c>
      <c r="T15" s="388">
        <f>'A1.7'!T24</f>
        <v>6.5209472232680545E-4</v>
      </c>
      <c r="U15" s="388">
        <f>'A1.7'!U24</f>
        <v>6.622457927577659E-4</v>
      </c>
      <c r="V15" s="388">
        <f>'A1.7'!V24</f>
        <v>6.7255640985364629E-4</v>
      </c>
      <c r="W15" s="388">
        <f>'A1.7'!W24</f>
        <v>6.8302909097874996E-4</v>
      </c>
      <c r="X15" s="388">
        <f>'A1.7'!X24</f>
        <v>6.9366639327469017E-4</v>
      </c>
      <c r="Y15" s="388">
        <f>'A1.7'!Y24</f>
        <v>7.04470914288762E-4</v>
      </c>
      <c r="Z15" s="388">
        <f>'A1.7'!Z24</f>
        <v>7.154452926122389E-4</v>
      </c>
      <c r="AA15" s="388">
        <f>'A1.7'!AA24</f>
        <v>7.2659220852876758E-4</v>
      </c>
      <c r="AB15" s="388">
        <f>'A1.7'!AB24</f>
        <v>7.3791438467301176E-4</v>
      </c>
      <c r="AC15" s="388">
        <f>'A1.7'!AC24</f>
        <v>7.4941458669970965E-4</v>
      </c>
      <c r="AD15" s="388">
        <f>'A1.7'!AD24</f>
        <v>7.6109562396331205E-4</v>
      </c>
      <c r="AE15" s="388">
        <f>'A1.7'!AE24</f>
        <v>7.7296035020835748E-4</v>
      </c>
      <c r="AF15" s="388">
        <f>'A1.7'!AF24</f>
        <v>7.8501166427077289E-4</v>
      </c>
      <c r="AG15" s="388">
        <f>'A1.7'!AG24</f>
        <v>7.9725251079024834E-4</v>
      </c>
      <c r="AH15" s="388">
        <f>'A1.7'!AH24</f>
        <v>8.0968588093388724E-4</v>
      </c>
      <c r="AI15" s="388">
        <f>'A1.7'!AI24</f>
        <v>8.2231481313128495E-4</v>
      </c>
      <c r="AJ15" s="388">
        <f>'A1.7'!AJ24</f>
        <v>8.3514239382123526E-4</v>
      </c>
      <c r="AK15" s="388">
        <f>'A1.7'!AK24</f>
        <v>8.4817175821023634E-4</v>
      </c>
      <c r="AL15" s="388">
        <f>'A1.7'!AL24</f>
        <v>8.6140609104299215E-4</v>
      </c>
    </row>
    <row r="16" spans="1:38">
      <c r="B16" s="367" t="s">
        <v>516</v>
      </c>
      <c r="C16" s="367" t="s">
        <v>329</v>
      </c>
      <c r="D16" s="388">
        <f>'A1.7'!D25</f>
        <v>8.7003514364662506E-3</v>
      </c>
      <c r="E16" s="388">
        <f>'A1.7'!E25</f>
        <v>8.8272376920824572E-3</v>
      </c>
      <c r="F16" s="388">
        <f>'A1.7'!F25</f>
        <v>8.9559855746958062E-3</v>
      </c>
      <c r="G16" s="388">
        <f>'A1.7'!G25</f>
        <v>9.0866224429029495E-3</v>
      </c>
      <c r="H16" s="388">
        <f>'A1.7'!H25</f>
        <v>9.2191760578524632E-3</v>
      </c>
      <c r="I16" s="388">
        <f>'A1.7'!I25</f>
        <v>9.3536745891595625E-3</v>
      </c>
      <c r="J16" s="388">
        <f>'A1.7'!J25</f>
        <v>9.4901466209078526E-3</v>
      </c>
      <c r="K16" s="388">
        <f>'A1.7'!K25</f>
        <v>9.6286211577395319E-3</v>
      </c>
      <c r="L16" s="388">
        <f>'A1.7'!L25</f>
        <v>9.769127631035282E-3</v>
      </c>
      <c r="M16" s="388">
        <f>'A1.7'!M25</f>
        <v>9.9116959051851559E-3</v>
      </c>
      <c r="N16" s="388">
        <f>'A1.7'!N25</f>
        <v>1.0056356283951778E-2</v>
      </c>
      <c r="O16" s="388">
        <f>'A1.7'!O25</f>
        <v>1.0203139516927332E-2</v>
      </c>
      <c r="P16" s="388">
        <f>'A1.7'!P25</f>
        <v>1.0352076806085532E-2</v>
      </c>
      <c r="Q16" s="388">
        <f>'A1.7'!Q25</f>
        <v>1.05031998124301E-2</v>
      </c>
      <c r="R16" s="388">
        <f>'A1.7'!R25</f>
        <v>1.0656540662741135E-2</v>
      </c>
      <c r="S16" s="388">
        <f>'A1.7'!S25</f>
        <v>1.0812131956420817E-2</v>
      </c>
      <c r="T16" s="388">
        <f>'A1.7'!T25</f>
        <v>1.0970006772439804E-2</v>
      </c>
      <c r="U16" s="388">
        <f>'A1.7'!U25</f>
        <v>1.1130198676386042E-2</v>
      </c>
      <c r="V16" s="388">
        <f>'A1.7'!V25</f>
        <v>1.1292741727617156E-2</v>
      </c>
      <c r="W16" s="388">
        <f>'A1.7'!W25</f>
        <v>1.1457670486518296E-2</v>
      </c>
      <c r="X16" s="388">
        <f>'A1.7'!X25</f>
        <v>1.1625020021866628E-2</v>
      </c>
      <c r="Y16" s="388">
        <f>'A1.7'!Y25</f>
        <v>1.1794825918304446E-2</v>
      </c>
      <c r="Z16" s="388">
        <f>'A1.7'!Z25</f>
        <v>1.1967124283922029E-2</v>
      </c>
      <c r="AA16" s="388">
        <f>'A1.7'!AA25</f>
        <v>1.2141951757952308E-2</v>
      </c>
      <c r="AB16" s="388">
        <f>'A1.7'!AB25</f>
        <v>1.2319345518578622E-2</v>
      </c>
      <c r="AC16" s="388">
        <f>'A1.7'!AC25</f>
        <v>1.2499343290857492E-2</v>
      </c>
      <c r="AD16" s="388">
        <f>'A1.7'!AD25</f>
        <v>1.2681983354757948E-2</v>
      </c>
      <c r="AE16" s="388">
        <f>'A1.7'!AE25</f>
        <v>1.2867304553319102E-2</v>
      </c>
      <c r="AF16" s="388">
        <f>'A1.7'!AF25</f>
        <v>1.3055346300927877E-2</v>
      </c>
      <c r="AG16" s="388">
        <f>'A1.7'!AG25</f>
        <v>1.3246148591718417E-2</v>
      </c>
      <c r="AH16" s="388">
        <f>'A1.7'!AH25</f>
        <v>1.3439752008095241E-2</v>
      </c>
      <c r="AI16" s="388">
        <f>'A1.7'!AI25</f>
        <v>1.3636197729381645E-2</v>
      </c>
      <c r="AJ16" s="388">
        <f>'A1.7'!AJ25</f>
        <v>1.3835527540595485E-2</v>
      </c>
      <c r="AK16" s="388">
        <f>'A1.7'!AK25</f>
        <v>1.4037783841354007E-2</v>
      </c>
      <c r="AL16" s="388">
        <f>'A1.7'!AL25</f>
        <v>1.4243009654909749E-2</v>
      </c>
    </row>
    <row r="17" spans="1:38">
      <c r="B17" s="367" t="s">
        <v>517</v>
      </c>
      <c r="C17" s="367" t="s">
        <v>518</v>
      </c>
      <c r="D17" s="388">
        <f>'A1.7'!D23</f>
        <v>4.0679923687797541E-2</v>
      </c>
      <c r="E17" s="388">
        <f>'A1.7'!E23</f>
        <v>4.1273681673752075E-2</v>
      </c>
      <c r="F17" s="388">
        <f>'A1.7'!F23</f>
        <v>4.1876159193492586E-2</v>
      </c>
      <c r="G17" s="388">
        <f>'A1.7'!G23</f>
        <v>4.2487484523447659E-2</v>
      </c>
      <c r="H17" s="388">
        <f>'A1.7'!H23</f>
        <v>4.3107787829627049E-2</v>
      </c>
      <c r="I17" s="388">
        <f>'A1.7'!I23</f>
        <v>4.3737201195419309E-2</v>
      </c>
      <c r="J17" s="388">
        <f>'A1.7'!J23</f>
        <v>4.4375858649799219E-2</v>
      </c>
      <c r="K17" s="388">
        <f>'A1.7'!K23</f>
        <v>4.502389619595127E-2</v>
      </c>
      <c r="L17" s="388">
        <f>'A1.7'!L23</f>
        <v>4.5681451840315357E-2</v>
      </c>
      <c r="M17" s="388">
        <f>'A1.7'!M23</f>
        <v>4.6348665622060622E-2</v>
      </c>
      <c r="N17" s="388">
        <f>'A1.7'!N23</f>
        <v>4.7025679642993874E-2</v>
      </c>
      <c r="O17" s="388">
        <f>'A1.7'!O23</f>
        <v>4.7712638097909231E-2</v>
      </c>
      <c r="P17" s="388">
        <f>'A1.7'!P23</f>
        <v>4.8409687305384946E-2</v>
      </c>
      <c r="Q17" s="388">
        <f>'A1.7'!Q23</f>
        <v>4.9116975739034383E-2</v>
      </c>
      <c r="R17" s="388">
        <f>'A1.7'!R23</f>
        <v>4.983465405921772E-2</v>
      </c>
      <c r="S17" s="388">
        <f>'A1.7'!S23</f>
        <v>5.0562875145221231E-2</v>
      </c>
      <c r="T17" s="388">
        <f>'A1.7'!T23</f>
        <v>5.1301794127910527E-2</v>
      </c>
      <c r="U17" s="388">
        <f>'A1.7'!U23</f>
        <v>5.205156842286577E-2</v>
      </c>
      <c r="V17" s="388">
        <f>'A1.7'!V23</f>
        <v>5.2812357764004524E-2</v>
      </c>
      <c r="W17" s="388">
        <f>'A1.7'!W23</f>
        <v>5.3584324237700993E-2</v>
      </c>
      <c r="X17" s="388">
        <f>'A1.7'!X23</f>
        <v>5.4367632317407218E-2</v>
      </c>
      <c r="Y17" s="388">
        <f>'A1.7'!Y23</f>
        <v>5.5162448898785625E-2</v>
      </c>
      <c r="Z17" s="388">
        <f>'A1.7'!Z23</f>
        <v>5.5968943335358158E-2</v>
      </c>
      <c r="AA17" s="388">
        <f>'A1.7'!AA23</f>
        <v>5.6787287474681841E-2</v>
      </c>
      <c r="AB17" s="388">
        <f>'A1.7'!AB23</f>
        <v>5.7617655695056613E-2</v>
      </c>
      <c r="AC17" s="388">
        <f>'A1.7'!AC23</f>
        <v>5.846022494277469E-2</v>
      </c>
      <c r="AD17" s="388">
        <f>'A1.7'!AD23</f>
        <v>5.9315174769918655E-2</v>
      </c>
      <c r="AE17" s="388">
        <f>'A1.7'!AE23</f>
        <v>6.0182687372716218E-2</v>
      </c>
      <c r="AF17" s="388">
        <f>'A1.7'!AF23</f>
        <v>6.1062947630460704E-2</v>
      </c>
      <c r="AG17" s="388">
        <f>'A1.7'!AG23</f>
        <v>6.1956143145004354E-2</v>
      </c>
      <c r="AH17" s="388">
        <f>'A1.7'!AH23</f>
        <v>6.2862464280834335E-2</v>
      </c>
      <c r="AI17" s="388">
        <f>'A1.7'!AI23</f>
        <v>6.3782104205738391E-2</v>
      </c>
      <c r="AJ17" s="388">
        <f>'A1.7'!AJ23</f>
        <v>6.4715258932070335E-2</v>
      </c>
      <c r="AK17" s="388">
        <f>'A1.7'!AK23</f>
        <v>6.5662127358623007E-2</v>
      </c>
      <c r="AL17" s="388">
        <f>'A1.7'!AL23</f>
        <v>6.6622911313118663E-2</v>
      </c>
    </row>
    <row r="18" spans="1:38">
      <c r="D18" s="358"/>
      <c r="F18" s="464"/>
      <c r="G18" s="465"/>
      <c r="H18" s="465"/>
    </row>
    <row r="19" spans="1:38">
      <c r="B19" s="366" t="s">
        <v>719</v>
      </c>
      <c r="C19" s="484" t="s">
        <v>292</v>
      </c>
      <c r="D19" s="485">
        <f t="shared" ref="D19:AK19" si="2">D15*D9</f>
        <v>6149.7727867883204</v>
      </c>
      <c r="E19" s="485">
        <f t="shared" si="2"/>
        <v>6245.2606335197934</v>
      </c>
      <c r="F19" s="485">
        <f t="shared" si="2"/>
        <v>6342.2477226954579</v>
      </c>
      <c r="G19" s="485">
        <f t="shared" si="2"/>
        <v>6440.7576995894724</v>
      </c>
      <c r="H19" s="485">
        <f t="shared" si="2"/>
        <v>6540.814583141716</v>
      </c>
      <c r="I19" s="485">
        <f t="shared" si="2"/>
        <v>6642.4427718588195</v>
      </c>
      <c r="J19" s="485">
        <f t="shared" si="2"/>
        <v>6745.6670498085014</v>
      </c>
      <c r="K19" s="485">
        <f t="shared" si="2"/>
        <v>6850.5125927087438</v>
      </c>
      <c r="L19" s="485">
        <f t="shared" si="2"/>
        <v>6957.0049741132789</v>
      </c>
      <c r="M19" s="485">
        <f t="shared" si="2"/>
        <v>7065.1701716948965</v>
      </c>
      <c r="N19" s="485">
        <f t="shared" si="2"/>
        <v>7175.0345736281097</v>
      </c>
      <c r="O19" s="485">
        <f t="shared" si="2"/>
        <v>7286.6249850728263</v>
      </c>
      <c r="P19" s="485">
        <f t="shared" si="2"/>
        <v>7399.9686347604775</v>
      </c>
      <c r="Q19" s="485">
        <f t="shared" si="2"/>
        <v>7515.0931816843631</v>
      </c>
      <c r="R19" s="485">
        <f t="shared" si="2"/>
        <v>7632.0267218957551</v>
      </c>
      <c r="S19" s="485">
        <f t="shared" si="2"/>
        <v>7750.7977954075277</v>
      </c>
      <c r="T19" s="485">
        <f t="shared" si="2"/>
        <v>7871.4353932068689</v>
      </c>
      <c r="U19" s="485">
        <f t="shared" si="2"/>
        <v>7993.9689643789925</v>
      </c>
      <c r="V19" s="485">
        <f t="shared" si="2"/>
        <v>8118.4284233433646</v>
      </c>
      <c r="W19" s="485">
        <f t="shared" si="2"/>
        <v>8244.8441572044903</v>
      </c>
      <c r="X19" s="485">
        <f t="shared" si="2"/>
        <v>8373.2470332187859</v>
      </c>
      <c r="Y19" s="485">
        <f t="shared" si="2"/>
        <v>8503.6684063796456</v>
      </c>
      <c r="Z19" s="485">
        <f t="shared" si="2"/>
        <v>8636.1401271223349</v>
      </c>
      <c r="AA19" s="485">
        <f t="shared" si="2"/>
        <v>8770.694549150754</v>
      </c>
      <c r="AB19" s="485">
        <f t="shared" si="2"/>
        <v>8907.3645373879244</v>
      </c>
      <c r="AC19" s="485">
        <f t="shared" si="2"/>
        <v>9046.1834760521961</v>
      </c>
      <c r="AD19" s="485">
        <f t="shared" si="2"/>
        <v>9187.1852768611407</v>
      </c>
      <c r="AE19" s="485">
        <f t="shared" si="2"/>
        <v>9330.4043873650826</v>
      </c>
      <c r="AF19" s="485">
        <f t="shared" si="2"/>
        <v>9475.875799412499</v>
      </c>
      <c r="AG19" s="485">
        <f t="shared" si="2"/>
        <v>9623.6350577490884</v>
      </c>
      <c r="AH19" s="485">
        <f t="shared" si="2"/>
        <v>9773.718268752953</v>
      </c>
      <c r="AI19" s="485">
        <f t="shared" si="2"/>
        <v>9926.162109307741</v>
      </c>
      <c r="AJ19" s="485">
        <f t="shared" si="2"/>
        <v>10081.003835816131</v>
      </c>
      <c r="AK19" s="485">
        <f t="shared" si="2"/>
        <v>10238.281293355763</v>
      </c>
      <c r="AL19" s="485">
        <f t="shared" ref="AL19" si="3">AL15*AL9</f>
        <v>10398.032924979958</v>
      </c>
    </row>
    <row r="20" spans="1:38">
      <c r="B20" s="366" t="s">
        <v>720</v>
      </c>
      <c r="C20" s="484" t="s">
        <v>292</v>
      </c>
      <c r="D20" s="485">
        <f t="shared" ref="D20:AK20" si="4">D16*D10</f>
        <v>2471.7698431000617</v>
      </c>
      <c r="E20" s="485">
        <f t="shared" si="4"/>
        <v>2507.8182283206261</v>
      </c>
      <c r="F20" s="485">
        <f t="shared" si="4"/>
        <v>2544.3955017710787</v>
      </c>
      <c r="G20" s="485">
        <f t="shared" si="4"/>
        <v>2581.509436028728</v>
      </c>
      <c r="H20" s="485">
        <f t="shared" si="4"/>
        <v>2619.1679180358847</v>
      </c>
      <c r="I20" s="485">
        <f t="shared" si="4"/>
        <v>2657.3789507802317</v>
      </c>
      <c r="J20" s="485">
        <f t="shared" si="4"/>
        <v>2696.1506549999208</v>
      </c>
      <c r="K20" s="485">
        <f t="shared" si="4"/>
        <v>2735.4912709138011</v>
      </c>
      <c r="L20" s="485">
        <f t="shared" si="4"/>
        <v>2775.4091599771236</v>
      </c>
      <c r="M20" s="485">
        <f t="shared" si="4"/>
        <v>2815.9128066631029</v>
      </c>
      <c r="N20" s="485">
        <f t="shared" si="4"/>
        <v>2857.0108202707002</v>
      </c>
      <c r="O20" s="485">
        <f t="shared" si="4"/>
        <v>2898.7119367590553</v>
      </c>
      <c r="P20" s="485">
        <f t="shared" si="4"/>
        <v>2941.0250206088995</v>
      </c>
      <c r="Q20" s="485">
        <f t="shared" si="4"/>
        <v>2983.9590667113916</v>
      </c>
      <c r="R20" s="485">
        <f t="shared" si="4"/>
        <v>3027.5232022847567</v>
      </c>
      <c r="S20" s="485">
        <f t="shared" si="4"/>
        <v>3071.7266888191539</v>
      </c>
      <c r="T20" s="485">
        <f t="shared" si="4"/>
        <v>3116.5789240501481</v>
      </c>
      <c r="U20" s="485">
        <f t="shared" si="4"/>
        <v>3162.0894439612744</v>
      </c>
      <c r="V20" s="485">
        <f t="shared" si="4"/>
        <v>3208.2679248160339</v>
      </c>
      <c r="W20" s="485">
        <f t="shared" si="4"/>
        <v>3255.1241852198477</v>
      </c>
      <c r="X20" s="485">
        <f t="shared" si="4"/>
        <v>3302.6681882123089</v>
      </c>
      <c r="Y20" s="485">
        <f t="shared" si="4"/>
        <v>3350.9100433902931</v>
      </c>
      <c r="Z20" s="485">
        <f t="shared" si="4"/>
        <v>3399.8600090622485</v>
      </c>
      <c r="AA20" s="485">
        <f t="shared" si="4"/>
        <v>3449.5284944342507</v>
      </c>
      <c r="AB20" s="485">
        <f t="shared" si="4"/>
        <v>3499.9260618281864</v>
      </c>
      <c r="AC20" s="485">
        <f t="shared" si="4"/>
        <v>3551.0634289326135</v>
      </c>
      <c r="AD20" s="485">
        <f t="shared" si="4"/>
        <v>3602.9514710867329</v>
      </c>
      <c r="AE20" s="485">
        <f t="shared" si="4"/>
        <v>3655.601223597957</v>
      </c>
      <c r="AF20" s="485">
        <f t="shared" si="4"/>
        <v>3709.0238840936099</v>
      </c>
      <c r="AG20" s="485">
        <f t="shared" si="4"/>
        <v>3763.2308149072023</v>
      </c>
      <c r="AH20" s="485">
        <f t="shared" si="4"/>
        <v>3818.2335454998579</v>
      </c>
      <c r="AI20" s="485">
        <f t="shared" si="4"/>
        <v>3874.0437749173252</v>
      </c>
      <c r="AJ20" s="485">
        <f t="shared" si="4"/>
        <v>3930.6733742831775</v>
      </c>
      <c r="AK20" s="485">
        <f t="shared" si="4"/>
        <v>3988.1343893286735</v>
      </c>
      <c r="AL20" s="485">
        <f t="shared" ref="AL20" si="5">AL16*AL10</f>
        <v>4046.4390429598598</v>
      </c>
    </row>
    <row r="21" spans="1:38">
      <c r="B21" s="366" t="s">
        <v>721</v>
      </c>
      <c r="C21" s="484" t="s">
        <v>292</v>
      </c>
      <c r="D21" s="485">
        <f t="shared" ref="D21:AK21" si="6">D17*D11</f>
        <v>183.05965659508894</v>
      </c>
      <c r="E21" s="485">
        <f t="shared" si="6"/>
        <v>185.73156753188434</v>
      </c>
      <c r="F21" s="485">
        <f t="shared" si="6"/>
        <v>188.44271637071662</v>
      </c>
      <c r="G21" s="485">
        <f t="shared" si="6"/>
        <v>191.19368035551446</v>
      </c>
      <c r="H21" s="485">
        <f t="shared" si="6"/>
        <v>193.98504523332173</v>
      </c>
      <c r="I21" s="485">
        <f t="shared" si="6"/>
        <v>196.81740537938688</v>
      </c>
      <c r="J21" s="485">
        <f t="shared" si="6"/>
        <v>199.69136392409649</v>
      </c>
      <c r="K21" s="485">
        <f t="shared" si="6"/>
        <v>202.60753288178071</v>
      </c>
      <c r="L21" s="485">
        <f t="shared" si="6"/>
        <v>205.56653328141911</v>
      </c>
      <c r="M21" s="485">
        <f t="shared" si="6"/>
        <v>208.56899529927281</v>
      </c>
      <c r="N21" s="485">
        <f t="shared" si="6"/>
        <v>211.61555839347244</v>
      </c>
      <c r="O21" s="485">
        <f t="shared" si="6"/>
        <v>214.70687144059153</v>
      </c>
      <c r="P21" s="485">
        <f t="shared" si="6"/>
        <v>217.84359287423226</v>
      </c>
      <c r="Q21" s="485">
        <f t="shared" si="6"/>
        <v>221.02639082565472</v>
      </c>
      <c r="R21" s="485">
        <f t="shared" si="6"/>
        <v>224.25594326647973</v>
      </c>
      <c r="S21" s="485">
        <f t="shared" si="6"/>
        <v>227.53293815349554</v>
      </c>
      <c r="T21" s="485">
        <f t="shared" si="6"/>
        <v>230.85807357559736</v>
      </c>
      <c r="U21" s="485">
        <f t="shared" si="6"/>
        <v>234.23205790289597</v>
      </c>
      <c r="V21" s="485">
        <f t="shared" si="6"/>
        <v>237.65560993802035</v>
      </c>
      <c r="W21" s="485">
        <f t="shared" si="6"/>
        <v>241.12945906965447</v>
      </c>
      <c r="X21" s="485">
        <f t="shared" si="6"/>
        <v>244.65434542833248</v>
      </c>
      <c r="Y21" s="485">
        <f t="shared" si="6"/>
        <v>248.23102004453531</v>
      </c>
      <c r="Z21" s="485">
        <f t="shared" si="6"/>
        <v>251.86024500911171</v>
      </c>
      <c r="AA21" s="485">
        <f t="shared" si="6"/>
        <v>255.5427936360683</v>
      </c>
      <c r="AB21" s="485">
        <f t="shared" si="6"/>
        <v>259.27945062775478</v>
      </c>
      <c r="AC21" s="485">
        <f t="shared" si="6"/>
        <v>263.07101224248612</v>
      </c>
      <c r="AD21" s="485">
        <f t="shared" si="6"/>
        <v>266.91828646463392</v>
      </c>
      <c r="AE21" s="485">
        <f t="shared" si="6"/>
        <v>270.822093177223</v>
      </c>
      <c r="AF21" s="485">
        <f t="shared" si="6"/>
        <v>274.78326433707315</v>
      </c>
      <c r="AG21" s="485">
        <f t="shared" si="6"/>
        <v>278.80264415251958</v>
      </c>
      <c r="AH21" s="485">
        <f t="shared" si="6"/>
        <v>282.88108926375452</v>
      </c>
      <c r="AI21" s="485">
        <f t="shared" si="6"/>
        <v>287.01946892582276</v>
      </c>
      <c r="AJ21" s="485">
        <f t="shared" si="6"/>
        <v>291.21866519431649</v>
      </c>
      <c r="AK21" s="485">
        <f t="shared" si="6"/>
        <v>295.47957311380355</v>
      </c>
      <c r="AL21" s="485">
        <f t="shared" ref="AL21" si="7">AL17*AL11</f>
        <v>299.80310090903396</v>
      </c>
    </row>
    <row r="22" spans="1:38">
      <c r="D22" s="358"/>
      <c r="F22" s="464"/>
      <c r="G22" s="465"/>
      <c r="H22" s="465"/>
    </row>
    <row r="23" spans="1:38" ht="13">
      <c r="B23" s="486" t="s">
        <v>461</v>
      </c>
      <c r="C23" s="487" t="s">
        <v>292</v>
      </c>
      <c r="D23" s="488">
        <f>SUM(D19:D21)</f>
        <v>8804.6022864834722</v>
      </c>
      <c r="E23" s="488">
        <f t="shared" ref="E23:AK23" si="8">SUM(E19:E21)</f>
        <v>8938.8104293723027</v>
      </c>
      <c r="F23" s="488">
        <f t="shared" si="8"/>
        <v>9075.0859408372544</v>
      </c>
      <c r="G23" s="488">
        <f t="shared" si="8"/>
        <v>9213.4608159737145</v>
      </c>
      <c r="H23" s="488">
        <f t="shared" si="8"/>
        <v>9353.9675464109223</v>
      </c>
      <c r="I23" s="488">
        <f t="shared" si="8"/>
        <v>9496.639128018438</v>
      </c>
      <c r="J23" s="488">
        <f t="shared" si="8"/>
        <v>9641.5090687325173</v>
      </c>
      <c r="K23" s="488">
        <f t="shared" si="8"/>
        <v>9788.611396504326</v>
      </c>
      <c r="L23" s="488">
        <f t="shared" si="8"/>
        <v>9937.9806673718213</v>
      </c>
      <c r="M23" s="488">
        <f t="shared" si="8"/>
        <v>10089.651973657272</v>
      </c>
      <c r="N23" s="488">
        <f t="shared" si="8"/>
        <v>10243.660952292283</v>
      </c>
      <c r="O23" s="488">
        <f t="shared" si="8"/>
        <v>10400.043793272474</v>
      </c>
      <c r="P23" s="488">
        <f t="shared" si="8"/>
        <v>10558.83724824361</v>
      </c>
      <c r="Q23" s="488">
        <f t="shared" si="8"/>
        <v>10720.078639221409</v>
      </c>
      <c r="R23" s="488">
        <f t="shared" si="8"/>
        <v>10883.805867446992</v>
      </c>
      <c r="S23" s="488">
        <f t="shared" si="8"/>
        <v>11050.057422380178</v>
      </c>
      <c r="T23" s="488">
        <f t="shared" si="8"/>
        <v>11218.872390832614</v>
      </c>
      <c r="U23" s="488">
        <f t="shared" si="8"/>
        <v>11390.290466243163</v>
      </c>
      <c r="V23" s="488">
        <f t="shared" si="8"/>
        <v>11564.351958097419</v>
      </c>
      <c r="W23" s="488">
        <f t="shared" si="8"/>
        <v>11741.097801493992</v>
      </c>
      <c r="X23" s="488">
        <f t="shared" si="8"/>
        <v>11920.569566859427</v>
      </c>
      <c r="Y23" s="488">
        <f t="shared" si="8"/>
        <v>12102.809469814474</v>
      </c>
      <c r="Z23" s="488">
        <f t="shared" si="8"/>
        <v>12287.860381193694</v>
      </c>
      <c r="AA23" s="488">
        <f t="shared" si="8"/>
        <v>12475.765837221074</v>
      </c>
      <c r="AB23" s="488">
        <f t="shared" si="8"/>
        <v>12666.570049843865</v>
      </c>
      <c r="AC23" s="488">
        <f t="shared" si="8"/>
        <v>12860.317917227296</v>
      </c>
      <c r="AD23" s="488">
        <f t="shared" si="8"/>
        <v>13057.055034412508</v>
      </c>
      <c r="AE23" s="488">
        <f t="shared" si="8"/>
        <v>13256.827704140262</v>
      </c>
      <c r="AF23" s="488">
        <f t="shared" si="8"/>
        <v>13459.682947843181</v>
      </c>
      <c r="AG23" s="488">
        <f t="shared" si="8"/>
        <v>13665.66851680881</v>
      </c>
      <c r="AH23" s="488">
        <f t="shared" si="8"/>
        <v>13874.832903516564</v>
      </c>
      <c r="AI23" s="488">
        <f t="shared" si="8"/>
        <v>14087.225353150889</v>
      </c>
      <c r="AJ23" s="488">
        <f t="shared" si="8"/>
        <v>14302.895875293623</v>
      </c>
      <c r="AK23" s="488">
        <f t="shared" si="8"/>
        <v>14521.895255798241</v>
      </c>
      <c r="AL23" s="488">
        <f t="shared" ref="AL23" si="9">SUM(AL19:AL21)</f>
        <v>14744.275068848852</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'A1.7'!D86</f>
        <v>5.0946672080095438E-4</v>
      </c>
      <c r="E27" s="388">
        <f>'A1.7'!E86</f>
        <v>5.1737723747160907E-4</v>
      </c>
      <c r="F27" s="388">
        <f>'A1.7'!F86</f>
        <v>5.2541195615072971E-4</v>
      </c>
      <c r="G27" s="388">
        <f>'A1.7'!G86</f>
        <v>5.3357283568796886E-4</v>
      </c>
      <c r="H27" s="388">
        <f>'A1.7'!H86</f>
        <v>6.271404758051534E-4</v>
      </c>
      <c r="I27" s="388">
        <f>'A1.7'!I86</f>
        <v>6.3690918657648306E-4</v>
      </c>
      <c r="J27" s="388">
        <f>'A1.7'!J86</f>
        <v>6.4683146433088684E-4</v>
      </c>
      <c r="K27" s="388">
        <f>'A1.7'!K86</f>
        <v>6.5690973216139868E-4</v>
      </c>
      <c r="L27" s="388">
        <f>'A1.7'!L86</f>
        <v>6.67146451452031E-4</v>
      </c>
      <c r="M27" s="388">
        <f>'A1.7'!M86</f>
        <v>6.7754412248263675E-4</v>
      </c>
      <c r="N27" s="388">
        <f>'A1.7'!N86</f>
        <v>6.881052850433322E-4</v>
      </c>
      <c r="O27" s="388">
        <f>'A1.7'!O86</f>
        <v>6.9883251905863996E-4</v>
      </c>
      <c r="P27" s="388">
        <f>'A1.7'!P86</f>
        <v>7.0972844522149429E-4</v>
      </c>
      <c r="Q27" s="388">
        <f>'A1.7'!Q86</f>
        <v>7.2079572563727736E-4</v>
      </c>
      <c r="R27" s="388">
        <f>'A1.7'!R86</f>
        <v>7.3203706447803288E-4</v>
      </c>
      <c r="S27" s="388">
        <f>'A1.7'!S86</f>
        <v>7.434552086470306E-4</v>
      </c>
      <c r="T27" s="388">
        <f>'A1.7'!T86</f>
        <v>7.5505294845382967E-4</v>
      </c>
      <c r="U27" s="388">
        <f>'A1.7'!U86</f>
        <v>7.6683311830002133E-4</v>
      </c>
      <c r="V27" s="388">
        <f>'A1.7'!V86</f>
        <v>7.7879859737581172E-4</v>
      </c>
      <c r="W27" s="388">
        <f>'A1.7'!W86</f>
        <v>7.9095231036761457E-4</v>
      </c>
      <c r="X27" s="388">
        <f>'A1.7'!X86</f>
        <v>8.0329722817683682E-4</v>
      </c>
      <c r="Y27" s="388">
        <f>'A1.7'!Y86</f>
        <v>8.1583636865001873E-4</v>
      </c>
      <c r="Z27" s="388">
        <f>'A1.7'!Z86</f>
        <v>8.285727973205301E-4</v>
      </c>
      <c r="AA27" s="388">
        <f>'A1.7'!AA86</f>
        <v>8.4150962816197529E-4</v>
      </c>
      <c r="AB27" s="388">
        <f>'A1.7'!AB86</f>
        <v>8.546500243535245E-4</v>
      </c>
      <c r="AC27" s="388">
        <f>'A1.7'!AC86</f>
        <v>8.6799719905733303E-4</v>
      </c>
      <c r="AD27" s="388">
        <f>'A1.7'!AD86</f>
        <v>8.8155441620825319E-4</v>
      </c>
      <c r="AE27" s="388">
        <f>'A1.7'!AE86</f>
        <v>8.9532499131603335E-4</v>
      </c>
      <c r="AF27" s="388">
        <f>'A1.7'!AF86</f>
        <v>9.0931229228019637E-4</v>
      </c>
      <c r="AG27" s="388">
        <f>'A1.7'!AG86</f>
        <v>9.2351974021779378E-4</v>
      </c>
      <c r="AH27" s="388">
        <f>'A1.7'!AH86</f>
        <v>9.3795081030425198E-4</v>
      </c>
      <c r="AI27" s="388">
        <f>'A1.7'!AI86</f>
        <v>9.5260903262751038E-4</v>
      </c>
      <c r="AJ27" s="388">
        <f>'A1.7'!AJ86</f>
        <v>9.6749799305565333E-4</v>
      </c>
      <c r="AK27" s="388">
        <f>'A1.7'!AK86</f>
        <v>9.8262133411826488E-4</v>
      </c>
      <c r="AL27" s="388">
        <f>'A1.7'!AL86</f>
        <v>9.9798275590171244E-4</v>
      </c>
    </row>
    <row r="28" spans="1:38">
      <c r="B28" s="367" t="s">
        <v>516</v>
      </c>
      <c r="C28" s="367" t="s">
        <v>329</v>
      </c>
      <c r="D28" s="388">
        <f>'A1.7'!D87</f>
        <v>8.7003514364662506E-3</v>
      </c>
      <c r="E28" s="388">
        <f>'A1.7'!E87</f>
        <v>8.8272376920824572E-3</v>
      </c>
      <c r="F28" s="388">
        <f>'A1.7'!F87</f>
        <v>8.9559855746958062E-3</v>
      </c>
      <c r="G28" s="388">
        <f>'A1.7'!G87</f>
        <v>9.0866224429029495E-3</v>
      </c>
      <c r="H28" s="388">
        <f>'A1.7'!H87</f>
        <v>1.0670096612115799E-2</v>
      </c>
      <c r="I28" s="388">
        <f>'A1.7'!I87</f>
        <v>1.082617887565613E-2</v>
      </c>
      <c r="J28" s="388">
        <f>'A1.7'!J87</f>
        <v>1.0984553489669332E-2</v>
      </c>
      <c r="K28" s="388">
        <f>'A1.7'!K87</f>
        <v>1.114525415400108E-2</v>
      </c>
      <c r="L28" s="388">
        <f>'A1.7'!L87</f>
        <v>1.1308315064282983E-2</v>
      </c>
      <c r="M28" s="388">
        <f>'A1.7'!M87</f>
        <v>1.1473770919219931E-2</v>
      </c>
      <c r="N28" s="388">
        <f>'A1.7'!N87</f>
        <v>1.1641656927984667E-2</v>
      </c>
      <c r="O28" s="388">
        <f>'A1.7'!O87</f>
        <v>1.1812008817721275E-2</v>
      </c>
      <c r="P28" s="388">
        <f>'A1.7'!P87</f>
        <v>1.1984862841159016E-2</v>
      </c>
      <c r="Q28" s="388">
        <f>'A1.7'!Q87</f>
        <v>1.2160255784338318E-2</v>
      </c>
      <c r="R28" s="388">
        <f>'A1.7'!R87</f>
        <v>1.2338224974450404E-2</v>
      </c>
      <c r="S28" s="388">
        <f>'A1.7'!S87</f>
        <v>1.2518808287792419E-2</v>
      </c>
      <c r="T28" s="388">
        <f>'A1.7'!T87</f>
        <v>1.2702044157839473E-2</v>
      </c>
      <c r="U28" s="388">
        <f>'A1.7'!U87</f>
        <v>1.2887971583435614E-2</v>
      </c>
      <c r="V28" s="388">
        <f>'A1.7'!V87</f>
        <v>1.307663013710531E-2</v>
      </c>
      <c r="W28" s="388">
        <f>'A1.7'!W87</f>
        <v>1.3268059973487168E-2</v>
      </c>
      <c r="X28" s="388">
        <f>'A1.7'!X87</f>
        <v>1.3462301837891882E-2</v>
      </c>
      <c r="Y28" s="388">
        <f>'A1.7'!Y87</f>
        <v>1.365939707498599E-2</v>
      </c>
      <c r="Z28" s="388">
        <f>'A1.7'!Z87</f>
        <v>1.3859387637603554E-2</v>
      </c>
      <c r="AA28" s="388">
        <f>'A1.7'!AA87</f>
        <v>1.4062316095687323E-2</v>
      </c>
      <c r="AB28" s="388">
        <f>'A1.7'!AB87</f>
        <v>1.4268225645361616E-2</v>
      </c>
      <c r="AC28" s="388">
        <f>'A1.7'!AC87</f>
        <v>1.4477160118138616E-2</v>
      </c>
      <c r="AD28" s="388">
        <f>'A1.7'!AD87</f>
        <v>1.4689163990260103E-2</v>
      </c>
      <c r="AE28" s="388">
        <f>'A1.7'!AE87</f>
        <v>1.490428239217673E-2</v>
      </c>
      <c r="AF28" s="388">
        <f>'A1.7'!AF87</f>
        <v>1.5122561118166686E-2</v>
      </c>
      <c r="AG28" s="388">
        <f>'A1.7'!AG87</f>
        <v>1.5344046636095858E-2</v>
      </c>
      <c r="AH28" s="388">
        <f>'A1.7'!AH87</f>
        <v>1.5568786097321641E-2</v>
      </c>
      <c r="AI28" s="388">
        <f>'A1.7'!AI87</f>
        <v>1.5796827346742464E-2</v>
      </c>
      <c r="AJ28" s="388">
        <f>'A1.7'!AJ87</f>
        <v>1.6028218932995077E-2</v>
      </c>
      <c r="AK28" s="388">
        <f>'A1.7'!AK87</f>
        <v>1.6263010118801928E-2</v>
      </c>
      <c r="AL28" s="388">
        <f>'A1.7'!AL87</f>
        <v>1.6501250891470774E-2</v>
      </c>
    </row>
    <row r="29" spans="1:38">
      <c r="B29" s="367" t="s">
        <v>517</v>
      </c>
      <c r="C29" s="367" t="s">
        <v>518</v>
      </c>
      <c r="D29" s="388">
        <f>'A1.7'!D85</f>
        <v>4.0679923687797541E-2</v>
      </c>
      <c r="E29" s="388">
        <f>'A1.7'!E85</f>
        <v>4.1273681673752075E-2</v>
      </c>
      <c r="F29" s="388">
        <f>'A1.7'!F85</f>
        <v>4.1876159193492586E-2</v>
      </c>
      <c r="G29" s="388">
        <f>'A1.7'!G85</f>
        <v>4.2487484523447659E-2</v>
      </c>
      <c r="H29" s="388">
        <f>'A1.7'!H85</f>
        <v>4.9892122461956262E-2</v>
      </c>
      <c r="I29" s="388">
        <f>'A1.7'!I85</f>
        <v>5.0622539746137958E-2</v>
      </c>
      <c r="J29" s="388">
        <f>'A1.7'!J85</f>
        <v>5.1363694625625754E-2</v>
      </c>
      <c r="K29" s="388">
        <f>'A1.7'!K85</f>
        <v>5.2115745119319379E-2</v>
      </c>
      <c r="L29" s="388">
        <f>'A1.7'!L85</f>
        <v>5.2878851573506483E-2</v>
      </c>
      <c r="M29" s="388">
        <f>'A1.7'!M85</f>
        <v>5.3653176696113893E-2</v>
      </c>
      <c r="N29" s="388">
        <f>'A1.7'!N85</f>
        <v>5.4438885591463627E-2</v>
      </c>
      <c r="O29" s="388">
        <f>'A1.7'!O85</f>
        <v>5.523614579554139E-2</v>
      </c>
      <c r="P29" s="388">
        <f>'A1.7'!P85</f>
        <v>5.6045127311784536E-2</v>
      </c>
      <c r="Q29" s="388">
        <f>'A1.7'!Q85</f>
        <v>5.6866002647397752E-2</v>
      </c>
      <c r="R29" s="388">
        <f>'A1.7'!R85</f>
        <v>5.7698946850203797E-2</v>
      </c>
      <c r="S29" s="388">
        <f>'A1.7'!S85</f>
        <v>5.85441375460376E-2</v>
      </c>
      <c r="T29" s="388">
        <f>'A1.7'!T85</f>
        <v>5.9401754976690931E-2</v>
      </c>
      <c r="U29" s="388">
        <f>'A1.7'!U85</f>
        <v>6.0271982038416674E-2</v>
      </c>
      <c r="V29" s="388">
        <f>'A1.7'!V85</f>
        <v>6.1155004321000447E-2</v>
      </c>
      <c r="W29" s="388">
        <f>'A1.7'!W85</f>
        <v>6.2051010147407555E-2</v>
      </c>
      <c r="X29" s="388">
        <f>'A1.7'!X85</f>
        <v>6.2960190614014783E-2</v>
      </c>
      <c r="Y29" s="388">
        <f>'A1.7'!Y85</f>
        <v>6.3882739631434343E-2</v>
      </c>
      <c r="Z29" s="388">
        <f>'A1.7'!Z85</f>
        <v>6.4818853965940032E-2</v>
      </c>
      <c r="AA29" s="388">
        <f>'A1.7'!AA85</f>
        <v>6.5768733281502983E-2</v>
      </c>
      <c r="AB29" s="388">
        <f>'A1.7'!AB85</f>
        <v>6.6732580182447446E-2</v>
      </c>
      <c r="AC29" s="388">
        <f>'A1.7'!AC85</f>
        <v>6.7710600256734671E-2</v>
      </c>
      <c r="AD29" s="388">
        <f>'A1.7'!AD85</f>
        <v>6.8703002119884379E-2</v>
      </c>
      <c r="AE29" s="388">
        <f>'A1.7'!AE85</f>
        <v>6.9709997459543815E-2</v>
      </c>
      <c r="AF29" s="388">
        <f>'A1.7'!AF85</f>
        <v>7.0731801080713058E-2</v>
      </c>
      <c r="AG29" s="388">
        <f>'A1.7'!AG85</f>
        <v>7.1768630951636422E-2</v>
      </c>
      <c r="AH29" s="388">
        <f>'A1.7'!AH85</f>
        <v>7.2820708250370292E-2</v>
      </c>
      <c r="AI29" s="388">
        <f>'A1.7'!AI85</f>
        <v>7.3888257412037028E-2</v>
      </c>
      <c r="AJ29" s="388">
        <f>'A1.7'!AJ85</f>
        <v>7.4971506176774519E-2</v>
      </c>
      <c r="AK29" s="388">
        <f>'A1.7'!AK85</f>
        <v>7.6070685638392518E-2</v>
      </c>
      <c r="AL29" s="388">
        <f>'A1.7'!AL85</f>
        <v>7.7186030293745794E-2</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0">D27*D9</f>
        <v>6149.7727867883204</v>
      </c>
      <c r="E31" s="485">
        <f t="shared" si="10"/>
        <v>6245.2606335197934</v>
      </c>
      <c r="F31" s="485">
        <f t="shared" si="10"/>
        <v>6342.2477226954579</v>
      </c>
      <c r="G31" s="485">
        <f t="shared" si="10"/>
        <v>6440.7576995894724</v>
      </c>
      <c r="H31" s="485">
        <f t="shared" si="10"/>
        <v>7570.2126834440069</v>
      </c>
      <c r="I31" s="485">
        <f t="shared" si="10"/>
        <v>7688.1307911647273</v>
      </c>
      <c r="J31" s="485">
        <f t="shared" si="10"/>
        <v>7807.9026059381349</v>
      </c>
      <c r="K31" s="485">
        <f t="shared" si="10"/>
        <v>7929.5573769202438</v>
      </c>
      <c r="L31" s="485">
        <f t="shared" si="10"/>
        <v>8053.1248154774667</v>
      </c>
      <c r="M31" s="485">
        <f t="shared" si="10"/>
        <v>8178.6351024879086</v>
      </c>
      <c r="N31" s="485">
        <f t="shared" si="10"/>
        <v>8306.1188957580634</v>
      </c>
      <c r="O31" s="485">
        <f t="shared" si="10"/>
        <v>8435.607337556843</v>
      </c>
      <c r="P31" s="485">
        <f t="shared" si="10"/>
        <v>8567.132062268658</v>
      </c>
      <c r="Q31" s="485">
        <f t="shared" si="10"/>
        <v>8700.7252041675747</v>
      </c>
      <c r="R31" s="485">
        <f t="shared" si="10"/>
        <v>8836.4194053143347</v>
      </c>
      <c r="S31" s="485">
        <f t="shared" si="10"/>
        <v>8974.2478235783055</v>
      </c>
      <c r="T31" s="485">
        <f t="shared" si="10"/>
        <v>9114.2441407861788</v>
      </c>
      <c r="U31" s="485">
        <f t="shared" si="10"/>
        <v>9256.4425709995576</v>
      </c>
      <c r="V31" s="485">
        <f t="shared" si="10"/>
        <v>9400.8778689234241</v>
      </c>
      <c r="W31" s="485">
        <f t="shared" si="10"/>
        <v>9547.5853384474758</v>
      </c>
      <c r="X31" s="485">
        <f t="shared" si="10"/>
        <v>9696.6008413225973</v>
      </c>
      <c r="Y31" s="485">
        <f t="shared" si="10"/>
        <v>9847.9608059743769</v>
      </c>
      <c r="Z31" s="485">
        <f t="shared" si="10"/>
        <v>10001.702236456118</v>
      </c>
      <c r="AA31" s="485">
        <f t="shared" si="10"/>
        <v>10157.862721543204</v>
      </c>
      <c r="AB31" s="485">
        <f t="shared" si="10"/>
        <v>10316.480443971393</v>
      </c>
      <c r="AC31" s="485">
        <f t="shared" si="10"/>
        <v>10477.594189821068</v>
      </c>
      <c r="AD31" s="485">
        <f t="shared" si="10"/>
        <v>10641.243358049824</v>
      </c>
      <c r="AE31" s="485">
        <f t="shared" si="10"/>
        <v>10807.467970175838</v>
      </c>
      <c r="AF31" s="485">
        <f t="shared" si="10"/>
        <v>10976.308680114251</v>
      </c>
      <c r="AG31" s="485">
        <f t="shared" si="10"/>
        <v>11147.806784168988</v>
      </c>
      <c r="AH31" s="485">
        <f t="shared" si="10"/>
        <v>11322.004231182626</v>
      </c>
      <c r="AI31" s="485">
        <f t="shared" si="10"/>
        <v>11498.943632846678</v>
      </c>
      <c r="AJ31" s="485">
        <f t="shared" si="10"/>
        <v>11678.668274174792</v>
      </c>
      <c r="AK31" s="485">
        <f t="shared" si="10"/>
        <v>11861.222124141575</v>
      </c>
      <c r="AL31" s="485">
        <f t="shared" ref="AL31" si="11">AL27*AL9</f>
        <v>12046.64984648957</v>
      </c>
    </row>
    <row r="32" spans="1:38">
      <c r="B32" s="366" t="s">
        <v>720</v>
      </c>
      <c r="C32" s="484" t="s">
        <v>292</v>
      </c>
      <c r="D32" s="485">
        <f t="shared" ref="D32:AK32" si="12">D28*D10</f>
        <v>2471.7698431000617</v>
      </c>
      <c r="E32" s="485">
        <f t="shared" si="12"/>
        <v>2507.8182283206261</v>
      </c>
      <c r="F32" s="485">
        <f t="shared" si="12"/>
        <v>2544.3955017710787</v>
      </c>
      <c r="G32" s="485">
        <f t="shared" si="12"/>
        <v>2581.509436028728</v>
      </c>
      <c r="H32" s="485">
        <f t="shared" si="12"/>
        <v>3031.3744475020985</v>
      </c>
      <c r="I32" s="485">
        <f t="shared" si="12"/>
        <v>3075.7174185739063</v>
      </c>
      <c r="J32" s="485">
        <f t="shared" si="12"/>
        <v>3120.7116464150572</v>
      </c>
      <c r="K32" s="485">
        <f t="shared" si="12"/>
        <v>3166.3667051517068</v>
      </c>
      <c r="L32" s="485">
        <f t="shared" si="12"/>
        <v>3212.6923097627955</v>
      </c>
      <c r="M32" s="485">
        <f t="shared" si="12"/>
        <v>3259.6983181503824</v>
      </c>
      <c r="N32" s="485">
        <f t="shared" si="12"/>
        <v>3307.3947332404437</v>
      </c>
      <c r="O32" s="485">
        <f t="shared" si="12"/>
        <v>3355.7917051146142</v>
      </c>
      <c r="P32" s="485">
        <f t="shared" si="12"/>
        <v>3404.8995331732767</v>
      </c>
      <c r="Q32" s="485">
        <f t="shared" si="12"/>
        <v>3454.728668330516</v>
      </c>
      <c r="R32" s="485">
        <f t="shared" si="12"/>
        <v>3505.2897152413598</v>
      </c>
      <c r="S32" s="485">
        <f t="shared" si="12"/>
        <v>3556.5934345618261</v>
      </c>
      <c r="T32" s="485">
        <f t="shared" si="12"/>
        <v>3608.6507452421943</v>
      </c>
      <c r="U32" s="485">
        <f t="shared" si="12"/>
        <v>3661.4727268540578</v>
      </c>
      <c r="V32" s="485">
        <f t="shared" si="12"/>
        <v>3715.0706219516187</v>
      </c>
      <c r="W32" s="485">
        <f t="shared" si="12"/>
        <v>3769.4558384677043</v>
      </c>
      <c r="X32" s="485">
        <f t="shared" si="12"/>
        <v>3824.6399521450835</v>
      </c>
      <c r="Y32" s="485">
        <f t="shared" si="12"/>
        <v>3880.6347090035197</v>
      </c>
      <c r="Z32" s="485">
        <f t="shared" si="12"/>
        <v>3937.4520278431696</v>
      </c>
      <c r="AA32" s="485">
        <f t="shared" si="12"/>
        <v>3995.1040027847685</v>
      </c>
      <c r="AB32" s="485">
        <f t="shared" si="12"/>
        <v>4053.602905847235</v>
      </c>
      <c r="AC32" s="485">
        <f t="shared" si="12"/>
        <v>4112.9611895631806</v>
      </c>
      <c r="AD32" s="485">
        <f t="shared" si="12"/>
        <v>4173.1914896328954</v>
      </c>
      <c r="AE32" s="485">
        <f t="shared" si="12"/>
        <v>4234.3066276174086</v>
      </c>
      <c r="AF32" s="485">
        <f t="shared" si="12"/>
        <v>4296.3196136711558</v>
      </c>
      <c r="AG32" s="485">
        <f t="shared" si="12"/>
        <v>4359.2436493148334</v>
      </c>
      <c r="AH32" s="485">
        <f t="shared" si="12"/>
        <v>4423.0921302490788</v>
      </c>
      <c r="AI32" s="485">
        <f t="shared" si="12"/>
        <v>4487.8786492095342</v>
      </c>
      <c r="AJ32" s="485">
        <f t="shared" si="12"/>
        <v>4553.6169988639012</v>
      </c>
      <c r="AK32" s="485">
        <f t="shared" si="12"/>
        <v>4620.321174751628</v>
      </c>
      <c r="AL32" s="485">
        <f t="shared" ref="AL32" si="13">AL28*AL10</f>
        <v>4688.0053782668474</v>
      </c>
    </row>
    <row r="33" spans="1:38">
      <c r="B33" s="366" t="s">
        <v>721</v>
      </c>
      <c r="C33" s="484" t="s">
        <v>292</v>
      </c>
      <c r="D33" s="485">
        <f t="shared" ref="D33:AK33" si="14">D29*D11</f>
        <v>183.05965659508894</v>
      </c>
      <c r="E33" s="485">
        <f t="shared" si="14"/>
        <v>185.73156753188434</v>
      </c>
      <c r="F33" s="485">
        <f t="shared" si="14"/>
        <v>188.44271637071662</v>
      </c>
      <c r="G33" s="485">
        <f t="shared" si="14"/>
        <v>191.19368035551446</v>
      </c>
      <c r="H33" s="485">
        <f t="shared" si="14"/>
        <v>224.51455107880318</v>
      </c>
      <c r="I33" s="485">
        <f t="shared" si="14"/>
        <v>227.80142885762081</v>
      </c>
      <c r="J33" s="485">
        <f t="shared" si="14"/>
        <v>231.13662581531588</v>
      </c>
      <c r="K33" s="485">
        <f t="shared" si="14"/>
        <v>234.52085303693721</v>
      </c>
      <c r="L33" s="485">
        <f t="shared" si="14"/>
        <v>237.95483208077917</v>
      </c>
      <c r="M33" s="485">
        <f t="shared" si="14"/>
        <v>241.43929513251251</v>
      </c>
      <c r="N33" s="485">
        <f t="shared" si="14"/>
        <v>244.97498516158632</v>
      </c>
      <c r="O33" s="485">
        <f t="shared" si="14"/>
        <v>248.56265607993626</v>
      </c>
      <c r="P33" s="485">
        <f t="shared" si="14"/>
        <v>252.2030729030304</v>
      </c>
      <c r="Q33" s="485">
        <f t="shared" si="14"/>
        <v>255.89701191328987</v>
      </c>
      <c r="R33" s="485">
        <f t="shared" si="14"/>
        <v>259.64526082591709</v>
      </c>
      <c r="S33" s="485">
        <f t="shared" si="14"/>
        <v>263.44861895716917</v>
      </c>
      <c r="T33" s="485">
        <f t="shared" si="14"/>
        <v>267.30789739510919</v>
      </c>
      <c r="U33" s="485">
        <f t="shared" si="14"/>
        <v>271.22391917287501</v>
      </c>
      <c r="V33" s="485">
        <f t="shared" si="14"/>
        <v>275.19751944450201</v>
      </c>
      <c r="W33" s="485">
        <f t="shared" si="14"/>
        <v>279.22954566333402</v>
      </c>
      <c r="X33" s="485">
        <f t="shared" si="14"/>
        <v>283.3208577630665</v>
      </c>
      <c r="Y33" s="485">
        <f t="shared" si="14"/>
        <v>287.47232834145456</v>
      </c>
      <c r="Z33" s="485">
        <f t="shared" si="14"/>
        <v>291.68484284673013</v>
      </c>
      <c r="AA33" s="485">
        <f t="shared" si="14"/>
        <v>295.95929976676342</v>
      </c>
      <c r="AB33" s="485">
        <f t="shared" si="14"/>
        <v>300.29661082101353</v>
      </c>
      <c r="AC33" s="485">
        <f t="shared" si="14"/>
        <v>304.69770115530599</v>
      </c>
      <c r="AD33" s="485">
        <f t="shared" si="14"/>
        <v>309.16350953947972</v>
      </c>
      <c r="AE33" s="485">
        <f t="shared" si="14"/>
        <v>313.69498856794718</v>
      </c>
      <c r="AF33" s="485">
        <f t="shared" si="14"/>
        <v>318.29310486320878</v>
      </c>
      <c r="AG33" s="485">
        <f t="shared" si="14"/>
        <v>322.9588392823639</v>
      </c>
      <c r="AH33" s="485">
        <f t="shared" si="14"/>
        <v>327.69318712666632</v>
      </c>
      <c r="AI33" s="485">
        <f t="shared" si="14"/>
        <v>332.49715835416663</v>
      </c>
      <c r="AJ33" s="485">
        <f t="shared" si="14"/>
        <v>337.37177779548534</v>
      </c>
      <c r="AK33" s="485">
        <f t="shared" si="14"/>
        <v>342.31808537276635</v>
      </c>
      <c r="AL33" s="485">
        <f t="shared" ref="AL33" si="15">AL29*AL11</f>
        <v>347.33713632185606</v>
      </c>
    </row>
    <row r="34" spans="1:38">
      <c r="D34" s="358"/>
      <c r="F34" s="464"/>
      <c r="G34" s="465"/>
      <c r="H34" s="465"/>
    </row>
    <row r="35" spans="1:38" ht="13">
      <c r="B35" s="486" t="s">
        <v>462</v>
      </c>
      <c r="C35" s="487" t="s">
        <v>292</v>
      </c>
      <c r="D35" s="488">
        <f>SUM(D31:D33)</f>
        <v>8804.6022864834722</v>
      </c>
      <c r="E35" s="488">
        <f t="shared" ref="E35:AK35" si="16">SUM(E31:E33)</f>
        <v>8938.8104293723027</v>
      </c>
      <c r="F35" s="488">
        <f t="shared" si="16"/>
        <v>9075.0859408372544</v>
      </c>
      <c r="G35" s="488">
        <f t="shared" si="16"/>
        <v>9213.4608159737145</v>
      </c>
      <c r="H35" s="488">
        <f t="shared" si="16"/>
        <v>10826.101682024908</v>
      </c>
      <c r="I35" s="488">
        <f t="shared" si="16"/>
        <v>10991.649638596255</v>
      </c>
      <c r="J35" s="488">
        <f t="shared" si="16"/>
        <v>11159.750878168508</v>
      </c>
      <c r="K35" s="488">
        <f t="shared" si="16"/>
        <v>11330.444935108886</v>
      </c>
      <c r="L35" s="488">
        <f t="shared" si="16"/>
        <v>11503.771957321042</v>
      </c>
      <c r="M35" s="488">
        <f t="shared" si="16"/>
        <v>11679.772715770803</v>
      </c>
      <c r="N35" s="488">
        <f t="shared" si="16"/>
        <v>11858.488614160095</v>
      </c>
      <c r="O35" s="488">
        <f t="shared" si="16"/>
        <v>12039.961698751393</v>
      </c>
      <c r="P35" s="488">
        <f t="shared" si="16"/>
        <v>12224.234668344965</v>
      </c>
      <c r="Q35" s="488">
        <f t="shared" si="16"/>
        <v>12411.35088441138</v>
      </c>
      <c r="R35" s="488">
        <f t="shared" si="16"/>
        <v>12601.35438138161</v>
      </c>
      <c r="S35" s="488">
        <f t="shared" si="16"/>
        <v>12794.289877097301</v>
      </c>
      <c r="T35" s="488">
        <f t="shared" si="16"/>
        <v>12990.202783423481</v>
      </c>
      <c r="U35" s="488">
        <f t="shared" si="16"/>
        <v>13189.13921702649</v>
      </c>
      <c r="V35" s="488">
        <f t="shared" si="16"/>
        <v>13391.146010319544</v>
      </c>
      <c r="W35" s="488">
        <f t="shared" si="16"/>
        <v>13596.270722578514</v>
      </c>
      <c r="X35" s="488">
        <f t="shared" si="16"/>
        <v>13804.561651230748</v>
      </c>
      <c r="Y35" s="488">
        <f t="shared" si="16"/>
        <v>14016.067843319352</v>
      </c>
      <c r="Z35" s="488">
        <f t="shared" si="16"/>
        <v>14230.839107146017</v>
      </c>
      <c r="AA35" s="488">
        <f t="shared" si="16"/>
        <v>14448.926024094737</v>
      </c>
      <c r="AB35" s="488">
        <f t="shared" si="16"/>
        <v>14670.379960639642</v>
      </c>
      <c r="AC35" s="488">
        <f t="shared" si="16"/>
        <v>14895.253080539555</v>
      </c>
      <c r="AD35" s="488">
        <f t="shared" si="16"/>
        <v>15123.598357222198</v>
      </c>
      <c r="AE35" s="488">
        <f t="shared" si="16"/>
        <v>15355.469586361194</v>
      </c>
      <c r="AF35" s="488">
        <f t="shared" si="16"/>
        <v>15590.921398648616</v>
      </c>
      <c r="AG35" s="488">
        <f t="shared" si="16"/>
        <v>15830.009272766187</v>
      </c>
      <c r="AH35" s="488">
        <f t="shared" si="16"/>
        <v>16072.78954855837</v>
      </c>
      <c r="AI35" s="488">
        <f t="shared" si="16"/>
        <v>16319.319440410378</v>
      </c>
      <c r="AJ35" s="488">
        <f t="shared" si="16"/>
        <v>16569.657050834179</v>
      </c>
      <c r="AK35" s="488">
        <f t="shared" si="16"/>
        <v>16823.861384265972</v>
      </c>
      <c r="AL35" s="488">
        <f t="shared" ref="AL35" si="17">SUM(AL31:AL33)</f>
        <v>17081.992361078275</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 t="shared" ref="D39:AK39" si="18">D15-D27</f>
        <v>0</v>
      </c>
      <c r="E39" s="388">
        <f t="shared" si="18"/>
        <v>0</v>
      </c>
      <c r="F39" s="388">
        <f t="shared" si="18"/>
        <v>0</v>
      </c>
      <c r="G39" s="388">
        <f t="shared" si="18"/>
        <v>0</v>
      </c>
      <c r="H39" s="388">
        <f t="shared" si="18"/>
        <v>-8.5278609916518162E-5</v>
      </c>
      <c r="I39" s="388">
        <f t="shared" si="18"/>
        <v>-8.6628118573929915E-5</v>
      </c>
      <c r="J39" s="388">
        <f t="shared" si="18"/>
        <v>-8.7998969110233949E-5</v>
      </c>
      <c r="K39" s="388">
        <f t="shared" si="18"/>
        <v>-8.9391498981981573E-5</v>
      </c>
      <c r="L39" s="388">
        <f t="shared" si="18"/>
        <v>-9.0806050978724847E-5</v>
      </c>
      <c r="M39" s="388">
        <f t="shared" si="18"/>
        <v>-9.2242973307349188E-5</v>
      </c>
      <c r="N39" s="388">
        <f t="shared" si="18"/>
        <v>-9.3702619677736186E-5</v>
      </c>
      <c r="O39" s="388">
        <f t="shared" si="18"/>
        <v>-9.518534938977852E-5</v>
      </c>
      <c r="P39" s="388">
        <f t="shared" si="18"/>
        <v>-9.6691527421769547E-5</v>
      </c>
      <c r="Q39" s="388">
        <f t="shared" si="18"/>
        <v>-9.8221524520189876E-5</v>
      </c>
      <c r="R39" s="388">
        <f t="shared" si="18"/>
        <v>-9.9775717290910451E-5</v>
      </c>
      <c r="S39" s="388">
        <f t="shared" si="18"/>
        <v>-1.0135448829183818E-4</v>
      </c>
      <c r="T39" s="388">
        <f t="shared" si="18"/>
        <v>-1.0295822612702422E-4</v>
      </c>
      <c r="U39" s="388">
        <f t="shared" si="18"/>
        <v>-1.0458732554225543E-4</v>
      </c>
      <c r="V39" s="388">
        <f t="shared" si="18"/>
        <v>-1.0624218752216543E-4</v>
      </c>
      <c r="W39" s="388">
        <f t="shared" si="18"/>
        <v>-1.0792321938886461E-4</v>
      </c>
      <c r="X39" s="388">
        <f t="shared" si="18"/>
        <v>-1.0963083490214665E-4</v>
      </c>
      <c r="Y39" s="388">
        <f t="shared" si="18"/>
        <v>-1.1136545436125672E-4</v>
      </c>
      <c r="Z39" s="388">
        <f t="shared" si="18"/>
        <v>-1.131275047082912E-4</v>
      </c>
      <c r="AA39" s="388">
        <f t="shared" si="18"/>
        <v>-1.1491741963320771E-4</v>
      </c>
      <c r="AB39" s="388">
        <f t="shared" si="18"/>
        <v>-1.1673563968051274E-4</v>
      </c>
      <c r="AC39" s="388">
        <f t="shared" si="18"/>
        <v>-1.1858261235762337E-4</v>
      </c>
      <c r="AD39" s="388">
        <f t="shared" si="18"/>
        <v>-1.2045879224494114E-4</v>
      </c>
      <c r="AE39" s="388">
        <f t="shared" si="18"/>
        <v>-1.2236464110767587E-4</v>
      </c>
      <c r="AF39" s="388">
        <f t="shared" si="18"/>
        <v>-1.2430062800942348E-4</v>
      </c>
      <c r="AG39" s="388">
        <f t="shared" si="18"/>
        <v>-1.2626722942754543E-4</v>
      </c>
      <c r="AH39" s="388">
        <f t="shared" si="18"/>
        <v>-1.2826492937036474E-4</v>
      </c>
      <c r="AI39" s="388">
        <f t="shared" si="18"/>
        <v>-1.3029421949622543E-4</v>
      </c>
      <c r="AJ39" s="388">
        <f t="shared" si="18"/>
        <v>-1.3235559923441807E-4</v>
      </c>
      <c r="AK39" s="388">
        <f t="shared" si="18"/>
        <v>-1.3444957590802854E-4</v>
      </c>
      <c r="AL39" s="388">
        <f t="shared" ref="AL39" si="19">AL15-AL27</f>
        <v>-1.3657666485872029E-4</v>
      </c>
    </row>
    <row r="40" spans="1:38" ht="13">
      <c r="B40" s="581" t="s">
        <v>782</v>
      </c>
      <c r="C40" s="581" t="s">
        <v>329</v>
      </c>
      <c r="D40" s="388">
        <f t="shared" ref="D40:AK40" si="20">D16-D28</f>
        <v>0</v>
      </c>
      <c r="E40" s="388">
        <f t="shared" si="20"/>
        <v>0</v>
      </c>
      <c r="F40" s="388">
        <f t="shared" si="20"/>
        <v>0</v>
      </c>
      <c r="G40" s="388">
        <f t="shared" si="20"/>
        <v>0</v>
      </c>
      <c r="H40" s="388">
        <f t="shared" si="20"/>
        <v>-1.4509205542633363E-3</v>
      </c>
      <c r="I40" s="388">
        <f t="shared" si="20"/>
        <v>-1.4725042864965673E-3</v>
      </c>
      <c r="J40" s="388">
        <f t="shared" si="20"/>
        <v>-1.4944068687614796E-3</v>
      </c>
      <c r="K40" s="388">
        <f t="shared" si="20"/>
        <v>-1.5166329962615476E-3</v>
      </c>
      <c r="L40" s="388">
        <f t="shared" si="20"/>
        <v>-1.5391874332477008E-3</v>
      </c>
      <c r="M40" s="388">
        <f t="shared" si="20"/>
        <v>-1.5620750140347747E-3</v>
      </c>
      <c r="N40" s="388">
        <f t="shared" si="20"/>
        <v>-1.5853006440328891E-3</v>
      </c>
      <c r="O40" s="388">
        <f t="shared" si="20"/>
        <v>-1.6088693007939425E-3</v>
      </c>
      <c r="P40" s="388">
        <f t="shared" si="20"/>
        <v>-1.6327860350734847E-3</v>
      </c>
      <c r="Q40" s="388">
        <f t="shared" si="20"/>
        <v>-1.6570559719082181E-3</v>
      </c>
      <c r="R40" s="388">
        <f t="shared" si="20"/>
        <v>-1.6816843117092688E-3</v>
      </c>
      <c r="S40" s="388">
        <f t="shared" si="20"/>
        <v>-1.7066763313716028E-3</v>
      </c>
      <c r="T40" s="388">
        <f t="shared" si="20"/>
        <v>-1.7320373853996693E-3</v>
      </c>
      <c r="U40" s="388">
        <f t="shared" si="20"/>
        <v>-1.7577729070495721E-3</v>
      </c>
      <c r="V40" s="388">
        <f t="shared" si="20"/>
        <v>-1.7838884094881543E-3</v>
      </c>
      <c r="W40" s="388">
        <f t="shared" si="20"/>
        <v>-1.8103894869688723E-3</v>
      </c>
      <c r="X40" s="388">
        <f t="shared" si="20"/>
        <v>-1.8372818160252539E-3</v>
      </c>
      <c r="Y40" s="388">
        <f t="shared" si="20"/>
        <v>-1.8645711566815434E-3</v>
      </c>
      <c r="Z40" s="388">
        <f t="shared" si="20"/>
        <v>-1.892263353681525E-3</v>
      </c>
      <c r="AA40" s="388">
        <f t="shared" si="20"/>
        <v>-1.9203643377350144E-3</v>
      </c>
      <c r="AB40" s="388">
        <f t="shared" si="20"/>
        <v>-1.9488801267829939E-3</v>
      </c>
      <c r="AC40" s="388">
        <f t="shared" si="20"/>
        <v>-1.9778168272811241E-3</v>
      </c>
      <c r="AD40" s="388">
        <f t="shared" si="20"/>
        <v>-2.0071806355021551E-3</v>
      </c>
      <c r="AE40" s="388">
        <f t="shared" si="20"/>
        <v>-2.036977838857628E-3</v>
      </c>
      <c r="AF40" s="388">
        <f t="shared" si="20"/>
        <v>-2.0672148172388091E-3</v>
      </c>
      <c r="AG40" s="388">
        <f t="shared" si="20"/>
        <v>-2.0978980443774418E-3</v>
      </c>
      <c r="AH40" s="388">
        <f t="shared" si="20"/>
        <v>-2.1290340892264007E-3</v>
      </c>
      <c r="AI40" s="388">
        <f t="shared" si="20"/>
        <v>-2.1606296173608194E-3</v>
      </c>
      <c r="AJ40" s="388">
        <f t="shared" si="20"/>
        <v>-2.1926913923995921E-3</v>
      </c>
      <c r="AK40" s="388">
        <f t="shared" si="20"/>
        <v>-2.2252262774479208E-3</v>
      </c>
      <c r="AL40" s="388">
        <f t="shared" ref="AL40" si="21">AL16-AL28</f>
        <v>-2.2582412365610254E-3</v>
      </c>
    </row>
    <row r="41" spans="1:38" ht="13">
      <c r="B41" s="581" t="s">
        <v>783</v>
      </c>
      <c r="C41" s="581" t="s">
        <v>518</v>
      </c>
      <c r="D41" s="388">
        <f t="shared" ref="D41:AK41" si="22">D17-D29</f>
        <v>0</v>
      </c>
      <c r="E41" s="388">
        <f t="shared" si="22"/>
        <v>0</v>
      </c>
      <c r="F41" s="388">
        <f t="shared" si="22"/>
        <v>0</v>
      </c>
      <c r="G41" s="388">
        <f t="shared" si="22"/>
        <v>0</v>
      </c>
      <c r="H41" s="388">
        <f t="shared" si="22"/>
        <v>-6.7843346323292128E-3</v>
      </c>
      <c r="I41" s="388">
        <f t="shared" si="22"/>
        <v>-6.885338550718649E-3</v>
      </c>
      <c r="J41" s="388">
        <f t="shared" si="22"/>
        <v>-6.9878359758265354E-3</v>
      </c>
      <c r="K41" s="388">
        <f t="shared" si="22"/>
        <v>-7.091848923368109E-3</v>
      </c>
      <c r="L41" s="388">
        <f t="shared" si="22"/>
        <v>-7.197399733191126E-3</v>
      </c>
      <c r="M41" s="388">
        <f t="shared" si="22"/>
        <v>-7.3045110740532701E-3</v>
      </c>
      <c r="N41" s="388">
        <f t="shared" si="22"/>
        <v>-7.4132059484697532E-3</v>
      </c>
      <c r="O41" s="388">
        <f t="shared" si="22"/>
        <v>-7.5235076976321591E-3</v>
      </c>
      <c r="P41" s="388">
        <f t="shared" si="22"/>
        <v>-7.6354400063995895E-3</v>
      </c>
      <c r="Q41" s="388">
        <f t="shared" si="22"/>
        <v>-7.7490269083633698E-3</v>
      </c>
      <c r="R41" s="388">
        <f t="shared" si="22"/>
        <v>-7.8642927909860771E-3</v>
      </c>
      <c r="S41" s="388">
        <f t="shared" si="22"/>
        <v>-7.9812624008163691E-3</v>
      </c>
      <c r="T41" s="388">
        <f t="shared" si="22"/>
        <v>-8.0999608487804034E-3</v>
      </c>
      <c r="U41" s="388">
        <f t="shared" si="22"/>
        <v>-8.2204136155509047E-3</v>
      </c>
      <c r="V41" s="388">
        <f t="shared" si="22"/>
        <v>-8.3426465569959238E-3</v>
      </c>
      <c r="W41" s="388">
        <f t="shared" si="22"/>
        <v>-8.4666859097065617E-3</v>
      </c>
      <c r="X41" s="388">
        <f t="shared" si="22"/>
        <v>-8.592558296607565E-3</v>
      </c>
      <c r="Y41" s="388">
        <f t="shared" si="22"/>
        <v>-8.7202907326487181E-3</v>
      </c>
      <c r="Z41" s="388">
        <f t="shared" si="22"/>
        <v>-8.8499106305818739E-3</v>
      </c>
      <c r="AA41" s="388">
        <f t="shared" si="22"/>
        <v>-8.9814458068211422E-3</v>
      </c>
      <c r="AB41" s="388">
        <f t="shared" si="22"/>
        <v>-9.1149244873908325E-3</v>
      </c>
      <c r="AC41" s="388">
        <f t="shared" si="22"/>
        <v>-9.2503753139599812E-3</v>
      </c>
      <c r="AD41" s="388">
        <f t="shared" si="22"/>
        <v>-9.3878273499657244E-3</v>
      </c>
      <c r="AE41" s="388">
        <f t="shared" si="22"/>
        <v>-9.5273100868275978E-3</v>
      </c>
      <c r="AF41" s="388">
        <f t="shared" si="22"/>
        <v>-9.6688534502523543E-3</v>
      </c>
      <c r="AG41" s="388">
        <f t="shared" si="22"/>
        <v>-9.8124878066320684E-3</v>
      </c>
      <c r="AH41" s="388">
        <f t="shared" si="22"/>
        <v>-9.958243969535957E-3</v>
      </c>
      <c r="AI41" s="388">
        <f t="shared" si="22"/>
        <v>-1.0106153206298638E-2</v>
      </c>
      <c r="AJ41" s="388">
        <f t="shared" si="22"/>
        <v>-1.0256247244704184E-2</v>
      </c>
      <c r="AK41" s="388">
        <f t="shared" si="22"/>
        <v>-1.0408558279769511E-2</v>
      </c>
      <c r="AL41" s="388">
        <f t="shared" ref="AL41" si="23">AL17-AL29</f>
        <v>-1.0563118980627131E-2</v>
      </c>
    </row>
    <row r="42" spans="1:38">
      <c r="D42" s="358"/>
      <c r="F42" s="464"/>
      <c r="G42" s="465"/>
      <c r="H42" s="465"/>
    </row>
    <row r="43" spans="1:38" ht="13">
      <c r="B43" s="492" t="s">
        <v>284</v>
      </c>
      <c r="C43" s="487" t="s">
        <v>292</v>
      </c>
      <c r="D43" s="488">
        <f t="shared" ref="D43:AK43" si="24">D23-D35</f>
        <v>0</v>
      </c>
      <c r="E43" s="488">
        <f t="shared" si="24"/>
        <v>0</v>
      </c>
      <c r="F43" s="488">
        <f t="shared" si="24"/>
        <v>0</v>
      </c>
      <c r="G43" s="488">
        <f t="shared" si="24"/>
        <v>0</v>
      </c>
      <c r="H43" s="488">
        <f t="shared" si="24"/>
        <v>-1472.1341356139856</v>
      </c>
      <c r="I43" s="488">
        <f t="shared" si="24"/>
        <v>-1495.0105105778166</v>
      </c>
      <c r="J43" s="488">
        <f t="shared" si="24"/>
        <v>-1518.2418094359909</v>
      </c>
      <c r="K43" s="488">
        <f t="shared" si="24"/>
        <v>-1541.8335386045601</v>
      </c>
      <c r="L43" s="488">
        <f t="shared" si="24"/>
        <v>-1565.7912899492203</v>
      </c>
      <c r="M43" s="488">
        <f t="shared" si="24"/>
        <v>-1590.1207421135314</v>
      </c>
      <c r="N43" s="488">
        <f t="shared" si="24"/>
        <v>-1614.8276618678119</v>
      </c>
      <c r="O43" s="488">
        <f t="shared" si="24"/>
        <v>-1639.9179054789183</v>
      </c>
      <c r="P43" s="488">
        <f t="shared" si="24"/>
        <v>-1665.3974201013552</v>
      </c>
      <c r="Q43" s="488">
        <f t="shared" si="24"/>
        <v>-1691.2722451899717</v>
      </c>
      <c r="R43" s="488">
        <f t="shared" si="24"/>
        <v>-1717.5485139346183</v>
      </c>
      <c r="S43" s="488">
        <f t="shared" si="24"/>
        <v>-1744.2324547171229</v>
      </c>
      <c r="T43" s="488">
        <f t="shared" si="24"/>
        <v>-1771.3303925908676</v>
      </c>
      <c r="U43" s="488">
        <f t="shared" si="24"/>
        <v>-1798.848750783327</v>
      </c>
      <c r="V43" s="488">
        <f t="shared" si="24"/>
        <v>-1826.7940522221252</v>
      </c>
      <c r="W43" s="488">
        <f t="shared" si="24"/>
        <v>-1855.1729210845224</v>
      </c>
      <c r="X43" s="488">
        <f t="shared" si="24"/>
        <v>-1883.9920843713207</v>
      </c>
      <c r="Y43" s="488">
        <f t="shared" si="24"/>
        <v>-1913.2583735048775</v>
      </c>
      <c r="Z43" s="488">
        <f t="shared" si="24"/>
        <v>-1942.9787259523237</v>
      </c>
      <c r="AA43" s="488">
        <f t="shared" si="24"/>
        <v>-1973.1601868736634</v>
      </c>
      <c r="AB43" s="488">
        <f t="shared" si="24"/>
        <v>-2003.8099107957769</v>
      </c>
      <c r="AC43" s="488">
        <f t="shared" si="24"/>
        <v>-2034.9351633122587</v>
      </c>
      <c r="AD43" s="488">
        <f t="shared" si="24"/>
        <v>-2066.5433228096899</v>
      </c>
      <c r="AE43" s="488">
        <f t="shared" si="24"/>
        <v>-2098.6418822209325</v>
      </c>
      <c r="AF43" s="488">
        <f t="shared" si="24"/>
        <v>-2131.2384508054347</v>
      </c>
      <c r="AG43" s="488">
        <f t="shared" si="24"/>
        <v>-2164.340755957377</v>
      </c>
      <c r="AH43" s="488">
        <f t="shared" si="24"/>
        <v>-2197.956645041806</v>
      </c>
      <c r="AI43" s="488">
        <f t="shared" si="24"/>
        <v>-2232.0940872594892</v>
      </c>
      <c r="AJ43" s="488">
        <f t="shared" si="24"/>
        <v>-2266.761175540556</v>
      </c>
      <c r="AK43" s="488">
        <f t="shared" si="24"/>
        <v>-2301.9661284677313</v>
      </c>
      <c r="AL43" s="488">
        <f t="shared" ref="AL43" si="25">AL23-AL35</f>
        <v>-2337.717292229423</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1172" t="s">
        <v>493</v>
      </c>
      <c r="C49" s="384" t="s">
        <v>450</v>
      </c>
      <c r="D49" s="496">
        <f>'General Inputs'!D15</f>
        <v>17.899999999999999</v>
      </c>
      <c r="E49" s="496">
        <f t="shared" ref="E49:T51" si="26">D49*(1+$C$48)</f>
        <v>17.899999999999999</v>
      </c>
      <c r="F49" s="496">
        <f t="shared" si="26"/>
        <v>17.899999999999999</v>
      </c>
      <c r="G49" s="496">
        <f t="shared" si="26"/>
        <v>17.899999999999999</v>
      </c>
      <c r="H49" s="496">
        <f t="shared" si="26"/>
        <v>17.899999999999999</v>
      </c>
      <c r="I49" s="496">
        <f t="shared" si="26"/>
        <v>17.899999999999999</v>
      </c>
      <c r="J49" s="496">
        <f t="shared" si="26"/>
        <v>17.899999999999999</v>
      </c>
      <c r="K49" s="496">
        <f t="shared" si="26"/>
        <v>17.899999999999999</v>
      </c>
      <c r="L49" s="496">
        <f t="shared" si="26"/>
        <v>17.899999999999999</v>
      </c>
      <c r="M49" s="496">
        <f t="shared" si="26"/>
        <v>17.899999999999999</v>
      </c>
      <c r="N49" s="496">
        <f t="shared" si="26"/>
        <v>17.899999999999999</v>
      </c>
      <c r="O49" s="496">
        <f t="shared" si="26"/>
        <v>17.899999999999999</v>
      </c>
      <c r="P49" s="496">
        <f t="shared" si="26"/>
        <v>17.899999999999999</v>
      </c>
      <c r="Q49" s="496">
        <f t="shared" si="26"/>
        <v>17.899999999999999</v>
      </c>
      <c r="R49" s="496">
        <f t="shared" si="26"/>
        <v>17.899999999999999</v>
      </c>
      <c r="S49" s="496">
        <f t="shared" si="26"/>
        <v>17.899999999999999</v>
      </c>
      <c r="T49" s="496">
        <f t="shared" si="26"/>
        <v>17.899999999999999</v>
      </c>
      <c r="U49" s="496">
        <f t="shared" ref="U49:AJ51" si="27">T49*(1+$C$48)</f>
        <v>17.899999999999999</v>
      </c>
      <c r="V49" s="496">
        <f t="shared" si="27"/>
        <v>17.899999999999999</v>
      </c>
      <c r="W49" s="496">
        <f t="shared" si="27"/>
        <v>17.899999999999999</v>
      </c>
      <c r="X49" s="496">
        <f t="shared" si="27"/>
        <v>17.899999999999999</v>
      </c>
      <c r="Y49" s="496">
        <f t="shared" si="27"/>
        <v>17.899999999999999</v>
      </c>
      <c r="Z49" s="496">
        <f t="shared" si="27"/>
        <v>17.899999999999999</v>
      </c>
      <c r="AA49" s="496">
        <f t="shared" si="27"/>
        <v>17.899999999999999</v>
      </c>
      <c r="AB49" s="496">
        <f t="shared" si="27"/>
        <v>17.899999999999999</v>
      </c>
      <c r="AC49" s="496">
        <f t="shared" si="27"/>
        <v>17.899999999999999</v>
      </c>
      <c r="AD49" s="496">
        <f t="shared" si="27"/>
        <v>17.899999999999999</v>
      </c>
      <c r="AE49" s="496">
        <f t="shared" si="27"/>
        <v>17.899999999999999</v>
      </c>
      <c r="AF49" s="496">
        <f t="shared" si="27"/>
        <v>17.899999999999999</v>
      </c>
      <c r="AG49" s="496">
        <f t="shared" si="27"/>
        <v>17.899999999999999</v>
      </c>
      <c r="AH49" s="496">
        <f t="shared" si="27"/>
        <v>17.899999999999999</v>
      </c>
      <c r="AI49" s="496">
        <f t="shared" si="27"/>
        <v>17.899999999999999</v>
      </c>
      <c r="AJ49" s="496">
        <f t="shared" si="27"/>
        <v>17.899999999999999</v>
      </c>
      <c r="AK49" s="496">
        <f t="shared" ref="AJ49:AL51" si="28">AJ49*(1+$C$48)</f>
        <v>17.899999999999999</v>
      </c>
      <c r="AL49" s="496">
        <f t="shared" si="28"/>
        <v>17.899999999999999</v>
      </c>
    </row>
    <row r="50" spans="1:38">
      <c r="B50" s="754" t="s">
        <v>494</v>
      </c>
      <c r="C50" s="384" t="s">
        <v>450</v>
      </c>
      <c r="D50" s="496">
        <f>'General Inputs'!D16</f>
        <v>30.8</v>
      </c>
      <c r="E50" s="496">
        <f t="shared" si="26"/>
        <v>30.8</v>
      </c>
      <c r="F50" s="496">
        <f t="shared" si="26"/>
        <v>30.8</v>
      </c>
      <c r="G50" s="496">
        <f t="shared" si="26"/>
        <v>30.8</v>
      </c>
      <c r="H50" s="496">
        <f t="shared" si="26"/>
        <v>30.8</v>
      </c>
      <c r="I50" s="496">
        <f t="shared" si="26"/>
        <v>30.8</v>
      </c>
      <c r="J50" s="496">
        <f t="shared" si="26"/>
        <v>30.8</v>
      </c>
      <c r="K50" s="496">
        <f t="shared" si="26"/>
        <v>30.8</v>
      </c>
      <c r="L50" s="496">
        <f t="shared" si="26"/>
        <v>30.8</v>
      </c>
      <c r="M50" s="496">
        <f t="shared" si="26"/>
        <v>30.8</v>
      </c>
      <c r="N50" s="496">
        <f t="shared" si="26"/>
        <v>30.8</v>
      </c>
      <c r="O50" s="496">
        <f t="shared" si="26"/>
        <v>30.8</v>
      </c>
      <c r="P50" s="496">
        <f t="shared" si="26"/>
        <v>30.8</v>
      </c>
      <c r="Q50" s="496">
        <f t="shared" si="26"/>
        <v>30.8</v>
      </c>
      <c r="R50" s="496">
        <f t="shared" si="26"/>
        <v>30.8</v>
      </c>
      <c r="S50" s="496">
        <f t="shared" si="26"/>
        <v>30.8</v>
      </c>
      <c r="T50" s="496">
        <f t="shared" si="26"/>
        <v>30.8</v>
      </c>
      <c r="U50" s="496">
        <f t="shared" si="27"/>
        <v>30.8</v>
      </c>
      <c r="V50" s="496">
        <f t="shared" si="27"/>
        <v>30.8</v>
      </c>
      <c r="W50" s="496">
        <f t="shared" si="27"/>
        <v>30.8</v>
      </c>
      <c r="X50" s="496">
        <f t="shared" si="27"/>
        <v>30.8</v>
      </c>
      <c r="Y50" s="496">
        <f t="shared" si="27"/>
        <v>30.8</v>
      </c>
      <c r="Z50" s="496">
        <f t="shared" si="27"/>
        <v>30.8</v>
      </c>
      <c r="AA50" s="496">
        <f t="shared" si="27"/>
        <v>30.8</v>
      </c>
      <c r="AB50" s="496">
        <f t="shared" si="27"/>
        <v>30.8</v>
      </c>
      <c r="AC50" s="496">
        <f t="shared" si="27"/>
        <v>30.8</v>
      </c>
      <c r="AD50" s="496">
        <f t="shared" si="27"/>
        <v>30.8</v>
      </c>
      <c r="AE50" s="496">
        <f t="shared" si="27"/>
        <v>30.8</v>
      </c>
      <c r="AF50" s="496">
        <f t="shared" si="27"/>
        <v>30.8</v>
      </c>
      <c r="AG50" s="496">
        <f t="shared" si="27"/>
        <v>30.8</v>
      </c>
      <c r="AH50" s="496">
        <f t="shared" si="27"/>
        <v>30.8</v>
      </c>
      <c r="AI50" s="496">
        <f t="shared" si="27"/>
        <v>30.8</v>
      </c>
      <c r="AJ50" s="496">
        <f t="shared" si="28"/>
        <v>30.8</v>
      </c>
      <c r="AK50" s="496">
        <f t="shared" si="28"/>
        <v>30.8</v>
      </c>
      <c r="AL50" s="496">
        <f t="shared" si="28"/>
        <v>30.8</v>
      </c>
    </row>
    <row r="51" spans="1:38">
      <c r="B51" s="754" t="s">
        <v>773</v>
      </c>
      <c r="C51" s="384" t="s">
        <v>450</v>
      </c>
      <c r="D51" s="496">
        <f>'General Inputs'!D17</f>
        <v>31.7</v>
      </c>
      <c r="E51" s="496">
        <f t="shared" si="26"/>
        <v>31.7</v>
      </c>
      <c r="F51" s="496">
        <f t="shared" si="26"/>
        <v>31.7</v>
      </c>
      <c r="G51" s="496">
        <f t="shared" si="26"/>
        <v>31.7</v>
      </c>
      <c r="H51" s="496">
        <f t="shared" si="26"/>
        <v>31.7</v>
      </c>
      <c r="I51" s="496">
        <f t="shared" si="26"/>
        <v>31.7</v>
      </c>
      <c r="J51" s="496">
        <f t="shared" si="26"/>
        <v>31.7</v>
      </c>
      <c r="K51" s="496">
        <f t="shared" si="26"/>
        <v>31.7</v>
      </c>
      <c r="L51" s="496">
        <f t="shared" si="26"/>
        <v>31.7</v>
      </c>
      <c r="M51" s="496">
        <f t="shared" si="26"/>
        <v>31.7</v>
      </c>
      <c r="N51" s="496">
        <f t="shared" si="26"/>
        <v>31.7</v>
      </c>
      <c r="O51" s="496">
        <f t="shared" si="26"/>
        <v>31.7</v>
      </c>
      <c r="P51" s="496">
        <f t="shared" si="26"/>
        <v>31.7</v>
      </c>
      <c r="Q51" s="496">
        <f t="shared" si="26"/>
        <v>31.7</v>
      </c>
      <c r="R51" s="496">
        <f t="shared" si="26"/>
        <v>31.7</v>
      </c>
      <c r="S51" s="496">
        <f t="shared" si="26"/>
        <v>31.7</v>
      </c>
      <c r="T51" s="496">
        <f t="shared" si="26"/>
        <v>31.7</v>
      </c>
      <c r="U51" s="496">
        <f t="shared" si="27"/>
        <v>31.7</v>
      </c>
      <c r="V51" s="496">
        <f t="shared" si="27"/>
        <v>31.7</v>
      </c>
      <c r="W51" s="496">
        <f t="shared" si="27"/>
        <v>31.7</v>
      </c>
      <c r="X51" s="496">
        <f t="shared" si="27"/>
        <v>31.7</v>
      </c>
      <c r="Y51" s="496">
        <f t="shared" si="27"/>
        <v>31.7</v>
      </c>
      <c r="Z51" s="496">
        <f t="shared" si="27"/>
        <v>31.7</v>
      </c>
      <c r="AA51" s="496">
        <f t="shared" si="27"/>
        <v>31.7</v>
      </c>
      <c r="AB51" s="496">
        <f t="shared" si="27"/>
        <v>31.7</v>
      </c>
      <c r="AC51" s="496">
        <f t="shared" si="27"/>
        <v>31.7</v>
      </c>
      <c r="AD51" s="496">
        <f t="shared" si="27"/>
        <v>31.7</v>
      </c>
      <c r="AE51" s="496">
        <f t="shared" si="27"/>
        <v>31.7</v>
      </c>
      <c r="AF51" s="496">
        <f t="shared" si="27"/>
        <v>31.7</v>
      </c>
      <c r="AG51" s="496">
        <f t="shared" si="27"/>
        <v>31.7</v>
      </c>
      <c r="AH51" s="496">
        <f t="shared" si="27"/>
        <v>31.7</v>
      </c>
      <c r="AI51" s="496">
        <f t="shared" si="27"/>
        <v>31.7</v>
      </c>
      <c r="AJ51" s="496">
        <f t="shared" si="28"/>
        <v>31.7</v>
      </c>
      <c r="AK51" s="496">
        <f t="shared" si="28"/>
        <v>31.7</v>
      </c>
      <c r="AL51" s="496">
        <f t="shared" si="28"/>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'Colorado Avenue'!D25</f>
        <v>282.42918778068463</v>
      </c>
      <c r="E55" s="383">
        <f>'Colorado Avenue'!E25</f>
        <v>293.84309892328963</v>
      </c>
      <c r="F55" s="383">
        <f>'Colorado Avenue'!F25</f>
        <v>305.71828451346494</v>
      </c>
      <c r="G55" s="383">
        <f>'Colorado Avenue'!G25</f>
        <v>318.07338619939981</v>
      </c>
      <c r="H55" s="383">
        <f>'Colorado Avenue'!H25</f>
        <v>330.9277990008365</v>
      </c>
      <c r="I55" s="383">
        <f>'Colorado Avenue'!I25</f>
        <v>344.30170175534397</v>
      </c>
      <c r="J55" s="383">
        <f>'Colorado Avenue'!J25</f>
        <v>358.21608879502492</v>
      </c>
      <c r="K55" s="383">
        <f>'Colorado Avenue'!K25</f>
        <v>372.69280290338713</v>
      </c>
      <c r="L55" s="383">
        <f>'Colorado Avenue'!L25</f>
        <v>387.75456960411128</v>
      </c>
      <c r="M55" s="383">
        <f>'Colorado Avenue'!M25</f>
        <v>403.42503283554311</v>
      </c>
      <c r="N55" s="383">
        <f>'Colorado Avenue'!N25</f>
        <v>419.72879206691198</v>
      </c>
      <c r="O55" s="383">
        <f>'Colorado Avenue'!O25</f>
        <v>436.69144091454052</v>
      </c>
      <c r="P55" s="383">
        <f>'Colorado Avenue'!P25</f>
        <v>454.33960731866307</v>
      </c>
      <c r="Q55" s="383">
        <f>'Colorado Avenue'!Q25</f>
        <v>472.70099534392688</v>
      </c>
      <c r="R55" s="383">
        <f>'Colorado Avenue'!R25</f>
        <v>491.80442866918986</v>
      </c>
      <c r="S55" s="383">
        <f>'Colorado Avenue'!S25</f>
        <v>511.6798958348881</v>
      </c>
      <c r="T55" s="383">
        <f>'Colorado Avenue'!T25</f>
        <v>532.35859731899939</v>
      </c>
      <c r="U55" s="383">
        <f>'Colorado Avenue'!U25</f>
        <v>553.87299451550768</v>
      </c>
      <c r="V55" s="383">
        <f>'Colorado Avenue'!V25</f>
        <v>576.25686069224878</v>
      </c>
      <c r="W55" s="383">
        <f>'Colorado Avenue'!W25</f>
        <v>599.54533400813489</v>
      </c>
      <c r="X55" s="383">
        <f>'Colorado Avenue'!X25</f>
        <v>623.77497267298213</v>
      </c>
      <c r="Y55" s="383">
        <f>'Colorado Avenue'!Y25</f>
        <v>648.98381233653345</v>
      </c>
      <c r="Z55" s="383">
        <f>'Colorado Avenue'!Z25</f>
        <v>675.21142579676223</v>
      </c>
      <c r="AA55" s="383">
        <f>'Colorado Avenue'!AA25</f>
        <v>702.49898512119194</v>
      </c>
      <c r="AB55" s="383">
        <f>'Colorado Avenue'!AB25</f>
        <v>730.88932627874215</v>
      </c>
      <c r="AC55" s="383">
        <f>'Colorado Avenue'!AC25</f>
        <v>760.42701638356948</v>
      </c>
      <c r="AD55" s="383">
        <f>'Colorado Avenue'!AD25</f>
        <v>791.15842365645426</v>
      </c>
      <c r="AE55" s="383">
        <f>'Colorado Avenue'!AE25</f>
        <v>823.13179021356268</v>
      </c>
      <c r="AF55" s="383">
        <f>'Colorado Avenue'!AF25</f>
        <v>856.39730779684692</v>
      </c>
      <c r="AG55" s="383">
        <f>'Colorado Avenue'!AG25</f>
        <v>891.00719656496449</v>
      </c>
      <c r="AH55" s="383">
        <f>'Colorado Avenue'!AH25</f>
        <v>927.01578706840576</v>
      </c>
      <c r="AI55" s="383">
        <f>'Colorado Avenue'!AI25</f>
        <v>964.47960553750534</v>
      </c>
      <c r="AJ55" s="383">
        <f>'Colorado Avenue'!AJ25</f>
        <v>1003.4574626172354</v>
      </c>
      <c r="AK55" s="383">
        <f>'Colorado Avenue'!AK25</f>
        <v>1044.0105456880644</v>
      </c>
      <c r="AL55" s="383">
        <f>'Colorado Avenue'!AL25</f>
        <v>1086.2025149178153</v>
      </c>
    </row>
    <row r="56" spans="1:38">
      <c r="B56" s="385" t="s">
        <v>509</v>
      </c>
      <c r="C56" s="386" t="s">
        <v>443</v>
      </c>
      <c r="D56" s="383">
        <f>'Colorado Avenue'!D26</f>
        <v>0.56599035627391714</v>
      </c>
      <c r="E56" s="383">
        <f>'Colorado Avenue'!E26</f>
        <v>0.58886392569797519</v>
      </c>
      <c r="F56" s="383">
        <f>'Colorado Avenue'!F26</f>
        <v>0.61266189281255501</v>
      </c>
      <c r="G56" s="383">
        <f>'Colorado Avenue'!G26</f>
        <v>0.63742161563005972</v>
      </c>
      <c r="H56" s="383">
        <f>'Colorado Avenue'!H26</f>
        <v>0.66318196192552414</v>
      </c>
      <c r="I56" s="383">
        <f>'Colorado Avenue'!I26</f>
        <v>0.68998337025119028</v>
      </c>
      <c r="J56" s="383">
        <f>'Colorado Avenue'!J26</f>
        <v>0.71786791341688372</v>
      </c>
      <c r="K56" s="383">
        <f>'Colorado Avenue'!K26</f>
        <v>0.74687936453584602</v>
      </c>
      <c r="L56" s="383">
        <f>'Colorado Avenue'!L26</f>
        <v>0.77706326573970197</v>
      </c>
      <c r="M56" s="383">
        <f>'Colorado Avenue'!M26</f>
        <v>0.80846699967042712</v>
      </c>
      <c r="N56" s="383">
        <f>'Colorado Avenue'!N26</f>
        <v>0.84113986386154704</v>
      </c>
      <c r="O56" s="383">
        <f>'Colorado Avenue'!O26</f>
        <v>0.87513314812533172</v>
      </c>
      <c r="P56" s="383">
        <f>'Colorado Avenue'!P26</f>
        <v>0.91050021506746115</v>
      </c>
      <c r="Q56" s="383">
        <f>'Colorado Avenue'!Q26</f>
        <v>0.94729658385556492</v>
      </c>
      <c r="R56" s="383">
        <f>'Colorado Avenue'!R26</f>
        <v>0.98558001737312606</v>
      </c>
      <c r="S56" s="383">
        <f>'Colorado Avenue'!S26</f>
        <v>1.0254106128955673</v>
      </c>
      <c r="T56" s="383">
        <f>'Colorado Avenue'!T26</f>
        <v>1.0668508964308605</v>
      </c>
      <c r="U56" s="383">
        <f>'Colorado Avenue'!U26</f>
        <v>1.109965920872761</v>
      </c>
      <c r="V56" s="383">
        <f>'Colorado Avenue'!V26</f>
        <v>1.1548233681207392</v>
      </c>
      <c r="W56" s="383">
        <f>'Colorado Avenue'!W26</f>
        <v>1.2014936553269235</v>
      </c>
      <c r="X56" s="383">
        <f>'Colorado Avenue'!X26</f>
        <v>1.250050045436838</v>
      </c>
      <c r="Y56" s="383">
        <f>'Colorado Avenue'!Y26</f>
        <v>1.300568762197462</v>
      </c>
      <c r="Z56" s="383">
        <f>'Colorado Avenue'!Z26</f>
        <v>1.3531291098131508</v>
      </c>
      <c r="AA56" s="383">
        <f>'Colorado Avenue'!AA26</f>
        <v>1.4078135974372583</v>
      </c>
      <c r="AB56" s="383">
        <f>'Colorado Avenue'!AB26</f>
        <v>1.4647080686948741</v>
      </c>
      <c r="AC56" s="383">
        <f>'Colorado Avenue'!AC26</f>
        <v>1.523901836440019</v>
      </c>
      <c r="AD56" s="383">
        <f>'Colorado Avenue'!AD26</f>
        <v>1.5854878229588263</v>
      </c>
      <c r="AE56" s="383">
        <f>'Colorado Avenue'!AE26</f>
        <v>1.6495627058388029</v>
      </c>
      <c r="AF56" s="383">
        <f>'Colorado Avenue'!AF26</f>
        <v>1.7162270697331601</v>
      </c>
      <c r="AG56" s="383">
        <f>'Colorado Avenue'!AG26</f>
        <v>1.7855855642584459</v>
      </c>
      <c r="AH56" s="383">
        <f>'Colorado Avenue'!AH26</f>
        <v>1.8577470682733583</v>
      </c>
      <c r="AI56" s="383">
        <f>'Colorado Avenue'!AI26</f>
        <v>1.9328248607966039</v>
      </c>
      <c r="AJ56" s="383">
        <f>'Colorado Avenue'!AJ26</f>
        <v>2.0109367988321352</v>
      </c>
      <c r="AK56" s="383">
        <f>'Colorado Avenue'!AK26</f>
        <v>2.092205502380891</v>
      </c>
      <c r="AL56" s="383">
        <f>'Colorado Avenue'!AL26</f>
        <v>2.1767585469294897</v>
      </c>
    </row>
    <row r="57" spans="1:38">
      <c r="B57" s="358" t="s">
        <v>769</v>
      </c>
      <c r="C57" s="358" t="s">
        <v>443</v>
      </c>
      <c r="D57" s="383">
        <f>'Colorado Avenue'!D27</f>
        <v>0</v>
      </c>
      <c r="E57" s="383">
        <f>'Colorado Avenue'!E27</f>
        <v>0</v>
      </c>
      <c r="F57" s="383">
        <f>'Colorado Avenue'!F27</f>
        <v>0</v>
      </c>
      <c r="G57" s="383">
        <f>'Colorado Avenue'!G27</f>
        <v>0</v>
      </c>
      <c r="H57" s="383">
        <f>'Colorado Avenue'!H27</f>
        <v>0</v>
      </c>
      <c r="I57" s="383">
        <f>'Colorado Avenue'!I27</f>
        <v>0</v>
      </c>
      <c r="J57" s="383">
        <f>'Colorado Avenue'!J27</f>
        <v>0</v>
      </c>
      <c r="K57" s="383">
        <f>'Colorado Avenue'!K27</f>
        <v>0</v>
      </c>
      <c r="L57" s="383">
        <f>'Colorado Avenue'!L27</f>
        <v>0</v>
      </c>
      <c r="M57" s="383">
        <f>'Colorado Avenue'!M27</f>
        <v>0</v>
      </c>
      <c r="N57" s="383">
        <f>'Colorado Avenue'!N27</f>
        <v>0</v>
      </c>
      <c r="O57" s="383">
        <f>'Colorado Avenue'!O27</f>
        <v>0</v>
      </c>
      <c r="P57" s="383">
        <f>'Colorado Avenue'!P27</f>
        <v>0</v>
      </c>
      <c r="Q57" s="383">
        <f>'Colorado Avenue'!Q27</f>
        <v>0</v>
      </c>
      <c r="R57" s="383">
        <f>'Colorado Avenue'!R27</f>
        <v>0</v>
      </c>
      <c r="S57" s="383">
        <f>'Colorado Avenue'!S27</f>
        <v>0</v>
      </c>
      <c r="T57" s="383">
        <f>'Colorado Avenue'!T27</f>
        <v>0</v>
      </c>
      <c r="U57" s="383">
        <f>'Colorado Avenue'!U27</f>
        <v>0</v>
      </c>
      <c r="V57" s="383">
        <f>'Colorado Avenue'!V27</f>
        <v>0</v>
      </c>
      <c r="W57" s="383">
        <f>'Colorado Avenue'!W27</f>
        <v>0</v>
      </c>
      <c r="X57" s="383">
        <f>'Colorado Avenue'!X27</f>
        <v>0</v>
      </c>
      <c r="Y57" s="383">
        <f>'Colorado Avenue'!Y27</f>
        <v>0</v>
      </c>
      <c r="Z57" s="383">
        <f>'Colorado Avenue'!Z27</f>
        <v>0</v>
      </c>
      <c r="AA57" s="383">
        <f>'Colorado Avenue'!AA27</f>
        <v>0</v>
      </c>
      <c r="AB57" s="383">
        <f>'Colorado Avenue'!AB27</f>
        <v>0</v>
      </c>
      <c r="AC57" s="383">
        <f>'Colorado Avenue'!AC27</f>
        <v>0</v>
      </c>
      <c r="AD57" s="383">
        <f>'Colorado Avenue'!AD27</f>
        <v>0</v>
      </c>
      <c r="AE57" s="383">
        <f>'Colorado Avenue'!AE27</f>
        <v>0</v>
      </c>
      <c r="AF57" s="383">
        <f>'Colorado Avenue'!AF27</f>
        <v>0</v>
      </c>
      <c r="AG57" s="383">
        <f>'Colorado Avenue'!AG27</f>
        <v>0</v>
      </c>
      <c r="AH57" s="383">
        <f>'Colorado Avenue'!AH27</f>
        <v>0</v>
      </c>
      <c r="AI57" s="383">
        <f>'Colorado Avenue'!AI27</f>
        <v>0</v>
      </c>
      <c r="AJ57" s="383">
        <f>'Colorado Avenue'!AJ27</f>
        <v>0</v>
      </c>
      <c r="AK57" s="383">
        <f>'Colorado Avenue'!AK27</f>
        <v>0</v>
      </c>
      <c r="AL57" s="383">
        <f>'Colorado Avenue'!AL27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471.65674359374333</v>
      </c>
      <c r="E62" s="383">
        <f t="shared" ref="D62:AK64" si="29">E55*$C59</f>
        <v>490.71797520189364</v>
      </c>
      <c r="F62" s="383">
        <f t="shared" si="29"/>
        <v>510.54953513748643</v>
      </c>
      <c r="G62" s="383">
        <f t="shared" si="29"/>
        <v>531.18255495299763</v>
      </c>
      <c r="H62" s="383">
        <f t="shared" si="29"/>
        <v>552.64942433139697</v>
      </c>
      <c r="I62" s="383">
        <f t="shared" si="29"/>
        <v>574.98384193142442</v>
      </c>
      <c r="J62" s="383">
        <f t="shared" si="29"/>
        <v>598.22086828769159</v>
      </c>
      <c r="K62" s="383">
        <f t="shared" si="29"/>
        <v>622.39698084865654</v>
      </c>
      <c r="L62" s="383">
        <f t="shared" si="29"/>
        <v>647.55013123886579</v>
      </c>
      <c r="M62" s="383">
        <f t="shared" si="29"/>
        <v>673.71980483535697</v>
      </c>
      <c r="N62" s="383">
        <f t="shared" si="29"/>
        <v>700.94708275174298</v>
      </c>
      <c r="O62" s="383">
        <f t="shared" si="29"/>
        <v>729.27470632728262</v>
      </c>
      <c r="P62" s="383">
        <f t="shared" si="29"/>
        <v>758.74714422216732</v>
      </c>
      <c r="Q62" s="383">
        <f t="shared" si="29"/>
        <v>789.41066222435791</v>
      </c>
      <c r="R62" s="383">
        <f t="shared" si="29"/>
        <v>821.31339587754701</v>
      </c>
      <c r="S62" s="383">
        <f t="shared" si="29"/>
        <v>854.50542604426312</v>
      </c>
      <c r="T62" s="383">
        <f t="shared" si="29"/>
        <v>889.0388575227289</v>
      </c>
      <c r="U62" s="383">
        <f t="shared" si="29"/>
        <v>924.96790084089776</v>
      </c>
      <c r="V62" s="383">
        <f t="shared" si="29"/>
        <v>962.34895735605539</v>
      </c>
      <c r="W62" s="383">
        <f t="shared" si="29"/>
        <v>1001.2407077935852</v>
      </c>
      <c r="X62" s="383">
        <f t="shared" si="29"/>
        <v>1041.7042043638801</v>
      </c>
      <c r="Y62" s="383">
        <f t="shared" si="29"/>
        <v>1083.8029666020109</v>
      </c>
      <c r="Z62" s="383">
        <f t="shared" si="29"/>
        <v>1127.6030810805928</v>
      </c>
      <c r="AA62" s="383">
        <f t="shared" si="29"/>
        <v>1173.1733051523904</v>
      </c>
      <c r="AB62" s="383">
        <f t="shared" si="29"/>
        <v>1220.5851748854993</v>
      </c>
      <c r="AC62" s="383">
        <f t="shared" si="29"/>
        <v>1269.913117360561</v>
      </c>
      <c r="AD62" s="383">
        <f t="shared" si="29"/>
        <v>1321.2345675062786</v>
      </c>
      <c r="AE62" s="383">
        <f t="shared" si="29"/>
        <v>1374.6300896566497</v>
      </c>
      <c r="AF62" s="383">
        <f t="shared" si="29"/>
        <v>1430.1835040207343</v>
      </c>
      <c r="AG62" s="383">
        <f t="shared" si="29"/>
        <v>1487.9820182634905</v>
      </c>
      <c r="AH62" s="383">
        <f t="shared" si="29"/>
        <v>1548.1163644042376</v>
      </c>
      <c r="AI62" s="383">
        <f t="shared" si="29"/>
        <v>1610.6809412476339</v>
      </c>
      <c r="AJ62" s="383">
        <f t="shared" si="29"/>
        <v>1675.7739625707829</v>
      </c>
      <c r="AK62" s="383">
        <f t="shared" si="29"/>
        <v>1743.4976112990676</v>
      </c>
      <c r="AL62" s="383">
        <f t="shared" ref="AL62" si="30">AL55*$C59</f>
        <v>1813.9581999127515</v>
      </c>
    </row>
    <row r="63" spans="1:38">
      <c r="B63" s="472" t="s">
        <v>513</v>
      </c>
      <c r="C63" s="386" t="s">
        <v>443</v>
      </c>
      <c r="D63" s="383">
        <f t="shared" si="29"/>
        <v>0.56599035627391714</v>
      </c>
      <c r="E63" s="383">
        <f t="shared" si="29"/>
        <v>0.58886392569797519</v>
      </c>
      <c r="F63" s="383">
        <f t="shared" si="29"/>
        <v>0.61266189281255501</v>
      </c>
      <c r="G63" s="383">
        <f t="shared" si="29"/>
        <v>0.63742161563005972</v>
      </c>
      <c r="H63" s="383">
        <f t="shared" si="29"/>
        <v>0.66318196192552414</v>
      </c>
      <c r="I63" s="383">
        <f t="shared" si="29"/>
        <v>0.68998337025119028</v>
      </c>
      <c r="J63" s="383">
        <f t="shared" si="29"/>
        <v>0.71786791341688372</v>
      </c>
      <c r="K63" s="383">
        <f t="shared" si="29"/>
        <v>0.74687936453584602</v>
      </c>
      <c r="L63" s="383">
        <f t="shared" si="29"/>
        <v>0.77706326573970197</v>
      </c>
      <c r="M63" s="383">
        <f t="shared" si="29"/>
        <v>0.80846699967042712</v>
      </c>
      <c r="N63" s="383">
        <f t="shared" si="29"/>
        <v>0.84113986386154704</v>
      </c>
      <c r="O63" s="383">
        <f t="shared" si="29"/>
        <v>0.87513314812533172</v>
      </c>
      <c r="P63" s="383">
        <f t="shared" si="29"/>
        <v>0.91050021506746115</v>
      </c>
      <c r="Q63" s="383">
        <f t="shared" si="29"/>
        <v>0.94729658385556492</v>
      </c>
      <c r="R63" s="383">
        <f t="shared" si="29"/>
        <v>0.98558001737312606</v>
      </c>
      <c r="S63" s="383">
        <f t="shared" si="29"/>
        <v>1.0254106128955673</v>
      </c>
      <c r="T63" s="383">
        <f t="shared" si="29"/>
        <v>1.0668508964308605</v>
      </c>
      <c r="U63" s="383">
        <f t="shared" si="29"/>
        <v>1.109965920872761</v>
      </c>
      <c r="V63" s="383">
        <f t="shared" si="29"/>
        <v>1.1548233681207392</v>
      </c>
      <c r="W63" s="383">
        <f t="shared" si="29"/>
        <v>1.2014936553269235</v>
      </c>
      <c r="X63" s="383">
        <f t="shared" si="29"/>
        <v>1.250050045436838</v>
      </c>
      <c r="Y63" s="383">
        <f t="shared" si="29"/>
        <v>1.300568762197462</v>
      </c>
      <c r="Z63" s="383">
        <f t="shared" si="29"/>
        <v>1.3531291098131508</v>
      </c>
      <c r="AA63" s="383">
        <f t="shared" si="29"/>
        <v>1.4078135974372583</v>
      </c>
      <c r="AB63" s="383">
        <f t="shared" si="29"/>
        <v>1.4647080686948741</v>
      </c>
      <c r="AC63" s="383">
        <f t="shared" si="29"/>
        <v>1.523901836440019</v>
      </c>
      <c r="AD63" s="383">
        <f t="shared" si="29"/>
        <v>1.5854878229588263</v>
      </c>
      <c r="AE63" s="383">
        <f t="shared" si="29"/>
        <v>1.6495627058388029</v>
      </c>
      <c r="AF63" s="383">
        <f t="shared" si="29"/>
        <v>1.7162270697331601</v>
      </c>
      <c r="AG63" s="383">
        <f t="shared" si="29"/>
        <v>1.7855855642584459</v>
      </c>
      <c r="AH63" s="383">
        <f t="shared" si="29"/>
        <v>1.8577470682733583</v>
      </c>
      <c r="AI63" s="383">
        <f t="shared" si="29"/>
        <v>1.9328248607966039</v>
      </c>
      <c r="AJ63" s="383">
        <f t="shared" si="29"/>
        <v>2.0109367988321352</v>
      </c>
      <c r="AK63" s="383">
        <f t="shared" si="29"/>
        <v>2.092205502380891</v>
      </c>
      <c r="AL63" s="383">
        <f t="shared" ref="AL63" si="31">AL56*$C60</f>
        <v>2.1767585469294897</v>
      </c>
    </row>
    <row r="64" spans="1:38">
      <c r="B64" s="472" t="s">
        <v>752</v>
      </c>
      <c r="C64" s="386" t="s">
        <v>443</v>
      </c>
      <c r="D64" s="383">
        <f t="shared" si="29"/>
        <v>0</v>
      </c>
      <c r="E64" s="383">
        <f t="shared" si="29"/>
        <v>0</v>
      </c>
      <c r="F64" s="383">
        <f t="shared" si="29"/>
        <v>0</v>
      </c>
      <c r="G64" s="383">
        <f t="shared" si="29"/>
        <v>0</v>
      </c>
      <c r="H64" s="383">
        <f t="shared" si="29"/>
        <v>0</v>
      </c>
      <c r="I64" s="383">
        <f t="shared" si="29"/>
        <v>0</v>
      </c>
      <c r="J64" s="383">
        <f t="shared" si="29"/>
        <v>0</v>
      </c>
      <c r="K64" s="383">
        <f t="shared" si="29"/>
        <v>0</v>
      </c>
      <c r="L64" s="383">
        <f t="shared" si="29"/>
        <v>0</v>
      </c>
      <c r="M64" s="383">
        <f t="shared" si="29"/>
        <v>0</v>
      </c>
      <c r="N64" s="383">
        <f t="shared" si="29"/>
        <v>0</v>
      </c>
      <c r="O64" s="383">
        <f t="shared" si="29"/>
        <v>0</v>
      </c>
      <c r="P64" s="383">
        <f t="shared" si="29"/>
        <v>0</v>
      </c>
      <c r="Q64" s="383">
        <f t="shared" si="29"/>
        <v>0</v>
      </c>
      <c r="R64" s="383">
        <f t="shared" si="29"/>
        <v>0</v>
      </c>
      <c r="S64" s="383">
        <f t="shared" si="29"/>
        <v>0</v>
      </c>
      <c r="T64" s="383">
        <f t="shared" si="29"/>
        <v>0</v>
      </c>
      <c r="U64" s="383">
        <f t="shared" si="29"/>
        <v>0</v>
      </c>
      <c r="V64" s="383">
        <f t="shared" si="29"/>
        <v>0</v>
      </c>
      <c r="W64" s="383">
        <f t="shared" si="29"/>
        <v>0</v>
      </c>
      <c r="X64" s="383">
        <f t="shared" si="29"/>
        <v>0</v>
      </c>
      <c r="Y64" s="383">
        <f t="shared" si="29"/>
        <v>0</v>
      </c>
      <c r="Z64" s="383">
        <f t="shared" si="29"/>
        <v>0</v>
      </c>
      <c r="AA64" s="383">
        <f t="shared" si="29"/>
        <v>0</v>
      </c>
      <c r="AB64" s="383">
        <f t="shared" si="29"/>
        <v>0</v>
      </c>
      <c r="AC64" s="383">
        <f t="shared" si="29"/>
        <v>0</v>
      </c>
      <c r="AD64" s="383">
        <f t="shared" si="29"/>
        <v>0</v>
      </c>
      <c r="AE64" s="383">
        <f t="shared" si="29"/>
        <v>0</v>
      </c>
      <c r="AF64" s="383">
        <f t="shared" si="29"/>
        <v>0</v>
      </c>
      <c r="AG64" s="383">
        <f t="shared" si="29"/>
        <v>0</v>
      </c>
      <c r="AH64" s="383">
        <f t="shared" si="29"/>
        <v>0</v>
      </c>
      <c r="AI64" s="383">
        <f t="shared" si="29"/>
        <v>0</v>
      </c>
      <c r="AJ64" s="383">
        <f t="shared" si="29"/>
        <v>0</v>
      </c>
      <c r="AK64" s="383">
        <f t="shared" si="29"/>
        <v>0</v>
      </c>
      <c r="AL64" s="383">
        <f t="shared" ref="AL64" si="32">AL57*$C61</f>
        <v>0</v>
      </c>
    </row>
    <row r="65" spans="1:38">
      <c r="D65" s="358"/>
      <c r="F65" s="464"/>
      <c r="G65" s="465"/>
      <c r="H65" s="465"/>
    </row>
    <row r="66" spans="1:38" ht="13">
      <c r="B66" s="364" t="s">
        <v>526</v>
      </c>
      <c r="C66" s="487" t="s">
        <v>292</v>
      </c>
      <c r="D66" s="488">
        <f>SUMPRODUCT(D62:D64,D49:D51)</f>
        <v>8460.0882133012419</v>
      </c>
      <c r="E66" s="488">
        <f t="shared" ref="E66:AK66" si="33">SUMPRODUCT(E62:E64,E49:E51)</f>
        <v>8801.9887650253931</v>
      </c>
      <c r="F66" s="488">
        <f t="shared" si="33"/>
        <v>9157.7066652596332</v>
      </c>
      <c r="G66" s="488">
        <f t="shared" si="33"/>
        <v>9527.8003194200628</v>
      </c>
      <c r="H66" s="488">
        <f t="shared" si="33"/>
        <v>9912.8506999593119</v>
      </c>
      <c r="I66" s="488">
        <f t="shared" si="33"/>
        <v>10313.462258376232</v>
      </c>
      <c r="J66" s="488">
        <f t="shared" si="33"/>
        <v>10730.263874082919</v>
      </c>
      <c r="K66" s="488">
        <f t="shared" si="33"/>
        <v>11163.909841618655</v>
      </c>
      <c r="L66" s="488">
        <f t="shared" si="33"/>
        <v>11615.080897760479</v>
      </c>
      <c r="M66" s="488">
        <f t="shared" si="33"/>
        <v>12084.485290142737</v>
      </c>
      <c r="N66" s="488">
        <f t="shared" si="33"/>
        <v>12572.859889063135</v>
      </c>
      <c r="O66" s="488">
        <f t="shared" si="33"/>
        <v>13080.971344220619</v>
      </c>
      <c r="P66" s="488">
        <f t="shared" si="33"/>
        <v>13609.617288200872</v>
      </c>
      <c r="Q66" s="488">
        <f t="shared" si="33"/>
        <v>14159.627588598758</v>
      </c>
      <c r="R66" s="488">
        <f t="shared" si="33"/>
        <v>14731.865650743184</v>
      </c>
      <c r="S66" s="488">
        <f t="shared" si="33"/>
        <v>15327.229773069492</v>
      </c>
      <c r="T66" s="488">
        <f t="shared" si="33"/>
        <v>15946.654557266917</v>
      </c>
      <c r="U66" s="488">
        <f t="shared" si="33"/>
        <v>16591.112375414948</v>
      </c>
      <c r="V66" s="488">
        <f t="shared" si="33"/>
        <v>17261.614896411509</v>
      </c>
      <c r="W66" s="488">
        <f t="shared" si="33"/>
        <v>17959.214674089242</v>
      </c>
      <c r="X66" s="488">
        <f t="shared" si="33"/>
        <v>18685.006799512907</v>
      </c>
      <c r="Y66" s="488">
        <f t="shared" si="33"/>
        <v>19440.130620051674</v>
      </c>
      <c r="Z66" s="488">
        <f t="shared" si="33"/>
        <v>20225.771527924851</v>
      </c>
      <c r="AA66" s="488">
        <f t="shared" si="33"/>
        <v>21043.162821028855</v>
      </c>
      <c r="AB66" s="488">
        <f t="shared" si="33"/>
        <v>21893.587638966241</v>
      </c>
      <c r="AC66" s="488">
        <f t="shared" si="33"/>
        <v>22778.380977316396</v>
      </c>
      <c r="AD66" s="488">
        <f t="shared" si="33"/>
        <v>23698.931783309519</v>
      </c>
      <c r="AE66" s="488">
        <f t="shared" si="33"/>
        <v>24656.685136193864</v>
      </c>
      <c r="AF66" s="488">
        <f t="shared" si="33"/>
        <v>25653.144515718923</v>
      </c>
      <c r="AG66" s="488">
        <f t="shared" si="33"/>
        <v>26689.87416229564</v>
      </c>
      <c r="AH66" s="488">
        <f t="shared" si="33"/>
        <v>27768.50153253867</v>
      </c>
      <c r="AI66" s="488">
        <f t="shared" si="33"/>
        <v>28890.719854045179</v>
      </c>
      <c r="AJ66" s="488">
        <f t="shared" si="33"/>
        <v>30058.290783421042</v>
      </c>
      <c r="AK66" s="488">
        <f t="shared" si="33"/>
        <v>31273.047171726637</v>
      </c>
      <c r="AL66" s="488">
        <f t="shared" ref="AL66" si="34">SUMPRODUCT(AL62:AL64,AL49:AL51)</f>
        <v>32536.895941683677</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'Colorado Avenue'!D48</f>
        <v>282.42918778068463</v>
      </c>
      <c r="E70" s="383">
        <f>'Colorado Avenue'!E48</f>
        <v>293.84309892328963</v>
      </c>
      <c r="F70" s="383">
        <f>'Colorado Avenue'!F48</f>
        <v>305.71828451346494</v>
      </c>
      <c r="G70" s="383">
        <f>'Colorado Avenue'!G48</f>
        <v>318.07338619939981</v>
      </c>
      <c r="H70" s="383">
        <f>'Colorado Avenue'!H48</f>
        <v>441.23706533444874</v>
      </c>
      <c r="I70" s="383">
        <f>'Colorado Avenue'!I48</f>
        <v>459.06893567379205</v>
      </c>
      <c r="J70" s="383">
        <f>'Colorado Avenue'!J48</f>
        <v>477.62145172669989</v>
      </c>
      <c r="K70" s="383">
        <f>'Colorado Avenue'!K48</f>
        <v>496.92373720451633</v>
      </c>
      <c r="L70" s="383">
        <f>'Colorado Avenue'!L48</f>
        <v>517.00609280548167</v>
      </c>
      <c r="M70" s="383">
        <f>'Colorado Avenue'!M48</f>
        <v>537.9000437807241</v>
      </c>
      <c r="N70" s="383">
        <f>'Colorado Avenue'!N48</f>
        <v>559.63838942254927</v>
      </c>
      <c r="O70" s="383">
        <f>'Colorado Avenue'!O48</f>
        <v>582.25525455272054</v>
      </c>
      <c r="P70" s="383">
        <f>'Colorado Avenue'!P48</f>
        <v>605.78614309155091</v>
      </c>
      <c r="Q70" s="383">
        <f>'Colorado Avenue'!Q48</f>
        <v>630.26799379190265</v>
      </c>
      <c r="R70" s="383">
        <f>'Colorado Avenue'!R48</f>
        <v>655.73923822558652</v>
      </c>
      <c r="S70" s="383">
        <f>'Colorado Avenue'!S48</f>
        <v>682.23986111318413</v>
      </c>
      <c r="T70" s="383">
        <f>'Colorado Avenue'!T48</f>
        <v>709.81146309199926</v>
      </c>
      <c r="U70" s="383">
        <f>'Colorado Avenue'!U48</f>
        <v>738.49732602067672</v>
      </c>
      <c r="V70" s="383">
        <f>'Colorado Avenue'!V48</f>
        <v>768.34248092299833</v>
      </c>
      <c r="W70" s="383">
        <f>'Colorado Avenue'!W48</f>
        <v>799.39377867751318</v>
      </c>
      <c r="X70" s="383">
        <f>'Colorado Avenue'!X48</f>
        <v>831.6999635639761</v>
      </c>
      <c r="Y70" s="383">
        <f>'Colorado Avenue'!Y48</f>
        <v>865.31174978204433</v>
      </c>
      <c r="Z70" s="383">
        <f>'Colorado Avenue'!Z48</f>
        <v>900.28190106234945</v>
      </c>
      <c r="AA70" s="383">
        <f>'Colorado Avenue'!AA48</f>
        <v>936.66531349492254</v>
      </c>
      <c r="AB70" s="383">
        <f>'Colorado Avenue'!AB48</f>
        <v>974.51910170498957</v>
      </c>
      <c r="AC70" s="383">
        <f>'Colorado Avenue'!AC48</f>
        <v>1013.9026885114262</v>
      </c>
      <c r="AD70" s="383">
        <f>'Colorado Avenue'!AD48</f>
        <v>1054.877898208606</v>
      </c>
      <c r="AE70" s="383">
        <f>'Colorado Avenue'!AE48</f>
        <v>1097.5090536180837</v>
      </c>
      <c r="AF70" s="383">
        <f>'Colorado Avenue'!AF48</f>
        <v>1141.8630770624623</v>
      </c>
      <c r="AG70" s="383">
        <f>'Colorado Avenue'!AG48</f>
        <v>1188.0095954199528</v>
      </c>
      <c r="AH70" s="383">
        <f>'Colorado Avenue'!AH48</f>
        <v>1236.0210494245405</v>
      </c>
      <c r="AI70" s="383">
        <f>'Colorado Avenue'!AI48</f>
        <v>1285.9728073833398</v>
      </c>
      <c r="AJ70" s="383">
        <f>'Colorado Avenue'!AJ48</f>
        <v>1337.943283489647</v>
      </c>
      <c r="AK70" s="383">
        <f>'Colorado Avenue'!AK48</f>
        <v>1392.0140609174193</v>
      </c>
      <c r="AL70" s="383">
        <f>'Colorado Avenue'!AL48</f>
        <v>1448.2700198904201</v>
      </c>
    </row>
    <row r="71" spans="1:38">
      <c r="B71" s="385" t="s">
        <v>509</v>
      </c>
      <c r="C71" s="386" t="s">
        <v>443</v>
      </c>
      <c r="D71" s="383">
        <f>'Colorado Avenue'!D49</f>
        <v>0.56599035627391714</v>
      </c>
      <c r="E71" s="383">
        <f>'Colorado Avenue'!E49</f>
        <v>0.58886392569797519</v>
      </c>
      <c r="F71" s="383">
        <f>'Colorado Avenue'!F49</f>
        <v>0.61266189281255501</v>
      </c>
      <c r="G71" s="383">
        <f>'Colorado Avenue'!G49</f>
        <v>0.63742161563005972</v>
      </c>
      <c r="H71" s="383">
        <f>'Colorado Avenue'!H49</f>
        <v>0.88424261590069886</v>
      </c>
      <c r="I71" s="383">
        <f>'Colorado Avenue'!I49</f>
        <v>0.91997782700158726</v>
      </c>
      <c r="J71" s="383">
        <f>'Colorado Avenue'!J49</f>
        <v>0.95715721788917818</v>
      </c>
      <c r="K71" s="383">
        <f>'Colorado Avenue'!K49</f>
        <v>0.99583915271446155</v>
      </c>
      <c r="L71" s="383">
        <f>'Colorado Avenue'!L49</f>
        <v>1.0360843543196028</v>
      </c>
      <c r="M71" s="383">
        <f>'Colorado Avenue'!M49</f>
        <v>1.0779559995605694</v>
      </c>
      <c r="N71" s="383">
        <f>'Colorado Avenue'!N49</f>
        <v>1.1215198184820627</v>
      </c>
      <c r="O71" s="383">
        <f>'Colorado Avenue'!O49</f>
        <v>1.166844197500442</v>
      </c>
      <c r="P71" s="383">
        <f>'Colorado Avenue'!P49</f>
        <v>1.2140002867566151</v>
      </c>
      <c r="Q71" s="383">
        <f>'Colorado Avenue'!Q49</f>
        <v>1.2630621118074203</v>
      </c>
      <c r="R71" s="383">
        <f>'Colorado Avenue'!R49</f>
        <v>1.3141066898308347</v>
      </c>
      <c r="S71" s="383">
        <f>'Colorado Avenue'!S49</f>
        <v>1.3672141505274231</v>
      </c>
      <c r="T71" s="383">
        <f>'Colorado Avenue'!T49</f>
        <v>1.4224678619078142</v>
      </c>
      <c r="U71" s="383">
        <f>'Colorado Avenue'!U49</f>
        <v>1.4799545611636808</v>
      </c>
      <c r="V71" s="383">
        <f>'Colorado Avenue'!V49</f>
        <v>1.539764490827652</v>
      </c>
      <c r="W71" s="383">
        <f>'Colorado Avenue'!W49</f>
        <v>1.6019915404358982</v>
      </c>
      <c r="X71" s="383">
        <f>'Colorado Avenue'!X49</f>
        <v>1.6667333939157838</v>
      </c>
      <c r="Y71" s="383">
        <f>'Colorado Avenue'!Y49</f>
        <v>1.7340916829299486</v>
      </c>
      <c r="Z71" s="383">
        <f>'Colorado Avenue'!Z49</f>
        <v>1.804172146417534</v>
      </c>
      <c r="AA71" s="383">
        <f>'Colorado Avenue'!AA49</f>
        <v>1.8770847965830113</v>
      </c>
      <c r="AB71" s="383">
        <f>'Colorado Avenue'!AB49</f>
        <v>1.9529440915931655</v>
      </c>
      <c r="AC71" s="383">
        <f>'Colorado Avenue'!AC49</f>
        <v>2.0318691152533592</v>
      </c>
      <c r="AD71" s="383">
        <f>'Colorado Avenue'!AD49</f>
        <v>2.113983763945102</v>
      </c>
      <c r="AE71" s="383">
        <f>'Colorado Avenue'!AE49</f>
        <v>2.1994169411184044</v>
      </c>
      <c r="AF71" s="383">
        <f>'Colorado Avenue'!AF49</f>
        <v>2.2883027596442131</v>
      </c>
      <c r="AG71" s="383">
        <f>'Colorado Avenue'!AG49</f>
        <v>2.3807807523445952</v>
      </c>
      <c r="AH71" s="383">
        <f>'Colorado Avenue'!AH49</f>
        <v>2.4769960910311433</v>
      </c>
      <c r="AI71" s="383">
        <f>'Colorado Avenue'!AI49</f>
        <v>2.5770998143954706</v>
      </c>
      <c r="AJ71" s="383">
        <f>'Colorado Avenue'!AJ49</f>
        <v>2.6812490651095131</v>
      </c>
      <c r="AK71" s="383">
        <f>'Colorado Avenue'!AK49</f>
        <v>2.7896073365078546</v>
      </c>
      <c r="AL71" s="383">
        <f>'Colorado Avenue'!AL49</f>
        <v>2.902344729239319</v>
      </c>
    </row>
    <row r="72" spans="1:38">
      <c r="B72" s="358" t="s">
        <v>769</v>
      </c>
      <c r="C72" s="358" t="s">
        <v>443</v>
      </c>
      <c r="D72" s="383">
        <f>'Colorado Avenue'!D50</f>
        <v>0</v>
      </c>
      <c r="E72" s="383">
        <f>'Colorado Avenue'!E50</f>
        <v>0</v>
      </c>
      <c r="F72" s="383">
        <f>'Colorado Avenue'!F50</f>
        <v>0</v>
      </c>
      <c r="G72" s="383">
        <f>'Colorado Avenue'!G50</f>
        <v>0</v>
      </c>
      <c r="H72" s="383">
        <f>'Colorado Avenue'!H50</f>
        <v>0</v>
      </c>
      <c r="I72" s="383">
        <f>'Colorado Avenue'!I50</f>
        <v>0</v>
      </c>
      <c r="J72" s="383">
        <f>'Colorado Avenue'!J50</f>
        <v>0</v>
      </c>
      <c r="K72" s="383">
        <f>'Colorado Avenue'!K50</f>
        <v>0</v>
      </c>
      <c r="L72" s="383">
        <f>'Colorado Avenue'!L50</f>
        <v>0</v>
      </c>
      <c r="M72" s="383">
        <f>'Colorado Avenue'!M50</f>
        <v>0</v>
      </c>
      <c r="N72" s="383">
        <f>'Colorado Avenue'!N50</f>
        <v>0</v>
      </c>
      <c r="O72" s="383">
        <f>'Colorado Avenue'!O50</f>
        <v>0</v>
      </c>
      <c r="P72" s="383">
        <f>'Colorado Avenue'!P50</f>
        <v>0</v>
      </c>
      <c r="Q72" s="383">
        <f>'Colorado Avenue'!Q50</f>
        <v>0</v>
      </c>
      <c r="R72" s="383">
        <f>'Colorado Avenue'!R50</f>
        <v>0</v>
      </c>
      <c r="S72" s="383">
        <f>'Colorado Avenue'!S50</f>
        <v>0</v>
      </c>
      <c r="T72" s="383">
        <f>'Colorado Avenue'!T50</f>
        <v>0</v>
      </c>
      <c r="U72" s="383">
        <f>'Colorado Avenue'!U50</f>
        <v>0</v>
      </c>
      <c r="V72" s="383">
        <f>'Colorado Avenue'!V50</f>
        <v>0</v>
      </c>
      <c r="W72" s="383">
        <f>'Colorado Avenue'!W50</f>
        <v>0</v>
      </c>
      <c r="X72" s="383">
        <f>'Colorado Avenue'!X50</f>
        <v>0</v>
      </c>
      <c r="Y72" s="383">
        <f>'Colorado Avenue'!Y50</f>
        <v>0</v>
      </c>
      <c r="Z72" s="383">
        <f>'Colorado Avenue'!Z50</f>
        <v>0</v>
      </c>
      <c r="AA72" s="383">
        <f>'Colorado Avenue'!AA50</f>
        <v>0</v>
      </c>
      <c r="AB72" s="383">
        <f>'Colorado Avenue'!AB50</f>
        <v>0</v>
      </c>
      <c r="AC72" s="383">
        <f>'Colorado Avenue'!AC50</f>
        <v>0</v>
      </c>
      <c r="AD72" s="383">
        <f>'Colorado Avenue'!AD50</f>
        <v>0</v>
      </c>
      <c r="AE72" s="383">
        <f>'Colorado Avenue'!AE50</f>
        <v>0</v>
      </c>
      <c r="AF72" s="383">
        <f>'Colorado Avenue'!AF50</f>
        <v>0</v>
      </c>
      <c r="AG72" s="383">
        <f>'Colorado Avenue'!AG50</f>
        <v>0</v>
      </c>
      <c r="AH72" s="383">
        <f>'Colorado Avenue'!AH50</f>
        <v>0</v>
      </c>
      <c r="AI72" s="383">
        <f>'Colorado Avenue'!AI50</f>
        <v>0</v>
      </c>
      <c r="AJ72" s="383">
        <f>'Colorado Avenue'!AJ50</f>
        <v>0</v>
      </c>
      <c r="AK72" s="383">
        <f>'Colorado Avenue'!AK50</f>
        <v>0</v>
      </c>
      <c r="AL72" s="383">
        <f>'Colorado Avenue'!AL50</f>
        <v>0</v>
      </c>
    </row>
    <row r="73" spans="1:38">
      <c r="D73" s="358"/>
      <c r="F73" s="464"/>
      <c r="G73" s="465"/>
      <c r="H73" s="465"/>
    </row>
    <row r="74" spans="1:38">
      <c r="B74" s="472" t="s">
        <v>512</v>
      </c>
      <c r="C74" s="386" t="s">
        <v>443</v>
      </c>
      <c r="D74" s="383">
        <f>D70*$C59</f>
        <v>471.65674359374333</v>
      </c>
      <c r="E74" s="383">
        <f t="shared" ref="E74:AK76" si="35">E70*$C59</f>
        <v>490.71797520189364</v>
      </c>
      <c r="F74" s="383">
        <f t="shared" si="35"/>
        <v>510.54953513748643</v>
      </c>
      <c r="G74" s="383">
        <f t="shared" si="35"/>
        <v>531.18255495299763</v>
      </c>
      <c r="H74" s="383">
        <f t="shared" si="35"/>
        <v>736.86589910852933</v>
      </c>
      <c r="I74" s="383">
        <f t="shared" si="35"/>
        <v>766.64512257523268</v>
      </c>
      <c r="J74" s="383">
        <f t="shared" si="35"/>
        <v>797.62782438358875</v>
      </c>
      <c r="K74" s="383">
        <f t="shared" si="35"/>
        <v>829.8626411315422</v>
      </c>
      <c r="L74" s="383">
        <f t="shared" si="35"/>
        <v>863.40017498515431</v>
      </c>
      <c r="M74" s="383">
        <f t="shared" si="35"/>
        <v>898.29307311380921</v>
      </c>
      <c r="N74" s="383">
        <f t="shared" si="35"/>
        <v>934.59611033565727</v>
      </c>
      <c r="O74" s="383">
        <f t="shared" si="35"/>
        <v>972.36627510304322</v>
      </c>
      <c r="P74" s="383">
        <f t="shared" si="35"/>
        <v>1011.66285896289</v>
      </c>
      <c r="Q74" s="383">
        <f t="shared" si="35"/>
        <v>1052.5475496324773</v>
      </c>
      <c r="R74" s="383">
        <f t="shared" si="35"/>
        <v>1095.0845278367294</v>
      </c>
      <c r="S74" s="383">
        <f t="shared" si="35"/>
        <v>1139.3405680590174</v>
      </c>
      <c r="T74" s="383">
        <f t="shared" si="35"/>
        <v>1185.3851433636387</v>
      </c>
      <c r="U74" s="383">
        <f t="shared" si="35"/>
        <v>1233.2905344545302</v>
      </c>
      <c r="V74" s="383">
        <f t="shared" si="35"/>
        <v>1283.1319431414072</v>
      </c>
      <c r="W74" s="383">
        <f t="shared" si="35"/>
        <v>1334.9876103914469</v>
      </c>
      <c r="X74" s="383">
        <f t="shared" si="35"/>
        <v>1388.93893915184</v>
      </c>
      <c r="Y74" s="383">
        <f t="shared" si="35"/>
        <v>1445.070622136014</v>
      </c>
      <c r="Z74" s="383">
        <f t="shared" si="35"/>
        <v>1503.4707747741236</v>
      </c>
      <c r="AA74" s="383">
        <f t="shared" si="35"/>
        <v>1564.2310735365206</v>
      </c>
      <c r="AB74" s="383">
        <f t="shared" si="35"/>
        <v>1627.4468998473326</v>
      </c>
      <c r="AC74" s="383">
        <f t="shared" si="35"/>
        <v>1693.2174898140815</v>
      </c>
      <c r="AD74" s="383">
        <f t="shared" si="35"/>
        <v>1761.6460900083719</v>
      </c>
      <c r="AE74" s="383">
        <f t="shared" si="35"/>
        <v>1832.8401195421998</v>
      </c>
      <c r="AF74" s="383">
        <f t="shared" si="35"/>
        <v>1906.9113386943118</v>
      </c>
      <c r="AG74" s="383">
        <f t="shared" si="35"/>
        <v>1983.976024351321</v>
      </c>
      <c r="AH74" s="383">
        <f t="shared" si="35"/>
        <v>2064.1551525389823</v>
      </c>
      <c r="AI74" s="383">
        <f t="shared" si="35"/>
        <v>2147.5745883301774</v>
      </c>
      <c r="AJ74" s="383">
        <f t="shared" si="35"/>
        <v>2234.3652834277104</v>
      </c>
      <c r="AK74" s="383">
        <f t="shared" si="35"/>
        <v>2324.6634817320901</v>
      </c>
      <c r="AL74" s="383">
        <f t="shared" ref="AL74" si="36">AL70*$C59</f>
        <v>2418.6109332170017</v>
      </c>
    </row>
    <row r="75" spans="1:38">
      <c r="B75" s="472" t="s">
        <v>513</v>
      </c>
      <c r="C75" s="386" t="s">
        <v>443</v>
      </c>
      <c r="D75" s="383">
        <f t="shared" ref="D75:S76" si="37">D71*$C60</f>
        <v>0.56599035627391714</v>
      </c>
      <c r="E75" s="383">
        <f t="shared" si="37"/>
        <v>0.58886392569797519</v>
      </c>
      <c r="F75" s="383">
        <f t="shared" si="37"/>
        <v>0.61266189281255501</v>
      </c>
      <c r="G75" s="383">
        <f t="shared" si="37"/>
        <v>0.63742161563005972</v>
      </c>
      <c r="H75" s="383">
        <f t="shared" si="37"/>
        <v>0.88424261590069886</v>
      </c>
      <c r="I75" s="383">
        <f t="shared" si="37"/>
        <v>0.91997782700158726</v>
      </c>
      <c r="J75" s="383">
        <f t="shared" si="37"/>
        <v>0.95715721788917818</v>
      </c>
      <c r="K75" s="383">
        <f t="shared" si="37"/>
        <v>0.99583915271446155</v>
      </c>
      <c r="L75" s="383">
        <f t="shared" si="37"/>
        <v>1.0360843543196028</v>
      </c>
      <c r="M75" s="383">
        <f t="shared" si="37"/>
        <v>1.0779559995605694</v>
      </c>
      <c r="N75" s="383">
        <f t="shared" si="37"/>
        <v>1.1215198184820627</v>
      </c>
      <c r="O75" s="383">
        <f t="shared" si="37"/>
        <v>1.166844197500442</v>
      </c>
      <c r="P75" s="383">
        <f t="shared" si="37"/>
        <v>1.2140002867566151</v>
      </c>
      <c r="Q75" s="383">
        <f t="shared" si="37"/>
        <v>1.2630621118074203</v>
      </c>
      <c r="R75" s="383">
        <f t="shared" si="37"/>
        <v>1.3141066898308347</v>
      </c>
      <c r="S75" s="383">
        <f t="shared" si="37"/>
        <v>1.3672141505274231</v>
      </c>
      <c r="T75" s="383">
        <f t="shared" si="35"/>
        <v>1.4224678619078142</v>
      </c>
      <c r="U75" s="383">
        <f t="shared" si="35"/>
        <v>1.4799545611636808</v>
      </c>
      <c r="V75" s="383">
        <f t="shared" si="35"/>
        <v>1.539764490827652</v>
      </c>
      <c r="W75" s="383">
        <f t="shared" si="35"/>
        <v>1.6019915404358982</v>
      </c>
      <c r="X75" s="383">
        <f t="shared" si="35"/>
        <v>1.6667333939157838</v>
      </c>
      <c r="Y75" s="383">
        <f t="shared" si="35"/>
        <v>1.7340916829299486</v>
      </c>
      <c r="Z75" s="383">
        <f t="shared" si="35"/>
        <v>1.804172146417534</v>
      </c>
      <c r="AA75" s="383">
        <f t="shared" si="35"/>
        <v>1.8770847965830113</v>
      </c>
      <c r="AB75" s="383">
        <f t="shared" si="35"/>
        <v>1.9529440915931655</v>
      </c>
      <c r="AC75" s="383">
        <f t="shared" si="35"/>
        <v>2.0318691152533592</v>
      </c>
      <c r="AD75" s="383">
        <f t="shared" si="35"/>
        <v>2.113983763945102</v>
      </c>
      <c r="AE75" s="383">
        <f t="shared" si="35"/>
        <v>2.1994169411184044</v>
      </c>
      <c r="AF75" s="383">
        <f t="shared" si="35"/>
        <v>2.2883027596442131</v>
      </c>
      <c r="AG75" s="383">
        <f t="shared" si="35"/>
        <v>2.3807807523445952</v>
      </c>
      <c r="AH75" s="383">
        <f t="shared" si="35"/>
        <v>2.4769960910311433</v>
      </c>
      <c r="AI75" s="383">
        <f t="shared" si="35"/>
        <v>2.5770998143954706</v>
      </c>
      <c r="AJ75" s="383">
        <f t="shared" si="35"/>
        <v>2.6812490651095131</v>
      </c>
      <c r="AK75" s="383">
        <f t="shared" si="35"/>
        <v>2.7896073365078546</v>
      </c>
      <c r="AL75" s="383">
        <f t="shared" ref="AL75" si="38">AL71*$C60</f>
        <v>2.902344729239319</v>
      </c>
    </row>
    <row r="76" spans="1:38">
      <c r="B76" s="472" t="s">
        <v>752</v>
      </c>
      <c r="C76" s="386" t="s">
        <v>443</v>
      </c>
      <c r="D76" s="383">
        <f t="shared" si="37"/>
        <v>0</v>
      </c>
      <c r="E76" s="383">
        <f t="shared" si="35"/>
        <v>0</v>
      </c>
      <c r="F76" s="383">
        <f t="shared" si="35"/>
        <v>0</v>
      </c>
      <c r="G76" s="383">
        <f t="shared" si="35"/>
        <v>0</v>
      </c>
      <c r="H76" s="383">
        <f t="shared" si="35"/>
        <v>0</v>
      </c>
      <c r="I76" s="383">
        <f t="shared" si="35"/>
        <v>0</v>
      </c>
      <c r="J76" s="383">
        <f t="shared" si="35"/>
        <v>0</v>
      </c>
      <c r="K76" s="383">
        <f t="shared" si="35"/>
        <v>0</v>
      </c>
      <c r="L76" s="383">
        <f t="shared" si="35"/>
        <v>0</v>
      </c>
      <c r="M76" s="383">
        <f t="shared" si="35"/>
        <v>0</v>
      </c>
      <c r="N76" s="383">
        <f t="shared" si="35"/>
        <v>0</v>
      </c>
      <c r="O76" s="383">
        <f t="shared" si="35"/>
        <v>0</v>
      </c>
      <c r="P76" s="383">
        <f t="shared" si="35"/>
        <v>0</v>
      </c>
      <c r="Q76" s="383">
        <f t="shared" si="35"/>
        <v>0</v>
      </c>
      <c r="R76" s="383">
        <f t="shared" si="35"/>
        <v>0</v>
      </c>
      <c r="S76" s="383">
        <f t="shared" si="35"/>
        <v>0</v>
      </c>
      <c r="T76" s="383">
        <f t="shared" si="35"/>
        <v>0</v>
      </c>
      <c r="U76" s="383">
        <f t="shared" si="35"/>
        <v>0</v>
      </c>
      <c r="V76" s="383">
        <f t="shared" si="35"/>
        <v>0</v>
      </c>
      <c r="W76" s="383">
        <f t="shared" si="35"/>
        <v>0</v>
      </c>
      <c r="X76" s="383">
        <f t="shared" si="35"/>
        <v>0</v>
      </c>
      <c r="Y76" s="383">
        <f t="shared" si="35"/>
        <v>0</v>
      </c>
      <c r="Z76" s="383">
        <f t="shared" si="35"/>
        <v>0</v>
      </c>
      <c r="AA76" s="383">
        <f t="shared" si="35"/>
        <v>0</v>
      </c>
      <c r="AB76" s="383">
        <f t="shared" si="35"/>
        <v>0</v>
      </c>
      <c r="AC76" s="383">
        <f t="shared" si="35"/>
        <v>0</v>
      </c>
      <c r="AD76" s="383">
        <f t="shared" si="35"/>
        <v>0</v>
      </c>
      <c r="AE76" s="383">
        <f t="shared" si="35"/>
        <v>0</v>
      </c>
      <c r="AF76" s="383">
        <f t="shared" si="35"/>
        <v>0</v>
      </c>
      <c r="AG76" s="383">
        <f t="shared" si="35"/>
        <v>0</v>
      </c>
      <c r="AH76" s="383">
        <f t="shared" si="35"/>
        <v>0</v>
      </c>
      <c r="AI76" s="383">
        <f t="shared" si="35"/>
        <v>0</v>
      </c>
      <c r="AJ76" s="383">
        <f t="shared" si="35"/>
        <v>0</v>
      </c>
      <c r="AK76" s="383">
        <f t="shared" si="35"/>
        <v>0</v>
      </c>
      <c r="AL76" s="383">
        <f t="shared" ref="AL76" si="39">AL72*$C61</f>
        <v>0</v>
      </c>
    </row>
    <row r="77" spans="1:38">
      <c r="D77" s="358"/>
      <c r="F77" s="464"/>
      <c r="G77" s="465"/>
      <c r="H77" s="465"/>
    </row>
    <row r="78" spans="1:38" ht="13">
      <c r="B78" s="364" t="s">
        <v>514</v>
      </c>
      <c r="C78" s="487" t="s">
        <v>292</v>
      </c>
      <c r="D78" s="488">
        <f t="shared" ref="D78:AK78" si="40">D74*D49+D75*D50+D76*D51</f>
        <v>8460.0882133012419</v>
      </c>
      <c r="E78" s="488">
        <f t="shared" si="40"/>
        <v>8801.9887650253931</v>
      </c>
      <c r="F78" s="488">
        <f t="shared" si="40"/>
        <v>9157.7066652596332</v>
      </c>
      <c r="G78" s="488">
        <f t="shared" si="40"/>
        <v>9527.8003194200628</v>
      </c>
      <c r="H78" s="488">
        <f t="shared" si="40"/>
        <v>13217.134266612415</v>
      </c>
      <c r="I78" s="488">
        <f t="shared" si="40"/>
        <v>13751.283011168312</v>
      </c>
      <c r="J78" s="488">
        <f t="shared" si="40"/>
        <v>14307.018498777225</v>
      </c>
      <c r="K78" s="488">
        <f t="shared" si="40"/>
        <v>14885.213122158209</v>
      </c>
      <c r="L78" s="488">
        <f t="shared" si="40"/>
        <v>15486.774530347304</v>
      </c>
      <c r="M78" s="488">
        <f t="shared" si="40"/>
        <v>16112.647053523649</v>
      </c>
      <c r="N78" s="488">
        <f t="shared" si="40"/>
        <v>16763.813185417512</v>
      </c>
      <c r="O78" s="488">
        <f t="shared" si="40"/>
        <v>17441.295125627486</v>
      </c>
      <c r="P78" s="488">
        <f t="shared" si="40"/>
        <v>18146.156384267833</v>
      </c>
      <c r="Q78" s="488">
        <f t="shared" si="40"/>
        <v>18879.503451465011</v>
      </c>
      <c r="R78" s="488">
        <f t="shared" si="40"/>
        <v>19642.487534324246</v>
      </c>
      <c r="S78" s="488">
        <f t="shared" si="40"/>
        <v>20436.306364092656</v>
      </c>
      <c r="T78" s="488">
        <f t="shared" si="40"/>
        <v>21262.206076355891</v>
      </c>
      <c r="U78" s="488">
        <f t="shared" si="40"/>
        <v>22121.483167219929</v>
      </c>
      <c r="V78" s="488">
        <f t="shared" si="40"/>
        <v>23015.486528548678</v>
      </c>
      <c r="W78" s="488">
        <f t="shared" si="40"/>
        <v>23945.619565452322</v>
      </c>
      <c r="X78" s="488">
        <f t="shared" si="40"/>
        <v>24913.342399350542</v>
      </c>
      <c r="Y78" s="488">
        <f t="shared" si="40"/>
        <v>25920.174160068891</v>
      </c>
      <c r="Z78" s="488">
        <f t="shared" si="40"/>
        <v>26967.695370566471</v>
      </c>
      <c r="AA78" s="488">
        <f t="shared" si="40"/>
        <v>28057.550428038474</v>
      </c>
      <c r="AB78" s="488">
        <f t="shared" si="40"/>
        <v>29191.450185288319</v>
      </c>
      <c r="AC78" s="488">
        <f t="shared" si="40"/>
        <v>30371.17463642186</v>
      </c>
      <c r="AD78" s="488">
        <f t="shared" si="40"/>
        <v>31598.57571107936</v>
      </c>
      <c r="AE78" s="488">
        <f t="shared" si="40"/>
        <v>32875.580181591824</v>
      </c>
      <c r="AF78" s="488">
        <f t="shared" si="40"/>
        <v>34204.192687625218</v>
      </c>
      <c r="AG78" s="488">
        <f t="shared" si="40"/>
        <v>35586.498883060856</v>
      </c>
      <c r="AH78" s="488">
        <f t="shared" si="40"/>
        <v>37024.668710051541</v>
      </c>
      <c r="AI78" s="488">
        <f t="shared" si="40"/>
        <v>38520.959805393555</v>
      </c>
      <c r="AJ78" s="488">
        <f t="shared" si="40"/>
        <v>40077.721044561389</v>
      </c>
      <c r="AK78" s="488">
        <f t="shared" si="40"/>
        <v>41697.396228968857</v>
      </c>
      <c r="AL78" s="488">
        <f t="shared" ref="AL78" si="41">AL74*AL49+AL75*AL50+AL76*AL51</f>
        <v>43382.527922244895</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2">SUM(E62:E64)-SUM(E74:E76)</f>
        <v>0</v>
      </c>
      <c r="F82" s="383">
        <f t="shared" si="42"/>
        <v>0</v>
      </c>
      <c r="G82" s="383">
        <f t="shared" si="42"/>
        <v>0</v>
      </c>
      <c r="H82" s="383">
        <f t="shared" si="42"/>
        <v>-184.43753543110756</v>
      </c>
      <c r="I82" s="383">
        <f t="shared" si="42"/>
        <v>-191.89127510055869</v>
      </c>
      <c r="J82" s="383">
        <f t="shared" si="42"/>
        <v>-199.64624540036948</v>
      </c>
      <c r="K82" s="383">
        <f t="shared" si="42"/>
        <v>-207.71462007106425</v>
      </c>
      <c r="L82" s="383">
        <f t="shared" si="42"/>
        <v>-216.10906483486849</v>
      </c>
      <c r="M82" s="383">
        <f t="shared" si="42"/>
        <v>-224.84275727834245</v>
      </c>
      <c r="N82" s="383">
        <f t="shared" si="42"/>
        <v>-233.92940753853475</v>
      </c>
      <c r="O82" s="383">
        <f t="shared" si="42"/>
        <v>-243.38327982513579</v>
      </c>
      <c r="P82" s="383">
        <f t="shared" si="42"/>
        <v>-253.21921481241179</v>
      </c>
      <c r="Q82" s="383">
        <f t="shared" si="42"/>
        <v>-263.45265293607122</v>
      </c>
      <c r="R82" s="383">
        <f t="shared" si="42"/>
        <v>-274.09965863164018</v>
      </c>
      <c r="S82" s="383">
        <f t="shared" si="42"/>
        <v>-285.17694555238609</v>
      </c>
      <c r="T82" s="383">
        <f t="shared" si="42"/>
        <v>-296.70190280638667</v>
      </c>
      <c r="U82" s="383">
        <f t="shared" si="42"/>
        <v>-308.69262225392322</v>
      </c>
      <c r="V82" s="383">
        <f t="shared" si="42"/>
        <v>-321.16792690805858</v>
      </c>
      <c r="W82" s="383">
        <f t="shared" si="42"/>
        <v>-334.14740048297062</v>
      </c>
      <c r="X82" s="383">
        <f t="shared" si="42"/>
        <v>-347.65141813643891</v>
      </c>
      <c r="Y82" s="383">
        <f t="shared" si="42"/>
        <v>-361.70117845473578</v>
      </c>
      <c r="Z82" s="383">
        <f t="shared" si="42"/>
        <v>-376.31873673013524</v>
      </c>
      <c r="AA82" s="383">
        <f t="shared" si="42"/>
        <v>-391.52703958327584</v>
      </c>
      <c r="AB82" s="383">
        <f t="shared" si="42"/>
        <v>-407.34996098473152</v>
      </c>
      <c r="AC82" s="383">
        <f t="shared" si="42"/>
        <v>-423.81233973233384</v>
      </c>
      <c r="AD82" s="383">
        <f t="shared" si="42"/>
        <v>-440.94001844307945</v>
      </c>
      <c r="AE82" s="383">
        <f t="shared" si="42"/>
        <v>-458.75988412082961</v>
      </c>
      <c r="AF82" s="383">
        <f t="shared" ref="AF82:AJ82" si="43">SUM(AF62:AF64)-SUM(AF74:AF76)</f>
        <v>-477.29991036348861</v>
      </c>
      <c r="AG82" s="383">
        <f t="shared" si="43"/>
        <v>-496.58920127591659</v>
      </c>
      <c r="AH82" s="383">
        <f t="shared" si="43"/>
        <v>-516.65803715750258</v>
      </c>
      <c r="AI82" s="383">
        <f t="shared" si="43"/>
        <v>-537.53792203614216</v>
      </c>
      <c r="AJ82" s="383">
        <f t="shared" si="43"/>
        <v>-559.261633123205</v>
      </c>
      <c r="AK82" s="383">
        <f t="shared" ref="AK82:AL82" si="44">SUM(AK62:AK64)-SUM(AK74:AK76)</f>
        <v>-581.86327226714934</v>
      </c>
      <c r="AL82" s="383">
        <f t="shared" si="44"/>
        <v>-605.37831948656003</v>
      </c>
    </row>
    <row r="83" spans="1:38" ht="13">
      <c r="B83" s="364" t="s">
        <v>813</v>
      </c>
      <c r="C83" s="590" t="s">
        <v>443</v>
      </c>
      <c r="D83" s="383">
        <f>SUM(D55:D57)-SUM(D70:D72)</f>
        <v>0</v>
      </c>
      <c r="E83" s="383">
        <f t="shared" ref="E83:AE83" si="45">SUM(E55:E57)-SUM(E70:E72)</f>
        <v>0</v>
      </c>
      <c r="F83" s="383">
        <f t="shared" si="45"/>
        <v>0</v>
      </c>
      <c r="G83" s="383">
        <f t="shared" si="45"/>
        <v>0</v>
      </c>
      <c r="H83" s="383">
        <f t="shared" si="45"/>
        <v>-110.53032698758739</v>
      </c>
      <c r="I83" s="383">
        <f t="shared" si="45"/>
        <v>-114.99722837519846</v>
      </c>
      <c r="J83" s="383">
        <f t="shared" si="45"/>
        <v>-119.64465223614724</v>
      </c>
      <c r="K83" s="383">
        <f t="shared" si="45"/>
        <v>-124.47989408930778</v>
      </c>
      <c r="L83" s="383">
        <f t="shared" si="45"/>
        <v>-129.51054428995036</v>
      </c>
      <c r="M83" s="383">
        <f t="shared" si="45"/>
        <v>-134.74449994507114</v>
      </c>
      <c r="N83" s="383">
        <f t="shared" si="45"/>
        <v>-140.1899773102578</v>
      </c>
      <c r="O83" s="383">
        <f t="shared" si="45"/>
        <v>-145.8555246875552</v>
      </c>
      <c r="P83" s="383">
        <f t="shared" si="45"/>
        <v>-151.75003584457693</v>
      </c>
      <c r="Q83" s="383">
        <f t="shared" si="45"/>
        <v>-157.88276397592767</v>
      </c>
      <c r="R83" s="383">
        <f t="shared" si="45"/>
        <v>-164.26333622885437</v>
      </c>
      <c r="S83" s="383">
        <f t="shared" si="45"/>
        <v>-170.90176881592788</v>
      </c>
      <c r="T83" s="383">
        <f t="shared" si="45"/>
        <v>-177.80848273847676</v>
      </c>
      <c r="U83" s="383">
        <f t="shared" si="45"/>
        <v>-184.99432014545994</v>
      </c>
      <c r="V83" s="383">
        <f t="shared" si="45"/>
        <v>-192.47056135345645</v>
      </c>
      <c r="W83" s="383">
        <f t="shared" si="45"/>
        <v>-200.24894255448726</v>
      </c>
      <c r="X83" s="383">
        <f t="shared" si="45"/>
        <v>-208.34167423947292</v>
      </c>
      <c r="Y83" s="383">
        <f t="shared" si="45"/>
        <v>-216.76146036624334</v>
      </c>
      <c r="Z83" s="383">
        <f t="shared" si="45"/>
        <v>-225.52151830219157</v>
      </c>
      <c r="AA83" s="383">
        <f t="shared" si="45"/>
        <v>-234.63559957287646</v>
      </c>
      <c r="AB83" s="383">
        <f t="shared" si="45"/>
        <v>-244.11801144914568</v>
      </c>
      <c r="AC83" s="383">
        <f t="shared" si="45"/>
        <v>-253.98363940667002</v>
      </c>
      <c r="AD83" s="383">
        <f t="shared" si="45"/>
        <v>-264.24797049313793</v>
      </c>
      <c r="AE83" s="383">
        <f t="shared" si="45"/>
        <v>-274.92711763980071</v>
      </c>
      <c r="AF83" s="383">
        <f t="shared" ref="AF83:AJ83" si="46">SUM(AF55:AF57)-SUM(AF70:AF72)</f>
        <v>-286.03784495552645</v>
      </c>
      <c r="AG83" s="383">
        <f t="shared" si="46"/>
        <v>-297.59759404307454</v>
      </c>
      <c r="AH83" s="383">
        <f t="shared" si="46"/>
        <v>-309.62451137889252</v>
      </c>
      <c r="AI83" s="383">
        <f t="shared" si="46"/>
        <v>-322.13747679943344</v>
      </c>
      <c r="AJ83" s="383">
        <f t="shared" si="46"/>
        <v>-335.15613313868903</v>
      </c>
      <c r="AK83" s="383">
        <f t="shared" ref="AK83:AL83" si="47">SUM(AK55:AK57)-SUM(AK70:AK72)</f>
        <v>-348.70091706348171</v>
      </c>
      <c r="AL83" s="383">
        <f t="shared" si="47"/>
        <v>-362.79309115491469</v>
      </c>
    </row>
    <row r="84" spans="1:38">
      <c r="D84" s="358"/>
      <c r="F84" s="464"/>
      <c r="G84" s="465"/>
      <c r="H84" s="465"/>
    </row>
    <row r="85" spans="1:38" ht="13">
      <c r="B85" s="492" t="s">
        <v>284</v>
      </c>
      <c r="C85" s="487" t="s">
        <v>292</v>
      </c>
      <c r="D85" s="488">
        <f>D66-D78</f>
        <v>0</v>
      </c>
      <c r="E85" s="488">
        <f t="shared" ref="E85:AK85" si="48">E66-E78</f>
        <v>0</v>
      </c>
      <c r="F85" s="488">
        <f t="shared" si="48"/>
        <v>0</v>
      </c>
      <c r="G85" s="488">
        <f t="shared" si="48"/>
        <v>0</v>
      </c>
      <c r="H85" s="488">
        <f t="shared" si="48"/>
        <v>-3304.2835666531028</v>
      </c>
      <c r="I85" s="488">
        <f t="shared" si="48"/>
        <v>-3437.8207527920804</v>
      </c>
      <c r="J85" s="488">
        <f t="shared" si="48"/>
        <v>-3576.7546246943057</v>
      </c>
      <c r="K85" s="488">
        <f t="shared" si="48"/>
        <v>-3721.3032805395542</v>
      </c>
      <c r="L85" s="488">
        <f t="shared" si="48"/>
        <v>-3871.6936325868246</v>
      </c>
      <c r="M85" s="488">
        <f t="shared" si="48"/>
        <v>-4028.1617633809128</v>
      </c>
      <c r="N85" s="488">
        <f t="shared" si="48"/>
        <v>-4190.953296354377</v>
      </c>
      <c r="O85" s="488">
        <f t="shared" si="48"/>
        <v>-4360.3237814068671</v>
      </c>
      <c r="P85" s="488">
        <f t="shared" si="48"/>
        <v>-4536.5390960669611</v>
      </c>
      <c r="Q85" s="488">
        <f t="shared" si="48"/>
        <v>-4719.8758628662526</v>
      </c>
      <c r="R85" s="488">
        <f t="shared" si="48"/>
        <v>-4910.6218835810614</v>
      </c>
      <c r="S85" s="488">
        <f t="shared" si="48"/>
        <v>-5109.0765910231639</v>
      </c>
      <c r="T85" s="488">
        <f t="shared" si="48"/>
        <v>-5315.5515190889746</v>
      </c>
      <c r="U85" s="488">
        <f t="shared" si="48"/>
        <v>-5530.3707918049804</v>
      </c>
      <c r="V85" s="488">
        <f t="shared" si="48"/>
        <v>-5753.8716321371685</v>
      </c>
      <c r="W85" s="488">
        <f t="shared" si="48"/>
        <v>-5986.4048913630795</v>
      </c>
      <c r="X85" s="488">
        <f t="shared" si="48"/>
        <v>-6228.3355998376355</v>
      </c>
      <c r="Y85" s="488">
        <f t="shared" si="48"/>
        <v>-6480.0435400172173</v>
      </c>
      <c r="Z85" s="488">
        <f t="shared" si="48"/>
        <v>-6741.9238426416196</v>
      </c>
      <c r="AA85" s="488">
        <f t="shared" si="48"/>
        <v>-7014.3876070096194</v>
      </c>
      <c r="AB85" s="488">
        <f t="shared" si="48"/>
        <v>-7297.8625463220778</v>
      </c>
      <c r="AC85" s="488">
        <f t="shared" si="48"/>
        <v>-7592.793659105464</v>
      </c>
      <c r="AD85" s="488">
        <f t="shared" si="48"/>
        <v>-7899.643927769841</v>
      </c>
      <c r="AE85" s="488">
        <f t="shared" si="48"/>
        <v>-8218.8950453979596</v>
      </c>
      <c r="AF85" s="488">
        <f t="shared" si="48"/>
        <v>-8551.0481719062955</v>
      </c>
      <c r="AG85" s="488">
        <f t="shared" si="48"/>
        <v>-8896.6247207652159</v>
      </c>
      <c r="AH85" s="488">
        <f t="shared" si="48"/>
        <v>-9256.1671775128707</v>
      </c>
      <c r="AI85" s="488">
        <f t="shared" si="48"/>
        <v>-9630.2399513483761</v>
      </c>
      <c r="AJ85" s="488">
        <f t="shared" si="48"/>
        <v>-10019.430261140347</v>
      </c>
      <c r="AK85" s="488">
        <f t="shared" si="48"/>
        <v>-10424.34905724222</v>
      </c>
      <c r="AL85" s="488">
        <f t="shared" ref="AL85" si="49">AL66-AL78</f>
        <v>-10845.631980561218</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'Colorado Avenue'!D25</f>
        <v>282.42918778068463</v>
      </c>
      <c r="E112" s="383">
        <f>'Colorado Avenue'!E25</f>
        <v>293.84309892328963</v>
      </c>
      <c r="F112" s="383">
        <f>'Colorado Avenue'!F25</f>
        <v>305.71828451346494</v>
      </c>
      <c r="G112" s="383">
        <f>'Colorado Avenue'!G25</f>
        <v>318.07338619939981</v>
      </c>
      <c r="H112" s="383">
        <f>'Colorado Avenue'!H25</f>
        <v>330.9277990008365</v>
      </c>
      <c r="I112" s="383">
        <f>'Colorado Avenue'!I25</f>
        <v>344.30170175534397</v>
      </c>
      <c r="J112" s="383">
        <f>'Colorado Avenue'!J25</f>
        <v>358.21608879502492</v>
      </c>
      <c r="K112" s="383">
        <f>'Colorado Avenue'!K25</f>
        <v>372.69280290338713</v>
      </c>
      <c r="L112" s="383">
        <f>'Colorado Avenue'!L25</f>
        <v>387.75456960411128</v>
      </c>
      <c r="M112" s="383">
        <f>'Colorado Avenue'!M25</f>
        <v>403.42503283554311</v>
      </c>
      <c r="N112" s="383">
        <f>'Colorado Avenue'!N25</f>
        <v>419.72879206691198</v>
      </c>
      <c r="O112" s="383">
        <f>'Colorado Avenue'!O25</f>
        <v>436.69144091454052</v>
      </c>
      <c r="P112" s="383">
        <f>'Colorado Avenue'!P25</f>
        <v>454.33960731866307</v>
      </c>
      <c r="Q112" s="383">
        <f>'Colorado Avenue'!Q25</f>
        <v>472.70099534392688</v>
      </c>
      <c r="R112" s="383">
        <f>'Colorado Avenue'!R25</f>
        <v>491.80442866918986</v>
      </c>
      <c r="S112" s="383">
        <f>'Colorado Avenue'!S25</f>
        <v>511.6798958348881</v>
      </c>
      <c r="T112" s="383">
        <f>'Colorado Avenue'!T25</f>
        <v>532.35859731899939</v>
      </c>
      <c r="U112" s="383">
        <f>'Colorado Avenue'!U25</f>
        <v>553.87299451550768</v>
      </c>
      <c r="V112" s="383">
        <f>'Colorado Avenue'!V25</f>
        <v>576.25686069224878</v>
      </c>
      <c r="W112" s="383">
        <f>'Colorado Avenue'!W25</f>
        <v>599.54533400813489</v>
      </c>
      <c r="X112" s="383">
        <f>'Colorado Avenue'!X25</f>
        <v>623.77497267298213</v>
      </c>
      <c r="Y112" s="383">
        <f>'Colorado Avenue'!Y25</f>
        <v>648.98381233653345</v>
      </c>
      <c r="Z112" s="383">
        <f>'Colorado Avenue'!Z25</f>
        <v>675.21142579676223</v>
      </c>
      <c r="AA112" s="383">
        <f>'Colorado Avenue'!AA25</f>
        <v>702.49898512119194</v>
      </c>
      <c r="AB112" s="383">
        <f>'Colorado Avenue'!AB25</f>
        <v>730.88932627874215</v>
      </c>
      <c r="AC112" s="383">
        <f>'Colorado Avenue'!AC25</f>
        <v>760.42701638356948</v>
      </c>
      <c r="AD112" s="383">
        <f>'Colorado Avenue'!AD25</f>
        <v>791.15842365645426</v>
      </c>
      <c r="AE112" s="383">
        <f>'Colorado Avenue'!AE25</f>
        <v>823.13179021356268</v>
      </c>
      <c r="AF112" s="383">
        <f>'Colorado Avenue'!AF25</f>
        <v>856.39730779684692</v>
      </c>
      <c r="AG112" s="383">
        <f>'Colorado Avenue'!AG25</f>
        <v>891.00719656496449</v>
      </c>
      <c r="AH112" s="383">
        <f>'Colorado Avenue'!AH25</f>
        <v>927.01578706840576</v>
      </c>
      <c r="AI112" s="383">
        <f>'Colorado Avenue'!AI25</f>
        <v>964.47960553750534</v>
      </c>
      <c r="AJ112" s="383">
        <f>'Colorado Avenue'!AJ25</f>
        <v>1003.4574626172354</v>
      </c>
      <c r="AK112" s="383">
        <f>'Colorado Avenue'!AK25</f>
        <v>1044.0105456880644</v>
      </c>
      <c r="AL112" s="383">
        <f>'Colorado Avenue'!AL25</f>
        <v>1086.2025149178153</v>
      </c>
    </row>
    <row r="113" spans="1:38">
      <c r="B113" s="385" t="s">
        <v>509</v>
      </c>
      <c r="C113" s="386" t="s">
        <v>443</v>
      </c>
      <c r="D113" s="383">
        <f>'Colorado Avenue'!D26</f>
        <v>0.56599035627391714</v>
      </c>
      <c r="E113" s="383">
        <f>'Colorado Avenue'!E26</f>
        <v>0.58886392569797519</v>
      </c>
      <c r="F113" s="383">
        <f>'Colorado Avenue'!F26</f>
        <v>0.61266189281255501</v>
      </c>
      <c r="G113" s="383">
        <f>'Colorado Avenue'!G26</f>
        <v>0.63742161563005972</v>
      </c>
      <c r="H113" s="383">
        <f>'Colorado Avenue'!H26</f>
        <v>0.66318196192552414</v>
      </c>
      <c r="I113" s="383">
        <f>'Colorado Avenue'!I26</f>
        <v>0.68998337025119028</v>
      </c>
      <c r="J113" s="383">
        <f>'Colorado Avenue'!J26</f>
        <v>0.71786791341688372</v>
      </c>
      <c r="K113" s="383">
        <f>'Colorado Avenue'!K26</f>
        <v>0.74687936453584602</v>
      </c>
      <c r="L113" s="383">
        <f>'Colorado Avenue'!L26</f>
        <v>0.77706326573970197</v>
      </c>
      <c r="M113" s="383">
        <f>'Colorado Avenue'!M26</f>
        <v>0.80846699967042712</v>
      </c>
      <c r="N113" s="383">
        <f>'Colorado Avenue'!N26</f>
        <v>0.84113986386154704</v>
      </c>
      <c r="O113" s="383">
        <f>'Colorado Avenue'!O26</f>
        <v>0.87513314812533172</v>
      </c>
      <c r="P113" s="383">
        <f>'Colorado Avenue'!P26</f>
        <v>0.91050021506746115</v>
      </c>
      <c r="Q113" s="383">
        <f>'Colorado Avenue'!Q26</f>
        <v>0.94729658385556492</v>
      </c>
      <c r="R113" s="383">
        <f>'Colorado Avenue'!R26</f>
        <v>0.98558001737312606</v>
      </c>
      <c r="S113" s="383">
        <f>'Colorado Avenue'!S26</f>
        <v>1.0254106128955673</v>
      </c>
      <c r="T113" s="383">
        <f>'Colorado Avenue'!T26</f>
        <v>1.0668508964308605</v>
      </c>
      <c r="U113" s="383">
        <f>'Colorado Avenue'!U26</f>
        <v>1.109965920872761</v>
      </c>
      <c r="V113" s="383">
        <f>'Colorado Avenue'!V26</f>
        <v>1.1548233681207392</v>
      </c>
      <c r="W113" s="383">
        <f>'Colorado Avenue'!W26</f>
        <v>1.2014936553269235</v>
      </c>
      <c r="X113" s="383">
        <f>'Colorado Avenue'!X26</f>
        <v>1.250050045436838</v>
      </c>
      <c r="Y113" s="383">
        <f>'Colorado Avenue'!Y26</f>
        <v>1.300568762197462</v>
      </c>
      <c r="Z113" s="383">
        <f>'Colorado Avenue'!Z26</f>
        <v>1.3531291098131508</v>
      </c>
      <c r="AA113" s="383">
        <f>'Colorado Avenue'!AA26</f>
        <v>1.4078135974372583</v>
      </c>
      <c r="AB113" s="383">
        <f>'Colorado Avenue'!AB26</f>
        <v>1.4647080686948741</v>
      </c>
      <c r="AC113" s="383">
        <f>'Colorado Avenue'!AC26</f>
        <v>1.523901836440019</v>
      </c>
      <c r="AD113" s="383">
        <f>'Colorado Avenue'!AD26</f>
        <v>1.5854878229588263</v>
      </c>
      <c r="AE113" s="383">
        <f>'Colorado Avenue'!AE26</f>
        <v>1.6495627058388029</v>
      </c>
      <c r="AF113" s="383">
        <f>'Colorado Avenue'!AF26</f>
        <v>1.7162270697331601</v>
      </c>
      <c r="AG113" s="383">
        <f>'Colorado Avenue'!AG26</f>
        <v>1.7855855642584459</v>
      </c>
      <c r="AH113" s="383">
        <f>'Colorado Avenue'!AH26</f>
        <v>1.8577470682733583</v>
      </c>
      <c r="AI113" s="383">
        <f>'Colorado Avenue'!AI26</f>
        <v>1.9328248607966039</v>
      </c>
      <c r="AJ113" s="383">
        <f>'Colorado Avenue'!AJ26</f>
        <v>2.0109367988321352</v>
      </c>
      <c r="AK113" s="383">
        <f>'Colorado Avenue'!AK26</f>
        <v>2.092205502380891</v>
      </c>
      <c r="AL113" s="383">
        <f>'Colorado Avenue'!AL26</f>
        <v>2.1767585469294897</v>
      </c>
    </row>
    <row r="114" spans="1:38">
      <c r="B114" s="358" t="s">
        <v>769</v>
      </c>
      <c r="C114" s="358" t="s">
        <v>443</v>
      </c>
      <c r="D114" s="383">
        <f>'Colorado Avenue'!D27</f>
        <v>0</v>
      </c>
      <c r="E114" s="383">
        <f>'Colorado Avenue'!E27</f>
        <v>0</v>
      </c>
      <c r="F114" s="383">
        <f>'Colorado Avenue'!F27</f>
        <v>0</v>
      </c>
      <c r="G114" s="383">
        <f>'Colorado Avenue'!G27</f>
        <v>0</v>
      </c>
      <c r="H114" s="383">
        <f>'Colorado Avenue'!H27</f>
        <v>0</v>
      </c>
      <c r="I114" s="383">
        <f>'Colorado Avenue'!I27</f>
        <v>0</v>
      </c>
      <c r="J114" s="383">
        <f>'Colorado Avenue'!J27</f>
        <v>0</v>
      </c>
      <c r="K114" s="383">
        <f>'Colorado Avenue'!K27</f>
        <v>0</v>
      </c>
      <c r="L114" s="383">
        <f>'Colorado Avenue'!L27</f>
        <v>0</v>
      </c>
      <c r="M114" s="383">
        <f>'Colorado Avenue'!M27</f>
        <v>0</v>
      </c>
      <c r="N114" s="383">
        <f>'Colorado Avenue'!N27</f>
        <v>0</v>
      </c>
      <c r="O114" s="383">
        <f>'Colorado Avenue'!O27</f>
        <v>0</v>
      </c>
      <c r="P114" s="383">
        <f>'Colorado Avenue'!P27</f>
        <v>0</v>
      </c>
      <c r="Q114" s="383">
        <f>'Colorado Avenue'!Q27</f>
        <v>0</v>
      </c>
      <c r="R114" s="383">
        <f>'Colorado Avenue'!R27</f>
        <v>0</v>
      </c>
      <c r="S114" s="383">
        <f>'Colorado Avenue'!S27</f>
        <v>0</v>
      </c>
      <c r="T114" s="383">
        <f>'Colorado Avenue'!T27</f>
        <v>0</v>
      </c>
      <c r="U114" s="383">
        <f>'Colorado Avenue'!U27</f>
        <v>0</v>
      </c>
      <c r="V114" s="383">
        <f>'Colorado Avenue'!V27</f>
        <v>0</v>
      </c>
      <c r="W114" s="383">
        <f>'Colorado Avenue'!W27</f>
        <v>0</v>
      </c>
      <c r="X114" s="383">
        <f>'Colorado Avenue'!X27</f>
        <v>0</v>
      </c>
      <c r="Y114" s="383">
        <f>'Colorado Avenue'!Y27</f>
        <v>0</v>
      </c>
      <c r="Z114" s="383">
        <f>'Colorado Avenue'!Z27</f>
        <v>0</v>
      </c>
      <c r="AA114" s="383">
        <f>'Colorado Avenue'!AA27</f>
        <v>0</v>
      </c>
      <c r="AB114" s="383">
        <f>'Colorado Avenue'!AB27</f>
        <v>0</v>
      </c>
      <c r="AC114" s="383">
        <f>'Colorado Avenue'!AC27</f>
        <v>0</v>
      </c>
      <c r="AD114" s="383">
        <f>'Colorado Avenue'!AD27</f>
        <v>0</v>
      </c>
      <c r="AE114" s="383">
        <f>'Colorado Avenue'!AE27</f>
        <v>0</v>
      </c>
      <c r="AF114" s="383">
        <f>'Colorado Avenue'!AF27</f>
        <v>0</v>
      </c>
      <c r="AG114" s="383">
        <f>'Colorado Avenue'!AG27</f>
        <v>0</v>
      </c>
      <c r="AH114" s="383">
        <f>'Colorado Avenue'!AH27</f>
        <v>0</v>
      </c>
      <c r="AI114" s="383">
        <f>'Colorado Avenue'!AI27</f>
        <v>0</v>
      </c>
      <c r="AJ114" s="383">
        <f>'Colorado Avenue'!AJ27</f>
        <v>0</v>
      </c>
      <c r="AK114" s="383">
        <f>'Colorado Avenue'!AK27</f>
        <v>0</v>
      </c>
      <c r="AL114" s="383">
        <f>'Colorado Avenue'!AL27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0">(D$112*D90+D$113*D95+D$114*D100)/Grams.Per.Metric.Ton*D105</f>
        <v>33.689242964990783</v>
      </c>
      <c r="E116" s="582">
        <f t="shared" si="50"/>
        <v>35.20402699397502</v>
      </c>
      <c r="F116" s="582">
        <f t="shared" si="50"/>
        <v>36.765777785347268</v>
      </c>
      <c r="G116" s="582">
        <f t="shared" si="50"/>
        <v>38.374991225794702</v>
      </c>
      <c r="H116" s="582">
        <f t="shared" si="50"/>
        <v>40.03209318228911</v>
      </c>
      <c r="I116" s="582">
        <f t="shared" si="50"/>
        <v>41.737431683212137</v>
      </c>
      <c r="J116" s="582">
        <f t="shared" si="50"/>
        <v>43.491268527330071</v>
      </c>
      <c r="K116" s="582">
        <f t="shared" si="50"/>
        <v>45.293770284933743</v>
      </c>
      <c r="L116" s="582">
        <f t="shared" si="50"/>
        <v>47.14499865342971</v>
      </c>
      <c r="M116" s="582">
        <f t="shared" si="50"/>
        <v>49.044900127515355</v>
      </c>
      <c r="N116" s="582">
        <f t="shared" si="50"/>
        <v>50.858921284707051</v>
      </c>
      <c r="O116" s="582">
        <f t="shared" si="50"/>
        <v>52.705747135270755</v>
      </c>
      <c r="P116" s="582">
        <f t="shared" si="50"/>
        <v>54.583703923438826</v>
      </c>
      <c r="Q116" s="582">
        <f t="shared" si="50"/>
        <v>57.359964336053714</v>
      </c>
      <c r="R116" s="582">
        <f t="shared" si="50"/>
        <v>59.310304882587765</v>
      </c>
      <c r="S116" s="582">
        <f t="shared" si="50"/>
        <v>61.285098422965042</v>
      </c>
      <c r="T116" s="582">
        <f t="shared" si="50"/>
        <v>63.281539547415093</v>
      </c>
      <c r="U116" s="582">
        <f t="shared" si="50"/>
        <v>65.296491636935912</v>
      </c>
      <c r="V116" s="582">
        <f t="shared" si="50"/>
        <v>67.32646206718934</v>
      </c>
      <c r="W116" s="582">
        <f t="shared" si="50"/>
        <v>69.367575843782319</v>
      </c>
      <c r="X116" s="582">
        <f t="shared" si="50"/>
        <v>71.998365455381091</v>
      </c>
      <c r="Y116" s="582">
        <f t="shared" si="50"/>
        <v>75.704399629126925</v>
      </c>
      <c r="Z116" s="582">
        <f t="shared" si="50"/>
        <v>78.489937137952353</v>
      </c>
      <c r="AA116" s="582">
        <f t="shared" si="50"/>
        <v>81.340723707729339</v>
      </c>
      <c r="AB116" s="582">
        <f t="shared" si="50"/>
        <v>84.256018635655167</v>
      </c>
      <c r="AC116" s="582">
        <f t="shared" si="50"/>
        <v>87.234855572591968</v>
      </c>
      <c r="AD116" s="582">
        <f t="shared" si="50"/>
        <v>90.276023101666539</v>
      </c>
      <c r="AE116" s="582">
        <f t="shared" si="50"/>
        <v>93.37804401893608</v>
      </c>
      <c r="AF116" s="582">
        <f t="shared" si="50"/>
        <v>97.716459985832842</v>
      </c>
      <c r="AG116" s="582">
        <f t="shared" si="50"/>
        <v>100.95916911471953</v>
      </c>
      <c r="AH116" s="582">
        <f t="shared" si="50"/>
        <v>105.03926789757436</v>
      </c>
      <c r="AI116" s="582">
        <f t="shared" si="50"/>
        <v>109.2842571626293</v>
      </c>
      <c r="AJ116" s="582">
        <f t="shared" si="50"/>
        <v>113.70080068754451</v>
      </c>
      <c r="AK116" s="582">
        <f t="shared" si="50"/>
        <v>118.29583155559494</v>
      </c>
      <c r="AL116" s="582">
        <f t="shared" si="50"/>
        <v>123.07656303921421</v>
      </c>
    </row>
    <row r="117" spans="1:38">
      <c r="B117" s="478" t="s">
        <v>709</v>
      </c>
      <c r="C117" s="484" t="s">
        <v>292</v>
      </c>
      <c r="D117" s="582">
        <f t="shared" ref="D117:AL117" si="51">(D$112*D91+D$113*D96+D$114*D101)/Grams.Per.Metric.Ton*D106</f>
        <v>9.5813559369926669</v>
      </c>
      <c r="E117" s="582">
        <f t="shared" si="51"/>
        <v>9.1285810557860856</v>
      </c>
      <c r="F117" s="582">
        <f t="shared" si="51"/>
        <v>8.6513595093859799</v>
      </c>
      <c r="G117" s="582">
        <f t="shared" si="51"/>
        <v>8.0333195013158605</v>
      </c>
      <c r="H117" s="582">
        <f t="shared" si="51"/>
        <v>7.3241840081786567</v>
      </c>
      <c r="I117" s="582">
        <f t="shared" si="51"/>
        <v>6.5165078592308099</v>
      </c>
      <c r="J117" s="582">
        <f t="shared" si="51"/>
        <v>5.6349205746084481</v>
      </c>
      <c r="K117" s="582">
        <f t="shared" si="51"/>
        <v>4.5995205613620742</v>
      </c>
      <c r="L117" s="582">
        <f t="shared" si="51"/>
        <v>3.4395793729371484</v>
      </c>
      <c r="M117" s="582">
        <f t="shared" si="51"/>
        <v>2.1574284416660885</v>
      </c>
      <c r="N117" s="582">
        <f t="shared" si="51"/>
        <v>2.0638517720760632</v>
      </c>
      <c r="O117" s="582">
        <f t="shared" si="51"/>
        <v>1.9591880111674407</v>
      </c>
      <c r="P117" s="582">
        <f t="shared" si="51"/>
        <v>1.8426938589101252</v>
      </c>
      <c r="Q117" s="582">
        <f t="shared" si="51"/>
        <v>1.7135840446507722</v>
      </c>
      <c r="R117" s="582">
        <f t="shared" si="51"/>
        <v>1.5710291487522843</v>
      </c>
      <c r="S117" s="582">
        <f t="shared" si="51"/>
        <v>1.4141533167111295</v>
      </c>
      <c r="T117" s="582">
        <f t="shared" si="51"/>
        <v>1.2420318606209757</v>
      </c>
      <c r="U117" s="582">
        <f t="shared" si="51"/>
        <v>1.0536887426088923</v>
      </c>
      <c r="V117" s="582">
        <f t="shared" si="51"/>
        <v>0.84809393462359361</v>
      </c>
      <c r="W117" s="582">
        <f t="shared" si="51"/>
        <v>0.62416064868981058</v>
      </c>
      <c r="X117" s="582">
        <f t="shared" si="51"/>
        <v>0.61767090150982684</v>
      </c>
      <c r="Y117" s="582">
        <f t="shared" si="51"/>
        <v>0.6096372057133248</v>
      </c>
      <c r="Z117" s="582">
        <f t="shared" si="51"/>
        <v>0.59994536832213385</v>
      </c>
      <c r="AA117" s="582">
        <f t="shared" si="51"/>
        <v>0.58847448815276882</v>
      </c>
      <c r="AB117" s="582">
        <f t="shared" si="51"/>
        <v>0.57509660011875807</v>
      </c>
      <c r="AC117" s="582">
        <f t="shared" si="51"/>
        <v>0.55967630173913119</v>
      </c>
      <c r="AD117" s="582">
        <f t="shared" si="51"/>
        <v>0.54207036099597494</v>
      </c>
      <c r="AE117" s="582">
        <f t="shared" si="51"/>
        <v>0.52212730464326607</v>
      </c>
      <c r="AF117" s="582">
        <f t="shared" si="51"/>
        <v>0.49968698602776329</v>
      </c>
      <c r="AG117" s="582">
        <f t="shared" si="51"/>
        <v>0.47458013143804811</v>
      </c>
      <c r="AH117" s="582">
        <f t="shared" si="51"/>
        <v>0.49375950695813803</v>
      </c>
      <c r="AI117" s="582">
        <f t="shared" si="51"/>
        <v>0.51371398539757229</v>
      </c>
      <c r="AJ117" s="582">
        <f t="shared" si="51"/>
        <v>0.53447489126610659</v>
      </c>
      <c r="AK117" s="582">
        <f t="shared" si="51"/>
        <v>0.55607481500204115</v>
      </c>
      <c r="AL117" s="582">
        <f t="shared" si="51"/>
        <v>0.57854766413264325</v>
      </c>
    </row>
    <row r="118" spans="1:38">
      <c r="B118" s="478" t="s">
        <v>710</v>
      </c>
      <c r="C118" s="484" t="s">
        <v>292</v>
      </c>
      <c r="D118" s="582">
        <f t="shared" ref="D118:AL118" si="52">(D$112*D92+D$113*D97+D$114*D102)/Grams.Per.Metric.Ton*D107</f>
        <v>12.603554153353278</v>
      </c>
      <c r="E118" s="582">
        <f t="shared" si="52"/>
        <v>12.853914994272632</v>
      </c>
      <c r="F118" s="582">
        <f t="shared" si="52"/>
        <v>13.091140752232794</v>
      </c>
      <c r="G118" s="582">
        <f t="shared" si="52"/>
        <v>13.310908831111833</v>
      </c>
      <c r="H118" s="582">
        <f t="shared" si="52"/>
        <v>13.510348538389696</v>
      </c>
      <c r="I118" s="582">
        <f t="shared" si="52"/>
        <v>13.632301800307031</v>
      </c>
      <c r="J118" s="582">
        <f t="shared" si="52"/>
        <v>13.728087696000063</v>
      </c>
      <c r="K118" s="582">
        <f t="shared" si="52"/>
        <v>13.792669976318138</v>
      </c>
      <c r="L118" s="582">
        <f t="shared" si="52"/>
        <v>13.824081464608522</v>
      </c>
      <c r="M118" s="582">
        <f t="shared" si="52"/>
        <v>13.816733226153762</v>
      </c>
      <c r="N118" s="582">
        <f t="shared" si="52"/>
        <v>13.857965637839051</v>
      </c>
      <c r="O118" s="582">
        <f t="shared" si="52"/>
        <v>13.879964698104443</v>
      </c>
      <c r="P118" s="582">
        <f t="shared" si="52"/>
        <v>13.881108496021932</v>
      </c>
      <c r="Q118" s="582">
        <f t="shared" si="52"/>
        <v>13.859675439603214</v>
      </c>
      <c r="R118" s="582">
        <f t="shared" si="52"/>
        <v>13.81383884787628</v>
      </c>
      <c r="S118" s="582">
        <f t="shared" si="52"/>
        <v>13.741661268659653</v>
      </c>
      <c r="T118" s="582">
        <f t="shared" si="52"/>
        <v>13.641088508697937</v>
      </c>
      <c r="U118" s="582">
        <f t="shared" si="52"/>
        <v>13.509943362187254</v>
      </c>
      <c r="V118" s="582">
        <f t="shared" si="52"/>
        <v>13.345919023065072</v>
      </c>
      <c r="W118" s="582">
        <f t="shared" si="52"/>
        <v>13.146572165744631</v>
      </c>
      <c r="X118" s="582">
        <f t="shared" si="52"/>
        <v>13.199987179886769</v>
      </c>
      <c r="Y118" s="582">
        <f t="shared" si="52"/>
        <v>13.236248055672892</v>
      </c>
      <c r="Z118" s="582">
        <f t="shared" si="52"/>
        <v>13.253881041022595</v>
      </c>
      <c r="AA118" s="582">
        <f t="shared" si="52"/>
        <v>13.251321282135507</v>
      </c>
      <c r="AB118" s="582">
        <f t="shared" si="52"/>
        <v>13.226907867028283</v>
      </c>
      <c r="AC118" s="582">
        <f t="shared" si="52"/>
        <v>13.178878617247989</v>
      </c>
      <c r="AD118" s="582">
        <f t="shared" si="52"/>
        <v>13.105364615504129</v>
      </c>
      <c r="AE118" s="582">
        <f t="shared" si="52"/>
        <v>13.004384456377425</v>
      </c>
      <c r="AF118" s="582">
        <f t="shared" si="52"/>
        <v>12.873838206664551</v>
      </c>
      <c r="AG118" s="582">
        <f t="shared" si="52"/>
        <v>12.711501061275976</v>
      </c>
      <c r="AH118" s="582">
        <f t="shared" si="52"/>
        <v>13.225215471399906</v>
      </c>
      <c r="AI118" s="582">
        <f t="shared" si="52"/>
        <v>13.759690804556978</v>
      </c>
      <c r="AJ118" s="582">
        <f t="shared" si="52"/>
        <v>14.315766079308281</v>
      </c>
      <c r="AK118" s="582">
        <f t="shared" si="52"/>
        <v>14.894314221770195</v>
      </c>
      <c r="AL118" s="582">
        <f t="shared" si="52"/>
        <v>15.496243435932493</v>
      </c>
    </row>
    <row r="119" spans="1:38">
      <c r="B119" s="478" t="s">
        <v>711</v>
      </c>
      <c r="C119" s="484" t="s">
        <v>292</v>
      </c>
      <c r="D119" s="582">
        <f t="shared" ref="D119:AL119" si="53">(D$112*D93+D$113*D98+D$114*D103)/Grams.Per.Metric.Ton*D108</f>
        <v>0.17837693292644732</v>
      </c>
      <c r="E119" s="582">
        <f t="shared" si="53"/>
        <v>0.18646462586010823</v>
      </c>
      <c r="F119" s="582">
        <f t="shared" si="53"/>
        <v>0.19526139210273946</v>
      </c>
      <c r="G119" s="582">
        <f t="shared" si="53"/>
        <v>0.20433893167882791</v>
      </c>
      <c r="H119" s="582">
        <f t="shared" si="53"/>
        <v>0.21417750145651585</v>
      </c>
      <c r="I119" s="582">
        <f t="shared" si="53"/>
        <v>0.22237145980076006</v>
      </c>
      <c r="J119" s="582">
        <f t="shared" si="53"/>
        <v>0.23128414547899223</v>
      </c>
      <c r="K119" s="582">
        <f t="shared" si="53"/>
        <v>0.24043947422195106</v>
      </c>
      <c r="L119" s="582">
        <f t="shared" si="53"/>
        <v>0.24983787200251309</v>
      </c>
      <c r="M119" s="582">
        <f t="shared" si="53"/>
        <v>0.25894199178559124</v>
      </c>
      <c r="N119" s="582">
        <f t="shared" si="53"/>
        <v>0.26428551339254891</v>
      </c>
      <c r="O119" s="582">
        <f t="shared" si="53"/>
        <v>0.26963802003900428</v>
      </c>
      <c r="P119" s="582">
        <f t="shared" si="53"/>
        <v>0.27499151070668226</v>
      </c>
      <c r="Q119" s="582">
        <f t="shared" si="53"/>
        <v>0.28033732300659941</v>
      </c>
      <c r="R119" s="582">
        <f t="shared" si="53"/>
        <v>0.28566609279022065</v>
      </c>
      <c r="S119" s="582">
        <f t="shared" si="53"/>
        <v>0.29096771157629775</v>
      </c>
      <c r="T119" s="582">
        <f t="shared" si="53"/>
        <v>0.29623128168279816</v>
      </c>
      <c r="U119" s="582">
        <f t="shared" si="53"/>
        <v>0.30144506894797213</v>
      </c>
      <c r="V119" s="582">
        <f t="shared" si="53"/>
        <v>0.30659645291897003</v>
      </c>
      <c r="W119" s="582">
        <f t="shared" si="53"/>
        <v>0.31167187438054195</v>
      </c>
      <c r="X119" s="582">
        <f t="shared" si="53"/>
        <v>0.31897926889692013</v>
      </c>
      <c r="Y119" s="582">
        <f t="shared" si="53"/>
        <v>0.32636826132423585</v>
      </c>
      <c r="Z119" s="582">
        <f t="shared" si="53"/>
        <v>0.33383351222936475</v>
      </c>
      <c r="AA119" s="582">
        <f t="shared" si="53"/>
        <v>0.34136911734145825</v>
      </c>
      <c r="AB119" s="582">
        <f t="shared" si="53"/>
        <v>0.3489685706185327</v>
      </c>
      <c r="AC119" s="582">
        <f t="shared" si="53"/>
        <v>0.35662472525136923</v>
      </c>
      <c r="AD119" s="582">
        <f t="shared" si="53"/>
        <v>0.36432975249834343</v>
      </c>
      <c r="AE119" s="582">
        <f t="shared" si="53"/>
        <v>0.37207509823950458</v>
      </c>
      <c r="AF119" s="582">
        <f t="shared" si="53"/>
        <v>0.37985143713285524</v>
      </c>
      <c r="AG119" s="582">
        <f t="shared" si="53"/>
        <v>0.38764862424992774</v>
      </c>
      <c r="AH119" s="582">
        <f t="shared" si="53"/>
        <v>0.40331480587410751</v>
      </c>
      <c r="AI119" s="582">
        <f t="shared" si="53"/>
        <v>0.41961411046410885</v>
      </c>
      <c r="AJ119" s="582">
        <f t="shared" si="53"/>
        <v>0.4365721246433647</v>
      </c>
      <c r="AK119" s="582">
        <f t="shared" si="53"/>
        <v>0.45421546907661448</v>
      </c>
      <c r="AL119" s="582">
        <f t="shared" si="53"/>
        <v>0.47257184025898308</v>
      </c>
    </row>
    <row r="120" spans="1:38">
      <c r="D120" s="358"/>
      <c r="F120" s="464"/>
      <c r="G120" s="465"/>
      <c r="H120" s="465"/>
    </row>
    <row r="121" spans="1:38" ht="13">
      <c r="B121" s="493" t="s">
        <v>463</v>
      </c>
      <c r="C121" s="487" t="s">
        <v>292</v>
      </c>
      <c r="D121" s="488">
        <f t="shared" ref="D121:AL121" si="54">D116</f>
        <v>33.689242964990783</v>
      </c>
      <c r="E121" s="488">
        <f t="shared" si="54"/>
        <v>35.20402699397502</v>
      </c>
      <c r="F121" s="488">
        <f t="shared" si="54"/>
        <v>36.765777785347268</v>
      </c>
      <c r="G121" s="488">
        <f t="shared" si="54"/>
        <v>38.374991225794702</v>
      </c>
      <c r="H121" s="488">
        <f t="shared" si="54"/>
        <v>40.03209318228911</v>
      </c>
      <c r="I121" s="488">
        <f t="shared" si="54"/>
        <v>41.737431683212137</v>
      </c>
      <c r="J121" s="488">
        <f t="shared" si="54"/>
        <v>43.491268527330071</v>
      </c>
      <c r="K121" s="488">
        <f t="shared" si="54"/>
        <v>45.293770284933743</v>
      </c>
      <c r="L121" s="488">
        <f t="shared" si="54"/>
        <v>47.14499865342971</v>
      </c>
      <c r="M121" s="488">
        <f t="shared" si="54"/>
        <v>49.044900127515355</v>
      </c>
      <c r="N121" s="488">
        <f t="shared" si="54"/>
        <v>50.858921284707051</v>
      </c>
      <c r="O121" s="488">
        <f t="shared" si="54"/>
        <v>52.705747135270755</v>
      </c>
      <c r="P121" s="488">
        <f t="shared" si="54"/>
        <v>54.583703923438826</v>
      </c>
      <c r="Q121" s="488">
        <f t="shared" si="54"/>
        <v>57.359964336053714</v>
      </c>
      <c r="R121" s="488">
        <f t="shared" si="54"/>
        <v>59.310304882587765</v>
      </c>
      <c r="S121" s="488">
        <f t="shared" si="54"/>
        <v>61.285098422965042</v>
      </c>
      <c r="T121" s="488">
        <f t="shared" si="54"/>
        <v>63.281539547415093</v>
      </c>
      <c r="U121" s="488">
        <f t="shared" si="54"/>
        <v>65.296491636935912</v>
      </c>
      <c r="V121" s="488">
        <f t="shared" si="54"/>
        <v>67.32646206718934</v>
      </c>
      <c r="W121" s="488">
        <f t="shared" si="54"/>
        <v>69.367575843782319</v>
      </c>
      <c r="X121" s="488">
        <f t="shared" si="54"/>
        <v>71.998365455381091</v>
      </c>
      <c r="Y121" s="488">
        <f t="shared" si="54"/>
        <v>75.704399629126925</v>
      </c>
      <c r="Z121" s="488">
        <f t="shared" si="54"/>
        <v>78.489937137952353</v>
      </c>
      <c r="AA121" s="488">
        <f t="shared" si="54"/>
        <v>81.340723707729339</v>
      </c>
      <c r="AB121" s="488">
        <f t="shared" si="54"/>
        <v>84.256018635655167</v>
      </c>
      <c r="AC121" s="488">
        <f t="shared" si="54"/>
        <v>87.234855572591968</v>
      </c>
      <c r="AD121" s="488">
        <f t="shared" si="54"/>
        <v>90.276023101666539</v>
      </c>
      <c r="AE121" s="488">
        <f t="shared" si="54"/>
        <v>93.37804401893608</v>
      </c>
      <c r="AF121" s="488">
        <f t="shared" si="54"/>
        <v>97.716459985832842</v>
      </c>
      <c r="AG121" s="488">
        <f t="shared" si="54"/>
        <v>100.95916911471953</v>
      </c>
      <c r="AH121" s="488">
        <f t="shared" si="54"/>
        <v>105.03926789757436</v>
      </c>
      <c r="AI121" s="488">
        <f t="shared" si="54"/>
        <v>109.2842571626293</v>
      </c>
      <c r="AJ121" s="488">
        <f t="shared" si="54"/>
        <v>113.70080068754451</v>
      </c>
      <c r="AK121" s="488">
        <f t="shared" si="54"/>
        <v>118.29583155559494</v>
      </c>
      <c r="AL121" s="488">
        <f t="shared" si="54"/>
        <v>123.07656303921421</v>
      </c>
    </row>
    <row r="122" spans="1:38" ht="13">
      <c r="B122" s="494" t="s">
        <v>464</v>
      </c>
      <c r="C122" s="487" t="s">
        <v>292</v>
      </c>
      <c r="D122" s="488">
        <f t="shared" ref="D122:AL122" si="55">SUM(D116:D119)</f>
        <v>56.052529988263174</v>
      </c>
      <c r="E122" s="488">
        <f t="shared" si="55"/>
        <v>57.372987669893845</v>
      </c>
      <c r="F122" s="488">
        <f t="shared" si="55"/>
        <v>58.703539439068784</v>
      </c>
      <c r="G122" s="488">
        <f t="shared" si="55"/>
        <v>59.923558489901218</v>
      </c>
      <c r="H122" s="488">
        <f t="shared" si="55"/>
        <v>61.080803230313975</v>
      </c>
      <c r="I122" s="488">
        <f t="shared" si="55"/>
        <v>62.108612802550745</v>
      </c>
      <c r="J122" s="488">
        <f t="shared" si="55"/>
        <v>63.085560943417576</v>
      </c>
      <c r="K122" s="488">
        <f t="shared" si="55"/>
        <v>63.926400296835908</v>
      </c>
      <c r="L122" s="488">
        <f t="shared" si="55"/>
        <v>64.658497362977897</v>
      </c>
      <c r="M122" s="488">
        <f t="shared" si="55"/>
        <v>65.278003787120795</v>
      </c>
      <c r="N122" s="488">
        <f t="shared" si="55"/>
        <v>67.045024208014709</v>
      </c>
      <c r="O122" s="488">
        <f t="shared" si="55"/>
        <v>68.814537864581652</v>
      </c>
      <c r="P122" s="488">
        <f t="shared" si="55"/>
        <v>70.582497789077564</v>
      </c>
      <c r="Q122" s="488">
        <f t="shared" si="55"/>
        <v>73.213561143314308</v>
      </c>
      <c r="R122" s="488">
        <f t="shared" si="55"/>
        <v>74.980838972006552</v>
      </c>
      <c r="S122" s="488">
        <f t="shared" si="55"/>
        <v>76.731880719912127</v>
      </c>
      <c r="T122" s="488">
        <f t="shared" si="55"/>
        <v>78.460891198416789</v>
      </c>
      <c r="U122" s="488">
        <f t="shared" si="55"/>
        <v>80.161568810680038</v>
      </c>
      <c r="V122" s="488">
        <f t="shared" si="55"/>
        <v>81.827071477796977</v>
      </c>
      <c r="W122" s="488">
        <f t="shared" si="55"/>
        <v>83.449980532597294</v>
      </c>
      <c r="X122" s="488">
        <f t="shared" si="55"/>
        <v>86.135002805674617</v>
      </c>
      <c r="Y122" s="488">
        <f t="shared" si="55"/>
        <v>89.876653151837374</v>
      </c>
      <c r="Z122" s="488">
        <f t="shared" si="55"/>
        <v>92.677597059526448</v>
      </c>
      <c r="AA122" s="488">
        <f t="shared" si="55"/>
        <v>95.521888595359073</v>
      </c>
      <c r="AB122" s="488">
        <f t="shared" si="55"/>
        <v>98.406991673420748</v>
      </c>
      <c r="AC122" s="488">
        <f t="shared" si="55"/>
        <v>101.33003521683045</v>
      </c>
      <c r="AD122" s="488">
        <f t="shared" si="55"/>
        <v>104.287787830665</v>
      </c>
      <c r="AE122" s="488">
        <f t="shared" si="55"/>
        <v>107.27663087819627</v>
      </c>
      <c r="AF122" s="488">
        <f t="shared" si="55"/>
        <v>111.46983661565801</v>
      </c>
      <c r="AG122" s="488">
        <f t="shared" si="55"/>
        <v>114.53289893168349</v>
      </c>
      <c r="AH122" s="488">
        <f t="shared" si="55"/>
        <v>119.16155768180651</v>
      </c>
      <c r="AI122" s="488">
        <f t="shared" si="55"/>
        <v>123.97727606304797</v>
      </c>
      <c r="AJ122" s="488">
        <f t="shared" si="55"/>
        <v>128.98761378276225</v>
      </c>
      <c r="AK122" s="488">
        <f t="shared" si="55"/>
        <v>134.20043606144378</v>
      </c>
      <c r="AL122" s="488">
        <f t="shared" si="55"/>
        <v>139.62392597953831</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'Colorado Avenue'!D48</f>
        <v>282.42918778068463</v>
      </c>
      <c r="E126" s="383">
        <f>'Colorado Avenue'!E48</f>
        <v>293.84309892328963</v>
      </c>
      <c r="F126" s="383">
        <f>'Colorado Avenue'!F48</f>
        <v>305.71828451346494</v>
      </c>
      <c r="G126" s="383">
        <f>'Colorado Avenue'!G48</f>
        <v>318.07338619939981</v>
      </c>
      <c r="H126" s="383">
        <f>'Colorado Avenue'!H48</f>
        <v>441.23706533444874</v>
      </c>
      <c r="I126" s="383">
        <f>'Colorado Avenue'!I48</f>
        <v>459.06893567379205</v>
      </c>
      <c r="J126" s="383">
        <f>'Colorado Avenue'!J48</f>
        <v>477.62145172669989</v>
      </c>
      <c r="K126" s="383">
        <f>'Colorado Avenue'!K48</f>
        <v>496.92373720451633</v>
      </c>
      <c r="L126" s="383">
        <f>'Colorado Avenue'!L48</f>
        <v>517.00609280548167</v>
      </c>
      <c r="M126" s="383">
        <f>'Colorado Avenue'!M48</f>
        <v>537.9000437807241</v>
      </c>
      <c r="N126" s="383">
        <f>'Colorado Avenue'!N48</f>
        <v>559.63838942254927</v>
      </c>
      <c r="O126" s="383">
        <f>'Colorado Avenue'!O48</f>
        <v>582.25525455272054</v>
      </c>
      <c r="P126" s="383">
        <f>'Colorado Avenue'!P48</f>
        <v>605.78614309155091</v>
      </c>
      <c r="Q126" s="383">
        <f>'Colorado Avenue'!Q48</f>
        <v>630.26799379190265</v>
      </c>
      <c r="R126" s="383">
        <f>'Colorado Avenue'!R48</f>
        <v>655.73923822558652</v>
      </c>
      <c r="S126" s="383">
        <f>'Colorado Avenue'!S48</f>
        <v>682.23986111318413</v>
      </c>
      <c r="T126" s="383">
        <f>'Colorado Avenue'!T48</f>
        <v>709.81146309199926</v>
      </c>
      <c r="U126" s="383">
        <f>'Colorado Avenue'!U48</f>
        <v>738.49732602067672</v>
      </c>
      <c r="V126" s="383">
        <f>'Colorado Avenue'!V48</f>
        <v>768.34248092299833</v>
      </c>
      <c r="W126" s="383">
        <f>'Colorado Avenue'!W48</f>
        <v>799.39377867751318</v>
      </c>
      <c r="X126" s="383">
        <f>'Colorado Avenue'!X48</f>
        <v>831.6999635639761</v>
      </c>
      <c r="Y126" s="383">
        <f>'Colorado Avenue'!Y48</f>
        <v>865.31174978204433</v>
      </c>
      <c r="Z126" s="383">
        <f>'Colorado Avenue'!Z48</f>
        <v>900.28190106234945</v>
      </c>
      <c r="AA126" s="383">
        <f>'Colorado Avenue'!AA48</f>
        <v>936.66531349492254</v>
      </c>
      <c r="AB126" s="383">
        <f>'Colorado Avenue'!AB48</f>
        <v>974.51910170498957</v>
      </c>
      <c r="AC126" s="383">
        <f>'Colorado Avenue'!AC48</f>
        <v>1013.9026885114262</v>
      </c>
      <c r="AD126" s="383">
        <f>'Colorado Avenue'!AD48</f>
        <v>1054.877898208606</v>
      </c>
      <c r="AE126" s="383">
        <f>'Colorado Avenue'!AE48</f>
        <v>1097.5090536180837</v>
      </c>
      <c r="AF126" s="383">
        <f>'Colorado Avenue'!AF48</f>
        <v>1141.8630770624623</v>
      </c>
      <c r="AG126" s="383">
        <f>'Colorado Avenue'!AG48</f>
        <v>1188.0095954199528</v>
      </c>
      <c r="AH126" s="383">
        <f>'Colorado Avenue'!AH48</f>
        <v>1236.0210494245405</v>
      </c>
      <c r="AI126" s="383">
        <f>'Colorado Avenue'!AI48</f>
        <v>1285.9728073833398</v>
      </c>
      <c r="AJ126" s="383">
        <f>'Colorado Avenue'!AJ48</f>
        <v>1337.943283489647</v>
      </c>
      <c r="AK126" s="383">
        <f>'Colorado Avenue'!AK48</f>
        <v>1392.0140609174193</v>
      </c>
      <c r="AL126" s="383">
        <f>'Colorado Avenue'!AL48</f>
        <v>1448.2700198904201</v>
      </c>
    </row>
    <row r="127" spans="1:38">
      <c r="B127" s="385" t="s">
        <v>509</v>
      </c>
      <c r="C127" s="386" t="s">
        <v>443</v>
      </c>
      <c r="D127" s="383">
        <f>'Colorado Avenue'!D49</f>
        <v>0.56599035627391714</v>
      </c>
      <c r="E127" s="383">
        <f>'Colorado Avenue'!E49</f>
        <v>0.58886392569797519</v>
      </c>
      <c r="F127" s="383">
        <f>'Colorado Avenue'!F49</f>
        <v>0.61266189281255501</v>
      </c>
      <c r="G127" s="383">
        <f>'Colorado Avenue'!G49</f>
        <v>0.63742161563005972</v>
      </c>
      <c r="H127" s="383">
        <f>'Colorado Avenue'!H49</f>
        <v>0.88424261590069886</v>
      </c>
      <c r="I127" s="383">
        <f>'Colorado Avenue'!I49</f>
        <v>0.91997782700158726</v>
      </c>
      <c r="J127" s="383">
        <f>'Colorado Avenue'!J49</f>
        <v>0.95715721788917818</v>
      </c>
      <c r="K127" s="383">
        <f>'Colorado Avenue'!K49</f>
        <v>0.99583915271446155</v>
      </c>
      <c r="L127" s="383">
        <f>'Colorado Avenue'!L49</f>
        <v>1.0360843543196028</v>
      </c>
      <c r="M127" s="383">
        <f>'Colorado Avenue'!M49</f>
        <v>1.0779559995605694</v>
      </c>
      <c r="N127" s="383">
        <f>'Colorado Avenue'!N49</f>
        <v>1.1215198184820627</v>
      </c>
      <c r="O127" s="383">
        <f>'Colorado Avenue'!O49</f>
        <v>1.166844197500442</v>
      </c>
      <c r="P127" s="383">
        <f>'Colorado Avenue'!P49</f>
        <v>1.2140002867566151</v>
      </c>
      <c r="Q127" s="383">
        <f>'Colorado Avenue'!Q49</f>
        <v>1.2630621118074203</v>
      </c>
      <c r="R127" s="383">
        <f>'Colorado Avenue'!R49</f>
        <v>1.3141066898308347</v>
      </c>
      <c r="S127" s="383">
        <f>'Colorado Avenue'!S49</f>
        <v>1.3672141505274231</v>
      </c>
      <c r="T127" s="383">
        <f>'Colorado Avenue'!T49</f>
        <v>1.4224678619078142</v>
      </c>
      <c r="U127" s="383">
        <f>'Colorado Avenue'!U49</f>
        <v>1.4799545611636808</v>
      </c>
      <c r="V127" s="383">
        <f>'Colorado Avenue'!V49</f>
        <v>1.539764490827652</v>
      </c>
      <c r="W127" s="383">
        <f>'Colorado Avenue'!W49</f>
        <v>1.6019915404358982</v>
      </c>
      <c r="X127" s="383">
        <f>'Colorado Avenue'!X49</f>
        <v>1.6667333939157838</v>
      </c>
      <c r="Y127" s="383">
        <f>'Colorado Avenue'!Y49</f>
        <v>1.7340916829299486</v>
      </c>
      <c r="Z127" s="383">
        <f>'Colorado Avenue'!Z49</f>
        <v>1.804172146417534</v>
      </c>
      <c r="AA127" s="383">
        <f>'Colorado Avenue'!AA49</f>
        <v>1.8770847965830113</v>
      </c>
      <c r="AB127" s="383">
        <f>'Colorado Avenue'!AB49</f>
        <v>1.9529440915931655</v>
      </c>
      <c r="AC127" s="383">
        <f>'Colorado Avenue'!AC49</f>
        <v>2.0318691152533592</v>
      </c>
      <c r="AD127" s="383">
        <f>'Colorado Avenue'!AD49</f>
        <v>2.113983763945102</v>
      </c>
      <c r="AE127" s="383">
        <f>'Colorado Avenue'!AE49</f>
        <v>2.1994169411184044</v>
      </c>
      <c r="AF127" s="383">
        <f>'Colorado Avenue'!AF49</f>
        <v>2.2883027596442131</v>
      </c>
      <c r="AG127" s="383">
        <f>'Colorado Avenue'!AG49</f>
        <v>2.3807807523445952</v>
      </c>
      <c r="AH127" s="383">
        <f>'Colorado Avenue'!AH49</f>
        <v>2.4769960910311433</v>
      </c>
      <c r="AI127" s="383">
        <f>'Colorado Avenue'!AI49</f>
        <v>2.5770998143954706</v>
      </c>
      <c r="AJ127" s="383">
        <f>'Colorado Avenue'!AJ49</f>
        <v>2.6812490651095131</v>
      </c>
      <c r="AK127" s="383">
        <f>'Colorado Avenue'!AK49</f>
        <v>2.7896073365078546</v>
      </c>
      <c r="AL127" s="383">
        <f>'Colorado Avenue'!AL49</f>
        <v>2.902344729239319</v>
      </c>
    </row>
    <row r="128" spans="1:38">
      <c r="B128" s="358" t="s">
        <v>769</v>
      </c>
      <c r="C128" s="358" t="s">
        <v>443</v>
      </c>
      <c r="D128" s="383">
        <f>'Colorado Avenue'!D50</f>
        <v>0</v>
      </c>
      <c r="E128" s="383">
        <f>'Colorado Avenue'!E50</f>
        <v>0</v>
      </c>
      <c r="F128" s="383">
        <f>'Colorado Avenue'!F50</f>
        <v>0</v>
      </c>
      <c r="G128" s="383">
        <f>'Colorado Avenue'!G50</f>
        <v>0</v>
      </c>
      <c r="H128" s="383">
        <f>'Colorado Avenue'!H50</f>
        <v>0</v>
      </c>
      <c r="I128" s="383">
        <f>'Colorado Avenue'!I50</f>
        <v>0</v>
      </c>
      <c r="J128" s="383">
        <f>'Colorado Avenue'!J50</f>
        <v>0</v>
      </c>
      <c r="K128" s="383">
        <f>'Colorado Avenue'!K50</f>
        <v>0</v>
      </c>
      <c r="L128" s="383">
        <f>'Colorado Avenue'!L50</f>
        <v>0</v>
      </c>
      <c r="M128" s="383">
        <f>'Colorado Avenue'!M50</f>
        <v>0</v>
      </c>
      <c r="N128" s="383">
        <f>'Colorado Avenue'!N50</f>
        <v>0</v>
      </c>
      <c r="O128" s="383">
        <f>'Colorado Avenue'!O50</f>
        <v>0</v>
      </c>
      <c r="P128" s="383">
        <f>'Colorado Avenue'!P50</f>
        <v>0</v>
      </c>
      <c r="Q128" s="383">
        <f>'Colorado Avenue'!Q50</f>
        <v>0</v>
      </c>
      <c r="R128" s="383">
        <f>'Colorado Avenue'!R50</f>
        <v>0</v>
      </c>
      <c r="S128" s="383">
        <f>'Colorado Avenue'!S50</f>
        <v>0</v>
      </c>
      <c r="T128" s="383">
        <f>'Colorado Avenue'!T50</f>
        <v>0</v>
      </c>
      <c r="U128" s="383">
        <f>'Colorado Avenue'!U50</f>
        <v>0</v>
      </c>
      <c r="V128" s="383">
        <f>'Colorado Avenue'!V50</f>
        <v>0</v>
      </c>
      <c r="W128" s="383">
        <f>'Colorado Avenue'!W50</f>
        <v>0</v>
      </c>
      <c r="X128" s="383">
        <f>'Colorado Avenue'!X50</f>
        <v>0</v>
      </c>
      <c r="Y128" s="383">
        <f>'Colorado Avenue'!Y50</f>
        <v>0</v>
      </c>
      <c r="Z128" s="383">
        <f>'Colorado Avenue'!Z50</f>
        <v>0</v>
      </c>
      <c r="AA128" s="383">
        <f>'Colorado Avenue'!AA50</f>
        <v>0</v>
      </c>
      <c r="AB128" s="383">
        <f>'Colorado Avenue'!AB50</f>
        <v>0</v>
      </c>
      <c r="AC128" s="383">
        <f>'Colorado Avenue'!AC50</f>
        <v>0</v>
      </c>
      <c r="AD128" s="383">
        <f>'Colorado Avenue'!AD50</f>
        <v>0</v>
      </c>
      <c r="AE128" s="383">
        <f>'Colorado Avenue'!AE50</f>
        <v>0</v>
      </c>
      <c r="AF128" s="383">
        <f>'Colorado Avenue'!AF50</f>
        <v>0</v>
      </c>
      <c r="AG128" s="383">
        <f>'Colorado Avenue'!AG50</f>
        <v>0</v>
      </c>
      <c r="AH128" s="383">
        <f>'Colorado Avenue'!AH50</f>
        <v>0</v>
      </c>
      <c r="AI128" s="383">
        <f>'Colorado Avenue'!AI50</f>
        <v>0</v>
      </c>
      <c r="AJ128" s="383">
        <f>'Colorado Avenue'!AJ50</f>
        <v>0</v>
      </c>
      <c r="AK128" s="383">
        <f>'Colorado Avenue'!AK50</f>
        <v>0</v>
      </c>
      <c r="AL128" s="383">
        <f>'Colorado Avenue'!AL50</f>
        <v>0</v>
      </c>
    </row>
    <row r="129" spans="1:38">
      <c r="D129" s="358"/>
      <c r="F129" s="464"/>
      <c r="G129" s="465"/>
      <c r="H129" s="465"/>
    </row>
    <row r="130" spans="1:38">
      <c r="B130" s="476" t="s">
        <v>708</v>
      </c>
      <c r="C130" s="484" t="s">
        <v>292</v>
      </c>
      <c r="D130" s="582">
        <f t="shared" ref="D130:AL130" si="56">(D$126*D90+D$127*D95+D$128*D100)/Grams.Per.Metric.Ton*D105</f>
        <v>33.689242964990783</v>
      </c>
      <c r="E130" s="582">
        <f t="shared" si="56"/>
        <v>35.20402699397502</v>
      </c>
      <c r="F130" s="582">
        <f t="shared" si="56"/>
        <v>36.765777785347268</v>
      </c>
      <c r="G130" s="582">
        <f t="shared" si="56"/>
        <v>38.374991225794702</v>
      </c>
      <c r="H130" s="582">
        <f t="shared" si="56"/>
        <v>53.376124243052146</v>
      </c>
      <c r="I130" s="582">
        <f t="shared" si="56"/>
        <v>55.649908910949527</v>
      </c>
      <c r="J130" s="582">
        <f t="shared" si="56"/>
        <v>57.988358036440097</v>
      </c>
      <c r="K130" s="582">
        <f t="shared" si="56"/>
        <v>60.391693713245012</v>
      </c>
      <c r="L130" s="582">
        <f t="shared" si="56"/>
        <v>62.859998204572946</v>
      </c>
      <c r="M130" s="582">
        <f t="shared" si="56"/>
        <v>65.393200170020449</v>
      </c>
      <c r="N130" s="582">
        <f t="shared" si="56"/>
        <v>67.811895046276035</v>
      </c>
      <c r="O130" s="582">
        <f t="shared" si="56"/>
        <v>70.274329513694312</v>
      </c>
      <c r="P130" s="582">
        <f t="shared" si="56"/>
        <v>72.778271897918458</v>
      </c>
      <c r="Q130" s="582">
        <f t="shared" si="56"/>
        <v>76.479952448071643</v>
      </c>
      <c r="R130" s="582">
        <f t="shared" si="56"/>
        <v>79.080406510117015</v>
      </c>
      <c r="S130" s="582">
        <f t="shared" si="56"/>
        <v>81.713464563953394</v>
      </c>
      <c r="T130" s="582">
        <f t="shared" si="56"/>
        <v>84.375386063220134</v>
      </c>
      <c r="U130" s="582">
        <f t="shared" si="56"/>
        <v>87.06198884924784</v>
      </c>
      <c r="V130" s="582">
        <f t="shared" si="56"/>
        <v>89.768616089585805</v>
      </c>
      <c r="W130" s="582">
        <f t="shared" si="56"/>
        <v>92.490101125043083</v>
      </c>
      <c r="X130" s="582">
        <f t="shared" si="56"/>
        <v>95.997820607174759</v>
      </c>
      <c r="Y130" s="582">
        <f t="shared" si="56"/>
        <v>100.93919950550253</v>
      </c>
      <c r="Z130" s="582">
        <f t="shared" si="56"/>
        <v>104.65324951726978</v>
      </c>
      <c r="AA130" s="582">
        <f t="shared" si="56"/>
        <v>108.45429827697244</v>
      </c>
      <c r="AB130" s="582">
        <f t="shared" si="56"/>
        <v>112.34135818087356</v>
      </c>
      <c r="AC130" s="582">
        <f t="shared" si="56"/>
        <v>116.31314076345598</v>
      </c>
      <c r="AD130" s="582">
        <f t="shared" si="56"/>
        <v>120.36803080222208</v>
      </c>
      <c r="AE130" s="582">
        <f t="shared" si="56"/>
        <v>124.50405869191482</v>
      </c>
      <c r="AF130" s="582">
        <f t="shared" si="56"/>
        <v>130.28861331444372</v>
      </c>
      <c r="AG130" s="582">
        <f t="shared" si="56"/>
        <v>134.61222548629272</v>
      </c>
      <c r="AH130" s="582">
        <f t="shared" si="56"/>
        <v>140.05235719676574</v>
      </c>
      <c r="AI130" s="582">
        <f t="shared" si="56"/>
        <v>145.71234288350567</v>
      </c>
      <c r="AJ130" s="582">
        <f t="shared" si="56"/>
        <v>151.60106758339265</v>
      </c>
      <c r="AK130" s="582">
        <f t="shared" si="56"/>
        <v>157.72777540745994</v>
      </c>
      <c r="AL130" s="582">
        <f t="shared" si="56"/>
        <v>164.10208405228559</v>
      </c>
    </row>
    <row r="131" spans="1:38">
      <c r="B131" s="478" t="s">
        <v>709</v>
      </c>
      <c r="C131" s="484" t="s">
        <v>292</v>
      </c>
      <c r="D131" s="582">
        <f t="shared" ref="D131:AL131" si="57">(D$126*D91+D$127*D96+D$128*D101)/Grams.Per.Metric.Ton*D106</f>
        <v>9.5813559369926669</v>
      </c>
      <c r="E131" s="582">
        <f t="shared" si="57"/>
        <v>9.1285810557860856</v>
      </c>
      <c r="F131" s="582">
        <f t="shared" si="57"/>
        <v>8.6513595093859799</v>
      </c>
      <c r="G131" s="582">
        <f t="shared" si="57"/>
        <v>8.0333195013158605</v>
      </c>
      <c r="H131" s="582">
        <f t="shared" si="57"/>
        <v>9.7655786775715434</v>
      </c>
      <c r="I131" s="582">
        <f t="shared" si="57"/>
        <v>8.6886771456410816</v>
      </c>
      <c r="J131" s="582">
        <f t="shared" si="57"/>
        <v>7.5132274328112638</v>
      </c>
      <c r="K131" s="582">
        <f t="shared" si="57"/>
        <v>6.1326940818160987</v>
      </c>
      <c r="L131" s="582">
        <f t="shared" si="57"/>
        <v>4.5861058305828637</v>
      </c>
      <c r="M131" s="582">
        <f t="shared" si="57"/>
        <v>2.8765712555547838</v>
      </c>
      <c r="N131" s="582">
        <f t="shared" si="57"/>
        <v>2.7518023627680837</v>
      </c>
      <c r="O131" s="582">
        <f t="shared" si="57"/>
        <v>2.6122506815565867</v>
      </c>
      <c r="P131" s="582">
        <f t="shared" si="57"/>
        <v>2.4569251452135004</v>
      </c>
      <c r="Q131" s="582">
        <f t="shared" si="57"/>
        <v>2.2847787262010297</v>
      </c>
      <c r="R131" s="582">
        <f t="shared" si="57"/>
        <v>2.0947055316697125</v>
      </c>
      <c r="S131" s="582">
        <f t="shared" si="57"/>
        <v>1.8855377556148394</v>
      </c>
      <c r="T131" s="582">
        <f t="shared" si="57"/>
        <v>1.6560424808279677</v>
      </c>
      <c r="U131" s="582">
        <f t="shared" si="57"/>
        <v>1.4049183234785227</v>
      </c>
      <c r="V131" s="582">
        <f t="shared" si="57"/>
        <v>1.1307919128314576</v>
      </c>
      <c r="W131" s="582">
        <f t="shared" si="57"/>
        <v>0.83221419825308074</v>
      </c>
      <c r="X131" s="582">
        <f t="shared" si="57"/>
        <v>0.82356120201310246</v>
      </c>
      <c r="Y131" s="582">
        <f t="shared" si="57"/>
        <v>0.81284960761776615</v>
      </c>
      <c r="Z131" s="582">
        <f t="shared" si="57"/>
        <v>0.79992715776284495</v>
      </c>
      <c r="AA131" s="582">
        <f t="shared" si="57"/>
        <v>0.78463265087035838</v>
      </c>
      <c r="AB131" s="582">
        <f t="shared" si="57"/>
        <v>0.76679546682501065</v>
      </c>
      <c r="AC131" s="582">
        <f t="shared" si="57"/>
        <v>0.74623506898550851</v>
      </c>
      <c r="AD131" s="582">
        <f t="shared" si="57"/>
        <v>0.72276048132796666</v>
      </c>
      <c r="AE131" s="582">
        <f t="shared" si="57"/>
        <v>0.6961697395243549</v>
      </c>
      <c r="AF131" s="582">
        <f t="shared" si="57"/>
        <v>0.66624931470368443</v>
      </c>
      <c r="AG131" s="582">
        <f t="shared" si="57"/>
        <v>0.63277350858406423</v>
      </c>
      <c r="AH131" s="582">
        <f t="shared" si="57"/>
        <v>0.65834600927751707</v>
      </c>
      <c r="AI131" s="582">
        <f t="shared" si="57"/>
        <v>0.68495198053009609</v>
      </c>
      <c r="AJ131" s="582">
        <f t="shared" si="57"/>
        <v>0.71263318835480871</v>
      </c>
      <c r="AK131" s="582">
        <f t="shared" si="57"/>
        <v>0.74143308666938834</v>
      </c>
      <c r="AL131" s="582">
        <f t="shared" si="57"/>
        <v>0.77139688551019081</v>
      </c>
    </row>
    <row r="132" spans="1:38">
      <c r="B132" s="478" t="s">
        <v>710</v>
      </c>
      <c r="C132" s="484" t="s">
        <v>292</v>
      </c>
      <c r="D132" s="582">
        <f t="shared" ref="D132:AL132" si="58">(D$126*D92+D$127*D97+D$128*D102)/Grams.Per.Metric.Ton*D107</f>
        <v>12.603554153353278</v>
      </c>
      <c r="E132" s="582">
        <f t="shared" si="58"/>
        <v>12.853914994272632</v>
      </c>
      <c r="F132" s="582">
        <f t="shared" si="58"/>
        <v>13.091140752232794</v>
      </c>
      <c r="G132" s="582">
        <f t="shared" si="58"/>
        <v>13.310908831111833</v>
      </c>
      <c r="H132" s="582">
        <f t="shared" si="58"/>
        <v>18.01379805118626</v>
      </c>
      <c r="I132" s="582">
        <f t="shared" si="58"/>
        <v>18.17640240040938</v>
      </c>
      <c r="J132" s="582">
        <f t="shared" si="58"/>
        <v>18.304116928000084</v>
      </c>
      <c r="K132" s="582">
        <f t="shared" si="58"/>
        <v>18.390226635090855</v>
      </c>
      <c r="L132" s="582">
        <f t="shared" si="58"/>
        <v>18.432108619478029</v>
      </c>
      <c r="M132" s="582">
        <f t="shared" si="58"/>
        <v>18.422310968205014</v>
      </c>
      <c r="N132" s="582">
        <f t="shared" si="58"/>
        <v>18.477287517118736</v>
      </c>
      <c r="O132" s="582">
        <f t="shared" si="58"/>
        <v>18.506619597472586</v>
      </c>
      <c r="P132" s="582">
        <f t="shared" si="58"/>
        <v>18.508144661362582</v>
      </c>
      <c r="Q132" s="582">
        <f t="shared" si="58"/>
        <v>18.479567252804287</v>
      </c>
      <c r="R132" s="582">
        <f t="shared" si="58"/>
        <v>18.418451797168377</v>
      </c>
      <c r="S132" s="582">
        <f t="shared" si="58"/>
        <v>18.32221502487954</v>
      </c>
      <c r="T132" s="582">
        <f t="shared" si="58"/>
        <v>18.188118011597251</v>
      </c>
      <c r="U132" s="582">
        <f t="shared" si="58"/>
        <v>18.01325781624967</v>
      </c>
      <c r="V132" s="582">
        <f t="shared" si="58"/>
        <v>17.794558697420094</v>
      </c>
      <c r="W132" s="582">
        <f t="shared" si="58"/>
        <v>17.528762887659507</v>
      </c>
      <c r="X132" s="582">
        <f t="shared" si="58"/>
        <v>17.599982906515685</v>
      </c>
      <c r="Y132" s="582">
        <f t="shared" si="58"/>
        <v>17.64833074089718</v>
      </c>
      <c r="Z132" s="582">
        <f t="shared" si="58"/>
        <v>17.671841388030128</v>
      </c>
      <c r="AA132" s="582">
        <f t="shared" si="58"/>
        <v>17.668428376180675</v>
      </c>
      <c r="AB132" s="582">
        <f t="shared" si="58"/>
        <v>17.635877156037711</v>
      </c>
      <c r="AC132" s="582">
        <f t="shared" si="58"/>
        <v>17.571838156330653</v>
      </c>
      <c r="AD132" s="582">
        <f t="shared" si="58"/>
        <v>17.473819487338847</v>
      </c>
      <c r="AE132" s="582">
        <f t="shared" si="58"/>
        <v>17.339179275169901</v>
      </c>
      <c r="AF132" s="582">
        <f t="shared" si="58"/>
        <v>17.16511760888606</v>
      </c>
      <c r="AG132" s="582">
        <f t="shared" si="58"/>
        <v>16.948668081701303</v>
      </c>
      <c r="AH132" s="582">
        <f t="shared" si="58"/>
        <v>17.633620628533198</v>
      </c>
      <c r="AI132" s="582">
        <f t="shared" si="58"/>
        <v>18.346254406075964</v>
      </c>
      <c r="AJ132" s="582">
        <f t="shared" si="58"/>
        <v>19.087688105744373</v>
      </c>
      <c r="AK132" s="582">
        <f t="shared" si="58"/>
        <v>19.859085629026932</v>
      </c>
      <c r="AL132" s="582">
        <f t="shared" si="58"/>
        <v>20.661657914576651</v>
      </c>
    </row>
    <row r="133" spans="1:38">
      <c r="B133" s="478" t="s">
        <v>711</v>
      </c>
      <c r="C133" s="484" t="s">
        <v>292</v>
      </c>
      <c r="D133" s="582">
        <f t="shared" ref="D133:AL133" si="59">(D$126*D93+D$127*D98+D$128*D103)/Grams.Per.Metric.Ton*D108</f>
        <v>0.17837693292644732</v>
      </c>
      <c r="E133" s="582">
        <f t="shared" si="59"/>
        <v>0.18646462586010823</v>
      </c>
      <c r="F133" s="582">
        <f t="shared" si="59"/>
        <v>0.19526139210273946</v>
      </c>
      <c r="G133" s="582">
        <f t="shared" si="59"/>
        <v>0.20433893167882791</v>
      </c>
      <c r="H133" s="582">
        <f t="shared" si="59"/>
        <v>0.28557000194202115</v>
      </c>
      <c r="I133" s="582">
        <f t="shared" si="59"/>
        <v>0.29649527973434681</v>
      </c>
      <c r="J133" s="582">
        <f t="shared" si="59"/>
        <v>0.30837886063865633</v>
      </c>
      <c r="K133" s="582">
        <f t="shared" si="59"/>
        <v>0.32058596562926817</v>
      </c>
      <c r="L133" s="582">
        <f t="shared" si="59"/>
        <v>0.33311716267001751</v>
      </c>
      <c r="M133" s="582">
        <f t="shared" si="59"/>
        <v>0.34525598904745497</v>
      </c>
      <c r="N133" s="582">
        <f t="shared" si="59"/>
        <v>0.35238068452339849</v>
      </c>
      <c r="O133" s="582">
        <f t="shared" si="59"/>
        <v>0.35951736005200563</v>
      </c>
      <c r="P133" s="582">
        <f t="shared" si="59"/>
        <v>0.36665534760890978</v>
      </c>
      <c r="Q133" s="582">
        <f t="shared" si="59"/>
        <v>0.37378309734213266</v>
      </c>
      <c r="R133" s="582">
        <f t="shared" si="59"/>
        <v>0.38088812372029429</v>
      </c>
      <c r="S133" s="582">
        <f t="shared" si="59"/>
        <v>0.38795694876839693</v>
      </c>
      <c r="T133" s="582">
        <f t="shared" si="59"/>
        <v>0.39497504224373092</v>
      </c>
      <c r="U133" s="582">
        <f t="shared" si="59"/>
        <v>0.40192675859729604</v>
      </c>
      <c r="V133" s="582">
        <f t="shared" si="59"/>
        <v>0.40879527055862669</v>
      </c>
      <c r="W133" s="582">
        <f t="shared" si="59"/>
        <v>0.41556249917405597</v>
      </c>
      <c r="X133" s="582">
        <f t="shared" si="59"/>
        <v>0.42530569186256012</v>
      </c>
      <c r="Y133" s="582">
        <f t="shared" si="59"/>
        <v>0.43515768176564767</v>
      </c>
      <c r="Z133" s="582">
        <f t="shared" si="59"/>
        <v>0.44511134963915283</v>
      </c>
      <c r="AA133" s="582">
        <f t="shared" si="59"/>
        <v>0.45515882312194439</v>
      </c>
      <c r="AB133" s="582">
        <f t="shared" si="59"/>
        <v>0.46529142749137686</v>
      </c>
      <c r="AC133" s="582">
        <f t="shared" si="59"/>
        <v>0.47549963366849241</v>
      </c>
      <c r="AD133" s="582">
        <f t="shared" si="59"/>
        <v>0.48577300333112466</v>
      </c>
      <c r="AE133" s="582">
        <f t="shared" si="59"/>
        <v>0.49610013098600614</v>
      </c>
      <c r="AF133" s="582">
        <f t="shared" si="59"/>
        <v>0.50646858284380669</v>
      </c>
      <c r="AG133" s="582">
        <f t="shared" si="59"/>
        <v>0.5168648323332371</v>
      </c>
      <c r="AH133" s="582">
        <f t="shared" si="59"/>
        <v>0.53775307449880994</v>
      </c>
      <c r="AI133" s="582">
        <f t="shared" si="59"/>
        <v>0.55948548061881165</v>
      </c>
      <c r="AJ133" s="582">
        <f t="shared" si="59"/>
        <v>0.5820961661911529</v>
      </c>
      <c r="AK133" s="582">
        <f t="shared" si="59"/>
        <v>0.60562062543548589</v>
      </c>
      <c r="AL133" s="582">
        <f t="shared" si="59"/>
        <v>0.63009578701197733</v>
      </c>
    </row>
    <row r="134" spans="1:38">
      <c r="D134" s="358"/>
      <c r="F134" s="464"/>
      <c r="G134" s="465"/>
      <c r="H134" s="465"/>
    </row>
    <row r="135" spans="1:38" ht="13">
      <c r="B135" s="493" t="s">
        <v>465</v>
      </c>
      <c r="C135" s="487" t="s">
        <v>292</v>
      </c>
      <c r="D135" s="488">
        <f t="shared" ref="D135:AL135" si="60">D130</f>
        <v>33.689242964990783</v>
      </c>
      <c r="E135" s="488">
        <f t="shared" si="60"/>
        <v>35.20402699397502</v>
      </c>
      <c r="F135" s="488">
        <f t="shared" si="60"/>
        <v>36.765777785347268</v>
      </c>
      <c r="G135" s="488">
        <f t="shared" si="60"/>
        <v>38.374991225794702</v>
      </c>
      <c r="H135" s="488">
        <f t="shared" si="60"/>
        <v>53.376124243052146</v>
      </c>
      <c r="I135" s="488">
        <f t="shared" si="60"/>
        <v>55.649908910949527</v>
      </c>
      <c r="J135" s="488">
        <f t="shared" si="60"/>
        <v>57.988358036440097</v>
      </c>
      <c r="K135" s="488">
        <f t="shared" si="60"/>
        <v>60.391693713245012</v>
      </c>
      <c r="L135" s="488">
        <f t="shared" si="60"/>
        <v>62.859998204572946</v>
      </c>
      <c r="M135" s="488">
        <f t="shared" si="60"/>
        <v>65.393200170020449</v>
      </c>
      <c r="N135" s="488">
        <f t="shared" si="60"/>
        <v>67.811895046276035</v>
      </c>
      <c r="O135" s="488">
        <f t="shared" si="60"/>
        <v>70.274329513694312</v>
      </c>
      <c r="P135" s="488">
        <f t="shared" si="60"/>
        <v>72.778271897918458</v>
      </c>
      <c r="Q135" s="488">
        <f t="shared" si="60"/>
        <v>76.479952448071643</v>
      </c>
      <c r="R135" s="488">
        <f t="shared" si="60"/>
        <v>79.080406510117015</v>
      </c>
      <c r="S135" s="488">
        <f t="shared" si="60"/>
        <v>81.713464563953394</v>
      </c>
      <c r="T135" s="488">
        <f t="shared" si="60"/>
        <v>84.375386063220134</v>
      </c>
      <c r="U135" s="488">
        <f t="shared" si="60"/>
        <v>87.06198884924784</v>
      </c>
      <c r="V135" s="488">
        <f t="shared" si="60"/>
        <v>89.768616089585805</v>
      </c>
      <c r="W135" s="488">
        <f t="shared" si="60"/>
        <v>92.490101125043083</v>
      </c>
      <c r="X135" s="488">
        <f t="shared" si="60"/>
        <v>95.997820607174759</v>
      </c>
      <c r="Y135" s="488">
        <f t="shared" si="60"/>
        <v>100.93919950550253</v>
      </c>
      <c r="Z135" s="488">
        <f t="shared" si="60"/>
        <v>104.65324951726978</v>
      </c>
      <c r="AA135" s="488">
        <f t="shared" si="60"/>
        <v>108.45429827697244</v>
      </c>
      <c r="AB135" s="488">
        <f t="shared" si="60"/>
        <v>112.34135818087356</v>
      </c>
      <c r="AC135" s="488">
        <f t="shared" si="60"/>
        <v>116.31314076345598</v>
      </c>
      <c r="AD135" s="488">
        <f t="shared" si="60"/>
        <v>120.36803080222208</v>
      </c>
      <c r="AE135" s="488">
        <f t="shared" si="60"/>
        <v>124.50405869191482</v>
      </c>
      <c r="AF135" s="488">
        <f t="shared" si="60"/>
        <v>130.28861331444372</v>
      </c>
      <c r="AG135" s="488">
        <f t="shared" si="60"/>
        <v>134.61222548629272</v>
      </c>
      <c r="AH135" s="488">
        <f t="shared" si="60"/>
        <v>140.05235719676574</v>
      </c>
      <c r="AI135" s="488">
        <f t="shared" si="60"/>
        <v>145.71234288350567</v>
      </c>
      <c r="AJ135" s="488">
        <f t="shared" si="60"/>
        <v>151.60106758339265</v>
      </c>
      <c r="AK135" s="488">
        <f t="shared" si="60"/>
        <v>157.72777540745994</v>
      </c>
      <c r="AL135" s="488">
        <f t="shared" si="60"/>
        <v>164.10208405228559</v>
      </c>
    </row>
    <row r="136" spans="1:38" ht="13">
      <c r="B136" s="494" t="s">
        <v>466</v>
      </c>
      <c r="C136" s="487" t="s">
        <v>292</v>
      </c>
      <c r="D136" s="488">
        <f t="shared" ref="D136:AL136" si="61">SUM(D130:D133)</f>
        <v>56.052529988263174</v>
      </c>
      <c r="E136" s="488">
        <f t="shared" si="61"/>
        <v>57.372987669893845</v>
      </c>
      <c r="F136" s="488">
        <f t="shared" si="61"/>
        <v>58.703539439068784</v>
      </c>
      <c r="G136" s="488">
        <f t="shared" si="61"/>
        <v>59.923558489901218</v>
      </c>
      <c r="H136" s="488">
        <f t="shared" si="61"/>
        <v>81.441070973751962</v>
      </c>
      <c r="I136" s="488">
        <f t="shared" si="61"/>
        <v>82.811483736734331</v>
      </c>
      <c r="J136" s="488">
        <f t="shared" si="61"/>
        <v>84.114081257890106</v>
      </c>
      <c r="K136" s="488">
        <f t="shared" si="61"/>
        <v>85.235200395781234</v>
      </c>
      <c r="L136" s="488">
        <f t="shared" si="61"/>
        <v>86.211329817303863</v>
      </c>
      <c r="M136" s="488">
        <f t="shared" si="61"/>
        <v>87.037338382827699</v>
      </c>
      <c r="N136" s="488">
        <f t="shared" si="61"/>
        <v>89.39336561068626</v>
      </c>
      <c r="O136" s="488">
        <f t="shared" si="61"/>
        <v>91.752717152775503</v>
      </c>
      <c r="P136" s="488">
        <f t="shared" si="61"/>
        <v>94.109997052103452</v>
      </c>
      <c r="Q136" s="488">
        <f t="shared" si="61"/>
        <v>97.618081524419082</v>
      </c>
      <c r="R136" s="488">
        <f t="shared" si="61"/>
        <v>99.974451962675403</v>
      </c>
      <c r="S136" s="488">
        <f t="shared" si="61"/>
        <v>102.30917429321616</v>
      </c>
      <c r="T136" s="488">
        <f t="shared" si="61"/>
        <v>104.61452159788908</v>
      </c>
      <c r="U136" s="488">
        <f t="shared" si="61"/>
        <v>106.88209174757334</v>
      </c>
      <c r="V136" s="488">
        <f t="shared" si="61"/>
        <v>109.10276197039597</v>
      </c>
      <c r="W136" s="488">
        <f t="shared" si="61"/>
        <v>111.26664071012974</v>
      </c>
      <c r="X136" s="488">
        <f t="shared" si="61"/>
        <v>114.84667040756609</v>
      </c>
      <c r="Y136" s="488">
        <f t="shared" si="61"/>
        <v>119.83553753578312</v>
      </c>
      <c r="Z136" s="488">
        <f t="shared" si="61"/>
        <v>123.57012941270192</v>
      </c>
      <c r="AA136" s="488">
        <f t="shared" si="61"/>
        <v>127.36251812714542</v>
      </c>
      <c r="AB136" s="488">
        <f t="shared" si="61"/>
        <v>131.20932223122765</v>
      </c>
      <c r="AC136" s="488">
        <f t="shared" si="61"/>
        <v>135.10671362244065</v>
      </c>
      <c r="AD136" s="488">
        <f t="shared" si="61"/>
        <v>139.05038377422002</v>
      </c>
      <c r="AE136" s="488">
        <f t="shared" si="61"/>
        <v>143.03550783759508</v>
      </c>
      <c r="AF136" s="488">
        <f t="shared" si="61"/>
        <v>148.62644882087727</v>
      </c>
      <c r="AG136" s="488">
        <f t="shared" si="61"/>
        <v>152.71053190891129</v>
      </c>
      <c r="AH136" s="488">
        <f t="shared" si="61"/>
        <v>158.88207690907529</v>
      </c>
      <c r="AI136" s="488">
        <f t="shared" si="61"/>
        <v>165.30303475073052</v>
      </c>
      <c r="AJ136" s="488">
        <f t="shared" si="61"/>
        <v>171.98348504368298</v>
      </c>
      <c r="AK136" s="488">
        <f t="shared" si="61"/>
        <v>178.93391474859175</v>
      </c>
      <c r="AL136" s="488">
        <f t="shared" si="61"/>
        <v>186.16523463938441</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2">((D$112*D90+D$113*D95+D$114*D100)-(D$126*D90+D$127*D95+D$128*D100))/Grams.Per.Metric.Ton</f>
        <v>0</v>
      </c>
      <c r="E140" s="474">
        <f t="shared" si="62"/>
        <v>0</v>
      </c>
      <c r="F140" s="474">
        <f t="shared" si="62"/>
        <v>0</v>
      </c>
      <c r="G140" s="474">
        <f t="shared" si="62"/>
        <v>0</v>
      </c>
      <c r="H140" s="474">
        <f t="shared" si="62"/>
        <v>-0.23828626894219709</v>
      </c>
      <c r="I140" s="474">
        <f t="shared" si="62"/>
        <v>-0.24407854785504204</v>
      </c>
      <c r="J140" s="474">
        <f t="shared" si="62"/>
        <v>-0.24994981912258663</v>
      </c>
      <c r="K140" s="474">
        <f t="shared" si="62"/>
        <v>-0.25589700725951303</v>
      </c>
      <c r="L140" s="474">
        <f t="shared" si="62"/>
        <v>-0.26191665918572049</v>
      </c>
      <c r="M140" s="474">
        <f t="shared" si="62"/>
        <v>-0.26800491872959198</v>
      </c>
      <c r="N140" s="474">
        <f t="shared" si="62"/>
        <v>-0.27343506067046769</v>
      </c>
      <c r="O140" s="474">
        <f t="shared" si="62"/>
        <v>-0.27886638695910421</v>
      </c>
      <c r="P140" s="474">
        <f t="shared" si="62"/>
        <v>-0.28429012460124437</v>
      </c>
      <c r="Q140" s="474">
        <f t="shared" si="62"/>
        <v>-0.28969678957602918</v>
      </c>
      <c r="R140" s="474">
        <f t="shared" si="62"/>
        <v>-0.29507614369446655</v>
      </c>
      <c r="S140" s="474">
        <f t="shared" si="62"/>
        <v>-0.30041714913218165</v>
      </c>
      <c r="T140" s="474">
        <f t="shared" si="62"/>
        <v>-0.30570792051891366</v>
      </c>
      <c r="U140" s="474">
        <f t="shared" si="62"/>
        <v>-0.31093567446159909</v>
      </c>
      <c r="V140" s="474">
        <f t="shared" si="62"/>
        <v>-0.31608667637178106</v>
      </c>
      <c r="W140" s="474">
        <f t="shared" si="62"/>
        <v>-0.32114618446195498</v>
      </c>
      <c r="X140" s="474">
        <f t="shared" si="62"/>
        <v>-0.32875965961361209</v>
      </c>
      <c r="Y140" s="474">
        <f t="shared" si="62"/>
        <v>-0.33646399835167479</v>
      </c>
      <c r="Z140" s="474">
        <f t="shared" si="62"/>
        <v>-0.34425411025417679</v>
      </c>
      <c r="AA140" s="474">
        <f t="shared" si="62"/>
        <v>-0.35212434505510537</v>
      </c>
      <c r="AB140" s="474">
        <f t="shared" si="62"/>
        <v>-0.36006845570792817</v>
      </c>
      <c r="AC140" s="474">
        <f t="shared" si="62"/>
        <v>-0.36807955937802533</v>
      </c>
      <c r="AD140" s="474">
        <f t="shared" si="62"/>
        <v>-0.37615009625694434</v>
      </c>
      <c r="AE140" s="474">
        <f t="shared" si="62"/>
        <v>-0.3842717860861572</v>
      </c>
      <c r="AF140" s="474">
        <f t="shared" si="62"/>
        <v>-0.39243558227242042</v>
      </c>
      <c r="AG140" s="474">
        <f t="shared" si="62"/>
        <v>-0.40063162347110964</v>
      </c>
      <c r="AH140" s="474">
        <f t="shared" si="62"/>
        <v>-0.41682249165704033</v>
      </c>
      <c r="AI140" s="474">
        <f t="shared" si="62"/>
        <v>-0.43366768715329002</v>
      </c>
      <c r="AJ140" s="474">
        <f t="shared" si="62"/>
        <v>-0.45119365352200158</v>
      </c>
      <c r="AK140" s="474">
        <f t="shared" si="62"/>
        <v>-0.46942790299839293</v>
      </c>
      <c r="AL140" s="474">
        <f t="shared" si="62"/>
        <v>-0.48839905967942115</v>
      </c>
    </row>
    <row r="141" spans="1:38" ht="13">
      <c r="B141" s="494" t="s">
        <v>815</v>
      </c>
      <c r="C141" s="387" t="s">
        <v>818</v>
      </c>
      <c r="D141" s="541">
        <f t="shared" ref="D141:AL141" si="63">((D$112*D91+D$113*D96+D$114*D101)-(D$126*D91+D$127*D96+D$128*D101))/Grams.Per.Metric.Ton</f>
        <v>0</v>
      </c>
      <c r="E141" s="541">
        <f t="shared" si="63"/>
        <v>0</v>
      </c>
      <c r="F141" s="541">
        <f t="shared" si="63"/>
        <v>0</v>
      </c>
      <c r="G141" s="541">
        <f t="shared" si="63"/>
        <v>0</v>
      </c>
      <c r="H141" s="541">
        <f t="shared" si="63"/>
        <v>-1.4532111127338614E-4</v>
      </c>
      <c r="I141" s="541">
        <f t="shared" si="63"/>
        <v>-1.2777466390648658E-4</v>
      </c>
      <c r="J141" s="541">
        <f t="shared" si="63"/>
        <v>-1.0857265076316855E-4</v>
      </c>
      <c r="K141" s="541">
        <f t="shared" si="63"/>
        <v>-8.7609915454515708E-5</v>
      </c>
      <c r="L141" s="541">
        <f t="shared" si="63"/>
        <v>-6.4775506081678858E-5</v>
      </c>
      <c r="M141" s="541">
        <f t="shared" si="63"/>
        <v>-3.9952378549371984E-5</v>
      </c>
      <c r="N141" s="541">
        <f t="shared" si="63"/>
        <v>-3.8219477260667802E-5</v>
      </c>
      <c r="O141" s="541">
        <f t="shared" si="63"/>
        <v>-3.6281259466063686E-5</v>
      </c>
      <c r="P141" s="541">
        <f t="shared" si="63"/>
        <v>-3.4123960350187528E-5</v>
      </c>
      <c r="Q141" s="541">
        <f t="shared" si="63"/>
        <v>-3.1733037863903205E-5</v>
      </c>
      <c r="R141" s="541">
        <f t="shared" si="63"/>
        <v>-2.9093132384301567E-5</v>
      </c>
      <c r="S141" s="541">
        <f t="shared" si="63"/>
        <v>-2.6188024383539429E-5</v>
      </c>
      <c r="T141" s="541">
        <f t="shared" si="63"/>
        <v>-2.3000590011499554E-5</v>
      </c>
      <c r="U141" s="541">
        <f t="shared" si="63"/>
        <v>-1.9512754492757244E-5</v>
      </c>
      <c r="V141" s="541">
        <f t="shared" si="63"/>
        <v>-1.5705443233770233E-5</v>
      </c>
      <c r="W141" s="541">
        <f t="shared" si="63"/>
        <v>-1.1558530531292788E-5</v>
      </c>
      <c r="X141" s="541">
        <f t="shared" si="63"/>
        <v>-1.1438350027959757E-5</v>
      </c>
      <c r="Y141" s="541">
        <f t="shared" si="63"/>
        <v>-1.1289577883580079E-5</v>
      </c>
      <c r="Z141" s="541">
        <f t="shared" si="63"/>
        <v>-1.1110099413372837E-5</v>
      </c>
      <c r="AA141" s="541">
        <f t="shared" si="63"/>
        <v>-1.0897675706532752E-5</v>
      </c>
      <c r="AB141" s="541">
        <f t="shared" si="63"/>
        <v>-1.0649937039236259E-5</v>
      </c>
      <c r="AC141" s="541">
        <f t="shared" si="63"/>
        <v>-1.0364375958132069E-5</v>
      </c>
      <c r="AD141" s="541">
        <f t="shared" si="63"/>
        <v>-1.0038340018443983E-5</v>
      </c>
      <c r="AE141" s="541">
        <f t="shared" si="63"/>
        <v>-9.669024160060488E-6</v>
      </c>
      <c r="AF141" s="541">
        <f t="shared" si="63"/>
        <v>-9.2534627042178389E-6</v>
      </c>
      <c r="AG141" s="541">
        <f t="shared" si="63"/>
        <v>-8.7885209525564528E-6</v>
      </c>
      <c r="AH141" s="541">
        <f t="shared" si="63"/>
        <v>-9.1436945732988382E-6</v>
      </c>
      <c r="AI141" s="541">
        <f t="shared" si="63"/>
        <v>-9.5132219518068772E-6</v>
      </c>
      <c r="AJ141" s="541">
        <f t="shared" si="63"/>
        <v>-9.8976831715945622E-6</v>
      </c>
      <c r="AK141" s="541">
        <f t="shared" si="63"/>
        <v>-1.0297681759297064E-5</v>
      </c>
      <c r="AL141" s="541">
        <f t="shared" si="63"/>
        <v>-1.0713845632085977E-5</v>
      </c>
    </row>
    <row r="142" spans="1:38" ht="13">
      <c r="B142" s="494" t="s">
        <v>816</v>
      </c>
      <c r="C142" s="387" t="s">
        <v>818</v>
      </c>
      <c r="D142" s="541">
        <f t="shared" ref="D142:AL142" si="64">((D$112*D92+D$113*D97+D$114*D102)-(D$126*D92+D$127*D97+D$128*D102))/Grams.Per.Metric.Ton</f>
        <v>0</v>
      </c>
      <c r="E142" s="541">
        <f t="shared" si="64"/>
        <v>0</v>
      </c>
      <c r="F142" s="541">
        <f t="shared" si="64"/>
        <v>0</v>
      </c>
      <c r="G142" s="541">
        <f t="shared" si="64"/>
        <v>0</v>
      </c>
      <c r="H142" s="541">
        <f t="shared" si="64"/>
        <v>-5.6533385799605396E-6</v>
      </c>
      <c r="I142" s="541">
        <f t="shared" si="64"/>
        <v>-5.6273691642134337E-6</v>
      </c>
      <c r="J142" s="541">
        <f t="shared" si="64"/>
        <v>-5.5900674712924783E-6</v>
      </c>
      <c r="K142" s="541">
        <f t="shared" si="64"/>
        <v>-5.5405599647779201E-6</v>
      </c>
      <c r="L142" s="541">
        <f t="shared" si="64"/>
        <v>-5.4779210114948957E-6</v>
      </c>
      <c r="M142" s="541">
        <f t="shared" si="64"/>
        <v>-5.4011700973979728E-6</v>
      </c>
      <c r="N142" s="541">
        <f t="shared" si="64"/>
        <v>-5.4172884710680015E-6</v>
      </c>
      <c r="O142" s="541">
        <f t="shared" si="64"/>
        <v>-5.4258882366226617E-6</v>
      </c>
      <c r="P142" s="541">
        <f t="shared" si="64"/>
        <v>-5.4263353645369393E-6</v>
      </c>
      <c r="Q142" s="541">
        <f t="shared" si="64"/>
        <v>-5.417956858450893E-6</v>
      </c>
      <c r="R142" s="541">
        <f t="shared" si="64"/>
        <v>-5.4000386411306386E-6</v>
      </c>
      <c r="S142" s="541">
        <f t="shared" si="64"/>
        <v>-5.3718233332002892E-6</v>
      </c>
      <c r="T142" s="541">
        <f t="shared" si="64"/>
        <v>-5.3325079194315868E-6</v>
      </c>
      <c r="U142" s="541">
        <f t="shared" si="64"/>
        <v>-5.2812412971296076E-6</v>
      </c>
      <c r="V142" s="541">
        <f t="shared" si="64"/>
        <v>-5.2171217008971755E-6</v>
      </c>
      <c r="W142" s="541">
        <f t="shared" si="64"/>
        <v>-5.1391939977892314E-6</v>
      </c>
      <c r="X142" s="541">
        <f t="shared" si="64"/>
        <v>-5.1600747351107278E-6</v>
      </c>
      <c r="Y142" s="541">
        <f t="shared" si="64"/>
        <v>-5.1742496601668685E-6</v>
      </c>
      <c r="Z142" s="541">
        <f t="shared" si="64"/>
        <v>-5.1811426609681362E-6</v>
      </c>
      <c r="AA142" s="541">
        <f t="shared" si="64"/>
        <v>-5.180142012484071E-6</v>
      </c>
      <c r="AB142" s="541">
        <f t="shared" si="64"/>
        <v>-5.1705984390869336E-6</v>
      </c>
      <c r="AC142" s="541">
        <f t="shared" si="64"/>
        <v>-5.1518230785536119E-6</v>
      </c>
      <c r="AD142" s="541">
        <f t="shared" si="64"/>
        <v>-5.1230853428341925E-6</v>
      </c>
      <c r="AE142" s="541">
        <f t="shared" si="64"/>
        <v>-5.0836106705669944E-6</v>
      </c>
      <c r="AF142" s="541">
        <f t="shared" si="64"/>
        <v>-5.0325781660859761E-6</v>
      </c>
      <c r="AG142" s="541">
        <f t="shared" si="64"/>
        <v>-4.9691181194151848E-6</v>
      </c>
      <c r="AH142" s="541">
        <f t="shared" si="64"/>
        <v>-5.1699368560259075E-6</v>
      </c>
      <c r="AI142" s="541">
        <f t="shared" si="64"/>
        <v>-5.3788713516113344E-6</v>
      </c>
      <c r="AJ142" s="541">
        <f t="shared" si="64"/>
        <v>-5.5962495912232803E-6</v>
      </c>
      <c r="AK142" s="541">
        <f t="shared" si="64"/>
        <v>-5.8224128148900364E-6</v>
      </c>
      <c r="AL142" s="541">
        <f t="shared" si="64"/>
        <v>-6.0577160532944279E-6</v>
      </c>
    </row>
    <row r="143" spans="1:38" ht="13">
      <c r="B143" s="494" t="s">
        <v>817</v>
      </c>
      <c r="C143" s="387" t="s">
        <v>818</v>
      </c>
      <c r="D143" s="541">
        <f t="shared" ref="D143:AL143" si="65">((D$112*D93+D$113*D98+D$114*D103)-(D$126*D93+D$127*D98+D$128*D103))/Grams.Per.Metric.Ton</f>
        <v>0</v>
      </c>
      <c r="E143" s="541">
        <f t="shared" si="65"/>
        <v>0</v>
      </c>
      <c r="F143" s="541">
        <f t="shared" si="65"/>
        <v>0</v>
      </c>
      <c r="G143" s="541">
        <f t="shared" si="65"/>
        <v>0</v>
      </c>
      <c r="H143" s="541">
        <f t="shared" si="65"/>
        <v>-1.5900334183854187E-6</v>
      </c>
      <c r="I143" s="541">
        <f t="shared" si="65"/>
        <v>-1.6290949435953134E-6</v>
      </c>
      <c r="J143" s="541">
        <f t="shared" si="65"/>
        <v>-1.668716778347708E-6</v>
      </c>
      <c r="K143" s="541">
        <f t="shared" si="65"/>
        <v>-1.7088804138020706E-6</v>
      </c>
      <c r="L143" s="541">
        <f t="shared" si="65"/>
        <v>-1.7495649299895878E-6</v>
      </c>
      <c r="M143" s="541">
        <f t="shared" si="65"/>
        <v>-1.7907468311589989E-6</v>
      </c>
      <c r="N143" s="541">
        <f t="shared" si="65"/>
        <v>-1.8277006458682488E-6</v>
      </c>
      <c r="O143" s="541">
        <f t="shared" si="65"/>
        <v>-1.8647165977801104E-6</v>
      </c>
      <c r="P143" s="541">
        <f t="shared" si="65"/>
        <v>-1.9017393548179981E-6</v>
      </c>
      <c r="Q143" s="541">
        <f t="shared" si="65"/>
        <v>-1.9387090111106478E-6</v>
      </c>
      <c r="R143" s="541">
        <f t="shared" si="65"/>
        <v>-1.9755608076778762E-6</v>
      </c>
      <c r="S143" s="541">
        <f t="shared" si="65"/>
        <v>-2.0122248380103576E-6</v>
      </c>
      <c r="T143" s="541">
        <f t="shared" si="65"/>
        <v>-2.0486257377786882E-6</v>
      </c>
      <c r="U143" s="541">
        <f t="shared" si="65"/>
        <v>-2.0846823578697906E-6</v>
      </c>
      <c r="V143" s="541">
        <f t="shared" si="65"/>
        <v>-2.1203074199098893E-6</v>
      </c>
      <c r="W143" s="541">
        <f t="shared" si="65"/>
        <v>-2.1554071533924055E-6</v>
      </c>
      <c r="X143" s="541">
        <f t="shared" si="65"/>
        <v>-2.2059423851792532E-6</v>
      </c>
      <c r="Y143" s="541">
        <f t="shared" si="65"/>
        <v>-2.2570419178716143E-6</v>
      </c>
      <c r="Z143" s="541">
        <f t="shared" si="65"/>
        <v>-2.3086688259292128E-6</v>
      </c>
      <c r="AA143" s="541">
        <f t="shared" si="65"/>
        <v>-2.3607822776034465E-6</v>
      </c>
      <c r="AB143" s="541">
        <f t="shared" si="65"/>
        <v>-2.4133372795195883E-6</v>
      </c>
      <c r="AC143" s="541">
        <f t="shared" si="65"/>
        <v>-2.4662844069942561E-6</v>
      </c>
      <c r="AD143" s="541">
        <f t="shared" si="65"/>
        <v>-2.5195695193523094E-6</v>
      </c>
      <c r="AE143" s="541">
        <f t="shared" si="65"/>
        <v>-2.5731334594709871E-6</v>
      </c>
      <c r="AF143" s="541">
        <f t="shared" si="65"/>
        <v>-2.6269117367417341E-6</v>
      </c>
      <c r="AG143" s="541">
        <f t="shared" si="65"/>
        <v>-2.6808341925997787E-6</v>
      </c>
      <c r="AH143" s="541">
        <f t="shared" si="65"/>
        <v>-2.7891756976079326E-6</v>
      </c>
      <c r="AI143" s="541">
        <f t="shared" si="65"/>
        <v>-2.9018956463631279E-6</v>
      </c>
      <c r="AJ143" s="541">
        <f t="shared" si="65"/>
        <v>-3.0191709864686339E-6</v>
      </c>
      <c r="AK143" s="541">
        <f t="shared" si="65"/>
        <v>-3.1411858165740972E-6</v>
      </c>
      <c r="AL143" s="541">
        <f t="shared" si="65"/>
        <v>-3.2681316753733254E-6</v>
      </c>
    </row>
    <row r="144" spans="1:38">
      <c r="D144" s="358"/>
      <c r="F144" s="464"/>
      <c r="G144" s="465"/>
      <c r="H144" s="465"/>
    </row>
    <row r="145" spans="1:38" ht="13">
      <c r="B145" s="492" t="s">
        <v>284</v>
      </c>
      <c r="C145" s="487" t="s">
        <v>292</v>
      </c>
      <c r="D145" s="583">
        <f t="shared" ref="D145:AL145" si="66">D122-D136</f>
        <v>0</v>
      </c>
      <c r="E145" s="583">
        <f t="shared" si="66"/>
        <v>0</v>
      </c>
      <c r="F145" s="583">
        <f t="shared" si="66"/>
        <v>0</v>
      </c>
      <c r="G145" s="583">
        <f t="shared" si="66"/>
        <v>0</v>
      </c>
      <c r="H145" s="583">
        <f t="shared" si="66"/>
        <v>-20.360267743437987</v>
      </c>
      <c r="I145" s="583">
        <f t="shared" si="66"/>
        <v>-20.702870934183586</v>
      </c>
      <c r="J145" s="583">
        <f t="shared" si="66"/>
        <v>-21.02852031447253</v>
      </c>
      <c r="K145" s="583">
        <f t="shared" si="66"/>
        <v>-21.308800098945326</v>
      </c>
      <c r="L145" s="583">
        <f t="shared" si="66"/>
        <v>-21.552832454325966</v>
      </c>
      <c r="M145" s="583">
        <f t="shared" si="66"/>
        <v>-21.759334595706903</v>
      </c>
      <c r="N145" s="583">
        <f t="shared" si="66"/>
        <v>-22.348341402671551</v>
      </c>
      <c r="O145" s="583">
        <f t="shared" si="66"/>
        <v>-22.938179288193851</v>
      </c>
      <c r="P145" s="583">
        <f t="shared" si="66"/>
        <v>-23.527499263025888</v>
      </c>
      <c r="Q145" s="583">
        <f t="shared" si="66"/>
        <v>-24.404520381104774</v>
      </c>
      <c r="R145" s="583">
        <f t="shared" si="66"/>
        <v>-24.993612990668851</v>
      </c>
      <c r="S145" s="583">
        <f t="shared" si="66"/>
        <v>-25.577293573304033</v>
      </c>
      <c r="T145" s="583">
        <f t="shared" si="66"/>
        <v>-26.153630399472291</v>
      </c>
      <c r="U145" s="583">
        <f t="shared" si="66"/>
        <v>-26.720522936893303</v>
      </c>
      <c r="V145" s="583">
        <f t="shared" si="66"/>
        <v>-27.275690492598997</v>
      </c>
      <c r="W145" s="583">
        <f t="shared" si="66"/>
        <v>-27.816660177532441</v>
      </c>
      <c r="X145" s="583">
        <f t="shared" si="66"/>
        <v>-28.711667601891477</v>
      </c>
      <c r="Y145" s="583">
        <f t="shared" si="66"/>
        <v>-29.958884383945744</v>
      </c>
      <c r="Z145" s="583">
        <f t="shared" si="66"/>
        <v>-30.892532353175469</v>
      </c>
      <c r="AA145" s="583">
        <f t="shared" si="66"/>
        <v>-31.840629531786348</v>
      </c>
      <c r="AB145" s="583">
        <f t="shared" si="66"/>
        <v>-32.802330557806897</v>
      </c>
      <c r="AC145" s="583">
        <f t="shared" si="66"/>
        <v>-33.776678405610198</v>
      </c>
      <c r="AD145" s="583">
        <f t="shared" si="66"/>
        <v>-34.762595943555027</v>
      </c>
      <c r="AE145" s="583">
        <f t="shared" si="66"/>
        <v>-35.758876959398805</v>
      </c>
      <c r="AF145" s="583">
        <f t="shared" si="66"/>
        <v>-37.156612205219261</v>
      </c>
      <c r="AG145" s="583">
        <f t="shared" si="66"/>
        <v>-38.177632977227802</v>
      </c>
      <c r="AH145" s="583">
        <f t="shared" si="66"/>
        <v>-39.720519227268781</v>
      </c>
      <c r="AI145" s="583">
        <f t="shared" si="66"/>
        <v>-41.325758687682551</v>
      </c>
      <c r="AJ145" s="583">
        <f t="shared" si="66"/>
        <v>-42.995871260920723</v>
      </c>
      <c r="AK145" s="583">
        <f t="shared" si="66"/>
        <v>-44.733478687147965</v>
      </c>
      <c r="AL145" s="583">
        <f t="shared" si="66"/>
        <v>-46.541308659846095</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'Colorado Avenue'!D25</f>
        <v>282.42918778068463</v>
      </c>
      <c r="E159" s="383">
        <f>'Colorado Avenue'!E25</f>
        <v>293.84309892328963</v>
      </c>
      <c r="F159" s="383">
        <f>'Colorado Avenue'!F25</f>
        <v>305.71828451346494</v>
      </c>
      <c r="G159" s="383">
        <f>'Colorado Avenue'!G25</f>
        <v>318.07338619939981</v>
      </c>
      <c r="H159" s="383">
        <f>'Colorado Avenue'!H25</f>
        <v>330.9277990008365</v>
      </c>
      <c r="I159" s="383">
        <f>'Colorado Avenue'!I25</f>
        <v>344.30170175534397</v>
      </c>
      <c r="J159" s="383">
        <f>'Colorado Avenue'!J25</f>
        <v>358.21608879502492</v>
      </c>
      <c r="K159" s="383">
        <f>'Colorado Avenue'!K25</f>
        <v>372.69280290338713</v>
      </c>
      <c r="L159" s="383">
        <f>'Colorado Avenue'!L25</f>
        <v>387.75456960411128</v>
      </c>
      <c r="M159" s="383">
        <f>'Colorado Avenue'!M25</f>
        <v>403.42503283554311</v>
      </c>
      <c r="N159" s="383">
        <f>'Colorado Avenue'!N25</f>
        <v>419.72879206691198</v>
      </c>
      <c r="O159" s="383">
        <f>'Colorado Avenue'!O25</f>
        <v>436.69144091454052</v>
      </c>
      <c r="P159" s="383">
        <f>'Colorado Avenue'!P25</f>
        <v>454.33960731866307</v>
      </c>
      <c r="Q159" s="383">
        <f>'Colorado Avenue'!Q25</f>
        <v>472.70099534392688</v>
      </c>
      <c r="R159" s="383">
        <f>'Colorado Avenue'!R25</f>
        <v>491.80442866918986</v>
      </c>
      <c r="S159" s="383">
        <f>'Colorado Avenue'!S25</f>
        <v>511.6798958348881</v>
      </c>
      <c r="T159" s="383">
        <f>'Colorado Avenue'!T25</f>
        <v>532.35859731899939</v>
      </c>
      <c r="U159" s="383">
        <f>'Colorado Avenue'!U25</f>
        <v>553.87299451550768</v>
      </c>
      <c r="V159" s="383">
        <f>'Colorado Avenue'!V25</f>
        <v>576.25686069224878</v>
      </c>
      <c r="W159" s="383">
        <f>'Colorado Avenue'!W25</f>
        <v>599.54533400813489</v>
      </c>
      <c r="X159" s="383">
        <f>'Colorado Avenue'!X25</f>
        <v>623.77497267298213</v>
      </c>
      <c r="Y159" s="383">
        <f>'Colorado Avenue'!Y25</f>
        <v>648.98381233653345</v>
      </c>
      <c r="Z159" s="383">
        <f>'Colorado Avenue'!Z25</f>
        <v>675.21142579676223</v>
      </c>
      <c r="AA159" s="383">
        <f>'Colorado Avenue'!AA25</f>
        <v>702.49898512119194</v>
      </c>
      <c r="AB159" s="383">
        <f>'Colorado Avenue'!AB25</f>
        <v>730.88932627874215</v>
      </c>
      <c r="AC159" s="383">
        <f>'Colorado Avenue'!AC25</f>
        <v>760.42701638356948</v>
      </c>
      <c r="AD159" s="383">
        <f>'Colorado Avenue'!AD25</f>
        <v>791.15842365645426</v>
      </c>
      <c r="AE159" s="383">
        <f>'Colorado Avenue'!AE25</f>
        <v>823.13179021356268</v>
      </c>
      <c r="AF159" s="383">
        <f>'Colorado Avenue'!AF25</f>
        <v>856.39730779684692</v>
      </c>
      <c r="AG159" s="383">
        <f>'Colorado Avenue'!AG25</f>
        <v>891.00719656496449</v>
      </c>
      <c r="AH159" s="383">
        <f>'Colorado Avenue'!AH25</f>
        <v>927.01578706840576</v>
      </c>
      <c r="AI159" s="383">
        <f>'Colorado Avenue'!AI25</f>
        <v>964.47960553750534</v>
      </c>
      <c r="AJ159" s="383">
        <f>'Colorado Avenue'!AJ25</f>
        <v>1003.4574626172354</v>
      </c>
      <c r="AK159" s="383">
        <f>'Colorado Avenue'!AK25</f>
        <v>1044.0105456880644</v>
      </c>
      <c r="AL159" s="383">
        <f>'Colorado Avenue'!AL25</f>
        <v>1086.2025149178153</v>
      </c>
    </row>
    <row r="160" spans="1:38">
      <c r="B160" s="385" t="s">
        <v>509</v>
      </c>
      <c r="C160" s="386" t="s">
        <v>443</v>
      </c>
      <c r="D160" s="383">
        <f>'Colorado Avenue'!D26</f>
        <v>0.56599035627391714</v>
      </c>
      <c r="E160" s="383">
        <f>'Colorado Avenue'!E26</f>
        <v>0.58886392569797519</v>
      </c>
      <c r="F160" s="383">
        <f>'Colorado Avenue'!F26</f>
        <v>0.61266189281255501</v>
      </c>
      <c r="G160" s="383">
        <f>'Colorado Avenue'!G26</f>
        <v>0.63742161563005972</v>
      </c>
      <c r="H160" s="383">
        <f>'Colorado Avenue'!H26</f>
        <v>0.66318196192552414</v>
      </c>
      <c r="I160" s="383">
        <f>'Colorado Avenue'!I26</f>
        <v>0.68998337025119028</v>
      </c>
      <c r="J160" s="383">
        <f>'Colorado Avenue'!J26</f>
        <v>0.71786791341688372</v>
      </c>
      <c r="K160" s="383">
        <f>'Colorado Avenue'!K26</f>
        <v>0.74687936453584602</v>
      </c>
      <c r="L160" s="383">
        <f>'Colorado Avenue'!L26</f>
        <v>0.77706326573970197</v>
      </c>
      <c r="M160" s="383">
        <f>'Colorado Avenue'!M26</f>
        <v>0.80846699967042712</v>
      </c>
      <c r="N160" s="383">
        <f>'Colorado Avenue'!N26</f>
        <v>0.84113986386154704</v>
      </c>
      <c r="O160" s="383">
        <f>'Colorado Avenue'!O26</f>
        <v>0.87513314812533172</v>
      </c>
      <c r="P160" s="383">
        <f>'Colorado Avenue'!P26</f>
        <v>0.91050021506746115</v>
      </c>
      <c r="Q160" s="383">
        <f>'Colorado Avenue'!Q26</f>
        <v>0.94729658385556492</v>
      </c>
      <c r="R160" s="383">
        <f>'Colorado Avenue'!R26</f>
        <v>0.98558001737312606</v>
      </c>
      <c r="S160" s="383">
        <f>'Colorado Avenue'!S26</f>
        <v>1.0254106128955673</v>
      </c>
      <c r="T160" s="383">
        <f>'Colorado Avenue'!T26</f>
        <v>1.0668508964308605</v>
      </c>
      <c r="U160" s="383">
        <f>'Colorado Avenue'!U26</f>
        <v>1.109965920872761</v>
      </c>
      <c r="V160" s="383">
        <f>'Colorado Avenue'!V26</f>
        <v>1.1548233681207392</v>
      </c>
      <c r="W160" s="383">
        <f>'Colorado Avenue'!W26</f>
        <v>1.2014936553269235</v>
      </c>
      <c r="X160" s="383">
        <f>'Colorado Avenue'!X26</f>
        <v>1.250050045436838</v>
      </c>
      <c r="Y160" s="383">
        <f>'Colorado Avenue'!Y26</f>
        <v>1.300568762197462</v>
      </c>
      <c r="Z160" s="383">
        <f>'Colorado Avenue'!Z26</f>
        <v>1.3531291098131508</v>
      </c>
      <c r="AA160" s="383">
        <f>'Colorado Avenue'!AA26</f>
        <v>1.4078135974372583</v>
      </c>
      <c r="AB160" s="383">
        <f>'Colorado Avenue'!AB26</f>
        <v>1.4647080686948741</v>
      </c>
      <c r="AC160" s="383">
        <f>'Colorado Avenue'!AC26</f>
        <v>1.523901836440019</v>
      </c>
      <c r="AD160" s="383">
        <f>'Colorado Avenue'!AD26</f>
        <v>1.5854878229588263</v>
      </c>
      <c r="AE160" s="383">
        <f>'Colorado Avenue'!AE26</f>
        <v>1.6495627058388029</v>
      </c>
      <c r="AF160" s="383">
        <f>'Colorado Avenue'!AF26</f>
        <v>1.7162270697331601</v>
      </c>
      <c r="AG160" s="383">
        <f>'Colorado Avenue'!AG26</f>
        <v>1.7855855642584459</v>
      </c>
      <c r="AH160" s="383">
        <f>'Colorado Avenue'!AH26</f>
        <v>1.8577470682733583</v>
      </c>
      <c r="AI160" s="383">
        <f>'Colorado Avenue'!AI26</f>
        <v>1.9328248607966039</v>
      </c>
      <c r="AJ160" s="383">
        <f>'Colorado Avenue'!AJ26</f>
        <v>2.0109367988321352</v>
      </c>
      <c r="AK160" s="383">
        <f>'Colorado Avenue'!AK26</f>
        <v>2.092205502380891</v>
      </c>
      <c r="AL160" s="383">
        <f>'Colorado Avenue'!AL26</f>
        <v>2.1767585469294897</v>
      </c>
    </row>
    <row r="161" spans="2:38">
      <c r="B161" s="358" t="s">
        <v>769</v>
      </c>
      <c r="C161" s="358" t="s">
        <v>443</v>
      </c>
      <c r="D161" s="383">
        <f>'Colorado Avenue'!D27</f>
        <v>0</v>
      </c>
      <c r="E161" s="383">
        <f>'Colorado Avenue'!E27</f>
        <v>0</v>
      </c>
      <c r="F161" s="383">
        <f>'Colorado Avenue'!F27</f>
        <v>0</v>
      </c>
      <c r="G161" s="383">
        <f>'Colorado Avenue'!G27</f>
        <v>0</v>
      </c>
      <c r="H161" s="383">
        <f>'Colorado Avenue'!H27</f>
        <v>0</v>
      </c>
      <c r="I161" s="383">
        <f>'Colorado Avenue'!I27</f>
        <v>0</v>
      </c>
      <c r="J161" s="383">
        <f>'Colorado Avenue'!J27</f>
        <v>0</v>
      </c>
      <c r="K161" s="383">
        <f>'Colorado Avenue'!K27</f>
        <v>0</v>
      </c>
      <c r="L161" s="383">
        <f>'Colorado Avenue'!L27</f>
        <v>0</v>
      </c>
      <c r="M161" s="383">
        <f>'Colorado Avenue'!M27</f>
        <v>0</v>
      </c>
      <c r="N161" s="383">
        <f>'Colorado Avenue'!N27</f>
        <v>0</v>
      </c>
      <c r="O161" s="383">
        <f>'Colorado Avenue'!O27</f>
        <v>0</v>
      </c>
      <c r="P161" s="383">
        <f>'Colorado Avenue'!P27</f>
        <v>0</v>
      </c>
      <c r="Q161" s="383">
        <f>'Colorado Avenue'!Q27</f>
        <v>0</v>
      </c>
      <c r="R161" s="383">
        <f>'Colorado Avenue'!R27</f>
        <v>0</v>
      </c>
      <c r="S161" s="383">
        <f>'Colorado Avenue'!S27</f>
        <v>0</v>
      </c>
      <c r="T161" s="383">
        <f>'Colorado Avenue'!T27</f>
        <v>0</v>
      </c>
      <c r="U161" s="383">
        <f>'Colorado Avenue'!U27</f>
        <v>0</v>
      </c>
      <c r="V161" s="383">
        <f>'Colorado Avenue'!V27</f>
        <v>0</v>
      </c>
      <c r="W161" s="383">
        <f>'Colorado Avenue'!W27</f>
        <v>0</v>
      </c>
      <c r="X161" s="383">
        <f>'Colorado Avenue'!X27</f>
        <v>0</v>
      </c>
      <c r="Y161" s="383">
        <f>'Colorado Avenue'!Y27</f>
        <v>0</v>
      </c>
      <c r="Z161" s="383">
        <f>'Colorado Avenue'!Z27</f>
        <v>0</v>
      </c>
      <c r="AA161" s="383">
        <f>'Colorado Avenue'!AA27</f>
        <v>0</v>
      </c>
      <c r="AB161" s="383">
        <f>'Colorado Avenue'!AB27</f>
        <v>0</v>
      </c>
      <c r="AC161" s="383">
        <f>'Colorado Avenue'!AC27</f>
        <v>0</v>
      </c>
      <c r="AD161" s="383">
        <f>'Colorado Avenue'!AD27</f>
        <v>0</v>
      </c>
      <c r="AE161" s="383">
        <f>'Colorado Avenue'!AE27</f>
        <v>0</v>
      </c>
      <c r="AF161" s="383">
        <f>'Colorado Avenue'!AF27</f>
        <v>0</v>
      </c>
      <c r="AG161" s="383">
        <f>'Colorado Avenue'!AG27</f>
        <v>0</v>
      </c>
      <c r="AH161" s="383">
        <f>'Colorado Avenue'!AH27</f>
        <v>0</v>
      </c>
      <c r="AI161" s="383">
        <f>'Colorado Avenue'!AI27</f>
        <v>0</v>
      </c>
      <c r="AJ161" s="383">
        <f>'Colorado Avenue'!AJ27</f>
        <v>0</v>
      </c>
      <c r="AK161" s="383">
        <f>'Colorado Avenue'!AK27</f>
        <v>0</v>
      </c>
      <c r="AL161" s="383">
        <f>'Colorado Avenue'!AL27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9.7438069784336179</v>
      </c>
      <c r="E166" s="383">
        <f t="shared" ref="E166:AK168" si="67">E159*$C163</f>
        <v>10.137586912853491</v>
      </c>
      <c r="F166" s="383">
        <f t="shared" si="67"/>
        <v>10.547280815714538</v>
      </c>
      <c r="G166" s="383">
        <f t="shared" si="67"/>
        <v>10.973531823879291</v>
      </c>
      <c r="H166" s="383">
        <f t="shared" si="67"/>
        <v>11.417009065528857</v>
      </c>
      <c r="I166" s="383">
        <f t="shared" si="67"/>
        <v>11.878408710559366</v>
      </c>
      <c r="J166" s="383">
        <f t="shared" si="67"/>
        <v>12.358455063428359</v>
      </c>
      <c r="K166" s="383">
        <f t="shared" si="67"/>
        <v>12.857901700166854</v>
      </c>
      <c r="L166" s="383">
        <f t="shared" si="67"/>
        <v>13.377532651341838</v>
      </c>
      <c r="M166" s="383">
        <f t="shared" si="67"/>
        <v>13.918163632826236</v>
      </c>
      <c r="N166" s="383">
        <f t="shared" si="67"/>
        <v>14.480643326308462</v>
      </c>
      <c r="O166" s="383">
        <f t="shared" si="67"/>
        <v>15.065854711551646</v>
      </c>
      <c r="P166" s="383">
        <f t="shared" si="67"/>
        <v>15.674716452493874</v>
      </c>
      <c r="Q166" s="383">
        <f t="shared" si="67"/>
        <v>16.308184339365475</v>
      </c>
      <c r="R166" s="383">
        <f t="shared" si="67"/>
        <v>16.967252789087048</v>
      </c>
      <c r="S166" s="383">
        <f t="shared" si="67"/>
        <v>17.652956406303637</v>
      </c>
      <c r="T166" s="383">
        <f t="shared" si="67"/>
        <v>18.366371607505478</v>
      </c>
      <c r="U166" s="383">
        <f t="shared" si="67"/>
        <v>19.108618310785012</v>
      </c>
      <c r="V166" s="383">
        <f t="shared" si="67"/>
        <v>19.880861693882579</v>
      </c>
      <c r="W166" s="383">
        <f t="shared" si="67"/>
        <v>20.684314023280653</v>
      </c>
      <c r="X166" s="383">
        <f t="shared" si="67"/>
        <v>21.520236557217881</v>
      </c>
      <c r="Y166" s="383">
        <f t="shared" si="67"/>
        <v>22.3899415256104</v>
      </c>
      <c r="Z166" s="383">
        <f t="shared" si="67"/>
        <v>23.294794189988295</v>
      </c>
      <c r="AA166" s="383">
        <f t="shared" si="67"/>
        <v>24.236214986681119</v>
      </c>
      <c r="AB166" s="383">
        <f t="shared" si="67"/>
        <v>25.2156817566166</v>
      </c>
      <c r="AC166" s="383">
        <f t="shared" si="67"/>
        <v>26.234732065233143</v>
      </c>
      <c r="AD166" s="383">
        <f t="shared" si="67"/>
        <v>27.294965616147667</v>
      </c>
      <c r="AE166" s="383">
        <f t="shared" si="67"/>
        <v>28.398046762367908</v>
      </c>
      <c r="AF166" s="383">
        <f t="shared" si="67"/>
        <v>29.545707118991213</v>
      </c>
      <c r="AG166" s="383">
        <f t="shared" si="67"/>
        <v>30.73974828149127</v>
      </c>
      <c r="AH166" s="383">
        <f t="shared" si="67"/>
        <v>31.982044653859994</v>
      </c>
      <c r="AI166" s="383">
        <f t="shared" si="67"/>
        <v>33.274546391043927</v>
      </c>
      <c r="AJ166" s="383">
        <f t="shared" si="67"/>
        <v>34.619282460294613</v>
      </c>
      <c r="AK166" s="383">
        <f t="shared" si="67"/>
        <v>36.018363826238222</v>
      </c>
      <c r="AL166" s="383">
        <f t="shared" ref="AL166" si="68">AL159*$C163</f>
        <v>37.473986764664623</v>
      </c>
    </row>
    <row r="167" spans="2:38">
      <c r="B167" s="385" t="s">
        <v>501</v>
      </c>
      <c r="C167" s="386" t="s">
        <v>479</v>
      </c>
      <c r="D167" s="383">
        <f t="shared" ref="D167:S168" si="69">D160*$C164</f>
        <v>1.9526667291450139E-2</v>
      </c>
      <c r="E167" s="383">
        <f t="shared" si="69"/>
        <v>2.0315805436580143E-2</v>
      </c>
      <c r="F167" s="383">
        <f t="shared" si="69"/>
        <v>2.1136835302033145E-2</v>
      </c>
      <c r="G167" s="383">
        <f t="shared" si="69"/>
        <v>2.1991045739237058E-2</v>
      </c>
      <c r="H167" s="383">
        <f t="shared" si="69"/>
        <v>2.2879777686430579E-2</v>
      </c>
      <c r="I167" s="383">
        <f t="shared" si="69"/>
        <v>2.3804426273666062E-2</v>
      </c>
      <c r="J167" s="383">
        <f t="shared" si="69"/>
        <v>2.4766443012882486E-2</v>
      </c>
      <c r="K167" s="383">
        <f t="shared" si="69"/>
        <v>2.5767338076486686E-2</v>
      </c>
      <c r="L167" s="383">
        <f t="shared" si="69"/>
        <v>2.6808682668019716E-2</v>
      </c>
      <c r="M167" s="383">
        <f t="shared" si="69"/>
        <v>2.7892111488629731E-2</v>
      </c>
      <c r="N167" s="383">
        <f t="shared" si="69"/>
        <v>2.9019325303223369E-2</v>
      </c>
      <c r="O167" s="383">
        <f t="shared" si="69"/>
        <v>3.019209361032394E-2</v>
      </c>
      <c r="P167" s="383">
        <f t="shared" si="69"/>
        <v>3.1412257419827408E-2</v>
      </c>
      <c r="Q167" s="383">
        <f t="shared" si="69"/>
        <v>3.2681732143016985E-2</v>
      </c>
      <c r="R167" s="383">
        <f t="shared" si="69"/>
        <v>3.4002510599372843E-2</v>
      </c>
      <c r="S167" s="383">
        <f t="shared" si="69"/>
        <v>3.5376666144897068E-2</v>
      </c>
      <c r="T167" s="383">
        <f t="shared" si="67"/>
        <v>3.6806355926864681E-2</v>
      </c>
      <c r="U167" s="383">
        <f t="shared" si="67"/>
        <v>3.8293824270110251E-2</v>
      </c>
      <c r="V167" s="383">
        <f t="shared" si="67"/>
        <v>3.9841406200165498E-2</v>
      </c>
      <c r="W167" s="383">
        <f t="shared" si="67"/>
        <v>4.1451531108778854E-2</v>
      </c>
      <c r="X167" s="383">
        <f t="shared" si="67"/>
        <v>4.3126726567570904E-2</v>
      </c>
      <c r="Y167" s="383">
        <f t="shared" si="67"/>
        <v>4.4869622295812435E-2</v>
      </c>
      <c r="Z167" s="383">
        <f t="shared" si="67"/>
        <v>4.66829542885537E-2</v>
      </c>
      <c r="AA167" s="383">
        <f t="shared" si="67"/>
        <v>4.8569569111585408E-2</v>
      </c>
      <c r="AB167" s="383">
        <f t="shared" si="67"/>
        <v>5.0532428369973154E-2</v>
      </c>
      <c r="AC167" s="383">
        <f t="shared" si="67"/>
        <v>5.2574613357180645E-2</v>
      </c>
      <c r="AD167" s="383">
        <f t="shared" si="67"/>
        <v>5.4699329892079498E-2</v>
      </c>
      <c r="AE167" s="383">
        <f t="shared" si="67"/>
        <v>5.6909913351438697E-2</v>
      </c>
      <c r="AF167" s="383">
        <f t="shared" si="67"/>
        <v>5.9209833905794013E-2</v>
      </c>
      <c r="AG167" s="383">
        <f t="shared" si="67"/>
        <v>6.1602701966916376E-2</v>
      </c>
      <c r="AH167" s="383">
        <f t="shared" si="67"/>
        <v>6.4092273855430856E-2</v>
      </c>
      <c r="AI167" s="383">
        <f t="shared" si="67"/>
        <v>6.6682457697482822E-2</v>
      </c>
      <c r="AJ167" s="383">
        <f t="shared" si="67"/>
        <v>6.9377319559708661E-2</v>
      </c>
      <c r="AK167" s="383">
        <f t="shared" si="67"/>
        <v>7.2181089832140735E-2</v>
      </c>
      <c r="AL167" s="383">
        <f t="shared" ref="AL167" si="70">AL160*$C164</f>
        <v>7.509816986906738E-2</v>
      </c>
    </row>
    <row r="168" spans="2:38">
      <c r="B168" s="385" t="s">
        <v>768</v>
      </c>
      <c r="C168" s="386" t="s">
        <v>479</v>
      </c>
      <c r="D168" s="383">
        <f t="shared" si="69"/>
        <v>0</v>
      </c>
      <c r="E168" s="383">
        <f t="shared" si="67"/>
        <v>0</v>
      </c>
      <c r="F168" s="383">
        <f t="shared" si="67"/>
        <v>0</v>
      </c>
      <c r="G168" s="383">
        <f t="shared" si="67"/>
        <v>0</v>
      </c>
      <c r="H168" s="383">
        <f t="shared" si="67"/>
        <v>0</v>
      </c>
      <c r="I168" s="383">
        <f t="shared" si="67"/>
        <v>0</v>
      </c>
      <c r="J168" s="383">
        <f t="shared" si="67"/>
        <v>0</v>
      </c>
      <c r="K168" s="383">
        <f t="shared" si="67"/>
        <v>0</v>
      </c>
      <c r="L168" s="383">
        <f t="shared" si="67"/>
        <v>0</v>
      </c>
      <c r="M168" s="383">
        <f t="shared" si="67"/>
        <v>0</v>
      </c>
      <c r="N168" s="383">
        <f t="shared" si="67"/>
        <v>0</v>
      </c>
      <c r="O168" s="383">
        <f t="shared" si="67"/>
        <v>0</v>
      </c>
      <c r="P168" s="383">
        <f t="shared" si="67"/>
        <v>0</v>
      </c>
      <c r="Q168" s="383">
        <f t="shared" si="67"/>
        <v>0</v>
      </c>
      <c r="R168" s="383">
        <f t="shared" si="67"/>
        <v>0</v>
      </c>
      <c r="S168" s="383">
        <f t="shared" si="67"/>
        <v>0</v>
      </c>
      <c r="T168" s="383">
        <f t="shared" si="67"/>
        <v>0</v>
      </c>
      <c r="U168" s="383">
        <f t="shared" si="67"/>
        <v>0</v>
      </c>
      <c r="V168" s="383">
        <f t="shared" si="67"/>
        <v>0</v>
      </c>
      <c r="W168" s="383">
        <f t="shared" si="67"/>
        <v>0</v>
      </c>
      <c r="X168" s="383">
        <f t="shared" si="67"/>
        <v>0</v>
      </c>
      <c r="Y168" s="383">
        <f t="shared" si="67"/>
        <v>0</v>
      </c>
      <c r="Z168" s="383">
        <f t="shared" si="67"/>
        <v>0</v>
      </c>
      <c r="AA168" s="383">
        <f t="shared" si="67"/>
        <v>0</v>
      </c>
      <c r="AB168" s="383">
        <f t="shared" si="67"/>
        <v>0</v>
      </c>
      <c r="AC168" s="383">
        <f t="shared" si="67"/>
        <v>0</v>
      </c>
      <c r="AD168" s="383">
        <f t="shared" si="67"/>
        <v>0</v>
      </c>
      <c r="AE168" s="383">
        <f t="shared" si="67"/>
        <v>0</v>
      </c>
      <c r="AF168" s="383">
        <f t="shared" si="67"/>
        <v>0</v>
      </c>
      <c r="AG168" s="383">
        <f t="shared" si="67"/>
        <v>0</v>
      </c>
      <c r="AH168" s="383">
        <f t="shared" si="67"/>
        <v>0</v>
      </c>
      <c r="AI168" s="383">
        <f t="shared" si="67"/>
        <v>0</v>
      </c>
      <c r="AJ168" s="383">
        <f t="shared" si="67"/>
        <v>0</v>
      </c>
      <c r="AK168" s="383">
        <f t="shared" si="67"/>
        <v>0</v>
      </c>
      <c r="AL168" s="383">
        <f t="shared" ref="AL168" si="71">AL161*$C165</f>
        <v>0</v>
      </c>
    </row>
    <row r="169" spans="2:38">
      <c r="D169" s="358"/>
      <c r="F169" s="464"/>
      <c r="G169" s="465"/>
      <c r="H169" s="465"/>
    </row>
    <row r="170" spans="2:38">
      <c r="B170" s="358" t="s">
        <v>459</v>
      </c>
      <c r="C170" s="362" t="s">
        <v>292</v>
      </c>
      <c r="D170" s="485">
        <f>SUMPRODUCT($C$153:$C$155,D166:D168)</f>
        <v>104.4915976914177</v>
      </c>
      <c r="E170" s="485">
        <f t="shared" ref="E170:AK170" si="72">SUMPRODUCT($C$153:$C$155,E166:E168)</f>
        <v>108.71445376578637</v>
      </c>
      <c r="F170" s="485">
        <f t="shared" si="72"/>
        <v>113.10796962351381</v>
      </c>
      <c r="G170" s="485">
        <f t="shared" si="72"/>
        <v>117.67904219907837</v>
      </c>
      <c r="H170" s="485">
        <f t="shared" si="72"/>
        <v>122.43484715522249</v>
      </c>
      <c r="I170" s="485">
        <f t="shared" si="72"/>
        <v>127.38285014729748</v>
      </c>
      <c r="J170" s="485">
        <f t="shared" si="72"/>
        <v>132.53081854283755</v>
      </c>
      <c r="K170" s="485">
        <f t="shared" si="72"/>
        <v>137.88683361476174</v>
      </c>
      <c r="L170" s="485">
        <f t="shared" si="72"/>
        <v>143.45930322734367</v>
      </c>
      <c r="M170" s="485">
        <f t="shared" si="72"/>
        <v>149.25697503486396</v>
      </c>
      <c r="N170" s="485">
        <f t="shared" si="72"/>
        <v>155.28895021366466</v>
      </c>
      <c r="O170" s="485">
        <f t="shared" si="72"/>
        <v>161.56469774916218</v>
      </c>
      <c r="P170" s="485">
        <f t="shared" si="72"/>
        <v>168.09406930024545</v>
      </c>
      <c r="Q170" s="485">
        <f t="shared" si="72"/>
        <v>174.8873146643958</v>
      </c>
      <c r="R170" s="485">
        <f t="shared" si="72"/>
        <v>181.95509786780281</v>
      </c>
      <c r="S170" s="485">
        <f t="shared" si="72"/>
        <v>189.30851390573667</v>
      </c>
      <c r="T170" s="485">
        <f t="shared" si="72"/>
        <v>196.95910615945434</v>
      </c>
      <c r="U170" s="485">
        <f t="shared" si="72"/>
        <v>204.91888451698233</v>
      </c>
      <c r="V170" s="485">
        <f t="shared" si="72"/>
        <v>213.20034422622038</v>
      </c>
      <c r="W170" s="485">
        <f t="shared" si="72"/>
        <v>221.81648550996243</v>
      </c>
      <c r="X170" s="485">
        <f t="shared" si="72"/>
        <v>230.78083397362639</v>
      </c>
      <c r="Y170" s="485">
        <f t="shared" si="72"/>
        <v>240.10746183772918</v>
      </c>
      <c r="Z170" s="485">
        <f t="shared" si="72"/>
        <v>249.81101002843664</v>
      </c>
      <c r="AA170" s="485">
        <f t="shared" si="72"/>
        <v>259.90671116086759</v>
      </c>
      <c r="AB170" s="485">
        <f t="shared" si="72"/>
        <v>270.41041345122881</v>
      </c>
      <c r="AC170" s="485">
        <f t="shared" si="72"/>
        <v>281.33860559532155</v>
      </c>
      <c r="AD170" s="485">
        <f t="shared" si="72"/>
        <v>292.70844265247081</v>
      </c>
      <c r="AE170" s="485">
        <f t="shared" si="72"/>
        <v>304.53777297551073</v>
      </c>
      <c r="AF170" s="485">
        <f t="shared" si="72"/>
        <v>316.84516622910223</v>
      </c>
      <c r="AG170" s="485">
        <f t="shared" si="72"/>
        <v>329.64994254036344</v>
      </c>
      <c r="AH170" s="485">
        <f t="shared" si="72"/>
        <v>342.97220282757695</v>
      </c>
      <c r="AI170" s="485">
        <f t="shared" si="72"/>
        <v>356.83286035457917</v>
      </c>
      <c r="AJ170" s="485">
        <f t="shared" si="72"/>
        <v>371.25367356037088</v>
      </c>
      <c r="AK170" s="485">
        <f t="shared" si="72"/>
        <v>386.25728021548139</v>
      </c>
      <c r="AL170" s="485">
        <f t="shared" ref="AL170" si="73">SUMPRODUCT($C$153:$C$155,AL166:AL168)</f>
        <v>401.86723295870593</v>
      </c>
    </row>
    <row r="171" spans="2:38">
      <c r="D171" s="358"/>
      <c r="F171" s="464"/>
      <c r="G171" s="465"/>
      <c r="H171" s="465"/>
    </row>
    <row r="172" spans="2:38">
      <c r="B172" s="1172" t="s">
        <v>715</v>
      </c>
      <c r="C172" s="358" t="s">
        <v>295</v>
      </c>
      <c r="D172" s="383">
        <f>'Colorado Avenue'!D32</f>
        <v>100.96843463159475</v>
      </c>
      <c r="E172" s="383">
        <f>'Colorado Avenue'!E32</f>
        <v>105.04890786507603</v>
      </c>
      <c r="F172" s="383">
        <f>'Colorado Avenue'!F32</f>
        <v>109.29428671356371</v>
      </c>
      <c r="G172" s="383">
        <f>'Colorado Avenue'!G32</f>
        <v>113.71123556628542</v>
      </c>
      <c r="H172" s="383">
        <f>'Colorado Avenue'!H32</f>
        <v>118.30668814279905</v>
      </c>
      <c r="I172" s="383">
        <f>'Colorado Avenue'!I32</f>
        <v>123.08785837753547</v>
      </c>
      <c r="J172" s="383">
        <f>'Colorado Avenue'!J32</f>
        <v>128.06225174422141</v>
      </c>
      <c r="K172" s="383">
        <f>'Colorado Avenue'!K32</f>
        <v>133.23767703796091</v>
      </c>
      <c r="L172" s="383">
        <f>'Colorado Avenue'!L32</f>
        <v>138.62225863346978</v>
      </c>
      <c r="M172" s="383">
        <f>'Colorado Avenue'!M32</f>
        <v>144.22444923870665</v>
      </c>
      <c r="N172" s="383">
        <f>'Colorado Avenue'!N32</f>
        <v>150.05304316392102</v>
      </c>
      <c r="O172" s="383">
        <f>'Colorado Avenue'!O32</f>
        <v>156.11719012694823</v>
      </c>
      <c r="P172" s="383">
        <f>'Colorado Avenue'!P32</f>
        <v>162.42640961642203</v>
      </c>
      <c r="Q172" s="383">
        <f>'Colorado Avenue'!Q32</f>
        <v>168.99060583545386</v>
      </c>
      <c r="R172" s="383">
        <f>'Colorado Avenue'!R32</f>
        <v>175.82008324923538</v>
      </c>
      <c r="S172" s="383">
        <f>'Colorado Avenue'!S32</f>
        <v>182.9255627609725</v>
      </c>
      <c r="T172" s="383">
        <f>'Colorado Avenue'!T32</f>
        <v>190.31819854154227</v>
      </c>
      <c r="U172" s="383">
        <f>'Colorado Avenue'!U32</f>
        <v>198.009595539294</v>
      </c>
      <c r="V172" s="383">
        <f>'Colorado Avenue'!V32</f>
        <v>206.01182769747894</v>
      </c>
      <c r="W172" s="383">
        <f>'Colorado Avenue'!W32</f>
        <v>214.33745690790821</v>
      </c>
      <c r="X172" s="383">
        <f>'Colorado Avenue'!X32</f>
        <v>222.99955273059109</v>
      </c>
      <c r="Y172" s="383">
        <f>'Colorado Avenue'!Y32</f>
        <v>232.01171291031071</v>
      </c>
      <c r="Z172" s="383">
        <f>'Colorado Avenue'!Z32</f>
        <v>241.38808472234248</v>
      </c>
      <c r="AA172" s="383">
        <f>'Colorado Avenue'!AA32</f>
        <v>251.1433871808261</v>
      </c>
      <c r="AB172" s="383">
        <f>'Colorado Avenue'!AB32</f>
        <v>261.2929341446503</v>
      </c>
      <c r="AC172" s="383">
        <f>'Colorado Avenue'!AC32</f>
        <v>271.85265835712607</v>
      </c>
      <c r="AD172" s="383">
        <f>'Colorado Avenue'!AD32</f>
        <v>282.83913645718241</v>
      </c>
      <c r="AE172" s="383">
        <f>'Colorado Avenue'!AE32</f>
        <v>294.26961500134865</v>
      </c>
      <c r="AF172" s="383">
        <f>'Colorado Avenue'!AF32</f>
        <v>306.16203753737278</v>
      </c>
      <c r="AG172" s="383">
        <f>'Colorado Avenue'!AG32</f>
        <v>318.5350727719748</v>
      </c>
      <c r="AH172" s="383">
        <f>'Colorado Avenue'!AH32</f>
        <v>331.40814387695502</v>
      </c>
      <c r="AI172" s="383">
        <f>'Colorado Avenue'!AI32</f>
        <v>344.80145897965815</v>
      </c>
      <c r="AJ172" s="383">
        <f>'Colorado Avenue'!AJ32</f>
        <v>358.73604288566162</v>
      </c>
      <c r="AK172" s="383">
        <f>'Colorado Avenue'!AK32</f>
        <v>373.23377008348302</v>
      </c>
      <c r="AL172" s="383">
        <f>'Colorado Avenue'!AL32</f>
        <v>388.31739908311897</v>
      </c>
    </row>
    <row r="173" spans="2:38">
      <c r="B173" s="1172" t="s">
        <v>716</v>
      </c>
      <c r="C173" s="358" t="s">
        <v>295</v>
      </c>
      <c r="D173" s="383">
        <f>'Colorado Avenue'!D33</f>
        <v>0.47543189927009039</v>
      </c>
      <c r="E173" s="383">
        <f>'Colorado Avenue'!E33</f>
        <v>0.49464569758629912</v>
      </c>
      <c r="F173" s="383">
        <f>'Colorado Avenue'!F33</f>
        <v>0.51463598996254623</v>
      </c>
      <c r="G173" s="383">
        <f>'Colorado Avenue'!G33</f>
        <v>0.53543415712925013</v>
      </c>
      <c r="H173" s="383">
        <f>'Colorado Avenue'!H33</f>
        <v>0.55707284801744028</v>
      </c>
      <c r="I173" s="383">
        <f>'Colorado Avenue'!I33</f>
        <v>0.57958603101099981</v>
      </c>
      <c r="J173" s="383">
        <f>'Colorado Avenue'!J33</f>
        <v>0.60300904727018234</v>
      </c>
      <c r="K173" s="383">
        <f>'Colorado Avenue'!K33</f>
        <v>0.62737866621011062</v>
      </c>
      <c r="L173" s="383">
        <f>'Colorado Avenue'!L33</f>
        <v>0.65273314322134968</v>
      </c>
      <c r="M173" s="383">
        <f>'Colorado Avenue'!M33</f>
        <v>0.6791122797231588</v>
      </c>
      <c r="N173" s="383">
        <f>'Colorado Avenue'!N33</f>
        <v>0.70655748564369947</v>
      </c>
      <c r="O173" s="383">
        <f>'Colorado Avenue'!O33</f>
        <v>0.73511184442527866</v>
      </c>
      <c r="P173" s="383">
        <f>'Colorado Avenue'!P33</f>
        <v>0.76482018065666735</v>
      </c>
      <c r="Q173" s="383">
        <f>'Colorado Avenue'!Q33</f>
        <v>0.79572913043867455</v>
      </c>
      <c r="R173" s="383">
        <f>'Colorado Avenue'!R33</f>
        <v>0.82788721459342585</v>
      </c>
      <c r="S173" s="383">
        <f>'Colorado Avenue'!S33</f>
        <v>0.86134491483227649</v>
      </c>
      <c r="T173" s="383">
        <f>'Colorado Avenue'!T33</f>
        <v>0.89615475300192282</v>
      </c>
      <c r="U173" s="383">
        <f>'Colorado Avenue'!U33</f>
        <v>0.93237137353311927</v>
      </c>
      <c r="V173" s="383">
        <f>'Colorado Avenue'!V33</f>
        <v>0.97005162922142085</v>
      </c>
      <c r="W173" s="383">
        <f>'Colorado Avenue'!W33</f>
        <v>1.0092546704746157</v>
      </c>
      <c r="X173" s="383">
        <f>'Colorado Avenue'!X33</f>
        <v>1.0500420381669437</v>
      </c>
      <c r="Y173" s="383">
        <f>'Colorado Avenue'!Y33</f>
        <v>1.092477760245868</v>
      </c>
      <c r="Z173" s="383">
        <f>'Colorado Avenue'!Z33</f>
        <v>1.1366284522430465</v>
      </c>
      <c r="AA173" s="383">
        <f>'Colorado Avenue'!AA33</f>
        <v>1.1825634218472969</v>
      </c>
      <c r="AB173" s="383">
        <f>'Colorado Avenue'!AB33</f>
        <v>1.2303547777036943</v>
      </c>
      <c r="AC173" s="383">
        <f>'Colorado Avenue'!AC33</f>
        <v>1.2800775426096158</v>
      </c>
      <c r="AD173" s="383">
        <f>'Colorado Avenue'!AD33</f>
        <v>1.331809771285414</v>
      </c>
      <c r="AE173" s="383">
        <f>'Colorado Avenue'!AE33</f>
        <v>1.3856326729045945</v>
      </c>
      <c r="AF173" s="383">
        <f>'Colorado Avenue'!AF33</f>
        <v>1.4416307385758544</v>
      </c>
      <c r="AG173" s="383">
        <f>'Colorado Avenue'!AG33</f>
        <v>1.4998918739770946</v>
      </c>
      <c r="AH173" s="383">
        <f>'Colorado Avenue'!AH33</f>
        <v>1.5605075373496209</v>
      </c>
      <c r="AI173" s="383">
        <f>'Colorado Avenue'!AI33</f>
        <v>1.6235728830691472</v>
      </c>
      <c r="AJ173" s="383">
        <f>'Colorado Avenue'!AJ33</f>
        <v>1.6891869110189934</v>
      </c>
      <c r="AK173" s="383">
        <f>'Colorado Avenue'!AK33</f>
        <v>1.7574526219999484</v>
      </c>
      <c r="AL173" s="383">
        <f>'Colorado Avenue'!AL33</f>
        <v>1.8284771794207713</v>
      </c>
    </row>
    <row r="174" spans="2:38">
      <c r="D174" s="358"/>
      <c r="F174" s="464"/>
      <c r="G174" s="465"/>
      <c r="H174" s="465"/>
    </row>
    <row r="175" spans="2:38">
      <c r="B175" s="358" t="s">
        <v>208</v>
      </c>
      <c r="C175" s="362" t="s">
        <v>292</v>
      </c>
      <c r="D175" s="485">
        <f>SUMPRODUCT(D172:D173,D$150:D$151)</f>
        <v>214.06753519819264</v>
      </c>
      <c r="E175" s="485">
        <f t="shared" ref="E175:AK175" si="74">SUMPRODUCT(E172:E173,E$150:E$151)</f>
        <v>223.28456549213561</v>
      </c>
      <c r="F175" s="485">
        <f t="shared" si="74"/>
        <v>231.65796843638009</v>
      </c>
      <c r="G175" s="485">
        <f t="shared" si="74"/>
        <v>237.60047222843608</v>
      </c>
      <c r="H175" s="485">
        <f t="shared" si="74"/>
        <v>251.1360032593457</v>
      </c>
      <c r="I175" s="485">
        <f t="shared" si="74"/>
        <v>264.4755651374104</v>
      </c>
      <c r="J175" s="485">
        <f t="shared" si="74"/>
        <v>279.72304995677888</v>
      </c>
      <c r="K175" s="485">
        <f t="shared" si="74"/>
        <v>293.29619899175862</v>
      </c>
      <c r="L175" s="485">
        <f t="shared" si="74"/>
        <v>310.52113971852998</v>
      </c>
      <c r="M175" s="485">
        <f t="shared" si="74"/>
        <v>335.70981119530734</v>
      </c>
      <c r="N175" s="485">
        <f t="shared" si="74"/>
        <v>352.66924768876561</v>
      </c>
      <c r="O175" s="485">
        <f t="shared" si="74"/>
        <v>371.27228211993224</v>
      </c>
      <c r="P175" s="485">
        <f t="shared" si="74"/>
        <v>394.96172227761735</v>
      </c>
      <c r="Q175" s="485">
        <f t="shared" si="74"/>
        <v>419.19683417670552</v>
      </c>
      <c r="R175" s="485">
        <f t="shared" si="74"/>
        <v>441.99743506407805</v>
      </c>
      <c r="S175" s="485">
        <f t="shared" si="74"/>
        <v>466.7995422833568</v>
      </c>
      <c r="T175" s="485">
        <f t="shared" si="74"/>
        <v>487.90336246105181</v>
      </c>
      <c r="U175" s="485">
        <f t="shared" si="74"/>
        <v>514.6260319061945</v>
      </c>
      <c r="V175" s="485">
        <f t="shared" si="74"/>
        <v>544.29775003235159</v>
      </c>
      <c r="W175" s="485">
        <f t="shared" si="74"/>
        <v>569.12655684620358</v>
      </c>
      <c r="X175" s="485">
        <f t="shared" si="74"/>
        <v>597.57013485643972</v>
      </c>
      <c r="Y175" s="485">
        <f t="shared" si="74"/>
        <v>633.40386713399857</v>
      </c>
      <c r="Z175" s="485">
        <f t="shared" si="74"/>
        <v>665.73746480499369</v>
      </c>
      <c r="AA175" s="485">
        <f t="shared" si="74"/>
        <v>699.50922950287543</v>
      </c>
      <c r="AB175" s="485">
        <f t="shared" si="74"/>
        <v>739.1920365845989</v>
      </c>
      <c r="AC175" s="485">
        <f t="shared" si="74"/>
        <v>772.3855009656869</v>
      </c>
      <c r="AD175" s="485">
        <f t="shared" si="74"/>
        <v>820.2335498821293</v>
      </c>
      <c r="AE175" s="485">
        <f t="shared" si="74"/>
        <v>865.26614503606811</v>
      </c>
      <c r="AF175" s="485">
        <f t="shared" si="74"/>
        <v>909.7924675351104</v>
      </c>
      <c r="AG175" s="485">
        <f t="shared" si="74"/>
        <v>955.13208161594036</v>
      </c>
      <c r="AH175" s="485">
        <f t="shared" si="74"/>
        <v>1003.9637504744229</v>
      </c>
      <c r="AI175" s="485">
        <f t="shared" si="74"/>
        <v>1055.254205585632</v>
      </c>
      <c r="AJ175" s="485">
        <f t="shared" si="74"/>
        <v>1109.1260370879388</v>
      </c>
      <c r="AK175" s="485">
        <f t="shared" si="74"/>
        <v>1165.7079074981455</v>
      </c>
      <c r="AL175" s="485">
        <f t="shared" ref="AL175" si="75">SUMPRODUCT(AL172:AL173,AL$150:AL$151)</f>
        <v>1225.1348511896779</v>
      </c>
    </row>
    <row r="177" spans="1:38" ht="13">
      <c r="B177" s="364" t="s">
        <v>527</v>
      </c>
      <c r="C177" s="387" t="s">
        <v>292</v>
      </c>
      <c r="D177" s="488">
        <f>D170+D175</f>
        <v>318.55913288961034</v>
      </c>
      <c r="E177" s="488">
        <f t="shared" ref="E177:AK177" si="76">E170+E175</f>
        <v>331.99901925792199</v>
      </c>
      <c r="F177" s="488">
        <f t="shared" si="76"/>
        <v>344.76593805989387</v>
      </c>
      <c r="G177" s="488">
        <f t="shared" si="76"/>
        <v>355.27951442751441</v>
      </c>
      <c r="H177" s="488">
        <f t="shared" si="76"/>
        <v>373.57085041456821</v>
      </c>
      <c r="I177" s="488">
        <f t="shared" si="76"/>
        <v>391.85841528470786</v>
      </c>
      <c r="J177" s="488">
        <f t="shared" si="76"/>
        <v>412.25386849961643</v>
      </c>
      <c r="K177" s="488">
        <f t="shared" si="76"/>
        <v>431.18303260652033</v>
      </c>
      <c r="L177" s="488">
        <f t="shared" si="76"/>
        <v>453.98044294587362</v>
      </c>
      <c r="M177" s="488">
        <f t="shared" si="76"/>
        <v>484.96678623017129</v>
      </c>
      <c r="N177" s="488">
        <f t="shared" si="76"/>
        <v>507.95819790243024</v>
      </c>
      <c r="O177" s="488">
        <f t="shared" si="76"/>
        <v>532.83697986909442</v>
      </c>
      <c r="P177" s="488">
        <f t="shared" si="76"/>
        <v>563.05579157786281</v>
      </c>
      <c r="Q177" s="488">
        <f t="shared" si="76"/>
        <v>594.0841488411013</v>
      </c>
      <c r="R177" s="488">
        <f t="shared" si="76"/>
        <v>623.9525329318808</v>
      </c>
      <c r="S177" s="488">
        <f t="shared" si="76"/>
        <v>656.10805618909353</v>
      </c>
      <c r="T177" s="488">
        <f t="shared" si="76"/>
        <v>684.86246862050621</v>
      </c>
      <c r="U177" s="488">
        <f t="shared" si="76"/>
        <v>719.5449164231768</v>
      </c>
      <c r="V177" s="488">
        <f t="shared" si="76"/>
        <v>757.498094258572</v>
      </c>
      <c r="W177" s="488">
        <f t="shared" si="76"/>
        <v>790.94304235616596</v>
      </c>
      <c r="X177" s="488">
        <f t="shared" si="76"/>
        <v>828.35096883006611</v>
      </c>
      <c r="Y177" s="488">
        <f t="shared" si="76"/>
        <v>873.51132897172772</v>
      </c>
      <c r="Z177" s="488">
        <f t="shared" si="76"/>
        <v>915.5484748334303</v>
      </c>
      <c r="AA177" s="488">
        <f t="shared" si="76"/>
        <v>959.41594066374296</v>
      </c>
      <c r="AB177" s="488">
        <f t="shared" si="76"/>
        <v>1009.6024500358277</v>
      </c>
      <c r="AC177" s="488">
        <f t="shared" si="76"/>
        <v>1053.7241065610085</v>
      </c>
      <c r="AD177" s="488">
        <f t="shared" si="76"/>
        <v>1112.9419925346001</v>
      </c>
      <c r="AE177" s="488">
        <f t="shared" si="76"/>
        <v>1169.8039180115788</v>
      </c>
      <c r="AF177" s="488">
        <f t="shared" si="76"/>
        <v>1226.6376337642128</v>
      </c>
      <c r="AG177" s="488">
        <f t="shared" si="76"/>
        <v>1284.7820241563038</v>
      </c>
      <c r="AH177" s="488">
        <f t="shared" si="76"/>
        <v>1346.9359533019999</v>
      </c>
      <c r="AI177" s="488">
        <f t="shared" si="76"/>
        <v>1412.0870659402112</v>
      </c>
      <c r="AJ177" s="488">
        <f t="shared" si="76"/>
        <v>1480.3797106483098</v>
      </c>
      <c r="AK177" s="488">
        <f t="shared" si="76"/>
        <v>1551.9651877136268</v>
      </c>
      <c r="AL177" s="488">
        <f t="shared" ref="AL177" si="77">AL170+AL175</f>
        <v>1627.0020841483838</v>
      </c>
    </row>
    <row r="178" spans="1:38">
      <c r="D178" s="358"/>
      <c r="F178" s="464"/>
      <c r="G178" s="465"/>
      <c r="H178" s="465"/>
    </row>
    <row r="179" spans="1:38" ht="13">
      <c r="A179" s="452"/>
      <c r="B179" s="495" t="s">
        <v>625</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'Colorado Avenue'!D48</f>
        <v>282.42918778068463</v>
      </c>
      <c r="E181" s="383">
        <f>'Colorado Avenue'!E48</f>
        <v>293.84309892328963</v>
      </c>
      <c r="F181" s="383">
        <f>'Colorado Avenue'!F48</f>
        <v>305.71828451346494</v>
      </c>
      <c r="G181" s="383">
        <f>'Colorado Avenue'!G48</f>
        <v>318.07338619939981</v>
      </c>
      <c r="H181" s="383">
        <f>'Colorado Avenue'!H48</f>
        <v>441.23706533444874</v>
      </c>
      <c r="I181" s="383">
        <f>'Colorado Avenue'!I48</f>
        <v>459.06893567379205</v>
      </c>
      <c r="J181" s="383">
        <f>'Colorado Avenue'!J48</f>
        <v>477.62145172669989</v>
      </c>
      <c r="K181" s="383">
        <f>'Colorado Avenue'!K48</f>
        <v>496.92373720451633</v>
      </c>
      <c r="L181" s="383">
        <f>'Colorado Avenue'!L48</f>
        <v>517.00609280548167</v>
      </c>
      <c r="M181" s="383">
        <f>'Colorado Avenue'!M48</f>
        <v>537.9000437807241</v>
      </c>
      <c r="N181" s="383">
        <f>'Colorado Avenue'!N48</f>
        <v>559.63838942254927</v>
      </c>
      <c r="O181" s="383">
        <f>'Colorado Avenue'!O48</f>
        <v>582.25525455272054</v>
      </c>
      <c r="P181" s="383">
        <f>'Colorado Avenue'!P48</f>
        <v>605.78614309155091</v>
      </c>
      <c r="Q181" s="383">
        <f>'Colorado Avenue'!Q48</f>
        <v>630.26799379190265</v>
      </c>
      <c r="R181" s="383">
        <f>'Colorado Avenue'!R48</f>
        <v>655.73923822558652</v>
      </c>
      <c r="S181" s="383">
        <f>'Colorado Avenue'!S48</f>
        <v>682.23986111318413</v>
      </c>
      <c r="T181" s="383">
        <f>'Colorado Avenue'!T48</f>
        <v>709.81146309199926</v>
      </c>
      <c r="U181" s="383">
        <f>'Colorado Avenue'!U48</f>
        <v>738.49732602067672</v>
      </c>
      <c r="V181" s="383">
        <f>'Colorado Avenue'!V48</f>
        <v>768.34248092299833</v>
      </c>
      <c r="W181" s="383">
        <f>'Colorado Avenue'!W48</f>
        <v>799.39377867751318</v>
      </c>
      <c r="X181" s="383">
        <f>'Colorado Avenue'!X48</f>
        <v>831.6999635639761</v>
      </c>
      <c r="Y181" s="383">
        <f>'Colorado Avenue'!Y48</f>
        <v>865.31174978204433</v>
      </c>
      <c r="Z181" s="383">
        <f>'Colorado Avenue'!Z48</f>
        <v>900.28190106234945</v>
      </c>
      <c r="AA181" s="383">
        <f>'Colorado Avenue'!AA48</f>
        <v>936.66531349492254</v>
      </c>
      <c r="AB181" s="383">
        <f>'Colorado Avenue'!AB48</f>
        <v>974.51910170498957</v>
      </c>
      <c r="AC181" s="383">
        <f>'Colorado Avenue'!AC48</f>
        <v>1013.9026885114262</v>
      </c>
      <c r="AD181" s="383">
        <f>'Colorado Avenue'!AD48</f>
        <v>1054.877898208606</v>
      </c>
      <c r="AE181" s="383">
        <f>'Colorado Avenue'!AE48</f>
        <v>1097.5090536180837</v>
      </c>
      <c r="AF181" s="383">
        <f>'Colorado Avenue'!AF48</f>
        <v>1141.8630770624623</v>
      </c>
      <c r="AG181" s="383">
        <f>'Colorado Avenue'!AG48</f>
        <v>1188.0095954199528</v>
      </c>
      <c r="AH181" s="383">
        <f>'Colorado Avenue'!AH48</f>
        <v>1236.0210494245405</v>
      </c>
      <c r="AI181" s="383">
        <f>'Colorado Avenue'!AI48</f>
        <v>1285.9728073833398</v>
      </c>
      <c r="AJ181" s="383">
        <f>'Colorado Avenue'!AJ48</f>
        <v>1337.943283489647</v>
      </c>
      <c r="AK181" s="383">
        <f>'Colorado Avenue'!AK48</f>
        <v>1392.0140609174193</v>
      </c>
      <c r="AL181" s="383">
        <f>'Colorado Avenue'!AL48</f>
        <v>1448.2700198904201</v>
      </c>
    </row>
    <row r="182" spans="1:38">
      <c r="B182" s="385" t="s">
        <v>509</v>
      </c>
      <c r="C182" s="386" t="s">
        <v>443</v>
      </c>
      <c r="D182" s="383">
        <f>'Colorado Avenue'!D49</f>
        <v>0.56599035627391714</v>
      </c>
      <c r="E182" s="383">
        <f>'Colorado Avenue'!E49</f>
        <v>0.58886392569797519</v>
      </c>
      <c r="F182" s="383">
        <f>'Colorado Avenue'!F49</f>
        <v>0.61266189281255501</v>
      </c>
      <c r="G182" s="383">
        <f>'Colorado Avenue'!G49</f>
        <v>0.63742161563005972</v>
      </c>
      <c r="H182" s="383">
        <f>'Colorado Avenue'!H49</f>
        <v>0.88424261590069886</v>
      </c>
      <c r="I182" s="383">
        <f>'Colorado Avenue'!I49</f>
        <v>0.91997782700158726</v>
      </c>
      <c r="J182" s="383">
        <f>'Colorado Avenue'!J49</f>
        <v>0.95715721788917818</v>
      </c>
      <c r="K182" s="383">
        <f>'Colorado Avenue'!K49</f>
        <v>0.99583915271446155</v>
      </c>
      <c r="L182" s="383">
        <f>'Colorado Avenue'!L49</f>
        <v>1.0360843543196028</v>
      </c>
      <c r="M182" s="383">
        <f>'Colorado Avenue'!M49</f>
        <v>1.0779559995605694</v>
      </c>
      <c r="N182" s="383">
        <f>'Colorado Avenue'!N49</f>
        <v>1.1215198184820627</v>
      </c>
      <c r="O182" s="383">
        <f>'Colorado Avenue'!O49</f>
        <v>1.166844197500442</v>
      </c>
      <c r="P182" s="383">
        <f>'Colorado Avenue'!P49</f>
        <v>1.2140002867566151</v>
      </c>
      <c r="Q182" s="383">
        <f>'Colorado Avenue'!Q49</f>
        <v>1.2630621118074203</v>
      </c>
      <c r="R182" s="383">
        <f>'Colorado Avenue'!R49</f>
        <v>1.3141066898308347</v>
      </c>
      <c r="S182" s="383">
        <f>'Colorado Avenue'!S49</f>
        <v>1.3672141505274231</v>
      </c>
      <c r="T182" s="383">
        <f>'Colorado Avenue'!T49</f>
        <v>1.4224678619078142</v>
      </c>
      <c r="U182" s="383">
        <f>'Colorado Avenue'!U49</f>
        <v>1.4799545611636808</v>
      </c>
      <c r="V182" s="383">
        <f>'Colorado Avenue'!V49</f>
        <v>1.539764490827652</v>
      </c>
      <c r="W182" s="383">
        <f>'Colorado Avenue'!W49</f>
        <v>1.6019915404358982</v>
      </c>
      <c r="X182" s="383">
        <f>'Colorado Avenue'!X49</f>
        <v>1.6667333939157838</v>
      </c>
      <c r="Y182" s="383">
        <f>'Colorado Avenue'!Y49</f>
        <v>1.7340916829299486</v>
      </c>
      <c r="Z182" s="383">
        <f>'Colorado Avenue'!Z49</f>
        <v>1.804172146417534</v>
      </c>
      <c r="AA182" s="383">
        <f>'Colorado Avenue'!AA49</f>
        <v>1.8770847965830113</v>
      </c>
      <c r="AB182" s="383">
        <f>'Colorado Avenue'!AB49</f>
        <v>1.9529440915931655</v>
      </c>
      <c r="AC182" s="383">
        <f>'Colorado Avenue'!AC49</f>
        <v>2.0318691152533592</v>
      </c>
      <c r="AD182" s="383">
        <f>'Colorado Avenue'!AD49</f>
        <v>2.113983763945102</v>
      </c>
      <c r="AE182" s="383">
        <f>'Colorado Avenue'!AE49</f>
        <v>2.1994169411184044</v>
      </c>
      <c r="AF182" s="383">
        <f>'Colorado Avenue'!AF49</f>
        <v>2.2883027596442131</v>
      </c>
      <c r="AG182" s="383">
        <f>'Colorado Avenue'!AG49</f>
        <v>2.3807807523445952</v>
      </c>
      <c r="AH182" s="383">
        <f>'Colorado Avenue'!AH49</f>
        <v>2.4769960910311433</v>
      </c>
      <c r="AI182" s="383">
        <f>'Colorado Avenue'!AI49</f>
        <v>2.5770998143954706</v>
      </c>
      <c r="AJ182" s="383">
        <f>'Colorado Avenue'!AJ49</f>
        <v>2.6812490651095131</v>
      </c>
      <c r="AK182" s="383">
        <f>'Colorado Avenue'!AK49</f>
        <v>2.7896073365078546</v>
      </c>
      <c r="AL182" s="383">
        <f>'Colorado Avenue'!AL49</f>
        <v>2.902344729239319</v>
      </c>
    </row>
    <row r="183" spans="1:38">
      <c r="B183" s="358" t="s">
        <v>769</v>
      </c>
      <c r="C183" s="358" t="s">
        <v>443</v>
      </c>
      <c r="D183" s="383">
        <f>'Colorado Avenue'!D50</f>
        <v>0</v>
      </c>
      <c r="E183" s="383">
        <f>'Colorado Avenue'!E50</f>
        <v>0</v>
      </c>
      <c r="F183" s="383">
        <f>'Colorado Avenue'!F50</f>
        <v>0</v>
      </c>
      <c r="G183" s="383">
        <f>'Colorado Avenue'!G50</f>
        <v>0</v>
      </c>
      <c r="H183" s="383">
        <f>'Colorado Avenue'!H50</f>
        <v>0</v>
      </c>
      <c r="I183" s="383">
        <f>'Colorado Avenue'!I50</f>
        <v>0</v>
      </c>
      <c r="J183" s="383">
        <f>'Colorado Avenue'!J50</f>
        <v>0</v>
      </c>
      <c r="K183" s="383">
        <f>'Colorado Avenue'!K50</f>
        <v>0</v>
      </c>
      <c r="L183" s="383">
        <f>'Colorado Avenue'!L50</f>
        <v>0</v>
      </c>
      <c r="M183" s="383">
        <f>'Colorado Avenue'!M50</f>
        <v>0</v>
      </c>
      <c r="N183" s="383">
        <f>'Colorado Avenue'!N50</f>
        <v>0</v>
      </c>
      <c r="O183" s="383">
        <f>'Colorado Avenue'!O50</f>
        <v>0</v>
      </c>
      <c r="P183" s="383">
        <f>'Colorado Avenue'!P50</f>
        <v>0</v>
      </c>
      <c r="Q183" s="383">
        <f>'Colorado Avenue'!Q50</f>
        <v>0</v>
      </c>
      <c r="R183" s="383">
        <f>'Colorado Avenue'!R50</f>
        <v>0</v>
      </c>
      <c r="S183" s="383">
        <f>'Colorado Avenue'!S50</f>
        <v>0</v>
      </c>
      <c r="T183" s="383">
        <f>'Colorado Avenue'!T50</f>
        <v>0</v>
      </c>
      <c r="U183" s="383">
        <f>'Colorado Avenue'!U50</f>
        <v>0</v>
      </c>
      <c r="V183" s="383">
        <f>'Colorado Avenue'!V50</f>
        <v>0</v>
      </c>
      <c r="W183" s="383">
        <f>'Colorado Avenue'!W50</f>
        <v>0</v>
      </c>
      <c r="X183" s="383">
        <f>'Colorado Avenue'!X50</f>
        <v>0</v>
      </c>
      <c r="Y183" s="383">
        <f>'Colorado Avenue'!Y50</f>
        <v>0</v>
      </c>
      <c r="Z183" s="383">
        <f>'Colorado Avenue'!Z50</f>
        <v>0</v>
      </c>
      <c r="AA183" s="383">
        <f>'Colorado Avenue'!AA50</f>
        <v>0</v>
      </c>
      <c r="AB183" s="383">
        <f>'Colorado Avenue'!AB50</f>
        <v>0</v>
      </c>
      <c r="AC183" s="383">
        <f>'Colorado Avenue'!AC50</f>
        <v>0</v>
      </c>
      <c r="AD183" s="383">
        <f>'Colorado Avenue'!AD50</f>
        <v>0</v>
      </c>
      <c r="AE183" s="383">
        <f>'Colorado Avenue'!AE50</f>
        <v>0</v>
      </c>
      <c r="AF183" s="383">
        <f>'Colorado Avenue'!AF50</f>
        <v>0</v>
      </c>
      <c r="AG183" s="383">
        <f>'Colorado Avenue'!AG50</f>
        <v>0</v>
      </c>
      <c r="AH183" s="383">
        <f>'Colorado Avenue'!AH50</f>
        <v>0</v>
      </c>
      <c r="AI183" s="383">
        <f>'Colorado Avenue'!AI50</f>
        <v>0</v>
      </c>
      <c r="AJ183" s="383">
        <f>'Colorado Avenue'!AJ50</f>
        <v>0</v>
      </c>
      <c r="AK183" s="383">
        <f>'Colorado Avenue'!AK50</f>
        <v>0</v>
      </c>
      <c r="AL183" s="383">
        <f>'Colorado Avenue'!AL50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9.7438069784336179</v>
      </c>
      <c r="E185" s="383">
        <f t="shared" ref="E185:AK187" si="78">E181*$C163</f>
        <v>10.137586912853491</v>
      </c>
      <c r="F185" s="383">
        <f t="shared" si="78"/>
        <v>10.547280815714538</v>
      </c>
      <c r="G185" s="383">
        <f t="shared" si="78"/>
        <v>10.973531823879291</v>
      </c>
      <c r="H185" s="383">
        <f t="shared" si="78"/>
        <v>15.22267875403848</v>
      </c>
      <c r="I185" s="383">
        <f t="shared" si="78"/>
        <v>15.837878280745825</v>
      </c>
      <c r="J185" s="383">
        <f t="shared" si="78"/>
        <v>16.477940084571145</v>
      </c>
      <c r="K185" s="383">
        <f t="shared" si="78"/>
        <v>17.143868933555812</v>
      </c>
      <c r="L185" s="383">
        <f t="shared" si="78"/>
        <v>17.836710201789117</v>
      </c>
      <c r="M185" s="383">
        <f t="shared" si="78"/>
        <v>18.55755151043498</v>
      </c>
      <c r="N185" s="383">
        <f t="shared" si="78"/>
        <v>19.307524435077948</v>
      </c>
      <c r="O185" s="383">
        <f t="shared" si="78"/>
        <v>20.087806282068858</v>
      </c>
      <c r="P185" s="383">
        <f t="shared" si="78"/>
        <v>20.899621936658505</v>
      </c>
      <c r="Q185" s="383">
        <f t="shared" si="78"/>
        <v>21.744245785820638</v>
      </c>
      <c r="R185" s="383">
        <f t="shared" si="78"/>
        <v>22.623003718782734</v>
      </c>
      <c r="S185" s="383">
        <f t="shared" si="78"/>
        <v>23.53727520840485</v>
      </c>
      <c r="T185" s="383">
        <f t="shared" si="78"/>
        <v>24.488495476673972</v>
      </c>
      <c r="U185" s="383">
        <f t="shared" si="78"/>
        <v>25.478157747713343</v>
      </c>
      <c r="V185" s="383">
        <f t="shared" si="78"/>
        <v>26.507815591843439</v>
      </c>
      <c r="W185" s="383">
        <f t="shared" si="78"/>
        <v>27.579085364374201</v>
      </c>
      <c r="X185" s="383">
        <f t="shared" si="78"/>
        <v>28.693648742957173</v>
      </c>
      <c r="Y185" s="383">
        <f t="shared" si="78"/>
        <v>29.853255367480525</v>
      </c>
      <c r="Z185" s="383">
        <f t="shared" si="78"/>
        <v>31.059725586651052</v>
      </c>
      <c r="AA185" s="383">
        <f t="shared" si="78"/>
        <v>32.314953315574826</v>
      </c>
      <c r="AB185" s="383">
        <f t="shared" si="78"/>
        <v>33.620909008822139</v>
      </c>
      <c r="AC185" s="383">
        <f t="shared" si="78"/>
        <v>34.9796427536442</v>
      </c>
      <c r="AD185" s="383">
        <f t="shared" si="78"/>
        <v>36.393287488196904</v>
      </c>
      <c r="AE185" s="383">
        <f t="shared" si="78"/>
        <v>37.864062349823882</v>
      </c>
      <c r="AF185" s="383">
        <f t="shared" si="78"/>
        <v>39.394276158654947</v>
      </c>
      <c r="AG185" s="383">
        <f t="shared" si="78"/>
        <v>40.986331041988365</v>
      </c>
      <c r="AH185" s="383">
        <f t="shared" si="78"/>
        <v>42.642726205146644</v>
      </c>
      <c r="AI185" s="383">
        <f t="shared" si="78"/>
        <v>44.366061854725217</v>
      </c>
      <c r="AJ185" s="383">
        <f t="shared" si="78"/>
        <v>46.159043280392815</v>
      </c>
      <c r="AK185" s="383">
        <f t="shared" si="78"/>
        <v>48.02448510165096</v>
      </c>
      <c r="AL185" s="383">
        <f t="shared" ref="AL185" si="79">AL181*$C163</f>
        <v>49.96531568621949</v>
      </c>
    </row>
    <row r="186" spans="1:38">
      <c r="B186" s="385" t="s">
        <v>501</v>
      </c>
      <c r="C186" s="386" t="s">
        <v>479</v>
      </c>
      <c r="D186" s="383">
        <f>D182*$C164</f>
        <v>1.9526667291450139E-2</v>
      </c>
      <c r="E186" s="383">
        <f t="shared" si="78"/>
        <v>2.0315805436580143E-2</v>
      </c>
      <c r="F186" s="383">
        <f t="shared" si="78"/>
        <v>2.1136835302033145E-2</v>
      </c>
      <c r="G186" s="383">
        <f t="shared" si="78"/>
        <v>2.1991045739237058E-2</v>
      </c>
      <c r="H186" s="383">
        <f t="shared" si="78"/>
        <v>3.0506370248574107E-2</v>
      </c>
      <c r="I186" s="383">
        <f t="shared" si="78"/>
        <v>3.1739235031554756E-2</v>
      </c>
      <c r="J186" s="383">
        <f t="shared" si="78"/>
        <v>3.3021924017176643E-2</v>
      </c>
      <c r="K186" s="383">
        <f t="shared" si="78"/>
        <v>3.4356450768648919E-2</v>
      </c>
      <c r="L186" s="383">
        <f t="shared" si="78"/>
        <v>3.5744910224026288E-2</v>
      </c>
      <c r="M186" s="383">
        <f t="shared" si="78"/>
        <v>3.7189481984839644E-2</v>
      </c>
      <c r="N186" s="383">
        <f t="shared" si="78"/>
        <v>3.8692433737631163E-2</v>
      </c>
      <c r="O186" s="383">
        <f t="shared" si="78"/>
        <v>4.0256124813765247E-2</v>
      </c>
      <c r="P186" s="383">
        <f t="shared" si="78"/>
        <v>4.1883009893103215E-2</v>
      </c>
      <c r="Q186" s="383">
        <f t="shared" si="78"/>
        <v>4.3575642857355996E-2</v>
      </c>
      <c r="R186" s="383">
        <f t="shared" si="78"/>
        <v>4.5336680799163788E-2</v>
      </c>
      <c r="S186" s="383">
        <f t="shared" si="78"/>
        <v>4.716888819319609E-2</v>
      </c>
      <c r="T186" s="383">
        <f t="shared" si="78"/>
        <v>4.9075141235819582E-2</v>
      </c>
      <c r="U186" s="383">
        <f t="shared" si="78"/>
        <v>5.1058432360146982E-2</v>
      </c>
      <c r="V186" s="383">
        <f t="shared" si="78"/>
        <v>5.3121874933553991E-2</v>
      </c>
      <c r="W186" s="383">
        <f t="shared" si="78"/>
        <v>5.5268708145038481E-2</v>
      </c>
      <c r="X186" s="383">
        <f t="shared" si="78"/>
        <v>5.7502302090094534E-2</v>
      </c>
      <c r="Y186" s="383">
        <f t="shared" si="78"/>
        <v>5.9826163061083223E-2</v>
      </c>
      <c r="Z186" s="383">
        <f t="shared" si="78"/>
        <v>6.2243939051404913E-2</v>
      </c>
      <c r="AA186" s="383">
        <f t="shared" si="78"/>
        <v>6.4759425482113886E-2</v>
      </c>
      <c r="AB186" s="383">
        <f t="shared" si="78"/>
        <v>6.7376571159964205E-2</v>
      </c>
      <c r="AC186" s="383">
        <f t="shared" si="78"/>
        <v>7.0099484476240884E-2</v>
      </c>
      <c r="AD186" s="383">
        <f t="shared" si="78"/>
        <v>7.2932439856106007E-2</v>
      </c>
      <c r="AE186" s="383">
        <f t="shared" si="78"/>
        <v>7.5879884468584943E-2</v>
      </c>
      <c r="AF186" s="383">
        <f t="shared" si="78"/>
        <v>7.8946445207725341E-2</v>
      </c>
      <c r="AG186" s="383">
        <f t="shared" si="78"/>
        <v>8.2136935955888529E-2</v>
      </c>
      <c r="AH186" s="383">
        <f t="shared" si="78"/>
        <v>8.5456365140574433E-2</v>
      </c>
      <c r="AI186" s="383">
        <f t="shared" si="78"/>
        <v>8.8909943596643726E-2</v>
      </c>
      <c r="AJ186" s="383">
        <f t="shared" si="78"/>
        <v>9.2503092746278187E-2</v>
      </c>
      <c r="AK186" s="383">
        <f t="shared" si="78"/>
        <v>9.624145310952098E-2</v>
      </c>
      <c r="AL186" s="383">
        <f t="shared" ref="AL186" si="80">AL182*$C164</f>
        <v>0.10013089315875649</v>
      </c>
    </row>
    <row r="187" spans="1:38">
      <c r="B187" s="385" t="s">
        <v>768</v>
      </c>
      <c r="C187" s="386" t="s">
        <v>479</v>
      </c>
      <c r="D187" s="383">
        <f>D183*$C165</f>
        <v>0</v>
      </c>
      <c r="E187" s="383">
        <f t="shared" si="78"/>
        <v>0</v>
      </c>
      <c r="F187" s="383">
        <f t="shared" si="78"/>
        <v>0</v>
      </c>
      <c r="G187" s="383">
        <f t="shared" si="78"/>
        <v>0</v>
      </c>
      <c r="H187" s="383">
        <f t="shared" si="78"/>
        <v>0</v>
      </c>
      <c r="I187" s="383">
        <f t="shared" si="78"/>
        <v>0</v>
      </c>
      <c r="J187" s="383">
        <f t="shared" si="78"/>
        <v>0</v>
      </c>
      <c r="K187" s="383">
        <f t="shared" si="78"/>
        <v>0</v>
      </c>
      <c r="L187" s="383">
        <f t="shared" si="78"/>
        <v>0</v>
      </c>
      <c r="M187" s="383">
        <f t="shared" si="78"/>
        <v>0</v>
      </c>
      <c r="N187" s="383">
        <f t="shared" si="78"/>
        <v>0</v>
      </c>
      <c r="O187" s="383">
        <f t="shared" si="78"/>
        <v>0</v>
      </c>
      <c r="P187" s="383">
        <f t="shared" si="78"/>
        <v>0</v>
      </c>
      <c r="Q187" s="383">
        <f t="shared" si="78"/>
        <v>0</v>
      </c>
      <c r="R187" s="383">
        <f t="shared" si="78"/>
        <v>0</v>
      </c>
      <c r="S187" s="383">
        <f t="shared" si="78"/>
        <v>0</v>
      </c>
      <c r="T187" s="383">
        <f t="shared" si="78"/>
        <v>0</v>
      </c>
      <c r="U187" s="383">
        <f t="shared" si="78"/>
        <v>0</v>
      </c>
      <c r="V187" s="383">
        <f t="shared" si="78"/>
        <v>0</v>
      </c>
      <c r="W187" s="383">
        <f t="shared" si="78"/>
        <v>0</v>
      </c>
      <c r="X187" s="383">
        <f t="shared" si="78"/>
        <v>0</v>
      </c>
      <c r="Y187" s="383">
        <f t="shared" si="78"/>
        <v>0</v>
      </c>
      <c r="Z187" s="383">
        <f t="shared" si="78"/>
        <v>0</v>
      </c>
      <c r="AA187" s="383">
        <f t="shared" si="78"/>
        <v>0</v>
      </c>
      <c r="AB187" s="383">
        <f t="shared" si="78"/>
        <v>0</v>
      </c>
      <c r="AC187" s="383">
        <f t="shared" si="78"/>
        <v>0</v>
      </c>
      <c r="AD187" s="383">
        <f t="shared" si="78"/>
        <v>0</v>
      </c>
      <c r="AE187" s="383">
        <f t="shared" si="78"/>
        <v>0</v>
      </c>
      <c r="AF187" s="383">
        <f t="shared" si="78"/>
        <v>0</v>
      </c>
      <c r="AG187" s="383">
        <f t="shared" si="78"/>
        <v>0</v>
      </c>
      <c r="AH187" s="383">
        <f t="shared" si="78"/>
        <v>0</v>
      </c>
      <c r="AI187" s="383">
        <f t="shared" si="78"/>
        <v>0</v>
      </c>
      <c r="AJ187" s="383">
        <f t="shared" si="78"/>
        <v>0</v>
      </c>
      <c r="AK187" s="383">
        <f t="shared" si="78"/>
        <v>0</v>
      </c>
      <c r="AL187" s="383">
        <f t="shared" ref="AL187" si="81">AL183*$C165</f>
        <v>0</v>
      </c>
    </row>
    <row r="188" spans="1:38">
      <c r="D188" s="358"/>
      <c r="F188" s="464"/>
      <c r="G188" s="465"/>
      <c r="H188" s="465"/>
    </row>
    <row r="189" spans="1:38">
      <c r="B189" s="358" t="s">
        <v>459</v>
      </c>
      <c r="C189" s="362" t="s">
        <v>292</v>
      </c>
      <c r="D189" s="485">
        <f>SUMPRODUCT($C$153:$C$155,D185:D187)</f>
        <v>104.4915976914177</v>
      </c>
      <c r="E189" s="485">
        <f t="shared" ref="E189:AK189" si="82">SUMPRODUCT($C$153:$C$155,E185:E187)</f>
        <v>108.71445376578637</v>
      </c>
      <c r="F189" s="485">
        <f t="shared" si="82"/>
        <v>113.10796962351381</v>
      </c>
      <c r="G189" s="485">
        <f t="shared" si="82"/>
        <v>117.67904219907837</v>
      </c>
      <c r="H189" s="485">
        <f t="shared" si="82"/>
        <v>163.24646287363001</v>
      </c>
      <c r="I189" s="485">
        <f t="shared" si="82"/>
        <v>169.84380019639667</v>
      </c>
      <c r="J189" s="485">
        <f t="shared" si="82"/>
        <v>176.70775805711676</v>
      </c>
      <c r="K189" s="485">
        <f t="shared" si="82"/>
        <v>183.84911148634905</v>
      </c>
      <c r="L189" s="485">
        <f t="shared" si="82"/>
        <v>191.27907096979155</v>
      </c>
      <c r="M189" s="485">
        <f t="shared" si="82"/>
        <v>199.00930004648527</v>
      </c>
      <c r="N189" s="485">
        <f t="shared" si="82"/>
        <v>207.05193361821955</v>
      </c>
      <c r="O189" s="485">
        <f t="shared" si="82"/>
        <v>215.41959699888284</v>
      </c>
      <c r="P189" s="485">
        <f t="shared" si="82"/>
        <v>224.12542573366068</v>
      </c>
      <c r="Q189" s="485">
        <f t="shared" si="82"/>
        <v>233.18308621919445</v>
      </c>
      <c r="R189" s="485">
        <f t="shared" si="82"/>
        <v>242.60679715707045</v>
      </c>
      <c r="S189" s="485">
        <f t="shared" si="82"/>
        <v>252.41135187431556</v>
      </c>
      <c r="T189" s="485">
        <f t="shared" si="82"/>
        <v>262.61214154593915</v>
      </c>
      <c r="U189" s="485">
        <f t="shared" si="82"/>
        <v>273.22517935597642</v>
      </c>
      <c r="V189" s="485">
        <f t="shared" si="82"/>
        <v>284.26712563496051</v>
      </c>
      <c r="W189" s="485">
        <f t="shared" si="82"/>
        <v>295.75531401328323</v>
      </c>
      <c r="X189" s="485">
        <f t="shared" si="82"/>
        <v>307.70777863150181</v>
      </c>
      <c r="Y189" s="485">
        <f t="shared" si="82"/>
        <v>320.14328245030549</v>
      </c>
      <c r="Z189" s="485">
        <f t="shared" si="82"/>
        <v>333.08134670458207</v>
      </c>
      <c r="AA189" s="485">
        <f t="shared" si="82"/>
        <v>346.54228154782345</v>
      </c>
      <c r="AB189" s="485">
        <f t="shared" si="82"/>
        <v>360.54721793497174</v>
      </c>
      <c r="AC189" s="485">
        <f t="shared" si="82"/>
        <v>375.11814079376217</v>
      </c>
      <c r="AD189" s="485">
        <f t="shared" si="82"/>
        <v>390.27792353662784</v>
      </c>
      <c r="AE189" s="485">
        <f t="shared" si="82"/>
        <v>406.05036396734772</v>
      </c>
      <c r="AF189" s="485">
        <f t="shared" si="82"/>
        <v>422.46022163880292</v>
      </c>
      <c r="AG189" s="485">
        <f t="shared" si="82"/>
        <v>439.53325672048464</v>
      </c>
      <c r="AH189" s="485">
        <f t="shared" si="82"/>
        <v>457.29627043676913</v>
      </c>
      <c r="AI189" s="485">
        <f t="shared" si="82"/>
        <v>475.77714713943863</v>
      </c>
      <c r="AJ189" s="485">
        <f t="shared" si="82"/>
        <v>495.00489808049446</v>
      </c>
      <c r="AK189" s="485">
        <f t="shared" si="82"/>
        <v>515.00970695397507</v>
      </c>
      <c r="AL189" s="485">
        <f t="shared" ref="AL189" si="83">SUMPRODUCT($C$153:$C$155,AL185:AL187)</f>
        <v>535.82297727827461</v>
      </c>
    </row>
    <row r="190" spans="1:38">
      <c r="D190" s="358"/>
      <c r="F190" s="464"/>
      <c r="G190" s="465"/>
      <c r="H190" s="465"/>
    </row>
    <row r="191" spans="1:38">
      <c r="B191" s="1172" t="s">
        <v>715</v>
      </c>
      <c r="C191" s="358" t="s">
        <v>295</v>
      </c>
      <c r="D191" s="383">
        <f>'Colorado Avenue'!D52</f>
        <v>100.96843463159475</v>
      </c>
      <c r="E191" s="383">
        <f>'Colorado Avenue'!E52</f>
        <v>105.04890786507603</v>
      </c>
      <c r="F191" s="383">
        <f>'Colorado Avenue'!F52</f>
        <v>109.29428671356371</v>
      </c>
      <c r="G191" s="383">
        <f>'Colorado Avenue'!G52</f>
        <v>113.71123556628542</v>
      </c>
      <c r="H191" s="383">
        <f>'Colorado Avenue'!H52</f>
        <v>157.74225085706541</v>
      </c>
      <c r="I191" s="383">
        <f>'Colorado Avenue'!I52</f>
        <v>164.11714450338064</v>
      </c>
      <c r="J191" s="383">
        <f>'Colorado Avenue'!J52</f>
        <v>170.7496689922952</v>
      </c>
      <c r="K191" s="383">
        <f>'Colorado Avenue'!K52</f>
        <v>177.65023605061458</v>
      </c>
      <c r="L191" s="383">
        <f>'Colorado Avenue'!L52</f>
        <v>184.82967817795969</v>
      </c>
      <c r="M191" s="383">
        <f>'Colorado Avenue'!M52</f>
        <v>192.29926565160886</v>
      </c>
      <c r="N191" s="383">
        <f>'Colorado Avenue'!N52</f>
        <v>200.07072421856137</v>
      </c>
      <c r="O191" s="383">
        <f>'Colorado Avenue'!O52</f>
        <v>208.15625350259759</v>
      </c>
      <c r="P191" s="383">
        <f>'Colorado Avenue'!P52</f>
        <v>216.56854615522946</v>
      </c>
      <c r="Q191" s="383">
        <f>'Colorado Avenue'!Q52</f>
        <v>225.32080778060518</v>
      </c>
      <c r="R191" s="383">
        <f>'Colorado Avenue'!R52</f>
        <v>234.42677766564717</v>
      </c>
      <c r="S191" s="383">
        <f>'Colorado Avenue'!S52</f>
        <v>243.90075034796331</v>
      </c>
      <c r="T191" s="383">
        <f>'Colorado Avenue'!T52</f>
        <v>253.75759805538974</v>
      </c>
      <c r="U191" s="383">
        <f>'Colorado Avenue'!U52</f>
        <v>264.01279405239194</v>
      </c>
      <c r="V191" s="383">
        <f>'Colorado Avenue'!V52</f>
        <v>274.68243692997191</v>
      </c>
      <c r="W191" s="383">
        <f>'Colorado Avenue'!W52</f>
        <v>285.78327587721094</v>
      </c>
      <c r="X191" s="383">
        <f>'Colorado Avenue'!X52</f>
        <v>297.33273697412142</v>
      </c>
      <c r="Y191" s="383">
        <f>'Colorado Avenue'!Y52</f>
        <v>309.34895054708085</v>
      </c>
      <c r="Z191" s="383">
        <f>'Colorado Avenue'!Z52</f>
        <v>321.85077962978994</v>
      </c>
      <c r="AA191" s="383">
        <f>'Colorado Avenue'!AA52</f>
        <v>334.85784957443479</v>
      </c>
      <c r="AB191" s="383">
        <f>'Colorado Avenue'!AB52</f>
        <v>348.39057885953378</v>
      </c>
      <c r="AC191" s="383">
        <f>'Colorado Avenue'!AC52</f>
        <v>362.47021114283484</v>
      </c>
      <c r="AD191" s="383">
        <f>'Colorado Avenue'!AD52</f>
        <v>377.11884860957662</v>
      </c>
      <c r="AE191" s="383">
        <f>'Colorado Avenue'!AE52</f>
        <v>392.35948666846491</v>
      </c>
      <c r="AF191" s="383">
        <f>'Colorado Avenue'!AF52</f>
        <v>408.21605004983024</v>
      </c>
      <c r="AG191" s="383">
        <f>'Colorado Avenue'!AG52</f>
        <v>424.71343036263312</v>
      </c>
      <c r="AH191" s="383">
        <f>'Colorado Avenue'!AH52</f>
        <v>441.87752516927321</v>
      </c>
      <c r="AI191" s="383">
        <f>'Colorado Avenue'!AI52</f>
        <v>459.73527863954399</v>
      </c>
      <c r="AJ191" s="383">
        <f>'Colorado Avenue'!AJ52</f>
        <v>478.31472384754881</v>
      </c>
      <c r="AK191" s="383">
        <f>'Colorado Avenue'!AK52</f>
        <v>497.64502677797736</v>
      </c>
      <c r="AL191" s="383">
        <f>'Colorado Avenue'!AL52</f>
        <v>517.75653211082522</v>
      </c>
    </row>
    <row r="192" spans="1:38">
      <c r="B192" s="1172" t="s">
        <v>716</v>
      </c>
      <c r="C192" s="358" t="s">
        <v>295</v>
      </c>
      <c r="D192" s="383">
        <f>'Colorado Avenue'!D53</f>
        <v>0.47543189927009039</v>
      </c>
      <c r="E192" s="383">
        <f>'Colorado Avenue'!E53</f>
        <v>0.49464569758629912</v>
      </c>
      <c r="F192" s="383">
        <f>'Colorado Avenue'!F53</f>
        <v>0.51463598996254623</v>
      </c>
      <c r="G192" s="383">
        <f>'Colorado Avenue'!G53</f>
        <v>0.53543415712925013</v>
      </c>
      <c r="H192" s="383">
        <f>'Colorado Avenue'!H53</f>
        <v>0.74276379735658704</v>
      </c>
      <c r="I192" s="383">
        <f>'Colorado Avenue'!I53</f>
        <v>0.77278137468133323</v>
      </c>
      <c r="J192" s="383">
        <f>'Colorado Avenue'!J53</f>
        <v>0.80401206302690964</v>
      </c>
      <c r="K192" s="383">
        <f>'Colorado Avenue'!K53</f>
        <v>0.83650488828014768</v>
      </c>
      <c r="L192" s="383">
        <f>'Colorado Avenue'!L53</f>
        <v>0.87031085762846627</v>
      </c>
      <c r="M192" s="383">
        <f>'Colorado Avenue'!M53</f>
        <v>0.90548303963087828</v>
      </c>
      <c r="N192" s="383">
        <f>'Colorado Avenue'!N53</f>
        <v>0.9420766475249327</v>
      </c>
      <c r="O192" s="383">
        <f>'Colorado Avenue'!O53</f>
        <v>0.98014912590037129</v>
      </c>
      <c r="P192" s="383">
        <f>'Colorado Avenue'!P53</f>
        <v>1.0197602408755566</v>
      </c>
      <c r="Q192" s="383">
        <f>'Colorado Avenue'!Q53</f>
        <v>1.060972173918233</v>
      </c>
      <c r="R192" s="383">
        <f>'Colorado Avenue'!R53</f>
        <v>1.1038496194579011</v>
      </c>
      <c r="S192" s="383">
        <f>'Colorado Avenue'!S53</f>
        <v>1.1484598864430353</v>
      </c>
      <c r="T192" s="383">
        <f>'Colorado Avenue'!T53</f>
        <v>1.1948730040025639</v>
      </c>
      <c r="U192" s="383">
        <f>'Colorado Avenue'!U53</f>
        <v>1.2431618313774919</v>
      </c>
      <c r="V192" s="383">
        <f>'Colorado Avenue'!V53</f>
        <v>1.2934021722952276</v>
      </c>
      <c r="W192" s="383">
        <f>'Colorado Avenue'!W53</f>
        <v>1.3456728939661544</v>
      </c>
      <c r="X192" s="383">
        <f>'Colorado Avenue'!X53</f>
        <v>1.4000560508892583</v>
      </c>
      <c r="Y192" s="383">
        <f>'Colorado Avenue'!Y53</f>
        <v>1.4566370136611568</v>
      </c>
      <c r="Z192" s="383">
        <f>'Colorado Avenue'!Z53</f>
        <v>1.5155046029907284</v>
      </c>
      <c r="AA192" s="383">
        <f>'Colorado Avenue'!AA53</f>
        <v>1.5767512291297294</v>
      </c>
      <c r="AB192" s="383">
        <f>'Colorado Avenue'!AB53</f>
        <v>1.640473036938259</v>
      </c>
      <c r="AC192" s="383">
        <f>'Colorado Avenue'!AC53</f>
        <v>1.7067700568128217</v>
      </c>
      <c r="AD192" s="383">
        <f>'Colorado Avenue'!AD53</f>
        <v>1.7757463617138856</v>
      </c>
      <c r="AE192" s="383">
        <f>'Colorado Avenue'!AE53</f>
        <v>1.8475102305394595</v>
      </c>
      <c r="AF192" s="383">
        <f>'Colorado Avenue'!AF53</f>
        <v>1.922174318101139</v>
      </c>
      <c r="AG192" s="383">
        <f>'Colorado Avenue'!AG53</f>
        <v>1.9998558319694599</v>
      </c>
      <c r="AH192" s="383">
        <f>'Colorado Avenue'!AH53</f>
        <v>2.0806767164661601</v>
      </c>
      <c r="AI192" s="383">
        <f>'Colorado Avenue'!AI53</f>
        <v>2.1647638440921955</v>
      </c>
      <c r="AJ192" s="383">
        <f>'Colorado Avenue'!AJ53</f>
        <v>2.2522492146919908</v>
      </c>
      <c r="AK192" s="383">
        <f>'Colorado Avenue'!AK53</f>
        <v>2.3432701626665979</v>
      </c>
      <c r="AL192" s="383">
        <f>'Colorado Avenue'!AL53</f>
        <v>2.4379695725610278</v>
      </c>
    </row>
    <row r="193" spans="1:38">
      <c r="D193" s="358"/>
      <c r="F193" s="464"/>
      <c r="G193" s="465"/>
      <c r="H193" s="465"/>
    </row>
    <row r="194" spans="1:38">
      <c r="B194" s="358" t="s">
        <v>208</v>
      </c>
      <c r="C194" s="362" t="s">
        <v>292</v>
      </c>
      <c r="D194" s="485">
        <f>SUMPRODUCT(D191:D192,D$150:D$151)</f>
        <v>214.06753519819264</v>
      </c>
      <c r="E194" s="485">
        <f t="shared" ref="E194:AK194" si="84">SUMPRODUCT(E191:E192,E$150:E$151)</f>
        <v>223.28456549213561</v>
      </c>
      <c r="F194" s="485">
        <f t="shared" si="84"/>
        <v>231.65796843638009</v>
      </c>
      <c r="G194" s="485">
        <f t="shared" si="84"/>
        <v>237.60047222843608</v>
      </c>
      <c r="H194" s="485">
        <f t="shared" si="84"/>
        <v>334.84800434579432</v>
      </c>
      <c r="I194" s="485">
        <f t="shared" si="84"/>
        <v>352.63408684988059</v>
      </c>
      <c r="J194" s="485">
        <f t="shared" si="84"/>
        <v>372.96406660903853</v>
      </c>
      <c r="K194" s="485">
        <f t="shared" si="84"/>
        <v>391.06159865567821</v>
      </c>
      <c r="L194" s="485">
        <f t="shared" si="84"/>
        <v>414.02818629137334</v>
      </c>
      <c r="M194" s="485">
        <f t="shared" si="84"/>
        <v>447.61308159374306</v>
      </c>
      <c r="N194" s="485">
        <f t="shared" si="84"/>
        <v>470.22566358502081</v>
      </c>
      <c r="O194" s="485">
        <f t="shared" si="84"/>
        <v>495.02970949324282</v>
      </c>
      <c r="P194" s="485">
        <f t="shared" si="84"/>
        <v>526.61562970348996</v>
      </c>
      <c r="Q194" s="485">
        <f t="shared" si="84"/>
        <v>558.92911223560736</v>
      </c>
      <c r="R194" s="485">
        <f t="shared" si="84"/>
        <v>589.32991341877073</v>
      </c>
      <c r="S194" s="485">
        <f t="shared" si="84"/>
        <v>622.39938971114236</v>
      </c>
      <c r="T194" s="485">
        <f t="shared" si="84"/>
        <v>650.53781661473579</v>
      </c>
      <c r="U194" s="485">
        <f t="shared" si="84"/>
        <v>686.16804254159251</v>
      </c>
      <c r="V194" s="485">
        <f t="shared" si="84"/>
        <v>725.73033337646882</v>
      </c>
      <c r="W194" s="485">
        <f t="shared" si="84"/>
        <v>758.83540912827141</v>
      </c>
      <c r="X194" s="485">
        <f t="shared" si="84"/>
        <v>796.76017980858614</v>
      </c>
      <c r="Y194" s="485">
        <f t="shared" si="84"/>
        <v>844.5384895119978</v>
      </c>
      <c r="Z194" s="485">
        <f t="shared" si="84"/>
        <v>887.64995307332481</v>
      </c>
      <c r="AA194" s="485">
        <f t="shared" si="84"/>
        <v>932.67897267050057</v>
      </c>
      <c r="AB194" s="485">
        <f t="shared" si="84"/>
        <v>985.58938211279872</v>
      </c>
      <c r="AC194" s="485">
        <f t="shared" si="84"/>
        <v>1029.8473346209159</v>
      </c>
      <c r="AD194" s="485">
        <f t="shared" si="84"/>
        <v>1093.6447331761726</v>
      </c>
      <c r="AE194" s="485">
        <f t="shared" si="84"/>
        <v>1153.6881933814243</v>
      </c>
      <c r="AF194" s="485">
        <f t="shared" si="84"/>
        <v>1213.0566233801467</v>
      </c>
      <c r="AG194" s="485">
        <f t="shared" si="84"/>
        <v>1273.5094421545873</v>
      </c>
      <c r="AH194" s="485">
        <f t="shared" si="84"/>
        <v>1338.6183339658967</v>
      </c>
      <c r="AI194" s="485">
        <f t="shared" si="84"/>
        <v>1407.005607447509</v>
      </c>
      <c r="AJ194" s="485">
        <f t="shared" si="84"/>
        <v>1478.8347161172514</v>
      </c>
      <c r="AK194" s="485">
        <f t="shared" si="84"/>
        <v>1554.2772099975271</v>
      </c>
      <c r="AL194" s="485">
        <f t="shared" ref="AL194" si="85">SUMPRODUCT(AL191:AL192,AL$150:AL$151)</f>
        <v>1633.5131349195701</v>
      </c>
    </row>
    <row r="196" spans="1:38" ht="13">
      <c r="B196" s="364" t="s">
        <v>520</v>
      </c>
      <c r="C196" s="387" t="s">
        <v>292</v>
      </c>
      <c r="D196" s="488">
        <f>D189+D194</f>
        <v>318.55913288961034</v>
      </c>
      <c r="E196" s="488">
        <f t="shared" ref="E196:AK196" si="86">E189+E194</f>
        <v>331.99901925792199</v>
      </c>
      <c r="F196" s="488">
        <f t="shared" si="86"/>
        <v>344.76593805989387</v>
      </c>
      <c r="G196" s="488">
        <f t="shared" si="86"/>
        <v>355.27951442751441</v>
      </c>
      <c r="H196" s="488">
        <f t="shared" si="86"/>
        <v>498.09446721942436</v>
      </c>
      <c r="I196" s="488">
        <f t="shared" si="86"/>
        <v>522.47788704627726</v>
      </c>
      <c r="J196" s="488">
        <f t="shared" si="86"/>
        <v>549.67182466615532</v>
      </c>
      <c r="K196" s="488">
        <f t="shared" si="86"/>
        <v>574.91071014202726</v>
      </c>
      <c r="L196" s="488">
        <f t="shared" si="86"/>
        <v>605.30725726116486</v>
      </c>
      <c r="M196" s="488">
        <f t="shared" si="86"/>
        <v>646.62238164022835</v>
      </c>
      <c r="N196" s="488">
        <f t="shared" si="86"/>
        <v>677.27759720324036</v>
      </c>
      <c r="O196" s="488">
        <f t="shared" si="86"/>
        <v>710.44930649212563</v>
      </c>
      <c r="P196" s="488">
        <f t="shared" si="86"/>
        <v>750.74105543715064</v>
      </c>
      <c r="Q196" s="488">
        <f t="shared" si="86"/>
        <v>792.11219845480184</v>
      </c>
      <c r="R196" s="488">
        <f t="shared" si="86"/>
        <v>831.93671057584118</v>
      </c>
      <c r="S196" s="488">
        <f t="shared" si="86"/>
        <v>874.81074158545789</v>
      </c>
      <c r="T196" s="488">
        <f t="shared" si="86"/>
        <v>913.14995816067494</v>
      </c>
      <c r="U196" s="488">
        <f t="shared" si="86"/>
        <v>959.39322189756899</v>
      </c>
      <c r="V196" s="488">
        <f t="shared" si="86"/>
        <v>1009.9974590114293</v>
      </c>
      <c r="W196" s="488">
        <f t="shared" si="86"/>
        <v>1054.5907231415547</v>
      </c>
      <c r="X196" s="488">
        <f t="shared" si="86"/>
        <v>1104.4679584400878</v>
      </c>
      <c r="Y196" s="488">
        <f t="shared" si="86"/>
        <v>1164.6817719623032</v>
      </c>
      <c r="Z196" s="488">
        <f t="shared" si="86"/>
        <v>1220.7312997779068</v>
      </c>
      <c r="AA196" s="488">
        <f t="shared" si="86"/>
        <v>1279.221254218324</v>
      </c>
      <c r="AB196" s="488">
        <f t="shared" si="86"/>
        <v>1346.1366000477706</v>
      </c>
      <c r="AC196" s="488">
        <f t="shared" si="86"/>
        <v>1404.9654754146782</v>
      </c>
      <c r="AD196" s="488">
        <f t="shared" si="86"/>
        <v>1483.9226567128005</v>
      </c>
      <c r="AE196" s="488">
        <f t="shared" si="86"/>
        <v>1559.738557348772</v>
      </c>
      <c r="AF196" s="488">
        <f t="shared" si="86"/>
        <v>1635.5168450189497</v>
      </c>
      <c r="AG196" s="488">
        <f t="shared" si="86"/>
        <v>1713.0426988750719</v>
      </c>
      <c r="AH196" s="488">
        <f t="shared" si="86"/>
        <v>1795.9146044026659</v>
      </c>
      <c r="AI196" s="488">
        <f t="shared" si="86"/>
        <v>1882.7827545869477</v>
      </c>
      <c r="AJ196" s="488">
        <f t="shared" si="86"/>
        <v>1973.839614197746</v>
      </c>
      <c r="AK196" s="488">
        <f t="shared" si="86"/>
        <v>2069.286916951502</v>
      </c>
      <c r="AL196" s="488">
        <f t="shared" ref="AL196" si="87">AL189+AL194</f>
        <v>2169.3361121978446</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88">E172-E191</f>
        <v>0</v>
      </c>
      <c r="F200" s="383">
        <f t="shared" si="88"/>
        <v>0</v>
      </c>
      <c r="G200" s="383">
        <f t="shared" si="88"/>
        <v>0</v>
      </c>
      <c r="H200" s="383">
        <f t="shared" si="88"/>
        <v>-39.435562714266368</v>
      </c>
      <c r="I200" s="383">
        <f t="shared" si="88"/>
        <v>-41.029286125845175</v>
      </c>
      <c r="J200" s="383">
        <f t="shared" si="88"/>
        <v>-42.687417248073785</v>
      </c>
      <c r="K200" s="383">
        <f t="shared" si="88"/>
        <v>-44.412559012653674</v>
      </c>
      <c r="L200" s="383">
        <f t="shared" si="88"/>
        <v>-46.207419544489909</v>
      </c>
      <c r="M200" s="383">
        <f t="shared" si="88"/>
        <v>-48.074816412902209</v>
      </c>
      <c r="N200" s="383">
        <f t="shared" si="88"/>
        <v>-50.017681054640349</v>
      </c>
      <c r="O200" s="383">
        <f t="shared" si="88"/>
        <v>-52.039063375649363</v>
      </c>
      <c r="P200" s="383">
        <f t="shared" si="88"/>
        <v>-54.142136538807421</v>
      </c>
      <c r="Q200" s="383">
        <f t="shared" si="88"/>
        <v>-56.330201945151316</v>
      </c>
      <c r="R200" s="383">
        <f t="shared" si="88"/>
        <v>-58.606694416411784</v>
      </c>
      <c r="S200" s="383">
        <f t="shared" si="88"/>
        <v>-60.975187586990813</v>
      </c>
      <c r="T200" s="383">
        <f t="shared" si="88"/>
        <v>-63.439399513847462</v>
      </c>
      <c r="U200" s="383">
        <f t="shared" si="88"/>
        <v>-66.003198513097942</v>
      </c>
      <c r="V200" s="383">
        <f t="shared" si="88"/>
        <v>-68.670609232492978</v>
      </c>
      <c r="W200" s="383">
        <f t="shared" si="88"/>
        <v>-71.445818969302735</v>
      </c>
      <c r="X200" s="383">
        <f t="shared" si="88"/>
        <v>-74.333184243530326</v>
      </c>
      <c r="Y200" s="383">
        <f t="shared" si="88"/>
        <v>-77.337237636770141</v>
      </c>
      <c r="Z200" s="383">
        <f t="shared" si="88"/>
        <v>-80.462694907447457</v>
      </c>
      <c r="AA200" s="383">
        <f t="shared" si="88"/>
        <v>-83.714462393608699</v>
      </c>
      <c r="AB200" s="383">
        <f t="shared" si="88"/>
        <v>-87.097644714883472</v>
      </c>
      <c r="AC200" s="383">
        <f t="shared" si="88"/>
        <v>-90.617552785708767</v>
      </c>
      <c r="AD200" s="383">
        <f t="shared" si="88"/>
        <v>-94.279712152394211</v>
      </c>
      <c r="AE200" s="383">
        <f t="shared" si="88"/>
        <v>-98.089871667116256</v>
      </c>
      <c r="AF200" s="383">
        <f t="shared" si="88"/>
        <v>-102.05401251245746</v>
      </c>
      <c r="AG200" s="383">
        <f t="shared" si="88"/>
        <v>-106.17835759065832</v>
      </c>
      <c r="AH200" s="383">
        <f t="shared" si="88"/>
        <v>-110.46938129231819</v>
      </c>
      <c r="AI200" s="383">
        <f t="shared" si="88"/>
        <v>-114.93381965988584</v>
      </c>
      <c r="AJ200" s="383">
        <f t="shared" si="88"/>
        <v>-119.57868096188719</v>
      </c>
      <c r="AK200" s="383">
        <f t="shared" si="88"/>
        <v>-124.41125669449434</v>
      </c>
      <c r="AL200" s="383">
        <f t="shared" ref="AL200" si="89">AL172-AL191</f>
        <v>-129.43913302770625</v>
      </c>
    </row>
    <row r="201" spans="1:38" ht="13">
      <c r="B201" s="364" t="s">
        <v>820</v>
      </c>
      <c r="C201" s="387" t="s">
        <v>295</v>
      </c>
      <c r="D201" s="383">
        <f>D173-D192</f>
        <v>0</v>
      </c>
      <c r="E201" s="383">
        <f t="shared" si="88"/>
        <v>0</v>
      </c>
      <c r="F201" s="383">
        <f t="shared" si="88"/>
        <v>0</v>
      </c>
      <c r="G201" s="383">
        <f t="shared" si="88"/>
        <v>0</v>
      </c>
      <c r="H201" s="383">
        <f t="shared" si="88"/>
        <v>-0.18569094933914676</v>
      </c>
      <c r="I201" s="383">
        <f t="shared" si="88"/>
        <v>-0.19319534367033342</v>
      </c>
      <c r="J201" s="383">
        <f t="shared" si="88"/>
        <v>-0.2010030157567273</v>
      </c>
      <c r="K201" s="383">
        <f t="shared" si="88"/>
        <v>-0.20912622207003706</v>
      </c>
      <c r="L201" s="383">
        <f t="shared" si="88"/>
        <v>-0.2175777144071166</v>
      </c>
      <c r="M201" s="383">
        <f t="shared" si="88"/>
        <v>-0.22637075990771949</v>
      </c>
      <c r="N201" s="383">
        <f t="shared" si="88"/>
        <v>-0.23551916188123323</v>
      </c>
      <c r="O201" s="383">
        <f t="shared" si="88"/>
        <v>-0.24503728147509263</v>
      </c>
      <c r="P201" s="383">
        <f t="shared" si="88"/>
        <v>-0.25494006021888926</v>
      </c>
      <c r="Q201" s="383">
        <f t="shared" si="88"/>
        <v>-0.2652430434795584</v>
      </c>
      <c r="R201" s="383">
        <f t="shared" si="88"/>
        <v>-0.27596240486447521</v>
      </c>
      <c r="S201" s="383">
        <f t="shared" si="88"/>
        <v>-0.28711497161075883</v>
      </c>
      <c r="T201" s="383">
        <f t="shared" si="88"/>
        <v>-0.29871825100064109</v>
      </c>
      <c r="U201" s="383">
        <f t="shared" si="88"/>
        <v>-0.31079045784437265</v>
      </c>
      <c r="V201" s="383">
        <f t="shared" si="88"/>
        <v>-0.32335054307380673</v>
      </c>
      <c r="W201" s="383">
        <f t="shared" si="88"/>
        <v>-0.33641822349153871</v>
      </c>
      <c r="X201" s="383">
        <f t="shared" si="88"/>
        <v>-0.35001401272231458</v>
      </c>
      <c r="Y201" s="383">
        <f t="shared" si="88"/>
        <v>-0.36415925341528887</v>
      </c>
      <c r="Z201" s="383">
        <f t="shared" si="88"/>
        <v>-0.37887615074768188</v>
      </c>
      <c r="AA201" s="383">
        <f t="shared" si="88"/>
        <v>-0.39418780728243252</v>
      </c>
      <c r="AB201" s="383">
        <f t="shared" si="88"/>
        <v>-0.41011825923456469</v>
      </c>
      <c r="AC201" s="383">
        <f t="shared" si="88"/>
        <v>-0.42669251420320586</v>
      </c>
      <c r="AD201" s="383">
        <f t="shared" si="88"/>
        <v>-0.44393659042847156</v>
      </c>
      <c r="AE201" s="383">
        <f t="shared" si="88"/>
        <v>-0.46187755763486504</v>
      </c>
      <c r="AF201" s="383">
        <f t="shared" si="88"/>
        <v>-0.48054357952528459</v>
      </c>
      <c r="AG201" s="383">
        <f t="shared" si="88"/>
        <v>-0.49996395799236537</v>
      </c>
      <c r="AH201" s="383">
        <f t="shared" si="88"/>
        <v>-0.52016917911653926</v>
      </c>
      <c r="AI201" s="383">
        <f t="shared" si="88"/>
        <v>-0.54119096102304831</v>
      </c>
      <c r="AJ201" s="383">
        <f t="shared" si="88"/>
        <v>-0.56306230367299737</v>
      </c>
      <c r="AK201" s="383">
        <f t="shared" si="88"/>
        <v>-0.58581754066664948</v>
      </c>
      <c r="AL201" s="383">
        <f t="shared" ref="AL201" si="90">AL173-AL192</f>
        <v>-0.60949239314025649</v>
      </c>
    </row>
    <row r="202" spans="1:38" ht="13">
      <c r="B202" s="364" t="s">
        <v>821</v>
      </c>
      <c r="C202" s="387" t="s">
        <v>479</v>
      </c>
      <c r="D202" s="383">
        <f>SUM(D166:D168)-SUM(D185:D187)</f>
        <v>0</v>
      </c>
      <c r="E202" s="383">
        <f t="shared" ref="E202:AE202" si="91">SUM(E166:E168)-SUM(E185:E187)</f>
        <v>0</v>
      </c>
      <c r="F202" s="383">
        <f t="shared" si="91"/>
        <v>0</v>
      </c>
      <c r="G202" s="383">
        <f t="shared" si="91"/>
        <v>0</v>
      </c>
      <c r="H202" s="383">
        <f t="shared" si="91"/>
        <v>-3.8132962810717661</v>
      </c>
      <c r="I202" s="383">
        <f t="shared" si="91"/>
        <v>-3.9674043789443481</v>
      </c>
      <c r="J202" s="383">
        <f t="shared" si="91"/>
        <v>-4.1277405021470805</v>
      </c>
      <c r="K202" s="383">
        <f t="shared" si="91"/>
        <v>-4.2945563460811194</v>
      </c>
      <c r="L202" s="383">
        <f t="shared" si="91"/>
        <v>-4.4681137780032856</v>
      </c>
      <c r="M202" s="383">
        <f t="shared" si="91"/>
        <v>-4.6486852481049539</v>
      </c>
      <c r="N202" s="383">
        <f t="shared" si="91"/>
        <v>-4.8365542172038936</v>
      </c>
      <c r="O202" s="383">
        <f t="shared" si="91"/>
        <v>-5.0320156017206532</v>
      </c>
      <c r="P202" s="383">
        <f t="shared" si="91"/>
        <v>-5.2353762366379062</v>
      </c>
      <c r="Q202" s="383">
        <f t="shared" si="91"/>
        <v>-5.4469553571695002</v>
      </c>
      <c r="R202" s="383">
        <f t="shared" si="91"/>
        <v>-5.6670850998954769</v>
      </c>
      <c r="S202" s="383">
        <f t="shared" si="91"/>
        <v>-5.8961110241495085</v>
      </c>
      <c r="T202" s="383">
        <f t="shared" si="91"/>
        <v>-6.1343926544774483</v>
      </c>
      <c r="U202" s="383">
        <f t="shared" si="91"/>
        <v>-6.382304045018369</v>
      </c>
      <c r="V202" s="383">
        <f t="shared" si="91"/>
        <v>-6.6402343666942478</v>
      </c>
      <c r="W202" s="383">
        <f t="shared" si="91"/>
        <v>-6.9085885181298075</v>
      </c>
      <c r="X202" s="383">
        <f t="shared" si="91"/>
        <v>-7.1877877612618128</v>
      </c>
      <c r="Y202" s="383">
        <f t="shared" si="91"/>
        <v>-7.4782703826353938</v>
      </c>
      <c r="Z202" s="383">
        <f t="shared" si="91"/>
        <v>-7.7804923814256099</v>
      </c>
      <c r="AA202" s="383">
        <f t="shared" si="91"/>
        <v>-8.0949281852642372</v>
      </c>
      <c r="AB202" s="383">
        <f t="shared" si="91"/>
        <v>-8.4220713949955268</v>
      </c>
      <c r="AC202" s="383">
        <f t="shared" si="91"/>
        <v>-8.7624355595301147</v>
      </c>
      <c r="AD202" s="383">
        <f t="shared" si="91"/>
        <v>-9.116554982013259</v>
      </c>
      <c r="AE202" s="383">
        <f t="shared" si="91"/>
        <v>-9.4849855585731184</v>
      </c>
      <c r="AF202" s="383">
        <f t="shared" ref="AF202:AJ202" si="92">SUM(AF166:AF168)-SUM(AF185:AF187)</f>
        <v>-9.8683056509656666</v>
      </c>
      <c r="AG202" s="383">
        <f t="shared" si="92"/>
        <v>-10.267116994486067</v>
      </c>
      <c r="AH202" s="383">
        <f t="shared" si="92"/>
        <v>-10.682045642571794</v>
      </c>
      <c r="AI202" s="383">
        <f t="shared" si="92"/>
        <v>-11.113742949580455</v>
      </c>
      <c r="AJ202" s="383">
        <f t="shared" si="92"/>
        <v>-11.562886593284773</v>
      </c>
      <c r="AK202" s="383">
        <f t="shared" ref="AK202:AL202" si="93">SUM(AK166:AK168)-SUM(AK185:AK187)</f>
        <v>-12.030181638690117</v>
      </c>
      <c r="AL202" s="383">
        <f t="shared" si="93"/>
        <v>-12.516361644844558</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D177-D196</f>
        <v>0</v>
      </c>
      <c r="E204" s="488">
        <f t="shared" ref="E204:AK204" si="94">E177-E196</f>
        <v>0</v>
      </c>
      <c r="F204" s="488">
        <f t="shared" si="94"/>
        <v>0</v>
      </c>
      <c r="G204" s="488">
        <f t="shared" si="94"/>
        <v>0</v>
      </c>
      <c r="H204" s="488">
        <f t="shared" si="94"/>
        <v>-124.52361680485615</v>
      </c>
      <c r="I204" s="488">
        <f t="shared" si="94"/>
        <v>-130.6194717615694</v>
      </c>
      <c r="J204" s="488">
        <f t="shared" si="94"/>
        <v>-137.41795616653889</v>
      </c>
      <c r="K204" s="488">
        <f t="shared" si="94"/>
        <v>-143.72767753550693</v>
      </c>
      <c r="L204" s="488">
        <f t="shared" si="94"/>
        <v>-151.32681431529124</v>
      </c>
      <c r="M204" s="488">
        <f t="shared" si="94"/>
        <v>-161.65559541005706</v>
      </c>
      <c r="N204" s="488">
        <f t="shared" si="94"/>
        <v>-169.31939930081012</v>
      </c>
      <c r="O204" s="488">
        <f t="shared" si="94"/>
        <v>-177.61232662303121</v>
      </c>
      <c r="P204" s="488">
        <f t="shared" si="94"/>
        <v>-187.68526385928783</v>
      </c>
      <c r="Q204" s="488">
        <f t="shared" si="94"/>
        <v>-198.02804961370055</v>
      </c>
      <c r="R204" s="488">
        <f t="shared" si="94"/>
        <v>-207.98417764396038</v>
      </c>
      <c r="S204" s="488">
        <f t="shared" si="94"/>
        <v>-218.70268539636436</v>
      </c>
      <c r="T204" s="488">
        <f t="shared" si="94"/>
        <v>-228.28748954016874</v>
      </c>
      <c r="U204" s="488">
        <f t="shared" si="94"/>
        <v>-239.84830547439219</v>
      </c>
      <c r="V204" s="488">
        <f t="shared" si="94"/>
        <v>-252.49936475285733</v>
      </c>
      <c r="W204" s="488">
        <f t="shared" si="94"/>
        <v>-263.64768078538873</v>
      </c>
      <c r="X204" s="488">
        <f t="shared" si="94"/>
        <v>-276.11698961002173</v>
      </c>
      <c r="Y204" s="488">
        <f t="shared" si="94"/>
        <v>-291.17044299057545</v>
      </c>
      <c r="Z204" s="488">
        <f t="shared" si="94"/>
        <v>-305.18282494447647</v>
      </c>
      <c r="AA204" s="488">
        <f t="shared" si="94"/>
        <v>-319.80531355458106</v>
      </c>
      <c r="AB204" s="488">
        <f t="shared" si="94"/>
        <v>-336.53415001194287</v>
      </c>
      <c r="AC204" s="488">
        <f t="shared" si="94"/>
        <v>-351.24136885366966</v>
      </c>
      <c r="AD204" s="488">
        <f t="shared" si="94"/>
        <v>-370.98066417820041</v>
      </c>
      <c r="AE204" s="488">
        <f t="shared" si="94"/>
        <v>-389.93463933719318</v>
      </c>
      <c r="AF204" s="488">
        <f t="shared" si="94"/>
        <v>-408.8792112547369</v>
      </c>
      <c r="AG204" s="488">
        <f t="shared" si="94"/>
        <v>-428.26067471876809</v>
      </c>
      <c r="AH204" s="488">
        <f t="shared" si="94"/>
        <v>-448.97865110066596</v>
      </c>
      <c r="AI204" s="488">
        <f t="shared" si="94"/>
        <v>-470.69568864673647</v>
      </c>
      <c r="AJ204" s="488">
        <f t="shared" si="94"/>
        <v>-493.45990354943615</v>
      </c>
      <c r="AK204" s="488">
        <f t="shared" si="94"/>
        <v>-517.32172923787516</v>
      </c>
      <c r="AL204" s="488">
        <f t="shared" ref="AL204" si="95">AL177-AL196</f>
        <v>-542.33402804946081</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theme="4" tint="0.39997558519241921"/>
  </sheetPr>
  <dimension ref="A1:AL135"/>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7" width="6.33203125" style="398" bestFit="1" customWidth="1"/>
    <col min="8" max="8" width="7.08203125" style="1228" customWidth="1"/>
    <col min="9" max="10" width="6.33203125" style="398" bestFit="1" customWidth="1"/>
    <col min="11" max="11" width="6.33203125" style="398" customWidth="1"/>
    <col min="12"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1227">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Inputs'!C50</f>
        <v>975187R</v>
      </c>
      <c r="E4" s="410"/>
    </row>
    <row r="5" spans="1:38">
      <c r="B5" s="358" t="s">
        <v>628</v>
      </c>
      <c r="C5" s="399" t="s">
        <v>629</v>
      </c>
      <c r="D5" s="439" t="str">
        <f>'Crossing Inputs'!C52</f>
        <v>Urban</v>
      </c>
      <c r="E5" s="398">
        <f>SUMIFS('Accidents Methodology'!$C$22:$C$23,'Accidents Methodology'!$B$22:$B$23,$D5)</f>
        <v>1</v>
      </c>
    </row>
    <row r="6" spans="1:38">
      <c r="B6" s="358" t="s">
        <v>615</v>
      </c>
      <c r="C6" s="399" t="s">
        <v>150</v>
      </c>
      <c r="D6" s="439" t="str">
        <f>'Crossing Inputs'!C53</f>
        <v>Passive</v>
      </c>
      <c r="E6" s="398">
        <f>SUMIFS('Accidents Methodology'!$C$3:$C$5,'Accidents Methodology'!$B$3:$B$5,$D6)</f>
        <v>2.2680000000000001E-3</v>
      </c>
    </row>
    <row r="7" spans="1:38">
      <c r="B7" s="358" t="s">
        <v>630</v>
      </c>
      <c r="C7" s="399" t="s">
        <v>631</v>
      </c>
      <c r="D7" s="439" t="str">
        <f>'Crossing Inputs'!C55</f>
        <v>Yes</v>
      </c>
      <c r="E7" s="398">
        <f>SUMIFS('Accidents Methodology'!$C$26:$C$27,'Accidents Methodology'!$B$26:$B$27,$D7)</f>
        <v>1</v>
      </c>
    </row>
    <row r="8" spans="1:38">
      <c r="B8" s="358" t="s">
        <v>632</v>
      </c>
      <c r="C8" s="399" t="s">
        <v>633</v>
      </c>
      <c r="D8" s="439" t="str">
        <f>'Crossing Inputs'!$C$52&amp;" - "&amp;'Crossing Inputs'!$C$54</f>
        <v>Urban - Local</v>
      </c>
      <c r="E8" s="398">
        <f>SUMIFS('Accidents Methodology'!$C$8:$C$19,'Accidents Methodology'!$B$8:$B$19,$D8)</f>
        <v>6</v>
      </c>
    </row>
    <row r="9" spans="1:38">
      <c r="B9" s="358" t="s">
        <v>607</v>
      </c>
      <c r="C9" s="399" t="s">
        <v>635</v>
      </c>
      <c r="D9" s="439">
        <f>'Crossing Inputs'!C56</f>
        <v>0</v>
      </c>
    </row>
    <row r="10" spans="1:38">
      <c r="B10" s="358" t="s">
        <v>636</v>
      </c>
      <c r="C10" s="399" t="s">
        <v>637</v>
      </c>
      <c r="D10" s="439">
        <f>'Crossing Inputs'!C61</f>
        <v>2</v>
      </c>
    </row>
    <row r="11" spans="1:38">
      <c r="B11" s="358" t="s">
        <v>610</v>
      </c>
      <c r="C11" s="399" t="s">
        <v>638</v>
      </c>
      <c r="D11" s="439">
        <f>'Crossing Inputs'!C57</f>
        <v>1</v>
      </c>
    </row>
    <row r="12" spans="1:38">
      <c r="C12" s="399"/>
      <c r="D12" s="439"/>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3">
      <c r="C14" s="399"/>
      <c r="D14" s="440">
        <f t="shared" ref="D14:AL14" si="0">D$1</f>
        <v>2021</v>
      </c>
      <c r="E14" s="440">
        <f t="shared" si="0"/>
        <v>2022</v>
      </c>
      <c r="F14" s="440">
        <f t="shared" si="0"/>
        <v>2023</v>
      </c>
      <c r="G14" s="440">
        <f t="shared" si="0"/>
        <v>2024</v>
      </c>
      <c r="H14" s="1229">
        <f t="shared" si="0"/>
        <v>2025</v>
      </c>
      <c r="I14" s="440">
        <f t="shared" si="0"/>
        <v>2026</v>
      </c>
      <c r="J14" s="440">
        <f t="shared" si="0"/>
        <v>2027</v>
      </c>
      <c r="K14" s="440">
        <f t="shared" si="0"/>
        <v>2028</v>
      </c>
      <c r="L14" s="440">
        <f t="shared" si="0"/>
        <v>2029</v>
      </c>
      <c r="M14" s="440">
        <f t="shared" si="0"/>
        <v>2030</v>
      </c>
      <c r="N14" s="440">
        <f t="shared" si="0"/>
        <v>2031</v>
      </c>
      <c r="O14" s="440">
        <f t="shared" si="0"/>
        <v>2032</v>
      </c>
      <c r="P14" s="440">
        <f t="shared" si="0"/>
        <v>2033</v>
      </c>
      <c r="Q14" s="440">
        <f t="shared" si="0"/>
        <v>2034</v>
      </c>
      <c r="R14" s="440">
        <f t="shared" si="0"/>
        <v>2035</v>
      </c>
      <c r="S14" s="440">
        <f t="shared" si="0"/>
        <v>2036</v>
      </c>
      <c r="T14" s="440">
        <f t="shared" si="0"/>
        <v>2037</v>
      </c>
      <c r="U14" s="440">
        <f t="shared" si="0"/>
        <v>2038</v>
      </c>
      <c r="V14" s="440">
        <f t="shared" si="0"/>
        <v>2039</v>
      </c>
      <c r="W14" s="440">
        <f t="shared" si="0"/>
        <v>2040</v>
      </c>
      <c r="X14" s="440">
        <f t="shared" si="0"/>
        <v>2041</v>
      </c>
      <c r="Y14" s="440">
        <f t="shared" si="0"/>
        <v>2042</v>
      </c>
      <c r="Z14" s="440">
        <f t="shared" si="0"/>
        <v>2043</v>
      </c>
      <c r="AA14" s="440">
        <f t="shared" si="0"/>
        <v>2044</v>
      </c>
      <c r="AB14" s="440">
        <f t="shared" si="0"/>
        <v>2045</v>
      </c>
      <c r="AC14" s="440">
        <f t="shared" si="0"/>
        <v>2046</v>
      </c>
      <c r="AD14" s="440">
        <f t="shared" si="0"/>
        <v>2047</v>
      </c>
      <c r="AE14" s="440">
        <f t="shared" si="0"/>
        <v>2048</v>
      </c>
      <c r="AF14" s="440">
        <f t="shared" si="0"/>
        <v>2049</v>
      </c>
      <c r="AG14" s="440">
        <f t="shared" si="0"/>
        <v>2050</v>
      </c>
      <c r="AH14" s="440">
        <f t="shared" si="0"/>
        <v>2051</v>
      </c>
      <c r="AI14" s="440">
        <f t="shared" si="0"/>
        <v>2052</v>
      </c>
      <c r="AJ14" s="440">
        <f t="shared" si="0"/>
        <v>2053</v>
      </c>
      <c r="AK14" s="440">
        <f t="shared" si="0"/>
        <v>2054</v>
      </c>
      <c r="AL14" s="440">
        <f t="shared" si="0"/>
        <v>2055</v>
      </c>
    </row>
    <row r="15" spans="1:38" ht="13">
      <c r="B15" s="400" t="s">
        <v>639</v>
      </c>
      <c r="C15" s="401" t="s">
        <v>640</v>
      </c>
      <c r="D15" s="441">
        <f>'Colorado Avenue'!D6</f>
        <v>272.77940536209769</v>
      </c>
      <c r="E15" s="441">
        <f>'Colorado Avenue'!E6</f>
        <v>280.82478487597916</v>
      </c>
      <c r="F15" s="441">
        <f>'Colorado Avenue'!F6</f>
        <v>289.10745551320059</v>
      </c>
      <c r="G15" s="441">
        <f>'Colorado Avenue'!G6</f>
        <v>297.63441595879846</v>
      </c>
      <c r="H15" s="1230">
        <f>'Colorado Avenue'!H6</f>
        <v>306.41287131763443</v>
      </c>
      <c r="I15" s="441">
        <f>'Colorado Avenue'!I6</f>
        <v>315.45023920255994</v>
      </c>
      <c r="J15" s="441">
        <f>'Colorado Avenue'!J6</f>
        <v>324.75415600214512</v>
      </c>
      <c r="K15" s="441">
        <f>'Colorado Avenue'!K6</f>
        <v>334.33248333326912</v>
      </c>
      <c r="L15" s="441">
        <f>'Colorado Avenue'!L6</f>
        <v>344.19331468402316</v>
      </c>
      <c r="M15" s="441">
        <f>'Colorado Avenue'!M6</f>
        <v>354.34498225254026</v>
      </c>
      <c r="N15" s="441">
        <f>'Colorado Avenue'!N6</f>
        <v>364.79606398753032</v>
      </c>
      <c r="O15" s="441">
        <f>'Colorado Avenue'!O6</f>
        <v>375.55539083646875</v>
      </c>
      <c r="P15" s="441">
        <f>'Colorado Avenue'!P6</f>
        <v>386.63205420756401</v>
      </c>
      <c r="Q15" s="441">
        <f>'Colorado Avenue'!Q6</f>
        <v>398.03541365180911</v>
      </c>
      <c r="R15" s="441">
        <f>'Colorado Avenue'!R6</f>
        <v>409.7751047716086</v>
      </c>
      <c r="S15" s="441">
        <f>'Colorado Avenue'!S6</f>
        <v>421.86104736266248</v>
      </c>
      <c r="T15" s="441">
        <f>'Colorado Avenue'!T6</f>
        <v>434.30345379598833</v>
      </c>
      <c r="U15" s="441">
        <f>'Colorado Avenue'!U6</f>
        <v>447.11283764716268</v>
      </c>
      <c r="V15" s="441">
        <f>'Colorado Avenue'!V6</f>
        <v>460.30002258007522</v>
      </c>
      <c r="W15" s="441">
        <f>'Colorado Avenue'!W6</f>
        <v>473.87615149269988</v>
      </c>
      <c r="X15" s="441">
        <f>'Colorado Avenue'!X6</f>
        <v>487.85269593261273</v>
      </c>
      <c r="Y15" s="441">
        <f>'Colorado Avenue'!Y6</f>
        <v>502.24146579021232</v>
      </c>
      <c r="Z15" s="441">
        <f>'Colorado Avenue'!Z6</f>
        <v>517.05461927783188</v>
      </c>
      <c r="AA15" s="441">
        <f>'Colorado Avenue'!AA6</f>
        <v>532.30467320317746</v>
      </c>
      <c r="AB15" s="441">
        <f>'Colorado Avenue'!AB6</f>
        <v>548.0045135457699</v>
      </c>
      <c r="AC15" s="441">
        <f>'Colorado Avenue'!AC6</f>
        <v>564.1674063453313</v>
      </c>
      <c r="AD15" s="441">
        <f>'Colorado Avenue'!AD6</f>
        <v>580.80700891131391</v>
      </c>
      <c r="AE15" s="441">
        <f>'Colorado Avenue'!AE6</f>
        <v>597.93738136304273</v>
      </c>
      <c r="AF15" s="441">
        <f>'Colorado Avenue'!AF6</f>
        <v>615.57299851022572</v>
      </c>
      <c r="AG15" s="441">
        <f>'Colorado Avenue'!AG6</f>
        <v>633.7287620838672</v>
      </c>
      <c r="AH15" s="441">
        <f>'Colorado Avenue'!AH6</f>
        <v>652.42001332792267</v>
      </c>
      <c r="AI15" s="441">
        <f>'Colorado Avenue'!AI6</f>
        <v>671.66254596233136</v>
      </c>
      <c r="AJ15" s="441">
        <f>'Colorado Avenue'!AJ6</f>
        <v>691.47261952838232</v>
      </c>
      <c r="AK15" s="441">
        <f>'Colorado Avenue'!AK6</f>
        <v>711.86697312769036</v>
      </c>
      <c r="AL15" s="441">
        <f>'Colorado Avenue'!AL6</f>
        <v>732.86283956638931</v>
      </c>
    </row>
    <row r="16" spans="1:38" ht="13">
      <c r="B16" s="400" t="s">
        <v>641</v>
      </c>
      <c r="C16" s="401" t="s">
        <v>642</v>
      </c>
      <c r="D16" s="442">
        <f>'Colorado Avenue'!D10</f>
        <v>6.0636386466438061</v>
      </c>
      <c r="E16" s="442">
        <f>'Colorado Avenue'!E10</f>
        <v>6.1279522728453877</v>
      </c>
      <c r="F16" s="442">
        <f>'Colorado Avenue'!F10</f>
        <v>6.1929480377356736</v>
      </c>
      <c r="G16" s="442">
        <f>'Colorado Avenue'!G10</f>
        <v>6.2586331763784937</v>
      </c>
      <c r="H16" s="442">
        <f>'Colorado Avenue'!H10</f>
        <v>6.3250150005759522</v>
      </c>
      <c r="I16" s="442">
        <f>'Colorado Avenue'!I10</f>
        <v>6.3921008996823563</v>
      </c>
      <c r="J16" s="442">
        <f>'Colorado Avenue'!J10</f>
        <v>6.4598983414267632</v>
      </c>
      <c r="K16" s="442">
        <f>'Colorado Avenue'!K10</f>
        <v>6.5284148727442579</v>
      </c>
      <c r="L16" s="442">
        <f>'Colorado Avenue'!L10</f>
        <v>6.5976581206160478</v>
      </c>
      <c r="M16" s="442">
        <f>'Colorado Avenue'!M10</f>
        <v>6.6676357929184693</v>
      </c>
      <c r="N16" s="442">
        <f>'Colorado Avenue'!N10</f>
        <v>6.7383556792809909</v>
      </c>
      <c r="O16" s="442">
        <f>'Colorado Avenue'!O10</f>
        <v>6.8098256519533322</v>
      </c>
      <c r="P16" s="442">
        <f>'Colorado Avenue'!P10</f>
        <v>6.8820536666817631</v>
      </c>
      <c r="Q16" s="442">
        <f>'Colorado Avenue'!Q10</f>
        <v>6.9550477635947088</v>
      </c>
      <c r="R16" s="442">
        <f>'Colorado Avenue'!R10</f>
        <v>7.0288160680977398</v>
      </c>
      <c r="S16" s="442">
        <f>'Colorado Avenue'!S10</f>
        <v>7.1033667917780718</v>
      </c>
      <c r="T16" s="442">
        <f>'Colorado Avenue'!T10</f>
        <v>7.1787082333186234</v>
      </c>
      <c r="U16" s="442">
        <f>'Colorado Avenue'!U10</f>
        <v>7.2548487794218142</v>
      </c>
      <c r="V16" s="442">
        <f>'Colorado Avenue'!V10</f>
        <v>7.3317969057431265</v>
      </c>
      <c r="W16" s="442">
        <f>'Colorado Avenue'!W10</f>
        <v>7.4095611778345836</v>
      </c>
      <c r="X16" s="442">
        <f>'Colorado Avenue'!X10</f>
        <v>7.4881502520982295</v>
      </c>
      <c r="Y16" s="442">
        <f>'Colorado Avenue'!Y10</f>
        <v>7.5675728767497308</v>
      </c>
      <c r="Z16" s="442">
        <f>'Colorado Avenue'!Z10</f>
        <v>7.6478378927921851</v>
      </c>
      <c r="AA16" s="442">
        <f>'Colorado Avenue'!AA10</f>
        <v>7.7289542350002716</v>
      </c>
      <c r="AB16" s="442">
        <f>'Colorado Avenue'!AB10</f>
        <v>7.8109309329148253</v>
      </c>
      <c r="AC16" s="442">
        <f>'Colorado Avenue'!AC10</f>
        <v>7.8937771118479834</v>
      </c>
      <c r="AD16" s="442">
        <f>'Colorado Avenue'!AD10</f>
        <v>7.9775019938989598</v>
      </c>
      <c r="AE16" s="442">
        <f>'Colorado Avenue'!AE10</f>
        <v>8.0621148989806244</v>
      </c>
      <c r="AF16" s="442">
        <f>'Colorado Avenue'!AF10</f>
        <v>8.1476252458569576</v>
      </c>
      <c r="AG16" s="442">
        <f>'Colorado Avenue'!AG10</f>
        <v>8.2340425531914985</v>
      </c>
      <c r="AH16" s="442">
        <f>'Colorado Avenue'!AH10</f>
        <v>8.3213764406069348</v>
      </c>
      <c r="AI16" s="442">
        <f>'Colorado Avenue'!AI10</f>
        <v>8.4096366297559157</v>
      </c>
      <c r="AJ16" s="442">
        <f>'Colorado Avenue'!AJ10</f>
        <v>8.4988329454032225</v>
      </c>
      <c r="AK16" s="442">
        <f>'Colorado Avenue'!AK10</f>
        <v>8.5889753165194307</v>
      </c>
      <c r="AL16" s="442">
        <f>'Colorado Avenue'!AL10</f>
        <v>8.6800737773861574</v>
      </c>
    </row>
    <row r="17" spans="2:38" ht="13">
      <c r="B17" s="400" t="s">
        <v>643</v>
      </c>
      <c r="C17" s="401" t="s">
        <v>644</v>
      </c>
      <c r="D17" s="442">
        <f>'Colorado Avenue'!D10</f>
        <v>6.0636386466438061</v>
      </c>
      <c r="E17" s="442">
        <f>'Colorado Avenue'!E10</f>
        <v>6.1279522728453877</v>
      </c>
      <c r="F17" s="442">
        <f>'Colorado Avenue'!F10</f>
        <v>6.1929480377356736</v>
      </c>
      <c r="G17" s="442">
        <f>'Colorado Avenue'!G10</f>
        <v>6.2586331763784937</v>
      </c>
      <c r="H17" s="442">
        <f>'Colorado Avenue'!H10</f>
        <v>6.3250150005759522</v>
      </c>
      <c r="I17" s="442">
        <f>'Colorado Avenue'!I10</f>
        <v>6.3921008996823563</v>
      </c>
      <c r="J17" s="442">
        <f>'Colorado Avenue'!J10</f>
        <v>6.4598983414267632</v>
      </c>
      <c r="K17" s="442">
        <f>'Colorado Avenue'!K10</f>
        <v>6.5284148727442579</v>
      </c>
      <c r="L17" s="442">
        <f>'Colorado Avenue'!L10</f>
        <v>6.5976581206160478</v>
      </c>
      <c r="M17" s="442">
        <f>'Colorado Avenue'!M10</f>
        <v>6.6676357929184693</v>
      </c>
      <c r="N17" s="442">
        <f>'Colorado Avenue'!N10</f>
        <v>6.7383556792809909</v>
      </c>
      <c r="O17" s="442">
        <f>'Colorado Avenue'!O10</f>
        <v>6.8098256519533322</v>
      </c>
      <c r="P17" s="442">
        <f>'Colorado Avenue'!P10</f>
        <v>6.8820536666817631</v>
      </c>
      <c r="Q17" s="442">
        <f>'Colorado Avenue'!Q10</f>
        <v>6.9550477635947088</v>
      </c>
      <c r="R17" s="442">
        <f>'Colorado Avenue'!R10</f>
        <v>7.0288160680977398</v>
      </c>
      <c r="S17" s="442">
        <f>'Colorado Avenue'!S10</f>
        <v>7.1033667917780718</v>
      </c>
      <c r="T17" s="442">
        <f>'Colorado Avenue'!T10</f>
        <v>7.1787082333186234</v>
      </c>
      <c r="U17" s="442">
        <f>'Colorado Avenue'!U10</f>
        <v>7.2548487794218142</v>
      </c>
      <c r="V17" s="442">
        <f>'Colorado Avenue'!V10</f>
        <v>7.3317969057431265</v>
      </c>
      <c r="W17" s="442">
        <f>'Colorado Avenue'!W10</f>
        <v>7.4095611778345836</v>
      </c>
      <c r="X17" s="442">
        <f>'Colorado Avenue'!X10</f>
        <v>7.4881502520982295</v>
      </c>
      <c r="Y17" s="442">
        <f>'Colorado Avenue'!Y10</f>
        <v>7.5675728767497308</v>
      </c>
      <c r="Z17" s="442">
        <f>'Colorado Avenue'!Z10</f>
        <v>7.6478378927921851</v>
      </c>
      <c r="AA17" s="442">
        <f>'Colorado Avenue'!AA10</f>
        <v>7.7289542350002716</v>
      </c>
      <c r="AB17" s="442">
        <f>'Colorado Avenue'!AB10</f>
        <v>7.8109309329148253</v>
      </c>
      <c r="AC17" s="442">
        <f>'Colorado Avenue'!AC10</f>
        <v>7.8937771118479834</v>
      </c>
      <c r="AD17" s="442">
        <f>'Colorado Avenue'!AD10</f>
        <v>7.9775019938989598</v>
      </c>
      <c r="AE17" s="442">
        <f>'Colorado Avenue'!AE10</f>
        <v>8.0621148989806244</v>
      </c>
      <c r="AF17" s="442">
        <f>'Colorado Avenue'!AF10</f>
        <v>8.1476252458569576</v>
      </c>
      <c r="AG17" s="442">
        <f>'Colorado Avenue'!AG10</f>
        <v>8.2340425531914985</v>
      </c>
      <c r="AH17" s="442">
        <f>'Colorado Avenue'!AH10</f>
        <v>8.3213764406069348</v>
      </c>
      <c r="AI17" s="442">
        <f>'Colorado Avenue'!AI10</f>
        <v>8.4096366297559157</v>
      </c>
      <c r="AJ17" s="442">
        <f>'Colorado Avenue'!AJ10</f>
        <v>8.4988329454032225</v>
      </c>
      <c r="AK17" s="442">
        <f>'Colorado Avenue'!AK10</f>
        <v>8.5889753165194307</v>
      </c>
      <c r="AL17" s="442">
        <f>'Colorado Avenue'!AL10</f>
        <v>8.6800737773861574</v>
      </c>
    </row>
    <row r="18" spans="2:38" ht="13">
      <c r="B18" s="400" t="s">
        <v>645</v>
      </c>
      <c r="C18" s="401" t="s">
        <v>646</v>
      </c>
      <c r="D18" s="442">
        <f>'Colorado Avenue'!D11</f>
        <v>2.021212882214602</v>
      </c>
      <c r="E18" s="442">
        <f>'Colorado Avenue'!E11</f>
        <v>2.0426507576151294</v>
      </c>
      <c r="F18" s="442">
        <f>'Colorado Avenue'!F11</f>
        <v>2.064316012578558</v>
      </c>
      <c r="G18" s="442">
        <f>'Colorado Avenue'!G11</f>
        <v>2.0862110587928311</v>
      </c>
      <c r="H18" s="442">
        <f>'Colorado Avenue'!H11</f>
        <v>2.1083383335253174</v>
      </c>
      <c r="I18" s="442">
        <f>'Colorado Avenue'!I11</f>
        <v>2.1307002998941189</v>
      </c>
      <c r="J18" s="442">
        <f>'Colorado Avenue'!J11</f>
        <v>2.1532994471422544</v>
      </c>
      <c r="K18" s="442">
        <f>'Colorado Avenue'!K11</f>
        <v>2.1761382909147526</v>
      </c>
      <c r="L18" s="442">
        <f>'Colorado Avenue'!L11</f>
        <v>2.1992193735386825</v>
      </c>
      <c r="M18" s="442">
        <f>'Colorado Avenue'!M11</f>
        <v>2.2225452643061563</v>
      </c>
      <c r="N18" s="442">
        <f>'Colorado Avenue'!N11</f>
        <v>2.2461185597603301</v>
      </c>
      <c r="O18" s="442">
        <f>'Colorado Avenue'!O11</f>
        <v>2.2699418839844441</v>
      </c>
      <c r="P18" s="442">
        <f>'Colorado Avenue'!P11</f>
        <v>2.2940178888939209</v>
      </c>
      <c r="Q18" s="442">
        <f>'Colorado Avenue'!Q11</f>
        <v>2.3183492545315696</v>
      </c>
      <c r="R18" s="442">
        <f>'Colorado Avenue'!R11</f>
        <v>2.3429386893659134</v>
      </c>
      <c r="S18" s="442">
        <f>'Colorado Avenue'!S11</f>
        <v>2.3677889305926905</v>
      </c>
      <c r="T18" s="442">
        <f>'Colorado Avenue'!T11</f>
        <v>2.392902744439541</v>
      </c>
      <c r="U18" s="442">
        <f>'Colorado Avenue'!U11</f>
        <v>2.4182829264739381</v>
      </c>
      <c r="V18" s="442">
        <f>'Colorado Avenue'!V11</f>
        <v>2.4439323019143755</v>
      </c>
      <c r="W18" s="442">
        <f>'Colorado Avenue'!W11</f>
        <v>2.4698537259448612</v>
      </c>
      <c r="X18" s="442">
        <f>'Colorado Avenue'!X11</f>
        <v>2.4960500840327433</v>
      </c>
      <c r="Y18" s="442">
        <f>'Colorado Avenue'!Y11</f>
        <v>2.5225242922499103</v>
      </c>
      <c r="Z18" s="442">
        <f>'Colorado Avenue'!Z11</f>
        <v>2.549279297597395</v>
      </c>
      <c r="AA18" s="442">
        <f>'Colorado Avenue'!AA11</f>
        <v>2.5763180783334239</v>
      </c>
      <c r="AB18" s="442">
        <f>'Colorado Avenue'!AB11</f>
        <v>2.6036436443049418</v>
      </c>
      <c r="AC18" s="442">
        <f>'Colorado Avenue'!AC11</f>
        <v>2.631259037282661</v>
      </c>
      <c r="AD18" s="442">
        <f>'Colorado Avenue'!AD11</f>
        <v>2.6591673312996531</v>
      </c>
      <c r="AE18" s="442">
        <f>'Colorado Avenue'!AE11</f>
        <v>2.6873716329935418</v>
      </c>
      <c r="AF18" s="442">
        <f>'Colorado Avenue'!AF11</f>
        <v>2.7158750819523192</v>
      </c>
      <c r="AG18" s="442">
        <f>'Colorado Avenue'!AG11</f>
        <v>2.744680851063833</v>
      </c>
      <c r="AH18" s="442">
        <f>'Colorado Avenue'!AH11</f>
        <v>2.7737921468689781</v>
      </c>
      <c r="AI18" s="442">
        <f>'Colorado Avenue'!AI11</f>
        <v>2.8032122099186383</v>
      </c>
      <c r="AJ18" s="442">
        <f>'Colorado Avenue'!AJ11</f>
        <v>2.8329443151344074</v>
      </c>
      <c r="AK18" s="442">
        <f>'Colorado Avenue'!AK11</f>
        <v>2.8629917721731437</v>
      </c>
      <c r="AL18" s="442">
        <f>'Colorado Avenue'!AL11</f>
        <v>2.8933579257953856</v>
      </c>
    </row>
    <row r="19" spans="2:38" ht="13">
      <c r="B19" s="400" t="s">
        <v>1048</v>
      </c>
      <c r="C19" s="401" t="s">
        <v>647</v>
      </c>
      <c r="D19" s="442">
        <v>0</v>
      </c>
      <c r="E19" s="442">
        <v>0</v>
      </c>
      <c r="F19" s="442">
        <v>0</v>
      </c>
      <c r="G19" s="442">
        <v>0</v>
      </c>
      <c r="H19" s="1231">
        <v>0</v>
      </c>
      <c r="I19" s="442">
        <v>0</v>
      </c>
      <c r="J19" s="442">
        <v>0</v>
      </c>
      <c r="K19" s="442">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442">
        <v>0</v>
      </c>
      <c r="AC19" s="442">
        <v>0</v>
      </c>
      <c r="AD19" s="442">
        <v>0</v>
      </c>
      <c r="AE19" s="442">
        <v>0</v>
      </c>
      <c r="AF19" s="442">
        <v>0</v>
      </c>
      <c r="AG19" s="442">
        <v>0</v>
      </c>
      <c r="AH19" s="442">
        <v>0</v>
      </c>
      <c r="AI19" s="442">
        <v>0</v>
      </c>
      <c r="AJ19" s="442">
        <v>0</v>
      </c>
      <c r="AK19" s="442">
        <v>0</v>
      </c>
      <c r="AL19" s="442">
        <v>0</v>
      </c>
    </row>
    <row r="20" spans="2:38" ht="13">
      <c r="B20" s="400" t="s">
        <v>648</v>
      </c>
      <c r="C20" s="401" t="s">
        <v>649</v>
      </c>
      <c r="D20" s="441">
        <f>'Crossing Inputs'!$H34</f>
        <v>7.5</v>
      </c>
      <c r="E20" s="441">
        <f>'Crossing Inputs'!$H34</f>
        <v>7.5</v>
      </c>
      <c r="F20" s="441">
        <f>'Crossing Inputs'!$H34</f>
        <v>7.5</v>
      </c>
      <c r="G20" s="441">
        <f>'Crossing Inputs'!$H34</f>
        <v>7.5</v>
      </c>
      <c r="H20" s="1230">
        <f>'Crossing Inputs'!$H34</f>
        <v>7.5</v>
      </c>
      <c r="I20" s="441">
        <f>'Crossing Inputs'!$H34</f>
        <v>7.5</v>
      </c>
      <c r="J20" s="441">
        <f>'Crossing Inputs'!$H34</f>
        <v>7.5</v>
      </c>
      <c r="K20" s="441">
        <f>'Crossing Inputs'!$H34</f>
        <v>7.5</v>
      </c>
      <c r="L20" s="441">
        <f>'Crossing Inputs'!$H34</f>
        <v>7.5</v>
      </c>
      <c r="M20" s="441">
        <f>'Crossing Inputs'!$H34</f>
        <v>7.5</v>
      </c>
      <c r="N20" s="441">
        <f>'Crossing Inputs'!$H34</f>
        <v>7.5</v>
      </c>
      <c r="O20" s="441">
        <f>'Crossing Inputs'!$H34</f>
        <v>7.5</v>
      </c>
      <c r="P20" s="441">
        <f>'Crossing Inputs'!$H34</f>
        <v>7.5</v>
      </c>
      <c r="Q20" s="441">
        <f>'Crossing Inputs'!$H34</f>
        <v>7.5</v>
      </c>
      <c r="R20" s="441">
        <f>'Crossing Inputs'!$H34</f>
        <v>7.5</v>
      </c>
      <c r="S20" s="441">
        <f>'Crossing Inputs'!$H34</f>
        <v>7.5</v>
      </c>
      <c r="T20" s="441">
        <f>'Crossing Inputs'!$H34</f>
        <v>7.5</v>
      </c>
      <c r="U20" s="441">
        <f>'Crossing Inputs'!$H34</f>
        <v>7.5</v>
      </c>
      <c r="V20" s="441">
        <f>'Crossing Inputs'!$H34</f>
        <v>7.5</v>
      </c>
      <c r="W20" s="441">
        <f>'Crossing Inputs'!$H34</f>
        <v>7.5</v>
      </c>
      <c r="X20" s="441">
        <f>'Crossing Inputs'!$H34</f>
        <v>7.5</v>
      </c>
      <c r="Y20" s="441">
        <f>'Crossing Inputs'!$H34</f>
        <v>7.5</v>
      </c>
      <c r="Z20" s="441">
        <f>'Crossing Inputs'!$H34</f>
        <v>7.5</v>
      </c>
      <c r="AA20" s="441">
        <f>'Crossing Inputs'!$H34</f>
        <v>7.5</v>
      </c>
      <c r="AB20" s="441">
        <f>'Crossing Inputs'!$H34</f>
        <v>7.5</v>
      </c>
      <c r="AC20" s="441">
        <f>'Crossing Inputs'!$H34</f>
        <v>7.5</v>
      </c>
      <c r="AD20" s="441">
        <f>'Crossing Inputs'!$H34</f>
        <v>7.5</v>
      </c>
      <c r="AE20" s="441">
        <f>'Crossing Inputs'!$H34</f>
        <v>7.5</v>
      </c>
      <c r="AF20" s="441">
        <f>'Crossing Inputs'!$H34</f>
        <v>7.5</v>
      </c>
      <c r="AG20" s="441">
        <f>'Crossing Inputs'!$H34</f>
        <v>7.5</v>
      </c>
      <c r="AH20" s="441">
        <f>'Crossing Inputs'!$H34</f>
        <v>7.5</v>
      </c>
      <c r="AI20" s="441">
        <f>'Crossing Inputs'!$H34</f>
        <v>7.5</v>
      </c>
      <c r="AJ20" s="441">
        <f>'Crossing Inputs'!$H34</f>
        <v>7.5</v>
      </c>
      <c r="AK20" s="441">
        <f>'Crossing Inputs'!$H34</f>
        <v>7.5</v>
      </c>
      <c r="AL20" s="441">
        <f>'Crossing Inputs'!$H34</f>
        <v>7.5</v>
      </c>
    </row>
    <row r="21" spans="2:38" ht="13">
      <c r="B21" s="400"/>
      <c r="C21" s="403"/>
      <c r="D21" s="402"/>
      <c r="E21" s="402"/>
      <c r="F21" s="402"/>
      <c r="G21" s="402"/>
      <c r="H21" s="123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2:38" ht="13">
      <c r="B22" s="400"/>
      <c r="C22" s="404"/>
      <c r="D22" s="440">
        <f t="shared" ref="D22:AL22" si="1">D$1</f>
        <v>2021</v>
      </c>
      <c r="E22" s="440">
        <f t="shared" si="1"/>
        <v>2022</v>
      </c>
      <c r="F22" s="440">
        <f t="shared" si="1"/>
        <v>2023</v>
      </c>
      <c r="G22" s="440">
        <f t="shared" si="1"/>
        <v>2024</v>
      </c>
      <c r="H22" s="1229">
        <f t="shared" si="1"/>
        <v>2025</v>
      </c>
      <c r="I22" s="440">
        <f t="shared" si="1"/>
        <v>2026</v>
      </c>
      <c r="J22" s="440">
        <f t="shared" si="1"/>
        <v>2027</v>
      </c>
      <c r="K22" s="440">
        <f t="shared" si="1"/>
        <v>2028</v>
      </c>
      <c r="L22" s="440">
        <f t="shared" si="1"/>
        <v>2029</v>
      </c>
      <c r="M22" s="440">
        <f t="shared" si="1"/>
        <v>2030</v>
      </c>
      <c r="N22" s="440">
        <f t="shared" si="1"/>
        <v>2031</v>
      </c>
      <c r="O22" s="440">
        <f t="shared" si="1"/>
        <v>2032</v>
      </c>
      <c r="P22" s="440">
        <f t="shared" si="1"/>
        <v>2033</v>
      </c>
      <c r="Q22" s="440">
        <f t="shared" si="1"/>
        <v>2034</v>
      </c>
      <c r="R22" s="440">
        <f t="shared" si="1"/>
        <v>2035</v>
      </c>
      <c r="S22" s="440">
        <f t="shared" si="1"/>
        <v>2036</v>
      </c>
      <c r="T22" s="440">
        <f t="shared" si="1"/>
        <v>2037</v>
      </c>
      <c r="U22" s="440">
        <f t="shared" si="1"/>
        <v>2038</v>
      </c>
      <c r="V22" s="440">
        <f t="shared" si="1"/>
        <v>2039</v>
      </c>
      <c r="W22" s="440">
        <f t="shared" si="1"/>
        <v>2040</v>
      </c>
      <c r="X22" s="440">
        <f t="shared" si="1"/>
        <v>2041</v>
      </c>
      <c r="Y22" s="440">
        <f t="shared" si="1"/>
        <v>2042</v>
      </c>
      <c r="Z22" s="440">
        <f t="shared" si="1"/>
        <v>2043</v>
      </c>
      <c r="AA22" s="440">
        <f t="shared" si="1"/>
        <v>2044</v>
      </c>
      <c r="AB22" s="440">
        <f t="shared" si="1"/>
        <v>2045</v>
      </c>
      <c r="AC22" s="440">
        <f t="shared" si="1"/>
        <v>2046</v>
      </c>
      <c r="AD22" s="440">
        <f t="shared" si="1"/>
        <v>2047</v>
      </c>
      <c r="AE22" s="440">
        <f t="shared" si="1"/>
        <v>2048</v>
      </c>
      <c r="AF22" s="440">
        <f t="shared" si="1"/>
        <v>2049</v>
      </c>
      <c r="AG22" s="440">
        <f t="shared" si="1"/>
        <v>2050</v>
      </c>
      <c r="AH22" s="440">
        <f t="shared" si="1"/>
        <v>2051</v>
      </c>
      <c r="AI22" s="440">
        <f t="shared" si="1"/>
        <v>2052</v>
      </c>
      <c r="AJ22" s="440">
        <f t="shared" si="1"/>
        <v>2053</v>
      </c>
      <c r="AK22" s="440">
        <f t="shared" si="1"/>
        <v>2054</v>
      </c>
      <c r="AL22" s="440">
        <f t="shared" si="1"/>
        <v>2055</v>
      </c>
    </row>
    <row r="23" spans="2:38" ht="13">
      <c r="B23" s="400" t="s">
        <v>354</v>
      </c>
      <c r="C23" s="404"/>
      <c r="D23" s="405">
        <f t="shared" ref="D23:AL23" si="2">D$56</f>
        <v>4.0679923687797541E-2</v>
      </c>
      <c r="E23" s="405">
        <f t="shared" si="2"/>
        <v>4.1273681673752075E-2</v>
      </c>
      <c r="F23" s="405">
        <f t="shared" si="2"/>
        <v>4.1876159193492586E-2</v>
      </c>
      <c r="G23" s="405">
        <f t="shared" si="2"/>
        <v>4.2487484523447659E-2</v>
      </c>
      <c r="H23" s="1233">
        <f t="shared" si="2"/>
        <v>4.3107787829627049E-2</v>
      </c>
      <c r="I23" s="405">
        <f t="shared" si="2"/>
        <v>4.3737201195419309E-2</v>
      </c>
      <c r="J23" s="405">
        <f t="shared" si="2"/>
        <v>4.4375858649799219E-2</v>
      </c>
      <c r="K23" s="405">
        <f t="shared" si="2"/>
        <v>4.502389619595127E-2</v>
      </c>
      <c r="L23" s="405">
        <f t="shared" si="2"/>
        <v>4.5681451840315357E-2</v>
      </c>
      <c r="M23" s="405">
        <f t="shared" si="2"/>
        <v>4.6348665622060622E-2</v>
      </c>
      <c r="N23" s="405">
        <f t="shared" si="2"/>
        <v>4.7025679642993874E-2</v>
      </c>
      <c r="O23" s="405">
        <f t="shared" si="2"/>
        <v>4.7712638097909231E-2</v>
      </c>
      <c r="P23" s="405">
        <f t="shared" si="2"/>
        <v>4.8409687305384946E-2</v>
      </c>
      <c r="Q23" s="405">
        <f t="shared" si="2"/>
        <v>4.9116975739034383E-2</v>
      </c>
      <c r="R23" s="405">
        <f t="shared" si="2"/>
        <v>4.983465405921772E-2</v>
      </c>
      <c r="S23" s="405">
        <f t="shared" si="2"/>
        <v>5.0562875145221231E-2</v>
      </c>
      <c r="T23" s="405">
        <f t="shared" si="2"/>
        <v>5.1301794127910527E-2</v>
      </c>
      <c r="U23" s="405">
        <f t="shared" si="2"/>
        <v>5.205156842286577E-2</v>
      </c>
      <c r="V23" s="405">
        <f t="shared" si="2"/>
        <v>5.2812357764004524E-2</v>
      </c>
      <c r="W23" s="405">
        <f t="shared" si="2"/>
        <v>5.3584324237700993E-2</v>
      </c>
      <c r="X23" s="405">
        <f t="shared" si="2"/>
        <v>5.4367632317407218E-2</v>
      </c>
      <c r="Y23" s="405">
        <f t="shared" si="2"/>
        <v>5.5162448898785625E-2</v>
      </c>
      <c r="Z23" s="405">
        <f t="shared" si="2"/>
        <v>5.5968943335358158E-2</v>
      </c>
      <c r="AA23" s="405">
        <f t="shared" si="2"/>
        <v>5.6787287474681841E-2</v>
      </c>
      <c r="AB23" s="405">
        <f t="shared" si="2"/>
        <v>5.7617655695056613E-2</v>
      </c>
      <c r="AC23" s="405">
        <f t="shared" si="2"/>
        <v>5.846022494277469E-2</v>
      </c>
      <c r="AD23" s="405">
        <f t="shared" si="2"/>
        <v>5.9315174769918655E-2</v>
      </c>
      <c r="AE23" s="405">
        <f t="shared" si="2"/>
        <v>6.0182687372716218E-2</v>
      </c>
      <c r="AF23" s="405">
        <f t="shared" si="2"/>
        <v>6.1062947630460704E-2</v>
      </c>
      <c r="AG23" s="405">
        <f t="shared" si="2"/>
        <v>6.1956143145004354E-2</v>
      </c>
      <c r="AH23" s="405">
        <f t="shared" si="2"/>
        <v>6.2862464280834335E-2</v>
      </c>
      <c r="AI23" s="405">
        <f t="shared" si="2"/>
        <v>6.3782104205738391E-2</v>
      </c>
      <c r="AJ23" s="405">
        <f t="shared" si="2"/>
        <v>6.4715258932070335E-2</v>
      </c>
      <c r="AK23" s="405">
        <f t="shared" si="2"/>
        <v>6.5662127358623007E-2</v>
      </c>
      <c r="AL23" s="405">
        <f t="shared" si="2"/>
        <v>6.6622911313118663E-2</v>
      </c>
    </row>
    <row r="24" spans="2:38" ht="13">
      <c r="B24" s="400" t="s">
        <v>650</v>
      </c>
      <c r="C24" s="404"/>
      <c r="D24" s="405">
        <f t="shared" ref="D24:AL24" si="3">D$64*D$23</f>
        <v>5.0946672080095438E-4</v>
      </c>
      <c r="E24" s="405">
        <f t="shared" si="3"/>
        <v>5.1737723747160907E-4</v>
      </c>
      <c r="F24" s="405">
        <f t="shared" si="3"/>
        <v>5.2541195615072971E-4</v>
      </c>
      <c r="G24" s="405">
        <f t="shared" si="3"/>
        <v>5.3357283568796886E-4</v>
      </c>
      <c r="H24" s="1233">
        <f t="shared" si="3"/>
        <v>5.4186186588863524E-4</v>
      </c>
      <c r="I24" s="405">
        <f t="shared" si="3"/>
        <v>5.5028106800255315E-4</v>
      </c>
      <c r="J24" s="405">
        <f t="shared" si="3"/>
        <v>5.5883249522065289E-4</v>
      </c>
      <c r="K24" s="405">
        <f t="shared" si="3"/>
        <v>5.6751823317941711E-4</v>
      </c>
      <c r="L24" s="405">
        <f t="shared" si="3"/>
        <v>5.7634040047330616E-4</v>
      </c>
      <c r="M24" s="405">
        <f t="shared" si="3"/>
        <v>5.8530114917528756E-4</v>
      </c>
      <c r="N24" s="405">
        <f t="shared" si="3"/>
        <v>5.9440266536559601E-4</v>
      </c>
      <c r="O24" s="405">
        <f t="shared" si="3"/>
        <v>6.0364716966886144E-4</v>
      </c>
      <c r="P24" s="405">
        <f t="shared" si="3"/>
        <v>6.1303691779972475E-4</v>
      </c>
      <c r="Q24" s="405">
        <f t="shared" si="3"/>
        <v>6.2257420111708748E-4</v>
      </c>
      <c r="R24" s="405">
        <f t="shared" si="3"/>
        <v>6.3226134718712243E-4</v>
      </c>
      <c r="S24" s="405">
        <f t="shared" si="3"/>
        <v>6.4210072035519243E-4</v>
      </c>
      <c r="T24" s="405">
        <f t="shared" si="3"/>
        <v>6.5209472232680545E-4</v>
      </c>
      <c r="U24" s="405">
        <f t="shared" si="3"/>
        <v>6.622457927577659E-4</v>
      </c>
      <c r="V24" s="405">
        <f t="shared" si="3"/>
        <v>6.7255640985364629E-4</v>
      </c>
      <c r="W24" s="405">
        <f t="shared" si="3"/>
        <v>6.8302909097874996E-4</v>
      </c>
      <c r="X24" s="405">
        <f t="shared" si="3"/>
        <v>6.9366639327469017E-4</v>
      </c>
      <c r="Y24" s="405">
        <f t="shared" si="3"/>
        <v>7.04470914288762E-4</v>
      </c>
      <c r="Z24" s="405">
        <f t="shared" si="3"/>
        <v>7.154452926122389E-4</v>
      </c>
      <c r="AA24" s="405">
        <f t="shared" si="3"/>
        <v>7.2659220852876758E-4</v>
      </c>
      <c r="AB24" s="405">
        <f t="shared" si="3"/>
        <v>7.3791438467301176E-4</v>
      </c>
      <c r="AC24" s="405">
        <f t="shared" si="3"/>
        <v>7.4941458669970965E-4</v>
      </c>
      <c r="AD24" s="405">
        <f t="shared" si="3"/>
        <v>7.6109562396331205E-4</v>
      </c>
      <c r="AE24" s="405">
        <f t="shared" si="3"/>
        <v>7.7296035020835748E-4</v>
      </c>
      <c r="AF24" s="405">
        <f t="shared" si="3"/>
        <v>7.8501166427077289E-4</v>
      </c>
      <c r="AG24" s="405">
        <f t="shared" si="3"/>
        <v>7.9725251079024834E-4</v>
      </c>
      <c r="AH24" s="405">
        <f t="shared" si="3"/>
        <v>8.0968588093388724E-4</v>
      </c>
      <c r="AI24" s="405">
        <f t="shared" si="3"/>
        <v>8.2231481313128495E-4</v>
      </c>
      <c r="AJ24" s="405">
        <f t="shared" si="3"/>
        <v>8.3514239382123526E-4</v>
      </c>
      <c r="AK24" s="405">
        <f t="shared" si="3"/>
        <v>8.4817175821023634E-4</v>
      </c>
      <c r="AL24" s="405">
        <f t="shared" si="3"/>
        <v>8.6140609104299215E-4</v>
      </c>
    </row>
    <row r="25" spans="2:38" ht="13">
      <c r="B25" s="400" t="s">
        <v>651</v>
      </c>
      <c r="C25" s="404"/>
      <c r="D25" s="405">
        <f t="shared" ref="D25:AK25" si="4">D$73*D23</f>
        <v>8.7003514364662506E-3</v>
      </c>
      <c r="E25" s="405">
        <f t="shared" si="4"/>
        <v>8.8272376920824572E-3</v>
      </c>
      <c r="F25" s="405">
        <f t="shared" si="4"/>
        <v>8.9559855746958062E-3</v>
      </c>
      <c r="G25" s="405">
        <f t="shared" si="4"/>
        <v>9.0866224429029495E-3</v>
      </c>
      <c r="H25" s="1233">
        <f t="shared" si="4"/>
        <v>9.2191760578524632E-3</v>
      </c>
      <c r="I25" s="405">
        <f t="shared" si="4"/>
        <v>9.3536745891595625E-3</v>
      </c>
      <c r="J25" s="405">
        <f t="shared" si="4"/>
        <v>9.4901466209078526E-3</v>
      </c>
      <c r="K25" s="405">
        <f t="shared" si="4"/>
        <v>9.6286211577395319E-3</v>
      </c>
      <c r="L25" s="405">
        <f t="shared" si="4"/>
        <v>9.769127631035282E-3</v>
      </c>
      <c r="M25" s="405">
        <f t="shared" si="4"/>
        <v>9.9116959051851559E-3</v>
      </c>
      <c r="N25" s="405">
        <f t="shared" si="4"/>
        <v>1.0056356283951778E-2</v>
      </c>
      <c r="O25" s="405">
        <f t="shared" si="4"/>
        <v>1.0203139516927332E-2</v>
      </c>
      <c r="P25" s="405">
        <f t="shared" si="4"/>
        <v>1.0352076806085532E-2</v>
      </c>
      <c r="Q25" s="405">
        <f t="shared" si="4"/>
        <v>1.05031998124301E-2</v>
      </c>
      <c r="R25" s="405">
        <f t="shared" si="4"/>
        <v>1.0656540662741135E-2</v>
      </c>
      <c r="S25" s="405">
        <f t="shared" si="4"/>
        <v>1.0812131956420817E-2</v>
      </c>
      <c r="T25" s="405">
        <f t="shared" si="4"/>
        <v>1.0970006772439804E-2</v>
      </c>
      <c r="U25" s="405">
        <f t="shared" si="4"/>
        <v>1.1130198676386042E-2</v>
      </c>
      <c r="V25" s="405">
        <f t="shared" si="4"/>
        <v>1.1292741727617156E-2</v>
      </c>
      <c r="W25" s="405">
        <f t="shared" si="4"/>
        <v>1.1457670486518296E-2</v>
      </c>
      <c r="X25" s="405">
        <f t="shared" si="4"/>
        <v>1.1625020021866628E-2</v>
      </c>
      <c r="Y25" s="405">
        <f t="shared" si="4"/>
        <v>1.1794825918304446E-2</v>
      </c>
      <c r="Z25" s="405">
        <f t="shared" si="4"/>
        <v>1.1967124283922029E-2</v>
      </c>
      <c r="AA25" s="405">
        <f t="shared" si="4"/>
        <v>1.2141951757952308E-2</v>
      </c>
      <c r="AB25" s="405">
        <f t="shared" si="4"/>
        <v>1.2319345518578622E-2</v>
      </c>
      <c r="AC25" s="405">
        <f t="shared" si="4"/>
        <v>1.2499343290857492E-2</v>
      </c>
      <c r="AD25" s="405">
        <f t="shared" si="4"/>
        <v>1.2681983354757948E-2</v>
      </c>
      <c r="AE25" s="405">
        <f t="shared" si="4"/>
        <v>1.2867304553319102E-2</v>
      </c>
      <c r="AF25" s="405">
        <f t="shared" si="4"/>
        <v>1.3055346300927877E-2</v>
      </c>
      <c r="AG25" s="405">
        <f t="shared" si="4"/>
        <v>1.3246148591718417E-2</v>
      </c>
      <c r="AH25" s="405">
        <f t="shared" si="4"/>
        <v>1.3439752008095241E-2</v>
      </c>
      <c r="AI25" s="405">
        <f t="shared" si="4"/>
        <v>1.3636197729381645E-2</v>
      </c>
      <c r="AJ25" s="405">
        <f t="shared" si="4"/>
        <v>1.3835527540595485E-2</v>
      </c>
      <c r="AK25" s="405">
        <f t="shared" si="4"/>
        <v>1.4037783841354007E-2</v>
      </c>
      <c r="AL25" s="405">
        <f t="shared" ref="AL25" si="5">AL$73*AL23</f>
        <v>1.4243009654909749E-2</v>
      </c>
    </row>
    <row r="27" spans="2:38" ht="13">
      <c r="B27" s="364" t="s">
        <v>652</v>
      </c>
    </row>
    <row r="28" spans="2:38" ht="13">
      <c r="B28" s="407" t="s">
        <v>615</v>
      </c>
      <c r="C28" s="396" t="s">
        <v>627</v>
      </c>
      <c r="D28" s="440">
        <f t="shared" ref="D28:AL28" si="6">D$1</f>
        <v>2021</v>
      </c>
      <c r="E28" s="440">
        <f t="shared" si="6"/>
        <v>2022</v>
      </c>
      <c r="F28" s="440">
        <f t="shared" si="6"/>
        <v>2023</v>
      </c>
      <c r="G28" s="440">
        <f t="shared" si="6"/>
        <v>2024</v>
      </c>
      <c r="H28" s="1229">
        <f t="shared" si="6"/>
        <v>2025</v>
      </c>
      <c r="I28" s="440">
        <f t="shared" si="6"/>
        <v>2026</v>
      </c>
      <c r="J28" s="440">
        <f t="shared" si="6"/>
        <v>2027</v>
      </c>
      <c r="K28" s="440">
        <f t="shared" si="6"/>
        <v>2028</v>
      </c>
      <c r="L28" s="440">
        <f t="shared" si="6"/>
        <v>2029</v>
      </c>
      <c r="M28" s="440">
        <f t="shared" si="6"/>
        <v>2030</v>
      </c>
      <c r="N28" s="440">
        <f t="shared" si="6"/>
        <v>2031</v>
      </c>
      <c r="O28" s="440">
        <f t="shared" si="6"/>
        <v>2032</v>
      </c>
      <c r="P28" s="440">
        <f t="shared" si="6"/>
        <v>2033</v>
      </c>
      <c r="Q28" s="440">
        <f t="shared" si="6"/>
        <v>2034</v>
      </c>
      <c r="R28" s="440">
        <f t="shared" si="6"/>
        <v>2035</v>
      </c>
      <c r="S28" s="440">
        <f t="shared" si="6"/>
        <v>2036</v>
      </c>
      <c r="T28" s="440">
        <f t="shared" si="6"/>
        <v>2037</v>
      </c>
      <c r="U28" s="440">
        <f t="shared" si="6"/>
        <v>2038</v>
      </c>
      <c r="V28" s="440">
        <f t="shared" si="6"/>
        <v>2039</v>
      </c>
      <c r="W28" s="440">
        <f t="shared" si="6"/>
        <v>2040</v>
      </c>
      <c r="X28" s="440">
        <f t="shared" si="6"/>
        <v>2041</v>
      </c>
      <c r="Y28" s="440">
        <f t="shared" si="6"/>
        <v>2042</v>
      </c>
      <c r="Z28" s="440">
        <f t="shared" si="6"/>
        <v>2043</v>
      </c>
      <c r="AA28" s="440">
        <f t="shared" si="6"/>
        <v>2044</v>
      </c>
      <c r="AB28" s="440">
        <f t="shared" si="6"/>
        <v>2045</v>
      </c>
      <c r="AC28" s="440">
        <f t="shared" si="6"/>
        <v>2046</v>
      </c>
      <c r="AD28" s="440">
        <f t="shared" si="6"/>
        <v>2047</v>
      </c>
      <c r="AE28" s="440">
        <f t="shared" si="6"/>
        <v>2048</v>
      </c>
      <c r="AF28" s="440">
        <f t="shared" si="6"/>
        <v>2049</v>
      </c>
      <c r="AG28" s="440">
        <f t="shared" si="6"/>
        <v>2050</v>
      </c>
      <c r="AH28" s="440">
        <f t="shared" si="6"/>
        <v>2051</v>
      </c>
      <c r="AI28" s="440">
        <f t="shared" si="6"/>
        <v>2052</v>
      </c>
      <c r="AJ28" s="440">
        <f t="shared" si="6"/>
        <v>2053</v>
      </c>
      <c r="AK28" s="440">
        <f t="shared" si="6"/>
        <v>2054</v>
      </c>
      <c r="AL28" s="440">
        <f t="shared" si="6"/>
        <v>2055</v>
      </c>
    </row>
    <row r="29" spans="2:38" ht="13">
      <c r="B29" s="364" t="s">
        <v>624</v>
      </c>
      <c r="C29" s="408"/>
      <c r="D29" s="358"/>
      <c r="E29" s="409"/>
      <c r="F29" s="410"/>
      <c r="G29" s="410"/>
      <c r="H29" s="1234"/>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row>
    <row r="30" spans="2:38">
      <c r="B30" s="411" t="s">
        <v>653</v>
      </c>
      <c r="C30" s="412" t="s">
        <v>654</v>
      </c>
      <c r="D30" s="413">
        <f t="shared" ref="D30:AL30" si="7">((D$15*D$16+0.2)/0.2)^(0.3334)</f>
        <v>20.235641319255151</v>
      </c>
      <c r="E30" s="413">
        <f t="shared" si="7"/>
        <v>20.504668200052095</v>
      </c>
      <c r="F30" s="413">
        <f t="shared" si="7"/>
        <v>20.777272977355501</v>
      </c>
      <c r="G30" s="413">
        <f t="shared" si="7"/>
        <v>21.053503202119479</v>
      </c>
      <c r="H30" s="413">
        <f t="shared" si="7"/>
        <v>21.333407058117274</v>
      </c>
      <c r="I30" s="413">
        <f t="shared" si="7"/>
        <v>21.617033370340692</v>
      </c>
      <c r="J30" s="413">
        <f t="shared" si="7"/>
        <v>21.904431613511509</v>
      </c>
      <c r="K30" s="413">
        <f t="shared" si="7"/>
        <v>22.19565192070645</v>
      </c>
      <c r="L30" s="413">
        <f t="shared" si="7"/>
        <v>22.490745092097225</v>
      </c>
      <c r="M30" s="413">
        <f t="shared" si="7"/>
        <v>22.789762603807151</v>
      </c>
      <c r="N30" s="413">
        <f t="shared" si="7"/>
        <v>23.092756616885779</v>
      </c>
      <c r="O30" s="413">
        <f t="shared" si="7"/>
        <v>23.399779986403306</v>
      </c>
      <c r="P30" s="413">
        <f t="shared" si="7"/>
        <v>23.71088627066619</v>
      </c>
      <c r="Q30" s="413">
        <f t="shared" si="7"/>
        <v>24.026129740555564</v>
      </c>
      <c r="R30" s="413">
        <f t="shared" si="7"/>
        <v>24.345565388990234</v>
      </c>
      <c r="S30" s="413">
        <f t="shared" si="7"/>
        <v>24.669248940515736</v>
      </c>
      <c r="T30" s="413">
        <f t="shared" si="7"/>
        <v>24.997236861021143</v>
      </c>
      <c r="U30" s="413">
        <f t="shared" si="7"/>
        <v>25.32958636758551</v>
      </c>
      <c r="V30" s="413">
        <f t="shared" si="7"/>
        <v>25.666355438455312</v>
      </c>
      <c r="W30" s="413">
        <f t="shared" si="7"/>
        <v>26.00760282315505</v>
      </c>
      <c r="X30" s="413">
        <f t="shared" si="7"/>
        <v>26.353388052732257</v>
      </c>
      <c r="Y30" s="413">
        <f t="shared" si="7"/>
        <v>26.703771450139399</v>
      </c>
      <c r="Z30" s="413">
        <f t="shared" si="7"/>
        <v>27.058814140753586</v>
      </c>
      <c r="AA30" s="413">
        <f t="shared" si="7"/>
        <v>27.418578063036854</v>
      </c>
      <c r="AB30" s="413">
        <f t="shared" si="7"/>
        <v>27.783125979338045</v>
      </c>
      <c r="AC30" s="413">
        <f t="shared" si="7"/>
        <v>28.152521486838829</v>
      </c>
      <c r="AD30" s="413">
        <f t="shared" si="7"/>
        <v>28.526829028645395</v>
      </c>
      <c r="AE30" s="413">
        <f t="shared" si="7"/>
        <v>28.906113905027748</v>
      </c>
      <c r="AF30" s="413">
        <f t="shared" si="7"/>
        <v>29.290442284808844</v>
      </c>
      <c r="AG30" s="413">
        <f t="shared" si="7"/>
        <v>29.679881216905144</v>
      </c>
      <c r="AH30" s="413">
        <f t="shared" si="7"/>
        <v>30.074498642021101</v>
      </c>
      <c r="AI30" s="413">
        <f t="shared" si="7"/>
        <v>30.474363404499059</v>
      </c>
      <c r="AJ30" s="413">
        <f t="shared" si="7"/>
        <v>30.879545264327106</v>
      </c>
      <c r="AK30" s="413">
        <f t="shared" si="7"/>
        <v>31.290114909306634</v>
      </c>
      <c r="AL30" s="413">
        <f t="shared" si="7"/>
        <v>31.706143967382022</v>
      </c>
    </row>
    <row r="31" spans="2:38">
      <c r="B31" s="411" t="s">
        <v>655</v>
      </c>
      <c r="C31" s="412" t="s">
        <v>656</v>
      </c>
      <c r="D31" s="414">
        <f t="shared" ref="D31:AL31" si="8">EXP(0.2094*$D$9)</f>
        <v>1</v>
      </c>
      <c r="E31" s="415">
        <f t="shared" si="8"/>
        <v>1</v>
      </c>
      <c r="F31" s="415">
        <f t="shared" si="8"/>
        <v>1</v>
      </c>
      <c r="G31" s="415">
        <f t="shared" si="8"/>
        <v>1</v>
      </c>
      <c r="H31" s="1235">
        <f t="shared" si="8"/>
        <v>1</v>
      </c>
      <c r="I31" s="415">
        <f t="shared" si="8"/>
        <v>1</v>
      </c>
      <c r="J31" s="415">
        <f t="shared" si="8"/>
        <v>1</v>
      </c>
      <c r="K31" s="415">
        <f t="shared" si="8"/>
        <v>1</v>
      </c>
      <c r="L31" s="415">
        <f t="shared" si="8"/>
        <v>1</v>
      </c>
      <c r="M31" s="415">
        <f t="shared" si="8"/>
        <v>1</v>
      </c>
      <c r="N31" s="415">
        <f t="shared" si="8"/>
        <v>1</v>
      </c>
      <c r="O31" s="415">
        <f t="shared" si="8"/>
        <v>1</v>
      </c>
      <c r="P31" s="415">
        <f t="shared" si="8"/>
        <v>1</v>
      </c>
      <c r="Q31" s="415">
        <f t="shared" si="8"/>
        <v>1</v>
      </c>
      <c r="R31" s="415">
        <f t="shared" si="8"/>
        <v>1</v>
      </c>
      <c r="S31" s="415">
        <f t="shared" si="8"/>
        <v>1</v>
      </c>
      <c r="T31" s="415">
        <f t="shared" si="8"/>
        <v>1</v>
      </c>
      <c r="U31" s="415">
        <f t="shared" si="8"/>
        <v>1</v>
      </c>
      <c r="V31" s="415">
        <f t="shared" si="8"/>
        <v>1</v>
      </c>
      <c r="W31" s="415">
        <f t="shared" si="8"/>
        <v>1</v>
      </c>
      <c r="X31" s="415">
        <f t="shared" si="8"/>
        <v>1</v>
      </c>
      <c r="Y31" s="415">
        <f t="shared" si="8"/>
        <v>1</v>
      </c>
      <c r="Z31" s="415">
        <f t="shared" si="8"/>
        <v>1</v>
      </c>
      <c r="AA31" s="415">
        <f t="shared" si="8"/>
        <v>1</v>
      </c>
      <c r="AB31" s="415">
        <f t="shared" si="8"/>
        <v>1</v>
      </c>
      <c r="AC31" s="415">
        <f t="shared" si="8"/>
        <v>1</v>
      </c>
      <c r="AD31" s="415">
        <f t="shared" si="8"/>
        <v>1</v>
      </c>
      <c r="AE31" s="415">
        <f t="shared" si="8"/>
        <v>1</v>
      </c>
      <c r="AF31" s="415">
        <f t="shared" si="8"/>
        <v>1</v>
      </c>
      <c r="AG31" s="415">
        <f t="shared" si="8"/>
        <v>1</v>
      </c>
      <c r="AH31" s="415">
        <f t="shared" si="8"/>
        <v>1</v>
      </c>
      <c r="AI31" s="415">
        <f t="shared" si="8"/>
        <v>1</v>
      </c>
      <c r="AJ31" s="415">
        <f t="shared" si="8"/>
        <v>1</v>
      </c>
      <c r="AK31" s="415">
        <f t="shared" si="8"/>
        <v>1</v>
      </c>
      <c r="AL31" s="415">
        <f t="shared" si="8"/>
        <v>1</v>
      </c>
    </row>
    <row r="32" spans="2:38">
      <c r="B32" s="411" t="s">
        <v>657</v>
      </c>
      <c r="C32" s="416" t="s">
        <v>658</v>
      </c>
      <c r="D32" s="417">
        <f t="shared" ref="D32:AL32" si="9">((D$18+0.2)/0.2)^(0.1336)</f>
        <v>1.3793892627846567</v>
      </c>
      <c r="E32" s="417">
        <f t="shared" si="9"/>
        <v>1.3811604976010341</v>
      </c>
      <c r="F32" s="417">
        <f t="shared" si="9"/>
        <v>1.3829356773787482</v>
      </c>
      <c r="G32" s="417">
        <f t="shared" si="9"/>
        <v>1.3847147970270854</v>
      </c>
      <c r="H32" s="417">
        <f t="shared" si="9"/>
        <v>1.3864978515027926</v>
      </c>
      <c r="I32" s="417">
        <f t="shared" si="9"/>
        <v>1.3882848358103002</v>
      </c>
      <c r="J32" s="417">
        <f t="shared" si="9"/>
        <v>1.3900757450019334</v>
      </c>
      <c r="K32" s="417">
        <f t="shared" si="9"/>
        <v>1.3918705741781165</v>
      </c>
      <c r="L32" s="417">
        <f t="shared" si="9"/>
        <v>1.3936693184875664</v>
      </c>
      <c r="M32" s="417">
        <f t="shared" si="9"/>
        <v>1.3954719731274763</v>
      </c>
      <c r="N32" s="417">
        <f t="shared" si="9"/>
        <v>1.3972785333436928</v>
      </c>
      <c r="O32" s="417">
        <f t="shared" si="9"/>
        <v>1.3990889944308826</v>
      </c>
      <c r="P32" s="417">
        <f t="shared" si="9"/>
        <v>1.4009033517326905</v>
      </c>
      <c r="Q32" s="417">
        <f t="shared" si="9"/>
        <v>1.4027216006418901</v>
      </c>
      <c r="R32" s="417">
        <f t="shared" si="9"/>
        <v>1.4045437366005245</v>
      </c>
      <c r="S32" s="417">
        <f t="shared" si="9"/>
        <v>1.4063697551000396</v>
      </c>
      <c r="T32" s="417">
        <f t="shared" si="9"/>
        <v>1.4081996516814101</v>
      </c>
      <c r="U32" s="417">
        <f t="shared" si="9"/>
        <v>1.4100334219352559</v>
      </c>
      <c r="V32" s="417">
        <f t="shared" si="9"/>
        <v>1.4118710615019512</v>
      </c>
      <c r="W32" s="417">
        <f t="shared" si="9"/>
        <v>1.4137125660717269</v>
      </c>
      <c r="X32" s="417">
        <f t="shared" si="9"/>
        <v>1.4155579313847642</v>
      </c>
      <c r="Y32" s="417">
        <f t="shared" si="9"/>
        <v>1.4174071532312809</v>
      </c>
      <c r="Z32" s="417">
        <f t="shared" si="9"/>
        <v>1.4192602274516108</v>
      </c>
      <c r="AA32" s="417">
        <f t="shared" si="9"/>
        <v>1.4211171499362765</v>
      </c>
      <c r="AB32" s="417">
        <f t="shared" si="9"/>
        <v>1.4229779166260526</v>
      </c>
      <c r="AC32" s="417">
        <f t="shared" si="9"/>
        <v>1.4248425235120254</v>
      </c>
      <c r="AD32" s="417">
        <f t="shared" si="9"/>
        <v>1.4267109666356435</v>
      </c>
      <c r="AE32" s="417">
        <f t="shared" si="9"/>
        <v>1.4285832420887616</v>
      </c>
      <c r="AF32" s="417">
        <f t="shared" si="9"/>
        <v>1.4304593460136799</v>
      </c>
      <c r="AG32" s="417">
        <f t="shared" si="9"/>
        <v>1.4323392746031738</v>
      </c>
      <c r="AH32" s="417">
        <f t="shared" si="9"/>
        <v>1.4342230241005205</v>
      </c>
      <c r="AI32" s="417">
        <f t="shared" si="9"/>
        <v>1.4361105907995173</v>
      </c>
      <c r="AJ32" s="417">
        <f t="shared" si="9"/>
        <v>1.4380019710444945</v>
      </c>
      <c r="AK32" s="417">
        <f t="shared" si="9"/>
        <v>1.4398971612303222</v>
      </c>
      <c r="AL32" s="417">
        <f t="shared" si="9"/>
        <v>1.4417961578024112</v>
      </c>
    </row>
    <row r="33" spans="2:38">
      <c r="B33" s="411" t="s">
        <v>659</v>
      </c>
      <c r="C33" s="412" t="s">
        <v>660</v>
      </c>
      <c r="D33" s="414">
        <f t="shared" ref="D33:AL33" si="10">EXP(-0.616*($E$7-1))</f>
        <v>1</v>
      </c>
      <c r="E33" s="415">
        <f t="shared" si="10"/>
        <v>1</v>
      </c>
      <c r="F33" s="415">
        <f t="shared" si="10"/>
        <v>1</v>
      </c>
      <c r="G33" s="415">
        <f t="shared" si="10"/>
        <v>1</v>
      </c>
      <c r="H33" s="1235">
        <f t="shared" si="10"/>
        <v>1</v>
      </c>
      <c r="I33" s="415">
        <f t="shared" si="10"/>
        <v>1</v>
      </c>
      <c r="J33" s="415">
        <f t="shared" si="10"/>
        <v>1</v>
      </c>
      <c r="K33" s="415">
        <f t="shared" si="10"/>
        <v>1</v>
      </c>
      <c r="L33" s="415">
        <f t="shared" si="10"/>
        <v>1</v>
      </c>
      <c r="M33" s="415">
        <f t="shared" si="10"/>
        <v>1</v>
      </c>
      <c r="N33" s="415">
        <f t="shared" si="10"/>
        <v>1</v>
      </c>
      <c r="O33" s="415">
        <f t="shared" si="10"/>
        <v>1</v>
      </c>
      <c r="P33" s="415">
        <f t="shared" si="10"/>
        <v>1</v>
      </c>
      <c r="Q33" s="415">
        <f t="shared" si="10"/>
        <v>1</v>
      </c>
      <c r="R33" s="415">
        <f t="shared" si="10"/>
        <v>1</v>
      </c>
      <c r="S33" s="415">
        <f t="shared" si="10"/>
        <v>1</v>
      </c>
      <c r="T33" s="415">
        <f t="shared" si="10"/>
        <v>1</v>
      </c>
      <c r="U33" s="415">
        <f t="shared" si="10"/>
        <v>1</v>
      </c>
      <c r="V33" s="415">
        <f t="shared" si="10"/>
        <v>1</v>
      </c>
      <c r="W33" s="415">
        <f t="shared" si="10"/>
        <v>1</v>
      </c>
      <c r="X33" s="415">
        <f t="shared" si="10"/>
        <v>1</v>
      </c>
      <c r="Y33" s="415">
        <f t="shared" si="10"/>
        <v>1</v>
      </c>
      <c r="Z33" s="415">
        <f t="shared" si="10"/>
        <v>1</v>
      </c>
      <c r="AA33" s="415">
        <f t="shared" si="10"/>
        <v>1</v>
      </c>
      <c r="AB33" s="415">
        <f t="shared" si="10"/>
        <v>1</v>
      </c>
      <c r="AC33" s="415">
        <f t="shared" si="10"/>
        <v>1</v>
      </c>
      <c r="AD33" s="415">
        <f t="shared" si="10"/>
        <v>1</v>
      </c>
      <c r="AE33" s="415">
        <f t="shared" si="10"/>
        <v>1</v>
      </c>
      <c r="AF33" s="415">
        <f t="shared" si="10"/>
        <v>1</v>
      </c>
      <c r="AG33" s="415">
        <f t="shared" si="10"/>
        <v>1</v>
      </c>
      <c r="AH33" s="415">
        <f t="shared" si="10"/>
        <v>1</v>
      </c>
      <c r="AI33" s="415">
        <f t="shared" si="10"/>
        <v>1</v>
      </c>
      <c r="AJ33" s="415">
        <f t="shared" si="10"/>
        <v>1</v>
      </c>
      <c r="AK33" s="415">
        <f t="shared" si="10"/>
        <v>1</v>
      </c>
      <c r="AL33" s="415">
        <f t="shared" si="10"/>
        <v>1</v>
      </c>
    </row>
    <row r="34" spans="2:38">
      <c r="B34" s="411" t="s">
        <v>661</v>
      </c>
      <c r="C34" s="412" t="s">
        <v>662</v>
      </c>
      <c r="D34" s="414">
        <f t="shared" ref="D34:AL34" si="11">EXP(0.0077*D$20)</f>
        <v>1.0594501000746941</v>
      </c>
      <c r="E34" s="415">
        <f t="shared" si="11"/>
        <v>1.0594501000746941</v>
      </c>
      <c r="F34" s="415">
        <f t="shared" si="11"/>
        <v>1.0594501000746941</v>
      </c>
      <c r="G34" s="415">
        <f t="shared" si="11"/>
        <v>1.0594501000746941</v>
      </c>
      <c r="H34" s="1235">
        <f t="shared" si="11"/>
        <v>1.0594501000746941</v>
      </c>
      <c r="I34" s="415">
        <f t="shared" si="11"/>
        <v>1.0594501000746941</v>
      </c>
      <c r="J34" s="415">
        <f t="shared" si="11"/>
        <v>1.0594501000746941</v>
      </c>
      <c r="K34" s="415">
        <f t="shared" si="11"/>
        <v>1.0594501000746941</v>
      </c>
      <c r="L34" s="415">
        <f t="shared" si="11"/>
        <v>1.0594501000746941</v>
      </c>
      <c r="M34" s="415">
        <f t="shared" si="11"/>
        <v>1.0594501000746941</v>
      </c>
      <c r="N34" s="415">
        <f t="shared" si="11"/>
        <v>1.0594501000746941</v>
      </c>
      <c r="O34" s="415">
        <f t="shared" si="11"/>
        <v>1.0594501000746941</v>
      </c>
      <c r="P34" s="415">
        <f t="shared" si="11"/>
        <v>1.0594501000746941</v>
      </c>
      <c r="Q34" s="415">
        <f t="shared" si="11"/>
        <v>1.0594501000746941</v>
      </c>
      <c r="R34" s="415">
        <f t="shared" si="11"/>
        <v>1.0594501000746941</v>
      </c>
      <c r="S34" s="415">
        <f t="shared" si="11"/>
        <v>1.0594501000746941</v>
      </c>
      <c r="T34" s="415">
        <f t="shared" si="11"/>
        <v>1.0594501000746941</v>
      </c>
      <c r="U34" s="415">
        <f t="shared" si="11"/>
        <v>1.0594501000746941</v>
      </c>
      <c r="V34" s="415">
        <f t="shared" si="11"/>
        <v>1.0594501000746941</v>
      </c>
      <c r="W34" s="415">
        <f t="shared" si="11"/>
        <v>1.0594501000746941</v>
      </c>
      <c r="X34" s="415">
        <f t="shared" si="11"/>
        <v>1.0594501000746941</v>
      </c>
      <c r="Y34" s="415">
        <f t="shared" si="11"/>
        <v>1.0594501000746941</v>
      </c>
      <c r="Z34" s="415">
        <f t="shared" si="11"/>
        <v>1.0594501000746941</v>
      </c>
      <c r="AA34" s="415">
        <f t="shared" si="11"/>
        <v>1.0594501000746941</v>
      </c>
      <c r="AB34" s="415">
        <f t="shared" si="11"/>
        <v>1.0594501000746941</v>
      </c>
      <c r="AC34" s="415">
        <f t="shared" si="11"/>
        <v>1.0594501000746941</v>
      </c>
      <c r="AD34" s="415">
        <f t="shared" si="11"/>
        <v>1.0594501000746941</v>
      </c>
      <c r="AE34" s="415">
        <f t="shared" si="11"/>
        <v>1.0594501000746941</v>
      </c>
      <c r="AF34" s="415">
        <f t="shared" si="11"/>
        <v>1.0594501000746941</v>
      </c>
      <c r="AG34" s="415">
        <f t="shared" si="11"/>
        <v>1.0594501000746941</v>
      </c>
      <c r="AH34" s="415">
        <f t="shared" si="11"/>
        <v>1.0594501000746941</v>
      </c>
      <c r="AI34" s="415">
        <f t="shared" si="11"/>
        <v>1.0594501000746941</v>
      </c>
      <c r="AJ34" s="415">
        <f t="shared" si="11"/>
        <v>1.0594501000746941</v>
      </c>
      <c r="AK34" s="415">
        <f t="shared" si="11"/>
        <v>1.0594501000746941</v>
      </c>
      <c r="AL34" s="415">
        <f t="shared" si="11"/>
        <v>1.0594501000746941</v>
      </c>
    </row>
    <row r="35" spans="2:38">
      <c r="B35" s="411" t="s">
        <v>663</v>
      </c>
      <c r="C35" s="412" t="s">
        <v>664</v>
      </c>
      <c r="D35" s="414">
        <f t="shared" ref="D35:AL35" si="12">EXP(-0.1*($E$8-1))</f>
        <v>0.60653065971263342</v>
      </c>
      <c r="E35" s="415">
        <f t="shared" si="12"/>
        <v>0.60653065971263342</v>
      </c>
      <c r="F35" s="415">
        <f t="shared" si="12"/>
        <v>0.60653065971263342</v>
      </c>
      <c r="G35" s="415">
        <f t="shared" si="12"/>
        <v>0.60653065971263342</v>
      </c>
      <c r="H35" s="1235">
        <f t="shared" si="12"/>
        <v>0.60653065971263342</v>
      </c>
      <c r="I35" s="415">
        <f t="shared" si="12"/>
        <v>0.60653065971263342</v>
      </c>
      <c r="J35" s="415">
        <f t="shared" si="12"/>
        <v>0.60653065971263342</v>
      </c>
      <c r="K35" s="415">
        <f t="shared" si="12"/>
        <v>0.60653065971263342</v>
      </c>
      <c r="L35" s="415">
        <f t="shared" si="12"/>
        <v>0.60653065971263342</v>
      </c>
      <c r="M35" s="415">
        <f t="shared" si="12"/>
        <v>0.60653065971263342</v>
      </c>
      <c r="N35" s="415">
        <f t="shared" si="12"/>
        <v>0.60653065971263342</v>
      </c>
      <c r="O35" s="415">
        <f t="shared" si="12"/>
        <v>0.60653065971263342</v>
      </c>
      <c r="P35" s="415">
        <f t="shared" si="12"/>
        <v>0.60653065971263342</v>
      </c>
      <c r="Q35" s="415">
        <f t="shared" si="12"/>
        <v>0.60653065971263342</v>
      </c>
      <c r="R35" s="415">
        <f t="shared" si="12"/>
        <v>0.60653065971263342</v>
      </c>
      <c r="S35" s="415">
        <f t="shared" si="12"/>
        <v>0.60653065971263342</v>
      </c>
      <c r="T35" s="415">
        <f t="shared" si="12"/>
        <v>0.60653065971263342</v>
      </c>
      <c r="U35" s="415">
        <f t="shared" si="12"/>
        <v>0.60653065971263342</v>
      </c>
      <c r="V35" s="415">
        <f t="shared" si="12"/>
        <v>0.60653065971263342</v>
      </c>
      <c r="W35" s="415">
        <f t="shared" si="12"/>
        <v>0.60653065971263342</v>
      </c>
      <c r="X35" s="415">
        <f t="shared" si="12"/>
        <v>0.60653065971263342</v>
      </c>
      <c r="Y35" s="415">
        <f t="shared" si="12"/>
        <v>0.60653065971263342</v>
      </c>
      <c r="Z35" s="415">
        <f t="shared" si="12"/>
        <v>0.60653065971263342</v>
      </c>
      <c r="AA35" s="415">
        <f t="shared" si="12"/>
        <v>0.60653065971263342</v>
      </c>
      <c r="AB35" s="415">
        <f t="shared" si="12"/>
        <v>0.60653065971263342</v>
      </c>
      <c r="AC35" s="415">
        <f t="shared" si="12"/>
        <v>0.60653065971263342</v>
      </c>
      <c r="AD35" s="415">
        <f t="shared" si="12"/>
        <v>0.60653065971263342</v>
      </c>
      <c r="AE35" s="415">
        <f t="shared" si="12"/>
        <v>0.60653065971263342</v>
      </c>
      <c r="AF35" s="415">
        <f t="shared" si="12"/>
        <v>0.60653065971263342</v>
      </c>
      <c r="AG35" s="415">
        <f t="shared" si="12"/>
        <v>0.60653065971263342</v>
      </c>
      <c r="AH35" s="415">
        <f t="shared" si="12"/>
        <v>0.60653065971263342</v>
      </c>
      <c r="AI35" s="415">
        <f t="shared" si="12"/>
        <v>0.60653065971263342</v>
      </c>
      <c r="AJ35" s="415">
        <f t="shared" si="12"/>
        <v>0.60653065971263342</v>
      </c>
      <c r="AK35" s="415">
        <f t="shared" si="12"/>
        <v>0.60653065971263342</v>
      </c>
      <c r="AL35" s="415">
        <f t="shared" si="12"/>
        <v>0.60653065971263342</v>
      </c>
    </row>
    <row r="36" spans="2:38">
      <c r="B36" s="411" t="s">
        <v>665</v>
      </c>
      <c r="C36" s="412" t="s">
        <v>666</v>
      </c>
      <c r="D36" s="414">
        <v>1</v>
      </c>
      <c r="E36" s="414">
        <v>1</v>
      </c>
      <c r="F36" s="414">
        <v>1</v>
      </c>
      <c r="G36" s="414">
        <v>1</v>
      </c>
      <c r="H36" s="417">
        <v>1</v>
      </c>
      <c r="I36" s="414">
        <v>1</v>
      </c>
      <c r="J36" s="414">
        <v>1</v>
      </c>
      <c r="K36" s="414">
        <v>1</v>
      </c>
      <c r="L36" s="414">
        <v>1</v>
      </c>
      <c r="M36" s="414">
        <v>1</v>
      </c>
      <c r="N36" s="414">
        <v>1</v>
      </c>
      <c r="O36" s="414">
        <v>1</v>
      </c>
      <c r="P36" s="414">
        <v>1</v>
      </c>
      <c r="Q36" s="414">
        <v>1</v>
      </c>
      <c r="R36" s="414">
        <v>1</v>
      </c>
      <c r="S36" s="414">
        <v>1</v>
      </c>
      <c r="T36" s="414">
        <v>1</v>
      </c>
      <c r="U36" s="414">
        <v>1</v>
      </c>
      <c r="V36" s="414">
        <v>1</v>
      </c>
      <c r="W36" s="414">
        <v>1</v>
      </c>
      <c r="X36" s="414">
        <v>1</v>
      </c>
      <c r="Y36" s="414">
        <v>1</v>
      </c>
      <c r="Z36" s="414">
        <v>1</v>
      </c>
      <c r="AA36" s="414">
        <v>1</v>
      </c>
      <c r="AB36" s="414">
        <v>1</v>
      </c>
      <c r="AC36" s="414">
        <v>1</v>
      </c>
      <c r="AD36" s="414">
        <v>1</v>
      </c>
      <c r="AE36" s="414">
        <v>1</v>
      </c>
      <c r="AF36" s="414">
        <v>1</v>
      </c>
      <c r="AG36" s="414">
        <v>1</v>
      </c>
      <c r="AH36" s="414">
        <v>1</v>
      </c>
      <c r="AI36" s="414">
        <v>1</v>
      </c>
      <c r="AJ36" s="414">
        <v>1</v>
      </c>
      <c r="AK36" s="414">
        <v>1</v>
      </c>
      <c r="AL36" s="414">
        <v>1</v>
      </c>
    </row>
    <row r="37" spans="2:38" s="421" customFormat="1" ht="13">
      <c r="B37" s="418"/>
      <c r="C37" s="419"/>
      <c r="D37" s="420"/>
      <c r="E37" s="420"/>
      <c r="F37" s="420"/>
      <c r="G37" s="420"/>
      <c r="H37" s="1236"/>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ht="13">
      <c r="B38" s="422" t="s">
        <v>667</v>
      </c>
      <c r="C38" s="408"/>
      <c r="D38" s="420"/>
      <c r="E38" s="420"/>
      <c r="F38" s="420"/>
      <c r="G38" s="420"/>
      <c r="H38" s="1236"/>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row>
    <row r="39" spans="2:38" s="421" customFormat="1">
      <c r="B39" s="411" t="s">
        <v>653</v>
      </c>
      <c r="C39" s="412" t="s">
        <v>654</v>
      </c>
      <c r="D39" s="423">
        <f t="shared" ref="D39:AL39" si="13">((D$15*D$16+0.2)/0.2)^(0.2953)</f>
        <v>14.350190113787177</v>
      </c>
      <c r="E39" s="423">
        <f t="shared" si="13"/>
        <v>14.519041953004301</v>
      </c>
      <c r="F39" s="423">
        <f t="shared" si="13"/>
        <v>14.689881382470073</v>
      </c>
      <c r="G39" s="423">
        <f t="shared" si="13"/>
        <v>14.862731776741745</v>
      </c>
      <c r="H39" s="423">
        <f t="shared" si="13"/>
        <v>15.037616785866444</v>
      </c>
      <c r="I39" s="423">
        <f t="shared" si="13"/>
        <v>15.214560338611578</v>
      </c>
      <c r="J39" s="423">
        <f t="shared" si="13"/>
        <v>15.393586645733558</v>
      </c>
      <c r="K39" s="423">
        <f t="shared" si="13"/>
        <v>15.574720203285306</v>
      </c>
      <c r="L39" s="423">
        <f t="shared" si="13"/>
        <v>15.757985795963005</v>
      </c>
      <c r="M39" s="423">
        <f t="shared" si="13"/>
        <v>15.943408500492502</v>
      </c>
      <c r="N39" s="423">
        <f t="shared" si="13"/>
        <v>16.131013689055816</v>
      </c>
      <c r="O39" s="423">
        <f t="shared" si="13"/>
        <v>16.320827032758331</v>
      </c>
      <c r="P39" s="423">
        <f t="shared" si="13"/>
        <v>16.512874505136963</v>
      </c>
      <c r="Q39" s="423">
        <f t="shared" si="13"/>
        <v>16.707182385709945</v>
      </c>
      <c r="R39" s="423">
        <f t="shared" si="13"/>
        <v>16.903777263568561</v>
      </c>
      <c r="S39" s="423">
        <f t="shared" si="13"/>
        <v>17.102686041011527</v>
      </c>
      <c r="T39" s="423">
        <f t="shared" si="13"/>
        <v>17.303935937222196</v>
      </c>
      <c r="U39" s="423">
        <f t="shared" si="13"/>
        <v>17.507554491989445</v>
      </c>
      <c r="V39" s="423">
        <f t="shared" si="13"/>
        <v>17.713569569472469</v>
      </c>
      <c r="W39" s="423">
        <f t="shared" si="13"/>
        <v>17.922009362010133</v>
      </c>
      <c r="X39" s="423">
        <f t="shared" si="13"/>
        <v>18.132902393975328</v>
      </c>
      <c r="Y39" s="423">
        <f t="shared" si="13"/>
        <v>18.346277525675042</v>
      </c>
      <c r="Z39" s="423">
        <f t="shared" si="13"/>
        <v>18.562163957296296</v>
      </c>
      <c r="AA39" s="423">
        <f t="shared" si="13"/>
        <v>18.7805912328989</v>
      </c>
      <c r="AB39" s="423">
        <f t="shared" si="13"/>
        <v>19.001589244455285</v>
      </c>
      <c r="AC39" s="423">
        <f t="shared" si="13"/>
        <v>19.225188235938152</v>
      </c>
      <c r="AD39" s="423">
        <f t="shared" si="13"/>
        <v>19.451418807456324</v>
      </c>
      <c r="AE39" s="423">
        <f t="shared" si="13"/>
        <v>19.68031191943945</v>
      </c>
      <c r="AF39" s="423">
        <f t="shared" si="13"/>
        <v>19.911898896872213</v>
      </c>
      <c r="AG39" s="423">
        <f t="shared" si="13"/>
        <v>20.146211433578419</v>
      </c>
      <c r="AH39" s="423">
        <f t="shared" si="13"/>
        <v>20.383281596555733</v>
      </c>
      <c r="AI39" s="423">
        <f t="shared" si="13"/>
        <v>20.623141830361568</v>
      </c>
      <c r="AJ39" s="423">
        <f t="shared" si="13"/>
        <v>20.865824961550764</v>
      </c>
      <c r="AK39" s="423">
        <f t="shared" si="13"/>
        <v>21.111364203165547</v>
      </c>
      <c r="AL39" s="423">
        <f t="shared" si="13"/>
        <v>21.359793159278645</v>
      </c>
    </row>
    <row r="40" spans="2:38" s="421" customFormat="1">
      <c r="B40" s="411" t="s">
        <v>655</v>
      </c>
      <c r="C40" s="412" t="s">
        <v>656</v>
      </c>
      <c r="D40" s="414">
        <f t="shared" ref="D40:AL40" si="14">EXP(0.1088*$D$9)</f>
        <v>1</v>
      </c>
      <c r="E40" s="414">
        <f t="shared" si="14"/>
        <v>1</v>
      </c>
      <c r="F40" s="414">
        <f t="shared" si="14"/>
        <v>1</v>
      </c>
      <c r="G40" s="414">
        <f t="shared" si="14"/>
        <v>1</v>
      </c>
      <c r="H40" s="417">
        <f t="shared" si="14"/>
        <v>1</v>
      </c>
      <c r="I40" s="414">
        <f t="shared" si="14"/>
        <v>1</v>
      </c>
      <c r="J40" s="414">
        <f t="shared" si="14"/>
        <v>1</v>
      </c>
      <c r="K40" s="414">
        <f t="shared" si="14"/>
        <v>1</v>
      </c>
      <c r="L40" s="414">
        <f t="shared" si="14"/>
        <v>1</v>
      </c>
      <c r="M40" s="414">
        <f t="shared" si="14"/>
        <v>1</v>
      </c>
      <c r="N40" s="414">
        <f t="shared" si="14"/>
        <v>1</v>
      </c>
      <c r="O40" s="414">
        <f t="shared" si="14"/>
        <v>1</v>
      </c>
      <c r="P40" s="414">
        <f t="shared" si="14"/>
        <v>1</v>
      </c>
      <c r="Q40" s="414">
        <f t="shared" si="14"/>
        <v>1</v>
      </c>
      <c r="R40" s="414">
        <f t="shared" si="14"/>
        <v>1</v>
      </c>
      <c r="S40" s="414">
        <f t="shared" si="14"/>
        <v>1</v>
      </c>
      <c r="T40" s="414">
        <f t="shared" si="14"/>
        <v>1</v>
      </c>
      <c r="U40" s="414">
        <f t="shared" si="14"/>
        <v>1</v>
      </c>
      <c r="V40" s="414">
        <f t="shared" si="14"/>
        <v>1</v>
      </c>
      <c r="W40" s="414">
        <f t="shared" si="14"/>
        <v>1</v>
      </c>
      <c r="X40" s="414">
        <f t="shared" si="14"/>
        <v>1</v>
      </c>
      <c r="Y40" s="414">
        <f t="shared" si="14"/>
        <v>1</v>
      </c>
      <c r="Z40" s="414">
        <f t="shared" si="14"/>
        <v>1</v>
      </c>
      <c r="AA40" s="414">
        <f t="shared" si="14"/>
        <v>1</v>
      </c>
      <c r="AB40" s="414">
        <f t="shared" si="14"/>
        <v>1</v>
      </c>
      <c r="AC40" s="414">
        <f t="shared" si="14"/>
        <v>1</v>
      </c>
      <c r="AD40" s="414">
        <f t="shared" si="14"/>
        <v>1</v>
      </c>
      <c r="AE40" s="414">
        <f t="shared" si="14"/>
        <v>1</v>
      </c>
      <c r="AF40" s="414">
        <f t="shared" si="14"/>
        <v>1</v>
      </c>
      <c r="AG40" s="414">
        <f t="shared" si="14"/>
        <v>1</v>
      </c>
      <c r="AH40" s="414">
        <f t="shared" si="14"/>
        <v>1</v>
      </c>
      <c r="AI40" s="414">
        <f t="shared" si="14"/>
        <v>1</v>
      </c>
      <c r="AJ40" s="414">
        <f t="shared" si="14"/>
        <v>1</v>
      </c>
      <c r="AK40" s="414">
        <f t="shared" si="14"/>
        <v>1</v>
      </c>
      <c r="AL40" s="414">
        <f t="shared" si="14"/>
        <v>1</v>
      </c>
    </row>
    <row r="41" spans="2:38" s="421" customFormat="1">
      <c r="B41" s="411" t="s">
        <v>657</v>
      </c>
      <c r="C41" s="416" t="s">
        <v>658</v>
      </c>
      <c r="D41" s="417">
        <f t="shared" ref="D41:AL41" si="15">((D$18+0.2)/0.2)^(0.047)</f>
        <v>1.1198022320808569</v>
      </c>
      <c r="E41" s="417">
        <f t="shared" si="15"/>
        <v>1.120307872028153</v>
      </c>
      <c r="F41" s="417">
        <f t="shared" si="15"/>
        <v>1.1208142166017745</v>
      </c>
      <c r="G41" s="417">
        <f t="shared" si="15"/>
        <v>1.1213212624333833</v>
      </c>
      <c r="H41" s="417">
        <f t="shared" si="15"/>
        <v>1.1218290061756129</v>
      </c>
      <c r="I41" s="417">
        <f t="shared" si="15"/>
        <v>1.1223374445020879</v>
      </c>
      <c r="J41" s="417">
        <f t="shared" si="15"/>
        <v>1.1228465741074423</v>
      </c>
      <c r="K41" s="417">
        <f t="shared" si="15"/>
        <v>1.1233563917073321</v>
      </c>
      <c r="L41" s="417">
        <f t="shared" si="15"/>
        <v>1.1238668940384469</v>
      </c>
      <c r="M41" s="417">
        <f t="shared" si="15"/>
        <v>1.1243780778585168</v>
      </c>
      <c r="N41" s="417">
        <f t="shared" si="15"/>
        <v>1.1248899399463164</v>
      </c>
      <c r="O41" s="417">
        <f t="shared" si="15"/>
        <v>1.1254024771016669</v>
      </c>
      <c r="P41" s="417">
        <f t="shared" si="15"/>
        <v>1.1259156861454336</v>
      </c>
      <c r="Q41" s="417">
        <f t="shared" si="15"/>
        <v>1.1264295639195219</v>
      </c>
      <c r="R41" s="417">
        <f t="shared" si="15"/>
        <v>1.1269441072868684</v>
      </c>
      <c r="S41" s="417">
        <f t="shared" si="15"/>
        <v>1.1274593131314321</v>
      </c>
      <c r="T41" s="417">
        <f t="shared" si="15"/>
        <v>1.1279751783581806</v>
      </c>
      <c r="U41" s="417">
        <f t="shared" si="15"/>
        <v>1.1284916998930739</v>
      </c>
      <c r="V41" s="417">
        <f t="shared" si="15"/>
        <v>1.1290088746830456</v>
      </c>
      <c r="W41" s="417">
        <f t="shared" si="15"/>
        <v>1.1295266996959834</v>
      </c>
      <c r="X41" s="417">
        <f t="shared" si="15"/>
        <v>1.1300451719207034</v>
      </c>
      <c r="Y41" s="417">
        <f t="shared" si="15"/>
        <v>1.1305642883669256</v>
      </c>
      <c r="Z41" s="417">
        <f t="shared" si="15"/>
        <v>1.1310840460652438</v>
      </c>
      <c r="AA41" s="417">
        <f t="shared" si="15"/>
        <v>1.1316044420670963</v>
      </c>
      <c r="AB41" s="417">
        <f t="shared" si="15"/>
        <v>1.1321254734447308</v>
      </c>
      <c r="AC41" s="417">
        <f t="shared" si="15"/>
        <v>1.1326471372911706</v>
      </c>
      <c r="AD41" s="417">
        <f t="shared" si="15"/>
        <v>1.1331694307201756</v>
      </c>
      <c r="AE41" s="417">
        <f t="shared" si="15"/>
        <v>1.1336923508662025</v>
      </c>
      <c r="AF41" s="417">
        <f t="shared" si="15"/>
        <v>1.1342158948843635</v>
      </c>
      <c r="AG41" s="417">
        <f t="shared" si="15"/>
        <v>1.1347400599503807</v>
      </c>
      <c r="AH41" s="417">
        <f t="shared" si="15"/>
        <v>1.1352648432605419</v>
      </c>
      <c r="AI41" s="417">
        <f t="shared" si="15"/>
        <v>1.1357902420316506</v>
      </c>
      <c r="AJ41" s="417">
        <f t="shared" si="15"/>
        <v>1.1363162535009765</v>
      </c>
      <c r="AK41" s="417">
        <f t="shared" si="15"/>
        <v>1.1368428749262049</v>
      </c>
      <c r="AL41" s="417">
        <f t="shared" si="15"/>
        <v>1.1373701035853803</v>
      </c>
    </row>
    <row r="42" spans="2:38" s="421" customFormat="1">
      <c r="B42" s="411" t="s">
        <v>659</v>
      </c>
      <c r="C42" s="412" t="s">
        <v>660</v>
      </c>
      <c r="D42" s="414">
        <v>1</v>
      </c>
      <c r="E42" s="414">
        <v>1</v>
      </c>
      <c r="F42" s="414">
        <v>1</v>
      </c>
      <c r="G42" s="414">
        <v>1</v>
      </c>
      <c r="H42" s="417">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661</v>
      </c>
      <c r="C43" s="412" t="s">
        <v>662</v>
      </c>
      <c r="D43" s="414">
        <v>1</v>
      </c>
      <c r="E43" s="414">
        <v>1</v>
      </c>
      <c r="F43" s="414">
        <v>1</v>
      </c>
      <c r="G43" s="414">
        <v>1</v>
      </c>
      <c r="H43" s="417">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663</v>
      </c>
      <c r="C44" s="412" t="s">
        <v>664</v>
      </c>
      <c r="D44" s="414">
        <v>1</v>
      </c>
      <c r="E44" s="414">
        <v>1</v>
      </c>
      <c r="F44" s="414">
        <v>1</v>
      </c>
      <c r="G44" s="414">
        <v>1</v>
      </c>
      <c r="H44" s="417">
        <v>1</v>
      </c>
      <c r="I44" s="414">
        <v>1</v>
      </c>
      <c r="J44" s="414">
        <v>1</v>
      </c>
      <c r="K44" s="414">
        <v>1</v>
      </c>
      <c r="L44" s="414">
        <v>1</v>
      </c>
      <c r="M44" s="414">
        <v>1</v>
      </c>
      <c r="N44" s="414">
        <v>1</v>
      </c>
      <c r="O44" s="414">
        <v>1</v>
      </c>
      <c r="P44" s="414">
        <v>1</v>
      </c>
      <c r="Q44" s="414">
        <v>1</v>
      </c>
      <c r="R44" s="414">
        <v>1</v>
      </c>
      <c r="S44" s="414">
        <v>1</v>
      </c>
      <c r="T44" s="414">
        <v>1</v>
      </c>
      <c r="U44" s="414">
        <v>1</v>
      </c>
      <c r="V44" s="414">
        <v>1</v>
      </c>
      <c r="W44" s="414">
        <v>1</v>
      </c>
      <c r="X44" s="414">
        <v>1</v>
      </c>
      <c r="Y44" s="414">
        <v>1</v>
      </c>
      <c r="Z44" s="414">
        <v>1</v>
      </c>
      <c r="AA44" s="414">
        <v>1</v>
      </c>
      <c r="AB44" s="414">
        <v>1</v>
      </c>
      <c r="AC44" s="414">
        <v>1</v>
      </c>
      <c r="AD44" s="414">
        <v>1</v>
      </c>
      <c r="AE44" s="414">
        <v>1</v>
      </c>
      <c r="AF44" s="414">
        <v>1</v>
      </c>
      <c r="AG44" s="414">
        <v>1</v>
      </c>
      <c r="AH44" s="414">
        <v>1</v>
      </c>
      <c r="AI44" s="414">
        <v>1</v>
      </c>
      <c r="AJ44" s="414">
        <v>1</v>
      </c>
      <c r="AK44" s="414">
        <v>1</v>
      </c>
      <c r="AL44" s="414">
        <v>1</v>
      </c>
    </row>
    <row r="45" spans="2:38" s="421" customFormat="1">
      <c r="B45" s="411" t="s">
        <v>665</v>
      </c>
      <c r="C45" s="412" t="s">
        <v>666</v>
      </c>
      <c r="D45" s="414">
        <f t="shared" ref="D45:AL45" si="16">EXP(0.138*($D$10-1))</f>
        <v>1.1479755502741786</v>
      </c>
      <c r="E45" s="414">
        <f t="shared" si="16"/>
        <v>1.1479755502741786</v>
      </c>
      <c r="F45" s="414">
        <f t="shared" si="16"/>
        <v>1.1479755502741786</v>
      </c>
      <c r="G45" s="414">
        <f t="shared" si="16"/>
        <v>1.1479755502741786</v>
      </c>
      <c r="H45" s="417">
        <f t="shared" si="16"/>
        <v>1.1479755502741786</v>
      </c>
      <c r="I45" s="414">
        <f t="shared" si="16"/>
        <v>1.1479755502741786</v>
      </c>
      <c r="J45" s="414">
        <f t="shared" si="16"/>
        <v>1.1479755502741786</v>
      </c>
      <c r="K45" s="414">
        <f t="shared" si="16"/>
        <v>1.1479755502741786</v>
      </c>
      <c r="L45" s="414">
        <f t="shared" si="16"/>
        <v>1.1479755502741786</v>
      </c>
      <c r="M45" s="414">
        <f t="shared" si="16"/>
        <v>1.1479755502741786</v>
      </c>
      <c r="N45" s="414">
        <f t="shared" si="16"/>
        <v>1.1479755502741786</v>
      </c>
      <c r="O45" s="414">
        <f t="shared" si="16"/>
        <v>1.1479755502741786</v>
      </c>
      <c r="P45" s="414">
        <f t="shared" si="16"/>
        <v>1.1479755502741786</v>
      </c>
      <c r="Q45" s="414">
        <f t="shared" si="16"/>
        <v>1.1479755502741786</v>
      </c>
      <c r="R45" s="414">
        <f t="shared" si="16"/>
        <v>1.1479755502741786</v>
      </c>
      <c r="S45" s="414">
        <f t="shared" si="16"/>
        <v>1.1479755502741786</v>
      </c>
      <c r="T45" s="414">
        <f t="shared" si="16"/>
        <v>1.1479755502741786</v>
      </c>
      <c r="U45" s="414">
        <f t="shared" si="16"/>
        <v>1.1479755502741786</v>
      </c>
      <c r="V45" s="414">
        <f t="shared" si="16"/>
        <v>1.1479755502741786</v>
      </c>
      <c r="W45" s="414">
        <f t="shared" si="16"/>
        <v>1.1479755502741786</v>
      </c>
      <c r="X45" s="414">
        <f t="shared" si="16"/>
        <v>1.1479755502741786</v>
      </c>
      <c r="Y45" s="414">
        <f t="shared" si="16"/>
        <v>1.1479755502741786</v>
      </c>
      <c r="Z45" s="414">
        <f t="shared" si="16"/>
        <v>1.1479755502741786</v>
      </c>
      <c r="AA45" s="414">
        <f t="shared" si="16"/>
        <v>1.1479755502741786</v>
      </c>
      <c r="AB45" s="414">
        <f t="shared" si="16"/>
        <v>1.1479755502741786</v>
      </c>
      <c r="AC45" s="414">
        <f t="shared" si="16"/>
        <v>1.1479755502741786</v>
      </c>
      <c r="AD45" s="414">
        <f t="shared" si="16"/>
        <v>1.1479755502741786</v>
      </c>
      <c r="AE45" s="414">
        <f t="shared" si="16"/>
        <v>1.1479755502741786</v>
      </c>
      <c r="AF45" s="414">
        <f t="shared" si="16"/>
        <v>1.1479755502741786</v>
      </c>
      <c r="AG45" s="414">
        <f t="shared" si="16"/>
        <v>1.1479755502741786</v>
      </c>
      <c r="AH45" s="414">
        <f t="shared" si="16"/>
        <v>1.1479755502741786</v>
      </c>
      <c r="AI45" s="414">
        <f t="shared" si="16"/>
        <v>1.1479755502741786</v>
      </c>
      <c r="AJ45" s="414">
        <f t="shared" si="16"/>
        <v>1.1479755502741786</v>
      </c>
      <c r="AK45" s="414">
        <f t="shared" si="16"/>
        <v>1.1479755502741786</v>
      </c>
      <c r="AL45" s="414">
        <f t="shared" si="16"/>
        <v>1.1479755502741786</v>
      </c>
    </row>
    <row r="46" spans="2:38" s="421" customFormat="1" ht="13">
      <c r="B46" s="418"/>
      <c r="C46" s="419"/>
      <c r="D46" s="420"/>
      <c r="E46" s="420"/>
      <c r="F46" s="420"/>
      <c r="G46" s="420"/>
      <c r="H46" s="1236"/>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ht="13">
      <c r="B47" s="422" t="s">
        <v>668</v>
      </c>
      <c r="C47" s="408"/>
      <c r="D47" s="420"/>
      <c r="E47" s="420"/>
      <c r="F47" s="420"/>
      <c r="G47" s="420"/>
      <c r="H47" s="1236"/>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row>
    <row r="48" spans="2:38" s="421" customFormat="1">
      <c r="B48" s="411" t="s">
        <v>653</v>
      </c>
      <c r="C48" s="412" t="s">
        <v>654</v>
      </c>
      <c r="D48" s="423">
        <f t="shared" ref="D48:AL48" si="17">((D$15*D$16+0.2)/0.2)^(0.3116)</f>
        <v>16.623176014027582</v>
      </c>
      <c r="E48" s="423">
        <f t="shared" si="17"/>
        <v>16.829636354312363</v>
      </c>
      <c r="F48" s="423">
        <f t="shared" si="17"/>
        <v>17.038661906561902</v>
      </c>
      <c r="G48" s="423">
        <f t="shared" si="17"/>
        <v>17.250284516765536</v>
      </c>
      <c r="H48" s="423">
        <f t="shared" si="17"/>
        <v>17.464536426967047</v>
      </c>
      <c r="I48" s="423">
        <f t="shared" si="17"/>
        <v>17.681450280171404</v>
      </c>
      <c r="J48" s="423">
        <f t="shared" si="17"/>
        <v>17.901059125312695</v>
      </c>
      <c r="K48" s="423">
        <f t="shared" si="17"/>
        <v>18.123396422284301</v>
      </c>
      <c r="L48" s="423">
        <f t="shared" si="17"/>
        <v>18.348496047031702</v>
      </c>
      <c r="M48" s="423">
        <f t="shared" si="17"/>
        <v>18.576392296708939</v>
      </c>
      <c r="N48" s="423">
        <f t="shared" si="17"/>
        <v>18.807119894899447</v>
      </c>
      <c r="O48" s="423">
        <f t="shared" si="17"/>
        <v>19.040713996901985</v>
      </c>
      <c r="P48" s="423">
        <f t="shared" si="17"/>
        <v>19.277210195082592</v>
      </c>
      <c r="Q48" s="423">
        <f t="shared" si="17"/>
        <v>19.516644524293234</v>
      </c>
      <c r="R48" s="423">
        <f t="shared" si="17"/>
        <v>19.759053467358068</v>
      </c>
      <c r="S48" s="423">
        <f t="shared" si="17"/>
        <v>20.004473960628196</v>
      </c>
      <c r="T48" s="423">
        <f t="shared" si="17"/>
        <v>20.252943399605506</v>
      </c>
      <c r="U48" s="423">
        <f t="shared" si="17"/>
        <v>20.504499644636816</v>
      </c>
      <c r="V48" s="423">
        <f t="shared" si="17"/>
        <v>20.759181026678871</v>
      </c>
      <c r="W48" s="423">
        <f t="shared" si="17"/>
        <v>21.01702635313525</v>
      </c>
      <c r="X48" s="423">
        <f t="shared" si="17"/>
        <v>21.278074913765963</v>
      </c>
      <c r="Y48" s="423">
        <f t="shared" si="17"/>
        <v>21.54236648667079</v>
      </c>
      <c r="Z48" s="423">
        <f t="shared" si="17"/>
        <v>21.80994134434701</v>
      </c>
      <c r="AA48" s="423">
        <f t="shared" si="17"/>
        <v>22.080840259822757</v>
      </c>
      <c r="AB48" s="423">
        <f t="shared" si="17"/>
        <v>22.355104512866596</v>
      </c>
      <c r="AC48" s="423">
        <f t="shared" si="17"/>
        <v>22.632775896274623</v>
      </c>
      <c r="AD48" s="423">
        <f t="shared" si="17"/>
        <v>22.913896722235748</v>
      </c>
      <c r="AE48" s="423">
        <f t="shared" si="17"/>
        <v>23.198509828776228</v>
      </c>
      <c r="AF48" s="423">
        <f t="shared" si="17"/>
        <v>23.486658586284548</v>
      </c>
      <c r="AG48" s="423">
        <f t="shared" si="17"/>
        <v>23.778386904117355</v>
      </c>
      <c r="AH48" s="423">
        <f t="shared" si="17"/>
        <v>24.073739237287871</v>
      </c>
      <c r="AI48" s="423">
        <f t="shared" si="17"/>
        <v>24.37276059323732</v>
      </c>
      <c r="AJ48" s="423">
        <f t="shared" si="17"/>
        <v>24.675496538690822</v>
      </c>
      <c r="AK48" s="423">
        <f t="shared" si="17"/>
        <v>24.98199320659845</v>
      </c>
      <c r="AL48" s="423">
        <f t="shared" si="17"/>
        <v>25.292297303162858</v>
      </c>
    </row>
    <row r="49" spans="2:38" s="421" customFormat="1">
      <c r="B49" s="411" t="s">
        <v>655</v>
      </c>
      <c r="C49" s="412" t="s">
        <v>656</v>
      </c>
      <c r="D49" s="414">
        <f t="shared" ref="D49:AL49" si="18">EXP(0.2912*$D$9)</f>
        <v>1</v>
      </c>
      <c r="E49" s="414">
        <f t="shared" si="18"/>
        <v>1</v>
      </c>
      <c r="F49" s="414">
        <f t="shared" si="18"/>
        <v>1</v>
      </c>
      <c r="G49" s="414">
        <f t="shared" si="18"/>
        <v>1</v>
      </c>
      <c r="H49" s="417">
        <f t="shared" si="18"/>
        <v>1</v>
      </c>
      <c r="I49" s="414">
        <f t="shared" si="18"/>
        <v>1</v>
      </c>
      <c r="J49" s="414">
        <f t="shared" si="18"/>
        <v>1</v>
      </c>
      <c r="K49" s="414">
        <f t="shared" si="18"/>
        <v>1</v>
      </c>
      <c r="L49" s="414">
        <f t="shared" si="18"/>
        <v>1</v>
      </c>
      <c r="M49" s="414">
        <f t="shared" si="18"/>
        <v>1</v>
      </c>
      <c r="N49" s="414">
        <f t="shared" si="18"/>
        <v>1</v>
      </c>
      <c r="O49" s="414">
        <f t="shared" si="18"/>
        <v>1</v>
      </c>
      <c r="P49" s="414">
        <f t="shared" si="18"/>
        <v>1</v>
      </c>
      <c r="Q49" s="414">
        <f t="shared" si="18"/>
        <v>1</v>
      </c>
      <c r="R49" s="414">
        <f t="shared" si="18"/>
        <v>1</v>
      </c>
      <c r="S49" s="414">
        <f t="shared" si="18"/>
        <v>1</v>
      </c>
      <c r="T49" s="414">
        <f t="shared" si="18"/>
        <v>1</v>
      </c>
      <c r="U49" s="414">
        <f t="shared" si="18"/>
        <v>1</v>
      </c>
      <c r="V49" s="414">
        <f t="shared" si="18"/>
        <v>1</v>
      </c>
      <c r="W49" s="414">
        <f t="shared" si="18"/>
        <v>1</v>
      </c>
      <c r="X49" s="414">
        <f t="shared" si="18"/>
        <v>1</v>
      </c>
      <c r="Y49" s="414">
        <f t="shared" si="18"/>
        <v>1</v>
      </c>
      <c r="Z49" s="414">
        <f t="shared" si="18"/>
        <v>1</v>
      </c>
      <c r="AA49" s="414">
        <f t="shared" si="18"/>
        <v>1</v>
      </c>
      <c r="AB49" s="414">
        <f t="shared" si="18"/>
        <v>1</v>
      </c>
      <c r="AC49" s="414">
        <f t="shared" si="18"/>
        <v>1</v>
      </c>
      <c r="AD49" s="414">
        <f t="shared" si="18"/>
        <v>1</v>
      </c>
      <c r="AE49" s="414">
        <f t="shared" si="18"/>
        <v>1</v>
      </c>
      <c r="AF49" s="414">
        <f t="shared" si="18"/>
        <v>1</v>
      </c>
      <c r="AG49" s="414">
        <f t="shared" si="18"/>
        <v>1</v>
      </c>
      <c r="AH49" s="414">
        <f t="shared" si="18"/>
        <v>1</v>
      </c>
      <c r="AI49" s="414">
        <f t="shared" si="18"/>
        <v>1</v>
      </c>
      <c r="AJ49" s="414">
        <f t="shared" si="18"/>
        <v>1</v>
      </c>
      <c r="AK49" s="414">
        <f t="shared" si="18"/>
        <v>1</v>
      </c>
      <c r="AL49" s="414">
        <f t="shared" si="18"/>
        <v>1</v>
      </c>
    </row>
    <row r="50" spans="2:38" s="421" customFormat="1">
      <c r="B50" s="411" t="s">
        <v>657</v>
      </c>
      <c r="C50" s="416" t="s">
        <v>658</v>
      </c>
      <c r="D50" s="414">
        <v>1</v>
      </c>
      <c r="E50" s="414">
        <v>1</v>
      </c>
      <c r="F50" s="414">
        <v>1</v>
      </c>
      <c r="G50" s="414">
        <v>1</v>
      </c>
      <c r="H50" s="417">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659</v>
      </c>
      <c r="C51" s="412" t="s">
        <v>660</v>
      </c>
      <c r="D51" s="414">
        <v>1</v>
      </c>
      <c r="E51" s="414">
        <v>1</v>
      </c>
      <c r="F51" s="414">
        <v>1</v>
      </c>
      <c r="G51" s="414">
        <v>1</v>
      </c>
      <c r="H51" s="417">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661</v>
      </c>
      <c r="C52" s="412" t="s">
        <v>662</v>
      </c>
      <c r="D52" s="414">
        <v>1</v>
      </c>
      <c r="E52" s="414">
        <v>1</v>
      </c>
      <c r="F52" s="414">
        <v>1</v>
      </c>
      <c r="G52" s="414">
        <v>1</v>
      </c>
      <c r="H52" s="417">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11" t="s">
        <v>663</v>
      </c>
      <c r="C53" s="412" t="s">
        <v>664</v>
      </c>
      <c r="D53" s="414">
        <v>1</v>
      </c>
      <c r="E53" s="414">
        <v>1</v>
      </c>
      <c r="F53" s="414">
        <v>1</v>
      </c>
      <c r="G53" s="414">
        <v>1</v>
      </c>
      <c r="H53" s="417">
        <v>1</v>
      </c>
      <c r="I53" s="414">
        <v>1</v>
      </c>
      <c r="J53" s="414">
        <v>1</v>
      </c>
      <c r="K53" s="414">
        <v>1</v>
      </c>
      <c r="L53" s="414">
        <v>1</v>
      </c>
      <c r="M53" s="414">
        <v>1</v>
      </c>
      <c r="N53" s="414">
        <v>1</v>
      </c>
      <c r="O53" s="414">
        <v>1</v>
      </c>
      <c r="P53" s="414">
        <v>1</v>
      </c>
      <c r="Q53" s="414">
        <v>1</v>
      </c>
      <c r="R53" s="414">
        <v>1</v>
      </c>
      <c r="S53" s="414">
        <v>1</v>
      </c>
      <c r="T53" s="414">
        <v>1</v>
      </c>
      <c r="U53" s="414">
        <v>1</v>
      </c>
      <c r="V53" s="414">
        <v>1</v>
      </c>
      <c r="W53" s="414">
        <v>1</v>
      </c>
      <c r="X53" s="414">
        <v>1</v>
      </c>
      <c r="Y53" s="414">
        <v>1</v>
      </c>
      <c r="Z53" s="414">
        <v>1</v>
      </c>
      <c r="AA53" s="414">
        <v>1</v>
      </c>
      <c r="AB53" s="414">
        <v>1</v>
      </c>
      <c r="AC53" s="414">
        <v>1</v>
      </c>
      <c r="AD53" s="414">
        <v>1</v>
      </c>
      <c r="AE53" s="414">
        <v>1</v>
      </c>
      <c r="AF53" s="414">
        <v>1</v>
      </c>
      <c r="AG53" s="414">
        <v>1</v>
      </c>
      <c r="AH53" s="414">
        <v>1</v>
      </c>
      <c r="AI53" s="414">
        <v>1</v>
      </c>
      <c r="AJ53" s="414">
        <v>1</v>
      </c>
      <c r="AK53" s="414">
        <v>1</v>
      </c>
      <c r="AL53" s="414">
        <v>1</v>
      </c>
    </row>
    <row r="54" spans="2:38" s="421" customFormat="1">
      <c r="B54" s="424" t="s">
        <v>665</v>
      </c>
      <c r="C54" s="425" t="s">
        <v>666</v>
      </c>
      <c r="D54" s="426">
        <f t="shared" ref="D54:AL54" si="19">EXP(0.1036*($D$10-1))</f>
        <v>1.1091567034898182</v>
      </c>
      <c r="E54" s="426">
        <f t="shared" si="19"/>
        <v>1.1091567034898182</v>
      </c>
      <c r="F54" s="426">
        <f t="shared" si="19"/>
        <v>1.1091567034898182</v>
      </c>
      <c r="G54" s="426">
        <f t="shared" si="19"/>
        <v>1.1091567034898182</v>
      </c>
      <c r="H54" s="1237">
        <f t="shared" si="19"/>
        <v>1.1091567034898182</v>
      </c>
      <c r="I54" s="426">
        <f t="shared" si="19"/>
        <v>1.1091567034898182</v>
      </c>
      <c r="J54" s="426">
        <f t="shared" si="19"/>
        <v>1.1091567034898182</v>
      </c>
      <c r="K54" s="426">
        <f t="shared" si="19"/>
        <v>1.1091567034898182</v>
      </c>
      <c r="L54" s="426">
        <f t="shared" si="19"/>
        <v>1.1091567034898182</v>
      </c>
      <c r="M54" s="426">
        <f t="shared" si="19"/>
        <v>1.1091567034898182</v>
      </c>
      <c r="N54" s="426">
        <f t="shared" si="19"/>
        <v>1.1091567034898182</v>
      </c>
      <c r="O54" s="426">
        <f t="shared" si="19"/>
        <v>1.1091567034898182</v>
      </c>
      <c r="P54" s="426">
        <f t="shared" si="19"/>
        <v>1.1091567034898182</v>
      </c>
      <c r="Q54" s="426">
        <f t="shared" si="19"/>
        <v>1.1091567034898182</v>
      </c>
      <c r="R54" s="426">
        <f t="shared" si="19"/>
        <v>1.1091567034898182</v>
      </c>
      <c r="S54" s="426">
        <f t="shared" si="19"/>
        <v>1.1091567034898182</v>
      </c>
      <c r="T54" s="426">
        <f t="shared" si="19"/>
        <v>1.1091567034898182</v>
      </c>
      <c r="U54" s="426">
        <f t="shared" si="19"/>
        <v>1.1091567034898182</v>
      </c>
      <c r="V54" s="426">
        <f t="shared" si="19"/>
        <v>1.1091567034898182</v>
      </c>
      <c r="W54" s="426">
        <f t="shared" si="19"/>
        <v>1.1091567034898182</v>
      </c>
      <c r="X54" s="426">
        <f t="shared" si="19"/>
        <v>1.1091567034898182</v>
      </c>
      <c r="Y54" s="426">
        <f t="shared" si="19"/>
        <v>1.1091567034898182</v>
      </c>
      <c r="Z54" s="426">
        <f t="shared" si="19"/>
        <v>1.1091567034898182</v>
      </c>
      <c r="AA54" s="426">
        <f t="shared" si="19"/>
        <v>1.1091567034898182</v>
      </c>
      <c r="AB54" s="426">
        <f t="shared" si="19"/>
        <v>1.1091567034898182</v>
      </c>
      <c r="AC54" s="426">
        <f t="shared" si="19"/>
        <v>1.1091567034898182</v>
      </c>
      <c r="AD54" s="426">
        <f t="shared" si="19"/>
        <v>1.1091567034898182</v>
      </c>
      <c r="AE54" s="426">
        <f t="shared" si="19"/>
        <v>1.1091567034898182</v>
      </c>
      <c r="AF54" s="426">
        <f t="shared" si="19"/>
        <v>1.1091567034898182</v>
      </c>
      <c r="AG54" s="426">
        <f t="shared" si="19"/>
        <v>1.1091567034898182</v>
      </c>
      <c r="AH54" s="426">
        <f t="shared" si="19"/>
        <v>1.1091567034898182</v>
      </c>
      <c r="AI54" s="426">
        <f t="shared" si="19"/>
        <v>1.1091567034898182</v>
      </c>
      <c r="AJ54" s="426">
        <f t="shared" si="19"/>
        <v>1.1091567034898182</v>
      </c>
      <c r="AK54" s="426">
        <f t="shared" si="19"/>
        <v>1.1091567034898182</v>
      </c>
      <c r="AL54" s="426">
        <f t="shared" si="19"/>
        <v>1.1091567034898182</v>
      </c>
    </row>
    <row r="55" spans="2:38">
      <c r="B55" s="362"/>
      <c r="C55" s="427" t="s">
        <v>290</v>
      </c>
      <c r="D55" s="415"/>
      <c r="E55" s="415"/>
      <c r="F55" s="415"/>
      <c r="G55" s="415"/>
      <c r="H55" s="123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row>
    <row r="56" spans="2:38">
      <c r="B56" s="362" t="s">
        <v>669</v>
      </c>
      <c r="C56" s="428">
        <f>$E$6</f>
        <v>2.2680000000000001E-3</v>
      </c>
      <c r="D56" s="429">
        <f t="shared" ref="D56:AK56" si="20">IF($D$6=$B29,$C$56*PRODUCT(D$30:D$36),IF($D$6=$B38,$C$56*PRODUCT(D$39:D$45), $C$56*PRODUCT(D$48:D$54)))</f>
        <v>4.0679923687797541E-2</v>
      </c>
      <c r="E56" s="429">
        <f t="shared" si="20"/>
        <v>4.1273681673752075E-2</v>
      </c>
      <c r="F56" s="429">
        <f t="shared" si="20"/>
        <v>4.1876159193492586E-2</v>
      </c>
      <c r="G56" s="429">
        <f t="shared" si="20"/>
        <v>4.2487484523447659E-2</v>
      </c>
      <c r="H56" s="429">
        <f t="shared" si="20"/>
        <v>4.3107787829627049E-2</v>
      </c>
      <c r="I56" s="429">
        <f t="shared" si="20"/>
        <v>4.3737201195419309E-2</v>
      </c>
      <c r="J56" s="429">
        <f t="shared" si="20"/>
        <v>4.4375858649799219E-2</v>
      </c>
      <c r="K56" s="429">
        <f t="shared" si="20"/>
        <v>4.502389619595127E-2</v>
      </c>
      <c r="L56" s="429">
        <f t="shared" si="20"/>
        <v>4.5681451840315357E-2</v>
      </c>
      <c r="M56" s="429">
        <f t="shared" si="20"/>
        <v>4.6348665622060622E-2</v>
      </c>
      <c r="N56" s="429">
        <f t="shared" si="20"/>
        <v>4.7025679642993874E-2</v>
      </c>
      <c r="O56" s="429">
        <f t="shared" si="20"/>
        <v>4.7712638097909231E-2</v>
      </c>
      <c r="P56" s="429">
        <f t="shared" si="20"/>
        <v>4.8409687305384946E-2</v>
      </c>
      <c r="Q56" s="429">
        <f t="shared" si="20"/>
        <v>4.9116975739034383E-2</v>
      </c>
      <c r="R56" s="429">
        <f t="shared" si="20"/>
        <v>4.983465405921772E-2</v>
      </c>
      <c r="S56" s="429">
        <f t="shared" si="20"/>
        <v>5.0562875145221231E-2</v>
      </c>
      <c r="T56" s="429">
        <f t="shared" si="20"/>
        <v>5.1301794127910527E-2</v>
      </c>
      <c r="U56" s="429">
        <f t="shared" si="20"/>
        <v>5.205156842286577E-2</v>
      </c>
      <c r="V56" s="429">
        <f t="shared" si="20"/>
        <v>5.2812357764004524E-2</v>
      </c>
      <c r="W56" s="429">
        <f t="shared" si="20"/>
        <v>5.3584324237700993E-2</v>
      </c>
      <c r="X56" s="429">
        <f t="shared" si="20"/>
        <v>5.4367632317407218E-2</v>
      </c>
      <c r="Y56" s="429">
        <f t="shared" si="20"/>
        <v>5.5162448898785625E-2</v>
      </c>
      <c r="Z56" s="429">
        <f t="shared" si="20"/>
        <v>5.5968943335358158E-2</v>
      </c>
      <c r="AA56" s="429">
        <f t="shared" si="20"/>
        <v>5.6787287474681841E-2</v>
      </c>
      <c r="AB56" s="429">
        <f t="shared" si="20"/>
        <v>5.7617655695056613E-2</v>
      </c>
      <c r="AC56" s="429">
        <f t="shared" si="20"/>
        <v>5.846022494277469E-2</v>
      </c>
      <c r="AD56" s="429">
        <f t="shared" si="20"/>
        <v>5.9315174769918655E-2</v>
      </c>
      <c r="AE56" s="429">
        <f t="shared" si="20"/>
        <v>6.0182687372716218E-2</v>
      </c>
      <c r="AF56" s="429">
        <f t="shared" si="20"/>
        <v>6.1062947630460704E-2</v>
      </c>
      <c r="AG56" s="429">
        <f t="shared" si="20"/>
        <v>6.1956143145004354E-2</v>
      </c>
      <c r="AH56" s="429">
        <f t="shared" si="20"/>
        <v>6.2862464280834335E-2</v>
      </c>
      <c r="AI56" s="429">
        <f t="shared" si="20"/>
        <v>6.3782104205738391E-2</v>
      </c>
      <c r="AJ56" s="429">
        <f t="shared" si="20"/>
        <v>6.4715258932070335E-2</v>
      </c>
      <c r="AK56" s="429">
        <f t="shared" si="20"/>
        <v>6.5662127358623007E-2</v>
      </c>
      <c r="AL56" s="429">
        <f t="shared" ref="AL56" si="21">IF($D$6=$B29,$C$56*PRODUCT(AL$30:AL$36),IF($D$6=$B38,$C$56*PRODUCT(AL$39:AL$45), $C$56*PRODUCT(AL$48:AL$54)))</f>
        <v>6.6622911313118663E-2</v>
      </c>
    </row>
    <row r="58" spans="2:38" ht="13">
      <c r="B58" s="407" t="s">
        <v>670</v>
      </c>
      <c r="C58" s="396" t="s">
        <v>627</v>
      </c>
      <c r="D58" s="397">
        <v>2018</v>
      </c>
      <c r="E58" s="397">
        <v>2020</v>
      </c>
      <c r="F58" s="397">
        <v>2021</v>
      </c>
      <c r="G58" s="397">
        <v>2022</v>
      </c>
      <c r="H58" s="1238">
        <v>2023</v>
      </c>
      <c r="I58" s="397">
        <v>2024</v>
      </c>
      <c r="J58" s="397">
        <v>2025</v>
      </c>
      <c r="K58" s="397">
        <v>2026</v>
      </c>
      <c r="L58" s="397">
        <v>2027</v>
      </c>
      <c r="M58" s="397">
        <v>2028</v>
      </c>
      <c r="N58" s="397">
        <v>2029</v>
      </c>
      <c r="O58" s="397">
        <v>2030</v>
      </c>
      <c r="P58" s="397">
        <v>2031</v>
      </c>
      <c r="Q58" s="397">
        <v>2032</v>
      </c>
      <c r="R58" s="397">
        <v>2033</v>
      </c>
      <c r="S58" s="397">
        <v>2034</v>
      </c>
      <c r="T58" s="397">
        <v>2035</v>
      </c>
      <c r="U58" s="397">
        <v>2036</v>
      </c>
      <c r="V58" s="397">
        <v>2037</v>
      </c>
      <c r="W58" s="397">
        <v>2038</v>
      </c>
      <c r="X58" s="397">
        <v>2039</v>
      </c>
      <c r="Y58" s="397">
        <v>2040</v>
      </c>
      <c r="Z58" s="397">
        <v>2041</v>
      </c>
      <c r="AA58" s="397">
        <v>2042</v>
      </c>
      <c r="AB58" s="397">
        <v>2043</v>
      </c>
      <c r="AC58" s="397">
        <v>2044</v>
      </c>
      <c r="AD58" s="397">
        <v>2044</v>
      </c>
      <c r="AE58" s="397">
        <v>2044</v>
      </c>
      <c r="AF58" s="397">
        <v>2044</v>
      </c>
      <c r="AG58" s="397">
        <v>2044</v>
      </c>
      <c r="AH58" s="397">
        <v>2044</v>
      </c>
      <c r="AI58" s="397">
        <v>2044</v>
      </c>
      <c r="AJ58" s="397">
        <v>2044</v>
      </c>
      <c r="AK58" s="397">
        <v>2044</v>
      </c>
      <c r="AL58" s="397">
        <v>2044</v>
      </c>
    </row>
    <row r="59" spans="2:38" s="366" customFormat="1">
      <c r="B59" s="366" t="s">
        <v>671</v>
      </c>
      <c r="C59" s="430" t="s">
        <v>662</v>
      </c>
      <c r="D59" s="431">
        <f t="shared" ref="D59:AK59" si="22">D20^(-1.074)</f>
        <v>0.11486407065121609</v>
      </c>
      <c r="E59" s="432">
        <f t="shared" si="22"/>
        <v>0.11486407065121609</v>
      </c>
      <c r="F59" s="432">
        <f t="shared" si="22"/>
        <v>0.11486407065121609</v>
      </c>
      <c r="G59" s="432">
        <f t="shared" si="22"/>
        <v>0.11486407065121609</v>
      </c>
      <c r="H59" s="1239">
        <f t="shared" si="22"/>
        <v>0.11486407065121609</v>
      </c>
      <c r="I59" s="432">
        <f t="shared" si="22"/>
        <v>0.11486407065121609</v>
      </c>
      <c r="J59" s="432">
        <f t="shared" si="22"/>
        <v>0.11486407065121609</v>
      </c>
      <c r="K59" s="432">
        <f t="shared" si="22"/>
        <v>0.11486407065121609</v>
      </c>
      <c r="L59" s="432">
        <f t="shared" si="22"/>
        <v>0.11486407065121609</v>
      </c>
      <c r="M59" s="432">
        <f t="shared" si="22"/>
        <v>0.11486407065121609</v>
      </c>
      <c r="N59" s="432">
        <f t="shared" si="22"/>
        <v>0.11486407065121609</v>
      </c>
      <c r="O59" s="432">
        <f t="shared" si="22"/>
        <v>0.11486407065121609</v>
      </c>
      <c r="P59" s="432">
        <f t="shared" si="22"/>
        <v>0.11486407065121609</v>
      </c>
      <c r="Q59" s="432">
        <f t="shared" si="22"/>
        <v>0.11486407065121609</v>
      </c>
      <c r="R59" s="432">
        <f t="shared" si="22"/>
        <v>0.11486407065121609</v>
      </c>
      <c r="S59" s="432">
        <f t="shared" si="22"/>
        <v>0.11486407065121609</v>
      </c>
      <c r="T59" s="432">
        <f t="shared" si="22"/>
        <v>0.11486407065121609</v>
      </c>
      <c r="U59" s="432">
        <f t="shared" si="22"/>
        <v>0.11486407065121609</v>
      </c>
      <c r="V59" s="432">
        <f t="shared" si="22"/>
        <v>0.11486407065121609</v>
      </c>
      <c r="W59" s="432">
        <f t="shared" si="22"/>
        <v>0.11486407065121609</v>
      </c>
      <c r="X59" s="432">
        <f t="shared" si="22"/>
        <v>0.11486407065121609</v>
      </c>
      <c r="Y59" s="432">
        <f t="shared" si="22"/>
        <v>0.11486407065121609</v>
      </c>
      <c r="Z59" s="432">
        <f t="shared" si="22"/>
        <v>0.11486407065121609</v>
      </c>
      <c r="AA59" s="432">
        <f t="shared" si="22"/>
        <v>0.11486407065121609</v>
      </c>
      <c r="AB59" s="432">
        <f t="shared" si="22"/>
        <v>0.11486407065121609</v>
      </c>
      <c r="AC59" s="432">
        <f t="shared" si="22"/>
        <v>0.11486407065121609</v>
      </c>
      <c r="AD59" s="432">
        <f t="shared" si="22"/>
        <v>0.11486407065121609</v>
      </c>
      <c r="AE59" s="432">
        <f t="shared" si="22"/>
        <v>0.11486407065121609</v>
      </c>
      <c r="AF59" s="432">
        <f t="shared" si="22"/>
        <v>0.11486407065121609</v>
      </c>
      <c r="AG59" s="432">
        <f t="shared" si="22"/>
        <v>0.11486407065121609</v>
      </c>
      <c r="AH59" s="432">
        <f t="shared" si="22"/>
        <v>0.11486407065121609</v>
      </c>
      <c r="AI59" s="432">
        <f t="shared" si="22"/>
        <v>0.11486407065121609</v>
      </c>
      <c r="AJ59" s="432">
        <f t="shared" si="22"/>
        <v>0.11486407065121609</v>
      </c>
      <c r="AK59" s="432">
        <f t="shared" si="22"/>
        <v>0.11486407065121609</v>
      </c>
      <c r="AL59" s="432">
        <f t="shared" ref="AL59" si="23">AL20^(-1.074)</f>
        <v>0.11486407065121609</v>
      </c>
    </row>
    <row r="60" spans="2:38">
      <c r="B60" s="358" t="s">
        <v>606</v>
      </c>
      <c r="C60" s="419" t="s">
        <v>672</v>
      </c>
      <c r="D60" s="417">
        <f t="shared" ref="D60:AL60" si="24">(D$17+1)^(-0.1025)</f>
        <v>0.81841688605541607</v>
      </c>
      <c r="E60" s="417">
        <f t="shared" si="24"/>
        <v>0.81765690702612781</v>
      </c>
      <c r="F60" s="417">
        <f t="shared" si="24"/>
        <v>0.81689650954219895</v>
      </c>
      <c r="G60" s="417">
        <f t="shared" si="24"/>
        <v>0.81613570459200147</v>
      </c>
      <c r="H60" s="417">
        <f t="shared" si="24"/>
        <v>0.81537450309664339</v>
      </c>
      <c r="I60" s="417">
        <f t="shared" si="24"/>
        <v>0.81461291590967277</v>
      </c>
      <c r="J60" s="417">
        <f t="shared" si="24"/>
        <v>0.81385095381679629</v>
      </c>
      <c r="K60" s="417">
        <f t="shared" si="24"/>
        <v>0.81308862753561317</v>
      </c>
      <c r="L60" s="417">
        <f t="shared" si="24"/>
        <v>0.81232594771536493</v>
      </c>
      <c r="M60" s="417">
        <f t="shared" si="24"/>
        <v>0.81156292493670046</v>
      </c>
      <c r="N60" s="417">
        <f t="shared" si="24"/>
        <v>0.81079956971145628</v>
      </c>
      <c r="O60" s="417">
        <f t="shared" si="24"/>
        <v>0.81003589248245045</v>
      </c>
      <c r="P60" s="417">
        <f t="shared" si="24"/>
        <v>0.80927190362329249</v>
      </c>
      <c r="Q60" s="417">
        <f t="shared" si="24"/>
        <v>0.80850761343820632</v>
      </c>
      <c r="R60" s="417">
        <f t="shared" si="24"/>
        <v>0.80774303216186893</v>
      </c>
      <c r="S60" s="417">
        <f t="shared" si="24"/>
        <v>0.8069781699592613</v>
      </c>
      <c r="T60" s="417">
        <f t="shared" si="24"/>
        <v>0.80621303692553392</v>
      </c>
      <c r="U60" s="417">
        <f t="shared" si="24"/>
        <v>0.80544764308588568</v>
      </c>
      <c r="V60" s="417">
        <f t="shared" si="24"/>
        <v>0.8046819983954564</v>
      </c>
      <c r="W60" s="417">
        <f t="shared" si="24"/>
        <v>0.80391611273923169</v>
      </c>
      <c r="X60" s="417">
        <f t="shared" si="24"/>
        <v>0.80314999593196079</v>
      </c>
      <c r="Y60" s="417">
        <f t="shared" si="24"/>
        <v>0.80238365771808795</v>
      </c>
      <c r="Z60" s="417">
        <f t="shared" si="24"/>
        <v>0.80161710777169504</v>
      </c>
      <c r="AA60" s="417">
        <f t="shared" si="24"/>
        <v>0.80085035569645713</v>
      </c>
      <c r="AB60" s="417">
        <f t="shared" si="24"/>
        <v>0.80008341102560987</v>
      </c>
      <c r="AC60" s="417">
        <f t="shared" si="24"/>
        <v>0.79931628322192838</v>
      </c>
      <c r="AD60" s="417">
        <f t="shared" si="24"/>
        <v>0.79854898167771826</v>
      </c>
      <c r="AE60" s="417">
        <f t="shared" si="24"/>
        <v>0.7977815157148177</v>
      </c>
      <c r="AF60" s="417">
        <f t="shared" si="24"/>
        <v>0.79701389458460981</v>
      </c>
      <c r="AG60" s="417">
        <f t="shared" si="24"/>
        <v>0.79624612746804801</v>
      </c>
      <c r="AH60" s="417">
        <f t="shared" si="24"/>
        <v>0.79547822347569053</v>
      </c>
      <c r="AI60" s="417">
        <f t="shared" si="24"/>
        <v>0.79471019164774515</v>
      </c>
      <c r="AJ60" s="417">
        <f t="shared" si="24"/>
        <v>0.79394204095412557</v>
      </c>
      <c r="AK60" s="417">
        <f t="shared" si="24"/>
        <v>0.79317378029451702</v>
      </c>
      <c r="AL60" s="417">
        <f t="shared" si="24"/>
        <v>0.79240541849845181</v>
      </c>
    </row>
    <row r="61" spans="2:38">
      <c r="B61" s="358" t="s">
        <v>673</v>
      </c>
      <c r="C61" s="419" t="s">
        <v>674</v>
      </c>
      <c r="D61" s="414">
        <f t="shared" ref="D61:AL61" si="25">(D$19+1)^(0.1025)</f>
        <v>1</v>
      </c>
      <c r="E61" s="415">
        <f t="shared" si="25"/>
        <v>1</v>
      </c>
      <c r="F61" s="415">
        <f t="shared" si="25"/>
        <v>1</v>
      </c>
      <c r="G61" s="415">
        <f t="shared" si="25"/>
        <v>1</v>
      </c>
      <c r="H61" s="1235">
        <f t="shared" si="25"/>
        <v>1</v>
      </c>
      <c r="I61" s="415">
        <f t="shared" si="25"/>
        <v>1</v>
      </c>
      <c r="J61" s="415">
        <f t="shared" si="25"/>
        <v>1</v>
      </c>
      <c r="K61" s="415">
        <f t="shared" si="25"/>
        <v>1</v>
      </c>
      <c r="L61" s="415">
        <f t="shared" si="25"/>
        <v>1</v>
      </c>
      <c r="M61" s="415">
        <f t="shared" si="25"/>
        <v>1</v>
      </c>
      <c r="N61" s="415">
        <f t="shared" si="25"/>
        <v>1</v>
      </c>
      <c r="O61" s="415">
        <f t="shared" si="25"/>
        <v>1</v>
      </c>
      <c r="P61" s="415">
        <f t="shared" si="25"/>
        <v>1</v>
      </c>
      <c r="Q61" s="415">
        <f t="shared" si="25"/>
        <v>1</v>
      </c>
      <c r="R61" s="415">
        <f t="shared" si="25"/>
        <v>1</v>
      </c>
      <c r="S61" s="415">
        <f t="shared" si="25"/>
        <v>1</v>
      </c>
      <c r="T61" s="415">
        <f t="shared" si="25"/>
        <v>1</v>
      </c>
      <c r="U61" s="415">
        <f t="shared" si="25"/>
        <v>1</v>
      </c>
      <c r="V61" s="415">
        <f t="shared" si="25"/>
        <v>1</v>
      </c>
      <c r="W61" s="415">
        <f t="shared" si="25"/>
        <v>1</v>
      </c>
      <c r="X61" s="415">
        <f t="shared" si="25"/>
        <v>1</v>
      </c>
      <c r="Y61" s="415">
        <f t="shared" si="25"/>
        <v>1</v>
      </c>
      <c r="Z61" s="415">
        <f t="shared" si="25"/>
        <v>1</v>
      </c>
      <c r="AA61" s="415">
        <f t="shared" si="25"/>
        <v>1</v>
      </c>
      <c r="AB61" s="415">
        <f t="shared" si="25"/>
        <v>1</v>
      </c>
      <c r="AC61" s="415">
        <f t="shared" si="25"/>
        <v>1</v>
      </c>
      <c r="AD61" s="415">
        <f t="shared" si="25"/>
        <v>1</v>
      </c>
      <c r="AE61" s="415">
        <f t="shared" si="25"/>
        <v>1</v>
      </c>
      <c r="AF61" s="415">
        <f t="shared" si="25"/>
        <v>1</v>
      </c>
      <c r="AG61" s="415">
        <f t="shared" si="25"/>
        <v>1</v>
      </c>
      <c r="AH61" s="415">
        <f t="shared" si="25"/>
        <v>1</v>
      </c>
      <c r="AI61" s="415">
        <f t="shared" si="25"/>
        <v>1</v>
      </c>
      <c r="AJ61" s="415">
        <f t="shared" si="25"/>
        <v>1</v>
      </c>
      <c r="AK61" s="415">
        <f t="shared" si="25"/>
        <v>1</v>
      </c>
      <c r="AL61" s="415">
        <f t="shared" si="25"/>
        <v>1</v>
      </c>
    </row>
    <row r="62" spans="2:38">
      <c r="B62" s="433" t="s">
        <v>675</v>
      </c>
      <c r="C62" s="434" t="s">
        <v>676</v>
      </c>
      <c r="D62" s="426">
        <f t="shared" ref="D62:AL62" si="26">EXP(0.188*$E$5)</f>
        <v>1.2068335153496053</v>
      </c>
      <c r="E62" s="426">
        <f t="shared" si="26"/>
        <v>1.2068335153496053</v>
      </c>
      <c r="F62" s="426">
        <f t="shared" si="26"/>
        <v>1.2068335153496053</v>
      </c>
      <c r="G62" s="426">
        <f t="shared" si="26"/>
        <v>1.2068335153496053</v>
      </c>
      <c r="H62" s="1237">
        <f t="shared" si="26"/>
        <v>1.2068335153496053</v>
      </c>
      <c r="I62" s="426">
        <f t="shared" si="26"/>
        <v>1.2068335153496053</v>
      </c>
      <c r="J62" s="426">
        <f t="shared" si="26"/>
        <v>1.2068335153496053</v>
      </c>
      <c r="K62" s="426">
        <f t="shared" si="26"/>
        <v>1.2068335153496053</v>
      </c>
      <c r="L62" s="426">
        <f t="shared" si="26"/>
        <v>1.2068335153496053</v>
      </c>
      <c r="M62" s="426">
        <f t="shared" si="26"/>
        <v>1.2068335153496053</v>
      </c>
      <c r="N62" s="426">
        <f t="shared" si="26"/>
        <v>1.2068335153496053</v>
      </c>
      <c r="O62" s="426">
        <f t="shared" si="26"/>
        <v>1.2068335153496053</v>
      </c>
      <c r="P62" s="426">
        <f t="shared" si="26"/>
        <v>1.2068335153496053</v>
      </c>
      <c r="Q62" s="426">
        <f t="shared" si="26"/>
        <v>1.2068335153496053</v>
      </c>
      <c r="R62" s="426">
        <f t="shared" si="26"/>
        <v>1.2068335153496053</v>
      </c>
      <c r="S62" s="426">
        <f t="shared" si="26"/>
        <v>1.2068335153496053</v>
      </c>
      <c r="T62" s="426">
        <f t="shared" si="26"/>
        <v>1.2068335153496053</v>
      </c>
      <c r="U62" s="426">
        <f t="shared" si="26"/>
        <v>1.2068335153496053</v>
      </c>
      <c r="V62" s="426">
        <f t="shared" si="26"/>
        <v>1.2068335153496053</v>
      </c>
      <c r="W62" s="426">
        <f t="shared" si="26"/>
        <v>1.2068335153496053</v>
      </c>
      <c r="X62" s="426">
        <f t="shared" si="26"/>
        <v>1.2068335153496053</v>
      </c>
      <c r="Y62" s="426">
        <f t="shared" si="26"/>
        <v>1.2068335153496053</v>
      </c>
      <c r="Z62" s="426">
        <f t="shared" si="26"/>
        <v>1.2068335153496053</v>
      </c>
      <c r="AA62" s="426">
        <f t="shared" si="26"/>
        <v>1.2068335153496053</v>
      </c>
      <c r="AB62" s="426">
        <f t="shared" si="26"/>
        <v>1.2068335153496053</v>
      </c>
      <c r="AC62" s="426">
        <f t="shared" si="26"/>
        <v>1.2068335153496053</v>
      </c>
      <c r="AD62" s="426">
        <f t="shared" si="26"/>
        <v>1.2068335153496053</v>
      </c>
      <c r="AE62" s="426">
        <f t="shared" si="26"/>
        <v>1.2068335153496053</v>
      </c>
      <c r="AF62" s="426">
        <f t="shared" si="26"/>
        <v>1.2068335153496053</v>
      </c>
      <c r="AG62" s="426">
        <f t="shared" si="26"/>
        <v>1.2068335153496053</v>
      </c>
      <c r="AH62" s="426">
        <f t="shared" si="26"/>
        <v>1.2068335153496053</v>
      </c>
      <c r="AI62" s="426">
        <f t="shared" si="26"/>
        <v>1.2068335153496053</v>
      </c>
      <c r="AJ62" s="426">
        <f t="shared" si="26"/>
        <v>1.2068335153496053</v>
      </c>
      <c r="AK62" s="426">
        <f t="shared" si="26"/>
        <v>1.2068335153496053</v>
      </c>
      <c r="AL62" s="426">
        <f t="shared" si="26"/>
        <v>1.2068335153496053</v>
      </c>
    </row>
    <row r="63" spans="2:38">
      <c r="B63" s="362"/>
      <c r="C63" s="427" t="s">
        <v>290</v>
      </c>
    </row>
    <row r="64" spans="2:38">
      <c r="B64" s="362" t="s">
        <v>677</v>
      </c>
      <c r="C64" s="406">
        <v>695</v>
      </c>
      <c r="D64" s="435">
        <f t="shared" ref="D64:AL64" si="27">1/(1+$C$64*PRODUCT(D$59:D$62))</f>
        <v>1.2523787525043351E-2</v>
      </c>
      <c r="E64" s="435">
        <f t="shared" si="27"/>
        <v>1.2535281963969649E-2</v>
      </c>
      <c r="F64" s="435">
        <f t="shared" si="27"/>
        <v>1.2546803868115417E-2</v>
      </c>
      <c r="G64" s="435">
        <f t="shared" si="27"/>
        <v>1.2558353163824159E-2</v>
      </c>
      <c r="H64" s="435">
        <f t="shared" si="27"/>
        <v>1.2569929777658998E-2</v>
      </c>
      <c r="I64" s="435">
        <f t="shared" si="27"/>
        <v>1.2581533636408937E-2</v>
      </c>
      <c r="J64" s="435">
        <f t="shared" si="27"/>
        <v>1.2593164667094986E-2</v>
      </c>
      <c r="K64" s="435">
        <f t="shared" si="27"/>
        <v>1.2604822796976212E-2</v>
      </c>
      <c r="L64" s="435">
        <f t="shared" si="27"/>
        <v>1.2616507953555609E-2</v>
      </c>
      <c r="M64" s="435">
        <f t="shared" si="27"/>
        <v>1.2628220064585876E-2</v>
      </c>
      <c r="N64" s="435">
        <f t="shared" si="27"/>
        <v>1.2639959058075053E-2</v>
      </c>
      <c r="O64" s="435">
        <f t="shared" si="27"/>
        <v>1.2651724862292059E-2</v>
      </c>
      <c r="P64" s="435">
        <f t="shared" si="27"/>
        <v>1.2663517405772056E-2</v>
      </c>
      <c r="Q64" s="435">
        <f t="shared" si="27"/>
        <v>1.2675336617321769E-2</v>
      </c>
      <c r="R64" s="435">
        <f t="shared" si="27"/>
        <v>1.2687182426024598E-2</v>
      </c>
      <c r="S64" s="435">
        <f t="shared" si="27"/>
        <v>1.2699054761245677E-2</v>
      </c>
      <c r="T64" s="435">
        <f t="shared" si="27"/>
        <v>1.2710953552636789E-2</v>
      </c>
      <c r="U64" s="435">
        <f t="shared" si="27"/>
        <v>1.2722878730141156E-2</v>
      </c>
      <c r="V64" s="435">
        <f t="shared" si="27"/>
        <v>1.2734830223998114E-2</v>
      </c>
      <c r="W64" s="435">
        <f t="shared" si="27"/>
        <v>1.2746807964747694E-2</v>
      </c>
      <c r="X64" s="435">
        <f t="shared" si="27"/>
        <v>1.2758811883235069E-2</v>
      </c>
      <c r="Y64" s="435">
        <f t="shared" si="27"/>
        <v>1.2770841910614861E-2</v>
      </c>
      <c r="Z64" s="435">
        <f t="shared" si="27"/>
        <v>1.2782897978355421E-2</v>
      </c>
      <c r="AA64" s="435">
        <f t="shared" si="27"/>
        <v>1.2794980018242866E-2</v>
      </c>
      <c r="AB64" s="435">
        <f t="shared" si="27"/>
        <v>1.2807087962385151E-2</v>
      </c>
      <c r="AC64" s="435">
        <f t="shared" si="27"/>
        <v>1.2819221743215897E-2</v>
      </c>
      <c r="AD64" s="435">
        <f t="shared" si="27"/>
        <v>1.2831381293498223E-2</v>
      </c>
      <c r="AE64" s="435">
        <f t="shared" si="27"/>
        <v>1.2843566546328381E-2</v>
      </c>
      <c r="AF64" s="435">
        <f t="shared" si="27"/>
        <v>1.2855777435139356E-2</v>
      </c>
      <c r="AG64" s="435">
        <f t="shared" si="27"/>
        <v>1.2868013893704297E-2</v>
      </c>
      <c r="AH64" s="435">
        <f t="shared" si="27"/>
        <v>1.2880275856139899E-2</v>
      </c>
      <c r="AI64" s="435">
        <f t="shared" si="27"/>
        <v>1.2892563256909646E-2</v>
      </c>
      <c r="AJ64" s="435">
        <f t="shared" si="27"/>
        <v>1.2904876030826967E-2</v>
      </c>
      <c r="AK64" s="435">
        <f t="shared" si="27"/>
        <v>1.2917214113058295E-2</v>
      </c>
      <c r="AL64" s="435">
        <f t="shared" si="27"/>
        <v>1.2929577439126011E-2</v>
      </c>
    </row>
    <row r="66" spans="1:38" ht="13">
      <c r="B66" s="407" t="s">
        <v>678</v>
      </c>
      <c r="C66" s="396" t="s">
        <v>627</v>
      </c>
      <c r="D66" s="397">
        <v>2018</v>
      </c>
      <c r="E66" s="397">
        <v>2020</v>
      </c>
      <c r="F66" s="397">
        <v>2021</v>
      </c>
      <c r="G66" s="397">
        <v>2022</v>
      </c>
      <c r="H66" s="1238">
        <v>2023</v>
      </c>
      <c r="I66" s="397">
        <v>2024</v>
      </c>
      <c r="J66" s="397">
        <v>2025</v>
      </c>
      <c r="K66" s="397">
        <v>2026</v>
      </c>
      <c r="L66" s="397">
        <v>2027</v>
      </c>
      <c r="M66" s="397">
        <v>2028</v>
      </c>
      <c r="N66" s="397">
        <v>2029</v>
      </c>
      <c r="O66" s="397">
        <v>2030</v>
      </c>
      <c r="P66" s="397">
        <v>2031</v>
      </c>
      <c r="Q66" s="397">
        <v>2032</v>
      </c>
      <c r="R66" s="397">
        <v>2033</v>
      </c>
      <c r="S66" s="397">
        <v>2034</v>
      </c>
      <c r="T66" s="397">
        <v>2035</v>
      </c>
      <c r="U66" s="397">
        <v>2036</v>
      </c>
      <c r="V66" s="397">
        <v>2037</v>
      </c>
      <c r="W66" s="397">
        <v>2038</v>
      </c>
      <c r="X66" s="397">
        <v>2039</v>
      </c>
      <c r="Y66" s="397">
        <v>2040</v>
      </c>
      <c r="Z66" s="397">
        <v>2041</v>
      </c>
      <c r="AA66" s="397">
        <v>2042</v>
      </c>
      <c r="AB66" s="397">
        <v>2043</v>
      </c>
      <c r="AC66" s="397">
        <v>2044</v>
      </c>
      <c r="AD66" s="397">
        <v>2044</v>
      </c>
      <c r="AE66" s="397">
        <v>2044</v>
      </c>
      <c r="AF66" s="397">
        <v>2044</v>
      </c>
      <c r="AG66" s="397">
        <v>2044</v>
      </c>
      <c r="AH66" s="397">
        <v>2044</v>
      </c>
      <c r="AI66" s="397">
        <v>2044</v>
      </c>
      <c r="AJ66" s="397">
        <v>2044</v>
      </c>
      <c r="AK66" s="397">
        <v>2044</v>
      </c>
      <c r="AL66" s="397">
        <v>2044</v>
      </c>
    </row>
    <row r="67" spans="1:38">
      <c r="B67" s="358" t="s">
        <v>679</v>
      </c>
      <c r="C67" s="436" t="s">
        <v>680</v>
      </c>
      <c r="D67" s="437">
        <f t="shared" ref="D67:AL67" si="28">D$64</f>
        <v>1.2523787525043351E-2</v>
      </c>
      <c r="E67" s="415">
        <f t="shared" si="28"/>
        <v>1.2535281963969649E-2</v>
      </c>
      <c r="F67" s="415">
        <f t="shared" si="28"/>
        <v>1.2546803868115417E-2</v>
      </c>
      <c r="G67" s="415">
        <f t="shared" si="28"/>
        <v>1.2558353163824159E-2</v>
      </c>
      <c r="H67" s="1235">
        <f t="shared" si="28"/>
        <v>1.2569929777658998E-2</v>
      </c>
      <c r="I67" s="415">
        <f t="shared" si="28"/>
        <v>1.2581533636408937E-2</v>
      </c>
      <c r="J67" s="415">
        <f t="shared" si="28"/>
        <v>1.2593164667094986E-2</v>
      </c>
      <c r="K67" s="415">
        <f t="shared" si="28"/>
        <v>1.2604822796976212E-2</v>
      </c>
      <c r="L67" s="415">
        <f t="shared" si="28"/>
        <v>1.2616507953555609E-2</v>
      </c>
      <c r="M67" s="415">
        <f t="shared" si="28"/>
        <v>1.2628220064585876E-2</v>
      </c>
      <c r="N67" s="415">
        <f t="shared" si="28"/>
        <v>1.2639959058075053E-2</v>
      </c>
      <c r="O67" s="415">
        <f t="shared" si="28"/>
        <v>1.2651724862292059E-2</v>
      </c>
      <c r="P67" s="415">
        <f t="shared" si="28"/>
        <v>1.2663517405772056E-2</v>
      </c>
      <c r="Q67" s="415">
        <f t="shared" si="28"/>
        <v>1.2675336617321769E-2</v>
      </c>
      <c r="R67" s="415">
        <f t="shared" si="28"/>
        <v>1.2687182426024598E-2</v>
      </c>
      <c r="S67" s="415">
        <f t="shared" si="28"/>
        <v>1.2699054761245677E-2</v>
      </c>
      <c r="T67" s="415">
        <f t="shared" si="28"/>
        <v>1.2710953552636789E-2</v>
      </c>
      <c r="U67" s="415">
        <f t="shared" si="28"/>
        <v>1.2722878730141156E-2</v>
      </c>
      <c r="V67" s="415">
        <f t="shared" si="28"/>
        <v>1.2734830223998114E-2</v>
      </c>
      <c r="W67" s="415">
        <f t="shared" si="28"/>
        <v>1.2746807964747694E-2</v>
      </c>
      <c r="X67" s="415">
        <f t="shared" si="28"/>
        <v>1.2758811883235069E-2</v>
      </c>
      <c r="Y67" s="415">
        <f t="shared" si="28"/>
        <v>1.2770841910614861E-2</v>
      </c>
      <c r="Z67" s="415">
        <f t="shared" si="28"/>
        <v>1.2782897978355421E-2</v>
      </c>
      <c r="AA67" s="415">
        <f t="shared" si="28"/>
        <v>1.2794980018242866E-2</v>
      </c>
      <c r="AB67" s="415">
        <f t="shared" si="28"/>
        <v>1.2807087962385151E-2</v>
      </c>
      <c r="AC67" s="415">
        <f t="shared" si="28"/>
        <v>1.2819221743215897E-2</v>
      </c>
      <c r="AD67" s="415">
        <f t="shared" si="28"/>
        <v>1.2831381293498223E-2</v>
      </c>
      <c r="AE67" s="415">
        <f t="shared" si="28"/>
        <v>1.2843566546328381E-2</v>
      </c>
      <c r="AF67" s="415">
        <f t="shared" si="28"/>
        <v>1.2855777435139356E-2</v>
      </c>
      <c r="AG67" s="415">
        <f t="shared" si="28"/>
        <v>1.2868013893704297E-2</v>
      </c>
      <c r="AH67" s="415">
        <f t="shared" si="28"/>
        <v>1.2880275856139899E-2</v>
      </c>
      <c r="AI67" s="415">
        <f t="shared" si="28"/>
        <v>1.2892563256909646E-2</v>
      </c>
      <c r="AJ67" s="415">
        <f t="shared" si="28"/>
        <v>1.2904876030826967E-2</v>
      </c>
      <c r="AK67" s="415">
        <f t="shared" si="28"/>
        <v>1.2917214113058295E-2</v>
      </c>
      <c r="AL67" s="415">
        <f t="shared" si="28"/>
        <v>1.2929577439126011E-2</v>
      </c>
    </row>
    <row r="68" spans="1:38">
      <c r="B68" s="358" t="s">
        <v>681</v>
      </c>
      <c r="C68" s="419" t="s">
        <v>682</v>
      </c>
      <c r="D68" s="414">
        <f t="shared" ref="D68:AK68" si="29">1-D67</f>
        <v>0.98747621247495665</v>
      </c>
      <c r="E68" s="414">
        <f t="shared" si="29"/>
        <v>0.98746471803603031</v>
      </c>
      <c r="F68" s="414">
        <f t="shared" si="29"/>
        <v>0.98745319613188454</v>
      </c>
      <c r="G68" s="414">
        <f t="shared" si="29"/>
        <v>0.98744164683617586</v>
      </c>
      <c r="H68" s="417">
        <f t="shared" si="29"/>
        <v>0.98743007022234097</v>
      </c>
      <c r="I68" s="414">
        <f t="shared" si="29"/>
        <v>0.9874184663635911</v>
      </c>
      <c r="J68" s="414">
        <f t="shared" si="29"/>
        <v>0.98740683533290496</v>
      </c>
      <c r="K68" s="414">
        <f t="shared" si="29"/>
        <v>0.98739517720302383</v>
      </c>
      <c r="L68" s="414">
        <f t="shared" si="29"/>
        <v>0.98738349204644438</v>
      </c>
      <c r="M68" s="414">
        <f t="shared" si="29"/>
        <v>0.98737177993541414</v>
      </c>
      <c r="N68" s="414">
        <f t="shared" si="29"/>
        <v>0.98736004094192498</v>
      </c>
      <c r="O68" s="414">
        <f t="shared" si="29"/>
        <v>0.98734827513770795</v>
      </c>
      <c r="P68" s="414">
        <f t="shared" si="29"/>
        <v>0.9873364825942279</v>
      </c>
      <c r="Q68" s="414">
        <f t="shared" si="29"/>
        <v>0.98732466338267821</v>
      </c>
      <c r="R68" s="414">
        <f t="shared" si="29"/>
        <v>0.98731281757397538</v>
      </c>
      <c r="S68" s="414">
        <f t="shared" si="29"/>
        <v>0.98730094523875433</v>
      </c>
      <c r="T68" s="414">
        <f t="shared" si="29"/>
        <v>0.98728904644736326</v>
      </c>
      <c r="U68" s="414">
        <f t="shared" si="29"/>
        <v>0.98727712126985889</v>
      </c>
      <c r="V68" s="414">
        <f t="shared" si="29"/>
        <v>0.98726516977600187</v>
      </c>
      <c r="W68" s="414">
        <f t="shared" si="29"/>
        <v>0.9872531920352523</v>
      </c>
      <c r="X68" s="414">
        <f t="shared" si="29"/>
        <v>0.98724118811676498</v>
      </c>
      <c r="Y68" s="414">
        <f t="shared" si="29"/>
        <v>0.98722915808938516</v>
      </c>
      <c r="Z68" s="414">
        <f t="shared" si="29"/>
        <v>0.98721710202164459</v>
      </c>
      <c r="AA68" s="414">
        <f t="shared" si="29"/>
        <v>0.98720501998175714</v>
      </c>
      <c r="AB68" s="414">
        <f t="shared" si="29"/>
        <v>0.98719291203761483</v>
      </c>
      <c r="AC68" s="414">
        <f t="shared" si="29"/>
        <v>0.98718077825678407</v>
      </c>
      <c r="AD68" s="414">
        <f t="shared" si="29"/>
        <v>0.98716861870650174</v>
      </c>
      <c r="AE68" s="414">
        <f t="shared" si="29"/>
        <v>0.98715643345367166</v>
      </c>
      <c r="AF68" s="414">
        <f t="shared" si="29"/>
        <v>0.98714422256486067</v>
      </c>
      <c r="AG68" s="414">
        <f t="shared" si="29"/>
        <v>0.98713198610629571</v>
      </c>
      <c r="AH68" s="414">
        <f t="shared" si="29"/>
        <v>0.98711972414386007</v>
      </c>
      <c r="AI68" s="414">
        <f t="shared" si="29"/>
        <v>0.98710743674309032</v>
      </c>
      <c r="AJ68" s="414">
        <f t="shared" si="29"/>
        <v>0.98709512396917298</v>
      </c>
      <c r="AK68" s="414">
        <f t="shared" si="29"/>
        <v>0.98708278588694176</v>
      </c>
      <c r="AL68" s="414">
        <f t="shared" ref="AL68" si="30">1-AL67</f>
        <v>0.98707042256087396</v>
      </c>
    </row>
    <row r="69" spans="1:38">
      <c r="B69" s="358" t="s">
        <v>671</v>
      </c>
      <c r="C69" s="419" t="s">
        <v>662</v>
      </c>
      <c r="D69" s="414">
        <f t="shared" ref="D69:AL69" si="31">D$20^(-0.2334)</f>
        <v>0.62482831374223813</v>
      </c>
      <c r="E69" s="414">
        <f t="shared" si="31"/>
        <v>0.62482831374223813</v>
      </c>
      <c r="F69" s="414">
        <f t="shared" si="31"/>
        <v>0.62482831374223813</v>
      </c>
      <c r="G69" s="414">
        <f t="shared" si="31"/>
        <v>0.62482831374223813</v>
      </c>
      <c r="H69" s="417">
        <f t="shared" si="31"/>
        <v>0.62482831374223813</v>
      </c>
      <c r="I69" s="414">
        <f t="shared" si="31"/>
        <v>0.62482831374223813</v>
      </c>
      <c r="J69" s="414">
        <f t="shared" si="31"/>
        <v>0.62482831374223813</v>
      </c>
      <c r="K69" s="414">
        <f t="shared" si="31"/>
        <v>0.62482831374223813</v>
      </c>
      <c r="L69" s="414">
        <f t="shared" si="31"/>
        <v>0.62482831374223813</v>
      </c>
      <c r="M69" s="414">
        <f t="shared" si="31"/>
        <v>0.62482831374223813</v>
      </c>
      <c r="N69" s="414">
        <f t="shared" si="31"/>
        <v>0.62482831374223813</v>
      </c>
      <c r="O69" s="414">
        <f t="shared" si="31"/>
        <v>0.62482831374223813</v>
      </c>
      <c r="P69" s="414">
        <f t="shared" si="31"/>
        <v>0.62482831374223813</v>
      </c>
      <c r="Q69" s="414">
        <f t="shared" si="31"/>
        <v>0.62482831374223813</v>
      </c>
      <c r="R69" s="414">
        <f t="shared" si="31"/>
        <v>0.62482831374223813</v>
      </c>
      <c r="S69" s="414">
        <f t="shared" si="31"/>
        <v>0.62482831374223813</v>
      </c>
      <c r="T69" s="414">
        <f t="shared" si="31"/>
        <v>0.62482831374223813</v>
      </c>
      <c r="U69" s="414">
        <f t="shared" si="31"/>
        <v>0.62482831374223813</v>
      </c>
      <c r="V69" s="414">
        <f t="shared" si="31"/>
        <v>0.62482831374223813</v>
      </c>
      <c r="W69" s="414">
        <f t="shared" si="31"/>
        <v>0.62482831374223813</v>
      </c>
      <c r="X69" s="414">
        <f t="shared" si="31"/>
        <v>0.62482831374223813</v>
      </c>
      <c r="Y69" s="414">
        <f t="shared" si="31"/>
        <v>0.62482831374223813</v>
      </c>
      <c r="Z69" s="414">
        <f t="shared" si="31"/>
        <v>0.62482831374223813</v>
      </c>
      <c r="AA69" s="414">
        <f t="shared" si="31"/>
        <v>0.62482831374223813</v>
      </c>
      <c r="AB69" s="414">
        <f t="shared" si="31"/>
        <v>0.62482831374223813</v>
      </c>
      <c r="AC69" s="414">
        <f t="shared" si="31"/>
        <v>0.62482831374223813</v>
      </c>
      <c r="AD69" s="414">
        <f t="shared" si="31"/>
        <v>0.62482831374223813</v>
      </c>
      <c r="AE69" s="414">
        <f t="shared" si="31"/>
        <v>0.62482831374223813</v>
      </c>
      <c r="AF69" s="414">
        <f t="shared" si="31"/>
        <v>0.62482831374223813</v>
      </c>
      <c r="AG69" s="414">
        <f t="shared" si="31"/>
        <v>0.62482831374223813</v>
      </c>
      <c r="AH69" s="414">
        <f t="shared" si="31"/>
        <v>0.62482831374223813</v>
      </c>
      <c r="AI69" s="414">
        <f t="shared" si="31"/>
        <v>0.62482831374223813</v>
      </c>
      <c r="AJ69" s="414">
        <f t="shared" si="31"/>
        <v>0.62482831374223813</v>
      </c>
      <c r="AK69" s="414">
        <f t="shared" si="31"/>
        <v>0.62482831374223813</v>
      </c>
      <c r="AL69" s="414">
        <f t="shared" si="31"/>
        <v>0.62482831374223813</v>
      </c>
    </row>
    <row r="70" spans="1:38">
      <c r="B70" s="358" t="s">
        <v>683</v>
      </c>
      <c r="C70" s="419" t="s">
        <v>684</v>
      </c>
      <c r="D70" s="414">
        <f t="shared" ref="D70:AL70" si="32">EXP(0.1176*$D$11)</f>
        <v>1.1247941037303228</v>
      </c>
      <c r="E70" s="415">
        <f t="shared" si="32"/>
        <v>1.1247941037303228</v>
      </c>
      <c r="F70" s="415">
        <f t="shared" si="32"/>
        <v>1.1247941037303228</v>
      </c>
      <c r="G70" s="415">
        <f t="shared" si="32"/>
        <v>1.1247941037303228</v>
      </c>
      <c r="H70" s="1235">
        <f t="shared" si="32"/>
        <v>1.1247941037303228</v>
      </c>
      <c r="I70" s="415">
        <f t="shared" si="32"/>
        <v>1.1247941037303228</v>
      </c>
      <c r="J70" s="415">
        <f t="shared" si="32"/>
        <v>1.1247941037303228</v>
      </c>
      <c r="K70" s="415">
        <f t="shared" si="32"/>
        <v>1.1247941037303228</v>
      </c>
      <c r="L70" s="415">
        <f t="shared" si="32"/>
        <v>1.1247941037303228</v>
      </c>
      <c r="M70" s="415">
        <f t="shared" si="32"/>
        <v>1.1247941037303228</v>
      </c>
      <c r="N70" s="415">
        <f t="shared" si="32"/>
        <v>1.1247941037303228</v>
      </c>
      <c r="O70" s="415">
        <f t="shared" si="32"/>
        <v>1.1247941037303228</v>
      </c>
      <c r="P70" s="415">
        <f t="shared" si="32"/>
        <v>1.1247941037303228</v>
      </c>
      <c r="Q70" s="415">
        <f t="shared" si="32"/>
        <v>1.1247941037303228</v>
      </c>
      <c r="R70" s="415">
        <f t="shared" si="32"/>
        <v>1.1247941037303228</v>
      </c>
      <c r="S70" s="415">
        <f t="shared" si="32"/>
        <v>1.1247941037303228</v>
      </c>
      <c r="T70" s="415">
        <f t="shared" si="32"/>
        <v>1.1247941037303228</v>
      </c>
      <c r="U70" s="415">
        <f t="shared" si="32"/>
        <v>1.1247941037303228</v>
      </c>
      <c r="V70" s="415">
        <f t="shared" si="32"/>
        <v>1.1247941037303228</v>
      </c>
      <c r="W70" s="415">
        <f t="shared" si="32"/>
        <v>1.1247941037303228</v>
      </c>
      <c r="X70" s="415">
        <f t="shared" si="32"/>
        <v>1.1247941037303228</v>
      </c>
      <c r="Y70" s="415">
        <f t="shared" si="32"/>
        <v>1.1247941037303228</v>
      </c>
      <c r="Z70" s="415">
        <f t="shared" si="32"/>
        <v>1.1247941037303228</v>
      </c>
      <c r="AA70" s="415">
        <f t="shared" si="32"/>
        <v>1.1247941037303228</v>
      </c>
      <c r="AB70" s="415">
        <f t="shared" si="32"/>
        <v>1.1247941037303228</v>
      </c>
      <c r="AC70" s="415">
        <f t="shared" si="32"/>
        <v>1.1247941037303228</v>
      </c>
      <c r="AD70" s="415">
        <f t="shared" si="32"/>
        <v>1.1247941037303228</v>
      </c>
      <c r="AE70" s="415">
        <f t="shared" si="32"/>
        <v>1.1247941037303228</v>
      </c>
      <c r="AF70" s="415">
        <f t="shared" si="32"/>
        <v>1.1247941037303228</v>
      </c>
      <c r="AG70" s="415">
        <f t="shared" si="32"/>
        <v>1.1247941037303228</v>
      </c>
      <c r="AH70" s="415">
        <f t="shared" si="32"/>
        <v>1.1247941037303228</v>
      </c>
      <c r="AI70" s="415">
        <f t="shared" si="32"/>
        <v>1.1247941037303228</v>
      </c>
      <c r="AJ70" s="415">
        <f t="shared" si="32"/>
        <v>1.1247941037303228</v>
      </c>
      <c r="AK70" s="415">
        <f t="shared" si="32"/>
        <v>1.1247941037303228</v>
      </c>
      <c r="AL70" s="415">
        <f t="shared" si="32"/>
        <v>1.1247941037303228</v>
      </c>
    </row>
    <row r="71" spans="1:38">
      <c r="B71" s="433" t="s">
        <v>675</v>
      </c>
      <c r="C71" s="434" t="s">
        <v>676</v>
      </c>
      <c r="D71" s="426">
        <f t="shared" ref="D71:AL71" si="33">EXP(0.1844*$E$5)</f>
        <v>1.2024967255996286</v>
      </c>
      <c r="E71" s="426">
        <f t="shared" si="33"/>
        <v>1.2024967255996286</v>
      </c>
      <c r="F71" s="426">
        <f t="shared" si="33"/>
        <v>1.2024967255996286</v>
      </c>
      <c r="G71" s="426">
        <f t="shared" si="33"/>
        <v>1.2024967255996286</v>
      </c>
      <c r="H71" s="1237">
        <f t="shared" si="33"/>
        <v>1.2024967255996286</v>
      </c>
      <c r="I71" s="426">
        <f t="shared" si="33"/>
        <v>1.2024967255996286</v>
      </c>
      <c r="J71" s="426">
        <f t="shared" si="33"/>
        <v>1.2024967255996286</v>
      </c>
      <c r="K71" s="426">
        <f t="shared" si="33"/>
        <v>1.2024967255996286</v>
      </c>
      <c r="L71" s="426">
        <f t="shared" si="33"/>
        <v>1.2024967255996286</v>
      </c>
      <c r="M71" s="426">
        <f t="shared" si="33"/>
        <v>1.2024967255996286</v>
      </c>
      <c r="N71" s="426">
        <f t="shared" si="33"/>
        <v>1.2024967255996286</v>
      </c>
      <c r="O71" s="426">
        <f t="shared" si="33"/>
        <v>1.2024967255996286</v>
      </c>
      <c r="P71" s="426">
        <f t="shared" si="33"/>
        <v>1.2024967255996286</v>
      </c>
      <c r="Q71" s="426">
        <f t="shared" si="33"/>
        <v>1.2024967255996286</v>
      </c>
      <c r="R71" s="426">
        <f t="shared" si="33"/>
        <v>1.2024967255996286</v>
      </c>
      <c r="S71" s="426">
        <f t="shared" si="33"/>
        <v>1.2024967255996286</v>
      </c>
      <c r="T71" s="426">
        <f t="shared" si="33"/>
        <v>1.2024967255996286</v>
      </c>
      <c r="U71" s="426">
        <f t="shared" si="33"/>
        <v>1.2024967255996286</v>
      </c>
      <c r="V71" s="426">
        <f t="shared" si="33"/>
        <v>1.2024967255996286</v>
      </c>
      <c r="W71" s="426">
        <f t="shared" si="33"/>
        <v>1.2024967255996286</v>
      </c>
      <c r="X71" s="426">
        <f t="shared" si="33"/>
        <v>1.2024967255996286</v>
      </c>
      <c r="Y71" s="426">
        <f t="shared" si="33"/>
        <v>1.2024967255996286</v>
      </c>
      <c r="Z71" s="426">
        <f t="shared" si="33"/>
        <v>1.2024967255996286</v>
      </c>
      <c r="AA71" s="426">
        <f t="shared" si="33"/>
        <v>1.2024967255996286</v>
      </c>
      <c r="AB71" s="426">
        <f t="shared" si="33"/>
        <v>1.2024967255996286</v>
      </c>
      <c r="AC71" s="426">
        <f t="shared" si="33"/>
        <v>1.2024967255996286</v>
      </c>
      <c r="AD71" s="426">
        <f t="shared" si="33"/>
        <v>1.2024967255996286</v>
      </c>
      <c r="AE71" s="426">
        <f t="shared" si="33"/>
        <v>1.2024967255996286</v>
      </c>
      <c r="AF71" s="426">
        <f t="shared" si="33"/>
        <v>1.2024967255996286</v>
      </c>
      <c r="AG71" s="426">
        <f t="shared" si="33"/>
        <v>1.2024967255996286</v>
      </c>
      <c r="AH71" s="426">
        <f t="shared" si="33"/>
        <v>1.2024967255996286</v>
      </c>
      <c r="AI71" s="426">
        <f t="shared" si="33"/>
        <v>1.2024967255996286</v>
      </c>
      <c r="AJ71" s="426">
        <f t="shared" si="33"/>
        <v>1.2024967255996286</v>
      </c>
      <c r="AK71" s="426">
        <f t="shared" si="33"/>
        <v>1.2024967255996286</v>
      </c>
      <c r="AL71" s="426">
        <f t="shared" si="33"/>
        <v>1.2024967255996286</v>
      </c>
    </row>
    <row r="72" spans="1:38">
      <c r="B72" s="362"/>
      <c r="C72" s="427" t="s">
        <v>290</v>
      </c>
    </row>
    <row r="73" spans="1:38">
      <c r="B73" s="362" t="s">
        <v>685</v>
      </c>
      <c r="C73" s="438">
        <v>4.28</v>
      </c>
      <c r="D73" s="435">
        <f t="shared" ref="D73:AL73" si="34">D$68/(1+$C$73*PRODUCT(D$69:D$71))</f>
        <v>0.21387334704061975</v>
      </c>
      <c r="E73" s="435">
        <f t="shared" si="34"/>
        <v>0.21387085750811816</v>
      </c>
      <c r="F73" s="435">
        <f t="shared" si="34"/>
        <v>0.2138683620270394</v>
      </c>
      <c r="G73" s="435">
        <f t="shared" si="34"/>
        <v>0.21386586061333651</v>
      </c>
      <c r="H73" s="435">
        <f t="shared" si="34"/>
        <v>0.21386335328291478</v>
      </c>
      <c r="I73" s="435">
        <f t="shared" si="34"/>
        <v>0.21386084005163075</v>
      </c>
      <c r="J73" s="435">
        <f t="shared" si="34"/>
        <v>0.21385832093529059</v>
      </c>
      <c r="K73" s="435">
        <f t="shared" si="34"/>
        <v>0.21385579594964899</v>
      </c>
      <c r="L73" s="435">
        <f t="shared" si="34"/>
        <v>0.21385326511040773</v>
      </c>
      <c r="M73" s="435">
        <f t="shared" si="34"/>
        <v>0.21385072843321459</v>
      </c>
      <c r="N73" s="435">
        <f t="shared" si="34"/>
        <v>0.21384818593366201</v>
      </c>
      <c r="O73" s="435">
        <f t="shared" si="34"/>
        <v>0.21384563762728589</v>
      </c>
      <c r="P73" s="435">
        <f t="shared" si="34"/>
        <v>0.21384308352956449</v>
      </c>
      <c r="Q73" s="435">
        <f t="shared" si="34"/>
        <v>0.21384052365591735</v>
      </c>
      <c r="R73" s="435">
        <f t="shared" si="34"/>
        <v>0.21383795802170391</v>
      </c>
      <c r="S73" s="435">
        <f t="shared" si="34"/>
        <v>0.21383538664222274</v>
      </c>
      <c r="T73" s="435">
        <f t="shared" si="34"/>
        <v>0.21383280953271022</v>
      </c>
      <c r="U73" s="435">
        <f t="shared" si="34"/>
        <v>0.21383022670833968</v>
      </c>
      <c r="V73" s="435">
        <f t="shared" si="34"/>
        <v>0.21382763818422026</v>
      </c>
      <c r="W73" s="435">
        <f t="shared" si="34"/>
        <v>0.21382504397539606</v>
      </c>
      <c r="X73" s="435">
        <f t="shared" si="34"/>
        <v>0.213822444096845</v>
      </c>
      <c r="Y73" s="435">
        <f t="shared" si="34"/>
        <v>0.213819838563478</v>
      </c>
      <c r="Z73" s="435">
        <f t="shared" si="34"/>
        <v>0.21381722739013809</v>
      </c>
      <c r="AA73" s="435">
        <f t="shared" si="34"/>
        <v>0.2138146105915994</v>
      </c>
      <c r="AB73" s="435">
        <f t="shared" si="34"/>
        <v>0.21381198818256636</v>
      </c>
      <c r="AC73" s="435">
        <f t="shared" si="34"/>
        <v>0.21380936017767294</v>
      </c>
      <c r="AD73" s="435">
        <f t="shared" si="34"/>
        <v>0.21380672659148164</v>
      </c>
      <c r="AE73" s="435">
        <f t="shared" si="34"/>
        <v>0.21380408743848295</v>
      </c>
      <c r="AF73" s="435">
        <f t="shared" si="34"/>
        <v>0.21380144273309423</v>
      </c>
      <c r="AG73" s="435">
        <f t="shared" si="34"/>
        <v>0.21379879248965936</v>
      </c>
      <c r="AH73" s="435">
        <f t="shared" si="34"/>
        <v>0.21379613672244768</v>
      </c>
      <c r="AI73" s="435">
        <f t="shared" si="34"/>
        <v>0.21379347544565352</v>
      </c>
      <c r="AJ73" s="435">
        <f t="shared" si="34"/>
        <v>0.21379080867339531</v>
      </c>
      <c r="AK73" s="435">
        <f t="shared" si="34"/>
        <v>0.21378813641971517</v>
      </c>
      <c r="AL73" s="435">
        <f t="shared" si="34"/>
        <v>0.2137854586985779</v>
      </c>
    </row>
    <row r="75" spans="1:38" ht="13">
      <c r="A75" s="452"/>
      <c r="B75" s="495" t="s">
        <v>625</v>
      </c>
      <c r="C75" s="453"/>
      <c r="D75" s="454"/>
      <c r="E75" s="379"/>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row>
    <row r="76" spans="1:38" ht="13">
      <c r="C76" s="399"/>
      <c r="D76" s="440">
        <f>'A1.7'!D$1</f>
        <v>2021</v>
      </c>
      <c r="E76" s="440">
        <f>'A1.7'!E$1</f>
        <v>2022</v>
      </c>
      <c r="F76" s="440">
        <f>'A1.7'!F$1</f>
        <v>2023</v>
      </c>
      <c r="G76" s="440">
        <f>'A1.7'!G$1</f>
        <v>2024</v>
      </c>
      <c r="H76" s="1229">
        <f>'A1.7'!H$1</f>
        <v>2025</v>
      </c>
      <c r="I76" s="440">
        <f>'A1.7'!I$1</f>
        <v>2026</v>
      </c>
      <c r="J76" s="440">
        <f>'A1.7'!J$1</f>
        <v>2027</v>
      </c>
      <c r="K76" s="440">
        <f>'A1.7'!K$1</f>
        <v>2028</v>
      </c>
      <c r="L76" s="440">
        <f>'A1.7'!L$1</f>
        <v>2029</v>
      </c>
      <c r="M76" s="440">
        <f>'A1.7'!M$1</f>
        <v>2030</v>
      </c>
      <c r="N76" s="440">
        <f>'A1.7'!N$1</f>
        <v>2031</v>
      </c>
      <c r="O76" s="440">
        <f>'A1.7'!O$1</f>
        <v>2032</v>
      </c>
      <c r="P76" s="440">
        <f>'A1.7'!P$1</f>
        <v>2033</v>
      </c>
      <c r="Q76" s="440">
        <f>'A1.7'!Q$1</f>
        <v>2034</v>
      </c>
      <c r="R76" s="440">
        <f>'A1.7'!R$1</f>
        <v>2035</v>
      </c>
      <c r="S76" s="440">
        <f>'A1.7'!S$1</f>
        <v>2036</v>
      </c>
      <c r="T76" s="440">
        <f>'A1.7'!T$1</f>
        <v>2037</v>
      </c>
      <c r="U76" s="440">
        <f>'A1.7'!U$1</f>
        <v>2038</v>
      </c>
      <c r="V76" s="440">
        <f>'A1.7'!V$1</f>
        <v>2039</v>
      </c>
      <c r="W76" s="440">
        <f>'A1.7'!W$1</f>
        <v>2040</v>
      </c>
      <c r="X76" s="440">
        <f>'A1.7'!X$1</f>
        <v>2041</v>
      </c>
      <c r="Y76" s="440">
        <f>'A1.7'!Y$1</f>
        <v>2042</v>
      </c>
      <c r="Z76" s="440">
        <f>'A1.7'!Z$1</f>
        <v>2043</v>
      </c>
      <c r="AA76" s="440">
        <f>'A1.7'!AA$1</f>
        <v>2044</v>
      </c>
      <c r="AB76" s="440">
        <f>'A1.7'!AB$1</f>
        <v>2045</v>
      </c>
      <c r="AC76" s="440">
        <f>'A1.7'!AC$1</f>
        <v>2046</v>
      </c>
      <c r="AD76" s="440">
        <f>'A1.7'!AD$1</f>
        <v>2047</v>
      </c>
      <c r="AE76" s="440">
        <f>'A1.7'!AE$1</f>
        <v>2048</v>
      </c>
      <c r="AF76" s="440">
        <f>'A1.7'!AF$1</f>
        <v>2049</v>
      </c>
      <c r="AG76" s="440">
        <f>'A1.7'!AG$1</f>
        <v>2050</v>
      </c>
      <c r="AH76" s="440">
        <f>'A1.7'!AH$1</f>
        <v>2051</v>
      </c>
      <c r="AI76" s="440">
        <f>'A1.7'!AI$1</f>
        <v>2052</v>
      </c>
      <c r="AJ76" s="440">
        <f>'A1.7'!AJ$1</f>
        <v>2053</v>
      </c>
      <c r="AK76" s="440">
        <f>'A1.7'!AK$1</f>
        <v>2054</v>
      </c>
      <c r="AL76" s="440">
        <f>'A1.7'!AL$1</f>
        <v>2055</v>
      </c>
    </row>
    <row r="77" spans="1:38" ht="13">
      <c r="B77" s="400" t="s">
        <v>639</v>
      </c>
      <c r="C77" s="401" t="s">
        <v>640</v>
      </c>
      <c r="D77" s="441">
        <f>'Colorado Avenue'!D6</f>
        <v>272.77940536209769</v>
      </c>
      <c r="E77" s="441">
        <f>'Colorado Avenue'!E6</f>
        <v>280.82478487597916</v>
      </c>
      <c r="F77" s="441">
        <f>'Colorado Avenue'!F6</f>
        <v>289.10745551320059</v>
      </c>
      <c r="G77" s="441">
        <f>'Colorado Avenue'!G6</f>
        <v>297.63441595879846</v>
      </c>
      <c r="H77" s="1230">
        <f>'Colorado Avenue'!H6</f>
        <v>306.41287131763443</v>
      </c>
      <c r="I77" s="441">
        <f>'Colorado Avenue'!I6</f>
        <v>315.45023920255994</v>
      </c>
      <c r="J77" s="441">
        <f>'Colorado Avenue'!J6</f>
        <v>324.75415600214512</v>
      </c>
      <c r="K77" s="441">
        <f>'Colorado Avenue'!K6</f>
        <v>334.33248333326912</v>
      </c>
      <c r="L77" s="441">
        <f>'Colorado Avenue'!L6</f>
        <v>344.19331468402316</v>
      </c>
      <c r="M77" s="441">
        <f>'Colorado Avenue'!M6</f>
        <v>354.34498225254026</v>
      </c>
      <c r="N77" s="441">
        <f>'Colorado Avenue'!N6</f>
        <v>364.79606398753032</v>
      </c>
      <c r="O77" s="441">
        <f>'Colorado Avenue'!O6</f>
        <v>375.55539083646875</v>
      </c>
      <c r="P77" s="441">
        <f>'Colorado Avenue'!P6</f>
        <v>386.63205420756401</v>
      </c>
      <c r="Q77" s="441">
        <f>'Colorado Avenue'!Q6</f>
        <v>398.03541365180911</v>
      </c>
      <c r="R77" s="441">
        <f>'Colorado Avenue'!R6</f>
        <v>409.7751047716086</v>
      </c>
      <c r="S77" s="441">
        <f>'Colorado Avenue'!S6</f>
        <v>421.86104736266248</v>
      </c>
      <c r="T77" s="441">
        <f>'Colorado Avenue'!T6</f>
        <v>434.30345379598833</v>
      </c>
      <c r="U77" s="441">
        <f>'Colorado Avenue'!U6</f>
        <v>447.11283764716268</v>
      </c>
      <c r="V77" s="441">
        <f>'Colorado Avenue'!V6</f>
        <v>460.30002258007522</v>
      </c>
      <c r="W77" s="441">
        <f>'Colorado Avenue'!W6</f>
        <v>473.87615149269988</v>
      </c>
      <c r="X77" s="441">
        <f>'Colorado Avenue'!X6</f>
        <v>487.85269593261273</v>
      </c>
      <c r="Y77" s="441">
        <f>'Colorado Avenue'!Y6</f>
        <v>502.24146579021232</v>
      </c>
      <c r="Z77" s="441">
        <f>'Colorado Avenue'!Z6</f>
        <v>517.05461927783188</v>
      </c>
      <c r="AA77" s="441">
        <f>'Colorado Avenue'!AA6</f>
        <v>532.30467320317746</v>
      </c>
      <c r="AB77" s="441">
        <f>'Colorado Avenue'!AB6</f>
        <v>548.0045135457699</v>
      </c>
      <c r="AC77" s="441">
        <f>'Colorado Avenue'!AC6</f>
        <v>564.1674063453313</v>
      </c>
      <c r="AD77" s="441">
        <f>'Colorado Avenue'!AD6</f>
        <v>580.80700891131391</v>
      </c>
      <c r="AE77" s="441">
        <f>'Colorado Avenue'!AE6</f>
        <v>597.93738136304273</v>
      </c>
      <c r="AF77" s="441">
        <f>'Colorado Avenue'!AF6</f>
        <v>615.57299851022572</v>
      </c>
      <c r="AG77" s="441">
        <f>'Colorado Avenue'!AG6</f>
        <v>633.7287620838672</v>
      </c>
      <c r="AH77" s="441">
        <f>'Colorado Avenue'!AH6</f>
        <v>652.42001332792267</v>
      </c>
      <c r="AI77" s="441">
        <f>'Colorado Avenue'!AI6</f>
        <v>671.66254596233136</v>
      </c>
      <c r="AJ77" s="441">
        <f>'Colorado Avenue'!AJ6</f>
        <v>691.47261952838232</v>
      </c>
      <c r="AK77" s="441">
        <f>'Colorado Avenue'!AK6</f>
        <v>711.86697312769036</v>
      </c>
      <c r="AL77" s="441">
        <f>'Colorado Avenue'!AL6</f>
        <v>732.86283956638931</v>
      </c>
    </row>
    <row r="78" spans="1:38" ht="13">
      <c r="B78" s="400" t="s">
        <v>641</v>
      </c>
      <c r="C78" s="401" t="s">
        <v>642</v>
      </c>
      <c r="D78" s="442">
        <f>'Colorado Avenue'!D37</f>
        <v>6.0636386466438061</v>
      </c>
      <c r="E78" s="442">
        <f>'Colorado Avenue'!E37</f>
        <v>6.1279522728453877</v>
      </c>
      <c r="F78" s="442">
        <f>'Colorado Avenue'!F37</f>
        <v>6.1929480377356736</v>
      </c>
      <c r="G78" s="442">
        <f>'Colorado Avenue'!G37</f>
        <v>6.2586331763784937</v>
      </c>
      <c r="H78" s="442">
        <f>'Colorado Avenue'!H37</f>
        <v>8.4333533341012696</v>
      </c>
      <c r="I78" s="442">
        <f>'Colorado Avenue'!I37</f>
        <v>8.5228011995764756</v>
      </c>
      <c r="J78" s="442">
        <f>'Colorado Avenue'!J37</f>
        <v>8.6131977885690176</v>
      </c>
      <c r="K78" s="442">
        <f>'Colorado Avenue'!K37</f>
        <v>8.7045531636590106</v>
      </c>
      <c r="L78" s="442">
        <f>'Colorado Avenue'!L37</f>
        <v>8.7968774941547299</v>
      </c>
      <c r="M78" s="442">
        <f>'Colorado Avenue'!M37</f>
        <v>8.8901810572246251</v>
      </c>
      <c r="N78" s="442">
        <f>'Colorado Avenue'!N37</f>
        <v>8.9844742390413206</v>
      </c>
      <c r="O78" s="442">
        <f>'Colorado Avenue'!O37</f>
        <v>9.0797675359377763</v>
      </c>
      <c r="P78" s="442">
        <f>'Colorado Avenue'!P37</f>
        <v>9.1760715555756835</v>
      </c>
      <c r="Q78" s="442">
        <f>'Colorado Avenue'!Q37</f>
        <v>9.2733970181262784</v>
      </c>
      <c r="R78" s="442">
        <f>'Colorado Avenue'!R37</f>
        <v>9.3717547574636537</v>
      </c>
      <c r="S78" s="442">
        <f>'Colorado Avenue'!S37</f>
        <v>9.4711557223707619</v>
      </c>
      <c r="T78" s="442">
        <f>'Colorado Avenue'!T37</f>
        <v>9.5716109777581639</v>
      </c>
      <c r="U78" s="442">
        <f>'Colorado Avenue'!U37</f>
        <v>9.6731317058957522</v>
      </c>
      <c r="V78" s="442">
        <f>'Colorado Avenue'!V37</f>
        <v>9.775729207657502</v>
      </c>
      <c r="W78" s="442">
        <f>'Colorado Avenue'!W37</f>
        <v>9.8794149037794448</v>
      </c>
      <c r="X78" s="442">
        <f>'Colorado Avenue'!X37</f>
        <v>9.9842003361309732</v>
      </c>
      <c r="Y78" s="442">
        <f>'Colorado Avenue'!Y37</f>
        <v>10.090097168999641</v>
      </c>
      <c r="Z78" s="442">
        <f>'Colorado Avenue'!Z37</f>
        <v>10.19711719038958</v>
      </c>
      <c r="AA78" s="442">
        <f>'Colorado Avenue'!AA37</f>
        <v>10.305272313333695</v>
      </c>
      <c r="AB78" s="442">
        <f>'Colorado Avenue'!AB37</f>
        <v>10.414574577219767</v>
      </c>
      <c r="AC78" s="442">
        <f>'Colorado Avenue'!AC37</f>
        <v>10.525036149130644</v>
      </c>
      <c r="AD78" s="442">
        <f>'Colorado Avenue'!AD37</f>
        <v>10.636669325198612</v>
      </c>
      <c r="AE78" s="442">
        <f>'Colorado Avenue'!AE37</f>
        <v>10.749486531974167</v>
      </c>
      <c r="AF78" s="442">
        <f>'Colorado Avenue'!AF37</f>
        <v>10.863500327809277</v>
      </c>
      <c r="AG78" s="442">
        <f>'Colorado Avenue'!AG37</f>
        <v>10.978723404255332</v>
      </c>
      <c r="AH78" s="442">
        <f>'Colorado Avenue'!AH37</f>
        <v>11.095168587475913</v>
      </c>
      <c r="AI78" s="442">
        <f>'Colorado Avenue'!AI37</f>
        <v>11.212848839674553</v>
      </c>
      <c r="AJ78" s="442">
        <f>'Colorado Avenue'!AJ37</f>
        <v>11.331777260537629</v>
      </c>
      <c r="AK78" s="442">
        <f>'Colorado Avenue'!AK37</f>
        <v>11.451967088692575</v>
      </c>
      <c r="AL78" s="442">
        <f>'Colorado Avenue'!AL37</f>
        <v>11.573431703181543</v>
      </c>
    </row>
    <row r="79" spans="1:38" ht="13">
      <c r="B79" s="400" t="s">
        <v>643</v>
      </c>
      <c r="C79" s="401" t="s">
        <v>644</v>
      </c>
      <c r="D79" s="442">
        <f>'Colorado Avenue'!D37</f>
        <v>6.0636386466438061</v>
      </c>
      <c r="E79" s="442">
        <f>'Colorado Avenue'!E37</f>
        <v>6.1279522728453877</v>
      </c>
      <c r="F79" s="442">
        <f>'Colorado Avenue'!F37</f>
        <v>6.1929480377356736</v>
      </c>
      <c r="G79" s="442">
        <f>'Colorado Avenue'!G37</f>
        <v>6.2586331763784937</v>
      </c>
      <c r="H79" s="442">
        <f>'Colorado Avenue'!H37</f>
        <v>8.4333533341012696</v>
      </c>
      <c r="I79" s="442">
        <f>'Colorado Avenue'!I37</f>
        <v>8.5228011995764756</v>
      </c>
      <c r="J79" s="442">
        <f>'Colorado Avenue'!J37</f>
        <v>8.6131977885690176</v>
      </c>
      <c r="K79" s="442">
        <f>'Colorado Avenue'!K37</f>
        <v>8.7045531636590106</v>
      </c>
      <c r="L79" s="442">
        <f>'Colorado Avenue'!L37</f>
        <v>8.7968774941547299</v>
      </c>
      <c r="M79" s="442">
        <f>'Colorado Avenue'!M37</f>
        <v>8.8901810572246251</v>
      </c>
      <c r="N79" s="442">
        <f>'Colorado Avenue'!N37</f>
        <v>8.9844742390413206</v>
      </c>
      <c r="O79" s="442">
        <f>'Colorado Avenue'!O37</f>
        <v>9.0797675359377763</v>
      </c>
      <c r="P79" s="442">
        <f>'Colorado Avenue'!P37</f>
        <v>9.1760715555756835</v>
      </c>
      <c r="Q79" s="442">
        <f>'Colorado Avenue'!Q37</f>
        <v>9.2733970181262784</v>
      </c>
      <c r="R79" s="442">
        <f>'Colorado Avenue'!R37</f>
        <v>9.3717547574636537</v>
      </c>
      <c r="S79" s="442">
        <f>'Colorado Avenue'!S37</f>
        <v>9.4711557223707619</v>
      </c>
      <c r="T79" s="442">
        <f>'Colorado Avenue'!T37</f>
        <v>9.5716109777581639</v>
      </c>
      <c r="U79" s="442">
        <f>'Colorado Avenue'!U37</f>
        <v>9.6731317058957522</v>
      </c>
      <c r="V79" s="442">
        <f>'Colorado Avenue'!V37</f>
        <v>9.775729207657502</v>
      </c>
      <c r="W79" s="442">
        <f>'Colorado Avenue'!W37</f>
        <v>9.8794149037794448</v>
      </c>
      <c r="X79" s="442">
        <f>'Colorado Avenue'!X37</f>
        <v>9.9842003361309732</v>
      </c>
      <c r="Y79" s="442">
        <f>'Colorado Avenue'!Y37</f>
        <v>10.090097168999641</v>
      </c>
      <c r="Z79" s="442">
        <f>'Colorado Avenue'!Z37</f>
        <v>10.19711719038958</v>
      </c>
      <c r="AA79" s="442">
        <f>'Colorado Avenue'!AA37</f>
        <v>10.305272313333695</v>
      </c>
      <c r="AB79" s="442">
        <f>'Colorado Avenue'!AB37</f>
        <v>10.414574577219767</v>
      </c>
      <c r="AC79" s="442">
        <f>'Colorado Avenue'!AC37</f>
        <v>10.525036149130644</v>
      </c>
      <c r="AD79" s="442">
        <f>'Colorado Avenue'!AD37</f>
        <v>10.636669325198612</v>
      </c>
      <c r="AE79" s="442">
        <f>'Colorado Avenue'!AE37</f>
        <v>10.749486531974167</v>
      </c>
      <c r="AF79" s="442">
        <f>'Colorado Avenue'!AF37</f>
        <v>10.863500327809277</v>
      </c>
      <c r="AG79" s="442">
        <f>'Colorado Avenue'!AG37</f>
        <v>10.978723404255332</v>
      </c>
      <c r="AH79" s="442">
        <f>'Colorado Avenue'!AH37</f>
        <v>11.095168587475913</v>
      </c>
      <c r="AI79" s="442">
        <f>'Colorado Avenue'!AI37</f>
        <v>11.212848839674553</v>
      </c>
      <c r="AJ79" s="442">
        <f>'Colorado Avenue'!AJ37</f>
        <v>11.331777260537629</v>
      </c>
      <c r="AK79" s="442">
        <f>'Colorado Avenue'!AK37</f>
        <v>11.451967088692575</v>
      </c>
      <c r="AL79" s="442">
        <f>'Colorado Avenue'!AL37</f>
        <v>11.573431703181543</v>
      </c>
    </row>
    <row r="80" spans="1:38" ht="13">
      <c r="B80" s="400" t="s">
        <v>645</v>
      </c>
      <c r="C80" s="401" t="s">
        <v>646</v>
      </c>
      <c r="D80" s="442">
        <f>'Colorado Avenue'!D38</f>
        <v>2.021212882214602</v>
      </c>
      <c r="E80" s="442">
        <f>'Colorado Avenue'!E38</f>
        <v>2.0426507576151294</v>
      </c>
      <c r="F80" s="442">
        <f>'Colorado Avenue'!F38</f>
        <v>2.064316012578558</v>
      </c>
      <c r="G80" s="442">
        <f>'Colorado Avenue'!G38</f>
        <v>2.0862110587928311</v>
      </c>
      <c r="H80" s="442">
        <f>'Colorado Avenue'!H38</f>
        <v>3.1625075002879761</v>
      </c>
      <c r="I80" s="442">
        <f>'Colorado Avenue'!I38</f>
        <v>3.1960504498411781</v>
      </c>
      <c r="J80" s="442">
        <f>'Colorado Avenue'!J38</f>
        <v>3.2299491707133816</v>
      </c>
      <c r="K80" s="442">
        <f>'Colorado Avenue'!K38</f>
        <v>3.264207436372129</v>
      </c>
      <c r="L80" s="442">
        <f>'Colorado Avenue'!L38</f>
        <v>3.2988290603080239</v>
      </c>
      <c r="M80" s="442">
        <f>'Colorado Avenue'!M38</f>
        <v>3.3338178964592347</v>
      </c>
      <c r="N80" s="442">
        <f>'Colorado Avenue'!N38</f>
        <v>3.3691778396404954</v>
      </c>
      <c r="O80" s="442">
        <f>'Colorado Avenue'!O38</f>
        <v>3.4049128259766661</v>
      </c>
      <c r="P80" s="442">
        <f>'Colorado Avenue'!P38</f>
        <v>3.4410268333408816</v>
      </c>
      <c r="Q80" s="442">
        <f>'Colorado Avenue'!Q38</f>
        <v>3.4775238817973544</v>
      </c>
      <c r="R80" s="442">
        <f>'Colorado Avenue'!R38</f>
        <v>3.5144080340488699</v>
      </c>
      <c r="S80" s="442">
        <f>'Colorado Avenue'!S38</f>
        <v>3.5516833958890359</v>
      </c>
      <c r="T80" s="442">
        <f>'Colorado Avenue'!T38</f>
        <v>3.5893541166593117</v>
      </c>
      <c r="U80" s="442">
        <f>'Colorado Avenue'!U38</f>
        <v>3.6274243897109071</v>
      </c>
      <c r="V80" s="442">
        <f>'Colorado Avenue'!V38</f>
        <v>3.6658984528715632</v>
      </c>
      <c r="W80" s="442">
        <f>'Colorado Avenue'!W38</f>
        <v>3.7047805889172918</v>
      </c>
      <c r="X80" s="442">
        <f>'Colorado Avenue'!X38</f>
        <v>3.7440751260491147</v>
      </c>
      <c r="Y80" s="442">
        <f>'Colorado Avenue'!Y38</f>
        <v>3.7837864383748654</v>
      </c>
      <c r="Z80" s="442">
        <f>'Colorado Avenue'!Z38</f>
        <v>3.8239189463960925</v>
      </c>
      <c r="AA80" s="442">
        <f>'Colorado Avenue'!AA38</f>
        <v>3.8644771175001358</v>
      </c>
      <c r="AB80" s="442">
        <f>'Colorado Avenue'!AB38</f>
        <v>3.9054654664574127</v>
      </c>
      <c r="AC80" s="442">
        <f>'Colorado Avenue'!AC38</f>
        <v>3.9468885559239917</v>
      </c>
      <c r="AD80" s="442">
        <f>'Colorado Avenue'!AD38</f>
        <v>3.9887509969494799</v>
      </c>
      <c r="AE80" s="442">
        <f>'Colorado Avenue'!AE38</f>
        <v>4.0310574494903122</v>
      </c>
      <c r="AF80" s="442">
        <f>'Colorado Avenue'!AF38</f>
        <v>4.0738126229284788</v>
      </c>
      <c r="AG80" s="442">
        <f>'Colorado Avenue'!AG38</f>
        <v>4.1170212765957492</v>
      </c>
      <c r="AH80" s="442">
        <f>'Colorado Avenue'!AH38</f>
        <v>4.1606882203034674</v>
      </c>
      <c r="AI80" s="442">
        <f>'Colorado Avenue'!AI38</f>
        <v>4.2048183148779579</v>
      </c>
      <c r="AJ80" s="442">
        <f>'Colorado Avenue'!AJ38</f>
        <v>4.2494164727016113</v>
      </c>
      <c r="AK80" s="442">
        <f>'Colorado Avenue'!AK38</f>
        <v>4.2944876582597153</v>
      </c>
      <c r="AL80" s="442">
        <f>'Colorado Avenue'!AL38</f>
        <v>4.3400368886930787</v>
      </c>
    </row>
    <row r="81" spans="2:38" ht="13">
      <c r="B81" s="400" t="s">
        <v>1048</v>
      </c>
      <c r="C81" s="401" t="s">
        <v>647</v>
      </c>
      <c r="D81" s="442">
        <v>0</v>
      </c>
      <c r="E81" s="442">
        <v>0</v>
      </c>
      <c r="F81" s="442">
        <v>0</v>
      </c>
      <c r="G81" s="442">
        <v>0</v>
      </c>
      <c r="H81" s="1231">
        <v>0</v>
      </c>
      <c r="I81" s="442">
        <v>0</v>
      </c>
      <c r="J81" s="442">
        <v>0</v>
      </c>
      <c r="K81" s="442">
        <v>0</v>
      </c>
      <c r="L81" s="442">
        <v>0</v>
      </c>
      <c r="M81" s="442">
        <v>0</v>
      </c>
      <c r="N81" s="442">
        <v>0</v>
      </c>
      <c r="O81" s="442">
        <v>0</v>
      </c>
      <c r="P81" s="442">
        <v>0</v>
      </c>
      <c r="Q81" s="442">
        <v>0</v>
      </c>
      <c r="R81" s="442">
        <v>0</v>
      </c>
      <c r="S81" s="442">
        <v>0</v>
      </c>
      <c r="T81" s="442">
        <v>0</v>
      </c>
      <c r="U81" s="442">
        <v>0</v>
      </c>
      <c r="V81" s="442">
        <v>0</v>
      </c>
      <c r="W81" s="442">
        <v>0</v>
      </c>
      <c r="X81" s="442">
        <v>0</v>
      </c>
      <c r="Y81" s="442">
        <v>0</v>
      </c>
      <c r="Z81" s="442">
        <v>0</v>
      </c>
      <c r="AA81" s="442">
        <v>0</v>
      </c>
      <c r="AB81" s="442">
        <v>0</v>
      </c>
      <c r="AC81" s="442">
        <v>0</v>
      </c>
      <c r="AD81" s="442">
        <v>0</v>
      </c>
      <c r="AE81" s="442">
        <v>0</v>
      </c>
      <c r="AF81" s="442">
        <v>0</v>
      </c>
      <c r="AG81" s="442">
        <v>0</v>
      </c>
      <c r="AH81" s="442">
        <v>0</v>
      </c>
      <c r="AI81" s="442">
        <v>0</v>
      </c>
      <c r="AJ81" s="442">
        <v>0</v>
      </c>
      <c r="AK81" s="442">
        <v>0</v>
      </c>
      <c r="AL81" s="442">
        <v>0</v>
      </c>
    </row>
    <row r="82" spans="2:38" ht="13">
      <c r="B82" s="400" t="s">
        <v>648</v>
      </c>
      <c r="C82" s="401" t="s">
        <v>649</v>
      </c>
      <c r="D82" s="441">
        <f>'Crossing Inputs'!$H34</f>
        <v>7.5</v>
      </c>
      <c r="E82" s="441">
        <f>'Crossing Inputs'!$H34</f>
        <v>7.5</v>
      </c>
      <c r="F82" s="441">
        <f>'Crossing Inputs'!$H34</f>
        <v>7.5</v>
      </c>
      <c r="G82" s="441">
        <f>'Crossing Inputs'!$H34</f>
        <v>7.5</v>
      </c>
      <c r="H82" s="1230">
        <f>'Crossing Inputs'!$H34</f>
        <v>7.5</v>
      </c>
      <c r="I82" s="441">
        <f>'Crossing Inputs'!$H34</f>
        <v>7.5</v>
      </c>
      <c r="J82" s="441">
        <f>'Crossing Inputs'!$H34</f>
        <v>7.5</v>
      </c>
      <c r="K82" s="441">
        <f>'Crossing Inputs'!$H34</f>
        <v>7.5</v>
      </c>
      <c r="L82" s="441">
        <f>'Crossing Inputs'!$H34</f>
        <v>7.5</v>
      </c>
      <c r="M82" s="441">
        <f>'Crossing Inputs'!$H34</f>
        <v>7.5</v>
      </c>
      <c r="N82" s="441">
        <f>'Crossing Inputs'!$H34</f>
        <v>7.5</v>
      </c>
      <c r="O82" s="441">
        <f>'Crossing Inputs'!$H34</f>
        <v>7.5</v>
      </c>
      <c r="P82" s="441">
        <f>'Crossing Inputs'!$H34</f>
        <v>7.5</v>
      </c>
      <c r="Q82" s="441">
        <f>'Crossing Inputs'!$H34</f>
        <v>7.5</v>
      </c>
      <c r="R82" s="441">
        <f>'Crossing Inputs'!$H34</f>
        <v>7.5</v>
      </c>
      <c r="S82" s="441">
        <f>'Crossing Inputs'!$H34</f>
        <v>7.5</v>
      </c>
      <c r="T82" s="441">
        <f>'Crossing Inputs'!$H34</f>
        <v>7.5</v>
      </c>
      <c r="U82" s="441">
        <f>'Crossing Inputs'!$H34</f>
        <v>7.5</v>
      </c>
      <c r="V82" s="441">
        <f>'Crossing Inputs'!$H34</f>
        <v>7.5</v>
      </c>
      <c r="W82" s="441">
        <f>'Crossing Inputs'!$H34</f>
        <v>7.5</v>
      </c>
      <c r="X82" s="441">
        <f>'Crossing Inputs'!$H34</f>
        <v>7.5</v>
      </c>
      <c r="Y82" s="441">
        <f>'Crossing Inputs'!$H34</f>
        <v>7.5</v>
      </c>
      <c r="Z82" s="441">
        <f>'Crossing Inputs'!$H34</f>
        <v>7.5</v>
      </c>
      <c r="AA82" s="441">
        <f>'Crossing Inputs'!$H34</f>
        <v>7.5</v>
      </c>
      <c r="AB82" s="441">
        <f>'Crossing Inputs'!$H34</f>
        <v>7.5</v>
      </c>
      <c r="AC82" s="441">
        <f>'Crossing Inputs'!$H34</f>
        <v>7.5</v>
      </c>
      <c r="AD82" s="441">
        <f>'Crossing Inputs'!$H34</f>
        <v>7.5</v>
      </c>
      <c r="AE82" s="441">
        <f>'Crossing Inputs'!$H34</f>
        <v>7.5</v>
      </c>
      <c r="AF82" s="441">
        <f>'Crossing Inputs'!$H34</f>
        <v>7.5</v>
      </c>
      <c r="AG82" s="441">
        <f>'Crossing Inputs'!$H34</f>
        <v>7.5</v>
      </c>
      <c r="AH82" s="441">
        <f>'Crossing Inputs'!$H34</f>
        <v>7.5</v>
      </c>
      <c r="AI82" s="441">
        <f>'Crossing Inputs'!$H34</f>
        <v>7.5</v>
      </c>
      <c r="AJ82" s="441">
        <f>'Crossing Inputs'!$H34</f>
        <v>7.5</v>
      </c>
      <c r="AK82" s="441">
        <f>'Crossing Inputs'!$H34</f>
        <v>7.5</v>
      </c>
      <c r="AL82" s="441">
        <f>'Crossing Inputs'!$H34</f>
        <v>7.5</v>
      </c>
    </row>
    <row r="83" spans="2:38" ht="13">
      <c r="B83" s="400"/>
      <c r="C83" s="403"/>
      <c r="D83" s="402"/>
      <c r="E83" s="402"/>
      <c r="F83" s="402"/>
      <c r="G83" s="402"/>
      <c r="H83" s="123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row>
    <row r="84" spans="2:38" ht="13">
      <c r="B84" s="400"/>
      <c r="C84" s="404"/>
      <c r="D84" s="440">
        <f>'A1.7'!D$1</f>
        <v>2021</v>
      </c>
      <c r="E84" s="440">
        <f>'A1.7'!E$1</f>
        <v>2022</v>
      </c>
      <c r="F84" s="440">
        <f>'A1.7'!F$1</f>
        <v>2023</v>
      </c>
      <c r="G84" s="440">
        <f>'A1.7'!G$1</f>
        <v>2024</v>
      </c>
      <c r="H84" s="1229">
        <f>'A1.7'!H$1</f>
        <v>2025</v>
      </c>
      <c r="I84" s="440">
        <f>'A1.7'!I$1</f>
        <v>2026</v>
      </c>
      <c r="J84" s="440">
        <f>'A1.7'!J$1</f>
        <v>2027</v>
      </c>
      <c r="K84" s="440">
        <f>'A1.7'!K$1</f>
        <v>2028</v>
      </c>
      <c r="L84" s="440">
        <f>'A1.7'!L$1</f>
        <v>2029</v>
      </c>
      <c r="M84" s="440">
        <f>'A1.7'!M$1</f>
        <v>2030</v>
      </c>
      <c r="N84" s="440">
        <f>'A1.7'!N$1</f>
        <v>2031</v>
      </c>
      <c r="O84" s="440">
        <f>'A1.7'!O$1</f>
        <v>2032</v>
      </c>
      <c r="P84" s="440">
        <f>'A1.7'!P$1</f>
        <v>2033</v>
      </c>
      <c r="Q84" s="440">
        <f>'A1.7'!Q$1</f>
        <v>2034</v>
      </c>
      <c r="R84" s="440">
        <f>'A1.7'!R$1</f>
        <v>2035</v>
      </c>
      <c r="S84" s="440">
        <f>'A1.7'!S$1</f>
        <v>2036</v>
      </c>
      <c r="T84" s="440">
        <f>'A1.7'!T$1</f>
        <v>2037</v>
      </c>
      <c r="U84" s="440">
        <f>'A1.7'!U$1</f>
        <v>2038</v>
      </c>
      <c r="V84" s="440">
        <f>'A1.7'!V$1</f>
        <v>2039</v>
      </c>
      <c r="W84" s="440">
        <f>'A1.7'!W$1</f>
        <v>2040</v>
      </c>
      <c r="X84" s="440">
        <f>'A1.7'!X$1</f>
        <v>2041</v>
      </c>
      <c r="Y84" s="440">
        <f>'A1.7'!Y$1</f>
        <v>2042</v>
      </c>
      <c r="Z84" s="440">
        <f>'A1.7'!Z$1</f>
        <v>2043</v>
      </c>
      <c r="AA84" s="440">
        <f>'A1.7'!AA$1</f>
        <v>2044</v>
      </c>
      <c r="AB84" s="440">
        <f>'A1.7'!AB$1</f>
        <v>2045</v>
      </c>
      <c r="AC84" s="440">
        <f>'A1.7'!AC$1</f>
        <v>2046</v>
      </c>
      <c r="AD84" s="440">
        <f>'A1.7'!AD$1</f>
        <v>2047</v>
      </c>
      <c r="AE84" s="440">
        <f>'A1.7'!AE$1</f>
        <v>2048</v>
      </c>
      <c r="AF84" s="440">
        <f>'A1.7'!AF$1</f>
        <v>2049</v>
      </c>
      <c r="AG84" s="440">
        <f>'A1.7'!AG$1</f>
        <v>2050</v>
      </c>
      <c r="AH84" s="440">
        <f>'A1.7'!AH$1</f>
        <v>2051</v>
      </c>
      <c r="AI84" s="440">
        <f>'A1.7'!AI$1</f>
        <v>2052</v>
      </c>
      <c r="AJ84" s="440">
        <f>'A1.7'!AJ$1</f>
        <v>2053</v>
      </c>
      <c r="AK84" s="440">
        <f>'A1.7'!AK$1</f>
        <v>2054</v>
      </c>
      <c r="AL84" s="440">
        <f>'A1.7'!AL$1</f>
        <v>2055</v>
      </c>
    </row>
    <row r="85" spans="2:38" ht="13">
      <c r="B85" s="400" t="s">
        <v>354</v>
      </c>
      <c r="C85" s="404"/>
      <c r="D85" s="405">
        <f t="shared" ref="D85:AL85" si="35">D$118</f>
        <v>4.0679923687797541E-2</v>
      </c>
      <c r="E85" s="405">
        <f t="shared" si="35"/>
        <v>4.1273681673752075E-2</v>
      </c>
      <c r="F85" s="405">
        <f t="shared" si="35"/>
        <v>4.1876159193492586E-2</v>
      </c>
      <c r="G85" s="405">
        <f t="shared" si="35"/>
        <v>4.2487484523447659E-2</v>
      </c>
      <c r="H85" s="1240">
        <f t="shared" si="35"/>
        <v>4.9892122461956262E-2</v>
      </c>
      <c r="I85" s="405">
        <f t="shared" si="35"/>
        <v>5.0622539746137958E-2</v>
      </c>
      <c r="J85" s="405">
        <f t="shared" si="35"/>
        <v>5.1363694625625754E-2</v>
      </c>
      <c r="K85" s="405">
        <f t="shared" si="35"/>
        <v>5.2115745119319379E-2</v>
      </c>
      <c r="L85" s="405">
        <f t="shared" si="35"/>
        <v>5.2878851573506483E-2</v>
      </c>
      <c r="M85" s="405">
        <f t="shared" si="35"/>
        <v>5.3653176696113893E-2</v>
      </c>
      <c r="N85" s="405">
        <f t="shared" si="35"/>
        <v>5.4438885591463627E-2</v>
      </c>
      <c r="O85" s="405">
        <f t="shared" si="35"/>
        <v>5.523614579554139E-2</v>
      </c>
      <c r="P85" s="405">
        <f t="shared" si="35"/>
        <v>5.6045127311784536E-2</v>
      </c>
      <c r="Q85" s="405">
        <f t="shared" si="35"/>
        <v>5.6866002647397752E-2</v>
      </c>
      <c r="R85" s="405">
        <f t="shared" si="35"/>
        <v>5.7698946850203797E-2</v>
      </c>
      <c r="S85" s="405">
        <f t="shared" si="35"/>
        <v>5.85441375460376E-2</v>
      </c>
      <c r="T85" s="405">
        <f t="shared" si="35"/>
        <v>5.9401754976690931E-2</v>
      </c>
      <c r="U85" s="405">
        <f t="shared" si="35"/>
        <v>6.0271982038416674E-2</v>
      </c>
      <c r="V85" s="405">
        <f t="shared" si="35"/>
        <v>6.1155004321000447E-2</v>
      </c>
      <c r="W85" s="405">
        <f t="shared" si="35"/>
        <v>6.2051010147407555E-2</v>
      </c>
      <c r="X85" s="405">
        <f t="shared" si="35"/>
        <v>6.2960190614014783E-2</v>
      </c>
      <c r="Y85" s="405">
        <f t="shared" si="35"/>
        <v>6.3882739631434343E-2</v>
      </c>
      <c r="Z85" s="405">
        <f t="shared" si="35"/>
        <v>6.4818853965940032E-2</v>
      </c>
      <c r="AA85" s="405">
        <f t="shared" si="35"/>
        <v>6.5768733281502983E-2</v>
      </c>
      <c r="AB85" s="405">
        <f t="shared" si="35"/>
        <v>6.6732580182447446E-2</v>
      </c>
      <c r="AC85" s="405">
        <f t="shared" si="35"/>
        <v>6.7710600256734671E-2</v>
      </c>
      <c r="AD85" s="405">
        <f t="shared" si="35"/>
        <v>6.8703002119884379E-2</v>
      </c>
      <c r="AE85" s="405">
        <f t="shared" si="35"/>
        <v>6.9709997459543815E-2</v>
      </c>
      <c r="AF85" s="405">
        <f t="shared" si="35"/>
        <v>7.0731801080713058E-2</v>
      </c>
      <c r="AG85" s="405">
        <f t="shared" si="35"/>
        <v>7.1768630951636422E-2</v>
      </c>
      <c r="AH85" s="405">
        <f t="shared" si="35"/>
        <v>7.2820708250370292E-2</v>
      </c>
      <c r="AI85" s="405">
        <f t="shared" si="35"/>
        <v>7.3888257412037028E-2</v>
      </c>
      <c r="AJ85" s="405">
        <f t="shared" si="35"/>
        <v>7.4971506176774519E-2</v>
      </c>
      <c r="AK85" s="405">
        <f t="shared" si="35"/>
        <v>7.6070685638392518E-2</v>
      </c>
      <c r="AL85" s="405">
        <f t="shared" si="35"/>
        <v>7.7186030293745794E-2</v>
      </c>
    </row>
    <row r="86" spans="2:38" ht="13">
      <c r="B86" s="400" t="s">
        <v>650</v>
      </c>
      <c r="C86" s="404"/>
      <c r="D86" s="405">
        <f t="shared" ref="D86:AL86" si="36">D$85*D$126</f>
        <v>5.0946672080095438E-4</v>
      </c>
      <c r="E86" s="405">
        <f t="shared" si="36"/>
        <v>5.1737723747160907E-4</v>
      </c>
      <c r="F86" s="405">
        <f t="shared" si="36"/>
        <v>5.2541195615072971E-4</v>
      </c>
      <c r="G86" s="405">
        <f t="shared" si="36"/>
        <v>5.3357283568796886E-4</v>
      </c>
      <c r="H86" s="1240">
        <f t="shared" si="36"/>
        <v>6.271404758051534E-4</v>
      </c>
      <c r="I86" s="405">
        <f t="shared" si="36"/>
        <v>6.3690918657648306E-4</v>
      </c>
      <c r="J86" s="405">
        <f t="shared" si="36"/>
        <v>6.4683146433088684E-4</v>
      </c>
      <c r="K86" s="405">
        <f t="shared" si="36"/>
        <v>6.5690973216139868E-4</v>
      </c>
      <c r="L86" s="405">
        <f t="shared" si="36"/>
        <v>6.67146451452031E-4</v>
      </c>
      <c r="M86" s="405">
        <f t="shared" si="36"/>
        <v>6.7754412248263675E-4</v>
      </c>
      <c r="N86" s="405">
        <f t="shared" si="36"/>
        <v>6.881052850433322E-4</v>
      </c>
      <c r="O86" s="405">
        <f t="shared" si="36"/>
        <v>6.9883251905863996E-4</v>
      </c>
      <c r="P86" s="405">
        <f t="shared" si="36"/>
        <v>7.0972844522149429E-4</v>
      </c>
      <c r="Q86" s="405">
        <f t="shared" si="36"/>
        <v>7.2079572563727736E-4</v>
      </c>
      <c r="R86" s="405">
        <f t="shared" si="36"/>
        <v>7.3203706447803288E-4</v>
      </c>
      <c r="S86" s="405">
        <f t="shared" si="36"/>
        <v>7.434552086470306E-4</v>
      </c>
      <c r="T86" s="405">
        <f t="shared" si="36"/>
        <v>7.5505294845382967E-4</v>
      </c>
      <c r="U86" s="405">
        <f t="shared" si="36"/>
        <v>7.6683311830002133E-4</v>
      </c>
      <c r="V86" s="405">
        <f t="shared" si="36"/>
        <v>7.7879859737581172E-4</v>
      </c>
      <c r="W86" s="405">
        <f t="shared" si="36"/>
        <v>7.9095231036761457E-4</v>
      </c>
      <c r="X86" s="405">
        <f t="shared" si="36"/>
        <v>8.0329722817683682E-4</v>
      </c>
      <c r="Y86" s="405">
        <f t="shared" si="36"/>
        <v>8.1583636865001873E-4</v>
      </c>
      <c r="Z86" s="405">
        <f t="shared" si="36"/>
        <v>8.285727973205301E-4</v>
      </c>
      <c r="AA86" s="405">
        <f t="shared" si="36"/>
        <v>8.4150962816197529E-4</v>
      </c>
      <c r="AB86" s="405">
        <f t="shared" si="36"/>
        <v>8.546500243535245E-4</v>
      </c>
      <c r="AC86" s="405">
        <f t="shared" si="36"/>
        <v>8.6799719905733303E-4</v>
      </c>
      <c r="AD86" s="405">
        <f t="shared" si="36"/>
        <v>8.8155441620825319E-4</v>
      </c>
      <c r="AE86" s="405">
        <f t="shared" si="36"/>
        <v>8.9532499131603335E-4</v>
      </c>
      <c r="AF86" s="405">
        <f t="shared" si="36"/>
        <v>9.0931229228019637E-4</v>
      </c>
      <c r="AG86" s="405">
        <f t="shared" si="36"/>
        <v>9.2351974021779378E-4</v>
      </c>
      <c r="AH86" s="405">
        <f t="shared" si="36"/>
        <v>9.3795081030425198E-4</v>
      </c>
      <c r="AI86" s="405">
        <f t="shared" si="36"/>
        <v>9.5260903262751038E-4</v>
      </c>
      <c r="AJ86" s="405">
        <f t="shared" si="36"/>
        <v>9.6749799305565333E-4</v>
      </c>
      <c r="AK86" s="405">
        <f t="shared" si="36"/>
        <v>9.8262133411826488E-4</v>
      </c>
      <c r="AL86" s="405">
        <f t="shared" si="36"/>
        <v>9.9798275590171244E-4</v>
      </c>
    </row>
    <row r="87" spans="2:38" ht="13">
      <c r="B87" s="400" t="s">
        <v>651</v>
      </c>
      <c r="C87" s="404"/>
      <c r="D87" s="405">
        <f t="shared" ref="D87:AL87" si="37">D$85*D$135</f>
        <v>8.7003514364662506E-3</v>
      </c>
      <c r="E87" s="405">
        <f t="shared" si="37"/>
        <v>8.8272376920824572E-3</v>
      </c>
      <c r="F87" s="405">
        <f t="shared" si="37"/>
        <v>8.9559855746958062E-3</v>
      </c>
      <c r="G87" s="405">
        <f t="shared" si="37"/>
        <v>9.0866224429029495E-3</v>
      </c>
      <c r="H87" s="1240">
        <f t="shared" si="37"/>
        <v>1.0670096612115799E-2</v>
      </c>
      <c r="I87" s="405">
        <f t="shared" si="37"/>
        <v>1.082617887565613E-2</v>
      </c>
      <c r="J87" s="405">
        <f t="shared" si="37"/>
        <v>1.0984553489669332E-2</v>
      </c>
      <c r="K87" s="405">
        <f t="shared" si="37"/>
        <v>1.114525415400108E-2</v>
      </c>
      <c r="L87" s="405">
        <f t="shared" si="37"/>
        <v>1.1308315064282983E-2</v>
      </c>
      <c r="M87" s="405">
        <f t="shared" si="37"/>
        <v>1.1473770919219931E-2</v>
      </c>
      <c r="N87" s="405">
        <f t="shared" si="37"/>
        <v>1.1641656927984667E-2</v>
      </c>
      <c r="O87" s="405">
        <f t="shared" si="37"/>
        <v>1.1812008817721275E-2</v>
      </c>
      <c r="P87" s="405">
        <f t="shared" si="37"/>
        <v>1.1984862841159016E-2</v>
      </c>
      <c r="Q87" s="405">
        <f t="shared" si="37"/>
        <v>1.2160255784338318E-2</v>
      </c>
      <c r="R87" s="405">
        <f t="shared" si="37"/>
        <v>1.2338224974450404E-2</v>
      </c>
      <c r="S87" s="405">
        <f t="shared" si="37"/>
        <v>1.2518808287792419E-2</v>
      </c>
      <c r="T87" s="405">
        <f t="shared" si="37"/>
        <v>1.2702044157839473E-2</v>
      </c>
      <c r="U87" s="405">
        <f t="shared" si="37"/>
        <v>1.2887971583435614E-2</v>
      </c>
      <c r="V87" s="405">
        <f t="shared" si="37"/>
        <v>1.307663013710531E-2</v>
      </c>
      <c r="W87" s="405">
        <f t="shared" si="37"/>
        <v>1.3268059973487168E-2</v>
      </c>
      <c r="X87" s="405">
        <f t="shared" si="37"/>
        <v>1.3462301837891882E-2</v>
      </c>
      <c r="Y87" s="405">
        <f t="shared" si="37"/>
        <v>1.365939707498599E-2</v>
      </c>
      <c r="Z87" s="405">
        <f t="shared" si="37"/>
        <v>1.3859387637603554E-2</v>
      </c>
      <c r="AA87" s="405">
        <f t="shared" si="37"/>
        <v>1.4062316095687323E-2</v>
      </c>
      <c r="AB87" s="405">
        <f t="shared" si="37"/>
        <v>1.4268225645361616E-2</v>
      </c>
      <c r="AC87" s="405">
        <f t="shared" si="37"/>
        <v>1.4477160118138616E-2</v>
      </c>
      <c r="AD87" s="405">
        <f t="shared" si="37"/>
        <v>1.4689163990260103E-2</v>
      </c>
      <c r="AE87" s="405">
        <f t="shared" si="37"/>
        <v>1.490428239217673E-2</v>
      </c>
      <c r="AF87" s="405">
        <f t="shared" si="37"/>
        <v>1.5122561118166686E-2</v>
      </c>
      <c r="AG87" s="405">
        <f t="shared" si="37"/>
        <v>1.5344046636095858E-2</v>
      </c>
      <c r="AH87" s="405">
        <f t="shared" si="37"/>
        <v>1.5568786097321641E-2</v>
      </c>
      <c r="AI87" s="405">
        <f t="shared" si="37"/>
        <v>1.5796827346742464E-2</v>
      </c>
      <c r="AJ87" s="405">
        <f t="shared" si="37"/>
        <v>1.6028218932995077E-2</v>
      </c>
      <c r="AK87" s="405">
        <f t="shared" si="37"/>
        <v>1.6263010118801928E-2</v>
      </c>
      <c r="AL87" s="405">
        <f t="shared" si="37"/>
        <v>1.6501250891470774E-2</v>
      </c>
    </row>
    <row r="89" spans="2:38" ht="13">
      <c r="B89" s="364" t="s">
        <v>652</v>
      </c>
    </row>
    <row r="90" spans="2:38" ht="13">
      <c r="B90" s="407" t="s">
        <v>615</v>
      </c>
      <c r="C90" s="396" t="s">
        <v>627</v>
      </c>
      <c r="D90" s="440">
        <f>'A1.7'!D$1</f>
        <v>2021</v>
      </c>
      <c r="E90" s="440">
        <f>'A1.7'!E$1</f>
        <v>2022</v>
      </c>
      <c r="F90" s="440">
        <f>'A1.7'!F$1</f>
        <v>2023</v>
      </c>
      <c r="G90" s="440">
        <f>'A1.7'!G$1</f>
        <v>2024</v>
      </c>
      <c r="H90" s="1229">
        <f>'A1.7'!H$1</f>
        <v>2025</v>
      </c>
      <c r="I90" s="440">
        <f>'A1.7'!I$1</f>
        <v>2026</v>
      </c>
      <c r="J90" s="440">
        <f>'A1.7'!J$1</f>
        <v>2027</v>
      </c>
      <c r="K90" s="440">
        <f>'A1.7'!K$1</f>
        <v>2028</v>
      </c>
      <c r="L90" s="440">
        <f>'A1.7'!L$1</f>
        <v>2029</v>
      </c>
      <c r="M90" s="440">
        <f>'A1.7'!M$1</f>
        <v>2030</v>
      </c>
      <c r="N90" s="440">
        <f>'A1.7'!N$1</f>
        <v>2031</v>
      </c>
      <c r="O90" s="440">
        <f>'A1.7'!O$1</f>
        <v>2032</v>
      </c>
      <c r="P90" s="440">
        <f>'A1.7'!P$1</f>
        <v>2033</v>
      </c>
      <c r="Q90" s="440">
        <f>'A1.7'!Q$1</f>
        <v>2034</v>
      </c>
      <c r="R90" s="440">
        <f>'A1.7'!R$1</f>
        <v>2035</v>
      </c>
      <c r="S90" s="440">
        <f>'A1.7'!S$1</f>
        <v>2036</v>
      </c>
      <c r="T90" s="440">
        <f>'A1.7'!T$1</f>
        <v>2037</v>
      </c>
      <c r="U90" s="440">
        <f>'A1.7'!U$1</f>
        <v>2038</v>
      </c>
      <c r="V90" s="440">
        <f>'A1.7'!V$1</f>
        <v>2039</v>
      </c>
      <c r="W90" s="440">
        <f>'A1.7'!W$1</f>
        <v>2040</v>
      </c>
      <c r="X90" s="440">
        <f>'A1.7'!X$1</f>
        <v>2041</v>
      </c>
      <c r="Y90" s="440">
        <f>'A1.7'!Y$1</f>
        <v>2042</v>
      </c>
      <c r="Z90" s="440">
        <f>'A1.7'!Z$1</f>
        <v>2043</v>
      </c>
      <c r="AA90" s="440">
        <f>'A1.7'!AA$1</f>
        <v>2044</v>
      </c>
      <c r="AB90" s="440">
        <f>'A1.7'!AB$1</f>
        <v>2045</v>
      </c>
      <c r="AC90" s="440">
        <f>'A1.7'!AC$1</f>
        <v>2046</v>
      </c>
      <c r="AD90" s="440">
        <f>'A1.7'!AD$1</f>
        <v>2047</v>
      </c>
      <c r="AE90" s="440">
        <f>'A1.7'!AE$1</f>
        <v>2048</v>
      </c>
      <c r="AF90" s="440">
        <f>'A1.7'!AF$1</f>
        <v>2049</v>
      </c>
      <c r="AG90" s="440">
        <f>'A1.7'!AG$1</f>
        <v>2050</v>
      </c>
      <c r="AH90" s="440">
        <f>'A1.7'!AH$1</f>
        <v>2051</v>
      </c>
      <c r="AI90" s="440">
        <f>'A1.7'!AI$1</f>
        <v>2052</v>
      </c>
      <c r="AJ90" s="440">
        <f>'A1.7'!AJ$1</f>
        <v>2053</v>
      </c>
      <c r="AK90" s="440">
        <f>'A1.7'!AK$1</f>
        <v>2054</v>
      </c>
      <c r="AL90" s="440">
        <f>'A1.7'!AL$1</f>
        <v>2055</v>
      </c>
    </row>
    <row r="91" spans="2:38" ht="13">
      <c r="B91" s="364" t="s">
        <v>624</v>
      </c>
      <c r="C91" s="408"/>
      <c r="D91" s="358"/>
      <c r="E91" s="409"/>
      <c r="F91" s="410"/>
      <c r="G91" s="410"/>
      <c r="H91" s="1234"/>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row>
    <row r="92" spans="2:38">
      <c r="B92" s="411" t="s">
        <v>653</v>
      </c>
      <c r="C92" s="412" t="s">
        <v>654</v>
      </c>
      <c r="D92" s="413">
        <f t="shared" ref="D92:AL92" si="38">((D$77*D$78+0.2)/0.2)^(0.3334)</f>
        <v>20.235641319255151</v>
      </c>
      <c r="E92" s="413">
        <f t="shared" si="38"/>
        <v>20.504668200052095</v>
      </c>
      <c r="F92" s="413">
        <f t="shared" si="38"/>
        <v>20.777272977355501</v>
      </c>
      <c r="G92" s="413">
        <f t="shared" si="38"/>
        <v>21.053503202119479</v>
      </c>
      <c r="H92" s="413">
        <f t="shared" si="38"/>
        <v>23.480701075102626</v>
      </c>
      <c r="I92" s="413">
        <f t="shared" si="38"/>
        <v>23.792883474915879</v>
      </c>
      <c r="J92" s="413">
        <f t="shared" si="38"/>
        <v>24.109217364397601</v>
      </c>
      <c r="K92" s="413">
        <f t="shared" si="38"/>
        <v>24.429757926769454</v>
      </c>
      <c r="L92" s="413">
        <f t="shared" si="38"/>
        <v>24.7545610794072</v>
      </c>
      <c r="M92" s="413">
        <f t="shared" si="38"/>
        <v>25.083683483591273</v>
      </c>
      <c r="N92" s="413">
        <f t="shared" si="38"/>
        <v>25.41718255438721</v>
      </c>
      <c r="O92" s="413">
        <f t="shared" si="38"/>
        <v>25.755116470657867</v>
      </c>
      <c r="P92" s="413">
        <f t="shared" si="38"/>
        <v>26.097544185208861</v>
      </c>
      <c r="Q92" s="413">
        <f t="shared" si="38"/>
        <v>26.444525435069263</v>
      </c>
      <c r="R92" s="413">
        <f t="shared" si="38"/>
        <v>26.796120751909225</v>
      </c>
      <c r="S92" s="413">
        <f t="shared" si="38"/>
        <v>27.152391472596463</v>
      </c>
      <c r="T92" s="413">
        <f t="shared" si="38"/>
        <v>27.513399749893146</v>
      </c>
      <c r="U92" s="413">
        <f t="shared" si="38"/>
        <v>27.879208563295439</v>
      </c>
      <c r="V92" s="413">
        <f t="shared" si="38"/>
        <v>28.24988173001735</v>
      </c>
      <c r="W92" s="413">
        <f t="shared" si="38"/>
        <v>28.625483916120739</v>
      </c>
      <c r="X92" s="413">
        <f t="shared" si="38"/>
        <v>29.006080647793731</v>
      </c>
      <c r="Y92" s="413">
        <f t="shared" si="38"/>
        <v>29.391738322779119</v>
      </c>
      <c r="Z92" s="413">
        <f t="shared" si="38"/>
        <v>29.782524221955097</v>
      </c>
      <c r="AA92" s="413">
        <f t="shared" si="38"/>
        <v>30.178506521069988</v>
      </c>
      <c r="AB92" s="413">
        <f t="shared" si="38"/>
        <v>30.579754302633368</v>
      </c>
      <c r="AC92" s="413">
        <f t="shared" si="38"/>
        <v>30.986337567965432</v>
      </c>
      <c r="AD92" s="413">
        <f t="shared" si="38"/>
        <v>31.398327249406645</v>
      </c>
      <c r="AE92" s="413">
        <f t="shared" si="38"/>
        <v>31.815795222690163</v>
      </c>
      <c r="AF92" s="413">
        <f t="shared" si="38"/>
        <v>32.238814319478763</v>
      </c>
      <c r="AG92" s="413">
        <f t="shared" si="38"/>
        <v>32.667458340068585</v>
      </c>
      <c r="AH92" s="413">
        <f t="shared" si="38"/>
        <v>33.101802066262131</v>
      </c>
      <c r="AI92" s="413">
        <f t="shared" si="38"/>
        <v>33.541921274412537</v>
      </c>
      <c r="AJ92" s="413">
        <f t="shared" si="38"/>
        <v>33.987892748641329</v>
      </c>
      <c r="AK92" s="413">
        <f t="shared" si="38"/>
        <v>34.439794294232229</v>
      </c>
      <c r="AL92" s="413">
        <f t="shared" si="38"/>
        <v>34.897704751203172</v>
      </c>
    </row>
    <row r="93" spans="2:38">
      <c r="B93" s="411" t="s">
        <v>655</v>
      </c>
      <c r="C93" s="412" t="s">
        <v>656</v>
      </c>
      <c r="D93" s="414">
        <f>EXP(0.2094*'A1.7'!$D$9)</f>
        <v>1</v>
      </c>
      <c r="E93" s="414">
        <f>EXP(0.2094*'A1.7'!$D$9)</f>
        <v>1</v>
      </c>
      <c r="F93" s="414">
        <f>EXP(0.2094*'A1.7'!$D$9)</f>
        <v>1</v>
      </c>
      <c r="G93" s="414">
        <f>EXP(0.2094*'A1.7'!$D$9)</f>
        <v>1</v>
      </c>
      <c r="H93" s="417">
        <f>EXP(0.2094*'A1.7'!$D$9)</f>
        <v>1</v>
      </c>
      <c r="I93" s="414">
        <f>EXP(0.2094*'A1.7'!$D$9)</f>
        <v>1</v>
      </c>
      <c r="J93" s="414">
        <f>EXP(0.2094*'A1.7'!$D$9)</f>
        <v>1</v>
      </c>
      <c r="K93" s="414">
        <f>EXP(0.2094*'A1.7'!$D$9)</f>
        <v>1</v>
      </c>
      <c r="L93" s="414">
        <f>EXP(0.2094*'A1.7'!$D$9)</f>
        <v>1</v>
      </c>
      <c r="M93" s="414">
        <f>EXP(0.2094*'A1.7'!$D$9)</f>
        <v>1</v>
      </c>
      <c r="N93" s="414">
        <f>EXP(0.2094*'A1.7'!$D$9)</f>
        <v>1</v>
      </c>
      <c r="O93" s="414">
        <f>EXP(0.2094*'A1.7'!$D$9)</f>
        <v>1</v>
      </c>
      <c r="P93" s="414">
        <f>EXP(0.2094*'A1.7'!$D$9)</f>
        <v>1</v>
      </c>
      <c r="Q93" s="414">
        <f>EXP(0.2094*'A1.7'!$D$9)</f>
        <v>1</v>
      </c>
      <c r="R93" s="414">
        <f>EXP(0.2094*'A1.7'!$D$9)</f>
        <v>1</v>
      </c>
      <c r="S93" s="414">
        <f>EXP(0.2094*'A1.7'!$D$9)</f>
        <v>1</v>
      </c>
      <c r="T93" s="414">
        <f>EXP(0.2094*'A1.7'!$D$9)</f>
        <v>1</v>
      </c>
      <c r="U93" s="414">
        <f>EXP(0.2094*'A1.7'!$D$9)</f>
        <v>1</v>
      </c>
      <c r="V93" s="414">
        <f>EXP(0.2094*'A1.7'!$D$9)</f>
        <v>1</v>
      </c>
      <c r="W93" s="414">
        <f>EXP(0.2094*'A1.7'!$D$9)</f>
        <v>1</v>
      </c>
      <c r="X93" s="414">
        <f>EXP(0.2094*'A1.7'!$D$9)</f>
        <v>1</v>
      </c>
      <c r="Y93" s="414">
        <f>EXP(0.2094*'A1.7'!$D$9)</f>
        <v>1</v>
      </c>
      <c r="Z93" s="414">
        <f>EXP(0.2094*'A1.7'!$D$9)</f>
        <v>1</v>
      </c>
      <c r="AA93" s="414">
        <f>EXP(0.2094*'A1.7'!$D$9)</f>
        <v>1</v>
      </c>
      <c r="AB93" s="414">
        <f>EXP(0.2094*'A1.7'!$D$9)</f>
        <v>1</v>
      </c>
      <c r="AC93" s="414">
        <f>EXP(0.2094*'A1.7'!$D$9)</f>
        <v>1</v>
      </c>
      <c r="AD93" s="414">
        <f>EXP(0.2094*'A1.7'!$D$9)</f>
        <v>1</v>
      </c>
      <c r="AE93" s="414">
        <f>EXP(0.2094*'A1.7'!$D$9)</f>
        <v>1</v>
      </c>
      <c r="AF93" s="414">
        <f>EXP(0.2094*'A1.7'!$D$9)</f>
        <v>1</v>
      </c>
      <c r="AG93" s="414">
        <f>EXP(0.2094*'A1.7'!$D$9)</f>
        <v>1</v>
      </c>
      <c r="AH93" s="414">
        <f>EXP(0.2094*'A1.7'!$D$9)</f>
        <v>1</v>
      </c>
      <c r="AI93" s="414">
        <f>EXP(0.2094*'A1.7'!$D$9)</f>
        <v>1</v>
      </c>
      <c r="AJ93" s="414">
        <f>EXP(0.2094*'A1.7'!$D$9)</f>
        <v>1</v>
      </c>
      <c r="AK93" s="414">
        <f>EXP(0.2094*'A1.7'!$D$9)</f>
        <v>1</v>
      </c>
      <c r="AL93" s="414">
        <f>EXP(0.2094*'A1.7'!$D$9)</f>
        <v>1</v>
      </c>
    </row>
    <row r="94" spans="2:38">
      <c r="B94" s="411" t="s">
        <v>657</v>
      </c>
      <c r="C94" s="416" t="s">
        <v>658</v>
      </c>
      <c r="D94" s="417">
        <f t="shared" ref="D94:AL94" si="39">((D$80+0.2)/0.2)^(0.1336)</f>
        <v>1.3793892627846567</v>
      </c>
      <c r="E94" s="417">
        <f t="shared" si="39"/>
        <v>1.3811604976010341</v>
      </c>
      <c r="F94" s="417">
        <f t="shared" si="39"/>
        <v>1.3829356773787482</v>
      </c>
      <c r="G94" s="417">
        <f t="shared" si="39"/>
        <v>1.3847147970270854</v>
      </c>
      <c r="H94" s="417">
        <f t="shared" si="39"/>
        <v>1.4579566272457978</v>
      </c>
      <c r="I94" s="417">
        <f t="shared" si="39"/>
        <v>1.4598913548546146</v>
      </c>
      <c r="J94" s="417">
        <f t="shared" si="39"/>
        <v>1.4618298547819031</v>
      </c>
      <c r="K94" s="417">
        <f t="shared" si="39"/>
        <v>1.4637721240491282</v>
      </c>
      <c r="L94" s="417">
        <f t="shared" si="39"/>
        <v>1.4657181597278657</v>
      </c>
      <c r="M94" s="417">
        <f t="shared" si="39"/>
        <v>1.4676679589397352</v>
      </c>
      <c r="N94" s="417">
        <f t="shared" si="39"/>
        <v>1.4696215188563289</v>
      </c>
      <c r="O94" s="417">
        <f t="shared" si="39"/>
        <v>1.4715788366991369</v>
      </c>
      <c r="P94" s="417">
        <f t="shared" si="39"/>
        <v>1.4735399097394672</v>
      </c>
      <c r="Q94" s="417">
        <f t="shared" si="39"/>
        <v>1.475504735298363</v>
      </c>
      <c r="R94" s="417">
        <f t="shared" si="39"/>
        <v>1.4774733107465152</v>
      </c>
      <c r="S94" s="417">
        <f t="shared" si="39"/>
        <v>1.4794456335041717</v>
      </c>
      <c r="T94" s="417">
        <f t="shared" si="39"/>
        <v>1.481421701041042</v>
      </c>
      <c r="U94" s="417">
        <f t="shared" si="39"/>
        <v>1.4834015108761993</v>
      </c>
      <c r="V94" s="417">
        <f t="shared" si="39"/>
        <v>1.4853850605779795</v>
      </c>
      <c r="W94" s="417">
        <f t="shared" si="39"/>
        <v>1.4873723477638745</v>
      </c>
      <c r="X94" s="417">
        <f t="shared" si="39"/>
        <v>1.4893633701004245</v>
      </c>
      <c r="Y94" s="417">
        <f t="shared" si="39"/>
        <v>1.4913581253031054</v>
      </c>
      <c r="Z94" s="417">
        <f t="shared" si="39"/>
        <v>1.4933566111362149</v>
      </c>
      <c r="AA94" s="417">
        <f t="shared" si="39"/>
        <v>1.4953588254127532</v>
      </c>
      <c r="AB94" s="417">
        <f t="shared" si="39"/>
        <v>1.4973647659943026</v>
      </c>
      <c r="AC94" s="417">
        <f t="shared" si="39"/>
        <v>1.4993744307909029</v>
      </c>
      <c r="AD94" s="417">
        <f t="shared" si="39"/>
        <v>1.5013878177609252</v>
      </c>
      <c r="AE94" s="417">
        <f t="shared" si="39"/>
        <v>1.5034049249109414</v>
      </c>
      <c r="AF94" s="417">
        <f t="shared" si="39"/>
        <v>1.5054257502955928</v>
      </c>
      <c r="AG94" s="417">
        <f t="shared" si="39"/>
        <v>1.5074502920174546</v>
      </c>
      <c r="AH94" s="417">
        <f t="shared" si="39"/>
        <v>1.5094785482268982</v>
      </c>
      <c r="AI94" s="417">
        <f t="shared" si="39"/>
        <v>1.5115105171219521</v>
      </c>
      <c r="AJ94" s="417">
        <f t="shared" si="39"/>
        <v>1.5135461969481585</v>
      </c>
      <c r="AK94" s="417">
        <f t="shared" si="39"/>
        <v>1.5155855859984304</v>
      </c>
      <c r="AL94" s="417">
        <f t="shared" si="39"/>
        <v>1.5176286826129031</v>
      </c>
    </row>
    <row r="95" spans="2:38">
      <c r="B95" s="411" t="s">
        <v>659</v>
      </c>
      <c r="C95" s="412" t="s">
        <v>660</v>
      </c>
      <c r="D95" s="414">
        <f>EXP(-0.616*('A1.7'!$E$7-1))</f>
        <v>1</v>
      </c>
      <c r="E95" s="414">
        <f>EXP(-0.616*('A1.7'!$E$7-1))</f>
        <v>1</v>
      </c>
      <c r="F95" s="414">
        <f>EXP(-0.616*('A1.7'!$E$7-1))</f>
        <v>1</v>
      </c>
      <c r="G95" s="414">
        <f>EXP(-0.616*('A1.7'!$E$7-1))</f>
        <v>1</v>
      </c>
      <c r="H95" s="417">
        <f>EXP(-0.616*('A1.7'!$E$7-1))</f>
        <v>1</v>
      </c>
      <c r="I95" s="414">
        <f>EXP(-0.616*('A1.7'!$E$7-1))</f>
        <v>1</v>
      </c>
      <c r="J95" s="414">
        <f>EXP(-0.616*('A1.7'!$E$7-1))</f>
        <v>1</v>
      </c>
      <c r="K95" s="414">
        <f>EXP(-0.616*('A1.7'!$E$7-1))</f>
        <v>1</v>
      </c>
      <c r="L95" s="414">
        <f>EXP(-0.616*('A1.7'!$E$7-1))</f>
        <v>1</v>
      </c>
      <c r="M95" s="414">
        <f>EXP(-0.616*('A1.7'!$E$7-1))</f>
        <v>1</v>
      </c>
      <c r="N95" s="414">
        <f>EXP(-0.616*('A1.7'!$E$7-1))</f>
        <v>1</v>
      </c>
      <c r="O95" s="414">
        <f>EXP(-0.616*('A1.7'!$E$7-1))</f>
        <v>1</v>
      </c>
      <c r="P95" s="414">
        <f>EXP(-0.616*('A1.7'!$E$7-1))</f>
        <v>1</v>
      </c>
      <c r="Q95" s="414">
        <f>EXP(-0.616*('A1.7'!$E$7-1))</f>
        <v>1</v>
      </c>
      <c r="R95" s="414">
        <f>EXP(-0.616*('A1.7'!$E$7-1))</f>
        <v>1</v>
      </c>
      <c r="S95" s="414">
        <f>EXP(-0.616*('A1.7'!$E$7-1))</f>
        <v>1</v>
      </c>
      <c r="T95" s="414">
        <f>EXP(-0.616*('A1.7'!$E$7-1))</f>
        <v>1</v>
      </c>
      <c r="U95" s="414">
        <f>EXP(-0.616*('A1.7'!$E$7-1))</f>
        <v>1</v>
      </c>
      <c r="V95" s="414">
        <f>EXP(-0.616*('A1.7'!$E$7-1))</f>
        <v>1</v>
      </c>
      <c r="W95" s="414">
        <f>EXP(-0.616*('A1.7'!$E$7-1))</f>
        <v>1</v>
      </c>
      <c r="X95" s="414">
        <f>EXP(-0.616*('A1.7'!$E$7-1))</f>
        <v>1</v>
      </c>
      <c r="Y95" s="414">
        <f>EXP(-0.616*('A1.7'!$E$7-1))</f>
        <v>1</v>
      </c>
      <c r="Z95" s="414">
        <f>EXP(-0.616*('A1.7'!$E$7-1))</f>
        <v>1</v>
      </c>
      <c r="AA95" s="414">
        <f>EXP(-0.616*('A1.7'!$E$7-1))</f>
        <v>1</v>
      </c>
      <c r="AB95" s="414">
        <f>EXP(-0.616*('A1.7'!$E$7-1))</f>
        <v>1</v>
      </c>
      <c r="AC95" s="414">
        <f>EXP(-0.616*('A1.7'!$E$7-1))</f>
        <v>1</v>
      </c>
      <c r="AD95" s="414">
        <f>EXP(-0.616*('A1.7'!$E$7-1))</f>
        <v>1</v>
      </c>
      <c r="AE95" s="414">
        <f>EXP(-0.616*('A1.7'!$E$7-1))</f>
        <v>1</v>
      </c>
      <c r="AF95" s="414">
        <f>EXP(-0.616*('A1.7'!$E$7-1))</f>
        <v>1</v>
      </c>
      <c r="AG95" s="414">
        <f>EXP(-0.616*('A1.7'!$E$7-1))</f>
        <v>1</v>
      </c>
      <c r="AH95" s="414">
        <f>EXP(-0.616*('A1.7'!$E$7-1))</f>
        <v>1</v>
      </c>
      <c r="AI95" s="414">
        <f>EXP(-0.616*('A1.7'!$E$7-1))</f>
        <v>1</v>
      </c>
      <c r="AJ95" s="414">
        <f>EXP(-0.616*('A1.7'!$E$7-1))</f>
        <v>1</v>
      </c>
      <c r="AK95" s="414">
        <f>EXP(-0.616*('A1.7'!$E$7-1))</f>
        <v>1</v>
      </c>
      <c r="AL95" s="414">
        <f>EXP(-0.616*('A1.7'!$E$7-1))</f>
        <v>1</v>
      </c>
    </row>
    <row r="96" spans="2:38">
      <c r="B96" s="411" t="s">
        <v>661</v>
      </c>
      <c r="C96" s="412" t="s">
        <v>662</v>
      </c>
      <c r="D96" s="414">
        <f t="shared" ref="D96:AL96" si="40">EXP(0.0077*D$82)</f>
        <v>1.0594501000746941</v>
      </c>
      <c r="E96" s="414">
        <f t="shared" si="40"/>
        <v>1.0594501000746941</v>
      </c>
      <c r="F96" s="414">
        <f t="shared" si="40"/>
        <v>1.0594501000746941</v>
      </c>
      <c r="G96" s="414">
        <f t="shared" si="40"/>
        <v>1.0594501000746941</v>
      </c>
      <c r="H96" s="417">
        <f t="shared" si="40"/>
        <v>1.0594501000746941</v>
      </c>
      <c r="I96" s="414">
        <f t="shared" si="40"/>
        <v>1.0594501000746941</v>
      </c>
      <c r="J96" s="414">
        <f t="shared" si="40"/>
        <v>1.0594501000746941</v>
      </c>
      <c r="K96" s="414">
        <f t="shared" si="40"/>
        <v>1.0594501000746941</v>
      </c>
      <c r="L96" s="414">
        <f t="shared" si="40"/>
        <v>1.0594501000746941</v>
      </c>
      <c r="M96" s="414">
        <f t="shared" si="40"/>
        <v>1.0594501000746941</v>
      </c>
      <c r="N96" s="414">
        <f t="shared" si="40"/>
        <v>1.0594501000746941</v>
      </c>
      <c r="O96" s="414">
        <f t="shared" si="40"/>
        <v>1.0594501000746941</v>
      </c>
      <c r="P96" s="414">
        <f t="shared" si="40"/>
        <v>1.0594501000746941</v>
      </c>
      <c r="Q96" s="414">
        <f t="shared" si="40"/>
        <v>1.0594501000746941</v>
      </c>
      <c r="R96" s="414">
        <f t="shared" si="40"/>
        <v>1.0594501000746941</v>
      </c>
      <c r="S96" s="414">
        <f t="shared" si="40"/>
        <v>1.0594501000746941</v>
      </c>
      <c r="T96" s="414">
        <f t="shared" si="40"/>
        <v>1.0594501000746941</v>
      </c>
      <c r="U96" s="414">
        <f t="shared" si="40"/>
        <v>1.0594501000746941</v>
      </c>
      <c r="V96" s="414">
        <f t="shared" si="40"/>
        <v>1.0594501000746941</v>
      </c>
      <c r="W96" s="414">
        <f t="shared" si="40"/>
        <v>1.0594501000746941</v>
      </c>
      <c r="X96" s="414">
        <f t="shared" si="40"/>
        <v>1.0594501000746941</v>
      </c>
      <c r="Y96" s="414">
        <f t="shared" si="40"/>
        <v>1.0594501000746941</v>
      </c>
      <c r="Z96" s="414">
        <f t="shared" si="40"/>
        <v>1.0594501000746941</v>
      </c>
      <c r="AA96" s="414">
        <f t="shared" si="40"/>
        <v>1.0594501000746941</v>
      </c>
      <c r="AB96" s="414">
        <f t="shared" si="40"/>
        <v>1.0594501000746941</v>
      </c>
      <c r="AC96" s="414">
        <f t="shared" si="40"/>
        <v>1.0594501000746941</v>
      </c>
      <c r="AD96" s="414">
        <f t="shared" si="40"/>
        <v>1.0594501000746941</v>
      </c>
      <c r="AE96" s="414">
        <f t="shared" si="40"/>
        <v>1.0594501000746941</v>
      </c>
      <c r="AF96" s="414">
        <f t="shared" si="40"/>
        <v>1.0594501000746941</v>
      </c>
      <c r="AG96" s="414">
        <f t="shared" si="40"/>
        <v>1.0594501000746941</v>
      </c>
      <c r="AH96" s="414">
        <f t="shared" si="40"/>
        <v>1.0594501000746941</v>
      </c>
      <c r="AI96" s="414">
        <f t="shared" si="40"/>
        <v>1.0594501000746941</v>
      </c>
      <c r="AJ96" s="414">
        <f t="shared" si="40"/>
        <v>1.0594501000746941</v>
      </c>
      <c r="AK96" s="414">
        <f t="shared" si="40"/>
        <v>1.0594501000746941</v>
      </c>
      <c r="AL96" s="414">
        <f t="shared" si="40"/>
        <v>1.0594501000746941</v>
      </c>
    </row>
    <row r="97" spans="1:38">
      <c r="B97" s="411" t="s">
        <v>663</v>
      </c>
      <c r="C97" s="412" t="s">
        <v>664</v>
      </c>
      <c r="D97" s="414">
        <f>EXP(-0.1*('A1.7'!$E$8-1))</f>
        <v>0.60653065971263342</v>
      </c>
      <c r="E97" s="414">
        <f>EXP(-0.1*('A1.7'!$E$8-1))</f>
        <v>0.60653065971263342</v>
      </c>
      <c r="F97" s="414">
        <f>EXP(-0.1*('A1.7'!$E$8-1))</f>
        <v>0.60653065971263342</v>
      </c>
      <c r="G97" s="414">
        <f>EXP(-0.1*('A1.7'!$E$8-1))</f>
        <v>0.60653065971263342</v>
      </c>
      <c r="H97" s="417">
        <f>EXP(-0.1*('A1.7'!$E$8-1))</f>
        <v>0.60653065971263342</v>
      </c>
      <c r="I97" s="414">
        <f>EXP(-0.1*('A1.7'!$E$8-1))</f>
        <v>0.60653065971263342</v>
      </c>
      <c r="J97" s="414">
        <f>EXP(-0.1*('A1.7'!$E$8-1))</f>
        <v>0.60653065971263342</v>
      </c>
      <c r="K97" s="414">
        <f>EXP(-0.1*('A1.7'!$E$8-1))</f>
        <v>0.60653065971263342</v>
      </c>
      <c r="L97" s="414">
        <f>EXP(-0.1*('A1.7'!$E$8-1))</f>
        <v>0.60653065971263342</v>
      </c>
      <c r="M97" s="414">
        <f>EXP(-0.1*('A1.7'!$E$8-1))</f>
        <v>0.60653065971263342</v>
      </c>
      <c r="N97" s="414">
        <f>EXP(-0.1*('A1.7'!$E$8-1))</f>
        <v>0.60653065971263342</v>
      </c>
      <c r="O97" s="414">
        <f>EXP(-0.1*('A1.7'!$E$8-1))</f>
        <v>0.60653065971263342</v>
      </c>
      <c r="P97" s="414">
        <f>EXP(-0.1*('A1.7'!$E$8-1))</f>
        <v>0.60653065971263342</v>
      </c>
      <c r="Q97" s="414">
        <f>EXP(-0.1*('A1.7'!$E$8-1))</f>
        <v>0.60653065971263342</v>
      </c>
      <c r="R97" s="414">
        <f>EXP(-0.1*('A1.7'!$E$8-1))</f>
        <v>0.60653065971263342</v>
      </c>
      <c r="S97" s="414">
        <f>EXP(-0.1*('A1.7'!$E$8-1))</f>
        <v>0.60653065971263342</v>
      </c>
      <c r="T97" s="414">
        <f>EXP(-0.1*('A1.7'!$E$8-1))</f>
        <v>0.60653065971263342</v>
      </c>
      <c r="U97" s="414">
        <f>EXP(-0.1*('A1.7'!$E$8-1))</f>
        <v>0.60653065971263342</v>
      </c>
      <c r="V97" s="414">
        <f>EXP(-0.1*('A1.7'!$E$8-1))</f>
        <v>0.60653065971263342</v>
      </c>
      <c r="W97" s="414">
        <f>EXP(-0.1*('A1.7'!$E$8-1))</f>
        <v>0.60653065971263342</v>
      </c>
      <c r="X97" s="414">
        <f>EXP(-0.1*('A1.7'!$E$8-1))</f>
        <v>0.60653065971263342</v>
      </c>
      <c r="Y97" s="414">
        <f>EXP(-0.1*('A1.7'!$E$8-1))</f>
        <v>0.60653065971263342</v>
      </c>
      <c r="Z97" s="414">
        <f>EXP(-0.1*('A1.7'!$E$8-1))</f>
        <v>0.60653065971263342</v>
      </c>
      <c r="AA97" s="414">
        <f>EXP(-0.1*('A1.7'!$E$8-1))</f>
        <v>0.60653065971263342</v>
      </c>
      <c r="AB97" s="414">
        <f>EXP(-0.1*('A1.7'!$E$8-1))</f>
        <v>0.60653065971263342</v>
      </c>
      <c r="AC97" s="414">
        <f>EXP(-0.1*('A1.7'!$E$8-1))</f>
        <v>0.60653065971263342</v>
      </c>
      <c r="AD97" s="414">
        <f>EXP(-0.1*('A1.7'!$E$8-1))</f>
        <v>0.60653065971263342</v>
      </c>
      <c r="AE97" s="414">
        <f>EXP(-0.1*('A1.7'!$E$8-1))</f>
        <v>0.60653065971263342</v>
      </c>
      <c r="AF97" s="414">
        <f>EXP(-0.1*('A1.7'!$E$8-1))</f>
        <v>0.60653065971263342</v>
      </c>
      <c r="AG97" s="414">
        <f>EXP(-0.1*('A1.7'!$E$8-1))</f>
        <v>0.60653065971263342</v>
      </c>
      <c r="AH97" s="414">
        <f>EXP(-0.1*('A1.7'!$E$8-1))</f>
        <v>0.60653065971263342</v>
      </c>
      <c r="AI97" s="414">
        <f>EXP(-0.1*('A1.7'!$E$8-1))</f>
        <v>0.60653065971263342</v>
      </c>
      <c r="AJ97" s="414">
        <f>EXP(-0.1*('A1.7'!$E$8-1))</f>
        <v>0.60653065971263342</v>
      </c>
      <c r="AK97" s="414">
        <f>EXP(-0.1*('A1.7'!$E$8-1))</f>
        <v>0.60653065971263342</v>
      </c>
      <c r="AL97" s="414">
        <f>EXP(-0.1*('A1.7'!$E$8-1))</f>
        <v>0.60653065971263342</v>
      </c>
    </row>
    <row r="98" spans="1:38">
      <c r="B98" s="411" t="s">
        <v>665</v>
      </c>
      <c r="C98" s="412" t="s">
        <v>666</v>
      </c>
      <c r="D98" s="414">
        <v>1</v>
      </c>
      <c r="E98" s="414">
        <v>1</v>
      </c>
      <c r="F98" s="414">
        <v>1</v>
      </c>
      <c r="G98" s="414">
        <v>1</v>
      </c>
      <c r="H98" s="417">
        <v>1</v>
      </c>
      <c r="I98" s="414">
        <v>1</v>
      </c>
      <c r="J98" s="414">
        <v>1</v>
      </c>
      <c r="K98" s="414">
        <v>1</v>
      </c>
      <c r="L98" s="414">
        <v>1</v>
      </c>
      <c r="M98" s="414">
        <v>1</v>
      </c>
      <c r="N98" s="414">
        <v>1</v>
      </c>
      <c r="O98" s="414">
        <v>1</v>
      </c>
      <c r="P98" s="414">
        <v>1</v>
      </c>
      <c r="Q98" s="414">
        <v>1</v>
      </c>
      <c r="R98" s="414">
        <v>1</v>
      </c>
      <c r="S98" s="414">
        <v>1</v>
      </c>
      <c r="T98" s="414">
        <v>1</v>
      </c>
      <c r="U98" s="414">
        <v>1</v>
      </c>
      <c r="V98" s="414">
        <v>1</v>
      </c>
      <c r="W98" s="414">
        <v>1</v>
      </c>
      <c r="X98" s="414">
        <v>1</v>
      </c>
      <c r="Y98" s="414">
        <v>1</v>
      </c>
      <c r="Z98" s="414">
        <v>1</v>
      </c>
      <c r="AA98" s="414">
        <v>1</v>
      </c>
      <c r="AB98" s="414">
        <v>1</v>
      </c>
      <c r="AC98" s="414">
        <v>1</v>
      </c>
      <c r="AD98" s="414">
        <v>1</v>
      </c>
      <c r="AE98" s="414">
        <v>1</v>
      </c>
      <c r="AF98" s="414">
        <v>1</v>
      </c>
      <c r="AG98" s="414">
        <v>1</v>
      </c>
      <c r="AH98" s="414">
        <v>1</v>
      </c>
      <c r="AI98" s="414">
        <v>1</v>
      </c>
      <c r="AJ98" s="414">
        <v>1</v>
      </c>
      <c r="AK98" s="414">
        <v>1</v>
      </c>
      <c r="AL98" s="414">
        <v>1</v>
      </c>
    </row>
    <row r="99" spans="1:38" ht="13">
      <c r="A99" s="421"/>
      <c r="B99" s="418"/>
      <c r="C99" s="419"/>
      <c r="D99" s="420"/>
      <c r="E99" s="420"/>
      <c r="F99" s="420"/>
      <c r="G99" s="420"/>
      <c r="H99" s="1236"/>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row>
    <row r="100" spans="1:38" ht="13">
      <c r="A100" s="421"/>
      <c r="B100" s="422" t="s">
        <v>667</v>
      </c>
      <c r="C100" s="408"/>
      <c r="D100" s="420"/>
      <c r="E100" s="420"/>
      <c r="F100" s="420"/>
      <c r="G100" s="420"/>
      <c r="H100" s="1236"/>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row>
    <row r="101" spans="1:38">
      <c r="A101" s="421"/>
      <c r="B101" s="411" t="s">
        <v>653</v>
      </c>
      <c r="C101" s="412" t="s">
        <v>654</v>
      </c>
      <c r="D101" s="423">
        <f t="shared" ref="D101:AL101" si="41">((D$77*D$78+0.2)/0.2)^(0.2953)</f>
        <v>14.350190113787177</v>
      </c>
      <c r="E101" s="423">
        <f t="shared" si="41"/>
        <v>14.519041953004301</v>
      </c>
      <c r="F101" s="423">
        <f t="shared" si="41"/>
        <v>14.689881382470073</v>
      </c>
      <c r="G101" s="423">
        <f t="shared" si="41"/>
        <v>14.862731776741745</v>
      </c>
      <c r="H101" s="423">
        <f t="shared" si="41"/>
        <v>16.370807952440636</v>
      </c>
      <c r="I101" s="423">
        <f t="shared" si="41"/>
        <v>16.563443704263193</v>
      </c>
      <c r="J101" s="423">
        <f t="shared" si="41"/>
        <v>16.758346784144727</v>
      </c>
      <c r="K101" s="423">
        <f t="shared" si="41"/>
        <v>16.955543862690583</v>
      </c>
      <c r="L101" s="423">
        <f t="shared" si="41"/>
        <v>17.155061924670495</v>
      </c>
      <c r="M101" s="423">
        <f t="shared" si="41"/>
        <v>17.356928272707208</v>
      </c>
      <c r="N101" s="423">
        <f t="shared" si="41"/>
        <v>17.561170531008734</v>
      </c>
      <c r="O101" s="423">
        <f t="shared" si="41"/>
        <v>17.767816649144816</v>
      </c>
      <c r="P101" s="423">
        <f t="shared" si="41"/>
        <v>17.976894905867944</v>
      </c>
      <c r="Q101" s="423">
        <f t="shared" si="41"/>
        <v>18.188433912979633</v>
      </c>
      <c r="R101" s="423">
        <f t="shared" si="41"/>
        <v>18.402462619242357</v>
      </c>
      <c r="S101" s="423">
        <f t="shared" si="41"/>
        <v>18.61901031433781</v>
      </c>
      <c r="T101" s="423">
        <f t="shared" si="41"/>
        <v>18.838106632871781</v>
      </c>
      <c r="U101" s="423">
        <f t="shared" si="41"/>
        <v>19.059781558426522</v>
      </c>
      <c r="V101" s="423">
        <f t="shared" si="41"/>
        <v>19.284065427660892</v>
      </c>
      <c r="W101" s="423">
        <f t="shared" si="41"/>
        <v>19.510988934458922</v>
      </c>
      <c r="X101" s="423">
        <f t="shared" si="41"/>
        <v>19.740583134127437</v>
      </c>
      <c r="Y101" s="423">
        <f t="shared" si="41"/>
        <v>19.972879447643223</v>
      </c>
      <c r="Z101" s="423">
        <f t="shared" si="41"/>
        <v>20.207909665950311</v>
      </c>
      <c r="AA101" s="423">
        <f t="shared" si="41"/>
        <v>20.445705954308</v>
      </c>
      <c r="AB101" s="423">
        <f t="shared" si="41"/>
        <v>20.686300856690259</v>
      </c>
      <c r="AC101" s="423">
        <f t="shared" si="41"/>
        <v>20.929727300236994</v>
      </c>
      <c r="AD101" s="423">
        <f t="shared" si="41"/>
        <v>21.176018599757821</v>
      </c>
      <c r="AE101" s="423">
        <f t="shared" si="41"/>
        <v>21.42520846228911</v>
      </c>
      <c r="AF101" s="423">
        <f t="shared" si="41"/>
        <v>21.677330991704668</v>
      </c>
      <c r="AG101" s="423">
        <f t="shared" si="41"/>
        <v>21.932420693380827</v>
      </c>
      <c r="AH101" s="423">
        <f t="shared" si="41"/>
        <v>22.190512478916677</v>
      </c>
      <c r="AI101" s="423">
        <f t="shared" si="41"/>
        <v>22.451641670909808</v>
      </c>
      <c r="AJ101" s="423">
        <f t="shared" si="41"/>
        <v>22.715844007788561</v>
      </c>
      <c r="AK101" s="423">
        <f t="shared" si="41"/>
        <v>22.983155648701082</v>
      </c>
      <c r="AL101" s="423">
        <f t="shared" si="41"/>
        <v>23.25361317846221</v>
      </c>
    </row>
    <row r="102" spans="1:38">
      <c r="A102" s="421"/>
      <c r="B102" s="411" t="s">
        <v>655</v>
      </c>
      <c r="C102" s="412" t="s">
        <v>656</v>
      </c>
      <c r="D102" s="414">
        <f>EXP(0.1088*'A1.7'!$D$9)</f>
        <v>1</v>
      </c>
      <c r="E102" s="414">
        <f>EXP(0.1088*'A1.7'!$D$9)</f>
        <v>1</v>
      </c>
      <c r="F102" s="414">
        <f>EXP(0.1088*'A1.7'!$D$9)</f>
        <v>1</v>
      </c>
      <c r="G102" s="414">
        <f>EXP(0.1088*'A1.7'!$D$9)</f>
        <v>1</v>
      </c>
      <c r="H102" s="417">
        <f>EXP(0.1088*'A1.7'!$D$9)</f>
        <v>1</v>
      </c>
      <c r="I102" s="414">
        <f>EXP(0.1088*'A1.7'!$D$9)</f>
        <v>1</v>
      </c>
      <c r="J102" s="414">
        <f>EXP(0.1088*'A1.7'!$D$9)</f>
        <v>1</v>
      </c>
      <c r="K102" s="414">
        <f>EXP(0.1088*'A1.7'!$D$9)</f>
        <v>1</v>
      </c>
      <c r="L102" s="414">
        <f>EXP(0.1088*'A1.7'!$D$9)</f>
        <v>1</v>
      </c>
      <c r="M102" s="414">
        <f>EXP(0.1088*'A1.7'!$D$9)</f>
        <v>1</v>
      </c>
      <c r="N102" s="414">
        <f>EXP(0.1088*'A1.7'!$D$9)</f>
        <v>1</v>
      </c>
      <c r="O102" s="414">
        <f>EXP(0.1088*'A1.7'!$D$9)</f>
        <v>1</v>
      </c>
      <c r="P102" s="414">
        <f>EXP(0.1088*'A1.7'!$D$9)</f>
        <v>1</v>
      </c>
      <c r="Q102" s="414">
        <f>EXP(0.1088*'A1.7'!$D$9)</f>
        <v>1</v>
      </c>
      <c r="R102" s="414">
        <f>EXP(0.1088*'A1.7'!$D$9)</f>
        <v>1</v>
      </c>
      <c r="S102" s="414">
        <f>EXP(0.1088*'A1.7'!$D$9)</f>
        <v>1</v>
      </c>
      <c r="T102" s="414">
        <f>EXP(0.1088*'A1.7'!$D$9)</f>
        <v>1</v>
      </c>
      <c r="U102" s="414">
        <f>EXP(0.1088*'A1.7'!$D$9)</f>
        <v>1</v>
      </c>
      <c r="V102" s="414">
        <f>EXP(0.1088*'A1.7'!$D$9)</f>
        <v>1</v>
      </c>
      <c r="W102" s="414">
        <f>EXP(0.1088*'A1.7'!$D$9)</f>
        <v>1</v>
      </c>
      <c r="X102" s="414">
        <f>EXP(0.1088*'A1.7'!$D$9)</f>
        <v>1</v>
      </c>
      <c r="Y102" s="414">
        <f>EXP(0.1088*'A1.7'!$D$9)</f>
        <v>1</v>
      </c>
      <c r="Z102" s="414">
        <f>EXP(0.1088*'A1.7'!$D$9)</f>
        <v>1</v>
      </c>
      <c r="AA102" s="414">
        <f>EXP(0.1088*'A1.7'!$D$9)</f>
        <v>1</v>
      </c>
      <c r="AB102" s="414">
        <f>EXP(0.1088*'A1.7'!$D$9)</f>
        <v>1</v>
      </c>
      <c r="AC102" s="414">
        <f>EXP(0.1088*'A1.7'!$D$9)</f>
        <v>1</v>
      </c>
      <c r="AD102" s="414">
        <f>EXP(0.1088*'A1.7'!$D$9)</f>
        <v>1</v>
      </c>
      <c r="AE102" s="414">
        <f>EXP(0.1088*'A1.7'!$D$9)</f>
        <v>1</v>
      </c>
      <c r="AF102" s="414">
        <f>EXP(0.1088*'A1.7'!$D$9)</f>
        <v>1</v>
      </c>
      <c r="AG102" s="414">
        <f>EXP(0.1088*'A1.7'!$D$9)</f>
        <v>1</v>
      </c>
      <c r="AH102" s="414">
        <f>EXP(0.1088*'A1.7'!$D$9)</f>
        <v>1</v>
      </c>
      <c r="AI102" s="414">
        <f>EXP(0.1088*'A1.7'!$D$9)</f>
        <v>1</v>
      </c>
      <c r="AJ102" s="414">
        <f>EXP(0.1088*'A1.7'!$D$9)</f>
        <v>1</v>
      </c>
      <c r="AK102" s="414">
        <f>EXP(0.1088*'A1.7'!$D$9)</f>
        <v>1</v>
      </c>
      <c r="AL102" s="414">
        <f>EXP(0.1088*'A1.7'!$D$9)</f>
        <v>1</v>
      </c>
    </row>
    <row r="103" spans="1:38">
      <c r="A103" s="421"/>
      <c r="B103" s="411" t="s">
        <v>657</v>
      </c>
      <c r="C103" s="416" t="s">
        <v>658</v>
      </c>
      <c r="D103" s="417">
        <f t="shared" ref="D103:AL103" si="42">((D$80+0.2)/0.2)^(0.047)</f>
        <v>1.1198022320808569</v>
      </c>
      <c r="E103" s="417">
        <f t="shared" si="42"/>
        <v>1.120307872028153</v>
      </c>
      <c r="F103" s="417">
        <f t="shared" si="42"/>
        <v>1.1208142166017745</v>
      </c>
      <c r="G103" s="417">
        <f t="shared" si="42"/>
        <v>1.1213212624333833</v>
      </c>
      <c r="H103" s="417">
        <f t="shared" si="42"/>
        <v>1.1418387135960879</v>
      </c>
      <c r="I103" s="417">
        <f t="shared" si="42"/>
        <v>1.1423715387259614</v>
      </c>
      <c r="J103" s="417">
        <f t="shared" si="42"/>
        <v>1.1429049438973249</v>
      </c>
      <c r="K103" s="417">
        <f t="shared" si="42"/>
        <v>1.143438926616609</v>
      </c>
      <c r="L103" s="417">
        <f t="shared" si="42"/>
        <v>1.1439734844098017</v>
      </c>
      <c r="M103" s="417">
        <f t="shared" si="42"/>
        <v>1.1445086148223753</v>
      </c>
      <c r="N103" s="417">
        <f t="shared" si="42"/>
        <v>1.1450443154192105</v>
      </c>
      <c r="O103" s="417">
        <f t="shared" si="42"/>
        <v>1.1455805837845203</v>
      </c>
      <c r="P103" s="417">
        <f t="shared" si="42"/>
        <v>1.1461174175217719</v>
      </c>
      <c r="Q103" s="417">
        <f t="shared" si="42"/>
        <v>1.146654814253609</v>
      </c>
      <c r="R103" s="417">
        <f t="shared" si="42"/>
        <v>1.1471927716217718</v>
      </c>
      <c r="S103" s="417">
        <f t="shared" si="42"/>
        <v>1.1477312872870153</v>
      </c>
      <c r="T103" s="417">
        <f t="shared" si="42"/>
        <v>1.1482703589290293</v>
      </c>
      <c r="U103" s="417">
        <f t="shared" si="42"/>
        <v>1.1488099842463546</v>
      </c>
      <c r="V103" s="417">
        <f t="shared" si="42"/>
        <v>1.149350160956299</v>
      </c>
      <c r="W103" s="417">
        <f t="shared" si="42"/>
        <v>1.1498908867948547</v>
      </c>
      <c r="X103" s="417">
        <f t="shared" si="42"/>
        <v>1.1504321595166109</v>
      </c>
      <c r="Y103" s="417">
        <f t="shared" si="42"/>
        <v>1.150973976894669</v>
      </c>
      <c r="Z103" s="417">
        <f t="shared" si="42"/>
        <v>1.1515163367205548</v>
      </c>
      <c r="AA103" s="417">
        <f t="shared" si="42"/>
        <v>1.1520592368041316</v>
      </c>
      <c r="AB103" s="417">
        <f t="shared" si="42"/>
        <v>1.1526026749735114</v>
      </c>
      <c r="AC103" s="417">
        <f t="shared" si="42"/>
        <v>1.1531466490749658</v>
      </c>
      <c r="AD103" s="417">
        <f t="shared" si="42"/>
        <v>1.1536911569728363</v>
      </c>
      <c r="AE103" s="417">
        <f t="shared" si="42"/>
        <v>1.1542361965494436</v>
      </c>
      <c r="AF103" s="417">
        <f t="shared" si="42"/>
        <v>1.1547817657049975</v>
      </c>
      <c r="AG103" s="417">
        <f t="shared" si="42"/>
        <v>1.1553278623575041</v>
      </c>
      <c r="AH103" s="417">
        <f t="shared" si="42"/>
        <v>1.155874484442674</v>
      </c>
      <c r="AI103" s="417">
        <f t="shared" si="42"/>
        <v>1.1564216299138308</v>
      </c>
      <c r="AJ103" s="417">
        <f t="shared" si="42"/>
        <v>1.1569692967418161</v>
      </c>
      <c r="AK103" s="417">
        <f t="shared" si="42"/>
        <v>1.1575174829148973</v>
      </c>
      <c r="AL103" s="417">
        <f t="shared" si="42"/>
        <v>1.1580661864386725</v>
      </c>
    </row>
    <row r="104" spans="1:38">
      <c r="A104" s="421"/>
      <c r="B104" s="411" t="s">
        <v>659</v>
      </c>
      <c r="C104" s="412" t="s">
        <v>660</v>
      </c>
      <c r="D104" s="414">
        <v>1</v>
      </c>
      <c r="E104" s="414">
        <v>1</v>
      </c>
      <c r="F104" s="414">
        <v>1</v>
      </c>
      <c r="G104" s="414">
        <v>1</v>
      </c>
      <c r="H104" s="417">
        <v>1</v>
      </c>
      <c r="I104" s="414">
        <v>1</v>
      </c>
      <c r="J104" s="414">
        <v>1</v>
      </c>
      <c r="K104" s="414">
        <v>1</v>
      </c>
      <c r="L104" s="414">
        <v>1</v>
      </c>
      <c r="M104" s="414">
        <v>1</v>
      </c>
      <c r="N104" s="414">
        <v>1</v>
      </c>
      <c r="O104" s="414">
        <v>1</v>
      </c>
      <c r="P104" s="414">
        <v>1</v>
      </c>
      <c r="Q104" s="414">
        <v>1</v>
      </c>
      <c r="R104" s="414">
        <v>1</v>
      </c>
      <c r="S104" s="414">
        <v>1</v>
      </c>
      <c r="T104" s="414">
        <v>1</v>
      </c>
      <c r="U104" s="414">
        <v>1</v>
      </c>
      <c r="V104" s="414">
        <v>1</v>
      </c>
      <c r="W104" s="414">
        <v>1</v>
      </c>
      <c r="X104" s="414">
        <v>1</v>
      </c>
      <c r="Y104" s="414">
        <v>1</v>
      </c>
      <c r="Z104" s="414">
        <v>1</v>
      </c>
      <c r="AA104" s="414">
        <v>1</v>
      </c>
      <c r="AB104" s="414">
        <v>1</v>
      </c>
      <c r="AC104" s="414">
        <v>1</v>
      </c>
      <c r="AD104" s="414">
        <v>1</v>
      </c>
      <c r="AE104" s="414">
        <v>1</v>
      </c>
      <c r="AF104" s="414">
        <v>1</v>
      </c>
      <c r="AG104" s="414">
        <v>1</v>
      </c>
      <c r="AH104" s="414">
        <v>1</v>
      </c>
      <c r="AI104" s="414">
        <v>1</v>
      </c>
      <c r="AJ104" s="414">
        <v>1</v>
      </c>
      <c r="AK104" s="414">
        <v>1</v>
      </c>
      <c r="AL104" s="414">
        <v>1</v>
      </c>
    </row>
    <row r="105" spans="1:38">
      <c r="A105" s="421"/>
      <c r="B105" s="411" t="s">
        <v>661</v>
      </c>
      <c r="C105" s="412" t="s">
        <v>662</v>
      </c>
      <c r="D105" s="414">
        <v>1</v>
      </c>
      <c r="E105" s="414">
        <v>1</v>
      </c>
      <c r="F105" s="414">
        <v>1</v>
      </c>
      <c r="G105" s="414">
        <v>1</v>
      </c>
      <c r="H105" s="417">
        <v>1</v>
      </c>
      <c r="I105" s="414">
        <v>1</v>
      </c>
      <c r="J105" s="414">
        <v>1</v>
      </c>
      <c r="K105" s="414">
        <v>1</v>
      </c>
      <c r="L105" s="414">
        <v>1</v>
      </c>
      <c r="M105" s="414">
        <v>1</v>
      </c>
      <c r="N105" s="414">
        <v>1</v>
      </c>
      <c r="O105" s="414">
        <v>1</v>
      </c>
      <c r="P105" s="414">
        <v>1</v>
      </c>
      <c r="Q105" s="414">
        <v>1</v>
      </c>
      <c r="R105" s="414">
        <v>1</v>
      </c>
      <c r="S105" s="414">
        <v>1</v>
      </c>
      <c r="T105" s="414">
        <v>1</v>
      </c>
      <c r="U105" s="414">
        <v>1</v>
      </c>
      <c r="V105" s="414">
        <v>1</v>
      </c>
      <c r="W105" s="414">
        <v>1</v>
      </c>
      <c r="X105" s="414">
        <v>1</v>
      </c>
      <c r="Y105" s="414">
        <v>1</v>
      </c>
      <c r="Z105" s="414">
        <v>1</v>
      </c>
      <c r="AA105" s="414">
        <v>1</v>
      </c>
      <c r="AB105" s="414">
        <v>1</v>
      </c>
      <c r="AC105" s="414">
        <v>1</v>
      </c>
      <c r="AD105" s="414">
        <v>1</v>
      </c>
      <c r="AE105" s="414">
        <v>1</v>
      </c>
      <c r="AF105" s="414">
        <v>1</v>
      </c>
      <c r="AG105" s="414">
        <v>1</v>
      </c>
      <c r="AH105" s="414">
        <v>1</v>
      </c>
      <c r="AI105" s="414">
        <v>1</v>
      </c>
      <c r="AJ105" s="414">
        <v>1</v>
      </c>
      <c r="AK105" s="414">
        <v>1</v>
      </c>
      <c r="AL105" s="414">
        <v>1</v>
      </c>
    </row>
    <row r="106" spans="1:38">
      <c r="A106" s="421"/>
      <c r="B106" s="411" t="s">
        <v>663</v>
      </c>
      <c r="C106" s="412" t="s">
        <v>664</v>
      </c>
      <c r="D106" s="414">
        <v>1</v>
      </c>
      <c r="E106" s="414">
        <v>1</v>
      </c>
      <c r="F106" s="414">
        <v>1</v>
      </c>
      <c r="G106" s="414">
        <v>1</v>
      </c>
      <c r="H106" s="417">
        <v>1</v>
      </c>
      <c r="I106" s="414">
        <v>1</v>
      </c>
      <c r="J106" s="414">
        <v>1</v>
      </c>
      <c r="K106" s="414">
        <v>1</v>
      </c>
      <c r="L106" s="414">
        <v>1</v>
      </c>
      <c r="M106" s="414">
        <v>1</v>
      </c>
      <c r="N106" s="414">
        <v>1</v>
      </c>
      <c r="O106" s="414">
        <v>1</v>
      </c>
      <c r="P106" s="414">
        <v>1</v>
      </c>
      <c r="Q106" s="414">
        <v>1</v>
      </c>
      <c r="R106" s="414">
        <v>1</v>
      </c>
      <c r="S106" s="414">
        <v>1</v>
      </c>
      <c r="T106" s="414">
        <v>1</v>
      </c>
      <c r="U106" s="414">
        <v>1</v>
      </c>
      <c r="V106" s="414">
        <v>1</v>
      </c>
      <c r="W106" s="414">
        <v>1</v>
      </c>
      <c r="X106" s="414">
        <v>1</v>
      </c>
      <c r="Y106" s="414">
        <v>1</v>
      </c>
      <c r="Z106" s="414">
        <v>1</v>
      </c>
      <c r="AA106" s="414">
        <v>1</v>
      </c>
      <c r="AB106" s="414">
        <v>1</v>
      </c>
      <c r="AC106" s="414">
        <v>1</v>
      </c>
      <c r="AD106" s="414">
        <v>1</v>
      </c>
      <c r="AE106" s="414">
        <v>1</v>
      </c>
      <c r="AF106" s="414">
        <v>1</v>
      </c>
      <c r="AG106" s="414">
        <v>1</v>
      </c>
      <c r="AH106" s="414">
        <v>1</v>
      </c>
      <c r="AI106" s="414">
        <v>1</v>
      </c>
      <c r="AJ106" s="414">
        <v>1</v>
      </c>
      <c r="AK106" s="414">
        <v>1</v>
      </c>
      <c r="AL106" s="414">
        <v>1</v>
      </c>
    </row>
    <row r="107" spans="1:38">
      <c r="A107" s="421"/>
      <c r="B107" s="411" t="s">
        <v>665</v>
      </c>
      <c r="C107" s="412" t="s">
        <v>666</v>
      </c>
      <c r="D107" s="414">
        <f>EXP(0.138*('A1.7'!$D$10-1))</f>
        <v>1.1479755502741786</v>
      </c>
      <c r="E107" s="414">
        <f>EXP(0.138*('A1.7'!$D$10-1))</f>
        <v>1.1479755502741786</v>
      </c>
      <c r="F107" s="414">
        <f>EXP(0.138*('A1.7'!$D$10-1))</f>
        <v>1.1479755502741786</v>
      </c>
      <c r="G107" s="414">
        <f>EXP(0.138*('A1.7'!$D$10-1))</f>
        <v>1.1479755502741786</v>
      </c>
      <c r="H107" s="417">
        <f>EXP(0.138*('A1.7'!$D$10-1))</f>
        <v>1.1479755502741786</v>
      </c>
      <c r="I107" s="414">
        <f>EXP(0.138*('A1.7'!$D$10-1))</f>
        <v>1.1479755502741786</v>
      </c>
      <c r="J107" s="414">
        <f>EXP(0.138*('A1.7'!$D$10-1))</f>
        <v>1.1479755502741786</v>
      </c>
      <c r="K107" s="414">
        <f>EXP(0.138*('A1.7'!$D$10-1))</f>
        <v>1.1479755502741786</v>
      </c>
      <c r="L107" s="414">
        <f>EXP(0.138*('A1.7'!$D$10-1))</f>
        <v>1.1479755502741786</v>
      </c>
      <c r="M107" s="414">
        <f>EXP(0.138*('A1.7'!$D$10-1))</f>
        <v>1.1479755502741786</v>
      </c>
      <c r="N107" s="414">
        <f>EXP(0.138*('A1.7'!$D$10-1))</f>
        <v>1.1479755502741786</v>
      </c>
      <c r="O107" s="414">
        <f>EXP(0.138*('A1.7'!$D$10-1))</f>
        <v>1.1479755502741786</v>
      </c>
      <c r="P107" s="414">
        <f>EXP(0.138*('A1.7'!$D$10-1))</f>
        <v>1.1479755502741786</v>
      </c>
      <c r="Q107" s="414">
        <f>EXP(0.138*('A1.7'!$D$10-1))</f>
        <v>1.1479755502741786</v>
      </c>
      <c r="R107" s="414">
        <f>EXP(0.138*('A1.7'!$D$10-1))</f>
        <v>1.1479755502741786</v>
      </c>
      <c r="S107" s="414">
        <f>EXP(0.138*('A1.7'!$D$10-1))</f>
        <v>1.1479755502741786</v>
      </c>
      <c r="T107" s="414">
        <f>EXP(0.138*('A1.7'!$D$10-1))</f>
        <v>1.1479755502741786</v>
      </c>
      <c r="U107" s="414">
        <f>EXP(0.138*('A1.7'!$D$10-1))</f>
        <v>1.1479755502741786</v>
      </c>
      <c r="V107" s="414">
        <f>EXP(0.138*('A1.7'!$D$10-1))</f>
        <v>1.1479755502741786</v>
      </c>
      <c r="W107" s="414">
        <f>EXP(0.138*('A1.7'!$D$10-1))</f>
        <v>1.1479755502741786</v>
      </c>
      <c r="X107" s="414">
        <f>EXP(0.138*('A1.7'!$D$10-1))</f>
        <v>1.1479755502741786</v>
      </c>
      <c r="Y107" s="414">
        <f>EXP(0.138*('A1.7'!$D$10-1))</f>
        <v>1.1479755502741786</v>
      </c>
      <c r="Z107" s="414">
        <f>EXP(0.138*('A1.7'!$D$10-1))</f>
        <v>1.1479755502741786</v>
      </c>
      <c r="AA107" s="414">
        <f>EXP(0.138*('A1.7'!$D$10-1))</f>
        <v>1.1479755502741786</v>
      </c>
      <c r="AB107" s="414">
        <f>EXP(0.138*('A1.7'!$D$10-1))</f>
        <v>1.1479755502741786</v>
      </c>
      <c r="AC107" s="414">
        <f>EXP(0.138*('A1.7'!$D$10-1))</f>
        <v>1.1479755502741786</v>
      </c>
      <c r="AD107" s="414">
        <f>EXP(0.138*('A1.7'!$D$10-1))</f>
        <v>1.1479755502741786</v>
      </c>
      <c r="AE107" s="414">
        <f>EXP(0.138*('A1.7'!$D$10-1))</f>
        <v>1.1479755502741786</v>
      </c>
      <c r="AF107" s="414">
        <f>EXP(0.138*('A1.7'!$D$10-1))</f>
        <v>1.1479755502741786</v>
      </c>
      <c r="AG107" s="414">
        <f>EXP(0.138*('A1.7'!$D$10-1))</f>
        <v>1.1479755502741786</v>
      </c>
      <c r="AH107" s="414">
        <f>EXP(0.138*('A1.7'!$D$10-1))</f>
        <v>1.1479755502741786</v>
      </c>
      <c r="AI107" s="414">
        <f>EXP(0.138*('A1.7'!$D$10-1))</f>
        <v>1.1479755502741786</v>
      </c>
      <c r="AJ107" s="414">
        <f>EXP(0.138*('A1.7'!$D$10-1))</f>
        <v>1.1479755502741786</v>
      </c>
      <c r="AK107" s="414">
        <f>EXP(0.138*('A1.7'!$D$10-1))</f>
        <v>1.1479755502741786</v>
      </c>
      <c r="AL107" s="414">
        <f>EXP(0.138*('A1.7'!$D$10-1))</f>
        <v>1.1479755502741786</v>
      </c>
    </row>
    <row r="108" spans="1:38" ht="13">
      <c r="A108" s="421"/>
      <c r="B108" s="418"/>
      <c r="C108" s="419"/>
      <c r="D108" s="420"/>
      <c r="E108" s="420"/>
      <c r="F108" s="420"/>
      <c r="G108" s="420"/>
      <c r="H108" s="1236"/>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row>
    <row r="109" spans="1:38" ht="13">
      <c r="A109" s="421"/>
      <c r="B109" s="422" t="s">
        <v>668</v>
      </c>
      <c r="C109" s="408"/>
      <c r="D109" s="420"/>
      <c r="E109" s="420"/>
      <c r="F109" s="420"/>
      <c r="G109" s="420"/>
      <c r="H109" s="1236"/>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row>
    <row r="110" spans="1:38">
      <c r="A110" s="421"/>
      <c r="B110" s="411" t="s">
        <v>653</v>
      </c>
      <c r="C110" s="412" t="s">
        <v>654</v>
      </c>
      <c r="D110" s="423">
        <f t="shared" ref="D110:AL110" si="43">((D$77*D$78+0.2)/0.2)^(0.3116)</f>
        <v>16.623176014027582</v>
      </c>
      <c r="E110" s="423">
        <f t="shared" si="43"/>
        <v>16.829636354312363</v>
      </c>
      <c r="F110" s="423">
        <f t="shared" si="43"/>
        <v>17.038661906561902</v>
      </c>
      <c r="G110" s="423">
        <f t="shared" si="43"/>
        <v>17.250284516765536</v>
      </c>
      <c r="H110" s="423">
        <f t="shared" si="43"/>
        <v>19.102248115203729</v>
      </c>
      <c r="I110" s="423">
        <f t="shared" si="43"/>
        <v>19.339508789719304</v>
      </c>
      <c r="J110" s="423">
        <f t="shared" si="43"/>
        <v>19.579717087730334</v>
      </c>
      <c r="K110" s="423">
        <f t="shared" si="43"/>
        <v>19.822909610065508</v>
      </c>
      <c r="L110" s="423">
        <f t="shared" si="43"/>
        <v>20.069123412543714</v>
      </c>
      <c r="M110" s="423">
        <f t="shared" si="43"/>
        <v>20.318396011616148</v>
      </c>
      <c r="N110" s="423">
        <f t="shared" si="43"/>
        <v>20.570765390078915</v>
      </c>
      <c r="O110" s="423">
        <f t="shared" si="43"/>
        <v>20.826270002856745</v>
      </c>
      <c r="P110" s="423">
        <f t="shared" si="43"/>
        <v>21.084948782858792</v>
      </c>
      <c r="Q110" s="423">
        <f t="shared" si="43"/>
        <v>21.346841146907455</v>
      </c>
      <c r="R110" s="423">
        <f t="shared" si="43"/>
        <v>21.611987001740996</v>
      </c>
      <c r="S110" s="423">
        <f t="shared" si="43"/>
        <v>21.880426750091058</v>
      </c>
      <c r="T110" s="423">
        <f t="shared" si="43"/>
        <v>22.152201296835745</v>
      </c>
      <c r="U110" s="423">
        <f t="shared" si="43"/>
        <v>22.427352055229456</v>
      </c>
      <c r="V110" s="423">
        <f t="shared" si="43"/>
        <v>22.705920953210271</v>
      </c>
      <c r="W110" s="423">
        <f t="shared" si="43"/>
        <v>22.987950439785877</v>
      </c>
      <c r="X110" s="423">
        <f t="shared" si="43"/>
        <v>23.273483491499022</v>
      </c>
      <c r="Y110" s="423">
        <f t="shared" si="43"/>
        <v>23.562563618973407</v>
      </c>
      <c r="Z110" s="423">
        <f t="shared" si="43"/>
        <v>23.855234873541256</v>
      </c>
      <c r="AA110" s="423">
        <f t="shared" si="43"/>
        <v>24.151541853953098</v>
      </c>
      <c r="AB110" s="423">
        <f t="shared" si="43"/>
        <v>24.451529713171368</v>
      </c>
      <c r="AC110" s="423">
        <f t="shared" si="43"/>
        <v>24.755244165248349</v>
      </c>
      <c r="AD110" s="423">
        <f t="shared" si="43"/>
        <v>25.062731492289778</v>
      </c>
      <c r="AE110" s="423">
        <f t="shared" si="43"/>
        <v>25.374038551505201</v>
      </c>
      <c r="AF110" s="423">
        <f t="shared" si="43"/>
        <v>25.689212782345933</v>
      </c>
      <c r="AG110" s="423">
        <f t="shared" si="43"/>
        <v>26.008302213731859</v>
      </c>
      <c r="AH110" s="423">
        <f t="shared" si="43"/>
        <v>26.331355471368237</v>
      </c>
      <c r="AI110" s="423">
        <f t="shared" si="43"/>
        <v>26.658421785153397</v>
      </c>
      <c r="AJ110" s="423">
        <f t="shared" si="43"/>
        <v>26.989550996678734</v>
      </c>
      <c r="AK110" s="423">
        <f t="shared" si="43"/>
        <v>27.324793566821899</v>
      </c>
      <c r="AL110" s="423">
        <f t="shared" si="43"/>
        <v>27.664200583434486</v>
      </c>
    </row>
    <row r="111" spans="1:38">
      <c r="A111" s="421"/>
      <c r="B111" s="411" t="s">
        <v>655</v>
      </c>
      <c r="C111" s="412" t="s">
        <v>656</v>
      </c>
      <c r="D111" s="414">
        <f>EXP(0.2912*'A1.7'!$D$9)</f>
        <v>1</v>
      </c>
      <c r="E111" s="414">
        <f>EXP(0.2912*'A1.7'!$D$9)</f>
        <v>1</v>
      </c>
      <c r="F111" s="414">
        <f>EXP(0.2912*'A1.7'!$D$9)</f>
        <v>1</v>
      </c>
      <c r="G111" s="414">
        <f>EXP(0.2912*'A1.7'!$D$9)</f>
        <v>1</v>
      </c>
      <c r="H111" s="417">
        <f>EXP(0.2912*'A1.7'!$D$9)</f>
        <v>1</v>
      </c>
      <c r="I111" s="414">
        <f>EXP(0.2912*'A1.7'!$D$9)</f>
        <v>1</v>
      </c>
      <c r="J111" s="414">
        <f>EXP(0.2912*'A1.7'!$D$9)</f>
        <v>1</v>
      </c>
      <c r="K111" s="414">
        <f>EXP(0.2912*'A1.7'!$D$9)</f>
        <v>1</v>
      </c>
      <c r="L111" s="414">
        <f>EXP(0.2912*'A1.7'!$D$9)</f>
        <v>1</v>
      </c>
      <c r="M111" s="414">
        <f>EXP(0.2912*'A1.7'!$D$9)</f>
        <v>1</v>
      </c>
      <c r="N111" s="414">
        <f>EXP(0.2912*'A1.7'!$D$9)</f>
        <v>1</v>
      </c>
      <c r="O111" s="414">
        <f>EXP(0.2912*'A1.7'!$D$9)</f>
        <v>1</v>
      </c>
      <c r="P111" s="414">
        <f>EXP(0.2912*'A1.7'!$D$9)</f>
        <v>1</v>
      </c>
      <c r="Q111" s="414">
        <f>EXP(0.2912*'A1.7'!$D$9)</f>
        <v>1</v>
      </c>
      <c r="R111" s="414">
        <f>EXP(0.2912*'A1.7'!$D$9)</f>
        <v>1</v>
      </c>
      <c r="S111" s="414">
        <f>EXP(0.2912*'A1.7'!$D$9)</f>
        <v>1</v>
      </c>
      <c r="T111" s="414">
        <f>EXP(0.2912*'A1.7'!$D$9)</f>
        <v>1</v>
      </c>
      <c r="U111" s="414">
        <f>EXP(0.2912*'A1.7'!$D$9)</f>
        <v>1</v>
      </c>
      <c r="V111" s="414">
        <f>EXP(0.2912*'A1.7'!$D$9)</f>
        <v>1</v>
      </c>
      <c r="W111" s="414">
        <f>EXP(0.2912*'A1.7'!$D$9)</f>
        <v>1</v>
      </c>
      <c r="X111" s="414">
        <f>EXP(0.2912*'A1.7'!$D$9)</f>
        <v>1</v>
      </c>
      <c r="Y111" s="414">
        <f>EXP(0.2912*'A1.7'!$D$9)</f>
        <v>1</v>
      </c>
      <c r="Z111" s="414">
        <f>EXP(0.2912*'A1.7'!$D$9)</f>
        <v>1</v>
      </c>
      <c r="AA111" s="414">
        <f>EXP(0.2912*'A1.7'!$D$9)</f>
        <v>1</v>
      </c>
      <c r="AB111" s="414">
        <f>EXP(0.2912*'A1.7'!$D$9)</f>
        <v>1</v>
      </c>
      <c r="AC111" s="414">
        <f>EXP(0.2912*'A1.7'!$D$9)</f>
        <v>1</v>
      </c>
      <c r="AD111" s="414">
        <f>EXP(0.2912*'A1.7'!$D$9)</f>
        <v>1</v>
      </c>
      <c r="AE111" s="414">
        <f>EXP(0.2912*'A1.7'!$D$9)</f>
        <v>1</v>
      </c>
      <c r="AF111" s="414">
        <f>EXP(0.2912*'A1.7'!$D$9)</f>
        <v>1</v>
      </c>
      <c r="AG111" s="414">
        <f>EXP(0.2912*'A1.7'!$D$9)</f>
        <v>1</v>
      </c>
      <c r="AH111" s="414">
        <f>EXP(0.2912*'A1.7'!$D$9)</f>
        <v>1</v>
      </c>
      <c r="AI111" s="414">
        <f>EXP(0.2912*'A1.7'!$D$9)</f>
        <v>1</v>
      </c>
      <c r="AJ111" s="414">
        <f>EXP(0.2912*'A1.7'!$D$9)</f>
        <v>1</v>
      </c>
      <c r="AK111" s="414">
        <f>EXP(0.2912*'A1.7'!$D$9)</f>
        <v>1</v>
      </c>
      <c r="AL111" s="414">
        <f>EXP(0.2912*'A1.7'!$D$9)</f>
        <v>1</v>
      </c>
    </row>
    <row r="112" spans="1:38">
      <c r="A112" s="421"/>
      <c r="B112" s="411" t="s">
        <v>657</v>
      </c>
      <c r="C112" s="416" t="s">
        <v>658</v>
      </c>
      <c r="D112" s="414">
        <v>1</v>
      </c>
      <c r="E112" s="414">
        <v>1</v>
      </c>
      <c r="F112" s="414">
        <v>1</v>
      </c>
      <c r="G112" s="414">
        <v>1</v>
      </c>
      <c r="H112" s="417">
        <v>1</v>
      </c>
      <c r="I112" s="414">
        <v>1</v>
      </c>
      <c r="J112" s="414">
        <v>1</v>
      </c>
      <c r="K112" s="414">
        <v>1</v>
      </c>
      <c r="L112" s="414">
        <v>1</v>
      </c>
      <c r="M112" s="414">
        <v>1</v>
      </c>
      <c r="N112" s="414">
        <v>1</v>
      </c>
      <c r="O112" s="414">
        <v>1</v>
      </c>
      <c r="P112" s="414">
        <v>1</v>
      </c>
      <c r="Q112" s="414">
        <v>1</v>
      </c>
      <c r="R112" s="414">
        <v>1</v>
      </c>
      <c r="S112" s="414">
        <v>1</v>
      </c>
      <c r="T112" s="414">
        <v>1</v>
      </c>
      <c r="U112" s="414">
        <v>1</v>
      </c>
      <c r="V112" s="414">
        <v>1</v>
      </c>
      <c r="W112" s="414">
        <v>1</v>
      </c>
      <c r="X112" s="414">
        <v>1</v>
      </c>
      <c r="Y112" s="414">
        <v>1</v>
      </c>
      <c r="Z112" s="414">
        <v>1</v>
      </c>
      <c r="AA112" s="414">
        <v>1</v>
      </c>
      <c r="AB112" s="414">
        <v>1</v>
      </c>
      <c r="AC112" s="414">
        <v>1</v>
      </c>
      <c r="AD112" s="414">
        <v>1</v>
      </c>
      <c r="AE112" s="414">
        <v>1</v>
      </c>
      <c r="AF112" s="414">
        <v>1</v>
      </c>
      <c r="AG112" s="414">
        <v>1</v>
      </c>
      <c r="AH112" s="414">
        <v>1</v>
      </c>
      <c r="AI112" s="414">
        <v>1</v>
      </c>
      <c r="AJ112" s="414">
        <v>1</v>
      </c>
      <c r="AK112" s="414">
        <v>1</v>
      </c>
      <c r="AL112" s="414">
        <v>1</v>
      </c>
    </row>
    <row r="113" spans="1:38">
      <c r="A113" s="421"/>
      <c r="B113" s="411" t="s">
        <v>659</v>
      </c>
      <c r="C113" s="412" t="s">
        <v>660</v>
      </c>
      <c r="D113" s="414">
        <v>1</v>
      </c>
      <c r="E113" s="414">
        <v>1</v>
      </c>
      <c r="F113" s="414">
        <v>1</v>
      </c>
      <c r="G113" s="414">
        <v>1</v>
      </c>
      <c r="H113" s="417">
        <v>1</v>
      </c>
      <c r="I113" s="414">
        <v>1</v>
      </c>
      <c r="J113" s="414">
        <v>1</v>
      </c>
      <c r="K113" s="414">
        <v>1</v>
      </c>
      <c r="L113" s="414">
        <v>1</v>
      </c>
      <c r="M113" s="414">
        <v>1</v>
      </c>
      <c r="N113" s="414">
        <v>1</v>
      </c>
      <c r="O113" s="414">
        <v>1</v>
      </c>
      <c r="P113" s="414">
        <v>1</v>
      </c>
      <c r="Q113" s="414">
        <v>1</v>
      </c>
      <c r="R113" s="414">
        <v>1</v>
      </c>
      <c r="S113" s="414">
        <v>1</v>
      </c>
      <c r="T113" s="414">
        <v>1</v>
      </c>
      <c r="U113" s="414">
        <v>1</v>
      </c>
      <c r="V113" s="414">
        <v>1</v>
      </c>
      <c r="W113" s="414">
        <v>1</v>
      </c>
      <c r="X113" s="414">
        <v>1</v>
      </c>
      <c r="Y113" s="414">
        <v>1</v>
      </c>
      <c r="Z113" s="414">
        <v>1</v>
      </c>
      <c r="AA113" s="414">
        <v>1</v>
      </c>
      <c r="AB113" s="414">
        <v>1</v>
      </c>
      <c r="AC113" s="414">
        <v>1</v>
      </c>
      <c r="AD113" s="414">
        <v>1</v>
      </c>
      <c r="AE113" s="414">
        <v>1</v>
      </c>
      <c r="AF113" s="414">
        <v>1</v>
      </c>
      <c r="AG113" s="414">
        <v>1</v>
      </c>
      <c r="AH113" s="414">
        <v>1</v>
      </c>
      <c r="AI113" s="414">
        <v>1</v>
      </c>
      <c r="AJ113" s="414">
        <v>1</v>
      </c>
      <c r="AK113" s="414">
        <v>1</v>
      </c>
      <c r="AL113" s="414">
        <v>1</v>
      </c>
    </row>
    <row r="114" spans="1:38">
      <c r="A114" s="421"/>
      <c r="B114" s="411" t="s">
        <v>661</v>
      </c>
      <c r="C114" s="412" t="s">
        <v>662</v>
      </c>
      <c r="D114" s="414">
        <v>1</v>
      </c>
      <c r="E114" s="414">
        <v>1</v>
      </c>
      <c r="F114" s="414">
        <v>1</v>
      </c>
      <c r="G114" s="414">
        <v>1</v>
      </c>
      <c r="H114" s="417">
        <v>1</v>
      </c>
      <c r="I114" s="414">
        <v>1</v>
      </c>
      <c r="J114" s="414">
        <v>1</v>
      </c>
      <c r="K114" s="414">
        <v>1</v>
      </c>
      <c r="L114" s="414">
        <v>1</v>
      </c>
      <c r="M114" s="414">
        <v>1</v>
      </c>
      <c r="N114" s="414">
        <v>1</v>
      </c>
      <c r="O114" s="414">
        <v>1</v>
      </c>
      <c r="P114" s="414">
        <v>1</v>
      </c>
      <c r="Q114" s="414">
        <v>1</v>
      </c>
      <c r="R114" s="414">
        <v>1</v>
      </c>
      <c r="S114" s="414">
        <v>1</v>
      </c>
      <c r="T114" s="414">
        <v>1</v>
      </c>
      <c r="U114" s="414">
        <v>1</v>
      </c>
      <c r="V114" s="414">
        <v>1</v>
      </c>
      <c r="W114" s="414">
        <v>1</v>
      </c>
      <c r="X114" s="414">
        <v>1</v>
      </c>
      <c r="Y114" s="414">
        <v>1</v>
      </c>
      <c r="Z114" s="414">
        <v>1</v>
      </c>
      <c r="AA114" s="414">
        <v>1</v>
      </c>
      <c r="AB114" s="414">
        <v>1</v>
      </c>
      <c r="AC114" s="414">
        <v>1</v>
      </c>
      <c r="AD114" s="414">
        <v>1</v>
      </c>
      <c r="AE114" s="414">
        <v>1</v>
      </c>
      <c r="AF114" s="414">
        <v>1</v>
      </c>
      <c r="AG114" s="414">
        <v>1</v>
      </c>
      <c r="AH114" s="414">
        <v>1</v>
      </c>
      <c r="AI114" s="414">
        <v>1</v>
      </c>
      <c r="AJ114" s="414">
        <v>1</v>
      </c>
      <c r="AK114" s="414">
        <v>1</v>
      </c>
      <c r="AL114" s="414">
        <v>1</v>
      </c>
    </row>
    <row r="115" spans="1:38">
      <c r="A115" s="421"/>
      <c r="B115" s="411" t="s">
        <v>663</v>
      </c>
      <c r="C115" s="412" t="s">
        <v>664</v>
      </c>
      <c r="D115" s="414">
        <v>1</v>
      </c>
      <c r="E115" s="414">
        <v>1</v>
      </c>
      <c r="F115" s="414">
        <v>1</v>
      </c>
      <c r="G115" s="414">
        <v>1</v>
      </c>
      <c r="H115" s="417">
        <v>1</v>
      </c>
      <c r="I115" s="414">
        <v>1</v>
      </c>
      <c r="J115" s="414">
        <v>1</v>
      </c>
      <c r="K115" s="414">
        <v>1</v>
      </c>
      <c r="L115" s="414">
        <v>1</v>
      </c>
      <c r="M115" s="414">
        <v>1</v>
      </c>
      <c r="N115" s="414">
        <v>1</v>
      </c>
      <c r="O115" s="414">
        <v>1</v>
      </c>
      <c r="P115" s="414">
        <v>1</v>
      </c>
      <c r="Q115" s="414">
        <v>1</v>
      </c>
      <c r="R115" s="414">
        <v>1</v>
      </c>
      <c r="S115" s="414">
        <v>1</v>
      </c>
      <c r="T115" s="414">
        <v>1</v>
      </c>
      <c r="U115" s="414">
        <v>1</v>
      </c>
      <c r="V115" s="414">
        <v>1</v>
      </c>
      <c r="W115" s="414">
        <v>1</v>
      </c>
      <c r="X115" s="414">
        <v>1</v>
      </c>
      <c r="Y115" s="414">
        <v>1</v>
      </c>
      <c r="Z115" s="414">
        <v>1</v>
      </c>
      <c r="AA115" s="414">
        <v>1</v>
      </c>
      <c r="AB115" s="414">
        <v>1</v>
      </c>
      <c r="AC115" s="414">
        <v>1</v>
      </c>
      <c r="AD115" s="414">
        <v>1</v>
      </c>
      <c r="AE115" s="414">
        <v>1</v>
      </c>
      <c r="AF115" s="414">
        <v>1</v>
      </c>
      <c r="AG115" s="414">
        <v>1</v>
      </c>
      <c r="AH115" s="414">
        <v>1</v>
      </c>
      <c r="AI115" s="414">
        <v>1</v>
      </c>
      <c r="AJ115" s="414">
        <v>1</v>
      </c>
      <c r="AK115" s="414">
        <v>1</v>
      </c>
      <c r="AL115" s="414">
        <v>1</v>
      </c>
    </row>
    <row r="116" spans="1:38">
      <c r="A116" s="421"/>
      <c r="B116" s="424" t="s">
        <v>665</v>
      </c>
      <c r="C116" s="425" t="s">
        <v>666</v>
      </c>
      <c r="D116" s="426">
        <f>EXP(0.1036*('A1.7'!$D$10-1))</f>
        <v>1.1091567034898182</v>
      </c>
      <c r="E116" s="426">
        <f>EXP(0.1036*('A1.7'!$D$10-1))</f>
        <v>1.1091567034898182</v>
      </c>
      <c r="F116" s="426">
        <f>EXP(0.1036*('A1.7'!$D$10-1))</f>
        <v>1.1091567034898182</v>
      </c>
      <c r="G116" s="426">
        <f>EXP(0.1036*('A1.7'!$D$10-1))</f>
        <v>1.1091567034898182</v>
      </c>
      <c r="H116" s="1237">
        <f>EXP(0.1036*('A1.7'!$D$10-1))</f>
        <v>1.1091567034898182</v>
      </c>
      <c r="I116" s="426">
        <f>EXP(0.1036*('A1.7'!$D$10-1))</f>
        <v>1.1091567034898182</v>
      </c>
      <c r="J116" s="426">
        <f>EXP(0.1036*('A1.7'!$D$10-1))</f>
        <v>1.1091567034898182</v>
      </c>
      <c r="K116" s="426">
        <f>EXP(0.1036*('A1.7'!$D$10-1))</f>
        <v>1.1091567034898182</v>
      </c>
      <c r="L116" s="426">
        <f>EXP(0.1036*('A1.7'!$D$10-1))</f>
        <v>1.1091567034898182</v>
      </c>
      <c r="M116" s="426">
        <f>EXP(0.1036*('A1.7'!$D$10-1))</f>
        <v>1.1091567034898182</v>
      </c>
      <c r="N116" s="426">
        <f>EXP(0.1036*('A1.7'!$D$10-1))</f>
        <v>1.1091567034898182</v>
      </c>
      <c r="O116" s="426">
        <f>EXP(0.1036*('A1.7'!$D$10-1))</f>
        <v>1.1091567034898182</v>
      </c>
      <c r="P116" s="426">
        <f>EXP(0.1036*('A1.7'!$D$10-1))</f>
        <v>1.1091567034898182</v>
      </c>
      <c r="Q116" s="426">
        <f>EXP(0.1036*('A1.7'!$D$10-1))</f>
        <v>1.1091567034898182</v>
      </c>
      <c r="R116" s="426">
        <f>EXP(0.1036*('A1.7'!$D$10-1))</f>
        <v>1.1091567034898182</v>
      </c>
      <c r="S116" s="426">
        <f>EXP(0.1036*('A1.7'!$D$10-1))</f>
        <v>1.1091567034898182</v>
      </c>
      <c r="T116" s="426">
        <f>EXP(0.1036*('A1.7'!$D$10-1))</f>
        <v>1.1091567034898182</v>
      </c>
      <c r="U116" s="426">
        <f>EXP(0.1036*('A1.7'!$D$10-1))</f>
        <v>1.1091567034898182</v>
      </c>
      <c r="V116" s="426">
        <f>EXP(0.1036*('A1.7'!$D$10-1))</f>
        <v>1.1091567034898182</v>
      </c>
      <c r="W116" s="426">
        <f>EXP(0.1036*('A1.7'!$D$10-1))</f>
        <v>1.1091567034898182</v>
      </c>
      <c r="X116" s="426">
        <f>EXP(0.1036*('A1.7'!$D$10-1))</f>
        <v>1.1091567034898182</v>
      </c>
      <c r="Y116" s="426">
        <f>EXP(0.1036*('A1.7'!$D$10-1))</f>
        <v>1.1091567034898182</v>
      </c>
      <c r="Z116" s="426">
        <f>EXP(0.1036*('A1.7'!$D$10-1))</f>
        <v>1.1091567034898182</v>
      </c>
      <c r="AA116" s="426">
        <f>EXP(0.1036*('A1.7'!$D$10-1))</f>
        <v>1.1091567034898182</v>
      </c>
      <c r="AB116" s="426">
        <f>EXP(0.1036*('A1.7'!$D$10-1))</f>
        <v>1.1091567034898182</v>
      </c>
      <c r="AC116" s="426">
        <f>EXP(0.1036*('A1.7'!$D$10-1))</f>
        <v>1.1091567034898182</v>
      </c>
      <c r="AD116" s="426">
        <f>EXP(0.1036*('A1.7'!$D$10-1))</f>
        <v>1.1091567034898182</v>
      </c>
      <c r="AE116" s="426">
        <f>EXP(0.1036*('A1.7'!$D$10-1))</f>
        <v>1.1091567034898182</v>
      </c>
      <c r="AF116" s="426">
        <f>EXP(0.1036*('A1.7'!$D$10-1))</f>
        <v>1.1091567034898182</v>
      </c>
      <c r="AG116" s="426">
        <f>EXP(0.1036*('A1.7'!$D$10-1))</f>
        <v>1.1091567034898182</v>
      </c>
      <c r="AH116" s="426">
        <f>EXP(0.1036*('A1.7'!$D$10-1))</f>
        <v>1.1091567034898182</v>
      </c>
      <c r="AI116" s="426">
        <f>EXP(0.1036*('A1.7'!$D$10-1))</f>
        <v>1.1091567034898182</v>
      </c>
      <c r="AJ116" s="426">
        <f>EXP(0.1036*('A1.7'!$D$10-1))</f>
        <v>1.1091567034898182</v>
      </c>
      <c r="AK116" s="426">
        <f>EXP(0.1036*('A1.7'!$D$10-1))</f>
        <v>1.1091567034898182</v>
      </c>
      <c r="AL116" s="426">
        <f>EXP(0.1036*('A1.7'!$D$10-1))</f>
        <v>1.1091567034898182</v>
      </c>
    </row>
    <row r="117" spans="1:38">
      <c r="B117" s="362"/>
      <c r="C117" s="427" t="s">
        <v>290</v>
      </c>
      <c r="D117" s="415"/>
      <c r="E117" s="415"/>
      <c r="F117" s="415"/>
      <c r="G117" s="415"/>
      <c r="H117" s="1235"/>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row>
    <row r="118" spans="1:38">
      <c r="B118" s="362" t="s">
        <v>669</v>
      </c>
      <c r="C118" s="428">
        <f>'A1.7'!$E$6</f>
        <v>2.2680000000000001E-3</v>
      </c>
      <c r="D118" s="429">
        <f>IF('A1.7'!$D$6=$B91,$C$118*PRODUCT(D$92:D$98),IF('A1.7'!$D$6=$B100,$C$118*PRODUCT(D$101:D$107), $C$118*PRODUCT(D$110:D$116)))</f>
        <v>4.0679923687797541E-2</v>
      </c>
      <c r="E118" s="429">
        <f>IF('A1.7'!$D$6=$B91,$C$118*PRODUCT(E$92:E$98),IF('A1.7'!$D$6=$B100,$C$118*PRODUCT(E$101:E$107), $C$118*PRODUCT(E$110:E$116)))</f>
        <v>4.1273681673752075E-2</v>
      </c>
      <c r="F118" s="429">
        <f>IF('A1.7'!$D$6=$B91,$C$118*PRODUCT(F$92:F$98),IF('A1.7'!$D$6=$B100,$C$118*PRODUCT(F$101:F$107), $C$118*PRODUCT(F$110:F$116)))</f>
        <v>4.1876159193492586E-2</v>
      </c>
      <c r="G118" s="429">
        <f>IF('A1.7'!$D$6=$B91,$C$118*PRODUCT(G$92:G$98),IF('A1.7'!$D$6=$B100,$C$118*PRODUCT(G$101:G$107), $C$118*PRODUCT(G$110:G$116)))</f>
        <v>4.2487484523447659E-2</v>
      </c>
      <c r="H118" s="429">
        <f>IF('A1.7'!$D$6=$B91,$C$118*PRODUCT(H$92:H$98),IF('A1.7'!$D$6=$B100,$C$118*PRODUCT(H$101:H$107), $C$118*PRODUCT(H$110:H$116)))</f>
        <v>4.9892122461956262E-2</v>
      </c>
      <c r="I118" s="429">
        <f>IF('A1.7'!$D$6=$B91,$C$118*PRODUCT(I$92:I$98),IF('A1.7'!$D$6=$B100,$C$118*PRODUCT(I$101:I$107), $C$118*PRODUCT(I$110:I$116)))</f>
        <v>5.0622539746137958E-2</v>
      </c>
      <c r="J118" s="429">
        <f>IF('A1.7'!$D$6=$B91,$C$118*PRODUCT(J$92:J$98),IF('A1.7'!$D$6=$B100,$C$118*PRODUCT(J$101:J$107), $C$118*PRODUCT(J$110:J$116)))</f>
        <v>5.1363694625625754E-2</v>
      </c>
      <c r="K118" s="429">
        <f>IF('A1.7'!$D$6=$B91,$C$118*PRODUCT(K$92:K$98),IF('A1.7'!$D$6=$B100,$C$118*PRODUCT(K$101:K$107), $C$118*PRODUCT(K$110:K$116)))</f>
        <v>5.2115745119319379E-2</v>
      </c>
      <c r="L118" s="429">
        <f>IF('A1.7'!$D$6=$B91,$C$118*PRODUCT(L$92:L$98),IF('A1.7'!$D$6=$B100,$C$118*PRODUCT(L$101:L$107), $C$118*PRODUCT(L$110:L$116)))</f>
        <v>5.2878851573506483E-2</v>
      </c>
      <c r="M118" s="429">
        <f>IF('A1.7'!$D$6=$B91,$C$118*PRODUCT(M$92:M$98),IF('A1.7'!$D$6=$B100,$C$118*PRODUCT(M$101:M$107), $C$118*PRODUCT(M$110:M$116)))</f>
        <v>5.3653176696113893E-2</v>
      </c>
      <c r="N118" s="429">
        <f>IF('A1.7'!$D$6=$B91,$C$118*PRODUCT(N$92:N$98),IF('A1.7'!$D$6=$B100,$C$118*PRODUCT(N$101:N$107), $C$118*PRODUCT(N$110:N$116)))</f>
        <v>5.4438885591463627E-2</v>
      </c>
      <c r="O118" s="429">
        <f>IF('A1.7'!$D$6=$B91,$C$118*PRODUCT(O$92:O$98),IF('A1.7'!$D$6=$B100,$C$118*PRODUCT(O$101:O$107), $C$118*PRODUCT(O$110:O$116)))</f>
        <v>5.523614579554139E-2</v>
      </c>
      <c r="P118" s="429">
        <f>IF('A1.7'!$D$6=$B91,$C$118*PRODUCT(P$92:P$98),IF('A1.7'!$D$6=$B100,$C$118*PRODUCT(P$101:P$107), $C$118*PRODUCT(P$110:P$116)))</f>
        <v>5.6045127311784536E-2</v>
      </c>
      <c r="Q118" s="429">
        <f>IF('A1.7'!$D$6=$B91,$C$118*PRODUCT(Q$92:Q$98),IF('A1.7'!$D$6=$B100,$C$118*PRODUCT(Q$101:Q$107), $C$118*PRODUCT(Q$110:Q$116)))</f>
        <v>5.6866002647397752E-2</v>
      </c>
      <c r="R118" s="429">
        <f>IF('A1.7'!$D$6=$B91,$C$118*PRODUCT(R$92:R$98),IF('A1.7'!$D$6=$B100,$C$118*PRODUCT(R$101:R$107), $C$118*PRODUCT(R$110:R$116)))</f>
        <v>5.7698946850203797E-2</v>
      </c>
      <c r="S118" s="429">
        <f>IF('A1.7'!$D$6=$B91,$C$118*PRODUCT(S$92:S$98),IF('A1.7'!$D$6=$B100,$C$118*PRODUCT(S$101:S$107), $C$118*PRODUCT(S$110:S$116)))</f>
        <v>5.85441375460376E-2</v>
      </c>
      <c r="T118" s="429">
        <f>IF('A1.7'!$D$6=$B91,$C$118*PRODUCT(T$92:T$98),IF('A1.7'!$D$6=$B100,$C$118*PRODUCT(T$101:T$107), $C$118*PRODUCT(T$110:T$116)))</f>
        <v>5.9401754976690931E-2</v>
      </c>
      <c r="U118" s="429">
        <f>IF('A1.7'!$D$6=$B91,$C$118*PRODUCT(U$92:U$98),IF('A1.7'!$D$6=$B100,$C$118*PRODUCT(U$101:U$107), $C$118*PRODUCT(U$110:U$116)))</f>
        <v>6.0271982038416674E-2</v>
      </c>
      <c r="V118" s="429">
        <f>IF('A1.7'!$D$6=$B91,$C$118*PRODUCT(V$92:V$98),IF('A1.7'!$D$6=$B100,$C$118*PRODUCT(V$101:V$107), $C$118*PRODUCT(V$110:V$116)))</f>
        <v>6.1155004321000447E-2</v>
      </c>
      <c r="W118" s="429">
        <f>IF('A1.7'!$D$6=$B91,$C$118*PRODUCT(W$92:W$98),IF('A1.7'!$D$6=$B100,$C$118*PRODUCT(W$101:W$107), $C$118*PRODUCT(W$110:W$116)))</f>
        <v>6.2051010147407555E-2</v>
      </c>
      <c r="X118" s="429">
        <f>IF('A1.7'!$D$6=$B91,$C$118*PRODUCT(X$92:X$98),IF('A1.7'!$D$6=$B100,$C$118*PRODUCT(X$101:X$107), $C$118*PRODUCT(X$110:X$116)))</f>
        <v>6.2960190614014783E-2</v>
      </c>
      <c r="Y118" s="429">
        <f>IF('A1.7'!$D$6=$B91,$C$118*PRODUCT(Y$92:Y$98),IF('A1.7'!$D$6=$B100,$C$118*PRODUCT(Y$101:Y$107), $C$118*PRODUCT(Y$110:Y$116)))</f>
        <v>6.3882739631434343E-2</v>
      </c>
      <c r="Z118" s="429">
        <f>IF('A1.7'!$D$6=$B91,$C$118*PRODUCT(Z$92:Z$98),IF('A1.7'!$D$6=$B100,$C$118*PRODUCT(Z$101:Z$107), $C$118*PRODUCT(Z$110:Z$116)))</f>
        <v>6.4818853965940032E-2</v>
      </c>
      <c r="AA118" s="429">
        <f>IF('A1.7'!$D$6=$B91,$C$118*PRODUCT(AA$92:AA$98),IF('A1.7'!$D$6=$B100,$C$118*PRODUCT(AA$101:AA$107), $C$118*PRODUCT(AA$110:AA$116)))</f>
        <v>6.5768733281502983E-2</v>
      </c>
      <c r="AB118" s="429">
        <f>IF('A1.7'!$D$6=$B91,$C$118*PRODUCT(AB$92:AB$98),IF('A1.7'!$D$6=$B100,$C$118*PRODUCT(AB$101:AB$107), $C$118*PRODUCT(AB$110:AB$116)))</f>
        <v>6.6732580182447446E-2</v>
      </c>
      <c r="AC118" s="429">
        <f>IF('A1.7'!$D$6=$B91,$C$118*PRODUCT(AC$92:AC$98),IF('A1.7'!$D$6=$B100,$C$118*PRODUCT(AC$101:AC$107), $C$118*PRODUCT(AC$110:AC$116)))</f>
        <v>6.7710600256734671E-2</v>
      </c>
      <c r="AD118" s="429">
        <f>IF('A1.7'!$D$6=$B91,$C$118*PRODUCT(AD$92:AD$98),IF('A1.7'!$D$6=$B100,$C$118*PRODUCT(AD$101:AD$107), $C$118*PRODUCT(AD$110:AD$116)))</f>
        <v>6.8703002119884379E-2</v>
      </c>
      <c r="AE118" s="429">
        <f>IF('A1.7'!$D$6=$B91,$C$118*PRODUCT(AE$92:AE$98),IF('A1.7'!$D$6=$B100,$C$118*PRODUCT(AE$101:AE$107), $C$118*PRODUCT(AE$110:AE$116)))</f>
        <v>6.9709997459543815E-2</v>
      </c>
      <c r="AF118" s="429">
        <f>IF('A1.7'!$D$6=$B91,$C$118*PRODUCT(AF$92:AF$98),IF('A1.7'!$D$6=$B100,$C$118*PRODUCT(AF$101:AF$107), $C$118*PRODUCT(AF$110:AF$116)))</f>
        <v>7.0731801080713058E-2</v>
      </c>
      <c r="AG118" s="429">
        <f>IF('A1.7'!$D$6=$B91,$C$118*PRODUCT(AG$92:AG$98),IF('A1.7'!$D$6=$B100,$C$118*PRODUCT(AG$101:AG$107), $C$118*PRODUCT(AG$110:AG$116)))</f>
        <v>7.1768630951636422E-2</v>
      </c>
      <c r="AH118" s="429">
        <f>IF('A1.7'!$D$6=$B91,$C$118*PRODUCT(AH$92:AH$98),IF('A1.7'!$D$6=$B100,$C$118*PRODUCT(AH$101:AH$107), $C$118*PRODUCT(AH$110:AH$116)))</f>
        <v>7.2820708250370292E-2</v>
      </c>
      <c r="AI118" s="429">
        <f>IF('A1.7'!$D$6=$B91,$C$118*PRODUCT(AI$92:AI$98),IF('A1.7'!$D$6=$B100,$C$118*PRODUCT(AI$101:AI$107), $C$118*PRODUCT(AI$110:AI$116)))</f>
        <v>7.3888257412037028E-2</v>
      </c>
      <c r="AJ118" s="429">
        <f>IF('A1.7'!$D$6=$B91,$C$118*PRODUCT(AJ$92:AJ$98),IF('A1.7'!$D$6=$B100,$C$118*PRODUCT(AJ$101:AJ$107), $C$118*PRODUCT(AJ$110:AJ$116)))</f>
        <v>7.4971506176774519E-2</v>
      </c>
      <c r="AK118" s="429">
        <f>IF('A1.7'!$D$6=$B91,$C$118*PRODUCT(AK$92:AK$98),IF('A1.7'!$D$6=$B100,$C$118*PRODUCT(AK$101:AK$107), $C$118*PRODUCT(AK$110:AK$116)))</f>
        <v>7.6070685638392518E-2</v>
      </c>
      <c r="AL118" s="429">
        <f>IF('A1.7'!$D$6=$B91,$C$118*PRODUCT(AL$92:AL$98),IF('A1.7'!$D$6=$B100,$C$118*PRODUCT(AL$101:AL$107), $C$118*PRODUCT(AL$110:AL$116)))</f>
        <v>7.7186030293745794E-2</v>
      </c>
    </row>
    <row r="120" spans="1:38" ht="13">
      <c r="B120" s="407" t="s">
        <v>670</v>
      </c>
      <c r="C120" s="396" t="s">
        <v>627</v>
      </c>
      <c r="D120" s="397">
        <v>2018</v>
      </c>
      <c r="E120" s="397">
        <v>2020</v>
      </c>
      <c r="F120" s="397">
        <v>2021</v>
      </c>
      <c r="G120" s="397">
        <v>2022</v>
      </c>
      <c r="H120" s="1238">
        <v>2023</v>
      </c>
      <c r="I120" s="397">
        <v>2024</v>
      </c>
      <c r="J120" s="397">
        <v>2025</v>
      </c>
      <c r="K120" s="397">
        <v>2026</v>
      </c>
      <c r="L120" s="397">
        <v>2027</v>
      </c>
      <c r="M120" s="397">
        <v>2028</v>
      </c>
      <c r="N120" s="397">
        <v>2029</v>
      </c>
      <c r="O120" s="397">
        <v>2030</v>
      </c>
      <c r="P120" s="397">
        <v>2031</v>
      </c>
      <c r="Q120" s="397">
        <v>2032</v>
      </c>
      <c r="R120" s="397">
        <v>2033</v>
      </c>
      <c r="S120" s="397">
        <v>2034</v>
      </c>
      <c r="T120" s="397">
        <v>2035</v>
      </c>
      <c r="U120" s="397">
        <v>2036</v>
      </c>
      <c r="V120" s="397">
        <v>2037</v>
      </c>
      <c r="W120" s="397">
        <v>2038</v>
      </c>
      <c r="X120" s="397">
        <v>2039</v>
      </c>
      <c r="Y120" s="397">
        <v>2040</v>
      </c>
      <c r="Z120" s="397">
        <v>2041</v>
      </c>
      <c r="AA120" s="397">
        <v>2042</v>
      </c>
      <c r="AB120" s="397">
        <v>2043</v>
      </c>
      <c r="AC120" s="397">
        <v>2044</v>
      </c>
      <c r="AD120" s="397">
        <v>2044</v>
      </c>
      <c r="AE120" s="397">
        <v>2044</v>
      </c>
      <c r="AF120" s="397">
        <v>2044</v>
      </c>
      <c r="AG120" s="397">
        <v>2044</v>
      </c>
      <c r="AH120" s="397">
        <v>2044</v>
      </c>
      <c r="AI120" s="397">
        <v>2044</v>
      </c>
      <c r="AJ120" s="397">
        <v>2044</v>
      </c>
      <c r="AK120" s="397">
        <v>2044</v>
      </c>
      <c r="AL120" s="397">
        <v>2044</v>
      </c>
    </row>
    <row r="121" spans="1:38">
      <c r="A121" s="366"/>
      <c r="B121" s="366" t="s">
        <v>671</v>
      </c>
      <c r="C121" s="430" t="s">
        <v>662</v>
      </c>
      <c r="D121" s="431">
        <f t="shared" ref="D121:AK121" si="44">D82^(-1.074)</f>
        <v>0.11486407065121609</v>
      </c>
      <c r="E121" s="432">
        <f t="shared" si="44"/>
        <v>0.11486407065121609</v>
      </c>
      <c r="F121" s="432">
        <f t="shared" si="44"/>
        <v>0.11486407065121609</v>
      </c>
      <c r="G121" s="432">
        <f t="shared" si="44"/>
        <v>0.11486407065121609</v>
      </c>
      <c r="H121" s="1239">
        <f t="shared" si="44"/>
        <v>0.11486407065121609</v>
      </c>
      <c r="I121" s="432">
        <f t="shared" si="44"/>
        <v>0.11486407065121609</v>
      </c>
      <c r="J121" s="432">
        <f t="shared" si="44"/>
        <v>0.11486407065121609</v>
      </c>
      <c r="K121" s="432">
        <f t="shared" si="44"/>
        <v>0.11486407065121609</v>
      </c>
      <c r="L121" s="432">
        <f t="shared" si="44"/>
        <v>0.11486407065121609</v>
      </c>
      <c r="M121" s="432">
        <f t="shared" si="44"/>
        <v>0.11486407065121609</v>
      </c>
      <c r="N121" s="432">
        <f t="shared" si="44"/>
        <v>0.11486407065121609</v>
      </c>
      <c r="O121" s="432">
        <f t="shared" si="44"/>
        <v>0.11486407065121609</v>
      </c>
      <c r="P121" s="432">
        <f t="shared" si="44"/>
        <v>0.11486407065121609</v>
      </c>
      <c r="Q121" s="432">
        <f t="shared" si="44"/>
        <v>0.11486407065121609</v>
      </c>
      <c r="R121" s="432">
        <f t="shared" si="44"/>
        <v>0.11486407065121609</v>
      </c>
      <c r="S121" s="432">
        <f t="shared" si="44"/>
        <v>0.11486407065121609</v>
      </c>
      <c r="T121" s="432">
        <f t="shared" si="44"/>
        <v>0.11486407065121609</v>
      </c>
      <c r="U121" s="432">
        <f t="shared" si="44"/>
        <v>0.11486407065121609</v>
      </c>
      <c r="V121" s="432">
        <f t="shared" si="44"/>
        <v>0.11486407065121609</v>
      </c>
      <c r="W121" s="432">
        <f t="shared" si="44"/>
        <v>0.11486407065121609</v>
      </c>
      <c r="X121" s="432">
        <f t="shared" si="44"/>
        <v>0.11486407065121609</v>
      </c>
      <c r="Y121" s="432">
        <f t="shared" si="44"/>
        <v>0.11486407065121609</v>
      </c>
      <c r="Z121" s="432">
        <f t="shared" si="44"/>
        <v>0.11486407065121609</v>
      </c>
      <c r="AA121" s="432">
        <f t="shared" si="44"/>
        <v>0.11486407065121609</v>
      </c>
      <c r="AB121" s="432">
        <f t="shared" si="44"/>
        <v>0.11486407065121609</v>
      </c>
      <c r="AC121" s="432">
        <f t="shared" si="44"/>
        <v>0.11486407065121609</v>
      </c>
      <c r="AD121" s="432">
        <f t="shared" si="44"/>
        <v>0.11486407065121609</v>
      </c>
      <c r="AE121" s="432">
        <f t="shared" si="44"/>
        <v>0.11486407065121609</v>
      </c>
      <c r="AF121" s="432">
        <f t="shared" si="44"/>
        <v>0.11486407065121609</v>
      </c>
      <c r="AG121" s="432">
        <f t="shared" si="44"/>
        <v>0.11486407065121609</v>
      </c>
      <c r="AH121" s="432">
        <f t="shared" si="44"/>
        <v>0.11486407065121609</v>
      </c>
      <c r="AI121" s="432">
        <f t="shared" si="44"/>
        <v>0.11486407065121609</v>
      </c>
      <c r="AJ121" s="432">
        <f t="shared" si="44"/>
        <v>0.11486407065121609</v>
      </c>
      <c r="AK121" s="432">
        <f t="shared" si="44"/>
        <v>0.11486407065121609</v>
      </c>
      <c r="AL121" s="432">
        <f t="shared" ref="AL121" si="45">AL82^(-1.074)</f>
        <v>0.11486407065121609</v>
      </c>
    </row>
    <row r="122" spans="1:38">
      <c r="B122" s="358" t="s">
        <v>606</v>
      </c>
      <c r="C122" s="419" t="s">
        <v>672</v>
      </c>
      <c r="D122" s="417">
        <f>('A1.7'!D$17+1)^(-0.1025)</f>
        <v>0.81841688605541607</v>
      </c>
      <c r="E122" s="417">
        <f>('A1.7'!E$17+1)^(-0.1025)</f>
        <v>0.81765690702612781</v>
      </c>
      <c r="F122" s="417">
        <f>('A1.7'!F$17+1)^(-0.1025)</f>
        <v>0.81689650954219895</v>
      </c>
      <c r="G122" s="417">
        <f>('A1.7'!G$17+1)^(-0.1025)</f>
        <v>0.81613570459200147</v>
      </c>
      <c r="H122" s="417">
        <f>('A1.7'!H$17+1)^(-0.1025)</f>
        <v>0.81537450309664339</v>
      </c>
      <c r="I122" s="417">
        <f>('A1.7'!I$17+1)^(-0.1025)</f>
        <v>0.81461291590967277</v>
      </c>
      <c r="J122" s="417">
        <f>('A1.7'!J$17+1)^(-0.1025)</f>
        <v>0.81385095381679629</v>
      </c>
      <c r="K122" s="417">
        <f>('A1.7'!K$17+1)^(-0.1025)</f>
        <v>0.81308862753561317</v>
      </c>
      <c r="L122" s="417">
        <f>('A1.7'!L$17+1)^(-0.1025)</f>
        <v>0.81232594771536493</v>
      </c>
      <c r="M122" s="417">
        <f>('A1.7'!M$17+1)^(-0.1025)</f>
        <v>0.81156292493670046</v>
      </c>
      <c r="N122" s="417">
        <f>('A1.7'!N$17+1)^(-0.1025)</f>
        <v>0.81079956971145628</v>
      </c>
      <c r="O122" s="417">
        <f>('A1.7'!O$17+1)^(-0.1025)</f>
        <v>0.81003589248245045</v>
      </c>
      <c r="P122" s="417">
        <f>('A1.7'!P$17+1)^(-0.1025)</f>
        <v>0.80927190362329249</v>
      </c>
      <c r="Q122" s="417">
        <f>('A1.7'!Q$17+1)^(-0.1025)</f>
        <v>0.80850761343820632</v>
      </c>
      <c r="R122" s="417">
        <f>('A1.7'!R$17+1)^(-0.1025)</f>
        <v>0.80774303216186893</v>
      </c>
      <c r="S122" s="417">
        <f>('A1.7'!S$17+1)^(-0.1025)</f>
        <v>0.8069781699592613</v>
      </c>
      <c r="T122" s="417">
        <f>('A1.7'!T$17+1)^(-0.1025)</f>
        <v>0.80621303692553392</v>
      </c>
      <c r="U122" s="417">
        <f>('A1.7'!U$17+1)^(-0.1025)</f>
        <v>0.80544764308588568</v>
      </c>
      <c r="V122" s="417">
        <f>('A1.7'!V$17+1)^(-0.1025)</f>
        <v>0.8046819983954564</v>
      </c>
      <c r="W122" s="417">
        <f>('A1.7'!W$17+1)^(-0.1025)</f>
        <v>0.80391611273923169</v>
      </c>
      <c r="X122" s="417">
        <f>('A1.7'!X$17+1)^(-0.1025)</f>
        <v>0.80314999593196079</v>
      </c>
      <c r="Y122" s="417">
        <f>('A1.7'!Y$17+1)^(-0.1025)</f>
        <v>0.80238365771808795</v>
      </c>
      <c r="Z122" s="417">
        <f>('A1.7'!Z$17+1)^(-0.1025)</f>
        <v>0.80161710777169504</v>
      </c>
      <c r="AA122" s="417">
        <f>('A1.7'!AA$17+1)^(-0.1025)</f>
        <v>0.80085035569645713</v>
      </c>
      <c r="AB122" s="417">
        <f>('A1.7'!AB$17+1)^(-0.1025)</f>
        <v>0.80008341102560987</v>
      </c>
      <c r="AC122" s="417">
        <f>('A1.7'!AC$17+1)^(-0.1025)</f>
        <v>0.79931628322192838</v>
      </c>
      <c r="AD122" s="417">
        <f>('A1.7'!AD$17+1)^(-0.1025)</f>
        <v>0.79854898167771826</v>
      </c>
      <c r="AE122" s="417">
        <f>('A1.7'!AE$17+1)^(-0.1025)</f>
        <v>0.7977815157148177</v>
      </c>
      <c r="AF122" s="417">
        <f>('A1.7'!AF$17+1)^(-0.1025)</f>
        <v>0.79701389458460981</v>
      </c>
      <c r="AG122" s="417">
        <f>('A1.7'!AG$17+1)^(-0.1025)</f>
        <v>0.79624612746804801</v>
      </c>
      <c r="AH122" s="417">
        <f>('A1.7'!AH$17+1)^(-0.1025)</f>
        <v>0.79547822347569053</v>
      </c>
      <c r="AI122" s="417">
        <f>('A1.7'!AI$17+1)^(-0.1025)</f>
        <v>0.79471019164774515</v>
      </c>
      <c r="AJ122" s="417">
        <f>('A1.7'!AJ$17+1)^(-0.1025)</f>
        <v>0.79394204095412557</v>
      </c>
      <c r="AK122" s="417">
        <f>('A1.7'!AK$17+1)^(-0.1025)</f>
        <v>0.79317378029451702</v>
      </c>
      <c r="AL122" s="417">
        <f>('A1.7'!AL$17+1)^(-0.1025)</f>
        <v>0.79240541849845181</v>
      </c>
    </row>
    <row r="123" spans="1:38">
      <c r="B123" s="358" t="s">
        <v>673</v>
      </c>
      <c r="C123" s="419" t="s">
        <v>674</v>
      </c>
      <c r="D123" s="414">
        <f>('A1.7'!D$19+1)^(0.1025)</f>
        <v>1</v>
      </c>
      <c r="E123" s="415">
        <f>('A1.7'!E$19+1)^(0.1025)</f>
        <v>1</v>
      </c>
      <c r="F123" s="415">
        <f>('A1.7'!F$19+1)^(0.1025)</f>
        <v>1</v>
      </c>
      <c r="G123" s="415">
        <f>('A1.7'!G$19+1)^(0.1025)</f>
        <v>1</v>
      </c>
      <c r="H123" s="1235">
        <f>('A1.7'!H$19+1)^(0.1025)</f>
        <v>1</v>
      </c>
      <c r="I123" s="415">
        <f>('A1.7'!I$19+1)^(0.1025)</f>
        <v>1</v>
      </c>
      <c r="J123" s="415">
        <f>('A1.7'!J$19+1)^(0.1025)</f>
        <v>1</v>
      </c>
      <c r="K123" s="415">
        <f>('A1.7'!K$19+1)^(0.1025)</f>
        <v>1</v>
      </c>
      <c r="L123" s="415">
        <f>('A1.7'!L$19+1)^(0.1025)</f>
        <v>1</v>
      </c>
      <c r="M123" s="415">
        <f>('A1.7'!M$19+1)^(0.1025)</f>
        <v>1</v>
      </c>
      <c r="N123" s="415">
        <f>('A1.7'!N$19+1)^(0.1025)</f>
        <v>1</v>
      </c>
      <c r="O123" s="415">
        <f>('A1.7'!O$19+1)^(0.1025)</f>
        <v>1</v>
      </c>
      <c r="P123" s="415">
        <f>('A1.7'!P$19+1)^(0.1025)</f>
        <v>1</v>
      </c>
      <c r="Q123" s="415">
        <f>('A1.7'!Q$19+1)^(0.1025)</f>
        <v>1</v>
      </c>
      <c r="R123" s="415">
        <f>('A1.7'!R$19+1)^(0.1025)</f>
        <v>1</v>
      </c>
      <c r="S123" s="415">
        <f>('A1.7'!S$19+1)^(0.1025)</f>
        <v>1</v>
      </c>
      <c r="T123" s="415">
        <f>('A1.7'!T$19+1)^(0.1025)</f>
        <v>1</v>
      </c>
      <c r="U123" s="415">
        <f>('A1.7'!U$19+1)^(0.1025)</f>
        <v>1</v>
      </c>
      <c r="V123" s="415">
        <f>('A1.7'!V$19+1)^(0.1025)</f>
        <v>1</v>
      </c>
      <c r="W123" s="415">
        <f>('A1.7'!W$19+1)^(0.1025)</f>
        <v>1</v>
      </c>
      <c r="X123" s="415">
        <f>('A1.7'!X$19+1)^(0.1025)</f>
        <v>1</v>
      </c>
      <c r="Y123" s="415">
        <f>('A1.7'!Y$19+1)^(0.1025)</f>
        <v>1</v>
      </c>
      <c r="Z123" s="415">
        <f>('A1.7'!Z$19+1)^(0.1025)</f>
        <v>1</v>
      </c>
      <c r="AA123" s="415">
        <f>('A1.7'!AA$19+1)^(0.1025)</f>
        <v>1</v>
      </c>
      <c r="AB123" s="415">
        <f>('A1.7'!AB$19+1)^(0.1025)</f>
        <v>1</v>
      </c>
      <c r="AC123" s="415">
        <f>('A1.7'!AC$19+1)^(0.1025)</f>
        <v>1</v>
      </c>
      <c r="AD123" s="415">
        <f>('A1.7'!AD$19+1)^(0.1025)</f>
        <v>1</v>
      </c>
      <c r="AE123" s="415">
        <f>('A1.7'!AE$19+1)^(0.1025)</f>
        <v>1</v>
      </c>
      <c r="AF123" s="415">
        <f>('A1.7'!AF$19+1)^(0.1025)</f>
        <v>1</v>
      </c>
      <c r="AG123" s="415">
        <f>('A1.7'!AG$19+1)^(0.1025)</f>
        <v>1</v>
      </c>
      <c r="AH123" s="415">
        <f>('A1.7'!AH$19+1)^(0.1025)</f>
        <v>1</v>
      </c>
      <c r="AI123" s="415">
        <f>('A1.7'!AI$19+1)^(0.1025)</f>
        <v>1</v>
      </c>
      <c r="AJ123" s="415">
        <f>('A1.7'!AJ$19+1)^(0.1025)</f>
        <v>1</v>
      </c>
      <c r="AK123" s="415">
        <f>('A1.7'!AK$19+1)^(0.1025)</f>
        <v>1</v>
      </c>
      <c r="AL123" s="415">
        <f>('A1.7'!AL$19+1)^(0.1025)</f>
        <v>1</v>
      </c>
    </row>
    <row r="124" spans="1:38">
      <c r="B124" s="433" t="s">
        <v>675</v>
      </c>
      <c r="C124" s="434" t="s">
        <v>676</v>
      </c>
      <c r="D124" s="426">
        <f>EXP(0.188*'A1.7'!$E$5)</f>
        <v>1.2068335153496053</v>
      </c>
      <c r="E124" s="426">
        <f>EXP(0.188*'A1.7'!$E$5)</f>
        <v>1.2068335153496053</v>
      </c>
      <c r="F124" s="426">
        <f>EXP(0.188*'A1.7'!$E$5)</f>
        <v>1.2068335153496053</v>
      </c>
      <c r="G124" s="426">
        <f>EXP(0.188*'A1.7'!$E$5)</f>
        <v>1.2068335153496053</v>
      </c>
      <c r="H124" s="1237">
        <f>EXP(0.188*'A1.7'!$E$5)</f>
        <v>1.2068335153496053</v>
      </c>
      <c r="I124" s="426">
        <f>EXP(0.188*'A1.7'!$E$5)</f>
        <v>1.2068335153496053</v>
      </c>
      <c r="J124" s="426">
        <f>EXP(0.188*'A1.7'!$E$5)</f>
        <v>1.2068335153496053</v>
      </c>
      <c r="K124" s="426">
        <f>EXP(0.188*'A1.7'!$E$5)</f>
        <v>1.2068335153496053</v>
      </c>
      <c r="L124" s="426">
        <f>EXP(0.188*'A1.7'!$E$5)</f>
        <v>1.2068335153496053</v>
      </c>
      <c r="M124" s="426">
        <f>EXP(0.188*'A1.7'!$E$5)</f>
        <v>1.2068335153496053</v>
      </c>
      <c r="N124" s="426">
        <f>EXP(0.188*'A1.7'!$E$5)</f>
        <v>1.2068335153496053</v>
      </c>
      <c r="O124" s="426">
        <f>EXP(0.188*'A1.7'!$E$5)</f>
        <v>1.2068335153496053</v>
      </c>
      <c r="P124" s="426">
        <f>EXP(0.188*'A1.7'!$E$5)</f>
        <v>1.2068335153496053</v>
      </c>
      <c r="Q124" s="426">
        <f>EXP(0.188*'A1.7'!$E$5)</f>
        <v>1.2068335153496053</v>
      </c>
      <c r="R124" s="426">
        <f>EXP(0.188*'A1.7'!$E$5)</f>
        <v>1.2068335153496053</v>
      </c>
      <c r="S124" s="426">
        <f>EXP(0.188*'A1.7'!$E$5)</f>
        <v>1.2068335153496053</v>
      </c>
      <c r="T124" s="426">
        <f>EXP(0.188*'A1.7'!$E$5)</f>
        <v>1.2068335153496053</v>
      </c>
      <c r="U124" s="426">
        <f>EXP(0.188*'A1.7'!$E$5)</f>
        <v>1.2068335153496053</v>
      </c>
      <c r="V124" s="426">
        <f>EXP(0.188*'A1.7'!$E$5)</f>
        <v>1.2068335153496053</v>
      </c>
      <c r="W124" s="426">
        <f>EXP(0.188*'A1.7'!$E$5)</f>
        <v>1.2068335153496053</v>
      </c>
      <c r="X124" s="426">
        <f>EXP(0.188*'A1.7'!$E$5)</f>
        <v>1.2068335153496053</v>
      </c>
      <c r="Y124" s="426">
        <f>EXP(0.188*'A1.7'!$E$5)</f>
        <v>1.2068335153496053</v>
      </c>
      <c r="Z124" s="426">
        <f>EXP(0.188*'A1.7'!$E$5)</f>
        <v>1.2068335153496053</v>
      </c>
      <c r="AA124" s="426">
        <f>EXP(0.188*'A1.7'!$E$5)</f>
        <v>1.2068335153496053</v>
      </c>
      <c r="AB124" s="426">
        <f>EXP(0.188*'A1.7'!$E$5)</f>
        <v>1.2068335153496053</v>
      </c>
      <c r="AC124" s="426">
        <f>EXP(0.188*'A1.7'!$E$5)</f>
        <v>1.2068335153496053</v>
      </c>
      <c r="AD124" s="426">
        <f>EXP(0.188*'A1.7'!$E$5)</f>
        <v>1.2068335153496053</v>
      </c>
      <c r="AE124" s="426">
        <f>EXP(0.188*'A1.7'!$E$5)</f>
        <v>1.2068335153496053</v>
      </c>
      <c r="AF124" s="426">
        <f>EXP(0.188*'A1.7'!$E$5)</f>
        <v>1.2068335153496053</v>
      </c>
      <c r="AG124" s="426">
        <f>EXP(0.188*'A1.7'!$E$5)</f>
        <v>1.2068335153496053</v>
      </c>
      <c r="AH124" s="426">
        <f>EXP(0.188*'A1.7'!$E$5)</f>
        <v>1.2068335153496053</v>
      </c>
      <c r="AI124" s="426">
        <f>EXP(0.188*'A1.7'!$E$5)</f>
        <v>1.2068335153496053</v>
      </c>
      <c r="AJ124" s="426">
        <f>EXP(0.188*'A1.7'!$E$5)</f>
        <v>1.2068335153496053</v>
      </c>
      <c r="AK124" s="426">
        <f>EXP(0.188*'A1.7'!$E$5)</f>
        <v>1.2068335153496053</v>
      </c>
      <c r="AL124" s="426">
        <f>EXP(0.188*'A1.7'!$E$5)</f>
        <v>1.2068335153496053</v>
      </c>
    </row>
    <row r="125" spans="1:38">
      <c r="B125" s="362"/>
      <c r="C125" s="427" t="s">
        <v>290</v>
      </c>
    </row>
    <row r="126" spans="1:38">
      <c r="B126" s="362" t="s">
        <v>677</v>
      </c>
      <c r="C126" s="406">
        <v>695</v>
      </c>
      <c r="D126" s="435">
        <f>1/(1+'A1.7'!$C$64*PRODUCT('A1.7'!D$59:D$62))</f>
        <v>1.2523787525043351E-2</v>
      </c>
      <c r="E126" s="435">
        <f>1/(1+'A1.7'!$C$64*PRODUCT('A1.7'!E$59:E$62))</f>
        <v>1.2535281963969649E-2</v>
      </c>
      <c r="F126" s="435">
        <f>1/(1+'A1.7'!$C$64*PRODUCT('A1.7'!F$59:F$62))</f>
        <v>1.2546803868115417E-2</v>
      </c>
      <c r="G126" s="435">
        <f>1/(1+'A1.7'!$C$64*PRODUCT('A1.7'!G$59:G$62))</f>
        <v>1.2558353163824159E-2</v>
      </c>
      <c r="H126" s="435">
        <f>1/(1+'A1.7'!$C$64*PRODUCT('A1.7'!H$59:H$62))</f>
        <v>1.2569929777658998E-2</v>
      </c>
      <c r="I126" s="435">
        <f>1/(1+'A1.7'!$C$64*PRODUCT('A1.7'!I$59:I$62))</f>
        <v>1.2581533636408937E-2</v>
      </c>
      <c r="J126" s="435">
        <f>1/(1+'A1.7'!$C$64*PRODUCT('A1.7'!J$59:J$62))</f>
        <v>1.2593164667094986E-2</v>
      </c>
      <c r="K126" s="435">
        <f>1/(1+'A1.7'!$C$64*PRODUCT('A1.7'!K$59:K$62))</f>
        <v>1.2604822796976212E-2</v>
      </c>
      <c r="L126" s="435">
        <f>1/(1+'A1.7'!$C$64*PRODUCT('A1.7'!L$59:L$62))</f>
        <v>1.2616507953555609E-2</v>
      </c>
      <c r="M126" s="435">
        <f>1/(1+'A1.7'!$C$64*PRODUCT('A1.7'!M$59:M$62))</f>
        <v>1.2628220064585876E-2</v>
      </c>
      <c r="N126" s="435">
        <f>1/(1+'A1.7'!$C$64*PRODUCT('A1.7'!N$59:N$62))</f>
        <v>1.2639959058075053E-2</v>
      </c>
      <c r="O126" s="435">
        <f>1/(1+'A1.7'!$C$64*PRODUCT('A1.7'!O$59:O$62))</f>
        <v>1.2651724862292059E-2</v>
      </c>
      <c r="P126" s="435">
        <f>1/(1+'A1.7'!$C$64*PRODUCT('A1.7'!P$59:P$62))</f>
        <v>1.2663517405772056E-2</v>
      </c>
      <c r="Q126" s="435">
        <f>1/(1+'A1.7'!$C$64*PRODUCT('A1.7'!Q$59:Q$62))</f>
        <v>1.2675336617321769E-2</v>
      </c>
      <c r="R126" s="435">
        <f>1/(1+'A1.7'!$C$64*PRODUCT('A1.7'!R$59:R$62))</f>
        <v>1.2687182426024598E-2</v>
      </c>
      <c r="S126" s="435">
        <f>1/(1+'A1.7'!$C$64*PRODUCT('A1.7'!S$59:S$62))</f>
        <v>1.2699054761245677E-2</v>
      </c>
      <c r="T126" s="435">
        <f>1/(1+'A1.7'!$C$64*PRODUCT('A1.7'!T$59:T$62))</f>
        <v>1.2710953552636789E-2</v>
      </c>
      <c r="U126" s="435">
        <f>1/(1+'A1.7'!$C$64*PRODUCT('A1.7'!U$59:U$62))</f>
        <v>1.2722878730141156E-2</v>
      </c>
      <c r="V126" s="435">
        <f>1/(1+'A1.7'!$C$64*PRODUCT('A1.7'!V$59:V$62))</f>
        <v>1.2734830223998114E-2</v>
      </c>
      <c r="W126" s="435">
        <f>1/(1+'A1.7'!$C$64*PRODUCT('A1.7'!W$59:W$62))</f>
        <v>1.2746807964747694E-2</v>
      </c>
      <c r="X126" s="435">
        <f>1/(1+'A1.7'!$C$64*PRODUCT('A1.7'!X$59:X$62))</f>
        <v>1.2758811883235069E-2</v>
      </c>
      <c r="Y126" s="435">
        <f>1/(1+'A1.7'!$C$64*PRODUCT('A1.7'!Y$59:Y$62))</f>
        <v>1.2770841910614861E-2</v>
      </c>
      <c r="Z126" s="435">
        <f>1/(1+'A1.7'!$C$64*PRODUCT('A1.7'!Z$59:Z$62))</f>
        <v>1.2782897978355421E-2</v>
      </c>
      <c r="AA126" s="435">
        <f>1/(1+'A1.7'!$C$64*PRODUCT('A1.7'!AA$59:AA$62))</f>
        <v>1.2794980018242866E-2</v>
      </c>
      <c r="AB126" s="435">
        <f>1/(1+'A1.7'!$C$64*PRODUCT('A1.7'!AB$59:AB$62))</f>
        <v>1.2807087962385151E-2</v>
      </c>
      <c r="AC126" s="435">
        <f>1/(1+'A1.7'!$C$64*PRODUCT('A1.7'!AC$59:AC$62))</f>
        <v>1.2819221743215897E-2</v>
      </c>
      <c r="AD126" s="435">
        <f>1/(1+'A1.7'!$C$64*PRODUCT('A1.7'!AD$59:AD$62))</f>
        <v>1.2831381293498223E-2</v>
      </c>
      <c r="AE126" s="435">
        <f>1/(1+'A1.7'!$C$64*PRODUCT('A1.7'!AE$59:AE$62))</f>
        <v>1.2843566546328381E-2</v>
      </c>
      <c r="AF126" s="435">
        <f>1/(1+'A1.7'!$C$64*PRODUCT('A1.7'!AF$59:AF$62))</f>
        <v>1.2855777435139356E-2</v>
      </c>
      <c r="AG126" s="435">
        <f>1/(1+'A1.7'!$C$64*PRODUCT('A1.7'!AG$59:AG$62))</f>
        <v>1.2868013893704297E-2</v>
      </c>
      <c r="AH126" s="435">
        <f>1/(1+'A1.7'!$C$64*PRODUCT('A1.7'!AH$59:AH$62))</f>
        <v>1.2880275856139899E-2</v>
      </c>
      <c r="AI126" s="435">
        <f>1/(1+'A1.7'!$C$64*PRODUCT('A1.7'!AI$59:AI$62))</f>
        <v>1.2892563256909646E-2</v>
      </c>
      <c r="AJ126" s="435">
        <f>1/(1+'A1.7'!$C$64*PRODUCT('A1.7'!AJ$59:AJ$62))</f>
        <v>1.2904876030826967E-2</v>
      </c>
      <c r="AK126" s="435">
        <f>1/(1+'A1.7'!$C$64*PRODUCT('A1.7'!AK$59:AK$62))</f>
        <v>1.2917214113058295E-2</v>
      </c>
      <c r="AL126" s="435">
        <f>1/(1+'A1.7'!$C$64*PRODUCT('A1.7'!AL$59:AL$62))</f>
        <v>1.2929577439126011E-2</v>
      </c>
    </row>
    <row r="128" spans="1:38" ht="13">
      <c r="B128" s="407" t="s">
        <v>678</v>
      </c>
      <c r="C128" s="396" t="s">
        <v>627</v>
      </c>
      <c r="D128" s="397">
        <v>2018</v>
      </c>
      <c r="E128" s="397">
        <v>2020</v>
      </c>
      <c r="F128" s="397">
        <v>2021</v>
      </c>
      <c r="G128" s="397">
        <v>2022</v>
      </c>
      <c r="H128" s="1238">
        <v>2023</v>
      </c>
      <c r="I128" s="397">
        <v>2024</v>
      </c>
      <c r="J128" s="397">
        <v>2025</v>
      </c>
      <c r="K128" s="397">
        <v>2026</v>
      </c>
      <c r="L128" s="397">
        <v>2027</v>
      </c>
      <c r="M128" s="397">
        <v>2028</v>
      </c>
      <c r="N128" s="397">
        <v>2029</v>
      </c>
      <c r="O128" s="397">
        <v>2030</v>
      </c>
      <c r="P128" s="397">
        <v>2031</v>
      </c>
      <c r="Q128" s="397">
        <v>2032</v>
      </c>
      <c r="R128" s="397">
        <v>2033</v>
      </c>
      <c r="S128" s="397">
        <v>2034</v>
      </c>
      <c r="T128" s="397">
        <v>2035</v>
      </c>
      <c r="U128" s="397">
        <v>2036</v>
      </c>
      <c r="V128" s="397">
        <v>2037</v>
      </c>
      <c r="W128" s="397">
        <v>2038</v>
      </c>
      <c r="X128" s="397">
        <v>2039</v>
      </c>
      <c r="Y128" s="397">
        <v>2040</v>
      </c>
      <c r="Z128" s="397">
        <v>2041</v>
      </c>
      <c r="AA128" s="397">
        <v>2042</v>
      </c>
      <c r="AB128" s="397">
        <v>2043</v>
      </c>
      <c r="AC128" s="397">
        <v>2044</v>
      </c>
      <c r="AD128" s="397">
        <v>2044</v>
      </c>
      <c r="AE128" s="397">
        <v>2044</v>
      </c>
      <c r="AF128" s="397">
        <v>2044</v>
      </c>
      <c r="AG128" s="397">
        <v>2044</v>
      </c>
      <c r="AH128" s="397">
        <v>2044</v>
      </c>
      <c r="AI128" s="397">
        <v>2044</v>
      </c>
      <c r="AJ128" s="397">
        <v>2044</v>
      </c>
      <c r="AK128" s="397">
        <v>2044</v>
      </c>
      <c r="AL128" s="397">
        <v>2044</v>
      </c>
    </row>
    <row r="129" spans="2:38">
      <c r="B129" s="358" t="s">
        <v>679</v>
      </c>
      <c r="C129" s="436" t="s">
        <v>680</v>
      </c>
      <c r="D129" s="437">
        <f>'A1.7'!D$64</f>
        <v>1.2523787525043351E-2</v>
      </c>
      <c r="E129" s="415">
        <f>'A1.7'!E$64</f>
        <v>1.2535281963969649E-2</v>
      </c>
      <c r="F129" s="415">
        <f>'A1.7'!F$64</f>
        <v>1.2546803868115417E-2</v>
      </c>
      <c r="G129" s="415">
        <f>'A1.7'!G$64</f>
        <v>1.2558353163824159E-2</v>
      </c>
      <c r="H129" s="1235">
        <f>'A1.7'!H$64</f>
        <v>1.2569929777658998E-2</v>
      </c>
      <c r="I129" s="415">
        <f>'A1.7'!I$64</f>
        <v>1.2581533636408937E-2</v>
      </c>
      <c r="J129" s="415">
        <f>'A1.7'!J$64</f>
        <v>1.2593164667094986E-2</v>
      </c>
      <c r="K129" s="415">
        <f>'A1.7'!K$64</f>
        <v>1.2604822796976212E-2</v>
      </c>
      <c r="L129" s="415">
        <f>'A1.7'!L$64</f>
        <v>1.2616507953555609E-2</v>
      </c>
      <c r="M129" s="415">
        <f>'A1.7'!M$64</f>
        <v>1.2628220064585876E-2</v>
      </c>
      <c r="N129" s="415">
        <f>'A1.7'!N$64</f>
        <v>1.2639959058075053E-2</v>
      </c>
      <c r="O129" s="415">
        <f>'A1.7'!O$64</f>
        <v>1.2651724862292059E-2</v>
      </c>
      <c r="P129" s="415">
        <f>'A1.7'!P$64</f>
        <v>1.2663517405772056E-2</v>
      </c>
      <c r="Q129" s="415">
        <f>'A1.7'!Q$64</f>
        <v>1.2675336617321769E-2</v>
      </c>
      <c r="R129" s="415">
        <f>'A1.7'!R$64</f>
        <v>1.2687182426024598E-2</v>
      </c>
      <c r="S129" s="415">
        <f>'A1.7'!S$64</f>
        <v>1.2699054761245677E-2</v>
      </c>
      <c r="T129" s="415">
        <f>'A1.7'!T$64</f>
        <v>1.2710953552636789E-2</v>
      </c>
      <c r="U129" s="415">
        <f>'A1.7'!U$64</f>
        <v>1.2722878730141156E-2</v>
      </c>
      <c r="V129" s="415">
        <f>'A1.7'!V$64</f>
        <v>1.2734830223998114E-2</v>
      </c>
      <c r="W129" s="415">
        <f>'A1.7'!W$64</f>
        <v>1.2746807964747694E-2</v>
      </c>
      <c r="X129" s="415">
        <f>'A1.7'!X$64</f>
        <v>1.2758811883235069E-2</v>
      </c>
      <c r="Y129" s="415">
        <f>'A1.7'!Y$64</f>
        <v>1.2770841910614861E-2</v>
      </c>
      <c r="Z129" s="415">
        <f>'A1.7'!Z$64</f>
        <v>1.2782897978355421E-2</v>
      </c>
      <c r="AA129" s="415">
        <f>'A1.7'!AA$64</f>
        <v>1.2794980018242866E-2</v>
      </c>
      <c r="AB129" s="415">
        <f>'A1.7'!AB$64</f>
        <v>1.2807087962385151E-2</v>
      </c>
      <c r="AC129" s="415">
        <f>'A1.7'!AC$64</f>
        <v>1.2819221743215897E-2</v>
      </c>
      <c r="AD129" s="415">
        <f>'A1.7'!AD$64</f>
        <v>1.2831381293498223E-2</v>
      </c>
      <c r="AE129" s="415">
        <f>'A1.7'!AE$64</f>
        <v>1.2843566546328381E-2</v>
      </c>
      <c r="AF129" s="415">
        <f>'A1.7'!AF$64</f>
        <v>1.2855777435139356E-2</v>
      </c>
      <c r="AG129" s="415">
        <f>'A1.7'!AG$64</f>
        <v>1.2868013893704297E-2</v>
      </c>
      <c r="AH129" s="415">
        <f>'A1.7'!AH$64</f>
        <v>1.2880275856139899E-2</v>
      </c>
      <c r="AI129" s="415">
        <f>'A1.7'!AI$64</f>
        <v>1.2892563256909646E-2</v>
      </c>
      <c r="AJ129" s="415">
        <f>'A1.7'!AJ$64</f>
        <v>1.2904876030826967E-2</v>
      </c>
      <c r="AK129" s="415">
        <f>'A1.7'!AK$64</f>
        <v>1.2917214113058295E-2</v>
      </c>
      <c r="AL129" s="415">
        <f>'A1.7'!AL$64</f>
        <v>1.2929577439126011E-2</v>
      </c>
    </row>
    <row r="130" spans="2:38">
      <c r="B130" s="358" t="s">
        <v>681</v>
      </c>
      <c r="C130" s="419" t="s">
        <v>682</v>
      </c>
      <c r="D130" s="414">
        <f t="shared" ref="D130:AK130" si="46">1-D129</f>
        <v>0.98747621247495665</v>
      </c>
      <c r="E130" s="414">
        <f t="shared" si="46"/>
        <v>0.98746471803603031</v>
      </c>
      <c r="F130" s="414">
        <f t="shared" si="46"/>
        <v>0.98745319613188454</v>
      </c>
      <c r="G130" s="414">
        <f t="shared" si="46"/>
        <v>0.98744164683617586</v>
      </c>
      <c r="H130" s="417">
        <f t="shared" si="46"/>
        <v>0.98743007022234097</v>
      </c>
      <c r="I130" s="414">
        <f t="shared" si="46"/>
        <v>0.9874184663635911</v>
      </c>
      <c r="J130" s="414">
        <f t="shared" si="46"/>
        <v>0.98740683533290496</v>
      </c>
      <c r="K130" s="414">
        <f t="shared" si="46"/>
        <v>0.98739517720302383</v>
      </c>
      <c r="L130" s="414">
        <f t="shared" si="46"/>
        <v>0.98738349204644438</v>
      </c>
      <c r="M130" s="414">
        <f t="shared" si="46"/>
        <v>0.98737177993541414</v>
      </c>
      <c r="N130" s="414">
        <f t="shared" si="46"/>
        <v>0.98736004094192498</v>
      </c>
      <c r="O130" s="414">
        <f t="shared" si="46"/>
        <v>0.98734827513770795</v>
      </c>
      <c r="P130" s="414">
        <f t="shared" si="46"/>
        <v>0.9873364825942279</v>
      </c>
      <c r="Q130" s="414">
        <f t="shared" si="46"/>
        <v>0.98732466338267821</v>
      </c>
      <c r="R130" s="414">
        <f t="shared" si="46"/>
        <v>0.98731281757397538</v>
      </c>
      <c r="S130" s="414">
        <f t="shared" si="46"/>
        <v>0.98730094523875433</v>
      </c>
      <c r="T130" s="414">
        <f t="shared" si="46"/>
        <v>0.98728904644736326</v>
      </c>
      <c r="U130" s="414">
        <f t="shared" si="46"/>
        <v>0.98727712126985889</v>
      </c>
      <c r="V130" s="414">
        <f t="shared" si="46"/>
        <v>0.98726516977600187</v>
      </c>
      <c r="W130" s="414">
        <f t="shared" si="46"/>
        <v>0.9872531920352523</v>
      </c>
      <c r="X130" s="414">
        <f t="shared" si="46"/>
        <v>0.98724118811676498</v>
      </c>
      <c r="Y130" s="414">
        <f t="shared" si="46"/>
        <v>0.98722915808938516</v>
      </c>
      <c r="Z130" s="414">
        <f t="shared" si="46"/>
        <v>0.98721710202164459</v>
      </c>
      <c r="AA130" s="414">
        <f t="shared" si="46"/>
        <v>0.98720501998175714</v>
      </c>
      <c r="AB130" s="414">
        <f t="shared" si="46"/>
        <v>0.98719291203761483</v>
      </c>
      <c r="AC130" s="414">
        <f t="shared" si="46"/>
        <v>0.98718077825678407</v>
      </c>
      <c r="AD130" s="414">
        <f t="shared" si="46"/>
        <v>0.98716861870650174</v>
      </c>
      <c r="AE130" s="414">
        <f t="shared" si="46"/>
        <v>0.98715643345367166</v>
      </c>
      <c r="AF130" s="414">
        <f t="shared" si="46"/>
        <v>0.98714422256486067</v>
      </c>
      <c r="AG130" s="414">
        <f t="shared" si="46"/>
        <v>0.98713198610629571</v>
      </c>
      <c r="AH130" s="414">
        <f t="shared" si="46"/>
        <v>0.98711972414386007</v>
      </c>
      <c r="AI130" s="414">
        <f t="shared" si="46"/>
        <v>0.98710743674309032</v>
      </c>
      <c r="AJ130" s="414">
        <f t="shared" si="46"/>
        <v>0.98709512396917298</v>
      </c>
      <c r="AK130" s="414">
        <f t="shared" si="46"/>
        <v>0.98708278588694176</v>
      </c>
      <c r="AL130" s="414">
        <f t="shared" ref="AL130" si="47">1-AL129</f>
        <v>0.98707042256087396</v>
      </c>
    </row>
    <row r="131" spans="2:38">
      <c r="B131" s="358" t="s">
        <v>671</v>
      </c>
      <c r="C131" s="419" t="s">
        <v>662</v>
      </c>
      <c r="D131" s="414">
        <f>'A1.7'!D$20^(-0.2334)</f>
        <v>0.62482831374223813</v>
      </c>
      <c r="E131" s="414">
        <f>'A1.7'!E$20^(-0.2334)</f>
        <v>0.62482831374223813</v>
      </c>
      <c r="F131" s="414">
        <f>'A1.7'!F$20^(-0.2334)</f>
        <v>0.62482831374223813</v>
      </c>
      <c r="G131" s="414">
        <f>'A1.7'!G$20^(-0.2334)</f>
        <v>0.62482831374223813</v>
      </c>
      <c r="H131" s="417">
        <f>'A1.7'!H$20^(-0.2334)</f>
        <v>0.62482831374223813</v>
      </c>
      <c r="I131" s="414">
        <f>'A1.7'!I$20^(-0.2334)</f>
        <v>0.62482831374223813</v>
      </c>
      <c r="J131" s="414">
        <f>'A1.7'!J$20^(-0.2334)</f>
        <v>0.62482831374223813</v>
      </c>
      <c r="K131" s="414">
        <f>'A1.7'!K$20^(-0.2334)</f>
        <v>0.62482831374223813</v>
      </c>
      <c r="L131" s="414">
        <f>'A1.7'!L$20^(-0.2334)</f>
        <v>0.62482831374223813</v>
      </c>
      <c r="M131" s="414">
        <f>'A1.7'!M$20^(-0.2334)</f>
        <v>0.62482831374223813</v>
      </c>
      <c r="N131" s="414">
        <f>'A1.7'!N$20^(-0.2334)</f>
        <v>0.62482831374223813</v>
      </c>
      <c r="O131" s="414">
        <f>'A1.7'!O$20^(-0.2334)</f>
        <v>0.62482831374223813</v>
      </c>
      <c r="P131" s="414">
        <f>'A1.7'!P$20^(-0.2334)</f>
        <v>0.62482831374223813</v>
      </c>
      <c r="Q131" s="414">
        <f>'A1.7'!Q$20^(-0.2334)</f>
        <v>0.62482831374223813</v>
      </c>
      <c r="R131" s="414">
        <f>'A1.7'!R$20^(-0.2334)</f>
        <v>0.62482831374223813</v>
      </c>
      <c r="S131" s="414">
        <f>'A1.7'!S$20^(-0.2334)</f>
        <v>0.62482831374223813</v>
      </c>
      <c r="T131" s="414">
        <f>'A1.7'!T$20^(-0.2334)</f>
        <v>0.62482831374223813</v>
      </c>
      <c r="U131" s="414">
        <f>'A1.7'!U$20^(-0.2334)</f>
        <v>0.62482831374223813</v>
      </c>
      <c r="V131" s="414">
        <f>'A1.7'!V$20^(-0.2334)</f>
        <v>0.62482831374223813</v>
      </c>
      <c r="W131" s="414">
        <f>'A1.7'!W$20^(-0.2334)</f>
        <v>0.62482831374223813</v>
      </c>
      <c r="X131" s="414">
        <f>'A1.7'!X$20^(-0.2334)</f>
        <v>0.62482831374223813</v>
      </c>
      <c r="Y131" s="414">
        <f>'A1.7'!Y$20^(-0.2334)</f>
        <v>0.62482831374223813</v>
      </c>
      <c r="Z131" s="414">
        <f>'A1.7'!Z$20^(-0.2334)</f>
        <v>0.62482831374223813</v>
      </c>
      <c r="AA131" s="414">
        <f>'A1.7'!AA$20^(-0.2334)</f>
        <v>0.62482831374223813</v>
      </c>
      <c r="AB131" s="414">
        <f>'A1.7'!AB$20^(-0.2334)</f>
        <v>0.62482831374223813</v>
      </c>
      <c r="AC131" s="414">
        <f>'A1.7'!AC$20^(-0.2334)</f>
        <v>0.62482831374223813</v>
      </c>
      <c r="AD131" s="414">
        <f>'A1.7'!AD$20^(-0.2334)</f>
        <v>0.62482831374223813</v>
      </c>
      <c r="AE131" s="414">
        <f>'A1.7'!AE$20^(-0.2334)</f>
        <v>0.62482831374223813</v>
      </c>
      <c r="AF131" s="414">
        <f>'A1.7'!AF$20^(-0.2334)</f>
        <v>0.62482831374223813</v>
      </c>
      <c r="AG131" s="414">
        <f>'A1.7'!AG$20^(-0.2334)</f>
        <v>0.62482831374223813</v>
      </c>
      <c r="AH131" s="414">
        <f>'A1.7'!AH$20^(-0.2334)</f>
        <v>0.62482831374223813</v>
      </c>
      <c r="AI131" s="414">
        <f>'A1.7'!AI$20^(-0.2334)</f>
        <v>0.62482831374223813</v>
      </c>
      <c r="AJ131" s="414">
        <f>'A1.7'!AJ$20^(-0.2334)</f>
        <v>0.62482831374223813</v>
      </c>
      <c r="AK131" s="414">
        <f>'A1.7'!AK$20^(-0.2334)</f>
        <v>0.62482831374223813</v>
      </c>
      <c r="AL131" s="414">
        <f>'A1.7'!AL$20^(-0.2334)</f>
        <v>0.62482831374223813</v>
      </c>
    </row>
    <row r="132" spans="2:38">
      <c r="B132" s="358" t="s">
        <v>683</v>
      </c>
      <c r="C132" s="419" t="s">
        <v>684</v>
      </c>
      <c r="D132" s="414">
        <f>EXP(0.1176*'A1.7'!$D$11)</f>
        <v>1.1247941037303228</v>
      </c>
      <c r="E132" s="415">
        <f>EXP(0.1176*'A1.7'!$D$11)</f>
        <v>1.1247941037303228</v>
      </c>
      <c r="F132" s="415">
        <f>EXP(0.1176*'A1.7'!$D$11)</f>
        <v>1.1247941037303228</v>
      </c>
      <c r="G132" s="415">
        <f>EXP(0.1176*'A1.7'!$D$11)</f>
        <v>1.1247941037303228</v>
      </c>
      <c r="H132" s="1235">
        <f>EXP(0.1176*'A1.7'!$D$11)</f>
        <v>1.1247941037303228</v>
      </c>
      <c r="I132" s="415">
        <f>EXP(0.1176*'A1.7'!$D$11)</f>
        <v>1.1247941037303228</v>
      </c>
      <c r="J132" s="415">
        <f>EXP(0.1176*'A1.7'!$D$11)</f>
        <v>1.1247941037303228</v>
      </c>
      <c r="K132" s="415">
        <f>EXP(0.1176*'A1.7'!$D$11)</f>
        <v>1.1247941037303228</v>
      </c>
      <c r="L132" s="415">
        <f>EXP(0.1176*'A1.7'!$D$11)</f>
        <v>1.1247941037303228</v>
      </c>
      <c r="M132" s="415">
        <f>EXP(0.1176*'A1.7'!$D$11)</f>
        <v>1.1247941037303228</v>
      </c>
      <c r="N132" s="415">
        <f>EXP(0.1176*'A1.7'!$D$11)</f>
        <v>1.1247941037303228</v>
      </c>
      <c r="O132" s="415">
        <f>EXP(0.1176*'A1.7'!$D$11)</f>
        <v>1.1247941037303228</v>
      </c>
      <c r="P132" s="415">
        <f>EXP(0.1176*'A1.7'!$D$11)</f>
        <v>1.1247941037303228</v>
      </c>
      <c r="Q132" s="415">
        <f>EXP(0.1176*'A1.7'!$D$11)</f>
        <v>1.1247941037303228</v>
      </c>
      <c r="R132" s="415">
        <f>EXP(0.1176*'A1.7'!$D$11)</f>
        <v>1.1247941037303228</v>
      </c>
      <c r="S132" s="415">
        <f>EXP(0.1176*'A1.7'!$D$11)</f>
        <v>1.1247941037303228</v>
      </c>
      <c r="T132" s="415">
        <f>EXP(0.1176*'A1.7'!$D$11)</f>
        <v>1.1247941037303228</v>
      </c>
      <c r="U132" s="415">
        <f>EXP(0.1176*'A1.7'!$D$11)</f>
        <v>1.1247941037303228</v>
      </c>
      <c r="V132" s="415">
        <f>EXP(0.1176*'A1.7'!$D$11)</f>
        <v>1.1247941037303228</v>
      </c>
      <c r="W132" s="415">
        <f>EXP(0.1176*'A1.7'!$D$11)</f>
        <v>1.1247941037303228</v>
      </c>
      <c r="X132" s="415">
        <f>EXP(0.1176*'A1.7'!$D$11)</f>
        <v>1.1247941037303228</v>
      </c>
      <c r="Y132" s="415">
        <f>EXP(0.1176*'A1.7'!$D$11)</f>
        <v>1.1247941037303228</v>
      </c>
      <c r="Z132" s="415">
        <f>EXP(0.1176*'A1.7'!$D$11)</f>
        <v>1.1247941037303228</v>
      </c>
      <c r="AA132" s="415">
        <f>EXP(0.1176*'A1.7'!$D$11)</f>
        <v>1.1247941037303228</v>
      </c>
      <c r="AB132" s="415">
        <f>EXP(0.1176*'A1.7'!$D$11)</f>
        <v>1.1247941037303228</v>
      </c>
      <c r="AC132" s="415">
        <f>EXP(0.1176*'A1.7'!$D$11)</f>
        <v>1.1247941037303228</v>
      </c>
      <c r="AD132" s="415">
        <f>EXP(0.1176*'A1.7'!$D$11)</f>
        <v>1.1247941037303228</v>
      </c>
      <c r="AE132" s="415">
        <f>EXP(0.1176*'A1.7'!$D$11)</f>
        <v>1.1247941037303228</v>
      </c>
      <c r="AF132" s="415">
        <f>EXP(0.1176*'A1.7'!$D$11)</f>
        <v>1.1247941037303228</v>
      </c>
      <c r="AG132" s="415">
        <f>EXP(0.1176*'A1.7'!$D$11)</f>
        <v>1.1247941037303228</v>
      </c>
      <c r="AH132" s="415">
        <f>EXP(0.1176*'A1.7'!$D$11)</f>
        <v>1.1247941037303228</v>
      </c>
      <c r="AI132" s="415">
        <f>EXP(0.1176*'A1.7'!$D$11)</f>
        <v>1.1247941037303228</v>
      </c>
      <c r="AJ132" s="415">
        <f>EXP(0.1176*'A1.7'!$D$11)</f>
        <v>1.1247941037303228</v>
      </c>
      <c r="AK132" s="415">
        <f>EXP(0.1176*'A1.7'!$D$11)</f>
        <v>1.1247941037303228</v>
      </c>
      <c r="AL132" s="415">
        <f>EXP(0.1176*'A1.7'!$D$11)</f>
        <v>1.1247941037303228</v>
      </c>
    </row>
    <row r="133" spans="2:38">
      <c r="B133" s="433" t="s">
        <v>675</v>
      </c>
      <c r="C133" s="434" t="s">
        <v>676</v>
      </c>
      <c r="D133" s="426">
        <f>EXP(0.1844*'A1.7'!$E$5)</f>
        <v>1.2024967255996286</v>
      </c>
      <c r="E133" s="426">
        <f>EXP(0.1844*'A1.7'!$E$5)</f>
        <v>1.2024967255996286</v>
      </c>
      <c r="F133" s="426">
        <f>EXP(0.1844*'A1.7'!$E$5)</f>
        <v>1.2024967255996286</v>
      </c>
      <c r="G133" s="426">
        <f>EXP(0.1844*'A1.7'!$E$5)</f>
        <v>1.2024967255996286</v>
      </c>
      <c r="H133" s="1237">
        <f>EXP(0.1844*'A1.7'!$E$5)</f>
        <v>1.2024967255996286</v>
      </c>
      <c r="I133" s="426">
        <f>EXP(0.1844*'A1.7'!$E$5)</f>
        <v>1.2024967255996286</v>
      </c>
      <c r="J133" s="426">
        <f>EXP(0.1844*'A1.7'!$E$5)</f>
        <v>1.2024967255996286</v>
      </c>
      <c r="K133" s="426">
        <f>EXP(0.1844*'A1.7'!$E$5)</f>
        <v>1.2024967255996286</v>
      </c>
      <c r="L133" s="426">
        <f>EXP(0.1844*'A1.7'!$E$5)</f>
        <v>1.2024967255996286</v>
      </c>
      <c r="M133" s="426">
        <f>EXP(0.1844*'A1.7'!$E$5)</f>
        <v>1.2024967255996286</v>
      </c>
      <c r="N133" s="426">
        <f>EXP(0.1844*'A1.7'!$E$5)</f>
        <v>1.2024967255996286</v>
      </c>
      <c r="O133" s="426">
        <f>EXP(0.1844*'A1.7'!$E$5)</f>
        <v>1.2024967255996286</v>
      </c>
      <c r="P133" s="426">
        <f>EXP(0.1844*'A1.7'!$E$5)</f>
        <v>1.2024967255996286</v>
      </c>
      <c r="Q133" s="426">
        <f>EXP(0.1844*'A1.7'!$E$5)</f>
        <v>1.2024967255996286</v>
      </c>
      <c r="R133" s="426">
        <f>EXP(0.1844*'A1.7'!$E$5)</f>
        <v>1.2024967255996286</v>
      </c>
      <c r="S133" s="426">
        <f>EXP(0.1844*'A1.7'!$E$5)</f>
        <v>1.2024967255996286</v>
      </c>
      <c r="T133" s="426">
        <f>EXP(0.1844*'A1.7'!$E$5)</f>
        <v>1.2024967255996286</v>
      </c>
      <c r="U133" s="426">
        <f>EXP(0.1844*'A1.7'!$E$5)</f>
        <v>1.2024967255996286</v>
      </c>
      <c r="V133" s="426">
        <f>EXP(0.1844*'A1.7'!$E$5)</f>
        <v>1.2024967255996286</v>
      </c>
      <c r="W133" s="426">
        <f>EXP(0.1844*'A1.7'!$E$5)</f>
        <v>1.2024967255996286</v>
      </c>
      <c r="X133" s="426">
        <f>EXP(0.1844*'A1.7'!$E$5)</f>
        <v>1.2024967255996286</v>
      </c>
      <c r="Y133" s="426">
        <f>EXP(0.1844*'A1.7'!$E$5)</f>
        <v>1.2024967255996286</v>
      </c>
      <c r="Z133" s="426">
        <f>EXP(0.1844*'A1.7'!$E$5)</f>
        <v>1.2024967255996286</v>
      </c>
      <c r="AA133" s="426">
        <f>EXP(0.1844*'A1.7'!$E$5)</f>
        <v>1.2024967255996286</v>
      </c>
      <c r="AB133" s="426">
        <f>EXP(0.1844*'A1.7'!$E$5)</f>
        <v>1.2024967255996286</v>
      </c>
      <c r="AC133" s="426">
        <f>EXP(0.1844*'A1.7'!$E$5)</f>
        <v>1.2024967255996286</v>
      </c>
      <c r="AD133" s="426">
        <f>EXP(0.1844*'A1.7'!$E$5)</f>
        <v>1.2024967255996286</v>
      </c>
      <c r="AE133" s="426">
        <f>EXP(0.1844*'A1.7'!$E$5)</f>
        <v>1.2024967255996286</v>
      </c>
      <c r="AF133" s="426">
        <f>EXP(0.1844*'A1.7'!$E$5)</f>
        <v>1.2024967255996286</v>
      </c>
      <c r="AG133" s="426">
        <f>EXP(0.1844*'A1.7'!$E$5)</f>
        <v>1.2024967255996286</v>
      </c>
      <c r="AH133" s="426">
        <f>EXP(0.1844*'A1.7'!$E$5)</f>
        <v>1.2024967255996286</v>
      </c>
      <c r="AI133" s="426">
        <f>EXP(0.1844*'A1.7'!$E$5)</f>
        <v>1.2024967255996286</v>
      </c>
      <c r="AJ133" s="426">
        <f>EXP(0.1844*'A1.7'!$E$5)</f>
        <v>1.2024967255996286</v>
      </c>
      <c r="AK133" s="426">
        <f>EXP(0.1844*'A1.7'!$E$5)</f>
        <v>1.2024967255996286</v>
      </c>
      <c r="AL133" s="426">
        <f>EXP(0.1844*'A1.7'!$E$5)</f>
        <v>1.2024967255996286</v>
      </c>
    </row>
    <row r="134" spans="2:38">
      <c r="B134" s="362"/>
      <c r="C134" s="427" t="s">
        <v>290</v>
      </c>
    </row>
    <row r="135" spans="2:38">
      <c r="B135" s="362" t="s">
        <v>685</v>
      </c>
      <c r="C135" s="438">
        <v>4.28</v>
      </c>
      <c r="D135" s="435">
        <f>'A1.7'!D$130/(1+'A1.7'!$C$135*PRODUCT('A1.7'!D$131:D$133))</f>
        <v>0.21387334704061975</v>
      </c>
      <c r="E135" s="435">
        <f>'A1.7'!E$130/(1+'A1.7'!$C$135*PRODUCT('A1.7'!E$131:E$133))</f>
        <v>0.21387085750811816</v>
      </c>
      <c r="F135" s="435">
        <f>'A1.7'!F$130/(1+'A1.7'!$C$135*PRODUCT('A1.7'!F$131:F$133))</f>
        <v>0.2138683620270394</v>
      </c>
      <c r="G135" s="435">
        <f>'A1.7'!G$130/(1+'A1.7'!$C$135*PRODUCT('A1.7'!G$131:G$133))</f>
        <v>0.21386586061333651</v>
      </c>
      <c r="H135" s="435">
        <f>'A1.7'!H$130/(1+'A1.7'!$C$135*PRODUCT('A1.7'!H$131:H$133))</f>
        <v>0.21386335328291478</v>
      </c>
      <c r="I135" s="435">
        <f>'A1.7'!I$130/(1+'A1.7'!$C$135*PRODUCT('A1.7'!I$131:I$133))</f>
        <v>0.21386084005163075</v>
      </c>
      <c r="J135" s="435">
        <f>'A1.7'!J$130/(1+'A1.7'!$C$135*PRODUCT('A1.7'!J$131:J$133))</f>
        <v>0.21385832093529059</v>
      </c>
      <c r="K135" s="435">
        <f>'A1.7'!K$130/(1+'A1.7'!$C$135*PRODUCT('A1.7'!K$131:K$133))</f>
        <v>0.21385579594964899</v>
      </c>
      <c r="L135" s="435">
        <f>'A1.7'!L$130/(1+'A1.7'!$C$135*PRODUCT('A1.7'!L$131:L$133))</f>
        <v>0.21385326511040773</v>
      </c>
      <c r="M135" s="435">
        <f>'A1.7'!M$130/(1+'A1.7'!$C$135*PRODUCT('A1.7'!M$131:M$133))</f>
        <v>0.21385072843321459</v>
      </c>
      <c r="N135" s="435">
        <f>'A1.7'!N$130/(1+'A1.7'!$C$135*PRODUCT('A1.7'!N$131:N$133))</f>
        <v>0.21384818593366201</v>
      </c>
      <c r="O135" s="435">
        <f>'A1.7'!O$130/(1+'A1.7'!$C$135*PRODUCT('A1.7'!O$131:O$133))</f>
        <v>0.21384563762728589</v>
      </c>
      <c r="P135" s="435">
        <f>'A1.7'!P$130/(1+'A1.7'!$C$135*PRODUCT('A1.7'!P$131:P$133))</f>
        <v>0.21384308352956449</v>
      </c>
      <c r="Q135" s="435">
        <f>'A1.7'!Q$130/(1+'A1.7'!$C$135*PRODUCT('A1.7'!Q$131:Q$133))</f>
        <v>0.21384052365591735</v>
      </c>
      <c r="R135" s="435">
        <f>'A1.7'!R$130/(1+'A1.7'!$C$135*PRODUCT('A1.7'!R$131:R$133))</f>
        <v>0.21383795802170391</v>
      </c>
      <c r="S135" s="435">
        <f>'A1.7'!S$130/(1+'A1.7'!$C$135*PRODUCT('A1.7'!S$131:S$133))</f>
        <v>0.21383538664222274</v>
      </c>
      <c r="T135" s="435">
        <f>'A1.7'!T$130/(1+'A1.7'!$C$135*PRODUCT('A1.7'!T$131:T$133))</f>
        <v>0.21383280953271022</v>
      </c>
      <c r="U135" s="435">
        <f>'A1.7'!U$130/(1+'A1.7'!$C$135*PRODUCT('A1.7'!U$131:U$133))</f>
        <v>0.21383022670833968</v>
      </c>
      <c r="V135" s="435">
        <f>'A1.7'!V$130/(1+'A1.7'!$C$135*PRODUCT('A1.7'!V$131:V$133))</f>
        <v>0.21382763818422026</v>
      </c>
      <c r="W135" s="435">
        <f>'A1.7'!W$130/(1+'A1.7'!$C$135*PRODUCT('A1.7'!W$131:W$133))</f>
        <v>0.21382504397539606</v>
      </c>
      <c r="X135" s="435">
        <f>'A1.7'!X$130/(1+'A1.7'!$C$135*PRODUCT('A1.7'!X$131:X$133))</f>
        <v>0.213822444096845</v>
      </c>
      <c r="Y135" s="435">
        <f>'A1.7'!Y$130/(1+'A1.7'!$C$135*PRODUCT('A1.7'!Y$131:Y$133))</f>
        <v>0.213819838563478</v>
      </c>
      <c r="Z135" s="435">
        <f>'A1.7'!Z$130/(1+'A1.7'!$C$135*PRODUCT('A1.7'!Z$131:Z$133))</f>
        <v>0.21381722739013809</v>
      </c>
      <c r="AA135" s="435">
        <f>'A1.7'!AA$130/(1+'A1.7'!$C$135*PRODUCT('A1.7'!AA$131:AA$133))</f>
        <v>0.2138146105915994</v>
      </c>
      <c r="AB135" s="435">
        <f>'A1.7'!AB$130/(1+'A1.7'!$C$135*PRODUCT('A1.7'!AB$131:AB$133))</f>
        <v>0.21381198818256636</v>
      </c>
      <c r="AC135" s="435">
        <f>'A1.7'!AC$130/(1+'A1.7'!$C$135*PRODUCT('A1.7'!AC$131:AC$133))</f>
        <v>0.21380936017767294</v>
      </c>
      <c r="AD135" s="435">
        <f>'A1.7'!AD$130/(1+'A1.7'!$C$135*PRODUCT('A1.7'!AD$131:AD$133))</f>
        <v>0.21380672659148164</v>
      </c>
      <c r="AE135" s="435">
        <f>'A1.7'!AE$130/(1+'A1.7'!$C$135*PRODUCT('A1.7'!AE$131:AE$133))</f>
        <v>0.21380408743848295</v>
      </c>
      <c r="AF135" s="435">
        <f>'A1.7'!AF$130/(1+'A1.7'!$C$135*PRODUCT('A1.7'!AF$131:AF$133))</f>
        <v>0.21380144273309423</v>
      </c>
      <c r="AG135" s="435">
        <f>'A1.7'!AG$130/(1+'A1.7'!$C$135*PRODUCT('A1.7'!AG$131:AG$133))</f>
        <v>0.21379879248965936</v>
      </c>
      <c r="AH135" s="435">
        <f>'A1.7'!AH$130/(1+'A1.7'!$C$135*PRODUCT('A1.7'!AH$131:AH$133))</f>
        <v>0.21379613672244768</v>
      </c>
      <c r="AI135" s="435">
        <f>'A1.7'!AI$130/(1+'A1.7'!$C$135*PRODUCT('A1.7'!AI$131:AI$133))</f>
        <v>0.21379347544565352</v>
      </c>
      <c r="AJ135" s="435">
        <f>'A1.7'!AJ$130/(1+'A1.7'!$C$135*PRODUCT('A1.7'!AJ$131:AJ$133))</f>
        <v>0.21379080867339531</v>
      </c>
      <c r="AK135" s="435">
        <f>'A1.7'!AK$130/(1+'A1.7'!$C$135*PRODUCT('A1.7'!AK$131:AK$133))</f>
        <v>0.21378813641971517</v>
      </c>
      <c r="AL135" s="435">
        <f>'A1.7'!AL$130/(1+'A1.7'!$C$135*PRODUCT('A1.7'!AL$131:AL$133))</f>
        <v>0.2137854586985779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theme="4" tint="-0.249977111117893"/>
  </sheetPr>
  <dimension ref="A1:AL53"/>
  <sheetViews>
    <sheetView showGridLines="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Inputs'!$D$49</f>
        <v>900 South</v>
      </c>
      <c r="B1" s="1172"/>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Demand!F16</f>
        <v>715.92209454276815</v>
      </c>
      <c r="E6" s="383">
        <f>Demand!G16</f>
        <v>737.03756308528375</v>
      </c>
      <c r="F6" s="383">
        <f>Demand!H16</f>
        <v>758.7758130940631</v>
      </c>
      <c r="G6" s="383">
        <f>Demand!I16</f>
        <v>781.15521293985501</v>
      </c>
      <c r="H6" s="383">
        <f>Demand!J16</f>
        <v>804.19467275173315</v>
      </c>
      <c r="I6" s="383">
        <f>Demand!K16</f>
        <v>827.91366039576292</v>
      </c>
      <c r="J6" s="383">
        <f>Demand!L16</f>
        <v>852.33221792494589</v>
      </c>
      <c r="K6" s="383">
        <f>Demand!M16</f>
        <v>877.47097851433796</v>
      </c>
      <c r="L6" s="383">
        <f>Demand!N16</f>
        <v>903.35118389565571</v>
      </c>
      <c r="M6" s="383">
        <f>Demand!O16</f>
        <v>929.99470230609836</v>
      </c>
      <c r="N6" s="383">
        <f>Demand!P16</f>
        <v>957.42404696655649</v>
      </c>
      <c r="O6" s="383">
        <f>Demand!Q16</f>
        <v>985.66239510481569</v>
      </c>
      <c r="P6" s="383">
        <f>Demand!R16</f>
        <v>1014.7336075398345</v>
      </c>
      <c r="Q6" s="383">
        <f>Demand!S16</f>
        <v>1044.6622488436417</v>
      </c>
      <c r="R6" s="383">
        <f>Demand!T16</f>
        <v>1075.4736080978903</v>
      </c>
      <c r="S6" s="383">
        <f>Demand!U16</f>
        <v>1107.1937202626091</v>
      </c>
      <c r="T6" s="383">
        <f>Demand!V16</f>
        <v>1139.8493881752013</v>
      </c>
      <c r="U6" s="383">
        <f>Demand!W16</f>
        <v>1173.4682051982891</v>
      </c>
      <c r="V6" s="383">
        <f>Demand!X16</f>
        <v>1208.0785785355329</v>
      </c>
      <c r="W6" s="383">
        <f>Demand!Y16</f>
        <v>1243.709753235129</v>
      </c>
      <c r="X6" s="383">
        <f>Demand!Z16</f>
        <v>1280.3918369012695</v>
      </c>
      <c r="Y6" s="383">
        <f>Demand!AA16</f>
        <v>1318.1558251344438</v>
      </c>
      <c r="Z6" s="383">
        <f>Demand!AB16</f>
        <v>1357.033627722079</v>
      </c>
      <c r="AA6" s="383">
        <f>Demand!AC16</f>
        <v>1397.0580956016493</v>
      </c>
      <c r="AB6" s="383">
        <f>Demand!AD16</f>
        <v>1438.2630486190353</v>
      </c>
      <c r="AC6" s="383">
        <f>Demand!AE16</f>
        <v>1480.6833041055959</v>
      </c>
      <c r="AD6" s="383">
        <f>Demand!AF16</f>
        <v>1524.3547062980897</v>
      </c>
      <c r="AE6" s="383">
        <f>Demand!AG16</f>
        <v>1569.3141566263132</v>
      </c>
      <c r="AF6" s="383">
        <f>Demand!AH16</f>
        <v>1615.5996448940423</v>
      </c>
      <c r="AG6" s="383">
        <f>Demand!AI16</f>
        <v>1663.2502813796323</v>
      </c>
      <c r="AH6" s="383">
        <f>Demand!AJ16</f>
        <v>1712.3063298833902</v>
      </c>
      <c r="AI6" s="383">
        <f>Demand!AK16</f>
        <v>1762.8092417496523</v>
      </c>
      <c r="AJ6" s="383">
        <f>Demand!AL16</f>
        <v>1814.8016908923112</v>
      </c>
      <c r="AK6" s="383">
        <f>Demand!AM16</f>
        <v>1868.3276098533881</v>
      </c>
      <c r="AL6" s="383">
        <f>Demand!AN16</f>
        <v>1923.4322269251215</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Demand!F39</f>
        <v>6.0636386466438061</v>
      </c>
      <c r="E10" s="383">
        <f>Demand!G39</f>
        <v>6.1279522728453877</v>
      </c>
      <c r="F10" s="383">
        <f>Demand!H39</f>
        <v>6.1929480377356736</v>
      </c>
      <c r="G10" s="383">
        <f>Demand!I39</f>
        <v>6.2586331763784937</v>
      </c>
      <c r="H10" s="383">
        <f>Demand!J39</f>
        <v>6.3250150005759522</v>
      </c>
      <c r="I10" s="383">
        <f>Demand!K39</f>
        <v>6.3921008996823563</v>
      </c>
      <c r="J10" s="383">
        <f>Demand!L39</f>
        <v>6.4598983414267632</v>
      </c>
      <c r="K10" s="383">
        <f>Demand!M39</f>
        <v>6.5284148727442579</v>
      </c>
      <c r="L10" s="383">
        <f>Demand!N39</f>
        <v>6.5976581206160478</v>
      </c>
      <c r="M10" s="383">
        <f>Demand!O39</f>
        <v>6.6676357929184693</v>
      </c>
      <c r="N10" s="383">
        <f>Demand!P39</f>
        <v>6.7383556792809909</v>
      </c>
      <c r="O10" s="383">
        <f>Demand!Q39</f>
        <v>6.8098256519533322</v>
      </c>
      <c r="P10" s="383">
        <f>Demand!R39</f>
        <v>6.8820536666817631</v>
      </c>
      <c r="Q10" s="383">
        <f>Demand!S39</f>
        <v>6.9550477635947088</v>
      </c>
      <c r="R10" s="383">
        <f>Demand!T39</f>
        <v>7.0288160680977398</v>
      </c>
      <c r="S10" s="383">
        <f>Demand!U39</f>
        <v>7.1033667917780718</v>
      </c>
      <c r="T10" s="383">
        <f>Demand!V39</f>
        <v>7.1787082333186234</v>
      </c>
      <c r="U10" s="383">
        <f>Demand!W39</f>
        <v>7.2548487794218142</v>
      </c>
      <c r="V10" s="383">
        <f>Demand!X39</f>
        <v>7.3317969057431265</v>
      </c>
      <c r="W10" s="383">
        <f>Demand!Y39</f>
        <v>7.4095611778345836</v>
      </c>
      <c r="X10" s="383">
        <f>Demand!Z39</f>
        <v>7.4881502520982295</v>
      </c>
      <c r="Y10" s="383">
        <f>Demand!AA39</f>
        <v>7.5675728767497308</v>
      </c>
      <c r="Z10" s="383">
        <f>Demand!AB39</f>
        <v>7.6478378927921851</v>
      </c>
      <c r="AA10" s="383">
        <f>Demand!AC39</f>
        <v>7.7289542350002716</v>
      </c>
      <c r="AB10" s="383">
        <f>Demand!AD39</f>
        <v>7.8109309329148253</v>
      </c>
      <c r="AC10" s="383">
        <f>Demand!AE39</f>
        <v>7.8937771118479834</v>
      </c>
      <c r="AD10" s="383">
        <f>Demand!AF39</f>
        <v>7.9775019938989598</v>
      </c>
      <c r="AE10" s="383">
        <f>Demand!AG39</f>
        <v>8.0621148989806244</v>
      </c>
      <c r="AF10" s="383">
        <f>Demand!AH39</f>
        <v>8.1476252458569576</v>
      </c>
      <c r="AG10" s="383">
        <f>Demand!AI39</f>
        <v>8.2340425531914985</v>
      </c>
      <c r="AH10" s="383">
        <f>Demand!AJ39</f>
        <v>8.3213764406069348</v>
      </c>
      <c r="AI10" s="383">
        <f>Demand!AK39</f>
        <v>8.4096366297559157</v>
      </c>
      <c r="AJ10" s="383">
        <f>Demand!AL39</f>
        <v>8.4988329454032225</v>
      </c>
      <c r="AK10" s="383">
        <f>Demand!AM39</f>
        <v>8.5889753165194307</v>
      </c>
      <c r="AL10" s="383">
        <f>Demand!AN39</f>
        <v>8.6800737773861574</v>
      </c>
    </row>
    <row r="11" spans="1:38">
      <c r="B11" s="363" t="s">
        <v>645</v>
      </c>
      <c r="C11" s="358" t="s">
        <v>1054</v>
      </c>
      <c r="D11" s="383">
        <f>Demand!F40</f>
        <v>2.021212882214602</v>
      </c>
      <c r="E11" s="383">
        <f>Demand!G40</f>
        <v>2.0426507576151294</v>
      </c>
      <c r="F11" s="383">
        <f>Demand!H40</f>
        <v>2.064316012578558</v>
      </c>
      <c r="G11" s="383">
        <f>Demand!I40</f>
        <v>2.0862110587928311</v>
      </c>
      <c r="H11" s="383">
        <f>Demand!J40</f>
        <v>2.1083383335253174</v>
      </c>
      <c r="I11" s="383">
        <f>Demand!K40</f>
        <v>2.1307002998941189</v>
      </c>
      <c r="J11" s="383">
        <f>Demand!L40</f>
        <v>2.1532994471422544</v>
      </c>
      <c r="K11" s="383">
        <f>Demand!M40</f>
        <v>2.1761382909147526</v>
      </c>
      <c r="L11" s="383">
        <f>Demand!N40</f>
        <v>2.1992193735386825</v>
      </c>
      <c r="M11" s="383">
        <f>Demand!O40</f>
        <v>2.2225452643061563</v>
      </c>
      <c r="N11" s="383">
        <f>Demand!P40</f>
        <v>2.2461185597603301</v>
      </c>
      <c r="O11" s="383">
        <f>Demand!Q40</f>
        <v>2.2699418839844441</v>
      </c>
      <c r="P11" s="383">
        <f>Demand!R40</f>
        <v>2.2940178888939209</v>
      </c>
      <c r="Q11" s="383">
        <f>Demand!S40</f>
        <v>2.3183492545315696</v>
      </c>
      <c r="R11" s="383">
        <f>Demand!T40</f>
        <v>2.3429386893659134</v>
      </c>
      <c r="S11" s="383">
        <f>Demand!U40</f>
        <v>2.3677889305926905</v>
      </c>
      <c r="T11" s="383">
        <f>Demand!V40</f>
        <v>2.392902744439541</v>
      </c>
      <c r="U11" s="383">
        <f>Demand!W40</f>
        <v>2.4182829264739381</v>
      </c>
      <c r="V11" s="383">
        <f>Demand!X40</f>
        <v>2.4439323019143755</v>
      </c>
      <c r="W11" s="383">
        <f>Demand!Y40</f>
        <v>2.4698537259448612</v>
      </c>
      <c r="X11" s="383">
        <f>Demand!Z40</f>
        <v>2.4960500840327433</v>
      </c>
      <c r="Y11" s="383">
        <f>Demand!AA40</f>
        <v>2.5225242922499103</v>
      </c>
      <c r="Z11" s="383">
        <f>Demand!AB40</f>
        <v>2.549279297597395</v>
      </c>
      <c r="AA11" s="383">
        <f>Demand!AC40</f>
        <v>2.5763180783334239</v>
      </c>
      <c r="AB11" s="383">
        <f>Demand!AD40</f>
        <v>2.6036436443049418</v>
      </c>
      <c r="AC11" s="383">
        <f>Demand!AE40</f>
        <v>2.631259037282661</v>
      </c>
      <c r="AD11" s="383">
        <f>Demand!AF40</f>
        <v>2.6591673312996531</v>
      </c>
      <c r="AE11" s="383">
        <f>Demand!AG40</f>
        <v>2.6873716329935418</v>
      </c>
      <c r="AF11" s="383">
        <f>Demand!AH40</f>
        <v>2.7158750819523192</v>
      </c>
      <c r="AG11" s="383">
        <f>Demand!AI40</f>
        <v>2.744680851063833</v>
      </c>
      <c r="AH11" s="383">
        <f>Demand!AJ40</f>
        <v>2.7737921468689781</v>
      </c>
      <c r="AI11" s="383">
        <f>Demand!AK40</f>
        <v>2.8032122099186383</v>
      </c>
      <c r="AJ11" s="383">
        <f>Demand!AL40</f>
        <v>2.8329443151344074</v>
      </c>
      <c r="AK11" s="383">
        <f>Demand!AM40</f>
        <v>2.8629917721731437</v>
      </c>
      <c r="AL11" s="383">
        <f>Demand!AN40</f>
        <v>2.8933579257953856</v>
      </c>
    </row>
    <row r="13" spans="1:38" ht="13">
      <c r="B13" s="502" t="s">
        <v>1059</v>
      </c>
      <c r="C13" s="497">
        <f>IF('Crossing Inputs'!$C$11&gt;0, 'Crossing Inputs'!$C$20/Feet.Per.Mile/'Crossing Inputs'!$D$59*60+IF('Crossing Inputs'!$D$53="Passive",0,'Crossing Inputs'!$C$21),0)</f>
        <v>9</v>
      </c>
    </row>
    <row r="14" spans="1:38">
      <c r="B14" s="571" t="s">
        <v>1058</v>
      </c>
      <c r="C14" s="572" t="s">
        <v>15</v>
      </c>
      <c r="D14" s="570">
        <f t="shared" ref="D14:AL14" si="2">(D$10*$C$13)/Minutes.Per.Day</f>
        <v>3.789774154152379E-2</v>
      </c>
      <c r="E14" s="570">
        <f t="shared" si="2"/>
        <v>3.8299701705283677E-2</v>
      </c>
      <c r="F14" s="570">
        <f t="shared" si="2"/>
        <v>3.8705925235847961E-2</v>
      </c>
      <c r="G14" s="570">
        <f t="shared" si="2"/>
        <v>3.9116457352365588E-2</v>
      </c>
      <c r="H14" s="570">
        <f t="shared" si="2"/>
        <v>3.95313437535997E-2</v>
      </c>
      <c r="I14" s="570">
        <f t="shared" si="2"/>
        <v>3.9950630623014724E-2</v>
      </c>
      <c r="J14" s="570">
        <f t="shared" si="2"/>
        <v>4.0374364633917269E-2</v>
      </c>
      <c r="K14" s="570">
        <f t="shared" si="2"/>
        <v>4.0802592954651613E-2</v>
      </c>
      <c r="L14" s="570">
        <f t="shared" si="2"/>
        <v>4.1235363253850299E-2</v>
      </c>
      <c r="M14" s="570">
        <f t="shared" si="2"/>
        <v>4.1672723705740433E-2</v>
      </c>
      <c r="N14" s="570">
        <f t="shared" si="2"/>
        <v>4.2114722995506192E-2</v>
      </c>
      <c r="O14" s="570">
        <f t="shared" si="2"/>
        <v>4.2561410324708324E-2</v>
      </c>
      <c r="P14" s="570">
        <f t="shared" si="2"/>
        <v>4.3012835416761021E-2</v>
      </c>
      <c r="Q14" s="570">
        <f t="shared" si="2"/>
        <v>4.3469048522466927E-2</v>
      </c>
      <c r="R14" s="570">
        <f t="shared" si="2"/>
        <v>4.3930100425610873E-2</v>
      </c>
      <c r="S14" s="570">
        <f t="shared" si="2"/>
        <v>4.4396042448612949E-2</v>
      </c>
      <c r="T14" s="570">
        <f t="shared" si="2"/>
        <v>4.4866926458241391E-2</v>
      </c>
      <c r="U14" s="570">
        <f t="shared" si="2"/>
        <v>4.5342804871386339E-2</v>
      </c>
      <c r="V14" s="570">
        <f t="shared" si="2"/>
        <v>4.5823730660894541E-2</v>
      </c>
      <c r="W14" s="570">
        <f t="shared" si="2"/>
        <v>4.6309757361466149E-2</v>
      </c>
      <c r="X14" s="570">
        <f t="shared" si="2"/>
        <v>4.6800939075613932E-2</v>
      </c>
      <c r="Y14" s="570">
        <f t="shared" si="2"/>
        <v>4.7297330479685824E-2</v>
      </c>
      <c r="Z14" s="570">
        <f t="shared" si="2"/>
        <v>4.7798986829951158E-2</v>
      </c>
      <c r="AA14" s="570">
        <f t="shared" si="2"/>
        <v>4.8305963968751697E-2</v>
      </c>
      <c r="AB14" s="570">
        <f t="shared" si="2"/>
        <v>4.8818318330717661E-2</v>
      </c>
      <c r="AC14" s="570">
        <f t="shared" si="2"/>
        <v>4.9336106949049892E-2</v>
      </c>
      <c r="AD14" s="570">
        <f t="shared" si="2"/>
        <v>4.9859387461868493E-2</v>
      </c>
      <c r="AE14" s="570">
        <f t="shared" si="2"/>
        <v>5.0388218118628904E-2</v>
      </c>
      <c r="AF14" s="570">
        <f t="shared" si="2"/>
        <v>5.0922657786605985E-2</v>
      </c>
      <c r="AG14" s="570">
        <f t="shared" si="2"/>
        <v>5.1462765957446865E-2</v>
      </c>
      <c r="AH14" s="570">
        <f t="shared" si="2"/>
        <v>5.2008602753793348E-2</v>
      </c>
      <c r="AI14" s="570">
        <f t="shared" si="2"/>
        <v>5.2560228935974465E-2</v>
      </c>
      <c r="AJ14" s="570">
        <f t="shared" si="2"/>
        <v>5.3117705908770144E-2</v>
      </c>
      <c r="AK14" s="570">
        <f t="shared" si="2"/>
        <v>5.3681095728246433E-2</v>
      </c>
      <c r="AL14" s="570">
        <f t="shared" si="2"/>
        <v>5.4250461108663481E-2</v>
      </c>
    </row>
    <row r="16" spans="1:38">
      <c r="B16" s="573" t="s">
        <v>1055</v>
      </c>
      <c r="C16" s="574" t="s">
        <v>505</v>
      </c>
      <c r="D16" s="383">
        <f t="shared" ref="D16:AK16" si="3">D6*D14</f>
        <v>27.131830502848185</v>
      </c>
      <c r="E16" s="383">
        <f t="shared" si="3"/>
        <v>28.228318811755567</v>
      </c>
      <c r="F16" s="383">
        <f t="shared" si="3"/>
        <v>29.369119892388554</v>
      </c>
      <c r="G16" s="383">
        <f t="shared" si="3"/>
        <v>30.556024572539897</v>
      </c>
      <c r="H16" s="383">
        <f t="shared" si="3"/>
        <v>31.790896053362381</v>
      </c>
      <c r="I16" s="383">
        <f t="shared" si="3"/>
        <v>33.075672834219176</v>
      </c>
      <c r="J16" s="383">
        <f t="shared" si="3"/>
        <v>34.412371755737205</v>
      </c>
      <c r="K16" s="383">
        <f t="shared" si="3"/>
        <v>35.803091165840385</v>
      </c>
      <c r="L16" s="383">
        <f t="shared" si="3"/>
        <v>37.250014213733088</v>
      </c>
      <c r="M16" s="383">
        <f t="shared" si="3"/>
        <v>38.755412277004361</v>
      </c>
      <c r="N16" s="383">
        <f t="shared" si="3"/>
        <v>40.321648527233037</v>
      </c>
      <c r="O16" s="383">
        <f t="shared" si="3"/>
        <v>41.951181639690837</v>
      </c>
      <c r="P16" s="383">
        <f t="shared" si="3"/>
        <v>43.646569652967067</v>
      </c>
      <c r="Q16" s="383">
        <f t="shared" si="3"/>
        <v>45.410473984573677</v>
      </c>
      <c r="R16" s="383">
        <f t="shared" si="3"/>
        <v>47.245663608834391</v>
      </c>
      <c r="S16" s="383">
        <f t="shared" si="3"/>
        <v>49.155019403616485</v>
      </c>
      <c r="T16" s="383">
        <f t="shared" si="3"/>
        <v>51.141538672728203</v>
      </c>
      <c r="U16" s="383">
        <f t="shared" si="3"/>
        <v>53.208339851081966</v>
      </c>
      <c r="V16" s="383">
        <f t="shared" si="3"/>
        <v>55.358667400008592</v>
      </c>
      <c r="W16" s="383">
        <f t="shared" si="3"/>
        <v>57.595896900407766</v>
      </c>
      <c r="X16" s="383">
        <f t="shared" si="3"/>
        <v>59.92354035172972</v>
      </c>
      <c r="Y16" s="383">
        <f t="shared" si="3"/>
        <v>62.345251685106746</v>
      </c>
      <c r="Z16" s="383">
        <f t="shared" si="3"/>
        <v>64.864832499288497</v>
      </c>
      <c r="AA16" s="383">
        <f t="shared" si="3"/>
        <v>67.48623802838614</v>
      </c>
      <c r="AB16" s="383">
        <f t="shared" si="3"/>
        <v>70.213583350792518</v>
      </c>
      <c r="AC16" s="383">
        <f t="shared" si="3"/>
        <v>73.051149849026245</v>
      </c>
      <c r="AD16" s="383">
        <f t="shared" si="3"/>
        <v>76.003391930639197</v>
      </c>
      <c r="AE16" s="383">
        <f t="shared" si="3"/>
        <v>79.074944020738826</v>
      </c>
      <c r="AF16" s="383">
        <f t="shared" si="3"/>
        <v>82.270627837101472</v>
      </c>
      <c r="AG16" s="383">
        <f t="shared" si="3"/>
        <v>85.595459959297656</v>
      </c>
      <c r="AH16" s="383">
        <f t="shared" si="3"/>
        <v>89.054659703711067</v>
      </c>
      <c r="AI16" s="383">
        <f t="shared" si="3"/>
        <v>92.65365731681328</v>
      </c>
      <c r="AJ16" s="383">
        <f t="shared" si="3"/>
        <v>96.398102499556572</v>
      </c>
      <c r="AK16" s="383">
        <f t="shared" si="3"/>
        <v>100.29387327626559</v>
      </c>
      <c r="AL16" s="383">
        <f t="shared" ref="AL16" si="4">AL6*AL14</f>
        <v>104.3470852219513</v>
      </c>
    </row>
    <row r="17" spans="2:38">
      <c r="B17" s="573" t="s">
        <v>1056</v>
      </c>
      <c r="C17" s="574" t="s">
        <v>490</v>
      </c>
      <c r="D17" s="383">
        <f t="shared" ref="D17:AK17" si="5">D16*$C13/2</f>
        <v>122.09323726281683</v>
      </c>
      <c r="E17" s="383">
        <f t="shared" si="5"/>
        <v>127.02743465290006</v>
      </c>
      <c r="F17" s="383">
        <f t="shared" si="5"/>
        <v>132.16103951574848</v>
      </c>
      <c r="G17" s="383">
        <f t="shared" si="5"/>
        <v>137.50211057642954</v>
      </c>
      <c r="H17" s="383">
        <f t="shared" si="5"/>
        <v>143.0590322401307</v>
      </c>
      <c r="I17" s="383">
        <f t="shared" si="5"/>
        <v>148.84052775398629</v>
      </c>
      <c r="J17" s="383">
        <f t="shared" si="5"/>
        <v>154.85567290081741</v>
      </c>
      <c r="K17" s="383">
        <f t="shared" si="5"/>
        <v>161.11391024628173</v>
      </c>
      <c r="L17" s="383">
        <f t="shared" si="5"/>
        <v>167.6250639617989</v>
      </c>
      <c r="M17" s="383">
        <f t="shared" si="5"/>
        <v>174.39935524651963</v>
      </c>
      <c r="N17" s="383">
        <f t="shared" si="5"/>
        <v>181.44741837254867</v>
      </c>
      <c r="O17" s="383">
        <f t="shared" si="5"/>
        <v>188.78031737860877</v>
      </c>
      <c r="P17" s="383">
        <f t="shared" si="5"/>
        <v>196.4095634383518</v>
      </c>
      <c r="Q17" s="383">
        <f t="shared" si="5"/>
        <v>204.34713293058155</v>
      </c>
      <c r="R17" s="383">
        <f t="shared" si="5"/>
        <v>212.60548623975475</v>
      </c>
      <c r="S17" s="383">
        <f t="shared" si="5"/>
        <v>221.19758731627419</v>
      </c>
      <c r="T17" s="383">
        <f t="shared" si="5"/>
        <v>230.1369240272769</v>
      </c>
      <c r="U17" s="383">
        <f t="shared" si="5"/>
        <v>239.43752932986885</v>
      </c>
      <c r="V17" s="383">
        <f t="shared" si="5"/>
        <v>249.11400330003866</v>
      </c>
      <c r="W17" s="383">
        <f t="shared" si="5"/>
        <v>259.18153605183494</v>
      </c>
      <c r="X17" s="383">
        <f t="shared" si="5"/>
        <v>269.65593158278375</v>
      </c>
      <c r="Y17" s="383">
        <f t="shared" si="5"/>
        <v>280.55363258298036</v>
      </c>
      <c r="Z17" s="383">
        <f t="shared" si="5"/>
        <v>291.89174624679822</v>
      </c>
      <c r="AA17" s="383">
        <f t="shared" si="5"/>
        <v>303.68807112773766</v>
      </c>
      <c r="AB17" s="383">
        <f t="shared" si="5"/>
        <v>315.96112507856634</v>
      </c>
      <c r="AC17" s="383">
        <f t="shared" si="5"/>
        <v>328.73017432061812</v>
      </c>
      <c r="AD17" s="383">
        <f t="shared" si="5"/>
        <v>342.01526368787637</v>
      </c>
      <c r="AE17" s="383">
        <f t="shared" si="5"/>
        <v>355.83724809332472</v>
      </c>
      <c r="AF17" s="383">
        <f t="shared" si="5"/>
        <v>370.21782526695665</v>
      </c>
      <c r="AG17" s="383">
        <f t="shared" si="5"/>
        <v>385.17956981683943</v>
      </c>
      <c r="AH17" s="383">
        <f t="shared" si="5"/>
        <v>400.74596866669981</v>
      </c>
      <c r="AI17" s="383">
        <f t="shared" si="5"/>
        <v>416.94145792565973</v>
      </c>
      <c r="AJ17" s="383">
        <f t="shared" si="5"/>
        <v>433.79146124800457</v>
      </c>
      <c r="AK17" s="383">
        <f t="shared" si="5"/>
        <v>451.32242974319513</v>
      </c>
      <c r="AL17" s="383">
        <f t="shared" ref="AL17" si="6">AL16*$C13/2</f>
        <v>469.56188349878084</v>
      </c>
    </row>
    <row r="18" spans="2:38">
      <c r="B18" s="575" t="s">
        <v>1057</v>
      </c>
      <c r="C18" s="574" t="s">
        <v>443</v>
      </c>
      <c r="D18" s="383">
        <f t="shared" ref="D18:AK18" si="7">D17/Minutes.per.Hour*Days.Per.Year</f>
        <v>742.73386001546896</v>
      </c>
      <c r="E18" s="383">
        <f t="shared" si="7"/>
        <v>772.75022747180867</v>
      </c>
      <c r="F18" s="383">
        <f t="shared" si="7"/>
        <v>803.97965705413662</v>
      </c>
      <c r="G18" s="383">
        <f t="shared" si="7"/>
        <v>836.47117267327974</v>
      </c>
      <c r="H18" s="383">
        <f t="shared" si="7"/>
        <v>870.27577946079521</v>
      </c>
      <c r="I18" s="383">
        <f t="shared" si="7"/>
        <v>905.44654383674992</v>
      </c>
      <c r="J18" s="383">
        <f t="shared" si="7"/>
        <v>942.03867681330587</v>
      </c>
      <c r="K18" s="383">
        <f t="shared" si="7"/>
        <v>980.10962066488059</v>
      </c>
      <c r="L18" s="383">
        <f t="shared" si="7"/>
        <v>1019.7191391009434</v>
      </c>
      <c r="M18" s="383">
        <f t="shared" si="7"/>
        <v>1060.9294110829944</v>
      </c>
      <c r="N18" s="383">
        <f t="shared" si="7"/>
        <v>1103.8051284330045</v>
      </c>
      <c r="O18" s="383">
        <f t="shared" si="7"/>
        <v>1148.4135973865366</v>
      </c>
      <c r="P18" s="383">
        <f t="shared" si="7"/>
        <v>1194.8248442499735</v>
      </c>
      <c r="Q18" s="383">
        <f t="shared" si="7"/>
        <v>1243.1117253277046</v>
      </c>
      <c r="R18" s="383">
        <f t="shared" si="7"/>
        <v>1293.3500412918415</v>
      </c>
      <c r="S18" s="383">
        <f t="shared" si="7"/>
        <v>1345.6186561740014</v>
      </c>
      <c r="T18" s="383">
        <f t="shared" si="7"/>
        <v>1399.9996211659345</v>
      </c>
      <c r="U18" s="383">
        <f t="shared" si="7"/>
        <v>1456.5783034233689</v>
      </c>
      <c r="V18" s="383">
        <f t="shared" si="7"/>
        <v>1515.4435200752353</v>
      </c>
      <c r="W18" s="383">
        <f t="shared" si="7"/>
        <v>1576.6876776486627</v>
      </c>
      <c r="X18" s="383">
        <f t="shared" si="7"/>
        <v>1640.4069171286012</v>
      </c>
      <c r="Y18" s="383">
        <f t="shared" si="7"/>
        <v>1706.701264879797</v>
      </c>
      <c r="Z18" s="383">
        <f t="shared" si="7"/>
        <v>1775.6747896680224</v>
      </c>
      <c r="AA18" s="383">
        <f t="shared" si="7"/>
        <v>1847.4357660270707</v>
      </c>
      <c r="AB18" s="383">
        <f t="shared" si="7"/>
        <v>1922.0968442279454</v>
      </c>
      <c r="AC18" s="383">
        <f t="shared" si="7"/>
        <v>1999.7752271170934</v>
      </c>
      <c r="AD18" s="383">
        <f t="shared" si="7"/>
        <v>2080.5928541012477</v>
      </c>
      <c r="AE18" s="383">
        <f t="shared" si="7"/>
        <v>2164.676592567725</v>
      </c>
      <c r="AF18" s="383">
        <f t="shared" si="7"/>
        <v>2252.1584370406531</v>
      </c>
      <c r="AG18" s="383">
        <f t="shared" si="7"/>
        <v>2343.1757163857733</v>
      </c>
      <c r="AH18" s="383">
        <f t="shared" si="7"/>
        <v>2437.8713093890906</v>
      </c>
      <c r="AI18" s="383">
        <f t="shared" si="7"/>
        <v>2536.393869047763</v>
      </c>
      <c r="AJ18" s="383">
        <f t="shared" si="7"/>
        <v>2638.8980559253614</v>
      </c>
      <c r="AK18" s="383">
        <f t="shared" si="7"/>
        <v>2745.5447809377706</v>
      </c>
      <c r="AL18" s="383">
        <f t="shared" ref="AL18" si="8">AL17/Minutes.per.Hour*Days.Per.Year</f>
        <v>2856.501457950917</v>
      </c>
    </row>
    <row r="20" spans="2:38">
      <c r="B20" s="575" t="s">
        <v>745</v>
      </c>
      <c r="C20" s="574" t="s">
        <v>443</v>
      </c>
      <c r="D20" s="383">
        <f>D18</f>
        <v>742.73386001546896</v>
      </c>
      <c r="E20" s="383">
        <f t="shared" ref="E20:AK20" si="9">E18</f>
        <v>772.75022747180867</v>
      </c>
      <c r="F20" s="383">
        <f t="shared" si="9"/>
        <v>803.97965705413662</v>
      </c>
      <c r="G20" s="383">
        <f t="shared" si="9"/>
        <v>836.47117267327974</v>
      </c>
      <c r="H20" s="383">
        <f t="shared" si="9"/>
        <v>870.27577946079521</v>
      </c>
      <c r="I20" s="383">
        <f t="shared" si="9"/>
        <v>905.44654383674992</v>
      </c>
      <c r="J20" s="383">
        <f t="shared" si="9"/>
        <v>942.03867681330587</v>
      </c>
      <c r="K20" s="383">
        <f t="shared" si="9"/>
        <v>980.10962066488059</v>
      </c>
      <c r="L20" s="383">
        <f t="shared" si="9"/>
        <v>1019.7191391009434</v>
      </c>
      <c r="M20" s="383">
        <f t="shared" si="9"/>
        <v>1060.9294110829944</v>
      </c>
      <c r="N20" s="383">
        <f t="shared" si="9"/>
        <v>1103.8051284330045</v>
      </c>
      <c r="O20" s="383">
        <f t="shared" si="9"/>
        <v>1148.4135973865366</v>
      </c>
      <c r="P20" s="383">
        <f t="shared" si="9"/>
        <v>1194.8248442499735</v>
      </c>
      <c r="Q20" s="383">
        <f t="shared" si="9"/>
        <v>1243.1117253277046</v>
      </c>
      <c r="R20" s="383">
        <f t="shared" si="9"/>
        <v>1293.3500412918415</v>
      </c>
      <c r="S20" s="383">
        <f t="shared" si="9"/>
        <v>1345.6186561740014</v>
      </c>
      <c r="T20" s="383">
        <f t="shared" si="9"/>
        <v>1399.9996211659345</v>
      </c>
      <c r="U20" s="383">
        <f t="shared" si="9"/>
        <v>1456.5783034233689</v>
      </c>
      <c r="V20" s="383">
        <f t="shared" si="9"/>
        <v>1515.4435200752353</v>
      </c>
      <c r="W20" s="383">
        <f t="shared" si="9"/>
        <v>1576.6876776486627</v>
      </c>
      <c r="X20" s="383">
        <f t="shared" si="9"/>
        <v>1640.4069171286012</v>
      </c>
      <c r="Y20" s="383">
        <f t="shared" si="9"/>
        <v>1706.701264879797</v>
      </c>
      <c r="Z20" s="383">
        <f t="shared" si="9"/>
        <v>1775.6747896680224</v>
      </c>
      <c r="AA20" s="383">
        <f t="shared" si="9"/>
        <v>1847.4357660270707</v>
      </c>
      <c r="AB20" s="383">
        <f t="shared" si="9"/>
        <v>1922.0968442279454</v>
      </c>
      <c r="AC20" s="383">
        <f t="shared" si="9"/>
        <v>1999.7752271170934</v>
      </c>
      <c r="AD20" s="383">
        <f t="shared" si="9"/>
        <v>2080.5928541012477</v>
      </c>
      <c r="AE20" s="383">
        <f t="shared" si="9"/>
        <v>2164.676592567725</v>
      </c>
      <c r="AF20" s="383">
        <f t="shared" si="9"/>
        <v>2252.1584370406531</v>
      </c>
      <c r="AG20" s="383">
        <f t="shared" si="9"/>
        <v>2343.1757163857733</v>
      </c>
      <c r="AH20" s="383">
        <f t="shared" si="9"/>
        <v>2437.8713093890906</v>
      </c>
      <c r="AI20" s="383">
        <f t="shared" si="9"/>
        <v>2536.393869047763</v>
      </c>
      <c r="AJ20" s="383">
        <f t="shared" si="9"/>
        <v>2638.8980559253614</v>
      </c>
      <c r="AK20" s="383">
        <f t="shared" si="9"/>
        <v>2745.5447809377706</v>
      </c>
      <c r="AL20" s="383">
        <f t="shared" ref="AL20" si="10">AL18</f>
        <v>2856.501457950917</v>
      </c>
    </row>
    <row r="22" spans="2:38" ht="13">
      <c r="B22" s="502" t="s">
        <v>506</v>
      </c>
      <c r="C22" s="542">
        <f>SUMIFS('Crossing Inputs'!$C$67:$H$67,'Crossing Inputs'!$C$49:$H$49,$A$1)</f>
        <v>0.9</v>
      </c>
    </row>
    <row r="23" spans="2:38" ht="13">
      <c r="B23" s="502" t="s">
        <v>507</v>
      </c>
      <c r="C23" s="542">
        <f>SUMIFS('Crossing Inputs'!$C$68:$H$68,'Crossing Inputs'!$C$49:$H$49,$A$1)</f>
        <v>0.1</v>
      </c>
    </row>
    <row r="24" spans="2:38" ht="13">
      <c r="B24" s="502" t="s">
        <v>746</v>
      </c>
      <c r="C24" s="542">
        <f>SUMIFS('Crossing Inputs'!$C$69:$H$69,'Crossing Inputs'!$C$49:$H$49,$A$1)</f>
        <v>0</v>
      </c>
    </row>
    <row r="25" spans="2:38">
      <c r="B25" s="358" t="s">
        <v>508</v>
      </c>
      <c r="C25" s="358" t="s">
        <v>443</v>
      </c>
      <c r="D25" s="576">
        <f>D$20*$C22</f>
        <v>668.46047401392207</v>
      </c>
      <c r="E25" s="576">
        <f t="shared" ref="E25:AK27" si="11">E$20*$C22</f>
        <v>695.47520472462782</v>
      </c>
      <c r="F25" s="576">
        <f t="shared" si="11"/>
        <v>723.58169134872298</v>
      </c>
      <c r="G25" s="576">
        <f t="shared" si="11"/>
        <v>752.82405540595175</v>
      </c>
      <c r="H25" s="576">
        <f t="shared" si="11"/>
        <v>783.24820151471567</v>
      </c>
      <c r="I25" s="576">
        <f t="shared" si="11"/>
        <v>814.901889453075</v>
      </c>
      <c r="J25" s="576">
        <f t="shared" si="11"/>
        <v>847.83480913197525</v>
      </c>
      <c r="K25" s="576">
        <f t="shared" si="11"/>
        <v>882.0986585983926</v>
      </c>
      <c r="L25" s="576">
        <f t="shared" si="11"/>
        <v>917.74722519084901</v>
      </c>
      <c r="M25" s="576">
        <f t="shared" si="11"/>
        <v>954.83646997469498</v>
      </c>
      <c r="N25" s="576">
        <f t="shared" si="11"/>
        <v>993.4246155897041</v>
      </c>
      <c r="O25" s="576">
        <f>O$20*$C22</f>
        <v>1033.572237647883</v>
      </c>
      <c r="P25" s="576">
        <f t="shared" si="11"/>
        <v>1075.3423598249763</v>
      </c>
      <c r="Q25" s="576">
        <f t="shared" si="11"/>
        <v>1118.8005527949342</v>
      </c>
      <c r="R25" s="576">
        <f t="shared" si="11"/>
        <v>1164.0150371626573</v>
      </c>
      <c r="S25" s="576">
        <f t="shared" si="11"/>
        <v>1211.0567905566013</v>
      </c>
      <c r="T25" s="576">
        <f t="shared" si="11"/>
        <v>1259.9996590493411</v>
      </c>
      <c r="U25" s="576">
        <f t="shared" si="11"/>
        <v>1310.920473081032</v>
      </c>
      <c r="V25" s="576">
        <f t="shared" si="11"/>
        <v>1363.8991680677118</v>
      </c>
      <c r="W25" s="576">
        <f t="shared" si="11"/>
        <v>1419.0189098837964</v>
      </c>
      <c r="X25" s="576">
        <f t="shared" si="11"/>
        <v>1476.3662254157412</v>
      </c>
      <c r="Y25" s="576">
        <f t="shared" si="11"/>
        <v>1536.0311383918174</v>
      </c>
      <c r="Z25" s="576">
        <f t="shared" si="11"/>
        <v>1598.1073107012203</v>
      </c>
      <c r="AA25" s="576">
        <f t="shared" si="11"/>
        <v>1662.6921894243637</v>
      </c>
      <c r="AB25" s="576">
        <f t="shared" si="11"/>
        <v>1729.887159805151</v>
      </c>
      <c r="AC25" s="576">
        <f t="shared" si="11"/>
        <v>1799.7977044053841</v>
      </c>
      <c r="AD25" s="576">
        <f t="shared" si="11"/>
        <v>1872.533568691123</v>
      </c>
      <c r="AE25" s="576">
        <f t="shared" si="11"/>
        <v>1948.2089333109525</v>
      </c>
      <c r="AF25" s="576">
        <f t="shared" si="11"/>
        <v>2026.9425933365878</v>
      </c>
      <c r="AG25" s="576">
        <f t="shared" si="11"/>
        <v>2108.8581447471961</v>
      </c>
      <c r="AH25" s="576">
        <f t="shared" si="11"/>
        <v>2194.0841784501818</v>
      </c>
      <c r="AI25" s="576">
        <f t="shared" si="11"/>
        <v>2282.7544821429869</v>
      </c>
      <c r="AJ25" s="576">
        <f t="shared" si="11"/>
        <v>2375.0082503328254</v>
      </c>
      <c r="AK25" s="576">
        <f t="shared" si="11"/>
        <v>2470.9903028439935</v>
      </c>
      <c r="AL25" s="576">
        <f t="shared" ref="AL25" si="12">AL$20*$C22</f>
        <v>2570.8513121558253</v>
      </c>
    </row>
    <row r="26" spans="2:38">
      <c r="B26" s="358" t="s">
        <v>509</v>
      </c>
      <c r="C26" s="358" t="s">
        <v>443</v>
      </c>
      <c r="D26" s="576">
        <f t="shared" ref="D26:S27" si="13">D$20*$C23</f>
        <v>74.273386001546896</v>
      </c>
      <c r="E26" s="576">
        <f t="shared" si="13"/>
        <v>77.27502274718087</v>
      </c>
      <c r="F26" s="576">
        <f t="shared" si="13"/>
        <v>80.397965705413668</v>
      </c>
      <c r="G26" s="576">
        <f t="shared" si="13"/>
        <v>83.647117267327985</v>
      </c>
      <c r="H26" s="576">
        <f t="shared" si="13"/>
        <v>87.027577946079532</v>
      </c>
      <c r="I26" s="576">
        <f t="shared" si="13"/>
        <v>90.544654383674995</v>
      </c>
      <c r="J26" s="576">
        <f t="shared" si="13"/>
        <v>94.203867681330593</v>
      </c>
      <c r="K26" s="576">
        <f t="shared" si="13"/>
        <v>98.010962066488062</v>
      </c>
      <c r="L26" s="576">
        <f t="shared" si="13"/>
        <v>101.97191391009434</v>
      </c>
      <c r="M26" s="576">
        <f t="shared" si="13"/>
        <v>106.09294110829944</v>
      </c>
      <c r="N26" s="576">
        <f t="shared" si="13"/>
        <v>110.38051284330045</v>
      </c>
      <c r="O26" s="576">
        <f t="shared" si="13"/>
        <v>114.84135973865367</v>
      </c>
      <c r="P26" s="576">
        <f t="shared" si="13"/>
        <v>119.48248442499735</v>
      </c>
      <c r="Q26" s="576">
        <f t="shared" si="13"/>
        <v>124.31117253277046</v>
      </c>
      <c r="R26" s="576">
        <f t="shared" si="13"/>
        <v>129.33500412918417</v>
      </c>
      <c r="S26" s="576">
        <f t="shared" si="13"/>
        <v>134.56186561740014</v>
      </c>
      <c r="T26" s="576">
        <f t="shared" si="11"/>
        <v>139.99996211659345</v>
      </c>
      <c r="U26" s="576">
        <f t="shared" si="11"/>
        <v>145.65783034233689</v>
      </c>
      <c r="V26" s="576">
        <f t="shared" si="11"/>
        <v>151.54435200752354</v>
      </c>
      <c r="W26" s="576">
        <f t="shared" si="11"/>
        <v>157.66876776486629</v>
      </c>
      <c r="X26" s="576">
        <f t="shared" si="11"/>
        <v>164.04069171286014</v>
      </c>
      <c r="Y26" s="576">
        <f t="shared" si="11"/>
        <v>170.6701264879797</v>
      </c>
      <c r="Z26" s="576">
        <f t="shared" si="11"/>
        <v>177.56747896680224</v>
      </c>
      <c r="AA26" s="576">
        <f t="shared" si="11"/>
        <v>184.74357660270709</v>
      </c>
      <c r="AB26" s="576">
        <f t="shared" si="11"/>
        <v>192.20968442279457</v>
      </c>
      <c r="AC26" s="576">
        <f t="shared" si="11"/>
        <v>199.97752271170936</v>
      </c>
      <c r="AD26" s="576">
        <f t="shared" si="11"/>
        <v>208.05928541012477</v>
      </c>
      <c r="AE26" s="576">
        <f t="shared" si="11"/>
        <v>216.46765925677252</v>
      </c>
      <c r="AF26" s="576">
        <f t="shared" si="11"/>
        <v>225.21584370406532</v>
      </c>
      <c r="AG26" s="576">
        <f t="shared" si="11"/>
        <v>234.31757163857733</v>
      </c>
      <c r="AH26" s="576">
        <f t="shared" si="11"/>
        <v>243.78713093890906</v>
      </c>
      <c r="AI26" s="576">
        <f t="shared" si="11"/>
        <v>253.6393869047763</v>
      </c>
      <c r="AJ26" s="576">
        <f t="shared" si="11"/>
        <v>263.88980559253616</v>
      </c>
      <c r="AK26" s="576">
        <f t="shared" si="11"/>
        <v>274.55447809377705</v>
      </c>
      <c r="AL26" s="576">
        <f t="shared" ref="AL26" si="14">AL$20*$C23</f>
        <v>285.6501457950917</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1172" t="s">
        <v>788</v>
      </c>
      <c r="C32" s="358" t="s">
        <v>295</v>
      </c>
      <c r="D32" s="383">
        <f>D25*$C29</f>
        <v>238.97461945997713</v>
      </c>
      <c r="E32" s="383">
        <f t="shared" ref="E32:AK32" si="16">E25*$C29</f>
        <v>248.63238568905444</v>
      </c>
      <c r="F32" s="383">
        <f t="shared" si="16"/>
        <v>258.68045465716847</v>
      </c>
      <c r="G32" s="383">
        <f t="shared" si="16"/>
        <v>269.13459980762775</v>
      </c>
      <c r="H32" s="383">
        <f t="shared" si="16"/>
        <v>280.01123204151082</v>
      </c>
      <c r="I32" s="383">
        <f t="shared" si="16"/>
        <v>291.3274254794743</v>
      </c>
      <c r="J32" s="383">
        <f t="shared" si="16"/>
        <v>303.10094426468112</v>
      </c>
      <c r="K32" s="383">
        <f t="shared" si="16"/>
        <v>315.35027044892536</v>
      </c>
      <c r="L32" s="383">
        <f t="shared" si="16"/>
        <v>328.0946330057285</v>
      </c>
      <c r="M32" s="383">
        <f t="shared" si="16"/>
        <v>341.35403801595345</v>
      </c>
      <c r="N32" s="383">
        <f t="shared" si="16"/>
        <v>355.14930007331918</v>
      </c>
      <c r="O32" s="383">
        <f t="shared" si="16"/>
        <v>369.50207495911815</v>
      </c>
      <c r="P32" s="383">
        <f t="shared" si="16"/>
        <v>384.43489363742901</v>
      </c>
      <c r="Q32" s="383">
        <f t="shared" si="16"/>
        <v>399.97119762418896</v>
      </c>
      <c r="R32" s="383">
        <f t="shared" si="16"/>
        <v>416.13537578564996</v>
      </c>
      <c r="S32" s="383">
        <f t="shared" si="16"/>
        <v>432.95280262398495</v>
      </c>
      <c r="T32" s="383">
        <f t="shared" si="16"/>
        <v>450.44987811013942</v>
      </c>
      <c r="U32" s="383">
        <f t="shared" si="16"/>
        <v>468.65406912646893</v>
      </c>
      <c r="V32" s="383">
        <f t="shared" si="16"/>
        <v>487.59395258420693</v>
      </c>
      <c r="W32" s="383">
        <f t="shared" si="16"/>
        <v>507.29926028345716</v>
      </c>
      <c r="X32" s="383">
        <f t="shared" si="16"/>
        <v>527.80092558612739</v>
      </c>
      <c r="Y32" s="383">
        <f t="shared" si="16"/>
        <v>549.13113197507471</v>
      </c>
      <c r="Z32" s="383">
        <f t="shared" si="16"/>
        <v>571.32336357568624</v>
      </c>
      <c r="AA32" s="383">
        <f t="shared" si="16"/>
        <v>594.41245771921001</v>
      </c>
      <c r="AB32" s="383">
        <f t="shared" si="16"/>
        <v>618.43465963034146</v>
      </c>
      <c r="AC32" s="383">
        <f t="shared" si="16"/>
        <v>643.42767932492484</v>
      </c>
      <c r="AD32" s="383">
        <f t="shared" si="16"/>
        <v>669.43075080707649</v>
      </c>
      <c r="AE32" s="383">
        <f t="shared" si="16"/>
        <v>696.48469365866549</v>
      </c>
      <c r="AF32" s="383">
        <f t="shared" si="16"/>
        <v>724.63197711783016</v>
      </c>
      <c r="AG32" s="383">
        <f t="shared" si="16"/>
        <v>753.91678674712261</v>
      </c>
      <c r="AH32" s="383">
        <f t="shared" si="16"/>
        <v>784.38509379593995</v>
      </c>
      <c r="AI32" s="383">
        <f t="shared" si="16"/>
        <v>816.08472736611782</v>
      </c>
      <c r="AJ32" s="383">
        <f t="shared" si="16"/>
        <v>849.06544949398506</v>
      </c>
      <c r="AK32" s="383">
        <f t="shared" si="16"/>
        <v>883.37903326672767</v>
      </c>
      <c r="AL32" s="383">
        <f t="shared" ref="AL32" si="17">AL25*$C29</f>
        <v>919.07934409570748</v>
      </c>
    </row>
    <row r="33" spans="1:38">
      <c r="B33" s="1172" t="s">
        <v>789</v>
      </c>
      <c r="C33" s="358" t="s">
        <v>295</v>
      </c>
      <c r="D33" s="383">
        <f>D26*$C30+D27*$C31</f>
        <v>62.389644241299393</v>
      </c>
      <c r="E33" s="383">
        <f t="shared" ref="E33:AK33" si="18">E26*$C30+E27*$C31</f>
        <v>64.91101910763193</v>
      </c>
      <c r="F33" s="383">
        <f t="shared" si="18"/>
        <v>67.534291192547485</v>
      </c>
      <c r="G33" s="383">
        <f t="shared" si="18"/>
        <v>70.263578504555511</v>
      </c>
      <c r="H33" s="383">
        <f t="shared" si="18"/>
        <v>73.103165474706799</v>
      </c>
      <c r="I33" s="383">
        <f t="shared" si="18"/>
        <v>76.057509682286991</v>
      </c>
      <c r="J33" s="383">
        <f t="shared" si="18"/>
        <v>79.131248852317697</v>
      </c>
      <c r="K33" s="383">
        <f t="shared" si="18"/>
        <v>82.329208135849967</v>
      </c>
      <c r="L33" s="383">
        <f t="shared" si="18"/>
        <v>85.656407684479248</v>
      </c>
      <c r="M33" s="383">
        <f t="shared" si="18"/>
        <v>89.118070530971522</v>
      </c>
      <c r="N33" s="383">
        <f t="shared" si="18"/>
        <v>92.71963078837237</v>
      </c>
      <c r="O33" s="383">
        <f t="shared" si="18"/>
        <v>96.466742180469069</v>
      </c>
      <c r="P33" s="383">
        <f t="shared" si="18"/>
        <v>100.36528691699777</v>
      </c>
      <c r="Q33" s="383">
        <f t="shared" si="18"/>
        <v>104.42138492752719</v>
      </c>
      <c r="R33" s="383">
        <f t="shared" si="18"/>
        <v>108.6414034685147</v>
      </c>
      <c r="S33" s="383">
        <f t="shared" si="18"/>
        <v>113.03196711861612</v>
      </c>
      <c r="T33" s="383">
        <f t="shared" si="18"/>
        <v>117.59996817793849</v>
      </c>
      <c r="U33" s="383">
        <f t="shared" si="18"/>
        <v>122.35257748756298</v>
      </c>
      <c r="V33" s="383">
        <f t="shared" si="18"/>
        <v>127.29725568631977</v>
      </c>
      <c r="W33" s="383">
        <f t="shared" si="18"/>
        <v>132.44176492248766</v>
      </c>
      <c r="X33" s="383">
        <f t="shared" si="18"/>
        <v>137.79418103880252</v>
      </c>
      <c r="Y33" s="383">
        <f t="shared" si="18"/>
        <v>143.36290624990295</v>
      </c>
      <c r="Z33" s="383">
        <f t="shared" si="18"/>
        <v>149.15668233211389</v>
      </c>
      <c r="AA33" s="383">
        <f t="shared" si="18"/>
        <v>155.18460434627394</v>
      </c>
      <c r="AB33" s="383">
        <f t="shared" si="18"/>
        <v>161.45613491514743</v>
      </c>
      <c r="AC33" s="383">
        <f t="shared" si="18"/>
        <v>167.98111907783584</v>
      </c>
      <c r="AD33" s="383">
        <f t="shared" si="18"/>
        <v>174.76979974450481</v>
      </c>
      <c r="AE33" s="383">
        <f t="shared" si="18"/>
        <v>181.8328337756889</v>
      </c>
      <c r="AF33" s="383">
        <f t="shared" si="18"/>
        <v>189.18130871141486</v>
      </c>
      <c r="AG33" s="383">
        <f t="shared" si="18"/>
        <v>196.82676017640495</v>
      </c>
      <c r="AH33" s="383">
        <f t="shared" si="18"/>
        <v>204.78118998868359</v>
      </c>
      <c r="AI33" s="383">
        <f t="shared" si="18"/>
        <v>213.05708500001208</v>
      </c>
      <c r="AJ33" s="383">
        <f t="shared" si="18"/>
        <v>221.66743669773038</v>
      </c>
      <c r="AK33" s="383">
        <f t="shared" si="18"/>
        <v>230.62576159877273</v>
      </c>
      <c r="AL33" s="383">
        <f t="shared" ref="AL33" si="19">AL26*$C30+AL27*$C31</f>
        <v>239.94612246787702</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Demand!F61</f>
        <v>6.0636386466438061</v>
      </c>
      <c r="E37" s="383">
        <f>Demand!G61</f>
        <v>6.1279522728453877</v>
      </c>
      <c r="F37" s="383">
        <f>Demand!H61</f>
        <v>6.1929480377356736</v>
      </c>
      <c r="G37" s="383">
        <f>Demand!I61</f>
        <v>6.2586331763784937</v>
      </c>
      <c r="H37" s="383">
        <f>Demand!J61</f>
        <v>8.4333533341012696</v>
      </c>
      <c r="I37" s="383">
        <f>Demand!K61</f>
        <v>8.5228011995764756</v>
      </c>
      <c r="J37" s="383">
        <f>Demand!L61</f>
        <v>8.6131977885690176</v>
      </c>
      <c r="K37" s="383">
        <f>Demand!M61</f>
        <v>8.7045531636590106</v>
      </c>
      <c r="L37" s="383">
        <f>Demand!N61</f>
        <v>8.7968774941547299</v>
      </c>
      <c r="M37" s="383">
        <f>Demand!O61</f>
        <v>8.8901810572246251</v>
      </c>
      <c r="N37" s="383">
        <f>Demand!P61</f>
        <v>8.9844742390413206</v>
      </c>
      <c r="O37" s="383">
        <f>Demand!Q61</f>
        <v>9.0797675359377763</v>
      </c>
      <c r="P37" s="383">
        <f>Demand!R61</f>
        <v>9.1760715555756835</v>
      </c>
      <c r="Q37" s="383">
        <f>Demand!S61</f>
        <v>9.2733970181262784</v>
      </c>
      <c r="R37" s="383">
        <f>Demand!T61</f>
        <v>9.3717547574636537</v>
      </c>
      <c r="S37" s="383">
        <f>Demand!U61</f>
        <v>9.4711557223707619</v>
      </c>
      <c r="T37" s="383">
        <f>Demand!V61</f>
        <v>9.5716109777581639</v>
      </c>
      <c r="U37" s="383">
        <f>Demand!W61</f>
        <v>9.6731317058957522</v>
      </c>
      <c r="V37" s="383">
        <f>Demand!X61</f>
        <v>9.775729207657502</v>
      </c>
      <c r="W37" s="383">
        <f>Demand!Y61</f>
        <v>9.8794149037794448</v>
      </c>
      <c r="X37" s="383">
        <f>Demand!Z61</f>
        <v>9.9842003361309732</v>
      </c>
      <c r="Y37" s="383">
        <f>Demand!AA61</f>
        <v>10.090097168999641</v>
      </c>
      <c r="Z37" s="383">
        <f>Demand!AB61</f>
        <v>10.19711719038958</v>
      </c>
      <c r="AA37" s="383">
        <f>Demand!AC61</f>
        <v>10.305272313333695</v>
      </c>
      <c r="AB37" s="383">
        <f>Demand!AD61</f>
        <v>10.414574577219767</v>
      </c>
      <c r="AC37" s="383">
        <f>Demand!AE61</f>
        <v>10.525036149130644</v>
      </c>
      <c r="AD37" s="383">
        <f>Demand!AF61</f>
        <v>10.636669325198612</v>
      </c>
      <c r="AE37" s="383">
        <f>Demand!AG61</f>
        <v>10.749486531974167</v>
      </c>
      <c r="AF37" s="383">
        <f>Demand!AH61</f>
        <v>10.863500327809277</v>
      </c>
      <c r="AG37" s="383">
        <f>Demand!AI61</f>
        <v>10.978723404255332</v>
      </c>
      <c r="AH37" s="383">
        <f>Demand!AJ61</f>
        <v>11.095168587475913</v>
      </c>
      <c r="AI37" s="383">
        <f>Demand!AK61</f>
        <v>11.212848839674553</v>
      </c>
      <c r="AJ37" s="383">
        <f>Demand!AL61</f>
        <v>11.331777260537629</v>
      </c>
      <c r="AK37" s="383">
        <f>Demand!AM61</f>
        <v>11.451967088692575</v>
      </c>
      <c r="AL37" s="383">
        <f>Demand!AN61</f>
        <v>11.573431703181543</v>
      </c>
    </row>
    <row r="38" spans="1:38">
      <c r="B38" s="363" t="s">
        <v>645</v>
      </c>
      <c r="C38" s="358" t="s">
        <v>1054</v>
      </c>
      <c r="D38" s="383">
        <f>Demand!F62</f>
        <v>2.021212882214602</v>
      </c>
      <c r="E38" s="383">
        <f>Demand!G62</f>
        <v>2.0426507576151294</v>
      </c>
      <c r="F38" s="383">
        <f>Demand!H62</f>
        <v>2.064316012578558</v>
      </c>
      <c r="G38" s="383">
        <f>Demand!I62</f>
        <v>2.0862110587928311</v>
      </c>
      <c r="H38" s="383">
        <f>Demand!J62</f>
        <v>3.1625075002879761</v>
      </c>
      <c r="I38" s="383">
        <f>Demand!K62</f>
        <v>3.1960504498411781</v>
      </c>
      <c r="J38" s="383">
        <f>Demand!L62</f>
        <v>3.2299491707133816</v>
      </c>
      <c r="K38" s="383">
        <f>Demand!M62</f>
        <v>3.264207436372129</v>
      </c>
      <c r="L38" s="383">
        <f>Demand!N62</f>
        <v>3.2988290603080239</v>
      </c>
      <c r="M38" s="383">
        <f>Demand!O62</f>
        <v>3.3338178964592347</v>
      </c>
      <c r="N38" s="383">
        <f>Demand!P62</f>
        <v>3.3691778396404954</v>
      </c>
      <c r="O38" s="383">
        <f>Demand!Q62</f>
        <v>3.4049128259766661</v>
      </c>
      <c r="P38" s="383">
        <f>Demand!R62</f>
        <v>3.4410268333408816</v>
      </c>
      <c r="Q38" s="383">
        <f>Demand!S62</f>
        <v>3.4775238817973544</v>
      </c>
      <c r="R38" s="383">
        <f>Demand!T62</f>
        <v>3.5144080340488699</v>
      </c>
      <c r="S38" s="383">
        <f>Demand!U62</f>
        <v>3.5516833958890359</v>
      </c>
      <c r="T38" s="383">
        <f>Demand!V62</f>
        <v>3.5893541166593117</v>
      </c>
      <c r="U38" s="383">
        <f>Demand!W62</f>
        <v>3.6274243897109071</v>
      </c>
      <c r="V38" s="383">
        <f>Demand!X62</f>
        <v>3.6658984528715632</v>
      </c>
      <c r="W38" s="383">
        <f>Demand!Y62</f>
        <v>3.7047805889172918</v>
      </c>
      <c r="X38" s="383">
        <f>Demand!Z62</f>
        <v>3.7440751260491147</v>
      </c>
      <c r="Y38" s="383">
        <f>Demand!AA62</f>
        <v>3.7837864383748654</v>
      </c>
      <c r="Z38" s="383">
        <f>Demand!AB62</f>
        <v>3.8239189463960925</v>
      </c>
      <c r="AA38" s="383">
        <f>Demand!AC62</f>
        <v>3.8644771175001358</v>
      </c>
      <c r="AB38" s="383">
        <f>Demand!AD62</f>
        <v>3.9054654664574127</v>
      </c>
      <c r="AC38" s="383">
        <f>Demand!AE62</f>
        <v>3.9468885559239917</v>
      </c>
      <c r="AD38" s="383">
        <f>Demand!AF62</f>
        <v>3.9887509969494799</v>
      </c>
      <c r="AE38" s="383">
        <f>Demand!AG62</f>
        <v>4.0310574494903122</v>
      </c>
      <c r="AF38" s="383">
        <f>Demand!AH62</f>
        <v>4.0738126229284788</v>
      </c>
      <c r="AG38" s="383">
        <f>Demand!AI62</f>
        <v>4.1170212765957492</v>
      </c>
      <c r="AH38" s="383">
        <f>Demand!AJ62</f>
        <v>4.1606882203034674</v>
      </c>
      <c r="AI38" s="383">
        <f>Demand!AK62</f>
        <v>4.2048183148779579</v>
      </c>
      <c r="AJ38" s="383">
        <f>Demand!AL62</f>
        <v>4.2494164727016113</v>
      </c>
      <c r="AK38" s="383">
        <f>Demand!AM62</f>
        <v>4.2944876582597153</v>
      </c>
      <c r="AL38" s="383">
        <f>Demand!AN62</f>
        <v>4.3400368886930787</v>
      </c>
    </row>
    <row r="40" spans="1:38">
      <c r="B40" s="571" t="s">
        <v>1058</v>
      </c>
      <c r="C40" s="572" t="s">
        <v>15</v>
      </c>
      <c r="D40" s="570">
        <f t="shared" ref="D40:AL40" si="20">(D$37*$C$13)/Minutes.Per.Day</f>
        <v>3.789774154152379E-2</v>
      </c>
      <c r="E40" s="570">
        <f t="shared" si="20"/>
        <v>3.8299701705283677E-2</v>
      </c>
      <c r="F40" s="570">
        <f t="shared" si="20"/>
        <v>3.8705925235847961E-2</v>
      </c>
      <c r="G40" s="570">
        <f t="shared" si="20"/>
        <v>3.9116457352365588E-2</v>
      </c>
      <c r="H40" s="570">
        <f t="shared" si="20"/>
        <v>5.2708458338132938E-2</v>
      </c>
      <c r="I40" s="570">
        <f t="shared" si="20"/>
        <v>5.3267507497352977E-2</v>
      </c>
      <c r="J40" s="570">
        <f t="shared" si="20"/>
        <v>5.3832486178556356E-2</v>
      </c>
      <c r="K40" s="570">
        <f t="shared" si="20"/>
        <v>5.440345727286882E-2</v>
      </c>
      <c r="L40" s="570">
        <f t="shared" si="20"/>
        <v>5.4980484338467063E-2</v>
      </c>
      <c r="M40" s="570">
        <f t="shared" si="20"/>
        <v>5.5563631607653909E-2</v>
      </c>
      <c r="N40" s="570">
        <f t="shared" si="20"/>
        <v>5.6152963994008251E-2</v>
      </c>
      <c r="O40" s="570">
        <f t="shared" si="20"/>
        <v>5.67485470996111E-2</v>
      </c>
      <c r="P40" s="570">
        <f t="shared" si="20"/>
        <v>5.7350447222348028E-2</v>
      </c>
      <c r="Q40" s="570">
        <f t="shared" si="20"/>
        <v>5.7958731363289238E-2</v>
      </c>
      <c r="R40" s="570">
        <f t="shared" si="20"/>
        <v>5.857346723414783E-2</v>
      </c>
      <c r="S40" s="570">
        <f t="shared" si="20"/>
        <v>5.9194723264817263E-2</v>
      </c>
      <c r="T40" s="570">
        <f t="shared" si="20"/>
        <v>5.982256861098853E-2</v>
      </c>
      <c r="U40" s="570">
        <f t="shared" si="20"/>
        <v>6.0457073161848451E-2</v>
      </c>
      <c r="V40" s="570">
        <f t="shared" si="20"/>
        <v>6.1098307547859387E-2</v>
      </c>
      <c r="W40" s="570">
        <f t="shared" si="20"/>
        <v>6.1746343148621534E-2</v>
      </c>
      <c r="X40" s="570">
        <f t="shared" si="20"/>
        <v>6.240125210081858E-2</v>
      </c>
      <c r="Y40" s="570">
        <f t="shared" si="20"/>
        <v>6.3063107306247757E-2</v>
      </c>
      <c r="Z40" s="570">
        <f t="shared" si="20"/>
        <v>6.3731982439934873E-2</v>
      </c>
      <c r="AA40" s="570">
        <f t="shared" si="20"/>
        <v>6.4407951958335596E-2</v>
      </c>
      <c r="AB40" s="570">
        <f t="shared" si="20"/>
        <v>6.5091091107623539E-2</v>
      </c>
      <c r="AC40" s="570">
        <f t="shared" si="20"/>
        <v>6.5781475932066527E-2</v>
      </c>
      <c r="AD40" s="570">
        <f t="shared" si="20"/>
        <v>6.6479183282491333E-2</v>
      </c>
      <c r="AE40" s="570">
        <f t="shared" si="20"/>
        <v>6.7184290824838552E-2</v>
      </c>
      <c r="AF40" s="570">
        <f t="shared" si="20"/>
        <v>6.789687704880798E-2</v>
      </c>
      <c r="AG40" s="570">
        <f t="shared" si="20"/>
        <v>6.861702127659583E-2</v>
      </c>
      <c r="AH40" s="570">
        <f t="shared" si="20"/>
        <v>6.934480367172445E-2</v>
      </c>
      <c r="AI40" s="570">
        <f t="shared" si="20"/>
        <v>7.0080305247965949E-2</v>
      </c>
      <c r="AJ40" s="570">
        <f t="shared" si="20"/>
        <v>7.0823607878360187E-2</v>
      </c>
      <c r="AK40" s="570">
        <f t="shared" si="20"/>
        <v>7.1574794304328587E-2</v>
      </c>
      <c r="AL40" s="570">
        <f t="shared" si="20"/>
        <v>7.2333948144884641E-2</v>
      </c>
    </row>
    <row r="42" spans="1:38">
      <c r="B42" s="573" t="s">
        <v>1055</v>
      </c>
      <c r="C42" s="574" t="s">
        <v>505</v>
      </c>
      <c r="D42" s="383">
        <f t="shared" ref="D42:AK42" si="21">D6*D40</f>
        <v>27.131830502848185</v>
      </c>
      <c r="E42" s="383">
        <f t="shared" si="21"/>
        <v>28.228318811755567</v>
      </c>
      <c r="F42" s="383">
        <f t="shared" si="21"/>
        <v>29.369119892388554</v>
      </c>
      <c r="G42" s="383">
        <f t="shared" si="21"/>
        <v>30.556024572539897</v>
      </c>
      <c r="H42" s="383">
        <f t="shared" si="21"/>
        <v>42.387861404483182</v>
      </c>
      <c r="I42" s="383">
        <f t="shared" si="21"/>
        <v>44.100897112292245</v>
      </c>
      <c r="J42" s="383">
        <f t="shared" si="21"/>
        <v>45.883162340982935</v>
      </c>
      <c r="K42" s="383">
        <f t="shared" si="21"/>
        <v>47.73745488778718</v>
      </c>
      <c r="L42" s="383">
        <f t="shared" si="21"/>
        <v>49.66668561831078</v>
      </c>
      <c r="M42" s="383">
        <f t="shared" si="21"/>
        <v>51.673883036005812</v>
      </c>
      <c r="N42" s="383">
        <f t="shared" si="21"/>
        <v>53.762198036310714</v>
      </c>
      <c r="O42" s="383">
        <f t="shared" si="21"/>
        <v>55.934908852921119</v>
      </c>
      <c r="P42" s="383">
        <f t="shared" si="21"/>
        <v>58.195426203956096</v>
      </c>
      <c r="Q42" s="383">
        <f t="shared" si="21"/>
        <v>60.547298646098241</v>
      </c>
      <c r="R42" s="383">
        <f t="shared" si="21"/>
        <v>62.994218145112519</v>
      </c>
      <c r="S42" s="383">
        <f t="shared" si="21"/>
        <v>65.540025871488638</v>
      </c>
      <c r="T42" s="383">
        <f t="shared" si="21"/>
        <v>68.188718230304275</v>
      </c>
      <c r="U42" s="383">
        <f t="shared" si="21"/>
        <v>70.944453134775955</v>
      </c>
      <c r="V42" s="383">
        <f t="shared" si="21"/>
        <v>73.811556533344785</v>
      </c>
      <c r="W42" s="383">
        <f t="shared" si="21"/>
        <v>76.794529200543693</v>
      </c>
      <c r="X42" s="383">
        <f t="shared" si="21"/>
        <v>79.898053802306308</v>
      </c>
      <c r="Y42" s="383">
        <f t="shared" si="21"/>
        <v>83.127002246808985</v>
      </c>
      <c r="Z42" s="383">
        <f t="shared" si="21"/>
        <v>86.486443332384653</v>
      </c>
      <c r="AA42" s="383">
        <f t="shared" si="21"/>
        <v>89.981650704514848</v>
      </c>
      <c r="AB42" s="383">
        <f t="shared" si="21"/>
        <v>93.618111134390006</v>
      </c>
      <c r="AC42" s="383">
        <f t="shared" si="21"/>
        <v>97.401533132034999</v>
      </c>
      <c r="AD42" s="383">
        <f t="shared" si="21"/>
        <v>101.33785590751896</v>
      </c>
      <c r="AE42" s="383">
        <f t="shared" si="21"/>
        <v>105.43325869431847</v>
      </c>
      <c r="AF42" s="383">
        <f t="shared" si="21"/>
        <v>109.69417044946861</v>
      </c>
      <c r="AG42" s="383">
        <f t="shared" si="21"/>
        <v>114.12727994573022</v>
      </c>
      <c r="AH42" s="383">
        <f t="shared" si="21"/>
        <v>118.73954627161473</v>
      </c>
      <c r="AI42" s="383">
        <f t="shared" si="21"/>
        <v>123.53820975575103</v>
      </c>
      <c r="AJ42" s="383">
        <f t="shared" si="21"/>
        <v>128.53080333274207</v>
      </c>
      <c r="AK42" s="383">
        <f t="shared" si="21"/>
        <v>133.72516436835411</v>
      </c>
      <c r="AL42" s="383">
        <f t="shared" ref="AL42" si="22">AL6*AL40</f>
        <v>139.12944696260172</v>
      </c>
    </row>
    <row r="43" spans="1:38">
      <c r="B43" s="573" t="s">
        <v>1056</v>
      </c>
      <c r="C43" s="574" t="s">
        <v>490</v>
      </c>
      <c r="D43" s="383">
        <f t="shared" ref="D43:AK43" si="23">D42*$C$13/2</f>
        <v>122.09323726281683</v>
      </c>
      <c r="E43" s="383">
        <f t="shared" si="23"/>
        <v>127.02743465290006</v>
      </c>
      <c r="F43" s="383">
        <f t="shared" si="23"/>
        <v>132.16103951574848</v>
      </c>
      <c r="G43" s="383">
        <f t="shared" si="23"/>
        <v>137.50211057642954</v>
      </c>
      <c r="H43" s="383">
        <f t="shared" si="23"/>
        <v>190.74537632017433</v>
      </c>
      <c r="I43" s="383">
        <f t="shared" si="23"/>
        <v>198.45403700531512</v>
      </c>
      <c r="J43" s="383">
        <f t="shared" si="23"/>
        <v>206.47423053442321</v>
      </c>
      <c r="K43" s="383">
        <f t="shared" si="23"/>
        <v>214.81854699504231</v>
      </c>
      <c r="L43" s="383">
        <f t="shared" si="23"/>
        <v>223.50008528239852</v>
      </c>
      <c r="M43" s="383">
        <f t="shared" si="23"/>
        <v>232.53247366202615</v>
      </c>
      <c r="N43" s="383">
        <f t="shared" si="23"/>
        <v>241.92989116339822</v>
      </c>
      <c r="O43" s="383">
        <f t="shared" si="23"/>
        <v>251.70708983814504</v>
      </c>
      <c r="P43" s="383">
        <f t="shared" si="23"/>
        <v>261.87941791780241</v>
      </c>
      <c r="Q43" s="383">
        <f t="shared" si="23"/>
        <v>272.46284390744211</v>
      </c>
      <c r="R43" s="383">
        <f t="shared" si="23"/>
        <v>283.47398165300632</v>
      </c>
      <c r="S43" s="383">
        <f t="shared" si="23"/>
        <v>294.93011642169887</v>
      </c>
      <c r="T43" s="383">
        <f t="shared" si="23"/>
        <v>306.84923203636924</v>
      </c>
      <c r="U43" s="383">
        <f t="shared" si="23"/>
        <v>319.25003910649178</v>
      </c>
      <c r="V43" s="383">
        <f t="shared" si="23"/>
        <v>332.15200440005151</v>
      </c>
      <c r="W43" s="383">
        <f t="shared" si="23"/>
        <v>345.57538140244662</v>
      </c>
      <c r="X43" s="383">
        <f t="shared" si="23"/>
        <v>359.54124211037839</v>
      </c>
      <c r="Y43" s="383">
        <f t="shared" si="23"/>
        <v>374.07151011064042</v>
      </c>
      <c r="Z43" s="383">
        <f t="shared" si="23"/>
        <v>389.18899499573092</v>
      </c>
      <c r="AA43" s="383">
        <f t="shared" si="23"/>
        <v>404.91742817031684</v>
      </c>
      <c r="AB43" s="383">
        <f t="shared" si="23"/>
        <v>421.28150010475503</v>
      </c>
      <c r="AC43" s="383">
        <f t="shared" si="23"/>
        <v>438.30689909415747</v>
      </c>
      <c r="AD43" s="383">
        <f t="shared" si="23"/>
        <v>456.02035158383529</v>
      </c>
      <c r="AE43" s="383">
        <f t="shared" si="23"/>
        <v>474.44966412443313</v>
      </c>
      <c r="AF43" s="383">
        <f t="shared" si="23"/>
        <v>493.62376702260877</v>
      </c>
      <c r="AG43" s="383">
        <f t="shared" si="23"/>
        <v>513.57275975578602</v>
      </c>
      <c r="AH43" s="383">
        <f t="shared" si="23"/>
        <v>534.32795822226626</v>
      </c>
      <c r="AI43" s="383">
        <f t="shared" si="23"/>
        <v>555.92194390087957</v>
      </c>
      <c r="AJ43" s="383">
        <f t="shared" si="23"/>
        <v>578.38861499733935</v>
      </c>
      <c r="AK43" s="383">
        <f t="shared" si="23"/>
        <v>601.76323965759354</v>
      </c>
      <c r="AL43" s="383">
        <f t="shared" ref="AL43" si="24">AL42*$C$13/2</f>
        <v>626.08251133170779</v>
      </c>
    </row>
    <row r="44" spans="1:38">
      <c r="B44" s="575" t="s">
        <v>1057</v>
      </c>
      <c r="C44" s="574" t="s">
        <v>443</v>
      </c>
      <c r="D44" s="383">
        <f t="shared" ref="D44:AK44" si="25">D43/Minutes.per.Hour*Days.Per.Year</f>
        <v>742.73386001546896</v>
      </c>
      <c r="E44" s="383">
        <f t="shared" si="25"/>
        <v>772.75022747180867</v>
      </c>
      <c r="F44" s="383">
        <f t="shared" si="25"/>
        <v>803.97965705413662</v>
      </c>
      <c r="G44" s="383">
        <f t="shared" si="25"/>
        <v>836.47117267327974</v>
      </c>
      <c r="H44" s="383">
        <f t="shared" si="25"/>
        <v>1160.3677059477272</v>
      </c>
      <c r="I44" s="383">
        <f t="shared" si="25"/>
        <v>1207.2620584490003</v>
      </c>
      <c r="J44" s="383">
        <f t="shared" si="25"/>
        <v>1256.0515690844079</v>
      </c>
      <c r="K44" s="383">
        <f t="shared" si="25"/>
        <v>1306.8128275531742</v>
      </c>
      <c r="L44" s="383">
        <f t="shared" si="25"/>
        <v>1359.6255188012576</v>
      </c>
      <c r="M44" s="383">
        <f t="shared" si="25"/>
        <v>1414.5725481106592</v>
      </c>
      <c r="N44" s="383">
        <f t="shared" si="25"/>
        <v>1471.7401712440058</v>
      </c>
      <c r="O44" s="383">
        <f t="shared" si="25"/>
        <v>1531.2181298487155</v>
      </c>
      <c r="P44" s="383">
        <f t="shared" si="25"/>
        <v>1593.099792333298</v>
      </c>
      <c r="Q44" s="383">
        <f t="shared" si="25"/>
        <v>1657.4823004369393</v>
      </c>
      <c r="R44" s="383">
        <f t="shared" si="25"/>
        <v>1724.4667217224553</v>
      </c>
      <c r="S44" s="383">
        <f t="shared" si="25"/>
        <v>1794.1582082320015</v>
      </c>
      <c r="T44" s="383">
        <f t="shared" si="25"/>
        <v>1866.6661615545795</v>
      </c>
      <c r="U44" s="383">
        <f t="shared" si="25"/>
        <v>1942.1044045644917</v>
      </c>
      <c r="V44" s="383">
        <f t="shared" si="25"/>
        <v>2020.5913601003133</v>
      </c>
      <c r="W44" s="383">
        <f t="shared" si="25"/>
        <v>2102.2502368648838</v>
      </c>
      <c r="X44" s="383">
        <f t="shared" si="25"/>
        <v>2187.2092228381352</v>
      </c>
      <c r="Y44" s="383">
        <f t="shared" si="25"/>
        <v>2275.6016865063957</v>
      </c>
      <c r="Z44" s="383">
        <f t="shared" si="25"/>
        <v>2367.5663862240299</v>
      </c>
      <c r="AA44" s="383">
        <f t="shared" si="25"/>
        <v>2463.2476880360941</v>
      </c>
      <c r="AB44" s="383">
        <f t="shared" si="25"/>
        <v>2562.7957923039266</v>
      </c>
      <c r="AC44" s="383">
        <f t="shared" si="25"/>
        <v>2666.3669694894579</v>
      </c>
      <c r="AD44" s="383">
        <f t="shared" si="25"/>
        <v>2774.1238054683313</v>
      </c>
      <c r="AE44" s="383">
        <f t="shared" si="25"/>
        <v>2886.2354567569682</v>
      </c>
      <c r="AF44" s="383">
        <f t="shared" si="25"/>
        <v>3002.8779160542031</v>
      </c>
      <c r="AG44" s="383">
        <f t="shared" si="25"/>
        <v>3124.2342885143648</v>
      </c>
      <c r="AH44" s="383">
        <f t="shared" si="25"/>
        <v>3250.4950791854531</v>
      </c>
      <c r="AI44" s="383">
        <f t="shared" si="25"/>
        <v>3381.858492063684</v>
      </c>
      <c r="AJ44" s="383">
        <f t="shared" si="25"/>
        <v>3518.5307412338143</v>
      </c>
      <c r="AK44" s="383">
        <f t="shared" si="25"/>
        <v>3660.726374583694</v>
      </c>
      <c r="AL44" s="383">
        <f t="shared" ref="AL44" si="26">AL43/Minutes.per.Hour*Days.Per.Year</f>
        <v>3808.6686106012226</v>
      </c>
    </row>
    <row r="46" spans="1:38">
      <c r="B46" s="575" t="s">
        <v>745</v>
      </c>
      <c r="C46" s="574" t="s">
        <v>443</v>
      </c>
      <c r="D46" s="383">
        <f>D44</f>
        <v>742.73386001546896</v>
      </c>
      <c r="E46" s="383">
        <f t="shared" ref="E46:AK46" si="27">E44</f>
        <v>772.75022747180867</v>
      </c>
      <c r="F46" s="383">
        <f t="shared" si="27"/>
        <v>803.97965705413662</v>
      </c>
      <c r="G46" s="383">
        <f t="shared" si="27"/>
        <v>836.47117267327974</v>
      </c>
      <c r="H46" s="383">
        <f t="shared" si="27"/>
        <v>1160.3677059477272</v>
      </c>
      <c r="I46" s="383">
        <f t="shared" si="27"/>
        <v>1207.2620584490003</v>
      </c>
      <c r="J46" s="383">
        <f t="shared" si="27"/>
        <v>1256.0515690844079</v>
      </c>
      <c r="K46" s="383">
        <f t="shared" si="27"/>
        <v>1306.8128275531742</v>
      </c>
      <c r="L46" s="383">
        <f t="shared" si="27"/>
        <v>1359.6255188012576</v>
      </c>
      <c r="M46" s="383">
        <f t="shared" si="27"/>
        <v>1414.5725481106592</v>
      </c>
      <c r="N46" s="383">
        <f t="shared" si="27"/>
        <v>1471.7401712440058</v>
      </c>
      <c r="O46" s="383">
        <f t="shared" si="27"/>
        <v>1531.2181298487155</v>
      </c>
      <c r="P46" s="383">
        <f t="shared" si="27"/>
        <v>1593.099792333298</v>
      </c>
      <c r="Q46" s="383">
        <f t="shared" si="27"/>
        <v>1657.4823004369393</v>
      </c>
      <c r="R46" s="383">
        <f t="shared" si="27"/>
        <v>1724.4667217224553</v>
      </c>
      <c r="S46" s="383">
        <f t="shared" si="27"/>
        <v>1794.1582082320015</v>
      </c>
      <c r="T46" s="383">
        <f t="shared" si="27"/>
        <v>1866.6661615545795</v>
      </c>
      <c r="U46" s="383">
        <f t="shared" si="27"/>
        <v>1942.1044045644917</v>
      </c>
      <c r="V46" s="383">
        <f t="shared" si="27"/>
        <v>2020.5913601003133</v>
      </c>
      <c r="W46" s="383">
        <f t="shared" si="27"/>
        <v>2102.2502368648838</v>
      </c>
      <c r="X46" s="383">
        <f t="shared" si="27"/>
        <v>2187.2092228381352</v>
      </c>
      <c r="Y46" s="383">
        <f t="shared" si="27"/>
        <v>2275.6016865063957</v>
      </c>
      <c r="Z46" s="383">
        <f t="shared" si="27"/>
        <v>2367.5663862240299</v>
      </c>
      <c r="AA46" s="383">
        <f t="shared" si="27"/>
        <v>2463.2476880360941</v>
      </c>
      <c r="AB46" s="383">
        <f t="shared" si="27"/>
        <v>2562.7957923039266</v>
      </c>
      <c r="AC46" s="383">
        <f t="shared" si="27"/>
        <v>2666.3669694894579</v>
      </c>
      <c r="AD46" s="383">
        <f t="shared" si="27"/>
        <v>2774.1238054683313</v>
      </c>
      <c r="AE46" s="383">
        <f t="shared" si="27"/>
        <v>2886.2354567569682</v>
      </c>
      <c r="AF46" s="383">
        <f t="shared" si="27"/>
        <v>3002.8779160542031</v>
      </c>
      <c r="AG46" s="383">
        <f t="shared" si="27"/>
        <v>3124.2342885143648</v>
      </c>
      <c r="AH46" s="383">
        <f t="shared" si="27"/>
        <v>3250.4950791854531</v>
      </c>
      <c r="AI46" s="383">
        <f t="shared" si="27"/>
        <v>3381.858492063684</v>
      </c>
      <c r="AJ46" s="383">
        <f t="shared" si="27"/>
        <v>3518.5307412338143</v>
      </c>
      <c r="AK46" s="383">
        <f t="shared" si="27"/>
        <v>3660.726374583694</v>
      </c>
      <c r="AL46" s="383">
        <f t="shared" ref="AL46" si="28">AL44</f>
        <v>3808.6686106012226</v>
      </c>
    </row>
    <row r="48" spans="1:38">
      <c r="B48" s="358" t="s">
        <v>508</v>
      </c>
      <c r="C48" s="358" t="s">
        <v>443</v>
      </c>
      <c r="D48" s="383">
        <f t="shared" ref="D48:AK48" si="29">D$46*$C22</f>
        <v>668.46047401392207</v>
      </c>
      <c r="E48" s="383">
        <f t="shared" si="29"/>
        <v>695.47520472462782</v>
      </c>
      <c r="F48" s="383">
        <f t="shared" si="29"/>
        <v>723.58169134872298</v>
      </c>
      <c r="G48" s="383">
        <f t="shared" si="29"/>
        <v>752.82405540595175</v>
      </c>
      <c r="H48" s="383">
        <f t="shared" si="29"/>
        <v>1044.3309353529546</v>
      </c>
      <c r="I48" s="383">
        <f t="shared" si="29"/>
        <v>1086.5358526041002</v>
      </c>
      <c r="J48" s="383">
        <f t="shared" si="29"/>
        <v>1130.4464121759672</v>
      </c>
      <c r="K48" s="383">
        <f t="shared" si="29"/>
        <v>1176.1315447978568</v>
      </c>
      <c r="L48" s="383">
        <f t="shared" si="29"/>
        <v>1223.6629669211318</v>
      </c>
      <c r="M48" s="383">
        <f t="shared" si="29"/>
        <v>1273.1152932995933</v>
      </c>
      <c r="N48" s="383">
        <f t="shared" si="29"/>
        <v>1324.5661541196052</v>
      </c>
      <c r="O48" s="383">
        <f t="shared" si="29"/>
        <v>1378.0963168638441</v>
      </c>
      <c r="P48" s="383">
        <f t="shared" si="29"/>
        <v>1433.7898130999681</v>
      </c>
      <c r="Q48" s="383">
        <f t="shared" si="29"/>
        <v>1491.7340703932455</v>
      </c>
      <c r="R48" s="383">
        <f t="shared" si="29"/>
        <v>1552.0200495502097</v>
      </c>
      <c r="S48" s="383">
        <f t="shared" si="29"/>
        <v>1614.7423874088013</v>
      </c>
      <c r="T48" s="383">
        <f t="shared" si="29"/>
        <v>1679.9995453991216</v>
      </c>
      <c r="U48" s="383">
        <f t="shared" si="29"/>
        <v>1747.8939641080426</v>
      </c>
      <c r="V48" s="383">
        <f t="shared" si="29"/>
        <v>1818.5322240902819</v>
      </c>
      <c r="W48" s="383">
        <f t="shared" si="29"/>
        <v>1892.0252131783955</v>
      </c>
      <c r="X48" s="383">
        <f t="shared" si="29"/>
        <v>1968.4883005543218</v>
      </c>
      <c r="Y48" s="383">
        <f t="shared" si="29"/>
        <v>2048.0415178557564</v>
      </c>
      <c r="Z48" s="383">
        <f t="shared" si="29"/>
        <v>2130.8097476016269</v>
      </c>
      <c r="AA48" s="383">
        <f t="shared" si="29"/>
        <v>2216.9229192324847</v>
      </c>
      <c r="AB48" s="383">
        <f t="shared" si="29"/>
        <v>2306.5162130735339</v>
      </c>
      <c r="AC48" s="383">
        <f t="shared" si="29"/>
        <v>2399.730272540512</v>
      </c>
      <c r="AD48" s="383">
        <f t="shared" si="29"/>
        <v>2496.7114249214983</v>
      </c>
      <c r="AE48" s="383">
        <f t="shared" si="29"/>
        <v>2597.6119110812715</v>
      </c>
      <c r="AF48" s="383">
        <f t="shared" si="29"/>
        <v>2702.5901244487827</v>
      </c>
      <c r="AG48" s="383">
        <f t="shared" si="29"/>
        <v>2811.8108596629286</v>
      </c>
      <c r="AH48" s="383">
        <f t="shared" si="29"/>
        <v>2925.4455712669078</v>
      </c>
      <c r="AI48" s="383">
        <f t="shared" si="29"/>
        <v>3043.6726428573156</v>
      </c>
      <c r="AJ48" s="383">
        <f t="shared" si="29"/>
        <v>3166.677667110433</v>
      </c>
      <c r="AK48" s="383">
        <f t="shared" si="29"/>
        <v>3294.6537371253248</v>
      </c>
      <c r="AL48" s="383">
        <f t="shared" ref="AL48" si="30">AL$46*$C22</f>
        <v>3427.8017495411004</v>
      </c>
    </row>
    <row r="49" spans="2:38">
      <c r="B49" s="358" t="s">
        <v>509</v>
      </c>
      <c r="C49" s="358" t="s">
        <v>443</v>
      </c>
      <c r="D49" s="383">
        <f t="shared" ref="D49:AK49" si="31">D$46*$C23</f>
        <v>74.273386001546896</v>
      </c>
      <c r="E49" s="383">
        <f t="shared" si="31"/>
        <v>77.27502274718087</v>
      </c>
      <c r="F49" s="383">
        <f t="shared" si="31"/>
        <v>80.397965705413668</v>
      </c>
      <c r="G49" s="383">
        <f t="shared" si="31"/>
        <v>83.647117267327985</v>
      </c>
      <c r="H49" s="383">
        <f t="shared" si="31"/>
        <v>116.03677059477273</v>
      </c>
      <c r="I49" s="383">
        <f t="shared" si="31"/>
        <v>120.72620584490004</v>
      </c>
      <c r="J49" s="383">
        <f t="shared" si="31"/>
        <v>125.60515690844079</v>
      </c>
      <c r="K49" s="383">
        <f t="shared" si="31"/>
        <v>130.68128275531743</v>
      </c>
      <c r="L49" s="383">
        <f t="shared" si="31"/>
        <v>135.96255188012577</v>
      </c>
      <c r="M49" s="383">
        <f t="shared" si="31"/>
        <v>141.45725481106592</v>
      </c>
      <c r="N49" s="383">
        <f t="shared" si="31"/>
        <v>147.17401712440059</v>
      </c>
      <c r="O49" s="383">
        <f t="shared" si="31"/>
        <v>153.12181298487155</v>
      </c>
      <c r="P49" s="383">
        <f t="shared" si="31"/>
        <v>159.30997923332981</v>
      </c>
      <c r="Q49" s="383">
        <f t="shared" si="31"/>
        <v>165.74823004369395</v>
      </c>
      <c r="R49" s="383">
        <f t="shared" si="31"/>
        <v>172.44667217224554</v>
      </c>
      <c r="S49" s="383">
        <f t="shared" si="31"/>
        <v>179.41582082320016</v>
      </c>
      <c r="T49" s="383">
        <f t="shared" si="31"/>
        <v>186.66661615545797</v>
      </c>
      <c r="U49" s="383">
        <f t="shared" si="31"/>
        <v>194.21044045644919</v>
      </c>
      <c r="V49" s="383">
        <f t="shared" si="31"/>
        <v>202.05913601003135</v>
      </c>
      <c r="W49" s="383">
        <f t="shared" si="31"/>
        <v>210.22502368648838</v>
      </c>
      <c r="X49" s="383">
        <f t="shared" si="31"/>
        <v>218.72092228381354</v>
      </c>
      <c r="Y49" s="383">
        <f t="shared" si="31"/>
        <v>227.56016865063958</v>
      </c>
      <c r="Z49" s="383">
        <f t="shared" si="31"/>
        <v>236.75663862240299</v>
      </c>
      <c r="AA49" s="383">
        <f t="shared" si="31"/>
        <v>246.32476880360943</v>
      </c>
      <c r="AB49" s="383">
        <f t="shared" si="31"/>
        <v>256.2795792303927</v>
      </c>
      <c r="AC49" s="383">
        <f t="shared" si="31"/>
        <v>266.63669694894583</v>
      </c>
      <c r="AD49" s="383">
        <f t="shared" si="31"/>
        <v>277.41238054683316</v>
      </c>
      <c r="AE49" s="383">
        <f t="shared" si="31"/>
        <v>288.62354567569685</v>
      </c>
      <c r="AF49" s="383">
        <f t="shared" si="31"/>
        <v>300.2877916054203</v>
      </c>
      <c r="AG49" s="383">
        <f t="shared" si="31"/>
        <v>312.42342885143648</v>
      </c>
      <c r="AH49" s="383">
        <f t="shared" si="31"/>
        <v>325.04950791854532</v>
      </c>
      <c r="AI49" s="383">
        <f t="shared" si="31"/>
        <v>338.1858492063684</v>
      </c>
      <c r="AJ49" s="383">
        <f t="shared" si="31"/>
        <v>351.85307412338148</v>
      </c>
      <c r="AK49" s="383">
        <f t="shared" si="31"/>
        <v>366.0726374583694</v>
      </c>
      <c r="AL49" s="383">
        <f t="shared" ref="AL49" si="32">AL$46*$C23</f>
        <v>380.86686106012229</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1172" t="s">
        <v>788</v>
      </c>
      <c r="C52" s="358" t="s">
        <v>295</v>
      </c>
      <c r="D52" s="383">
        <f t="shared" ref="D52:AK53" si="35">IF(D$2&gt;VRCConstEnd,0,D32)</f>
        <v>238.97461945997713</v>
      </c>
      <c r="E52" s="383">
        <f t="shared" si="35"/>
        <v>248.63238568905444</v>
      </c>
      <c r="F52" s="383">
        <f t="shared" si="35"/>
        <v>258.68045465716847</v>
      </c>
      <c r="G52" s="383">
        <f t="shared" si="35"/>
        <v>269.13459980762775</v>
      </c>
      <c r="H52" s="383">
        <f t="shared" si="35"/>
        <v>0</v>
      </c>
      <c r="I52" s="383">
        <f t="shared" si="35"/>
        <v>0</v>
      </c>
      <c r="J52" s="383">
        <f t="shared" si="35"/>
        <v>0</v>
      </c>
      <c r="K52" s="383">
        <f t="shared" si="35"/>
        <v>0</v>
      </c>
      <c r="L52" s="383">
        <f t="shared" si="35"/>
        <v>0</v>
      </c>
      <c r="M52" s="383">
        <f t="shared" si="35"/>
        <v>0</v>
      </c>
      <c r="N52" s="383">
        <f t="shared" si="35"/>
        <v>0</v>
      </c>
      <c r="O52" s="383">
        <f t="shared" si="35"/>
        <v>0</v>
      </c>
      <c r="P52" s="383">
        <f t="shared" si="35"/>
        <v>0</v>
      </c>
      <c r="Q52" s="383">
        <f t="shared" si="35"/>
        <v>0</v>
      </c>
      <c r="R52" s="383">
        <f t="shared" si="35"/>
        <v>0</v>
      </c>
      <c r="S52" s="383">
        <f t="shared" si="35"/>
        <v>0</v>
      </c>
      <c r="T52" s="383">
        <f t="shared" si="35"/>
        <v>0</v>
      </c>
      <c r="U52" s="383">
        <f t="shared" si="35"/>
        <v>0</v>
      </c>
      <c r="V52" s="383">
        <f t="shared" si="35"/>
        <v>0</v>
      </c>
      <c r="W52" s="383">
        <f t="shared" si="35"/>
        <v>0</v>
      </c>
      <c r="X52" s="383">
        <f t="shared" si="35"/>
        <v>0</v>
      </c>
      <c r="Y52" s="383">
        <f t="shared" si="35"/>
        <v>0</v>
      </c>
      <c r="Z52" s="383">
        <f t="shared" si="35"/>
        <v>0</v>
      </c>
      <c r="AA52" s="383">
        <f t="shared" si="35"/>
        <v>0</v>
      </c>
      <c r="AB52" s="383">
        <f t="shared" si="35"/>
        <v>0</v>
      </c>
      <c r="AC52" s="383">
        <f t="shared" si="35"/>
        <v>0</v>
      </c>
      <c r="AD52" s="383">
        <f t="shared" si="35"/>
        <v>0</v>
      </c>
      <c r="AE52" s="383">
        <f t="shared" si="35"/>
        <v>0</v>
      </c>
      <c r="AF52" s="383">
        <f t="shared" si="35"/>
        <v>0</v>
      </c>
      <c r="AG52" s="383">
        <f t="shared" si="35"/>
        <v>0</v>
      </c>
      <c r="AH52" s="383">
        <f t="shared" si="35"/>
        <v>0</v>
      </c>
      <c r="AI52" s="383">
        <f t="shared" si="35"/>
        <v>0</v>
      </c>
      <c r="AJ52" s="383">
        <f t="shared" si="35"/>
        <v>0</v>
      </c>
      <c r="AK52" s="383">
        <f t="shared" si="35"/>
        <v>0</v>
      </c>
      <c r="AL52" s="383">
        <f t="shared" ref="AL52" si="36">IF(AL$2&gt;VRCConstEnd,0,AL32)</f>
        <v>0</v>
      </c>
    </row>
    <row r="53" spans="2:38">
      <c r="B53" s="1172" t="s">
        <v>789</v>
      </c>
      <c r="C53" s="358" t="s">
        <v>295</v>
      </c>
      <c r="D53" s="383">
        <f t="shared" si="35"/>
        <v>62.389644241299393</v>
      </c>
      <c r="E53" s="383">
        <f t="shared" si="35"/>
        <v>64.91101910763193</v>
      </c>
      <c r="F53" s="383">
        <f t="shared" si="35"/>
        <v>67.534291192547485</v>
      </c>
      <c r="G53" s="383">
        <f t="shared" si="35"/>
        <v>70.263578504555511</v>
      </c>
      <c r="H53" s="383">
        <f t="shared" si="35"/>
        <v>0</v>
      </c>
      <c r="I53" s="383">
        <f t="shared" si="35"/>
        <v>0</v>
      </c>
      <c r="J53" s="383">
        <f t="shared" si="35"/>
        <v>0</v>
      </c>
      <c r="K53" s="383">
        <f t="shared" si="35"/>
        <v>0</v>
      </c>
      <c r="L53" s="383">
        <f t="shared" si="35"/>
        <v>0</v>
      </c>
      <c r="M53" s="383">
        <f t="shared" si="35"/>
        <v>0</v>
      </c>
      <c r="N53" s="383">
        <f t="shared" si="35"/>
        <v>0</v>
      </c>
      <c r="O53" s="383">
        <f t="shared" si="35"/>
        <v>0</v>
      </c>
      <c r="P53" s="383">
        <f t="shared" si="35"/>
        <v>0</v>
      </c>
      <c r="Q53" s="383">
        <f t="shared" si="35"/>
        <v>0</v>
      </c>
      <c r="R53" s="383">
        <f t="shared" si="35"/>
        <v>0</v>
      </c>
      <c r="S53" s="383">
        <f t="shared" si="35"/>
        <v>0</v>
      </c>
      <c r="T53" s="383">
        <f t="shared" si="35"/>
        <v>0</v>
      </c>
      <c r="U53" s="383">
        <f t="shared" si="35"/>
        <v>0</v>
      </c>
      <c r="V53" s="383">
        <f t="shared" si="35"/>
        <v>0</v>
      </c>
      <c r="W53" s="383">
        <f t="shared" si="35"/>
        <v>0</v>
      </c>
      <c r="X53" s="383">
        <f t="shared" si="35"/>
        <v>0</v>
      </c>
      <c r="Y53" s="383">
        <f t="shared" si="35"/>
        <v>0</v>
      </c>
      <c r="Z53" s="383">
        <f t="shared" si="35"/>
        <v>0</v>
      </c>
      <c r="AA53" s="383">
        <f t="shared" si="35"/>
        <v>0</v>
      </c>
      <c r="AB53" s="383">
        <f t="shared" si="35"/>
        <v>0</v>
      </c>
      <c r="AC53" s="383">
        <f t="shared" si="35"/>
        <v>0</v>
      </c>
      <c r="AD53" s="383">
        <f t="shared" si="35"/>
        <v>0</v>
      </c>
      <c r="AE53" s="383">
        <f t="shared" si="35"/>
        <v>0</v>
      </c>
      <c r="AF53" s="383">
        <f t="shared" si="35"/>
        <v>0</v>
      </c>
      <c r="AG53" s="383">
        <f t="shared" si="35"/>
        <v>0</v>
      </c>
      <c r="AH53" s="383">
        <f t="shared" si="35"/>
        <v>0</v>
      </c>
      <c r="AI53" s="383">
        <f t="shared" si="35"/>
        <v>0</v>
      </c>
      <c r="AJ53" s="383">
        <f t="shared" si="35"/>
        <v>0</v>
      </c>
      <c r="AK53" s="383">
        <f t="shared" si="35"/>
        <v>0</v>
      </c>
      <c r="AL53" s="383">
        <f t="shared" ref="AL53" si="37">IF(AL$2&gt;VRCConstEnd,0,AL33)</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theme="4" tint="-0.249977111117893"/>
  </sheetPr>
  <dimension ref="A1:AL205"/>
  <sheetViews>
    <sheetView showGridLines="0" workbookViewId="0">
      <pane ySplit="4" topLeftCell="A5"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V9:AL9"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si="1"/>
        <v>12071000</v>
      </c>
      <c r="AG9" s="498">
        <f t="shared" si="1"/>
        <v>12071000</v>
      </c>
      <c r="AH9" s="498">
        <f t="shared" si="1"/>
        <v>12071000</v>
      </c>
      <c r="AI9" s="498">
        <f t="shared" si="1"/>
        <v>12071000</v>
      </c>
      <c r="AJ9" s="498">
        <f t="shared" si="1"/>
        <v>12071000</v>
      </c>
      <c r="AK9" s="498">
        <f t="shared" si="1"/>
        <v>12071000</v>
      </c>
      <c r="AL9" s="498">
        <f t="shared" si="1"/>
        <v>12071000</v>
      </c>
    </row>
    <row r="10" spans="1:38">
      <c r="B10" s="476" t="s">
        <v>973</v>
      </c>
      <c r="C10" s="384" t="s">
        <v>1075</v>
      </c>
      <c r="D10" s="498">
        <f>'General Inputs'!D24</f>
        <v>284100</v>
      </c>
      <c r="E10" s="498">
        <f t="shared" ref="E10:T11" si="2">D10*(1+$C$8)</f>
        <v>284100</v>
      </c>
      <c r="F10" s="498">
        <f t="shared" si="2"/>
        <v>284100</v>
      </c>
      <c r="G10" s="498">
        <f t="shared" si="2"/>
        <v>284100</v>
      </c>
      <c r="H10" s="498">
        <f t="shared" si="2"/>
        <v>284100</v>
      </c>
      <c r="I10" s="498">
        <f t="shared" si="2"/>
        <v>284100</v>
      </c>
      <c r="J10" s="498">
        <f t="shared" si="2"/>
        <v>284100</v>
      </c>
      <c r="K10" s="498">
        <f t="shared" si="2"/>
        <v>284100</v>
      </c>
      <c r="L10" s="498">
        <f t="shared" si="2"/>
        <v>284100</v>
      </c>
      <c r="M10" s="498">
        <f t="shared" si="2"/>
        <v>284100</v>
      </c>
      <c r="N10" s="498">
        <f t="shared" si="2"/>
        <v>284100</v>
      </c>
      <c r="O10" s="498">
        <f t="shared" si="2"/>
        <v>284100</v>
      </c>
      <c r="P10" s="498">
        <f t="shared" si="2"/>
        <v>284100</v>
      </c>
      <c r="Q10" s="498">
        <f t="shared" si="2"/>
        <v>284100</v>
      </c>
      <c r="R10" s="498">
        <f t="shared" si="2"/>
        <v>284100</v>
      </c>
      <c r="S10" s="498">
        <f t="shared" si="2"/>
        <v>284100</v>
      </c>
      <c r="T10" s="498">
        <f t="shared" si="2"/>
        <v>284100</v>
      </c>
      <c r="U10" s="498">
        <f t="shared" ref="U10:AL11" si="3">T10*(1+$C$8)</f>
        <v>284100</v>
      </c>
      <c r="V10" s="498">
        <f t="shared" si="3"/>
        <v>284100</v>
      </c>
      <c r="W10" s="498">
        <f t="shared" si="3"/>
        <v>284100</v>
      </c>
      <c r="X10" s="498">
        <f t="shared" si="3"/>
        <v>284100</v>
      </c>
      <c r="Y10" s="498">
        <f t="shared" si="3"/>
        <v>284100</v>
      </c>
      <c r="Z10" s="498">
        <f t="shared" si="3"/>
        <v>284100</v>
      </c>
      <c r="AA10" s="498">
        <f t="shared" si="3"/>
        <v>284100</v>
      </c>
      <c r="AB10" s="498">
        <f t="shared" si="3"/>
        <v>284100</v>
      </c>
      <c r="AC10" s="498">
        <f t="shared" si="3"/>
        <v>284100</v>
      </c>
      <c r="AD10" s="498">
        <f t="shared" si="3"/>
        <v>284100</v>
      </c>
      <c r="AE10" s="498">
        <f t="shared" si="3"/>
        <v>284100</v>
      </c>
      <c r="AF10" s="498">
        <f t="shared" si="3"/>
        <v>284100</v>
      </c>
      <c r="AG10" s="498">
        <f t="shared" si="3"/>
        <v>284100</v>
      </c>
      <c r="AH10" s="498">
        <f t="shared" si="3"/>
        <v>284100</v>
      </c>
      <c r="AI10" s="498">
        <f t="shared" si="3"/>
        <v>284100</v>
      </c>
      <c r="AJ10" s="498">
        <f t="shared" si="3"/>
        <v>284100</v>
      </c>
      <c r="AK10" s="498">
        <f t="shared" si="3"/>
        <v>284100</v>
      </c>
      <c r="AL10" s="498">
        <f t="shared" si="3"/>
        <v>284100</v>
      </c>
    </row>
    <row r="11" spans="1:38">
      <c r="B11" s="476" t="s">
        <v>451</v>
      </c>
      <c r="C11" s="473" t="s">
        <v>453</v>
      </c>
      <c r="D11" s="498">
        <f>'General Inputs'!D25</f>
        <v>4500</v>
      </c>
      <c r="E11" s="498">
        <f t="shared" si="2"/>
        <v>4500</v>
      </c>
      <c r="F11" s="498">
        <f t="shared" si="2"/>
        <v>4500</v>
      </c>
      <c r="G11" s="498">
        <f t="shared" si="2"/>
        <v>4500</v>
      </c>
      <c r="H11" s="498">
        <f t="shared" si="2"/>
        <v>4500</v>
      </c>
      <c r="I11" s="498">
        <f t="shared" si="2"/>
        <v>4500</v>
      </c>
      <c r="J11" s="498">
        <f t="shared" si="2"/>
        <v>4500</v>
      </c>
      <c r="K11" s="498">
        <f t="shared" si="2"/>
        <v>4500</v>
      </c>
      <c r="L11" s="498">
        <f t="shared" si="2"/>
        <v>4500</v>
      </c>
      <c r="M11" s="498">
        <f t="shared" si="2"/>
        <v>4500</v>
      </c>
      <c r="N11" s="498">
        <f t="shared" si="2"/>
        <v>4500</v>
      </c>
      <c r="O11" s="498">
        <f t="shared" si="2"/>
        <v>4500</v>
      </c>
      <c r="P11" s="498">
        <f t="shared" si="2"/>
        <v>4500</v>
      </c>
      <c r="Q11" s="498">
        <f t="shared" si="2"/>
        <v>4500</v>
      </c>
      <c r="R11" s="498">
        <f t="shared" si="2"/>
        <v>4500</v>
      </c>
      <c r="S11" s="498">
        <f t="shared" si="2"/>
        <v>4500</v>
      </c>
      <c r="T11" s="498">
        <f t="shared" si="2"/>
        <v>4500</v>
      </c>
      <c r="U11" s="498">
        <f t="shared" si="3"/>
        <v>4500</v>
      </c>
      <c r="V11" s="498">
        <f t="shared" si="3"/>
        <v>4500</v>
      </c>
      <c r="W11" s="498">
        <f t="shared" si="3"/>
        <v>4500</v>
      </c>
      <c r="X11" s="498">
        <f t="shared" si="3"/>
        <v>4500</v>
      </c>
      <c r="Y11" s="498">
        <f t="shared" si="3"/>
        <v>4500</v>
      </c>
      <c r="Z11" s="498">
        <f t="shared" si="3"/>
        <v>4500</v>
      </c>
      <c r="AA11" s="498">
        <f t="shared" si="3"/>
        <v>4500</v>
      </c>
      <c r="AB11" s="498">
        <f t="shared" si="3"/>
        <v>4500</v>
      </c>
      <c r="AC11" s="498">
        <f t="shared" si="3"/>
        <v>4500</v>
      </c>
      <c r="AD11" s="498">
        <f t="shared" si="3"/>
        <v>4500</v>
      </c>
      <c r="AE11" s="498">
        <f t="shared" si="3"/>
        <v>4500</v>
      </c>
      <c r="AF11" s="498">
        <f t="shared" si="3"/>
        <v>4500</v>
      </c>
      <c r="AG11" s="498">
        <f t="shared" si="3"/>
        <v>4500</v>
      </c>
      <c r="AH11" s="498">
        <f t="shared" si="3"/>
        <v>4500</v>
      </c>
      <c r="AI11" s="498">
        <f t="shared" si="3"/>
        <v>4500</v>
      </c>
      <c r="AJ11" s="498">
        <f t="shared" si="3"/>
        <v>4500</v>
      </c>
      <c r="AK11" s="498">
        <f t="shared" si="3"/>
        <v>4500</v>
      </c>
      <c r="AL11" s="498">
        <f t="shared" si="3"/>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'A1.8'!D24</f>
        <v>8.6648074219868097E-4</v>
      </c>
      <c r="E15" s="388">
        <f>'A1.8'!E24</f>
        <v>8.7993548718817715E-4</v>
      </c>
      <c r="F15" s="388">
        <f>'A1.8'!F24</f>
        <v>8.9360146286903807E-4</v>
      </c>
      <c r="G15" s="388">
        <f>'A1.8'!G24</f>
        <v>9.0748200115774733E-4</v>
      </c>
      <c r="H15" s="388">
        <f>'A1.8'!H24</f>
        <v>9.2158048661297373E-4</v>
      </c>
      <c r="I15" s="388">
        <f>'A1.8'!I24</f>
        <v>9.3590035726719362E-4</v>
      </c>
      <c r="J15" s="388">
        <f>'A1.8'!J24</f>
        <v>9.504451054714771E-4</v>
      </c>
      <c r="K15" s="388">
        <f>'A1.8'!K24</f>
        <v>9.6521827875361329E-4</v>
      </c>
      <c r="L15" s="388">
        <f>'A1.8'!L24</f>
        <v>9.8022348068981316E-4</v>
      </c>
      <c r="M15" s="388">
        <f>'A1.8'!M24</f>
        <v>9.954643717901882E-4</v>
      </c>
      <c r="N15" s="388">
        <f>'A1.8'!N24</f>
        <v>1.0109446703982258E-3</v>
      </c>
      <c r="O15" s="388">
        <f>'A1.8'!O24</f>
        <v>1.0266681536044869E-3</v>
      </c>
      <c r="P15" s="388">
        <f>'A1.8'!P24</f>
        <v>1.0426386581747456E-3</v>
      </c>
      <c r="Q15" s="388">
        <f>'A1.8'!Q24</f>
        <v>1.0588600814928004E-3</v>
      </c>
      <c r="R15" s="388">
        <f>'A1.8'!R24</f>
        <v>1.0753363825181891E-3</v>
      </c>
      <c r="S15" s="388">
        <f>'A1.8'!S24</f>
        <v>1.0920715827590465E-3</v>
      </c>
      <c r="T15" s="388">
        <f>'A1.8'!T24</f>
        <v>1.1090697672603332E-3</v>
      </c>
      <c r="U15" s="388">
        <f>'A1.8'!U24</f>
        <v>1.1263350856076933E-3</v>
      </c>
      <c r="V15" s="388">
        <f>'A1.8'!V24</f>
        <v>1.1438717529471706E-3</v>
      </c>
      <c r="W15" s="388">
        <f>'A1.8'!W24</f>
        <v>1.1616840510210577E-3</v>
      </c>
      <c r="X15" s="388">
        <f>'A1.8'!X24</f>
        <v>1.1797763292201032E-3</v>
      </c>
      <c r="Y15" s="388">
        <f>'A1.8'!Y24</f>
        <v>1.1981530056523601E-3</v>
      </c>
      <c r="Z15" s="388">
        <f>'A1.8'!Z24</f>
        <v>1.216818568228928E-3</v>
      </c>
      <c r="AA15" s="388">
        <f>'A1.8'!AA24</f>
        <v>1.2357775757668519E-3</v>
      </c>
      <c r="AB15" s="388">
        <f>'A1.8'!AB24</f>
        <v>1.255034659109459E-3</v>
      </c>
      <c r="AC15" s="388">
        <f>'A1.8'!AC24</f>
        <v>1.2745945222644051E-3</v>
      </c>
      <c r="AD15" s="388">
        <f>'A1.8'!AD24</f>
        <v>1.2944619435597002E-3</v>
      </c>
      <c r="AE15" s="388">
        <f>'A1.8'!AE24</f>
        <v>1.3146417768180156E-3</v>
      </c>
      <c r="AF15" s="388">
        <f>'A1.8'!AF24</f>
        <v>1.335138952549549E-3</v>
      </c>
      <c r="AG15" s="388">
        <f>'A1.8'!AG24</f>
        <v>1.3559584791637406E-3</v>
      </c>
      <c r="AH15" s="388">
        <f>'A1.8'!AH24</f>
        <v>1.377105444200143E-3</v>
      </c>
      <c r="AI15" s="388">
        <f>'A1.8'!AI24</f>
        <v>1.3985850155787513E-3</v>
      </c>
      <c r="AJ15" s="388">
        <f>'A1.8'!AJ24</f>
        <v>1.4204024428700814E-3</v>
      </c>
      <c r="AK15" s="388">
        <f>'A1.8'!AK24</f>
        <v>1.4425630585853404E-3</v>
      </c>
      <c r="AL15" s="388">
        <f>'A1.8'!AL24</f>
        <v>1.4650722794869728E-3</v>
      </c>
    </row>
    <row r="16" spans="1:38">
      <c r="B16" s="367" t="s">
        <v>516</v>
      </c>
      <c r="C16" s="367" t="s">
        <v>329</v>
      </c>
      <c r="D16" s="1299">
        <f>'A1.8'!D25</f>
        <v>1.3479392635553089E-2</v>
      </c>
      <c r="E16" s="388">
        <f>'A1.8'!E25</f>
        <v>1.3675989863063722E-2</v>
      </c>
      <c r="F16" s="388">
        <f>'A1.8'!F25</f>
        <v>1.3875471160431776E-2</v>
      </c>
      <c r="G16" s="388">
        <f>'A1.8'!G25</f>
        <v>1.407787892036644E-2</v>
      </c>
      <c r="H16" s="388">
        <f>'A1.8'!H25</f>
        <v>1.4283256159134183E-2</v>
      </c>
      <c r="I16" s="388">
        <f>'A1.8'!I25</f>
        <v>1.4491646525725673E-2</v>
      </c>
      <c r="J16" s="388">
        <f>'A1.8'!J25</f>
        <v>1.4703094311157834E-2</v>
      </c>
      <c r="K16" s="388">
        <f>'A1.8'!K25</f>
        <v>1.4917644457912506E-2</v>
      </c>
      <c r="L16" s="388">
        <f>'A1.8'!L25</f>
        <v>1.5135342569514196E-2</v>
      </c>
      <c r="M16" s="388">
        <f>'A1.8'!M25</f>
        <v>1.5356234920248691E-2</v>
      </c>
      <c r="N16" s="388">
        <f>'A1.8'!N25</f>
        <v>1.5580368465024627E-2</v>
      </c>
      <c r="O16" s="388">
        <f>'A1.8'!O25</f>
        <v>1.5807790849380218E-2</v>
      </c>
      <c r="P16" s="388">
        <f>'A1.8'!P25</f>
        <v>1.6038550419637206E-2</v>
      </c>
      <c r="Q16" s="388">
        <f>'A1.8'!Q25</f>
        <v>1.6272696233204167E-2</v>
      </c>
      <c r="R16" s="388">
        <f>'A1.8'!R25</f>
        <v>1.6510278069031444E-2</v>
      </c>
      <c r="S16" s="388">
        <f>'A1.8'!S25</f>
        <v>1.6751346438219922E-2</v>
      </c>
      <c r="T16" s="388">
        <f>'A1.8'!T25</f>
        <v>1.6995952594785785E-2</v>
      </c>
      <c r="U16" s="388">
        <f>'A1.8'!U25</f>
        <v>1.7244148546583769E-2</v>
      </c>
      <c r="V16" s="388">
        <f>'A1.8'!V25</f>
        <v>1.7495987066390967E-2</v>
      </c>
      <c r="W16" s="388">
        <f>'A1.8'!W25</f>
        <v>1.7751521703153889E-2</v>
      </c>
      <c r="X16" s="388">
        <f>'A1.8'!X25</f>
        <v>1.8010806793400745E-2</v>
      </c>
      <c r="Y16" s="388">
        <f>'A1.8'!Y25</f>
        <v>1.8273897472821841E-2</v>
      </c>
      <c r="Z16" s="388">
        <f>'A1.8'!Z25</f>
        <v>1.8540849688020149E-2</v>
      </c>
      <c r="AA16" s="388">
        <f>'A1.8'!AA25</f>
        <v>1.8811720208434846E-2</v>
      </c>
      <c r="AB16" s="388">
        <f>'A1.8'!AB25</f>
        <v>1.9086566638440175E-2</v>
      </c>
      <c r="AC16" s="388">
        <f>'A1.8'!AC25</f>
        <v>1.9365447429622425E-2</v>
      </c>
      <c r="AD16" s="388">
        <f>'A1.8'!AD25</f>
        <v>1.9648421893237265E-2</v>
      </c>
      <c r="AE16" s="388">
        <f>'A1.8'!AE25</f>
        <v>1.9935550212850549E-2</v>
      </c>
      <c r="AF16" s="388">
        <f>'A1.8'!AF25</f>
        <v>2.0226893457164968E-2</v>
      </c>
      <c r="AG16" s="388">
        <f>'A1.8'!AG25</f>
        <v>2.052251359303536E-2</v>
      </c>
      <c r="AH16" s="388">
        <f>'A1.8'!AH25</f>
        <v>2.082247349867547E-2</v>
      </c>
      <c r="AI16" s="388">
        <f>'A1.8'!AI25</f>
        <v>2.1126836977059058E-2</v>
      </c>
      <c r="AJ16" s="388">
        <f>'A1.8'!AJ25</f>
        <v>2.1435668769517937E-2</v>
      </c>
      <c r="AK16" s="388">
        <f>'A1.8'!AK25</f>
        <v>2.1749034569540252E-2</v>
      </c>
      <c r="AL16" s="388">
        <f>'A1.8'!AL25</f>
        <v>2.2067001036771516E-2</v>
      </c>
    </row>
    <row r="17" spans="1:38">
      <c r="B17" s="367" t="s">
        <v>517</v>
      </c>
      <c r="C17" s="367" t="s">
        <v>518</v>
      </c>
      <c r="D17" s="1304">
        <f>'A1.8'!D23</f>
        <v>6.9186796763040875E-2</v>
      </c>
      <c r="E17" s="1303">
        <f>'A1.8'!E23</f>
        <v>7.0196704766385717E-2</v>
      </c>
      <c r="F17" s="388">
        <f>'A1.8'!F23</f>
        <v>7.122144191158547E-2</v>
      </c>
      <c r="G17" s="388">
        <f>'A1.8'!G23</f>
        <v>7.2261226398048592E-2</v>
      </c>
      <c r="H17" s="388">
        <f>'A1.8'!H23</f>
        <v>7.3316279638326445E-2</v>
      </c>
      <c r="I17" s="388">
        <f>'A1.8'!I23</f>
        <v>7.4386826305407508E-2</v>
      </c>
      <c r="J17" s="388">
        <f>'A1.8'!J23</f>
        <v>7.5473094380709593E-2</v>
      </c>
      <c r="K17" s="388">
        <f>'A1.8'!K23</f>
        <v>7.6575315202777841E-2</v>
      </c>
      <c r="L17" s="388">
        <f>'A1.8'!L23</f>
        <v>7.7693723516701355E-2</v>
      </c>
      <c r="M17" s="388">
        <f>'A1.8'!M23</f>
        <v>7.8828557524257326E-2</v>
      </c>
      <c r="N17" s="388">
        <f>'A1.8'!N23</f>
        <v>7.9980058934793985E-2</v>
      </c>
      <c r="O17" s="388">
        <f>'A1.8'!O23</f>
        <v>8.1148473016863398E-2</v>
      </c>
      <c r="P17" s="388">
        <f>'A1.8'!P23</f>
        <v>8.2334048650614944E-2</v>
      </c>
      <c r="Q17" s="388">
        <f>'A1.8'!Q23</f>
        <v>8.3537038380960327E-2</v>
      </c>
      <c r="R17" s="388">
        <f>'A1.8'!R23</f>
        <v>8.4757698471522258E-2</v>
      </c>
      <c r="S17" s="388">
        <f>'A1.8'!S23</f>
        <v>8.5996288959377873E-2</v>
      </c>
      <c r="T17" s="388">
        <f>'A1.8'!T23</f>
        <v>8.7253073710608059E-2</v>
      </c>
      <c r="U17" s="388">
        <f>'A1.8'!U23</f>
        <v>8.8528320476665964E-2</v>
      </c>
      <c r="V17" s="388">
        <f>'A1.8'!V23</f>
        <v>8.9822300951574896E-2</v>
      </c>
      <c r="W17" s="388">
        <f>'A1.8'!W23</f>
        <v>9.1135290829969892E-2</v>
      </c>
      <c r="X17" s="388">
        <f>'A1.8'!X23</f>
        <v>9.2467569865993221E-2</v>
      </c>
      <c r="Y17" s="388">
        <f>'A1.8'!Y23</f>
        <v>9.3819421933058297E-2</v>
      </c>
      <c r="Z17" s="388">
        <f>'A1.8'!Z23</f>
        <v>9.5191135084493367E-2</v>
      </c>
      <c r="AA17" s="388">
        <f>'A1.8'!AA23</f>
        <v>9.6583001615078809E-2</v>
      </c>
      <c r="AB17" s="388">
        <f>'A1.8'!AB23</f>
        <v>9.7995318123490535E-2</v>
      </c>
      <c r="AC17" s="388">
        <f>'A1.8'!AC23</f>
        <v>9.9428385575663941E-2</v>
      </c>
      <c r="AD17" s="388">
        <f>'A1.8'!AD23</f>
        <v>0.10088250936908996</v>
      </c>
      <c r="AE17" s="388">
        <f>'A1.8'!AE23</f>
        <v>0.10235799939805934</v>
      </c>
      <c r="AF17" s="388">
        <f>'A1.8'!AF23</f>
        <v>0.10385517011986729</v>
      </c>
      <c r="AG17" s="388">
        <f>'A1.8'!AG23</f>
        <v>0.10537434062199343</v>
      </c>
      <c r="AH17" s="388">
        <f>'A1.8'!AH23</f>
        <v>0.10691583469027106</v>
      </c>
      <c r="AI17" s="388">
        <f>'A1.8'!AI23</f>
        <v>0.10847998087806109</v>
      </c>
      <c r="AJ17" s="388">
        <f>'A1.8'!AJ23</f>
        <v>0.11006711257644368</v>
      </c>
      <c r="AK17" s="388">
        <f>'A1.8'!AK23</f>
        <v>0.11167756808544513</v>
      </c>
      <c r="AL17" s="388">
        <f>'A1.8'!AL23</f>
        <v>0.11331169068631264</v>
      </c>
    </row>
    <row r="18" spans="1:38">
      <c r="D18" s="1301"/>
      <c r="F18" s="464"/>
      <c r="G18" s="465"/>
      <c r="H18" s="465"/>
    </row>
    <row r="19" spans="1:38">
      <c r="B19" s="366" t="s">
        <v>719</v>
      </c>
      <c r="C19" s="484" t="s">
        <v>292</v>
      </c>
      <c r="D19" s="1297">
        <f t="shared" ref="D19:AK19" si="4">D15*D9</f>
        <v>10459.289039080279</v>
      </c>
      <c r="E19" s="1302">
        <f t="shared" si="4"/>
        <v>10621.701265848487</v>
      </c>
      <c r="F19" s="485">
        <f t="shared" si="4"/>
        <v>10786.663258292159</v>
      </c>
      <c r="G19" s="485">
        <f t="shared" si="4"/>
        <v>10954.215235975167</v>
      </c>
      <c r="H19" s="485">
        <f t="shared" si="4"/>
        <v>11124.398053905206</v>
      </c>
      <c r="I19" s="485">
        <f t="shared" si="4"/>
        <v>11297.253212572294</v>
      </c>
      <c r="J19" s="485">
        <f t="shared" si="4"/>
        <v>11472.822868146201</v>
      </c>
      <c r="K19" s="485">
        <f t="shared" si="4"/>
        <v>11651.149842834866</v>
      </c>
      <c r="L19" s="485">
        <f t="shared" si="4"/>
        <v>11832.277635406735</v>
      </c>
      <c r="M19" s="485">
        <f t="shared" si="4"/>
        <v>12016.250431879362</v>
      </c>
      <c r="N19" s="485">
        <f t="shared" si="4"/>
        <v>12203.113116376984</v>
      </c>
      <c r="O19" s="485">
        <f t="shared" si="4"/>
        <v>12392.911282159761</v>
      </c>
      <c r="P19" s="485">
        <f t="shared" si="4"/>
        <v>12585.691242827355</v>
      </c>
      <c r="Q19" s="485">
        <f t="shared" si="4"/>
        <v>12781.500043699592</v>
      </c>
      <c r="R19" s="485">
        <f t="shared" si="4"/>
        <v>12980.38547337706</v>
      </c>
      <c r="S19" s="485">
        <f t="shared" si="4"/>
        <v>13182.39607548445</v>
      </c>
      <c r="T19" s="485">
        <f t="shared" si="4"/>
        <v>13387.581160599482</v>
      </c>
      <c r="U19" s="485">
        <f t="shared" si="4"/>
        <v>13595.990818370465</v>
      </c>
      <c r="V19" s="485">
        <f t="shared" si="4"/>
        <v>13807.675929825296</v>
      </c>
      <c r="W19" s="485">
        <f t="shared" si="4"/>
        <v>14022.688179875187</v>
      </c>
      <c r="X19" s="485">
        <f t="shared" si="4"/>
        <v>14241.080070015865</v>
      </c>
      <c r="Y19" s="485">
        <f t="shared" si="4"/>
        <v>14462.904931229639</v>
      </c>
      <c r="Z19" s="485">
        <f t="shared" si="4"/>
        <v>14688.216937091391</v>
      </c>
      <c r="AA19" s="485">
        <f t="shared" si="4"/>
        <v>14917.07111708167</v>
      </c>
      <c r="AB19" s="485">
        <f t="shared" si="4"/>
        <v>15149.523370110279</v>
      </c>
      <c r="AC19" s="485">
        <f t="shared" si="4"/>
        <v>15385.630478253634</v>
      </c>
      <c r="AD19" s="485">
        <f t="shared" si="4"/>
        <v>15625.450120709142</v>
      </c>
      <c r="AE19" s="485">
        <f t="shared" si="4"/>
        <v>15869.040887970266</v>
      </c>
      <c r="AF19" s="485">
        <f t="shared" si="4"/>
        <v>16116.462296225607</v>
      </c>
      <c r="AG19" s="485">
        <f t="shared" si="4"/>
        <v>16367.774801985512</v>
      </c>
      <c r="AH19" s="485">
        <f t="shared" si="4"/>
        <v>16623.039816939927</v>
      </c>
      <c r="AI19" s="485">
        <f t="shared" si="4"/>
        <v>16882.319723051107</v>
      </c>
      <c r="AJ19" s="485">
        <f t="shared" si="4"/>
        <v>17145.677887884751</v>
      </c>
      <c r="AK19" s="485">
        <f t="shared" si="4"/>
        <v>17413.178680183642</v>
      </c>
      <c r="AL19" s="485">
        <f t="shared" ref="AL19" si="5">AL15*AL9</f>
        <v>17684.88748568725</v>
      </c>
    </row>
    <row r="20" spans="1:38">
      <c r="B20" s="366" t="s">
        <v>720</v>
      </c>
      <c r="C20" s="484" t="s">
        <v>292</v>
      </c>
      <c r="D20" s="1300">
        <f t="shared" ref="D20:AK20" si="6">D16*D10</f>
        <v>3829.4954477606325</v>
      </c>
      <c r="E20" s="485">
        <f t="shared" si="6"/>
        <v>3885.3487200964037</v>
      </c>
      <c r="F20" s="485">
        <f t="shared" si="6"/>
        <v>3942.0213566786674</v>
      </c>
      <c r="G20" s="485">
        <f t="shared" si="6"/>
        <v>3999.5254012761056</v>
      </c>
      <c r="H20" s="485">
        <f t="shared" si="6"/>
        <v>4057.8730748100211</v>
      </c>
      <c r="I20" s="485">
        <f t="shared" si="6"/>
        <v>4117.076777958664</v>
      </c>
      <c r="J20" s="485">
        <f t="shared" si="6"/>
        <v>4177.1490937999406</v>
      </c>
      <c r="K20" s="485">
        <f t="shared" si="6"/>
        <v>4238.1027904929424</v>
      </c>
      <c r="L20" s="485">
        <f t="shared" si="6"/>
        <v>4299.9508239989827</v>
      </c>
      <c r="M20" s="485">
        <f t="shared" si="6"/>
        <v>4362.7063408426529</v>
      </c>
      <c r="N20" s="485">
        <f t="shared" si="6"/>
        <v>4426.3826809134962</v>
      </c>
      <c r="O20" s="485">
        <f t="shared" si="6"/>
        <v>4490.9933803089198</v>
      </c>
      <c r="P20" s="485">
        <f t="shared" si="6"/>
        <v>4556.5521742189303</v>
      </c>
      <c r="Q20" s="485">
        <f t="shared" si="6"/>
        <v>4623.0729998533043</v>
      </c>
      <c r="R20" s="485">
        <f t="shared" si="6"/>
        <v>4690.5699994118331</v>
      </c>
      <c r="S20" s="485">
        <f t="shared" si="6"/>
        <v>4759.0575230982804</v>
      </c>
      <c r="T20" s="485">
        <f t="shared" si="6"/>
        <v>4828.5501321786414</v>
      </c>
      <c r="U20" s="485">
        <f t="shared" si="6"/>
        <v>4899.0626020844484</v>
      </c>
      <c r="V20" s="485">
        <f t="shared" si="6"/>
        <v>4970.6099255616737</v>
      </c>
      <c r="W20" s="485">
        <f t="shared" si="6"/>
        <v>5043.2073158660196</v>
      </c>
      <c r="X20" s="485">
        <f t="shared" si="6"/>
        <v>5116.8702100051514</v>
      </c>
      <c r="Y20" s="485">
        <f t="shared" si="6"/>
        <v>5191.6142720286853</v>
      </c>
      <c r="Z20" s="485">
        <f t="shared" si="6"/>
        <v>5267.4553963665248</v>
      </c>
      <c r="AA20" s="485">
        <f t="shared" si="6"/>
        <v>5344.4097112163399</v>
      </c>
      <c r="AB20" s="485">
        <f t="shared" si="6"/>
        <v>5422.4935819808534</v>
      </c>
      <c r="AC20" s="485">
        <f t="shared" si="6"/>
        <v>5501.7236147557314</v>
      </c>
      <c r="AD20" s="485">
        <f t="shared" si="6"/>
        <v>5582.1166598687068</v>
      </c>
      <c r="AE20" s="485">
        <f t="shared" si="6"/>
        <v>5663.6898154708415</v>
      </c>
      <c r="AF20" s="485">
        <f t="shared" si="6"/>
        <v>5746.4604311805679</v>
      </c>
      <c r="AG20" s="485">
        <f t="shared" si="6"/>
        <v>5830.4461117813453</v>
      </c>
      <c r="AH20" s="485">
        <f t="shared" si="6"/>
        <v>5915.6647209737012</v>
      </c>
      <c r="AI20" s="485">
        <f t="shared" si="6"/>
        <v>6002.1343851824786</v>
      </c>
      <c r="AJ20" s="485">
        <f t="shared" si="6"/>
        <v>6089.8734974200461</v>
      </c>
      <c r="AK20" s="485">
        <f t="shared" si="6"/>
        <v>6178.9007212063852</v>
      </c>
      <c r="AL20" s="485">
        <f t="shared" ref="AL20" si="7">AL16*AL10</f>
        <v>6269.2349945467877</v>
      </c>
    </row>
    <row r="21" spans="1:38">
      <c r="B21" s="366" t="s">
        <v>721</v>
      </c>
      <c r="C21" s="484" t="s">
        <v>292</v>
      </c>
      <c r="D21" s="485">
        <f t="shared" ref="D21:AK21" si="8">D17*D11</f>
        <v>311.34058543368394</v>
      </c>
      <c r="E21" s="485">
        <f t="shared" si="8"/>
        <v>315.88517144873572</v>
      </c>
      <c r="F21" s="485">
        <f t="shared" si="8"/>
        <v>320.4964886021346</v>
      </c>
      <c r="G21" s="485">
        <f t="shared" si="8"/>
        <v>325.17551879121868</v>
      </c>
      <c r="H21" s="485">
        <f t="shared" si="8"/>
        <v>329.92325837246898</v>
      </c>
      <c r="I21" s="485">
        <f t="shared" si="8"/>
        <v>334.74071837433377</v>
      </c>
      <c r="J21" s="485">
        <f t="shared" si="8"/>
        <v>339.62892471319316</v>
      </c>
      <c r="K21" s="485">
        <f t="shared" si="8"/>
        <v>344.58891841250028</v>
      </c>
      <c r="L21" s="485">
        <f t="shared" si="8"/>
        <v>349.62175582515607</v>
      </c>
      <c r="M21" s="485">
        <f t="shared" si="8"/>
        <v>354.72850885915796</v>
      </c>
      <c r="N21" s="485">
        <f t="shared" si="8"/>
        <v>359.91026520657294</v>
      </c>
      <c r="O21" s="485">
        <f t="shared" si="8"/>
        <v>365.16812857588531</v>
      </c>
      <c r="P21" s="485">
        <f t="shared" si="8"/>
        <v>370.50321892776725</v>
      </c>
      <c r="Q21" s="485">
        <f t="shared" si="8"/>
        <v>375.91667271432146</v>
      </c>
      <c r="R21" s="485">
        <f t="shared" si="8"/>
        <v>381.40964312185014</v>
      </c>
      <c r="S21" s="485">
        <f t="shared" si="8"/>
        <v>386.98330031720042</v>
      </c>
      <c r="T21" s="485">
        <f t="shared" si="8"/>
        <v>392.63883169773629</v>
      </c>
      <c r="U21" s="485">
        <f t="shared" si="8"/>
        <v>398.37744214499685</v>
      </c>
      <c r="V21" s="485">
        <f t="shared" si="8"/>
        <v>404.20035428208701</v>
      </c>
      <c r="W21" s="485">
        <f t="shared" si="8"/>
        <v>410.10880873486451</v>
      </c>
      <c r="X21" s="485">
        <f t="shared" si="8"/>
        <v>416.10406439696948</v>
      </c>
      <c r="Y21" s="485">
        <f t="shared" si="8"/>
        <v>422.18739869876237</v>
      </c>
      <c r="Z21" s="485">
        <f t="shared" si="8"/>
        <v>428.36010788022014</v>
      </c>
      <c r="AA21" s="485">
        <f t="shared" si="8"/>
        <v>434.62350726785462</v>
      </c>
      <c r="AB21" s="485">
        <f t="shared" si="8"/>
        <v>440.97893155570739</v>
      </c>
      <c r="AC21" s="485">
        <f t="shared" si="8"/>
        <v>447.42773509048772</v>
      </c>
      <c r="AD21" s="485">
        <f t="shared" si="8"/>
        <v>453.97129216090485</v>
      </c>
      <c r="AE21" s="485">
        <f t="shared" si="8"/>
        <v>460.61099729126704</v>
      </c>
      <c r="AF21" s="485">
        <f t="shared" si="8"/>
        <v>467.3482655394028</v>
      </c>
      <c r="AG21" s="485">
        <f t="shared" si="8"/>
        <v>474.18453279897039</v>
      </c>
      <c r="AH21" s="485">
        <f t="shared" si="8"/>
        <v>481.12125610621979</v>
      </c>
      <c r="AI21" s="485">
        <f t="shared" si="8"/>
        <v>488.15991395127486</v>
      </c>
      <c r="AJ21" s="485">
        <f t="shared" si="8"/>
        <v>495.30200659399657</v>
      </c>
      <c r="AK21" s="485">
        <f t="shared" si="8"/>
        <v>502.5490563845031</v>
      </c>
      <c r="AL21" s="485">
        <f t="shared" ref="AL21" si="9">AL17*AL11</f>
        <v>509.90260808840685</v>
      </c>
    </row>
    <row r="22" spans="1:38">
      <c r="D22" s="358"/>
      <c r="F22" s="464"/>
      <c r="G22" s="465"/>
      <c r="H22" s="465"/>
    </row>
    <row r="23" spans="1:38" ht="13">
      <c r="B23" s="486" t="s">
        <v>461</v>
      </c>
      <c r="C23" s="487" t="s">
        <v>292</v>
      </c>
      <c r="D23" s="488">
        <f>SUM(D19:D21)</f>
        <v>14600.125072274595</v>
      </c>
      <c r="E23" s="488">
        <f t="shared" ref="E23:AK23" si="10">SUM(E19:E21)</f>
        <v>14822.935157393626</v>
      </c>
      <c r="F23" s="488">
        <f t="shared" si="10"/>
        <v>15049.181103572962</v>
      </c>
      <c r="G23" s="488">
        <f t="shared" si="10"/>
        <v>15278.916156042491</v>
      </c>
      <c r="H23" s="488">
        <f t="shared" si="10"/>
        <v>15512.194387087697</v>
      </c>
      <c r="I23" s="488">
        <f t="shared" si="10"/>
        <v>15749.070708905292</v>
      </c>
      <c r="J23" s="488">
        <f t="shared" si="10"/>
        <v>15989.600886659335</v>
      </c>
      <c r="K23" s="488">
        <f t="shared" si="10"/>
        <v>16233.841551740308</v>
      </c>
      <c r="L23" s="488">
        <f t="shared" si="10"/>
        <v>16481.850215230876</v>
      </c>
      <c r="M23" s="488">
        <f t="shared" si="10"/>
        <v>16733.685281581173</v>
      </c>
      <c r="N23" s="488">
        <f t="shared" si="10"/>
        <v>16989.406062497055</v>
      </c>
      <c r="O23" s="488">
        <f t="shared" si="10"/>
        <v>17249.072791044568</v>
      </c>
      <c r="P23" s="488">
        <f t="shared" si="10"/>
        <v>17512.746635974054</v>
      </c>
      <c r="Q23" s="488">
        <f t="shared" si="10"/>
        <v>17780.489716267217</v>
      </c>
      <c r="R23" s="488">
        <f t="shared" si="10"/>
        <v>18052.365115910743</v>
      </c>
      <c r="S23" s="488">
        <f t="shared" si="10"/>
        <v>18328.43689889993</v>
      </c>
      <c r="T23" s="488">
        <f t="shared" si="10"/>
        <v>18608.770124475861</v>
      </c>
      <c r="U23" s="488">
        <f t="shared" si="10"/>
        <v>18893.430862599907</v>
      </c>
      <c r="V23" s="488">
        <f t="shared" si="10"/>
        <v>19182.486209669056</v>
      </c>
      <c r="W23" s="488">
        <f t="shared" si="10"/>
        <v>19476.004304476071</v>
      </c>
      <c r="X23" s="488">
        <f t="shared" si="10"/>
        <v>19774.054344417986</v>
      </c>
      <c r="Y23" s="488">
        <f t="shared" si="10"/>
        <v>20076.706601957088</v>
      </c>
      <c r="Z23" s="488">
        <f t="shared" si="10"/>
        <v>20384.032441338135</v>
      </c>
      <c r="AA23" s="488">
        <f t="shared" si="10"/>
        <v>20696.104335565862</v>
      </c>
      <c r="AB23" s="488">
        <f t="shared" si="10"/>
        <v>21012.99588364684</v>
      </c>
      <c r="AC23" s="488">
        <f t="shared" si="10"/>
        <v>21334.781828099854</v>
      </c>
      <c r="AD23" s="488">
        <f t="shared" si="10"/>
        <v>21661.538072738756</v>
      </c>
      <c r="AE23" s="488">
        <f t="shared" si="10"/>
        <v>21993.341700732373</v>
      </c>
      <c r="AF23" s="488">
        <f t="shared" si="10"/>
        <v>22330.270992945578</v>
      </c>
      <c r="AG23" s="488">
        <f t="shared" si="10"/>
        <v>22672.405446565826</v>
      </c>
      <c r="AH23" s="488">
        <f t="shared" si="10"/>
        <v>23019.825794019849</v>
      </c>
      <c r="AI23" s="488">
        <f t="shared" si="10"/>
        <v>23372.614022184862</v>
      </c>
      <c r="AJ23" s="488">
        <f t="shared" si="10"/>
        <v>23730.853391898792</v>
      </c>
      <c r="AK23" s="488">
        <f t="shared" si="10"/>
        <v>24094.628457774528</v>
      </c>
      <c r="AL23" s="488">
        <f t="shared" ref="AL23" si="11">SUM(AL19:AL21)</f>
        <v>24464.025088322443</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'A1.8'!D86</f>
        <v>8.6648074219868097E-4</v>
      </c>
      <c r="E27" s="388">
        <f>'A1.8'!E86</f>
        <v>8.7993548718817715E-4</v>
      </c>
      <c r="F27" s="388">
        <f>'A1.8'!F86</f>
        <v>8.9360146286903807E-4</v>
      </c>
      <c r="G27" s="388">
        <f>'A1.8'!G86</f>
        <v>9.0748200115774733E-4</v>
      </c>
      <c r="H27" s="388">
        <f>'A1.8'!H86</f>
        <v>1.0666251640599215E-3</v>
      </c>
      <c r="I27" s="388">
        <f>'A1.8'!I86</f>
        <v>1.0832402201193341E-3</v>
      </c>
      <c r="J27" s="388">
        <f>'A1.8'!J86</f>
        <v>1.1001164535745795E-3</v>
      </c>
      <c r="K27" s="388">
        <f>'A1.8'!K86</f>
        <v>1.1172579858631244E-3</v>
      </c>
      <c r="L27" s="388">
        <f>'A1.8'!L86</f>
        <v>1.1346690035421638E-3</v>
      </c>
      <c r="M27" s="388">
        <f>'A1.8'!M86</f>
        <v>1.1523537593175095E-3</v>
      </c>
      <c r="N27" s="388">
        <f>'A1.8'!N86</f>
        <v>1.1703165730887414E-3</v>
      </c>
      <c r="O27" s="388">
        <f>'A1.8'!O86</f>
        <v>1.1885618330108748E-3</v>
      </c>
      <c r="P27" s="388">
        <f>'A1.8'!P86</f>
        <v>1.2070939965728119E-3</v>
      </c>
      <c r="Q27" s="388">
        <f>'A1.8'!Q86</f>
        <v>1.2259175916928466E-3</v>
      </c>
      <c r="R27" s="388">
        <f>'A1.8'!R86</f>
        <v>1.2450372178314706E-3</v>
      </c>
      <c r="S27" s="388">
        <f>'A1.8'!S86</f>
        <v>1.26445754712179E-3</v>
      </c>
      <c r="T27" s="388">
        <f>'A1.8'!T86</f>
        <v>1.2841833255177854E-3</v>
      </c>
      <c r="U27" s="388">
        <f>'A1.8'!U86</f>
        <v>1.3042193739607418E-3</v>
      </c>
      <c r="V27" s="388">
        <f>'A1.8'!V86</f>
        <v>1.3245705895641086E-3</v>
      </c>
      <c r="W27" s="388">
        <f>'A1.8'!W86</f>
        <v>1.3452419468170831E-3</v>
      </c>
      <c r="X27" s="388">
        <f>'A1.8'!X86</f>
        <v>1.3662384988072265E-3</v>
      </c>
      <c r="Y27" s="388">
        <f>'A1.8'!Y86</f>
        <v>1.387565378462393E-3</v>
      </c>
      <c r="Z27" s="388">
        <f>'A1.8'!Z86</f>
        <v>1.4092277998123044E-3</v>
      </c>
      <c r="AA27" s="388">
        <f>'A1.8'!AA86</f>
        <v>1.4312310592700485E-3</v>
      </c>
      <c r="AB27" s="388">
        <f>'A1.8'!AB86</f>
        <v>1.453580536933843E-3</v>
      </c>
      <c r="AC27" s="388">
        <f>'A1.8'!AC86</f>
        <v>1.4762816979093701E-3</v>
      </c>
      <c r="AD27" s="388">
        <f>'A1.8'!AD86</f>
        <v>1.4993400936530157E-3</v>
      </c>
      <c r="AE27" s="388">
        <f>'A1.8'!AE86</f>
        <v>1.5227613633363281E-3</v>
      </c>
      <c r="AF27" s="388">
        <f>'A1.8'!AF86</f>
        <v>1.5465512352320595E-3</v>
      </c>
      <c r="AG27" s="388">
        <f>'A1.8'!AG86</f>
        <v>1.5707155281220982E-3</v>
      </c>
      <c r="AH27" s="388">
        <f>'A1.8'!AH86</f>
        <v>1.5952601527276617E-3</v>
      </c>
      <c r="AI27" s="388">
        <f>'A1.8'!AI86</f>
        <v>1.6201911131620943E-3</v>
      </c>
      <c r="AJ27" s="388">
        <f>'A1.8'!AJ86</f>
        <v>1.6455145084066207E-3</v>
      </c>
      <c r="AK27" s="388">
        <f>'A1.8'!AK86</f>
        <v>1.6712365338094287E-3</v>
      </c>
      <c r="AL27" s="388">
        <f>'A1.8'!AL86</f>
        <v>1.697363482608446E-3</v>
      </c>
    </row>
    <row r="28" spans="1:38">
      <c r="B28" s="367" t="s">
        <v>516</v>
      </c>
      <c r="C28" s="367" t="s">
        <v>329</v>
      </c>
      <c r="D28" s="388">
        <f>'A1.8'!D87</f>
        <v>1.3479392635553089E-2</v>
      </c>
      <c r="E28" s="388">
        <f>'A1.8'!E87</f>
        <v>1.3675989863063722E-2</v>
      </c>
      <c r="F28" s="388">
        <f>'A1.8'!F87</f>
        <v>1.3875471160431776E-2</v>
      </c>
      <c r="G28" s="388">
        <f>'A1.8'!G87</f>
        <v>1.407787892036644E-2</v>
      </c>
      <c r="H28" s="388">
        <f>'A1.8'!H87</f>
        <v>1.6531253282106886E-2</v>
      </c>
      <c r="I28" s="388">
        <f>'A1.8'!I87</f>
        <v>1.6773083000263242E-2</v>
      </c>
      <c r="J28" s="388">
        <f>'A1.8'!J87</f>
        <v>1.701846416699649E-2</v>
      </c>
      <c r="K28" s="388">
        <f>'A1.8'!K87</f>
        <v>1.7267448998574131E-2</v>
      </c>
      <c r="L28" s="388">
        <f>'A1.8'!L87</f>
        <v>1.7520090479300067E-2</v>
      </c>
      <c r="M28" s="388">
        <f>'A1.8'!M87</f>
        <v>1.7776442372807597E-2</v>
      </c>
      <c r="N28" s="388">
        <f>'A1.8'!N87</f>
        <v>1.803655923351858E-2</v>
      </c>
      <c r="O28" s="388">
        <f>'A1.8'!O87</f>
        <v>1.830049641827107E-2</v>
      </c>
      <c r="P28" s="388">
        <f>'A1.8'!P87</f>
        <v>1.8568310098118091E-2</v>
      </c>
      <c r="Q28" s="388">
        <f>'A1.8'!Q87</f>
        <v>1.8840057270300022E-2</v>
      </c>
      <c r="R28" s="388">
        <f>'A1.8'!R87</f>
        <v>1.9115795770392949E-2</v>
      </c>
      <c r="S28" s="388">
        <f>'A1.8'!S87</f>
        <v>1.9395584284635971E-2</v>
      </c>
      <c r="T28" s="388">
        <f>'A1.8'!T87</f>
        <v>1.9679482362439531E-2</v>
      </c>
      <c r="U28" s="388">
        <f>'A1.8'!U87</f>
        <v>1.9967550429078017E-2</v>
      </c>
      <c r="V28" s="388">
        <f>'A1.8'!V87</f>
        <v>2.0259849798569003E-2</v>
      </c>
      <c r="W28" s="388">
        <f>'A1.8'!W87</f>
        <v>2.0556442686741824E-2</v>
      </c>
      <c r="X28" s="388">
        <f>'A1.8'!X87</f>
        <v>2.0857392224498558E-2</v>
      </c>
      <c r="Y28" s="388">
        <f>'A1.8'!Y87</f>
        <v>2.1162762471269907E-2</v>
      </c>
      <c r="Z28" s="388">
        <f>'A1.8'!Z87</f>
        <v>2.1472618428669144E-2</v>
      </c>
      <c r="AA28" s="388">
        <f>'A1.8'!AA87</f>
        <v>2.1787026054346844E-2</v>
      </c>
      <c r="AB28" s="388">
        <f>'A1.8'!AB87</f>
        <v>2.2106052276049327E-2</v>
      </c>
      <c r="AC28" s="388">
        <f>'A1.8'!AC87</f>
        <v>2.2429765005884044E-2</v>
      </c>
      <c r="AD28" s="388">
        <f>'A1.8'!AD87</f>
        <v>2.2758233154794676E-2</v>
      </c>
      <c r="AE28" s="388">
        <f>'A1.8'!AE87</f>
        <v>2.3091526647249117E-2</v>
      </c>
      <c r="AF28" s="388">
        <f>'A1.8'!AF87</f>
        <v>2.3429716436143617E-2</v>
      </c>
      <c r="AG28" s="388">
        <f>'A1.8'!AG87</f>
        <v>2.3772874517926069E-2</v>
      </c>
      <c r="AH28" s="388">
        <f>'A1.8'!AH87</f>
        <v>2.4121073947941676E-2</v>
      </c>
      <c r="AI28" s="388">
        <f>'A1.8'!AI87</f>
        <v>2.4474388856004458E-2</v>
      </c>
      <c r="AJ28" s="388">
        <f>'A1.8'!AJ87</f>
        <v>2.4832894462197649E-2</v>
      </c>
      <c r="AK28" s="388">
        <f>'A1.8'!AK87</f>
        <v>2.5196667092906563E-2</v>
      </c>
      <c r="AL28" s="388">
        <f>'A1.8'!AL87</f>
        <v>2.5565784197087278E-2</v>
      </c>
    </row>
    <row r="29" spans="1:38">
      <c r="B29" s="367" t="s">
        <v>517</v>
      </c>
      <c r="C29" s="367" t="s">
        <v>518</v>
      </c>
      <c r="D29" s="388">
        <f>'A1.8'!D85</f>
        <v>6.9186796763040875E-2</v>
      </c>
      <c r="E29" s="388">
        <f>'A1.8'!E85</f>
        <v>7.0196704766385717E-2</v>
      </c>
      <c r="F29" s="388">
        <f>'A1.8'!F85</f>
        <v>7.122144191158547E-2</v>
      </c>
      <c r="G29" s="388">
        <f>'A1.8'!G85</f>
        <v>7.2261226398048592E-2</v>
      </c>
      <c r="H29" s="388">
        <f>'A1.8'!H85</f>
        <v>8.4855300143018605E-2</v>
      </c>
      <c r="I29" s="388">
        <f>'A1.8'!I85</f>
        <v>8.6097629384752503E-2</v>
      </c>
      <c r="J29" s="388">
        <f>'A1.8'!J85</f>
        <v>8.7358220324800728E-2</v>
      </c>
      <c r="K29" s="388">
        <f>'A1.8'!K85</f>
        <v>8.8637341742808545E-2</v>
      </c>
      <c r="L29" s="388">
        <f>'A1.8'!L85</f>
        <v>8.9935266376334283E-2</v>
      </c>
      <c r="M29" s="388">
        <f>'A1.8'!M85</f>
        <v>9.1252270979116756E-2</v>
      </c>
      <c r="N29" s="388">
        <f>'A1.8'!N85</f>
        <v>9.2588636380201192E-2</v>
      </c>
      <c r="O29" s="388">
        <f>'A1.8'!O85</f>
        <v>9.3944647543935611E-2</v>
      </c>
      <c r="P29" s="388">
        <f>'A1.8'!P85</f>
        <v>9.5320593630851422E-2</v>
      </c>
      <c r="Q29" s="388">
        <f>'A1.8'!Q85</f>
        <v>9.6716768059440808E-2</v>
      </c>
      <c r="R29" s="388">
        <f>'A1.8'!R85</f>
        <v>9.8133468568843668E-2</v>
      </c>
      <c r="S29" s="388">
        <f>'A1.8'!S85</f>
        <v>9.9570997282458898E-2</v>
      </c>
      <c r="T29" s="388">
        <f>'A1.8'!T85</f>
        <v>0.10102966077249109</v>
      </c>
      <c r="U29" s="388">
        <f>'A1.8'!U85</f>
        <v>0.1025097701254496</v>
      </c>
      <c r="V29" s="388">
        <f>'A1.8'!V85</f>
        <v>0.1040116410086116</v>
      </c>
      <c r="W29" s="388">
        <f>'A1.8'!W85</f>
        <v>0.10553559373746402</v>
      </c>
      <c r="X29" s="388">
        <f>'A1.8'!X85</f>
        <v>0.10708195334413921</v>
      </c>
      <c r="Y29" s="388">
        <f>'A1.8'!Y85</f>
        <v>0.10865104964685822</v>
      </c>
      <c r="Z29" s="388">
        <f>'A1.8'!Z85</f>
        <v>0.11024321732039734</v>
      </c>
      <c r="AA29" s="388">
        <f>'A1.8'!AA85</f>
        <v>0.11185879596759225</v>
      </c>
      <c r="AB29" s="388">
        <f>'A1.8'!AB85</f>
        <v>0.11349813019189516</v>
      </c>
      <c r="AC29" s="388">
        <f>'A1.8'!AC85</f>
        <v>0.11516156967100113</v>
      </c>
      <c r="AD29" s="388">
        <f>'A1.8'!AD85</f>
        <v>0.11684946923155848</v>
      </c>
      <c r="AE29" s="388">
        <f>'A1.8'!AE85</f>
        <v>0.1185621889249792</v>
      </c>
      <c r="AF29" s="388">
        <f>'A1.8'!AF85</f>
        <v>0.12030009410436678</v>
      </c>
      <c r="AG29" s="388">
        <f>'A1.8'!AG85</f>
        <v>0.12206355550257636</v>
      </c>
      <c r="AH29" s="388">
        <f>'A1.8'!AH85</f>
        <v>0.12385294931142465</v>
      </c>
      <c r="AI29" s="388">
        <f>'A1.8'!AI85</f>
        <v>0.12566865726206683</v>
      </c>
      <c r="AJ29" s="388">
        <f>'A1.8'!AJ85</f>
        <v>0.1275110667065566</v>
      </c>
      <c r="AK29" s="388">
        <f>'A1.8'!AK85</f>
        <v>0.12938057070060788</v>
      </c>
      <c r="AL29" s="388">
        <f>'A1.8'!AL85</f>
        <v>0.13127756808757557</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2">D27*D9</f>
        <v>10459.289039080279</v>
      </c>
      <c r="E31" s="485">
        <f t="shared" si="12"/>
        <v>10621.701265848487</v>
      </c>
      <c r="F31" s="485">
        <f t="shared" si="12"/>
        <v>10786.663258292159</v>
      </c>
      <c r="G31" s="485">
        <f t="shared" si="12"/>
        <v>10954.215235975167</v>
      </c>
      <c r="H31" s="485">
        <f t="shared" si="12"/>
        <v>12875.232355367312</v>
      </c>
      <c r="I31" s="485">
        <f t="shared" si="12"/>
        <v>13075.792697060482</v>
      </c>
      <c r="J31" s="485">
        <f t="shared" si="12"/>
        <v>13279.505711098749</v>
      </c>
      <c r="K31" s="485">
        <f t="shared" si="12"/>
        <v>13486.421147353774</v>
      </c>
      <c r="L31" s="485">
        <f t="shared" si="12"/>
        <v>13696.589541757459</v>
      </c>
      <c r="M31" s="485">
        <f t="shared" si="12"/>
        <v>13910.062228721657</v>
      </c>
      <c r="N31" s="485">
        <f t="shared" si="12"/>
        <v>14126.891353754198</v>
      </c>
      <c r="O31" s="485">
        <f t="shared" si="12"/>
        <v>14347.12988627427</v>
      </c>
      <c r="P31" s="485">
        <f t="shared" si="12"/>
        <v>14570.831632630412</v>
      </c>
      <c r="Q31" s="485">
        <f t="shared" si="12"/>
        <v>14798.051249324351</v>
      </c>
      <c r="R31" s="485">
        <f t="shared" si="12"/>
        <v>15028.844256443681</v>
      </c>
      <c r="S31" s="485">
        <f t="shared" si="12"/>
        <v>15263.267051307128</v>
      </c>
      <c r="T31" s="485">
        <f t="shared" si="12"/>
        <v>15501.376922325187</v>
      </c>
      <c r="U31" s="485">
        <f t="shared" si="12"/>
        <v>15743.232063080115</v>
      </c>
      <c r="V31" s="485">
        <f t="shared" si="12"/>
        <v>15988.891586628355</v>
      </c>
      <c r="W31" s="485">
        <f t="shared" si="12"/>
        <v>16238.415540029011</v>
      </c>
      <c r="X31" s="485">
        <f t="shared" si="12"/>
        <v>16491.86491910203</v>
      </c>
      <c r="Y31" s="485">
        <f t="shared" si="12"/>
        <v>16749.301683419548</v>
      </c>
      <c r="Z31" s="485">
        <f t="shared" si="12"/>
        <v>17010.788771534328</v>
      </c>
      <c r="AA31" s="485">
        <f t="shared" si="12"/>
        <v>17276.390116448754</v>
      </c>
      <c r="AB31" s="485">
        <f t="shared" si="12"/>
        <v>17546.170661328419</v>
      </c>
      <c r="AC31" s="485">
        <f t="shared" si="12"/>
        <v>17820.196375464006</v>
      </c>
      <c r="AD31" s="485">
        <f t="shared" si="12"/>
        <v>18098.534270485554</v>
      </c>
      <c r="AE31" s="485">
        <f t="shared" si="12"/>
        <v>18381.252416832816</v>
      </c>
      <c r="AF31" s="485">
        <f t="shared" si="12"/>
        <v>18668.41996048619</v>
      </c>
      <c r="AG31" s="485">
        <f t="shared" si="12"/>
        <v>18960.107139961849</v>
      </c>
      <c r="AH31" s="485">
        <f t="shared" si="12"/>
        <v>19256.385303575604</v>
      </c>
      <c r="AI31" s="485">
        <f t="shared" si="12"/>
        <v>19557.32692697964</v>
      </c>
      <c r="AJ31" s="485">
        <f t="shared" si="12"/>
        <v>19863.005630976317</v>
      </c>
      <c r="AK31" s="485">
        <f t="shared" si="12"/>
        <v>20173.496199613615</v>
      </c>
      <c r="AL31" s="485">
        <f t="shared" ref="AL31" si="13">AL27*AL9</f>
        <v>20488.874598566552</v>
      </c>
    </row>
    <row r="32" spans="1:38">
      <c r="B32" s="366" t="s">
        <v>720</v>
      </c>
      <c r="C32" s="484" t="s">
        <v>292</v>
      </c>
      <c r="D32" s="485">
        <f t="shared" ref="D32:AK32" si="14">D28*D10</f>
        <v>3829.4954477606325</v>
      </c>
      <c r="E32" s="485">
        <f t="shared" si="14"/>
        <v>3885.3487200964037</v>
      </c>
      <c r="F32" s="485">
        <f t="shared" si="14"/>
        <v>3942.0213566786674</v>
      </c>
      <c r="G32" s="485">
        <f t="shared" si="14"/>
        <v>3999.5254012761056</v>
      </c>
      <c r="H32" s="485">
        <f t="shared" si="14"/>
        <v>4696.5290574465662</v>
      </c>
      <c r="I32" s="485">
        <f t="shared" si="14"/>
        <v>4765.2328803747869</v>
      </c>
      <c r="J32" s="485">
        <f t="shared" si="14"/>
        <v>4834.9456698437025</v>
      </c>
      <c r="K32" s="485">
        <f t="shared" si="14"/>
        <v>4905.6822604949102</v>
      </c>
      <c r="L32" s="485">
        <f t="shared" si="14"/>
        <v>4977.4577051691494</v>
      </c>
      <c r="M32" s="485">
        <f t="shared" si="14"/>
        <v>5050.287278114638</v>
      </c>
      <c r="N32" s="485">
        <f t="shared" si="14"/>
        <v>5124.1864782426283</v>
      </c>
      <c r="O32" s="485">
        <f t="shared" si="14"/>
        <v>5199.1710324308106</v>
      </c>
      <c r="P32" s="485">
        <f t="shared" si="14"/>
        <v>5275.2568988753501</v>
      </c>
      <c r="Q32" s="485">
        <f t="shared" si="14"/>
        <v>5352.4602704922363</v>
      </c>
      <c r="R32" s="485">
        <f t="shared" si="14"/>
        <v>5430.797578368637</v>
      </c>
      <c r="S32" s="485">
        <f t="shared" si="14"/>
        <v>5510.2854952650796</v>
      </c>
      <c r="T32" s="485">
        <f t="shared" si="14"/>
        <v>5590.9409391690706</v>
      </c>
      <c r="U32" s="485">
        <f t="shared" si="14"/>
        <v>5672.7810769010648</v>
      </c>
      <c r="V32" s="485">
        <f t="shared" si="14"/>
        <v>5755.8233277734535</v>
      </c>
      <c r="W32" s="485">
        <f t="shared" si="14"/>
        <v>5840.0853673033525</v>
      </c>
      <c r="X32" s="485">
        <f t="shared" si="14"/>
        <v>5925.58513098004</v>
      </c>
      <c r="Y32" s="485">
        <f t="shared" si="14"/>
        <v>6012.3408180877805</v>
      </c>
      <c r="Z32" s="485">
        <f t="shared" si="14"/>
        <v>6100.3708955849042</v>
      </c>
      <c r="AA32" s="485">
        <f t="shared" si="14"/>
        <v>6189.6941020399381</v>
      </c>
      <c r="AB32" s="485">
        <f t="shared" si="14"/>
        <v>6280.3294516256137</v>
      </c>
      <c r="AC32" s="485">
        <f t="shared" si="14"/>
        <v>6372.296238171657</v>
      </c>
      <c r="AD32" s="485">
        <f t="shared" si="14"/>
        <v>6465.6140392771676</v>
      </c>
      <c r="AE32" s="485">
        <f t="shared" si="14"/>
        <v>6560.3027204834743</v>
      </c>
      <c r="AF32" s="485">
        <f t="shared" si="14"/>
        <v>6656.3824395084021</v>
      </c>
      <c r="AG32" s="485">
        <f t="shared" si="14"/>
        <v>6753.873650542796</v>
      </c>
      <c r="AH32" s="485">
        <f t="shared" si="14"/>
        <v>6852.7971086102307</v>
      </c>
      <c r="AI32" s="485">
        <f t="shared" si="14"/>
        <v>6953.1738739908669</v>
      </c>
      <c r="AJ32" s="485">
        <f t="shared" si="14"/>
        <v>7055.0253167103519</v>
      </c>
      <c r="AK32" s="485">
        <f t="shared" si="14"/>
        <v>7158.3731210947544</v>
      </c>
      <c r="AL32" s="485">
        <f t="shared" ref="AL32" si="15">AL28*AL10</f>
        <v>7263.2392903924956</v>
      </c>
    </row>
    <row r="33" spans="1:38">
      <c r="B33" s="366" t="s">
        <v>721</v>
      </c>
      <c r="C33" s="484" t="s">
        <v>292</v>
      </c>
      <c r="D33" s="485">
        <f t="shared" ref="D33:AK33" si="16">D29*D11</f>
        <v>311.34058543368394</v>
      </c>
      <c r="E33" s="485">
        <f t="shared" si="16"/>
        <v>315.88517144873572</v>
      </c>
      <c r="F33" s="485">
        <f t="shared" si="16"/>
        <v>320.4964886021346</v>
      </c>
      <c r="G33" s="485">
        <f t="shared" si="16"/>
        <v>325.17551879121868</v>
      </c>
      <c r="H33" s="485">
        <f t="shared" si="16"/>
        <v>381.84885064358372</v>
      </c>
      <c r="I33" s="485">
        <f t="shared" si="16"/>
        <v>387.43933223138629</v>
      </c>
      <c r="J33" s="485">
        <f t="shared" si="16"/>
        <v>393.11199146160328</v>
      </c>
      <c r="K33" s="485">
        <f t="shared" si="16"/>
        <v>398.86803784263844</v>
      </c>
      <c r="L33" s="485">
        <f t="shared" si="16"/>
        <v>404.70869869350429</v>
      </c>
      <c r="M33" s="485">
        <f t="shared" si="16"/>
        <v>410.63521940602539</v>
      </c>
      <c r="N33" s="485">
        <f t="shared" si="16"/>
        <v>416.64886371090535</v>
      </c>
      <c r="O33" s="485">
        <f t="shared" si="16"/>
        <v>422.75091394771027</v>
      </c>
      <c r="P33" s="485">
        <f t="shared" si="16"/>
        <v>428.94267133883142</v>
      </c>
      <c r="Q33" s="485">
        <f t="shared" si="16"/>
        <v>435.22545626748365</v>
      </c>
      <c r="R33" s="485">
        <f t="shared" si="16"/>
        <v>441.60060855979651</v>
      </c>
      <c r="S33" s="485">
        <f t="shared" si="16"/>
        <v>448.06948777106504</v>
      </c>
      <c r="T33" s="485">
        <f t="shared" si="16"/>
        <v>454.63347347620993</v>
      </c>
      <c r="U33" s="485">
        <f t="shared" si="16"/>
        <v>461.29396556452321</v>
      </c>
      <c r="V33" s="485">
        <f t="shared" si="16"/>
        <v>468.05238453875222</v>
      </c>
      <c r="W33" s="485">
        <f t="shared" si="16"/>
        <v>474.91017181858808</v>
      </c>
      <c r="X33" s="485">
        <f t="shared" si="16"/>
        <v>481.86879004862647</v>
      </c>
      <c r="Y33" s="485">
        <f t="shared" si="16"/>
        <v>488.92972341086198</v>
      </c>
      <c r="Z33" s="485">
        <f t="shared" si="16"/>
        <v>496.094477941788</v>
      </c>
      <c r="AA33" s="485">
        <f t="shared" si="16"/>
        <v>503.36458185416512</v>
      </c>
      <c r="AB33" s="485">
        <f t="shared" si="16"/>
        <v>510.7415858635282</v>
      </c>
      <c r="AC33" s="485">
        <f t="shared" si="16"/>
        <v>518.22706351950512</v>
      </c>
      <c r="AD33" s="485">
        <f t="shared" si="16"/>
        <v>525.82261154201319</v>
      </c>
      <c r="AE33" s="485">
        <f t="shared" si="16"/>
        <v>533.52985016240643</v>
      </c>
      <c r="AF33" s="485">
        <f t="shared" si="16"/>
        <v>541.35042346965054</v>
      </c>
      <c r="AG33" s="485">
        <f t="shared" si="16"/>
        <v>549.28599976159364</v>
      </c>
      <c r="AH33" s="485">
        <f t="shared" si="16"/>
        <v>557.33827190141096</v>
      </c>
      <c r="AI33" s="485">
        <f t="shared" si="16"/>
        <v>565.50895767930069</v>
      </c>
      <c r="AJ33" s="485">
        <f t="shared" si="16"/>
        <v>573.7998001795047</v>
      </c>
      <c r="AK33" s="485">
        <f t="shared" si="16"/>
        <v>582.21256815273546</v>
      </c>
      <c r="AL33" s="485">
        <f t="shared" ref="AL33" si="17">AL29*AL11</f>
        <v>590.74905639409008</v>
      </c>
    </row>
    <row r="34" spans="1:38">
      <c r="D34" s="358"/>
      <c r="F34" s="464"/>
      <c r="G34" s="465"/>
      <c r="H34" s="465"/>
    </row>
    <row r="35" spans="1:38" ht="13">
      <c r="B35" s="486" t="s">
        <v>462</v>
      </c>
      <c r="C35" s="487" t="s">
        <v>292</v>
      </c>
      <c r="D35" s="488">
        <f>SUM(D31:D33)</f>
        <v>14600.125072274595</v>
      </c>
      <c r="E35" s="488">
        <f t="shared" ref="E35:AK35" si="18">SUM(E31:E33)</f>
        <v>14822.935157393626</v>
      </c>
      <c r="F35" s="488">
        <f t="shared" si="18"/>
        <v>15049.181103572962</v>
      </c>
      <c r="G35" s="488">
        <f t="shared" si="18"/>
        <v>15278.916156042491</v>
      </c>
      <c r="H35" s="488">
        <f t="shared" si="18"/>
        <v>17953.61026345746</v>
      </c>
      <c r="I35" s="488">
        <f t="shared" si="18"/>
        <v>18228.464909666654</v>
      </c>
      <c r="J35" s="488">
        <f t="shared" si="18"/>
        <v>18507.563372404056</v>
      </c>
      <c r="K35" s="488">
        <f t="shared" si="18"/>
        <v>18790.971445691324</v>
      </c>
      <c r="L35" s="488">
        <f t="shared" si="18"/>
        <v>19078.755945620112</v>
      </c>
      <c r="M35" s="488">
        <f t="shared" si="18"/>
        <v>19370.984726242321</v>
      </c>
      <c r="N35" s="488">
        <f t="shared" si="18"/>
        <v>19667.726695707734</v>
      </c>
      <c r="O35" s="488">
        <f t="shared" si="18"/>
        <v>19969.051832652793</v>
      </c>
      <c r="P35" s="488">
        <f t="shared" si="18"/>
        <v>20275.031202844591</v>
      </c>
      <c r="Q35" s="488">
        <f t="shared" si="18"/>
        <v>20585.73697608407</v>
      </c>
      <c r="R35" s="488">
        <f t="shared" si="18"/>
        <v>20901.242443372117</v>
      </c>
      <c r="S35" s="488">
        <f t="shared" si="18"/>
        <v>21221.622034343276</v>
      </c>
      <c r="T35" s="488">
        <f t="shared" si="18"/>
        <v>21546.951334970468</v>
      </c>
      <c r="U35" s="488">
        <f t="shared" si="18"/>
        <v>21877.307105545704</v>
      </c>
      <c r="V35" s="488">
        <f t="shared" si="18"/>
        <v>22212.767298940558</v>
      </c>
      <c r="W35" s="488">
        <f t="shared" si="18"/>
        <v>22553.411079150952</v>
      </c>
      <c r="X35" s="488">
        <f t="shared" si="18"/>
        <v>22899.318840130698</v>
      </c>
      <c r="Y35" s="488">
        <f t="shared" si="18"/>
        <v>23250.572224918193</v>
      </c>
      <c r="Z35" s="488">
        <f t="shared" si="18"/>
        <v>23607.254145061019</v>
      </c>
      <c r="AA35" s="488">
        <f t="shared" si="18"/>
        <v>23969.44880034286</v>
      </c>
      <c r="AB35" s="488">
        <f t="shared" si="18"/>
        <v>24337.241698817561</v>
      </c>
      <c r="AC35" s="488">
        <f t="shared" si="18"/>
        <v>24710.719677155168</v>
      </c>
      <c r="AD35" s="488">
        <f t="shared" si="18"/>
        <v>25089.970921304735</v>
      </c>
      <c r="AE35" s="488">
        <f t="shared" si="18"/>
        <v>25475.084987478695</v>
      </c>
      <c r="AF35" s="488">
        <f t="shared" si="18"/>
        <v>25866.152823464243</v>
      </c>
      <c r="AG35" s="488">
        <f t="shared" si="18"/>
        <v>26263.266790266236</v>
      </c>
      <c r="AH35" s="488">
        <f t="shared" si="18"/>
        <v>26666.520684087245</v>
      </c>
      <c r="AI35" s="488">
        <f t="shared" si="18"/>
        <v>27076.009758649805</v>
      </c>
      <c r="AJ35" s="488">
        <f t="shared" si="18"/>
        <v>27491.830747866174</v>
      </c>
      <c r="AK35" s="488">
        <f t="shared" si="18"/>
        <v>27914.081888861107</v>
      </c>
      <c r="AL35" s="488">
        <f t="shared" ref="AL35" si="19">SUM(AL31:AL33)</f>
        <v>28342.862945353139</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 t="shared" ref="D39:AK39" si="20">D15-D27</f>
        <v>0</v>
      </c>
      <c r="E39" s="388">
        <f t="shared" si="20"/>
        <v>0</v>
      </c>
      <c r="F39" s="388">
        <f t="shared" si="20"/>
        <v>0</v>
      </c>
      <c r="G39" s="388">
        <f t="shared" si="20"/>
        <v>0</v>
      </c>
      <c r="H39" s="388">
        <f t="shared" si="20"/>
        <v>-1.4504467744694781E-4</v>
      </c>
      <c r="I39" s="388">
        <f t="shared" si="20"/>
        <v>-1.4733986285214045E-4</v>
      </c>
      <c r="J39" s="388">
        <f t="shared" si="20"/>
        <v>-1.4967134810310243E-4</v>
      </c>
      <c r="K39" s="388">
        <f t="shared" si="20"/>
        <v>-1.5203970710951111E-4</v>
      </c>
      <c r="L39" s="388">
        <f t="shared" si="20"/>
        <v>-1.5444552285235062E-4</v>
      </c>
      <c r="M39" s="388">
        <f t="shared" si="20"/>
        <v>-1.5688938752732133E-4</v>
      </c>
      <c r="N39" s="388">
        <f t="shared" si="20"/>
        <v>-1.593719026905156E-4</v>
      </c>
      <c r="O39" s="388">
        <f t="shared" si="20"/>
        <v>-1.618936794063879E-4</v>
      </c>
      <c r="P39" s="388">
        <f t="shared" si="20"/>
        <v>-1.6445533839806628E-4</v>
      </c>
      <c r="Q39" s="388">
        <f t="shared" si="20"/>
        <v>-1.6705751020004624E-4</v>
      </c>
      <c r="R39" s="388">
        <f t="shared" si="20"/>
        <v>-1.6970083531328149E-4</v>
      </c>
      <c r="S39" s="388">
        <f t="shared" si="20"/>
        <v>-1.7238596436274347E-4</v>
      </c>
      <c r="T39" s="388">
        <f t="shared" si="20"/>
        <v>-1.7511355825745216E-4</v>
      </c>
      <c r="U39" s="388">
        <f t="shared" si="20"/>
        <v>-1.7788428835304858E-4</v>
      </c>
      <c r="V39" s="388">
        <f t="shared" si="20"/>
        <v>-1.8069883661693802E-4</v>
      </c>
      <c r="W39" s="388">
        <f t="shared" si="20"/>
        <v>-1.8355789579602546E-4</v>
      </c>
      <c r="X39" s="388">
        <f t="shared" si="20"/>
        <v>-1.8646216958712329E-4</v>
      </c>
      <c r="Y39" s="388">
        <f t="shared" si="20"/>
        <v>-1.8941237281003298E-4</v>
      </c>
      <c r="Z39" s="388">
        <f t="shared" si="20"/>
        <v>-1.9240923158337633E-4</v>
      </c>
      <c r="AA39" s="388">
        <f t="shared" si="20"/>
        <v>-1.9545348350319663E-4</v>
      </c>
      <c r="AB39" s="388">
        <f t="shared" si="20"/>
        <v>-1.9854587782438399E-4</v>
      </c>
      <c r="AC39" s="388">
        <f t="shared" si="20"/>
        <v>-2.0168717564496503E-4</v>
      </c>
      <c r="AD39" s="388">
        <f t="shared" si="20"/>
        <v>-2.0487815009331552E-4</v>
      </c>
      <c r="AE39" s="388">
        <f t="shared" si="20"/>
        <v>-2.0811958651831253E-4</v>
      </c>
      <c r="AF39" s="388">
        <f t="shared" si="20"/>
        <v>-2.1141228268251044E-4</v>
      </c>
      <c r="AG39" s="388">
        <f t="shared" si="20"/>
        <v>-2.1475704895835765E-4</v>
      </c>
      <c r="AH39" s="388">
        <f t="shared" si="20"/>
        <v>-2.1815470852751869E-4</v>
      </c>
      <c r="AI39" s="388">
        <f t="shared" si="20"/>
        <v>-2.2160609758334294E-4</v>
      </c>
      <c r="AJ39" s="388">
        <f t="shared" si="20"/>
        <v>-2.2511206553653927E-4</v>
      </c>
      <c r="AK39" s="388">
        <f t="shared" si="20"/>
        <v>-2.2867347522408836E-4</v>
      </c>
      <c r="AL39" s="388">
        <f t="shared" ref="AL39" si="21">AL15-AL27</f>
        <v>-2.3229120312147312E-4</v>
      </c>
    </row>
    <row r="40" spans="1:38" ht="13">
      <c r="B40" s="581" t="s">
        <v>782</v>
      </c>
      <c r="C40" s="581" t="s">
        <v>329</v>
      </c>
      <c r="D40" s="388">
        <f t="shared" ref="D40:AK40" si="22">D16-D28</f>
        <v>0</v>
      </c>
      <c r="E40" s="388">
        <f t="shared" si="22"/>
        <v>0</v>
      </c>
      <c r="F40" s="388">
        <f t="shared" si="22"/>
        <v>0</v>
      </c>
      <c r="G40" s="388">
        <f t="shared" si="22"/>
        <v>0</v>
      </c>
      <c r="H40" s="388">
        <f t="shared" si="22"/>
        <v>-2.247997122972703E-3</v>
      </c>
      <c r="I40" s="388">
        <f t="shared" si="22"/>
        <v>-2.2814364745375685E-3</v>
      </c>
      <c r="J40" s="388">
        <f t="shared" si="22"/>
        <v>-2.3153698558386563E-3</v>
      </c>
      <c r="K40" s="388">
        <f t="shared" si="22"/>
        <v>-2.3498045406616253E-3</v>
      </c>
      <c r="L40" s="388">
        <f t="shared" si="22"/>
        <v>-2.3847479097858712E-3</v>
      </c>
      <c r="M40" s="388">
        <f t="shared" si="22"/>
        <v>-2.4202074525589059E-3</v>
      </c>
      <c r="N40" s="388">
        <f t="shared" si="22"/>
        <v>-2.456190768493953E-3</v>
      </c>
      <c r="O40" s="388">
        <f t="shared" si="22"/>
        <v>-2.4927055688908524E-3</v>
      </c>
      <c r="P40" s="388">
        <f t="shared" si="22"/>
        <v>-2.5297596784808855E-3</v>
      </c>
      <c r="Q40" s="388">
        <f t="shared" si="22"/>
        <v>-2.5673610370958548E-3</v>
      </c>
      <c r="R40" s="388">
        <f t="shared" si="22"/>
        <v>-2.6055177013615052E-3</v>
      </c>
      <c r="S40" s="388">
        <f t="shared" si="22"/>
        <v>-2.644237846416049E-3</v>
      </c>
      <c r="T40" s="388">
        <f t="shared" si="22"/>
        <v>-2.6835297676537466E-3</v>
      </c>
      <c r="U40" s="388">
        <f t="shared" si="22"/>
        <v>-2.7234018824942481E-3</v>
      </c>
      <c r="V40" s="388">
        <f t="shared" si="22"/>
        <v>-2.7638627321780358E-3</v>
      </c>
      <c r="W40" s="388">
        <f t="shared" si="22"/>
        <v>-2.8049209835879357E-3</v>
      </c>
      <c r="X40" s="388">
        <f t="shared" si="22"/>
        <v>-2.8465854310978124E-3</v>
      </c>
      <c r="Y40" s="388">
        <f t="shared" si="22"/>
        <v>-2.8888649984480652E-3</v>
      </c>
      <c r="Z40" s="388">
        <f t="shared" si="22"/>
        <v>-2.9317687406489948E-3</v>
      </c>
      <c r="AA40" s="388">
        <f t="shared" si="22"/>
        <v>-2.9753058459119977E-3</v>
      </c>
      <c r="AB40" s="388">
        <f t="shared" si="22"/>
        <v>-3.0194856376091518E-3</v>
      </c>
      <c r="AC40" s="388">
        <f t="shared" si="22"/>
        <v>-3.0643175762616187E-3</v>
      </c>
      <c r="AD40" s="388">
        <f t="shared" si="22"/>
        <v>-3.1098112615574117E-3</v>
      </c>
      <c r="AE40" s="388">
        <f t="shared" si="22"/>
        <v>-3.155976434398567E-3</v>
      </c>
      <c r="AF40" s="388">
        <f t="shared" si="22"/>
        <v>-3.2028229789786491E-3</v>
      </c>
      <c r="AG40" s="388">
        <f t="shared" si="22"/>
        <v>-3.2503609248907099E-3</v>
      </c>
      <c r="AH40" s="388">
        <f t="shared" si="22"/>
        <v>-3.2986004492662063E-3</v>
      </c>
      <c r="AI40" s="388">
        <f t="shared" si="22"/>
        <v>-3.3475518789453998E-3</v>
      </c>
      <c r="AJ40" s="388">
        <f t="shared" si="22"/>
        <v>-3.3972256926797124E-3</v>
      </c>
      <c r="AK40" s="388">
        <f t="shared" si="22"/>
        <v>-3.4476325233663112E-3</v>
      </c>
      <c r="AL40" s="388">
        <f t="shared" ref="AL40" si="23">AL16-AL28</f>
        <v>-3.4987831603157625E-3</v>
      </c>
    </row>
    <row r="41" spans="1:38" ht="13">
      <c r="B41" s="581" t="s">
        <v>783</v>
      </c>
      <c r="C41" s="581" t="s">
        <v>518</v>
      </c>
      <c r="D41" s="388">
        <f t="shared" ref="D41:AK41" si="24">D17-D29</f>
        <v>0</v>
      </c>
      <c r="E41" s="388">
        <f t="shared" si="24"/>
        <v>0</v>
      </c>
      <c r="F41" s="388">
        <f t="shared" si="24"/>
        <v>0</v>
      </c>
      <c r="G41" s="388">
        <f t="shared" si="24"/>
        <v>0</v>
      </c>
      <c r="H41" s="388">
        <f t="shared" si="24"/>
        <v>-1.153902050469216E-2</v>
      </c>
      <c r="I41" s="388">
        <f t="shared" si="24"/>
        <v>-1.1710803079344995E-2</v>
      </c>
      <c r="J41" s="388">
        <f t="shared" si="24"/>
        <v>-1.1885125944091135E-2</v>
      </c>
      <c r="K41" s="388">
        <f t="shared" si="24"/>
        <v>-1.2062026540030704E-2</v>
      </c>
      <c r="L41" s="388">
        <f t="shared" si="24"/>
        <v>-1.2241542859632928E-2</v>
      </c>
      <c r="M41" s="388">
        <f t="shared" si="24"/>
        <v>-1.2423713454859431E-2</v>
      </c>
      <c r="N41" s="388">
        <f t="shared" si="24"/>
        <v>-1.2608577445407207E-2</v>
      </c>
      <c r="O41" s="388">
        <f t="shared" si="24"/>
        <v>-1.2796174527072213E-2</v>
      </c>
      <c r="P41" s="388">
        <f t="shared" si="24"/>
        <v>-1.2986544980236478E-2</v>
      </c>
      <c r="Q41" s="388">
        <f t="shared" si="24"/>
        <v>-1.3179729678480481E-2</v>
      </c>
      <c r="R41" s="388">
        <f t="shared" si="24"/>
        <v>-1.337577009732141E-2</v>
      </c>
      <c r="S41" s="388">
        <f t="shared" si="24"/>
        <v>-1.3574708323081025E-2</v>
      </c>
      <c r="T41" s="388">
        <f t="shared" si="24"/>
        <v>-1.3776587061883033E-2</v>
      </c>
      <c r="U41" s="388">
        <f t="shared" si="24"/>
        <v>-1.3981449648783631E-2</v>
      </c>
      <c r="V41" s="388">
        <f t="shared" si="24"/>
        <v>-1.4189340057036703E-2</v>
      </c>
      <c r="W41" s="388">
        <f t="shared" si="24"/>
        <v>-1.4400302907494125E-2</v>
      </c>
      <c r="X41" s="388">
        <f t="shared" si="24"/>
        <v>-1.461438347814599E-2</v>
      </c>
      <c r="Y41" s="388">
        <f t="shared" si="24"/>
        <v>-1.4831627713799922E-2</v>
      </c>
      <c r="Z41" s="388">
        <f t="shared" si="24"/>
        <v>-1.5052082235903971E-2</v>
      </c>
      <c r="AA41" s="388">
        <f t="shared" si="24"/>
        <v>-1.5275794352513444E-2</v>
      </c>
      <c r="AB41" s="388">
        <f t="shared" si="24"/>
        <v>-1.550281206840462E-2</v>
      </c>
      <c r="AC41" s="388">
        <f t="shared" si="24"/>
        <v>-1.5733184095337194E-2</v>
      </c>
      <c r="AD41" s="388">
        <f t="shared" si="24"/>
        <v>-1.5966959862468516E-2</v>
      </c>
      <c r="AE41" s="388">
        <f t="shared" si="24"/>
        <v>-1.6204189526919863E-2</v>
      </c>
      <c r="AF41" s="388">
        <f t="shared" si="24"/>
        <v>-1.6444923984499482E-2</v>
      </c>
      <c r="AG41" s="388">
        <f t="shared" si="24"/>
        <v>-1.6689214880582934E-2</v>
      </c>
      <c r="AH41" s="388">
        <f t="shared" si="24"/>
        <v>-1.693711462115359E-2</v>
      </c>
      <c r="AI41" s="388">
        <f t="shared" si="24"/>
        <v>-1.7188676384005744E-2</v>
      </c>
      <c r="AJ41" s="388">
        <f t="shared" si="24"/>
        <v>-1.7443954130112918E-2</v>
      </c>
      <c r="AK41" s="388">
        <f t="shared" si="24"/>
        <v>-1.770300261516275E-2</v>
      </c>
      <c r="AL41" s="388">
        <f t="shared" ref="AL41" si="25">AL17-AL29</f>
        <v>-1.7965877401262931E-2</v>
      </c>
    </row>
    <row r="42" spans="1:38">
      <c r="D42" s="358"/>
      <c r="F42" s="464"/>
      <c r="G42" s="465"/>
      <c r="H42" s="465"/>
    </row>
    <row r="43" spans="1:38" ht="13">
      <c r="B43" s="492" t="s">
        <v>284</v>
      </c>
      <c r="C43" s="487" t="s">
        <v>292</v>
      </c>
      <c r="D43" s="488">
        <f t="shared" ref="D43:AK43" si="26">D23-D35</f>
        <v>0</v>
      </c>
      <c r="E43" s="488">
        <f t="shared" si="26"/>
        <v>0</v>
      </c>
      <c r="F43" s="488">
        <f t="shared" si="26"/>
        <v>0</v>
      </c>
      <c r="G43" s="488">
        <f t="shared" si="26"/>
        <v>0</v>
      </c>
      <c r="H43" s="488">
        <f t="shared" si="26"/>
        <v>-2441.4158763697633</v>
      </c>
      <c r="I43" s="488">
        <f t="shared" si="26"/>
        <v>-2479.3942007613623</v>
      </c>
      <c r="J43" s="488">
        <f t="shared" si="26"/>
        <v>-2517.9624857447216</v>
      </c>
      <c r="K43" s="488">
        <f t="shared" si="26"/>
        <v>-2557.1298939510161</v>
      </c>
      <c r="L43" s="488">
        <f t="shared" si="26"/>
        <v>-2596.9057303892369</v>
      </c>
      <c r="M43" s="488">
        <f t="shared" si="26"/>
        <v>-2637.2994446611483</v>
      </c>
      <c r="N43" s="488">
        <f t="shared" si="26"/>
        <v>-2678.3206332106784</v>
      </c>
      <c r="O43" s="488">
        <f t="shared" si="26"/>
        <v>-2719.9790416082251</v>
      </c>
      <c r="P43" s="488">
        <f t="shared" si="26"/>
        <v>-2762.2845668705377</v>
      </c>
      <c r="Q43" s="488">
        <f t="shared" si="26"/>
        <v>-2805.2472598168533</v>
      </c>
      <c r="R43" s="488">
        <f t="shared" si="26"/>
        <v>-2848.8773274613741</v>
      </c>
      <c r="S43" s="488">
        <f t="shared" si="26"/>
        <v>-2893.1851354433456</v>
      </c>
      <c r="T43" s="488">
        <f t="shared" si="26"/>
        <v>-2938.1812104946075</v>
      </c>
      <c r="U43" s="488">
        <f t="shared" si="26"/>
        <v>-2983.8762429457965</v>
      </c>
      <c r="V43" s="488">
        <f t="shared" si="26"/>
        <v>-3030.2810892715024</v>
      </c>
      <c r="W43" s="488">
        <f t="shared" si="26"/>
        <v>-3077.4067746748806</v>
      </c>
      <c r="X43" s="488">
        <f t="shared" si="26"/>
        <v>-3125.2644957127122</v>
      </c>
      <c r="Y43" s="488">
        <f t="shared" si="26"/>
        <v>-3173.8656229611042</v>
      </c>
      <c r="Z43" s="488">
        <f t="shared" si="26"/>
        <v>-3223.2217037228838</v>
      </c>
      <c r="AA43" s="488">
        <f t="shared" si="26"/>
        <v>-3273.3444647769975</v>
      </c>
      <c r="AB43" s="488">
        <f t="shared" si="26"/>
        <v>-3324.2458151707215</v>
      </c>
      <c r="AC43" s="488">
        <f t="shared" si="26"/>
        <v>-3375.9378490553136</v>
      </c>
      <c r="AD43" s="488">
        <f t="shared" si="26"/>
        <v>-3428.4328485659789</v>
      </c>
      <c r="AE43" s="488">
        <f t="shared" si="26"/>
        <v>-3481.7432867463212</v>
      </c>
      <c r="AF43" s="488">
        <f t="shared" si="26"/>
        <v>-3535.8818305186651</v>
      </c>
      <c r="AG43" s="488">
        <f t="shared" si="26"/>
        <v>-3590.8613437004096</v>
      </c>
      <c r="AH43" s="488">
        <f t="shared" si="26"/>
        <v>-3646.694890067396</v>
      </c>
      <c r="AI43" s="488">
        <f t="shared" si="26"/>
        <v>-3703.3957364649432</v>
      </c>
      <c r="AJ43" s="488">
        <f t="shared" si="26"/>
        <v>-3760.9773559673813</v>
      </c>
      <c r="AK43" s="488">
        <f t="shared" si="26"/>
        <v>-3819.4534310865783</v>
      </c>
      <c r="AL43" s="488">
        <f t="shared" ref="AL43" si="27">AL23-AL35</f>
        <v>-3878.8378570306959</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1177" t="s">
        <v>493</v>
      </c>
      <c r="C49" s="384" t="s">
        <v>450</v>
      </c>
      <c r="D49" s="496">
        <f>'General Inputs'!D15</f>
        <v>17.899999999999999</v>
      </c>
      <c r="E49" s="496">
        <f t="shared" ref="E49:T51" si="28">D49*(1+$C$48)</f>
        <v>17.899999999999999</v>
      </c>
      <c r="F49" s="496">
        <f t="shared" si="28"/>
        <v>17.899999999999999</v>
      </c>
      <c r="G49" s="496">
        <f t="shared" si="28"/>
        <v>17.899999999999999</v>
      </c>
      <c r="H49" s="496">
        <f t="shared" si="28"/>
        <v>17.899999999999999</v>
      </c>
      <c r="I49" s="496">
        <f t="shared" si="28"/>
        <v>17.899999999999999</v>
      </c>
      <c r="J49" s="496">
        <f t="shared" si="28"/>
        <v>17.899999999999999</v>
      </c>
      <c r="K49" s="496">
        <f t="shared" si="28"/>
        <v>17.899999999999999</v>
      </c>
      <c r="L49" s="496">
        <f t="shared" si="28"/>
        <v>17.899999999999999</v>
      </c>
      <c r="M49" s="496">
        <f t="shared" si="28"/>
        <v>17.899999999999999</v>
      </c>
      <c r="N49" s="496">
        <f t="shared" si="28"/>
        <v>17.899999999999999</v>
      </c>
      <c r="O49" s="496">
        <f t="shared" si="28"/>
        <v>17.899999999999999</v>
      </c>
      <c r="P49" s="496">
        <f t="shared" si="28"/>
        <v>17.899999999999999</v>
      </c>
      <c r="Q49" s="496">
        <f t="shared" si="28"/>
        <v>17.899999999999999</v>
      </c>
      <c r="R49" s="496">
        <f t="shared" si="28"/>
        <v>17.899999999999999</v>
      </c>
      <c r="S49" s="496">
        <f t="shared" si="28"/>
        <v>17.899999999999999</v>
      </c>
      <c r="T49" s="496">
        <f t="shared" si="28"/>
        <v>17.899999999999999</v>
      </c>
      <c r="U49" s="496">
        <f t="shared" ref="U49:AJ51" si="29">T49*(1+$C$48)</f>
        <v>17.899999999999999</v>
      </c>
      <c r="V49" s="496">
        <f t="shared" si="29"/>
        <v>17.899999999999999</v>
      </c>
      <c r="W49" s="496">
        <f t="shared" si="29"/>
        <v>17.899999999999999</v>
      </c>
      <c r="X49" s="496">
        <f t="shared" si="29"/>
        <v>17.899999999999999</v>
      </c>
      <c r="Y49" s="496">
        <f t="shared" si="29"/>
        <v>17.899999999999999</v>
      </c>
      <c r="Z49" s="496">
        <f t="shared" si="29"/>
        <v>17.899999999999999</v>
      </c>
      <c r="AA49" s="496">
        <f t="shared" si="29"/>
        <v>17.899999999999999</v>
      </c>
      <c r="AB49" s="496">
        <f t="shared" si="29"/>
        <v>17.899999999999999</v>
      </c>
      <c r="AC49" s="496">
        <f t="shared" si="29"/>
        <v>17.899999999999999</v>
      </c>
      <c r="AD49" s="496">
        <f t="shared" si="29"/>
        <v>17.899999999999999</v>
      </c>
      <c r="AE49" s="496">
        <f t="shared" si="29"/>
        <v>17.899999999999999</v>
      </c>
      <c r="AF49" s="496">
        <f t="shared" si="29"/>
        <v>17.899999999999999</v>
      </c>
      <c r="AG49" s="496">
        <f t="shared" si="29"/>
        <v>17.899999999999999</v>
      </c>
      <c r="AH49" s="496">
        <f t="shared" si="29"/>
        <v>17.899999999999999</v>
      </c>
      <c r="AI49" s="496">
        <f t="shared" si="29"/>
        <v>17.899999999999999</v>
      </c>
      <c r="AJ49" s="496">
        <f t="shared" si="29"/>
        <v>17.899999999999999</v>
      </c>
      <c r="AK49" s="496">
        <f t="shared" ref="AJ49:AL51" si="30">AJ49*(1+$C$48)</f>
        <v>17.899999999999999</v>
      </c>
      <c r="AL49" s="496">
        <f t="shared" si="30"/>
        <v>17.899999999999999</v>
      </c>
    </row>
    <row r="50" spans="1:38">
      <c r="B50" s="754" t="s">
        <v>494</v>
      </c>
      <c r="C50" s="384" t="s">
        <v>450</v>
      </c>
      <c r="D50" s="496">
        <f>'General Inputs'!D16</f>
        <v>30.8</v>
      </c>
      <c r="E50" s="496">
        <f t="shared" si="28"/>
        <v>30.8</v>
      </c>
      <c r="F50" s="496">
        <f t="shared" si="28"/>
        <v>30.8</v>
      </c>
      <c r="G50" s="496">
        <f t="shared" si="28"/>
        <v>30.8</v>
      </c>
      <c r="H50" s="496">
        <f t="shared" si="28"/>
        <v>30.8</v>
      </c>
      <c r="I50" s="496">
        <f t="shared" si="28"/>
        <v>30.8</v>
      </c>
      <c r="J50" s="496">
        <f t="shared" si="28"/>
        <v>30.8</v>
      </c>
      <c r="K50" s="496">
        <f t="shared" si="28"/>
        <v>30.8</v>
      </c>
      <c r="L50" s="496">
        <f t="shared" si="28"/>
        <v>30.8</v>
      </c>
      <c r="M50" s="496">
        <f t="shared" si="28"/>
        <v>30.8</v>
      </c>
      <c r="N50" s="496">
        <f t="shared" si="28"/>
        <v>30.8</v>
      </c>
      <c r="O50" s="496">
        <f t="shared" si="28"/>
        <v>30.8</v>
      </c>
      <c r="P50" s="496">
        <f t="shared" si="28"/>
        <v>30.8</v>
      </c>
      <c r="Q50" s="496">
        <f t="shared" si="28"/>
        <v>30.8</v>
      </c>
      <c r="R50" s="496">
        <f t="shared" si="28"/>
        <v>30.8</v>
      </c>
      <c r="S50" s="496">
        <f t="shared" si="28"/>
        <v>30.8</v>
      </c>
      <c r="T50" s="496">
        <f t="shared" si="28"/>
        <v>30.8</v>
      </c>
      <c r="U50" s="496">
        <f t="shared" si="29"/>
        <v>30.8</v>
      </c>
      <c r="V50" s="496">
        <f t="shared" si="29"/>
        <v>30.8</v>
      </c>
      <c r="W50" s="496">
        <f t="shared" si="29"/>
        <v>30.8</v>
      </c>
      <c r="X50" s="496">
        <f t="shared" si="29"/>
        <v>30.8</v>
      </c>
      <c r="Y50" s="496">
        <f t="shared" si="29"/>
        <v>30.8</v>
      </c>
      <c r="Z50" s="496">
        <f t="shared" si="29"/>
        <v>30.8</v>
      </c>
      <c r="AA50" s="496">
        <f t="shared" si="29"/>
        <v>30.8</v>
      </c>
      <c r="AB50" s="496">
        <f t="shared" si="29"/>
        <v>30.8</v>
      </c>
      <c r="AC50" s="496">
        <f t="shared" si="29"/>
        <v>30.8</v>
      </c>
      <c r="AD50" s="496">
        <f t="shared" si="29"/>
        <v>30.8</v>
      </c>
      <c r="AE50" s="496">
        <f t="shared" si="29"/>
        <v>30.8</v>
      </c>
      <c r="AF50" s="496">
        <f t="shared" si="29"/>
        <v>30.8</v>
      </c>
      <c r="AG50" s="496">
        <f t="shared" si="29"/>
        <v>30.8</v>
      </c>
      <c r="AH50" s="496">
        <f t="shared" si="29"/>
        <v>30.8</v>
      </c>
      <c r="AI50" s="496">
        <f t="shared" si="29"/>
        <v>30.8</v>
      </c>
      <c r="AJ50" s="496">
        <f t="shared" si="30"/>
        <v>30.8</v>
      </c>
      <c r="AK50" s="496">
        <f t="shared" si="30"/>
        <v>30.8</v>
      </c>
      <c r="AL50" s="496">
        <f t="shared" si="30"/>
        <v>30.8</v>
      </c>
    </row>
    <row r="51" spans="1:38">
      <c r="B51" s="754" t="s">
        <v>773</v>
      </c>
      <c r="C51" s="384" t="s">
        <v>450</v>
      </c>
      <c r="D51" s="496">
        <f>'General Inputs'!D17</f>
        <v>31.7</v>
      </c>
      <c r="E51" s="496">
        <f t="shared" si="28"/>
        <v>31.7</v>
      </c>
      <c r="F51" s="496">
        <f t="shared" si="28"/>
        <v>31.7</v>
      </c>
      <c r="G51" s="496">
        <f t="shared" si="28"/>
        <v>31.7</v>
      </c>
      <c r="H51" s="496">
        <f t="shared" si="28"/>
        <v>31.7</v>
      </c>
      <c r="I51" s="496">
        <f t="shared" si="28"/>
        <v>31.7</v>
      </c>
      <c r="J51" s="496">
        <f t="shared" si="28"/>
        <v>31.7</v>
      </c>
      <c r="K51" s="496">
        <f t="shared" si="28"/>
        <v>31.7</v>
      </c>
      <c r="L51" s="496">
        <f t="shared" si="28"/>
        <v>31.7</v>
      </c>
      <c r="M51" s="496">
        <f t="shared" si="28"/>
        <v>31.7</v>
      </c>
      <c r="N51" s="496">
        <f t="shared" si="28"/>
        <v>31.7</v>
      </c>
      <c r="O51" s="496">
        <f t="shared" si="28"/>
        <v>31.7</v>
      </c>
      <c r="P51" s="496">
        <f t="shared" si="28"/>
        <v>31.7</v>
      </c>
      <c r="Q51" s="496">
        <f t="shared" si="28"/>
        <v>31.7</v>
      </c>
      <c r="R51" s="496">
        <f t="shared" si="28"/>
        <v>31.7</v>
      </c>
      <c r="S51" s="496">
        <f t="shared" si="28"/>
        <v>31.7</v>
      </c>
      <c r="T51" s="496">
        <f t="shared" si="28"/>
        <v>31.7</v>
      </c>
      <c r="U51" s="496">
        <f t="shared" si="29"/>
        <v>31.7</v>
      </c>
      <c r="V51" s="496">
        <f t="shared" si="29"/>
        <v>31.7</v>
      </c>
      <c r="W51" s="496">
        <f t="shared" si="29"/>
        <v>31.7</v>
      </c>
      <c r="X51" s="496">
        <f t="shared" si="29"/>
        <v>31.7</v>
      </c>
      <c r="Y51" s="496">
        <f t="shared" si="29"/>
        <v>31.7</v>
      </c>
      <c r="Z51" s="496">
        <f t="shared" si="29"/>
        <v>31.7</v>
      </c>
      <c r="AA51" s="496">
        <f t="shared" si="29"/>
        <v>31.7</v>
      </c>
      <c r="AB51" s="496">
        <f t="shared" si="29"/>
        <v>31.7</v>
      </c>
      <c r="AC51" s="496">
        <f t="shared" si="29"/>
        <v>31.7</v>
      </c>
      <c r="AD51" s="496">
        <f t="shared" si="29"/>
        <v>31.7</v>
      </c>
      <c r="AE51" s="496">
        <f t="shared" si="29"/>
        <v>31.7</v>
      </c>
      <c r="AF51" s="496">
        <f t="shared" si="29"/>
        <v>31.7</v>
      </c>
      <c r="AG51" s="496">
        <f t="shared" si="29"/>
        <v>31.7</v>
      </c>
      <c r="AH51" s="496">
        <f t="shared" si="29"/>
        <v>31.7</v>
      </c>
      <c r="AI51" s="496">
        <f t="shared" si="29"/>
        <v>31.7</v>
      </c>
      <c r="AJ51" s="496">
        <f t="shared" si="30"/>
        <v>31.7</v>
      </c>
      <c r="AK51" s="496">
        <f t="shared" si="30"/>
        <v>31.7</v>
      </c>
      <c r="AL51" s="496">
        <f t="shared" si="30"/>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'900 South'!D25</f>
        <v>668.46047401392207</v>
      </c>
      <c r="E55" s="383">
        <f>'900 South'!E25</f>
        <v>695.47520472462782</v>
      </c>
      <c r="F55" s="383">
        <f>'900 South'!F25</f>
        <v>723.58169134872298</v>
      </c>
      <c r="G55" s="383">
        <f>'900 South'!G25</f>
        <v>752.82405540595175</v>
      </c>
      <c r="H55" s="383">
        <f>'900 South'!H25</f>
        <v>783.24820151471567</v>
      </c>
      <c r="I55" s="383">
        <f>'900 South'!I25</f>
        <v>814.901889453075</v>
      </c>
      <c r="J55" s="383">
        <f>'900 South'!J25</f>
        <v>847.83480913197525</v>
      </c>
      <c r="K55" s="383">
        <f>'900 South'!K25</f>
        <v>882.0986585983926</v>
      </c>
      <c r="L55" s="383">
        <f>'900 South'!L25</f>
        <v>917.74722519084901</v>
      </c>
      <c r="M55" s="383">
        <f>'900 South'!M25</f>
        <v>954.83646997469498</v>
      </c>
      <c r="N55" s="383">
        <f>'900 South'!N25</f>
        <v>993.4246155897041</v>
      </c>
      <c r="O55" s="383">
        <f>'900 South'!O25</f>
        <v>1033.572237647883</v>
      </c>
      <c r="P55" s="383">
        <f>'900 South'!P25</f>
        <v>1075.3423598249763</v>
      </c>
      <c r="Q55" s="383">
        <f>'900 South'!Q25</f>
        <v>1118.8005527949342</v>
      </c>
      <c r="R55" s="383">
        <f>'900 South'!R25</f>
        <v>1164.0150371626573</v>
      </c>
      <c r="S55" s="383">
        <f>'900 South'!S25</f>
        <v>1211.0567905566013</v>
      </c>
      <c r="T55" s="383">
        <f>'900 South'!T25</f>
        <v>1259.9996590493411</v>
      </c>
      <c r="U55" s="383">
        <f>'900 South'!U25</f>
        <v>1310.920473081032</v>
      </c>
      <c r="V55" s="383">
        <f>'900 South'!V25</f>
        <v>1363.8991680677118</v>
      </c>
      <c r="W55" s="383">
        <f>'900 South'!W25</f>
        <v>1419.0189098837964</v>
      </c>
      <c r="X55" s="383">
        <f>'900 South'!X25</f>
        <v>1476.3662254157412</v>
      </c>
      <c r="Y55" s="383">
        <f>'900 South'!Y25</f>
        <v>1536.0311383918174</v>
      </c>
      <c r="Z55" s="383">
        <f>'900 South'!Z25</f>
        <v>1598.1073107012203</v>
      </c>
      <c r="AA55" s="383">
        <f>'900 South'!AA25</f>
        <v>1662.6921894243637</v>
      </c>
      <c r="AB55" s="383">
        <f>'900 South'!AB25</f>
        <v>1729.887159805151</v>
      </c>
      <c r="AC55" s="383">
        <f>'900 South'!AC25</f>
        <v>1799.7977044053841</v>
      </c>
      <c r="AD55" s="383">
        <f>'900 South'!AD25</f>
        <v>1872.533568691123</v>
      </c>
      <c r="AE55" s="383">
        <f>'900 South'!AE25</f>
        <v>1948.2089333109525</v>
      </c>
      <c r="AF55" s="383">
        <f>'900 South'!AF25</f>
        <v>2026.9425933365878</v>
      </c>
      <c r="AG55" s="383">
        <f>'900 South'!AG25</f>
        <v>2108.8581447471961</v>
      </c>
      <c r="AH55" s="383">
        <f>'900 South'!AH25</f>
        <v>2194.0841784501818</v>
      </c>
      <c r="AI55" s="383">
        <f>'900 South'!AI25</f>
        <v>2282.7544821429869</v>
      </c>
      <c r="AJ55" s="383">
        <f>'900 South'!AJ25</f>
        <v>2375.0082503328254</v>
      </c>
      <c r="AK55" s="383">
        <f>'900 South'!AK25</f>
        <v>2470.9903028439935</v>
      </c>
      <c r="AL55" s="383">
        <f>'900 South'!AL25</f>
        <v>2570.8513121558253</v>
      </c>
    </row>
    <row r="56" spans="1:38">
      <c r="B56" s="385" t="s">
        <v>509</v>
      </c>
      <c r="C56" s="386" t="s">
        <v>443</v>
      </c>
      <c r="D56" s="383">
        <f>'900 South'!D26</f>
        <v>74.273386001546896</v>
      </c>
      <c r="E56" s="383">
        <f>'900 South'!E26</f>
        <v>77.27502274718087</v>
      </c>
      <c r="F56" s="383">
        <f>'900 South'!F26</f>
        <v>80.397965705413668</v>
      </c>
      <c r="G56" s="383">
        <f>'900 South'!G26</f>
        <v>83.647117267327985</v>
      </c>
      <c r="H56" s="383">
        <f>'900 South'!H26</f>
        <v>87.027577946079532</v>
      </c>
      <c r="I56" s="383">
        <f>'900 South'!I26</f>
        <v>90.544654383674995</v>
      </c>
      <c r="J56" s="383">
        <f>'900 South'!J26</f>
        <v>94.203867681330593</v>
      </c>
      <c r="K56" s="383">
        <f>'900 South'!K26</f>
        <v>98.010962066488062</v>
      </c>
      <c r="L56" s="383">
        <f>'900 South'!L26</f>
        <v>101.97191391009434</v>
      </c>
      <c r="M56" s="383">
        <f>'900 South'!M26</f>
        <v>106.09294110829944</v>
      </c>
      <c r="N56" s="383">
        <f>'900 South'!N26</f>
        <v>110.38051284330045</v>
      </c>
      <c r="O56" s="383">
        <f>'900 South'!O26</f>
        <v>114.84135973865367</v>
      </c>
      <c r="P56" s="383">
        <f>'900 South'!P26</f>
        <v>119.48248442499735</v>
      </c>
      <c r="Q56" s="383">
        <f>'900 South'!Q26</f>
        <v>124.31117253277046</v>
      </c>
      <c r="R56" s="383">
        <f>'900 South'!R26</f>
        <v>129.33500412918417</v>
      </c>
      <c r="S56" s="383">
        <f>'900 South'!S26</f>
        <v>134.56186561740014</v>
      </c>
      <c r="T56" s="383">
        <f>'900 South'!T26</f>
        <v>139.99996211659345</v>
      </c>
      <c r="U56" s="383">
        <f>'900 South'!U26</f>
        <v>145.65783034233689</v>
      </c>
      <c r="V56" s="383">
        <f>'900 South'!V26</f>
        <v>151.54435200752354</v>
      </c>
      <c r="W56" s="383">
        <f>'900 South'!W26</f>
        <v>157.66876776486629</v>
      </c>
      <c r="X56" s="383">
        <f>'900 South'!X26</f>
        <v>164.04069171286014</v>
      </c>
      <c r="Y56" s="383">
        <f>'900 South'!Y26</f>
        <v>170.6701264879797</v>
      </c>
      <c r="Z56" s="383">
        <f>'900 South'!Z26</f>
        <v>177.56747896680224</v>
      </c>
      <c r="AA56" s="383">
        <f>'900 South'!AA26</f>
        <v>184.74357660270709</v>
      </c>
      <c r="AB56" s="383">
        <f>'900 South'!AB26</f>
        <v>192.20968442279457</v>
      </c>
      <c r="AC56" s="383">
        <f>'900 South'!AC26</f>
        <v>199.97752271170936</v>
      </c>
      <c r="AD56" s="383">
        <f>'900 South'!AD26</f>
        <v>208.05928541012477</v>
      </c>
      <c r="AE56" s="383">
        <f>'900 South'!AE26</f>
        <v>216.46765925677252</v>
      </c>
      <c r="AF56" s="383">
        <f>'900 South'!AF26</f>
        <v>225.21584370406532</v>
      </c>
      <c r="AG56" s="383">
        <f>'900 South'!AG26</f>
        <v>234.31757163857733</v>
      </c>
      <c r="AH56" s="383">
        <f>'900 South'!AH26</f>
        <v>243.78713093890906</v>
      </c>
      <c r="AI56" s="383">
        <f>'900 South'!AI26</f>
        <v>253.6393869047763</v>
      </c>
      <c r="AJ56" s="383">
        <f>'900 South'!AJ26</f>
        <v>263.88980559253616</v>
      </c>
      <c r="AK56" s="383">
        <f>'900 South'!AK26</f>
        <v>274.55447809377705</v>
      </c>
      <c r="AL56" s="383">
        <f>'900 South'!AL26</f>
        <v>285.6501457950917</v>
      </c>
    </row>
    <row r="57" spans="1:38">
      <c r="B57" s="358" t="s">
        <v>769</v>
      </c>
      <c r="C57" s="358" t="s">
        <v>443</v>
      </c>
      <c r="D57" s="383">
        <f>'900 South'!D27</f>
        <v>0</v>
      </c>
      <c r="E57" s="383">
        <f>'900 South'!E27</f>
        <v>0</v>
      </c>
      <c r="F57" s="383">
        <f>'900 South'!F27</f>
        <v>0</v>
      </c>
      <c r="G57" s="383">
        <f>'900 South'!G27</f>
        <v>0</v>
      </c>
      <c r="H57" s="383">
        <f>'900 South'!H27</f>
        <v>0</v>
      </c>
      <c r="I57" s="383">
        <f>'900 South'!I27</f>
        <v>0</v>
      </c>
      <c r="J57" s="383">
        <f>'900 South'!J27</f>
        <v>0</v>
      </c>
      <c r="K57" s="383">
        <f>'900 South'!K27</f>
        <v>0</v>
      </c>
      <c r="L57" s="383">
        <f>'900 South'!L27</f>
        <v>0</v>
      </c>
      <c r="M57" s="383">
        <f>'900 South'!M27</f>
        <v>0</v>
      </c>
      <c r="N57" s="383">
        <f>'900 South'!N27</f>
        <v>0</v>
      </c>
      <c r="O57" s="383">
        <f>'900 South'!O27</f>
        <v>0</v>
      </c>
      <c r="P57" s="383">
        <f>'900 South'!P27</f>
        <v>0</v>
      </c>
      <c r="Q57" s="383">
        <f>'900 South'!Q27</f>
        <v>0</v>
      </c>
      <c r="R57" s="383">
        <f>'900 South'!R27</f>
        <v>0</v>
      </c>
      <c r="S57" s="383">
        <f>'900 South'!S27</f>
        <v>0</v>
      </c>
      <c r="T57" s="383">
        <f>'900 South'!T27</f>
        <v>0</v>
      </c>
      <c r="U57" s="383">
        <f>'900 South'!U27</f>
        <v>0</v>
      </c>
      <c r="V57" s="383">
        <f>'900 South'!V27</f>
        <v>0</v>
      </c>
      <c r="W57" s="383">
        <f>'900 South'!W27</f>
        <v>0</v>
      </c>
      <c r="X57" s="383">
        <f>'900 South'!X27</f>
        <v>0</v>
      </c>
      <c r="Y57" s="383">
        <f>'900 South'!Y27</f>
        <v>0</v>
      </c>
      <c r="Z57" s="383">
        <f>'900 South'!Z27</f>
        <v>0</v>
      </c>
      <c r="AA57" s="383">
        <f>'900 South'!AA27</f>
        <v>0</v>
      </c>
      <c r="AB57" s="383">
        <f>'900 South'!AB27</f>
        <v>0</v>
      </c>
      <c r="AC57" s="383">
        <f>'900 South'!AC27</f>
        <v>0</v>
      </c>
      <c r="AD57" s="383">
        <f>'900 South'!AD27</f>
        <v>0</v>
      </c>
      <c r="AE57" s="383">
        <f>'900 South'!AE27</f>
        <v>0</v>
      </c>
      <c r="AF57" s="383">
        <f>'900 South'!AF27</f>
        <v>0</v>
      </c>
      <c r="AG57" s="383">
        <f>'900 South'!AG27</f>
        <v>0</v>
      </c>
      <c r="AH57" s="383">
        <f>'900 South'!AH27</f>
        <v>0</v>
      </c>
      <c r="AI57" s="383">
        <f>'900 South'!AI27</f>
        <v>0</v>
      </c>
      <c r="AJ57" s="383">
        <f>'900 South'!AJ27</f>
        <v>0</v>
      </c>
      <c r="AK57" s="383">
        <f>'900 South'!AK27</f>
        <v>0</v>
      </c>
      <c r="AL57" s="383">
        <f>'900 South'!AL27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1116.3289916032497</v>
      </c>
      <c r="E62" s="383">
        <f t="shared" ref="D62:AK64" si="31">E55*$C59</f>
        <v>1161.4435918901283</v>
      </c>
      <c r="F62" s="383">
        <f t="shared" si="31"/>
        <v>1208.3814245523674</v>
      </c>
      <c r="G62" s="383">
        <f t="shared" si="31"/>
        <v>1257.2161725279393</v>
      </c>
      <c r="H62" s="383">
        <f t="shared" si="31"/>
        <v>1308.0244965295751</v>
      </c>
      <c r="I62" s="383">
        <f t="shared" si="31"/>
        <v>1360.8861553866352</v>
      </c>
      <c r="J62" s="383">
        <f t="shared" si="31"/>
        <v>1415.8841312503987</v>
      </c>
      <c r="K62" s="383">
        <f t="shared" si="31"/>
        <v>1473.1047598593157</v>
      </c>
      <c r="L62" s="383">
        <f t="shared" si="31"/>
        <v>1532.6378660687178</v>
      </c>
      <c r="M62" s="383">
        <f t="shared" si="31"/>
        <v>1594.5769048577406</v>
      </c>
      <c r="N62" s="383">
        <f t="shared" si="31"/>
        <v>1659.0191080348059</v>
      </c>
      <c r="O62" s="383">
        <f t="shared" si="31"/>
        <v>1726.0656368719644</v>
      </c>
      <c r="P62" s="383">
        <f t="shared" si="31"/>
        <v>1795.8217409077104</v>
      </c>
      <c r="Q62" s="383">
        <f t="shared" si="31"/>
        <v>1868.3969231675401</v>
      </c>
      <c r="R62" s="383">
        <f t="shared" si="31"/>
        <v>1943.9051120616377</v>
      </c>
      <c r="S62" s="383">
        <f t="shared" si="31"/>
        <v>2022.464840229524</v>
      </c>
      <c r="T62" s="383">
        <f t="shared" si="31"/>
        <v>2104.1994306123993</v>
      </c>
      <c r="U62" s="383">
        <f t="shared" si="31"/>
        <v>2189.2371900453236</v>
      </c>
      <c r="V62" s="383">
        <f t="shared" si="31"/>
        <v>2277.7116106730787</v>
      </c>
      <c r="W62" s="383">
        <f t="shared" si="31"/>
        <v>2369.7615795059396</v>
      </c>
      <c r="X62" s="383">
        <f t="shared" si="31"/>
        <v>2465.5315964442875</v>
      </c>
      <c r="Y62" s="383">
        <f t="shared" si="31"/>
        <v>2565.1720011143348</v>
      </c>
      <c r="Z62" s="383">
        <f t="shared" si="31"/>
        <v>2668.839208871038</v>
      </c>
      <c r="AA62" s="383">
        <f t="shared" si="31"/>
        <v>2776.6959563386872</v>
      </c>
      <c r="AB62" s="383">
        <f t="shared" si="31"/>
        <v>2888.911556874602</v>
      </c>
      <c r="AC62" s="383">
        <f t="shared" si="31"/>
        <v>3005.6621663569913</v>
      </c>
      <c r="AD62" s="383">
        <f t="shared" si="31"/>
        <v>3127.1310597141755</v>
      </c>
      <c r="AE62" s="383">
        <f t="shared" si="31"/>
        <v>3253.5089186292903</v>
      </c>
      <c r="AF62" s="383">
        <f t="shared" si="31"/>
        <v>3384.9941308721013</v>
      </c>
      <c r="AG62" s="383">
        <f t="shared" si="31"/>
        <v>3521.7931017278174</v>
      </c>
      <c r="AH62" s="383">
        <f t="shared" si="31"/>
        <v>3664.1205780118034</v>
      </c>
      <c r="AI62" s="383">
        <f t="shared" si="31"/>
        <v>3812.1999851787882</v>
      </c>
      <c r="AJ62" s="383">
        <f t="shared" si="31"/>
        <v>3966.263778055818</v>
      </c>
      <c r="AK62" s="383">
        <f t="shared" si="31"/>
        <v>4126.5538057494687</v>
      </c>
      <c r="AL62" s="383">
        <f t="shared" ref="AL62" si="32">AL55*$C59</f>
        <v>4293.3216913002279</v>
      </c>
    </row>
    <row r="63" spans="1:38">
      <c r="B63" s="472" t="s">
        <v>513</v>
      </c>
      <c r="C63" s="386" t="s">
        <v>443</v>
      </c>
      <c r="D63" s="383">
        <f t="shared" si="31"/>
        <v>74.273386001546896</v>
      </c>
      <c r="E63" s="383">
        <f t="shared" si="31"/>
        <v>77.27502274718087</v>
      </c>
      <c r="F63" s="383">
        <f t="shared" si="31"/>
        <v>80.397965705413668</v>
      </c>
      <c r="G63" s="383">
        <f t="shared" si="31"/>
        <v>83.647117267327985</v>
      </c>
      <c r="H63" s="383">
        <f t="shared" si="31"/>
        <v>87.027577946079532</v>
      </c>
      <c r="I63" s="383">
        <f t="shared" si="31"/>
        <v>90.544654383674995</v>
      </c>
      <c r="J63" s="383">
        <f t="shared" si="31"/>
        <v>94.203867681330593</v>
      </c>
      <c r="K63" s="383">
        <f t="shared" si="31"/>
        <v>98.010962066488062</v>
      </c>
      <c r="L63" s="383">
        <f t="shared" si="31"/>
        <v>101.97191391009434</v>
      </c>
      <c r="M63" s="383">
        <f t="shared" si="31"/>
        <v>106.09294110829944</v>
      </c>
      <c r="N63" s="383">
        <f t="shared" si="31"/>
        <v>110.38051284330045</v>
      </c>
      <c r="O63" s="383">
        <f t="shared" si="31"/>
        <v>114.84135973865367</v>
      </c>
      <c r="P63" s="383">
        <f t="shared" si="31"/>
        <v>119.48248442499735</v>
      </c>
      <c r="Q63" s="383">
        <f t="shared" si="31"/>
        <v>124.31117253277046</v>
      </c>
      <c r="R63" s="383">
        <f t="shared" si="31"/>
        <v>129.33500412918417</v>
      </c>
      <c r="S63" s="383">
        <f t="shared" si="31"/>
        <v>134.56186561740014</v>
      </c>
      <c r="T63" s="383">
        <f t="shared" si="31"/>
        <v>139.99996211659345</v>
      </c>
      <c r="U63" s="383">
        <f t="shared" si="31"/>
        <v>145.65783034233689</v>
      </c>
      <c r="V63" s="383">
        <f t="shared" si="31"/>
        <v>151.54435200752354</v>
      </c>
      <c r="W63" s="383">
        <f t="shared" si="31"/>
        <v>157.66876776486629</v>
      </c>
      <c r="X63" s="383">
        <f t="shared" si="31"/>
        <v>164.04069171286014</v>
      </c>
      <c r="Y63" s="383">
        <f t="shared" si="31"/>
        <v>170.6701264879797</v>
      </c>
      <c r="Z63" s="383">
        <f t="shared" si="31"/>
        <v>177.56747896680224</v>
      </c>
      <c r="AA63" s="383">
        <f t="shared" si="31"/>
        <v>184.74357660270709</v>
      </c>
      <c r="AB63" s="383">
        <f t="shared" si="31"/>
        <v>192.20968442279457</v>
      </c>
      <c r="AC63" s="383">
        <f t="shared" si="31"/>
        <v>199.97752271170936</v>
      </c>
      <c r="AD63" s="383">
        <f t="shared" si="31"/>
        <v>208.05928541012477</v>
      </c>
      <c r="AE63" s="383">
        <f t="shared" si="31"/>
        <v>216.46765925677252</v>
      </c>
      <c r="AF63" s="383">
        <f t="shared" si="31"/>
        <v>225.21584370406532</v>
      </c>
      <c r="AG63" s="383">
        <f t="shared" si="31"/>
        <v>234.31757163857733</v>
      </c>
      <c r="AH63" s="383">
        <f t="shared" si="31"/>
        <v>243.78713093890906</v>
      </c>
      <c r="AI63" s="383">
        <f t="shared" si="31"/>
        <v>253.6393869047763</v>
      </c>
      <c r="AJ63" s="383">
        <f t="shared" si="31"/>
        <v>263.88980559253616</v>
      </c>
      <c r="AK63" s="383">
        <f t="shared" si="31"/>
        <v>274.55447809377705</v>
      </c>
      <c r="AL63" s="383">
        <f t="shared" ref="AL63" si="33">AL56*$C60</f>
        <v>285.6501457950917</v>
      </c>
    </row>
    <row r="64" spans="1:38">
      <c r="B64" s="472" t="s">
        <v>752</v>
      </c>
      <c r="C64" s="386" t="s">
        <v>443</v>
      </c>
      <c r="D64" s="383">
        <f t="shared" si="31"/>
        <v>0</v>
      </c>
      <c r="E64" s="383">
        <f t="shared" si="31"/>
        <v>0</v>
      </c>
      <c r="F64" s="383">
        <f t="shared" si="31"/>
        <v>0</v>
      </c>
      <c r="G64" s="383">
        <f t="shared" si="31"/>
        <v>0</v>
      </c>
      <c r="H64" s="383">
        <f t="shared" si="31"/>
        <v>0</v>
      </c>
      <c r="I64" s="383">
        <f t="shared" si="31"/>
        <v>0</v>
      </c>
      <c r="J64" s="383">
        <f t="shared" si="31"/>
        <v>0</v>
      </c>
      <c r="K64" s="383">
        <f t="shared" si="31"/>
        <v>0</v>
      </c>
      <c r="L64" s="383">
        <f t="shared" si="31"/>
        <v>0</v>
      </c>
      <c r="M64" s="383">
        <f t="shared" si="31"/>
        <v>0</v>
      </c>
      <c r="N64" s="383">
        <f t="shared" si="31"/>
        <v>0</v>
      </c>
      <c r="O64" s="383">
        <f t="shared" si="31"/>
        <v>0</v>
      </c>
      <c r="P64" s="383">
        <f t="shared" si="31"/>
        <v>0</v>
      </c>
      <c r="Q64" s="383">
        <f t="shared" si="31"/>
        <v>0</v>
      </c>
      <c r="R64" s="383">
        <f t="shared" si="31"/>
        <v>0</v>
      </c>
      <c r="S64" s="383">
        <f t="shared" si="31"/>
        <v>0</v>
      </c>
      <c r="T64" s="383">
        <f t="shared" si="31"/>
        <v>0</v>
      </c>
      <c r="U64" s="383">
        <f t="shared" si="31"/>
        <v>0</v>
      </c>
      <c r="V64" s="383">
        <f t="shared" si="31"/>
        <v>0</v>
      </c>
      <c r="W64" s="383">
        <f t="shared" si="31"/>
        <v>0</v>
      </c>
      <c r="X64" s="383">
        <f t="shared" si="31"/>
        <v>0</v>
      </c>
      <c r="Y64" s="383">
        <f t="shared" si="31"/>
        <v>0</v>
      </c>
      <c r="Z64" s="383">
        <f t="shared" si="31"/>
        <v>0</v>
      </c>
      <c r="AA64" s="383">
        <f t="shared" si="31"/>
        <v>0</v>
      </c>
      <c r="AB64" s="383">
        <f t="shared" si="31"/>
        <v>0</v>
      </c>
      <c r="AC64" s="383">
        <f t="shared" si="31"/>
        <v>0</v>
      </c>
      <c r="AD64" s="383">
        <f t="shared" si="31"/>
        <v>0</v>
      </c>
      <c r="AE64" s="383">
        <f t="shared" si="31"/>
        <v>0</v>
      </c>
      <c r="AF64" s="383">
        <f t="shared" si="31"/>
        <v>0</v>
      </c>
      <c r="AG64" s="383">
        <f t="shared" si="31"/>
        <v>0</v>
      </c>
      <c r="AH64" s="383">
        <f t="shared" si="31"/>
        <v>0</v>
      </c>
      <c r="AI64" s="383">
        <f t="shared" si="31"/>
        <v>0</v>
      </c>
      <c r="AJ64" s="383">
        <f t="shared" si="31"/>
        <v>0</v>
      </c>
      <c r="AK64" s="383">
        <f t="shared" si="31"/>
        <v>0</v>
      </c>
      <c r="AL64" s="383">
        <f t="shared" ref="AL64" si="34">AL57*$C61</f>
        <v>0</v>
      </c>
    </row>
    <row r="65" spans="1:38">
      <c r="D65" s="358"/>
      <c r="F65" s="464"/>
      <c r="G65" s="465"/>
      <c r="H65" s="465"/>
    </row>
    <row r="66" spans="1:38" ht="13">
      <c r="B66" s="364" t="s">
        <v>526</v>
      </c>
      <c r="C66" s="487" t="s">
        <v>292</v>
      </c>
      <c r="D66" s="488">
        <f>SUMPRODUCT(D62:D64,D49:D51)</f>
        <v>22269.909238545813</v>
      </c>
      <c r="E66" s="488">
        <f t="shared" ref="E66:AK66" si="35">SUMPRODUCT(E62:E64,E49:E51)</f>
        <v>23169.910995446466</v>
      </c>
      <c r="F66" s="488">
        <f t="shared" si="35"/>
        <v>24106.284843214118</v>
      </c>
      <c r="G66" s="488">
        <f t="shared" si="35"/>
        <v>25080.500700083812</v>
      </c>
      <c r="H66" s="488">
        <f t="shared" si="35"/>
        <v>26094.087888618644</v>
      </c>
      <c r="I66" s="488">
        <f t="shared" si="35"/>
        <v>27148.63753643796</v>
      </c>
      <c r="J66" s="488">
        <f t="shared" si="35"/>
        <v>28245.805073967116</v>
      </c>
      <c r="K66" s="488">
        <f t="shared" si="35"/>
        <v>29387.312833129581</v>
      </c>
      <c r="L66" s="488">
        <f t="shared" si="35"/>
        <v>30574.952751060951</v>
      </c>
      <c r="M66" s="488">
        <f t="shared" si="35"/>
        <v>31810.589183089178</v>
      </c>
      <c r="N66" s="488">
        <f t="shared" si="35"/>
        <v>33096.161829396675</v>
      </c>
      <c r="O66" s="488">
        <f t="shared" si="35"/>
        <v>34433.688779958691</v>
      </c>
      <c r="P66" s="488">
        <f t="shared" si="35"/>
        <v>35825.269682537932</v>
      </c>
      <c r="Q66" s="488">
        <f t="shared" si="35"/>
        <v>37273.089038708291</v>
      </c>
      <c r="R66" s="488">
        <f t="shared" si="35"/>
        <v>38779.419633082187</v>
      </c>
      <c r="S66" s="488">
        <f t="shared" si="35"/>
        <v>40346.626101124406</v>
      </c>
      <c r="T66" s="488">
        <f t="shared" si="35"/>
        <v>41977.168641153025</v>
      </c>
      <c r="U66" s="488">
        <f t="shared" si="35"/>
        <v>43673.606876355268</v>
      </c>
      <c r="V66" s="488">
        <f t="shared" si="35"/>
        <v>45438.60387287983</v>
      </c>
      <c r="W66" s="488">
        <f t="shared" si="35"/>
        <v>47274.930320314197</v>
      </c>
      <c r="X66" s="488">
        <f t="shared" si="35"/>
        <v>49185.468881108834</v>
      </c>
      <c r="Y66" s="488">
        <f t="shared" si="35"/>
        <v>51173.218715776362</v>
      </c>
      <c r="Z66" s="488">
        <f t="shared" si="35"/>
        <v>53241.300190969087</v>
      </c>
      <c r="AA66" s="488">
        <f t="shared" si="35"/>
        <v>55392.959777825876</v>
      </c>
      <c r="AB66" s="488">
        <f t="shared" si="35"/>
        <v>57631.575148277443</v>
      </c>
      <c r="AC66" s="488">
        <f t="shared" si="35"/>
        <v>59960.66047731079</v>
      </c>
      <c r="AD66" s="488">
        <f t="shared" si="35"/>
        <v>62383.871959515578</v>
      </c>
      <c r="AE66" s="488">
        <f t="shared" si="35"/>
        <v>64905.01354857289</v>
      </c>
      <c r="AF66" s="488">
        <f t="shared" si="35"/>
        <v>67528.042928695824</v>
      </c>
      <c r="AG66" s="488">
        <f t="shared" si="35"/>
        <v>70257.077727396099</v>
      </c>
      <c r="AH66" s="488">
        <f t="shared" si="35"/>
        <v>73096.401979329676</v>
      </c>
      <c r="AI66" s="488">
        <f t="shared" si="35"/>
        <v>76050.472851367405</v>
      </c>
      <c r="AJ66" s="488">
        <f t="shared" si="35"/>
        <v>79123.927639449248</v>
      </c>
      <c r="AK66" s="488">
        <f t="shared" si="35"/>
        <v>82321.591048203816</v>
      </c>
      <c r="AL66" s="488">
        <f t="shared" ref="AL66" si="36">SUMPRODUCT(AL62:AL64,AL49:AL51)</f>
        <v>85648.482764762899</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'900 South'!D48</f>
        <v>668.46047401392207</v>
      </c>
      <c r="E70" s="383">
        <f>'900 South'!E48</f>
        <v>695.47520472462782</v>
      </c>
      <c r="F70" s="383">
        <f>'900 South'!F48</f>
        <v>723.58169134872298</v>
      </c>
      <c r="G70" s="383">
        <f>'900 South'!G48</f>
        <v>752.82405540595175</v>
      </c>
      <c r="H70" s="383">
        <f>'900 South'!H48</f>
        <v>1044.3309353529546</v>
      </c>
      <c r="I70" s="383">
        <f>'900 South'!I48</f>
        <v>1086.5358526041002</v>
      </c>
      <c r="J70" s="383">
        <f>'900 South'!J48</f>
        <v>1130.4464121759672</v>
      </c>
      <c r="K70" s="383">
        <f>'900 South'!K48</f>
        <v>1176.1315447978568</v>
      </c>
      <c r="L70" s="383">
        <f>'900 South'!L48</f>
        <v>1223.6629669211318</v>
      </c>
      <c r="M70" s="383">
        <f>'900 South'!M48</f>
        <v>1273.1152932995933</v>
      </c>
      <c r="N70" s="383">
        <f>'900 South'!N48</f>
        <v>1324.5661541196052</v>
      </c>
      <c r="O70" s="383">
        <f>'900 South'!O48</f>
        <v>1378.0963168638441</v>
      </c>
      <c r="P70" s="383">
        <f>'900 South'!P48</f>
        <v>1433.7898130999681</v>
      </c>
      <c r="Q70" s="383">
        <f>'900 South'!Q48</f>
        <v>1491.7340703932455</v>
      </c>
      <c r="R70" s="383">
        <f>'900 South'!R48</f>
        <v>1552.0200495502097</v>
      </c>
      <c r="S70" s="383">
        <f>'900 South'!S48</f>
        <v>1614.7423874088013</v>
      </c>
      <c r="T70" s="383">
        <f>'900 South'!T48</f>
        <v>1679.9995453991216</v>
      </c>
      <c r="U70" s="383">
        <f>'900 South'!U48</f>
        <v>1747.8939641080426</v>
      </c>
      <c r="V70" s="383">
        <f>'900 South'!V48</f>
        <v>1818.5322240902819</v>
      </c>
      <c r="W70" s="383">
        <f>'900 South'!W48</f>
        <v>1892.0252131783955</v>
      </c>
      <c r="X70" s="383">
        <f>'900 South'!X48</f>
        <v>1968.4883005543218</v>
      </c>
      <c r="Y70" s="383">
        <f>'900 South'!Y48</f>
        <v>2048.0415178557564</v>
      </c>
      <c r="Z70" s="383">
        <f>'900 South'!Z48</f>
        <v>2130.8097476016269</v>
      </c>
      <c r="AA70" s="383">
        <f>'900 South'!AA48</f>
        <v>2216.9229192324847</v>
      </c>
      <c r="AB70" s="383">
        <f>'900 South'!AB48</f>
        <v>2306.5162130735339</v>
      </c>
      <c r="AC70" s="383">
        <f>'900 South'!AC48</f>
        <v>2399.730272540512</v>
      </c>
      <c r="AD70" s="383">
        <f>'900 South'!AD48</f>
        <v>2496.7114249214983</v>
      </c>
      <c r="AE70" s="383">
        <f>'900 South'!AE48</f>
        <v>2597.6119110812715</v>
      </c>
      <c r="AF70" s="383">
        <f>'900 South'!AF48</f>
        <v>2702.5901244487827</v>
      </c>
      <c r="AG70" s="383">
        <f>'900 South'!AG48</f>
        <v>2811.8108596629286</v>
      </c>
      <c r="AH70" s="383">
        <f>'900 South'!AH48</f>
        <v>2925.4455712669078</v>
      </c>
      <c r="AI70" s="383">
        <f>'900 South'!AI48</f>
        <v>3043.6726428573156</v>
      </c>
      <c r="AJ70" s="383">
        <f>'900 South'!AJ48</f>
        <v>3166.677667110433</v>
      </c>
      <c r="AK70" s="383">
        <f>'900 South'!AK48</f>
        <v>3294.6537371253248</v>
      </c>
      <c r="AL70" s="383">
        <f>'900 South'!AL48</f>
        <v>3427.8017495411004</v>
      </c>
    </row>
    <row r="71" spans="1:38">
      <c r="B71" s="385" t="s">
        <v>509</v>
      </c>
      <c r="C71" s="386" t="s">
        <v>443</v>
      </c>
      <c r="D71" s="383">
        <f>'900 South'!D49</f>
        <v>74.273386001546896</v>
      </c>
      <c r="E71" s="383">
        <f>'900 South'!E49</f>
        <v>77.27502274718087</v>
      </c>
      <c r="F71" s="383">
        <f>'900 South'!F49</f>
        <v>80.397965705413668</v>
      </c>
      <c r="G71" s="383">
        <f>'900 South'!G49</f>
        <v>83.647117267327985</v>
      </c>
      <c r="H71" s="383">
        <f>'900 South'!H49</f>
        <v>116.03677059477273</v>
      </c>
      <c r="I71" s="383">
        <f>'900 South'!I49</f>
        <v>120.72620584490004</v>
      </c>
      <c r="J71" s="383">
        <f>'900 South'!J49</f>
        <v>125.60515690844079</v>
      </c>
      <c r="K71" s="383">
        <f>'900 South'!K49</f>
        <v>130.68128275531743</v>
      </c>
      <c r="L71" s="383">
        <f>'900 South'!L49</f>
        <v>135.96255188012577</v>
      </c>
      <c r="M71" s="383">
        <f>'900 South'!M49</f>
        <v>141.45725481106592</v>
      </c>
      <c r="N71" s="383">
        <f>'900 South'!N49</f>
        <v>147.17401712440059</v>
      </c>
      <c r="O71" s="383">
        <f>'900 South'!O49</f>
        <v>153.12181298487155</v>
      </c>
      <c r="P71" s="383">
        <f>'900 South'!P49</f>
        <v>159.30997923332981</v>
      </c>
      <c r="Q71" s="383">
        <f>'900 South'!Q49</f>
        <v>165.74823004369395</v>
      </c>
      <c r="R71" s="383">
        <f>'900 South'!R49</f>
        <v>172.44667217224554</v>
      </c>
      <c r="S71" s="383">
        <f>'900 South'!S49</f>
        <v>179.41582082320016</v>
      </c>
      <c r="T71" s="383">
        <f>'900 South'!T49</f>
        <v>186.66661615545797</v>
      </c>
      <c r="U71" s="383">
        <f>'900 South'!U49</f>
        <v>194.21044045644919</v>
      </c>
      <c r="V71" s="383">
        <f>'900 South'!V49</f>
        <v>202.05913601003135</v>
      </c>
      <c r="W71" s="383">
        <f>'900 South'!W49</f>
        <v>210.22502368648838</v>
      </c>
      <c r="X71" s="383">
        <f>'900 South'!X49</f>
        <v>218.72092228381354</v>
      </c>
      <c r="Y71" s="383">
        <f>'900 South'!Y49</f>
        <v>227.56016865063958</v>
      </c>
      <c r="Z71" s="383">
        <f>'900 South'!Z49</f>
        <v>236.75663862240299</v>
      </c>
      <c r="AA71" s="383">
        <f>'900 South'!AA49</f>
        <v>246.32476880360943</v>
      </c>
      <c r="AB71" s="383">
        <f>'900 South'!AB49</f>
        <v>256.2795792303927</v>
      </c>
      <c r="AC71" s="383">
        <f>'900 South'!AC49</f>
        <v>266.63669694894583</v>
      </c>
      <c r="AD71" s="383">
        <f>'900 South'!AD49</f>
        <v>277.41238054683316</v>
      </c>
      <c r="AE71" s="383">
        <f>'900 South'!AE49</f>
        <v>288.62354567569685</v>
      </c>
      <c r="AF71" s="383">
        <f>'900 South'!AF49</f>
        <v>300.2877916054203</v>
      </c>
      <c r="AG71" s="383">
        <f>'900 South'!AG49</f>
        <v>312.42342885143648</v>
      </c>
      <c r="AH71" s="383">
        <f>'900 South'!AH49</f>
        <v>325.04950791854532</v>
      </c>
      <c r="AI71" s="383">
        <f>'900 South'!AI49</f>
        <v>338.1858492063684</v>
      </c>
      <c r="AJ71" s="383">
        <f>'900 South'!AJ49</f>
        <v>351.85307412338148</v>
      </c>
      <c r="AK71" s="383">
        <f>'900 South'!AK49</f>
        <v>366.0726374583694</v>
      </c>
      <c r="AL71" s="383">
        <f>'900 South'!AL49</f>
        <v>380.86686106012229</v>
      </c>
    </row>
    <row r="72" spans="1:38">
      <c r="B72" s="358" t="s">
        <v>769</v>
      </c>
      <c r="C72" s="358" t="s">
        <v>443</v>
      </c>
      <c r="D72" s="383">
        <f>'900 South'!D50</f>
        <v>0</v>
      </c>
      <c r="E72" s="383">
        <f>'900 South'!E50</f>
        <v>0</v>
      </c>
      <c r="F72" s="383">
        <f>'900 South'!F50</f>
        <v>0</v>
      </c>
      <c r="G72" s="383">
        <f>'900 South'!G50</f>
        <v>0</v>
      </c>
      <c r="H72" s="383">
        <f>'900 South'!H50</f>
        <v>0</v>
      </c>
      <c r="I72" s="383">
        <f>'900 South'!I50</f>
        <v>0</v>
      </c>
      <c r="J72" s="383">
        <f>'900 South'!J50</f>
        <v>0</v>
      </c>
      <c r="K72" s="383">
        <f>'900 South'!K50</f>
        <v>0</v>
      </c>
      <c r="L72" s="383">
        <f>'900 South'!L50</f>
        <v>0</v>
      </c>
      <c r="M72" s="383">
        <f>'900 South'!M50</f>
        <v>0</v>
      </c>
      <c r="N72" s="383">
        <f>'900 South'!N50</f>
        <v>0</v>
      </c>
      <c r="O72" s="383">
        <f>'900 South'!O50</f>
        <v>0</v>
      </c>
      <c r="P72" s="383">
        <f>'900 South'!P50</f>
        <v>0</v>
      </c>
      <c r="Q72" s="383">
        <f>'900 South'!Q50</f>
        <v>0</v>
      </c>
      <c r="R72" s="383">
        <f>'900 South'!R50</f>
        <v>0</v>
      </c>
      <c r="S72" s="383">
        <f>'900 South'!S50</f>
        <v>0</v>
      </c>
      <c r="T72" s="383">
        <f>'900 South'!T50</f>
        <v>0</v>
      </c>
      <c r="U72" s="383">
        <f>'900 South'!U50</f>
        <v>0</v>
      </c>
      <c r="V72" s="383">
        <f>'900 South'!V50</f>
        <v>0</v>
      </c>
      <c r="W72" s="383">
        <f>'900 South'!W50</f>
        <v>0</v>
      </c>
      <c r="X72" s="383">
        <f>'900 South'!X50</f>
        <v>0</v>
      </c>
      <c r="Y72" s="383">
        <f>'900 South'!Y50</f>
        <v>0</v>
      </c>
      <c r="Z72" s="383">
        <f>'900 South'!Z50</f>
        <v>0</v>
      </c>
      <c r="AA72" s="383">
        <f>'900 South'!AA50</f>
        <v>0</v>
      </c>
      <c r="AB72" s="383">
        <f>'900 South'!AB50</f>
        <v>0</v>
      </c>
      <c r="AC72" s="383">
        <f>'900 South'!AC50</f>
        <v>0</v>
      </c>
      <c r="AD72" s="383">
        <f>'900 South'!AD50</f>
        <v>0</v>
      </c>
      <c r="AE72" s="383">
        <f>'900 South'!AE50</f>
        <v>0</v>
      </c>
      <c r="AF72" s="383">
        <f>'900 South'!AF50</f>
        <v>0</v>
      </c>
      <c r="AG72" s="383">
        <f>'900 South'!AG50</f>
        <v>0</v>
      </c>
      <c r="AH72" s="383">
        <f>'900 South'!AH50</f>
        <v>0</v>
      </c>
      <c r="AI72" s="383">
        <f>'900 South'!AI50</f>
        <v>0</v>
      </c>
      <c r="AJ72" s="383">
        <f>'900 South'!AJ50</f>
        <v>0</v>
      </c>
      <c r="AK72" s="383">
        <f>'900 South'!AK50</f>
        <v>0</v>
      </c>
      <c r="AL72" s="383">
        <f>'900 South'!AL50</f>
        <v>0</v>
      </c>
    </row>
    <row r="73" spans="1:38">
      <c r="D73" s="358"/>
      <c r="F73" s="464"/>
      <c r="G73" s="465"/>
      <c r="H73" s="465"/>
    </row>
    <row r="74" spans="1:38">
      <c r="B74" s="472" t="s">
        <v>512</v>
      </c>
      <c r="C74" s="386" t="s">
        <v>443</v>
      </c>
      <c r="D74" s="383">
        <f>D70*$C59</f>
        <v>1116.3289916032497</v>
      </c>
      <c r="E74" s="383">
        <f t="shared" ref="E74:AK76" si="37">E70*$C59</f>
        <v>1161.4435918901283</v>
      </c>
      <c r="F74" s="383">
        <f t="shared" si="37"/>
        <v>1208.3814245523674</v>
      </c>
      <c r="G74" s="383">
        <f t="shared" si="37"/>
        <v>1257.2161725279393</v>
      </c>
      <c r="H74" s="383">
        <f t="shared" si="37"/>
        <v>1744.0326620394342</v>
      </c>
      <c r="I74" s="383">
        <f t="shared" si="37"/>
        <v>1814.5148738488474</v>
      </c>
      <c r="J74" s="383">
        <f t="shared" si="37"/>
        <v>1887.8455083338652</v>
      </c>
      <c r="K74" s="383">
        <f t="shared" si="37"/>
        <v>1964.1396798124208</v>
      </c>
      <c r="L74" s="383">
        <f t="shared" si="37"/>
        <v>2043.51715475829</v>
      </c>
      <c r="M74" s="383">
        <f t="shared" si="37"/>
        <v>2126.1025398103206</v>
      </c>
      <c r="N74" s="383">
        <f t="shared" si="37"/>
        <v>2212.0254773797406</v>
      </c>
      <c r="O74" s="383">
        <f t="shared" si="37"/>
        <v>2301.4208491626196</v>
      </c>
      <c r="P74" s="383">
        <f t="shared" si="37"/>
        <v>2394.4289878769468</v>
      </c>
      <c r="Q74" s="383">
        <f t="shared" si="37"/>
        <v>2491.19589755672</v>
      </c>
      <c r="R74" s="383">
        <f t="shared" si="37"/>
        <v>2591.8734827488502</v>
      </c>
      <c r="S74" s="383">
        <f t="shared" si="37"/>
        <v>2696.619786972698</v>
      </c>
      <c r="T74" s="383">
        <f t="shared" si="37"/>
        <v>2805.599240816533</v>
      </c>
      <c r="U74" s="383">
        <f t="shared" si="37"/>
        <v>2918.9829200604308</v>
      </c>
      <c r="V74" s="383">
        <f t="shared" si="37"/>
        <v>3036.9488142307705</v>
      </c>
      <c r="W74" s="383">
        <f t="shared" si="37"/>
        <v>3159.6821060079201</v>
      </c>
      <c r="X74" s="383">
        <f t="shared" si="37"/>
        <v>3287.375461925717</v>
      </c>
      <c r="Y74" s="383">
        <f t="shared" si="37"/>
        <v>3420.2293348191129</v>
      </c>
      <c r="Z74" s="383">
        <f t="shared" si="37"/>
        <v>3558.4522784947167</v>
      </c>
      <c r="AA74" s="383">
        <f t="shared" si="37"/>
        <v>3702.2612751182492</v>
      </c>
      <c r="AB74" s="383">
        <f t="shared" si="37"/>
        <v>3851.8820758328015</v>
      </c>
      <c r="AC74" s="383">
        <f t="shared" si="37"/>
        <v>4007.5495551426548</v>
      </c>
      <c r="AD74" s="383">
        <f t="shared" si="37"/>
        <v>4169.5080796189022</v>
      </c>
      <c r="AE74" s="383">
        <f t="shared" si="37"/>
        <v>4338.0118915057228</v>
      </c>
      <c r="AF74" s="383">
        <f t="shared" si="37"/>
        <v>4513.3255078294669</v>
      </c>
      <c r="AG74" s="383">
        <f t="shared" si="37"/>
        <v>4695.7241356370905</v>
      </c>
      <c r="AH74" s="383">
        <f t="shared" si="37"/>
        <v>4885.4941040157355</v>
      </c>
      <c r="AI74" s="383">
        <f t="shared" si="37"/>
        <v>5082.933313571717</v>
      </c>
      <c r="AJ74" s="383">
        <f t="shared" si="37"/>
        <v>5288.3517040744227</v>
      </c>
      <c r="AK74" s="383">
        <f t="shared" si="37"/>
        <v>5502.0717409992922</v>
      </c>
      <c r="AL74" s="383">
        <f t="shared" ref="AL74" si="38">AL70*$C59</f>
        <v>5724.4289217336373</v>
      </c>
    </row>
    <row r="75" spans="1:38">
      <c r="B75" s="472" t="s">
        <v>513</v>
      </c>
      <c r="C75" s="386" t="s">
        <v>443</v>
      </c>
      <c r="D75" s="383">
        <f t="shared" ref="D75:S76" si="39">D71*$C60</f>
        <v>74.273386001546896</v>
      </c>
      <c r="E75" s="383">
        <f t="shared" si="39"/>
        <v>77.27502274718087</v>
      </c>
      <c r="F75" s="383">
        <f t="shared" si="39"/>
        <v>80.397965705413668</v>
      </c>
      <c r="G75" s="383">
        <f t="shared" si="39"/>
        <v>83.647117267327985</v>
      </c>
      <c r="H75" s="383">
        <f t="shared" si="39"/>
        <v>116.03677059477273</v>
      </c>
      <c r="I75" s="383">
        <f t="shared" si="39"/>
        <v>120.72620584490004</v>
      </c>
      <c r="J75" s="383">
        <f t="shared" si="39"/>
        <v>125.60515690844079</v>
      </c>
      <c r="K75" s="383">
        <f t="shared" si="39"/>
        <v>130.68128275531743</v>
      </c>
      <c r="L75" s="383">
        <f t="shared" si="39"/>
        <v>135.96255188012577</v>
      </c>
      <c r="M75" s="383">
        <f t="shared" si="39"/>
        <v>141.45725481106592</v>
      </c>
      <c r="N75" s="383">
        <f t="shared" si="39"/>
        <v>147.17401712440059</v>
      </c>
      <c r="O75" s="383">
        <f t="shared" si="39"/>
        <v>153.12181298487155</v>
      </c>
      <c r="P75" s="383">
        <f t="shared" si="39"/>
        <v>159.30997923332981</v>
      </c>
      <c r="Q75" s="383">
        <f t="shared" si="39"/>
        <v>165.74823004369395</v>
      </c>
      <c r="R75" s="383">
        <f t="shared" si="39"/>
        <v>172.44667217224554</v>
      </c>
      <c r="S75" s="383">
        <f t="shared" si="39"/>
        <v>179.41582082320016</v>
      </c>
      <c r="T75" s="383">
        <f t="shared" si="37"/>
        <v>186.66661615545797</v>
      </c>
      <c r="U75" s="383">
        <f t="shared" si="37"/>
        <v>194.21044045644919</v>
      </c>
      <c r="V75" s="383">
        <f t="shared" si="37"/>
        <v>202.05913601003135</v>
      </c>
      <c r="W75" s="383">
        <f t="shared" si="37"/>
        <v>210.22502368648838</v>
      </c>
      <c r="X75" s="383">
        <f t="shared" si="37"/>
        <v>218.72092228381354</v>
      </c>
      <c r="Y75" s="383">
        <f t="shared" si="37"/>
        <v>227.56016865063958</v>
      </c>
      <c r="Z75" s="383">
        <f t="shared" si="37"/>
        <v>236.75663862240299</v>
      </c>
      <c r="AA75" s="383">
        <f t="shared" si="37"/>
        <v>246.32476880360943</v>
      </c>
      <c r="AB75" s="383">
        <f t="shared" si="37"/>
        <v>256.2795792303927</v>
      </c>
      <c r="AC75" s="383">
        <f t="shared" si="37"/>
        <v>266.63669694894583</v>
      </c>
      <c r="AD75" s="383">
        <f t="shared" si="37"/>
        <v>277.41238054683316</v>
      </c>
      <c r="AE75" s="383">
        <f t="shared" si="37"/>
        <v>288.62354567569685</v>
      </c>
      <c r="AF75" s="383">
        <f t="shared" si="37"/>
        <v>300.2877916054203</v>
      </c>
      <c r="AG75" s="383">
        <f t="shared" si="37"/>
        <v>312.42342885143648</v>
      </c>
      <c r="AH75" s="383">
        <f t="shared" si="37"/>
        <v>325.04950791854532</v>
      </c>
      <c r="AI75" s="383">
        <f t="shared" si="37"/>
        <v>338.1858492063684</v>
      </c>
      <c r="AJ75" s="383">
        <f t="shared" si="37"/>
        <v>351.85307412338148</v>
      </c>
      <c r="AK75" s="383">
        <f t="shared" si="37"/>
        <v>366.0726374583694</v>
      </c>
      <c r="AL75" s="383">
        <f t="shared" ref="AL75" si="40">AL71*$C60</f>
        <v>380.86686106012229</v>
      </c>
    </row>
    <row r="76" spans="1:38">
      <c r="B76" s="472" t="s">
        <v>752</v>
      </c>
      <c r="C76" s="386" t="s">
        <v>443</v>
      </c>
      <c r="D76" s="383">
        <f t="shared" si="39"/>
        <v>0</v>
      </c>
      <c r="E76" s="383">
        <f t="shared" si="37"/>
        <v>0</v>
      </c>
      <c r="F76" s="383">
        <f t="shared" si="37"/>
        <v>0</v>
      </c>
      <c r="G76" s="383">
        <f t="shared" si="37"/>
        <v>0</v>
      </c>
      <c r="H76" s="383">
        <f t="shared" si="37"/>
        <v>0</v>
      </c>
      <c r="I76" s="383">
        <f t="shared" si="37"/>
        <v>0</v>
      </c>
      <c r="J76" s="383">
        <f t="shared" si="37"/>
        <v>0</v>
      </c>
      <c r="K76" s="383">
        <f t="shared" si="37"/>
        <v>0</v>
      </c>
      <c r="L76" s="383">
        <f t="shared" si="37"/>
        <v>0</v>
      </c>
      <c r="M76" s="383">
        <f t="shared" si="37"/>
        <v>0</v>
      </c>
      <c r="N76" s="383">
        <f t="shared" si="37"/>
        <v>0</v>
      </c>
      <c r="O76" s="383">
        <f t="shared" si="37"/>
        <v>0</v>
      </c>
      <c r="P76" s="383">
        <f t="shared" si="37"/>
        <v>0</v>
      </c>
      <c r="Q76" s="383">
        <f t="shared" si="37"/>
        <v>0</v>
      </c>
      <c r="R76" s="383">
        <f t="shared" si="37"/>
        <v>0</v>
      </c>
      <c r="S76" s="383">
        <f t="shared" si="37"/>
        <v>0</v>
      </c>
      <c r="T76" s="383">
        <f t="shared" si="37"/>
        <v>0</v>
      </c>
      <c r="U76" s="383">
        <f t="shared" si="37"/>
        <v>0</v>
      </c>
      <c r="V76" s="383">
        <f t="shared" si="37"/>
        <v>0</v>
      </c>
      <c r="W76" s="383">
        <f t="shared" si="37"/>
        <v>0</v>
      </c>
      <c r="X76" s="383">
        <f t="shared" si="37"/>
        <v>0</v>
      </c>
      <c r="Y76" s="383">
        <f t="shared" si="37"/>
        <v>0</v>
      </c>
      <c r="Z76" s="383">
        <f t="shared" si="37"/>
        <v>0</v>
      </c>
      <c r="AA76" s="383">
        <f t="shared" si="37"/>
        <v>0</v>
      </c>
      <c r="AB76" s="383">
        <f t="shared" si="37"/>
        <v>0</v>
      </c>
      <c r="AC76" s="383">
        <f t="shared" si="37"/>
        <v>0</v>
      </c>
      <c r="AD76" s="383">
        <f t="shared" si="37"/>
        <v>0</v>
      </c>
      <c r="AE76" s="383">
        <f t="shared" si="37"/>
        <v>0</v>
      </c>
      <c r="AF76" s="383">
        <f t="shared" si="37"/>
        <v>0</v>
      </c>
      <c r="AG76" s="383">
        <f t="shared" si="37"/>
        <v>0</v>
      </c>
      <c r="AH76" s="383">
        <f t="shared" si="37"/>
        <v>0</v>
      </c>
      <c r="AI76" s="383">
        <f t="shared" si="37"/>
        <v>0</v>
      </c>
      <c r="AJ76" s="383">
        <f t="shared" si="37"/>
        <v>0</v>
      </c>
      <c r="AK76" s="383">
        <f t="shared" si="37"/>
        <v>0</v>
      </c>
      <c r="AL76" s="383">
        <f t="shared" ref="AL76" si="41">AL72*$C61</f>
        <v>0</v>
      </c>
    </row>
    <row r="77" spans="1:38">
      <c r="D77" s="358"/>
      <c r="F77" s="464"/>
      <c r="G77" s="465"/>
      <c r="H77" s="465"/>
    </row>
    <row r="78" spans="1:38" ht="13">
      <c r="B78" s="364" t="s">
        <v>514</v>
      </c>
      <c r="C78" s="487" t="s">
        <v>292</v>
      </c>
      <c r="D78" s="488">
        <f t="shared" ref="D78:AK78" si="42">D74*D49+D75*D50+D76*D51</f>
        <v>22269.909238545813</v>
      </c>
      <c r="E78" s="488">
        <f t="shared" si="42"/>
        <v>23169.910995446466</v>
      </c>
      <c r="F78" s="488">
        <f t="shared" si="42"/>
        <v>24106.284843214118</v>
      </c>
      <c r="G78" s="488">
        <f t="shared" si="42"/>
        <v>25080.500700083812</v>
      </c>
      <c r="H78" s="488">
        <f t="shared" si="42"/>
        <v>34792.11718482487</v>
      </c>
      <c r="I78" s="488">
        <f t="shared" si="42"/>
        <v>36198.18338191729</v>
      </c>
      <c r="J78" s="488">
        <f t="shared" si="42"/>
        <v>37661.07343195616</v>
      </c>
      <c r="K78" s="488">
        <f t="shared" si="42"/>
        <v>39183.083777506108</v>
      </c>
      <c r="L78" s="488">
        <f t="shared" si="42"/>
        <v>40766.603668081261</v>
      </c>
      <c r="M78" s="488">
        <f t="shared" si="42"/>
        <v>42414.118910785568</v>
      </c>
      <c r="N78" s="488">
        <f t="shared" si="42"/>
        <v>44128.215772528893</v>
      </c>
      <c r="O78" s="488">
        <f t="shared" si="42"/>
        <v>45911.585039944926</v>
      </c>
      <c r="P78" s="488">
        <f t="shared" si="42"/>
        <v>47767.026243383902</v>
      </c>
      <c r="Q78" s="488">
        <f t="shared" si="42"/>
        <v>49697.452051611064</v>
      </c>
      <c r="R78" s="488">
        <f t="shared" si="42"/>
        <v>51705.892844109578</v>
      </c>
      <c r="S78" s="488">
        <f t="shared" si="42"/>
        <v>53795.50146816585</v>
      </c>
      <c r="T78" s="488">
        <f t="shared" si="42"/>
        <v>55969.558188204042</v>
      </c>
      <c r="U78" s="488">
        <f t="shared" si="42"/>
        <v>58231.475835140343</v>
      </c>
      <c r="V78" s="488">
        <f t="shared" si="42"/>
        <v>60584.805163839752</v>
      </c>
      <c r="W78" s="488">
        <f t="shared" si="42"/>
        <v>63033.240427085606</v>
      </c>
      <c r="X78" s="488">
        <f t="shared" si="42"/>
        <v>65580.625174811779</v>
      </c>
      <c r="Y78" s="488">
        <f t="shared" si="42"/>
        <v>68230.958287701811</v>
      </c>
      <c r="Z78" s="488">
        <f t="shared" si="42"/>
        <v>70988.400254625434</v>
      </c>
      <c r="AA78" s="488">
        <f t="shared" si="42"/>
        <v>73857.279703767825</v>
      </c>
      <c r="AB78" s="488">
        <f t="shared" si="42"/>
        <v>76842.100197703243</v>
      </c>
      <c r="AC78" s="488">
        <f t="shared" si="42"/>
        <v>79947.547303081054</v>
      </c>
      <c r="AD78" s="488">
        <f t="shared" si="42"/>
        <v>83178.495946020805</v>
      </c>
      <c r="AE78" s="488">
        <f t="shared" si="42"/>
        <v>86540.018064763892</v>
      </c>
      <c r="AF78" s="488">
        <f t="shared" si="42"/>
        <v>90037.390571594398</v>
      </c>
      <c r="AG78" s="488">
        <f t="shared" si="42"/>
        <v>93676.103636528147</v>
      </c>
      <c r="AH78" s="488">
        <f t="shared" si="42"/>
        <v>97461.869305772852</v>
      </c>
      <c r="AI78" s="488">
        <f t="shared" si="42"/>
        <v>101400.63046848986</v>
      </c>
      <c r="AJ78" s="488">
        <f t="shared" si="42"/>
        <v>105498.5701859323</v>
      </c>
      <c r="AK78" s="488">
        <f t="shared" si="42"/>
        <v>109762.12139760511</v>
      </c>
      <c r="AL78" s="488">
        <f t="shared" ref="AL78" si="43">AL74*AL49+AL75*AL50+AL76*AL51</f>
        <v>114197.97701968387</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4">SUM(E62:E64)-SUM(E74:E76)</f>
        <v>0</v>
      </c>
      <c r="F82" s="383">
        <f t="shared" si="44"/>
        <v>0</v>
      </c>
      <c r="G82" s="383">
        <f t="shared" si="44"/>
        <v>0</v>
      </c>
      <c r="H82" s="383">
        <f t="shared" si="44"/>
        <v>-465.01735815855227</v>
      </c>
      <c r="I82" s="383">
        <f t="shared" si="44"/>
        <v>-483.81026992343732</v>
      </c>
      <c r="J82" s="383">
        <f t="shared" si="44"/>
        <v>-503.36266631057674</v>
      </c>
      <c r="K82" s="383">
        <f t="shared" si="44"/>
        <v>-523.70524064193455</v>
      </c>
      <c r="L82" s="383">
        <f t="shared" si="44"/>
        <v>-544.86992665960361</v>
      </c>
      <c r="M82" s="383">
        <f t="shared" si="44"/>
        <v>-566.88994865534642</v>
      </c>
      <c r="N82" s="383">
        <f t="shared" si="44"/>
        <v>-589.7998736260347</v>
      </c>
      <c r="O82" s="383">
        <f t="shared" si="44"/>
        <v>-613.63566553687315</v>
      </c>
      <c r="P82" s="383">
        <f t="shared" si="44"/>
        <v>-638.43474177756866</v>
      </c>
      <c r="Q82" s="383">
        <f t="shared" si="44"/>
        <v>-664.23603190010363</v>
      </c>
      <c r="R82" s="383">
        <f t="shared" si="44"/>
        <v>-691.08003873027383</v>
      </c>
      <c r="S82" s="383">
        <f t="shared" si="44"/>
        <v>-719.00890194897374</v>
      </c>
      <c r="T82" s="383">
        <f t="shared" si="44"/>
        <v>-748.06646424299834</v>
      </c>
      <c r="U82" s="383">
        <f t="shared" si="44"/>
        <v>-778.29834012921947</v>
      </c>
      <c r="V82" s="383">
        <f t="shared" si="44"/>
        <v>-809.75198756019927</v>
      </c>
      <c r="W82" s="383">
        <f t="shared" si="44"/>
        <v>-842.47678242360234</v>
      </c>
      <c r="X82" s="383">
        <f t="shared" si="44"/>
        <v>-876.5240960523829</v>
      </c>
      <c r="Y82" s="383">
        <f t="shared" si="44"/>
        <v>-911.94737586743804</v>
      </c>
      <c r="Z82" s="383">
        <f t="shared" si="44"/>
        <v>-948.80222927927935</v>
      </c>
      <c r="AA82" s="383">
        <f t="shared" si="44"/>
        <v>-987.14651098046443</v>
      </c>
      <c r="AB82" s="383">
        <f t="shared" si="44"/>
        <v>-1027.0404137657979</v>
      </c>
      <c r="AC82" s="383">
        <f t="shared" si="44"/>
        <v>-1068.5465630228996</v>
      </c>
      <c r="AD82" s="383">
        <f t="shared" si="44"/>
        <v>-1111.7301150414355</v>
      </c>
      <c r="AE82" s="383">
        <f t="shared" si="44"/>
        <v>-1156.6588592953567</v>
      </c>
      <c r="AF82" s="383">
        <f t="shared" ref="AF82:AJ82" si="45">SUM(AF62:AF64)-SUM(AF74:AF76)</f>
        <v>-1203.4033248587207</v>
      </c>
      <c r="AG82" s="383">
        <f t="shared" si="45"/>
        <v>-1252.0368911221321</v>
      </c>
      <c r="AH82" s="383">
        <f t="shared" si="45"/>
        <v>-1302.6359029835685</v>
      </c>
      <c r="AI82" s="383">
        <f t="shared" si="45"/>
        <v>-1355.2797906945207</v>
      </c>
      <c r="AJ82" s="383">
        <f t="shared" si="45"/>
        <v>-1410.05119454945</v>
      </c>
      <c r="AK82" s="383">
        <f t="shared" ref="AK82:AL82" si="46">SUM(AK62:AK64)-SUM(AK74:AK76)</f>
        <v>-1467.0360946144156</v>
      </c>
      <c r="AL82" s="383">
        <f t="shared" si="46"/>
        <v>-1526.3239456984402</v>
      </c>
    </row>
    <row r="83" spans="1:38" ht="13">
      <c r="B83" s="364" t="s">
        <v>813</v>
      </c>
      <c r="C83" s="590" t="s">
        <v>443</v>
      </c>
      <c r="D83" s="383">
        <f>SUM(D55:D57)-SUM(D70:D72)</f>
        <v>0</v>
      </c>
      <c r="E83" s="383">
        <f t="shared" ref="E83:AE83" si="47">SUM(E55:E57)-SUM(E70:E72)</f>
        <v>0</v>
      </c>
      <c r="F83" s="383">
        <f t="shared" si="47"/>
        <v>0</v>
      </c>
      <c r="G83" s="383">
        <f t="shared" si="47"/>
        <v>0</v>
      </c>
      <c r="H83" s="383">
        <f t="shared" si="47"/>
        <v>-290.09192648693204</v>
      </c>
      <c r="I83" s="383">
        <f t="shared" si="47"/>
        <v>-301.81551461225024</v>
      </c>
      <c r="J83" s="383">
        <f t="shared" si="47"/>
        <v>-314.01289227110226</v>
      </c>
      <c r="K83" s="383">
        <f t="shared" si="47"/>
        <v>-326.70320688829349</v>
      </c>
      <c r="L83" s="383">
        <f t="shared" si="47"/>
        <v>-339.90637970031423</v>
      </c>
      <c r="M83" s="383">
        <f t="shared" si="47"/>
        <v>-353.64313702766481</v>
      </c>
      <c r="N83" s="383">
        <f t="shared" si="47"/>
        <v>-367.93504281100127</v>
      </c>
      <c r="O83" s="383">
        <f t="shared" si="47"/>
        <v>-382.80453246217917</v>
      </c>
      <c r="P83" s="383">
        <f t="shared" si="47"/>
        <v>-398.27494808332426</v>
      </c>
      <c r="Q83" s="383">
        <f t="shared" si="47"/>
        <v>-414.37057510923455</v>
      </c>
      <c r="R83" s="383">
        <f t="shared" si="47"/>
        <v>-431.11668043061377</v>
      </c>
      <c r="S83" s="383">
        <f t="shared" si="47"/>
        <v>-448.53955205800003</v>
      </c>
      <c r="T83" s="383">
        <f t="shared" si="47"/>
        <v>-466.66654038864499</v>
      </c>
      <c r="U83" s="383">
        <f t="shared" si="47"/>
        <v>-485.52610114112281</v>
      </c>
      <c r="V83" s="383">
        <f t="shared" si="47"/>
        <v>-505.14784002507804</v>
      </c>
      <c r="W83" s="383">
        <f t="shared" si="47"/>
        <v>-525.56255921622119</v>
      </c>
      <c r="X83" s="383">
        <f t="shared" si="47"/>
        <v>-546.80230570953404</v>
      </c>
      <c r="Y83" s="383">
        <f t="shared" si="47"/>
        <v>-568.90042162659893</v>
      </c>
      <c r="Z83" s="383">
        <f t="shared" si="47"/>
        <v>-591.89159655600724</v>
      </c>
      <c r="AA83" s="383">
        <f t="shared" si="47"/>
        <v>-615.81192200902342</v>
      </c>
      <c r="AB83" s="383">
        <f t="shared" si="47"/>
        <v>-640.69894807598121</v>
      </c>
      <c r="AC83" s="383">
        <f t="shared" si="47"/>
        <v>-666.59174237236448</v>
      </c>
      <c r="AD83" s="383">
        <f t="shared" si="47"/>
        <v>-693.53095136708362</v>
      </c>
      <c r="AE83" s="383">
        <f t="shared" si="47"/>
        <v>-721.5588641892432</v>
      </c>
      <c r="AF83" s="383">
        <f t="shared" ref="AF83:AJ83" si="48">SUM(AF55:AF57)-SUM(AF70:AF72)</f>
        <v>-750.71947901354997</v>
      </c>
      <c r="AG83" s="383">
        <f t="shared" si="48"/>
        <v>-781.058572128592</v>
      </c>
      <c r="AH83" s="383">
        <f t="shared" si="48"/>
        <v>-812.62376979636201</v>
      </c>
      <c r="AI83" s="383">
        <f t="shared" si="48"/>
        <v>-845.46462301592055</v>
      </c>
      <c r="AJ83" s="383">
        <f t="shared" si="48"/>
        <v>-879.63268530845289</v>
      </c>
      <c r="AK83" s="383">
        <f t="shared" ref="AK83:AL83" si="49">SUM(AK55:AK57)-SUM(AK70:AK72)</f>
        <v>-915.18159364592384</v>
      </c>
      <c r="AL83" s="383">
        <f t="shared" si="49"/>
        <v>-952.16715265030552</v>
      </c>
    </row>
    <row r="84" spans="1:38">
      <c r="D84" s="358"/>
      <c r="F84" s="464"/>
      <c r="G84" s="465"/>
      <c r="H84" s="465"/>
    </row>
    <row r="85" spans="1:38" ht="13">
      <c r="B85" s="492" t="s">
        <v>284</v>
      </c>
      <c r="C85" s="487" t="s">
        <v>292</v>
      </c>
      <c r="D85" s="488">
        <f>D66-D78</f>
        <v>0</v>
      </c>
      <c r="E85" s="488">
        <f t="shared" ref="E85:AK85" si="50">E66-E78</f>
        <v>0</v>
      </c>
      <c r="F85" s="488">
        <f t="shared" si="50"/>
        <v>0</v>
      </c>
      <c r="G85" s="488">
        <f t="shared" si="50"/>
        <v>0</v>
      </c>
      <c r="H85" s="488">
        <f t="shared" si="50"/>
        <v>-8698.0292962062267</v>
      </c>
      <c r="I85" s="488">
        <f t="shared" si="50"/>
        <v>-9049.5458454793297</v>
      </c>
      <c r="J85" s="488">
        <f t="shared" si="50"/>
        <v>-9415.2683579890436</v>
      </c>
      <c r="K85" s="488">
        <f t="shared" si="50"/>
        <v>-9795.770944376527</v>
      </c>
      <c r="L85" s="488">
        <f t="shared" si="50"/>
        <v>-10191.65091702031</v>
      </c>
      <c r="M85" s="488">
        <f t="shared" si="50"/>
        <v>-10603.52972769639</v>
      </c>
      <c r="N85" s="488">
        <f t="shared" si="50"/>
        <v>-11032.053943132218</v>
      </c>
      <c r="O85" s="488">
        <f t="shared" si="50"/>
        <v>-11477.896259986235</v>
      </c>
      <c r="P85" s="488">
        <f t="shared" si="50"/>
        <v>-11941.75656084597</v>
      </c>
      <c r="Q85" s="488">
        <f t="shared" si="50"/>
        <v>-12424.363012902773</v>
      </c>
      <c r="R85" s="488">
        <f t="shared" si="50"/>
        <v>-12926.473211027391</v>
      </c>
      <c r="S85" s="488">
        <f t="shared" si="50"/>
        <v>-13448.875367041444</v>
      </c>
      <c r="T85" s="488">
        <f t="shared" si="50"/>
        <v>-13992.389547051018</v>
      </c>
      <c r="U85" s="488">
        <f t="shared" si="50"/>
        <v>-14557.868958785075</v>
      </c>
      <c r="V85" s="488">
        <f t="shared" si="50"/>
        <v>-15146.201290959922</v>
      </c>
      <c r="W85" s="488">
        <f t="shared" si="50"/>
        <v>-15758.310106771409</v>
      </c>
      <c r="X85" s="488">
        <f t="shared" si="50"/>
        <v>-16395.156293702945</v>
      </c>
      <c r="Y85" s="488">
        <f t="shared" si="50"/>
        <v>-17057.739571925449</v>
      </c>
      <c r="Z85" s="488">
        <f t="shared" si="50"/>
        <v>-17747.100063656348</v>
      </c>
      <c r="AA85" s="488">
        <f t="shared" si="50"/>
        <v>-18464.319925941949</v>
      </c>
      <c r="AB85" s="488">
        <f t="shared" si="50"/>
        <v>-19210.5250494258</v>
      </c>
      <c r="AC85" s="488">
        <f t="shared" si="50"/>
        <v>-19986.886825770263</v>
      </c>
      <c r="AD85" s="488">
        <f t="shared" si="50"/>
        <v>-20794.623986505227</v>
      </c>
      <c r="AE85" s="488">
        <f t="shared" si="50"/>
        <v>-21635.004516191002</v>
      </c>
      <c r="AF85" s="488">
        <f t="shared" si="50"/>
        <v>-22509.347642898574</v>
      </c>
      <c r="AG85" s="488">
        <f t="shared" si="50"/>
        <v>-23419.025909132048</v>
      </c>
      <c r="AH85" s="488">
        <f t="shared" si="50"/>
        <v>-24365.467326443177</v>
      </c>
      <c r="AI85" s="488">
        <f t="shared" si="50"/>
        <v>-25350.157617122459</v>
      </c>
      <c r="AJ85" s="488">
        <f t="shared" si="50"/>
        <v>-26374.642546483054</v>
      </c>
      <c r="AK85" s="488">
        <f t="shared" si="50"/>
        <v>-27440.530349401291</v>
      </c>
      <c r="AL85" s="488">
        <f t="shared" ref="AL85" si="51">AL66-AL78</f>
        <v>-28549.494254920966</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'900 South'!D25</f>
        <v>668.46047401392207</v>
      </c>
      <c r="E112" s="383">
        <f>'900 South'!E25</f>
        <v>695.47520472462782</v>
      </c>
      <c r="F112" s="383">
        <f>'900 South'!F25</f>
        <v>723.58169134872298</v>
      </c>
      <c r="G112" s="383">
        <f>'900 South'!G25</f>
        <v>752.82405540595175</v>
      </c>
      <c r="H112" s="383">
        <f>'900 South'!H25</f>
        <v>783.24820151471567</v>
      </c>
      <c r="I112" s="383">
        <f>'900 South'!I25</f>
        <v>814.901889453075</v>
      </c>
      <c r="J112" s="383">
        <f>'900 South'!J25</f>
        <v>847.83480913197525</v>
      </c>
      <c r="K112" s="383">
        <f>'900 South'!K25</f>
        <v>882.0986585983926</v>
      </c>
      <c r="L112" s="383">
        <f>'900 South'!L25</f>
        <v>917.74722519084901</v>
      </c>
      <c r="M112" s="383">
        <f>'900 South'!M25</f>
        <v>954.83646997469498</v>
      </c>
      <c r="N112" s="383">
        <f>'900 South'!N25</f>
        <v>993.4246155897041</v>
      </c>
      <c r="O112" s="383">
        <f>'900 South'!O25</f>
        <v>1033.572237647883</v>
      </c>
      <c r="P112" s="383">
        <f>'900 South'!P25</f>
        <v>1075.3423598249763</v>
      </c>
      <c r="Q112" s="383">
        <f>'900 South'!Q25</f>
        <v>1118.8005527949342</v>
      </c>
      <c r="R112" s="383">
        <f>'900 South'!R25</f>
        <v>1164.0150371626573</v>
      </c>
      <c r="S112" s="383">
        <f>'900 South'!S25</f>
        <v>1211.0567905566013</v>
      </c>
      <c r="T112" s="383">
        <f>'900 South'!T25</f>
        <v>1259.9996590493411</v>
      </c>
      <c r="U112" s="383">
        <f>'900 South'!U25</f>
        <v>1310.920473081032</v>
      </c>
      <c r="V112" s="383">
        <f>'900 South'!V25</f>
        <v>1363.8991680677118</v>
      </c>
      <c r="W112" s="383">
        <f>'900 South'!W25</f>
        <v>1419.0189098837964</v>
      </c>
      <c r="X112" s="383">
        <f>'900 South'!X25</f>
        <v>1476.3662254157412</v>
      </c>
      <c r="Y112" s="383">
        <f>'900 South'!Y25</f>
        <v>1536.0311383918174</v>
      </c>
      <c r="Z112" s="383">
        <f>'900 South'!Z25</f>
        <v>1598.1073107012203</v>
      </c>
      <c r="AA112" s="383">
        <f>'900 South'!AA25</f>
        <v>1662.6921894243637</v>
      </c>
      <c r="AB112" s="383">
        <f>'900 South'!AB25</f>
        <v>1729.887159805151</v>
      </c>
      <c r="AC112" s="383">
        <f>'900 South'!AC25</f>
        <v>1799.7977044053841</v>
      </c>
      <c r="AD112" s="383">
        <f>'900 South'!AD25</f>
        <v>1872.533568691123</v>
      </c>
      <c r="AE112" s="383">
        <f>'900 South'!AE25</f>
        <v>1948.2089333109525</v>
      </c>
      <c r="AF112" s="383">
        <f>'900 South'!AF25</f>
        <v>2026.9425933365878</v>
      </c>
      <c r="AG112" s="383">
        <f>'900 South'!AG25</f>
        <v>2108.8581447471961</v>
      </c>
      <c r="AH112" s="383">
        <f>'900 South'!AH25</f>
        <v>2194.0841784501818</v>
      </c>
      <c r="AI112" s="383">
        <f>'900 South'!AI25</f>
        <v>2282.7544821429869</v>
      </c>
      <c r="AJ112" s="383">
        <f>'900 South'!AJ25</f>
        <v>2375.0082503328254</v>
      </c>
      <c r="AK112" s="383">
        <f>'900 South'!AK25</f>
        <v>2470.9903028439935</v>
      </c>
      <c r="AL112" s="383">
        <f>'900 South'!AL25</f>
        <v>2570.8513121558253</v>
      </c>
    </row>
    <row r="113" spans="1:38">
      <c r="B113" s="385" t="s">
        <v>509</v>
      </c>
      <c r="C113" s="386" t="s">
        <v>443</v>
      </c>
      <c r="D113" s="383">
        <f>'900 South'!D26</f>
        <v>74.273386001546896</v>
      </c>
      <c r="E113" s="383">
        <f>'900 South'!E26</f>
        <v>77.27502274718087</v>
      </c>
      <c r="F113" s="383">
        <f>'900 South'!F26</f>
        <v>80.397965705413668</v>
      </c>
      <c r="G113" s="383">
        <f>'900 South'!G26</f>
        <v>83.647117267327985</v>
      </c>
      <c r="H113" s="383">
        <f>'900 South'!H26</f>
        <v>87.027577946079532</v>
      </c>
      <c r="I113" s="383">
        <f>'900 South'!I26</f>
        <v>90.544654383674995</v>
      </c>
      <c r="J113" s="383">
        <f>'900 South'!J26</f>
        <v>94.203867681330593</v>
      </c>
      <c r="K113" s="383">
        <f>'900 South'!K26</f>
        <v>98.010962066488062</v>
      </c>
      <c r="L113" s="383">
        <f>'900 South'!L26</f>
        <v>101.97191391009434</v>
      </c>
      <c r="M113" s="383">
        <f>'900 South'!M26</f>
        <v>106.09294110829944</v>
      </c>
      <c r="N113" s="383">
        <f>'900 South'!N26</f>
        <v>110.38051284330045</v>
      </c>
      <c r="O113" s="383">
        <f>'900 South'!O26</f>
        <v>114.84135973865367</v>
      </c>
      <c r="P113" s="383">
        <f>'900 South'!P26</f>
        <v>119.48248442499735</v>
      </c>
      <c r="Q113" s="383">
        <f>'900 South'!Q26</f>
        <v>124.31117253277046</v>
      </c>
      <c r="R113" s="383">
        <f>'900 South'!R26</f>
        <v>129.33500412918417</v>
      </c>
      <c r="S113" s="383">
        <f>'900 South'!S26</f>
        <v>134.56186561740014</v>
      </c>
      <c r="T113" s="383">
        <f>'900 South'!T26</f>
        <v>139.99996211659345</v>
      </c>
      <c r="U113" s="383">
        <f>'900 South'!U26</f>
        <v>145.65783034233689</v>
      </c>
      <c r="V113" s="383">
        <f>'900 South'!V26</f>
        <v>151.54435200752354</v>
      </c>
      <c r="W113" s="383">
        <f>'900 South'!W26</f>
        <v>157.66876776486629</v>
      </c>
      <c r="X113" s="383">
        <f>'900 South'!X26</f>
        <v>164.04069171286014</v>
      </c>
      <c r="Y113" s="383">
        <f>'900 South'!Y26</f>
        <v>170.6701264879797</v>
      </c>
      <c r="Z113" s="383">
        <f>'900 South'!Z26</f>
        <v>177.56747896680224</v>
      </c>
      <c r="AA113" s="383">
        <f>'900 South'!AA26</f>
        <v>184.74357660270709</v>
      </c>
      <c r="AB113" s="383">
        <f>'900 South'!AB26</f>
        <v>192.20968442279457</v>
      </c>
      <c r="AC113" s="383">
        <f>'900 South'!AC26</f>
        <v>199.97752271170936</v>
      </c>
      <c r="AD113" s="383">
        <f>'900 South'!AD26</f>
        <v>208.05928541012477</v>
      </c>
      <c r="AE113" s="383">
        <f>'900 South'!AE26</f>
        <v>216.46765925677252</v>
      </c>
      <c r="AF113" s="383">
        <f>'900 South'!AF26</f>
        <v>225.21584370406532</v>
      </c>
      <c r="AG113" s="383">
        <f>'900 South'!AG26</f>
        <v>234.31757163857733</v>
      </c>
      <c r="AH113" s="383">
        <f>'900 South'!AH26</f>
        <v>243.78713093890906</v>
      </c>
      <c r="AI113" s="383">
        <f>'900 South'!AI26</f>
        <v>253.6393869047763</v>
      </c>
      <c r="AJ113" s="383">
        <f>'900 South'!AJ26</f>
        <v>263.88980559253616</v>
      </c>
      <c r="AK113" s="383">
        <f>'900 South'!AK26</f>
        <v>274.55447809377705</v>
      </c>
      <c r="AL113" s="383">
        <f>'900 South'!AL26</f>
        <v>285.6501457950917</v>
      </c>
    </row>
    <row r="114" spans="1:38">
      <c r="B114" s="358" t="s">
        <v>769</v>
      </c>
      <c r="C114" s="358" t="s">
        <v>443</v>
      </c>
      <c r="D114" s="383">
        <f>'900 South'!D27</f>
        <v>0</v>
      </c>
      <c r="E114" s="383">
        <f>'900 South'!E27</f>
        <v>0</v>
      </c>
      <c r="F114" s="383">
        <f>'900 South'!F27</f>
        <v>0</v>
      </c>
      <c r="G114" s="383">
        <f>'900 South'!G27</f>
        <v>0</v>
      </c>
      <c r="H114" s="383">
        <f>'900 South'!H27</f>
        <v>0</v>
      </c>
      <c r="I114" s="383">
        <f>'900 South'!I27</f>
        <v>0</v>
      </c>
      <c r="J114" s="383">
        <f>'900 South'!J27</f>
        <v>0</v>
      </c>
      <c r="K114" s="383">
        <f>'900 South'!K27</f>
        <v>0</v>
      </c>
      <c r="L114" s="383">
        <f>'900 South'!L27</f>
        <v>0</v>
      </c>
      <c r="M114" s="383">
        <f>'900 South'!M27</f>
        <v>0</v>
      </c>
      <c r="N114" s="383">
        <f>'900 South'!N27</f>
        <v>0</v>
      </c>
      <c r="O114" s="383">
        <f>'900 South'!O27</f>
        <v>0</v>
      </c>
      <c r="P114" s="383">
        <f>'900 South'!P27</f>
        <v>0</v>
      </c>
      <c r="Q114" s="383">
        <f>'900 South'!Q27</f>
        <v>0</v>
      </c>
      <c r="R114" s="383">
        <f>'900 South'!R27</f>
        <v>0</v>
      </c>
      <c r="S114" s="383">
        <f>'900 South'!S27</f>
        <v>0</v>
      </c>
      <c r="T114" s="383">
        <f>'900 South'!T27</f>
        <v>0</v>
      </c>
      <c r="U114" s="383">
        <f>'900 South'!U27</f>
        <v>0</v>
      </c>
      <c r="V114" s="383">
        <f>'900 South'!V27</f>
        <v>0</v>
      </c>
      <c r="W114" s="383">
        <f>'900 South'!W27</f>
        <v>0</v>
      </c>
      <c r="X114" s="383">
        <f>'900 South'!X27</f>
        <v>0</v>
      </c>
      <c r="Y114" s="383">
        <f>'900 South'!Y27</f>
        <v>0</v>
      </c>
      <c r="Z114" s="383">
        <f>'900 South'!Z27</f>
        <v>0</v>
      </c>
      <c r="AA114" s="383">
        <f>'900 South'!AA27</f>
        <v>0</v>
      </c>
      <c r="AB114" s="383">
        <f>'900 South'!AB27</f>
        <v>0</v>
      </c>
      <c r="AC114" s="383">
        <f>'900 South'!AC27</f>
        <v>0</v>
      </c>
      <c r="AD114" s="383">
        <f>'900 South'!AD27</f>
        <v>0</v>
      </c>
      <c r="AE114" s="383">
        <f>'900 South'!AE27</f>
        <v>0</v>
      </c>
      <c r="AF114" s="383">
        <f>'900 South'!AF27</f>
        <v>0</v>
      </c>
      <c r="AG114" s="383">
        <f>'900 South'!AG27</f>
        <v>0</v>
      </c>
      <c r="AH114" s="383">
        <f>'900 South'!AH27</f>
        <v>0</v>
      </c>
      <c r="AI114" s="383">
        <f>'900 South'!AI27</f>
        <v>0</v>
      </c>
      <c r="AJ114" s="383">
        <f>'900 South'!AJ27</f>
        <v>0</v>
      </c>
      <c r="AK114" s="383">
        <f>'900 South'!AK27</f>
        <v>0</v>
      </c>
      <c r="AL114" s="383">
        <f>'900 South'!AL27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2">(D$112*D90+D$113*D95+D$114*D100)/Grams.Per.Metric.Ton*D105</f>
        <v>117.22055550199667</v>
      </c>
      <c r="E116" s="582">
        <f t="shared" si="52"/>
        <v>122.96194407832331</v>
      </c>
      <c r="F116" s="582">
        <f t="shared" si="52"/>
        <v>128.92328310739492</v>
      </c>
      <c r="G116" s="582">
        <f t="shared" si="52"/>
        <v>135.1108453176391</v>
      </c>
      <c r="H116" s="582">
        <f t="shared" si="52"/>
        <v>141.53096520684267</v>
      </c>
      <c r="I116" s="582">
        <f t="shared" si="52"/>
        <v>148.19003031423054</v>
      </c>
      <c r="J116" s="582">
        <f t="shared" si="52"/>
        <v>155.09447154575358</v>
      </c>
      <c r="K116" s="582">
        <f t="shared" si="52"/>
        <v>162.25075248462539</v>
      </c>
      <c r="L116" s="582">
        <f t="shared" si="52"/>
        <v>169.66535761499449</v>
      </c>
      <c r="M116" s="582">
        <f t="shared" si="52"/>
        <v>177.3447793822142</v>
      </c>
      <c r="N116" s="582">
        <f t="shared" si="52"/>
        <v>184.97185608334951</v>
      </c>
      <c r="O116" s="582">
        <f t="shared" si="52"/>
        <v>192.83967854896923</v>
      </c>
      <c r="P116" s="582">
        <f t="shared" si="52"/>
        <v>200.95176987280698</v>
      </c>
      <c r="Q116" s="582">
        <f t="shared" si="52"/>
        <v>212.53157957321952</v>
      </c>
      <c r="R116" s="582">
        <f t="shared" si="52"/>
        <v>221.22341683161878</v>
      </c>
      <c r="S116" s="582">
        <f t="shared" si="52"/>
        <v>230.16981098600482</v>
      </c>
      <c r="T116" s="582">
        <f t="shared" si="52"/>
        <v>239.37306505974811</v>
      </c>
      <c r="U116" s="582">
        <f t="shared" si="52"/>
        <v>248.8350877398928</v>
      </c>
      <c r="V116" s="582">
        <f t="shared" si="52"/>
        <v>258.55735108556519</v>
      </c>
      <c r="W116" s="582">
        <f t="shared" si="52"/>
        <v>268.54084519311004</v>
      </c>
      <c r="X116" s="582">
        <f t="shared" si="52"/>
        <v>280.30784557182255</v>
      </c>
      <c r="Y116" s="582">
        <f t="shared" si="52"/>
        <v>296.45553574232019</v>
      </c>
      <c r="Z116" s="582">
        <f t="shared" si="52"/>
        <v>309.20615083324037</v>
      </c>
      <c r="AA116" s="582">
        <f t="shared" si="52"/>
        <v>322.41165445709942</v>
      </c>
      <c r="AB116" s="582">
        <f t="shared" si="52"/>
        <v>336.08429036574</v>
      </c>
      <c r="AC116" s="582">
        <f t="shared" si="52"/>
        <v>350.23639951908069</v>
      </c>
      <c r="AD116" s="582">
        <f t="shared" si="52"/>
        <v>364.88040190446543</v>
      </c>
      <c r="AE116" s="582">
        <f t="shared" si="52"/>
        <v>380.02877648365643</v>
      </c>
      <c r="AF116" s="582">
        <f t="shared" si="52"/>
        <v>400.51957619856887</v>
      </c>
      <c r="AG116" s="582">
        <f t="shared" si="52"/>
        <v>416.85123313806588</v>
      </c>
      <c r="AH116" s="582">
        <f t="shared" si="52"/>
        <v>433.69759017400327</v>
      </c>
      <c r="AI116" s="582">
        <f t="shared" si="52"/>
        <v>451.22476502411803</v>
      </c>
      <c r="AJ116" s="582">
        <f t="shared" si="52"/>
        <v>469.46027182070134</v>
      </c>
      <c r="AK116" s="582">
        <f t="shared" si="52"/>
        <v>488.43273663444967</v>
      </c>
      <c r="AL116" s="582">
        <f t="shared" si="52"/>
        <v>508.17194241163071</v>
      </c>
    </row>
    <row r="117" spans="1:38">
      <c r="B117" s="478" t="s">
        <v>709</v>
      </c>
      <c r="C117" s="484" t="s">
        <v>292</v>
      </c>
      <c r="D117" s="582">
        <f t="shared" ref="D117:AL117" si="53">(D$112*D91+D$113*D96+D$114*D101)/Grams.Per.Metric.Ton*D106</f>
        <v>107.7683546961367</v>
      </c>
      <c r="E117" s="582">
        <f t="shared" si="53"/>
        <v>105.46657350907547</v>
      </c>
      <c r="F117" s="582">
        <f t="shared" si="53"/>
        <v>103.22361467889812</v>
      </c>
      <c r="G117" s="582">
        <f t="shared" si="53"/>
        <v>99.701063099174505</v>
      </c>
      <c r="H117" s="582">
        <f t="shared" si="53"/>
        <v>95.499477762283846</v>
      </c>
      <c r="I117" s="582">
        <f t="shared" si="53"/>
        <v>90.560605321191517</v>
      </c>
      <c r="J117" s="582">
        <f t="shared" si="53"/>
        <v>85.315376825356864</v>
      </c>
      <c r="K117" s="582">
        <f t="shared" si="53"/>
        <v>78.667433090238887</v>
      </c>
      <c r="L117" s="582">
        <f t="shared" si="53"/>
        <v>71.07832684952956</v>
      </c>
      <c r="M117" s="582">
        <f t="shared" si="53"/>
        <v>62.82116221847037</v>
      </c>
      <c r="N117" s="582">
        <f t="shared" si="53"/>
        <v>60.909288773162125</v>
      </c>
      <c r="O117" s="582">
        <f t="shared" si="53"/>
        <v>58.740282895086196</v>
      </c>
      <c r="P117" s="582">
        <f t="shared" si="53"/>
        <v>56.296483962295042</v>
      </c>
      <c r="Q117" s="582">
        <f t="shared" si="53"/>
        <v>53.55922386165355</v>
      </c>
      <c r="R117" s="582">
        <f t="shared" si="53"/>
        <v>50.508774400658297</v>
      </c>
      <c r="S117" s="582">
        <f t="shared" si="53"/>
        <v>47.12429211421243</v>
      </c>
      <c r="T117" s="582">
        <f t="shared" si="53"/>
        <v>43.383760341657499</v>
      </c>
      <c r="U117" s="582">
        <f t="shared" si="53"/>
        <v>39.263928443609075</v>
      </c>
      <c r="V117" s="582">
        <f t="shared" si="53"/>
        <v>34.740248021986915</v>
      </c>
      <c r="W117" s="582">
        <f t="shared" si="53"/>
        <v>29.786806000314698</v>
      </c>
      <c r="X117" s="582">
        <f t="shared" si="53"/>
        <v>30.801776214211767</v>
      </c>
      <c r="Y117" s="582">
        <f t="shared" si="53"/>
        <v>31.850134150032748</v>
      </c>
      <c r="Z117" s="582">
        <f t="shared" si="53"/>
        <v>32.932920738285915</v>
      </c>
      <c r="AA117" s="582">
        <f t="shared" si="53"/>
        <v>34.051206514328982</v>
      </c>
      <c r="AB117" s="582">
        <f t="shared" si="53"/>
        <v>35.206092311143159</v>
      </c>
      <c r="AC117" s="582">
        <f t="shared" si="53"/>
        <v>36.398709959750413</v>
      </c>
      <c r="AD117" s="582">
        <f t="shared" si="53"/>
        <v>37.630222996759336</v>
      </c>
      <c r="AE117" s="582">
        <f t="shared" si="53"/>
        <v>38.901827378472269</v>
      </c>
      <c r="AF117" s="582">
        <f t="shared" si="53"/>
        <v>40.214752200929141</v>
      </c>
      <c r="AG117" s="582">
        <f t="shared" si="53"/>
        <v>41.57026042520058</v>
      </c>
      <c r="AH117" s="582">
        <f t="shared" si="53"/>
        <v>43.250254134054217</v>
      </c>
      <c r="AI117" s="582">
        <f t="shared" si="53"/>
        <v>44.998142025742361</v>
      </c>
      <c r="AJ117" s="582">
        <f t="shared" si="53"/>
        <v>46.816667932005913</v>
      </c>
      <c r="AK117" s="582">
        <f t="shared" si="53"/>
        <v>48.708686572032946</v>
      </c>
      <c r="AL117" s="582">
        <f t="shared" si="53"/>
        <v>50.677168033792853</v>
      </c>
    </row>
    <row r="118" spans="1:38">
      <c r="B118" s="478" t="s">
        <v>710</v>
      </c>
      <c r="C118" s="484" t="s">
        <v>292</v>
      </c>
      <c r="D118" s="582">
        <f t="shared" ref="D118:AL118" si="54">(D$112*D92+D$113*D97+D$114*D102)/Grams.Per.Metric.Ton*D107</f>
        <v>175.44107881697261</v>
      </c>
      <c r="E118" s="582">
        <f t="shared" si="54"/>
        <v>173.87700826954404</v>
      </c>
      <c r="F118" s="582">
        <f t="shared" si="54"/>
        <v>171.53426062916643</v>
      </c>
      <c r="G118" s="582">
        <f t="shared" si="54"/>
        <v>168.300824736934</v>
      </c>
      <c r="H118" s="582">
        <f t="shared" si="54"/>
        <v>164.08102546569603</v>
      </c>
      <c r="I118" s="582">
        <f t="shared" si="54"/>
        <v>158.14466406519247</v>
      </c>
      <c r="J118" s="582">
        <f t="shared" si="54"/>
        <v>151.0788108752719</v>
      </c>
      <c r="K118" s="582">
        <f t="shared" si="54"/>
        <v>142.75725223627873</v>
      </c>
      <c r="L118" s="582">
        <f t="shared" si="54"/>
        <v>133.08239024038909</v>
      </c>
      <c r="M118" s="582">
        <f t="shared" si="54"/>
        <v>121.91362290492772</v>
      </c>
      <c r="N118" s="582">
        <f t="shared" si="54"/>
        <v>117.43925050014462</v>
      </c>
      <c r="O118" s="582">
        <f t="shared" si="54"/>
        <v>112.40411517140299</v>
      </c>
      <c r="P118" s="582">
        <f t="shared" si="54"/>
        <v>106.77020001684477</v>
      </c>
      <c r="Q118" s="582">
        <f t="shared" si="54"/>
        <v>100.49733121353049</v>
      </c>
      <c r="R118" s="582">
        <f t="shared" si="54"/>
        <v>93.543065771280766</v>
      </c>
      <c r="S118" s="582">
        <f t="shared" si="54"/>
        <v>85.862573736841441</v>
      </c>
      <c r="T118" s="582">
        <f t="shared" si="54"/>
        <v>77.408514583045161</v>
      </c>
      <c r="U118" s="582">
        <f t="shared" si="54"/>
        <v>68.130907505443133</v>
      </c>
      <c r="V118" s="582">
        <f t="shared" si="54"/>
        <v>57.97699533577655</v>
      </c>
      <c r="W118" s="582">
        <f t="shared" si="54"/>
        <v>46.891101768222576</v>
      </c>
      <c r="X118" s="582">
        <f t="shared" si="54"/>
        <v>47.634008484956254</v>
      </c>
      <c r="Y118" s="582">
        <f t="shared" si="54"/>
        <v>48.360377518042711</v>
      </c>
      <c r="Z118" s="582">
        <f t="shared" si="54"/>
        <v>49.067658836466485</v>
      </c>
      <c r="AA118" s="582">
        <f t="shared" si="54"/>
        <v>49.753123308587263</v>
      </c>
      <c r="AB118" s="582">
        <f t="shared" si="54"/>
        <v>50.413852390836404</v>
      </c>
      <c r="AC118" s="582">
        <f t="shared" si="54"/>
        <v>51.046727275498071</v>
      </c>
      <c r="AD118" s="582">
        <f t="shared" si="54"/>
        <v>51.648417470699137</v>
      </c>
      <c r="AE118" s="582">
        <f t="shared" si="54"/>
        <v>52.215368784431668</v>
      </c>
      <c r="AF118" s="582">
        <f t="shared" si="54"/>
        <v>52.743790683099363</v>
      </c>
      <c r="AG118" s="582">
        <f t="shared" si="54"/>
        <v>53.229642993649435</v>
      </c>
      <c r="AH118" s="582">
        <f t="shared" si="54"/>
        <v>55.380831474047902</v>
      </c>
      <c r="AI118" s="582">
        <f t="shared" si="54"/>
        <v>57.618956699048425</v>
      </c>
      <c r="AJ118" s="582">
        <f t="shared" si="54"/>
        <v>59.947532074208453</v>
      </c>
      <c r="AK118" s="582">
        <f t="shared" si="54"/>
        <v>62.370212993592745</v>
      </c>
      <c r="AL118" s="582">
        <f t="shared" si="54"/>
        <v>64.890802578005761</v>
      </c>
    </row>
    <row r="119" spans="1:38">
      <c r="B119" s="478" t="s">
        <v>711</v>
      </c>
      <c r="C119" s="484" t="s">
        <v>292</v>
      </c>
      <c r="D119" s="582">
        <f t="shared" ref="D119:AL119" si="55">(D$112*D93+D$113*D98+D$114*D103)/Grams.Per.Metric.Ton*D108</f>
        <v>0.68031783311082761</v>
      </c>
      <c r="E119" s="582">
        <f t="shared" si="55"/>
        <v>0.7137171444133712</v>
      </c>
      <c r="F119" s="582">
        <f t="shared" si="55"/>
        <v>0.75014077897670595</v>
      </c>
      <c r="G119" s="582">
        <f t="shared" si="55"/>
        <v>0.78798151065489863</v>
      </c>
      <c r="H119" s="582">
        <f t="shared" si="55"/>
        <v>0.82912639821159551</v>
      </c>
      <c r="I119" s="582">
        <f t="shared" si="55"/>
        <v>0.86427741725388518</v>
      </c>
      <c r="J119" s="582">
        <f t="shared" si="55"/>
        <v>0.90259787447145334</v>
      </c>
      <c r="K119" s="582">
        <f t="shared" si="55"/>
        <v>0.94227486977468367</v>
      </c>
      <c r="L119" s="582">
        <f t="shared" si="55"/>
        <v>0.98334215685574189</v>
      </c>
      <c r="M119" s="582">
        <f t="shared" si="55"/>
        <v>1.0237095855740255</v>
      </c>
      <c r="N119" s="582">
        <f t="shared" si="55"/>
        <v>1.0509925228104804</v>
      </c>
      <c r="O119" s="582">
        <f t="shared" si="55"/>
        <v>1.0788086874030669</v>
      </c>
      <c r="P119" s="582">
        <f t="shared" si="55"/>
        <v>1.107156618799914</v>
      </c>
      <c r="Q119" s="582">
        <f t="shared" si="55"/>
        <v>1.1360338675096746</v>
      </c>
      <c r="R119" s="582">
        <f t="shared" si="55"/>
        <v>1.1654369175542338</v>
      </c>
      <c r="S119" s="582">
        <f t="shared" si="55"/>
        <v>1.1953611042686987</v>
      </c>
      <c r="T119" s="582">
        <f t="shared" si="55"/>
        <v>1.2258005271992476</v>
      </c>
      <c r="U119" s="582">
        <f t="shared" si="55"/>
        <v>1.2567479578369025</v>
      </c>
      <c r="V119" s="582">
        <f t="shared" si="55"/>
        <v>1.2881947419120447</v>
      </c>
      <c r="W119" s="582">
        <f t="shared" si="55"/>
        <v>1.3201306959607586</v>
      </c>
      <c r="X119" s="582">
        <f t="shared" si="55"/>
        <v>1.3599457591524999</v>
      </c>
      <c r="Y119" s="582">
        <f t="shared" si="55"/>
        <v>1.4008228536154244</v>
      </c>
      <c r="Z119" s="582">
        <f t="shared" si="55"/>
        <v>1.4427827923182044</v>
      </c>
      <c r="AA119" s="582">
        <f t="shared" si="55"/>
        <v>1.4858463359221268</v>
      </c>
      <c r="AB119" s="582">
        <f t="shared" si="55"/>
        <v>1.530034154560677</v>
      </c>
      <c r="AC119" s="582">
        <f t="shared" si="55"/>
        <v>1.5753667866153411</v>
      </c>
      <c r="AD119" s="582">
        <f t="shared" si="55"/>
        <v>1.62186459430728</v>
      </c>
      <c r="AE119" s="582">
        <f t="shared" si="55"/>
        <v>1.6695477159147398</v>
      </c>
      <c r="AF119" s="582">
        <f t="shared" si="55"/>
        <v>1.7184360144161346</v>
      </c>
      <c r="AG119" s="582">
        <f t="shared" si="55"/>
        <v>1.7685490223478275</v>
      </c>
      <c r="AH119" s="582">
        <f t="shared" si="55"/>
        <v>1.8400220225396291</v>
      </c>
      <c r="AI119" s="582">
        <f t="shared" si="55"/>
        <v>1.914383486490062</v>
      </c>
      <c r="AJ119" s="582">
        <f t="shared" si="55"/>
        <v>1.9917501467115826</v>
      </c>
      <c r="AK119" s="582">
        <f t="shared" si="55"/>
        <v>2.0722434532691523</v>
      </c>
      <c r="AL119" s="582">
        <f t="shared" si="55"/>
        <v>2.1559897644323804</v>
      </c>
    </row>
    <row r="120" spans="1:38">
      <c r="D120" s="358"/>
      <c r="F120" s="464"/>
      <c r="G120" s="465"/>
      <c r="H120" s="465"/>
    </row>
    <row r="121" spans="1:38" ht="13">
      <c r="B121" s="493" t="s">
        <v>463</v>
      </c>
      <c r="C121" s="487" t="s">
        <v>292</v>
      </c>
      <c r="D121" s="488">
        <f t="shared" ref="D121:AL121" si="56">D116</f>
        <v>117.22055550199667</v>
      </c>
      <c r="E121" s="488">
        <f t="shared" si="56"/>
        <v>122.96194407832331</v>
      </c>
      <c r="F121" s="488">
        <f t="shared" si="56"/>
        <v>128.92328310739492</v>
      </c>
      <c r="G121" s="488">
        <f t="shared" si="56"/>
        <v>135.1108453176391</v>
      </c>
      <c r="H121" s="488">
        <f t="shared" si="56"/>
        <v>141.53096520684267</v>
      </c>
      <c r="I121" s="488">
        <f t="shared" si="56"/>
        <v>148.19003031423054</v>
      </c>
      <c r="J121" s="488">
        <f t="shared" si="56"/>
        <v>155.09447154575358</v>
      </c>
      <c r="K121" s="488">
        <f t="shared" si="56"/>
        <v>162.25075248462539</v>
      </c>
      <c r="L121" s="488">
        <f t="shared" si="56"/>
        <v>169.66535761499449</v>
      </c>
      <c r="M121" s="488">
        <f t="shared" si="56"/>
        <v>177.3447793822142</v>
      </c>
      <c r="N121" s="488">
        <f t="shared" si="56"/>
        <v>184.97185608334951</v>
      </c>
      <c r="O121" s="488">
        <f t="shared" si="56"/>
        <v>192.83967854896923</v>
      </c>
      <c r="P121" s="488">
        <f t="shared" si="56"/>
        <v>200.95176987280698</v>
      </c>
      <c r="Q121" s="488">
        <f t="shared" si="56"/>
        <v>212.53157957321952</v>
      </c>
      <c r="R121" s="488">
        <f t="shared" si="56"/>
        <v>221.22341683161878</v>
      </c>
      <c r="S121" s="488">
        <f t="shared" si="56"/>
        <v>230.16981098600482</v>
      </c>
      <c r="T121" s="488">
        <f t="shared" si="56"/>
        <v>239.37306505974811</v>
      </c>
      <c r="U121" s="488">
        <f t="shared" si="56"/>
        <v>248.8350877398928</v>
      </c>
      <c r="V121" s="488">
        <f t="shared" si="56"/>
        <v>258.55735108556519</v>
      </c>
      <c r="W121" s="488">
        <f t="shared" si="56"/>
        <v>268.54084519311004</v>
      </c>
      <c r="X121" s="488">
        <f t="shared" si="56"/>
        <v>280.30784557182255</v>
      </c>
      <c r="Y121" s="488">
        <f t="shared" si="56"/>
        <v>296.45553574232019</v>
      </c>
      <c r="Z121" s="488">
        <f t="shared" si="56"/>
        <v>309.20615083324037</v>
      </c>
      <c r="AA121" s="488">
        <f t="shared" si="56"/>
        <v>322.41165445709942</v>
      </c>
      <c r="AB121" s="488">
        <f t="shared" si="56"/>
        <v>336.08429036574</v>
      </c>
      <c r="AC121" s="488">
        <f t="shared" si="56"/>
        <v>350.23639951908069</v>
      </c>
      <c r="AD121" s="488">
        <f t="shared" si="56"/>
        <v>364.88040190446543</v>
      </c>
      <c r="AE121" s="488">
        <f t="shared" si="56"/>
        <v>380.02877648365643</v>
      </c>
      <c r="AF121" s="488">
        <f t="shared" si="56"/>
        <v>400.51957619856887</v>
      </c>
      <c r="AG121" s="488">
        <f t="shared" si="56"/>
        <v>416.85123313806588</v>
      </c>
      <c r="AH121" s="488">
        <f t="shared" si="56"/>
        <v>433.69759017400327</v>
      </c>
      <c r="AI121" s="488">
        <f t="shared" si="56"/>
        <v>451.22476502411803</v>
      </c>
      <c r="AJ121" s="488">
        <f t="shared" si="56"/>
        <v>469.46027182070134</v>
      </c>
      <c r="AK121" s="488">
        <f t="shared" si="56"/>
        <v>488.43273663444967</v>
      </c>
      <c r="AL121" s="488">
        <f t="shared" si="56"/>
        <v>508.17194241163071</v>
      </c>
    </row>
    <row r="122" spans="1:38" ht="13">
      <c r="B122" s="494" t="s">
        <v>464</v>
      </c>
      <c r="C122" s="487" t="s">
        <v>292</v>
      </c>
      <c r="D122" s="488">
        <f t="shared" ref="D122:AL122" si="57">SUM(D116:D119)</f>
        <v>401.11030684821685</v>
      </c>
      <c r="E122" s="488">
        <f t="shared" si="57"/>
        <v>403.01924300135619</v>
      </c>
      <c r="F122" s="488">
        <f t="shared" si="57"/>
        <v>404.43129919443612</v>
      </c>
      <c r="G122" s="488">
        <f t="shared" si="57"/>
        <v>403.90071466440253</v>
      </c>
      <c r="H122" s="488">
        <f t="shared" si="57"/>
        <v>401.94059483303414</v>
      </c>
      <c r="I122" s="488">
        <f t="shared" si="57"/>
        <v>397.75957711786839</v>
      </c>
      <c r="J122" s="488">
        <f t="shared" si="57"/>
        <v>392.39125712085377</v>
      </c>
      <c r="K122" s="488">
        <f t="shared" si="57"/>
        <v>384.61771268091769</v>
      </c>
      <c r="L122" s="488">
        <f t="shared" si="57"/>
        <v>374.80941686176891</v>
      </c>
      <c r="M122" s="488">
        <f t="shared" si="57"/>
        <v>363.10327409118628</v>
      </c>
      <c r="N122" s="488">
        <f t="shared" si="57"/>
        <v>364.37138787946674</v>
      </c>
      <c r="O122" s="488">
        <f t="shared" si="57"/>
        <v>365.0628853028615</v>
      </c>
      <c r="P122" s="488">
        <f t="shared" si="57"/>
        <v>365.12561047074672</v>
      </c>
      <c r="Q122" s="488">
        <f t="shared" si="57"/>
        <v>367.72416851591322</v>
      </c>
      <c r="R122" s="488">
        <f t="shared" si="57"/>
        <v>366.44069392111209</v>
      </c>
      <c r="S122" s="488">
        <f t="shared" si="57"/>
        <v>364.35203794132735</v>
      </c>
      <c r="T122" s="488">
        <f t="shared" si="57"/>
        <v>361.39114051164995</v>
      </c>
      <c r="U122" s="488">
        <f t="shared" si="57"/>
        <v>357.48667164678193</v>
      </c>
      <c r="V122" s="488">
        <f t="shared" si="57"/>
        <v>352.56278918524072</v>
      </c>
      <c r="W122" s="488">
        <f t="shared" si="57"/>
        <v>346.5388836576081</v>
      </c>
      <c r="X122" s="488">
        <f t="shared" si="57"/>
        <v>360.10357603014307</v>
      </c>
      <c r="Y122" s="488">
        <f t="shared" si="57"/>
        <v>378.06687026401107</v>
      </c>
      <c r="Z122" s="488">
        <f t="shared" si="57"/>
        <v>392.64951320031099</v>
      </c>
      <c r="AA122" s="488">
        <f t="shared" si="57"/>
        <v>407.70183061593781</v>
      </c>
      <c r="AB122" s="488">
        <f t="shared" si="57"/>
        <v>423.2342692222802</v>
      </c>
      <c r="AC122" s="488">
        <f t="shared" si="57"/>
        <v>439.25720354094454</v>
      </c>
      <c r="AD122" s="488">
        <f t="shared" si="57"/>
        <v>455.78090696623121</v>
      </c>
      <c r="AE122" s="488">
        <f t="shared" si="57"/>
        <v>472.81552036247513</v>
      </c>
      <c r="AF122" s="488">
        <f t="shared" si="57"/>
        <v>495.19655509701346</v>
      </c>
      <c r="AG122" s="488">
        <f t="shared" si="57"/>
        <v>513.41968557926373</v>
      </c>
      <c r="AH122" s="488">
        <f t="shared" si="57"/>
        <v>534.16869780464503</v>
      </c>
      <c r="AI122" s="488">
        <f t="shared" si="57"/>
        <v>555.75624723539886</v>
      </c>
      <c r="AJ122" s="488">
        <f t="shared" si="57"/>
        <v>578.21622197362728</v>
      </c>
      <c r="AK122" s="488">
        <f t="shared" si="57"/>
        <v>601.58387965334452</v>
      </c>
      <c r="AL122" s="488">
        <f t="shared" si="57"/>
        <v>625.8959027878617</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'900 South'!D48</f>
        <v>668.46047401392207</v>
      </c>
      <c r="E126" s="383">
        <f>'900 South'!E48</f>
        <v>695.47520472462782</v>
      </c>
      <c r="F126" s="383">
        <f>'900 South'!F48</f>
        <v>723.58169134872298</v>
      </c>
      <c r="G126" s="383">
        <f>'900 South'!G48</f>
        <v>752.82405540595175</v>
      </c>
      <c r="H126" s="383">
        <f>'900 South'!H48</f>
        <v>1044.3309353529546</v>
      </c>
      <c r="I126" s="383">
        <f>'900 South'!I48</f>
        <v>1086.5358526041002</v>
      </c>
      <c r="J126" s="383">
        <f>'900 South'!J48</f>
        <v>1130.4464121759672</v>
      </c>
      <c r="K126" s="383">
        <f>'900 South'!K48</f>
        <v>1176.1315447978568</v>
      </c>
      <c r="L126" s="383">
        <f>'900 South'!L48</f>
        <v>1223.6629669211318</v>
      </c>
      <c r="M126" s="383">
        <f>'900 South'!M48</f>
        <v>1273.1152932995933</v>
      </c>
      <c r="N126" s="383">
        <f>'900 South'!N48</f>
        <v>1324.5661541196052</v>
      </c>
      <c r="O126" s="383">
        <f>'900 South'!O48</f>
        <v>1378.0963168638441</v>
      </c>
      <c r="P126" s="383">
        <f>'900 South'!P48</f>
        <v>1433.7898130999681</v>
      </c>
      <c r="Q126" s="383">
        <f>'900 South'!Q48</f>
        <v>1491.7340703932455</v>
      </c>
      <c r="R126" s="383">
        <f>'900 South'!R48</f>
        <v>1552.0200495502097</v>
      </c>
      <c r="S126" s="383">
        <f>'900 South'!S48</f>
        <v>1614.7423874088013</v>
      </c>
      <c r="T126" s="383">
        <f>'900 South'!T48</f>
        <v>1679.9995453991216</v>
      </c>
      <c r="U126" s="383">
        <f>'900 South'!U48</f>
        <v>1747.8939641080426</v>
      </c>
      <c r="V126" s="383">
        <f>'900 South'!V48</f>
        <v>1818.5322240902819</v>
      </c>
      <c r="W126" s="383">
        <f>'900 South'!W48</f>
        <v>1892.0252131783955</v>
      </c>
      <c r="X126" s="383">
        <f>'900 South'!X48</f>
        <v>1968.4883005543218</v>
      </c>
      <c r="Y126" s="383">
        <f>'900 South'!Y48</f>
        <v>2048.0415178557564</v>
      </c>
      <c r="Z126" s="383">
        <f>'900 South'!Z48</f>
        <v>2130.8097476016269</v>
      </c>
      <c r="AA126" s="383">
        <f>'900 South'!AA48</f>
        <v>2216.9229192324847</v>
      </c>
      <c r="AB126" s="383">
        <f>'900 South'!AB48</f>
        <v>2306.5162130735339</v>
      </c>
      <c r="AC126" s="383">
        <f>'900 South'!AC48</f>
        <v>2399.730272540512</v>
      </c>
      <c r="AD126" s="383">
        <f>'900 South'!AD48</f>
        <v>2496.7114249214983</v>
      </c>
      <c r="AE126" s="383">
        <f>'900 South'!AE48</f>
        <v>2597.6119110812715</v>
      </c>
      <c r="AF126" s="383">
        <f>'900 South'!AF48</f>
        <v>2702.5901244487827</v>
      </c>
      <c r="AG126" s="383">
        <f>'900 South'!AG48</f>
        <v>2811.8108596629286</v>
      </c>
      <c r="AH126" s="383">
        <f>'900 South'!AH48</f>
        <v>2925.4455712669078</v>
      </c>
      <c r="AI126" s="383">
        <f>'900 South'!AI48</f>
        <v>3043.6726428573156</v>
      </c>
      <c r="AJ126" s="383">
        <f>'900 South'!AJ48</f>
        <v>3166.677667110433</v>
      </c>
      <c r="AK126" s="383">
        <f>'900 South'!AK48</f>
        <v>3294.6537371253248</v>
      </c>
      <c r="AL126" s="383">
        <f>'900 South'!AL48</f>
        <v>3427.8017495411004</v>
      </c>
    </row>
    <row r="127" spans="1:38">
      <c r="B127" s="385" t="s">
        <v>509</v>
      </c>
      <c r="C127" s="386" t="s">
        <v>443</v>
      </c>
      <c r="D127" s="383">
        <f>'900 South'!D49</f>
        <v>74.273386001546896</v>
      </c>
      <c r="E127" s="383">
        <f>'900 South'!E49</f>
        <v>77.27502274718087</v>
      </c>
      <c r="F127" s="383">
        <f>'900 South'!F49</f>
        <v>80.397965705413668</v>
      </c>
      <c r="G127" s="383">
        <f>'900 South'!G49</f>
        <v>83.647117267327985</v>
      </c>
      <c r="H127" s="383">
        <f>'900 South'!H49</f>
        <v>116.03677059477273</v>
      </c>
      <c r="I127" s="383">
        <f>'900 South'!I49</f>
        <v>120.72620584490004</v>
      </c>
      <c r="J127" s="383">
        <f>'900 South'!J49</f>
        <v>125.60515690844079</v>
      </c>
      <c r="K127" s="383">
        <f>'900 South'!K49</f>
        <v>130.68128275531743</v>
      </c>
      <c r="L127" s="383">
        <f>'900 South'!L49</f>
        <v>135.96255188012577</v>
      </c>
      <c r="M127" s="383">
        <f>'900 South'!M49</f>
        <v>141.45725481106592</v>
      </c>
      <c r="N127" s="383">
        <f>'900 South'!N49</f>
        <v>147.17401712440059</v>
      </c>
      <c r="O127" s="383">
        <f>'900 South'!O49</f>
        <v>153.12181298487155</v>
      </c>
      <c r="P127" s="383">
        <f>'900 South'!P49</f>
        <v>159.30997923332981</v>
      </c>
      <c r="Q127" s="383">
        <f>'900 South'!Q49</f>
        <v>165.74823004369395</v>
      </c>
      <c r="R127" s="383">
        <f>'900 South'!R49</f>
        <v>172.44667217224554</v>
      </c>
      <c r="S127" s="383">
        <f>'900 South'!S49</f>
        <v>179.41582082320016</v>
      </c>
      <c r="T127" s="383">
        <f>'900 South'!T49</f>
        <v>186.66661615545797</v>
      </c>
      <c r="U127" s="383">
        <f>'900 South'!U49</f>
        <v>194.21044045644919</v>
      </c>
      <c r="V127" s="383">
        <f>'900 South'!V49</f>
        <v>202.05913601003135</v>
      </c>
      <c r="W127" s="383">
        <f>'900 South'!W49</f>
        <v>210.22502368648838</v>
      </c>
      <c r="X127" s="383">
        <f>'900 South'!X49</f>
        <v>218.72092228381354</v>
      </c>
      <c r="Y127" s="383">
        <f>'900 South'!Y49</f>
        <v>227.56016865063958</v>
      </c>
      <c r="Z127" s="383">
        <f>'900 South'!Z49</f>
        <v>236.75663862240299</v>
      </c>
      <c r="AA127" s="383">
        <f>'900 South'!AA49</f>
        <v>246.32476880360943</v>
      </c>
      <c r="AB127" s="383">
        <f>'900 South'!AB49</f>
        <v>256.2795792303927</v>
      </c>
      <c r="AC127" s="383">
        <f>'900 South'!AC49</f>
        <v>266.63669694894583</v>
      </c>
      <c r="AD127" s="383">
        <f>'900 South'!AD49</f>
        <v>277.41238054683316</v>
      </c>
      <c r="AE127" s="383">
        <f>'900 South'!AE49</f>
        <v>288.62354567569685</v>
      </c>
      <c r="AF127" s="383">
        <f>'900 South'!AF49</f>
        <v>300.2877916054203</v>
      </c>
      <c r="AG127" s="383">
        <f>'900 South'!AG49</f>
        <v>312.42342885143648</v>
      </c>
      <c r="AH127" s="383">
        <f>'900 South'!AH49</f>
        <v>325.04950791854532</v>
      </c>
      <c r="AI127" s="383">
        <f>'900 South'!AI49</f>
        <v>338.1858492063684</v>
      </c>
      <c r="AJ127" s="383">
        <f>'900 South'!AJ49</f>
        <v>351.85307412338148</v>
      </c>
      <c r="AK127" s="383">
        <f>'900 South'!AK49</f>
        <v>366.0726374583694</v>
      </c>
      <c r="AL127" s="383">
        <f>'900 South'!AL49</f>
        <v>380.86686106012229</v>
      </c>
    </row>
    <row r="128" spans="1:38">
      <c r="B128" s="358" t="s">
        <v>769</v>
      </c>
      <c r="C128" s="358" t="s">
        <v>443</v>
      </c>
      <c r="D128" s="383">
        <f>'900 South'!D50</f>
        <v>0</v>
      </c>
      <c r="E128" s="383">
        <f>'900 South'!E50</f>
        <v>0</v>
      </c>
      <c r="F128" s="383">
        <f>'900 South'!F50</f>
        <v>0</v>
      </c>
      <c r="G128" s="383">
        <f>'900 South'!G50</f>
        <v>0</v>
      </c>
      <c r="H128" s="383">
        <f>'900 South'!H50</f>
        <v>0</v>
      </c>
      <c r="I128" s="383">
        <f>'900 South'!I50</f>
        <v>0</v>
      </c>
      <c r="J128" s="383">
        <f>'900 South'!J50</f>
        <v>0</v>
      </c>
      <c r="K128" s="383">
        <f>'900 South'!K50</f>
        <v>0</v>
      </c>
      <c r="L128" s="383">
        <f>'900 South'!L50</f>
        <v>0</v>
      </c>
      <c r="M128" s="383">
        <f>'900 South'!M50</f>
        <v>0</v>
      </c>
      <c r="N128" s="383">
        <f>'900 South'!N50</f>
        <v>0</v>
      </c>
      <c r="O128" s="383">
        <f>'900 South'!O50</f>
        <v>0</v>
      </c>
      <c r="P128" s="383">
        <f>'900 South'!P50</f>
        <v>0</v>
      </c>
      <c r="Q128" s="383">
        <f>'900 South'!Q50</f>
        <v>0</v>
      </c>
      <c r="R128" s="383">
        <f>'900 South'!R50</f>
        <v>0</v>
      </c>
      <c r="S128" s="383">
        <f>'900 South'!S50</f>
        <v>0</v>
      </c>
      <c r="T128" s="383">
        <f>'900 South'!T50</f>
        <v>0</v>
      </c>
      <c r="U128" s="383">
        <f>'900 South'!U50</f>
        <v>0</v>
      </c>
      <c r="V128" s="383">
        <f>'900 South'!V50</f>
        <v>0</v>
      </c>
      <c r="W128" s="383">
        <f>'900 South'!W50</f>
        <v>0</v>
      </c>
      <c r="X128" s="383">
        <f>'900 South'!X50</f>
        <v>0</v>
      </c>
      <c r="Y128" s="383">
        <f>'900 South'!Y50</f>
        <v>0</v>
      </c>
      <c r="Z128" s="383">
        <f>'900 South'!Z50</f>
        <v>0</v>
      </c>
      <c r="AA128" s="383">
        <f>'900 South'!AA50</f>
        <v>0</v>
      </c>
      <c r="AB128" s="383">
        <f>'900 South'!AB50</f>
        <v>0</v>
      </c>
      <c r="AC128" s="383">
        <f>'900 South'!AC50</f>
        <v>0</v>
      </c>
      <c r="AD128" s="383">
        <f>'900 South'!AD50</f>
        <v>0</v>
      </c>
      <c r="AE128" s="383">
        <f>'900 South'!AE50</f>
        <v>0</v>
      </c>
      <c r="AF128" s="383">
        <f>'900 South'!AF50</f>
        <v>0</v>
      </c>
      <c r="AG128" s="383">
        <f>'900 South'!AG50</f>
        <v>0</v>
      </c>
      <c r="AH128" s="383">
        <f>'900 South'!AH50</f>
        <v>0</v>
      </c>
      <c r="AI128" s="383">
        <f>'900 South'!AI50</f>
        <v>0</v>
      </c>
      <c r="AJ128" s="383">
        <f>'900 South'!AJ50</f>
        <v>0</v>
      </c>
      <c r="AK128" s="383">
        <f>'900 South'!AK50</f>
        <v>0</v>
      </c>
      <c r="AL128" s="383">
        <f>'900 South'!AL50</f>
        <v>0</v>
      </c>
    </row>
    <row r="129" spans="1:38">
      <c r="D129" s="358"/>
      <c r="F129" s="464"/>
      <c r="G129" s="465"/>
      <c r="H129" s="465"/>
    </row>
    <row r="130" spans="1:38">
      <c r="B130" s="476" t="s">
        <v>708</v>
      </c>
      <c r="C130" s="484" t="s">
        <v>292</v>
      </c>
      <c r="D130" s="582">
        <f t="shared" ref="D130:AL130" si="58">(D$126*D90+D$127*D95+D$128*D100)/Grams.Per.Metric.Ton*D105</f>
        <v>117.22055550199667</v>
      </c>
      <c r="E130" s="582">
        <f t="shared" si="58"/>
        <v>122.96194407832331</v>
      </c>
      <c r="F130" s="582">
        <f t="shared" si="58"/>
        <v>128.92328310739492</v>
      </c>
      <c r="G130" s="582">
        <f t="shared" si="58"/>
        <v>135.1108453176391</v>
      </c>
      <c r="H130" s="582">
        <f t="shared" si="58"/>
        <v>188.70795360912362</v>
      </c>
      <c r="I130" s="582">
        <f t="shared" si="58"/>
        <v>197.5867070856408</v>
      </c>
      <c r="J130" s="582">
        <f t="shared" si="58"/>
        <v>206.79262872767148</v>
      </c>
      <c r="K130" s="582">
        <f t="shared" si="58"/>
        <v>216.33433664616717</v>
      </c>
      <c r="L130" s="582">
        <f t="shared" si="58"/>
        <v>226.22047681999257</v>
      </c>
      <c r="M130" s="582">
        <f t="shared" si="58"/>
        <v>236.4597058429523</v>
      </c>
      <c r="N130" s="582">
        <f t="shared" si="58"/>
        <v>246.62914144446597</v>
      </c>
      <c r="O130" s="582">
        <f t="shared" si="58"/>
        <v>257.11957139862562</v>
      </c>
      <c r="P130" s="582">
        <f t="shared" si="58"/>
        <v>267.9356931637426</v>
      </c>
      <c r="Q130" s="582">
        <f t="shared" si="58"/>
        <v>283.37543943095932</v>
      </c>
      <c r="R130" s="582">
        <f t="shared" si="58"/>
        <v>294.9645557754917</v>
      </c>
      <c r="S130" s="582">
        <f t="shared" si="58"/>
        <v>306.893081314673</v>
      </c>
      <c r="T130" s="582">
        <f t="shared" si="58"/>
        <v>319.1640867463309</v>
      </c>
      <c r="U130" s="582">
        <f t="shared" si="58"/>
        <v>331.78011698652369</v>
      </c>
      <c r="V130" s="582">
        <f t="shared" si="58"/>
        <v>344.74313478075356</v>
      </c>
      <c r="W130" s="582">
        <f t="shared" si="58"/>
        <v>358.05446025748012</v>
      </c>
      <c r="X130" s="582">
        <f t="shared" si="58"/>
        <v>373.74379409576341</v>
      </c>
      <c r="Y130" s="582">
        <f t="shared" si="58"/>
        <v>395.27404765642694</v>
      </c>
      <c r="Z130" s="582">
        <f t="shared" si="58"/>
        <v>412.27486777765381</v>
      </c>
      <c r="AA130" s="582">
        <f t="shared" si="58"/>
        <v>429.8822059427992</v>
      </c>
      <c r="AB130" s="582">
        <f t="shared" si="58"/>
        <v>448.11238715431995</v>
      </c>
      <c r="AC130" s="582">
        <f t="shared" si="58"/>
        <v>466.98186602544098</v>
      </c>
      <c r="AD130" s="582">
        <f t="shared" si="58"/>
        <v>486.50720253928739</v>
      </c>
      <c r="AE130" s="582">
        <f t="shared" si="58"/>
        <v>506.70503531154213</v>
      </c>
      <c r="AF130" s="582">
        <f t="shared" si="58"/>
        <v>534.02610159809149</v>
      </c>
      <c r="AG130" s="582">
        <f t="shared" si="58"/>
        <v>555.80164418408788</v>
      </c>
      <c r="AH130" s="582">
        <f t="shared" si="58"/>
        <v>578.2634535653375</v>
      </c>
      <c r="AI130" s="582">
        <f t="shared" si="58"/>
        <v>601.63302003215733</v>
      </c>
      <c r="AJ130" s="582">
        <f t="shared" si="58"/>
        <v>625.94702909426815</v>
      </c>
      <c r="AK130" s="582">
        <f t="shared" si="58"/>
        <v>651.24364884593297</v>
      </c>
      <c r="AL130" s="582">
        <f t="shared" si="58"/>
        <v>677.56258988217428</v>
      </c>
    </row>
    <row r="131" spans="1:38">
      <c r="B131" s="478" t="s">
        <v>709</v>
      </c>
      <c r="C131" s="484" t="s">
        <v>292</v>
      </c>
      <c r="D131" s="582">
        <f t="shared" ref="D131:AL131" si="59">(D$126*D91+D$127*D96+D$128*D101)/Grams.Per.Metric.Ton*D106</f>
        <v>107.7683546961367</v>
      </c>
      <c r="E131" s="582">
        <f t="shared" si="59"/>
        <v>105.46657350907547</v>
      </c>
      <c r="F131" s="582">
        <f t="shared" si="59"/>
        <v>103.22361467889812</v>
      </c>
      <c r="G131" s="582">
        <f t="shared" si="59"/>
        <v>99.701063099174505</v>
      </c>
      <c r="H131" s="582">
        <f t="shared" si="59"/>
        <v>127.33263701637848</v>
      </c>
      <c r="I131" s="582">
        <f t="shared" si="59"/>
        <v>120.74747376158875</v>
      </c>
      <c r="J131" s="582">
        <f t="shared" si="59"/>
        <v>113.75383576714248</v>
      </c>
      <c r="K131" s="582">
        <f t="shared" si="59"/>
        <v>104.88991078698518</v>
      </c>
      <c r="L131" s="582">
        <f t="shared" si="59"/>
        <v>94.771102466039409</v>
      </c>
      <c r="M131" s="582">
        <f t="shared" si="59"/>
        <v>83.761549624627165</v>
      </c>
      <c r="N131" s="582">
        <f t="shared" si="59"/>
        <v>81.212385030882828</v>
      </c>
      <c r="O131" s="582">
        <f t="shared" si="59"/>
        <v>78.320377193448266</v>
      </c>
      <c r="P131" s="582">
        <f t="shared" si="59"/>
        <v>75.06197861639339</v>
      </c>
      <c r="Q131" s="582">
        <f t="shared" si="59"/>
        <v>71.412298482204733</v>
      </c>
      <c r="R131" s="582">
        <f t="shared" si="59"/>
        <v>67.345032534211043</v>
      </c>
      <c r="S131" s="582">
        <f t="shared" si="59"/>
        <v>62.832389485616567</v>
      </c>
      <c r="T131" s="582">
        <f t="shared" si="59"/>
        <v>57.84501378887667</v>
      </c>
      <c r="U131" s="582">
        <f t="shared" si="59"/>
        <v>52.351904591478778</v>
      </c>
      <c r="V131" s="582">
        <f t="shared" si="59"/>
        <v>46.320330695982548</v>
      </c>
      <c r="W131" s="582">
        <f t="shared" si="59"/>
        <v>39.715741333752931</v>
      </c>
      <c r="X131" s="582">
        <f t="shared" si="59"/>
        <v>41.069034952282365</v>
      </c>
      <c r="Y131" s="582">
        <f t="shared" si="59"/>
        <v>42.466845533377004</v>
      </c>
      <c r="Z131" s="582">
        <f t="shared" si="59"/>
        <v>43.910560984381227</v>
      </c>
      <c r="AA131" s="582">
        <f t="shared" si="59"/>
        <v>45.401608685771976</v>
      </c>
      <c r="AB131" s="582">
        <f t="shared" si="59"/>
        <v>46.941456414857534</v>
      </c>
      <c r="AC131" s="582">
        <f t="shared" si="59"/>
        <v>48.531613279667219</v>
      </c>
      <c r="AD131" s="582">
        <f t="shared" si="59"/>
        <v>50.173630662345815</v>
      </c>
      <c r="AE131" s="582">
        <f t="shared" si="59"/>
        <v>51.869103171296373</v>
      </c>
      <c r="AF131" s="582">
        <f t="shared" si="59"/>
        <v>53.619669601238833</v>
      </c>
      <c r="AG131" s="582">
        <f t="shared" si="59"/>
        <v>55.427013900267447</v>
      </c>
      <c r="AH131" s="582">
        <f t="shared" si="59"/>
        <v>57.667005512072272</v>
      </c>
      <c r="AI131" s="582">
        <f t="shared" si="59"/>
        <v>59.997522700989812</v>
      </c>
      <c r="AJ131" s="582">
        <f t="shared" si="59"/>
        <v>62.422223909341199</v>
      </c>
      <c r="AK131" s="582">
        <f t="shared" si="59"/>
        <v>64.944915429377261</v>
      </c>
      <c r="AL131" s="582">
        <f t="shared" si="59"/>
        <v>67.569557378390471</v>
      </c>
    </row>
    <row r="132" spans="1:38">
      <c r="B132" s="478" t="s">
        <v>710</v>
      </c>
      <c r="C132" s="484" t="s">
        <v>292</v>
      </c>
      <c r="D132" s="582">
        <f t="shared" ref="D132:AL132" si="60">(D$126*D92+D$127*D97+D$128*D102)/Grams.Per.Metric.Ton*D107</f>
        <v>175.44107881697261</v>
      </c>
      <c r="E132" s="582">
        <f t="shared" si="60"/>
        <v>173.87700826954404</v>
      </c>
      <c r="F132" s="582">
        <f t="shared" si="60"/>
        <v>171.53426062916643</v>
      </c>
      <c r="G132" s="582">
        <f t="shared" si="60"/>
        <v>168.300824736934</v>
      </c>
      <c r="H132" s="582">
        <f t="shared" si="60"/>
        <v>218.77470062092812</v>
      </c>
      <c r="I132" s="582">
        <f t="shared" si="60"/>
        <v>210.85955208692337</v>
      </c>
      <c r="J132" s="582">
        <f t="shared" si="60"/>
        <v>201.43841450036254</v>
      </c>
      <c r="K132" s="582">
        <f t="shared" si="60"/>
        <v>190.34300298170501</v>
      </c>
      <c r="L132" s="582">
        <f t="shared" si="60"/>
        <v>177.44318698718538</v>
      </c>
      <c r="M132" s="582">
        <f t="shared" si="60"/>
        <v>162.5514972065703</v>
      </c>
      <c r="N132" s="582">
        <f t="shared" si="60"/>
        <v>156.58566733352615</v>
      </c>
      <c r="O132" s="582">
        <f t="shared" si="60"/>
        <v>149.87215356187065</v>
      </c>
      <c r="P132" s="582">
        <f t="shared" si="60"/>
        <v>142.36026668912638</v>
      </c>
      <c r="Q132" s="582">
        <f t="shared" si="60"/>
        <v>133.99644161804062</v>
      </c>
      <c r="R132" s="582">
        <f t="shared" si="60"/>
        <v>124.72408769504102</v>
      </c>
      <c r="S132" s="582">
        <f t="shared" si="60"/>
        <v>114.4834316491219</v>
      </c>
      <c r="T132" s="582">
        <f t="shared" si="60"/>
        <v>103.21135277739359</v>
      </c>
      <c r="U132" s="582">
        <f t="shared" si="60"/>
        <v>90.841210007257487</v>
      </c>
      <c r="V132" s="582">
        <f t="shared" si="60"/>
        <v>77.302660447702053</v>
      </c>
      <c r="W132" s="582">
        <f t="shared" si="60"/>
        <v>62.521469024296778</v>
      </c>
      <c r="X132" s="582">
        <f t="shared" si="60"/>
        <v>63.512011313275018</v>
      </c>
      <c r="Y132" s="582">
        <f t="shared" si="60"/>
        <v>64.480503357390276</v>
      </c>
      <c r="Z132" s="582">
        <f t="shared" si="60"/>
        <v>65.423545115288647</v>
      </c>
      <c r="AA132" s="582">
        <f t="shared" si="60"/>
        <v>66.337497744783008</v>
      </c>
      <c r="AB132" s="582">
        <f t="shared" si="60"/>
        <v>67.218469854448514</v>
      </c>
      <c r="AC132" s="582">
        <f t="shared" si="60"/>
        <v>68.062303033997409</v>
      </c>
      <c r="AD132" s="582">
        <f t="shared" si="60"/>
        <v>68.864556627598873</v>
      </c>
      <c r="AE132" s="582">
        <f t="shared" si="60"/>
        <v>69.620491712575586</v>
      </c>
      <c r="AF132" s="582">
        <f t="shared" si="60"/>
        <v>70.32505424413246</v>
      </c>
      <c r="AG132" s="582">
        <f t="shared" si="60"/>
        <v>70.972857324865927</v>
      </c>
      <c r="AH132" s="582">
        <f t="shared" si="60"/>
        <v>73.84110863206385</v>
      </c>
      <c r="AI132" s="582">
        <f t="shared" si="60"/>
        <v>76.825275598731224</v>
      </c>
      <c r="AJ132" s="582">
        <f t="shared" si="60"/>
        <v>79.930042765611262</v>
      </c>
      <c r="AK132" s="582">
        <f t="shared" si="60"/>
        <v>83.160283991457007</v>
      </c>
      <c r="AL132" s="582">
        <f t="shared" si="60"/>
        <v>86.521070104007677</v>
      </c>
    </row>
    <row r="133" spans="1:38">
      <c r="B133" s="478" t="s">
        <v>711</v>
      </c>
      <c r="C133" s="484" t="s">
        <v>292</v>
      </c>
      <c r="D133" s="582">
        <f t="shared" ref="D133:AL133" si="61">(D$126*D93+D$127*D98+D$128*D103)/Grams.Per.Metric.Ton*D108</f>
        <v>0.68031783311082761</v>
      </c>
      <c r="E133" s="582">
        <f t="shared" si="61"/>
        <v>0.7137171444133712</v>
      </c>
      <c r="F133" s="582">
        <f t="shared" si="61"/>
        <v>0.75014077897670595</v>
      </c>
      <c r="G133" s="582">
        <f t="shared" si="61"/>
        <v>0.78798151065489863</v>
      </c>
      <c r="H133" s="582">
        <f t="shared" si="61"/>
        <v>1.1055018642821279</v>
      </c>
      <c r="I133" s="582">
        <f t="shared" si="61"/>
        <v>1.1523698896718475</v>
      </c>
      <c r="J133" s="582">
        <f t="shared" si="61"/>
        <v>1.2034638326286045</v>
      </c>
      <c r="K133" s="582">
        <f t="shared" si="61"/>
        <v>1.2563664930329117</v>
      </c>
      <c r="L133" s="582">
        <f t="shared" si="61"/>
        <v>1.3111228758076559</v>
      </c>
      <c r="M133" s="582">
        <f t="shared" si="61"/>
        <v>1.3649461140987007</v>
      </c>
      <c r="N133" s="582">
        <f t="shared" si="61"/>
        <v>1.4013233637473068</v>
      </c>
      <c r="O133" s="582">
        <f t="shared" si="61"/>
        <v>1.4384115832040894</v>
      </c>
      <c r="P133" s="582">
        <f t="shared" si="61"/>
        <v>1.4762088250665519</v>
      </c>
      <c r="Q133" s="582">
        <f t="shared" si="61"/>
        <v>1.5147118233462327</v>
      </c>
      <c r="R133" s="582">
        <f t="shared" si="61"/>
        <v>1.5539158900723116</v>
      </c>
      <c r="S133" s="582">
        <f t="shared" si="61"/>
        <v>1.5938148056915975</v>
      </c>
      <c r="T133" s="582">
        <f t="shared" si="61"/>
        <v>1.63440070293233</v>
      </c>
      <c r="U133" s="582">
        <f t="shared" si="61"/>
        <v>1.6756639437825369</v>
      </c>
      <c r="V133" s="582">
        <f t="shared" si="61"/>
        <v>1.7175929892160593</v>
      </c>
      <c r="W133" s="582">
        <f t="shared" si="61"/>
        <v>1.7601742612810118</v>
      </c>
      <c r="X133" s="582">
        <f t="shared" si="61"/>
        <v>1.8132610122033332</v>
      </c>
      <c r="Y133" s="582">
        <f t="shared" si="61"/>
        <v>1.8677638048205654</v>
      </c>
      <c r="Z133" s="582">
        <f t="shared" si="61"/>
        <v>1.923710389757606</v>
      </c>
      <c r="AA133" s="582">
        <f t="shared" si="61"/>
        <v>1.9811284478961688</v>
      </c>
      <c r="AB133" s="582">
        <f t="shared" si="61"/>
        <v>2.0400455394142356</v>
      </c>
      <c r="AC133" s="582">
        <f t="shared" si="61"/>
        <v>2.1004890488204548</v>
      </c>
      <c r="AD133" s="582">
        <f t="shared" si="61"/>
        <v>2.1624861257430412</v>
      </c>
      <c r="AE133" s="582">
        <f t="shared" si="61"/>
        <v>2.2260636212196538</v>
      </c>
      <c r="AF133" s="582">
        <f t="shared" si="61"/>
        <v>2.2912480192215119</v>
      </c>
      <c r="AG133" s="582">
        <f t="shared" si="61"/>
        <v>2.3580653631304371</v>
      </c>
      <c r="AH133" s="582">
        <f t="shared" si="61"/>
        <v>2.4533626967195041</v>
      </c>
      <c r="AI133" s="582">
        <f t="shared" si="61"/>
        <v>2.5525113153200829</v>
      </c>
      <c r="AJ133" s="582">
        <f t="shared" si="61"/>
        <v>2.6556668622821094</v>
      </c>
      <c r="AK133" s="582">
        <f t="shared" si="61"/>
        <v>2.7629912710255362</v>
      </c>
      <c r="AL133" s="582">
        <f t="shared" si="61"/>
        <v>2.8746530192431745</v>
      </c>
    </row>
    <row r="134" spans="1:38">
      <c r="D134" s="358"/>
      <c r="F134" s="464"/>
      <c r="G134" s="465"/>
      <c r="H134" s="465"/>
    </row>
    <row r="135" spans="1:38" ht="13">
      <c r="B135" s="493" t="s">
        <v>465</v>
      </c>
      <c r="C135" s="487" t="s">
        <v>292</v>
      </c>
      <c r="D135" s="488">
        <f t="shared" ref="D135:AL135" si="62">D130</f>
        <v>117.22055550199667</v>
      </c>
      <c r="E135" s="488">
        <f t="shared" si="62"/>
        <v>122.96194407832331</v>
      </c>
      <c r="F135" s="488">
        <f t="shared" si="62"/>
        <v>128.92328310739492</v>
      </c>
      <c r="G135" s="488">
        <f t="shared" si="62"/>
        <v>135.1108453176391</v>
      </c>
      <c r="H135" s="488">
        <f t="shared" si="62"/>
        <v>188.70795360912362</v>
      </c>
      <c r="I135" s="488">
        <f t="shared" si="62"/>
        <v>197.5867070856408</v>
      </c>
      <c r="J135" s="488">
        <f t="shared" si="62"/>
        <v>206.79262872767148</v>
      </c>
      <c r="K135" s="488">
        <f t="shared" si="62"/>
        <v>216.33433664616717</v>
      </c>
      <c r="L135" s="488">
        <f t="shared" si="62"/>
        <v>226.22047681999257</v>
      </c>
      <c r="M135" s="488">
        <f t="shared" si="62"/>
        <v>236.4597058429523</v>
      </c>
      <c r="N135" s="488">
        <f t="shared" si="62"/>
        <v>246.62914144446597</v>
      </c>
      <c r="O135" s="488">
        <f t="shared" si="62"/>
        <v>257.11957139862562</v>
      </c>
      <c r="P135" s="488">
        <f t="shared" si="62"/>
        <v>267.9356931637426</v>
      </c>
      <c r="Q135" s="488">
        <f t="shared" si="62"/>
        <v>283.37543943095932</v>
      </c>
      <c r="R135" s="488">
        <f t="shared" si="62"/>
        <v>294.9645557754917</v>
      </c>
      <c r="S135" s="488">
        <f t="shared" si="62"/>
        <v>306.893081314673</v>
      </c>
      <c r="T135" s="488">
        <f t="shared" si="62"/>
        <v>319.1640867463309</v>
      </c>
      <c r="U135" s="488">
        <f t="shared" si="62"/>
        <v>331.78011698652369</v>
      </c>
      <c r="V135" s="488">
        <f t="shared" si="62"/>
        <v>344.74313478075356</v>
      </c>
      <c r="W135" s="488">
        <f t="shared" si="62"/>
        <v>358.05446025748012</v>
      </c>
      <c r="X135" s="488">
        <f t="shared" si="62"/>
        <v>373.74379409576341</v>
      </c>
      <c r="Y135" s="488">
        <f t="shared" si="62"/>
        <v>395.27404765642694</v>
      </c>
      <c r="Z135" s="488">
        <f t="shared" si="62"/>
        <v>412.27486777765381</v>
      </c>
      <c r="AA135" s="488">
        <f t="shared" si="62"/>
        <v>429.8822059427992</v>
      </c>
      <c r="AB135" s="488">
        <f t="shared" si="62"/>
        <v>448.11238715431995</v>
      </c>
      <c r="AC135" s="488">
        <f t="shared" si="62"/>
        <v>466.98186602544098</v>
      </c>
      <c r="AD135" s="488">
        <f t="shared" si="62"/>
        <v>486.50720253928739</v>
      </c>
      <c r="AE135" s="488">
        <f t="shared" si="62"/>
        <v>506.70503531154213</v>
      </c>
      <c r="AF135" s="488">
        <f t="shared" si="62"/>
        <v>534.02610159809149</v>
      </c>
      <c r="AG135" s="488">
        <f t="shared" si="62"/>
        <v>555.80164418408788</v>
      </c>
      <c r="AH135" s="488">
        <f t="shared" si="62"/>
        <v>578.2634535653375</v>
      </c>
      <c r="AI135" s="488">
        <f t="shared" si="62"/>
        <v>601.63302003215733</v>
      </c>
      <c r="AJ135" s="488">
        <f t="shared" si="62"/>
        <v>625.94702909426815</v>
      </c>
      <c r="AK135" s="488">
        <f t="shared" si="62"/>
        <v>651.24364884593297</v>
      </c>
      <c r="AL135" s="488">
        <f t="shared" si="62"/>
        <v>677.56258988217428</v>
      </c>
    </row>
    <row r="136" spans="1:38" ht="13">
      <c r="B136" s="494" t="s">
        <v>466</v>
      </c>
      <c r="C136" s="487" t="s">
        <v>292</v>
      </c>
      <c r="D136" s="488">
        <f t="shared" ref="D136:AL136" si="63">SUM(D130:D133)</f>
        <v>401.11030684821685</v>
      </c>
      <c r="E136" s="488">
        <f t="shared" si="63"/>
        <v>403.01924300135619</v>
      </c>
      <c r="F136" s="488">
        <f t="shared" si="63"/>
        <v>404.43129919443612</v>
      </c>
      <c r="G136" s="488">
        <f t="shared" si="63"/>
        <v>403.90071466440253</v>
      </c>
      <c r="H136" s="488">
        <f t="shared" si="63"/>
        <v>535.92079311071234</v>
      </c>
      <c r="I136" s="488">
        <f t="shared" si="63"/>
        <v>530.34610282382471</v>
      </c>
      <c r="J136" s="488">
        <f t="shared" si="63"/>
        <v>523.18834282780506</v>
      </c>
      <c r="K136" s="488">
        <f t="shared" si="63"/>
        <v>512.82361690789025</v>
      </c>
      <c r="L136" s="488">
        <f t="shared" si="63"/>
        <v>499.74588914902506</v>
      </c>
      <c r="M136" s="488">
        <f t="shared" si="63"/>
        <v>484.13769878824843</v>
      </c>
      <c r="N136" s="488">
        <f t="shared" si="63"/>
        <v>485.82851717262224</v>
      </c>
      <c r="O136" s="488">
        <f t="shared" si="63"/>
        <v>486.75051373714865</v>
      </c>
      <c r="P136" s="488">
        <f t="shared" si="63"/>
        <v>486.83414729432894</v>
      </c>
      <c r="Q136" s="488">
        <f t="shared" si="63"/>
        <v>490.29889135455096</v>
      </c>
      <c r="R136" s="488">
        <f t="shared" si="63"/>
        <v>488.58759189481606</v>
      </c>
      <c r="S136" s="488">
        <f t="shared" si="63"/>
        <v>485.802717255103</v>
      </c>
      <c r="T136" s="488">
        <f t="shared" si="63"/>
        <v>481.85485401553348</v>
      </c>
      <c r="U136" s="488">
        <f t="shared" si="63"/>
        <v>476.64889552904248</v>
      </c>
      <c r="V136" s="488">
        <f t="shared" si="63"/>
        <v>470.08371891365425</v>
      </c>
      <c r="W136" s="488">
        <f t="shared" si="63"/>
        <v>462.05184487681083</v>
      </c>
      <c r="X136" s="488">
        <f t="shared" si="63"/>
        <v>480.13810137352414</v>
      </c>
      <c r="Y136" s="488">
        <f t="shared" si="63"/>
        <v>504.0891603520148</v>
      </c>
      <c r="Z136" s="488">
        <f t="shared" si="63"/>
        <v>523.53268426708132</v>
      </c>
      <c r="AA136" s="488">
        <f t="shared" si="63"/>
        <v>543.6024408212503</v>
      </c>
      <c r="AB136" s="488">
        <f t="shared" si="63"/>
        <v>564.3123589630402</v>
      </c>
      <c r="AC136" s="488">
        <f t="shared" si="63"/>
        <v>585.67627138792602</v>
      </c>
      <c r="AD136" s="488">
        <f t="shared" si="63"/>
        <v>607.70787595497507</v>
      </c>
      <c r="AE136" s="488">
        <f t="shared" si="63"/>
        <v>630.42069381663373</v>
      </c>
      <c r="AF136" s="488">
        <f t="shared" si="63"/>
        <v>660.26207346268427</v>
      </c>
      <c r="AG136" s="488">
        <f t="shared" si="63"/>
        <v>684.55958077235164</v>
      </c>
      <c r="AH136" s="488">
        <f t="shared" si="63"/>
        <v>712.22493040619315</v>
      </c>
      <c r="AI136" s="488">
        <f t="shared" si="63"/>
        <v>741.00832964719848</v>
      </c>
      <c r="AJ136" s="488">
        <f t="shared" si="63"/>
        <v>770.95496263150278</v>
      </c>
      <c r="AK136" s="488">
        <f t="shared" si="63"/>
        <v>802.11183953779278</v>
      </c>
      <c r="AL136" s="488">
        <f t="shared" si="63"/>
        <v>834.52787038381564</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4">((D$112*D90+D$113*D95+D$114*D100)-(D$126*D90+D$127*D95+D$128*D100))/Grams.Per.Metric.Ton</f>
        <v>0</v>
      </c>
      <c r="E140" s="474">
        <f t="shared" si="64"/>
        <v>0</v>
      </c>
      <c r="F140" s="474">
        <f t="shared" si="64"/>
        <v>0</v>
      </c>
      <c r="G140" s="474">
        <f t="shared" si="64"/>
        <v>0</v>
      </c>
      <c r="H140" s="474">
        <f t="shared" si="64"/>
        <v>-0.8424462214693027</v>
      </c>
      <c r="I140" s="474">
        <f t="shared" si="64"/>
        <v>-0.86660836441070588</v>
      </c>
      <c r="J140" s="474">
        <f t="shared" si="64"/>
        <v>-0.8913475376192741</v>
      </c>
      <c r="K140" s="474">
        <f t="shared" si="64"/>
        <v>-0.91667091799223377</v>
      </c>
      <c r="L140" s="474">
        <f t="shared" si="64"/>
        <v>-0.94258532008330154</v>
      </c>
      <c r="M140" s="474">
        <f t="shared" si="64"/>
        <v>-0.96909715509406669</v>
      </c>
      <c r="N140" s="474">
        <f t="shared" si="64"/>
        <v>-0.9944723445341368</v>
      </c>
      <c r="O140" s="474">
        <f t="shared" si="64"/>
        <v>-1.0203157595183552</v>
      </c>
      <c r="P140" s="474">
        <f t="shared" si="64"/>
        <v>-1.0466238014208689</v>
      </c>
      <c r="Q140" s="474">
        <f t="shared" si="64"/>
        <v>-1.0733918160263611</v>
      </c>
      <c r="R140" s="474">
        <f t="shared" si="64"/>
        <v>-1.1006140140876557</v>
      </c>
      <c r="S140" s="474">
        <f t="shared" si="64"/>
        <v>-1.1282833871862972</v>
      </c>
      <c r="T140" s="474">
        <f t="shared" si="64"/>
        <v>-1.1563916186461272</v>
      </c>
      <c r="U140" s="474">
        <f t="shared" si="64"/>
        <v>-1.1849289892375843</v>
      </c>
      <c r="V140" s="474">
        <f t="shared" si="64"/>
        <v>-1.2138842773970189</v>
      </c>
      <c r="W140" s="474">
        <f t="shared" si="64"/>
        <v>-1.2432446536718067</v>
      </c>
      <c r="X140" s="474">
        <f t="shared" si="64"/>
        <v>-1.2799445003279568</v>
      </c>
      <c r="Y140" s="474">
        <f t="shared" si="64"/>
        <v>-1.3175801588547564</v>
      </c>
      <c r="Z140" s="474">
        <f t="shared" si="64"/>
        <v>-1.3561673282159661</v>
      </c>
      <c r="AA140" s="474">
        <f t="shared" si="64"/>
        <v>-1.3957214478662312</v>
      </c>
      <c r="AB140" s="474">
        <f t="shared" si="64"/>
        <v>-1.4362576511356402</v>
      </c>
      <c r="AC140" s="474">
        <f t="shared" si="64"/>
        <v>-1.4777907152703833</v>
      </c>
      <c r="AD140" s="474">
        <f t="shared" si="64"/>
        <v>-1.5203350079352744</v>
      </c>
      <c r="AE140" s="474">
        <f t="shared" si="64"/>
        <v>-1.5639044299738984</v>
      </c>
      <c r="AF140" s="474">
        <f t="shared" si="64"/>
        <v>-1.6085123542111162</v>
      </c>
      <c r="AG140" s="474">
        <f t="shared" si="64"/>
        <v>-1.65417156007169</v>
      </c>
      <c r="AH140" s="474">
        <f t="shared" si="64"/>
        <v>-1.7210221832301691</v>
      </c>
      <c r="AI140" s="474">
        <f t="shared" si="64"/>
        <v>-1.7905744643814201</v>
      </c>
      <c r="AJ140" s="474">
        <f t="shared" si="64"/>
        <v>-1.8629375865900815</v>
      </c>
      <c r="AK140" s="474">
        <f t="shared" si="64"/>
        <v>-1.938225145374801</v>
      </c>
      <c r="AL140" s="474">
        <f t="shared" si="64"/>
        <v>-2.0165553270302805</v>
      </c>
    </row>
    <row r="141" spans="1:38" ht="13">
      <c r="B141" s="494" t="s">
        <v>815</v>
      </c>
      <c r="C141" s="387" t="s">
        <v>818</v>
      </c>
      <c r="D141" s="541">
        <f t="shared" ref="D141:AL141" si="65">((D$112*D91+D$113*D96+D$114*D101)-(D$126*D91+D$127*D96+D$128*D101))/Grams.Per.Metric.Ton</f>
        <v>0</v>
      </c>
      <c r="E141" s="541">
        <f t="shared" si="65"/>
        <v>0</v>
      </c>
      <c r="F141" s="541">
        <f t="shared" si="65"/>
        <v>0</v>
      </c>
      <c r="G141" s="541">
        <f t="shared" si="65"/>
        <v>0</v>
      </c>
      <c r="H141" s="541">
        <f t="shared" si="65"/>
        <v>-1.8948309079818238E-3</v>
      </c>
      <c r="I141" s="541">
        <f t="shared" si="65"/>
        <v>-1.7756981435527786E-3</v>
      </c>
      <c r="J141" s="541">
        <f t="shared" si="65"/>
        <v>-1.6438415573286483E-3</v>
      </c>
      <c r="K141" s="541">
        <f t="shared" si="65"/>
        <v>-1.4984272969569311E-3</v>
      </c>
      <c r="L141" s="541">
        <f t="shared" si="65"/>
        <v>-1.338574893588127E-3</v>
      </c>
      <c r="M141" s="541">
        <f t="shared" si="65"/>
        <v>-1.1633548558975994E-3</v>
      </c>
      <c r="N141" s="541">
        <f t="shared" si="65"/>
        <v>-1.1279497920955947E-3</v>
      </c>
      <c r="O141" s="541">
        <f t="shared" si="65"/>
        <v>-1.0877830165756709E-3</v>
      </c>
      <c r="P141" s="541">
        <f t="shared" si="65"/>
        <v>-1.0425274807832421E-3</v>
      </c>
      <c r="Q141" s="541">
        <f t="shared" si="65"/>
        <v>-9.9183747891951036E-4</v>
      </c>
      <c r="R141" s="541">
        <f t="shared" si="65"/>
        <v>-9.3534767408626381E-4</v>
      </c>
      <c r="S141" s="541">
        <f t="shared" si="65"/>
        <v>-8.7267207618911839E-4</v>
      </c>
      <c r="T141" s="541">
        <f t="shared" si="65"/>
        <v>-8.0340296928995444E-4</v>
      </c>
      <c r="U141" s="541">
        <f t="shared" si="65"/>
        <v>-7.2710978599276087E-4</v>
      </c>
      <c r="V141" s="541">
        <f t="shared" si="65"/>
        <v>-6.4333792633309097E-4</v>
      </c>
      <c r="W141" s="541">
        <f t="shared" si="65"/>
        <v>-5.5160751852434626E-4</v>
      </c>
      <c r="X141" s="541">
        <f t="shared" si="65"/>
        <v>-5.7040326322614415E-4</v>
      </c>
      <c r="Y141" s="541">
        <f t="shared" si="65"/>
        <v>-5.8981729907468068E-4</v>
      </c>
      <c r="Z141" s="541">
        <f t="shared" si="65"/>
        <v>-6.0986890256085056E-4</v>
      </c>
      <c r="AA141" s="541">
        <f t="shared" si="65"/>
        <v>-6.3057789841349952E-4</v>
      </c>
      <c r="AB141" s="541">
        <f t="shared" si="65"/>
        <v>-6.5196467242857646E-4</v>
      </c>
      <c r="AC141" s="541">
        <f t="shared" si="65"/>
        <v>-6.740501844398225E-4</v>
      </c>
      <c r="AD141" s="541">
        <f t="shared" si="65"/>
        <v>-6.9685598142147091E-4</v>
      </c>
      <c r="AE141" s="541">
        <f t="shared" si="65"/>
        <v>-7.2040421071245054E-4</v>
      </c>
      <c r="AF141" s="541">
        <f t="shared" si="65"/>
        <v>-7.4471763335053856E-4</v>
      </c>
      <c r="AG141" s="541">
        <f t="shared" si="65"/>
        <v>-7.6981963750371511E-4</v>
      </c>
      <c r="AH141" s="541">
        <f t="shared" si="65"/>
        <v>-8.0093063211211389E-4</v>
      </c>
      <c r="AI141" s="541">
        <f t="shared" si="65"/>
        <v>-8.3329892640263592E-4</v>
      </c>
      <c r="AJ141" s="541">
        <f t="shared" si="65"/>
        <v>-8.669753320741829E-4</v>
      </c>
      <c r="AK141" s="541">
        <f t="shared" si="65"/>
        <v>-9.0201271429690634E-4</v>
      </c>
      <c r="AL141" s="541">
        <f t="shared" si="65"/>
        <v>-9.3846607469986749E-4</v>
      </c>
    </row>
    <row r="142" spans="1:38" ht="13">
      <c r="B142" s="494" t="s">
        <v>816</v>
      </c>
      <c r="C142" s="387" t="s">
        <v>818</v>
      </c>
      <c r="D142" s="541">
        <f t="shared" ref="D142:AL142" si="66">((D$112*D92+D$113*D97+D$114*D102)-(D$126*D92+D$127*D97+D$128*D102))/Grams.Per.Metric.Ton</f>
        <v>0</v>
      </c>
      <c r="E142" s="541">
        <f t="shared" si="66"/>
        <v>0</v>
      </c>
      <c r="F142" s="541">
        <f t="shared" si="66"/>
        <v>0</v>
      </c>
      <c r="G142" s="541">
        <f t="shared" si="66"/>
        <v>0</v>
      </c>
      <c r="H142" s="541">
        <f t="shared" si="66"/>
        <v>-6.8658894244579555E-5</v>
      </c>
      <c r="I142" s="541">
        <f t="shared" si="66"/>
        <v>-6.5281595073350988E-5</v>
      </c>
      <c r="J142" s="541">
        <f t="shared" si="66"/>
        <v>-6.1519183514647751E-5</v>
      </c>
      <c r="K142" s="541">
        <f t="shared" si="66"/>
        <v>-5.7346048138619267E-5</v>
      </c>
      <c r="L142" s="541">
        <f t="shared" si="66"/>
        <v>-5.2735136408459712E-5</v>
      </c>
      <c r="M142" s="541">
        <f t="shared" si="66"/>
        <v>-4.7657880030072219E-5</v>
      </c>
      <c r="N142" s="541">
        <f t="shared" si="66"/>
        <v>-4.59087801493861E-5</v>
      </c>
      <c r="O142" s="541">
        <f t="shared" si="66"/>
        <v>-4.3940469556077942E-5</v>
      </c>
      <c r="P142" s="541">
        <f t="shared" si="66"/>
        <v>-4.1738086867927279E-5</v>
      </c>
      <c r="Q142" s="541">
        <f t="shared" si="66"/>
        <v>-3.9285927529623732E-5</v>
      </c>
      <c r="R142" s="541">
        <f t="shared" si="66"/>
        <v>-3.65673999340451E-5</v>
      </c>
      <c r="S142" s="541">
        <f t="shared" si="66"/>
        <v>-3.3564979374082869E-5</v>
      </c>
      <c r="T142" s="541">
        <f t="shared" si="66"/>
        <v>-3.0260159721295196E-5</v>
      </c>
      <c r="U142" s="541">
        <f t="shared" si="66"/>
        <v>-2.6633402722897101E-5</v>
      </c>
      <c r="V142" s="541">
        <f t="shared" si="66"/>
        <v>-2.2664084803477776E-5</v>
      </c>
      <c r="W142" s="541">
        <f t="shared" si="66"/>
        <v>-1.8330441252579108E-5</v>
      </c>
      <c r="X142" s="541">
        <f t="shared" si="66"/>
        <v>-1.8620854730056011E-5</v>
      </c>
      <c r="Y142" s="541">
        <f t="shared" si="66"/>
        <v>-1.8904803376741604E-5</v>
      </c>
      <c r="Z142" s="541">
        <f t="shared" si="66"/>
        <v>-1.9181290346924073E-5</v>
      </c>
      <c r="AA142" s="541">
        <f t="shared" si="66"/>
        <v>-1.9449248781747088E-5</v>
      </c>
      <c r="AB142" s="541">
        <f t="shared" si="66"/>
        <v>-1.970753777836532E-5</v>
      </c>
      <c r="AC142" s="541">
        <f t="shared" si="66"/>
        <v>-1.995493814764788E-5</v>
      </c>
      <c r="AD142" s="541">
        <f t="shared" si="66"/>
        <v>-2.0190147949923463E-5</v>
      </c>
      <c r="AE142" s="541">
        <f t="shared" si="66"/>
        <v>-2.0411777797752933E-5</v>
      </c>
      <c r="AF142" s="541">
        <f t="shared" si="66"/>
        <v>-2.0618345914193853E-5</v>
      </c>
      <c r="AG142" s="541">
        <f t="shared" si="66"/>
        <v>-2.080827293446287E-5</v>
      </c>
      <c r="AH142" s="541">
        <f t="shared" si="66"/>
        <v>-2.1649205063933321E-5</v>
      </c>
      <c r="AI142" s="541">
        <f t="shared" si="66"/>
        <v>-2.2524122082423831E-5</v>
      </c>
      <c r="AJ142" s="541">
        <f t="shared" si="66"/>
        <v>-2.343439743333272E-5</v>
      </c>
      <c r="AK142" s="541">
        <f t="shared" si="66"/>
        <v>-2.4381460065514547E-5</v>
      </c>
      <c r="AL142" s="541">
        <f t="shared" si="66"/>
        <v>-2.5366796676441794E-5</v>
      </c>
    </row>
    <row r="143" spans="1:38" ht="13">
      <c r="B143" s="494" t="s">
        <v>817</v>
      </c>
      <c r="C143" s="387" t="s">
        <v>818</v>
      </c>
      <c r="D143" s="541">
        <f t="shared" ref="D143:AL143" si="67">((D$112*D93+D$113*D98+D$114*D103)-(D$126*D93+D$127*D98+D$128*D103))/Grams.Per.Metric.Ton</f>
        <v>0</v>
      </c>
      <c r="E143" s="541">
        <f t="shared" si="67"/>
        <v>0</v>
      </c>
      <c r="F143" s="541">
        <f t="shared" si="67"/>
        <v>0</v>
      </c>
      <c r="G143" s="541">
        <f t="shared" si="67"/>
        <v>0</v>
      </c>
      <c r="H143" s="541">
        <f t="shared" si="67"/>
        <v>-6.1553555917713183E-6</v>
      </c>
      <c r="I143" s="541">
        <f t="shared" si="67"/>
        <v>-6.3317026905046632E-6</v>
      </c>
      <c r="J143" s="541">
        <f t="shared" si="67"/>
        <v>-6.5122501765617141E-6</v>
      </c>
      <c r="K143" s="541">
        <f t="shared" si="67"/>
        <v>-6.6970495364227708E-6</v>
      </c>
      <c r="L143" s="541">
        <f t="shared" si="67"/>
        <v>-6.8861495578133186E-6</v>
      </c>
      <c r="M143" s="541">
        <f t="shared" si="67"/>
        <v>-7.0795960274828893E-6</v>
      </c>
      <c r="N143" s="541">
        <f t="shared" si="67"/>
        <v>-7.2682747082329159E-6</v>
      </c>
      <c r="O143" s="541">
        <f t="shared" si="67"/>
        <v>-7.4606409917224568E-6</v>
      </c>
      <c r="P143" s="541">
        <f t="shared" si="67"/>
        <v>-7.6566847773161373E-6</v>
      </c>
      <c r="Q143" s="541">
        <f t="shared" si="67"/>
        <v>-7.8563891252397977E-6</v>
      </c>
      <c r="R143" s="541">
        <f t="shared" si="67"/>
        <v>-8.0597297202920692E-6</v>
      </c>
      <c r="S143" s="541">
        <f t="shared" si="67"/>
        <v>-8.2666743033796483E-6</v>
      </c>
      <c r="T143" s="541">
        <f t="shared" si="67"/>
        <v>-8.4771820691510903E-6</v>
      </c>
      <c r="U143" s="541">
        <f t="shared" si="67"/>
        <v>-8.6912030279177237E-6</v>
      </c>
      <c r="V143" s="541">
        <f t="shared" si="67"/>
        <v>-8.9086773299588067E-6</v>
      </c>
      <c r="W143" s="541">
        <f t="shared" si="67"/>
        <v>-9.1295345502127253E-6</v>
      </c>
      <c r="X143" s="541">
        <f t="shared" si="67"/>
        <v>-9.4048807686894883E-6</v>
      </c>
      <c r="Y143" s="541">
        <f t="shared" si="67"/>
        <v>-9.6875716017664149E-6</v>
      </c>
      <c r="Z143" s="541">
        <f t="shared" si="67"/>
        <v>-9.9777509842199529E-6</v>
      </c>
      <c r="AA143" s="541">
        <f t="shared" si="67"/>
        <v>-1.0275562489088009E-5</v>
      </c>
      <c r="AB143" s="541">
        <f t="shared" si="67"/>
        <v>-1.0581149063351837E-5</v>
      </c>
      <c r="AC143" s="541">
        <f t="shared" si="67"/>
        <v>-1.0894652742844684E-5</v>
      </c>
      <c r="AD143" s="541">
        <f t="shared" si="67"/>
        <v>-1.1216214345140272E-5</v>
      </c>
      <c r="AE143" s="541">
        <f t="shared" si="67"/>
        <v>-1.1545973139106102E-5</v>
      </c>
      <c r="AF143" s="541">
        <f t="shared" si="67"/>
        <v>-1.1884066489738118E-5</v>
      </c>
      <c r="AG143" s="541">
        <f t="shared" si="67"/>
        <v>-1.2230629476817627E-5</v>
      </c>
      <c r="AH143" s="541">
        <f t="shared" si="67"/>
        <v>-1.2724910252694507E-5</v>
      </c>
      <c r="AI143" s="541">
        <f t="shared" si="67"/>
        <v>-1.3239166573236944E-5</v>
      </c>
      <c r="AJ143" s="541">
        <f t="shared" si="67"/>
        <v>-1.3774205717230842E-5</v>
      </c>
      <c r="AK143" s="541">
        <f t="shared" si="67"/>
        <v>-1.4330867588306723E-5</v>
      </c>
      <c r="AL143" s="541">
        <f t="shared" si="67"/>
        <v>-1.4910026033418959E-5</v>
      </c>
    </row>
    <row r="144" spans="1:38">
      <c r="D144" s="358"/>
      <c r="F144" s="464"/>
      <c r="G144" s="465"/>
      <c r="H144" s="465"/>
    </row>
    <row r="145" spans="1:38" ht="13">
      <c r="B145" s="492" t="s">
        <v>284</v>
      </c>
      <c r="C145" s="487" t="s">
        <v>292</v>
      </c>
      <c r="D145" s="583">
        <f t="shared" ref="D145:AL145" si="68">D122-D136</f>
        <v>0</v>
      </c>
      <c r="E145" s="583">
        <f t="shared" si="68"/>
        <v>0</v>
      </c>
      <c r="F145" s="583">
        <f t="shared" si="68"/>
        <v>0</v>
      </c>
      <c r="G145" s="583">
        <f t="shared" si="68"/>
        <v>0</v>
      </c>
      <c r="H145" s="583">
        <f t="shared" si="68"/>
        <v>-133.9801982776782</v>
      </c>
      <c r="I145" s="583">
        <f t="shared" si="68"/>
        <v>-132.58652570595632</v>
      </c>
      <c r="J145" s="583">
        <f t="shared" si="68"/>
        <v>-130.79708570695129</v>
      </c>
      <c r="K145" s="583">
        <f t="shared" si="68"/>
        <v>-128.20590422697256</v>
      </c>
      <c r="L145" s="583">
        <f t="shared" si="68"/>
        <v>-124.93647228725615</v>
      </c>
      <c r="M145" s="583">
        <f t="shared" si="68"/>
        <v>-121.03442469706215</v>
      </c>
      <c r="N145" s="583">
        <f t="shared" si="68"/>
        <v>-121.4571292931555</v>
      </c>
      <c r="O145" s="583">
        <f t="shared" si="68"/>
        <v>-121.68762843428715</v>
      </c>
      <c r="P145" s="583">
        <f t="shared" si="68"/>
        <v>-121.70853682358222</v>
      </c>
      <c r="Q145" s="583">
        <f t="shared" si="68"/>
        <v>-122.57472283863774</v>
      </c>
      <c r="R145" s="583">
        <f t="shared" si="68"/>
        <v>-122.14689797370397</v>
      </c>
      <c r="S145" s="583">
        <f t="shared" si="68"/>
        <v>-121.45067931377565</v>
      </c>
      <c r="T145" s="583">
        <f t="shared" si="68"/>
        <v>-120.46371350388353</v>
      </c>
      <c r="U145" s="583">
        <f t="shared" si="68"/>
        <v>-119.16222388226055</v>
      </c>
      <c r="V145" s="583">
        <f t="shared" si="68"/>
        <v>-117.52092972841353</v>
      </c>
      <c r="W145" s="583">
        <f t="shared" si="68"/>
        <v>-115.51296121920274</v>
      </c>
      <c r="X145" s="583">
        <f t="shared" si="68"/>
        <v>-120.03452534338106</v>
      </c>
      <c r="Y145" s="583">
        <f t="shared" si="68"/>
        <v>-126.02229008800373</v>
      </c>
      <c r="Z145" s="583">
        <f t="shared" si="68"/>
        <v>-130.88317106677033</v>
      </c>
      <c r="AA145" s="583">
        <f t="shared" si="68"/>
        <v>-135.90061020531249</v>
      </c>
      <c r="AB145" s="583">
        <f t="shared" si="68"/>
        <v>-141.07808974075999</v>
      </c>
      <c r="AC145" s="583">
        <f t="shared" si="68"/>
        <v>-146.41906784698148</v>
      </c>
      <c r="AD145" s="583">
        <f t="shared" si="68"/>
        <v>-151.92696898874385</v>
      </c>
      <c r="AE145" s="583">
        <f t="shared" si="68"/>
        <v>-157.6051734541586</v>
      </c>
      <c r="AF145" s="583">
        <f t="shared" si="68"/>
        <v>-165.06551836567081</v>
      </c>
      <c r="AG145" s="583">
        <f t="shared" si="68"/>
        <v>-171.13989519308791</v>
      </c>
      <c r="AH145" s="583">
        <f t="shared" si="68"/>
        <v>-178.05623260154812</v>
      </c>
      <c r="AI145" s="583">
        <f t="shared" si="68"/>
        <v>-185.25208241179962</v>
      </c>
      <c r="AJ145" s="583">
        <f t="shared" si="68"/>
        <v>-192.7387406578755</v>
      </c>
      <c r="AK145" s="583">
        <f t="shared" si="68"/>
        <v>-200.52795988444825</v>
      </c>
      <c r="AL145" s="583">
        <f t="shared" si="68"/>
        <v>-208.63196759595394</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'900 South'!D25</f>
        <v>668.46047401392207</v>
      </c>
      <c r="E159" s="383">
        <f>'900 South'!E25</f>
        <v>695.47520472462782</v>
      </c>
      <c r="F159" s="383">
        <f>'900 South'!F25</f>
        <v>723.58169134872298</v>
      </c>
      <c r="G159" s="383">
        <f>'900 South'!G25</f>
        <v>752.82405540595175</v>
      </c>
      <c r="H159" s="383">
        <f>'900 South'!H25</f>
        <v>783.24820151471567</v>
      </c>
      <c r="I159" s="383">
        <f>'900 South'!I25</f>
        <v>814.901889453075</v>
      </c>
      <c r="J159" s="383">
        <f>'900 South'!J25</f>
        <v>847.83480913197525</v>
      </c>
      <c r="K159" s="383">
        <f>'900 South'!K25</f>
        <v>882.0986585983926</v>
      </c>
      <c r="L159" s="383">
        <f>'900 South'!L25</f>
        <v>917.74722519084901</v>
      </c>
      <c r="M159" s="383">
        <f>'900 South'!M25</f>
        <v>954.83646997469498</v>
      </c>
      <c r="N159" s="383">
        <f>'900 South'!N25</f>
        <v>993.4246155897041</v>
      </c>
      <c r="O159" s="383">
        <f>'900 South'!O25</f>
        <v>1033.572237647883</v>
      </c>
      <c r="P159" s="383">
        <f>'900 South'!P25</f>
        <v>1075.3423598249763</v>
      </c>
      <c r="Q159" s="383">
        <f>'900 South'!Q25</f>
        <v>1118.8005527949342</v>
      </c>
      <c r="R159" s="383">
        <f>'900 South'!R25</f>
        <v>1164.0150371626573</v>
      </c>
      <c r="S159" s="383">
        <f>'900 South'!S25</f>
        <v>1211.0567905566013</v>
      </c>
      <c r="T159" s="383">
        <f>'900 South'!T25</f>
        <v>1259.9996590493411</v>
      </c>
      <c r="U159" s="383">
        <f>'900 South'!U25</f>
        <v>1310.920473081032</v>
      </c>
      <c r="V159" s="383">
        <f>'900 South'!V25</f>
        <v>1363.8991680677118</v>
      </c>
      <c r="W159" s="383">
        <f>'900 South'!W25</f>
        <v>1419.0189098837964</v>
      </c>
      <c r="X159" s="383">
        <f>'900 South'!X25</f>
        <v>1476.3662254157412</v>
      </c>
      <c r="Y159" s="383">
        <f>'900 South'!Y25</f>
        <v>1536.0311383918174</v>
      </c>
      <c r="Z159" s="383">
        <f>'900 South'!Z25</f>
        <v>1598.1073107012203</v>
      </c>
      <c r="AA159" s="383">
        <f>'900 South'!AA25</f>
        <v>1662.6921894243637</v>
      </c>
      <c r="AB159" s="383">
        <f>'900 South'!AB25</f>
        <v>1729.887159805151</v>
      </c>
      <c r="AC159" s="383">
        <f>'900 South'!AC25</f>
        <v>1799.7977044053841</v>
      </c>
      <c r="AD159" s="383">
        <f>'900 South'!AD25</f>
        <v>1872.533568691123</v>
      </c>
      <c r="AE159" s="383">
        <f>'900 South'!AE25</f>
        <v>1948.2089333109525</v>
      </c>
      <c r="AF159" s="383">
        <f>'900 South'!AF25</f>
        <v>2026.9425933365878</v>
      </c>
      <c r="AG159" s="383">
        <f>'900 South'!AG25</f>
        <v>2108.8581447471961</v>
      </c>
      <c r="AH159" s="383">
        <f>'900 South'!AH25</f>
        <v>2194.0841784501818</v>
      </c>
      <c r="AI159" s="383">
        <f>'900 South'!AI25</f>
        <v>2282.7544821429869</v>
      </c>
      <c r="AJ159" s="383">
        <f>'900 South'!AJ25</f>
        <v>2375.0082503328254</v>
      </c>
      <c r="AK159" s="383">
        <f>'900 South'!AK25</f>
        <v>2470.9903028439935</v>
      </c>
      <c r="AL159" s="383">
        <f>'900 South'!AL25</f>
        <v>2570.8513121558253</v>
      </c>
    </row>
    <row r="160" spans="1:38">
      <c r="B160" s="385" t="s">
        <v>509</v>
      </c>
      <c r="C160" s="386" t="s">
        <v>443</v>
      </c>
      <c r="D160" s="383">
        <f>'900 South'!D26</f>
        <v>74.273386001546896</v>
      </c>
      <c r="E160" s="383">
        <f>'900 South'!E26</f>
        <v>77.27502274718087</v>
      </c>
      <c r="F160" s="383">
        <f>'900 South'!F26</f>
        <v>80.397965705413668</v>
      </c>
      <c r="G160" s="383">
        <f>'900 South'!G26</f>
        <v>83.647117267327985</v>
      </c>
      <c r="H160" s="383">
        <f>'900 South'!H26</f>
        <v>87.027577946079532</v>
      </c>
      <c r="I160" s="383">
        <f>'900 South'!I26</f>
        <v>90.544654383674995</v>
      </c>
      <c r="J160" s="383">
        <f>'900 South'!J26</f>
        <v>94.203867681330593</v>
      </c>
      <c r="K160" s="383">
        <f>'900 South'!K26</f>
        <v>98.010962066488062</v>
      </c>
      <c r="L160" s="383">
        <f>'900 South'!L26</f>
        <v>101.97191391009434</v>
      </c>
      <c r="M160" s="383">
        <f>'900 South'!M26</f>
        <v>106.09294110829944</v>
      </c>
      <c r="N160" s="383">
        <f>'900 South'!N26</f>
        <v>110.38051284330045</v>
      </c>
      <c r="O160" s="383">
        <f>'900 South'!O26</f>
        <v>114.84135973865367</v>
      </c>
      <c r="P160" s="383">
        <f>'900 South'!P26</f>
        <v>119.48248442499735</v>
      </c>
      <c r="Q160" s="383">
        <f>'900 South'!Q26</f>
        <v>124.31117253277046</v>
      </c>
      <c r="R160" s="383">
        <f>'900 South'!R26</f>
        <v>129.33500412918417</v>
      </c>
      <c r="S160" s="383">
        <f>'900 South'!S26</f>
        <v>134.56186561740014</v>
      </c>
      <c r="T160" s="383">
        <f>'900 South'!T26</f>
        <v>139.99996211659345</v>
      </c>
      <c r="U160" s="383">
        <f>'900 South'!U26</f>
        <v>145.65783034233689</v>
      </c>
      <c r="V160" s="383">
        <f>'900 South'!V26</f>
        <v>151.54435200752354</v>
      </c>
      <c r="W160" s="383">
        <f>'900 South'!W26</f>
        <v>157.66876776486629</v>
      </c>
      <c r="X160" s="383">
        <f>'900 South'!X26</f>
        <v>164.04069171286014</v>
      </c>
      <c r="Y160" s="383">
        <f>'900 South'!Y26</f>
        <v>170.6701264879797</v>
      </c>
      <c r="Z160" s="383">
        <f>'900 South'!Z26</f>
        <v>177.56747896680224</v>
      </c>
      <c r="AA160" s="383">
        <f>'900 South'!AA26</f>
        <v>184.74357660270709</v>
      </c>
      <c r="AB160" s="383">
        <f>'900 South'!AB26</f>
        <v>192.20968442279457</v>
      </c>
      <c r="AC160" s="383">
        <f>'900 South'!AC26</f>
        <v>199.97752271170936</v>
      </c>
      <c r="AD160" s="383">
        <f>'900 South'!AD26</f>
        <v>208.05928541012477</v>
      </c>
      <c r="AE160" s="383">
        <f>'900 South'!AE26</f>
        <v>216.46765925677252</v>
      </c>
      <c r="AF160" s="383">
        <f>'900 South'!AF26</f>
        <v>225.21584370406532</v>
      </c>
      <c r="AG160" s="383">
        <f>'900 South'!AG26</f>
        <v>234.31757163857733</v>
      </c>
      <c r="AH160" s="383">
        <f>'900 South'!AH26</f>
        <v>243.78713093890906</v>
      </c>
      <c r="AI160" s="383">
        <f>'900 South'!AI26</f>
        <v>253.6393869047763</v>
      </c>
      <c r="AJ160" s="383">
        <f>'900 South'!AJ26</f>
        <v>263.88980559253616</v>
      </c>
      <c r="AK160" s="383">
        <f>'900 South'!AK26</f>
        <v>274.55447809377705</v>
      </c>
      <c r="AL160" s="383">
        <f>'900 South'!AL26</f>
        <v>285.6501457950917</v>
      </c>
    </row>
    <row r="161" spans="2:38">
      <c r="B161" s="358" t="s">
        <v>769</v>
      </c>
      <c r="C161" s="358" t="s">
        <v>443</v>
      </c>
      <c r="D161" s="383">
        <f>'900 South'!D27</f>
        <v>0</v>
      </c>
      <c r="E161" s="383">
        <f>'900 South'!E27</f>
        <v>0</v>
      </c>
      <c r="F161" s="383">
        <f>'900 South'!F27</f>
        <v>0</v>
      </c>
      <c r="G161" s="383">
        <f>'900 South'!G27</f>
        <v>0</v>
      </c>
      <c r="H161" s="383">
        <f>'900 South'!H27</f>
        <v>0</v>
      </c>
      <c r="I161" s="383">
        <f>'900 South'!I27</f>
        <v>0</v>
      </c>
      <c r="J161" s="383">
        <f>'900 South'!J27</f>
        <v>0</v>
      </c>
      <c r="K161" s="383">
        <f>'900 South'!K27</f>
        <v>0</v>
      </c>
      <c r="L161" s="383">
        <f>'900 South'!L27</f>
        <v>0</v>
      </c>
      <c r="M161" s="383">
        <f>'900 South'!M27</f>
        <v>0</v>
      </c>
      <c r="N161" s="383">
        <f>'900 South'!N27</f>
        <v>0</v>
      </c>
      <c r="O161" s="383">
        <f>'900 South'!O27</f>
        <v>0</v>
      </c>
      <c r="P161" s="383">
        <f>'900 South'!P27</f>
        <v>0</v>
      </c>
      <c r="Q161" s="383">
        <f>'900 South'!Q27</f>
        <v>0</v>
      </c>
      <c r="R161" s="383">
        <f>'900 South'!R27</f>
        <v>0</v>
      </c>
      <c r="S161" s="383">
        <f>'900 South'!S27</f>
        <v>0</v>
      </c>
      <c r="T161" s="383">
        <f>'900 South'!T27</f>
        <v>0</v>
      </c>
      <c r="U161" s="383">
        <f>'900 South'!U27</f>
        <v>0</v>
      </c>
      <c r="V161" s="383">
        <f>'900 South'!V27</f>
        <v>0</v>
      </c>
      <c r="W161" s="383">
        <f>'900 South'!W27</f>
        <v>0</v>
      </c>
      <c r="X161" s="383">
        <f>'900 South'!X27</f>
        <v>0</v>
      </c>
      <c r="Y161" s="383">
        <f>'900 South'!Y27</f>
        <v>0</v>
      </c>
      <c r="Z161" s="383">
        <f>'900 South'!Z27</f>
        <v>0</v>
      </c>
      <c r="AA161" s="383">
        <f>'900 South'!AA27</f>
        <v>0</v>
      </c>
      <c r="AB161" s="383">
        <f>'900 South'!AB27</f>
        <v>0</v>
      </c>
      <c r="AC161" s="383">
        <f>'900 South'!AC27</f>
        <v>0</v>
      </c>
      <c r="AD161" s="383">
        <f>'900 South'!AD27</f>
        <v>0</v>
      </c>
      <c r="AE161" s="383">
        <f>'900 South'!AE27</f>
        <v>0</v>
      </c>
      <c r="AF161" s="383">
        <f>'900 South'!AF27</f>
        <v>0</v>
      </c>
      <c r="AG161" s="383">
        <f>'900 South'!AG27</f>
        <v>0</v>
      </c>
      <c r="AH161" s="383">
        <f>'900 South'!AH27</f>
        <v>0</v>
      </c>
      <c r="AI161" s="383">
        <f>'900 South'!AI27</f>
        <v>0</v>
      </c>
      <c r="AJ161" s="383">
        <f>'900 South'!AJ27</f>
        <v>0</v>
      </c>
      <c r="AK161" s="383">
        <f>'900 South'!AK27</f>
        <v>0</v>
      </c>
      <c r="AL161" s="383">
        <f>'900 South'!AL27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23.061886353480308</v>
      </c>
      <c r="E166" s="383">
        <f t="shared" ref="E166:AK168" si="69">E159*$C163</f>
        <v>23.993894562999657</v>
      </c>
      <c r="F166" s="383">
        <f t="shared" si="69"/>
        <v>24.963568351530942</v>
      </c>
      <c r="G166" s="383">
        <f t="shared" si="69"/>
        <v>25.972429911505333</v>
      </c>
      <c r="H166" s="383">
        <f t="shared" si="69"/>
        <v>27.022062952257688</v>
      </c>
      <c r="I166" s="383">
        <f t="shared" si="69"/>
        <v>28.114115186131084</v>
      </c>
      <c r="J166" s="383">
        <f t="shared" si="69"/>
        <v>29.250300915053142</v>
      </c>
      <c r="K166" s="383">
        <f t="shared" si="69"/>
        <v>30.43240372164454</v>
      </c>
      <c r="L166" s="383">
        <f t="shared" si="69"/>
        <v>31.662279269084287</v>
      </c>
      <c r="M166" s="383">
        <f t="shared" si="69"/>
        <v>32.941858214126974</v>
      </c>
      <c r="N166" s="383">
        <f t="shared" si="69"/>
        <v>34.273149237844791</v>
      </c>
      <c r="O166" s="383">
        <f t="shared" si="69"/>
        <v>35.658242198851958</v>
      </c>
      <c r="P166" s="383">
        <f t="shared" si="69"/>
        <v>37.099311413961679</v>
      </c>
      <c r="Q166" s="383">
        <f t="shared" si="69"/>
        <v>38.598619071425226</v>
      </c>
      <c r="R166" s="383">
        <f t="shared" si="69"/>
        <v>40.15851878211167</v>
      </c>
      <c r="S166" s="383">
        <f t="shared" si="69"/>
        <v>41.781459274202739</v>
      </c>
      <c r="T166" s="383">
        <f t="shared" si="69"/>
        <v>43.469988237202259</v>
      </c>
      <c r="U166" s="383">
        <f t="shared" si="69"/>
        <v>45.226756321295596</v>
      </c>
      <c r="V166" s="383">
        <f t="shared" si="69"/>
        <v>47.054521298336049</v>
      </c>
      <c r="W166" s="383">
        <f t="shared" si="69"/>
        <v>48.956152390990972</v>
      </c>
      <c r="X166" s="383">
        <f t="shared" si="69"/>
        <v>50.934634776843062</v>
      </c>
      <c r="Y166" s="383">
        <f t="shared" si="69"/>
        <v>52.993074274517696</v>
      </c>
      <c r="Z166" s="383">
        <f t="shared" si="69"/>
        <v>55.134702219192093</v>
      </c>
      <c r="AA166" s="383">
        <f t="shared" si="69"/>
        <v>57.36288053514054</v>
      </c>
      <c r="AB166" s="383">
        <f t="shared" si="69"/>
        <v>59.681107013277703</v>
      </c>
      <c r="AC166" s="383">
        <f t="shared" si="69"/>
        <v>62.093020801985745</v>
      </c>
      <c r="AD166" s="383">
        <f t="shared" si="69"/>
        <v>64.60240811984373</v>
      </c>
      <c r="AE166" s="383">
        <f t="shared" si="69"/>
        <v>67.21320819922785</v>
      </c>
      <c r="AF166" s="383">
        <f t="shared" si="69"/>
        <v>69.929519470112268</v>
      </c>
      <c r="AG166" s="383">
        <f t="shared" si="69"/>
        <v>72.755605993778261</v>
      </c>
      <c r="AH166" s="383">
        <f t="shared" si="69"/>
        <v>75.695904156531256</v>
      </c>
      <c r="AI166" s="383">
        <f t="shared" si="69"/>
        <v>78.755029633933034</v>
      </c>
      <c r="AJ166" s="383">
        <f t="shared" si="69"/>
        <v>81.937784636482462</v>
      </c>
      <c r="AK166" s="383">
        <f t="shared" si="69"/>
        <v>85.249165448117765</v>
      </c>
      <c r="AL166" s="383">
        <f t="shared" ref="AL166" si="70">AL159*$C163</f>
        <v>88.694370269375966</v>
      </c>
    </row>
    <row r="167" spans="2:38">
      <c r="B167" s="385" t="s">
        <v>501</v>
      </c>
      <c r="C167" s="386" t="s">
        <v>479</v>
      </c>
      <c r="D167" s="383">
        <f t="shared" ref="D167:S168" si="71">D160*$C164</f>
        <v>2.5624318170533678</v>
      </c>
      <c r="E167" s="383">
        <f t="shared" si="71"/>
        <v>2.6659882847777396</v>
      </c>
      <c r="F167" s="383">
        <f t="shared" si="71"/>
        <v>2.773729816836771</v>
      </c>
      <c r="G167" s="383">
        <f t="shared" si="71"/>
        <v>2.885825545722815</v>
      </c>
      <c r="H167" s="383">
        <f t="shared" si="71"/>
        <v>3.0024514391397434</v>
      </c>
      <c r="I167" s="383">
        <f t="shared" si="71"/>
        <v>3.1237905762367868</v>
      </c>
      <c r="J167" s="383">
        <f t="shared" si="71"/>
        <v>3.2500334350059052</v>
      </c>
      <c r="K167" s="383">
        <f t="shared" si="71"/>
        <v>3.3813781912938379</v>
      </c>
      <c r="L167" s="383">
        <f t="shared" si="71"/>
        <v>3.5180310298982542</v>
      </c>
      <c r="M167" s="383">
        <f t="shared" si="71"/>
        <v>3.6602064682363302</v>
      </c>
      <c r="N167" s="383">
        <f t="shared" si="71"/>
        <v>3.8081276930938652</v>
      </c>
      <c r="O167" s="383">
        <f t="shared" si="71"/>
        <v>3.9620269109835511</v>
      </c>
      <c r="P167" s="383">
        <f t="shared" si="71"/>
        <v>4.1221457126624079</v>
      </c>
      <c r="Q167" s="383">
        <f t="shared" si="71"/>
        <v>4.2887354523805801</v>
      </c>
      <c r="R167" s="383">
        <f t="shared" si="71"/>
        <v>4.4620576424568537</v>
      </c>
      <c r="S167" s="383">
        <f t="shared" si="71"/>
        <v>4.6423843638003044</v>
      </c>
      <c r="T167" s="383">
        <f t="shared" si="69"/>
        <v>4.8299986930224739</v>
      </c>
      <c r="U167" s="383">
        <f t="shared" si="69"/>
        <v>5.0251951468106224</v>
      </c>
      <c r="V167" s="383">
        <f t="shared" si="69"/>
        <v>5.2282801442595614</v>
      </c>
      <c r="W167" s="383">
        <f t="shared" si="69"/>
        <v>5.4395724878878866</v>
      </c>
      <c r="X167" s="383">
        <f t="shared" si="69"/>
        <v>5.6594038640936741</v>
      </c>
      <c r="Y167" s="383">
        <f t="shared" si="69"/>
        <v>5.8881193638352993</v>
      </c>
      <c r="Z167" s="383">
        <f t="shared" si="69"/>
        <v>6.1260780243546762</v>
      </c>
      <c r="AA167" s="383">
        <f t="shared" si="69"/>
        <v>6.3736533927933943</v>
      </c>
      <c r="AB167" s="383">
        <f t="shared" si="69"/>
        <v>6.6312341125864114</v>
      </c>
      <c r="AC167" s="383">
        <f t="shared" si="69"/>
        <v>6.8992245335539719</v>
      </c>
      <c r="AD167" s="383">
        <f t="shared" si="69"/>
        <v>7.1780453466493039</v>
      </c>
      <c r="AE167" s="383">
        <f t="shared" si="69"/>
        <v>7.4681342443586507</v>
      </c>
      <c r="AF167" s="383">
        <f t="shared" si="69"/>
        <v>7.7699466077902528</v>
      </c>
      <c r="AG167" s="383">
        <f t="shared" si="69"/>
        <v>8.0839562215309169</v>
      </c>
      <c r="AH167" s="383">
        <f t="shared" si="69"/>
        <v>8.4106560173923608</v>
      </c>
      <c r="AI167" s="383">
        <f t="shared" si="69"/>
        <v>8.7505588482147818</v>
      </c>
      <c r="AJ167" s="383">
        <f t="shared" si="69"/>
        <v>9.1041982929424972</v>
      </c>
      <c r="AK167" s="383">
        <f t="shared" si="69"/>
        <v>9.4721294942353076</v>
      </c>
      <c r="AL167" s="383">
        <f t="shared" ref="AL167" si="72">AL160*$C164</f>
        <v>9.8549300299306619</v>
      </c>
    </row>
    <row r="168" spans="2:38">
      <c r="B168" s="385" t="s">
        <v>768</v>
      </c>
      <c r="C168" s="386" t="s">
        <v>479</v>
      </c>
      <c r="D168" s="383">
        <f t="shared" si="71"/>
        <v>0</v>
      </c>
      <c r="E168" s="383">
        <f t="shared" si="69"/>
        <v>0</v>
      </c>
      <c r="F168" s="383">
        <f t="shared" si="69"/>
        <v>0</v>
      </c>
      <c r="G168" s="383">
        <f t="shared" si="69"/>
        <v>0</v>
      </c>
      <c r="H168" s="383">
        <f t="shared" si="69"/>
        <v>0</v>
      </c>
      <c r="I168" s="383">
        <f t="shared" si="69"/>
        <v>0</v>
      </c>
      <c r="J168" s="383">
        <f t="shared" si="69"/>
        <v>0</v>
      </c>
      <c r="K168" s="383">
        <f t="shared" si="69"/>
        <v>0</v>
      </c>
      <c r="L168" s="383">
        <f t="shared" si="69"/>
        <v>0</v>
      </c>
      <c r="M168" s="383">
        <f t="shared" si="69"/>
        <v>0</v>
      </c>
      <c r="N168" s="383">
        <f t="shared" si="69"/>
        <v>0</v>
      </c>
      <c r="O168" s="383">
        <f t="shared" si="69"/>
        <v>0</v>
      </c>
      <c r="P168" s="383">
        <f t="shared" si="69"/>
        <v>0</v>
      </c>
      <c r="Q168" s="383">
        <f t="shared" si="69"/>
        <v>0</v>
      </c>
      <c r="R168" s="383">
        <f t="shared" si="69"/>
        <v>0</v>
      </c>
      <c r="S168" s="383">
        <f t="shared" si="69"/>
        <v>0</v>
      </c>
      <c r="T168" s="383">
        <f t="shared" si="69"/>
        <v>0</v>
      </c>
      <c r="U168" s="383">
        <f t="shared" si="69"/>
        <v>0</v>
      </c>
      <c r="V168" s="383">
        <f t="shared" si="69"/>
        <v>0</v>
      </c>
      <c r="W168" s="383">
        <f t="shared" si="69"/>
        <v>0</v>
      </c>
      <c r="X168" s="383">
        <f t="shared" si="69"/>
        <v>0</v>
      </c>
      <c r="Y168" s="383">
        <f t="shared" si="69"/>
        <v>0</v>
      </c>
      <c r="Z168" s="383">
        <f t="shared" si="69"/>
        <v>0</v>
      </c>
      <c r="AA168" s="383">
        <f t="shared" si="69"/>
        <v>0</v>
      </c>
      <c r="AB168" s="383">
        <f t="shared" si="69"/>
        <v>0</v>
      </c>
      <c r="AC168" s="383">
        <f t="shared" si="69"/>
        <v>0</v>
      </c>
      <c r="AD168" s="383">
        <f t="shared" si="69"/>
        <v>0</v>
      </c>
      <c r="AE168" s="383">
        <f t="shared" si="69"/>
        <v>0</v>
      </c>
      <c r="AF168" s="383">
        <f t="shared" si="69"/>
        <v>0</v>
      </c>
      <c r="AG168" s="383">
        <f t="shared" si="69"/>
        <v>0</v>
      </c>
      <c r="AH168" s="383">
        <f t="shared" si="69"/>
        <v>0</v>
      </c>
      <c r="AI168" s="383">
        <f t="shared" si="69"/>
        <v>0</v>
      </c>
      <c r="AJ168" s="383">
        <f t="shared" si="69"/>
        <v>0</v>
      </c>
      <c r="AK168" s="383">
        <f t="shared" si="69"/>
        <v>0</v>
      </c>
      <c r="AL168" s="383">
        <f t="shared" ref="AL168" si="73">AL161*$C165</f>
        <v>0</v>
      </c>
    </row>
    <row r="169" spans="2:38">
      <c r="D169" s="358"/>
      <c r="F169" s="464"/>
      <c r="G169" s="465"/>
      <c r="H169" s="465"/>
    </row>
    <row r="170" spans="2:38">
      <c r="B170" s="358" t="s">
        <v>459</v>
      </c>
      <c r="C170" s="362" t="s">
        <v>292</v>
      </c>
      <c r="D170" s="485">
        <f>SUMPRODUCT($C$153:$C$155,D166:D168)</f>
        <v>258.09663327201002</v>
      </c>
      <c r="E170" s="485">
        <f t="shared" ref="E170:AK170" si="74">SUMPRODUCT($C$153:$C$155,E166:E168)</f>
        <v>268.52718424133764</v>
      </c>
      <c r="F170" s="485">
        <f t="shared" si="74"/>
        <v>279.37926877406153</v>
      </c>
      <c r="G170" s="485">
        <f t="shared" si="74"/>
        <v>290.66992245589461</v>
      </c>
      <c r="H170" s="485">
        <f t="shared" si="74"/>
        <v>302.41686933772945</v>
      </c>
      <c r="I170" s="485">
        <f t="shared" si="74"/>
        <v>314.63854975882674</v>
      </c>
      <c r="J170" s="485">
        <f t="shared" si="74"/>
        <v>327.35414929443169</v>
      </c>
      <c r="K170" s="485">
        <f t="shared" si="74"/>
        <v>340.5836288732603</v>
      </c>
      <c r="L170" s="485">
        <f t="shared" si="74"/>
        <v>354.3477561121349</v>
      </c>
      <c r="M170" s="485">
        <f t="shared" si="74"/>
        <v>368.66813791695756</v>
      </c>
      <c r="N170" s="485">
        <f t="shared" si="74"/>
        <v>383.56725440119794</v>
      </c>
      <c r="O170" s="485">
        <f t="shared" si="74"/>
        <v>399.06849417514036</v>
      </c>
      <c r="P170" s="485">
        <f t="shared" si="74"/>
        <v>415.19619106128982</v>
      </c>
      <c r="Q170" s="485">
        <f t="shared" si="74"/>
        <v>431.97566229356772</v>
      </c>
      <c r="R170" s="485">
        <f t="shared" si="74"/>
        <v>449.43324826026799</v>
      </c>
      <c r="S170" s="485">
        <f t="shared" si="74"/>
        <v>467.59635385315937</v>
      </c>
      <c r="T170" s="485">
        <f t="shared" si="74"/>
        <v>486.49349148763946</v>
      </c>
      <c r="U170" s="485">
        <f t="shared" si="74"/>
        <v>506.15432586148432</v>
      </c>
      <c r="V170" s="485">
        <f t="shared" si="74"/>
        <v>526.60972052244369</v>
      </c>
      <c r="W170" s="485">
        <f t="shared" si="74"/>
        <v>547.89178631779191</v>
      </c>
      <c r="X170" s="485">
        <f t="shared" si="74"/>
        <v>570.03393180188573</v>
      </c>
      <c r="Y170" s="485">
        <f t="shared" si="74"/>
        <v>593.07091568086378</v>
      </c>
      <c r="Z170" s="485">
        <f t="shared" si="74"/>
        <v>617.03890137680833</v>
      </c>
      <c r="AA170" s="485">
        <f t="shared" si="74"/>
        <v>641.97551379703236</v>
      </c>
      <c r="AB170" s="485">
        <f t="shared" si="74"/>
        <v>667.9198983975981</v>
      </c>
      <c r="AC170" s="485">
        <f t="shared" si="74"/>
        <v>694.91278263379763</v>
      </c>
      <c r="AD170" s="485">
        <f t="shared" si="74"/>
        <v>722.99653989404806</v>
      </c>
      <c r="AE170" s="485">
        <f t="shared" si="74"/>
        <v>752.2152560175731</v>
      </c>
      <c r="AF170" s="485">
        <f t="shared" si="74"/>
        <v>782.61479850028445</v>
      </c>
      <c r="AG170" s="485">
        <f t="shared" si="74"/>
        <v>814.24288849750678</v>
      </c>
      <c r="AH170" s="485">
        <f t="shared" si="74"/>
        <v>847.14917573657738</v>
      </c>
      <c r="AI170" s="485">
        <f t="shared" si="74"/>
        <v>881.38531645690819</v>
      </c>
      <c r="AJ170" s="485">
        <f t="shared" si="74"/>
        <v>917.00505449987577</v>
      </c>
      <c r="AK170" s="485">
        <f t="shared" si="74"/>
        <v>954.0643056758156</v>
      </c>
      <c r="AL170" s="485">
        <f t="shared" ref="AL170" si="75">SUMPRODUCT($C$153:$C$155,AL166:AL168)</f>
        <v>992.62124554058289</v>
      </c>
    </row>
    <row r="171" spans="2:38">
      <c r="D171" s="358"/>
      <c r="F171" s="464"/>
      <c r="G171" s="465"/>
      <c r="H171" s="465"/>
    </row>
    <row r="172" spans="2:38">
      <c r="B172" s="1177" t="s">
        <v>715</v>
      </c>
      <c r="C172" s="358" t="s">
        <v>295</v>
      </c>
      <c r="D172" s="383">
        <f>'900 South'!D32</f>
        <v>238.97461945997713</v>
      </c>
      <c r="E172" s="383">
        <f>'900 South'!E32</f>
        <v>248.63238568905444</v>
      </c>
      <c r="F172" s="383">
        <f>'900 South'!F32</f>
        <v>258.68045465716847</v>
      </c>
      <c r="G172" s="383">
        <f>'900 South'!G32</f>
        <v>269.13459980762775</v>
      </c>
      <c r="H172" s="383">
        <f>'900 South'!H32</f>
        <v>280.01123204151082</v>
      </c>
      <c r="I172" s="383">
        <f>'900 South'!I32</f>
        <v>291.3274254794743</v>
      </c>
      <c r="J172" s="383">
        <f>'900 South'!J32</f>
        <v>303.10094426468112</v>
      </c>
      <c r="K172" s="383">
        <f>'900 South'!K32</f>
        <v>315.35027044892536</v>
      </c>
      <c r="L172" s="383">
        <f>'900 South'!L32</f>
        <v>328.0946330057285</v>
      </c>
      <c r="M172" s="383">
        <f>'900 South'!M32</f>
        <v>341.35403801595345</v>
      </c>
      <c r="N172" s="383">
        <f>'900 South'!N32</f>
        <v>355.14930007331918</v>
      </c>
      <c r="O172" s="383">
        <f>'900 South'!O32</f>
        <v>369.50207495911815</v>
      </c>
      <c r="P172" s="383">
        <f>'900 South'!P32</f>
        <v>384.43489363742901</v>
      </c>
      <c r="Q172" s="383">
        <f>'900 South'!Q32</f>
        <v>399.97119762418896</v>
      </c>
      <c r="R172" s="383">
        <f>'900 South'!R32</f>
        <v>416.13537578564996</v>
      </c>
      <c r="S172" s="383">
        <f>'900 South'!S32</f>
        <v>432.95280262398495</v>
      </c>
      <c r="T172" s="383">
        <f>'900 South'!T32</f>
        <v>450.44987811013942</v>
      </c>
      <c r="U172" s="383">
        <f>'900 South'!U32</f>
        <v>468.65406912646893</v>
      </c>
      <c r="V172" s="383">
        <f>'900 South'!V32</f>
        <v>487.59395258420693</v>
      </c>
      <c r="W172" s="383">
        <f>'900 South'!W32</f>
        <v>507.29926028345716</v>
      </c>
      <c r="X172" s="383">
        <f>'900 South'!X32</f>
        <v>527.80092558612739</v>
      </c>
      <c r="Y172" s="383">
        <f>'900 South'!Y32</f>
        <v>549.13113197507471</v>
      </c>
      <c r="Z172" s="383">
        <f>'900 South'!Z32</f>
        <v>571.32336357568624</v>
      </c>
      <c r="AA172" s="383">
        <f>'900 South'!AA32</f>
        <v>594.41245771921001</v>
      </c>
      <c r="AB172" s="383">
        <f>'900 South'!AB32</f>
        <v>618.43465963034146</v>
      </c>
      <c r="AC172" s="383">
        <f>'900 South'!AC32</f>
        <v>643.42767932492484</v>
      </c>
      <c r="AD172" s="383">
        <f>'900 South'!AD32</f>
        <v>669.43075080707649</v>
      </c>
      <c r="AE172" s="383">
        <f>'900 South'!AE32</f>
        <v>696.48469365866549</v>
      </c>
      <c r="AF172" s="383">
        <f>'900 South'!AF32</f>
        <v>724.63197711783016</v>
      </c>
      <c r="AG172" s="383">
        <f>'900 South'!AG32</f>
        <v>753.91678674712261</v>
      </c>
      <c r="AH172" s="383">
        <f>'900 South'!AH32</f>
        <v>784.38509379593995</v>
      </c>
      <c r="AI172" s="383">
        <f>'900 South'!AI32</f>
        <v>816.08472736611782</v>
      </c>
      <c r="AJ172" s="383">
        <f>'900 South'!AJ32</f>
        <v>849.06544949398506</v>
      </c>
      <c r="AK172" s="383">
        <f>'900 South'!AK32</f>
        <v>883.37903326672767</v>
      </c>
      <c r="AL172" s="383">
        <f>'900 South'!AL32</f>
        <v>919.07934409570748</v>
      </c>
    </row>
    <row r="173" spans="2:38">
      <c r="B173" s="1177" t="s">
        <v>716</v>
      </c>
      <c r="C173" s="358" t="s">
        <v>295</v>
      </c>
      <c r="D173" s="383">
        <f>'900 South'!D33</f>
        <v>62.389644241299393</v>
      </c>
      <c r="E173" s="383">
        <f>'900 South'!E33</f>
        <v>64.91101910763193</v>
      </c>
      <c r="F173" s="383">
        <f>'900 South'!F33</f>
        <v>67.534291192547485</v>
      </c>
      <c r="G173" s="383">
        <f>'900 South'!G33</f>
        <v>70.263578504555511</v>
      </c>
      <c r="H173" s="383">
        <f>'900 South'!H33</f>
        <v>73.103165474706799</v>
      </c>
      <c r="I173" s="383">
        <f>'900 South'!I33</f>
        <v>76.057509682286991</v>
      </c>
      <c r="J173" s="383">
        <f>'900 South'!J33</f>
        <v>79.131248852317697</v>
      </c>
      <c r="K173" s="383">
        <f>'900 South'!K33</f>
        <v>82.329208135849967</v>
      </c>
      <c r="L173" s="383">
        <f>'900 South'!L33</f>
        <v>85.656407684479248</v>
      </c>
      <c r="M173" s="383">
        <f>'900 South'!M33</f>
        <v>89.118070530971522</v>
      </c>
      <c r="N173" s="383">
        <f>'900 South'!N33</f>
        <v>92.71963078837237</v>
      </c>
      <c r="O173" s="383">
        <f>'900 South'!O33</f>
        <v>96.466742180469069</v>
      </c>
      <c r="P173" s="383">
        <f>'900 South'!P33</f>
        <v>100.36528691699777</v>
      </c>
      <c r="Q173" s="383">
        <f>'900 South'!Q33</f>
        <v>104.42138492752719</v>
      </c>
      <c r="R173" s="383">
        <f>'900 South'!R33</f>
        <v>108.6414034685147</v>
      </c>
      <c r="S173" s="383">
        <f>'900 South'!S33</f>
        <v>113.03196711861612</v>
      </c>
      <c r="T173" s="383">
        <f>'900 South'!T33</f>
        <v>117.59996817793849</v>
      </c>
      <c r="U173" s="383">
        <f>'900 South'!U33</f>
        <v>122.35257748756298</v>
      </c>
      <c r="V173" s="383">
        <f>'900 South'!V33</f>
        <v>127.29725568631977</v>
      </c>
      <c r="W173" s="383">
        <f>'900 South'!W33</f>
        <v>132.44176492248766</v>
      </c>
      <c r="X173" s="383">
        <f>'900 South'!X33</f>
        <v>137.79418103880252</v>
      </c>
      <c r="Y173" s="383">
        <f>'900 South'!Y33</f>
        <v>143.36290624990295</v>
      </c>
      <c r="Z173" s="383">
        <f>'900 South'!Z33</f>
        <v>149.15668233211389</v>
      </c>
      <c r="AA173" s="383">
        <f>'900 South'!AA33</f>
        <v>155.18460434627394</v>
      </c>
      <c r="AB173" s="383">
        <f>'900 South'!AB33</f>
        <v>161.45613491514743</v>
      </c>
      <c r="AC173" s="383">
        <f>'900 South'!AC33</f>
        <v>167.98111907783584</v>
      </c>
      <c r="AD173" s="383">
        <f>'900 South'!AD33</f>
        <v>174.76979974450481</v>
      </c>
      <c r="AE173" s="383">
        <f>'900 South'!AE33</f>
        <v>181.8328337756889</v>
      </c>
      <c r="AF173" s="383">
        <f>'900 South'!AF33</f>
        <v>189.18130871141486</v>
      </c>
      <c r="AG173" s="383">
        <f>'900 South'!AG33</f>
        <v>196.82676017640495</v>
      </c>
      <c r="AH173" s="383">
        <f>'900 South'!AH33</f>
        <v>204.78118998868359</v>
      </c>
      <c r="AI173" s="383">
        <f>'900 South'!AI33</f>
        <v>213.05708500001208</v>
      </c>
      <c r="AJ173" s="383">
        <f>'900 South'!AJ33</f>
        <v>221.66743669773038</v>
      </c>
      <c r="AK173" s="383">
        <f>'900 South'!AK33</f>
        <v>230.62576159877273</v>
      </c>
      <c r="AL173" s="383">
        <f>'900 South'!AL33</f>
        <v>239.94612246787702</v>
      </c>
    </row>
    <row r="174" spans="2:38">
      <c r="D174" s="358"/>
      <c r="F174" s="464"/>
      <c r="G174" s="465"/>
      <c r="H174" s="465"/>
    </row>
    <row r="175" spans="2:38">
      <c r="B175" s="358" t="s">
        <v>208</v>
      </c>
      <c r="C175" s="362" t="s">
        <v>292</v>
      </c>
      <c r="D175" s="485">
        <f>SUMPRODUCT(D172:D173,D$150:D$151)</f>
        <v>651.65517883022108</v>
      </c>
      <c r="E175" s="485">
        <f t="shared" ref="E175:AK175" si="76">SUMPRODUCT(E172:E173,E$150:E$151)</f>
        <v>682.46334699949739</v>
      </c>
      <c r="F175" s="485">
        <f t="shared" si="76"/>
        <v>710.04329640518074</v>
      </c>
      <c r="G175" s="485">
        <f t="shared" si="76"/>
        <v>734.74165509628597</v>
      </c>
      <c r="H175" s="485">
        <f t="shared" si="76"/>
        <v>775.40053296964788</v>
      </c>
      <c r="I175" s="485">
        <f t="shared" si="76"/>
        <v>818.87174580427222</v>
      </c>
      <c r="J175" s="485">
        <f t="shared" si="76"/>
        <v>863.74534781304669</v>
      </c>
      <c r="K175" s="485">
        <f t="shared" si="76"/>
        <v>908.27487969096933</v>
      </c>
      <c r="L175" s="485">
        <f t="shared" si="76"/>
        <v>960.56729626309459</v>
      </c>
      <c r="M175" s="485">
        <f t="shared" si="76"/>
        <v>1035.5376856679336</v>
      </c>
      <c r="N175" s="485">
        <f t="shared" si="76"/>
        <v>1089.1708643110167</v>
      </c>
      <c r="O175" s="485">
        <f t="shared" si="76"/>
        <v>1146.1362541768567</v>
      </c>
      <c r="P175" s="485">
        <f t="shared" si="76"/>
        <v>1218.7228018083451</v>
      </c>
      <c r="Q175" s="485">
        <f t="shared" si="76"/>
        <v>1290.7506776991449</v>
      </c>
      <c r="R175" s="485">
        <f t="shared" si="76"/>
        <v>1360.4618905433849</v>
      </c>
      <c r="S175" s="485">
        <f t="shared" si="76"/>
        <v>1436.1394539187172</v>
      </c>
      <c r="T175" s="485">
        <f t="shared" si="76"/>
        <v>1502.7125113722541</v>
      </c>
      <c r="U175" s="485">
        <f t="shared" si="76"/>
        <v>1583.9343471867564</v>
      </c>
      <c r="V175" s="485">
        <f t="shared" si="76"/>
        <v>1673.2493391865871</v>
      </c>
      <c r="W175" s="485">
        <f t="shared" si="76"/>
        <v>1747.9432018451735</v>
      </c>
      <c r="X175" s="485">
        <f t="shared" si="76"/>
        <v>1835.0387257526854</v>
      </c>
      <c r="Y175" s="485">
        <f t="shared" si="76"/>
        <v>1944.7506111446085</v>
      </c>
      <c r="Z175" s="485">
        <f t="shared" si="76"/>
        <v>2043.1655660590804</v>
      </c>
      <c r="AA175" s="485">
        <f t="shared" si="76"/>
        <v>2146.6910173011843</v>
      </c>
      <c r="AB175" s="485">
        <f t="shared" si="76"/>
        <v>2269.0136750732845</v>
      </c>
      <c r="AC175" s="485">
        <f t="shared" si="76"/>
        <v>2369.4238374557394</v>
      </c>
      <c r="AD175" s="485">
        <f t="shared" si="76"/>
        <v>2511.2746662012773</v>
      </c>
      <c r="AE175" s="485">
        <f t="shared" si="76"/>
        <v>2647.278387195769</v>
      </c>
      <c r="AF175" s="485">
        <f t="shared" si="76"/>
        <v>2781.8099359794328</v>
      </c>
      <c r="AG175" s="485">
        <f t="shared" si="76"/>
        <v>2919.1674203482485</v>
      </c>
      <c r="AH175" s="485">
        <f t="shared" si="76"/>
        <v>3068.2064104334072</v>
      </c>
      <c r="AI175" s="485">
        <f t="shared" si="76"/>
        <v>3224.7397823601714</v>
      </c>
      <c r="AJ175" s="485">
        <f t="shared" si="76"/>
        <v>3389.1407086457398</v>
      </c>
      <c r="AK175" s="485">
        <f t="shared" si="76"/>
        <v>3561.8008236826349</v>
      </c>
      <c r="AL175" s="485">
        <f t="shared" ref="AL175" si="77">SUMPRODUCT(AL172:AL173,AL$150:AL$151)</f>
        <v>3743.1311331644283</v>
      </c>
    </row>
    <row r="177" spans="1:38" ht="13">
      <c r="B177" s="364" t="s">
        <v>527</v>
      </c>
      <c r="C177" s="387" t="s">
        <v>292</v>
      </c>
      <c r="D177" s="488">
        <f>D170+D175</f>
        <v>909.75181210223104</v>
      </c>
      <c r="E177" s="488">
        <f t="shared" ref="E177:AK177" si="78">E170+E175</f>
        <v>950.99053124083503</v>
      </c>
      <c r="F177" s="488">
        <f t="shared" si="78"/>
        <v>989.42256517924227</v>
      </c>
      <c r="G177" s="488">
        <f t="shared" si="78"/>
        <v>1025.4115775521805</v>
      </c>
      <c r="H177" s="488">
        <f t="shared" si="78"/>
        <v>1077.8174023073773</v>
      </c>
      <c r="I177" s="488">
        <f t="shared" si="78"/>
        <v>1133.5102955630989</v>
      </c>
      <c r="J177" s="488">
        <f t="shared" si="78"/>
        <v>1191.0994971074783</v>
      </c>
      <c r="K177" s="488">
        <f t="shared" si="78"/>
        <v>1248.8585085642296</v>
      </c>
      <c r="L177" s="488">
        <f t="shared" si="78"/>
        <v>1314.9150523752296</v>
      </c>
      <c r="M177" s="488">
        <f t="shared" si="78"/>
        <v>1404.2058235848913</v>
      </c>
      <c r="N177" s="488">
        <f t="shared" si="78"/>
        <v>1472.7381187122146</v>
      </c>
      <c r="O177" s="488">
        <f t="shared" si="78"/>
        <v>1545.2047483519971</v>
      </c>
      <c r="P177" s="488">
        <f t="shared" si="78"/>
        <v>1633.9189928696351</v>
      </c>
      <c r="Q177" s="488">
        <f t="shared" si="78"/>
        <v>1722.7263399927126</v>
      </c>
      <c r="R177" s="488">
        <f t="shared" si="78"/>
        <v>1809.895138803653</v>
      </c>
      <c r="S177" s="488">
        <f t="shared" si="78"/>
        <v>1903.7358077718766</v>
      </c>
      <c r="T177" s="488">
        <f t="shared" si="78"/>
        <v>1989.2060028598935</v>
      </c>
      <c r="U177" s="488">
        <f t="shared" si="78"/>
        <v>2090.0886730482407</v>
      </c>
      <c r="V177" s="488">
        <f t="shared" si="78"/>
        <v>2199.8590597090306</v>
      </c>
      <c r="W177" s="488">
        <f t="shared" si="78"/>
        <v>2295.8349881629656</v>
      </c>
      <c r="X177" s="488">
        <f t="shared" si="78"/>
        <v>2405.0726575545714</v>
      </c>
      <c r="Y177" s="488">
        <f t="shared" si="78"/>
        <v>2537.8215268254721</v>
      </c>
      <c r="Z177" s="488">
        <f t="shared" si="78"/>
        <v>2660.2044674358885</v>
      </c>
      <c r="AA177" s="488">
        <f t="shared" si="78"/>
        <v>2788.6665310982166</v>
      </c>
      <c r="AB177" s="488">
        <f t="shared" si="78"/>
        <v>2936.9335734708825</v>
      </c>
      <c r="AC177" s="488">
        <f t="shared" si="78"/>
        <v>3064.3366200895371</v>
      </c>
      <c r="AD177" s="488">
        <f t="shared" si="78"/>
        <v>3234.2712060953254</v>
      </c>
      <c r="AE177" s="488">
        <f t="shared" si="78"/>
        <v>3399.4936432133422</v>
      </c>
      <c r="AF177" s="488">
        <f t="shared" si="78"/>
        <v>3564.4247344797172</v>
      </c>
      <c r="AG177" s="488">
        <f t="shared" si="78"/>
        <v>3733.410308845755</v>
      </c>
      <c r="AH177" s="488">
        <f t="shared" si="78"/>
        <v>3915.3555861699847</v>
      </c>
      <c r="AI177" s="488">
        <f t="shared" si="78"/>
        <v>4106.1250988170796</v>
      </c>
      <c r="AJ177" s="488">
        <f t="shared" si="78"/>
        <v>4306.145763145616</v>
      </c>
      <c r="AK177" s="488">
        <f t="shared" si="78"/>
        <v>4515.8651293584508</v>
      </c>
      <c r="AL177" s="488">
        <f t="shared" ref="AL177" si="79">AL170+AL175</f>
        <v>4735.7523787050113</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'900 South'!D48</f>
        <v>668.46047401392207</v>
      </c>
      <c r="E181" s="383">
        <f>'900 South'!E48</f>
        <v>695.47520472462782</v>
      </c>
      <c r="F181" s="383">
        <f>'900 South'!F48</f>
        <v>723.58169134872298</v>
      </c>
      <c r="G181" s="383">
        <f>'900 South'!G48</f>
        <v>752.82405540595175</v>
      </c>
      <c r="H181" s="383">
        <f>'900 South'!H48</f>
        <v>1044.3309353529546</v>
      </c>
      <c r="I181" s="383">
        <f>'900 South'!I48</f>
        <v>1086.5358526041002</v>
      </c>
      <c r="J181" s="383">
        <f>'900 South'!J48</f>
        <v>1130.4464121759672</v>
      </c>
      <c r="K181" s="383">
        <f>'900 South'!K48</f>
        <v>1176.1315447978568</v>
      </c>
      <c r="L181" s="383">
        <f>'900 South'!L48</f>
        <v>1223.6629669211318</v>
      </c>
      <c r="M181" s="383">
        <f>'900 South'!M48</f>
        <v>1273.1152932995933</v>
      </c>
      <c r="N181" s="383">
        <f>'900 South'!N48</f>
        <v>1324.5661541196052</v>
      </c>
      <c r="O181" s="383">
        <f>'900 South'!O48</f>
        <v>1378.0963168638441</v>
      </c>
      <c r="P181" s="383">
        <f>'900 South'!P48</f>
        <v>1433.7898130999681</v>
      </c>
      <c r="Q181" s="383">
        <f>'900 South'!Q48</f>
        <v>1491.7340703932455</v>
      </c>
      <c r="R181" s="383">
        <f>'900 South'!R48</f>
        <v>1552.0200495502097</v>
      </c>
      <c r="S181" s="383">
        <f>'900 South'!S48</f>
        <v>1614.7423874088013</v>
      </c>
      <c r="T181" s="383">
        <f>'900 South'!T48</f>
        <v>1679.9995453991216</v>
      </c>
      <c r="U181" s="383">
        <f>'900 South'!U48</f>
        <v>1747.8939641080426</v>
      </c>
      <c r="V181" s="383">
        <f>'900 South'!V48</f>
        <v>1818.5322240902819</v>
      </c>
      <c r="W181" s="383">
        <f>'900 South'!W48</f>
        <v>1892.0252131783955</v>
      </c>
      <c r="X181" s="383">
        <f>'900 South'!X48</f>
        <v>1968.4883005543218</v>
      </c>
      <c r="Y181" s="383">
        <f>'900 South'!Y48</f>
        <v>2048.0415178557564</v>
      </c>
      <c r="Z181" s="383">
        <f>'900 South'!Z48</f>
        <v>2130.8097476016269</v>
      </c>
      <c r="AA181" s="383">
        <f>'900 South'!AA48</f>
        <v>2216.9229192324847</v>
      </c>
      <c r="AB181" s="383">
        <f>'900 South'!AB48</f>
        <v>2306.5162130735339</v>
      </c>
      <c r="AC181" s="383">
        <f>'900 South'!AC48</f>
        <v>2399.730272540512</v>
      </c>
      <c r="AD181" s="383">
        <f>'900 South'!AD48</f>
        <v>2496.7114249214983</v>
      </c>
      <c r="AE181" s="383">
        <f>'900 South'!AE48</f>
        <v>2597.6119110812715</v>
      </c>
      <c r="AF181" s="383">
        <f>'900 South'!AF48</f>
        <v>2702.5901244487827</v>
      </c>
      <c r="AG181" s="383">
        <f>'900 South'!AG48</f>
        <v>2811.8108596629286</v>
      </c>
      <c r="AH181" s="383">
        <f>'900 South'!AH48</f>
        <v>2925.4455712669078</v>
      </c>
      <c r="AI181" s="383">
        <f>'900 South'!AI48</f>
        <v>3043.6726428573156</v>
      </c>
      <c r="AJ181" s="383">
        <f>'900 South'!AJ48</f>
        <v>3166.677667110433</v>
      </c>
      <c r="AK181" s="383">
        <f>'900 South'!AK48</f>
        <v>3294.6537371253248</v>
      </c>
      <c r="AL181" s="383">
        <f>'900 South'!AL48</f>
        <v>3427.8017495411004</v>
      </c>
    </row>
    <row r="182" spans="1:38">
      <c r="B182" s="385" t="s">
        <v>509</v>
      </c>
      <c r="C182" s="386" t="s">
        <v>443</v>
      </c>
      <c r="D182" s="383">
        <f>'900 South'!D49</f>
        <v>74.273386001546896</v>
      </c>
      <c r="E182" s="383">
        <f>'900 South'!E49</f>
        <v>77.27502274718087</v>
      </c>
      <c r="F182" s="383">
        <f>'900 South'!F49</f>
        <v>80.397965705413668</v>
      </c>
      <c r="G182" s="383">
        <f>'900 South'!G49</f>
        <v>83.647117267327985</v>
      </c>
      <c r="H182" s="383">
        <f>'900 South'!H49</f>
        <v>116.03677059477273</v>
      </c>
      <c r="I182" s="383">
        <f>'900 South'!I49</f>
        <v>120.72620584490004</v>
      </c>
      <c r="J182" s="383">
        <f>'900 South'!J49</f>
        <v>125.60515690844079</v>
      </c>
      <c r="K182" s="383">
        <f>'900 South'!K49</f>
        <v>130.68128275531743</v>
      </c>
      <c r="L182" s="383">
        <f>'900 South'!L49</f>
        <v>135.96255188012577</v>
      </c>
      <c r="M182" s="383">
        <f>'900 South'!M49</f>
        <v>141.45725481106592</v>
      </c>
      <c r="N182" s="383">
        <f>'900 South'!N49</f>
        <v>147.17401712440059</v>
      </c>
      <c r="O182" s="383">
        <f>'900 South'!O49</f>
        <v>153.12181298487155</v>
      </c>
      <c r="P182" s="383">
        <f>'900 South'!P49</f>
        <v>159.30997923332981</v>
      </c>
      <c r="Q182" s="383">
        <f>'900 South'!Q49</f>
        <v>165.74823004369395</v>
      </c>
      <c r="R182" s="383">
        <f>'900 South'!R49</f>
        <v>172.44667217224554</v>
      </c>
      <c r="S182" s="383">
        <f>'900 South'!S49</f>
        <v>179.41582082320016</v>
      </c>
      <c r="T182" s="383">
        <f>'900 South'!T49</f>
        <v>186.66661615545797</v>
      </c>
      <c r="U182" s="383">
        <f>'900 South'!U49</f>
        <v>194.21044045644919</v>
      </c>
      <c r="V182" s="383">
        <f>'900 South'!V49</f>
        <v>202.05913601003135</v>
      </c>
      <c r="W182" s="383">
        <f>'900 South'!W49</f>
        <v>210.22502368648838</v>
      </c>
      <c r="X182" s="383">
        <f>'900 South'!X49</f>
        <v>218.72092228381354</v>
      </c>
      <c r="Y182" s="383">
        <f>'900 South'!Y49</f>
        <v>227.56016865063958</v>
      </c>
      <c r="Z182" s="383">
        <f>'900 South'!Z49</f>
        <v>236.75663862240299</v>
      </c>
      <c r="AA182" s="383">
        <f>'900 South'!AA49</f>
        <v>246.32476880360943</v>
      </c>
      <c r="AB182" s="383">
        <f>'900 South'!AB49</f>
        <v>256.2795792303927</v>
      </c>
      <c r="AC182" s="383">
        <f>'900 South'!AC49</f>
        <v>266.63669694894583</v>
      </c>
      <c r="AD182" s="383">
        <f>'900 South'!AD49</f>
        <v>277.41238054683316</v>
      </c>
      <c r="AE182" s="383">
        <f>'900 South'!AE49</f>
        <v>288.62354567569685</v>
      </c>
      <c r="AF182" s="383">
        <f>'900 South'!AF49</f>
        <v>300.2877916054203</v>
      </c>
      <c r="AG182" s="383">
        <f>'900 South'!AG49</f>
        <v>312.42342885143648</v>
      </c>
      <c r="AH182" s="383">
        <f>'900 South'!AH49</f>
        <v>325.04950791854532</v>
      </c>
      <c r="AI182" s="383">
        <f>'900 South'!AI49</f>
        <v>338.1858492063684</v>
      </c>
      <c r="AJ182" s="383">
        <f>'900 South'!AJ49</f>
        <v>351.85307412338148</v>
      </c>
      <c r="AK182" s="383">
        <f>'900 South'!AK49</f>
        <v>366.0726374583694</v>
      </c>
      <c r="AL182" s="383">
        <f>'900 South'!AL49</f>
        <v>380.86686106012229</v>
      </c>
    </row>
    <row r="183" spans="1:38">
      <c r="B183" s="358" t="s">
        <v>769</v>
      </c>
      <c r="C183" s="358" t="s">
        <v>443</v>
      </c>
      <c r="D183" s="383">
        <f>'900 South'!D50</f>
        <v>0</v>
      </c>
      <c r="E183" s="383">
        <f>'900 South'!E50</f>
        <v>0</v>
      </c>
      <c r="F183" s="383">
        <f>'900 South'!F50</f>
        <v>0</v>
      </c>
      <c r="G183" s="383">
        <f>'900 South'!G50</f>
        <v>0</v>
      </c>
      <c r="H183" s="383">
        <f>'900 South'!H50</f>
        <v>0</v>
      </c>
      <c r="I183" s="383">
        <f>'900 South'!I50</f>
        <v>0</v>
      </c>
      <c r="J183" s="383">
        <f>'900 South'!J50</f>
        <v>0</v>
      </c>
      <c r="K183" s="383">
        <f>'900 South'!K50</f>
        <v>0</v>
      </c>
      <c r="L183" s="383">
        <f>'900 South'!L50</f>
        <v>0</v>
      </c>
      <c r="M183" s="383">
        <f>'900 South'!M50</f>
        <v>0</v>
      </c>
      <c r="N183" s="383">
        <f>'900 South'!N50</f>
        <v>0</v>
      </c>
      <c r="O183" s="383">
        <f>'900 South'!O50</f>
        <v>0</v>
      </c>
      <c r="P183" s="383">
        <f>'900 South'!P50</f>
        <v>0</v>
      </c>
      <c r="Q183" s="383">
        <f>'900 South'!Q50</f>
        <v>0</v>
      </c>
      <c r="R183" s="383">
        <f>'900 South'!R50</f>
        <v>0</v>
      </c>
      <c r="S183" s="383">
        <f>'900 South'!S50</f>
        <v>0</v>
      </c>
      <c r="T183" s="383">
        <f>'900 South'!T50</f>
        <v>0</v>
      </c>
      <c r="U183" s="383">
        <f>'900 South'!U50</f>
        <v>0</v>
      </c>
      <c r="V183" s="383">
        <f>'900 South'!V50</f>
        <v>0</v>
      </c>
      <c r="W183" s="383">
        <f>'900 South'!W50</f>
        <v>0</v>
      </c>
      <c r="X183" s="383">
        <f>'900 South'!X50</f>
        <v>0</v>
      </c>
      <c r="Y183" s="383">
        <f>'900 South'!Y50</f>
        <v>0</v>
      </c>
      <c r="Z183" s="383">
        <f>'900 South'!Z50</f>
        <v>0</v>
      </c>
      <c r="AA183" s="383">
        <f>'900 South'!AA50</f>
        <v>0</v>
      </c>
      <c r="AB183" s="383">
        <f>'900 South'!AB50</f>
        <v>0</v>
      </c>
      <c r="AC183" s="383">
        <f>'900 South'!AC50</f>
        <v>0</v>
      </c>
      <c r="AD183" s="383">
        <f>'900 South'!AD50</f>
        <v>0</v>
      </c>
      <c r="AE183" s="383">
        <f>'900 South'!AE50</f>
        <v>0</v>
      </c>
      <c r="AF183" s="383">
        <f>'900 South'!AF50</f>
        <v>0</v>
      </c>
      <c r="AG183" s="383">
        <f>'900 South'!AG50</f>
        <v>0</v>
      </c>
      <c r="AH183" s="383">
        <f>'900 South'!AH50</f>
        <v>0</v>
      </c>
      <c r="AI183" s="383">
        <f>'900 South'!AI50</f>
        <v>0</v>
      </c>
      <c r="AJ183" s="383">
        <f>'900 South'!AJ50</f>
        <v>0</v>
      </c>
      <c r="AK183" s="383">
        <f>'900 South'!AK50</f>
        <v>0</v>
      </c>
      <c r="AL183" s="383">
        <f>'900 South'!AL50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23.061886353480308</v>
      </c>
      <c r="E185" s="383">
        <f t="shared" ref="E185:AK187" si="80">E181*$C163</f>
        <v>23.993894562999657</v>
      </c>
      <c r="F185" s="383">
        <f t="shared" si="80"/>
        <v>24.963568351530942</v>
      </c>
      <c r="G185" s="383">
        <f t="shared" si="80"/>
        <v>25.972429911505333</v>
      </c>
      <c r="H185" s="383">
        <f t="shared" si="80"/>
        <v>36.029417269676927</v>
      </c>
      <c r="I185" s="383">
        <f t="shared" si="80"/>
        <v>37.485486914841452</v>
      </c>
      <c r="J185" s="383">
        <f t="shared" si="80"/>
        <v>39.000401220070863</v>
      </c>
      <c r="K185" s="383">
        <f t="shared" si="80"/>
        <v>40.576538295526056</v>
      </c>
      <c r="L185" s="383">
        <f t="shared" si="80"/>
        <v>42.21637235877904</v>
      </c>
      <c r="M185" s="383">
        <f t="shared" si="80"/>
        <v>43.922477618835963</v>
      </c>
      <c r="N185" s="383">
        <f t="shared" si="80"/>
        <v>45.697532317126374</v>
      </c>
      <c r="O185" s="383">
        <f t="shared" si="80"/>
        <v>47.544322931802618</v>
      </c>
      <c r="P185" s="383">
        <f t="shared" si="80"/>
        <v>49.465748551948892</v>
      </c>
      <c r="Q185" s="383">
        <f t="shared" si="80"/>
        <v>51.464825428566961</v>
      </c>
      <c r="R185" s="383">
        <f t="shared" si="80"/>
        <v>53.54469170948223</v>
      </c>
      <c r="S185" s="383">
        <f t="shared" si="80"/>
        <v>55.708612365603635</v>
      </c>
      <c r="T185" s="383">
        <f t="shared" si="80"/>
        <v>57.95998431626969</v>
      </c>
      <c r="U185" s="383">
        <f t="shared" si="80"/>
        <v>60.302341761727462</v>
      </c>
      <c r="V185" s="383">
        <f t="shared" si="80"/>
        <v>62.73936173111472</v>
      </c>
      <c r="W185" s="383">
        <f t="shared" si="80"/>
        <v>65.274869854654639</v>
      </c>
      <c r="X185" s="383">
        <f t="shared" si="80"/>
        <v>67.912846369124097</v>
      </c>
      <c r="Y185" s="383">
        <f t="shared" si="80"/>
        <v>70.657432366023585</v>
      </c>
      <c r="Z185" s="383">
        <f t="shared" si="80"/>
        <v>73.512936292256114</v>
      </c>
      <c r="AA185" s="383">
        <f t="shared" si="80"/>
        <v>76.483840713520706</v>
      </c>
      <c r="AB185" s="383">
        <f t="shared" si="80"/>
        <v>79.574809351036905</v>
      </c>
      <c r="AC185" s="383">
        <f t="shared" si="80"/>
        <v>82.790694402647659</v>
      </c>
      <c r="AD185" s="383">
        <f t="shared" si="80"/>
        <v>86.136544159791683</v>
      </c>
      <c r="AE185" s="383">
        <f t="shared" si="80"/>
        <v>89.617610932303862</v>
      </c>
      <c r="AF185" s="383">
        <f t="shared" si="80"/>
        <v>93.239359293482991</v>
      </c>
      <c r="AG185" s="383">
        <f t="shared" si="80"/>
        <v>97.007474658371024</v>
      </c>
      <c r="AH185" s="383">
        <f t="shared" si="80"/>
        <v>100.92787220870831</v>
      </c>
      <c r="AI185" s="383">
        <f t="shared" si="80"/>
        <v>105.00670617857737</v>
      </c>
      <c r="AJ185" s="383">
        <f t="shared" si="80"/>
        <v>109.25037951530993</v>
      </c>
      <c r="AK185" s="383">
        <f t="shared" si="80"/>
        <v>113.66555393082369</v>
      </c>
      <c r="AL185" s="383">
        <f t="shared" ref="AL185" si="81">AL181*$C163</f>
        <v>118.25916035916795</v>
      </c>
    </row>
    <row r="186" spans="1:38">
      <c r="B186" s="385" t="s">
        <v>501</v>
      </c>
      <c r="C186" s="386" t="s">
        <v>479</v>
      </c>
      <c r="D186" s="383">
        <f>D182*$C164</f>
        <v>2.5624318170533678</v>
      </c>
      <c r="E186" s="383">
        <f t="shared" si="80"/>
        <v>2.6659882847777396</v>
      </c>
      <c r="F186" s="383">
        <f t="shared" si="80"/>
        <v>2.773729816836771</v>
      </c>
      <c r="G186" s="383">
        <f t="shared" si="80"/>
        <v>2.885825545722815</v>
      </c>
      <c r="H186" s="383">
        <f t="shared" si="80"/>
        <v>4.0032685855196588</v>
      </c>
      <c r="I186" s="383">
        <f t="shared" si="80"/>
        <v>4.1650541016490505</v>
      </c>
      <c r="J186" s="383">
        <f t="shared" si="80"/>
        <v>4.3333779133412067</v>
      </c>
      <c r="K186" s="383">
        <f t="shared" si="80"/>
        <v>4.5085042550584511</v>
      </c>
      <c r="L186" s="383">
        <f t="shared" si="80"/>
        <v>4.6907080398643384</v>
      </c>
      <c r="M186" s="383">
        <f t="shared" si="80"/>
        <v>4.8802752909817739</v>
      </c>
      <c r="N186" s="383">
        <f t="shared" si="80"/>
        <v>5.07750359079182</v>
      </c>
      <c r="O186" s="383">
        <f t="shared" si="80"/>
        <v>5.2827025479780678</v>
      </c>
      <c r="P186" s="383">
        <f t="shared" si="80"/>
        <v>5.4961942835498778</v>
      </c>
      <c r="Q186" s="383">
        <f t="shared" si="80"/>
        <v>5.7183139365074407</v>
      </c>
      <c r="R186" s="383">
        <f t="shared" si="80"/>
        <v>5.9494101899424701</v>
      </c>
      <c r="S186" s="383">
        <f t="shared" si="80"/>
        <v>6.1898458184004053</v>
      </c>
      <c r="T186" s="383">
        <f t="shared" si="80"/>
        <v>6.4399982573632997</v>
      </c>
      <c r="U186" s="383">
        <f t="shared" si="80"/>
        <v>6.7002601957474965</v>
      </c>
      <c r="V186" s="383">
        <f t="shared" si="80"/>
        <v>6.9710401923460807</v>
      </c>
      <c r="W186" s="383">
        <f t="shared" si="80"/>
        <v>7.2527633171838488</v>
      </c>
      <c r="X186" s="383">
        <f t="shared" si="80"/>
        <v>7.5458718187915661</v>
      </c>
      <c r="Y186" s="383">
        <f t="shared" si="80"/>
        <v>7.8508258184470643</v>
      </c>
      <c r="Z186" s="383">
        <f t="shared" si="80"/>
        <v>8.1681040324729022</v>
      </c>
      <c r="AA186" s="383">
        <f t="shared" si="80"/>
        <v>8.4982045237245245</v>
      </c>
      <c r="AB186" s="383">
        <f t="shared" si="80"/>
        <v>8.8416454834485467</v>
      </c>
      <c r="AC186" s="383">
        <f t="shared" si="80"/>
        <v>9.1989660447386292</v>
      </c>
      <c r="AD186" s="383">
        <f t="shared" si="80"/>
        <v>9.5707271288657427</v>
      </c>
      <c r="AE186" s="383">
        <f t="shared" si="80"/>
        <v>9.9575123258115408</v>
      </c>
      <c r="AF186" s="383">
        <f t="shared" si="80"/>
        <v>10.359928810386998</v>
      </c>
      <c r="AG186" s="383">
        <f t="shared" si="80"/>
        <v>10.778608295374557</v>
      </c>
      <c r="AH186" s="383">
        <f t="shared" si="80"/>
        <v>11.214208023189812</v>
      </c>
      <c r="AI186" s="383">
        <f t="shared" si="80"/>
        <v>11.667411797619708</v>
      </c>
      <c r="AJ186" s="383">
        <f t="shared" si="80"/>
        <v>12.138931057256659</v>
      </c>
      <c r="AK186" s="383">
        <f t="shared" si="80"/>
        <v>12.629505992313742</v>
      </c>
      <c r="AL186" s="383">
        <f t="shared" ref="AL186" si="82">AL182*$C164</f>
        <v>13.139906706574218</v>
      </c>
    </row>
    <row r="187" spans="1:38">
      <c r="B187" s="385" t="s">
        <v>768</v>
      </c>
      <c r="C187" s="386" t="s">
        <v>479</v>
      </c>
      <c r="D187" s="383">
        <f>D183*$C165</f>
        <v>0</v>
      </c>
      <c r="E187" s="383">
        <f t="shared" si="80"/>
        <v>0</v>
      </c>
      <c r="F187" s="383">
        <f t="shared" si="80"/>
        <v>0</v>
      </c>
      <c r="G187" s="383">
        <f t="shared" si="80"/>
        <v>0</v>
      </c>
      <c r="H187" s="383">
        <f t="shared" si="80"/>
        <v>0</v>
      </c>
      <c r="I187" s="383">
        <f t="shared" si="80"/>
        <v>0</v>
      </c>
      <c r="J187" s="383">
        <f t="shared" si="80"/>
        <v>0</v>
      </c>
      <c r="K187" s="383">
        <f t="shared" si="80"/>
        <v>0</v>
      </c>
      <c r="L187" s="383">
        <f t="shared" si="80"/>
        <v>0</v>
      </c>
      <c r="M187" s="383">
        <f t="shared" si="80"/>
        <v>0</v>
      </c>
      <c r="N187" s="383">
        <f t="shared" si="80"/>
        <v>0</v>
      </c>
      <c r="O187" s="383">
        <f t="shared" si="80"/>
        <v>0</v>
      </c>
      <c r="P187" s="383">
        <f t="shared" si="80"/>
        <v>0</v>
      </c>
      <c r="Q187" s="383">
        <f t="shared" si="80"/>
        <v>0</v>
      </c>
      <c r="R187" s="383">
        <f t="shared" si="80"/>
        <v>0</v>
      </c>
      <c r="S187" s="383">
        <f t="shared" si="80"/>
        <v>0</v>
      </c>
      <c r="T187" s="383">
        <f t="shared" si="80"/>
        <v>0</v>
      </c>
      <c r="U187" s="383">
        <f t="shared" si="80"/>
        <v>0</v>
      </c>
      <c r="V187" s="383">
        <f t="shared" si="80"/>
        <v>0</v>
      </c>
      <c r="W187" s="383">
        <f t="shared" si="80"/>
        <v>0</v>
      </c>
      <c r="X187" s="383">
        <f t="shared" si="80"/>
        <v>0</v>
      </c>
      <c r="Y187" s="383">
        <f t="shared" si="80"/>
        <v>0</v>
      </c>
      <c r="Z187" s="383">
        <f t="shared" si="80"/>
        <v>0</v>
      </c>
      <c r="AA187" s="383">
        <f t="shared" si="80"/>
        <v>0</v>
      </c>
      <c r="AB187" s="383">
        <f t="shared" si="80"/>
        <v>0</v>
      </c>
      <c r="AC187" s="383">
        <f t="shared" si="80"/>
        <v>0</v>
      </c>
      <c r="AD187" s="383">
        <f t="shared" si="80"/>
        <v>0</v>
      </c>
      <c r="AE187" s="383">
        <f t="shared" si="80"/>
        <v>0</v>
      </c>
      <c r="AF187" s="383">
        <f t="shared" si="80"/>
        <v>0</v>
      </c>
      <c r="AG187" s="383">
        <f t="shared" si="80"/>
        <v>0</v>
      </c>
      <c r="AH187" s="383">
        <f t="shared" si="80"/>
        <v>0</v>
      </c>
      <c r="AI187" s="383">
        <f t="shared" si="80"/>
        <v>0</v>
      </c>
      <c r="AJ187" s="383">
        <f t="shared" si="80"/>
        <v>0</v>
      </c>
      <c r="AK187" s="383">
        <f t="shared" si="80"/>
        <v>0</v>
      </c>
      <c r="AL187" s="383">
        <f t="shared" ref="AL187" si="83">AL183*$C165</f>
        <v>0</v>
      </c>
    </row>
    <row r="188" spans="1:38">
      <c r="D188" s="358"/>
      <c r="F188" s="464"/>
      <c r="G188" s="465"/>
      <c r="H188" s="465"/>
    </row>
    <row r="189" spans="1:38">
      <c r="B189" s="358" t="s">
        <v>459</v>
      </c>
      <c r="C189" s="362" t="s">
        <v>292</v>
      </c>
      <c r="D189" s="485">
        <f>SUMPRODUCT($C$153:$C$155,D185:D187)</f>
        <v>258.09663327201002</v>
      </c>
      <c r="E189" s="485">
        <f t="shared" ref="E189:AK189" si="84">SUMPRODUCT($C$153:$C$155,E185:E187)</f>
        <v>268.52718424133764</v>
      </c>
      <c r="F189" s="485">
        <f t="shared" si="84"/>
        <v>279.37926877406153</v>
      </c>
      <c r="G189" s="485">
        <f t="shared" si="84"/>
        <v>290.66992245589461</v>
      </c>
      <c r="H189" s="485">
        <f t="shared" si="84"/>
        <v>403.22249245030605</v>
      </c>
      <c r="I189" s="485">
        <f t="shared" si="84"/>
        <v>419.5180663451024</v>
      </c>
      <c r="J189" s="485">
        <f t="shared" si="84"/>
        <v>436.47219905924231</v>
      </c>
      <c r="K189" s="485">
        <f t="shared" si="84"/>
        <v>454.11150516434708</v>
      </c>
      <c r="L189" s="485">
        <f t="shared" si="84"/>
        <v>472.46367481617978</v>
      </c>
      <c r="M189" s="485">
        <f t="shared" si="84"/>
        <v>491.5575172226101</v>
      </c>
      <c r="N189" s="485">
        <f t="shared" si="84"/>
        <v>511.42300586826372</v>
      </c>
      <c r="O189" s="485">
        <f t="shared" si="84"/>
        <v>532.09132556685393</v>
      </c>
      <c r="P189" s="485">
        <f t="shared" si="84"/>
        <v>553.59492141505291</v>
      </c>
      <c r="Q189" s="485">
        <f t="shared" si="84"/>
        <v>575.96754972475685</v>
      </c>
      <c r="R189" s="485">
        <f t="shared" si="84"/>
        <v>599.24433101369061</v>
      </c>
      <c r="S189" s="485">
        <f t="shared" si="84"/>
        <v>623.46180513754564</v>
      </c>
      <c r="T189" s="485">
        <f t="shared" si="84"/>
        <v>648.6579886501861</v>
      </c>
      <c r="U189" s="485">
        <f t="shared" si="84"/>
        <v>674.8724344819791</v>
      </c>
      <c r="V189" s="485">
        <f t="shared" si="84"/>
        <v>702.14629402992477</v>
      </c>
      <c r="W189" s="485">
        <f t="shared" si="84"/>
        <v>730.52238175705588</v>
      </c>
      <c r="X189" s="485">
        <f t="shared" si="84"/>
        <v>760.0452424025143</v>
      </c>
      <c r="Y189" s="485">
        <f t="shared" si="84"/>
        <v>790.76122090781814</v>
      </c>
      <c r="Z189" s="485">
        <f t="shared" si="84"/>
        <v>822.71853516907765</v>
      </c>
      <c r="AA189" s="485">
        <f t="shared" si="84"/>
        <v>855.96735172937622</v>
      </c>
      <c r="AB189" s="485">
        <f t="shared" si="84"/>
        <v>890.55986453013031</v>
      </c>
      <c r="AC189" s="485">
        <f t="shared" si="84"/>
        <v>926.5503768450634</v>
      </c>
      <c r="AD189" s="485">
        <f t="shared" si="84"/>
        <v>963.99538652539786</v>
      </c>
      <c r="AE189" s="485">
        <f t="shared" si="84"/>
        <v>1002.9536746900983</v>
      </c>
      <c r="AF189" s="485">
        <f t="shared" si="84"/>
        <v>1043.4863980003788</v>
      </c>
      <c r="AG189" s="485">
        <f t="shared" si="84"/>
        <v>1085.6571846633426</v>
      </c>
      <c r="AH189" s="485">
        <f t="shared" si="84"/>
        <v>1129.5322343154362</v>
      </c>
      <c r="AI189" s="485">
        <f t="shared" si="84"/>
        <v>1175.1804219425444</v>
      </c>
      <c r="AJ189" s="485">
        <f t="shared" si="84"/>
        <v>1222.6734059998339</v>
      </c>
      <c r="AK189" s="485">
        <f t="shared" si="84"/>
        <v>1272.0857409010875</v>
      </c>
      <c r="AL189" s="485">
        <f t="shared" ref="AL189" si="85">SUMPRODUCT($C$153:$C$155,AL185:AL187)</f>
        <v>1323.4949940541105</v>
      </c>
    </row>
    <row r="190" spans="1:38">
      <c r="D190" s="358"/>
      <c r="F190" s="464"/>
      <c r="G190" s="465"/>
      <c r="H190" s="465"/>
    </row>
    <row r="191" spans="1:38">
      <c r="B191" s="1177" t="s">
        <v>715</v>
      </c>
      <c r="C191" s="358" t="s">
        <v>295</v>
      </c>
      <c r="D191" s="383">
        <f>'900 South'!D52</f>
        <v>238.97461945997713</v>
      </c>
      <c r="E191" s="383">
        <f>'900 South'!E52</f>
        <v>248.63238568905444</v>
      </c>
      <c r="F191" s="383">
        <f>'900 South'!F52</f>
        <v>258.68045465716847</v>
      </c>
      <c r="G191" s="383">
        <f>'900 South'!G52</f>
        <v>269.13459980762775</v>
      </c>
      <c r="H191" s="383">
        <f>'900 South'!H52</f>
        <v>0</v>
      </c>
      <c r="I191" s="383">
        <f>'900 South'!I52</f>
        <v>0</v>
      </c>
      <c r="J191" s="383">
        <f>'900 South'!J52</f>
        <v>0</v>
      </c>
      <c r="K191" s="383">
        <f>'900 South'!K52</f>
        <v>0</v>
      </c>
      <c r="L191" s="383">
        <f>'900 South'!L52</f>
        <v>0</v>
      </c>
      <c r="M191" s="383">
        <f>'900 South'!M52</f>
        <v>0</v>
      </c>
      <c r="N191" s="383">
        <f>'900 South'!N52</f>
        <v>0</v>
      </c>
      <c r="O191" s="383">
        <f>'900 South'!O52</f>
        <v>0</v>
      </c>
      <c r="P191" s="383">
        <f>'900 South'!P52</f>
        <v>0</v>
      </c>
      <c r="Q191" s="383">
        <f>'900 South'!Q52</f>
        <v>0</v>
      </c>
      <c r="R191" s="383">
        <f>'900 South'!R52</f>
        <v>0</v>
      </c>
      <c r="S191" s="383">
        <f>'900 South'!S52</f>
        <v>0</v>
      </c>
      <c r="T191" s="383">
        <f>'900 South'!T52</f>
        <v>0</v>
      </c>
      <c r="U191" s="383">
        <f>'900 South'!U52</f>
        <v>0</v>
      </c>
      <c r="V191" s="383">
        <f>'900 South'!V52</f>
        <v>0</v>
      </c>
      <c r="W191" s="383">
        <f>'900 South'!W52</f>
        <v>0</v>
      </c>
      <c r="X191" s="383">
        <f>'900 South'!X52</f>
        <v>0</v>
      </c>
      <c r="Y191" s="383">
        <f>'900 South'!Y52</f>
        <v>0</v>
      </c>
      <c r="Z191" s="383">
        <f>'900 South'!Z52</f>
        <v>0</v>
      </c>
      <c r="AA191" s="383">
        <f>'900 South'!AA52</f>
        <v>0</v>
      </c>
      <c r="AB191" s="383">
        <f>'900 South'!AB52</f>
        <v>0</v>
      </c>
      <c r="AC191" s="383">
        <f>'900 South'!AC52</f>
        <v>0</v>
      </c>
      <c r="AD191" s="383">
        <f>'900 South'!AD52</f>
        <v>0</v>
      </c>
      <c r="AE191" s="383">
        <f>'900 South'!AE52</f>
        <v>0</v>
      </c>
      <c r="AF191" s="383">
        <f>'900 South'!AF52</f>
        <v>0</v>
      </c>
      <c r="AG191" s="383">
        <f>'900 South'!AG52</f>
        <v>0</v>
      </c>
      <c r="AH191" s="383">
        <f>'900 South'!AH52</f>
        <v>0</v>
      </c>
      <c r="AI191" s="383">
        <f>'900 South'!AI52</f>
        <v>0</v>
      </c>
      <c r="AJ191" s="383">
        <f>'900 South'!AJ52</f>
        <v>0</v>
      </c>
      <c r="AK191" s="383">
        <f>'900 South'!AK52</f>
        <v>0</v>
      </c>
      <c r="AL191" s="383">
        <f>'900 South'!AL52</f>
        <v>0</v>
      </c>
    </row>
    <row r="192" spans="1:38">
      <c r="B192" s="1177" t="s">
        <v>716</v>
      </c>
      <c r="C192" s="358" t="s">
        <v>295</v>
      </c>
      <c r="D192" s="383">
        <f>'900 South'!D53</f>
        <v>62.389644241299393</v>
      </c>
      <c r="E192" s="383">
        <f>'900 South'!E53</f>
        <v>64.91101910763193</v>
      </c>
      <c r="F192" s="383">
        <f>'900 South'!F53</f>
        <v>67.534291192547485</v>
      </c>
      <c r="G192" s="383">
        <f>'900 South'!G53</f>
        <v>70.263578504555511</v>
      </c>
      <c r="H192" s="383">
        <f>'900 South'!H53</f>
        <v>0</v>
      </c>
      <c r="I192" s="383">
        <f>'900 South'!I53</f>
        <v>0</v>
      </c>
      <c r="J192" s="383">
        <f>'900 South'!J53</f>
        <v>0</v>
      </c>
      <c r="K192" s="383">
        <f>'900 South'!K53</f>
        <v>0</v>
      </c>
      <c r="L192" s="383">
        <f>'900 South'!L53</f>
        <v>0</v>
      </c>
      <c r="M192" s="383">
        <f>'900 South'!M53</f>
        <v>0</v>
      </c>
      <c r="N192" s="383">
        <f>'900 South'!N53</f>
        <v>0</v>
      </c>
      <c r="O192" s="383">
        <f>'900 South'!O53</f>
        <v>0</v>
      </c>
      <c r="P192" s="383">
        <f>'900 South'!P53</f>
        <v>0</v>
      </c>
      <c r="Q192" s="383">
        <f>'900 South'!Q53</f>
        <v>0</v>
      </c>
      <c r="R192" s="383">
        <f>'900 South'!R53</f>
        <v>0</v>
      </c>
      <c r="S192" s="383">
        <f>'900 South'!S53</f>
        <v>0</v>
      </c>
      <c r="T192" s="383">
        <f>'900 South'!T53</f>
        <v>0</v>
      </c>
      <c r="U192" s="383">
        <f>'900 South'!U53</f>
        <v>0</v>
      </c>
      <c r="V192" s="383">
        <f>'900 South'!V53</f>
        <v>0</v>
      </c>
      <c r="W192" s="383">
        <f>'900 South'!W53</f>
        <v>0</v>
      </c>
      <c r="X192" s="383">
        <f>'900 South'!X53</f>
        <v>0</v>
      </c>
      <c r="Y192" s="383">
        <f>'900 South'!Y53</f>
        <v>0</v>
      </c>
      <c r="Z192" s="383">
        <f>'900 South'!Z53</f>
        <v>0</v>
      </c>
      <c r="AA192" s="383">
        <f>'900 South'!AA53</f>
        <v>0</v>
      </c>
      <c r="AB192" s="383">
        <f>'900 South'!AB53</f>
        <v>0</v>
      </c>
      <c r="AC192" s="383">
        <f>'900 South'!AC53</f>
        <v>0</v>
      </c>
      <c r="AD192" s="383">
        <f>'900 South'!AD53</f>
        <v>0</v>
      </c>
      <c r="AE192" s="383">
        <f>'900 South'!AE53</f>
        <v>0</v>
      </c>
      <c r="AF192" s="383">
        <f>'900 South'!AF53</f>
        <v>0</v>
      </c>
      <c r="AG192" s="383">
        <f>'900 South'!AG53</f>
        <v>0</v>
      </c>
      <c r="AH192" s="383">
        <f>'900 South'!AH53</f>
        <v>0</v>
      </c>
      <c r="AI192" s="383">
        <f>'900 South'!AI53</f>
        <v>0</v>
      </c>
      <c r="AJ192" s="383">
        <f>'900 South'!AJ53</f>
        <v>0</v>
      </c>
      <c r="AK192" s="383">
        <f>'900 South'!AK53</f>
        <v>0</v>
      </c>
      <c r="AL192" s="383">
        <f>'900 South'!AL53</f>
        <v>0</v>
      </c>
    </row>
    <row r="193" spans="1:38">
      <c r="D193" s="358"/>
      <c r="F193" s="464"/>
      <c r="G193" s="465"/>
      <c r="H193" s="465"/>
    </row>
    <row r="194" spans="1:38">
      <c r="B194" s="358" t="s">
        <v>208</v>
      </c>
      <c r="C194" s="362" t="s">
        <v>292</v>
      </c>
      <c r="D194" s="485">
        <f>SUMPRODUCT(D191:D192,D$150:D$151)</f>
        <v>651.65517883022108</v>
      </c>
      <c r="E194" s="485">
        <f t="shared" ref="E194:AK194" si="86">SUMPRODUCT(E191:E192,E$150:E$151)</f>
        <v>682.46334699949739</v>
      </c>
      <c r="F194" s="485">
        <f t="shared" si="86"/>
        <v>710.04329640518074</v>
      </c>
      <c r="G194" s="485">
        <f t="shared" si="86"/>
        <v>734.74165509628597</v>
      </c>
      <c r="H194" s="485">
        <f t="shared" si="86"/>
        <v>0</v>
      </c>
      <c r="I194" s="485">
        <f t="shared" si="86"/>
        <v>0</v>
      </c>
      <c r="J194" s="485">
        <f t="shared" si="86"/>
        <v>0</v>
      </c>
      <c r="K194" s="485">
        <f t="shared" si="86"/>
        <v>0</v>
      </c>
      <c r="L194" s="485">
        <f t="shared" si="86"/>
        <v>0</v>
      </c>
      <c r="M194" s="485">
        <f t="shared" si="86"/>
        <v>0</v>
      </c>
      <c r="N194" s="485">
        <f t="shared" si="86"/>
        <v>0</v>
      </c>
      <c r="O194" s="485">
        <f t="shared" si="86"/>
        <v>0</v>
      </c>
      <c r="P194" s="485">
        <f t="shared" si="86"/>
        <v>0</v>
      </c>
      <c r="Q194" s="485">
        <f t="shared" si="86"/>
        <v>0</v>
      </c>
      <c r="R194" s="485">
        <f t="shared" si="86"/>
        <v>0</v>
      </c>
      <c r="S194" s="485">
        <f t="shared" si="86"/>
        <v>0</v>
      </c>
      <c r="T194" s="485">
        <f t="shared" si="86"/>
        <v>0</v>
      </c>
      <c r="U194" s="485">
        <f t="shared" si="86"/>
        <v>0</v>
      </c>
      <c r="V194" s="485">
        <f t="shared" si="86"/>
        <v>0</v>
      </c>
      <c r="W194" s="485">
        <f t="shared" si="86"/>
        <v>0</v>
      </c>
      <c r="X194" s="485">
        <f t="shared" si="86"/>
        <v>0</v>
      </c>
      <c r="Y194" s="485">
        <f t="shared" si="86"/>
        <v>0</v>
      </c>
      <c r="Z194" s="485">
        <f t="shared" si="86"/>
        <v>0</v>
      </c>
      <c r="AA194" s="485">
        <f t="shared" si="86"/>
        <v>0</v>
      </c>
      <c r="AB194" s="485">
        <f t="shared" si="86"/>
        <v>0</v>
      </c>
      <c r="AC194" s="485">
        <f t="shared" si="86"/>
        <v>0</v>
      </c>
      <c r="AD194" s="485">
        <f t="shared" si="86"/>
        <v>0</v>
      </c>
      <c r="AE194" s="485">
        <f t="shared" si="86"/>
        <v>0</v>
      </c>
      <c r="AF194" s="485">
        <f t="shared" si="86"/>
        <v>0</v>
      </c>
      <c r="AG194" s="485">
        <f t="shared" si="86"/>
        <v>0</v>
      </c>
      <c r="AH194" s="485">
        <f t="shared" si="86"/>
        <v>0</v>
      </c>
      <c r="AI194" s="485">
        <f t="shared" si="86"/>
        <v>0</v>
      </c>
      <c r="AJ194" s="485">
        <f t="shared" si="86"/>
        <v>0</v>
      </c>
      <c r="AK194" s="485">
        <f t="shared" si="86"/>
        <v>0</v>
      </c>
      <c r="AL194" s="485">
        <f t="shared" ref="AL194" si="87">SUMPRODUCT(AL191:AL192,AL$150:AL$151)</f>
        <v>0</v>
      </c>
    </row>
    <row r="196" spans="1:38" ht="13">
      <c r="B196" s="364" t="s">
        <v>520</v>
      </c>
      <c r="C196" s="387" t="s">
        <v>292</v>
      </c>
      <c r="D196" s="488">
        <f>D189+D194</f>
        <v>909.75181210223104</v>
      </c>
      <c r="E196" s="488">
        <f t="shared" ref="E196:AK196" si="88">E189+E194</f>
        <v>950.99053124083503</v>
      </c>
      <c r="F196" s="488">
        <f t="shared" si="88"/>
        <v>989.42256517924227</v>
      </c>
      <c r="G196" s="488">
        <f t="shared" si="88"/>
        <v>1025.4115775521805</v>
      </c>
      <c r="H196" s="488">
        <f t="shared" si="88"/>
        <v>403.22249245030605</v>
      </c>
      <c r="I196" s="488">
        <f t="shared" si="88"/>
        <v>419.5180663451024</v>
      </c>
      <c r="J196" s="488">
        <f t="shared" si="88"/>
        <v>436.47219905924231</v>
      </c>
      <c r="K196" s="488">
        <f t="shared" si="88"/>
        <v>454.11150516434708</v>
      </c>
      <c r="L196" s="488">
        <f t="shared" si="88"/>
        <v>472.46367481617978</v>
      </c>
      <c r="M196" s="488">
        <f t="shared" si="88"/>
        <v>491.5575172226101</v>
      </c>
      <c r="N196" s="488">
        <f t="shared" si="88"/>
        <v>511.42300586826372</v>
      </c>
      <c r="O196" s="488">
        <f t="shared" si="88"/>
        <v>532.09132556685393</v>
      </c>
      <c r="P196" s="488">
        <f t="shared" si="88"/>
        <v>553.59492141505291</v>
      </c>
      <c r="Q196" s="488">
        <f t="shared" si="88"/>
        <v>575.96754972475685</v>
      </c>
      <c r="R196" s="488">
        <f t="shared" si="88"/>
        <v>599.24433101369061</v>
      </c>
      <c r="S196" s="488">
        <f t="shared" si="88"/>
        <v>623.46180513754564</v>
      </c>
      <c r="T196" s="488">
        <f t="shared" si="88"/>
        <v>648.6579886501861</v>
      </c>
      <c r="U196" s="488">
        <f t="shared" si="88"/>
        <v>674.8724344819791</v>
      </c>
      <c r="V196" s="488">
        <f t="shared" si="88"/>
        <v>702.14629402992477</v>
      </c>
      <c r="W196" s="488">
        <f t="shared" si="88"/>
        <v>730.52238175705588</v>
      </c>
      <c r="X196" s="488">
        <f t="shared" si="88"/>
        <v>760.0452424025143</v>
      </c>
      <c r="Y196" s="488">
        <f t="shared" si="88"/>
        <v>790.76122090781814</v>
      </c>
      <c r="Z196" s="488">
        <f t="shared" si="88"/>
        <v>822.71853516907765</v>
      </c>
      <c r="AA196" s="488">
        <f t="shared" si="88"/>
        <v>855.96735172937622</v>
      </c>
      <c r="AB196" s="488">
        <f t="shared" si="88"/>
        <v>890.55986453013031</v>
      </c>
      <c r="AC196" s="488">
        <f t="shared" si="88"/>
        <v>926.5503768450634</v>
      </c>
      <c r="AD196" s="488">
        <f t="shared" si="88"/>
        <v>963.99538652539786</v>
      </c>
      <c r="AE196" s="488">
        <f t="shared" si="88"/>
        <v>1002.9536746900983</v>
      </c>
      <c r="AF196" s="488">
        <f t="shared" si="88"/>
        <v>1043.4863980003788</v>
      </c>
      <c r="AG196" s="488">
        <f t="shared" si="88"/>
        <v>1085.6571846633426</v>
      </c>
      <c r="AH196" s="488">
        <f t="shared" si="88"/>
        <v>1129.5322343154362</v>
      </c>
      <c r="AI196" s="488">
        <f t="shared" si="88"/>
        <v>1175.1804219425444</v>
      </c>
      <c r="AJ196" s="488">
        <f t="shared" si="88"/>
        <v>1222.6734059998339</v>
      </c>
      <c r="AK196" s="488">
        <f t="shared" si="88"/>
        <v>1272.0857409010875</v>
      </c>
      <c r="AL196" s="488">
        <f t="shared" ref="AL196" si="89">AL189+AL194</f>
        <v>1323.4949940541105</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0">E172-E191</f>
        <v>0</v>
      </c>
      <c r="F200" s="383">
        <f t="shared" si="90"/>
        <v>0</v>
      </c>
      <c r="G200" s="383">
        <f t="shared" si="90"/>
        <v>0</v>
      </c>
      <c r="H200" s="383">
        <f t="shared" si="90"/>
        <v>280.01123204151082</v>
      </c>
      <c r="I200" s="383">
        <f t="shared" si="90"/>
        <v>291.3274254794743</v>
      </c>
      <c r="J200" s="383">
        <f t="shared" si="90"/>
        <v>303.10094426468112</v>
      </c>
      <c r="K200" s="383">
        <f t="shared" si="90"/>
        <v>315.35027044892536</v>
      </c>
      <c r="L200" s="383">
        <f t="shared" si="90"/>
        <v>328.0946330057285</v>
      </c>
      <c r="M200" s="383">
        <f t="shared" si="90"/>
        <v>341.35403801595345</v>
      </c>
      <c r="N200" s="383">
        <f t="shared" si="90"/>
        <v>355.14930007331918</v>
      </c>
      <c r="O200" s="383">
        <f t="shared" si="90"/>
        <v>369.50207495911815</v>
      </c>
      <c r="P200" s="383">
        <f t="shared" si="90"/>
        <v>384.43489363742901</v>
      </c>
      <c r="Q200" s="383">
        <f t="shared" si="90"/>
        <v>399.97119762418896</v>
      </c>
      <c r="R200" s="383">
        <f t="shared" si="90"/>
        <v>416.13537578564996</v>
      </c>
      <c r="S200" s="383">
        <f t="shared" si="90"/>
        <v>432.95280262398495</v>
      </c>
      <c r="T200" s="383">
        <f t="shared" si="90"/>
        <v>450.44987811013942</v>
      </c>
      <c r="U200" s="383">
        <f t="shared" si="90"/>
        <v>468.65406912646893</v>
      </c>
      <c r="V200" s="383">
        <f t="shared" si="90"/>
        <v>487.59395258420693</v>
      </c>
      <c r="W200" s="383">
        <f t="shared" si="90"/>
        <v>507.29926028345716</v>
      </c>
      <c r="X200" s="383">
        <f t="shared" si="90"/>
        <v>527.80092558612739</v>
      </c>
      <c r="Y200" s="383">
        <f t="shared" si="90"/>
        <v>549.13113197507471</v>
      </c>
      <c r="Z200" s="383">
        <f t="shared" si="90"/>
        <v>571.32336357568624</v>
      </c>
      <c r="AA200" s="383">
        <f t="shared" si="90"/>
        <v>594.41245771921001</v>
      </c>
      <c r="AB200" s="383">
        <f t="shared" si="90"/>
        <v>618.43465963034146</v>
      </c>
      <c r="AC200" s="383">
        <f t="shared" si="90"/>
        <v>643.42767932492484</v>
      </c>
      <c r="AD200" s="383">
        <f t="shared" si="90"/>
        <v>669.43075080707649</v>
      </c>
      <c r="AE200" s="383">
        <f t="shared" si="90"/>
        <v>696.48469365866549</v>
      </c>
      <c r="AF200" s="383">
        <f t="shared" si="90"/>
        <v>724.63197711783016</v>
      </c>
      <c r="AG200" s="383">
        <f t="shared" si="90"/>
        <v>753.91678674712261</v>
      </c>
      <c r="AH200" s="383">
        <f t="shared" si="90"/>
        <v>784.38509379593995</v>
      </c>
      <c r="AI200" s="383">
        <f t="shared" si="90"/>
        <v>816.08472736611782</v>
      </c>
      <c r="AJ200" s="383">
        <f t="shared" si="90"/>
        <v>849.06544949398506</v>
      </c>
      <c r="AK200" s="383">
        <f t="shared" si="90"/>
        <v>883.37903326672767</v>
      </c>
      <c r="AL200" s="383">
        <f t="shared" ref="AL200" si="91">AL172-AL191</f>
        <v>919.07934409570748</v>
      </c>
    </row>
    <row r="201" spans="1:38" ht="13">
      <c r="B201" s="364" t="s">
        <v>820</v>
      </c>
      <c r="C201" s="387" t="s">
        <v>295</v>
      </c>
      <c r="D201" s="383">
        <f>D173-D192</f>
        <v>0</v>
      </c>
      <c r="E201" s="383">
        <f t="shared" si="90"/>
        <v>0</v>
      </c>
      <c r="F201" s="383">
        <f t="shared" si="90"/>
        <v>0</v>
      </c>
      <c r="G201" s="383">
        <f t="shared" si="90"/>
        <v>0</v>
      </c>
      <c r="H201" s="383">
        <f t="shared" si="90"/>
        <v>73.103165474706799</v>
      </c>
      <c r="I201" s="383">
        <f t="shared" si="90"/>
        <v>76.057509682286991</v>
      </c>
      <c r="J201" s="383">
        <f t="shared" si="90"/>
        <v>79.131248852317697</v>
      </c>
      <c r="K201" s="383">
        <f t="shared" si="90"/>
        <v>82.329208135849967</v>
      </c>
      <c r="L201" s="383">
        <f t="shared" si="90"/>
        <v>85.656407684479248</v>
      </c>
      <c r="M201" s="383">
        <f t="shared" si="90"/>
        <v>89.118070530971522</v>
      </c>
      <c r="N201" s="383">
        <f t="shared" si="90"/>
        <v>92.71963078837237</v>
      </c>
      <c r="O201" s="383">
        <f t="shared" si="90"/>
        <v>96.466742180469069</v>
      </c>
      <c r="P201" s="383">
        <f t="shared" si="90"/>
        <v>100.36528691699777</v>
      </c>
      <c r="Q201" s="383">
        <f t="shared" si="90"/>
        <v>104.42138492752719</v>
      </c>
      <c r="R201" s="383">
        <f t="shared" si="90"/>
        <v>108.6414034685147</v>
      </c>
      <c r="S201" s="383">
        <f t="shared" si="90"/>
        <v>113.03196711861612</v>
      </c>
      <c r="T201" s="383">
        <f t="shared" si="90"/>
        <v>117.59996817793849</v>
      </c>
      <c r="U201" s="383">
        <f t="shared" si="90"/>
        <v>122.35257748756298</v>
      </c>
      <c r="V201" s="383">
        <f t="shared" si="90"/>
        <v>127.29725568631977</v>
      </c>
      <c r="W201" s="383">
        <f t="shared" si="90"/>
        <v>132.44176492248766</v>
      </c>
      <c r="X201" s="383">
        <f t="shared" si="90"/>
        <v>137.79418103880252</v>
      </c>
      <c r="Y201" s="383">
        <f t="shared" si="90"/>
        <v>143.36290624990295</v>
      </c>
      <c r="Z201" s="383">
        <f t="shared" si="90"/>
        <v>149.15668233211389</v>
      </c>
      <c r="AA201" s="383">
        <f t="shared" si="90"/>
        <v>155.18460434627394</v>
      </c>
      <c r="AB201" s="383">
        <f t="shared" si="90"/>
        <v>161.45613491514743</v>
      </c>
      <c r="AC201" s="383">
        <f t="shared" si="90"/>
        <v>167.98111907783584</v>
      </c>
      <c r="AD201" s="383">
        <f t="shared" si="90"/>
        <v>174.76979974450481</v>
      </c>
      <c r="AE201" s="383">
        <f t="shared" si="90"/>
        <v>181.8328337756889</v>
      </c>
      <c r="AF201" s="383">
        <f t="shared" si="90"/>
        <v>189.18130871141486</v>
      </c>
      <c r="AG201" s="383">
        <f t="shared" si="90"/>
        <v>196.82676017640495</v>
      </c>
      <c r="AH201" s="383">
        <f t="shared" si="90"/>
        <v>204.78118998868359</v>
      </c>
      <c r="AI201" s="383">
        <f t="shared" si="90"/>
        <v>213.05708500001208</v>
      </c>
      <c r="AJ201" s="383">
        <f t="shared" si="90"/>
        <v>221.66743669773038</v>
      </c>
      <c r="AK201" s="383">
        <f t="shared" si="90"/>
        <v>230.62576159877273</v>
      </c>
      <c r="AL201" s="383">
        <f t="shared" ref="AL201" si="92">AL173-AL192</f>
        <v>239.94612246787702</v>
      </c>
    </row>
    <row r="202" spans="1:38" ht="13">
      <c r="B202" s="364" t="s">
        <v>821</v>
      </c>
      <c r="C202" s="387" t="s">
        <v>479</v>
      </c>
      <c r="D202" s="383">
        <f>SUM(D166:D168)-SUM(D185:D187)</f>
        <v>0</v>
      </c>
      <c r="E202" s="383">
        <f t="shared" ref="E202:AE202" si="93">SUM(E166:E168)-SUM(E185:E187)</f>
        <v>0</v>
      </c>
      <c r="F202" s="383">
        <f t="shared" si="93"/>
        <v>0</v>
      </c>
      <c r="G202" s="383">
        <f t="shared" si="93"/>
        <v>0</v>
      </c>
      <c r="H202" s="383">
        <f t="shared" si="93"/>
        <v>-10.008171463799151</v>
      </c>
      <c r="I202" s="383">
        <f t="shared" si="93"/>
        <v>-10.41263525412263</v>
      </c>
      <c r="J202" s="383">
        <f t="shared" si="93"/>
        <v>-10.833444783353023</v>
      </c>
      <c r="K202" s="383">
        <f t="shared" si="93"/>
        <v>-11.271260637646122</v>
      </c>
      <c r="L202" s="383">
        <f t="shared" si="93"/>
        <v>-11.72677009966084</v>
      </c>
      <c r="M202" s="383">
        <f t="shared" si="93"/>
        <v>-12.200688227454428</v>
      </c>
      <c r="N202" s="383">
        <f t="shared" si="93"/>
        <v>-12.693758976979538</v>
      </c>
      <c r="O202" s="383">
        <f t="shared" si="93"/>
        <v>-13.206756369945175</v>
      </c>
      <c r="P202" s="383">
        <f t="shared" si="93"/>
        <v>-13.740485708874679</v>
      </c>
      <c r="Q202" s="383">
        <f t="shared" si="93"/>
        <v>-14.295784841268599</v>
      </c>
      <c r="R202" s="383">
        <f t="shared" si="93"/>
        <v>-14.873525474856173</v>
      </c>
      <c r="S202" s="383">
        <f t="shared" si="93"/>
        <v>-15.474614546001</v>
      </c>
      <c r="T202" s="383">
        <f t="shared" si="93"/>
        <v>-16.099995643408263</v>
      </c>
      <c r="U202" s="383">
        <f t="shared" si="93"/>
        <v>-16.750650489368731</v>
      </c>
      <c r="V202" s="383">
        <f t="shared" si="93"/>
        <v>-17.427600480865195</v>
      </c>
      <c r="W202" s="383">
        <f t="shared" si="93"/>
        <v>-18.131908292959629</v>
      </c>
      <c r="X202" s="383">
        <f t="shared" si="93"/>
        <v>-18.864679546978927</v>
      </c>
      <c r="Y202" s="383">
        <f t="shared" si="93"/>
        <v>-19.627064546117651</v>
      </c>
      <c r="Z202" s="383">
        <f t="shared" si="93"/>
        <v>-20.420260081182242</v>
      </c>
      <c r="AA202" s="383">
        <f t="shared" si="93"/>
        <v>-21.245511309311297</v>
      </c>
      <c r="AB202" s="383">
        <f t="shared" si="93"/>
        <v>-22.104113708621341</v>
      </c>
      <c r="AC202" s="383">
        <f t="shared" si="93"/>
        <v>-22.997415111846564</v>
      </c>
      <c r="AD202" s="383">
        <f t="shared" si="93"/>
        <v>-23.926817822164395</v>
      </c>
      <c r="AE202" s="383">
        <f t="shared" si="93"/>
        <v>-24.893780814528895</v>
      </c>
      <c r="AF202" s="383">
        <f t="shared" ref="AF202:AJ202" si="94">SUM(AF166:AF168)-SUM(AF185:AF187)</f>
        <v>-25.899822025967481</v>
      </c>
      <c r="AG202" s="383">
        <f t="shared" si="94"/>
        <v>-26.946520738436405</v>
      </c>
      <c r="AH202" s="383">
        <f t="shared" si="94"/>
        <v>-28.035520057974509</v>
      </c>
      <c r="AI202" s="383">
        <f t="shared" si="94"/>
        <v>-29.168529494049267</v>
      </c>
      <c r="AJ202" s="383">
        <f t="shared" si="94"/>
        <v>-30.347327643141625</v>
      </c>
      <c r="AK202" s="383">
        <f t="shared" ref="AK202:AL202" si="95">SUM(AK166:AK168)-SUM(AK185:AK187)</f>
        <v>-31.573764980784361</v>
      </c>
      <c r="AL202" s="383">
        <f t="shared" si="95"/>
        <v>-32.84976676643555</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96">D177-D196</f>
        <v>0</v>
      </c>
      <c r="E204" s="488">
        <f t="shared" si="96"/>
        <v>0</v>
      </c>
      <c r="F204" s="488">
        <f t="shared" si="96"/>
        <v>0</v>
      </c>
      <c r="G204" s="488">
        <f t="shared" si="96"/>
        <v>0</v>
      </c>
      <c r="H204" s="488">
        <f t="shared" si="96"/>
        <v>674.59490985707123</v>
      </c>
      <c r="I204" s="488">
        <f t="shared" si="96"/>
        <v>713.99222921799651</v>
      </c>
      <c r="J204" s="488">
        <f t="shared" si="96"/>
        <v>754.62729804823607</v>
      </c>
      <c r="K204" s="488">
        <f t="shared" si="96"/>
        <v>794.74700339988249</v>
      </c>
      <c r="L204" s="488">
        <f t="shared" si="96"/>
        <v>842.45137755904989</v>
      </c>
      <c r="M204" s="488">
        <f t="shared" si="96"/>
        <v>912.64830636228112</v>
      </c>
      <c r="N204" s="488">
        <f t="shared" si="96"/>
        <v>961.31511284395083</v>
      </c>
      <c r="O204" s="488">
        <f t="shared" si="96"/>
        <v>1013.1134227851431</v>
      </c>
      <c r="P204" s="488">
        <f t="shared" si="96"/>
        <v>1080.3240714545823</v>
      </c>
      <c r="Q204" s="488">
        <f t="shared" si="96"/>
        <v>1146.7587902679556</v>
      </c>
      <c r="R204" s="488">
        <f t="shared" si="96"/>
        <v>1210.6508077899625</v>
      </c>
      <c r="S204" s="488">
        <f t="shared" si="96"/>
        <v>1280.2740026343308</v>
      </c>
      <c r="T204" s="488">
        <f t="shared" si="96"/>
        <v>1340.5480142097074</v>
      </c>
      <c r="U204" s="488">
        <f t="shared" si="96"/>
        <v>1415.2162385662616</v>
      </c>
      <c r="V204" s="488">
        <f t="shared" si="96"/>
        <v>1497.7127656791058</v>
      </c>
      <c r="W204" s="488">
        <f t="shared" si="96"/>
        <v>1565.3126064059097</v>
      </c>
      <c r="X204" s="488">
        <f t="shared" si="96"/>
        <v>1645.0274151520571</v>
      </c>
      <c r="Y204" s="488">
        <f t="shared" si="96"/>
        <v>1747.060305917654</v>
      </c>
      <c r="Z204" s="488">
        <f t="shared" si="96"/>
        <v>1837.4859322668108</v>
      </c>
      <c r="AA204" s="488">
        <f t="shared" si="96"/>
        <v>1932.6991793688403</v>
      </c>
      <c r="AB204" s="488">
        <f t="shared" si="96"/>
        <v>2046.3737089407523</v>
      </c>
      <c r="AC204" s="488">
        <f t="shared" si="96"/>
        <v>2137.7862432444736</v>
      </c>
      <c r="AD204" s="488">
        <f t="shared" si="96"/>
        <v>2270.2758195699275</v>
      </c>
      <c r="AE204" s="488">
        <f t="shared" si="96"/>
        <v>2396.5399685232442</v>
      </c>
      <c r="AF204" s="488">
        <f t="shared" si="96"/>
        <v>2520.9383364793384</v>
      </c>
      <c r="AG204" s="488">
        <f t="shared" si="96"/>
        <v>2647.7531241824126</v>
      </c>
      <c r="AH204" s="488">
        <f t="shared" si="96"/>
        <v>2785.8233518545485</v>
      </c>
      <c r="AI204" s="488">
        <f t="shared" si="96"/>
        <v>2930.9446768745352</v>
      </c>
      <c r="AJ204" s="488">
        <f t="shared" si="96"/>
        <v>3083.4723571457821</v>
      </c>
      <c r="AK204" s="488">
        <f t="shared" si="96"/>
        <v>3243.779388457363</v>
      </c>
      <c r="AL204" s="488">
        <f t="shared" ref="AL204" si="97">AL177-AL196</f>
        <v>3412.2573846509008</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theme="4" tint="-0.249977111117893"/>
  </sheetPr>
  <dimension ref="A1:AL135"/>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0.25" style="398" customWidth="1"/>
    <col min="5" max="5" width="8.08203125" style="398" customWidth="1"/>
    <col min="6" max="7" width="6.33203125" style="398" bestFit="1" customWidth="1"/>
    <col min="8" max="8" width="6.75" style="398" customWidth="1"/>
    <col min="9"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Inputs'!D50</f>
        <v>806921N</v>
      </c>
      <c r="E4" s="410"/>
    </row>
    <row r="5" spans="1:38">
      <c r="B5" s="358" t="s">
        <v>628</v>
      </c>
      <c r="C5" s="399" t="s">
        <v>629</v>
      </c>
      <c r="D5" s="439" t="str">
        <f>'Crossing Inputs'!D52</f>
        <v>Urban</v>
      </c>
      <c r="E5" s="398">
        <f>SUMIFS('Accidents Methodology'!$C$22:$C$23,'Accidents Methodology'!$B$22:$B$23,$D5)</f>
        <v>1</v>
      </c>
    </row>
    <row r="6" spans="1:38">
      <c r="B6" s="358" t="s">
        <v>615</v>
      </c>
      <c r="C6" s="399" t="s">
        <v>150</v>
      </c>
      <c r="D6" s="439" t="str">
        <f>'Crossing Inputs'!D53</f>
        <v>Passive</v>
      </c>
      <c r="E6" s="398">
        <f>SUMIFS('Accidents Methodology'!$C$3:$C$5,'Accidents Methodology'!$B$3:$B$5,$D6)</f>
        <v>2.2680000000000001E-3</v>
      </c>
    </row>
    <row r="7" spans="1:38">
      <c r="B7" s="358" t="s">
        <v>630</v>
      </c>
      <c r="C7" s="399" t="s">
        <v>631</v>
      </c>
      <c r="D7" s="439" t="str">
        <f>'Crossing Inputs'!D55</f>
        <v>Yes</v>
      </c>
      <c r="E7" s="398">
        <f>SUMIFS('Accidents Methodology'!$C$26:$C$27,'Accidents Methodology'!$B$26:$B$27,$D7)</f>
        <v>1</v>
      </c>
    </row>
    <row r="8" spans="1:38">
      <c r="B8" s="358" t="s">
        <v>632</v>
      </c>
      <c r="C8" s="399" t="s">
        <v>633</v>
      </c>
      <c r="D8" s="439" t="str">
        <f>'Crossing Inputs'!$D$52&amp;" - "&amp;'Crossing Inputs'!$D$54</f>
        <v>Urban - Local</v>
      </c>
      <c r="E8" s="398">
        <f>SUMIFS('Accidents Methodology'!$C$8:$C$19,'Accidents Methodology'!$B$8:$B$19,$D8)</f>
        <v>6</v>
      </c>
    </row>
    <row r="9" spans="1:38">
      <c r="B9" s="358" t="s">
        <v>607</v>
      </c>
      <c r="C9" s="399" t="s">
        <v>635</v>
      </c>
      <c r="D9" s="439">
        <f>'Crossing Inputs'!D56</f>
        <v>1</v>
      </c>
    </row>
    <row r="10" spans="1:38">
      <c r="B10" s="358" t="s">
        <v>636</v>
      </c>
      <c r="C10" s="399" t="s">
        <v>637</v>
      </c>
      <c r="D10" s="439">
        <f>'Crossing Inputs'!D61</f>
        <v>2</v>
      </c>
    </row>
    <row r="11" spans="1:38">
      <c r="B11" s="358" t="s">
        <v>610</v>
      </c>
      <c r="C11" s="399" t="s">
        <v>638</v>
      </c>
      <c r="D11" s="439">
        <f>'Crossing Inputs'!D57</f>
        <v>2</v>
      </c>
    </row>
    <row r="12" spans="1:38">
      <c r="C12" s="399"/>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3">
      <c r="C14" s="399"/>
      <c r="D14" s="440">
        <f>D$1</f>
        <v>2021</v>
      </c>
      <c r="E14" s="440">
        <f t="shared" ref="E14:AL14" si="0">E$1</f>
        <v>2022</v>
      </c>
      <c r="F14" s="440">
        <f t="shared" si="0"/>
        <v>2023</v>
      </c>
      <c r="G14" s="440">
        <f t="shared" si="0"/>
        <v>2024</v>
      </c>
      <c r="H14" s="440">
        <f t="shared" si="0"/>
        <v>2025</v>
      </c>
      <c r="I14" s="440">
        <f t="shared" si="0"/>
        <v>2026</v>
      </c>
      <c r="J14" s="440">
        <f t="shared" si="0"/>
        <v>2027</v>
      </c>
      <c r="K14" s="440">
        <f t="shared" si="0"/>
        <v>2028</v>
      </c>
      <c r="L14" s="440">
        <f t="shared" si="0"/>
        <v>2029</v>
      </c>
      <c r="M14" s="440">
        <f t="shared" si="0"/>
        <v>2030</v>
      </c>
      <c r="N14" s="440">
        <f t="shared" si="0"/>
        <v>2031</v>
      </c>
      <c r="O14" s="440">
        <f t="shared" si="0"/>
        <v>2032</v>
      </c>
      <c r="P14" s="440">
        <f t="shared" si="0"/>
        <v>2033</v>
      </c>
      <c r="Q14" s="440">
        <f t="shared" si="0"/>
        <v>2034</v>
      </c>
      <c r="R14" s="440">
        <f t="shared" si="0"/>
        <v>2035</v>
      </c>
      <c r="S14" s="440">
        <f t="shared" si="0"/>
        <v>2036</v>
      </c>
      <c r="T14" s="440">
        <f t="shared" si="0"/>
        <v>2037</v>
      </c>
      <c r="U14" s="440">
        <f t="shared" si="0"/>
        <v>2038</v>
      </c>
      <c r="V14" s="440">
        <f t="shared" si="0"/>
        <v>2039</v>
      </c>
      <c r="W14" s="440">
        <f t="shared" si="0"/>
        <v>2040</v>
      </c>
      <c r="X14" s="440">
        <f t="shared" si="0"/>
        <v>2041</v>
      </c>
      <c r="Y14" s="440">
        <f t="shared" si="0"/>
        <v>2042</v>
      </c>
      <c r="Z14" s="440">
        <f t="shared" si="0"/>
        <v>2043</v>
      </c>
      <c r="AA14" s="440">
        <f t="shared" si="0"/>
        <v>2044</v>
      </c>
      <c r="AB14" s="440">
        <f t="shared" si="0"/>
        <v>2045</v>
      </c>
      <c r="AC14" s="440">
        <f t="shared" si="0"/>
        <v>2046</v>
      </c>
      <c r="AD14" s="440">
        <f t="shared" si="0"/>
        <v>2047</v>
      </c>
      <c r="AE14" s="440">
        <f t="shared" si="0"/>
        <v>2048</v>
      </c>
      <c r="AF14" s="440">
        <f t="shared" si="0"/>
        <v>2049</v>
      </c>
      <c r="AG14" s="440">
        <f t="shared" si="0"/>
        <v>2050</v>
      </c>
      <c r="AH14" s="440">
        <f t="shared" si="0"/>
        <v>2051</v>
      </c>
      <c r="AI14" s="440">
        <f t="shared" si="0"/>
        <v>2052</v>
      </c>
      <c r="AJ14" s="440">
        <f t="shared" si="0"/>
        <v>2053</v>
      </c>
      <c r="AK14" s="440">
        <f t="shared" si="0"/>
        <v>2054</v>
      </c>
      <c r="AL14" s="440">
        <f t="shared" si="0"/>
        <v>2055</v>
      </c>
    </row>
    <row r="15" spans="1:38" ht="13">
      <c r="B15" s="400" t="s">
        <v>639</v>
      </c>
      <c r="C15" s="401" t="s">
        <v>640</v>
      </c>
      <c r="D15" s="441">
        <f>'900 South'!D6</f>
        <v>715.92209454276815</v>
      </c>
      <c r="E15" s="441">
        <f>'900 South'!E6</f>
        <v>737.03756308528375</v>
      </c>
      <c r="F15" s="441">
        <f>'900 South'!F6</f>
        <v>758.7758130940631</v>
      </c>
      <c r="G15" s="441">
        <f>'900 South'!G6</f>
        <v>781.15521293985501</v>
      </c>
      <c r="H15" s="441">
        <f>'900 South'!H6</f>
        <v>804.19467275173315</v>
      </c>
      <c r="I15" s="441">
        <f>'900 South'!I6</f>
        <v>827.91366039576292</v>
      </c>
      <c r="J15" s="441">
        <f>'900 South'!J6</f>
        <v>852.33221792494589</v>
      </c>
      <c r="K15" s="441">
        <f>'900 South'!K6</f>
        <v>877.47097851433796</v>
      </c>
      <c r="L15" s="441">
        <f>'900 South'!L6</f>
        <v>903.35118389565571</v>
      </c>
      <c r="M15" s="441">
        <f>'900 South'!M6</f>
        <v>929.99470230609836</v>
      </c>
      <c r="N15" s="441">
        <f>'900 South'!N6</f>
        <v>957.42404696655649</v>
      </c>
      <c r="O15" s="441">
        <f>'900 South'!O6</f>
        <v>985.66239510481569</v>
      </c>
      <c r="P15" s="441">
        <f>'900 South'!P6</f>
        <v>1014.7336075398345</v>
      </c>
      <c r="Q15" s="441">
        <f>'900 South'!Q6</f>
        <v>1044.6622488436417</v>
      </c>
      <c r="R15" s="441">
        <f>'900 South'!R6</f>
        <v>1075.4736080978903</v>
      </c>
      <c r="S15" s="441">
        <f>'900 South'!S6</f>
        <v>1107.1937202626091</v>
      </c>
      <c r="T15" s="441">
        <f>'900 South'!T6</f>
        <v>1139.8493881752013</v>
      </c>
      <c r="U15" s="441">
        <f>'900 South'!U6</f>
        <v>1173.4682051982891</v>
      </c>
      <c r="V15" s="441">
        <f>'900 South'!V6</f>
        <v>1208.0785785355329</v>
      </c>
      <c r="W15" s="441">
        <f>'900 South'!W6</f>
        <v>1243.709753235129</v>
      </c>
      <c r="X15" s="441">
        <f>'900 South'!X6</f>
        <v>1280.3918369012695</v>
      </c>
      <c r="Y15" s="441">
        <f>'900 South'!Y6</f>
        <v>1318.1558251344438</v>
      </c>
      <c r="Z15" s="441">
        <f>'900 South'!Z6</f>
        <v>1357.033627722079</v>
      </c>
      <c r="AA15" s="441">
        <f>'900 South'!AA6</f>
        <v>1397.0580956016493</v>
      </c>
      <c r="AB15" s="441">
        <f>'900 South'!AB6</f>
        <v>1438.2630486190353</v>
      </c>
      <c r="AC15" s="441">
        <f>'900 South'!AC6</f>
        <v>1480.6833041055959</v>
      </c>
      <c r="AD15" s="441">
        <f>'900 South'!AD6</f>
        <v>1524.3547062980897</v>
      </c>
      <c r="AE15" s="441">
        <f>'900 South'!AE6</f>
        <v>1569.3141566263132</v>
      </c>
      <c r="AF15" s="441">
        <f>'900 South'!AF6</f>
        <v>1615.5996448940423</v>
      </c>
      <c r="AG15" s="441">
        <f>'900 South'!AG6</f>
        <v>1663.2502813796323</v>
      </c>
      <c r="AH15" s="441">
        <f>'900 South'!AH6</f>
        <v>1712.3063298833902</v>
      </c>
      <c r="AI15" s="441">
        <f>'900 South'!AI6</f>
        <v>1762.8092417496523</v>
      </c>
      <c r="AJ15" s="441">
        <f>'900 South'!AJ6</f>
        <v>1814.8016908923112</v>
      </c>
      <c r="AK15" s="441">
        <f>'900 South'!AK6</f>
        <v>1868.3276098533881</v>
      </c>
      <c r="AL15" s="441">
        <f>'900 South'!AL6</f>
        <v>1923.4322269251215</v>
      </c>
    </row>
    <row r="16" spans="1:38" ht="13">
      <c r="B16" s="400" t="s">
        <v>641</v>
      </c>
      <c r="C16" s="401" t="s">
        <v>642</v>
      </c>
      <c r="D16" s="442">
        <f>'900 South'!D10</f>
        <v>6.0636386466438061</v>
      </c>
      <c r="E16" s="442">
        <f>'900 South'!E10</f>
        <v>6.1279522728453877</v>
      </c>
      <c r="F16" s="442">
        <f>'900 South'!F10</f>
        <v>6.1929480377356736</v>
      </c>
      <c r="G16" s="442">
        <f>'900 South'!G10</f>
        <v>6.2586331763784937</v>
      </c>
      <c r="H16" s="442">
        <f>'900 South'!H10</f>
        <v>6.3250150005759522</v>
      </c>
      <c r="I16" s="442">
        <f>'900 South'!I10</f>
        <v>6.3921008996823563</v>
      </c>
      <c r="J16" s="442">
        <f>'900 South'!J10</f>
        <v>6.4598983414267632</v>
      </c>
      <c r="K16" s="442">
        <f>'900 South'!K10</f>
        <v>6.5284148727442579</v>
      </c>
      <c r="L16" s="442">
        <f>'900 South'!L10</f>
        <v>6.5976581206160478</v>
      </c>
      <c r="M16" s="442">
        <f>'900 South'!M10</f>
        <v>6.6676357929184693</v>
      </c>
      <c r="N16" s="442">
        <f>'900 South'!N10</f>
        <v>6.7383556792809909</v>
      </c>
      <c r="O16" s="442">
        <f>'900 South'!O10</f>
        <v>6.8098256519533322</v>
      </c>
      <c r="P16" s="442">
        <f>'900 South'!P10</f>
        <v>6.8820536666817631</v>
      </c>
      <c r="Q16" s="442">
        <f>'900 South'!Q10</f>
        <v>6.9550477635947088</v>
      </c>
      <c r="R16" s="442">
        <f>'900 South'!R10</f>
        <v>7.0288160680977398</v>
      </c>
      <c r="S16" s="442">
        <f>'900 South'!S10</f>
        <v>7.1033667917780718</v>
      </c>
      <c r="T16" s="442">
        <f>'900 South'!T10</f>
        <v>7.1787082333186234</v>
      </c>
      <c r="U16" s="442">
        <f>'900 South'!U10</f>
        <v>7.2548487794218142</v>
      </c>
      <c r="V16" s="442">
        <f>'900 South'!V10</f>
        <v>7.3317969057431265</v>
      </c>
      <c r="W16" s="442">
        <f>'900 South'!W10</f>
        <v>7.4095611778345836</v>
      </c>
      <c r="X16" s="442">
        <f>'900 South'!X10</f>
        <v>7.4881502520982295</v>
      </c>
      <c r="Y16" s="442">
        <f>'900 South'!Y10</f>
        <v>7.5675728767497308</v>
      </c>
      <c r="Z16" s="442">
        <f>'900 South'!Z10</f>
        <v>7.6478378927921851</v>
      </c>
      <c r="AA16" s="442">
        <f>'900 South'!AA10</f>
        <v>7.7289542350002716</v>
      </c>
      <c r="AB16" s="442">
        <f>'900 South'!AB10</f>
        <v>7.8109309329148253</v>
      </c>
      <c r="AC16" s="442">
        <f>'900 South'!AC10</f>
        <v>7.8937771118479834</v>
      </c>
      <c r="AD16" s="442">
        <f>'900 South'!AD10</f>
        <v>7.9775019938989598</v>
      </c>
      <c r="AE16" s="442">
        <f>'900 South'!AE10</f>
        <v>8.0621148989806244</v>
      </c>
      <c r="AF16" s="442">
        <f>'900 South'!AF10</f>
        <v>8.1476252458569576</v>
      </c>
      <c r="AG16" s="442">
        <f>'900 South'!AG10</f>
        <v>8.2340425531914985</v>
      </c>
      <c r="AH16" s="442">
        <f>'900 South'!AH10</f>
        <v>8.3213764406069348</v>
      </c>
      <c r="AI16" s="442">
        <f>'900 South'!AI10</f>
        <v>8.4096366297559157</v>
      </c>
      <c r="AJ16" s="442">
        <f>'900 South'!AJ10</f>
        <v>8.4988329454032225</v>
      </c>
      <c r="AK16" s="442">
        <f>'900 South'!AK10</f>
        <v>8.5889753165194307</v>
      </c>
      <c r="AL16" s="442">
        <f>'900 South'!AL10</f>
        <v>8.6800737773861574</v>
      </c>
    </row>
    <row r="17" spans="2:38" ht="13">
      <c r="B17" s="400" t="s">
        <v>643</v>
      </c>
      <c r="C17" s="401" t="s">
        <v>644</v>
      </c>
      <c r="D17" s="442">
        <f>'900 South'!D10</f>
        <v>6.0636386466438061</v>
      </c>
      <c r="E17" s="442">
        <f>'900 South'!E10</f>
        <v>6.1279522728453877</v>
      </c>
      <c r="F17" s="442">
        <f>'900 South'!F10</f>
        <v>6.1929480377356736</v>
      </c>
      <c r="G17" s="442">
        <f>'900 South'!G10</f>
        <v>6.2586331763784937</v>
      </c>
      <c r="H17" s="442">
        <f>'900 South'!H10</f>
        <v>6.3250150005759522</v>
      </c>
      <c r="I17" s="442">
        <f>'900 South'!I10</f>
        <v>6.3921008996823563</v>
      </c>
      <c r="J17" s="442">
        <f>'900 South'!J10</f>
        <v>6.4598983414267632</v>
      </c>
      <c r="K17" s="442">
        <f>'900 South'!K10</f>
        <v>6.5284148727442579</v>
      </c>
      <c r="L17" s="442">
        <f>'900 South'!L10</f>
        <v>6.5976581206160478</v>
      </c>
      <c r="M17" s="442">
        <f>'900 South'!M10</f>
        <v>6.6676357929184693</v>
      </c>
      <c r="N17" s="442">
        <f>'900 South'!N10</f>
        <v>6.7383556792809909</v>
      </c>
      <c r="O17" s="442">
        <f>'900 South'!O10</f>
        <v>6.8098256519533322</v>
      </c>
      <c r="P17" s="442">
        <f>'900 South'!P10</f>
        <v>6.8820536666817631</v>
      </c>
      <c r="Q17" s="442">
        <f>'900 South'!Q10</f>
        <v>6.9550477635947088</v>
      </c>
      <c r="R17" s="442">
        <f>'900 South'!R10</f>
        <v>7.0288160680977398</v>
      </c>
      <c r="S17" s="442">
        <f>'900 South'!S10</f>
        <v>7.1033667917780718</v>
      </c>
      <c r="T17" s="442">
        <f>'900 South'!T10</f>
        <v>7.1787082333186234</v>
      </c>
      <c r="U17" s="442">
        <f>'900 South'!U10</f>
        <v>7.2548487794218142</v>
      </c>
      <c r="V17" s="442">
        <f>'900 South'!V10</f>
        <v>7.3317969057431265</v>
      </c>
      <c r="W17" s="442">
        <f>'900 South'!W10</f>
        <v>7.4095611778345836</v>
      </c>
      <c r="X17" s="442">
        <f>'900 South'!X10</f>
        <v>7.4881502520982295</v>
      </c>
      <c r="Y17" s="442">
        <f>'900 South'!Y10</f>
        <v>7.5675728767497308</v>
      </c>
      <c r="Z17" s="442">
        <f>'900 South'!Z10</f>
        <v>7.6478378927921851</v>
      </c>
      <c r="AA17" s="442">
        <f>'900 South'!AA10</f>
        <v>7.7289542350002716</v>
      </c>
      <c r="AB17" s="442">
        <f>'900 South'!AB10</f>
        <v>7.8109309329148253</v>
      </c>
      <c r="AC17" s="442">
        <f>'900 South'!AC10</f>
        <v>7.8937771118479834</v>
      </c>
      <c r="AD17" s="442">
        <f>'900 South'!AD10</f>
        <v>7.9775019938989598</v>
      </c>
      <c r="AE17" s="442">
        <f>'900 South'!AE10</f>
        <v>8.0621148989806244</v>
      </c>
      <c r="AF17" s="442">
        <f>'900 South'!AF10</f>
        <v>8.1476252458569576</v>
      </c>
      <c r="AG17" s="442">
        <f>'900 South'!AG10</f>
        <v>8.2340425531914985</v>
      </c>
      <c r="AH17" s="442">
        <f>'900 South'!AH10</f>
        <v>8.3213764406069348</v>
      </c>
      <c r="AI17" s="442">
        <f>'900 South'!AI10</f>
        <v>8.4096366297559157</v>
      </c>
      <c r="AJ17" s="442">
        <f>'900 South'!AJ10</f>
        <v>8.4988329454032225</v>
      </c>
      <c r="AK17" s="442">
        <f>'900 South'!AK10</f>
        <v>8.5889753165194307</v>
      </c>
      <c r="AL17" s="442">
        <f>'900 South'!AL10</f>
        <v>8.6800737773861574</v>
      </c>
    </row>
    <row r="18" spans="2:38" ht="13">
      <c r="B18" s="400" t="s">
        <v>645</v>
      </c>
      <c r="C18" s="401" t="s">
        <v>646</v>
      </c>
      <c r="D18" s="442">
        <f>'900 South'!D11</f>
        <v>2.021212882214602</v>
      </c>
      <c r="E18" s="442">
        <f>'900 South'!E11</f>
        <v>2.0426507576151294</v>
      </c>
      <c r="F18" s="442">
        <f>'900 South'!F11</f>
        <v>2.064316012578558</v>
      </c>
      <c r="G18" s="442">
        <f>'900 South'!G11</f>
        <v>2.0862110587928311</v>
      </c>
      <c r="H18" s="442">
        <f>'900 South'!H11</f>
        <v>2.1083383335253174</v>
      </c>
      <c r="I18" s="442">
        <f>'900 South'!I11</f>
        <v>2.1307002998941189</v>
      </c>
      <c r="J18" s="442">
        <f>'900 South'!J11</f>
        <v>2.1532994471422544</v>
      </c>
      <c r="K18" s="442">
        <f>'900 South'!K11</f>
        <v>2.1761382909147526</v>
      </c>
      <c r="L18" s="442">
        <f>'900 South'!L11</f>
        <v>2.1992193735386825</v>
      </c>
      <c r="M18" s="442">
        <f>'900 South'!M11</f>
        <v>2.2225452643061563</v>
      </c>
      <c r="N18" s="442">
        <f>'900 South'!N11</f>
        <v>2.2461185597603301</v>
      </c>
      <c r="O18" s="442">
        <f>'900 South'!O11</f>
        <v>2.2699418839844441</v>
      </c>
      <c r="P18" s="442">
        <f>'900 South'!P11</f>
        <v>2.2940178888939209</v>
      </c>
      <c r="Q18" s="442">
        <f>'900 South'!Q11</f>
        <v>2.3183492545315696</v>
      </c>
      <c r="R18" s="442">
        <f>'900 South'!R11</f>
        <v>2.3429386893659134</v>
      </c>
      <c r="S18" s="442">
        <f>'900 South'!S11</f>
        <v>2.3677889305926905</v>
      </c>
      <c r="T18" s="442">
        <f>'900 South'!T11</f>
        <v>2.392902744439541</v>
      </c>
      <c r="U18" s="442">
        <f>'900 South'!U11</f>
        <v>2.4182829264739381</v>
      </c>
      <c r="V18" s="442">
        <f>'900 South'!V11</f>
        <v>2.4439323019143755</v>
      </c>
      <c r="W18" s="442">
        <f>'900 South'!W11</f>
        <v>2.4698537259448612</v>
      </c>
      <c r="X18" s="442">
        <f>'900 South'!X11</f>
        <v>2.4960500840327433</v>
      </c>
      <c r="Y18" s="442">
        <f>'900 South'!Y11</f>
        <v>2.5225242922499103</v>
      </c>
      <c r="Z18" s="442">
        <f>'900 South'!Z11</f>
        <v>2.549279297597395</v>
      </c>
      <c r="AA18" s="442">
        <f>'900 South'!AA11</f>
        <v>2.5763180783334239</v>
      </c>
      <c r="AB18" s="442">
        <f>'900 South'!AB11</f>
        <v>2.6036436443049418</v>
      </c>
      <c r="AC18" s="442">
        <f>'900 South'!AC11</f>
        <v>2.631259037282661</v>
      </c>
      <c r="AD18" s="442">
        <f>'900 South'!AD11</f>
        <v>2.6591673312996531</v>
      </c>
      <c r="AE18" s="442">
        <f>'900 South'!AE11</f>
        <v>2.6873716329935418</v>
      </c>
      <c r="AF18" s="442">
        <f>'900 South'!AF11</f>
        <v>2.7158750819523192</v>
      </c>
      <c r="AG18" s="442">
        <f>'900 South'!AG11</f>
        <v>2.744680851063833</v>
      </c>
      <c r="AH18" s="442">
        <f>'900 South'!AH11</f>
        <v>2.7737921468689781</v>
      </c>
      <c r="AI18" s="442">
        <f>'900 South'!AI11</f>
        <v>2.8032122099186383</v>
      </c>
      <c r="AJ18" s="442">
        <f>'900 South'!AJ11</f>
        <v>2.8329443151344074</v>
      </c>
      <c r="AK18" s="442">
        <f>'900 South'!AK11</f>
        <v>2.8629917721731437</v>
      </c>
      <c r="AL18" s="442">
        <f>'900 South'!AL11</f>
        <v>2.8933579257953856</v>
      </c>
    </row>
    <row r="19" spans="2:38" ht="13">
      <c r="B19" s="400" t="s">
        <v>1048</v>
      </c>
      <c r="C19" s="401" t="s">
        <v>647</v>
      </c>
      <c r="D19" s="442">
        <v>0</v>
      </c>
      <c r="E19" s="442">
        <v>0</v>
      </c>
      <c r="F19" s="442">
        <v>0</v>
      </c>
      <c r="G19" s="442">
        <v>0</v>
      </c>
      <c r="H19" s="442">
        <v>0</v>
      </c>
      <c r="I19" s="442">
        <v>0</v>
      </c>
      <c r="J19" s="442">
        <v>0</v>
      </c>
      <c r="K19" s="442">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442">
        <v>0</v>
      </c>
      <c r="AC19" s="442">
        <v>0</v>
      </c>
      <c r="AD19" s="442">
        <v>0</v>
      </c>
      <c r="AE19" s="442">
        <v>0</v>
      </c>
      <c r="AF19" s="442">
        <v>0</v>
      </c>
      <c r="AG19" s="442">
        <v>0</v>
      </c>
      <c r="AH19" s="442">
        <v>0</v>
      </c>
      <c r="AI19" s="442">
        <v>0</v>
      </c>
      <c r="AJ19" s="442">
        <v>0</v>
      </c>
      <c r="AK19" s="442">
        <v>0</v>
      </c>
      <c r="AL19" s="442">
        <v>0</v>
      </c>
    </row>
    <row r="20" spans="2:38" ht="13">
      <c r="B20" s="400" t="s">
        <v>648</v>
      </c>
      <c r="C20" s="401" t="s">
        <v>649</v>
      </c>
      <c r="D20" s="441">
        <f>'Crossing Inputs'!$D60</f>
        <v>7.5</v>
      </c>
      <c r="E20" s="441">
        <f>'Crossing Inputs'!$D60</f>
        <v>7.5</v>
      </c>
      <c r="F20" s="441">
        <f>'Crossing Inputs'!$D60</f>
        <v>7.5</v>
      </c>
      <c r="G20" s="441">
        <f>'Crossing Inputs'!$D60</f>
        <v>7.5</v>
      </c>
      <c r="H20" s="441">
        <f>'Crossing Inputs'!$D60</f>
        <v>7.5</v>
      </c>
      <c r="I20" s="441">
        <f>'Crossing Inputs'!$D60</f>
        <v>7.5</v>
      </c>
      <c r="J20" s="441">
        <f>'Crossing Inputs'!$D60</f>
        <v>7.5</v>
      </c>
      <c r="K20" s="441">
        <f>'Crossing Inputs'!$D60</f>
        <v>7.5</v>
      </c>
      <c r="L20" s="441">
        <f>'Crossing Inputs'!$D60</f>
        <v>7.5</v>
      </c>
      <c r="M20" s="441">
        <f>'Crossing Inputs'!$D60</f>
        <v>7.5</v>
      </c>
      <c r="N20" s="441">
        <f>'Crossing Inputs'!$D60</f>
        <v>7.5</v>
      </c>
      <c r="O20" s="441">
        <f>'Crossing Inputs'!$D60</f>
        <v>7.5</v>
      </c>
      <c r="P20" s="441">
        <f>'Crossing Inputs'!$D60</f>
        <v>7.5</v>
      </c>
      <c r="Q20" s="441">
        <f>'Crossing Inputs'!$D60</f>
        <v>7.5</v>
      </c>
      <c r="R20" s="441">
        <f>'Crossing Inputs'!$D60</f>
        <v>7.5</v>
      </c>
      <c r="S20" s="441">
        <f>'Crossing Inputs'!$D60</f>
        <v>7.5</v>
      </c>
      <c r="T20" s="441">
        <f>'Crossing Inputs'!$D60</f>
        <v>7.5</v>
      </c>
      <c r="U20" s="441">
        <f>'Crossing Inputs'!$D60</f>
        <v>7.5</v>
      </c>
      <c r="V20" s="441">
        <f>'Crossing Inputs'!$D60</f>
        <v>7.5</v>
      </c>
      <c r="W20" s="441">
        <f>'Crossing Inputs'!$D60</f>
        <v>7.5</v>
      </c>
      <c r="X20" s="441">
        <f>'Crossing Inputs'!$D60</f>
        <v>7.5</v>
      </c>
      <c r="Y20" s="441">
        <f>'Crossing Inputs'!$D60</f>
        <v>7.5</v>
      </c>
      <c r="Z20" s="441">
        <f>'Crossing Inputs'!$D60</f>
        <v>7.5</v>
      </c>
      <c r="AA20" s="441">
        <f>'Crossing Inputs'!$D60</f>
        <v>7.5</v>
      </c>
      <c r="AB20" s="441">
        <f>'Crossing Inputs'!$D60</f>
        <v>7.5</v>
      </c>
      <c r="AC20" s="441">
        <f>'Crossing Inputs'!$D60</f>
        <v>7.5</v>
      </c>
      <c r="AD20" s="441">
        <f>'Crossing Inputs'!$D60</f>
        <v>7.5</v>
      </c>
      <c r="AE20" s="441">
        <f>'Crossing Inputs'!$D60</f>
        <v>7.5</v>
      </c>
      <c r="AF20" s="441">
        <f>'Crossing Inputs'!$D60</f>
        <v>7.5</v>
      </c>
      <c r="AG20" s="441">
        <f>'Crossing Inputs'!$D60</f>
        <v>7.5</v>
      </c>
      <c r="AH20" s="441">
        <f>'Crossing Inputs'!$D60</f>
        <v>7.5</v>
      </c>
      <c r="AI20" s="441">
        <f>'Crossing Inputs'!$D60</f>
        <v>7.5</v>
      </c>
      <c r="AJ20" s="441">
        <f>'Crossing Inputs'!$D60</f>
        <v>7.5</v>
      </c>
      <c r="AK20" s="441">
        <f>'Crossing Inputs'!$D60</f>
        <v>7.5</v>
      </c>
      <c r="AL20" s="441">
        <f>'Crossing Inputs'!$D60</f>
        <v>7.5</v>
      </c>
    </row>
    <row r="21" spans="2:38" ht="13">
      <c r="B21" s="400"/>
      <c r="C21" s="403"/>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2:38" ht="13">
      <c r="B22" s="400"/>
      <c r="C22" s="404"/>
      <c r="D22" s="440">
        <f t="shared" ref="D22:AL22" si="1">D$1</f>
        <v>2021</v>
      </c>
      <c r="E22" s="440">
        <f t="shared" si="1"/>
        <v>2022</v>
      </c>
      <c r="F22" s="440">
        <f t="shared" si="1"/>
        <v>2023</v>
      </c>
      <c r="G22" s="440">
        <f t="shared" si="1"/>
        <v>2024</v>
      </c>
      <c r="H22" s="1229">
        <f t="shared" si="1"/>
        <v>2025</v>
      </c>
      <c r="I22" s="440">
        <f t="shared" si="1"/>
        <v>2026</v>
      </c>
      <c r="J22" s="440">
        <f t="shared" si="1"/>
        <v>2027</v>
      </c>
      <c r="K22" s="440">
        <f t="shared" si="1"/>
        <v>2028</v>
      </c>
      <c r="L22" s="440">
        <f t="shared" si="1"/>
        <v>2029</v>
      </c>
      <c r="M22" s="440">
        <f t="shared" si="1"/>
        <v>2030</v>
      </c>
      <c r="N22" s="440">
        <f t="shared" si="1"/>
        <v>2031</v>
      </c>
      <c r="O22" s="440">
        <f t="shared" si="1"/>
        <v>2032</v>
      </c>
      <c r="P22" s="440">
        <f t="shared" si="1"/>
        <v>2033</v>
      </c>
      <c r="Q22" s="440">
        <f t="shared" si="1"/>
        <v>2034</v>
      </c>
      <c r="R22" s="440">
        <f t="shared" si="1"/>
        <v>2035</v>
      </c>
      <c r="S22" s="440">
        <f t="shared" si="1"/>
        <v>2036</v>
      </c>
      <c r="T22" s="440">
        <f t="shared" si="1"/>
        <v>2037</v>
      </c>
      <c r="U22" s="440">
        <f t="shared" si="1"/>
        <v>2038</v>
      </c>
      <c r="V22" s="440">
        <f t="shared" si="1"/>
        <v>2039</v>
      </c>
      <c r="W22" s="440">
        <f t="shared" si="1"/>
        <v>2040</v>
      </c>
      <c r="X22" s="440">
        <f t="shared" si="1"/>
        <v>2041</v>
      </c>
      <c r="Y22" s="440">
        <f t="shared" si="1"/>
        <v>2042</v>
      </c>
      <c r="Z22" s="440">
        <f t="shared" si="1"/>
        <v>2043</v>
      </c>
      <c r="AA22" s="440">
        <f t="shared" si="1"/>
        <v>2044</v>
      </c>
      <c r="AB22" s="440">
        <f t="shared" si="1"/>
        <v>2045</v>
      </c>
      <c r="AC22" s="440">
        <f t="shared" si="1"/>
        <v>2046</v>
      </c>
      <c r="AD22" s="440">
        <f t="shared" si="1"/>
        <v>2047</v>
      </c>
      <c r="AE22" s="440">
        <f t="shared" si="1"/>
        <v>2048</v>
      </c>
      <c r="AF22" s="440">
        <f t="shared" si="1"/>
        <v>2049</v>
      </c>
      <c r="AG22" s="440">
        <f t="shared" si="1"/>
        <v>2050</v>
      </c>
      <c r="AH22" s="440">
        <f t="shared" si="1"/>
        <v>2051</v>
      </c>
      <c r="AI22" s="440">
        <f t="shared" si="1"/>
        <v>2052</v>
      </c>
      <c r="AJ22" s="440">
        <f t="shared" si="1"/>
        <v>2053</v>
      </c>
      <c r="AK22" s="440">
        <f t="shared" si="1"/>
        <v>2054</v>
      </c>
      <c r="AL22" s="440">
        <f t="shared" si="1"/>
        <v>2055</v>
      </c>
    </row>
    <row r="23" spans="2:38" ht="13">
      <c r="B23" s="400" t="s">
        <v>354</v>
      </c>
      <c r="C23" s="404"/>
      <c r="D23" s="405">
        <f t="shared" ref="D23:AL23" si="2">D$56</f>
        <v>6.9186796763040875E-2</v>
      </c>
      <c r="E23" s="405">
        <f t="shared" si="2"/>
        <v>7.0196704766385717E-2</v>
      </c>
      <c r="F23" s="405">
        <f t="shared" si="2"/>
        <v>7.122144191158547E-2</v>
      </c>
      <c r="G23" s="405">
        <f t="shared" si="2"/>
        <v>7.2261226398048592E-2</v>
      </c>
      <c r="H23" s="1240">
        <f t="shared" si="2"/>
        <v>7.3316279638326445E-2</v>
      </c>
      <c r="I23" s="405">
        <f t="shared" si="2"/>
        <v>7.4386826305407508E-2</v>
      </c>
      <c r="J23" s="405">
        <f t="shared" si="2"/>
        <v>7.5473094380709593E-2</v>
      </c>
      <c r="K23" s="405">
        <f t="shared" si="2"/>
        <v>7.6575315202777841E-2</v>
      </c>
      <c r="L23" s="405">
        <f t="shared" si="2"/>
        <v>7.7693723516701355E-2</v>
      </c>
      <c r="M23" s="405">
        <f t="shared" si="2"/>
        <v>7.8828557524257326E-2</v>
      </c>
      <c r="N23" s="405">
        <f t="shared" si="2"/>
        <v>7.9980058934793985E-2</v>
      </c>
      <c r="O23" s="405">
        <f t="shared" si="2"/>
        <v>8.1148473016863398E-2</v>
      </c>
      <c r="P23" s="405">
        <f t="shared" si="2"/>
        <v>8.2334048650614944E-2</v>
      </c>
      <c r="Q23" s="405">
        <f t="shared" si="2"/>
        <v>8.3537038380960327E-2</v>
      </c>
      <c r="R23" s="405">
        <f t="shared" si="2"/>
        <v>8.4757698471522258E-2</v>
      </c>
      <c r="S23" s="405">
        <f t="shared" si="2"/>
        <v>8.5996288959377873E-2</v>
      </c>
      <c r="T23" s="405">
        <f t="shared" si="2"/>
        <v>8.7253073710608059E-2</v>
      </c>
      <c r="U23" s="405">
        <f t="shared" si="2"/>
        <v>8.8528320476665964E-2</v>
      </c>
      <c r="V23" s="405">
        <f t="shared" si="2"/>
        <v>8.9822300951574896E-2</v>
      </c>
      <c r="W23" s="405">
        <f t="shared" si="2"/>
        <v>9.1135290829969892E-2</v>
      </c>
      <c r="X23" s="405">
        <f t="shared" si="2"/>
        <v>9.2467569865993221E-2</v>
      </c>
      <c r="Y23" s="405">
        <f t="shared" si="2"/>
        <v>9.3819421933058297E-2</v>
      </c>
      <c r="Z23" s="405">
        <f t="shared" si="2"/>
        <v>9.5191135084493367E-2</v>
      </c>
      <c r="AA23" s="405">
        <f t="shared" si="2"/>
        <v>9.6583001615078809E-2</v>
      </c>
      <c r="AB23" s="405">
        <f t="shared" si="2"/>
        <v>9.7995318123490535E-2</v>
      </c>
      <c r="AC23" s="405">
        <f t="shared" si="2"/>
        <v>9.9428385575663941E-2</v>
      </c>
      <c r="AD23" s="405">
        <f t="shared" si="2"/>
        <v>0.10088250936908996</v>
      </c>
      <c r="AE23" s="405">
        <f t="shared" si="2"/>
        <v>0.10235799939805934</v>
      </c>
      <c r="AF23" s="405">
        <f t="shared" si="2"/>
        <v>0.10385517011986729</v>
      </c>
      <c r="AG23" s="405">
        <f t="shared" si="2"/>
        <v>0.10537434062199343</v>
      </c>
      <c r="AH23" s="405">
        <f t="shared" si="2"/>
        <v>0.10691583469027106</v>
      </c>
      <c r="AI23" s="405">
        <f t="shared" si="2"/>
        <v>0.10847998087806109</v>
      </c>
      <c r="AJ23" s="405">
        <f t="shared" si="2"/>
        <v>0.11006711257644368</v>
      </c>
      <c r="AK23" s="405">
        <f t="shared" si="2"/>
        <v>0.11167756808544513</v>
      </c>
      <c r="AL23" s="405">
        <f t="shared" si="2"/>
        <v>0.11331169068631264</v>
      </c>
    </row>
    <row r="24" spans="2:38" ht="13">
      <c r="B24" s="400" t="s">
        <v>650</v>
      </c>
      <c r="C24" s="404"/>
      <c r="D24" s="405">
        <f t="shared" ref="D24:AL24" si="3">D$64*D$23</f>
        <v>8.6648074219868097E-4</v>
      </c>
      <c r="E24" s="405">
        <f t="shared" si="3"/>
        <v>8.7993548718817715E-4</v>
      </c>
      <c r="F24" s="405">
        <f t="shared" si="3"/>
        <v>8.9360146286903807E-4</v>
      </c>
      <c r="G24" s="405">
        <f t="shared" si="3"/>
        <v>9.0748200115774733E-4</v>
      </c>
      <c r="H24" s="1240">
        <f t="shared" si="3"/>
        <v>9.2158048661297373E-4</v>
      </c>
      <c r="I24" s="405">
        <f t="shared" si="3"/>
        <v>9.3590035726719362E-4</v>
      </c>
      <c r="J24" s="405">
        <f t="shared" si="3"/>
        <v>9.504451054714771E-4</v>
      </c>
      <c r="K24" s="405">
        <f t="shared" si="3"/>
        <v>9.6521827875361329E-4</v>
      </c>
      <c r="L24" s="405">
        <f t="shared" si="3"/>
        <v>9.8022348068981316E-4</v>
      </c>
      <c r="M24" s="405">
        <f t="shared" si="3"/>
        <v>9.954643717901882E-4</v>
      </c>
      <c r="N24" s="405">
        <f t="shared" si="3"/>
        <v>1.0109446703982258E-3</v>
      </c>
      <c r="O24" s="405">
        <f t="shared" si="3"/>
        <v>1.0266681536044869E-3</v>
      </c>
      <c r="P24" s="405">
        <f t="shared" si="3"/>
        <v>1.0426386581747456E-3</v>
      </c>
      <c r="Q24" s="405">
        <f t="shared" si="3"/>
        <v>1.0588600814928004E-3</v>
      </c>
      <c r="R24" s="405">
        <f t="shared" si="3"/>
        <v>1.0753363825181891E-3</v>
      </c>
      <c r="S24" s="405">
        <f t="shared" si="3"/>
        <v>1.0920715827590465E-3</v>
      </c>
      <c r="T24" s="405">
        <f t="shared" si="3"/>
        <v>1.1090697672603332E-3</v>
      </c>
      <c r="U24" s="405">
        <f t="shared" si="3"/>
        <v>1.1263350856076933E-3</v>
      </c>
      <c r="V24" s="405">
        <f t="shared" si="3"/>
        <v>1.1438717529471706E-3</v>
      </c>
      <c r="W24" s="405">
        <f t="shared" si="3"/>
        <v>1.1616840510210577E-3</v>
      </c>
      <c r="X24" s="405">
        <f t="shared" si="3"/>
        <v>1.1797763292201032E-3</v>
      </c>
      <c r="Y24" s="405">
        <f t="shared" si="3"/>
        <v>1.1981530056523601E-3</v>
      </c>
      <c r="Z24" s="405">
        <f t="shared" si="3"/>
        <v>1.216818568228928E-3</v>
      </c>
      <c r="AA24" s="405">
        <f t="shared" si="3"/>
        <v>1.2357775757668519E-3</v>
      </c>
      <c r="AB24" s="405">
        <f t="shared" si="3"/>
        <v>1.255034659109459E-3</v>
      </c>
      <c r="AC24" s="405">
        <f t="shared" si="3"/>
        <v>1.2745945222644051E-3</v>
      </c>
      <c r="AD24" s="405">
        <f t="shared" si="3"/>
        <v>1.2944619435597002E-3</v>
      </c>
      <c r="AE24" s="405">
        <f t="shared" si="3"/>
        <v>1.3146417768180156E-3</v>
      </c>
      <c r="AF24" s="405">
        <f t="shared" si="3"/>
        <v>1.335138952549549E-3</v>
      </c>
      <c r="AG24" s="405">
        <f t="shared" si="3"/>
        <v>1.3559584791637406E-3</v>
      </c>
      <c r="AH24" s="405">
        <f t="shared" si="3"/>
        <v>1.377105444200143E-3</v>
      </c>
      <c r="AI24" s="405">
        <f t="shared" si="3"/>
        <v>1.3985850155787513E-3</v>
      </c>
      <c r="AJ24" s="405">
        <f t="shared" si="3"/>
        <v>1.4204024428700814E-3</v>
      </c>
      <c r="AK24" s="405">
        <f t="shared" si="3"/>
        <v>1.4425630585853404E-3</v>
      </c>
      <c r="AL24" s="405">
        <f t="shared" si="3"/>
        <v>1.4650722794869728E-3</v>
      </c>
    </row>
    <row r="25" spans="2:38" ht="13">
      <c r="B25" s="400" t="s">
        <v>651</v>
      </c>
      <c r="C25" s="404"/>
      <c r="D25" s="405">
        <f t="shared" ref="D25:AK25" si="4">D$73*D23</f>
        <v>1.3479392635553089E-2</v>
      </c>
      <c r="E25" s="405">
        <f t="shared" si="4"/>
        <v>1.3675989863063722E-2</v>
      </c>
      <c r="F25" s="405">
        <f t="shared" si="4"/>
        <v>1.3875471160431776E-2</v>
      </c>
      <c r="G25" s="405">
        <f t="shared" si="4"/>
        <v>1.407787892036644E-2</v>
      </c>
      <c r="H25" s="1240">
        <f t="shared" si="4"/>
        <v>1.4283256159134183E-2</v>
      </c>
      <c r="I25" s="405">
        <f t="shared" si="4"/>
        <v>1.4491646525725673E-2</v>
      </c>
      <c r="J25" s="405">
        <f t="shared" si="4"/>
        <v>1.4703094311157834E-2</v>
      </c>
      <c r="K25" s="405">
        <f t="shared" si="4"/>
        <v>1.4917644457912506E-2</v>
      </c>
      <c r="L25" s="405">
        <f t="shared" si="4"/>
        <v>1.5135342569514196E-2</v>
      </c>
      <c r="M25" s="405">
        <f t="shared" si="4"/>
        <v>1.5356234920248691E-2</v>
      </c>
      <c r="N25" s="405">
        <f t="shared" si="4"/>
        <v>1.5580368465024627E-2</v>
      </c>
      <c r="O25" s="405">
        <f t="shared" si="4"/>
        <v>1.5807790849380218E-2</v>
      </c>
      <c r="P25" s="405">
        <f t="shared" si="4"/>
        <v>1.6038550419637206E-2</v>
      </c>
      <c r="Q25" s="405">
        <f t="shared" si="4"/>
        <v>1.6272696233204167E-2</v>
      </c>
      <c r="R25" s="405">
        <f t="shared" si="4"/>
        <v>1.6510278069031444E-2</v>
      </c>
      <c r="S25" s="405">
        <f t="shared" si="4"/>
        <v>1.6751346438219922E-2</v>
      </c>
      <c r="T25" s="405">
        <f t="shared" si="4"/>
        <v>1.6995952594785785E-2</v>
      </c>
      <c r="U25" s="405">
        <f t="shared" si="4"/>
        <v>1.7244148546583769E-2</v>
      </c>
      <c r="V25" s="405">
        <f t="shared" si="4"/>
        <v>1.7495987066390967E-2</v>
      </c>
      <c r="W25" s="405">
        <f t="shared" si="4"/>
        <v>1.7751521703153889E-2</v>
      </c>
      <c r="X25" s="405">
        <f t="shared" si="4"/>
        <v>1.8010806793400745E-2</v>
      </c>
      <c r="Y25" s="405">
        <f t="shared" si="4"/>
        <v>1.8273897472821841E-2</v>
      </c>
      <c r="Z25" s="405">
        <f t="shared" si="4"/>
        <v>1.8540849688020149E-2</v>
      </c>
      <c r="AA25" s="405">
        <f t="shared" si="4"/>
        <v>1.8811720208434846E-2</v>
      </c>
      <c r="AB25" s="405">
        <f t="shared" si="4"/>
        <v>1.9086566638440175E-2</v>
      </c>
      <c r="AC25" s="405">
        <f t="shared" si="4"/>
        <v>1.9365447429622425E-2</v>
      </c>
      <c r="AD25" s="405">
        <f t="shared" si="4"/>
        <v>1.9648421893237265E-2</v>
      </c>
      <c r="AE25" s="405">
        <f t="shared" si="4"/>
        <v>1.9935550212850549E-2</v>
      </c>
      <c r="AF25" s="405">
        <f t="shared" si="4"/>
        <v>2.0226893457164968E-2</v>
      </c>
      <c r="AG25" s="405">
        <f t="shared" si="4"/>
        <v>2.052251359303536E-2</v>
      </c>
      <c r="AH25" s="405">
        <f t="shared" si="4"/>
        <v>2.082247349867547E-2</v>
      </c>
      <c r="AI25" s="405">
        <f t="shared" si="4"/>
        <v>2.1126836977059058E-2</v>
      </c>
      <c r="AJ25" s="405">
        <f t="shared" si="4"/>
        <v>2.1435668769517937E-2</v>
      </c>
      <c r="AK25" s="405">
        <f t="shared" si="4"/>
        <v>2.1749034569540252E-2</v>
      </c>
      <c r="AL25" s="405">
        <f t="shared" ref="AL25" si="5">AL$73*AL23</f>
        <v>2.2067001036771516E-2</v>
      </c>
    </row>
    <row r="26" spans="2:38">
      <c r="H26" s="1228"/>
    </row>
    <row r="27" spans="2:38" ht="13">
      <c r="B27" s="364" t="s">
        <v>652</v>
      </c>
      <c r="H27" s="1228"/>
    </row>
    <row r="28" spans="2:38" ht="13">
      <c r="B28" s="407" t="s">
        <v>615</v>
      </c>
      <c r="C28" s="396" t="s">
        <v>627</v>
      </c>
      <c r="D28" s="440">
        <f t="shared" ref="D28:AL28" si="6">D$1</f>
        <v>2021</v>
      </c>
      <c r="E28" s="440">
        <f t="shared" si="6"/>
        <v>2022</v>
      </c>
      <c r="F28" s="440">
        <f t="shared" si="6"/>
        <v>2023</v>
      </c>
      <c r="G28" s="440">
        <f t="shared" si="6"/>
        <v>2024</v>
      </c>
      <c r="H28" s="1229">
        <f t="shared" si="6"/>
        <v>2025</v>
      </c>
      <c r="I28" s="440">
        <f t="shared" si="6"/>
        <v>2026</v>
      </c>
      <c r="J28" s="440">
        <f t="shared" si="6"/>
        <v>2027</v>
      </c>
      <c r="K28" s="440">
        <f t="shared" si="6"/>
        <v>2028</v>
      </c>
      <c r="L28" s="440">
        <f t="shared" si="6"/>
        <v>2029</v>
      </c>
      <c r="M28" s="440">
        <f t="shared" si="6"/>
        <v>2030</v>
      </c>
      <c r="N28" s="440">
        <f t="shared" si="6"/>
        <v>2031</v>
      </c>
      <c r="O28" s="440">
        <f t="shared" si="6"/>
        <v>2032</v>
      </c>
      <c r="P28" s="440">
        <f t="shared" si="6"/>
        <v>2033</v>
      </c>
      <c r="Q28" s="440">
        <f t="shared" si="6"/>
        <v>2034</v>
      </c>
      <c r="R28" s="440">
        <f t="shared" si="6"/>
        <v>2035</v>
      </c>
      <c r="S28" s="440">
        <f t="shared" si="6"/>
        <v>2036</v>
      </c>
      <c r="T28" s="440">
        <f t="shared" si="6"/>
        <v>2037</v>
      </c>
      <c r="U28" s="440">
        <f t="shared" si="6"/>
        <v>2038</v>
      </c>
      <c r="V28" s="440">
        <f t="shared" si="6"/>
        <v>2039</v>
      </c>
      <c r="W28" s="440">
        <f t="shared" si="6"/>
        <v>2040</v>
      </c>
      <c r="X28" s="440">
        <f t="shared" si="6"/>
        <v>2041</v>
      </c>
      <c r="Y28" s="440">
        <f t="shared" si="6"/>
        <v>2042</v>
      </c>
      <c r="Z28" s="440">
        <f t="shared" si="6"/>
        <v>2043</v>
      </c>
      <c r="AA28" s="440">
        <f t="shared" si="6"/>
        <v>2044</v>
      </c>
      <c r="AB28" s="440">
        <f t="shared" si="6"/>
        <v>2045</v>
      </c>
      <c r="AC28" s="440">
        <f t="shared" si="6"/>
        <v>2046</v>
      </c>
      <c r="AD28" s="440">
        <f t="shared" si="6"/>
        <v>2047</v>
      </c>
      <c r="AE28" s="440">
        <f t="shared" si="6"/>
        <v>2048</v>
      </c>
      <c r="AF28" s="440">
        <f t="shared" si="6"/>
        <v>2049</v>
      </c>
      <c r="AG28" s="440">
        <f t="shared" si="6"/>
        <v>2050</v>
      </c>
      <c r="AH28" s="440">
        <f t="shared" si="6"/>
        <v>2051</v>
      </c>
      <c r="AI28" s="440">
        <f t="shared" si="6"/>
        <v>2052</v>
      </c>
      <c r="AJ28" s="440">
        <f t="shared" si="6"/>
        <v>2053</v>
      </c>
      <c r="AK28" s="440">
        <f t="shared" si="6"/>
        <v>2054</v>
      </c>
      <c r="AL28" s="440">
        <f t="shared" si="6"/>
        <v>2055</v>
      </c>
    </row>
    <row r="29" spans="2:38" ht="13">
      <c r="B29" s="364" t="s">
        <v>624</v>
      </c>
      <c r="C29" s="408"/>
      <c r="D29" s="358"/>
      <c r="E29" s="409"/>
      <c r="F29" s="410"/>
      <c r="G29" s="410"/>
      <c r="H29" s="1234"/>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row>
    <row r="30" spans="2:38">
      <c r="B30" s="411" t="s">
        <v>653</v>
      </c>
      <c r="C30" s="412" t="s">
        <v>654</v>
      </c>
      <c r="D30" s="413">
        <f t="shared" ref="D30:AL30" si="7">((D$15*D$16+0.2)/0.2)^(0.3334)</f>
        <v>27.913789731212734</v>
      </c>
      <c r="E30" s="413">
        <f t="shared" si="7"/>
        <v>28.28492274110107</v>
      </c>
      <c r="F30" s="413">
        <f t="shared" si="7"/>
        <v>28.660990883488331</v>
      </c>
      <c r="G30" s="413">
        <f t="shared" si="7"/>
        <v>29.042059765872839</v>
      </c>
      <c r="H30" s="413">
        <f t="shared" si="7"/>
        <v>29.428195868388059</v>
      </c>
      <c r="I30" s="413">
        <f t="shared" si="7"/>
        <v>29.819466555397462</v>
      </c>
      <c r="J30" s="413">
        <f t="shared" si="7"/>
        <v>30.215940087244181</v>
      </c>
      <c r="K30" s="413">
        <f t="shared" si="7"/>
        <v>30.61768563215659</v>
      </c>
      <c r="L30" s="413">
        <f t="shared" si="7"/>
        <v>31.024773278312761</v>
      </c>
      <c r="M30" s="413">
        <f t="shared" si="7"/>
        <v>31.437274046065383</v>
      </c>
      <c r="N30" s="413">
        <f t="shared" si="7"/>
        <v>31.85525990032934</v>
      </c>
      <c r="O30" s="413">
        <f t="shared" si="7"/>
        <v>32.278803763134285</v>
      </c>
      <c r="P30" s="413">
        <f t="shared" si="7"/>
        <v>32.707979526344296</v>
      </c>
      <c r="Q30" s="413">
        <f t="shared" si="7"/>
        <v>33.142862064546655</v>
      </c>
      <c r="R30" s="413">
        <f t="shared" si="7"/>
        <v>33.583527248112375</v>
      </c>
      <c r="S30" s="413">
        <f t="shared" si="7"/>
        <v>34.030051956430505</v>
      </c>
      <c r="T30" s="413">
        <f t="shared" si="7"/>
        <v>34.482514091318357</v>
      </c>
      <c r="U30" s="413">
        <f t="shared" si="7"/>
        <v>34.940992590610506</v>
      </c>
      <c r="V30" s="413">
        <f t="shared" si="7"/>
        <v>35.405567441928291</v>
      </c>
      <c r="W30" s="413">
        <f t="shared" si="7"/>
        <v>35.876319696632862</v>
      </c>
      <c r="X30" s="413">
        <f t="shared" si="7"/>
        <v>36.353331483963636</v>
      </c>
      <c r="Y30" s="413">
        <f t="shared" si="7"/>
        <v>36.83668602536504</v>
      </c>
      <c r="Z30" s="413">
        <f t="shared" si="7"/>
        <v>37.32646764900376</v>
      </c>
      <c r="AA30" s="413">
        <f t="shared" si="7"/>
        <v>37.822761804479292</v>
      </c>
      <c r="AB30" s="413">
        <f t="shared" si="7"/>
        <v>38.325655077729984</v>
      </c>
      <c r="AC30" s="413">
        <f t="shared" si="7"/>
        <v>38.835235206137725</v>
      </c>
      <c r="AD30" s="413">
        <f t="shared" si="7"/>
        <v>39.351591093833221</v>
      </c>
      <c r="AE30" s="413">
        <f t="shared" si="7"/>
        <v>39.874812827205204</v>
      </c>
      <c r="AF30" s="413">
        <f t="shared" si="7"/>
        <v>40.404991690615773</v>
      </c>
      <c r="AG30" s="413">
        <f t="shared" si="7"/>
        <v>40.942220182324917</v>
      </c>
      <c r="AH30" s="413">
        <f t="shared" si="7"/>
        <v>41.486592030626753</v>
      </c>
      <c r="AI30" s="413">
        <f t="shared" si="7"/>
        <v>42.038202210200623</v>
      </c>
      <c r="AJ30" s="413">
        <f t="shared" si="7"/>
        <v>42.597146958679382</v>
      </c>
      <c r="AK30" s="413">
        <f t="shared" si="7"/>
        <v>43.163523793438543</v>
      </c>
      <c r="AL30" s="413">
        <f t="shared" si="7"/>
        <v>43.737431528608269</v>
      </c>
    </row>
    <row r="31" spans="2:38">
      <c r="B31" s="411" t="s">
        <v>655</v>
      </c>
      <c r="C31" s="412" t="s">
        <v>656</v>
      </c>
      <c r="D31" s="414">
        <f t="shared" ref="D31:AL31" si="8">EXP(0.2094*$D$9)</f>
        <v>1.2329380751384142</v>
      </c>
      <c r="E31" s="415">
        <f t="shared" si="8"/>
        <v>1.2329380751384142</v>
      </c>
      <c r="F31" s="415">
        <f t="shared" si="8"/>
        <v>1.2329380751384142</v>
      </c>
      <c r="G31" s="415">
        <f t="shared" si="8"/>
        <v>1.2329380751384142</v>
      </c>
      <c r="H31" s="1235">
        <f t="shared" si="8"/>
        <v>1.2329380751384142</v>
      </c>
      <c r="I31" s="415">
        <f t="shared" si="8"/>
        <v>1.2329380751384142</v>
      </c>
      <c r="J31" s="415">
        <f t="shared" si="8"/>
        <v>1.2329380751384142</v>
      </c>
      <c r="K31" s="415">
        <f t="shared" si="8"/>
        <v>1.2329380751384142</v>
      </c>
      <c r="L31" s="415">
        <f t="shared" si="8"/>
        <v>1.2329380751384142</v>
      </c>
      <c r="M31" s="415">
        <f t="shared" si="8"/>
        <v>1.2329380751384142</v>
      </c>
      <c r="N31" s="415">
        <f t="shared" si="8"/>
        <v>1.2329380751384142</v>
      </c>
      <c r="O31" s="415">
        <f t="shared" si="8"/>
        <v>1.2329380751384142</v>
      </c>
      <c r="P31" s="415">
        <f t="shared" si="8"/>
        <v>1.2329380751384142</v>
      </c>
      <c r="Q31" s="415">
        <f t="shared" si="8"/>
        <v>1.2329380751384142</v>
      </c>
      <c r="R31" s="415">
        <f t="shared" si="8"/>
        <v>1.2329380751384142</v>
      </c>
      <c r="S31" s="415">
        <f t="shared" si="8"/>
        <v>1.2329380751384142</v>
      </c>
      <c r="T31" s="415">
        <f t="shared" si="8"/>
        <v>1.2329380751384142</v>
      </c>
      <c r="U31" s="415">
        <f t="shared" si="8"/>
        <v>1.2329380751384142</v>
      </c>
      <c r="V31" s="415">
        <f t="shared" si="8"/>
        <v>1.2329380751384142</v>
      </c>
      <c r="W31" s="415">
        <f t="shared" si="8"/>
        <v>1.2329380751384142</v>
      </c>
      <c r="X31" s="415">
        <f t="shared" si="8"/>
        <v>1.2329380751384142</v>
      </c>
      <c r="Y31" s="415">
        <f t="shared" si="8"/>
        <v>1.2329380751384142</v>
      </c>
      <c r="Z31" s="415">
        <f t="shared" si="8"/>
        <v>1.2329380751384142</v>
      </c>
      <c r="AA31" s="415">
        <f t="shared" si="8"/>
        <v>1.2329380751384142</v>
      </c>
      <c r="AB31" s="415">
        <f t="shared" si="8"/>
        <v>1.2329380751384142</v>
      </c>
      <c r="AC31" s="415">
        <f t="shared" si="8"/>
        <v>1.2329380751384142</v>
      </c>
      <c r="AD31" s="415">
        <f t="shared" si="8"/>
        <v>1.2329380751384142</v>
      </c>
      <c r="AE31" s="415">
        <f t="shared" si="8"/>
        <v>1.2329380751384142</v>
      </c>
      <c r="AF31" s="415">
        <f t="shared" si="8"/>
        <v>1.2329380751384142</v>
      </c>
      <c r="AG31" s="415">
        <f t="shared" si="8"/>
        <v>1.2329380751384142</v>
      </c>
      <c r="AH31" s="415">
        <f t="shared" si="8"/>
        <v>1.2329380751384142</v>
      </c>
      <c r="AI31" s="415">
        <f t="shared" si="8"/>
        <v>1.2329380751384142</v>
      </c>
      <c r="AJ31" s="415">
        <f t="shared" si="8"/>
        <v>1.2329380751384142</v>
      </c>
      <c r="AK31" s="415">
        <f t="shared" si="8"/>
        <v>1.2329380751384142</v>
      </c>
      <c r="AL31" s="415">
        <f t="shared" si="8"/>
        <v>1.2329380751384142</v>
      </c>
    </row>
    <row r="32" spans="2:38">
      <c r="B32" s="411" t="s">
        <v>657</v>
      </c>
      <c r="C32" s="416" t="s">
        <v>658</v>
      </c>
      <c r="D32" s="417">
        <f t="shared" ref="D32:AL32" si="9">((D$18+0.2)/0.2)^(0.1336)</f>
        <v>1.3793892627846567</v>
      </c>
      <c r="E32" s="417">
        <f t="shared" si="9"/>
        <v>1.3811604976010341</v>
      </c>
      <c r="F32" s="417">
        <f t="shared" si="9"/>
        <v>1.3829356773787482</v>
      </c>
      <c r="G32" s="417">
        <f t="shared" si="9"/>
        <v>1.3847147970270854</v>
      </c>
      <c r="H32" s="417">
        <f t="shared" si="9"/>
        <v>1.3864978515027926</v>
      </c>
      <c r="I32" s="417">
        <f t="shared" si="9"/>
        <v>1.3882848358103002</v>
      </c>
      <c r="J32" s="417">
        <f t="shared" si="9"/>
        <v>1.3900757450019334</v>
      </c>
      <c r="K32" s="417">
        <f t="shared" si="9"/>
        <v>1.3918705741781165</v>
      </c>
      <c r="L32" s="417">
        <f t="shared" si="9"/>
        <v>1.3936693184875664</v>
      </c>
      <c r="M32" s="417">
        <f t="shared" si="9"/>
        <v>1.3954719731274763</v>
      </c>
      <c r="N32" s="417">
        <f t="shared" si="9"/>
        <v>1.3972785333436928</v>
      </c>
      <c r="O32" s="417">
        <f t="shared" si="9"/>
        <v>1.3990889944308826</v>
      </c>
      <c r="P32" s="417">
        <f t="shared" si="9"/>
        <v>1.4009033517326905</v>
      </c>
      <c r="Q32" s="417">
        <f t="shared" si="9"/>
        <v>1.4027216006418901</v>
      </c>
      <c r="R32" s="417">
        <f t="shared" si="9"/>
        <v>1.4045437366005245</v>
      </c>
      <c r="S32" s="417">
        <f t="shared" si="9"/>
        <v>1.4063697551000396</v>
      </c>
      <c r="T32" s="417">
        <f t="shared" si="9"/>
        <v>1.4081996516814101</v>
      </c>
      <c r="U32" s="417">
        <f t="shared" si="9"/>
        <v>1.4100334219352559</v>
      </c>
      <c r="V32" s="417">
        <f t="shared" si="9"/>
        <v>1.4118710615019512</v>
      </c>
      <c r="W32" s="417">
        <f t="shared" si="9"/>
        <v>1.4137125660717269</v>
      </c>
      <c r="X32" s="417">
        <f t="shared" si="9"/>
        <v>1.4155579313847642</v>
      </c>
      <c r="Y32" s="417">
        <f t="shared" si="9"/>
        <v>1.4174071532312809</v>
      </c>
      <c r="Z32" s="417">
        <f t="shared" si="9"/>
        <v>1.4192602274516108</v>
      </c>
      <c r="AA32" s="417">
        <f t="shared" si="9"/>
        <v>1.4211171499362765</v>
      </c>
      <c r="AB32" s="417">
        <f t="shared" si="9"/>
        <v>1.4229779166260526</v>
      </c>
      <c r="AC32" s="417">
        <f t="shared" si="9"/>
        <v>1.4248425235120254</v>
      </c>
      <c r="AD32" s="417">
        <f t="shared" si="9"/>
        <v>1.4267109666356435</v>
      </c>
      <c r="AE32" s="417">
        <f t="shared" si="9"/>
        <v>1.4285832420887616</v>
      </c>
      <c r="AF32" s="417">
        <f t="shared" si="9"/>
        <v>1.4304593460136799</v>
      </c>
      <c r="AG32" s="417">
        <f t="shared" si="9"/>
        <v>1.4323392746031738</v>
      </c>
      <c r="AH32" s="417">
        <f t="shared" si="9"/>
        <v>1.4342230241005205</v>
      </c>
      <c r="AI32" s="417">
        <f t="shared" si="9"/>
        <v>1.4361105907995173</v>
      </c>
      <c r="AJ32" s="417">
        <f t="shared" si="9"/>
        <v>1.4380019710444945</v>
      </c>
      <c r="AK32" s="417">
        <f t="shared" si="9"/>
        <v>1.4398971612303222</v>
      </c>
      <c r="AL32" s="417">
        <f t="shared" si="9"/>
        <v>1.4417961578024112</v>
      </c>
    </row>
    <row r="33" spans="2:38">
      <c r="B33" s="411" t="s">
        <v>659</v>
      </c>
      <c r="C33" s="412" t="s">
        <v>660</v>
      </c>
      <c r="D33" s="414">
        <f t="shared" ref="D33:AL33" si="10">EXP(-0.616*($E$7-1))</f>
        <v>1</v>
      </c>
      <c r="E33" s="415">
        <f t="shared" si="10"/>
        <v>1</v>
      </c>
      <c r="F33" s="415">
        <f t="shared" si="10"/>
        <v>1</v>
      </c>
      <c r="G33" s="415">
        <f t="shared" si="10"/>
        <v>1</v>
      </c>
      <c r="H33" s="1235">
        <f t="shared" si="10"/>
        <v>1</v>
      </c>
      <c r="I33" s="415">
        <f t="shared" si="10"/>
        <v>1</v>
      </c>
      <c r="J33" s="415">
        <f t="shared" si="10"/>
        <v>1</v>
      </c>
      <c r="K33" s="415">
        <f t="shared" si="10"/>
        <v>1</v>
      </c>
      <c r="L33" s="415">
        <f t="shared" si="10"/>
        <v>1</v>
      </c>
      <c r="M33" s="415">
        <f t="shared" si="10"/>
        <v>1</v>
      </c>
      <c r="N33" s="415">
        <f t="shared" si="10"/>
        <v>1</v>
      </c>
      <c r="O33" s="415">
        <f t="shared" si="10"/>
        <v>1</v>
      </c>
      <c r="P33" s="415">
        <f t="shared" si="10"/>
        <v>1</v>
      </c>
      <c r="Q33" s="415">
        <f t="shared" si="10"/>
        <v>1</v>
      </c>
      <c r="R33" s="415">
        <f t="shared" si="10"/>
        <v>1</v>
      </c>
      <c r="S33" s="415">
        <f t="shared" si="10"/>
        <v>1</v>
      </c>
      <c r="T33" s="415">
        <f t="shared" si="10"/>
        <v>1</v>
      </c>
      <c r="U33" s="415">
        <f t="shared" si="10"/>
        <v>1</v>
      </c>
      <c r="V33" s="415">
        <f t="shared" si="10"/>
        <v>1</v>
      </c>
      <c r="W33" s="415">
        <f t="shared" si="10"/>
        <v>1</v>
      </c>
      <c r="X33" s="415">
        <f t="shared" si="10"/>
        <v>1</v>
      </c>
      <c r="Y33" s="415">
        <f t="shared" si="10"/>
        <v>1</v>
      </c>
      <c r="Z33" s="415">
        <f t="shared" si="10"/>
        <v>1</v>
      </c>
      <c r="AA33" s="415">
        <f t="shared" si="10"/>
        <v>1</v>
      </c>
      <c r="AB33" s="415">
        <f t="shared" si="10"/>
        <v>1</v>
      </c>
      <c r="AC33" s="415">
        <f t="shared" si="10"/>
        <v>1</v>
      </c>
      <c r="AD33" s="415">
        <f t="shared" si="10"/>
        <v>1</v>
      </c>
      <c r="AE33" s="415">
        <f t="shared" si="10"/>
        <v>1</v>
      </c>
      <c r="AF33" s="415">
        <f t="shared" si="10"/>
        <v>1</v>
      </c>
      <c r="AG33" s="415">
        <f t="shared" si="10"/>
        <v>1</v>
      </c>
      <c r="AH33" s="415">
        <f t="shared" si="10"/>
        <v>1</v>
      </c>
      <c r="AI33" s="415">
        <f t="shared" si="10"/>
        <v>1</v>
      </c>
      <c r="AJ33" s="415">
        <f t="shared" si="10"/>
        <v>1</v>
      </c>
      <c r="AK33" s="415">
        <f t="shared" si="10"/>
        <v>1</v>
      </c>
      <c r="AL33" s="415">
        <f t="shared" si="10"/>
        <v>1</v>
      </c>
    </row>
    <row r="34" spans="2:38">
      <c r="B34" s="411" t="s">
        <v>661</v>
      </c>
      <c r="C34" s="412" t="s">
        <v>662</v>
      </c>
      <c r="D34" s="414">
        <f t="shared" ref="D34:AL34" si="11">EXP(0.0077*D$20)</f>
        <v>1.0594501000746941</v>
      </c>
      <c r="E34" s="415">
        <f t="shared" si="11"/>
        <v>1.0594501000746941</v>
      </c>
      <c r="F34" s="415">
        <f t="shared" si="11"/>
        <v>1.0594501000746941</v>
      </c>
      <c r="G34" s="415">
        <f t="shared" si="11"/>
        <v>1.0594501000746941</v>
      </c>
      <c r="H34" s="1235">
        <f t="shared" si="11"/>
        <v>1.0594501000746941</v>
      </c>
      <c r="I34" s="415">
        <f t="shared" si="11"/>
        <v>1.0594501000746941</v>
      </c>
      <c r="J34" s="415">
        <f t="shared" si="11"/>
        <v>1.0594501000746941</v>
      </c>
      <c r="K34" s="415">
        <f t="shared" si="11"/>
        <v>1.0594501000746941</v>
      </c>
      <c r="L34" s="415">
        <f t="shared" si="11"/>
        <v>1.0594501000746941</v>
      </c>
      <c r="M34" s="415">
        <f t="shared" si="11"/>
        <v>1.0594501000746941</v>
      </c>
      <c r="N34" s="415">
        <f t="shared" si="11"/>
        <v>1.0594501000746941</v>
      </c>
      <c r="O34" s="415">
        <f t="shared" si="11"/>
        <v>1.0594501000746941</v>
      </c>
      <c r="P34" s="415">
        <f t="shared" si="11"/>
        <v>1.0594501000746941</v>
      </c>
      <c r="Q34" s="415">
        <f t="shared" si="11"/>
        <v>1.0594501000746941</v>
      </c>
      <c r="R34" s="415">
        <f t="shared" si="11"/>
        <v>1.0594501000746941</v>
      </c>
      <c r="S34" s="415">
        <f t="shared" si="11"/>
        <v>1.0594501000746941</v>
      </c>
      <c r="T34" s="415">
        <f t="shared" si="11"/>
        <v>1.0594501000746941</v>
      </c>
      <c r="U34" s="415">
        <f t="shared" si="11"/>
        <v>1.0594501000746941</v>
      </c>
      <c r="V34" s="415">
        <f t="shared" si="11"/>
        <v>1.0594501000746941</v>
      </c>
      <c r="W34" s="415">
        <f t="shared" si="11"/>
        <v>1.0594501000746941</v>
      </c>
      <c r="X34" s="415">
        <f t="shared" si="11"/>
        <v>1.0594501000746941</v>
      </c>
      <c r="Y34" s="415">
        <f t="shared" si="11"/>
        <v>1.0594501000746941</v>
      </c>
      <c r="Z34" s="415">
        <f t="shared" si="11"/>
        <v>1.0594501000746941</v>
      </c>
      <c r="AA34" s="415">
        <f t="shared" si="11"/>
        <v>1.0594501000746941</v>
      </c>
      <c r="AB34" s="415">
        <f t="shared" si="11"/>
        <v>1.0594501000746941</v>
      </c>
      <c r="AC34" s="415">
        <f t="shared" si="11"/>
        <v>1.0594501000746941</v>
      </c>
      <c r="AD34" s="415">
        <f t="shared" si="11"/>
        <v>1.0594501000746941</v>
      </c>
      <c r="AE34" s="415">
        <f t="shared" si="11"/>
        <v>1.0594501000746941</v>
      </c>
      <c r="AF34" s="415">
        <f t="shared" si="11"/>
        <v>1.0594501000746941</v>
      </c>
      <c r="AG34" s="415">
        <f t="shared" si="11"/>
        <v>1.0594501000746941</v>
      </c>
      <c r="AH34" s="415">
        <f t="shared" si="11"/>
        <v>1.0594501000746941</v>
      </c>
      <c r="AI34" s="415">
        <f t="shared" si="11"/>
        <v>1.0594501000746941</v>
      </c>
      <c r="AJ34" s="415">
        <f t="shared" si="11"/>
        <v>1.0594501000746941</v>
      </c>
      <c r="AK34" s="415">
        <f t="shared" si="11"/>
        <v>1.0594501000746941</v>
      </c>
      <c r="AL34" s="415">
        <f t="shared" si="11"/>
        <v>1.0594501000746941</v>
      </c>
    </row>
    <row r="35" spans="2:38">
      <c r="B35" s="411" t="s">
        <v>663</v>
      </c>
      <c r="C35" s="412" t="s">
        <v>664</v>
      </c>
      <c r="D35" s="414">
        <f t="shared" ref="D35:AL35" si="12">EXP(-0.1*($E$8-1))</f>
        <v>0.60653065971263342</v>
      </c>
      <c r="E35" s="415">
        <f t="shared" si="12"/>
        <v>0.60653065971263342</v>
      </c>
      <c r="F35" s="415">
        <f t="shared" si="12"/>
        <v>0.60653065971263342</v>
      </c>
      <c r="G35" s="415">
        <f t="shared" si="12"/>
        <v>0.60653065971263342</v>
      </c>
      <c r="H35" s="1235">
        <f t="shared" si="12"/>
        <v>0.60653065971263342</v>
      </c>
      <c r="I35" s="415">
        <f t="shared" si="12"/>
        <v>0.60653065971263342</v>
      </c>
      <c r="J35" s="415">
        <f t="shared" si="12"/>
        <v>0.60653065971263342</v>
      </c>
      <c r="K35" s="415">
        <f t="shared" si="12"/>
        <v>0.60653065971263342</v>
      </c>
      <c r="L35" s="415">
        <f t="shared" si="12"/>
        <v>0.60653065971263342</v>
      </c>
      <c r="M35" s="415">
        <f t="shared" si="12"/>
        <v>0.60653065971263342</v>
      </c>
      <c r="N35" s="415">
        <f t="shared" si="12"/>
        <v>0.60653065971263342</v>
      </c>
      <c r="O35" s="415">
        <f t="shared" si="12"/>
        <v>0.60653065971263342</v>
      </c>
      <c r="P35" s="415">
        <f t="shared" si="12"/>
        <v>0.60653065971263342</v>
      </c>
      <c r="Q35" s="415">
        <f t="shared" si="12"/>
        <v>0.60653065971263342</v>
      </c>
      <c r="R35" s="415">
        <f t="shared" si="12"/>
        <v>0.60653065971263342</v>
      </c>
      <c r="S35" s="415">
        <f t="shared" si="12"/>
        <v>0.60653065971263342</v>
      </c>
      <c r="T35" s="415">
        <f t="shared" si="12"/>
        <v>0.60653065971263342</v>
      </c>
      <c r="U35" s="415">
        <f t="shared" si="12"/>
        <v>0.60653065971263342</v>
      </c>
      <c r="V35" s="415">
        <f t="shared" si="12"/>
        <v>0.60653065971263342</v>
      </c>
      <c r="W35" s="415">
        <f t="shared" si="12"/>
        <v>0.60653065971263342</v>
      </c>
      <c r="X35" s="415">
        <f t="shared" si="12"/>
        <v>0.60653065971263342</v>
      </c>
      <c r="Y35" s="415">
        <f t="shared" si="12"/>
        <v>0.60653065971263342</v>
      </c>
      <c r="Z35" s="415">
        <f t="shared" si="12"/>
        <v>0.60653065971263342</v>
      </c>
      <c r="AA35" s="415">
        <f t="shared" si="12"/>
        <v>0.60653065971263342</v>
      </c>
      <c r="AB35" s="415">
        <f t="shared" si="12"/>
        <v>0.60653065971263342</v>
      </c>
      <c r="AC35" s="415">
        <f t="shared" si="12"/>
        <v>0.60653065971263342</v>
      </c>
      <c r="AD35" s="415">
        <f t="shared" si="12"/>
        <v>0.60653065971263342</v>
      </c>
      <c r="AE35" s="415">
        <f t="shared" si="12"/>
        <v>0.60653065971263342</v>
      </c>
      <c r="AF35" s="415">
        <f t="shared" si="12"/>
        <v>0.60653065971263342</v>
      </c>
      <c r="AG35" s="415">
        <f t="shared" si="12"/>
        <v>0.60653065971263342</v>
      </c>
      <c r="AH35" s="415">
        <f t="shared" si="12"/>
        <v>0.60653065971263342</v>
      </c>
      <c r="AI35" s="415">
        <f t="shared" si="12"/>
        <v>0.60653065971263342</v>
      </c>
      <c r="AJ35" s="415">
        <f t="shared" si="12"/>
        <v>0.60653065971263342</v>
      </c>
      <c r="AK35" s="415">
        <f t="shared" si="12"/>
        <v>0.60653065971263342</v>
      </c>
      <c r="AL35" s="415">
        <f t="shared" si="12"/>
        <v>0.60653065971263342</v>
      </c>
    </row>
    <row r="36" spans="2:38">
      <c r="B36" s="411" t="s">
        <v>665</v>
      </c>
      <c r="C36" s="412" t="s">
        <v>666</v>
      </c>
      <c r="D36" s="414">
        <v>1</v>
      </c>
      <c r="E36" s="414">
        <v>1</v>
      </c>
      <c r="F36" s="414">
        <v>1</v>
      </c>
      <c r="G36" s="414">
        <v>1</v>
      </c>
      <c r="H36" s="417">
        <v>1</v>
      </c>
      <c r="I36" s="414">
        <v>1</v>
      </c>
      <c r="J36" s="414">
        <v>1</v>
      </c>
      <c r="K36" s="414">
        <v>1</v>
      </c>
      <c r="L36" s="414">
        <v>1</v>
      </c>
      <c r="M36" s="414">
        <v>1</v>
      </c>
      <c r="N36" s="414">
        <v>1</v>
      </c>
      <c r="O36" s="414">
        <v>1</v>
      </c>
      <c r="P36" s="414">
        <v>1</v>
      </c>
      <c r="Q36" s="414">
        <v>1</v>
      </c>
      <c r="R36" s="414">
        <v>1</v>
      </c>
      <c r="S36" s="414">
        <v>1</v>
      </c>
      <c r="T36" s="414">
        <v>1</v>
      </c>
      <c r="U36" s="414">
        <v>1</v>
      </c>
      <c r="V36" s="414">
        <v>1</v>
      </c>
      <c r="W36" s="414">
        <v>1</v>
      </c>
      <c r="X36" s="414">
        <v>1</v>
      </c>
      <c r="Y36" s="414">
        <v>1</v>
      </c>
      <c r="Z36" s="414">
        <v>1</v>
      </c>
      <c r="AA36" s="414">
        <v>1</v>
      </c>
      <c r="AB36" s="414">
        <v>1</v>
      </c>
      <c r="AC36" s="414">
        <v>1</v>
      </c>
      <c r="AD36" s="414">
        <v>1</v>
      </c>
      <c r="AE36" s="414">
        <v>1</v>
      </c>
      <c r="AF36" s="414">
        <v>1</v>
      </c>
      <c r="AG36" s="414">
        <v>1</v>
      </c>
      <c r="AH36" s="414">
        <v>1</v>
      </c>
      <c r="AI36" s="414">
        <v>1</v>
      </c>
      <c r="AJ36" s="414">
        <v>1</v>
      </c>
      <c r="AK36" s="414">
        <v>1</v>
      </c>
      <c r="AL36" s="414">
        <v>1</v>
      </c>
    </row>
    <row r="37" spans="2:38" s="421" customFormat="1" ht="13">
      <c r="B37" s="418"/>
      <c r="C37" s="419"/>
      <c r="D37" s="420"/>
      <c r="E37" s="420"/>
      <c r="F37" s="420"/>
      <c r="G37" s="420"/>
      <c r="H37" s="1236"/>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ht="13">
      <c r="B38" s="422" t="s">
        <v>667</v>
      </c>
      <c r="C38" s="408"/>
      <c r="D38" s="420"/>
      <c r="E38" s="420"/>
      <c r="F38" s="420"/>
      <c r="G38" s="420"/>
      <c r="H38" s="1236"/>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row>
    <row r="39" spans="2:38" s="421" customFormat="1">
      <c r="B39" s="411" t="s">
        <v>653</v>
      </c>
      <c r="C39" s="412" t="s">
        <v>654</v>
      </c>
      <c r="D39" s="423">
        <f t="shared" ref="D39:AL39" si="13">((D$15*D$16+0.2)/0.2)^(0.2953)</f>
        <v>19.08071999347294</v>
      </c>
      <c r="E39" s="423">
        <f t="shared" si="13"/>
        <v>19.305250291425029</v>
      </c>
      <c r="F39" s="423">
        <f t="shared" si="13"/>
        <v>19.532423126158843</v>
      </c>
      <c r="G39" s="423">
        <f t="shared" si="13"/>
        <v>19.762269587119278</v>
      </c>
      <c r="H39" s="423">
        <f t="shared" si="13"/>
        <v>19.994821129822359</v>
      </c>
      <c r="I39" s="423">
        <f t="shared" si="13"/>
        <v>20.230109580157247</v>
      </c>
      <c r="J39" s="423">
        <f t="shared" si="13"/>
        <v>20.468167138739133</v>
      </c>
      <c r="K39" s="423">
        <f t="shared" si="13"/>
        <v>20.709026385313379</v>
      </c>
      <c r="L39" s="423">
        <f t="shared" si="13"/>
        <v>20.952720283211733</v>
      </c>
      <c r="M39" s="423">
        <f t="shared" si="13"/>
        <v>21.199282183861143</v>
      </c>
      <c r="N39" s="423">
        <f t="shared" si="13"/>
        <v>21.448745831345668</v>
      </c>
      <c r="O39" s="423">
        <f t="shared" si="13"/>
        <v>21.701145367022352</v>
      </c>
      <c r="P39" s="423">
        <f t="shared" si="13"/>
        <v>21.956515334191455</v>
      </c>
      <c r="Q39" s="423">
        <f t="shared" si="13"/>
        <v>22.21489068282175</v>
      </c>
      <c r="R39" s="423">
        <f t="shared" si="13"/>
        <v>22.476306774331711</v>
      </c>
      <c r="S39" s="423">
        <f t="shared" si="13"/>
        <v>22.740799386426968</v>
      </c>
      <c r="T39" s="423">
        <f t="shared" si="13"/>
        <v>23.008404717994765</v>
      </c>
      <c r="U39" s="423">
        <f t="shared" si="13"/>
        <v>23.279159394056258</v>
      </c>
      <c r="V39" s="423">
        <f t="shared" si="13"/>
        <v>23.553100470777167</v>
      </c>
      <c r="W39" s="423">
        <f t="shared" si="13"/>
        <v>23.830265440537449</v>
      </c>
      <c r="X39" s="423">
        <f t="shared" si="13"/>
        <v>24.110692237060789</v>
      </c>
      <c r="Y39" s="423">
        <f t="shared" si="13"/>
        <v>24.394419240604581</v>
      </c>
      <c r="Z39" s="423">
        <f t="shared" si="13"/>
        <v>24.681485283211014</v>
      </c>
      <c r="AA39" s="423">
        <f t="shared" si="13"/>
        <v>24.971929654020173</v>
      </c>
      <c r="AB39" s="423">
        <f t="shared" si="13"/>
        <v>25.265792104645545</v>
      </c>
      <c r="AC39" s="423">
        <f t="shared" si="13"/>
        <v>25.563112854613184</v>
      </c>
      <c r="AD39" s="423">
        <f t="shared" si="13"/>
        <v>25.863932596864707</v>
      </c>
      <c r="AE39" s="423">
        <f t="shared" si="13"/>
        <v>26.168292503325283</v>
      </c>
      <c r="AF39" s="423">
        <f t="shared" si="13"/>
        <v>26.476234230537148</v>
      </c>
      <c r="AG39" s="423">
        <f t="shared" si="13"/>
        <v>26.7877999253596</v>
      </c>
      <c r="AH39" s="423">
        <f t="shared" si="13"/>
        <v>27.10303223073609</v>
      </c>
      <c r="AI39" s="423">
        <f t="shared" si="13"/>
        <v>27.421974291529221</v>
      </c>
      <c r="AJ39" s="423">
        <f t="shared" si="13"/>
        <v>27.744669760424564</v>
      </c>
      <c r="AK39" s="423">
        <f t="shared" si="13"/>
        <v>28.071162803904045</v>
      </c>
      <c r="AL39" s="423">
        <f t="shared" si="13"/>
        <v>28.401498108289569</v>
      </c>
    </row>
    <row r="40" spans="2:38" s="421" customFormat="1">
      <c r="B40" s="411" t="s">
        <v>655</v>
      </c>
      <c r="C40" s="412" t="s">
        <v>656</v>
      </c>
      <c r="D40" s="414">
        <f t="shared" ref="D40:AL40" si="14">EXP(0.1088*$D$9)</f>
        <v>1.1149393401731398</v>
      </c>
      <c r="E40" s="414">
        <f t="shared" si="14"/>
        <v>1.1149393401731398</v>
      </c>
      <c r="F40" s="414">
        <f t="shared" si="14"/>
        <v>1.1149393401731398</v>
      </c>
      <c r="G40" s="414">
        <f t="shared" si="14"/>
        <v>1.1149393401731398</v>
      </c>
      <c r="H40" s="417">
        <f t="shared" si="14"/>
        <v>1.1149393401731398</v>
      </c>
      <c r="I40" s="414">
        <f t="shared" si="14"/>
        <v>1.1149393401731398</v>
      </c>
      <c r="J40" s="414">
        <f t="shared" si="14"/>
        <v>1.1149393401731398</v>
      </c>
      <c r="K40" s="414">
        <f t="shared" si="14"/>
        <v>1.1149393401731398</v>
      </c>
      <c r="L40" s="414">
        <f t="shared" si="14"/>
        <v>1.1149393401731398</v>
      </c>
      <c r="M40" s="414">
        <f t="shared" si="14"/>
        <v>1.1149393401731398</v>
      </c>
      <c r="N40" s="414">
        <f t="shared" si="14"/>
        <v>1.1149393401731398</v>
      </c>
      <c r="O40" s="414">
        <f t="shared" si="14"/>
        <v>1.1149393401731398</v>
      </c>
      <c r="P40" s="414">
        <f t="shared" si="14"/>
        <v>1.1149393401731398</v>
      </c>
      <c r="Q40" s="414">
        <f t="shared" si="14"/>
        <v>1.1149393401731398</v>
      </c>
      <c r="R40" s="414">
        <f t="shared" si="14"/>
        <v>1.1149393401731398</v>
      </c>
      <c r="S40" s="414">
        <f t="shared" si="14"/>
        <v>1.1149393401731398</v>
      </c>
      <c r="T40" s="414">
        <f t="shared" si="14"/>
        <v>1.1149393401731398</v>
      </c>
      <c r="U40" s="414">
        <f t="shared" si="14"/>
        <v>1.1149393401731398</v>
      </c>
      <c r="V40" s="414">
        <f t="shared" si="14"/>
        <v>1.1149393401731398</v>
      </c>
      <c r="W40" s="414">
        <f t="shared" si="14"/>
        <v>1.1149393401731398</v>
      </c>
      <c r="X40" s="414">
        <f t="shared" si="14"/>
        <v>1.1149393401731398</v>
      </c>
      <c r="Y40" s="414">
        <f t="shared" si="14"/>
        <v>1.1149393401731398</v>
      </c>
      <c r="Z40" s="414">
        <f t="shared" si="14"/>
        <v>1.1149393401731398</v>
      </c>
      <c r="AA40" s="414">
        <f t="shared" si="14"/>
        <v>1.1149393401731398</v>
      </c>
      <c r="AB40" s="414">
        <f t="shared" si="14"/>
        <v>1.1149393401731398</v>
      </c>
      <c r="AC40" s="414">
        <f t="shared" si="14"/>
        <v>1.1149393401731398</v>
      </c>
      <c r="AD40" s="414">
        <f t="shared" si="14"/>
        <v>1.1149393401731398</v>
      </c>
      <c r="AE40" s="414">
        <f t="shared" si="14"/>
        <v>1.1149393401731398</v>
      </c>
      <c r="AF40" s="414">
        <f t="shared" si="14"/>
        <v>1.1149393401731398</v>
      </c>
      <c r="AG40" s="414">
        <f t="shared" si="14"/>
        <v>1.1149393401731398</v>
      </c>
      <c r="AH40" s="414">
        <f t="shared" si="14"/>
        <v>1.1149393401731398</v>
      </c>
      <c r="AI40" s="414">
        <f t="shared" si="14"/>
        <v>1.1149393401731398</v>
      </c>
      <c r="AJ40" s="414">
        <f t="shared" si="14"/>
        <v>1.1149393401731398</v>
      </c>
      <c r="AK40" s="414">
        <f t="shared" si="14"/>
        <v>1.1149393401731398</v>
      </c>
      <c r="AL40" s="414">
        <f t="shared" si="14"/>
        <v>1.1149393401731398</v>
      </c>
    </row>
    <row r="41" spans="2:38" s="421" customFormat="1">
      <c r="B41" s="411" t="s">
        <v>657</v>
      </c>
      <c r="C41" s="416" t="s">
        <v>658</v>
      </c>
      <c r="D41" s="417">
        <f t="shared" ref="D41:AL41" si="15">((D$18+0.2)/0.2)^(0.047)</f>
        <v>1.1198022320808569</v>
      </c>
      <c r="E41" s="417">
        <f t="shared" si="15"/>
        <v>1.120307872028153</v>
      </c>
      <c r="F41" s="417">
        <f t="shared" si="15"/>
        <v>1.1208142166017745</v>
      </c>
      <c r="G41" s="417">
        <f t="shared" si="15"/>
        <v>1.1213212624333833</v>
      </c>
      <c r="H41" s="417">
        <f t="shared" si="15"/>
        <v>1.1218290061756129</v>
      </c>
      <c r="I41" s="417">
        <f t="shared" si="15"/>
        <v>1.1223374445020879</v>
      </c>
      <c r="J41" s="417">
        <f t="shared" si="15"/>
        <v>1.1228465741074423</v>
      </c>
      <c r="K41" s="417">
        <f t="shared" si="15"/>
        <v>1.1233563917073321</v>
      </c>
      <c r="L41" s="417">
        <f t="shared" si="15"/>
        <v>1.1238668940384469</v>
      </c>
      <c r="M41" s="417">
        <f t="shared" si="15"/>
        <v>1.1243780778585168</v>
      </c>
      <c r="N41" s="417">
        <f t="shared" si="15"/>
        <v>1.1248899399463164</v>
      </c>
      <c r="O41" s="417">
        <f t="shared" si="15"/>
        <v>1.1254024771016669</v>
      </c>
      <c r="P41" s="417">
        <f t="shared" si="15"/>
        <v>1.1259156861454336</v>
      </c>
      <c r="Q41" s="417">
        <f t="shared" si="15"/>
        <v>1.1264295639195219</v>
      </c>
      <c r="R41" s="417">
        <f t="shared" si="15"/>
        <v>1.1269441072868684</v>
      </c>
      <c r="S41" s="417">
        <f t="shared" si="15"/>
        <v>1.1274593131314321</v>
      </c>
      <c r="T41" s="417">
        <f t="shared" si="15"/>
        <v>1.1279751783581806</v>
      </c>
      <c r="U41" s="417">
        <f t="shared" si="15"/>
        <v>1.1284916998930739</v>
      </c>
      <c r="V41" s="417">
        <f t="shared" si="15"/>
        <v>1.1290088746830456</v>
      </c>
      <c r="W41" s="417">
        <f t="shared" si="15"/>
        <v>1.1295266996959834</v>
      </c>
      <c r="X41" s="417">
        <f t="shared" si="15"/>
        <v>1.1300451719207034</v>
      </c>
      <c r="Y41" s="417">
        <f t="shared" si="15"/>
        <v>1.1305642883669256</v>
      </c>
      <c r="Z41" s="417">
        <f t="shared" si="15"/>
        <v>1.1310840460652438</v>
      </c>
      <c r="AA41" s="417">
        <f t="shared" si="15"/>
        <v>1.1316044420670963</v>
      </c>
      <c r="AB41" s="417">
        <f t="shared" si="15"/>
        <v>1.1321254734447308</v>
      </c>
      <c r="AC41" s="417">
        <f t="shared" si="15"/>
        <v>1.1326471372911706</v>
      </c>
      <c r="AD41" s="417">
        <f t="shared" si="15"/>
        <v>1.1331694307201756</v>
      </c>
      <c r="AE41" s="417">
        <f t="shared" si="15"/>
        <v>1.1336923508662025</v>
      </c>
      <c r="AF41" s="417">
        <f t="shared" si="15"/>
        <v>1.1342158948843635</v>
      </c>
      <c r="AG41" s="417">
        <f t="shared" si="15"/>
        <v>1.1347400599503807</v>
      </c>
      <c r="AH41" s="417">
        <f t="shared" si="15"/>
        <v>1.1352648432605419</v>
      </c>
      <c r="AI41" s="417">
        <f t="shared" si="15"/>
        <v>1.1357902420316506</v>
      </c>
      <c r="AJ41" s="417">
        <f t="shared" si="15"/>
        <v>1.1363162535009765</v>
      </c>
      <c r="AK41" s="417">
        <f t="shared" si="15"/>
        <v>1.1368428749262049</v>
      </c>
      <c r="AL41" s="417">
        <f t="shared" si="15"/>
        <v>1.1373701035853803</v>
      </c>
    </row>
    <row r="42" spans="2:38" s="421" customFormat="1">
      <c r="B42" s="411" t="s">
        <v>659</v>
      </c>
      <c r="C42" s="412" t="s">
        <v>660</v>
      </c>
      <c r="D42" s="414">
        <v>1</v>
      </c>
      <c r="E42" s="414">
        <v>1</v>
      </c>
      <c r="F42" s="414">
        <v>1</v>
      </c>
      <c r="G42" s="414">
        <v>1</v>
      </c>
      <c r="H42" s="417">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661</v>
      </c>
      <c r="C43" s="412" t="s">
        <v>662</v>
      </c>
      <c r="D43" s="414">
        <v>1</v>
      </c>
      <c r="E43" s="414">
        <v>1</v>
      </c>
      <c r="F43" s="414">
        <v>1</v>
      </c>
      <c r="G43" s="414">
        <v>1</v>
      </c>
      <c r="H43" s="417">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663</v>
      </c>
      <c r="C44" s="412" t="s">
        <v>664</v>
      </c>
      <c r="D44" s="414">
        <v>1</v>
      </c>
      <c r="E44" s="414">
        <v>1</v>
      </c>
      <c r="F44" s="414">
        <v>1</v>
      </c>
      <c r="G44" s="414">
        <v>1</v>
      </c>
      <c r="H44" s="417">
        <v>1</v>
      </c>
      <c r="I44" s="414">
        <v>1</v>
      </c>
      <c r="J44" s="414">
        <v>1</v>
      </c>
      <c r="K44" s="414">
        <v>1</v>
      </c>
      <c r="L44" s="414">
        <v>1</v>
      </c>
      <c r="M44" s="414">
        <v>1</v>
      </c>
      <c r="N44" s="414">
        <v>1</v>
      </c>
      <c r="O44" s="414">
        <v>1</v>
      </c>
      <c r="P44" s="414">
        <v>1</v>
      </c>
      <c r="Q44" s="414">
        <v>1</v>
      </c>
      <c r="R44" s="414">
        <v>1</v>
      </c>
      <c r="S44" s="414">
        <v>1</v>
      </c>
      <c r="T44" s="414">
        <v>1</v>
      </c>
      <c r="U44" s="414">
        <v>1</v>
      </c>
      <c r="V44" s="414">
        <v>1</v>
      </c>
      <c r="W44" s="414">
        <v>1</v>
      </c>
      <c r="X44" s="414">
        <v>1</v>
      </c>
      <c r="Y44" s="414">
        <v>1</v>
      </c>
      <c r="Z44" s="414">
        <v>1</v>
      </c>
      <c r="AA44" s="414">
        <v>1</v>
      </c>
      <c r="AB44" s="414">
        <v>1</v>
      </c>
      <c r="AC44" s="414">
        <v>1</v>
      </c>
      <c r="AD44" s="414">
        <v>1</v>
      </c>
      <c r="AE44" s="414">
        <v>1</v>
      </c>
      <c r="AF44" s="414">
        <v>1</v>
      </c>
      <c r="AG44" s="414">
        <v>1</v>
      </c>
      <c r="AH44" s="414">
        <v>1</v>
      </c>
      <c r="AI44" s="414">
        <v>1</v>
      </c>
      <c r="AJ44" s="414">
        <v>1</v>
      </c>
      <c r="AK44" s="414">
        <v>1</v>
      </c>
      <c r="AL44" s="414">
        <v>1</v>
      </c>
    </row>
    <row r="45" spans="2:38" s="421" customFormat="1">
      <c r="B45" s="411" t="s">
        <v>665</v>
      </c>
      <c r="C45" s="412" t="s">
        <v>666</v>
      </c>
      <c r="D45" s="414">
        <f t="shared" ref="D45:AL45" si="16">EXP(0.138*($D$10-1))</f>
        <v>1.1479755502741786</v>
      </c>
      <c r="E45" s="414">
        <f t="shared" si="16"/>
        <v>1.1479755502741786</v>
      </c>
      <c r="F45" s="414">
        <f t="shared" si="16"/>
        <v>1.1479755502741786</v>
      </c>
      <c r="G45" s="414">
        <f t="shared" si="16"/>
        <v>1.1479755502741786</v>
      </c>
      <c r="H45" s="417">
        <f t="shared" si="16"/>
        <v>1.1479755502741786</v>
      </c>
      <c r="I45" s="414">
        <f t="shared" si="16"/>
        <v>1.1479755502741786</v>
      </c>
      <c r="J45" s="414">
        <f t="shared" si="16"/>
        <v>1.1479755502741786</v>
      </c>
      <c r="K45" s="414">
        <f t="shared" si="16"/>
        <v>1.1479755502741786</v>
      </c>
      <c r="L45" s="414">
        <f t="shared" si="16"/>
        <v>1.1479755502741786</v>
      </c>
      <c r="M45" s="414">
        <f t="shared" si="16"/>
        <v>1.1479755502741786</v>
      </c>
      <c r="N45" s="414">
        <f t="shared" si="16"/>
        <v>1.1479755502741786</v>
      </c>
      <c r="O45" s="414">
        <f t="shared" si="16"/>
        <v>1.1479755502741786</v>
      </c>
      <c r="P45" s="414">
        <f t="shared" si="16"/>
        <v>1.1479755502741786</v>
      </c>
      <c r="Q45" s="414">
        <f t="shared" si="16"/>
        <v>1.1479755502741786</v>
      </c>
      <c r="R45" s="414">
        <f t="shared" si="16"/>
        <v>1.1479755502741786</v>
      </c>
      <c r="S45" s="414">
        <f t="shared" si="16"/>
        <v>1.1479755502741786</v>
      </c>
      <c r="T45" s="414">
        <f t="shared" si="16"/>
        <v>1.1479755502741786</v>
      </c>
      <c r="U45" s="414">
        <f t="shared" si="16"/>
        <v>1.1479755502741786</v>
      </c>
      <c r="V45" s="414">
        <f t="shared" si="16"/>
        <v>1.1479755502741786</v>
      </c>
      <c r="W45" s="414">
        <f t="shared" si="16"/>
        <v>1.1479755502741786</v>
      </c>
      <c r="X45" s="414">
        <f t="shared" si="16"/>
        <v>1.1479755502741786</v>
      </c>
      <c r="Y45" s="414">
        <f t="shared" si="16"/>
        <v>1.1479755502741786</v>
      </c>
      <c r="Z45" s="414">
        <f t="shared" si="16"/>
        <v>1.1479755502741786</v>
      </c>
      <c r="AA45" s="414">
        <f t="shared" si="16"/>
        <v>1.1479755502741786</v>
      </c>
      <c r="AB45" s="414">
        <f t="shared" si="16"/>
        <v>1.1479755502741786</v>
      </c>
      <c r="AC45" s="414">
        <f t="shared" si="16"/>
        <v>1.1479755502741786</v>
      </c>
      <c r="AD45" s="414">
        <f t="shared" si="16"/>
        <v>1.1479755502741786</v>
      </c>
      <c r="AE45" s="414">
        <f t="shared" si="16"/>
        <v>1.1479755502741786</v>
      </c>
      <c r="AF45" s="414">
        <f t="shared" si="16"/>
        <v>1.1479755502741786</v>
      </c>
      <c r="AG45" s="414">
        <f t="shared" si="16"/>
        <v>1.1479755502741786</v>
      </c>
      <c r="AH45" s="414">
        <f t="shared" si="16"/>
        <v>1.1479755502741786</v>
      </c>
      <c r="AI45" s="414">
        <f t="shared" si="16"/>
        <v>1.1479755502741786</v>
      </c>
      <c r="AJ45" s="414">
        <f t="shared" si="16"/>
        <v>1.1479755502741786</v>
      </c>
      <c r="AK45" s="414">
        <f t="shared" si="16"/>
        <v>1.1479755502741786</v>
      </c>
      <c r="AL45" s="414">
        <f t="shared" si="16"/>
        <v>1.1479755502741786</v>
      </c>
    </row>
    <row r="46" spans="2:38" s="421" customFormat="1" ht="13">
      <c r="B46" s="418"/>
      <c r="C46" s="419"/>
      <c r="D46" s="420"/>
      <c r="E46" s="420"/>
      <c r="F46" s="420"/>
      <c r="G46" s="420"/>
      <c r="H46" s="1236"/>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ht="13">
      <c r="B47" s="422" t="s">
        <v>668</v>
      </c>
      <c r="C47" s="408"/>
      <c r="D47" s="420"/>
      <c r="E47" s="420"/>
      <c r="F47" s="420"/>
      <c r="G47" s="420"/>
      <c r="H47" s="1236"/>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row>
    <row r="48" spans="2:38" s="421" customFormat="1">
      <c r="B48" s="411" t="s">
        <v>653</v>
      </c>
      <c r="C48" s="412" t="s">
        <v>654</v>
      </c>
      <c r="D48" s="423">
        <f t="shared" ref="D48:AL48" si="17">((D$15*D$16+0.2)/0.2)^(0.3116)</f>
        <v>22.453350745216493</v>
      </c>
      <c r="E48" s="423">
        <f t="shared" si="17"/>
        <v>22.73224261870342</v>
      </c>
      <c r="F48" s="423">
        <f t="shared" si="17"/>
        <v>23.014599091755098</v>
      </c>
      <c r="G48" s="423">
        <f t="shared" si="17"/>
        <v>23.300463190760098</v>
      </c>
      <c r="H48" s="423">
        <f t="shared" si="17"/>
        <v>23.589878476806504</v>
      </c>
      <c r="I48" s="423">
        <f t="shared" si="17"/>
        <v>23.882889052317022</v>
      </c>
      <c r="J48" s="423">
        <f t="shared" si="17"/>
        <v>24.179539567766863</v>
      </c>
      <c r="K48" s="423">
        <f t="shared" si="17"/>
        <v>24.479875228484918</v>
      </c>
      <c r="L48" s="423">
        <f t="shared" si="17"/>
        <v>24.783941801539882</v>
      </c>
      <c r="M48" s="423">
        <f t="shared" si="17"/>
        <v>25.091785622711953</v>
      </c>
      <c r="N48" s="423">
        <f t="shared" si="17"/>
        <v>25.403453603551224</v>
      </c>
      <c r="O48" s="423">
        <f t="shared" si="17"/>
        <v>25.718993238524053</v>
      </c>
      <c r="P48" s="423">
        <f t="shared" si="17"/>
        <v>26.038452612248296</v>
      </c>
      <c r="Q48" s="423">
        <f t="shared" si="17"/>
        <v>26.36188040681844</v>
      </c>
      <c r="R48" s="423">
        <f t="shared" si="17"/>
        <v>26.689325909222063</v>
      </c>
      <c r="S48" s="423">
        <f t="shared" si="17"/>
        <v>27.020839018848491</v>
      </c>
      <c r="T48" s="423">
        <f t="shared" si="17"/>
        <v>27.356470255090741</v>
      </c>
      <c r="U48" s="423">
        <f t="shared" si="17"/>
        <v>27.696270765042158</v>
      </c>
      <c r="V48" s="423">
        <f t="shared" si="17"/>
        <v>28.040292331288814</v>
      </c>
      <c r="W48" s="423">
        <f t="shared" si="17"/>
        <v>28.388587379798622</v>
      </c>
      <c r="X48" s="423">
        <f t="shared" si="17"/>
        <v>28.741208987908841</v>
      </c>
      <c r="Y48" s="423">
        <f t="shared" si="17"/>
        <v>29.098210892412688</v>
      </c>
      <c r="Z48" s="423">
        <f t="shared" si="17"/>
        <v>29.459647497746616</v>
      </c>
      <c r="AA48" s="423">
        <f t="shared" si="17"/>
        <v>29.825573884279461</v>
      </c>
      <c r="AB48" s="423">
        <f t="shared" si="17"/>
        <v>30.196045816704427</v>
      </c>
      <c r="AC48" s="423">
        <f t="shared" si="17"/>
        <v>30.571119752535761</v>
      </c>
      <c r="AD48" s="423">
        <f t="shared" si="17"/>
        <v>30.95085285071081</v>
      </c>
      <c r="AE48" s="423">
        <f t="shared" si="17"/>
        <v>31.335302980299094</v>
      </c>
      <c r="AF48" s="423">
        <f t="shared" si="17"/>
        <v>31.724528729319704</v>
      </c>
      <c r="AG48" s="423">
        <f t="shared" si="17"/>
        <v>32.118589413668296</v>
      </c>
      <c r="AH48" s="423">
        <f t="shared" si="17"/>
        <v>32.517545086155067</v>
      </c>
      <c r="AI48" s="423">
        <f t="shared" si="17"/>
        <v>32.921456545655047</v>
      </c>
      <c r="AJ48" s="423">
        <f t="shared" si="17"/>
        <v>33.33038534637214</v>
      </c>
      <c r="AK48" s="423">
        <f t="shared" si="17"/>
        <v>33.744393807218536</v>
      </c>
      <c r="AL48" s="423">
        <f t="shared" si="17"/>
        <v>34.163545021310284</v>
      </c>
    </row>
    <row r="49" spans="2:38" s="421" customFormat="1">
      <c r="B49" s="411" t="s">
        <v>655</v>
      </c>
      <c r="C49" s="412" t="s">
        <v>656</v>
      </c>
      <c r="D49" s="414">
        <f t="shared" ref="D49:AL49" si="18">EXP(0.2912*$D$9)</f>
        <v>1.3380321636239008</v>
      </c>
      <c r="E49" s="414">
        <f t="shared" si="18"/>
        <v>1.3380321636239008</v>
      </c>
      <c r="F49" s="414">
        <f t="shared" si="18"/>
        <v>1.3380321636239008</v>
      </c>
      <c r="G49" s="414">
        <f t="shared" si="18"/>
        <v>1.3380321636239008</v>
      </c>
      <c r="H49" s="417">
        <f t="shared" si="18"/>
        <v>1.3380321636239008</v>
      </c>
      <c r="I49" s="414">
        <f t="shared" si="18"/>
        <v>1.3380321636239008</v>
      </c>
      <c r="J49" s="414">
        <f t="shared" si="18"/>
        <v>1.3380321636239008</v>
      </c>
      <c r="K49" s="414">
        <f t="shared" si="18"/>
        <v>1.3380321636239008</v>
      </c>
      <c r="L49" s="414">
        <f t="shared" si="18"/>
        <v>1.3380321636239008</v>
      </c>
      <c r="M49" s="414">
        <f t="shared" si="18"/>
        <v>1.3380321636239008</v>
      </c>
      <c r="N49" s="414">
        <f t="shared" si="18"/>
        <v>1.3380321636239008</v>
      </c>
      <c r="O49" s="414">
        <f t="shared" si="18"/>
        <v>1.3380321636239008</v>
      </c>
      <c r="P49" s="414">
        <f t="shared" si="18"/>
        <v>1.3380321636239008</v>
      </c>
      <c r="Q49" s="414">
        <f t="shared" si="18"/>
        <v>1.3380321636239008</v>
      </c>
      <c r="R49" s="414">
        <f t="shared" si="18"/>
        <v>1.3380321636239008</v>
      </c>
      <c r="S49" s="414">
        <f t="shared" si="18"/>
        <v>1.3380321636239008</v>
      </c>
      <c r="T49" s="414">
        <f t="shared" si="18"/>
        <v>1.3380321636239008</v>
      </c>
      <c r="U49" s="414">
        <f t="shared" si="18"/>
        <v>1.3380321636239008</v>
      </c>
      <c r="V49" s="414">
        <f t="shared" si="18"/>
        <v>1.3380321636239008</v>
      </c>
      <c r="W49" s="414">
        <f t="shared" si="18"/>
        <v>1.3380321636239008</v>
      </c>
      <c r="X49" s="414">
        <f t="shared" si="18"/>
        <v>1.3380321636239008</v>
      </c>
      <c r="Y49" s="414">
        <f t="shared" si="18"/>
        <v>1.3380321636239008</v>
      </c>
      <c r="Z49" s="414">
        <f t="shared" si="18"/>
        <v>1.3380321636239008</v>
      </c>
      <c r="AA49" s="414">
        <f t="shared" si="18"/>
        <v>1.3380321636239008</v>
      </c>
      <c r="AB49" s="414">
        <f t="shared" si="18"/>
        <v>1.3380321636239008</v>
      </c>
      <c r="AC49" s="414">
        <f t="shared" si="18"/>
        <v>1.3380321636239008</v>
      </c>
      <c r="AD49" s="414">
        <f t="shared" si="18"/>
        <v>1.3380321636239008</v>
      </c>
      <c r="AE49" s="414">
        <f t="shared" si="18"/>
        <v>1.3380321636239008</v>
      </c>
      <c r="AF49" s="414">
        <f t="shared" si="18"/>
        <v>1.3380321636239008</v>
      </c>
      <c r="AG49" s="414">
        <f t="shared" si="18"/>
        <v>1.3380321636239008</v>
      </c>
      <c r="AH49" s="414">
        <f t="shared" si="18"/>
        <v>1.3380321636239008</v>
      </c>
      <c r="AI49" s="414">
        <f t="shared" si="18"/>
        <v>1.3380321636239008</v>
      </c>
      <c r="AJ49" s="414">
        <f t="shared" si="18"/>
        <v>1.3380321636239008</v>
      </c>
      <c r="AK49" s="414">
        <f t="shared" si="18"/>
        <v>1.3380321636239008</v>
      </c>
      <c r="AL49" s="414">
        <f t="shared" si="18"/>
        <v>1.3380321636239008</v>
      </c>
    </row>
    <row r="50" spans="2:38" s="421" customFormat="1">
      <c r="B50" s="411" t="s">
        <v>657</v>
      </c>
      <c r="C50" s="416" t="s">
        <v>658</v>
      </c>
      <c r="D50" s="414">
        <v>1</v>
      </c>
      <c r="E50" s="414">
        <v>1</v>
      </c>
      <c r="F50" s="414">
        <v>1</v>
      </c>
      <c r="G50" s="414">
        <v>1</v>
      </c>
      <c r="H50" s="417">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659</v>
      </c>
      <c r="C51" s="412" t="s">
        <v>660</v>
      </c>
      <c r="D51" s="414">
        <v>1</v>
      </c>
      <c r="E51" s="414">
        <v>1</v>
      </c>
      <c r="F51" s="414">
        <v>1</v>
      </c>
      <c r="G51" s="414">
        <v>1</v>
      </c>
      <c r="H51" s="417">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661</v>
      </c>
      <c r="C52" s="412" t="s">
        <v>662</v>
      </c>
      <c r="D52" s="414">
        <v>1</v>
      </c>
      <c r="E52" s="414">
        <v>1</v>
      </c>
      <c r="F52" s="414">
        <v>1</v>
      </c>
      <c r="G52" s="414">
        <v>1</v>
      </c>
      <c r="H52" s="417">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11" t="s">
        <v>663</v>
      </c>
      <c r="C53" s="412" t="s">
        <v>664</v>
      </c>
      <c r="D53" s="414">
        <v>1</v>
      </c>
      <c r="E53" s="414">
        <v>1</v>
      </c>
      <c r="F53" s="414">
        <v>1</v>
      </c>
      <c r="G53" s="414">
        <v>1</v>
      </c>
      <c r="H53" s="417">
        <v>1</v>
      </c>
      <c r="I53" s="414">
        <v>1</v>
      </c>
      <c r="J53" s="414">
        <v>1</v>
      </c>
      <c r="K53" s="414">
        <v>1</v>
      </c>
      <c r="L53" s="414">
        <v>1</v>
      </c>
      <c r="M53" s="414">
        <v>1</v>
      </c>
      <c r="N53" s="414">
        <v>1</v>
      </c>
      <c r="O53" s="414">
        <v>1</v>
      </c>
      <c r="P53" s="414">
        <v>1</v>
      </c>
      <c r="Q53" s="414">
        <v>1</v>
      </c>
      <c r="R53" s="414">
        <v>1</v>
      </c>
      <c r="S53" s="414">
        <v>1</v>
      </c>
      <c r="T53" s="414">
        <v>1</v>
      </c>
      <c r="U53" s="414">
        <v>1</v>
      </c>
      <c r="V53" s="414">
        <v>1</v>
      </c>
      <c r="W53" s="414">
        <v>1</v>
      </c>
      <c r="X53" s="414">
        <v>1</v>
      </c>
      <c r="Y53" s="414">
        <v>1</v>
      </c>
      <c r="Z53" s="414">
        <v>1</v>
      </c>
      <c r="AA53" s="414">
        <v>1</v>
      </c>
      <c r="AB53" s="414">
        <v>1</v>
      </c>
      <c r="AC53" s="414">
        <v>1</v>
      </c>
      <c r="AD53" s="414">
        <v>1</v>
      </c>
      <c r="AE53" s="414">
        <v>1</v>
      </c>
      <c r="AF53" s="414">
        <v>1</v>
      </c>
      <c r="AG53" s="414">
        <v>1</v>
      </c>
      <c r="AH53" s="414">
        <v>1</v>
      </c>
      <c r="AI53" s="414">
        <v>1</v>
      </c>
      <c r="AJ53" s="414">
        <v>1</v>
      </c>
      <c r="AK53" s="414">
        <v>1</v>
      </c>
      <c r="AL53" s="414">
        <v>1</v>
      </c>
    </row>
    <row r="54" spans="2:38" s="421" customFormat="1">
      <c r="B54" s="424" t="s">
        <v>665</v>
      </c>
      <c r="C54" s="425" t="s">
        <v>666</v>
      </c>
      <c r="D54" s="426">
        <f t="shared" ref="D54:AL54" si="19">EXP(0.1036*($D$10-1))</f>
        <v>1.1091567034898182</v>
      </c>
      <c r="E54" s="426">
        <f t="shared" si="19"/>
        <v>1.1091567034898182</v>
      </c>
      <c r="F54" s="426">
        <f t="shared" si="19"/>
        <v>1.1091567034898182</v>
      </c>
      <c r="G54" s="426">
        <f t="shared" si="19"/>
        <v>1.1091567034898182</v>
      </c>
      <c r="H54" s="1237">
        <f t="shared" si="19"/>
        <v>1.1091567034898182</v>
      </c>
      <c r="I54" s="426">
        <f t="shared" si="19"/>
        <v>1.1091567034898182</v>
      </c>
      <c r="J54" s="426">
        <f t="shared" si="19"/>
        <v>1.1091567034898182</v>
      </c>
      <c r="K54" s="426">
        <f t="shared" si="19"/>
        <v>1.1091567034898182</v>
      </c>
      <c r="L54" s="426">
        <f t="shared" si="19"/>
        <v>1.1091567034898182</v>
      </c>
      <c r="M54" s="426">
        <f t="shared" si="19"/>
        <v>1.1091567034898182</v>
      </c>
      <c r="N54" s="426">
        <f t="shared" si="19"/>
        <v>1.1091567034898182</v>
      </c>
      <c r="O54" s="426">
        <f t="shared" si="19"/>
        <v>1.1091567034898182</v>
      </c>
      <c r="P54" s="426">
        <f t="shared" si="19"/>
        <v>1.1091567034898182</v>
      </c>
      <c r="Q54" s="426">
        <f t="shared" si="19"/>
        <v>1.1091567034898182</v>
      </c>
      <c r="R54" s="426">
        <f t="shared" si="19"/>
        <v>1.1091567034898182</v>
      </c>
      <c r="S54" s="426">
        <f t="shared" si="19"/>
        <v>1.1091567034898182</v>
      </c>
      <c r="T54" s="426">
        <f t="shared" si="19"/>
        <v>1.1091567034898182</v>
      </c>
      <c r="U54" s="426">
        <f t="shared" si="19"/>
        <v>1.1091567034898182</v>
      </c>
      <c r="V54" s="426">
        <f t="shared" si="19"/>
        <v>1.1091567034898182</v>
      </c>
      <c r="W54" s="426">
        <f t="shared" si="19"/>
        <v>1.1091567034898182</v>
      </c>
      <c r="X54" s="426">
        <f t="shared" si="19"/>
        <v>1.1091567034898182</v>
      </c>
      <c r="Y54" s="426">
        <f t="shared" si="19"/>
        <v>1.1091567034898182</v>
      </c>
      <c r="Z54" s="426">
        <f t="shared" si="19"/>
        <v>1.1091567034898182</v>
      </c>
      <c r="AA54" s="426">
        <f t="shared" si="19"/>
        <v>1.1091567034898182</v>
      </c>
      <c r="AB54" s="426">
        <f t="shared" si="19"/>
        <v>1.1091567034898182</v>
      </c>
      <c r="AC54" s="426">
        <f t="shared" si="19"/>
        <v>1.1091567034898182</v>
      </c>
      <c r="AD54" s="426">
        <f t="shared" si="19"/>
        <v>1.1091567034898182</v>
      </c>
      <c r="AE54" s="426">
        <f t="shared" si="19"/>
        <v>1.1091567034898182</v>
      </c>
      <c r="AF54" s="426">
        <f t="shared" si="19"/>
        <v>1.1091567034898182</v>
      </c>
      <c r="AG54" s="426">
        <f t="shared" si="19"/>
        <v>1.1091567034898182</v>
      </c>
      <c r="AH54" s="426">
        <f t="shared" si="19"/>
        <v>1.1091567034898182</v>
      </c>
      <c r="AI54" s="426">
        <f t="shared" si="19"/>
        <v>1.1091567034898182</v>
      </c>
      <c r="AJ54" s="426">
        <f t="shared" si="19"/>
        <v>1.1091567034898182</v>
      </c>
      <c r="AK54" s="426">
        <f t="shared" si="19"/>
        <v>1.1091567034898182</v>
      </c>
      <c r="AL54" s="426">
        <f t="shared" si="19"/>
        <v>1.1091567034898182</v>
      </c>
    </row>
    <row r="55" spans="2:38">
      <c r="B55" s="362"/>
      <c r="C55" s="427" t="s">
        <v>290</v>
      </c>
      <c r="D55" s="415"/>
      <c r="E55" s="415"/>
      <c r="F55" s="415"/>
      <c r="G55" s="415"/>
      <c r="H55" s="123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row>
    <row r="56" spans="2:38">
      <c r="B56" s="362" t="s">
        <v>669</v>
      </c>
      <c r="C56" s="428">
        <f>$E$6</f>
        <v>2.2680000000000001E-3</v>
      </c>
      <c r="D56" s="429">
        <f t="shared" ref="D56:AK56" si="20">IF($D$6=$B29,$C$56*PRODUCT(D$30:D$36),IF($D$6=$B38,$C$56*PRODUCT(D$39:D$45), $C$56*PRODUCT(D$48:D$54)))</f>
        <v>6.9186796763040875E-2</v>
      </c>
      <c r="E56" s="429">
        <f t="shared" si="20"/>
        <v>7.0196704766385717E-2</v>
      </c>
      <c r="F56" s="429">
        <f t="shared" si="20"/>
        <v>7.122144191158547E-2</v>
      </c>
      <c r="G56" s="429">
        <f t="shared" si="20"/>
        <v>7.2261226398048592E-2</v>
      </c>
      <c r="H56" s="429">
        <f t="shared" si="20"/>
        <v>7.3316279638326445E-2</v>
      </c>
      <c r="I56" s="429">
        <f t="shared" si="20"/>
        <v>7.4386826305407508E-2</v>
      </c>
      <c r="J56" s="429">
        <f t="shared" si="20"/>
        <v>7.5473094380709593E-2</v>
      </c>
      <c r="K56" s="429">
        <f t="shared" si="20"/>
        <v>7.6575315202777841E-2</v>
      </c>
      <c r="L56" s="429">
        <f t="shared" si="20"/>
        <v>7.7693723516701355E-2</v>
      </c>
      <c r="M56" s="429">
        <f t="shared" si="20"/>
        <v>7.8828557524257326E-2</v>
      </c>
      <c r="N56" s="429">
        <f t="shared" si="20"/>
        <v>7.9980058934793985E-2</v>
      </c>
      <c r="O56" s="429">
        <f t="shared" si="20"/>
        <v>8.1148473016863398E-2</v>
      </c>
      <c r="P56" s="429">
        <f t="shared" si="20"/>
        <v>8.2334048650614944E-2</v>
      </c>
      <c r="Q56" s="429">
        <f t="shared" si="20"/>
        <v>8.3537038380960327E-2</v>
      </c>
      <c r="R56" s="429">
        <f t="shared" si="20"/>
        <v>8.4757698471522258E-2</v>
      </c>
      <c r="S56" s="429">
        <f t="shared" si="20"/>
        <v>8.5996288959377873E-2</v>
      </c>
      <c r="T56" s="429">
        <f t="shared" si="20"/>
        <v>8.7253073710608059E-2</v>
      </c>
      <c r="U56" s="429">
        <f t="shared" si="20"/>
        <v>8.8528320476665964E-2</v>
      </c>
      <c r="V56" s="429">
        <f t="shared" si="20"/>
        <v>8.9822300951574896E-2</v>
      </c>
      <c r="W56" s="429">
        <f t="shared" si="20"/>
        <v>9.1135290829969892E-2</v>
      </c>
      <c r="X56" s="429">
        <f t="shared" si="20"/>
        <v>9.2467569865993221E-2</v>
      </c>
      <c r="Y56" s="429">
        <f t="shared" si="20"/>
        <v>9.3819421933058297E-2</v>
      </c>
      <c r="Z56" s="429">
        <f t="shared" si="20"/>
        <v>9.5191135084493367E-2</v>
      </c>
      <c r="AA56" s="429">
        <f t="shared" si="20"/>
        <v>9.6583001615078809E-2</v>
      </c>
      <c r="AB56" s="429">
        <f t="shared" si="20"/>
        <v>9.7995318123490535E-2</v>
      </c>
      <c r="AC56" s="429">
        <f t="shared" si="20"/>
        <v>9.9428385575663941E-2</v>
      </c>
      <c r="AD56" s="429">
        <f t="shared" si="20"/>
        <v>0.10088250936908996</v>
      </c>
      <c r="AE56" s="429">
        <f t="shared" si="20"/>
        <v>0.10235799939805934</v>
      </c>
      <c r="AF56" s="429">
        <f t="shared" si="20"/>
        <v>0.10385517011986729</v>
      </c>
      <c r="AG56" s="429">
        <f t="shared" si="20"/>
        <v>0.10537434062199343</v>
      </c>
      <c r="AH56" s="429">
        <f t="shared" si="20"/>
        <v>0.10691583469027106</v>
      </c>
      <c r="AI56" s="429">
        <f t="shared" si="20"/>
        <v>0.10847998087806109</v>
      </c>
      <c r="AJ56" s="429">
        <f t="shared" si="20"/>
        <v>0.11006711257644368</v>
      </c>
      <c r="AK56" s="429">
        <f t="shared" si="20"/>
        <v>0.11167756808544513</v>
      </c>
      <c r="AL56" s="429">
        <f t="shared" ref="AL56" si="21">IF($D$6=$B29,$C$56*PRODUCT(AL$30:AL$36),IF($D$6=$B38,$C$56*PRODUCT(AL$39:AL$45), $C$56*PRODUCT(AL$48:AL$54)))</f>
        <v>0.11331169068631264</v>
      </c>
    </row>
    <row r="57" spans="2:38">
      <c r="H57" s="1228"/>
    </row>
    <row r="58" spans="2:38" ht="13">
      <c r="B58" s="407" t="s">
        <v>670</v>
      </c>
      <c r="C58" s="396" t="s">
        <v>627</v>
      </c>
      <c r="D58" s="397">
        <v>2018</v>
      </c>
      <c r="E58" s="397">
        <v>2020</v>
      </c>
      <c r="F58" s="397">
        <v>2021</v>
      </c>
      <c r="G58" s="397">
        <v>2022</v>
      </c>
      <c r="H58" s="1238">
        <v>2023</v>
      </c>
      <c r="I58" s="397">
        <v>2024</v>
      </c>
      <c r="J58" s="397">
        <v>2025</v>
      </c>
      <c r="K58" s="397">
        <v>2026</v>
      </c>
      <c r="L58" s="397">
        <v>2027</v>
      </c>
      <c r="M58" s="397">
        <v>2028</v>
      </c>
      <c r="N58" s="397">
        <v>2029</v>
      </c>
      <c r="O58" s="397">
        <v>2030</v>
      </c>
      <c r="P58" s="397">
        <v>2031</v>
      </c>
      <c r="Q58" s="397">
        <v>2032</v>
      </c>
      <c r="R58" s="397">
        <v>2033</v>
      </c>
      <c r="S58" s="397">
        <v>2034</v>
      </c>
      <c r="T58" s="397">
        <v>2035</v>
      </c>
      <c r="U58" s="397">
        <v>2036</v>
      </c>
      <c r="V58" s="397">
        <v>2037</v>
      </c>
      <c r="W58" s="397">
        <v>2038</v>
      </c>
      <c r="X58" s="397">
        <v>2039</v>
      </c>
      <c r="Y58" s="397">
        <v>2040</v>
      </c>
      <c r="Z58" s="397">
        <v>2041</v>
      </c>
      <c r="AA58" s="397">
        <v>2042</v>
      </c>
      <c r="AB58" s="397">
        <v>2043</v>
      </c>
      <c r="AC58" s="397">
        <v>2044</v>
      </c>
      <c r="AD58" s="397">
        <v>2044</v>
      </c>
      <c r="AE58" s="397">
        <v>2044</v>
      </c>
      <c r="AF58" s="397">
        <v>2044</v>
      </c>
      <c r="AG58" s="397">
        <v>2044</v>
      </c>
      <c r="AH58" s="397">
        <v>2044</v>
      </c>
      <c r="AI58" s="397">
        <v>2044</v>
      </c>
      <c r="AJ58" s="397">
        <v>2044</v>
      </c>
      <c r="AK58" s="397">
        <v>2044</v>
      </c>
      <c r="AL58" s="397">
        <v>2044</v>
      </c>
    </row>
    <row r="59" spans="2:38" s="366" customFormat="1">
      <c r="B59" s="366" t="s">
        <v>671</v>
      </c>
      <c r="C59" s="430" t="s">
        <v>662</v>
      </c>
      <c r="D59" s="431">
        <f t="shared" ref="D59:AK59" si="22">D20^(-1.074)</f>
        <v>0.11486407065121609</v>
      </c>
      <c r="E59" s="432">
        <f t="shared" si="22"/>
        <v>0.11486407065121609</v>
      </c>
      <c r="F59" s="432">
        <f t="shared" si="22"/>
        <v>0.11486407065121609</v>
      </c>
      <c r="G59" s="432">
        <f t="shared" si="22"/>
        <v>0.11486407065121609</v>
      </c>
      <c r="H59" s="1239">
        <f t="shared" si="22"/>
        <v>0.11486407065121609</v>
      </c>
      <c r="I59" s="432">
        <f t="shared" si="22"/>
        <v>0.11486407065121609</v>
      </c>
      <c r="J59" s="432">
        <f t="shared" si="22"/>
        <v>0.11486407065121609</v>
      </c>
      <c r="K59" s="432">
        <f t="shared" si="22"/>
        <v>0.11486407065121609</v>
      </c>
      <c r="L59" s="432">
        <f t="shared" si="22"/>
        <v>0.11486407065121609</v>
      </c>
      <c r="M59" s="432">
        <f t="shared" si="22"/>
        <v>0.11486407065121609</v>
      </c>
      <c r="N59" s="432">
        <f t="shared" si="22"/>
        <v>0.11486407065121609</v>
      </c>
      <c r="O59" s="432">
        <f t="shared" si="22"/>
        <v>0.11486407065121609</v>
      </c>
      <c r="P59" s="432">
        <f t="shared" si="22"/>
        <v>0.11486407065121609</v>
      </c>
      <c r="Q59" s="432">
        <f t="shared" si="22"/>
        <v>0.11486407065121609</v>
      </c>
      <c r="R59" s="432">
        <f t="shared" si="22"/>
        <v>0.11486407065121609</v>
      </c>
      <c r="S59" s="432">
        <f t="shared" si="22"/>
        <v>0.11486407065121609</v>
      </c>
      <c r="T59" s="432">
        <f t="shared" si="22"/>
        <v>0.11486407065121609</v>
      </c>
      <c r="U59" s="432">
        <f t="shared" si="22"/>
        <v>0.11486407065121609</v>
      </c>
      <c r="V59" s="432">
        <f t="shared" si="22"/>
        <v>0.11486407065121609</v>
      </c>
      <c r="W59" s="432">
        <f t="shared" si="22"/>
        <v>0.11486407065121609</v>
      </c>
      <c r="X59" s="432">
        <f t="shared" si="22"/>
        <v>0.11486407065121609</v>
      </c>
      <c r="Y59" s="432">
        <f t="shared" si="22"/>
        <v>0.11486407065121609</v>
      </c>
      <c r="Z59" s="432">
        <f t="shared" si="22"/>
        <v>0.11486407065121609</v>
      </c>
      <c r="AA59" s="432">
        <f t="shared" si="22"/>
        <v>0.11486407065121609</v>
      </c>
      <c r="AB59" s="432">
        <f t="shared" si="22"/>
        <v>0.11486407065121609</v>
      </c>
      <c r="AC59" s="432">
        <f t="shared" si="22"/>
        <v>0.11486407065121609</v>
      </c>
      <c r="AD59" s="432">
        <f t="shared" si="22"/>
        <v>0.11486407065121609</v>
      </c>
      <c r="AE59" s="432">
        <f t="shared" si="22"/>
        <v>0.11486407065121609</v>
      </c>
      <c r="AF59" s="432">
        <f t="shared" si="22"/>
        <v>0.11486407065121609</v>
      </c>
      <c r="AG59" s="432">
        <f t="shared" si="22"/>
        <v>0.11486407065121609</v>
      </c>
      <c r="AH59" s="432">
        <f t="shared" si="22"/>
        <v>0.11486407065121609</v>
      </c>
      <c r="AI59" s="432">
        <f t="shared" si="22"/>
        <v>0.11486407065121609</v>
      </c>
      <c r="AJ59" s="432">
        <f t="shared" si="22"/>
        <v>0.11486407065121609</v>
      </c>
      <c r="AK59" s="432">
        <f t="shared" si="22"/>
        <v>0.11486407065121609</v>
      </c>
      <c r="AL59" s="432">
        <f t="shared" ref="AL59" si="23">AL20^(-1.074)</f>
        <v>0.11486407065121609</v>
      </c>
    </row>
    <row r="60" spans="2:38">
      <c r="B60" s="358" t="s">
        <v>606</v>
      </c>
      <c r="C60" s="419" t="s">
        <v>672</v>
      </c>
      <c r="D60" s="417">
        <f t="shared" ref="D60:AL60" si="24">(D$17+1)^(-0.1025)</f>
        <v>0.81841688605541607</v>
      </c>
      <c r="E60" s="417">
        <f t="shared" si="24"/>
        <v>0.81765690702612781</v>
      </c>
      <c r="F60" s="417">
        <f t="shared" si="24"/>
        <v>0.81689650954219895</v>
      </c>
      <c r="G60" s="417">
        <f t="shared" si="24"/>
        <v>0.81613570459200147</v>
      </c>
      <c r="H60" s="417">
        <f t="shared" si="24"/>
        <v>0.81537450309664339</v>
      </c>
      <c r="I60" s="417">
        <f t="shared" si="24"/>
        <v>0.81461291590967277</v>
      </c>
      <c r="J60" s="417">
        <f t="shared" si="24"/>
        <v>0.81385095381679629</v>
      </c>
      <c r="K60" s="417">
        <f t="shared" si="24"/>
        <v>0.81308862753561317</v>
      </c>
      <c r="L60" s="417">
        <f t="shared" si="24"/>
        <v>0.81232594771536493</v>
      </c>
      <c r="M60" s="417">
        <f t="shared" si="24"/>
        <v>0.81156292493670046</v>
      </c>
      <c r="N60" s="417">
        <f t="shared" si="24"/>
        <v>0.81079956971145628</v>
      </c>
      <c r="O60" s="417">
        <f t="shared" si="24"/>
        <v>0.81003589248245045</v>
      </c>
      <c r="P60" s="417">
        <f t="shared" si="24"/>
        <v>0.80927190362329249</v>
      </c>
      <c r="Q60" s="417">
        <f t="shared" si="24"/>
        <v>0.80850761343820632</v>
      </c>
      <c r="R60" s="417">
        <f t="shared" si="24"/>
        <v>0.80774303216186893</v>
      </c>
      <c r="S60" s="417">
        <f t="shared" si="24"/>
        <v>0.8069781699592613</v>
      </c>
      <c r="T60" s="417">
        <f t="shared" si="24"/>
        <v>0.80621303692553392</v>
      </c>
      <c r="U60" s="417">
        <f t="shared" si="24"/>
        <v>0.80544764308588568</v>
      </c>
      <c r="V60" s="417">
        <f t="shared" si="24"/>
        <v>0.8046819983954564</v>
      </c>
      <c r="W60" s="417">
        <f t="shared" si="24"/>
        <v>0.80391611273923169</v>
      </c>
      <c r="X60" s="417">
        <f t="shared" si="24"/>
        <v>0.80314999593196079</v>
      </c>
      <c r="Y60" s="417">
        <f t="shared" si="24"/>
        <v>0.80238365771808795</v>
      </c>
      <c r="Z60" s="417">
        <f t="shared" si="24"/>
        <v>0.80161710777169504</v>
      </c>
      <c r="AA60" s="417">
        <f t="shared" si="24"/>
        <v>0.80085035569645713</v>
      </c>
      <c r="AB60" s="417">
        <f t="shared" si="24"/>
        <v>0.80008341102560987</v>
      </c>
      <c r="AC60" s="417">
        <f t="shared" si="24"/>
        <v>0.79931628322192838</v>
      </c>
      <c r="AD60" s="417">
        <f t="shared" si="24"/>
        <v>0.79854898167771826</v>
      </c>
      <c r="AE60" s="417">
        <f t="shared" si="24"/>
        <v>0.7977815157148177</v>
      </c>
      <c r="AF60" s="417">
        <f t="shared" si="24"/>
        <v>0.79701389458460981</v>
      </c>
      <c r="AG60" s="417">
        <f t="shared" si="24"/>
        <v>0.79624612746804801</v>
      </c>
      <c r="AH60" s="417">
        <f t="shared" si="24"/>
        <v>0.79547822347569053</v>
      </c>
      <c r="AI60" s="417">
        <f t="shared" si="24"/>
        <v>0.79471019164774515</v>
      </c>
      <c r="AJ60" s="417">
        <f t="shared" si="24"/>
        <v>0.79394204095412557</v>
      </c>
      <c r="AK60" s="417">
        <f t="shared" si="24"/>
        <v>0.79317378029451702</v>
      </c>
      <c r="AL60" s="417">
        <f t="shared" si="24"/>
        <v>0.79240541849845181</v>
      </c>
    </row>
    <row r="61" spans="2:38">
      <c r="B61" s="358" t="s">
        <v>673</v>
      </c>
      <c r="C61" s="419" t="s">
        <v>674</v>
      </c>
      <c r="D61" s="414">
        <f t="shared" ref="D61:AL61" si="25">(D$19+1)^(0.1025)</f>
        <v>1</v>
      </c>
      <c r="E61" s="415">
        <f t="shared" si="25"/>
        <v>1</v>
      </c>
      <c r="F61" s="415">
        <f t="shared" si="25"/>
        <v>1</v>
      </c>
      <c r="G61" s="415">
        <f t="shared" si="25"/>
        <v>1</v>
      </c>
      <c r="H61" s="1235">
        <f t="shared" si="25"/>
        <v>1</v>
      </c>
      <c r="I61" s="415">
        <f t="shared" si="25"/>
        <v>1</v>
      </c>
      <c r="J61" s="415">
        <f t="shared" si="25"/>
        <v>1</v>
      </c>
      <c r="K61" s="415">
        <f t="shared" si="25"/>
        <v>1</v>
      </c>
      <c r="L61" s="415">
        <f t="shared" si="25"/>
        <v>1</v>
      </c>
      <c r="M61" s="415">
        <f t="shared" si="25"/>
        <v>1</v>
      </c>
      <c r="N61" s="415">
        <f t="shared" si="25"/>
        <v>1</v>
      </c>
      <c r="O61" s="415">
        <f t="shared" si="25"/>
        <v>1</v>
      </c>
      <c r="P61" s="415">
        <f t="shared" si="25"/>
        <v>1</v>
      </c>
      <c r="Q61" s="415">
        <f t="shared" si="25"/>
        <v>1</v>
      </c>
      <c r="R61" s="415">
        <f t="shared" si="25"/>
        <v>1</v>
      </c>
      <c r="S61" s="415">
        <f t="shared" si="25"/>
        <v>1</v>
      </c>
      <c r="T61" s="415">
        <f t="shared" si="25"/>
        <v>1</v>
      </c>
      <c r="U61" s="415">
        <f t="shared" si="25"/>
        <v>1</v>
      </c>
      <c r="V61" s="415">
        <f t="shared" si="25"/>
        <v>1</v>
      </c>
      <c r="W61" s="415">
        <f t="shared" si="25"/>
        <v>1</v>
      </c>
      <c r="X61" s="415">
        <f t="shared" si="25"/>
        <v>1</v>
      </c>
      <c r="Y61" s="415">
        <f t="shared" si="25"/>
        <v>1</v>
      </c>
      <c r="Z61" s="415">
        <f t="shared" si="25"/>
        <v>1</v>
      </c>
      <c r="AA61" s="415">
        <f t="shared" si="25"/>
        <v>1</v>
      </c>
      <c r="AB61" s="415">
        <f t="shared" si="25"/>
        <v>1</v>
      </c>
      <c r="AC61" s="415">
        <f t="shared" si="25"/>
        <v>1</v>
      </c>
      <c r="AD61" s="415">
        <f t="shared" si="25"/>
        <v>1</v>
      </c>
      <c r="AE61" s="415">
        <f t="shared" si="25"/>
        <v>1</v>
      </c>
      <c r="AF61" s="415">
        <f t="shared" si="25"/>
        <v>1</v>
      </c>
      <c r="AG61" s="415">
        <f t="shared" si="25"/>
        <v>1</v>
      </c>
      <c r="AH61" s="415">
        <f t="shared" si="25"/>
        <v>1</v>
      </c>
      <c r="AI61" s="415">
        <f t="shared" si="25"/>
        <v>1</v>
      </c>
      <c r="AJ61" s="415">
        <f t="shared" si="25"/>
        <v>1</v>
      </c>
      <c r="AK61" s="415">
        <f t="shared" si="25"/>
        <v>1</v>
      </c>
      <c r="AL61" s="415">
        <f t="shared" si="25"/>
        <v>1</v>
      </c>
    </row>
    <row r="62" spans="2:38">
      <c r="B62" s="433" t="s">
        <v>675</v>
      </c>
      <c r="C62" s="434" t="s">
        <v>676</v>
      </c>
      <c r="D62" s="426">
        <f t="shared" ref="D62:AL62" si="26">EXP(0.188*$E$5)</f>
        <v>1.2068335153496053</v>
      </c>
      <c r="E62" s="426">
        <f t="shared" si="26"/>
        <v>1.2068335153496053</v>
      </c>
      <c r="F62" s="426">
        <f t="shared" si="26"/>
        <v>1.2068335153496053</v>
      </c>
      <c r="G62" s="426">
        <f t="shared" si="26"/>
        <v>1.2068335153496053</v>
      </c>
      <c r="H62" s="1237">
        <f t="shared" si="26"/>
        <v>1.2068335153496053</v>
      </c>
      <c r="I62" s="426">
        <f t="shared" si="26"/>
        <v>1.2068335153496053</v>
      </c>
      <c r="J62" s="426">
        <f t="shared" si="26"/>
        <v>1.2068335153496053</v>
      </c>
      <c r="K62" s="426">
        <f t="shared" si="26"/>
        <v>1.2068335153496053</v>
      </c>
      <c r="L62" s="426">
        <f t="shared" si="26"/>
        <v>1.2068335153496053</v>
      </c>
      <c r="M62" s="426">
        <f t="shared" si="26"/>
        <v>1.2068335153496053</v>
      </c>
      <c r="N62" s="426">
        <f t="shared" si="26"/>
        <v>1.2068335153496053</v>
      </c>
      <c r="O62" s="426">
        <f t="shared" si="26"/>
        <v>1.2068335153496053</v>
      </c>
      <c r="P62" s="426">
        <f t="shared" si="26"/>
        <v>1.2068335153496053</v>
      </c>
      <c r="Q62" s="426">
        <f t="shared" si="26"/>
        <v>1.2068335153496053</v>
      </c>
      <c r="R62" s="426">
        <f t="shared" si="26"/>
        <v>1.2068335153496053</v>
      </c>
      <c r="S62" s="426">
        <f t="shared" si="26"/>
        <v>1.2068335153496053</v>
      </c>
      <c r="T62" s="426">
        <f t="shared" si="26"/>
        <v>1.2068335153496053</v>
      </c>
      <c r="U62" s="426">
        <f t="shared" si="26"/>
        <v>1.2068335153496053</v>
      </c>
      <c r="V62" s="426">
        <f t="shared" si="26"/>
        <v>1.2068335153496053</v>
      </c>
      <c r="W62" s="426">
        <f t="shared" si="26"/>
        <v>1.2068335153496053</v>
      </c>
      <c r="X62" s="426">
        <f t="shared" si="26"/>
        <v>1.2068335153496053</v>
      </c>
      <c r="Y62" s="426">
        <f t="shared" si="26"/>
        <v>1.2068335153496053</v>
      </c>
      <c r="Z62" s="426">
        <f t="shared" si="26"/>
        <v>1.2068335153496053</v>
      </c>
      <c r="AA62" s="426">
        <f t="shared" si="26"/>
        <v>1.2068335153496053</v>
      </c>
      <c r="AB62" s="426">
        <f t="shared" si="26"/>
        <v>1.2068335153496053</v>
      </c>
      <c r="AC62" s="426">
        <f t="shared" si="26"/>
        <v>1.2068335153496053</v>
      </c>
      <c r="AD62" s="426">
        <f t="shared" si="26"/>
        <v>1.2068335153496053</v>
      </c>
      <c r="AE62" s="426">
        <f t="shared" si="26"/>
        <v>1.2068335153496053</v>
      </c>
      <c r="AF62" s="426">
        <f t="shared" si="26"/>
        <v>1.2068335153496053</v>
      </c>
      <c r="AG62" s="426">
        <f t="shared" si="26"/>
        <v>1.2068335153496053</v>
      </c>
      <c r="AH62" s="426">
        <f t="shared" si="26"/>
        <v>1.2068335153496053</v>
      </c>
      <c r="AI62" s="426">
        <f t="shared" si="26"/>
        <v>1.2068335153496053</v>
      </c>
      <c r="AJ62" s="426">
        <f t="shared" si="26"/>
        <v>1.2068335153496053</v>
      </c>
      <c r="AK62" s="426">
        <f t="shared" si="26"/>
        <v>1.2068335153496053</v>
      </c>
      <c r="AL62" s="426">
        <f t="shared" si="26"/>
        <v>1.2068335153496053</v>
      </c>
    </row>
    <row r="63" spans="2:38">
      <c r="B63" s="362"/>
      <c r="C63" s="427" t="s">
        <v>290</v>
      </c>
      <c r="H63" s="1228"/>
    </row>
    <row r="64" spans="2:38">
      <c r="B64" s="362" t="s">
        <v>677</v>
      </c>
      <c r="C64" s="406">
        <v>695</v>
      </c>
      <c r="D64" s="435">
        <f t="shared" ref="D64:AL64" si="27">1/(1+$C$64*PRODUCT(D$59:D$62))</f>
        <v>1.2523787525043351E-2</v>
      </c>
      <c r="E64" s="435">
        <f t="shared" si="27"/>
        <v>1.2535281963969649E-2</v>
      </c>
      <c r="F64" s="435">
        <f t="shared" si="27"/>
        <v>1.2546803868115417E-2</v>
      </c>
      <c r="G64" s="435">
        <f t="shared" si="27"/>
        <v>1.2558353163824159E-2</v>
      </c>
      <c r="H64" s="435">
        <f t="shared" si="27"/>
        <v>1.2569929777658998E-2</v>
      </c>
      <c r="I64" s="435">
        <f t="shared" si="27"/>
        <v>1.2581533636408937E-2</v>
      </c>
      <c r="J64" s="435">
        <f t="shared" si="27"/>
        <v>1.2593164667094986E-2</v>
      </c>
      <c r="K64" s="435">
        <f t="shared" si="27"/>
        <v>1.2604822796976212E-2</v>
      </c>
      <c r="L64" s="435">
        <f t="shared" si="27"/>
        <v>1.2616507953555609E-2</v>
      </c>
      <c r="M64" s="435">
        <f t="shared" si="27"/>
        <v>1.2628220064585876E-2</v>
      </c>
      <c r="N64" s="435">
        <f t="shared" si="27"/>
        <v>1.2639959058075053E-2</v>
      </c>
      <c r="O64" s="435">
        <f t="shared" si="27"/>
        <v>1.2651724862292059E-2</v>
      </c>
      <c r="P64" s="435">
        <f t="shared" si="27"/>
        <v>1.2663517405772056E-2</v>
      </c>
      <c r="Q64" s="435">
        <f t="shared" si="27"/>
        <v>1.2675336617321769E-2</v>
      </c>
      <c r="R64" s="435">
        <f t="shared" si="27"/>
        <v>1.2687182426024598E-2</v>
      </c>
      <c r="S64" s="435">
        <f t="shared" si="27"/>
        <v>1.2699054761245677E-2</v>
      </c>
      <c r="T64" s="435">
        <f t="shared" si="27"/>
        <v>1.2710953552636789E-2</v>
      </c>
      <c r="U64" s="435">
        <f t="shared" si="27"/>
        <v>1.2722878730141156E-2</v>
      </c>
      <c r="V64" s="435">
        <f t="shared" si="27"/>
        <v>1.2734830223998114E-2</v>
      </c>
      <c r="W64" s="435">
        <f t="shared" si="27"/>
        <v>1.2746807964747694E-2</v>
      </c>
      <c r="X64" s="435">
        <f t="shared" si="27"/>
        <v>1.2758811883235069E-2</v>
      </c>
      <c r="Y64" s="435">
        <f t="shared" si="27"/>
        <v>1.2770841910614861E-2</v>
      </c>
      <c r="Z64" s="435">
        <f t="shared" si="27"/>
        <v>1.2782897978355421E-2</v>
      </c>
      <c r="AA64" s="435">
        <f t="shared" si="27"/>
        <v>1.2794980018242866E-2</v>
      </c>
      <c r="AB64" s="435">
        <f t="shared" si="27"/>
        <v>1.2807087962385151E-2</v>
      </c>
      <c r="AC64" s="435">
        <f t="shared" si="27"/>
        <v>1.2819221743215897E-2</v>
      </c>
      <c r="AD64" s="435">
        <f t="shared" si="27"/>
        <v>1.2831381293498223E-2</v>
      </c>
      <c r="AE64" s="435">
        <f t="shared" si="27"/>
        <v>1.2843566546328381E-2</v>
      </c>
      <c r="AF64" s="435">
        <f t="shared" si="27"/>
        <v>1.2855777435139356E-2</v>
      </c>
      <c r="AG64" s="435">
        <f t="shared" si="27"/>
        <v>1.2868013893704297E-2</v>
      </c>
      <c r="AH64" s="435">
        <f t="shared" si="27"/>
        <v>1.2880275856139899E-2</v>
      </c>
      <c r="AI64" s="435">
        <f t="shared" si="27"/>
        <v>1.2892563256909646E-2</v>
      </c>
      <c r="AJ64" s="435">
        <f t="shared" si="27"/>
        <v>1.2904876030826967E-2</v>
      </c>
      <c r="AK64" s="435">
        <f t="shared" si="27"/>
        <v>1.2917214113058295E-2</v>
      </c>
      <c r="AL64" s="435">
        <f t="shared" si="27"/>
        <v>1.2929577439126011E-2</v>
      </c>
    </row>
    <row r="65" spans="1:38">
      <c r="H65" s="1228"/>
    </row>
    <row r="66" spans="1:38" ht="13">
      <c r="B66" s="407" t="s">
        <v>678</v>
      </c>
      <c r="C66" s="396" t="s">
        <v>627</v>
      </c>
      <c r="D66" s="397">
        <v>2018</v>
      </c>
      <c r="E66" s="397">
        <v>2020</v>
      </c>
      <c r="F66" s="397">
        <v>2021</v>
      </c>
      <c r="G66" s="397">
        <v>2022</v>
      </c>
      <c r="H66" s="1238">
        <v>2023</v>
      </c>
      <c r="I66" s="397">
        <v>2024</v>
      </c>
      <c r="J66" s="397">
        <v>2025</v>
      </c>
      <c r="K66" s="397">
        <v>2026</v>
      </c>
      <c r="L66" s="397">
        <v>2027</v>
      </c>
      <c r="M66" s="397">
        <v>2028</v>
      </c>
      <c r="N66" s="397">
        <v>2029</v>
      </c>
      <c r="O66" s="397">
        <v>2030</v>
      </c>
      <c r="P66" s="397">
        <v>2031</v>
      </c>
      <c r="Q66" s="397">
        <v>2032</v>
      </c>
      <c r="R66" s="397">
        <v>2033</v>
      </c>
      <c r="S66" s="397">
        <v>2034</v>
      </c>
      <c r="T66" s="397">
        <v>2035</v>
      </c>
      <c r="U66" s="397">
        <v>2036</v>
      </c>
      <c r="V66" s="397">
        <v>2037</v>
      </c>
      <c r="W66" s="397">
        <v>2038</v>
      </c>
      <c r="X66" s="397">
        <v>2039</v>
      </c>
      <c r="Y66" s="397">
        <v>2040</v>
      </c>
      <c r="Z66" s="397">
        <v>2041</v>
      </c>
      <c r="AA66" s="397">
        <v>2042</v>
      </c>
      <c r="AB66" s="397">
        <v>2043</v>
      </c>
      <c r="AC66" s="397">
        <v>2044</v>
      </c>
      <c r="AD66" s="397">
        <v>2044</v>
      </c>
      <c r="AE66" s="397">
        <v>2044</v>
      </c>
      <c r="AF66" s="397">
        <v>2044</v>
      </c>
      <c r="AG66" s="397">
        <v>2044</v>
      </c>
      <c r="AH66" s="397">
        <v>2044</v>
      </c>
      <c r="AI66" s="397">
        <v>2044</v>
      </c>
      <c r="AJ66" s="397">
        <v>2044</v>
      </c>
      <c r="AK66" s="397">
        <v>2044</v>
      </c>
      <c r="AL66" s="397">
        <v>2044</v>
      </c>
    </row>
    <row r="67" spans="1:38">
      <c r="B67" s="358" t="s">
        <v>679</v>
      </c>
      <c r="C67" s="436" t="s">
        <v>680</v>
      </c>
      <c r="D67" s="437">
        <f t="shared" ref="D67:AL67" si="28">D$64</f>
        <v>1.2523787525043351E-2</v>
      </c>
      <c r="E67" s="415">
        <f t="shared" si="28"/>
        <v>1.2535281963969649E-2</v>
      </c>
      <c r="F67" s="415">
        <f t="shared" si="28"/>
        <v>1.2546803868115417E-2</v>
      </c>
      <c r="G67" s="415">
        <f t="shared" si="28"/>
        <v>1.2558353163824159E-2</v>
      </c>
      <c r="H67" s="1235">
        <f t="shared" si="28"/>
        <v>1.2569929777658998E-2</v>
      </c>
      <c r="I67" s="415">
        <f t="shared" si="28"/>
        <v>1.2581533636408937E-2</v>
      </c>
      <c r="J67" s="415">
        <f t="shared" si="28"/>
        <v>1.2593164667094986E-2</v>
      </c>
      <c r="K67" s="415">
        <f t="shared" si="28"/>
        <v>1.2604822796976212E-2</v>
      </c>
      <c r="L67" s="415">
        <f t="shared" si="28"/>
        <v>1.2616507953555609E-2</v>
      </c>
      <c r="M67" s="415">
        <f t="shared" si="28"/>
        <v>1.2628220064585876E-2</v>
      </c>
      <c r="N67" s="415">
        <f t="shared" si="28"/>
        <v>1.2639959058075053E-2</v>
      </c>
      <c r="O67" s="415">
        <f t="shared" si="28"/>
        <v>1.2651724862292059E-2</v>
      </c>
      <c r="P67" s="415">
        <f t="shared" si="28"/>
        <v>1.2663517405772056E-2</v>
      </c>
      <c r="Q67" s="415">
        <f t="shared" si="28"/>
        <v>1.2675336617321769E-2</v>
      </c>
      <c r="R67" s="415">
        <f t="shared" si="28"/>
        <v>1.2687182426024598E-2</v>
      </c>
      <c r="S67" s="415">
        <f t="shared" si="28"/>
        <v>1.2699054761245677E-2</v>
      </c>
      <c r="T67" s="415">
        <f t="shared" si="28"/>
        <v>1.2710953552636789E-2</v>
      </c>
      <c r="U67" s="415">
        <f t="shared" si="28"/>
        <v>1.2722878730141156E-2</v>
      </c>
      <c r="V67" s="415">
        <f t="shared" si="28"/>
        <v>1.2734830223998114E-2</v>
      </c>
      <c r="W67" s="415">
        <f t="shared" si="28"/>
        <v>1.2746807964747694E-2</v>
      </c>
      <c r="X67" s="415">
        <f t="shared" si="28"/>
        <v>1.2758811883235069E-2</v>
      </c>
      <c r="Y67" s="415">
        <f t="shared" si="28"/>
        <v>1.2770841910614861E-2</v>
      </c>
      <c r="Z67" s="415">
        <f t="shared" si="28"/>
        <v>1.2782897978355421E-2</v>
      </c>
      <c r="AA67" s="415">
        <f t="shared" si="28"/>
        <v>1.2794980018242866E-2</v>
      </c>
      <c r="AB67" s="415">
        <f t="shared" si="28"/>
        <v>1.2807087962385151E-2</v>
      </c>
      <c r="AC67" s="415">
        <f t="shared" si="28"/>
        <v>1.2819221743215897E-2</v>
      </c>
      <c r="AD67" s="415">
        <f t="shared" si="28"/>
        <v>1.2831381293498223E-2</v>
      </c>
      <c r="AE67" s="415">
        <f t="shared" si="28"/>
        <v>1.2843566546328381E-2</v>
      </c>
      <c r="AF67" s="415">
        <f t="shared" si="28"/>
        <v>1.2855777435139356E-2</v>
      </c>
      <c r="AG67" s="415">
        <f t="shared" si="28"/>
        <v>1.2868013893704297E-2</v>
      </c>
      <c r="AH67" s="415">
        <f t="shared" si="28"/>
        <v>1.2880275856139899E-2</v>
      </c>
      <c r="AI67" s="415">
        <f t="shared" si="28"/>
        <v>1.2892563256909646E-2</v>
      </c>
      <c r="AJ67" s="415">
        <f t="shared" si="28"/>
        <v>1.2904876030826967E-2</v>
      </c>
      <c r="AK67" s="415">
        <f t="shared" si="28"/>
        <v>1.2917214113058295E-2</v>
      </c>
      <c r="AL67" s="415">
        <f t="shared" si="28"/>
        <v>1.2929577439126011E-2</v>
      </c>
    </row>
    <row r="68" spans="1:38">
      <c r="B68" s="358" t="s">
        <v>681</v>
      </c>
      <c r="C68" s="419" t="s">
        <v>682</v>
      </c>
      <c r="D68" s="414">
        <f t="shared" ref="D68:AK68" si="29">1-D67</f>
        <v>0.98747621247495665</v>
      </c>
      <c r="E68" s="414">
        <f t="shared" si="29"/>
        <v>0.98746471803603031</v>
      </c>
      <c r="F68" s="414">
        <f t="shared" si="29"/>
        <v>0.98745319613188454</v>
      </c>
      <c r="G68" s="414">
        <f t="shared" si="29"/>
        <v>0.98744164683617586</v>
      </c>
      <c r="H68" s="417">
        <f t="shared" si="29"/>
        <v>0.98743007022234097</v>
      </c>
      <c r="I68" s="414">
        <f t="shared" si="29"/>
        <v>0.9874184663635911</v>
      </c>
      <c r="J68" s="414">
        <f t="shared" si="29"/>
        <v>0.98740683533290496</v>
      </c>
      <c r="K68" s="414">
        <f t="shared" si="29"/>
        <v>0.98739517720302383</v>
      </c>
      <c r="L68" s="414">
        <f t="shared" si="29"/>
        <v>0.98738349204644438</v>
      </c>
      <c r="M68" s="414">
        <f t="shared" si="29"/>
        <v>0.98737177993541414</v>
      </c>
      <c r="N68" s="414">
        <f t="shared" si="29"/>
        <v>0.98736004094192498</v>
      </c>
      <c r="O68" s="414">
        <f t="shared" si="29"/>
        <v>0.98734827513770795</v>
      </c>
      <c r="P68" s="414">
        <f t="shared" si="29"/>
        <v>0.9873364825942279</v>
      </c>
      <c r="Q68" s="414">
        <f t="shared" si="29"/>
        <v>0.98732466338267821</v>
      </c>
      <c r="R68" s="414">
        <f t="shared" si="29"/>
        <v>0.98731281757397538</v>
      </c>
      <c r="S68" s="414">
        <f t="shared" si="29"/>
        <v>0.98730094523875433</v>
      </c>
      <c r="T68" s="414">
        <f t="shared" si="29"/>
        <v>0.98728904644736326</v>
      </c>
      <c r="U68" s="414">
        <f t="shared" si="29"/>
        <v>0.98727712126985889</v>
      </c>
      <c r="V68" s="414">
        <f t="shared" si="29"/>
        <v>0.98726516977600187</v>
      </c>
      <c r="W68" s="414">
        <f t="shared" si="29"/>
        <v>0.9872531920352523</v>
      </c>
      <c r="X68" s="414">
        <f t="shared" si="29"/>
        <v>0.98724118811676498</v>
      </c>
      <c r="Y68" s="414">
        <f t="shared" si="29"/>
        <v>0.98722915808938516</v>
      </c>
      <c r="Z68" s="414">
        <f t="shared" si="29"/>
        <v>0.98721710202164459</v>
      </c>
      <c r="AA68" s="414">
        <f t="shared" si="29"/>
        <v>0.98720501998175714</v>
      </c>
      <c r="AB68" s="414">
        <f t="shared" si="29"/>
        <v>0.98719291203761483</v>
      </c>
      <c r="AC68" s="414">
        <f t="shared" si="29"/>
        <v>0.98718077825678407</v>
      </c>
      <c r="AD68" s="414">
        <f t="shared" si="29"/>
        <v>0.98716861870650174</v>
      </c>
      <c r="AE68" s="414">
        <f t="shared" si="29"/>
        <v>0.98715643345367166</v>
      </c>
      <c r="AF68" s="414">
        <f t="shared" si="29"/>
        <v>0.98714422256486067</v>
      </c>
      <c r="AG68" s="414">
        <f t="shared" si="29"/>
        <v>0.98713198610629571</v>
      </c>
      <c r="AH68" s="414">
        <f t="shared" si="29"/>
        <v>0.98711972414386007</v>
      </c>
      <c r="AI68" s="414">
        <f t="shared" si="29"/>
        <v>0.98710743674309032</v>
      </c>
      <c r="AJ68" s="414">
        <f t="shared" si="29"/>
        <v>0.98709512396917298</v>
      </c>
      <c r="AK68" s="414">
        <f t="shared" si="29"/>
        <v>0.98708278588694176</v>
      </c>
      <c r="AL68" s="414">
        <f t="shared" ref="AL68" si="30">1-AL67</f>
        <v>0.98707042256087396</v>
      </c>
    </row>
    <row r="69" spans="1:38">
      <c r="B69" s="358" t="s">
        <v>671</v>
      </c>
      <c r="C69" s="419" t="s">
        <v>662</v>
      </c>
      <c r="D69" s="414">
        <f t="shared" ref="D69:AL69" si="31">D$20^(-0.2334)</f>
        <v>0.62482831374223813</v>
      </c>
      <c r="E69" s="414">
        <f t="shared" si="31"/>
        <v>0.62482831374223813</v>
      </c>
      <c r="F69" s="414">
        <f t="shared" si="31"/>
        <v>0.62482831374223813</v>
      </c>
      <c r="G69" s="414">
        <f t="shared" si="31"/>
        <v>0.62482831374223813</v>
      </c>
      <c r="H69" s="417">
        <f t="shared" si="31"/>
        <v>0.62482831374223813</v>
      </c>
      <c r="I69" s="414">
        <f t="shared" si="31"/>
        <v>0.62482831374223813</v>
      </c>
      <c r="J69" s="414">
        <f t="shared" si="31"/>
        <v>0.62482831374223813</v>
      </c>
      <c r="K69" s="414">
        <f t="shared" si="31"/>
        <v>0.62482831374223813</v>
      </c>
      <c r="L69" s="414">
        <f t="shared" si="31"/>
        <v>0.62482831374223813</v>
      </c>
      <c r="M69" s="414">
        <f t="shared" si="31"/>
        <v>0.62482831374223813</v>
      </c>
      <c r="N69" s="414">
        <f t="shared" si="31"/>
        <v>0.62482831374223813</v>
      </c>
      <c r="O69" s="414">
        <f t="shared" si="31"/>
        <v>0.62482831374223813</v>
      </c>
      <c r="P69" s="414">
        <f t="shared" si="31"/>
        <v>0.62482831374223813</v>
      </c>
      <c r="Q69" s="414">
        <f t="shared" si="31"/>
        <v>0.62482831374223813</v>
      </c>
      <c r="R69" s="414">
        <f t="shared" si="31"/>
        <v>0.62482831374223813</v>
      </c>
      <c r="S69" s="414">
        <f t="shared" si="31"/>
        <v>0.62482831374223813</v>
      </c>
      <c r="T69" s="414">
        <f t="shared" si="31"/>
        <v>0.62482831374223813</v>
      </c>
      <c r="U69" s="414">
        <f t="shared" si="31"/>
        <v>0.62482831374223813</v>
      </c>
      <c r="V69" s="414">
        <f t="shared" si="31"/>
        <v>0.62482831374223813</v>
      </c>
      <c r="W69" s="414">
        <f t="shared" si="31"/>
        <v>0.62482831374223813</v>
      </c>
      <c r="X69" s="414">
        <f t="shared" si="31"/>
        <v>0.62482831374223813</v>
      </c>
      <c r="Y69" s="414">
        <f t="shared" si="31"/>
        <v>0.62482831374223813</v>
      </c>
      <c r="Z69" s="414">
        <f t="shared" si="31"/>
        <v>0.62482831374223813</v>
      </c>
      <c r="AA69" s="414">
        <f t="shared" si="31"/>
        <v>0.62482831374223813</v>
      </c>
      <c r="AB69" s="414">
        <f t="shared" si="31"/>
        <v>0.62482831374223813</v>
      </c>
      <c r="AC69" s="414">
        <f t="shared" si="31"/>
        <v>0.62482831374223813</v>
      </c>
      <c r="AD69" s="414">
        <f t="shared" si="31"/>
        <v>0.62482831374223813</v>
      </c>
      <c r="AE69" s="414">
        <f t="shared" si="31"/>
        <v>0.62482831374223813</v>
      </c>
      <c r="AF69" s="414">
        <f t="shared" si="31"/>
        <v>0.62482831374223813</v>
      </c>
      <c r="AG69" s="414">
        <f t="shared" si="31"/>
        <v>0.62482831374223813</v>
      </c>
      <c r="AH69" s="414">
        <f t="shared" si="31"/>
        <v>0.62482831374223813</v>
      </c>
      <c r="AI69" s="414">
        <f t="shared" si="31"/>
        <v>0.62482831374223813</v>
      </c>
      <c r="AJ69" s="414">
        <f t="shared" si="31"/>
        <v>0.62482831374223813</v>
      </c>
      <c r="AK69" s="414">
        <f t="shared" si="31"/>
        <v>0.62482831374223813</v>
      </c>
      <c r="AL69" s="414">
        <f t="shared" si="31"/>
        <v>0.62482831374223813</v>
      </c>
    </row>
    <row r="70" spans="1:38">
      <c r="B70" s="358" t="s">
        <v>683</v>
      </c>
      <c r="C70" s="419" t="s">
        <v>684</v>
      </c>
      <c r="D70" s="414">
        <f t="shared" ref="D70:AL70" si="32">EXP(0.1176*$D$11)</f>
        <v>1.2651617757865004</v>
      </c>
      <c r="E70" s="415">
        <f t="shared" si="32"/>
        <v>1.2651617757865004</v>
      </c>
      <c r="F70" s="415">
        <f t="shared" si="32"/>
        <v>1.2651617757865004</v>
      </c>
      <c r="G70" s="415">
        <f t="shared" si="32"/>
        <v>1.2651617757865004</v>
      </c>
      <c r="H70" s="1235">
        <f t="shared" si="32"/>
        <v>1.2651617757865004</v>
      </c>
      <c r="I70" s="415">
        <f t="shared" si="32"/>
        <v>1.2651617757865004</v>
      </c>
      <c r="J70" s="415">
        <f t="shared" si="32"/>
        <v>1.2651617757865004</v>
      </c>
      <c r="K70" s="415">
        <f t="shared" si="32"/>
        <v>1.2651617757865004</v>
      </c>
      <c r="L70" s="415">
        <f t="shared" si="32"/>
        <v>1.2651617757865004</v>
      </c>
      <c r="M70" s="415">
        <f t="shared" si="32"/>
        <v>1.2651617757865004</v>
      </c>
      <c r="N70" s="415">
        <f t="shared" si="32"/>
        <v>1.2651617757865004</v>
      </c>
      <c r="O70" s="415">
        <f t="shared" si="32"/>
        <v>1.2651617757865004</v>
      </c>
      <c r="P70" s="415">
        <f t="shared" si="32"/>
        <v>1.2651617757865004</v>
      </c>
      <c r="Q70" s="415">
        <f t="shared" si="32"/>
        <v>1.2651617757865004</v>
      </c>
      <c r="R70" s="415">
        <f t="shared" si="32"/>
        <v>1.2651617757865004</v>
      </c>
      <c r="S70" s="415">
        <f t="shared" si="32"/>
        <v>1.2651617757865004</v>
      </c>
      <c r="T70" s="415">
        <f t="shared" si="32"/>
        <v>1.2651617757865004</v>
      </c>
      <c r="U70" s="415">
        <f t="shared" si="32"/>
        <v>1.2651617757865004</v>
      </c>
      <c r="V70" s="415">
        <f t="shared" si="32"/>
        <v>1.2651617757865004</v>
      </c>
      <c r="W70" s="415">
        <f t="shared" si="32"/>
        <v>1.2651617757865004</v>
      </c>
      <c r="X70" s="415">
        <f t="shared" si="32"/>
        <v>1.2651617757865004</v>
      </c>
      <c r="Y70" s="415">
        <f t="shared" si="32"/>
        <v>1.2651617757865004</v>
      </c>
      <c r="Z70" s="415">
        <f t="shared" si="32"/>
        <v>1.2651617757865004</v>
      </c>
      <c r="AA70" s="415">
        <f t="shared" si="32"/>
        <v>1.2651617757865004</v>
      </c>
      <c r="AB70" s="415">
        <f t="shared" si="32"/>
        <v>1.2651617757865004</v>
      </c>
      <c r="AC70" s="415">
        <f t="shared" si="32"/>
        <v>1.2651617757865004</v>
      </c>
      <c r="AD70" s="415">
        <f t="shared" si="32"/>
        <v>1.2651617757865004</v>
      </c>
      <c r="AE70" s="415">
        <f t="shared" si="32"/>
        <v>1.2651617757865004</v>
      </c>
      <c r="AF70" s="415">
        <f t="shared" si="32"/>
        <v>1.2651617757865004</v>
      </c>
      <c r="AG70" s="415">
        <f t="shared" si="32"/>
        <v>1.2651617757865004</v>
      </c>
      <c r="AH70" s="415">
        <f t="shared" si="32"/>
        <v>1.2651617757865004</v>
      </c>
      <c r="AI70" s="415">
        <f t="shared" si="32"/>
        <v>1.2651617757865004</v>
      </c>
      <c r="AJ70" s="415">
        <f t="shared" si="32"/>
        <v>1.2651617757865004</v>
      </c>
      <c r="AK70" s="415">
        <f t="shared" si="32"/>
        <v>1.2651617757865004</v>
      </c>
      <c r="AL70" s="415">
        <f t="shared" si="32"/>
        <v>1.2651617757865004</v>
      </c>
    </row>
    <row r="71" spans="1:38">
      <c r="B71" s="433" t="s">
        <v>675</v>
      </c>
      <c r="C71" s="434" t="s">
        <v>676</v>
      </c>
      <c r="D71" s="426">
        <f t="shared" ref="D71:AL71" si="33">EXP(0.1844*$E$5)</f>
        <v>1.2024967255996286</v>
      </c>
      <c r="E71" s="426">
        <f t="shared" si="33"/>
        <v>1.2024967255996286</v>
      </c>
      <c r="F71" s="426">
        <f t="shared" si="33"/>
        <v>1.2024967255996286</v>
      </c>
      <c r="G71" s="426">
        <f t="shared" si="33"/>
        <v>1.2024967255996286</v>
      </c>
      <c r="H71" s="1237">
        <f t="shared" si="33"/>
        <v>1.2024967255996286</v>
      </c>
      <c r="I71" s="426">
        <f t="shared" si="33"/>
        <v>1.2024967255996286</v>
      </c>
      <c r="J71" s="426">
        <f t="shared" si="33"/>
        <v>1.2024967255996286</v>
      </c>
      <c r="K71" s="426">
        <f t="shared" si="33"/>
        <v>1.2024967255996286</v>
      </c>
      <c r="L71" s="426">
        <f t="shared" si="33"/>
        <v>1.2024967255996286</v>
      </c>
      <c r="M71" s="426">
        <f t="shared" si="33"/>
        <v>1.2024967255996286</v>
      </c>
      <c r="N71" s="426">
        <f t="shared" si="33"/>
        <v>1.2024967255996286</v>
      </c>
      <c r="O71" s="426">
        <f t="shared" si="33"/>
        <v>1.2024967255996286</v>
      </c>
      <c r="P71" s="426">
        <f t="shared" si="33"/>
        <v>1.2024967255996286</v>
      </c>
      <c r="Q71" s="426">
        <f t="shared" si="33"/>
        <v>1.2024967255996286</v>
      </c>
      <c r="R71" s="426">
        <f t="shared" si="33"/>
        <v>1.2024967255996286</v>
      </c>
      <c r="S71" s="426">
        <f t="shared" si="33"/>
        <v>1.2024967255996286</v>
      </c>
      <c r="T71" s="426">
        <f t="shared" si="33"/>
        <v>1.2024967255996286</v>
      </c>
      <c r="U71" s="426">
        <f t="shared" si="33"/>
        <v>1.2024967255996286</v>
      </c>
      <c r="V71" s="426">
        <f t="shared" si="33"/>
        <v>1.2024967255996286</v>
      </c>
      <c r="W71" s="426">
        <f t="shared" si="33"/>
        <v>1.2024967255996286</v>
      </c>
      <c r="X71" s="426">
        <f t="shared" si="33"/>
        <v>1.2024967255996286</v>
      </c>
      <c r="Y71" s="426">
        <f t="shared" si="33"/>
        <v>1.2024967255996286</v>
      </c>
      <c r="Z71" s="426">
        <f t="shared" si="33"/>
        <v>1.2024967255996286</v>
      </c>
      <c r="AA71" s="426">
        <f t="shared" si="33"/>
        <v>1.2024967255996286</v>
      </c>
      <c r="AB71" s="426">
        <f t="shared" si="33"/>
        <v>1.2024967255996286</v>
      </c>
      <c r="AC71" s="426">
        <f t="shared" si="33"/>
        <v>1.2024967255996286</v>
      </c>
      <c r="AD71" s="426">
        <f t="shared" si="33"/>
        <v>1.2024967255996286</v>
      </c>
      <c r="AE71" s="426">
        <f t="shared" si="33"/>
        <v>1.2024967255996286</v>
      </c>
      <c r="AF71" s="426">
        <f t="shared" si="33"/>
        <v>1.2024967255996286</v>
      </c>
      <c r="AG71" s="426">
        <f t="shared" si="33"/>
        <v>1.2024967255996286</v>
      </c>
      <c r="AH71" s="426">
        <f t="shared" si="33"/>
        <v>1.2024967255996286</v>
      </c>
      <c r="AI71" s="426">
        <f t="shared" si="33"/>
        <v>1.2024967255996286</v>
      </c>
      <c r="AJ71" s="426">
        <f t="shared" si="33"/>
        <v>1.2024967255996286</v>
      </c>
      <c r="AK71" s="426">
        <f t="shared" si="33"/>
        <v>1.2024967255996286</v>
      </c>
      <c r="AL71" s="426">
        <f t="shared" si="33"/>
        <v>1.2024967255996286</v>
      </c>
    </row>
    <row r="72" spans="1:38">
      <c r="B72" s="362"/>
      <c r="C72" s="427" t="s">
        <v>290</v>
      </c>
      <c r="H72" s="1228"/>
    </row>
    <row r="73" spans="1:38">
      <c r="B73" s="362" t="s">
        <v>685</v>
      </c>
      <c r="C73" s="438">
        <v>4.28</v>
      </c>
      <c r="D73" s="435">
        <f t="shared" ref="D73:AL73" si="34">D$68/(1+$C$73*PRODUCT(D$69:D$71))</f>
        <v>0.19482608338869781</v>
      </c>
      <c r="E73" s="435">
        <f t="shared" si="34"/>
        <v>0.19482381557050787</v>
      </c>
      <c r="F73" s="435">
        <f t="shared" si="34"/>
        <v>0.19482154233351287</v>
      </c>
      <c r="G73" s="435">
        <f t="shared" si="34"/>
        <v>0.19481926369224495</v>
      </c>
      <c r="H73" s="435">
        <f t="shared" si="34"/>
        <v>0.19481697966119302</v>
      </c>
      <c r="I73" s="435">
        <f t="shared" si="34"/>
        <v>0.19481469025480136</v>
      </c>
      <c r="J73" s="435">
        <f t="shared" si="34"/>
        <v>0.19481239548746851</v>
      </c>
      <c r="K73" s="435">
        <f t="shared" si="34"/>
        <v>0.1948100953735461</v>
      </c>
      <c r="L73" s="435">
        <f t="shared" si="34"/>
        <v>0.19480778992733747</v>
      </c>
      <c r="M73" s="435">
        <f t="shared" si="34"/>
        <v>0.19480547916309685</v>
      </c>
      <c r="N73" s="435">
        <f t="shared" si="34"/>
        <v>0.19480316309502804</v>
      </c>
      <c r="O73" s="435">
        <f t="shared" si="34"/>
        <v>0.19480084173728338</v>
      </c>
      <c r="P73" s="435">
        <f t="shared" si="34"/>
        <v>0.19479851510396259</v>
      </c>
      <c r="Q73" s="435">
        <f t="shared" si="34"/>
        <v>0.19479618320911199</v>
      </c>
      <c r="R73" s="435">
        <f t="shared" si="34"/>
        <v>0.19479384606672315</v>
      </c>
      <c r="S73" s="435">
        <f t="shared" si="34"/>
        <v>0.19479150369073214</v>
      </c>
      <c r="T73" s="435">
        <f t="shared" si="34"/>
        <v>0.19478915609501846</v>
      </c>
      <c r="U73" s="435">
        <f t="shared" si="34"/>
        <v>0.19478680329340406</v>
      </c>
      <c r="V73" s="435">
        <f t="shared" si="34"/>
        <v>0.19478444529965253</v>
      </c>
      <c r="W73" s="435">
        <f t="shared" si="34"/>
        <v>0.19478208212746811</v>
      </c>
      <c r="X73" s="435">
        <f t="shared" si="34"/>
        <v>0.19477971379049486</v>
      </c>
      <c r="Y73" s="435">
        <f t="shared" si="34"/>
        <v>0.19477734030231575</v>
      </c>
      <c r="Z73" s="435">
        <f t="shared" si="34"/>
        <v>0.19477496167645186</v>
      </c>
      <c r="AA73" s="435">
        <f t="shared" si="34"/>
        <v>0.1947725779263616</v>
      </c>
      <c r="AB73" s="435">
        <f t="shared" si="34"/>
        <v>0.19477018906543986</v>
      </c>
      <c r="AC73" s="435">
        <f t="shared" si="34"/>
        <v>0.19476779510701728</v>
      </c>
      <c r="AD73" s="435">
        <f t="shared" si="34"/>
        <v>0.1947653960643595</v>
      </c>
      <c r="AE73" s="435">
        <f t="shared" si="34"/>
        <v>0.19476299195066643</v>
      </c>
      <c r="AF73" s="435">
        <f t="shared" si="34"/>
        <v>0.19476058277907152</v>
      </c>
      <c r="AG73" s="435">
        <f t="shared" si="34"/>
        <v>0.19475816856264114</v>
      </c>
      <c r="AH73" s="435">
        <f t="shared" si="34"/>
        <v>0.19475574931437389</v>
      </c>
      <c r="AI73" s="435">
        <f t="shared" si="34"/>
        <v>0.19475332504719989</v>
      </c>
      <c r="AJ73" s="435">
        <f t="shared" si="34"/>
        <v>0.19475089577398028</v>
      </c>
      <c r="AK73" s="435">
        <f t="shared" si="34"/>
        <v>0.19474846150750655</v>
      </c>
      <c r="AL73" s="435">
        <f t="shared" si="34"/>
        <v>0.19474602226049986</v>
      </c>
    </row>
    <row r="74" spans="1:38">
      <c r="H74" s="1228"/>
    </row>
    <row r="75" spans="1:38" ht="13">
      <c r="A75" s="452"/>
      <c r="B75" s="495" t="s">
        <v>625</v>
      </c>
      <c r="C75" s="453"/>
      <c r="D75" s="454"/>
      <c r="E75" s="379"/>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row>
    <row r="76" spans="1:38" ht="13">
      <c r="C76" s="399"/>
      <c r="D76" s="440">
        <f>D$1</f>
        <v>2021</v>
      </c>
      <c r="E76" s="440">
        <f t="shared" ref="E76:AL76" si="35">E$1</f>
        <v>2022</v>
      </c>
      <c r="F76" s="440">
        <f t="shared" si="35"/>
        <v>2023</v>
      </c>
      <c r="G76" s="440">
        <f t="shared" si="35"/>
        <v>2024</v>
      </c>
      <c r="H76" s="440">
        <f t="shared" si="35"/>
        <v>2025</v>
      </c>
      <c r="I76" s="440">
        <f t="shared" si="35"/>
        <v>2026</v>
      </c>
      <c r="J76" s="440">
        <f t="shared" si="35"/>
        <v>2027</v>
      </c>
      <c r="K76" s="440">
        <f t="shared" si="35"/>
        <v>2028</v>
      </c>
      <c r="L76" s="440">
        <f t="shared" si="35"/>
        <v>2029</v>
      </c>
      <c r="M76" s="440">
        <f t="shared" si="35"/>
        <v>2030</v>
      </c>
      <c r="N76" s="440">
        <f t="shared" si="35"/>
        <v>2031</v>
      </c>
      <c r="O76" s="440">
        <f t="shared" si="35"/>
        <v>2032</v>
      </c>
      <c r="P76" s="440">
        <f t="shared" si="35"/>
        <v>2033</v>
      </c>
      <c r="Q76" s="440">
        <f t="shared" si="35"/>
        <v>2034</v>
      </c>
      <c r="R76" s="440">
        <f t="shared" si="35"/>
        <v>2035</v>
      </c>
      <c r="S76" s="440">
        <f t="shared" si="35"/>
        <v>2036</v>
      </c>
      <c r="T76" s="440">
        <f t="shared" si="35"/>
        <v>2037</v>
      </c>
      <c r="U76" s="440">
        <f t="shared" si="35"/>
        <v>2038</v>
      </c>
      <c r="V76" s="440">
        <f t="shared" si="35"/>
        <v>2039</v>
      </c>
      <c r="W76" s="440">
        <f t="shared" si="35"/>
        <v>2040</v>
      </c>
      <c r="X76" s="440">
        <f t="shared" si="35"/>
        <v>2041</v>
      </c>
      <c r="Y76" s="440">
        <f t="shared" si="35"/>
        <v>2042</v>
      </c>
      <c r="Z76" s="440">
        <f t="shared" si="35"/>
        <v>2043</v>
      </c>
      <c r="AA76" s="440">
        <f t="shared" si="35"/>
        <v>2044</v>
      </c>
      <c r="AB76" s="440">
        <f t="shared" si="35"/>
        <v>2045</v>
      </c>
      <c r="AC76" s="440">
        <f t="shared" si="35"/>
        <v>2046</v>
      </c>
      <c r="AD76" s="440">
        <f t="shared" si="35"/>
        <v>2047</v>
      </c>
      <c r="AE76" s="440">
        <f t="shared" si="35"/>
        <v>2048</v>
      </c>
      <c r="AF76" s="440">
        <f t="shared" si="35"/>
        <v>2049</v>
      </c>
      <c r="AG76" s="440">
        <f t="shared" si="35"/>
        <v>2050</v>
      </c>
      <c r="AH76" s="440">
        <f t="shared" si="35"/>
        <v>2051</v>
      </c>
      <c r="AI76" s="440">
        <f t="shared" si="35"/>
        <v>2052</v>
      </c>
      <c r="AJ76" s="440">
        <f t="shared" si="35"/>
        <v>2053</v>
      </c>
      <c r="AK76" s="440">
        <f t="shared" si="35"/>
        <v>2054</v>
      </c>
      <c r="AL76" s="440">
        <f t="shared" si="35"/>
        <v>2055</v>
      </c>
    </row>
    <row r="77" spans="1:38" ht="13">
      <c r="B77" s="400" t="s">
        <v>639</v>
      </c>
      <c r="C77" s="401" t="s">
        <v>640</v>
      </c>
      <c r="D77" s="441">
        <f>'900 South'!D6</f>
        <v>715.92209454276815</v>
      </c>
      <c r="E77" s="441">
        <f>'900 South'!E6</f>
        <v>737.03756308528375</v>
      </c>
      <c r="F77" s="441">
        <f>'900 South'!F6</f>
        <v>758.7758130940631</v>
      </c>
      <c r="G77" s="441">
        <f>'900 South'!G6</f>
        <v>781.15521293985501</v>
      </c>
      <c r="H77" s="441">
        <f>'900 South'!H6</f>
        <v>804.19467275173315</v>
      </c>
      <c r="I77" s="441">
        <f>'900 South'!I6</f>
        <v>827.91366039576292</v>
      </c>
      <c r="J77" s="441">
        <f>'900 South'!J6</f>
        <v>852.33221792494589</v>
      </c>
      <c r="K77" s="441">
        <f>'900 South'!K6</f>
        <v>877.47097851433796</v>
      </c>
      <c r="L77" s="441">
        <f>'900 South'!L6</f>
        <v>903.35118389565571</v>
      </c>
      <c r="M77" s="441">
        <f>'900 South'!M6</f>
        <v>929.99470230609836</v>
      </c>
      <c r="N77" s="441">
        <f>'900 South'!N6</f>
        <v>957.42404696655649</v>
      </c>
      <c r="O77" s="441">
        <f>'900 South'!O6</f>
        <v>985.66239510481569</v>
      </c>
      <c r="P77" s="441">
        <f>'900 South'!P6</f>
        <v>1014.7336075398345</v>
      </c>
      <c r="Q77" s="441">
        <f>'900 South'!Q6</f>
        <v>1044.6622488436417</v>
      </c>
      <c r="R77" s="441">
        <f>'900 South'!R6</f>
        <v>1075.4736080978903</v>
      </c>
      <c r="S77" s="441">
        <f>'900 South'!S6</f>
        <v>1107.1937202626091</v>
      </c>
      <c r="T77" s="441">
        <f>'900 South'!T6</f>
        <v>1139.8493881752013</v>
      </c>
      <c r="U77" s="441">
        <f>'900 South'!U6</f>
        <v>1173.4682051982891</v>
      </c>
      <c r="V77" s="441">
        <f>'900 South'!V6</f>
        <v>1208.0785785355329</v>
      </c>
      <c r="W77" s="441">
        <f>'900 South'!W6</f>
        <v>1243.709753235129</v>
      </c>
      <c r="X77" s="441">
        <f>'900 South'!X6</f>
        <v>1280.3918369012695</v>
      </c>
      <c r="Y77" s="441">
        <f>'900 South'!Y6</f>
        <v>1318.1558251344438</v>
      </c>
      <c r="Z77" s="441">
        <f>'900 South'!Z6</f>
        <v>1357.033627722079</v>
      </c>
      <c r="AA77" s="441">
        <f>'900 South'!AA6</f>
        <v>1397.0580956016493</v>
      </c>
      <c r="AB77" s="441">
        <f>'900 South'!AB6</f>
        <v>1438.2630486190353</v>
      </c>
      <c r="AC77" s="441">
        <f>'900 South'!AC6</f>
        <v>1480.6833041055959</v>
      </c>
      <c r="AD77" s="441">
        <f>'900 South'!AD6</f>
        <v>1524.3547062980897</v>
      </c>
      <c r="AE77" s="441">
        <f>'900 South'!AE6</f>
        <v>1569.3141566263132</v>
      </c>
      <c r="AF77" s="441">
        <f>'900 South'!AF6</f>
        <v>1615.5996448940423</v>
      </c>
      <c r="AG77" s="441">
        <f>'900 South'!AG6</f>
        <v>1663.2502813796323</v>
      </c>
      <c r="AH77" s="441">
        <f>'900 South'!AH6</f>
        <v>1712.3063298833902</v>
      </c>
      <c r="AI77" s="441">
        <f>'900 South'!AI6</f>
        <v>1762.8092417496523</v>
      </c>
      <c r="AJ77" s="441">
        <f>'900 South'!AJ6</f>
        <v>1814.8016908923112</v>
      </c>
      <c r="AK77" s="441">
        <f>'900 South'!AK6</f>
        <v>1868.3276098533881</v>
      </c>
      <c r="AL77" s="441">
        <f>'900 South'!AL6</f>
        <v>1923.4322269251215</v>
      </c>
    </row>
    <row r="78" spans="1:38" ht="13">
      <c r="B78" s="400" t="s">
        <v>641</v>
      </c>
      <c r="C78" s="401" t="s">
        <v>642</v>
      </c>
      <c r="D78" s="442">
        <f>'900 South'!D37</f>
        <v>6.0636386466438061</v>
      </c>
      <c r="E78" s="442">
        <f>'900 South'!E37</f>
        <v>6.1279522728453877</v>
      </c>
      <c r="F78" s="442">
        <f>'900 South'!F37</f>
        <v>6.1929480377356736</v>
      </c>
      <c r="G78" s="442">
        <f>'900 South'!G37</f>
        <v>6.2586331763784937</v>
      </c>
      <c r="H78" s="442">
        <f>'900 South'!H37</f>
        <v>8.4333533341012696</v>
      </c>
      <c r="I78" s="442">
        <f>'900 South'!I37</f>
        <v>8.5228011995764756</v>
      </c>
      <c r="J78" s="442">
        <f>'900 South'!J37</f>
        <v>8.6131977885690176</v>
      </c>
      <c r="K78" s="442">
        <f>'900 South'!K37</f>
        <v>8.7045531636590106</v>
      </c>
      <c r="L78" s="442">
        <f>'900 South'!L37</f>
        <v>8.7968774941547299</v>
      </c>
      <c r="M78" s="442">
        <f>'900 South'!M37</f>
        <v>8.8901810572246251</v>
      </c>
      <c r="N78" s="442">
        <f>'900 South'!N37</f>
        <v>8.9844742390413206</v>
      </c>
      <c r="O78" s="442">
        <f>'900 South'!O37</f>
        <v>9.0797675359377763</v>
      </c>
      <c r="P78" s="442">
        <f>'900 South'!P37</f>
        <v>9.1760715555756835</v>
      </c>
      <c r="Q78" s="442">
        <f>'900 South'!Q37</f>
        <v>9.2733970181262784</v>
      </c>
      <c r="R78" s="442">
        <f>'900 South'!R37</f>
        <v>9.3717547574636537</v>
      </c>
      <c r="S78" s="442">
        <f>'900 South'!S37</f>
        <v>9.4711557223707619</v>
      </c>
      <c r="T78" s="442">
        <f>'900 South'!T37</f>
        <v>9.5716109777581639</v>
      </c>
      <c r="U78" s="442">
        <f>'900 South'!U37</f>
        <v>9.6731317058957522</v>
      </c>
      <c r="V78" s="442">
        <f>'900 South'!V37</f>
        <v>9.775729207657502</v>
      </c>
      <c r="W78" s="442">
        <f>'900 South'!W37</f>
        <v>9.8794149037794448</v>
      </c>
      <c r="X78" s="442">
        <f>'900 South'!X37</f>
        <v>9.9842003361309732</v>
      </c>
      <c r="Y78" s="442">
        <f>'900 South'!Y37</f>
        <v>10.090097168999641</v>
      </c>
      <c r="Z78" s="442">
        <f>'900 South'!Z37</f>
        <v>10.19711719038958</v>
      </c>
      <c r="AA78" s="442">
        <f>'900 South'!AA37</f>
        <v>10.305272313333695</v>
      </c>
      <c r="AB78" s="442">
        <f>'900 South'!AB37</f>
        <v>10.414574577219767</v>
      </c>
      <c r="AC78" s="442">
        <f>'900 South'!AC37</f>
        <v>10.525036149130644</v>
      </c>
      <c r="AD78" s="442">
        <f>'900 South'!AD37</f>
        <v>10.636669325198612</v>
      </c>
      <c r="AE78" s="442">
        <f>'900 South'!AE37</f>
        <v>10.749486531974167</v>
      </c>
      <c r="AF78" s="442">
        <f>'900 South'!AF37</f>
        <v>10.863500327809277</v>
      </c>
      <c r="AG78" s="442">
        <f>'900 South'!AG37</f>
        <v>10.978723404255332</v>
      </c>
      <c r="AH78" s="442">
        <f>'900 South'!AH37</f>
        <v>11.095168587475913</v>
      </c>
      <c r="AI78" s="442">
        <f>'900 South'!AI37</f>
        <v>11.212848839674553</v>
      </c>
      <c r="AJ78" s="442">
        <f>'900 South'!AJ37</f>
        <v>11.331777260537629</v>
      </c>
      <c r="AK78" s="442">
        <f>'900 South'!AK37</f>
        <v>11.451967088692575</v>
      </c>
      <c r="AL78" s="442">
        <f>'900 South'!AL37</f>
        <v>11.573431703181543</v>
      </c>
    </row>
    <row r="79" spans="1:38" ht="13">
      <c r="B79" s="400" t="s">
        <v>643</v>
      </c>
      <c r="C79" s="401" t="s">
        <v>644</v>
      </c>
      <c r="D79" s="442">
        <f>'900 South'!D37</f>
        <v>6.0636386466438061</v>
      </c>
      <c r="E79" s="442">
        <f>'900 South'!E37</f>
        <v>6.1279522728453877</v>
      </c>
      <c r="F79" s="442">
        <f>'900 South'!F37</f>
        <v>6.1929480377356736</v>
      </c>
      <c r="G79" s="442">
        <f>'900 South'!G37</f>
        <v>6.2586331763784937</v>
      </c>
      <c r="H79" s="442">
        <f>'900 South'!H37</f>
        <v>8.4333533341012696</v>
      </c>
      <c r="I79" s="442">
        <f>'900 South'!I37</f>
        <v>8.5228011995764756</v>
      </c>
      <c r="J79" s="442">
        <f>'900 South'!J37</f>
        <v>8.6131977885690176</v>
      </c>
      <c r="K79" s="442">
        <f>'900 South'!K37</f>
        <v>8.7045531636590106</v>
      </c>
      <c r="L79" s="442">
        <f>'900 South'!L37</f>
        <v>8.7968774941547299</v>
      </c>
      <c r="M79" s="442">
        <f>'900 South'!M37</f>
        <v>8.8901810572246251</v>
      </c>
      <c r="N79" s="442">
        <f>'900 South'!N37</f>
        <v>8.9844742390413206</v>
      </c>
      <c r="O79" s="442">
        <f>'900 South'!O37</f>
        <v>9.0797675359377763</v>
      </c>
      <c r="P79" s="442">
        <f>'900 South'!P37</f>
        <v>9.1760715555756835</v>
      </c>
      <c r="Q79" s="442">
        <f>'900 South'!Q37</f>
        <v>9.2733970181262784</v>
      </c>
      <c r="R79" s="442">
        <f>'900 South'!R37</f>
        <v>9.3717547574636537</v>
      </c>
      <c r="S79" s="442">
        <f>'900 South'!S37</f>
        <v>9.4711557223707619</v>
      </c>
      <c r="T79" s="442">
        <f>'900 South'!T37</f>
        <v>9.5716109777581639</v>
      </c>
      <c r="U79" s="442">
        <f>'900 South'!U37</f>
        <v>9.6731317058957522</v>
      </c>
      <c r="V79" s="442">
        <f>'900 South'!V37</f>
        <v>9.775729207657502</v>
      </c>
      <c r="W79" s="442">
        <f>'900 South'!W37</f>
        <v>9.8794149037794448</v>
      </c>
      <c r="X79" s="442">
        <f>'900 South'!X37</f>
        <v>9.9842003361309732</v>
      </c>
      <c r="Y79" s="442">
        <f>'900 South'!Y37</f>
        <v>10.090097168999641</v>
      </c>
      <c r="Z79" s="442">
        <f>'900 South'!Z37</f>
        <v>10.19711719038958</v>
      </c>
      <c r="AA79" s="442">
        <f>'900 South'!AA37</f>
        <v>10.305272313333695</v>
      </c>
      <c r="AB79" s="442">
        <f>'900 South'!AB37</f>
        <v>10.414574577219767</v>
      </c>
      <c r="AC79" s="442">
        <f>'900 South'!AC37</f>
        <v>10.525036149130644</v>
      </c>
      <c r="AD79" s="442">
        <f>'900 South'!AD37</f>
        <v>10.636669325198612</v>
      </c>
      <c r="AE79" s="442">
        <f>'900 South'!AE37</f>
        <v>10.749486531974167</v>
      </c>
      <c r="AF79" s="442">
        <f>'900 South'!AF37</f>
        <v>10.863500327809277</v>
      </c>
      <c r="AG79" s="442">
        <f>'900 South'!AG37</f>
        <v>10.978723404255332</v>
      </c>
      <c r="AH79" s="442">
        <f>'900 South'!AH37</f>
        <v>11.095168587475913</v>
      </c>
      <c r="AI79" s="442">
        <f>'900 South'!AI37</f>
        <v>11.212848839674553</v>
      </c>
      <c r="AJ79" s="442">
        <f>'900 South'!AJ37</f>
        <v>11.331777260537629</v>
      </c>
      <c r="AK79" s="442">
        <f>'900 South'!AK37</f>
        <v>11.451967088692575</v>
      </c>
      <c r="AL79" s="442">
        <f>'900 South'!AL37</f>
        <v>11.573431703181543</v>
      </c>
    </row>
    <row r="80" spans="1:38" ht="13">
      <c r="B80" s="400" t="s">
        <v>645</v>
      </c>
      <c r="C80" s="401" t="s">
        <v>646</v>
      </c>
      <c r="D80" s="442">
        <f>'900 South'!D38</f>
        <v>2.021212882214602</v>
      </c>
      <c r="E80" s="442">
        <f>'900 South'!E38</f>
        <v>2.0426507576151294</v>
      </c>
      <c r="F80" s="442">
        <f>'900 South'!F38</f>
        <v>2.064316012578558</v>
      </c>
      <c r="G80" s="442">
        <f>'900 South'!G38</f>
        <v>2.0862110587928311</v>
      </c>
      <c r="H80" s="442">
        <f>'900 South'!H38</f>
        <v>3.1625075002879761</v>
      </c>
      <c r="I80" s="442">
        <f>'900 South'!I38</f>
        <v>3.1960504498411781</v>
      </c>
      <c r="J80" s="442">
        <f>'900 South'!J38</f>
        <v>3.2299491707133816</v>
      </c>
      <c r="K80" s="442">
        <f>'900 South'!K38</f>
        <v>3.264207436372129</v>
      </c>
      <c r="L80" s="442">
        <f>'900 South'!L38</f>
        <v>3.2988290603080239</v>
      </c>
      <c r="M80" s="442">
        <f>'900 South'!M38</f>
        <v>3.3338178964592347</v>
      </c>
      <c r="N80" s="442">
        <f>'900 South'!N38</f>
        <v>3.3691778396404954</v>
      </c>
      <c r="O80" s="442">
        <f>'900 South'!O38</f>
        <v>3.4049128259766661</v>
      </c>
      <c r="P80" s="442">
        <f>'900 South'!P38</f>
        <v>3.4410268333408816</v>
      </c>
      <c r="Q80" s="442">
        <f>'900 South'!Q38</f>
        <v>3.4775238817973544</v>
      </c>
      <c r="R80" s="442">
        <f>'900 South'!R38</f>
        <v>3.5144080340488699</v>
      </c>
      <c r="S80" s="442">
        <f>'900 South'!S38</f>
        <v>3.5516833958890359</v>
      </c>
      <c r="T80" s="442">
        <f>'900 South'!T38</f>
        <v>3.5893541166593117</v>
      </c>
      <c r="U80" s="442">
        <f>'900 South'!U38</f>
        <v>3.6274243897109071</v>
      </c>
      <c r="V80" s="442">
        <f>'900 South'!V38</f>
        <v>3.6658984528715632</v>
      </c>
      <c r="W80" s="442">
        <f>'900 South'!W38</f>
        <v>3.7047805889172918</v>
      </c>
      <c r="X80" s="442">
        <f>'900 South'!X38</f>
        <v>3.7440751260491147</v>
      </c>
      <c r="Y80" s="442">
        <f>'900 South'!Y38</f>
        <v>3.7837864383748654</v>
      </c>
      <c r="Z80" s="442">
        <f>'900 South'!Z38</f>
        <v>3.8239189463960925</v>
      </c>
      <c r="AA80" s="442">
        <f>'900 South'!AA38</f>
        <v>3.8644771175001358</v>
      </c>
      <c r="AB80" s="442">
        <f>'900 South'!AB38</f>
        <v>3.9054654664574127</v>
      </c>
      <c r="AC80" s="442">
        <f>'900 South'!AC38</f>
        <v>3.9468885559239917</v>
      </c>
      <c r="AD80" s="442">
        <f>'900 South'!AD38</f>
        <v>3.9887509969494799</v>
      </c>
      <c r="AE80" s="442">
        <f>'900 South'!AE38</f>
        <v>4.0310574494903122</v>
      </c>
      <c r="AF80" s="442">
        <f>'900 South'!AF38</f>
        <v>4.0738126229284788</v>
      </c>
      <c r="AG80" s="442">
        <f>'900 South'!AG38</f>
        <v>4.1170212765957492</v>
      </c>
      <c r="AH80" s="442">
        <f>'900 South'!AH38</f>
        <v>4.1606882203034674</v>
      </c>
      <c r="AI80" s="442">
        <f>'900 South'!AI38</f>
        <v>4.2048183148779579</v>
      </c>
      <c r="AJ80" s="442">
        <f>'900 South'!AJ38</f>
        <v>4.2494164727016113</v>
      </c>
      <c r="AK80" s="442">
        <f>'900 South'!AK38</f>
        <v>4.2944876582597153</v>
      </c>
      <c r="AL80" s="442">
        <f>'900 South'!AL38</f>
        <v>4.3400368886930787</v>
      </c>
    </row>
    <row r="81" spans="2:38" ht="13">
      <c r="B81" s="400" t="s">
        <v>1048</v>
      </c>
      <c r="C81" s="401" t="s">
        <v>647</v>
      </c>
      <c r="D81" s="442">
        <v>0</v>
      </c>
      <c r="E81" s="442">
        <v>0</v>
      </c>
      <c r="F81" s="442">
        <v>0</v>
      </c>
      <c r="G81" s="442">
        <v>0</v>
      </c>
      <c r="H81" s="442">
        <v>0</v>
      </c>
      <c r="I81" s="442">
        <v>0</v>
      </c>
      <c r="J81" s="442">
        <v>0</v>
      </c>
      <c r="K81" s="442">
        <v>0</v>
      </c>
      <c r="L81" s="442">
        <v>0</v>
      </c>
      <c r="M81" s="442">
        <v>0</v>
      </c>
      <c r="N81" s="442">
        <v>0</v>
      </c>
      <c r="O81" s="442">
        <v>0</v>
      </c>
      <c r="P81" s="442">
        <v>0</v>
      </c>
      <c r="Q81" s="442">
        <v>0</v>
      </c>
      <c r="R81" s="442">
        <v>0</v>
      </c>
      <c r="S81" s="442">
        <v>0</v>
      </c>
      <c r="T81" s="442">
        <v>0</v>
      </c>
      <c r="U81" s="442">
        <v>0</v>
      </c>
      <c r="V81" s="442">
        <v>0</v>
      </c>
      <c r="W81" s="442">
        <v>0</v>
      </c>
      <c r="X81" s="442">
        <v>0</v>
      </c>
      <c r="Y81" s="442">
        <v>0</v>
      </c>
      <c r="Z81" s="442">
        <v>0</v>
      </c>
      <c r="AA81" s="442">
        <v>0</v>
      </c>
      <c r="AB81" s="442">
        <v>0</v>
      </c>
      <c r="AC81" s="442">
        <v>0</v>
      </c>
      <c r="AD81" s="442">
        <v>0</v>
      </c>
      <c r="AE81" s="442">
        <v>0</v>
      </c>
      <c r="AF81" s="442">
        <v>0</v>
      </c>
      <c r="AG81" s="442">
        <v>0</v>
      </c>
      <c r="AH81" s="442">
        <v>0</v>
      </c>
      <c r="AI81" s="442">
        <v>0</v>
      </c>
      <c r="AJ81" s="442">
        <v>0</v>
      </c>
      <c r="AK81" s="442">
        <v>0</v>
      </c>
      <c r="AL81" s="442">
        <v>0</v>
      </c>
    </row>
    <row r="82" spans="2:38" ht="13">
      <c r="B82" s="400" t="s">
        <v>648</v>
      </c>
      <c r="C82" s="401" t="s">
        <v>649</v>
      </c>
      <c r="D82" s="441">
        <f>'Crossing Inputs'!$H34</f>
        <v>7.5</v>
      </c>
      <c r="E82" s="441">
        <f>'Crossing Inputs'!$H34</f>
        <v>7.5</v>
      </c>
      <c r="F82" s="441">
        <f>'Crossing Inputs'!$H34</f>
        <v>7.5</v>
      </c>
      <c r="G82" s="441">
        <f>'Crossing Inputs'!$H34</f>
        <v>7.5</v>
      </c>
      <c r="H82" s="1230">
        <f>'Crossing Inputs'!$H34</f>
        <v>7.5</v>
      </c>
      <c r="I82" s="441">
        <f>'Crossing Inputs'!$H34</f>
        <v>7.5</v>
      </c>
      <c r="J82" s="441">
        <f>'Crossing Inputs'!$H34</f>
        <v>7.5</v>
      </c>
      <c r="K82" s="441">
        <f>'Crossing Inputs'!$H34</f>
        <v>7.5</v>
      </c>
      <c r="L82" s="441">
        <f>'Crossing Inputs'!$H34</f>
        <v>7.5</v>
      </c>
      <c r="M82" s="441">
        <f>'Crossing Inputs'!$H34</f>
        <v>7.5</v>
      </c>
      <c r="N82" s="441">
        <f>'Crossing Inputs'!$H34</f>
        <v>7.5</v>
      </c>
      <c r="O82" s="441">
        <f>'Crossing Inputs'!$H34</f>
        <v>7.5</v>
      </c>
      <c r="P82" s="441">
        <f>'Crossing Inputs'!$H34</f>
        <v>7.5</v>
      </c>
      <c r="Q82" s="441">
        <f>'Crossing Inputs'!$H34</f>
        <v>7.5</v>
      </c>
      <c r="R82" s="441">
        <f>'Crossing Inputs'!$H34</f>
        <v>7.5</v>
      </c>
      <c r="S82" s="441">
        <f>'Crossing Inputs'!$H34</f>
        <v>7.5</v>
      </c>
      <c r="T82" s="441">
        <f>'Crossing Inputs'!$H34</f>
        <v>7.5</v>
      </c>
      <c r="U82" s="441">
        <f>'Crossing Inputs'!$H34</f>
        <v>7.5</v>
      </c>
      <c r="V82" s="441">
        <f>'Crossing Inputs'!$H34</f>
        <v>7.5</v>
      </c>
      <c r="W82" s="441">
        <f>'Crossing Inputs'!$H34</f>
        <v>7.5</v>
      </c>
      <c r="X82" s="441">
        <f>'Crossing Inputs'!$H34</f>
        <v>7.5</v>
      </c>
      <c r="Y82" s="441">
        <f>'Crossing Inputs'!$H34</f>
        <v>7.5</v>
      </c>
      <c r="Z82" s="441">
        <f>'Crossing Inputs'!$H34</f>
        <v>7.5</v>
      </c>
      <c r="AA82" s="441">
        <f>'Crossing Inputs'!$H34</f>
        <v>7.5</v>
      </c>
      <c r="AB82" s="441">
        <f>'Crossing Inputs'!$H34</f>
        <v>7.5</v>
      </c>
      <c r="AC82" s="441">
        <f>'Crossing Inputs'!$H34</f>
        <v>7.5</v>
      </c>
      <c r="AD82" s="441">
        <f>'Crossing Inputs'!$H34</f>
        <v>7.5</v>
      </c>
      <c r="AE82" s="441">
        <f>'Crossing Inputs'!$H34</f>
        <v>7.5</v>
      </c>
      <c r="AF82" s="441">
        <f>'Crossing Inputs'!$H34</f>
        <v>7.5</v>
      </c>
      <c r="AG82" s="441">
        <f>'Crossing Inputs'!$H34</f>
        <v>7.5</v>
      </c>
      <c r="AH82" s="441">
        <f>'Crossing Inputs'!$H34</f>
        <v>7.5</v>
      </c>
      <c r="AI82" s="441">
        <f>'Crossing Inputs'!$H34</f>
        <v>7.5</v>
      </c>
      <c r="AJ82" s="441">
        <f>'Crossing Inputs'!$H34</f>
        <v>7.5</v>
      </c>
      <c r="AK82" s="441">
        <f>'Crossing Inputs'!$H34</f>
        <v>7.5</v>
      </c>
      <c r="AL82" s="441">
        <f>'Crossing Inputs'!$H34</f>
        <v>7.5</v>
      </c>
    </row>
    <row r="83" spans="2:38" ht="13">
      <c r="B83" s="400"/>
      <c r="C83" s="403"/>
      <c r="D83" s="402"/>
      <c r="E83" s="402"/>
      <c r="F83" s="402"/>
      <c r="G83" s="402"/>
      <c r="H83" s="123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row>
    <row r="84" spans="2:38" ht="13">
      <c r="B84" s="400"/>
      <c r="C84" s="404"/>
      <c r="D84" s="440">
        <f>D$1</f>
        <v>2021</v>
      </c>
      <c r="E84" s="440">
        <f t="shared" ref="E84:AL84" si="36">E$1</f>
        <v>2022</v>
      </c>
      <c r="F84" s="440">
        <f t="shared" si="36"/>
        <v>2023</v>
      </c>
      <c r="G84" s="440">
        <f t="shared" si="36"/>
        <v>2024</v>
      </c>
      <c r="H84" s="440">
        <f t="shared" si="36"/>
        <v>2025</v>
      </c>
      <c r="I84" s="440">
        <f t="shared" si="36"/>
        <v>2026</v>
      </c>
      <c r="J84" s="440">
        <f t="shared" si="36"/>
        <v>2027</v>
      </c>
      <c r="K84" s="440">
        <f t="shared" si="36"/>
        <v>2028</v>
      </c>
      <c r="L84" s="440">
        <f t="shared" si="36"/>
        <v>2029</v>
      </c>
      <c r="M84" s="440">
        <f t="shared" si="36"/>
        <v>2030</v>
      </c>
      <c r="N84" s="440">
        <f t="shared" si="36"/>
        <v>2031</v>
      </c>
      <c r="O84" s="440">
        <f t="shared" si="36"/>
        <v>2032</v>
      </c>
      <c r="P84" s="440">
        <f t="shared" si="36"/>
        <v>2033</v>
      </c>
      <c r="Q84" s="440">
        <f t="shared" si="36"/>
        <v>2034</v>
      </c>
      <c r="R84" s="440">
        <f t="shared" si="36"/>
        <v>2035</v>
      </c>
      <c r="S84" s="440">
        <f t="shared" si="36"/>
        <v>2036</v>
      </c>
      <c r="T84" s="440">
        <f t="shared" si="36"/>
        <v>2037</v>
      </c>
      <c r="U84" s="440">
        <f t="shared" si="36"/>
        <v>2038</v>
      </c>
      <c r="V84" s="440">
        <f t="shared" si="36"/>
        <v>2039</v>
      </c>
      <c r="W84" s="440">
        <f t="shared" si="36"/>
        <v>2040</v>
      </c>
      <c r="X84" s="440">
        <f t="shared" si="36"/>
        <v>2041</v>
      </c>
      <c r="Y84" s="440">
        <f t="shared" si="36"/>
        <v>2042</v>
      </c>
      <c r="Z84" s="440">
        <f t="shared" si="36"/>
        <v>2043</v>
      </c>
      <c r="AA84" s="440">
        <f t="shared" si="36"/>
        <v>2044</v>
      </c>
      <c r="AB84" s="440">
        <f t="shared" si="36"/>
        <v>2045</v>
      </c>
      <c r="AC84" s="440">
        <f t="shared" si="36"/>
        <v>2046</v>
      </c>
      <c r="AD84" s="440">
        <f t="shared" si="36"/>
        <v>2047</v>
      </c>
      <c r="AE84" s="440">
        <f t="shared" si="36"/>
        <v>2048</v>
      </c>
      <c r="AF84" s="440">
        <f t="shared" si="36"/>
        <v>2049</v>
      </c>
      <c r="AG84" s="440">
        <f t="shared" si="36"/>
        <v>2050</v>
      </c>
      <c r="AH84" s="440">
        <f t="shared" si="36"/>
        <v>2051</v>
      </c>
      <c r="AI84" s="440">
        <f t="shared" si="36"/>
        <v>2052</v>
      </c>
      <c r="AJ84" s="440">
        <f t="shared" si="36"/>
        <v>2053</v>
      </c>
      <c r="AK84" s="440">
        <f t="shared" si="36"/>
        <v>2054</v>
      </c>
      <c r="AL84" s="440">
        <f t="shared" si="36"/>
        <v>2055</v>
      </c>
    </row>
    <row r="85" spans="2:38" ht="13">
      <c r="B85" s="400" t="s">
        <v>354</v>
      </c>
      <c r="C85" s="404"/>
      <c r="D85" s="405">
        <f t="shared" ref="D85:AL85" si="37">D$118</f>
        <v>6.9186796763040875E-2</v>
      </c>
      <c r="E85" s="405">
        <f t="shared" si="37"/>
        <v>7.0196704766385717E-2</v>
      </c>
      <c r="F85" s="405">
        <f t="shared" si="37"/>
        <v>7.122144191158547E-2</v>
      </c>
      <c r="G85" s="405">
        <f t="shared" si="37"/>
        <v>7.2261226398048592E-2</v>
      </c>
      <c r="H85" s="1240">
        <f t="shared" si="37"/>
        <v>8.4855300143018605E-2</v>
      </c>
      <c r="I85" s="405">
        <f t="shared" si="37"/>
        <v>8.6097629384752503E-2</v>
      </c>
      <c r="J85" s="405">
        <f t="shared" si="37"/>
        <v>8.7358220324800728E-2</v>
      </c>
      <c r="K85" s="405">
        <f t="shared" si="37"/>
        <v>8.8637341742808545E-2</v>
      </c>
      <c r="L85" s="405">
        <f t="shared" si="37"/>
        <v>8.9935266376334283E-2</v>
      </c>
      <c r="M85" s="405">
        <f t="shared" si="37"/>
        <v>9.1252270979116756E-2</v>
      </c>
      <c r="N85" s="405">
        <f t="shared" si="37"/>
        <v>9.2588636380201192E-2</v>
      </c>
      <c r="O85" s="405">
        <f t="shared" si="37"/>
        <v>9.3944647543935611E-2</v>
      </c>
      <c r="P85" s="405">
        <f t="shared" si="37"/>
        <v>9.5320593630851422E-2</v>
      </c>
      <c r="Q85" s="405">
        <f t="shared" si="37"/>
        <v>9.6716768059440808E-2</v>
      </c>
      <c r="R85" s="405">
        <f t="shared" si="37"/>
        <v>9.8133468568843668E-2</v>
      </c>
      <c r="S85" s="405">
        <f t="shared" si="37"/>
        <v>9.9570997282458898E-2</v>
      </c>
      <c r="T85" s="405">
        <f t="shared" si="37"/>
        <v>0.10102966077249109</v>
      </c>
      <c r="U85" s="405">
        <f t="shared" si="37"/>
        <v>0.1025097701254496</v>
      </c>
      <c r="V85" s="405">
        <f t="shared" si="37"/>
        <v>0.1040116410086116</v>
      </c>
      <c r="W85" s="405">
        <f t="shared" si="37"/>
        <v>0.10553559373746402</v>
      </c>
      <c r="X85" s="405">
        <f t="shared" si="37"/>
        <v>0.10708195334413921</v>
      </c>
      <c r="Y85" s="405">
        <f t="shared" si="37"/>
        <v>0.10865104964685822</v>
      </c>
      <c r="Z85" s="405">
        <f t="shared" si="37"/>
        <v>0.11024321732039734</v>
      </c>
      <c r="AA85" s="405">
        <f t="shared" si="37"/>
        <v>0.11185879596759225</v>
      </c>
      <c r="AB85" s="405">
        <f t="shared" si="37"/>
        <v>0.11349813019189516</v>
      </c>
      <c r="AC85" s="405">
        <f t="shared" si="37"/>
        <v>0.11516156967100113</v>
      </c>
      <c r="AD85" s="405">
        <f t="shared" si="37"/>
        <v>0.11684946923155848</v>
      </c>
      <c r="AE85" s="405">
        <f t="shared" si="37"/>
        <v>0.1185621889249792</v>
      </c>
      <c r="AF85" s="405">
        <f t="shared" si="37"/>
        <v>0.12030009410436678</v>
      </c>
      <c r="AG85" s="405">
        <f t="shared" si="37"/>
        <v>0.12206355550257636</v>
      </c>
      <c r="AH85" s="405">
        <f t="shared" si="37"/>
        <v>0.12385294931142465</v>
      </c>
      <c r="AI85" s="405">
        <f t="shared" si="37"/>
        <v>0.12566865726206683</v>
      </c>
      <c r="AJ85" s="405">
        <f t="shared" si="37"/>
        <v>0.1275110667065566</v>
      </c>
      <c r="AK85" s="405">
        <f t="shared" si="37"/>
        <v>0.12938057070060788</v>
      </c>
      <c r="AL85" s="405">
        <f t="shared" si="37"/>
        <v>0.13127756808757557</v>
      </c>
    </row>
    <row r="86" spans="2:38" ht="13">
      <c r="B86" s="400" t="s">
        <v>650</v>
      </c>
      <c r="C86" s="404"/>
      <c r="D86" s="405">
        <f t="shared" ref="D86:AL86" si="38">D$85*D$126</f>
        <v>8.6648074219868097E-4</v>
      </c>
      <c r="E86" s="405">
        <f t="shared" si="38"/>
        <v>8.7993548718817715E-4</v>
      </c>
      <c r="F86" s="405">
        <f t="shared" si="38"/>
        <v>8.9360146286903807E-4</v>
      </c>
      <c r="G86" s="405">
        <f t="shared" si="38"/>
        <v>9.0748200115774733E-4</v>
      </c>
      <c r="H86" s="1240">
        <f t="shared" si="38"/>
        <v>1.0666251640599215E-3</v>
      </c>
      <c r="I86" s="405">
        <f t="shared" si="38"/>
        <v>1.0832402201193341E-3</v>
      </c>
      <c r="J86" s="405">
        <f t="shared" si="38"/>
        <v>1.1001164535745795E-3</v>
      </c>
      <c r="K86" s="405">
        <f t="shared" si="38"/>
        <v>1.1172579858631244E-3</v>
      </c>
      <c r="L86" s="405">
        <f t="shared" si="38"/>
        <v>1.1346690035421638E-3</v>
      </c>
      <c r="M86" s="405">
        <f t="shared" si="38"/>
        <v>1.1523537593175095E-3</v>
      </c>
      <c r="N86" s="405">
        <f t="shared" si="38"/>
        <v>1.1703165730887414E-3</v>
      </c>
      <c r="O86" s="405">
        <f t="shared" si="38"/>
        <v>1.1885618330108748E-3</v>
      </c>
      <c r="P86" s="405">
        <f t="shared" si="38"/>
        <v>1.2070939965728119E-3</v>
      </c>
      <c r="Q86" s="405">
        <f t="shared" si="38"/>
        <v>1.2259175916928466E-3</v>
      </c>
      <c r="R86" s="405">
        <f t="shared" si="38"/>
        <v>1.2450372178314706E-3</v>
      </c>
      <c r="S86" s="405">
        <f t="shared" si="38"/>
        <v>1.26445754712179E-3</v>
      </c>
      <c r="T86" s="405">
        <f t="shared" si="38"/>
        <v>1.2841833255177854E-3</v>
      </c>
      <c r="U86" s="405">
        <f t="shared" si="38"/>
        <v>1.3042193739607418E-3</v>
      </c>
      <c r="V86" s="405">
        <f t="shared" si="38"/>
        <v>1.3245705895641086E-3</v>
      </c>
      <c r="W86" s="405">
        <f t="shared" si="38"/>
        <v>1.3452419468170831E-3</v>
      </c>
      <c r="X86" s="405">
        <f t="shared" si="38"/>
        <v>1.3662384988072265E-3</v>
      </c>
      <c r="Y86" s="405">
        <f t="shared" si="38"/>
        <v>1.387565378462393E-3</v>
      </c>
      <c r="Z86" s="405">
        <f t="shared" si="38"/>
        <v>1.4092277998123044E-3</v>
      </c>
      <c r="AA86" s="405">
        <f t="shared" si="38"/>
        <v>1.4312310592700485E-3</v>
      </c>
      <c r="AB86" s="405">
        <f t="shared" si="38"/>
        <v>1.453580536933843E-3</v>
      </c>
      <c r="AC86" s="405">
        <f t="shared" si="38"/>
        <v>1.4762816979093701E-3</v>
      </c>
      <c r="AD86" s="405">
        <f t="shared" si="38"/>
        <v>1.4993400936530157E-3</v>
      </c>
      <c r="AE86" s="405">
        <f t="shared" si="38"/>
        <v>1.5227613633363281E-3</v>
      </c>
      <c r="AF86" s="405">
        <f t="shared" si="38"/>
        <v>1.5465512352320595E-3</v>
      </c>
      <c r="AG86" s="405">
        <f t="shared" si="38"/>
        <v>1.5707155281220982E-3</v>
      </c>
      <c r="AH86" s="405">
        <f t="shared" si="38"/>
        <v>1.5952601527276617E-3</v>
      </c>
      <c r="AI86" s="405">
        <f t="shared" si="38"/>
        <v>1.6201911131620943E-3</v>
      </c>
      <c r="AJ86" s="405">
        <f t="shared" si="38"/>
        <v>1.6455145084066207E-3</v>
      </c>
      <c r="AK86" s="405">
        <f t="shared" si="38"/>
        <v>1.6712365338094287E-3</v>
      </c>
      <c r="AL86" s="405">
        <f t="shared" si="38"/>
        <v>1.697363482608446E-3</v>
      </c>
    </row>
    <row r="87" spans="2:38" ht="13">
      <c r="B87" s="400" t="s">
        <v>651</v>
      </c>
      <c r="C87" s="404"/>
      <c r="D87" s="405">
        <f t="shared" ref="D87:AL87" si="39">D$85*D$135</f>
        <v>1.3479392635553089E-2</v>
      </c>
      <c r="E87" s="405">
        <f t="shared" si="39"/>
        <v>1.3675989863063722E-2</v>
      </c>
      <c r="F87" s="405">
        <f t="shared" si="39"/>
        <v>1.3875471160431776E-2</v>
      </c>
      <c r="G87" s="405">
        <f t="shared" si="39"/>
        <v>1.407787892036644E-2</v>
      </c>
      <c r="H87" s="1240">
        <f t="shared" si="39"/>
        <v>1.6531253282106886E-2</v>
      </c>
      <c r="I87" s="405">
        <f t="shared" si="39"/>
        <v>1.6773083000263242E-2</v>
      </c>
      <c r="J87" s="405">
        <f t="shared" si="39"/>
        <v>1.701846416699649E-2</v>
      </c>
      <c r="K87" s="405">
        <f t="shared" si="39"/>
        <v>1.7267448998574131E-2</v>
      </c>
      <c r="L87" s="405">
        <f t="shared" si="39"/>
        <v>1.7520090479300067E-2</v>
      </c>
      <c r="M87" s="405">
        <f t="shared" si="39"/>
        <v>1.7776442372807597E-2</v>
      </c>
      <c r="N87" s="405">
        <f t="shared" si="39"/>
        <v>1.803655923351858E-2</v>
      </c>
      <c r="O87" s="405">
        <f t="shared" si="39"/>
        <v>1.830049641827107E-2</v>
      </c>
      <c r="P87" s="405">
        <f t="shared" si="39"/>
        <v>1.8568310098118091E-2</v>
      </c>
      <c r="Q87" s="405">
        <f t="shared" si="39"/>
        <v>1.8840057270300022E-2</v>
      </c>
      <c r="R87" s="405">
        <f t="shared" si="39"/>
        <v>1.9115795770392949E-2</v>
      </c>
      <c r="S87" s="405">
        <f t="shared" si="39"/>
        <v>1.9395584284635971E-2</v>
      </c>
      <c r="T87" s="405">
        <f t="shared" si="39"/>
        <v>1.9679482362439531E-2</v>
      </c>
      <c r="U87" s="405">
        <f t="shared" si="39"/>
        <v>1.9967550429078017E-2</v>
      </c>
      <c r="V87" s="405">
        <f t="shared" si="39"/>
        <v>2.0259849798569003E-2</v>
      </c>
      <c r="W87" s="405">
        <f t="shared" si="39"/>
        <v>2.0556442686741824E-2</v>
      </c>
      <c r="X87" s="405">
        <f t="shared" si="39"/>
        <v>2.0857392224498558E-2</v>
      </c>
      <c r="Y87" s="405">
        <f t="shared" si="39"/>
        <v>2.1162762471269907E-2</v>
      </c>
      <c r="Z87" s="405">
        <f t="shared" si="39"/>
        <v>2.1472618428669144E-2</v>
      </c>
      <c r="AA87" s="405">
        <f t="shared" si="39"/>
        <v>2.1787026054346844E-2</v>
      </c>
      <c r="AB87" s="405">
        <f t="shared" si="39"/>
        <v>2.2106052276049327E-2</v>
      </c>
      <c r="AC87" s="405">
        <f t="shared" si="39"/>
        <v>2.2429765005884044E-2</v>
      </c>
      <c r="AD87" s="405">
        <f t="shared" si="39"/>
        <v>2.2758233154794676E-2</v>
      </c>
      <c r="AE87" s="405">
        <f t="shared" si="39"/>
        <v>2.3091526647249117E-2</v>
      </c>
      <c r="AF87" s="405">
        <f t="shared" si="39"/>
        <v>2.3429716436143617E-2</v>
      </c>
      <c r="AG87" s="405">
        <f t="shared" si="39"/>
        <v>2.3772874517926069E-2</v>
      </c>
      <c r="AH87" s="405">
        <f t="shared" si="39"/>
        <v>2.4121073947941676E-2</v>
      </c>
      <c r="AI87" s="405">
        <f t="shared" si="39"/>
        <v>2.4474388856004458E-2</v>
      </c>
      <c r="AJ87" s="405">
        <f t="shared" si="39"/>
        <v>2.4832894462197649E-2</v>
      </c>
      <c r="AK87" s="405">
        <f t="shared" si="39"/>
        <v>2.5196667092906563E-2</v>
      </c>
      <c r="AL87" s="405">
        <f t="shared" si="39"/>
        <v>2.5565784197087278E-2</v>
      </c>
    </row>
    <row r="88" spans="2:38">
      <c r="H88" s="1228"/>
    </row>
    <row r="89" spans="2:38" ht="13">
      <c r="B89" s="364" t="s">
        <v>652</v>
      </c>
      <c r="H89" s="1228"/>
    </row>
    <row r="90" spans="2:38" ht="13">
      <c r="B90" s="407" t="s">
        <v>615</v>
      </c>
      <c r="C90" s="396" t="s">
        <v>627</v>
      </c>
      <c r="D90" s="440">
        <f>D$1</f>
        <v>2021</v>
      </c>
      <c r="E90" s="440">
        <f t="shared" ref="E90:AL90" si="40">E$1</f>
        <v>2022</v>
      </c>
      <c r="F90" s="440">
        <f t="shared" si="40"/>
        <v>2023</v>
      </c>
      <c r="G90" s="440">
        <f t="shared" si="40"/>
        <v>2024</v>
      </c>
      <c r="H90" s="440">
        <f t="shared" si="40"/>
        <v>2025</v>
      </c>
      <c r="I90" s="440">
        <f t="shared" si="40"/>
        <v>2026</v>
      </c>
      <c r="J90" s="440">
        <f t="shared" si="40"/>
        <v>2027</v>
      </c>
      <c r="K90" s="440">
        <f t="shared" si="40"/>
        <v>2028</v>
      </c>
      <c r="L90" s="440">
        <f t="shared" si="40"/>
        <v>2029</v>
      </c>
      <c r="M90" s="440">
        <f t="shared" si="40"/>
        <v>2030</v>
      </c>
      <c r="N90" s="440">
        <f t="shared" si="40"/>
        <v>2031</v>
      </c>
      <c r="O90" s="440">
        <f t="shared" si="40"/>
        <v>2032</v>
      </c>
      <c r="P90" s="440">
        <f t="shared" si="40"/>
        <v>2033</v>
      </c>
      <c r="Q90" s="440">
        <f t="shared" si="40"/>
        <v>2034</v>
      </c>
      <c r="R90" s="440">
        <f t="shared" si="40"/>
        <v>2035</v>
      </c>
      <c r="S90" s="440">
        <f t="shared" si="40"/>
        <v>2036</v>
      </c>
      <c r="T90" s="440">
        <f t="shared" si="40"/>
        <v>2037</v>
      </c>
      <c r="U90" s="440">
        <f t="shared" si="40"/>
        <v>2038</v>
      </c>
      <c r="V90" s="440">
        <f t="shared" si="40"/>
        <v>2039</v>
      </c>
      <c r="W90" s="440">
        <f t="shared" si="40"/>
        <v>2040</v>
      </c>
      <c r="X90" s="440">
        <f t="shared" si="40"/>
        <v>2041</v>
      </c>
      <c r="Y90" s="440">
        <f t="shared" si="40"/>
        <v>2042</v>
      </c>
      <c r="Z90" s="440">
        <f t="shared" si="40"/>
        <v>2043</v>
      </c>
      <c r="AA90" s="440">
        <f t="shared" si="40"/>
        <v>2044</v>
      </c>
      <c r="AB90" s="440">
        <f t="shared" si="40"/>
        <v>2045</v>
      </c>
      <c r="AC90" s="440">
        <f t="shared" si="40"/>
        <v>2046</v>
      </c>
      <c r="AD90" s="440">
        <f t="shared" si="40"/>
        <v>2047</v>
      </c>
      <c r="AE90" s="440">
        <f t="shared" si="40"/>
        <v>2048</v>
      </c>
      <c r="AF90" s="440">
        <f t="shared" si="40"/>
        <v>2049</v>
      </c>
      <c r="AG90" s="440">
        <f t="shared" si="40"/>
        <v>2050</v>
      </c>
      <c r="AH90" s="440">
        <f t="shared" si="40"/>
        <v>2051</v>
      </c>
      <c r="AI90" s="440">
        <f t="shared" si="40"/>
        <v>2052</v>
      </c>
      <c r="AJ90" s="440">
        <f t="shared" si="40"/>
        <v>2053</v>
      </c>
      <c r="AK90" s="440">
        <f t="shared" si="40"/>
        <v>2054</v>
      </c>
      <c r="AL90" s="440">
        <f t="shared" si="40"/>
        <v>2055</v>
      </c>
    </row>
    <row r="91" spans="2:38" ht="13">
      <c r="B91" s="364" t="s">
        <v>624</v>
      </c>
      <c r="C91" s="408"/>
      <c r="D91" s="358"/>
      <c r="E91" s="409"/>
      <c r="F91" s="410"/>
      <c r="G91" s="410"/>
      <c r="H91" s="1234"/>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row>
    <row r="92" spans="2:38">
      <c r="B92" s="411" t="s">
        <v>653</v>
      </c>
      <c r="C92" s="412" t="s">
        <v>654</v>
      </c>
      <c r="D92" s="413">
        <f>((D$77*D$78+0.2)/0.2)^(0.3334)</f>
        <v>27.913789731212734</v>
      </c>
      <c r="E92" s="413">
        <f t="shared" ref="E92:AL92" si="41">((E$77*E$78+0.2)/0.2)^(0.3334)</f>
        <v>28.28492274110107</v>
      </c>
      <c r="F92" s="413">
        <f t="shared" si="41"/>
        <v>28.660990883488331</v>
      </c>
      <c r="G92" s="413">
        <f t="shared" si="41"/>
        <v>29.042059765872839</v>
      </c>
      <c r="H92" s="413">
        <f t="shared" si="41"/>
        <v>32.390435664924404</v>
      </c>
      <c r="I92" s="413">
        <f t="shared" si="41"/>
        <v>32.821095805260377</v>
      </c>
      <c r="J92" s="413">
        <f t="shared" si="41"/>
        <v>33.257482455036978</v>
      </c>
      <c r="K92" s="413">
        <f t="shared" si="41"/>
        <v>33.699671747079215</v>
      </c>
      <c r="L92" s="413">
        <f t="shared" si="41"/>
        <v>34.147740826718149</v>
      </c>
      <c r="M92" s="413">
        <f t="shared" si="41"/>
        <v>34.601767865247737</v>
      </c>
      <c r="N92" s="413">
        <f t="shared" si="41"/>
        <v>35.061832073560723</v>
      </c>
      <c r="O92" s="413">
        <f t="shared" si="41"/>
        <v>35.528013715965933</v>
      </c>
      <c r="P92" s="413">
        <f t="shared" si="41"/>
        <v>36.000394124189448</v>
      </c>
      <c r="Q92" s="413">
        <f t="shared" si="41"/>
        <v>36.479055711562154</v>
      </c>
      <c r="R92" s="413">
        <f t="shared" si="41"/>
        <v>36.964081987395922</v>
      </c>
      <c r="S92" s="413">
        <f t="shared" si="41"/>
        <v>37.455557571551331</v>
      </c>
      <c r="T92" s="413">
        <f t="shared" si="41"/>
        <v>37.953568209198757</v>
      </c>
      <c r="U92" s="413">
        <f t="shared" si="41"/>
        <v>38.458200785776384</v>
      </c>
      <c r="V92" s="413">
        <f t="shared" si="41"/>
        <v>38.969543342146899</v>
      </c>
      <c r="W92" s="413">
        <f t="shared" si="41"/>
        <v>39.487685089955882</v>
      </c>
      <c r="X92" s="413">
        <f t="shared" si="41"/>
        <v>40.012716427194611</v>
      </c>
      <c r="Y92" s="413">
        <f t="shared" si="41"/>
        <v>40.544728953969788</v>
      </c>
      <c r="Z92" s="413">
        <f t="shared" si="41"/>
        <v>41.083815488483161</v>
      </c>
      <c r="AA92" s="413">
        <f t="shared" si="41"/>
        <v>41.630070083223671</v>
      </c>
      <c r="AB92" s="413">
        <f t="shared" si="41"/>
        <v>42.183588041374961</v>
      </c>
      <c r="AC92" s="413">
        <f t="shared" si="41"/>
        <v>42.744465933441234</v>
      </c>
      <c r="AD92" s="413">
        <f t="shared" si="41"/>
        <v>43.312801614094255</v>
      </c>
      <c r="AE92" s="413">
        <f t="shared" si="41"/>
        <v>43.888694239244295</v>
      </c>
      <c r="AF92" s="413">
        <f t="shared" si="41"/>
        <v>44.472244283338405</v>
      </c>
      <c r="AG92" s="413">
        <f t="shared" si="41"/>
        <v>45.063553556888607</v>
      </c>
      <c r="AH92" s="413">
        <f t="shared" si="41"/>
        <v>45.662725224233291</v>
      </c>
      <c r="AI92" s="413">
        <f t="shared" si="41"/>
        <v>46.269863821534855</v>
      </c>
      <c r="AJ92" s="413">
        <f t="shared" si="41"/>
        <v>46.885075275016717</v>
      </c>
      <c r="AK92" s="413">
        <f t="shared" si="41"/>
        <v>47.508466919442824</v>
      </c>
      <c r="AL92" s="413">
        <f t="shared" si="41"/>
        <v>48.140147516843236</v>
      </c>
    </row>
    <row r="93" spans="2:38">
      <c r="B93" s="411" t="s">
        <v>655</v>
      </c>
      <c r="C93" s="412" t="s">
        <v>656</v>
      </c>
      <c r="D93" s="414">
        <f>EXP(0.2094*$D$9)</f>
        <v>1.2329380751384142</v>
      </c>
      <c r="E93" s="414">
        <f t="shared" ref="E93:AL93" si="42">EXP(0.2094*$D$9)</f>
        <v>1.2329380751384142</v>
      </c>
      <c r="F93" s="414">
        <f t="shared" si="42"/>
        <v>1.2329380751384142</v>
      </c>
      <c r="G93" s="414">
        <f t="shared" si="42"/>
        <v>1.2329380751384142</v>
      </c>
      <c r="H93" s="414">
        <f t="shared" si="42"/>
        <v>1.2329380751384142</v>
      </c>
      <c r="I93" s="414">
        <f t="shared" si="42"/>
        <v>1.2329380751384142</v>
      </c>
      <c r="J93" s="414">
        <f t="shared" si="42"/>
        <v>1.2329380751384142</v>
      </c>
      <c r="K93" s="414">
        <f t="shared" si="42"/>
        <v>1.2329380751384142</v>
      </c>
      <c r="L93" s="414">
        <f t="shared" si="42"/>
        <v>1.2329380751384142</v>
      </c>
      <c r="M93" s="414">
        <f t="shared" si="42"/>
        <v>1.2329380751384142</v>
      </c>
      <c r="N93" s="414">
        <f t="shared" si="42"/>
        <v>1.2329380751384142</v>
      </c>
      <c r="O93" s="414">
        <f t="shared" si="42"/>
        <v>1.2329380751384142</v>
      </c>
      <c r="P93" s="414">
        <f t="shared" si="42"/>
        <v>1.2329380751384142</v>
      </c>
      <c r="Q93" s="414">
        <f t="shared" si="42"/>
        <v>1.2329380751384142</v>
      </c>
      <c r="R93" s="414">
        <f t="shared" si="42"/>
        <v>1.2329380751384142</v>
      </c>
      <c r="S93" s="414">
        <f t="shared" si="42"/>
        <v>1.2329380751384142</v>
      </c>
      <c r="T93" s="414">
        <f t="shared" si="42"/>
        <v>1.2329380751384142</v>
      </c>
      <c r="U93" s="414">
        <f t="shared" si="42"/>
        <v>1.2329380751384142</v>
      </c>
      <c r="V93" s="414">
        <f t="shared" si="42"/>
        <v>1.2329380751384142</v>
      </c>
      <c r="W93" s="414">
        <f t="shared" si="42"/>
        <v>1.2329380751384142</v>
      </c>
      <c r="X93" s="414">
        <f t="shared" si="42"/>
        <v>1.2329380751384142</v>
      </c>
      <c r="Y93" s="414">
        <f t="shared" si="42"/>
        <v>1.2329380751384142</v>
      </c>
      <c r="Z93" s="414">
        <f t="shared" si="42"/>
        <v>1.2329380751384142</v>
      </c>
      <c r="AA93" s="414">
        <f t="shared" si="42"/>
        <v>1.2329380751384142</v>
      </c>
      <c r="AB93" s="414">
        <f t="shared" si="42"/>
        <v>1.2329380751384142</v>
      </c>
      <c r="AC93" s="414">
        <f t="shared" si="42"/>
        <v>1.2329380751384142</v>
      </c>
      <c r="AD93" s="414">
        <f t="shared" si="42"/>
        <v>1.2329380751384142</v>
      </c>
      <c r="AE93" s="414">
        <f t="shared" si="42"/>
        <v>1.2329380751384142</v>
      </c>
      <c r="AF93" s="414">
        <f t="shared" si="42"/>
        <v>1.2329380751384142</v>
      </c>
      <c r="AG93" s="414">
        <f t="shared" si="42"/>
        <v>1.2329380751384142</v>
      </c>
      <c r="AH93" s="414">
        <f t="shared" si="42"/>
        <v>1.2329380751384142</v>
      </c>
      <c r="AI93" s="414">
        <f t="shared" si="42"/>
        <v>1.2329380751384142</v>
      </c>
      <c r="AJ93" s="414">
        <f t="shared" si="42"/>
        <v>1.2329380751384142</v>
      </c>
      <c r="AK93" s="414">
        <f t="shared" si="42"/>
        <v>1.2329380751384142</v>
      </c>
      <c r="AL93" s="414">
        <f t="shared" si="42"/>
        <v>1.2329380751384142</v>
      </c>
    </row>
    <row r="94" spans="2:38">
      <c r="B94" s="411" t="s">
        <v>657</v>
      </c>
      <c r="C94" s="416" t="s">
        <v>658</v>
      </c>
      <c r="D94" s="417">
        <f>((D$80+0.2)/0.2)^(0.1336)</f>
        <v>1.3793892627846567</v>
      </c>
      <c r="E94" s="417">
        <f t="shared" ref="E94:AL94" si="43">((E$80+0.2)/0.2)^(0.1336)</f>
        <v>1.3811604976010341</v>
      </c>
      <c r="F94" s="417">
        <f t="shared" si="43"/>
        <v>1.3829356773787482</v>
      </c>
      <c r="G94" s="417">
        <f t="shared" si="43"/>
        <v>1.3847147970270854</v>
      </c>
      <c r="H94" s="417">
        <f t="shared" si="43"/>
        <v>1.4579566272457978</v>
      </c>
      <c r="I94" s="417">
        <f t="shared" si="43"/>
        <v>1.4598913548546146</v>
      </c>
      <c r="J94" s="417">
        <f t="shared" si="43"/>
        <v>1.4618298547819031</v>
      </c>
      <c r="K94" s="417">
        <f t="shared" si="43"/>
        <v>1.4637721240491282</v>
      </c>
      <c r="L94" s="417">
        <f t="shared" si="43"/>
        <v>1.4657181597278657</v>
      </c>
      <c r="M94" s="417">
        <f t="shared" si="43"/>
        <v>1.4676679589397352</v>
      </c>
      <c r="N94" s="417">
        <f t="shared" si="43"/>
        <v>1.4696215188563289</v>
      </c>
      <c r="O94" s="417">
        <f t="shared" si="43"/>
        <v>1.4715788366991369</v>
      </c>
      <c r="P94" s="417">
        <f t="shared" si="43"/>
        <v>1.4735399097394672</v>
      </c>
      <c r="Q94" s="417">
        <f t="shared" si="43"/>
        <v>1.475504735298363</v>
      </c>
      <c r="R94" s="417">
        <f t="shared" si="43"/>
        <v>1.4774733107465152</v>
      </c>
      <c r="S94" s="417">
        <f t="shared" si="43"/>
        <v>1.4794456335041717</v>
      </c>
      <c r="T94" s="417">
        <f t="shared" si="43"/>
        <v>1.481421701041042</v>
      </c>
      <c r="U94" s="417">
        <f t="shared" si="43"/>
        <v>1.4834015108761993</v>
      </c>
      <c r="V94" s="417">
        <f t="shared" si="43"/>
        <v>1.4853850605779795</v>
      </c>
      <c r="W94" s="417">
        <f t="shared" si="43"/>
        <v>1.4873723477638745</v>
      </c>
      <c r="X94" s="417">
        <f t="shared" si="43"/>
        <v>1.4893633701004245</v>
      </c>
      <c r="Y94" s="417">
        <f t="shared" si="43"/>
        <v>1.4913581253031054</v>
      </c>
      <c r="Z94" s="417">
        <f t="shared" si="43"/>
        <v>1.4933566111362149</v>
      </c>
      <c r="AA94" s="417">
        <f t="shared" si="43"/>
        <v>1.4953588254127532</v>
      </c>
      <c r="AB94" s="417">
        <f t="shared" si="43"/>
        <v>1.4973647659943026</v>
      </c>
      <c r="AC94" s="417">
        <f t="shared" si="43"/>
        <v>1.4993744307909029</v>
      </c>
      <c r="AD94" s="417">
        <f t="shared" si="43"/>
        <v>1.5013878177609252</v>
      </c>
      <c r="AE94" s="417">
        <f t="shared" si="43"/>
        <v>1.5034049249109414</v>
      </c>
      <c r="AF94" s="417">
        <f t="shared" si="43"/>
        <v>1.5054257502955928</v>
      </c>
      <c r="AG94" s="417">
        <f t="shared" si="43"/>
        <v>1.5074502920174546</v>
      </c>
      <c r="AH94" s="417">
        <f t="shared" si="43"/>
        <v>1.5094785482268982</v>
      </c>
      <c r="AI94" s="417">
        <f t="shared" si="43"/>
        <v>1.5115105171219521</v>
      </c>
      <c r="AJ94" s="417">
        <f t="shared" si="43"/>
        <v>1.5135461969481585</v>
      </c>
      <c r="AK94" s="417">
        <f t="shared" si="43"/>
        <v>1.5155855859984304</v>
      </c>
      <c r="AL94" s="417">
        <f t="shared" si="43"/>
        <v>1.5176286826129031</v>
      </c>
    </row>
    <row r="95" spans="2:38">
      <c r="B95" s="411" t="s">
        <v>659</v>
      </c>
      <c r="C95" s="412" t="s">
        <v>660</v>
      </c>
      <c r="D95" s="414">
        <f>EXP(-0.616*($E$7-1))</f>
        <v>1</v>
      </c>
      <c r="E95" s="414">
        <f t="shared" ref="E95:AL95" si="44">EXP(-0.616*($E$7-1))</f>
        <v>1</v>
      </c>
      <c r="F95" s="414">
        <f t="shared" si="44"/>
        <v>1</v>
      </c>
      <c r="G95" s="414">
        <f t="shared" si="44"/>
        <v>1</v>
      </c>
      <c r="H95" s="414">
        <f t="shared" si="44"/>
        <v>1</v>
      </c>
      <c r="I95" s="414">
        <f t="shared" si="44"/>
        <v>1</v>
      </c>
      <c r="J95" s="414">
        <f t="shared" si="44"/>
        <v>1</v>
      </c>
      <c r="K95" s="414">
        <f t="shared" si="44"/>
        <v>1</v>
      </c>
      <c r="L95" s="414">
        <f t="shared" si="44"/>
        <v>1</v>
      </c>
      <c r="M95" s="414">
        <f t="shared" si="44"/>
        <v>1</v>
      </c>
      <c r="N95" s="414">
        <f t="shared" si="44"/>
        <v>1</v>
      </c>
      <c r="O95" s="414">
        <f t="shared" si="44"/>
        <v>1</v>
      </c>
      <c r="P95" s="414">
        <f t="shared" si="44"/>
        <v>1</v>
      </c>
      <c r="Q95" s="414">
        <f t="shared" si="44"/>
        <v>1</v>
      </c>
      <c r="R95" s="414">
        <f t="shared" si="44"/>
        <v>1</v>
      </c>
      <c r="S95" s="414">
        <f t="shared" si="44"/>
        <v>1</v>
      </c>
      <c r="T95" s="414">
        <f t="shared" si="44"/>
        <v>1</v>
      </c>
      <c r="U95" s="414">
        <f t="shared" si="44"/>
        <v>1</v>
      </c>
      <c r="V95" s="414">
        <f t="shared" si="44"/>
        <v>1</v>
      </c>
      <c r="W95" s="414">
        <f t="shared" si="44"/>
        <v>1</v>
      </c>
      <c r="X95" s="414">
        <f t="shared" si="44"/>
        <v>1</v>
      </c>
      <c r="Y95" s="414">
        <f t="shared" si="44"/>
        <v>1</v>
      </c>
      <c r="Z95" s="414">
        <f t="shared" si="44"/>
        <v>1</v>
      </c>
      <c r="AA95" s="414">
        <f t="shared" si="44"/>
        <v>1</v>
      </c>
      <c r="AB95" s="414">
        <f t="shared" si="44"/>
        <v>1</v>
      </c>
      <c r="AC95" s="414">
        <f t="shared" si="44"/>
        <v>1</v>
      </c>
      <c r="AD95" s="414">
        <f t="shared" si="44"/>
        <v>1</v>
      </c>
      <c r="AE95" s="414">
        <f t="shared" si="44"/>
        <v>1</v>
      </c>
      <c r="AF95" s="414">
        <f t="shared" si="44"/>
        <v>1</v>
      </c>
      <c r="AG95" s="414">
        <f t="shared" si="44"/>
        <v>1</v>
      </c>
      <c r="AH95" s="414">
        <f t="shared" si="44"/>
        <v>1</v>
      </c>
      <c r="AI95" s="414">
        <f t="shared" si="44"/>
        <v>1</v>
      </c>
      <c r="AJ95" s="414">
        <f t="shared" si="44"/>
        <v>1</v>
      </c>
      <c r="AK95" s="414">
        <f t="shared" si="44"/>
        <v>1</v>
      </c>
      <c r="AL95" s="414">
        <f t="shared" si="44"/>
        <v>1</v>
      </c>
    </row>
    <row r="96" spans="2:38">
      <c r="B96" s="411" t="s">
        <v>661</v>
      </c>
      <c r="C96" s="412" t="s">
        <v>662</v>
      </c>
      <c r="D96" s="414">
        <f>EXP(0.0077*D$82)</f>
        <v>1.0594501000746941</v>
      </c>
      <c r="E96" s="414">
        <f t="shared" ref="E96:AL96" si="45">EXP(0.0077*E$82)</f>
        <v>1.0594501000746941</v>
      </c>
      <c r="F96" s="414">
        <f t="shared" si="45"/>
        <v>1.0594501000746941</v>
      </c>
      <c r="G96" s="414">
        <f t="shared" si="45"/>
        <v>1.0594501000746941</v>
      </c>
      <c r="H96" s="414">
        <f t="shared" si="45"/>
        <v>1.0594501000746941</v>
      </c>
      <c r="I96" s="414">
        <f t="shared" si="45"/>
        <v>1.0594501000746941</v>
      </c>
      <c r="J96" s="414">
        <f t="shared" si="45"/>
        <v>1.0594501000746941</v>
      </c>
      <c r="K96" s="414">
        <f t="shared" si="45"/>
        <v>1.0594501000746941</v>
      </c>
      <c r="L96" s="414">
        <f t="shared" si="45"/>
        <v>1.0594501000746941</v>
      </c>
      <c r="M96" s="414">
        <f t="shared" si="45"/>
        <v>1.0594501000746941</v>
      </c>
      <c r="N96" s="414">
        <f t="shared" si="45"/>
        <v>1.0594501000746941</v>
      </c>
      <c r="O96" s="414">
        <f t="shared" si="45"/>
        <v>1.0594501000746941</v>
      </c>
      <c r="P96" s="414">
        <f t="shared" si="45"/>
        <v>1.0594501000746941</v>
      </c>
      <c r="Q96" s="414">
        <f t="shared" si="45"/>
        <v>1.0594501000746941</v>
      </c>
      <c r="R96" s="414">
        <f t="shared" si="45"/>
        <v>1.0594501000746941</v>
      </c>
      <c r="S96" s="414">
        <f t="shared" si="45"/>
        <v>1.0594501000746941</v>
      </c>
      <c r="T96" s="414">
        <f t="shared" si="45"/>
        <v>1.0594501000746941</v>
      </c>
      <c r="U96" s="414">
        <f t="shared" si="45"/>
        <v>1.0594501000746941</v>
      </c>
      <c r="V96" s="414">
        <f t="shared" si="45"/>
        <v>1.0594501000746941</v>
      </c>
      <c r="W96" s="414">
        <f t="shared" si="45"/>
        <v>1.0594501000746941</v>
      </c>
      <c r="X96" s="414">
        <f t="shared" si="45"/>
        <v>1.0594501000746941</v>
      </c>
      <c r="Y96" s="414">
        <f t="shared" si="45"/>
        <v>1.0594501000746941</v>
      </c>
      <c r="Z96" s="414">
        <f t="shared" si="45"/>
        <v>1.0594501000746941</v>
      </c>
      <c r="AA96" s="414">
        <f t="shared" si="45"/>
        <v>1.0594501000746941</v>
      </c>
      <c r="AB96" s="414">
        <f t="shared" si="45"/>
        <v>1.0594501000746941</v>
      </c>
      <c r="AC96" s="414">
        <f t="shared" si="45"/>
        <v>1.0594501000746941</v>
      </c>
      <c r="AD96" s="414">
        <f t="shared" si="45"/>
        <v>1.0594501000746941</v>
      </c>
      <c r="AE96" s="414">
        <f t="shared" si="45"/>
        <v>1.0594501000746941</v>
      </c>
      <c r="AF96" s="414">
        <f t="shared" si="45"/>
        <v>1.0594501000746941</v>
      </c>
      <c r="AG96" s="414">
        <f t="shared" si="45"/>
        <v>1.0594501000746941</v>
      </c>
      <c r="AH96" s="414">
        <f t="shared" si="45"/>
        <v>1.0594501000746941</v>
      </c>
      <c r="AI96" s="414">
        <f t="shared" si="45"/>
        <v>1.0594501000746941</v>
      </c>
      <c r="AJ96" s="414">
        <f t="shared" si="45"/>
        <v>1.0594501000746941</v>
      </c>
      <c r="AK96" s="414">
        <f t="shared" si="45"/>
        <v>1.0594501000746941</v>
      </c>
      <c r="AL96" s="414">
        <f t="shared" si="45"/>
        <v>1.0594501000746941</v>
      </c>
    </row>
    <row r="97" spans="1:38">
      <c r="B97" s="411" t="s">
        <v>663</v>
      </c>
      <c r="C97" s="412" t="s">
        <v>664</v>
      </c>
      <c r="D97" s="414">
        <f>EXP(-0.1*($E$8-1))</f>
        <v>0.60653065971263342</v>
      </c>
      <c r="E97" s="414">
        <f t="shared" ref="E97:AL97" si="46">EXP(-0.1*($E$8-1))</f>
        <v>0.60653065971263342</v>
      </c>
      <c r="F97" s="414">
        <f t="shared" si="46"/>
        <v>0.60653065971263342</v>
      </c>
      <c r="G97" s="414">
        <f t="shared" si="46"/>
        <v>0.60653065971263342</v>
      </c>
      <c r="H97" s="414">
        <f t="shared" si="46"/>
        <v>0.60653065971263342</v>
      </c>
      <c r="I97" s="414">
        <f t="shared" si="46"/>
        <v>0.60653065971263342</v>
      </c>
      <c r="J97" s="414">
        <f t="shared" si="46"/>
        <v>0.60653065971263342</v>
      </c>
      <c r="K97" s="414">
        <f t="shared" si="46"/>
        <v>0.60653065971263342</v>
      </c>
      <c r="L97" s="414">
        <f t="shared" si="46"/>
        <v>0.60653065971263342</v>
      </c>
      <c r="M97" s="414">
        <f t="shared" si="46"/>
        <v>0.60653065971263342</v>
      </c>
      <c r="N97" s="414">
        <f t="shared" si="46"/>
        <v>0.60653065971263342</v>
      </c>
      <c r="O97" s="414">
        <f t="shared" si="46"/>
        <v>0.60653065971263342</v>
      </c>
      <c r="P97" s="414">
        <f t="shared" si="46"/>
        <v>0.60653065971263342</v>
      </c>
      <c r="Q97" s="414">
        <f t="shared" si="46"/>
        <v>0.60653065971263342</v>
      </c>
      <c r="R97" s="414">
        <f t="shared" si="46"/>
        <v>0.60653065971263342</v>
      </c>
      <c r="S97" s="414">
        <f t="shared" si="46"/>
        <v>0.60653065971263342</v>
      </c>
      <c r="T97" s="414">
        <f t="shared" si="46"/>
        <v>0.60653065971263342</v>
      </c>
      <c r="U97" s="414">
        <f t="shared" si="46"/>
        <v>0.60653065971263342</v>
      </c>
      <c r="V97" s="414">
        <f t="shared" si="46"/>
        <v>0.60653065971263342</v>
      </c>
      <c r="W97" s="414">
        <f t="shared" si="46"/>
        <v>0.60653065971263342</v>
      </c>
      <c r="X97" s="414">
        <f t="shared" si="46"/>
        <v>0.60653065971263342</v>
      </c>
      <c r="Y97" s="414">
        <f t="shared" si="46"/>
        <v>0.60653065971263342</v>
      </c>
      <c r="Z97" s="414">
        <f t="shared" si="46"/>
        <v>0.60653065971263342</v>
      </c>
      <c r="AA97" s="414">
        <f t="shared" si="46"/>
        <v>0.60653065971263342</v>
      </c>
      <c r="AB97" s="414">
        <f t="shared" si="46"/>
        <v>0.60653065971263342</v>
      </c>
      <c r="AC97" s="414">
        <f t="shared" si="46"/>
        <v>0.60653065971263342</v>
      </c>
      <c r="AD97" s="414">
        <f t="shared" si="46"/>
        <v>0.60653065971263342</v>
      </c>
      <c r="AE97" s="414">
        <f t="shared" si="46"/>
        <v>0.60653065971263342</v>
      </c>
      <c r="AF97" s="414">
        <f t="shared" si="46"/>
        <v>0.60653065971263342</v>
      </c>
      <c r="AG97" s="414">
        <f t="shared" si="46"/>
        <v>0.60653065971263342</v>
      </c>
      <c r="AH97" s="414">
        <f t="shared" si="46"/>
        <v>0.60653065971263342</v>
      </c>
      <c r="AI97" s="414">
        <f t="shared" si="46"/>
        <v>0.60653065971263342</v>
      </c>
      <c r="AJ97" s="414">
        <f t="shared" si="46"/>
        <v>0.60653065971263342</v>
      </c>
      <c r="AK97" s="414">
        <f t="shared" si="46"/>
        <v>0.60653065971263342</v>
      </c>
      <c r="AL97" s="414">
        <f t="shared" si="46"/>
        <v>0.60653065971263342</v>
      </c>
    </row>
    <row r="98" spans="1:38">
      <c r="B98" s="411" t="s">
        <v>665</v>
      </c>
      <c r="C98" s="412" t="s">
        <v>666</v>
      </c>
      <c r="D98" s="414">
        <v>1</v>
      </c>
      <c r="E98" s="414">
        <v>1</v>
      </c>
      <c r="F98" s="414">
        <v>1</v>
      </c>
      <c r="G98" s="414">
        <v>1</v>
      </c>
      <c r="H98" s="414">
        <v>1</v>
      </c>
      <c r="I98" s="414">
        <v>1</v>
      </c>
      <c r="J98" s="414">
        <v>1</v>
      </c>
      <c r="K98" s="414">
        <v>1</v>
      </c>
      <c r="L98" s="414">
        <v>1</v>
      </c>
      <c r="M98" s="414">
        <v>1</v>
      </c>
      <c r="N98" s="414">
        <v>1</v>
      </c>
      <c r="O98" s="414">
        <v>1</v>
      </c>
      <c r="P98" s="414">
        <v>1</v>
      </c>
      <c r="Q98" s="414">
        <v>1</v>
      </c>
      <c r="R98" s="414">
        <v>1</v>
      </c>
      <c r="S98" s="414">
        <v>1</v>
      </c>
      <c r="T98" s="414">
        <v>1</v>
      </c>
      <c r="U98" s="414">
        <v>1</v>
      </c>
      <c r="V98" s="414">
        <v>1</v>
      </c>
      <c r="W98" s="414">
        <v>1</v>
      </c>
      <c r="X98" s="414">
        <v>1</v>
      </c>
      <c r="Y98" s="414">
        <v>1</v>
      </c>
      <c r="Z98" s="414">
        <v>1</v>
      </c>
      <c r="AA98" s="414">
        <v>1</v>
      </c>
      <c r="AB98" s="414">
        <v>1</v>
      </c>
      <c r="AC98" s="414">
        <v>1</v>
      </c>
      <c r="AD98" s="414">
        <v>1</v>
      </c>
      <c r="AE98" s="414">
        <v>1</v>
      </c>
      <c r="AF98" s="414">
        <v>1</v>
      </c>
      <c r="AG98" s="414">
        <v>1</v>
      </c>
      <c r="AH98" s="414">
        <v>1</v>
      </c>
      <c r="AI98" s="414">
        <v>1</v>
      </c>
      <c r="AJ98" s="414">
        <v>1</v>
      </c>
      <c r="AK98" s="414">
        <v>1</v>
      </c>
      <c r="AL98" s="414">
        <v>1</v>
      </c>
    </row>
    <row r="99" spans="1:38" ht="13">
      <c r="A99" s="421"/>
      <c r="B99" s="418"/>
      <c r="C99" s="419"/>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row>
    <row r="100" spans="1:38" ht="13">
      <c r="A100" s="421"/>
      <c r="B100" s="422" t="s">
        <v>667</v>
      </c>
      <c r="C100" s="408"/>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row>
    <row r="101" spans="1:38">
      <c r="A101" s="421"/>
      <c r="B101" s="411" t="s">
        <v>653</v>
      </c>
      <c r="C101" s="412" t="s">
        <v>654</v>
      </c>
      <c r="D101" s="423">
        <f>((D$77*D$78+0.2)/0.2)^(0.2953)</f>
        <v>19.08071999347294</v>
      </c>
      <c r="E101" s="423">
        <f t="shared" ref="E101:AL101" si="47">((E$77*E$78+0.2)/0.2)^(0.2953)</f>
        <v>19.305250291425029</v>
      </c>
      <c r="F101" s="423">
        <f t="shared" si="47"/>
        <v>19.532423126158843</v>
      </c>
      <c r="G101" s="423">
        <f t="shared" si="47"/>
        <v>19.762269587119278</v>
      </c>
      <c r="H101" s="423">
        <f t="shared" si="47"/>
        <v>21.76760618496612</v>
      </c>
      <c r="I101" s="423">
        <f t="shared" si="47"/>
        <v>22.023758312678154</v>
      </c>
      <c r="J101" s="423">
        <f t="shared" si="47"/>
        <v>22.282925024756622</v>
      </c>
      <c r="K101" s="423">
        <f t="shared" si="47"/>
        <v>22.545141790960493</v>
      </c>
      <c r="L101" s="423">
        <f t="shared" si="47"/>
        <v>22.810444498609609</v>
      </c>
      <c r="M101" s="423">
        <f t="shared" si="47"/>
        <v>23.07886945749431</v>
      </c>
      <c r="N101" s="423">
        <f t="shared" si="47"/>
        <v>23.350453404842884</v>
      </c>
      <c r="O101" s="423">
        <f t="shared" si="47"/>
        <v>23.625233510347538</v>
      </c>
      <c r="P101" s="423">
        <f t="shared" si="47"/>
        <v>23.903247381249688</v>
      </c>
      <c r="Q101" s="423">
        <f t="shared" si="47"/>
        <v>24.184533067485212</v>
      </c>
      <c r="R101" s="423">
        <f t="shared" si="47"/>
        <v>24.469129066890211</v>
      </c>
      <c r="S101" s="423">
        <f t="shared" si="47"/>
        <v>24.757074330468427</v>
      </c>
      <c r="T101" s="423">
        <f t="shared" si="47"/>
        <v>25.048408267720404</v>
      </c>
      <c r="U101" s="423">
        <f t="shared" si="47"/>
        <v>25.343170752035672</v>
      </c>
      <c r="V101" s="423">
        <f t="shared" si="47"/>
        <v>25.641402126148492</v>
      </c>
      <c r="W101" s="423">
        <f t="shared" si="47"/>
        <v>25.943143207657737</v>
      </c>
      <c r="X101" s="423">
        <f t="shared" si="47"/>
        <v>26.248435294612005</v>
      </c>
      <c r="Y101" s="423">
        <f t="shared" si="47"/>
        <v>26.557320171160367</v>
      </c>
      <c r="Z101" s="423">
        <f t="shared" si="47"/>
        <v>26.869840113269877</v>
      </c>
      <c r="AA101" s="423">
        <f t="shared" si="47"/>
        <v>27.186037894510271</v>
      </c>
      <c r="AB101" s="423">
        <f t="shared" si="47"/>
        <v>27.505956791906939</v>
      </c>
      <c r="AC101" s="423">
        <f t="shared" si="47"/>
        <v>27.829640591862844</v>
      </c>
      <c r="AD101" s="423">
        <f t="shared" si="47"/>
        <v>28.157133596150153</v>
      </c>
      <c r="AE101" s="423">
        <f t="shared" si="47"/>
        <v>28.488480627972436</v>
      </c>
      <c r="AF101" s="423">
        <f t="shared" si="47"/>
        <v>28.823727038098362</v>
      </c>
      <c r="AG101" s="423">
        <f t="shared" si="47"/>
        <v>29.162918711067604</v>
      </c>
      <c r="AH101" s="423">
        <f t="shared" si="47"/>
        <v>29.506102071469797</v>
      </c>
      <c r="AI101" s="423">
        <f t="shared" si="47"/>
        <v>29.853324090297534</v>
      </c>
      <c r="AJ101" s="423">
        <f t="shared" si="47"/>
        <v>30.204632291374104</v>
      </c>
      <c r="AK101" s="423">
        <f t="shared" si="47"/>
        <v>30.560074757856963</v>
      </c>
      <c r="AL101" s="423">
        <f t="shared" si="47"/>
        <v>30.91970013881788</v>
      </c>
    </row>
    <row r="102" spans="1:38">
      <c r="A102" s="421"/>
      <c r="B102" s="411" t="s">
        <v>655</v>
      </c>
      <c r="C102" s="412" t="s">
        <v>656</v>
      </c>
      <c r="D102" s="414">
        <f>EXP(0.1088*$D$9)</f>
        <v>1.1149393401731398</v>
      </c>
      <c r="E102" s="414">
        <f t="shared" ref="E102:AL102" si="48">EXP(0.1088*$D$9)</f>
        <v>1.1149393401731398</v>
      </c>
      <c r="F102" s="414">
        <f t="shared" si="48"/>
        <v>1.1149393401731398</v>
      </c>
      <c r="G102" s="414">
        <f t="shared" si="48"/>
        <v>1.1149393401731398</v>
      </c>
      <c r="H102" s="414">
        <f t="shared" si="48"/>
        <v>1.1149393401731398</v>
      </c>
      <c r="I102" s="414">
        <f t="shared" si="48"/>
        <v>1.1149393401731398</v>
      </c>
      <c r="J102" s="414">
        <f t="shared" si="48"/>
        <v>1.1149393401731398</v>
      </c>
      <c r="K102" s="414">
        <f t="shared" si="48"/>
        <v>1.1149393401731398</v>
      </c>
      <c r="L102" s="414">
        <f t="shared" si="48"/>
        <v>1.1149393401731398</v>
      </c>
      <c r="M102" s="414">
        <f t="shared" si="48"/>
        <v>1.1149393401731398</v>
      </c>
      <c r="N102" s="414">
        <f t="shared" si="48"/>
        <v>1.1149393401731398</v>
      </c>
      <c r="O102" s="414">
        <f t="shared" si="48"/>
        <v>1.1149393401731398</v>
      </c>
      <c r="P102" s="414">
        <f t="shared" si="48"/>
        <v>1.1149393401731398</v>
      </c>
      <c r="Q102" s="414">
        <f t="shared" si="48"/>
        <v>1.1149393401731398</v>
      </c>
      <c r="R102" s="414">
        <f t="shared" si="48"/>
        <v>1.1149393401731398</v>
      </c>
      <c r="S102" s="414">
        <f t="shared" si="48"/>
        <v>1.1149393401731398</v>
      </c>
      <c r="T102" s="414">
        <f t="shared" si="48"/>
        <v>1.1149393401731398</v>
      </c>
      <c r="U102" s="414">
        <f t="shared" si="48"/>
        <v>1.1149393401731398</v>
      </c>
      <c r="V102" s="414">
        <f t="shared" si="48"/>
        <v>1.1149393401731398</v>
      </c>
      <c r="W102" s="414">
        <f t="shared" si="48"/>
        <v>1.1149393401731398</v>
      </c>
      <c r="X102" s="414">
        <f t="shared" si="48"/>
        <v>1.1149393401731398</v>
      </c>
      <c r="Y102" s="414">
        <f t="shared" si="48"/>
        <v>1.1149393401731398</v>
      </c>
      <c r="Z102" s="414">
        <f t="shared" si="48"/>
        <v>1.1149393401731398</v>
      </c>
      <c r="AA102" s="414">
        <f t="shared" si="48"/>
        <v>1.1149393401731398</v>
      </c>
      <c r="AB102" s="414">
        <f t="shared" si="48"/>
        <v>1.1149393401731398</v>
      </c>
      <c r="AC102" s="414">
        <f t="shared" si="48"/>
        <v>1.1149393401731398</v>
      </c>
      <c r="AD102" s="414">
        <f t="shared" si="48"/>
        <v>1.1149393401731398</v>
      </c>
      <c r="AE102" s="414">
        <f t="shared" si="48"/>
        <v>1.1149393401731398</v>
      </c>
      <c r="AF102" s="414">
        <f t="shared" si="48"/>
        <v>1.1149393401731398</v>
      </c>
      <c r="AG102" s="414">
        <f t="shared" si="48"/>
        <v>1.1149393401731398</v>
      </c>
      <c r="AH102" s="414">
        <f t="shared" si="48"/>
        <v>1.1149393401731398</v>
      </c>
      <c r="AI102" s="414">
        <f t="shared" si="48"/>
        <v>1.1149393401731398</v>
      </c>
      <c r="AJ102" s="414">
        <f t="shared" si="48"/>
        <v>1.1149393401731398</v>
      </c>
      <c r="AK102" s="414">
        <f t="shared" si="48"/>
        <v>1.1149393401731398</v>
      </c>
      <c r="AL102" s="414">
        <f t="shared" si="48"/>
        <v>1.1149393401731398</v>
      </c>
    </row>
    <row r="103" spans="1:38">
      <c r="A103" s="421"/>
      <c r="B103" s="411" t="s">
        <v>657</v>
      </c>
      <c r="C103" s="416" t="s">
        <v>658</v>
      </c>
      <c r="D103" s="417">
        <f>((D$80+0.2)/0.2)^(0.047)</f>
        <v>1.1198022320808569</v>
      </c>
      <c r="E103" s="417">
        <f t="shared" ref="E103:AL103" si="49">((E$80+0.2)/0.2)^(0.047)</f>
        <v>1.120307872028153</v>
      </c>
      <c r="F103" s="417">
        <f t="shared" si="49"/>
        <v>1.1208142166017745</v>
      </c>
      <c r="G103" s="417">
        <f t="shared" si="49"/>
        <v>1.1213212624333833</v>
      </c>
      <c r="H103" s="417">
        <f t="shared" si="49"/>
        <v>1.1418387135960879</v>
      </c>
      <c r="I103" s="417">
        <f t="shared" si="49"/>
        <v>1.1423715387259614</v>
      </c>
      <c r="J103" s="417">
        <f t="shared" si="49"/>
        <v>1.1429049438973249</v>
      </c>
      <c r="K103" s="417">
        <f t="shared" si="49"/>
        <v>1.143438926616609</v>
      </c>
      <c r="L103" s="417">
        <f t="shared" si="49"/>
        <v>1.1439734844098017</v>
      </c>
      <c r="M103" s="417">
        <f t="shared" si="49"/>
        <v>1.1445086148223753</v>
      </c>
      <c r="N103" s="417">
        <f t="shared" si="49"/>
        <v>1.1450443154192105</v>
      </c>
      <c r="O103" s="417">
        <f t="shared" si="49"/>
        <v>1.1455805837845203</v>
      </c>
      <c r="P103" s="417">
        <f t="shared" si="49"/>
        <v>1.1461174175217719</v>
      </c>
      <c r="Q103" s="417">
        <f t="shared" si="49"/>
        <v>1.146654814253609</v>
      </c>
      <c r="R103" s="417">
        <f t="shared" si="49"/>
        <v>1.1471927716217718</v>
      </c>
      <c r="S103" s="417">
        <f t="shared" si="49"/>
        <v>1.1477312872870153</v>
      </c>
      <c r="T103" s="417">
        <f t="shared" si="49"/>
        <v>1.1482703589290293</v>
      </c>
      <c r="U103" s="417">
        <f t="shared" si="49"/>
        <v>1.1488099842463546</v>
      </c>
      <c r="V103" s="417">
        <f t="shared" si="49"/>
        <v>1.149350160956299</v>
      </c>
      <c r="W103" s="417">
        <f t="shared" si="49"/>
        <v>1.1498908867948547</v>
      </c>
      <c r="X103" s="417">
        <f t="shared" si="49"/>
        <v>1.1504321595166109</v>
      </c>
      <c r="Y103" s="417">
        <f t="shared" si="49"/>
        <v>1.150973976894669</v>
      </c>
      <c r="Z103" s="417">
        <f t="shared" si="49"/>
        <v>1.1515163367205548</v>
      </c>
      <c r="AA103" s="417">
        <f t="shared" si="49"/>
        <v>1.1520592368041316</v>
      </c>
      <c r="AB103" s="417">
        <f t="shared" si="49"/>
        <v>1.1526026749735114</v>
      </c>
      <c r="AC103" s="417">
        <f t="shared" si="49"/>
        <v>1.1531466490749658</v>
      </c>
      <c r="AD103" s="417">
        <f t="shared" si="49"/>
        <v>1.1536911569728363</v>
      </c>
      <c r="AE103" s="417">
        <f t="shared" si="49"/>
        <v>1.1542361965494436</v>
      </c>
      <c r="AF103" s="417">
        <f t="shared" si="49"/>
        <v>1.1547817657049975</v>
      </c>
      <c r="AG103" s="417">
        <f t="shared" si="49"/>
        <v>1.1553278623575041</v>
      </c>
      <c r="AH103" s="417">
        <f t="shared" si="49"/>
        <v>1.155874484442674</v>
      </c>
      <c r="AI103" s="417">
        <f t="shared" si="49"/>
        <v>1.1564216299138308</v>
      </c>
      <c r="AJ103" s="417">
        <f t="shared" si="49"/>
        <v>1.1569692967418161</v>
      </c>
      <c r="AK103" s="417">
        <f t="shared" si="49"/>
        <v>1.1575174829148973</v>
      </c>
      <c r="AL103" s="417">
        <f t="shared" si="49"/>
        <v>1.1580661864386725</v>
      </c>
    </row>
    <row r="104" spans="1:38">
      <c r="A104" s="421"/>
      <c r="B104" s="411" t="s">
        <v>659</v>
      </c>
      <c r="C104" s="412" t="s">
        <v>660</v>
      </c>
      <c r="D104" s="414">
        <v>1</v>
      </c>
      <c r="E104" s="414">
        <v>1</v>
      </c>
      <c r="F104" s="414">
        <v>1</v>
      </c>
      <c r="G104" s="414">
        <v>1</v>
      </c>
      <c r="H104" s="414">
        <v>1</v>
      </c>
      <c r="I104" s="414">
        <v>1</v>
      </c>
      <c r="J104" s="414">
        <v>1</v>
      </c>
      <c r="K104" s="414">
        <v>1</v>
      </c>
      <c r="L104" s="414">
        <v>1</v>
      </c>
      <c r="M104" s="414">
        <v>1</v>
      </c>
      <c r="N104" s="414">
        <v>1</v>
      </c>
      <c r="O104" s="414">
        <v>1</v>
      </c>
      <c r="P104" s="414">
        <v>1</v>
      </c>
      <c r="Q104" s="414">
        <v>1</v>
      </c>
      <c r="R104" s="414">
        <v>1</v>
      </c>
      <c r="S104" s="414">
        <v>1</v>
      </c>
      <c r="T104" s="414">
        <v>1</v>
      </c>
      <c r="U104" s="414">
        <v>1</v>
      </c>
      <c r="V104" s="414">
        <v>1</v>
      </c>
      <c r="W104" s="414">
        <v>1</v>
      </c>
      <c r="X104" s="414">
        <v>1</v>
      </c>
      <c r="Y104" s="414">
        <v>1</v>
      </c>
      <c r="Z104" s="414">
        <v>1</v>
      </c>
      <c r="AA104" s="414">
        <v>1</v>
      </c>
      <c r="AB104" s="414">
        <v>1</v>
      </c>
      <c r="AC104" s="414">
        <v>1</v>
      </c>
      <c r="AD104" s="414">
        <v>1</v>
      </c>
      <c r="AE104" s="414">
        <v>1</v>
      </c>
      <c r="AF104" s="414">
        <v>1</v>
      </c>
      <c r="AG104" s="414">
        <v>1</v>
      </c>
      <c r="AH104" s="414">
        <v>1</v>
      </c>
      <c r="AI104" s="414">
        <v>1</v>
      </c>
      <c r="AJ104" s="414">
        <v>1</v>
      </c>
      <c r="AK104" s="414">
        <v>1</v>
      </c>
      <c r="AL104" s="414">
        <v>1</v>
      </c>
    </row>
    <row r="105" spans="1:38">
      <c r="A105" s="421"/>
      <c r="B105" s="411" t="s">
        <v>661</v>
      </c>
      <c r="C105" s="412" t="s">
        <v>662</v>
      </c>
      <c r="D105" s="414">
        <v>1</v>
      </c>
      <c r="E105" s="414">
        <v>1</v>
      </c>
      <c r="F105" s="414">
        <v>1</v>
      </c>
      <c r="G105" s="414">
        <v>1</v>
      </c>
      <c r="H105" s="414">
        <v>1</v>
      </c>
      <c r="I105" s="414">
        <v>1</v>
      </c>
      <c r="J105" s="414">
        <v>1</v>
      </c>
      <c r="K105" s="414">
        <v>1</v>
      </c>
      <c r="L105" s="414">
        <v>1</v>
      </c>
      <c r="M105" s="414">
        <v>1</v>
      </c>
      <c r="N105" s="414">
        <v>1</v>
      </c>
      <c r="O105" s="414">
        <v>1</v>
      </c>
      <c r="P105" s="414">
        <v>1</v>
      </c>
      <c r="Q105" s="414">
        <v>1</v>
      </c>
      <c r="R105" s="414">
        <v>1</v>
      </c>
      <c r="S105" s="414">
        <v>1</v>
      </c>
      <c r="T105" s="414">
        <v>1</v>
      </c>
      <c r="U105" s="414">
        <v>1</v>
      </c>
      <c r="V105" s="414">
        <v>1</v>
      </c>
      <c r="W105" s="414">
        <v>1</v>
      </c>
      <c r="X105" s="414">
        <v>1</v>
      </c>
      <c r="Y105" s="414">
        <v>1</v>
      </c>
      <c r="Z105" s="414">
        <v>1</v>
      </c>
      <c r="AA105" s="414">
        <v>1</v>
      </c>
      <c r="AB105" s="414">
        <v>1</v>
      </c>
      <c r="AC105" s="414">
        <v>1</v>
      </c>
      <c r="AD105" s="414">
        <v>1</v>
      </c>
      <c r="AE105" s="414">
        <v>1</v>
      </c>
      <c r="AF105" s="414">
        <v>1</v>
      </c>
      <c r="AG105" s="414">
        <v>1</v>
      </c>
      <c r="AH105" s="414">
        <v>1</v>
      </c>
      <c r="AI105" s="414">
        <v>1</v>
      </c>
      <c r="AJ105" s="414">
        <v>1</v>
      </c>
      <c r="AK105" s="414">
        <v>1</v>
      </c>
      <c r="AL105" s="414">
        <v>1</v>
      </c>
    </row>
    <row r="106" spans="1:38">
      <c r="A106" s="421"/>
      <c r="B106" s="411" t="s">
        <v>663</v>
      </c>
      <c r="C106" s="412" t="s">
        <v>664</v>
      </c>
      <c r="D106" s="414">
        <v>1</v>
      </c>
      <c r="E106" s="414">
        <v>1</v>
      </c>
      <c r="F106" s="414">
        <v>1</v>
      </c>
      <c r="G106" s="414">
        <v>1</v>
      </c>
      <c r="H106" s="414">
        <v>1</v>
      </c>
      <c r="I106" s="414">
        <v>1</v>
      </c>
      <c r="J106" s="414">
        <v>1</v>
      </c>
      <c r="K106" s="414">
        <v>1</v>
      </c>
      <c r="L106" s="414">
        <v>1</v>
      </c>
      <c r="M106" s="414">
        <v>1</v>
      </c>
      <c r="N106" s="414">
        <v>1</v>
      </c>
      <c r="O106" s="414">
        <v>1</v>
      </c>
      <c r="P106" s="414">
        <v>1</v>
      </c>
      <c r="Q106" s="414">
        <v>1</v>
      </c>
      <c r="R106" s="414">
        <v>1</v>
      </c>
      <c r="S106" s="414">
        <v>1</v>
      </c>
      <c r="T106" s="414">
        <v>1</v>
      </c>
      <c r="U106" s="414">
        <v>1</v>
      </c>
      <c r="V106" s="414">
        <v>1</v>
      </c>
      <c r="W106" s="414">
        <v>1</v>
      </c>
      <c r="X106" s="414">
        <v>1</v>
      </c>
      <c r="Y106" s="414">
        <v>1</v>
      </c>
      <c r="Z106" s="414">
        <v>1</v>
      </c>
      <c r="AA106" s="414">
        <v>1</v>
      </c>
      <c r="AB106" s="414">
        <v>1</v>
      </c>
      <c r="AC106" s="414">
        <v>1</v>
      </c>
      <c r="AD106" s="414">
        <v>1</v>
      </c>
      <c r="AE106" s="414">
        <v>1</v>
      </c>
      <c r="AF106" s="414">
        <v>1</v>
      </c>
      <c r="AG106" s="414">
        <v>1</v>
      </c>
      <c r="AH106" s="414">
        <v>1</v>
      </c>
      <c r="AI106" s="414">
        <v>1</v>
      </c>
      <c r="AJ106" s="414">
        <v>1</v>
      </c>
      <c r="AK106" s="414">
        <v>1</v>
      </c>
      <c r="AL106" s="414">
        <v>1</v>
      </c>
    </row>
    <row r="107" spans="1:38">
      <c r="A107" s="421"/>
      <c r="B107" s="411" t="s">
        <v>665</v>
      </c>
      <c r="C107" s="412" t="s">
        <v>666</v>
      </c>
      <c r="D107" s="414">
        <f>EXP(0.138*($D$10-1))</f>
        <v>1.1479755502741786</v>
      </c>
      <c r="E107" s="414">
        <f t="shared" ref="E107:AL107" si="50">EXP(0.138*($D$10-1))</f>
        <v>1.1479755502741786</v>
      </c>
      <c r="F107" s="414">
        <f t="shared" si="50"/>
        <v>1.1479755502741786</v>
      </c>
      <c r="G107" s="414">
        <f t="shared" si="50"/>
        <v>1.1479755502741786</v>
      </c>
      <c r="H107" s="414">
        <f t="shared" si="50"/>
        <v>1.1479755502741786</v>
      </c>
      <c r="I107" s="414">
        <f t="shared" si="50"/>
        <v>1.1479755502741786</v>
      </c>
      <c r="J107" s="414">
        <f t="shared" si="50"/>
        <v>1.1479755502741786</v>
      </c>
      <c r="K107" s="414">
        <f t="shared" si="50"/>
        <v>1.1479755502741786</v>
      </c>
      <c r="L107" s="414">
        <f t="shared" si="50"/>
        <v>1.1479755502741786</v>
      </c>
      <c r="M107" s="414">
        <f t="shared" si="50"/>
        <v>1.1479755502741786</v>
      </c>
      <c r="N107" s="414">
        <f t="shared" si="50"/>
        <v>1.1479755502741786</v>
      </c>
      <c r="O107" s="414">
        <f t="shared" si="50"/>
        <v>1.1479755502741786</v>
      </c>
      <c r="P107" s="414">
        <f t="shared" si="50"/>
        <v>1.1479755502741786</v>
      </c>
      <c r="Q107" s="414">
        <f t="shared" si="50"/>
        <v>1.1479755502741786</v>
      </c>
      <c r="R107" s="414">
        <f t="shared" si="50"/>
        <v>1.1479755502741786</v>
      </c>
      <c r="S107" s="414">
        <f t="shared" si="50"/>
        <v>1.1479755502741786</v>
      </c>
      <c r="T107" s="414">
        <f t="shared" si="50"/>
        <v>1.1479755502741786</v>
      </c>
      <c r="U107" s="414">
        <f t="shared" si="50"/>
        <v>1.1479755502741786</v>
      </c>
      <c r="V107" s="414">
        <f t="shared" si="50"/>
        <v>1.1479755502741786</v>
      </c>
      <c r="W107" s="414">
        <f t="shared" si="50"/>
        <v>1.1479755502741786</v>
      </c>
      <c r="X107" s="414">
        <f t="shared" si="50"/>
        <v>1.1479755502741786</v>
      </c>
      <c r="Y107" s="414">
        <f t="shared" si="50"/>
        <v>1.1479755502741786</v>
      </c>
      <c r="Z107" s="414">
        <f t="shared" si="50"/>
        <v>1.1479755502741786</v>
      </c>
      <c r="AA107" s="414">
        <f t="shared" si="50"/>
        <v>1.1479755502741786</v>
      </c>
      <c r="AB107" s="414">
        <f t="shared" si="50"/>
        <v>1.1479755502741786</v>
      </c>
      <c r="AC107" s="414">
        <f t="shared" si="50"/>
        <v>1.1479755502741786</v>
      </c>
      <c r="AD107" s="414">
        <f t="shared" si="50"/>
        <v>1.1479755502741786</v>
      </c>
      <c r="AE107" s="414">
        <f t="shared" si="50"/>
        <v>1.1479755502741786</v>
      </c>
      <c r="AF107" s="414">
        <f t="shared" si="50"/>
        <v>1.1479755502741786</v>
      </c>
      <c r="AG107" s="414">
        <f t="shared" si="50"/>
        <v>1.1479755502741786</v>
      </c>
      <c r="AH107" s="414">
        <f t="shared" si="50"/>
        <v>1.1479755502741786</v>
      </c>
      <c r="AI107" s="414">
        <f t="shared" si="50"/>
        <v>1.1479755502741786</v>
      </c>
      <c r="AJ107" s="414">
        <f t="shared" si="50"/>
        <v>1.1479755502741786</v>
      </c>
      <c r="AK107" s="414">
        <f t="shared" si="50"/>
        <v>1.1479755502741786</v>
      </c>
      <c r="AL107" s="414">
        <f t="shared" si="50"/>
        <v>1.1479755502741786</v>
      </c>
    </row>
    <row r="108" spans="1:38" ht="13">
      <c r="A108" s="421"/>
      <c r="B108" s="418"/>
      <c r="C108" s="419"/>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row>
    <row r="109" spans="1:38" ht="13">
      <c r="A109" s="421"/>
      <c r="B109" s="422" t="s">
        <v>668</v>
      </c>
      <c r="C109" s="408"/>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row>
    <row r="110" spans="1:38">
      <c r="A110" s="421"/>
      <c r="B110" s="411" t="s">
        <v>653</v>
      </c>
      <c r="C110" s="412" t="s">
        <v>654</v>
      </c>
      <c r="D110" s="423">
        <f>((D$77*D$78+0.2)/0.2)^(0.3116)</f>
        <v>22.453350745216493</v>
      </c>
      <c r="E110" s="423">
        <f t="shared" ref="E110:AL110" si="51">((E$77*E$78+0.2)/0.2)^(0.3116)</f>
        <v>22.73224261870342</v>
      </c>
      <c r="F110" s="423">
        <f t="shared" si="51"/>
        <v>23.014599091755098</v>
      </c>
      <c r="G110" s="423">
        <f t="shared" si="51"/>
        <v>23.300463190760098</v>
      </c>
      <c r="H110" s="423">
        <f t="shared" si="51"/>
        <v>25.80211364593907</v>
      </c>
      <c r="I110" s="423">
        <f t="shared" si="51"/>
        <v>26.122605567441362</v>
      </c>
      <c r="J110" s="423">
        <f t="shared" si="51"/>
        <v>26.447078733798939</v>
      </c>
      <c r="K110" s="423">
        <f t="shared" si="51"/>
        <v>26.775582591341294</v>
      </c>
      <c r="L110" s="423">
        <f t="shared" si="51"/>
        <v>27.108167200777505</v>
      </c>
      <c r="M110" s="423">
        <f t="shared" si="51"/>
        <v>27.444883244822989</v>
      </c>
      <c r="N110" s="423">
        <f t="shared" si="51"/>
        <v>27.785782035920999</v>
      </c>
      <c r="O110" s="423">
        <f t="shared" si="51"/>
        <v>28.130915524060129</v>
      </c>
      <c r="P110" s="423">
        <f t="shared" si="51"/>
        <v>28.480336304689118</v>
      </c>
      <c r="Q110" s="423">
        <f t="shared" si="51"/>
        <v>28.834097626730106</v>
      </c>
      <c r="R110" s="423">
        <f t="shared" si="51"/>
        <v>29.192253400691367</v>
      </c>
      <c r="S110" s="423">
        <f t="shared" si="51"/>
        <v>29.554858206881303</v>
      </c>
      <c r="T110" s="423">
        <f t="shared" si="51"/>
        <v>29.921967303724038</v>
      </c>
      <c r="U110" s="423">
        <f t="shared" si="51"/>
        <v>30.293636636178935</v>
      </c>
      <c r="V110" s="423">
        <f t="shared" si="51"/>
        <v>30.669922844264516</v>
      </c>
      <c r="W110" s="423">
        <f t="shared" si="51"/>
        <v>31.050883271688427</v>
      </c>
      <c r="X110" s="423">
        <f t="shared" si="51"/>
        <v>31.436575974584663</v>
      </c>
      <c r="Y110" s="423">
        <f t="shared" si="51"/>
        <v>31.827059730359565</v>
      </c>
      <c r="Z110" s="423">
        <f t="shared" si="51"/>
        <v>32.222394046647551</v>
      </c>
      <c r="AA110" s="423">
        <f t="shared" si="51"/>
        <v>32.622639170378442</v>
      </c>
      <c r="AB110" s="423">
        <f t="shared" si="51"/>
        <v>33.027856096957287</v>
      </c>
      <c r="AC110" s="423">
        <f t="shared" si="51"/>
        <v>33.438106579558465</v>
      </c>
      <c r="AD110" s="423">
        <f t="shared" si="51"/>
        <v>33.853453138535265</v>
      </c>
      <c r="AE110" s="423">
        <f t="shared" si="51"/>
        <v>34.273959070946304</v>
      </c>
      <c r="AF110" s="423">
        <f t="shared" si="51"/>
        <v>34.699688460200612</v>
      </c>
      <c r="AG110" s="423">
        <f t="shared" si="51"/>
        <v>35.130706185822397</v>
      </c>
      <c r="AH110" s="423">
        <f t="shared" si="51"/>
        <v>35.567077933337231</v>
      </c>
      <c r="AI110" s="423">
        <f t="shared" si="51"/>
        <v>36.008870204281173</v>
      </c>
      <c r="AJ110" s="423">
        <f t="shared" si="51"/>
        <v>36.456150326334175</v>
      </c>
      <c r="AK110" s="423">
        <f t="shared" si="51"/>
        <v>36.908986463579581</v>
      </c>
      <c r="AL110" s="423">
        <f t="shared" si="51"/>
        <v>37.367447626890964</v>
      </c>
    </row>
    <row r="111" spans="1:38">
      <c r="A111" s="421"/>
      <c r="B111" s="411" t="s">
        <v>655</v>
      </c>
      <c r="C111" s="412" t="s">
        <v>656</v>
      </c>
      <c r="D111" s="414">
        <f>EXP(0.2912*$D$9)</f>
        <v>1.3380321636239008</v>
      </c>
      <c r="E111" s="414">
        <f t="shared" ref="E111:AL111" si="52">EXP(0.2912*$D$9)</f>
        <v>1.3380321636239008</v>
      </c>
      <c r="F111" s="414">
        <f t="shared" si="52"/>
        <v>1.3380321636239008</v>
      </c>
      <c r="G111" s="414">
        <f t="shared" si="52"/>
        <v>1.3380321636239008</v>
      </c>
      <c r="H111" s="414">
        <f t="shared" si="52"/>
        <v>1.3380321636239008</v>
      </c>
      <c r="I111" s="414">
        <f t="shared" si="52"/>
        <v>1.3380321636239008</v>
      </c>
      <c r="J111" s="414">
        <f t="shared" si="52"/>
        <v>1.3380321636239008</v>
      </c>
      <c r="K111" s="414">
        <f t="shared" si="52"/>
        <v>1.3380321636239008</v>
      </c>
      <c r="L111" s="414">
        <f t="shared" si="52"/>
        <v>1.3380321636239008</v>
      </c>
      <c r="M111" s="414">
        <f t="shared" si="52"/>
        <v>1.3380321636239008</v>
      </c>
      <c r="N111" s="414">
        <f t="shared" si="52"/>
        <v>1.3380321636239008</v>
      </c>
      <c r="O111" s="414">
        <f t="shared" si="52"/>
        <v>1.3380321636239008</v>
      </c>
      <c r="P111" s="414">
        <f t="shared" si="52"/>
        <v>1.3380321636239008</v>
      </c>
      <c r="Q111" s="414">
        <f t="shared" si="52"/>
        <v>1.3380321636239008</v>
      </c>
      <c r="R111" s="414">
        <f t="shared" si="52"/>
        <v>1.3380321636239008</v>
      </c>
      <c r="S111" s="414">
        <f t="shared" si="52"/>
        <v>1.3380321636239008</v>
      </c>
      <c r="T111" s="414">
        <f t="shared" si="52"/>
        <v>1.3380321636239008</v>
      </c>
      <c r="U111" s="414">
        <f t="shared" si="52"/>
        <v>1.3380321636239008</v>
      </c>
      <c r="V111" s="414">
        <f t="shared" si="52"/>
        <v>1.3380321636239008</v>
      </c>
      <c r="W111" s="414">
        <f t="shared" si="52"/>
        <v>1.3380321636239008</v>
      </c>
      <c r="X111" s="414">
        <f t="shared" si="52"/>
        <v>1.3380321636239008</v>
      </c>
      <c r="Y111" s="414">
        <f t="shared" si="52"/>
        <v>1.3380321636239008</v>
      </c>
      <c r="Z111" s="414">
        <f t="shared" si="52"/>
        <v>1.3380321636239008</v>
      </c>
      <c r="AA111" s="414">
        <f t="shared" si="52"/>
        <v>1.3380321636239008</v>
      </c>
      <c r="AB111" s="414">
        <f t="shared" si="52"/>
        <v>1.3380321636239008</v>
      </c>
      <c r="AC111" s="414">
        <f t="shared" si="52"/>
        <v>1.3380321636239008</v>
      </c>
      <c r="AD111" s="414">
        <f t="shared" si="52"/>
        <v>1.3380321636239008</v>
      </c>
      <c r="AE111" s="414">
        <f t="shared" si="52"/>
        <v>1.3380321636239008</v>
      </c>
      <c r="AF111" s="414">
        <f t="shared" si="52"/>
        <v>1.3380321636239008</v>
      </c>
      <c r="AG111" s="414">
        <f t="shared" si="52"/>
        <v>1.3380321636239008</v>
      </c>
      <c r="AH111" s="414">
        <f t="shared" si="52"/>
        <v>1.3380321636239008</v>
      </c>
      <c r="AI111" s="414">
        <f t="shared" si="52"/>
        <v>1.3380321636239008</v>
      </c>
      <c r="AJ111" s="414">
        <f t="shared" si="52"/>
        <v>1.3380321636239008</v>
      </c>
      <c r="AK111" s="414">
        <f t="shared" si="52"/>
        <v>1.3380321636239008</v>
      </c>
      <c r="AL111" s="414">
        <f t="shared" si="52"/>
        <v>1.3380321636239008</v>
      </c>
    </row>
    <row r="112" spans="1:38">
      <c r="A112" s="421"/>
      <c r="B112" s="411" t="s">
        <v>657</v>
      </c>
      <c r="C112" s="416" t="s">
        <v>658</v>
      </c>
      <c r="D112" s="414">
        <v>1</v>
      </c>
      <c r="E112" s="414">
        <v>1</v>
      </c>
      <c r="F112" s="414">
        <v>1</v>
      </c>
      <c r="G112" s="414">
        <v>1</v>
      </c>
      <c r="H112" s="414">
        <v>1</v>
      </c>
      <c r="I112" s="414">
        <v>1</v>
      </c>
      <c r="J112" s="414">
        <v>1</v>
      </c>
      <c r="K112" s="414">
        <v>1</v>
      </c>
      <c r="L112" s="414">
        <v>1</v>
      </c>
      <c r="M112" s="414">
        <v>1</v>
      </c>
      <c r="N112" s="414">
        <v>1</v>
      </c>
      <c r="O112" s="414">
        <v>1</v>
      </c>
      <c r="P112" s="414">
        <v>1</v>
      </c>
      <c r="Q112" s="414">
        <v>1</v>
      </c>
      <c r="R112" s="414">
        <v>1</v>
      </c>
      <c r="S112" s="414">
        <v>1</v>
      </c>
      <c r="T112" s="414">
        <v>1</v>
      </c>
      <c r="U112" s="414">
        <v>1</v>
      </c>
      <c r="V112" s="414">
        <v>1</v>
      </c>
      <c r="W112" s="414">
        <v>1</v>
      </c>
      <c r="X112" s="414">
        <v>1</v>
      </c>
      <c r="Y112" s="414">
        <v>1</v>
      </c>
      <c r="Z112" s="414">
        <v>1</v>
      </c>
      <c r="AA112" s="414">
        <v>1</v>
      </c>
      <c r="AB112" s="414">
        <v>1</v>
      </c>
      <c r="AC112" s="414">
        <v>1</v>
      </c>
      <c r="AD112" s="414">
        <v>1</v>
      </c>
      <c r="AE112" s="414">
        <v>1</v>
      </c>
      <c r="AF112" s="414">
        <v>1</v>
      </c>
      <c r="AG112" s="414">
        <v>1</v>
      </c>
      <c r="AH112" s="414">
        <v>1</v>
      </c>
      <c r="AI112" s="414">
        <v>1</v>
      </c>
      <c r="AJ112" s="414">
        <v>1</v>
      </c>
      <c r="AK112" s="414">
        <v>1</v>
      </c>
      <c r="AL112" s="414">
        <v>1</v>
      </c>
    </row>
    <row r="113" spans="1:38">
      <c r="A113" s="421"/>
      <c r="B113" s="411" t="s">
        <v>659</v>
      </c>
      <c r="C113" s="412" t="s">
        <v>660</v>
      </c>
      <c r="D113" s="414">
        <v>1</v>
      </c>
      <c r="E113" s="414">
        <v>1</v>
      </c>
      <c r="F113" s="414">
        <v>1</v>
      </c>
      <c r="G113" s="414">
        <v>1</v>
      </c>
      <c r="H113" s="414">
        <v>1</v>
      </c>
      <c r="I113" s="414">
        <v>1</v>
      </c>
      <c r="J113" s="414">
        <v>1</v>
      </c>
      <c r="K113" s="414">
        <v>1</v>
      </c>
      <c r="L113" s="414">
        <v>1</v>
      </c>
      <c r="M113" s="414">
        <v>1</v>
      </c>
      <c r="N113" s="414">
        <v>1</v>
      </c>
      <c r="O113" s="414">
        <v>1</v>
      </c>
      <c r="P113" s="414">
        <v>1</v>
      </c>
      <c r="Q113" s="414">
        <v>1</v>
      </c>
      <c r="R113" s="414">
        <v>1</v>
      </c>
      <c r="S113" s="414">
        <v>1</v>
      </c>
      <c r="T113" s="414">
        <v>1</v>
      </c>
      <c r="U113" s="414">
        <v>1</v>
      </c>
      <c r="V113" s="414">
        <v>1</v>
      </c>
      <c r="W113" s="414">
        <v>1</v>
      </c>
      <c r="X113" s="414">
        <v>1</v>
      </c>
      <c r="Y113" s="414">
        <v>1</v>
      </c>
      <c r="Z113" s="414">
        <v>1</v>
      </c>
      <c r="AA113" s="414">
        <v>1</v>
      </c>
      <c r="AB113" s="414">
        <v>1</v>
      </c>
      <c r="AC113" s="414">
        <v>1</v>
      </c>
      <c r="AD113" s="414">
        <v>1</v>
      </c>
      <c r="AE113" s="414">
        <v>1</v>
      </c>
      <c r="AF113" s="414">
        <v>1</v>
      </c>
      <c r="AG113" s="414">
        <v>1</v>
      </c>
      <c r="AH113" s="414">
        <v>1</v>
      </c>
      <c r="AI113" s="414">
        <v>1</v>
      </c>
      <c r="AJ113" s="414">
        <v>1</v>
      </c>
      <c r="AK113" s="414">
        <v>1</v>
      </c>
      <c r="AL113" s="414">
        <v>1</v>
      </c>
    </row>
    <row r="114" spans="1:38">
      <c r="A114" s="421"/>
      <c r="B114" s="411" t="s">
        <v>661</v>
      </c>
      <c r="C114" s="412" t="s">
        <v>662</v>
      </c>
      <c r="D114" s="414">
        <v>1</v>
      </c>
      <c r="E114" s="414">
        <v>1</v>
      </c>
      <c r="F114" s="414">
        <v>1</v>
      </c>
      <c r="G114" s="414">
        <v>1</v>
      </c>
      <c r="H114" s="414">
        <v>1</v>
      </c>
      <c r="I114" s="414">
        <v>1</v>
      </c>
      <c r="J114" s="414">
        <v>1</v>
      </c>
      <c r="K114" s="414">
        <v>1</v>
      </c>
      <c r="L114" s="414">
        <v>1</v>
      </c>
      <c r="M114" s="414">
        <v>1</v>
      </c>
      <c r="N114" s="414">
        <v>1</v>
      </c>
      <c r="O114" s="414">
        <v>1</v>
      </c>
      <c r="P114" s="414">
        <v>1</v>
      </c>
      <c r="Q114" s="414">
        <v>1</v>
      </c>
      <c r="R114" s="414">
        <v>1</v>
      </c>
      <c r="S114" s="414">
        <v>1</v>
      </c>
      <c r="T114" s="414">
        <v>1</v>
      </c>
      <c r="U114" s="414">
        <v>1</v>
      </c>
      <c r="V114" s="414">
        <v>1</v>
      </c>
      <c r="W114" s="414">
        <v>1</v>
      </c>
      <c r="X114" s="414">
        <v>1</v>
      </c>
      <c r="Y114" s="414">
        <v>1</v>
      </c>
      <c r="Z114" s="414">
        <v>1</v>
      </c>
      <c r="AA114" s="414">
        <v>1</v>
      </c>
      <c r="AB114" s="414">
        <v>1</v>
      </c>
      <c r="AC114" s="414">
        <v>1</v>
      </c>
      <c r="AD114" s="414">
        <v>1</v>
      </c>
      <c r="AE114" s="414">
        <v>1</v>
      </c>
      <c r="AF114" s="414">
        <v>1</v>
      </c>
      <c r="AG114" s="414">
        <v>1</v>
      </c>
      <c r="AH114" s="414">
        <v>1</v>
      </c>
      <c r="AI114" s="414">
        <v>1</v>
      </c>
      <c r="AJ114" s="414">
        <v>1</v>
      </c>
      <c r="AK114" s="414">
        <v>1</v>
      </c>
      <c r="AL114" s="414">
        <v>1</v>
      </c>
    </row>
    <row r="115" spans="1:38">
      <c r="A115" s="421"/>
      <c r="B115" s="411" t="s">
        <v>663</v>
      </c>
      <c r="C115" s="412" t="s">
        <v>664</v>
      </c>
      <c r="D115" s="414">
        <v>1</v>
      </c>
      <c r="E115" s="414">
        <v>1</v>
      </c>
      <c r="F115" s="414">
        <v>1</v>
      </c>
      <c r="G115" s="414">
        <v>1</v>
      </c>
      <c r="H115" s="414">
        <v>1</v>
      </c>
      <c r="I115" s="414">
        <v>1</v>
      </c>
      <c r="J115" s="414">
        <v>1</v>
      </c>
      <c r="K115" s="414">
        <v>1</v>
      </c>
      <c r="L115" s="414">
        <v>1</v>
      </c>
      <c r="M115" s="414">
        <v>1</v>
      </c>
      <c r="N115" s="414">
        <v>1</v>
      </c>
      <c r="O115" s="414">
        <v>1</v>
      </c>
      <c r="P115" s="414">
        <v>1</v>
      </c>
      <c r="Q115" s="414">
        <v>1</v>
      </c>
      <c r="R115" s="414">
        <v>1</v>
      </c>
      <c r="S115" s="414">
        <v>1</v>
      </c>
      <c r="T115" s="414">
        <v>1</v>
      </c>
      <c r="U115" s="414">
        <v>1</v>
      </c>
      <c r="V115" s="414">
        <v>1</v>
      </c>
      <c r="W115" s="414">
        <v>1</v>
      </c>
      <c r="X115" s="414">
        <v>1</v>
      </c>
      <c r="Y115" s="414">
        <v>1</v>
      </c>
      <c r="Z115" s="414">
        <v>1</v>
      </c>
      <c r="AA115" s="414">
        <v>1</v>
      </c>
      <c r="AB115" s="414">
        <v>1</v>
      </c>
      <c r="AC115" s="414">
        <v>1</v>
      </c>
      <c r="AD115" s="414">
        <v>1</v>
      </c>
      <c r="AE115" s="414">
        <v>1</v>
      </c>
      <c r="AF115" s="414">
        <v>1</v>
      </c>
      <c r="AG115" s="414">
        <v>1</v>
      </c>
      <c r="AH115" s="414">
        <v>1</v>
      </c>
      <c r="AI115" s="414">
        <v>1</v>
      </c>
      <c r="AJ115" s="414">
        <v>1</v>
      </c>
      <c r="AK115" s="414">
        <v>1</v>
      </c>
      <c r="AL115" s="414">
        <v>1</v>
      </c>
    </row>
    <row r="116" spans="1:38">
      <c r="A116" s="421"/>
      <c r="B116" s="424" t="s">
        <v>665</v>
      </c>
      <c r="C116" s="425" t="s">
        <v>666</v>
      </c>
      <c r="D116" s="426">
        <f>EXP(0.1036*($D$10-1))</f>
        <v>1.1091567034898182</v>
      </c>
      <c r="E116" s="426">
        <f t="shared" ref="E116:AL116" si="53">EXP(0.1036*($D$10-1))</f>
        <v>1.1091567034898182</v>
      </c>
      <c r="F116" s="426">
        <f t="shared" si="53"/>
        <v>1.1091567034898182</v>
      </c>
      <c r="G116" s="426">
        <f t="shared" si="53"/>
        <v>1.1091567034898182</v>
      </c>
      <c r="H116" s="426">
        <f t="shared" si="53"/>
        <v>1.1091567034898182</v>
      </c>
      <c r="I116" s="426">
        <f t="shared" si="53"/>
        <v>1.1091567034898182</v>
      </c>
      <c r="J116" s="426">
        <f t="shared" si="53"/>
        <v>1.1091567034898182</v>
      </c>
      <c r="K116" s="426">
        <f t="shared" si="53"/>
        <v>1.1091567034898182</v>
      </c>
      <c r="L116" s="426">
        <f t="shared" si="53"/>
        <v>1.1091567034898182</v>
      </c>
      <c r="M116" s="426">
        <f t="shared" si="53"/>
        <v>1.1091567034898182</v>
      </c>
      <c r="N116" s="426">
        <f t="shared" si="53"/>
        <v>1.1091567034898182</v>
      </c>
      <c r="O116" s="426">
        <f t="shared" si="53"/>
        <v>1.1091567034898182</v>
      </c>
      <c r="P116" s="426">
        <f t="shared" si="53"/>
        <v>1.1091567034898182</v>
      </c>
      <c r="Q116" s="426">
        <f t="shared" si="53"/>
        <v>1.1091567034898182</v>
      </c>
      <c r="R116" s="426">
        <f t="shared" si="53"/>
        <v>1.1091567034898182</v>
      </c>
      <c r="S116" s="426">
        <f t="shared" si="53"/>
        <v>1.1091567034898182</v>
      </c>
      <c r="T116" s="426">
        <f t="shared" si="53"/>
        <v>1.1091567034898182</v>
      </c>
      <c r="U116" s="426">
        <f t="shared" si="53"/>
        <v>1.1091567034898182</v>
      </c>
      <c r="V116" s="426">
        <f t="shared" si="53"/>
        <v>1.1091567034898182</v>
      </c>
      <c r="W116" s="426">
        <f t="shared" si="53"/>
        <v>1.1091567034898182</v>
      </c>
      <c r="X116" s="426">
        <f t="shared" si="53"/>
        <v>1.1091567034898182</v>
      </c>
      <c r="Y116" s="426">
        <f t="shared" si="53"/>
        <v>1.1091567034898182</v>
      </c>
      <c r="Z116" s="426">
        <f t="shared" si="53"/>
        <v>1.1091567034898182</v>
      </c>
      <c r="AA116" s="426">
        <f t="shared" si="53"/>
        <v>1.1091567034898182</v>
      </c>
      <c r="AB116" s="426">
        <f t="shared" si="53"/>
        <v>1.1091567034898182</v>
      </c>
      <c r="AC116" s="426">
        <f t="shared" si="53"/>
        <v>1.1091567034898182</v>
      </c>
      <c r="AD116" s="426">
        <f t="shared" si="53"/>
        <v>1.1091567034898182</v>
      </c>
      <c r="AE116" s="426">
        <f t="shared" si="53"/>
        <v>1.1091567034898182</v>
      </c>
      <c r="AF116" s="426">
        <f t="shared" si="53"/>
        <v>1.1091567034898182</v>
      </c>
      <c r="AG116" s="426">
        <f t="shared" si="53"/>
        <v>1.1091567034898182</v>
      </c>
      <c r="AH116" s="426">
        <f t="shared" si="53"/>
        <v>1.1091567034898182</v>
      </c>
      <c r="AI116" s="426">
        <f t="shared" si="53"/>
        <v>1.1091567034898182</v>
      </c>
      <c r="AJ116" s="426">
        <f t="shared" si="53"/>
        <v>1.1091567034898182</v>
      </c>
      <c r="AK116" s="426">
        <f t="shared" si="53"/>
        <v>1.1091567034898182</v>
      </c>
      <c r="AL116" s="426">
        <f t="shared" si="53"/>
        <v>1.1091567034898182</v>
      </c>
    </row>
    <row r="117" spans="1:38">
      <c r="B117" s="362"/>
      <c r="C117" s="427" t="s">
        <v>290</v>
      </c>
      <c r="D117" s="415"/>
      <c r="E117" s="415"/>
      <c r="F117" s="415"/>
      <c r="G117" s="415"/>
      <c r="H117" s="1235"/>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row>
    <row r="118" spans="1:38">
      <c r="B118" s="362" t="s">
        <v>669</v>
      </c>
      <c r="C118" s="428">
        <f>$E$6</f>
        <v>2.2680000000000001E-3</v>
      </c>
      <c r="D118" s="429">
        <f>IF($D$6=$B91,$C$118*PRODUCT(D$92:D$98),IF($D$6=$B100,$C$118*PRODUCT(D$101:D$107), $C$118*PRODUCT(D$110:D$116)))</f>
        <v>6.9186796763040875E-2</v>
      </c>
      <c r="E118" s="429">
        <f t="shared" ref="E118:AK118" si="54">IF($D$6=$B91,$C$118*PRODUCT(E$92:E$98),IF($D$6=$B100,$C$118*PRODUCT(E$101:E$107), $C$118*PRODUCT(E$110:E$116)))</f>
        <v>7.0196704766385717E-2</v>
      </c>
      <c r="F118" s="429">
        <f t="shared" si="54"/>
        <v>7.122144191158547E-2</v>
      </c>
      <c r="G118" s="429">
        <f t="shared" si="54"/>
        <v>7.2261226398048592E-2</v>
      </c>
      <c r="H118" s="429">
        <f t="shared" si="54"/>
        <v>8.4855300143018605E-2</v>
      </c>
      <c r="I118" s="429">
        <f t="shared" si="54"/>
        <v>8.6097629384752503E-2</v>
      </c>
      <c r="J118" s="429">
        <f t="shared" si="54"/>
        <v>8.7358220324800728E-2</v>
      </c>
      <c r="K118" s="429">
        <f t="shared" si="54"/>
        <v>8.8637341742808545E-2</v>
      </c>
      <c r="L118" s="429">
        <f t="shared" si="54"/>
        <v>8.9935266376334283E-2</v>
      </c>
      <c r="M118" s="429">
        <f t="shared" si="54"/>
        <v>9.1252270979116756E-2</v>
      </c>
      <c r="N118" s="429">
        <f t="shared" si="54"/>
        <v>9.2588636380201192E-2</v>
      </c>
      <c r="O118" s="429">
        <f t="shared" si="54"/>
        <v>9.3944647543935611E-2</v>
      </c>
      <c r="P118" s="429">
        <f t="shared" si="54"/>
        <v>9.5320593630851422E-2</v>
      </c>
      <c r="Q118" s="429">
        <f t="shared" si="54"/>
        <v>9.6716768059440808E-2</v>
      </c>
      <c r="R118" s="429">
        <f t="shared" si="54"/>
        <v>9.8133468568843668E-2</v>
      </c>
      <c r="S118" s="429">
        <f t="shared" si="54"/>
        <v>9.9570997282458898E-2</v>
      </c>
      <c r="T118" s="429">
        <f t="shared" si="54"/>
        <v>0.10102966077249109</v>
      </c>
      <c r="U118" s="429">
        <f t="shared" si="54"/>
        <v>0.1025097701254496</v>
      </c>
      <c r="V118" s="429">
        <f t="shared" si="54"/>
        <v>0.1040116410086116</v>
      </c>
      <c r="W118" s="429">
        <f t="shared" si="54"/>
        <v>0.10553559373746402</v>
      </c>
      <c r="X118" s="429">
        <f t="shared" si="54"/>
        <v>0.10708195334413921</v>
      </c>
      <c r="Y118" s="429">
        <f t="shared" si="54"/>
        <v>0.10865104964685822</v>
      </c>
      <c r="Z118" s="429">
        <f t="shared" si="54"/>
        <v>0.11024321732039734</v>
      </c>
      <c r="AA118" s="429">
        <f t="shared" si="54"/>
        <v>0.11185879596759225</v>
      </c>
      <c r="AB118" s="429">
        <f t="shared" si="54"/>
        <v>0.11349813019189516</v>
      </c>
      <c r="AC118" s="429">
        <f t="shared" si="54"/>
        <v>0.11516156967100113</v>
      </c>
      <c r="AD118" s="429">
        <f t="shared" si="54"/>
        <v>0.11684946923155848</v>
      </c>
      <c r="AE118" s="429">
        <f t="shared" si="54"/>
        <v>0.1185621889249792</v>
      </c>
      <c r="AF118" s="429">
        <f t="shared" si="54"/>
        <v>0.12030009410436678</v>
      </c>
      <c r="AG118" s="429">
        <f t="shared" si="54"/>
        <v>0.12206355550257636</v>
      </c>
      <c r="AH118" s="429">
        <f t="shared" si="54"/>
        <v>0.12385294931142465</v>
      </c>
      <c r="AI118" s="429">
        <f t="shared" si="54"/>
        <v>0.12566865726206683</v>
      </c>
      <c r="AJ118" s="429">
        <f t="shared" si="54"/>
        <v>0.1275110667065566</v>
      </c>
      <c r="AK118" s="429">
        <f t="shared" si="54"/>
        <v>0.12938057070060788</v>
      </c>
      <c r="AL118" s="429">
        <f t="shared" ref="AL118" si="55">IF($D$6=$B91,$C$118*PRODUCT(AL$92:AL$98),IF($D$6=$B100,$C$118*PRODUCT(AL$101:AL$107), $C$118*PRODUCT(AL$110:AL$116)))</f>
        <v>0.13127756808757557</v>
      </c>
    </row>
    <row r="119" spans="1:38">
      <c r="H119" s="1228"/>
    </row>
    <row r="120" spans="1:38" ht="13">
      <c r="B120" s="407" t="s">
        <v>670</v>
      </c>
      <c r="C120" s="396" t="s">
        <v>627</v>
      </c>
      <c r="D120" s="397">
        <v>2018</v>
      </c>
      <c r="E120" s="397">
        <v>2020</v>
      </c>
      <c r="F120" s="397">
        <v>2021</v>
      </c>
      <c r="G120" s="397">
        <v>2022</v>
      </c>
      <c r="H120" s="1238">
        <v>2023</v>
      </c>
      <c r="I120" s="397">
        <v>2024</v>
      </c>
      <c r="J120" s="397">
        <v>2025</v>
      </c>
      <c r="K120" s="397">
        <v>2026</v>
      </c>
      <c r="L120" s="397">
        <v>2027</v>
      </c>
      <c r="M120" s="397">
        <v>2028</v>
      </c>
      <c r="N120" s="397">
        <v>2029</v>
      </c>
      <c r="O120" s="397">
        <v>2030</v>
      </c>
      <c r="P120" s="397">
        <v>2031</v>
      </c>
      <c r="Q120" s="397">
        <v>2032</v>
      </c>
      <c r="R120" s="397">
        <v>2033</v>
      </c>
      <c r="S120" s="397">
        <v>2034</v>
      </c>
      <c r="T120" s="397">
        <v>2035</v>
      </c>
      <c r="U120" s="397">
        <v>2036</v>
      </c>
      <c r="V120" s="397">
        <v>2037</v>
      </c>
      <c r="W120" s="397">
        <v>2038</v>
      </c>
      <c r="X120" s="397">
        <v>2039</v>
      </c>
      <c r="Y120" s="397">
        <v>2040</v>
      </c>
      <c r="Z120" s="397">
        <v>2041</v>
      </c>
      <c r="AA120" s="397">
        <v>2042</v>
      </c>
      <c r="AB120" s="397">
        <v>2043</v>
      </c>
      <c r="AC120" s="397">
        <v>2044</v>
      </c>
      <c r="AD120" s="397">
        <v>2044</v>
      </c>
      <c r="AE120" s="397">
        <v>2044</v>
      </c>
      <c r="AF120" s="397">
        <v>2044</v>
      </c>
      <c r="AG120" s="397">
        <v>2044</v>
      </c>
      <c r="AH120" s="397">
        <v>2044</v>
      </c>
      <c r="AI120" s="397">
        <v>2044</v>
      </c>
      <c r="AJ120" s="397">
        <v>2044</v>
      </c>
      <c r="AK120" s="397">
        <v>2044</v>
      </c>
      <c r="AL120" s="397">
        <v>2044</v>
      </c>
    </row>
    <row r="121" spans="1:38">
      <c r="A121" s="366"/>
      <c r="B121" s="366" t="s">
        <v>671</v>
      </c>
      <c r="C121" s="430" t="s">
        <v>662</v>
      </c>
      <c r="D121" s="431">
        <f>D82^(-1.074)</f>
        <v>0.11486407065121609</v>
      </c>
      <c r="E121" s="431">
        <f t="shared" ref="E121:AK121" si="56">E82^(-1.074)</f>
        <v>0.11486407065121609</v>
      </c>
      <c r="F121" s="431">
        <f t="shared" si="56"/>
        <v>0.11486407065121609</v>
      </c>
      <c r="G121" s="431">
        <f t="shared" si="56"/>
        <v>0.11486407065121609</v>
      </c>
      <c r="H121" s="431">
        <f t="shared" si="56"/>
        <v>0.11486407065121609</v>
      </c>
      <c r="I121" s="431">
        <f t="shared" si="56"/>
        <v>0.11486407065121609</v>
      </c>
      <c r="J121" s="431">
        <f t="shared" si="56"/>
        <v>0.11486407065121609</v>
      </c>
      <c r="K121" s="431">
        <f t="shared" si="56"/>
        <v>0.11486407065121609</v>
      </c>
      <c r="L121" s="431">
        <f t="shared" si="56"/>
        <v>0.11486407065121609</v>
      </c>
      <c r="M121" s="431">
        <f t="shared" si="56"/>
        <v>0.11486407065121609</v>
      </c>
      <c r="N121" s="431">
        <f t="shared" si="56"/>
        <v>0.11486407065121609</v>
      </c>
      <c r="O121" s="431">
        <f t="shared" si="56"/>
        <v>0.11486407065121609</v>
      </c>
      <c r="P121" s="431">
        <f t="shared" si="56"/>
        <v>0.11486407065121609</v>
      </c>
      <c r="Q121" s="431">
        <f t="shared" si="56"/>
        <v>0.11486407065121609</v>
      </c>
      <c r="R121" s="431">
        <f t="shared" si="56"/>
        <v>0.11486407065121609</v>
      </c>
      <c r="S121" s="431">
        <f t="shared" si="56"/>
        <v>0.11486407065121609</v>
      </c>
      <c r="T121" s="431">
        <f t="shared" si="56"/>
        <v>0.11486407065121609</v>
      </c>
      <c r="U121" s="431">
        <f t="shared" si="56"/>
        <v>0.11486407065121609</v>
      </c>
      <c r="V121" s="431">
        <f t="shared" si="56"/>
        <v>0.11486407065121609</v>
      </c>
      <c r="W121" s="431">
        <f t="shared" si="56"/>
        <v>0.11486407065121609</v>
      </c>
      <c r="X121" s="431">
        <f t="shared" si="56"/>
        <v>0.11486407065121609</v>
      </c>
      <c r="Y121" s="431">
        <f t="shared" si="56"/>
        <v>0.11486407065121609</v>
      </c>
      <c r="Z121" s="431">
        <f t="shared" si="56"/>
        <v>0.11486407065121609</v>
      </c>
      <c r="AA121" s="431">
        <f t="shared" si="56"/>
        <v>0.11486407065121609</v>
      </c>
      <c r="AB121" s="431">
        <f t="shared" si="56"/>
        <v>0.11486407065121609</v>
      </c>
      <c r="AC121" s="431">
        <f t="shared" si="56"/>
        <v>0.11486407065121609</v>
      </c>
      <c r="AD121" s="431">
        <f t="shared" si="56"/>
        <v>0.11486407065121609</v>
      </c>
      <c r="AE121" s="431">
        <f t="shared" si="56"/>
        <v>0.11486407065121609</v>
      </c>
      <c r="AF121" s="431">
        <f t="shared" si="56"/>
        <v>0.11486407065121609</v>
      </c>
      <c r="AG121" s="431">
        <f t="shared" si="56"/>
        <v>0.11486407065121609</v>
      </c>
      <c r="AH121" s="431">
        <f t="shared" si="56"/>
        <v>0.11486407065121609</v>
      </c>
      <c r="AI121" s="431">
        <f t="shared" si="56"/>
        <v>0.11486407065121609</v>
      </c>
      <c r="AJ121" s="431">
        <f t="shared" si="56"/>
        <v>0.11486407065121609</v>
      </c>
      <c r="AK121" s="431">
        <f t="shared" si="56"/>
        <v>0.11486407065121609</v>
      </c>
      <c r="AL121" s="431">
        <f t="shared" ref="AL121" si="57">AL82^(-1.074)</f>
        <v>0.11486407065121609</v>
      </c>
    </row>
    <row r="122" spans="1:38">
      <c r="B122" s="358" t="s">
        <v>606</v>
      </c>
      <c r="C122" s="419" t="s">
        <v>672</v>
      </c>
      <c r="D122" s="417">
        <f>(D$17+1)^(-0.1025)</f>
        <v>0.81841688605541607</v>
      </c>
      <c r="E122" s="417">
        <f t="shared" ref="E122:AL122" si="58">(E$17+1)^(-0.1025)</f>
        <v>0.81765690702612781</v>
      </c>
      <c r="F122" s="417">
        <f t="shared" si="58"/>
        <v>0.81689650954219895</v>
      </c>
      <c r="G122" s="417">
        <f t="shared" si="58"/>
        <v>0.81613570459200147</v>
      </c>
      <c r="H122" s="417">
        <f t="shared" si="58"/>
        <v>0.81537450309664339</v>
      </c>
      <c r="I122" s="417">
        <f t="shared" si="58"/>
        <v>0.81461291590967277</v>
      </c>
      <c r="J122" s="417">
        <f t="shared" si="58"/>
        <v>0.81385095381679629</v>
      </c>
      <c r="K122" s="417">
        <f t="shared" si="58"/>
        <v>0.81308862753561317</v>
      </c>
      <c r="L122" s="417">
        <f t="shared" si="58"/>
        <v>0.81232594771536493</v>
      </c>
      <c r="M122" s="417">
        <f t="shared" si="58"/>
        <v>0.81156292493670046</v>
      </c>
      <c r="N122" s="417">
        <f t="shared" si="58"/>
        <v>0.81079956971145628</v>
      </c>
      <c r="O122" s="417">
        <f t="shared" si="58"/>
        <v>0.81003589248245045</v>
      </c>
      <c r="P122" s="417">
        <f t="shared" si="58"/>
        <v>0.80927190362329249</v>
      </c>
      <c r="Q122" s="417">
        <f t="shared" si="58"/>
        <v>0.80850761343820632</v>
      </c>
      <c r="R122" s="417">
        <f t="shared" si="58"/>
        <v>0.80774303216186893</v>
      </c>
      <c r="S122" s="417">
        <f t="shared" si="58"/>
        <v>0.8069781699592613</v>
      </c>
      <c r="T122" s="417">
        <f t="shared" si="58"/>
        <v>0.80621303692553392</v>
      </c>
      <c r="U122" s="417">
        <f t="shared" si="58"/>
        <v>0.80544764308588568</v>
      </c>
      <c r="V122" s="417">
        <f t="shared" si="58"/>
        <v>0.8046819983954564</v>
      </c>
      <c r="W122" s="417">
        <f t="shared" si="58"/>
        <v>0.80391611273923169</v>
      </c>
      <c r="X122" s="417">
        <f t="shared" si="58"/>
        <v>0.80314999593196079</v>
      </c>
      <c r="Y122" s="417">
        <f t="shared" si="58"/>
        <v>0.80238365771808795</v>
      </c>
      <c r="Z122" s="417">
        <f t="shared" si="58"/>
        <v>0.80161710777169504</v>
      </c>
      <c r="AA122" s="417">
        <f t="shared" si="58"/>
        <v>0.80085035569645713</v>
      </c>
      <c r="AB122" s="417">
        <f t="shared" si="58"/>
        <v>0.80008341102560987</v>
      </c>
      <c r="AC122" s="417">
        <f t="shared" si="58"/>
        <v>0.79931628322192838</v>
      </c>
      <c r="AD122" s="417">
        <f t="shared" si="58"/>
        <v>0.79854898167771826</v>
      </c>
      <c r="AE122" s="417">
        <f t="shared" si="58"/>
        <v>0.7977815157148177</v>
      </c>
      <c r="AF122" s="417">
        <f t="shared" si="58"/>
        <v>0.79701389458460981</v>
      </c>
      <c r="AG122" s="417">
        <f t="shared" si="58"/>
        <v>0.79624612746804801</v>
      </c>
      <c r="AH122" s="417">
        <f t="shared" si="58"/>
        <v>0.79547822347569053</v>
      </c>
      <c r="AI122" s="417">
        <f t="shared" si="58"/>
        <v>0.79471019164774515</v>
      </c>
      <c r="AJ122" s="417">
        <f t="shared" si="58"/>
        <v>0.79394204095412557</v>
      </c>
      <c r="AK122" s="417">
        <f t="shared" si="58"/>
        <v>0.79317378029451702</v>
      </c>
      <c r="AL122" s="417">
        <f t="shared" si="58"/>
        <v>0.79240541849845181</v>
      </c>
    </row>
    <row r="123" spans="1:38">
      <c r="B123" s="358" t="s">
        <v>673</v>
      </c>
      <c r="C123" s="419" t="s">
        <v>674</v>
      </c>
      <c r="D123" s="414">
        <f>(D$19+1)^(0.1025)</f>
        <v>1</v>
      </c>
      <c r="E123" s="414">
        <f t="shared" ref="E123:AL123" si="59">(E$19+1)^(0.1025)</f>
        <v>1</v>
      </c>
      <c r="F123" s="414">
        <f t="shared" si="59"/>
        <v>1</v>
      </c>
      <c r="G123" s="414">
        <f t="shared" si="59"/>
        <v>1</v>
      </c>
      <c r="H123" s="414">
        <f t="shared" si="59"/>
        <v>1</v>
      </c>
      <c r="I123" s="414">
        <f t="shared" si="59"/>
        <v>1</v>
      </c>
      <c r="J123" s="414">
        <f t="shared" si="59"/>
        <v>1</v>
      </c>
      <c r="K123" s="414">
        <f t="shared" si="59"/>
        <v>1</v>
      </c>
      <c r="L123" s="414">
        <f t="shared" si="59"/>
        <v>1</v>
      </c>
      <c r="M123" s="414">
        <f t="shared" si="59"/>
        <v>1</v>
      </c>
      <c r="N123" s="414">
        <f t="shared" si="59"/>
        <v>1</v>
      </c>
      <c r="O123" s="414">
        <f t="shared" si="59"/>
        <v>1</v>
      </c>
      <c r="P123" s="414">
        <f t="shared" si="59"/>
        <v>1</v>
      </c>
      <c r="Q123" s="414">
        <f t="shared" si="59"/>
        <v>1</v>
      </c>
      <c r="R123" s="414">
        <f t="shared" si="59"/>
        <v>1</v>
      </c>
      <c r="S123" s="414">
        <f t="shared" si="59"/>
        <v>1</v>
      </c>
      <c r="T123" s="414">
        <f t="shared" si="59"/>
        <v>1</v>
      </c>
      <c r="U123" s="414">
        <f t="shared" si="59"/>
        <v>1</v>
      </c>
      <c r="V123" s="414">
        <f t="shared" si="59"/>
        <v>1</v>
      </c>
      <c r="W123" s="414">
        <f t="shared" si="59"/>
        <v>1</v>
      </c>
      <c r="X123" s="414">
        <f t="shared" si="59"/>
        <v>1</v>
      </c>
      <c r="Y123" s="414">
        <f t="shared" si="59"/>
        <v>1</v>
      </c>
      <c r="Z123" s="414">
        <f t="shared" si="59"/>
        <v>1</v>
      </c>
      <c r="AA123" s="414">
        <f t="shared" si="59"/>
        <v>1</v>
      </c>
      <c r="AB123" s="414">
        <f t="shared" si="59"/>
        <v>1</v>
      </c>
      <c r="AC123" s="414">
        <f t="shared" si="59"/>
        <v>1</v>
      </c>
      <c r="AD123" s="414">
        <f t="shared" si="59"/>
        <v>1</v>
      </c>
      <c r="AE123" s="414">
        <f t="shared" si="59"/>
        <v>1</v>
      </c>
      <c r="AF123" s="414">
        <f t="shared" si="59"/>
        <v>1</v>
      </c>
      <c r="AG123" s="414">
        <f t="shared" si="59"/>
        <v>1</v>
      </c>
      <c r="AH123" s="414">
        <f t="shared" si="59"/>
        <v>1</v>
      </c>
      <c r="AI123" s="414">
        <f t="shared" si="59"/>
        <v>1</v>
      </c>
      <c r="AJ123" s="414">
        <f t="shared" si="59"/>
        <v>1</v>
      </c>
      <c r="AK123" s="414">
        <f t="shared" si="59"/>
        <v>1</v>
      </c>
      <c r="AL123" s="414">
        <f t="shared" si="59"/>
        <v>1</v>
      </c>
    </row>
    <row r="124" spans="1:38">
      <c r="B124" s="433" t="s">
        <v>675</v>
      </c>
      <c r="C124" s="434" t="s">
        <v>676</v>
      </c>
      <c r="D124" s="426">
        <f>EXP(0.188*$E$5)</f>
        <v>1.2068335153496053</v>
      </c>
      <c r="E124" s="426">
        <f t="shared" ref="E124:AL124" si="60">EXP(0.188*$E$5)</f>
        <v>1.2068335153496053</v>
      </c>
      <c r="F124" s="426">
        <f t="shared" si="60"/>
        <v>1.2068335153496053</v>
      </c>
      <c r="G124" s="426">
        <f t="shared" si="60"/>
        <v>1.2068335153496053</v>
      </c>
      <c r="H124" s="426">
        <f t="shared" si="60"/>
        <v>1.2068335153496053</v>
      </c>
      <c r="I124" s="426">
        <f t="shared" si="60"/>
        <v>1.2068335153496053</v>
      </c>
      <c r="J124" s="426">
        <f t="shared" si="60"/>
        <v>1.2068335153496053</v>
      </c>
      <c r="K124" s="426">
        <f t="shared" si="60"/>
        <v>1.2068335153496053</v>
      </c>
      <c r="L124" s="426">
        <f t="shared" si="60"/>
        <v>1.2068335153496053</v>
      </c>
      <c r="M124" s="426">
        <f t="shared" si="60"/>
        <v>1.2068335153496053</v>
      </c>
      <c r="N124" s="426">
        <f t="shared" si="60"/>
        <v>1.2068335153496053</v>
      </c>
      <c r="O124" s="426">
        <f t="shared" si="60"/>
        <v>1.2068335153496053</v>
      </c>
      <c r="P124" s="426">
        <f t="shared" si="60"/>
        <v>1.2068335153496053</v>
      </c>
      <c r="Q124" s="426">
        <f t="shared" si="60"/>
        <v>1.2068335153496053</v>
      </c>
      <c r="R124" s="426">
        <f t="shared" si="60"/>
        <v>1.2068335153496053</v>
      </c>
      <c r="S124" s="426">
        <f t="shared" si="60"/>
        <v>1.2068335153496053</v>
      </c>
      <c r="T124" s="426">
        <f t="shared" si="60"/>
        <v>1.2068335153496053</v>
      </c>
      <c r="U124" s="426">
        <f t="shared" si="60"/>
        <v>1.2068335153496053</v>
      </c>
      <c r="V124" s="426">
        <f t="shared" si="60"/>
        <v>1.2068335153496053</v>
      </c>
      <c r="W124" s="426">
        <f t="shared" si="60"/>
        <v>1.2068335153496053</v>
      </c>
      <c r="X124" s="426">
        <f t="shared" si="60"/>
        <v>1.2068335153496053</v>
      </c>
      <c r="Y124" s="426">
        <f t="shared" si="60"/>
        <v>1.2068335153496053</v>
      </c>
      <c r="Z124" s="426">
        <f t="shared" si="60"/>
        <v>1.2068335153496053</v>
      </c>
      <c r="AA124" s="426">
        <f t="shared" si="60"/>
        <v>1.2068335153496053</v>
      </c>
      <c r="AB124" s="426">
        <f t="shared" si="60"/>
        <v>1.2068335153496053</v>
      </c>
      <c r="AC124" s="426">
        <f t="shared" si="60"/>
        <v>1.2068335153496053</v>
      </c>
      <c r="AD124" s="426">
        <f t="shared" si="60"/>
        <v>1.2068335153496053</v>
      </c>
      <c r="AE124" s="426">
        <f t="shared" si="60"/>
        <v>1.2068335153496053</v>
      </c>
      <c r="AF124" s="426">
        <f t="shared" si="60"/>
        <v>1.2068335153496053</v>
      </c>
      <c r="AG124" s="426">
        <f t="shared" si="60"/>
        <v>1.2068335153496053</v>
      </c>
      <c r="AH124" s="426">
        <f t="shared" si="60"/>
        <v>1.2068335153496053</v>
      </c>
      <c r="AI124" s="426">
        <f t="shared" si="60"/>
        <v>1.2068335153496053</v>
      </c>
      <c r="AJ124" s="426">
        <f t="shared" si="60"/>
        <v>1.2068335153496053</v>
      </c>
      <c r="AK124" s="426">
        <f t="shared" si="60"/>
        <v>1.2068335153496053</v>
      </c>
      <c r="AL124" s="426">
        <f t="shared" si="60"/>
        <v>1.2068335153496053</v>
      </c>
    </row>
    <row r="125" spans="1:38">
      <c r="B125" s="362"/>
      <c r="C125" s="427" t="s">
        <v>290</v>
      </c>
    </row>
    <row r="126" spans="1:38">
      <c r="B126" s="362" t="s">
        <v>677</v>
      </c>
      <c r="C126" s="406">
        <v>695</v>
      </c>
      <c r="D126" s="435">
        <f>1/(1+$C$64*PRODUCT(D$59:D$62))</f>
        <v>1.2523787525043351E-2</v>
      </c>
      <c r="E126" s="435">
        <f t="shared" ref="E126:AL126" si="61">1/(1+$C$64*PRODUCT(E$59:E$62))</f>
        <v>1.2535281963969649E-2</v>
      </c>
      <c r="F126" s="435">
        <f t="shared" si="61"/>
        <v>1.2546803868115417E-2</v>
      </c>
      <c r="G126" s="435">
        <f t="shared" si="61"/>
        <v>1.2558353163824159E-2</v>
      </c>
      <c r="H126" s="435">
        <f t="shared" si="61"/>
        <v>1.2569929777658998E-2</v>
      </c>
      <c r="I126" s="435">
        <f t="shared" si="61"/>
        <v>1.2581533636408937E-2</v>
      </c>
      <c r="J126" s="435">
        <f t="shared" si="61"/>
        <v>1.2593164667094986E-2</v>
      </c>
      <c r="K126" s="435">
        <f t="shared" si="61"/>
        <v>1.2604822796976212E-2</v>
      </c>
      <c r="L126" s="435">
        <f t="shared" si="61"/>
        <v>1.2616507953555609E-2</v>
      </c>
      <c r="M126" s="435">
        <f t="shared" si="61"/>
        <v>1.2628220064585876E-2</v>
      </c>
      <c r="N126" s="435">
        <f t="shared" si="61"/>
        <v>1.2639959058075053E-2</v>
      </c>
      <c r="O126" s="435">
        <f t="shared" si="61"/>
        <v>1.2651724862292059E-2</v>
      </c>
      <c r="P126" s="435">
        <f t="shared" si="61"/>
        <v>1.2663517405772056E-2</v>
      </c>
      <c r="Q126" s="435">
        <f t="shared" si="61"/>
        <v>1.2675336617321769E-2</v>
      </c>
      <c r="R126" s="435">
        <f t="shared" si="61"/>
        <v>1.2687182426024598E-2</v>
      </c>
      <c r="S126" s="435">
        <f t="shared" si="61"/>
        <v>1.2699054761245677E-2</v>
      </c>
      <c r="T126" s="435">
        <f t="shared" si="61"/>
        <v>1.2710953552636789E-2</v>
      </c>
      <c r="U126" s="435">
        <f t="shared" si="61"/>
        <v>1.2722878730141156E-2</v>
      </c>
      <c r="V126" s="435">
        <f t="shared" si="61"/>
        <v>1.2734830223998114E-2</v>
      </c>
      <c r="W126" s="435">
        <f t="shared" si="61"/>
        <v>1.2746807964747694E-2</v>
      </c>
      <c r="X126" s="435">
        <f t="shared" si="61"/>
        <v>1.2758811883235069E-2</v>
      </c>
      <c r="Y126" s="435">
        <f t="shared" si="61"/>
        <v>1.2770841910614861E-2</v>
      </c>
      <c r="Z126" s="435">
        <f t="shared" si="61"/>
        <v>1.2782897978355421E-2</v>
      </c>
      <c r="AA126" s="435">
        <f t="shared" si="61"/>
        <v>1.2794980018242866E-2</v>
      </c>
      <c r="AB126" s="435">
        <f t="shared" si="61"/>
        <v>1.2807087962385151E-2</v>
      </c>
      <c r="AC126" s="435">
        <f t="shared" si="61"/>
        <v>1.2819221743215897E-2</v>
      </c>
      <c r="AD126" s="435">
        <f t="shared" si="61"/>
        <v>1.2831381293498223E-2</v>
      </c>
      <c r="AE126" s="435">
        <f t="shared" si="61"/>
        <v>1.2843566546328381E-2</v>
      </c>
      <c r="AF126" s="435">
        <f t="shared" si="61"/>
        <v>1.2855777435139356E-2</v>
      </c>
      <c r="AG126" s="435">
        <f t="shared" si="61"/>
        <v>1.2868013893704297E-2</v>
      </c>
      <c r="AH126" s="435">
        <f t="shared" si="61"/>
        <v>1.2880275856139899E-2</v>
      </c>
      <c r="AI126" s="435">
        <f t="shared" si="61"/>
        <v>1.2892563256909646E-2</v>
      </c>
      <c r="AJ126" s="435">
        <f t="shared" si="61"/>
        <v>1.2904876030826967E-2</v>
      </c>
      <c r="AK126" s="435">
        <f t="shared" si="61"/>
        <v>1.2917214113058295E-2</v>
      </c>
      <c r="AL126" s="435">
        <f t="shared" si="61"/>
        <v>1.2929577439126011E-2</v>
      </c>
    </row>
    <row r="127" spans="1:38">
      <c r="H127" s="1228"/>
    </row>
    <row r="128" spans="1:38" ht="13">
      <c r="B128" s="407" t="s">
        <v>678</v>
      </c>
      <c r="C128" s="396" t="s">
        <v>627</v>
      </c>
      <c r="D128" s="397">
        <v>2018</v>
      </c>
      <c r="E128" s="397">
        <v>2020</v>
      </c>
      <c r="F128" s="397">
        <v>2021</v>
      </c>
      <c r="G128" s="397">
        <v>2022</v>
      </c>
      <c r="H128" s="1238">
        <v>2023</v>
      </c>
      <c r="I128" s="397">
        <v>2024</v>
      </c>
      <c r="J128" s="397">
        <v>2025</v>
      </c>
      <c r="K128" s="397">
        <v>2026</v>
      </c>
      <c r="L128" s="397">
        <v>2027</v>
      </c>
      <c r="M128" s="397">
        <v>2028</v>
      </c>
      <c r="N128" s="397">
        <v>2029</v>
      </c>
      <c r="O128" s="397">
        <v>2030</v>
      </c>
      <c r="P128" s="397">
        <v>2031</v>
      </c>
      <c r="Q128" s="397">
        <v>2032</v>
      </c>
      <c r="R128" s="397">
        <v>2033</v>
      </c>
      <c r="S128" s="397">
        <v>2034</v>
      </c>
      <c r="T128" s="397">
        <v>2035</v>
      </c>
      <c r="U128" s="397">
        <v>2036</v>
      </c>
      <c r="V128" s="397">
        <v>2037</v>
      </c>
      <c r="W128" s="397">
        <v>2038</v>
      </c>
      <c r="X128" s="397">
        <v>2039</v>
      </c>
      <c r="Y128" s="397">
        <v>2040</v>
      </c>
      <c r="Z128" s="397">
        <v>2041</v>
      </c>
      <c r="AA128" s="397">
        <v>2042</v>
      </c>
      <c r="AB128" s="397">
        <v>2043</v>
      </c>
      <c r="AC128" s="397">
        <v>2044</v>
      </c>
      <c r="AD128" s="397">
        <v>2044</v>
      </c>
      <c r="AE128" s="397">
        <v>2044</v>
      </c>
      <c r="AF128" s="397">
        <v>2044</v>
      </c>
      <c r="AG128" s="397">
        <v>2044</v>
      </c>
      <c r="AH128" s="397">
        <v>2044</v>
      </c>
      <c r="AI128" s="397">
        <v>2044</v>
      </c>
      <c r="AJ128" s="397">
        <v>2044</v>
      </c>
      <c r="AK128" s="397">
        <v>2044</v>
      </c>
      <c r="AL128" s="397">
        <v>2044</v>
      </c>
    </row>
    <row r="129" spans="2:38">
      <c r="B129" s="358" t="s">
        <v>679</v>
      </c>
      <c r="C129" s="436" t="s">
        <v>680</v>
      </c>
      <c r="D129" s="437">
        <f>D$64</f>
        <v>1.2523787525043351E-2</v>
      </c>
      <c r="E129" s="437">
        <f t="shared" ref="E129:AL129" si="62">E$64</f>
        <v>1.2535281963969649E-2</v>
      </c>
      <c r="F129" s="437">
        <f t="shared" si="62"/>
        <v>1.2546803868115417E-2</v>
      </c>
      <c r="G129" s="437">
        <f t="shared" si="62"/>
        <v>1.2558353163824159E-2</v>
      </c>
      <c r="H129" s="437">
        <f t="shared" si="62"/>
        <v>1.2569929777658998E-2</v>
      </c>
      <c r="I129" s="437">
        <f t="shared" si="62"/>
        <v>1.2581533636408937E-2</v>
      </c>
      <c r="J129" s="437">
        <f t="shared" si="62"/>
        <v>1.2593164667094986E-2</v>
      </c>
      <c r="K129" s="437">
        <f t="shared" si="62"/>
        <v>1.2604822796976212E-2</v>
      </c>
      <c r="L129" s="437">
        <f t="shared" si="62"/>
        <v>1.2616507953555609E-2</v>
      </c>
      <c r="M129" s="437">
        <f t="shared" si="62"/>
        <v>1.2628220064585876E-2</v>
      </c>
      <c r="N129" s="437">
        <f t="shared" si="62"/>
        <v>1.2639959058075053E-2</v>
      </c>
      <c r="O129" s="437">
        <f t="shared" si="62"/>
        <v>1.2651724862292059E-2</v>
      </c>
      <c r="P129" s="437">
        <f t="shared" si="62"/>
        <v>1.2663517405772056E-2</v>
      </c>
      <c r="Q129" s="437">
        <f t="shared" si="62"/>
        <v>1.2675336617321769E-2</v>
      </c>
      <c r="R129" s="437">
        <f t="shared" si="62"/>
        <v>1.2687182426024598E-2</v>
      </c>
      <c r="S129" s="437">
        <f t="shared" si="62"/>
        <v>1.2699054761245677E-2</v>
      </c>
      <c r="T129" s="437">
        <f t="shared" si="62"/>
        <v>1.2710953552636789E-2</v>
      </c>
      <c r="U129" s="437">
        <f t="shared" si="62"/>
        <v>1.2722878730141156E-2</v>
      </c>
      <c r="V129" s="437">
        <f t="shared" si="62"/>
        <v>1.2734830223998114E-2</v>
      </c>
      <c r="W129" s="437">
        <f t="shared" si="62"/>
        <v>1.2746807964747694E-2</v>
      </c>
      <c r="X129" s="437">
        <f t="shared" si="62"/>
        <v>1.2758811883235069E-2</v>
      </c>
      <c r="Y129" s="437">
        <f t="shared" si="62"/>
        <v>1.2770841910614861E-2</v>
      </c>
      <c r="Z129" s="437">
        <f t="shared" si="62"/>
        <v>1.2782897978355421E-2</v>
      </c>
      <c r="AA129" s="437">
        <f t="shared" si="62"/>
        <v>1.2794980018242866E-2</v>
      </c>
      <c r="AB129" s="437">
        <f t="shared" si="62"/>
        <v>1.2807087962385151E-2</v>
      </c>
      <c r="AC129" s="437">
        <f t="shared" si="62"/>
        <v>1.2819221743215897E-2</v>
      </c>
      <c r="AD129" s="437">
        <f t="shared" si="62"/>
        <v>1.2831381293498223E-2</v>
      </c>
      <c r="AE129" s="437">
        <f t="shared" si="62"/>
        <v>1.2843566546328381E-2</v>
      </c>
      <c r="AF129" s="437">
        <f t="shared" si="62"/>
        <v>1.2855777435139356E-2</v>
      </c>
      <c r="AG129" s="437">
        <f t="shared" si="62"/>
        <v>1.2868013893704297E-2</v>
      </c>
      <c r="AH129" s="437">
        <f t="shared" si="62"/>
        <v>1.2880275856139899E-2</v>
      </c>
      <c r="AI129" s="437">
        <f t="shared" si="62"/>
        <v>1.2892563256909646E-2</v>
      </c>
      <c r="AJ129" s="437">
        <f t="shared" si="62"/>
        <v>1.2904876030826967E-2</v>
      </c>
      <c r="AK129" s="437">
        <f t="shared" si="62"/>
        <v>1.2917214113058295E-2</v>
      </c>
      <c r="AL129" s="437">
        <f t="shared" si="62"/>
        <v>1.2929577439126011E-2</v>
      </c>
    </row>
    <row r="130" spans="2:38">
      <c r="B130" s="358" t="s">
        <v>681</v>
      </c>
      <c r="C130" s="419" t="s">
        <v>682</v>
      </c>
      <c r="D130" s="414">
        <f>1-D129</f>
        <v>0.98747621247495665</v>
      </c>
      <c r="E130" s="414">
        <f t="shared" ref="E130:AK130" si="63">1-E129</f>
        <v>0.98746471803603031</v>
      </c>
      <c r="F130" s="414">
        <f t="shared" si="63"/>
        <v>0.98745319613188454</v>
      </c>
      <c r="G130" s="414">
        <f t="shared" si="63"/>
        <v>0.98744164683617586</v>
      </c>
      <c r="H130" s="414">
        <f t="shared" si="63"/>
        <v>0.98743007022234097</v>
      </c>
      <c r="I130" s="414">
        <f t="shared" si="63"/>
        <v>0.9874184663635911</v>
      </c>
      <c r="J130" s="414">
        <f t="shared" si="63"/>
        <v>0.98740683533290496</v>
      </c>
      <c r="K130" s="414">
        <f t="shared" si="63"/>
        <v>0.98739517720302383</v>
      </c>
      <c r="L130" s="414">
        <f t="shared" si="63"/>
        <v>0.98738349204644438</v>
      </c>
      <c r="M130" s="414">
        <f t="shared" si="63"/>
        <v>0.98737177993541414</v>
      </c>
      <c r="N130" s="414">
        <f t="shared" si="63"/>
        <v>0.98736004094192498</v>
      </c>
      <c r="O130" s="414">
        <f t="shared" si="63"/>
        <v>0.98734827513770795</v>
      </c>
      <c r="P130" s="414">
        <f t="shared" si="63"/>
        <v>0.9873364825942279</v>
      </c>
      <c r="Q130" s="414">
        <f t="shared" si="63"/>
        <v>0.98732466338267821</v>
      </c>
      <c r="R130" s="414">
        <f t="shared" si="63"/>
        <v>0.98731281757397538</v>
      </c>
      <c r="S130" s="414">
        <f t="shared" si="63"/>
        <v>0.98730094523875433</v>
      </c>
      <c r="T130" s="414">
        <f t="shared" si="63"/>
        <v>0.98728904644736326</v>
      </c>
      <c r="U130" s="414">
        <f t="shared" si="63"/>
        <v>0.98727712126985889</v>
      </c>
      <c r="V130" s="414">
        <f t="shared" si="63"/>
        <v>0.98726516977600187</v>
      </c>
      <c r="W130" s="414">
        <f t="shared" si="63"/>
        <v>0.9872531920352523</v>
      </c>
      <c r="X130" s="414">
        <f t="shared" si="63"/>
        <v>0.98724118811676498</v>
      </c>
      <c r="Y130" s="414">
        <f t="shared" si="63"/>
        <v>0.98722915808938516</v>
      </c>
      <c r="Z130" s="414">
        <f t="shared" si="63"/>
        <v>0.98721710202164459</v>
      </c>
      <c r="AA130" s="414">
        <f t="shared" si="63"/>
        <v>0.98720501998175714</v>
      </c>
      <c r="AB130" s="414">
        <f t="shared" si="63"/>
        <v>0.98719291203761483</v>
      </c>
      <c r="AC130" s="414">
        <f t="shared" si="63"/>
        <v>0.98718077825678407</v>
      </c>
      <c r="AD130" s="414">
        <f t="shared" si="63"/>
        <v>0.98716861870650174</v>
      </c>
      <c r="AE130" s="414">
        <f t="shared" si="63"/>
        <v>0.98715643345367166</v>
      </c>
      <c r="AF130" s="414">
        <f t="shared" si="63"/>
        <v>0.98714422256486067</v>
      </c>
      <c r="AG130" s="414">
        <f t="shared" si="63"/>
        <v>0.98713198610629571</v>
      </c>
      <c r="AH130" s="414">
        <f t="shared" si="63"/>
        <v>0.98711972414386007</v>
      </c>
      <c r="AI130" s="414">
        <f t="shared" si="63"/>
        <v>0.98710743674309032</v>
      </c>
      <c r="AJ130" s="414">
        <f t="shared" si="63"/>
        <v>0.98709512396917298</v>
      </c>
      <c r="AK130" s="414">
        <f t="shared" si="63"/>
        <v>0.98708278588694176</v>
      </c>
      <c r="AL130" s="414">
        <f t="shared" ref="AL130" si="64">1-AL129</f>
        <v>0.98707042256087396</v>
      </c>
    </row>
    <row r="131" spans="2:38">
      <c r="B131" s="358" t="s">
        <v>671</v>
      </c>
      <c r="C131" s="419" t="s">
        <v>662</v>
      </c>
      <c r="D131" s="414">
        <f>D$20^(-0.2334)</f>
        <v>0.62482831374223813</v>
      </c>
      <c r="E131" s="414">
        <f t="shared" ref="E131:AL131" si="65">E$20^(-0.2334)</f>
        <v>0.62482831374223813</v>
      </c>
      <c r="F131" s="414">
        <f t="shared" si="65"/>
        <v>0.62482831374223813</v>
      </c>
      <c r="G131" s="414">
        <f t="shared" si="65"/>
        <v>0.62482831374223813</v>
      </c>
      <c r="H131" s="414">
        <f t="shared" si="65"/>
        <v>0.62482831374223813</v>
      </c>
      <c r="I131" s="414">
        <f t="shared" si="65"/>
        <v>0.62482831374223813</v>
      </c>
      <c r="J131" s="414">
        <f t="shared" si="65"/>
        <v>0.62482831374223813</v>
      </c>
      <c r="K131" s="414">
        <f t="shared" si="65"/>
        <v>0.62482831374223813</v>
      </c>
      <c r="L131" s="414">
        <f t="shared" si="65"/>
        <v>0.62482831374223813</v>
      </c>
      <c r="M131" s="414">
        <f t="shared" si="65"/>
        <v>0.62482831374223813</v>
      </c>
      <c r="N131" s="414">
        <f t="shared" si="65"/>
        <v>0.62482831374223813</v>
      </c>
      <c r="O131" s="414">
        <f t="shared" si="65"/>
        <v>0.62482831374223813</v>
      </c>
      <c r="P131" s="414">
        <f t="shared" si="65"/>
        <v>0.62482831374223813</v>
      </c>
      <c r="Q131" s="414">
        <f t="shared" si="65"/>
        <v>0.62482831374223813</v>
      </c>
      <c r="R131" s="414">
        <f t="shared" si="65"/>
        <v>0.62482831374223813</v>
      </c>
      <c r="S131" s="414">
        <f t="shared" si="65"/>
        <v>0.62482831374223813</v>
      </c>
      <c r="T131" s="414">
        <f t="shared" si="65"/>
        <v>0.62482831374223813</v>
      </c>
      <c r="U131" s="414">
        <f t="shared" si="65"/>
        <v>0.62482831374223813</v>
      </c>
      <c r="V131" s="414">
        <f t="shared" si="65"/>
        <v>0.62482831374223813</v>
      </c>
      <c r="W131" s="414">
        <f t="shared" si="65"/>
        <v>0.62482831374223813</v>
      </c>
      <c r="X131" s="414">
        <f t="shared" si="65"/>
        <v>0.62482831374223813</v>
      </c>
      <c r="Y131" s="414">
        <f t="shared" si="65"/>
        <v>0.62482831374223813</v>
      </c>
      <c r="Z131" s="414">
        <f t="shared" si="65"/>
        <v>0.62482831374223813</v>
      </c>
      <c r="AA131" s="414">
        <f t="shared" si="65"/>
        <v>0.62482831374223813</v>
      </c>
      <c r="AB131" s="414">
        <f t="shared" si="65"/>
        <v>0.62482831374223813</v>
      </c>
      <c r="AC131" s="414">
        <f t="shared" si="65"/>
        <v>0.62482831374223813</v>
      </c>
      <c r="AD131" s="414">
        <f t="shared" si="65"/>
        <v>0.62482831374223813</v>
      </c>
      <c r="AE131" s="414">
        <f t="shared" si="65"/>
        <v>0.62482831374223813</v>
      </c>
      <c r="AF131" s="414">
        <f t="shared" si="65"/>
        <v>0.62482831374223813</v>
      </c>
      <c r="AG131" s="414">
        <f t="shared" si="65"/>
        <v>0.62482831374223813</v>
      </c>
      <c r="AH131" s="414">
        <f t="shared" si="65"/>
        <v>0.62482831374223813</v>
      </c>
      <c r="AI131" s="414">
        <f t="shared" si="65"/>
        <v>0.62482831374223813</v>
      </c>
      <c r="AJ131" s="414">
        <f t="shared" si="65"/>
        <v>0.62482831374223813</v>
      </c>
      <c r="AK131" s="414">
        <f t="shared" si="65"/>
        <v>0.62482831374223813</v>
      </c>
      <c r="AL131" s="414">
        <f t="shared" si="65"/>
        <v>0.62482831374223813</v>
      </c>
    </row>
    <row r="132" spans="2:38">
      <c r="B132" s="358" t="s">
        <v>683</v>
      </c>
      <c r="C132" s="419" t="s">
        <v>684</v>
      </c>
      <c r="D132" s="414">
        <f>EXP(0.1176*$D$11)</f>
        <v>1.2651617757865004</v>
      </c>
      <c r="E132" s="414">
        <f t="shared" ref="E132:AL132" si="66">EXP(0.1176*$D$11)</f>
        <v>1.2651617757865004</v>
      </c>
      <c r="F132" s="414">
        <f t="shared" si="66"/>
        <v>1.2651617757865004</v>
      </c>
      <c r="G132" s="414">
        <f t="shared" si="66"/>
        <v>1.2651617757865004</v>
      </c>
      <c r="H132" s="414">
        <f t="shared" si="66"/>
        <v>1.2651617757865004</v>
      </c>
      <c r="I132" s="414">
        <f t="shared" si="66"/>
        <v>1.2651617757865004</v>
      </c>
      <c r="J132" s="414">
        <f t="shared" si="66"/>
        <v>1.2651617757865004</v>
      </c>
      <c r="K132" s="414">
        <f t="shared" si="66"/>
        <v>1.2651617757865004</v>
      </c>
      <c r="L132" s="414">
        <f t="shared" si="66"/>
        <v>1.2651617757865004</v>
      </c>
      <c r="M132" s="414">
        <f t="shared" si="66"/>
        <v>1.2651617757865004</v>
      </c>
      <c r="N132" s="414">
        <f t="shared" si="66"/>
        <v>1.2651617757865004</v>
      </c>
      <c r="O132" s="414">
        <f t="shared" si="66"/>
        <v>1.2651617757865004</v>
      </c>
      <c r="P132" s="414">
        <f t="shared" si="66"/>
        <v>1.2651617757865004</v>
      </c>
      <c r="Q132" s="414">
        <f t="shared" si="66"/>
        <v>1.2651617757865004</v>
      </c>
      <c r="R132" s="414">
        <f t="shared" si="66"/>
        <v>1.2651617757865004</v>
      </c>
      <c r="S132" s="414">
        <f t="shared" si="66"/>
        <v>1.2651617757865004</v>
      </c>
      <c r="T132" s="414">
        <f t="shared" si="66"/>
        <v>1.2651617757865004</v>
      </c>
      <c r="U132" s="414">
        <f t="shared" si="66"/>
        <v>1.2651617757865004</v>
      </c>
      <c r="V132" s="414">
        <f t="shared" si="66"/>
        <v>1.2651617757865004</v>
      </c>
      <c r="W132" s="414">
        <f t="shared" si="66"/>
        <v>1.2651617757865004</v>
      </c>
      <c r="X132" s="414">
        <f t="shared" si="66"/>
        <v>1.2651617757865004</v>
      </c>
      <c r="Y132" s="414">
        <f t="shared" si="66"/>
        <v>1.2651617757865004</v>
      </c>
      <c r="Z132" s="414">
        <f t="shared" si="66"/>
        <v>1.2651617757865004</v>
      </c>
      <c r="AA132" s="414">
        <f t="shared" si="66"/>
        <v>1.2651617757865004</v>
      </c>
      <c r="AB132" s="414">
        <f t="shared" si="66"/>
        <v>1.2651617757865004</v>
      </c>
      <c r="AC132" s="414">
        <f t="shared" si="66"/>
        <v>1.2651617757865004</v>
      </c>
      <c r="AD132" s="414">
        <f t="shared" si="66"/>
        <v>1.2651617757865004</v>
      </c>
      <c r="AE132" s="414">
        <f t="shared" si="66"/>
        <v>1.2651617757865004</v>
      </c>
      <c r="AF132" s="414">
        <f t="shared" si="66"/>
        <v>1.2651617757865004</v>
      </c>
      <c r="AG132" s="414">
        <f t="shared" si="66"/>
        <v>1.2651617757865004</v>
      </c>
      <c r="AH132" s="414">
        <f t="shared" si="66"/>
        <v>1.2651617757865004</v>
      </c>
      <c r="AI132" s="414">
        <f t="shared" si="66"/>
        <v>1.2651617757865004</v>
      </c>
      <c r="AJ132" s="414">
        <f t="shared" si="66"/>
        <v>1.2651617757865004</v>
      </c>
      <c r="AK132" s="414">
        <f t="shared" si="66"/>
        <v>1.2651617757865004</v>
      </c>
      <c r="AL132" s="414">
        <f t="shared" si="66"/>
        <v>1.2651617757865004</v>
      </c>
    </row>
    <row r="133" spans="2:38">
      <c r="B133" s="433" t="s">
        <v>675</v>
      </c>
      <c r="C133" s="434" t="s">
        <v>676</v>
      </c>
      <c r="D133" s="426">
        <f>EXP(0.1844*$E$5)</f>
        <v>1.2024967255996286</v>
      </c>
      <c r="E133" s="426">
        <f t="shared" ref="E133:AL133" si="67">EXP(0.1844*$E$5)</f>
        <v>1.2024967255996286</v>
      </c>
      <c r="F133" s="426">
        <f t="shared" si="67"/>
        <v>1.2024967255996286</v>
      </c>
      <c r="G133" s="426">
        <f t="shared" si="67"/>
        <v>1.2024967255996286</v>
      </c>
      <c r="H133" s="426">
        <f t="shared" si="67"/>
        <v>1.2024967255996286</v>
      </c>
      <c r="I133" s="426">
        <f t="shared" si="67"/>
        <v>1.2024967255996286</v>
      </c>
      <c r="J133" s="426">
        <f t="shared" si="67"/>
        <v>1.2024967255996286</v>
      </c>
      <c r="K133" s="426">
        <f t="shared" si="67"/>
        <v>1.2024967255996286</v>
      </c>
      <c r="L133" s="426">
        <f t="shared" si="67"/>
        <v>1.2024967255996286</v>
      </c>
      <c r="M133" s="426">
        <f t="shared" si="67"/>
        <v>1.2024967255996286</v>
      </c>
      <c r="N133" s="426">
        <f t="shared" si="67"/>
        <v>1.2024967255996286</v>
      </c>
      <c r="O133" s="426">
        <f t="shared" si="67"/>
        <v>1.2024967255996286</v>
      </c>
      <c r="P133" s="426">
        <f t="shared" si="67"/>
        <v>1.2024967255996286</v>
      </c>
      <c r="Q133" s="426">
        <f t="shared" si="67"/>
        <v>1.2024967255996286</v>
      </c>
      <c r="R133" s="426">
        <f t="shared" si="67"/>
        <v>1.2024967255996286</v>
      </c>
      <c r="S133" s="426">
        <f t="shared" si="67"/>
        <v>1.2024967255996286</v>
      </c>
      <c r="T133" s="426">
        <f t="shared" si="67"/>
        <v>1.2024967255996286</v>
      </c>
      <c r="U133" s="426">
        <f t="shared" si="67"/>
        <v>1.2024967255996286</v>
      </c>
      <c r="V133" s="426">
        <f t="shared" si="67"/>
        <v>1.2024967255996286</v>
      </c>
      <c r="W133" s="426">
        <f t="shared" si="67"/>
        <v>1.2024967255996286</v>
      </c>
      <c r="X133" s="426">
        <f t="shared" si="67"/>
        <v>1.2024967255996286</v>
      </c>
      <c r="Y133" s="426">
        <f t="shared" si="67"/>
        <v>1.2024967255996286</v>
      </c>
      <c r="Z133" s="426">
        <f t="shared" si="67"/>
        <v>1.2024967255996286</v>
      </c>
      <c r="AA133" s="426">
        <f t="shared" si="67"/>
        <v>1.2024967255996286</v>
      </c>
      <c r="AB133" s="426">
        <f t="shared" si="67"/>
        <v>1.2024967255996286</v>
      </c>
      <c r="AC133" s="426">
        <f t="shared" si="67"/>
        <v>1.2024967255996286</v>
      </c>
      <c r="AD133" s="426">
        <f t="shared" si="67"/>
        <v>1.2024967255996286</v>
      </c>
      <c r="AE133" s="426">
        <f t="shared" si="67"/>
        <v>1.2024967255996286</v>
      </c>
      <c r="AF133" s="426">
        <f t="shared" si="67"/>
        <v>1.2024967255996286</v>
      </c>
      <c r="AG133" s="426">
        <f t="shared" si="67"/>
        <v>1.2024967255996286</v>
      </c>
      <c r="AH133" s="426">
        <f t="shared" si="67"/>
        <v>1.2024967255996286</v>
      </c>
      <c r="AI133" s="426">
        <f t="shared" si="67"/>
        <v>1.2024967255996286</v>
      </c>
      <c r="AJ133" s="426">
        <f t="shared" si="67"/>
        <v>1.2024967255996286</v>
      </c>
      <c r="AK133" s="426">
        <f t="shared" si="67"/>
        <v>1.2024967255996286</v>
      </c>
      <c r="AL133" s="426">
        <f t="shared" si="67"/>
        <v>1.2024967255996286</v>
      </c>
    </row>
    <row r="134" spans="2:38">
      <c r="B134" s="362"/>
      <c r="C134" s="427" t="s">
        <v>290</v>
      </c>
    </row>
    <row r="135" spans="2:38">
      <c r="B135" s="362" t="s">
        <v>685</v>
      </c>
      <c r="C135" s="438">
        <v>4.28</v>
      </c>
      <c r="D135" s="435">
        <f>D$130/(1+$C$135*PRODUCT(D$131:D$133))</f>
        <v>0.19482608338869781</v>
      </c>
      <c r="E135" s="435">
        <f t="shared" ref="E135:AL135" si="68">E$130/(1+$C$135*PRODUCT(E$131:E$133))</f>
        <v>0.19482381557050787</v>
      </c>
      <c r="F135" s="435">
        <f t="shared" si="68"/>
        <v>0.19482154233351287</v>
      </c>
      <c r="G135" s="435">
        <f t="shared" si="68"/>
        <v>0.19481926369224495</v>
      </c>
      <c r="H135" s="435">
        <f t="shared" si="68"/>
        <v>0.19481697966119302</v>
      </c>
      <c r="I135" s="435">
        <f t="shared" si="68"/>
        <v>0.19481469025480136</v>
      </c>
      <c r="J135" s="435">
        <f t="shared" si="68"/>
        <v>0.19481239548746851</v>
      </c>
      <c r="K135" s="435">
        <f t="shared" si="68"/>
        <v>0.1948100953735461</v>
      </c>
      <c r="L135" s="435">
        <f t="shared" si="68"/>
        <v>0.19480778992733747</v>
      </c>
      <c r="M135" s="435">
        <f t="shared" si="68"/>
        <v>0.19480547916309685</v>
      </c>
      <c r="N135" s="435">
        <f t="shared" si="68"/>
        <v>0.19480316309502804</v>
      </c>
      <c r="O135" s="435">
        <f t="shared" si="68"/>
        <v>0.19480084173728338</v>
      </c>
      <c r="P135" s="435">
        <f t="shared" si="68"/>
        <v>0.19479851510396259</v>
      </c>
      <c r="Q135" s="435">
        <f t="shared" si="68"/>
        <v>0.19479618320911199</v>
      </c>
      <c r="R135" s="435">
        <f t="shared" si="68"/>
        <v>0.19479384606672315</v>
      </c>
      <c r="S135" s="435">
        <f t="shared" si="68"/>
        <v>0.19479150369073214</v>
      </c>
      <c r="T135" s="435">
        <f t="shared" si="68"/>
        <v>0.19478915609501846</v>
      </c>
      <c r="U135" s="435">
        <f t="shared" si="68"/>
        <v>0.19478680329340406</v>
      </c>
      <c r="V135" s="435">
        <f t="shared" si="68"/>
        <v>0.19478444529965253</v>
      </c>
      <c r="W135" s="435">
        <f t="shared" si="68"/>
        <v>0.19478208212746811</v>
      </c>
      <c r="X135" s="435">
        <f t="shared" si="68"/>
        <v>0.19477971379049486</v>
      </c>
      <c r="Y135" s="435">
        <f t="shared" si="68"/>
        <v>0.19477734030231575</v>
      </c>
      <c r="Z135" s="435">
        <f t="shared" si="68"/>
        <v>0.19477496167645186</v>
      </c>
      <c r="AA135" s="435">
        <f t="shared" si="68"/>
        <v>0.1947725779263616</v>
      </c>
      <c r="AB135" s="435">
        <f t="shared" si="68"/>
        <v>0.19477018906543986</v>
      </c>
      <c r="AC135" s="435">
        <f t="shared" si="68"/>
        <v>0.19476779510701728</v>
      </c>
      <c r="AD135" s="435">
        <f t="shared" si="68"/>
        <v>0.1947653960643595</v>
      </c>
      <c r="AE135" s="435">
        <f t="shared" si="68"/>
        <v>0.19476299195066643</v>
      </c>
      <c r="AF135" s="435">
        <f t="shared" si="68"/>
        <v>0.19476058277907152</v>
      </c>
      <c r="AG135" s="435">
        <f t="shared" si="68"/>
        <v>0.19475816856264114</v>
      </c>
      <c r="AH135" s="435">
        <f t="shared" si="68"/>
        <v>0.19475574931437389</v>
      </c>
      <c r="AI135" s="435">
        <f t="shared" si="68"/>
        <v>0.19475332504719989</v>
      </c>
      <c r="AJ135" s="435">
        <f t="shared" si="68"/>
        <v>0.19475089577398028</v>
      </c>
      <c r="AK135" s="435">
        <f t="shared" si="68"/>
        <v>0.19474846150750655</v>
      </c>
      <c r="AL135" s="435">
        <f t="shared" si="68"/>
        <v>0.19474602226049986</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theme="4" tint="0.39997558519241921"/>
  </sheetPr>
  <dimension ref="A1:AL53"/>
  <sheetViews>
    <sheetView showGridLines="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Inputs'!$E$49</f>
        <v>1000 North</v>
      </c>
      <c r="B1" s="1177"/>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Demand!F17</f>
        <v>1170.2572699256787</v>
      </c>
      <c r="E6" s="383">
        <f>Demand!G17</f>
        <v>1204.7729396586369</v>
      </c>
      <c r="F6" s="383">
        <f>Demand!H17</f>
        <v>1240.3066175576032</v>
      </c>
      <c r="G6" s="383">
        <f>Demand!I17</f>
        <v>1276.8883288439938</v>
      </c>
      <c r="H6" s="383">
        <f>Demand!J17</f>
        <v>1314.5489843057178</v>
      </c>
      <c r="I6" s="383">
        <f>Demand!K17</f>
        <v>1353.3204064161509</v>
      </c>
      <c r="J6" s="383">
        <f>Demand!L17</f>
        <v>1393.2353562234694</v>
      </c>
      <c r="K6" s="383">
        <f>Demand!M17</f>
        <v>1434.3275610330525</v>
      </c>
      <c r="L6" s="383">
        <f>Demand!N17</f>
        <v>1476.6317429063604</v>
      </c>
      <c r="M6" s="383">
        <f>Demand!O17</f>
        <v>1520.1836480003531</v>
      </c>
      <c r="N6" s="383">
        <f>Demand!P17</f>
        <v>1565.0200767722558</v>
      </c>
      <c r="O6" s="383">
        <f>Demand!Q17</f>
        <v>1611.1789150751795</v>
      </c>
      <c r="P6" s="383">
        <f>Demand!R17</f>
        <v>1658.6991661708832</v>
      </c>
      <c r="Q6" s="383">
        <f>Demand!S17</f>
        <v>1707.620983686722</v>
      </c>
      <c r="R6" s="383">
        <f>Demand!T17</f>
        <v>1757.9857055446284</v>
      </c>
      <c r="S6" s="383">
        <f>Demand!U17</f>
        <v>1809.8358888908033</v>
      </c>
      <c r="T6" s="383">
        <f>Demand!V17</f>
        <v>1863.2153460556174</v>
      </c>
      <c r="U6" s="383">
        <f>Demand!W17</f>
        <v>1918.1691815741262</v>
      </c>
      <c r="V6" s="383">
        <f>Demand!X17</f>
        <v>1974.7438302984672</v>
      </c>
      <c r="W6" s="383">
        <f>Demand!Y17</f>
        <v>2032.9870966343453</v>
      </c>
      <c r="X6" s="383">
        <f>Demand!Z17</f>
        <v>2092.9481949347673</v>
      </c>
      <c r="Y6" s="383">
        <f>Demand!AA17</f>
        <v>2154.6777910851483</v>
      </c>
      <c r="Z6" s="383">
        <f>Demand!AB17</f>
        <v>2218.2280453149369</v>
      </c>
      <c r="AA6" s="383">
        <f>Demand!AC17</f>
        <v>2283.6526562719264</v>
      </c>
      <c r="AB6" s="383">
        <f>Demand!AD17</f>
        <v>2351.0069063965002</v>
      </c>
      <c r="AC6" s="383">
        <f>Demand!AE17</f>
        <v>2420.3477086341472</v>
      </c>
      <c r="AD6" s="383">
        <f>Demand!AF17</f>
        <v>2491.7336545257235</v>
      </c>
      <c r="AE6" s="383">
        <f>Demand!AG17</f>
        <v>2565.2250637160887</v>
      </c>
      <c r="AF6" s="383">
        <f>Demand!AH17</f>
        <v>2640.8840349229536</v>
      </c>
      <c r="AG6" s="383">
        <f>Demand!AI17</f>
        <v>2718.7744984090141</v>
      </c>
      <c r="AH6" s="383">
        <f>Demand!AJ17</f>
        <v>2798.9622700016953</v>
      </c>
      <c r="AI6" s="383">
        <f>Demand!AK17</f>
        <v>2881.5151067061624</v>
      </c>
      <c r="AJ6" s="383">
        <f>Demand!AL17</f>
        <v>2966.5027639585855</v>
      </c>
      <c r="AK6" s="383">
        <f>Demand!AM17</f>
        <v>3053.997054568038</v>
      </c>
      <c r="AL6" s="383">
        <f>Demand!AN17</f>
        <v>3144.0719093968332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Demand!F39</f>
        <v>6.0636386466438061</v>
      </c>
      <c r="E10" s="383">
        <f>Demand!G39</f>
        <v>6.1279522728453877</v>
      </c>
      <c r="F10" s="383">
        <f>Demand!H39</f>
        <v>6.1929480377356736</v>
      </c>
      <c r="G10" s="383">
        <f>Demand!I39</f>
        <v>6.2586331763784937</v>
      </c>
      <c r="H10" s="383">
        <f>Demand!J39</f>
        <v>6.3250150005759522</v>
      </c>
      <c r="I10" s="383">
        <f>Demand!K39</f>
        <v>6.3921008996823563</v>
      </c>
      <c r="J10" s="383">
        <f>Demand!L39</f>
        <v>6.4598983414267632</v>
      </c>
      <c r="K10" s="383">
        <f>Demand!M39</f>
        <v>6.5284148727442579</v>
      </c>
      <c r="L10" s="383">
        <f>Demand!N39</f>
        <v>6.5976581206160478</v>
      </c>
      <c r="M10" s="383">
        <f>Demand!O39</f>
        <v>6.6676357929184693</v>
      </c>
      <c r="N10" s="383">
        <f>Demand!P39</f>
        <v>6.7383556792809909</v>
      </c>
      <c r="O10" s="383">
        <f>Demand!Q39</f>
        <v>6.8098256519533322</v>
      </c>
      <c r="P10" s="383">
        <f>Demand!R39</f>
        <v>6.8820536666817631</v>
      </c>
      <c r="Q10" s="383">
        <f>Demand!S39</f>
        <v>6.9550477635947088</v>
      </c>
      <c r="R10" s="383">
        <f>Demand!T39</f>
        <v>7.0288160680977398</v>
      </c>
      <c r="S10" s="383">
        <f>Demand!U39</f>
        <v>7.1033667917780718</v>
      </c>
      <c r="T10" s="383">
        <f>Demand!V39</f>
        <v>7.1787082333186234</v>
      </c>
      <c r="U10" s="383">
        <f>Demand!W39</f>
        <v>7.2548487794218142</v>
      </c>
      <c r="V10" s="383">
        <f>Demand!X39</f>
        <v>7.3317969057431265</v>
      </c>
      <c r="W10" s="383">
        <f>Demand!Y39</f>
        <v>7.4095611778345836</v>
      </c>
      <c r="X10" s="383">
        <f>Demand!Z39</f>
        <v>7.4881502520982295</v>
      </c>
      <c r="Y10" s="383">
        <f>Demand!AA39</f>
        <v>7.5675728767497308</v>
      </c>
      <c r="Z10" s="383">
        <f>Demand!AB39</f>
        <v>7.6478378927921851</v>
      </c>
      <c r="AA10" s="383">
        <f>Demand!AC39</f>
        <v>7.7289542350002716</v>
      </c>
      <c r="AB10" s="383">
        <f>Demand!AD39</f>
        <v>7.8109309329148253</v>
      </c>
      <c r="AC10" s="383">
        <f>Demand!AE39</f>
        <v>7.8937771118479834</v>
      </c>
      <c r="AD10" s="383">
        <f>Demand!AF39</f>
        <v>7.9775019938989598</v>
      </c>
      <c r="AE10" s="383">
        <f>Demand!AG39</f>
        <v>8.0621148989806244</v>
      </c>
      <c r="AF10" s="383">
        <f>Demand!AH39</f>
        <v>8.1476252458569576</v>
      </c>
      <c r="AG10" s="383">
        <f>Demand!AI39</f>
        <v>8.2340425531914985</v>
      </c>
      <c r="AH10" s="383">
        <f>Demand!AJ39</f>
        <v>8.3213764406069348</v>
      </c>
      <c r="AI10" s="383">
        <f>Demand!AK39</f>
        <v>8.4096366297559157</v>
      </c>
      <c r="AJ10" s="383">
        <f>Demand!AL39</f>
        <v>8.4988329454032225</v>
      </c>
      <c r="AK10" s="383">
        <f>Demand!AM39</f>
        <v>8.5889753165194307</v>
      </c>
      <c r="AL10" s="383">
        <f>Demand!AN39</f>
        <v>8.6800737773861574</v>
      </c>
    </row>
    <row r="11" spans="1:38">
      <c r="B11" s="363" t="s">
        <v>645</v>
      </c>
      <c r="C11" s="358" t="s">
        <v>1054</v>
      </c>
      <c r="D11" s="383">
        <f>Demand!F40</f>
        <v>2.021212882214602</v>
      </c>
      <c r="E11" s="383">
        <f>Demand!G40</f>
        <v>2.0426507576151294</v>
      </c>
      <c r="F11" s="383">
        <f>Demand!H40</f>
        <v>2.064316012578558</v>
      </c>
      <c r="G11" s="383">
        <f>Demand!I40</f>
        <v>2.0862110587928311</v>
      </c>
      <c r="H11" s="383">
        <f>Demand!J40</f>
        <v>2.1083383335253174</v>
      </c>
      <c r="I11" s="383">
        <f>Demand!K40</f>
        <v>2.1307002998941189</v>
      </c>
      <c r="J11" s="383">
        <f>Demand!L40</f>
        <v>2.1532994471422544</v>
      </c>
      <c r="K11" s="383">
        <f>Demand!M40</f>
        <v>2.1761382909147526</v>
      </c>
      <c r="L11" s="383">
        <f>Demand!N40</f>
        <v>2.1992193735386825</v>
      </c>
      <c r="M11" s="383">
        <f>Demand!O40</f>
        <v>2.2225452643061563</v>
      </c>
      <c r="N11" s="383">
        <f>Demand!P40</f>
        <v>2.2461185597603301</v>
      </c>
      <c r="O11" s="383">
        <f>Demand!Q40</f>
        <v>2.2699418839844441</v>
      </c>
      <c r="P11" s="383">
        <f>Demand!R40</f>
        <v>2.2940178888939209</v>
      </c>
      <c r="Q11" s="383">
        <f>Demand!S40</f>
        <v>2.3183492545315696</v>
      </c>
      <c r="R11" s="383">
        <f>Demand!T40</f>
        <v>2.3429386893659134</v>
      </c>
      <c r="S11" s="383">
        <f>Demand!U40</f>
        <v>2.3677889305926905</v>
      </c>
      <c r="T11" s="383">
        <f>Demand!V40</f>
        <v>2.392902744439541</v>
      </c>
      <c r="U11" s="383">
        <f>Demand!W40</f>
        <v>2.4182829264739381</v>
      </c>
      <c r="V11" s="383">
        <f>Demand!X40</f>
        <v>2.4439323019143755</v>
      </c>
      <c r="W11" s="383">
        <f>Demand!Y40</f>
        <v>2.4698537259448612</v>
      </c>
      <c r="X11" s="383">
        <f>Demand!Z40</f>
        <v>2.4960500840327433</v>
      </c>
      <c r="Y11" s="383">
        <f>Demand!AA40</f>
        <v>2.5225242922499103</v>
      </c>
      <c r="Z11" s="383">
        <f>Demand!AB40</f>
        <v>2.549279297597395</v>
      </c>
      <c r="AA11" s="383">
        <f>Demand!AC40</f>
        <v>2.5763180783334239</v>
      </c>
      <c r="AB11" s="383">
        <f>Demand!AD40</f>
        <v>2.6036436443049418</v>
      </c>
      <c r="AC11" s="383">
        <f>Demand!AE40</f>
        <v>2.631259037282661</v>
      </c>
      <c r="AD11" s="383">
        <f>Demand!AF40</f>
        <v>2.6591673312996531</v>
      </c>
      <c r="AE11" s="383">
        <f>Demand!AG40</f>
        <v>2.6873716329935418</v>
      </c>
      <c r="AF11" s="383">
        <f>Demand!AH40</f>
        <v>2.7158750819523192</v>
      </c>
      <c r="AG11" s="383">
        <f>Demand!AI40</f>
        <v>2.744680851063833</v>
      </c>
      <c r="AH11" s="383">
        <f>Demand!AJ40</f>
        <v>2.7737921468689781</v>
      </c>
      <c r="AI11" s="383">
        <f>Demand!AK40</f>
        <v>2.8032122099186383</v>
      </c>
      <c r="AJ11" s="383">
        <f>Demand!AL40</f>
        <v>2.8329443151344074</v>
      </c>
      <c r="AK11" s="383">
        <f>Demand!AM40</f>
        <v>2.8629917721731437</v>
      </c>
      <c r="AL11" s="383">
        <f>Demand!AN40</f>
        <v>2.8933579257953856</v>
      </c>
    </row>
    <row r="13" spans="1:38" ht="13">
      <c r="B13" s="502" t="s">
        <v>1059</v>
      </c>
      <c r="C13" s="497">
        <f>IF('Crossing Inputs'!$C$11&gt;0, 'Crossing Inputs'!$C$20/Feet.Per.Mile/'Crossing Inputs'!$E$59*60+IF('Crossing Inputs'!$E$53="Passive",0,'Crossing Inputs'!$C$21),0)</f>
        <v>9.5</v>
      </c>
    </row>
    <row r="14" spans="1:38">
      <c r="B14" s="571" t="s">
        <v>1058</v>
      </c>
      <c r="C14" s="572" t="s">
        <v>15</v>
      </c>
      <c r="D14" s="570">
        <f t="shared" ref="D14:AL14" si="2">(D$10*$C$13)/Minutes.Per.Day</f>
        <v>4.0003171627163998E-2</v>
      </c>
      <c r="E14" s="570">
        <f t="shared" si="2"/>
        <v>4.0427462911132764E-2</v>
      </c>
      <c r="F14" s="570">
        <f t="shared" si="2"/>
        <v>4.0856254415617292E-2</v>
      </c>
      <c r="G14" s="570">
        <f t="shared" si="2"/>
        <v>4.1289593871941456E-2</v>
      </c>
      <c r="H14" s="570">
        <f t="shared" si="2"/>
        <v>4.1727529517688579E-2</v>
      </c>
      <c r="I14" s="570">
        <f t="shared" si="2"/>
        <v>4.2170110102071098E-2</v>
      </c>
      <c r="J14" s="570">
        <f t="shared" si="2"/>
        <v>4.2617384891357121E-2</v>
      </c>
      <c r="K14" s="570">
        <f t="shared" si="2"/>
        <v>4.3069403674354481E-2</v>
      </c>
      <c r="L14" s="570">
        <f t="shared" si="2"/>
        <v>4.352621676795309E-2</v>
      </c>
      <c r="M14" s="570">
        <f t="shared" si="2"/>
        <v>4.3987875022726011E-2</v>
      </c>
      <c r="N14" s="570">
        <f t="shared" si="2"/>
        <v>4.4454429828589867E-2</v>
      </c>
      <c r="O14" s="570">
        <f t="shared" si="2"/>
        <v>4.4925933120525459E-2</v>
      </c>
      <c r="P14" s="570">
        <f t="shared" si="2"/>
        <v>4.5402437384358854E-2</v>
      </c>
      <c r="Q14" s="570">
        <f t="shared" si="2"/>
        <v>4.5883995662603982E-2</v>
      </c>
      <c r="R14" s="570">
        <f t="shared" si="2"/>
        <v>4.6370661560367031E-2</v>
      </c>
      <c r="S14" s="570">
        <f t="shared" si="2"/>
        <v>4.6862489251313671E-2</v>
      </c>
      <c r="T14" s="570">
        <f t="shared" si="2"/>
        <v>4.7359533483699257E-2</v>
      </c>
      <c r="U14" s="570">
        <f t="shared" si="2"/>
        <v>4.7861849586463362E-2</v>
      </c>
      <c r="V14" s="570">
        <f t="shared" si="2"/>
        <v>4.8369493475388679E-2</v>
      </c>
      <c r="W14" s="570">
        <f t="shared" si="2"/>
        <v>4.8882521659325377E-2</v>
      </c>
      <c r="X14" s="570">
        <f t="shared" si="2"/>
        <v>4.9400991246481375E-2</v>
      </c>
      <c r="Y14" s="570">
        <f t="shared" si="2"/>
        <v>4.9924959950779474E-2</v>
      </c>
      <c r="Z14" s="570">
        <f t="shared" si="2"/>
        <v>5.0454486098281778E-2</v>
      </c>
      <c r="AA14" s="570">
        <f t="shared" si="2"/>
        <v>5.0989628633682345E-2</v>
      </c>
      <c r="AB14" s="570">
        <f t="shared" si="2"/>
        <v>5.1530447126868641E-2</v>
      </c>
      <c r="AC14" s="570">
        <f t="shared" si="2"/>
        <v>5.2077001779552663E-2</v>
      </c>
      <c r="AD14" s="570">
        <f t="shared" si="2"/>
        <v>5.2629353431972309E-2</v>
      </c>
      <c r="AE14" s="570">
        <f t="shared" si="2"/>
        <v>5.3187563569663844E-2</v>
      </c>
      <c r="AF14" s="570">
        <f t="shared" si="2"/>
        <v>5.375169433030632E-2</v>
      </c>
      <c r="AG14" s="570">
        <f t="shared" si="2"/>
        <v>5.4321808510638357E-2</v>
      </c>
      <c r="AH14" s="570">
        <f t="shared" si="2"/>
        <v>5.4897969573448523E-2</v>
      </c>
      <c r="AI14" s="570">
        <f t="shared" si="2"/>
        <v>5.5480241654639724E-2</v>
      </c>
      <c r="AJ14" s="570">
        <f t="shared" si="2"/>
        <v>5.606868957036848E-2</v>
      </c>
      <c r="AK14" s="570">
        <f t="shared" si="2"/>
        <v>5.6663378824260133E-2</v>
      </c>
      <c r="AL14" s="570">
        <f t="shared" si="2"/>
        <v>5.7264375614700339E-2</v>
      </c>
    </row>
    <row r="16" spans="1:38">
      <c r="B16" s="573" t="s">
        <v>1055</v>
      </c>
      <c r="C16" s="574" t="s">
        <v>505</v>
      </c>
      <c r="D16" s="383">
        <f t="shared" ref="D16:AK16" si="3">D6*D14</f>
        <v>46.814002416773306</v>
      </c>
      <c r="E16" s="383">
        <f t="shared" si="3"/>
        <v>48.705913334385933</v>
      </c>
      <c r="F16" s="383">
        <f t="shared" si="3"/>
        <v>50.674282720307176</v>
      </c>
      <c r="G16" s="383">
        <f t="shared" si="3"/>
        <v>52.722200517790533</v>
      </c>
      <c r="H16" s="383">
        <f t="shared" si="3"/>
        <v>54.852881545064378</v>
      </c>
      <c r="I16" s="383">
        <f t="shared" si="3"/>
        <v>57.069670541948689</v>
      </c>
      <c r="J16" s="383">
        <f t="shared" si="3"/>
        <v>59.376047420422637</v>
      </c>
      <c r="K16" s="383">
        <f t="shared" si="3"/>
        <v>61.775632727384853</v>
      </c>
      <c r="L16" s="383">
        <f t="shared" si="3"/>
        <v>64.272193328182624</v>
      </c>
      <c r="M16" s="383">
        <f t="shared" si="3"/>
        <v>66.869648319831242</v>
      </c>
      <c r="N16" s="383">
        <f t="shared" si="3"/>
        <v>69.572075183206579</v>
      </c>
      <c r="O16" s="383">
        <f t="shared" si="3"/>
        <v>72.383716183868287</v>
      </c>
      <c r="P16" s="383">
        <f t="shared" si="3"/>
        <v>75.308985031561775</v>
      </c>
      <c r="Q16" s="383">
        <f t="shared" si="3"/>
        <v>78.352473808853091</v>
      </c>
      <c r="R16" s="383">
        <f t="shared" si="3"/>
        <v>81.518960179773018</v>
      </c>
      <c r="S16" s="383">
        <f t="shared" si="3"/>
        <v>84.813414889786998</v>
      </c>
      <c r="T16" s="383">
        <f t="shared" si="3"/>
        <v>88.241009568863305</v>
      </c>
      <c r="U16" s="383">
        <f t="shared" si="3"/>
        <v>91.807124849890357</v>
      </c>
      <c r="V16" s="383">
        <f t="shared" si="3"/>
        <v>95.517358815185759</v>
      </c>
      <c r="W16" s="383">
        <f t="shared" si="3"/>
        <v>99.377535784357406</v>
      </c>
      <c r="X16" s="383">
        <f t="shared" si="3"/>
        <v>103.39371545731143</v>
      </c>
      <c r="Y16" s="383">
        <f t="shared" si="3"/>
        <v>107.57220242676001</v>
      </c>
      <c r="Z16" s="383">
        <f t="shared" si="3"/>
        <v>111.91955607516125</v>
      </c>
      <c r="AA16" s="383">
        <f t="shared" si="3"/>
        <v>116.44260087162776</v>
      </c>
      <c r="AB16" s="383">
        <f t="shared" si="3"/>
        <v>121.14843708496787</v>
      </c>
      <c r="AC16" s="383">
        <f t="shared" si="3"/>
        <v>126.0444519296767</v>
      </c>
      <c r="AD16" s="383">
        <f t="shared" si="3"/>
        <v>131.1383311623743</v>
      </c>
      <c r="AE16" s="383">
        <f t="shared" si="3"/>
        <v>136.43807114689446</v>
      </c>
      <c r="AF16" s="383">
        <f t="shared" si="3"/>
        <v>141.95199140696459</v>
      </c>
      <c r="AG16" s="383">
        <f t="shared" si="3"/>
        <v>147.6887476861813</v>
      </c>
      <c r="AH16" s="383">
        <f t="shared" si="3"/>
        <v>153.65734553578346</v>
      </c>
      <c r="AI16" s="383">
        <f t="shared" si="3"/>
        <v>159.86715445155286</v>
      </c>
      <c r="AJ16" s="383">
        <f t="shared" si="3"/>
        <v>166.32792258203401</v>
      </c>
      <c r="AK16" s="383">
        <f t="shared" si="3"/>
        <v>173.04979203116338</v>
      </c>
      <c r="AL16" s="383">
        <f t="shared" ref="AL16" si="4">AL6*AL14</f>
        <v>180.04331477932834</v>
      </c>
    </row>
    <row r="17" spans="2:38">
      <c r="B17" s="573" t="s">
        <v>1056</v>
      </c>
      <c r="C17" s="574" t="s">
        <v>490</v>
      </c>
      <c r="D17" s="383">
        <f>D16*$C13/2</f>
        <v>222.36651147967319</v>
      </c>
      <c r="E17" s="383">
        <f t="shared" ref="E17:AK17" si="5">E16*$C13/2</f>
        <v>231.35308833833318</v>
      </c>
      <c r="F17" s="383">
        <f t="shared" si="5"/>
        <v>240.70284292145908</v>
      </c>
      <c r="G17" s="383">
        <f t="shared" si="5"/>
        <v>250.43045245950503</v>
      </c>
      <c r="H17" s="383">
        <f t="shared" si="5"/>
        <v>260.55118733905579</v>
      </c>
      <c r="I17" s="383">
        <f t="shared" si="5"/>
        <v>271.08093507425627</v>
      </c>
      <c r="J17" s="383">
        <f t="shared" si="5"/>
        <v>282.03622524700751</v>
      </c>
      <c r="K17" s="383">
        <f t="shared" si="5"/>
        <v>293.43425545507807</v>
      </c>
      <c r="L17" s="383">
        <f t="shared" si="5"/>
        <v>305.29291830886746</v>
      </c>
      <c r="M17" s="383">
        <f t="shared" si="5"/>
        <v>317.63082951919841</v>
      </c>
      <c r="N17" s="383">
        <f t="shared" si="5"/>
        <v>330.46735712023127</v>
      </c>
      <c r="O17" s="383">
        <f t="shared" si="5"/>
        <v>343.82265187337435</v>
      </c>
      <c r="P17" s="383">
        <f t="shared" si="5"/>
        <v>357.71767889991844</v>
      </c>
      <c r="Q17" s="383">
        <f t="shared" si="5"/>
        <v>372.1742505920522</v>
      </c>
      <c r="R17" s="383">
        <f t="shared" si="5"/>
        <v>387.21506085392184</v>
      </c>
      <c r="S17" s="383">
        <f t="shared" si="5"/>
        <v>402.86372072648822</v>
      </c>
      <c r="T17" s="383">
        <f t="shared" si="5"/>
        <v>419.14479545210071</v>
      </c>
      <c r="U17" s="383">
        <f t="shared" si="5"/>
        <v>436.0838430369792</v>
      </c>
      <c r="V17" s="383">
        <f t="shared" si="5"/>
        <v>453.70745437213236</v>
      </c>
      <c r="W17" s="383">
        <f t="shared" si="5"/>
        <v>472.04329497569768</v>
      </c>
      <c r="X17" s="383">
        <f t="shared" si="5"/>
        <v>491.12014842222931</v>
      </c>
      <c r="Y17" s="383">
        <f t="shared" si="5"/>
        <v>510.96796152711005</v>
      </c>
      <c r="Z17" s="383">
        <f t="shared" si="5"/>
        <v>531.61789135701599</v>
      </c>
      <c r="AA17" s="383">
        <f t="shared" si="5"/>
        <v>553.10235414023191</v>
      </c>
      <c r="AB17" s="383">
        <f t="shared" si="5"/>
        <v>575.45507615359736</v>
      </c>
      <c r="AC17" s="383">
        <f t="shared" si="5"/>
        <v>598.71114666596429</v>
      </c>
      <c r="AD17" s="383">
        <f t="shared" si="5"/>
        <v>622.90707302127794</v>
      </c>
      <c r="AE17" s="383">
        <f t="shared" si="5"/>
        <v>648.08083794774871</v>
      </c>
      <c r="AF17" s="383">
        <f t="shared" si="5"/>
        <v>674.27195918308178</v>
      </c>
      <c r="AG17" s="383">
        <f t="shared" si="5"/>
        <v>701.52155150936119</v>
      </c>
      <c r="AH17" s="383">
        <f t="shared" si="5"/>
        <v>729.87239129497141</v>
      </c>
      <c r="AI17" s="383">
        <f t="shared" si="5"/>
        <v>759.36898364487615</v>
      </c>
      <c r="AJ17" s="383">
        <f t="shared" si="5"/>
        <v>790.05763226466149</v>
      </c>
      <c r="AK17" s="383">
        <f t="shared" si="5"/>
        <v>821.98651214802601</v>
      </c>
      <c r="AL17" s="383">
        <f t="shared" ref="AL17" si="6">AL16*$C13/2</f>
        <v>855.20574520180958</v>
      </c>
    </row>
    <row r="18" spans="2:38">
      <c r="B18" s="575" t="s">
        <v>1057</v>
      </c>
      <c r="C18" s="574" t="s">
        <v>443</v>
      </c>
      <c r="D18" s="383">
        <f>D17/Minutes.per.Hour*Days.Per.Year</f>
        <v>1352.7296115013453</v>
      </c>
      <c r="E18" s="383">
        <f t="shared" ref="E18:AK18" si="7">E17/Minutes.per.Hour*Days.Per.Year</f>
        <v>1407.3979540581936</v>
      </c>
      <c r="F18" s="383">
        <f t="shared" si="7"/>
        <v>1464.2756277722096</v>
      </c>
      <c r="G18" s="383">
        <f t="shared" si="7"/>
        <v>1523.4519191286556</v>
      </c>
      <c r="H18" s="383">
        <f t="shared" si="7"/>
        <v>1585.0197229792559</v>
      </c>
      <c r="I18" s="383">
        <f t="shared" si="7"/>
        <v>1649.0756883683921</v>
      </c>
      <c r="J18" s="383">
        <f t="shared" si="7"/>
        <v>1715.7203702526292</v>
      </c>
      <c r="K18" s="383">
        <f t="shared" si="7"/>
        <v>1785.0583873517251</v>
      </c>
      <c r="L18" s="383">
        <f t="shared" si="7"/>
        <v>1857.1985863789434</v>
      </c>
      <c r="M18" s="383">
        <f t="shared" si="7"/>
        <v>1932.254212908457</v>
      </c>
      <c r="N18" s="383">
        <f t="shared" si="7"/>
        <v>2010.3430891480734</v>
      </c>
      <c r="O18" s="383">
        <f t="shared" si="7"/>
        <v>2091.5877988963607</v>
      </c>
      <c r="P18" s="383">
        <f t="shared" si="7"/>
        <v>2176.115879974504</v>
      </c>
      <c r="Q18" s="383">
        <f t="shared" si="7"/>
        <v>2264.0600244349844</v>
      </c>
      <c r="R18" s="383">
        <f t="shared" si="7"/>
        <v>2355.5582868613578</v>
      </c>
      <c r="S18" s="383">
        <f t="shared" si="7"/>
        <v>2450.7543010861368</v>
      </c>
      <c r="T18" s="383">
        <f t="shared" si="7"/>
        <v>2549.7975056669461</v>
      </c>
      <c r="U18" s="383">
        <f t="shared" si="7"/>
        <v>2652.8433784749568</v>
      </c>
      <c r="V18" s="383">
        <f t="shared" si="7"/>
        <v>2760.053680763805</v>
      </c>
      <c r="W18" s="383">
        <f t="shared" si="7"/>
        <v>2871.596711102161</v>
      </c>
      <c r="X18" s="383">
        <f t="shared" si="7"/>
        <v>2987.6475695685617</v>
      </c>
      <c r="Y18" s="383">
        <f t="shared" si="7"/>
        <v>3108.3884326232524</v>
      </c>
      <c r="Z18" s="383">
        <f t="shared" si="7"/>
        <v>3234.0088390885144</v>
      </c>
      <c r="AA18" s="383">
        <f t="shared" si="7"/>
        <v>3364.7059876864105</v>
      </c>
      <c r="AB18" s="383">
        <f t="shared" si="7"/>
        <v>3500.6850466010505</v>
      </c>
      <c r="AC18" s="383">
        <f t="shared" si="7"/>
        <v>3642.1594755512829</v>
      </c>
      <c r="AD18" s="383">
        <f t="shared" si="7"/>
        <v>3789.351360879441</v>
      </c>
      <c r="AE18" s="383">
        <f t="shared" si="7"/>
        <v>3942.4917641821376</v>
      </c>
      <c r="AF18" s="383">
        <f t="shared" si="7"/>
        <v>4101.821085030414</v>
      </c>
      <c r="AG18" s="383">
        <f t="shared" si="7"/>
        <v>4267.5894383486138</v>
      </c>
      <c r="AH18" s="383">
        <f t="shared" si="7"/>
        <v>4440.05704704441</v>
      </c>
      <c r="AI18" s="383">
        <f t="shared" si="7"/>
        <v>4619.4946505063299</v>
      </c>
      <c r="AJ18" s="383">
        <f t="shared" si="7"/>
        <v>4806.1839296100243</v>
      </c>
      <c r="AK18" s="383">
        <f t="shared" si="7"/>
        <v>5000.4179489004919</v>
      </c>
      <c r="AL18" s="383">
        <f t="shared" ref="AL18" si="8">AL17/Minutes.per.Hour*Days.Per.Year</f>
        <v>5202.501616644342</v>
      </c>
    </row>
    <row r="20" spans="2:38">
      <c r="B20" s="575" t="s">
        <v>745</v>
      </c>
      <c r="C20" s="574" t="s">
        <v>443</v>
      </c>
      <c r="D20" s="383">
        <f>D18</f>
        <v>1352.7296115013453</v>
      </c>
      <c r="E20" s="383">
        <f t="shared" ref="E20:AK20" si="9">E18</f>
        <v>1407.3979540581936</v>
      </c>
      <c r="F20" s="383">
        <f t="shared" si="9"/>
        <v>1464.2756277722096</v>
      </c>
      <c r="G20" s="383">
        <f t="shared" si="9"/>
        <v>1523.4519191286556</v>
      </c>
      <c r="H20" s="383">
        <f t="shared" si="9"/>
        <v>1585.0197229792559</v>
      </c>
      <c r="I20" s="383">
        <f t="shared" si="9"/>
        <v>1649.0756883683921</v>
      </c>
      <c r="J20" s="383">
        <f t="shared" si="9"/>
        <v>1715.7203702526292</v>
      </c>
      <c r="K20" s="383">
        <f t="shared" si="9"/>
        <v>1785.0583873517251</v>
      </c>
      <c r="L20" s="383">
        <f t="shared" si="9"/>
        <v>1857.1985863789434</v>
      </c>
      <c r="M20" s="383">
        <f t="shared" si="9"/>
        <v>1932.254212908457</v>
      </c>
      <c r="N20" s="383">
        <f t="shared" si="9"/>
        <v>2010.3430891480734</v>
      </c>
      <c r="O20" s="383">
        <f t="shared" si="9"/>
        <v>2091.5877988963607</v>
      </c>
      <c r="P20" s="383">
        <f t="shared" si="9"/>
        <v>2176.115879974504</v>
      </c>
      <c r="Q20" s="383">
        <f t="shared" si="9"/>
        <v>2264.0600244349844</v>
      </c>
      <c r="R20" s="383">
        <f t="shared" si="9"/>
        <v>2355.5582868613578</v>
      </c>
      <c r="S20" s="383">
        <f t="shared" si="9"/>
        <v>2450.7543010861368</v>
      </c>
      <c r="T20" s="383">
        <f t="shared" si="9"/>
        <v>2549.7975056669461</v>
      </c>
      <c r="U20" s="383">
        <f t="shared" si="9"/>
        <v>2652.8433784749568</v>
      </c>
      <c r="V20" s="383">
        <f t="shared" si="9"/>
        <v>2760.053680763805</v>
      </c>
      <c r="W20" s="383">
        <f t="shared" si="9"/>
        <v>2871.596711102161</v>
      </c>
      <c r="X20" s="383">
        <f t="shared" si="9"/>
        <v>2987.6475695685617</v>
      </c>
      <c r="Y20" s="383">
        <f t="shared" si="9"/>
        <v>3108.3884326232524</v>
      </c>
      <c r="Z20" s="383">
        <f t="shared" si="9"/>
        <v>3234.0088390885144</v>
      </c>
      <c r="AA20" s="383">
        <f t="shared" si="9"/>
        <v>3364.7059876864105</v>
      </c>
      <c r="AB20" s="383">
        <f t="shared" si="9"/>
        <v>3500.6850466010505</v>
      </c>
      <c r="AC20" s="383">
        <f t="shared" si="9"/>
        <v>3642.1594755512829</v>
      </c>
      <c r="AD20" s="383">
        <f t="shared" si="9"/>
        <v>3789.351360879441</v>
      </c>
      <c r="AE20" s="383">
        <f t="shared" si="9"/>
        <v>3942.4917641821376</v>
      </c>
      <c r="AF20" s="383">
        <f t="shared" si="9"/>
        <v>4101.821085030414</v>
      </c>
      <c r="AG20" s="383">
        <f t="shared" si="9"/>
        <v>4267.5894383486138</v>
      </c>
      <c r="AH20" s="383">
        <f t="shared" si="9"/>
        <v>4440.05704704441</v>
      </c>
      <c r="AI20" s="383">
        <f t="shared" si="9"/>
        <v>4619.4946505063299</v>
      </c>
      <c r="AJ20" s="383">
        <f t="shared" si="9"/>
        <v>4806.1839296100243</v>
      </c>
      <c r="AK20" s="383">
        <f t="shared" si="9"/>
        <v>5000.4179489004919</v>
      </c>
      <c r="AL20" s="383">
        <f t="shared" ref="AL20" si="10">AL18</f>
        <v>5202.501616644342</v>
      </c>
    </row>
    <row r="22" spans="2:38" ht="13">
      <c r="B22" s="502" t="s">
        <v>506</v>
      </c>
      <c r="C22" s="542">
        <f>SUMIFS('Crossing Inputs'!$C$67:$H$67,'Crossing Inputs'!$C$49:$H$49,$A$1)</f>
        <v>0.9</v>
      </c>
    </row>
    <row r="23" spans="2:38" ht="13">
      <c r="B23" s="502" t="s">
        <v>507</v>
      </c>
      <c r="C23" s="542">
        <f>SUMIFS('Crossing Inputs'!$C$68:$H$68,'Crossing Inputs'!$C$49:$H$49,$A$1)</f>
        <v>0.1</v>
      </c>
    </row>
    <row r="24" spans="2:38" ht="13">
      <c r="B24" s="502" t="s">
        <v>746</v>
      </c>
      <c r="C24" s="542">
        <f>SUMIFS('Crossing Inputs'!$C$69:$H$69,'Crossing Inputs'!$C$49:$H$49,$A$1)</f>
        <v>0</v>
      </c>
    </row>
    <row r="25" spans="2:38">
      <c r="B25" s="358" t="s">
        <v>508</v>
      </c>
      <c r="C25" s="358" t="s">
        <v>443</v>
      </c>
      <c r="D25" s="576">
        <f>D$20*$C22</f>
        <v>1217.4566503512108</v>
      </c>
      <c r="E25" s="576">
        <f t="shared" ref="E25:AK27" si="11">E$20*$C22</f>
        <v>1266.6581586523744</v>
      </c>
      <c r="F25" s="576">
        <f t="shared" si="11"/>
        <v>1317.8480649949888</v>
      </c>
      <c r="G25" s="576">
        <f t="shared" si="11"/>
        <v>1371.10672721579</v>
      </c>
      <c r="H25" s="576">
        <f t="shared" si="11"/>
        <v>1426.5177506813304</v>
      </c>
      <c r="I25" s="576">
        <f t="shared" si="11"/>
        <v>1484.168119531553</v>
      </c>
      <c r="J25" s="576">
        <f t="shared" si="11"/>
        <v>1544.1483332273663</v>
      </c>
      <c r="K25" s="576">
        <f t="shared" si="11"/>
        <v>1606.5525486165525</v>
      </c>
      <c r="L25" s="576">
        <f t="shared" si="11"/>
        <v>1671.4787277410492</v>
      </c>
      <c r="M25" s="576">
        <f t="shared" si="11"/>
        <v>1739.0287916176114</v>
      </c>
      <c r="N25" s="576">
        <f t="shared" si="11"/>
        <v>1809.3087802332661</v>
      </c>
      <c r="O25" s="576">
        <f>O$20*$C22</f>
        <v>1882.4290190067247</v>
      </c>
      <c r="P25" s="576">
        <f t="shared" si="11"/>
        <v>1958.5042919770535</v>
      </c>
      <c r="Q25" s="576">
        <f t="shared" si="11"/>
        <v>2037.6540219914859</v>
      </c>
      <c r="R25" s="576">
        <f t="shared" si="11"/>
        <v>2120.0024581752223</v>
      </c>
      <c r="S25" s="576">
        <f t="shared" si="11"/>
        <v>2205.6788709775233</v>
      </c>
      <c r="T25" s="576">
        <f t="shared" si="11"/>
        <v>2294.8177551002514</v>
      </c>
      <c r="U25" s="576">
        <f t="shared" si="11"/>
        <v>2387.5590406274614</v>
      </c>
      <c r="V25" s="576">
        <f t="shared" si="11"/>
        <v>2484.0483126874246</v>
      </c>
      <c r="W25" s="576">
        <f t="shared" si="11"/>
        <v>2584.4370399919449</v>
      </c>
      <c r="X25" s="576">
        <f t="shared" si="11"/>
        <v>2688.8828126117055</v>
      </c>
      <c r="Y25" s="576">
        <f t="shared" si="11"/>
        <v>2797.5495893609273</v>
      </c>
      <c r="Z25" s="576">
        <f t="shared" si="11"/>
        <v>2910.6079551796629</v>
      </c>
      <c r="AA25" s="576">
        <f t="shared" si="11"/>
        <v>3028.2353889177693</v>
      </c>
      <c r="AB25" s="576">
        <f t="shared" si="11"/>
        <v>3150.6165419409454</v>
      </c>
      <c r="AC25" s="576">
        <f t="shared" si="11"/>
        <v>3277.9435279961544</v>
      </c>
      <c r="AD25" s="576">
        <f t="shared" si="11"/>
        <v>3410.4162247914969</v>
      </c>
      <c r="AE25" s="576">
        <f t="shared" si="11"/>
        <v>3548.2425877639239</v>
      </c>
      <c r="AF25" s="576">
        <f t="shared" si="11"/>
        <v>3691.6389765273725</v>
      </c>
      <c r="AG25" s="576">
        <f t="shared" si="11"/>
        <v>3840.8304945137525</v>
      </c>
      <c r="AH25" s="576">
        <f t="shared" si="11"/>
        <v>3996.0513423399689</v>
      </c>
      <c r="AI25" s="576">
        <f t="shared" si="11"/>
        <v>4157.5451854556968</v>
      </c>
      <c r="AJ25" s="576">
        <f t="shared" si="11"/>
        <v>4325.5655366490219</v>
      </c>
      <c r="AK25" s="576">
        <f t="shared" si="11"/>
        <v>4500.3761540104424</v>
      </c>
      <c r="AL25" s="576">
        <f t="shared" ref="AL25" si="12">AL$20*$C22</f>
        <v>4682.251454979908</v>
      </c>
    </row>
    <row r="26" spans="2:38">
      <c r="B26" s="358" t="s">
        <v>509</v>
      </c>
      <c r="C26" s="358" t="s">
        <v>443</v>
      </c>
      <c r="D26" s="576">
        <f t="shared" ref="D26:S27" si="13">D$20*$C23</f>
        <v>135.27296115013453</v>
      </c>
      <c r="E26" s="576">
        <f t="shared" si="13"/>
        <v>140.73979540581936</v>
      </c>
      <c r="F26" s="576">
        <f t="shared" si="13"/>
        <v>146.42756277722097</v>
      </c>
      <c r="G26" s="576">
        <f t="shared" si="13"/>
        <v>152.34519191286557</v>
      </c>
      <c r="H26" s="576">
        <f t="shared" si="13"/>
        <v>158.50197229792559</v>
      </c>
      <c r="I26" s="576">
        <f t="shared" si="13"/>
        <v>164.90756883683923</v>
      </c>
      <c r="J26" s="576">
        <f t="shared" si="13"/>
        <v>171.57203702526294</v>
      </c>
      <c r="K26" s="576">
        <f t="shared" si="13"/>
        <v>178.50583873517252</v>
      </c>
      <c r="L26" s="576">
        <f t="shared" si="13"/>
        <v>185.71985863789436</v>
      </c>
      <c r="M26" s="576">
        <f t="shared" si="13"/>
        <v>193.2254212908457</v>
      </c>
      <c r="N26" s="576">
        <f t="shared" si="13"/>
        <v>201.03430891480735</v>
      </c>
      <c r="O26" s="576">
        <f t="shared" si="13"/>
        <v>209.15877988963609</v>
      </c>
      <c r="P26" s="576">
        <f t="shared" si="13"/>
        <v>217.61158799745041</v>
      </c>
      <c r="Q26" s="576">
        <f t="shared" si="13"/>
        <v>226.40600244349844</v>
      </c>
      <c r="R26" s="576">
        <f t="shared" si="13"/>
        <v>235.55582868613578</v>
      </c>
      <c r="S26" s="576">
        <f t="shared" si="13"/>
        <v>245.07543010861369</v>
      </c>
      <c r="T26" s="576">
        <f t="shared" si="11"/>
        <v>254.97975056669463</v>
      </c>
      <c r="U26" s="576">
        <f t="shared" si="11"/>
        <v>265.28433784749569</v>
      </c>
      <c r="V26" s="576">
        <f t="shared" si="11"/>
        <v>276.00536807638053</v>
      </c>
      <c r="W26" s="576">
        <f t="shared" si="11"/>
        <v>287.1596711102161</v>
      </c>
      <c r="X26" s="576">
        <f t="shared" si="11"/>
        <v>298.76475695685616</v>
      </c>
      <c r="Y26" s="576">
        <f t="shared" si="11"/>
        <v>310.83884326232527</v>
      </c>
      <c r="Z26" s="576">
        <f t="shared" si="11"/>
        <v>323.40088390885148</v>
      </c>
      <c r="AA26" s="576">
        <f t="shared" si="11"/>
        <v>336.47059876864108</v>
      </c>
      <c r="AB26" s="576">
        <f t="shared" si="11"/>
        <v>350.06850466010508</v>
      </c>
      <c r="AC26" s="576">
        <f t="shared" si="11"/>
        <v>364.21594755512831</v>
      </c>
      <c r="AD26" s="576">
        <f t="shared" si="11"/>
        <v>378.9351360879441</v>
      </c>
      <c r="AE26" s="576">
        <f t="shared" si="11"/>
        <v>394.24917641821378</v>
      </c>
      <c r="AF26" s="576">
        <f t="shared" si="11"/>
        <v>410.18210850304143</v>
      </c>
      <c r="AG26" s="576">
        <f t="shared" si="11"/>
        <v>426.75894383486138</v>
      </c>
      <c r="AH26" s="576">
        <f t="shared" si="11"/>
        <v>444.00570470444103</v>
      </c>
      <c r="AI26" s="576">
        <f t="shared" si="11"/>
        <v>461.94946505063302</v>
      </c>
      <c r="AJ26" s="576">
        <f t="shared" si="11"/>
        <v>480.61839296100243</v>
      </c>
      <c r="AK26" s="576">
        <f t="shared" si="11"/>
        <v>500.04179489004923</v>
      </c>
      <c r="AL26" s="576">
        <f t="shared" ref="AL26" si="14">AL$20*$C23</f>
        <v>520.25016166443424</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1177" t="s">
        <v>788</v>
      </c>
      <c r="C32" s="358" t="s">
        <v>295</v>
      </c>
      <c r="D32" s="383">
        <f>D25*$C29</f>
        <v>435.24075250055785</v>
      </c>
      <c r="E32" s="383">
        <f t="shared" ref="E32:AK32" si="16">E25*$C29</f>
        <v>452.8302917182238</v>
      </c>
      <c r="F32" s="383">
        <f t="shared" si="16"/>
        <v>471.13068323570849</v>
      </c>
      <c r="G32" s="383">
        <f t="shared" si="16"/>
        <v>490.17065497964489</v>
      </c>
      <c r="H32" s="383">
        <f t="shared" si="16"/>
        <v>509.98009586857563</v>
      </c>
      <c r="I32" s="383">
        <f t="shared" si="16"/>
        <v>530.59010273253011</v>
      </c>
      <c r="J32" s="383">
        <f t="shared" si="16"/>
        <v>552.03302912878337</v>
      </c>
      <c r="K32" s="383">
        <f t="shared" si="16"/>
        <v>574.34253613041744</v>
      </c>
      <c r="L32" s="383">
        <f t="shared" si="16"/>
        <v>597.55364516742509</v>
      </c>
      <c r="M32" s="383">
        <f t="shared" si="16"/>
        <v>621.70279300329605</v>
      </c>
      <c r="N32" s="383">
        <f t="shared" si="16"/>
        <v>646.82788893339261</v>
      </c>
      <c r="O32" s="383">
        <f t="shared" si="16"/>
        <v>672.96837429490404</v>
      </c>
      <c r="P32" s="383">
        <f t="shared" si="16"/>
        <v>700.1652843817966</v>
      </c>
      <c r="Q32" s="383">
        <f t="shared" si="16"/>
        <v>728.46131286195623</v>
      </c>
      <c r="R32" s="383">
        <f t="shared" si="16"/>
        <v>757.90087879764189</v>
      </c>
      <c r="S32" s="383">
        <f t="shared" si="16"/>
        <v>788.53019637446448</v>
      </c>
      <c r="T32" s="383">
        <f t="shared" si="16"/>
        <v>820.39734744833981</v>
      </c>
      <c r="U32" s="383">
        <f t="shared" si="16"/>
        <v>853.55235702431742</v>
      </c>
      <c r="V32" s="383">
        <f t="shared" si="16"/>
        <v>888.04727178575422</v>
      </c>
      <c r="W32" s="383">
        <f t="shared" si="16"/>
        <v>923.93624179712026</v>
      </c>
      <c r="X32" s="383">
        <f t="shared" si="16"/>
        <v>961.27560550868463</v>
      </c>
      <c r="Y32" s="383">
        <f t="shared" si="16"/>
        <v>1000.1239781965314</v>
      </c>
      <c r="Z32" s="383">
        <f t="shared" si="16"/>
        <v>1040.5423439767294</v>
      </c>
      <c r="AA32" s="383">
        <f t="shared" si="16"/>
        <v>1082.5941515381026</v>
      </c>
      <c r="AB32" s="383">
        <f t="shared" si="16"/>
        <v>1126.345413743888</v>
      </c>
      <c r="AC32" s="383">
        <f t="shared" si="16"/>
        <v>1171.8648112586252</v>
      </c>
      <c r="AD32" s="383">
        <f t="shared" si="16"/>
        <v>1219.22380036296</v>
      </c>
      <c r="AE32" s="383">
        <f t="shared" si="16"/>
        <v>1268.4967251256028</v>
      </c>
      <c r="AF32" s="383">
        <f t="shared" si="16"/>
        <v>1319.7609341085356</v>
      </c>
      <c r="AG32" s="383">
        <f t="shared" si="16"/>
        <v>1373.0969017886664</v>
      </c>
      <c r="AH32" s="383">
        <f t="shared" si="16"/>
        <v>1428.5883548865388</v>
      </c>
      <c r="AI32" s="383">
        <f t="shared" si="16"/>
        <v>1486.3224038004116</v>
      </c>
      <c r="AJ32" s="383">
        <f t="shared" si="16"/>
        <v>1546.3896793520253</v>
      </c>
      <c r="AK32" s="383">
        <f t="shared" si="16"/>
        <v>1608.8844750587332</v>
      </c>
      <c r="AL32" s="383">
        <f t="shared" ref="AL32" si="17">AL25*$C29</f>
        <v>1673.904895155317</v>
      </c>
    </row>
    <row r="33" spans="1:38">
      <c r="B33" s="1177" t="s">
        <v>789</v>
      </c>
      <c r="C33" s="358" t="s">
        <v>295</v>
      </c>
      <c r="D33" s="383">
        <f>D26*$C30+D27*$C31</f>
        <v>113.629287366113</v>
      </c>
      <c r="E33" s="383">
        <f t="shared" ref="E33:AK33" si="18">E26*$C30+E27*$C31</f>
        <v>118.22142814088826</v>
      </c>
      <c r="F33" s="383">
        <f t="shared" si="18"/>
        <v>122.99915273286561</v>
      </c>
      <c r="G33" s="383">
        <f t="shared" si="18"/>
        <v>127.96996120680707</v>
      </c>
      <c r="H33" s="383">
        <f t="shared" si="18"/>
        <v>133.14165673025749</v>
      </c>
      <c r="I33" s="383">
        <f t="shared" si="18"/>
        <v>138.52235782294494</v>
      </c>
      <c r="J33" s="383">
        <f t="shared" si="18"/>
        <v>144.12051110122087</v>
      </c>
      <c r="K33" s="383">
        <f t="shared" si="18"/>
        <v>149.94490453754491</v>
      </c>
      <c r="L33" s="383">
        <f t="shared" si="18"/>
        <v>156.00468125583126</v>
      </c>
      <c r="M33" s="383">
        <f t="shared" si="18"/>
        <v>162.30935388431038</v>
      </c>
      <c r="N33" s="383">
        <f t="shared" si="18"/>
        <v>168.86881948843816</v>
      </c>
      <c r="O33" s="383">
        <f t="shared" si="18"/>
        <v>175.69337510729432</v>
      </c>
      <c r="P33" s="383">
        <f t="shared" si="18"/>
        <v>182.79373391785833</v>
      </c>
      <c r="Q33" s="383">
        <f t="shared" si="18"/>
        <v>190.18104205253869</v>
      </c>
      <c r="R33" s="383">
        <f t="shared" si="18"/>
        <v>197.86689609635405</v>
      </c>
      <c r="S33" s="383">
        <f t="shared" si="18"/>
        <v>205.86336129123549</v>
      </c>
      <c r="T33" s="383">
        <f t="shared" si="18"/>
        <v>214.18299047602349</v>
      </c>
      <c r="U33" s="383">
        <f t="shared" si="18"/>
        <v>222.83884379189638</v>
      </c>
      <c r="V33" s="383">
        <f t="shared" si="18"/>
        <v>231.84450918415965</v>
      </c>
      <c r="W33" s="383">
        <f t="shared" si="18"/>
        <v>241.2141237325815</v>
      </c>
      <c r="X33" s="383">
        <f t="shared" si="18"/>
        <v>250.96239584375917</v>
      </c>
      <c r="Y33" s="383">
        <f t="shared" si="18"/>
        <v>261.1046283403532</v>
      </c>
      <c r="Z33" s="383">
        <f t="shared" si="18"/>
        <v>271.65674248343521</v>
      </c>
      <c r="AA33" s="383">
        <f t="shared" si="18"/>
        <v>282.63530296565852</v>
      </c>
      <c r="AB33" s="383">
        <f t="shared" si="18"/>
        <v>294.05754391448824</v>
      </c>
      <c r="AC33" s="383">
        <f t="shared" si="18"/>
        <v>305.94139594630775</v>
      </c>
      <c r="AD33" s="383">
        <f t="shared" si="18"/>
        <v>318.30551431387306</v>
      </c>
      <c r="AE33" s="383">
        <f t="shared" si="18"/>
        <v>331.16930819129954</v>
      </c>
      <c r="AF33" s="383">
        <f t="shared" si="18"/>
        <v>344.55297114255478</v>
      </c>
      <c r="AG33" s="383">
        <f t="shared" si="18"/>
        <v>358.47751282128354</v>
      </c>
      <c r="AH33" s="383">
        <f t="shared" si="18"/>
        <v>372.96479195173043</v>
      </c>
      <c r="AI33" s="383">
        <f t="shared" si="18"/>
        <v>388.0375506425317</v>
      </c>
      <c r="AJ33" s="383">
        <f t="shared" si="18"/>
        <v>403.71945008724202</v>
      </c>
      <c r="AK33" s="383">
        <f t="shared" si="18"/>
        <v>420.03510770764132</v>
      </c>
      <c r="AL33" s="383">
        <f t="shared" ref="AL33" si="19">AL26*$C30+AL27*$C31</f>
        <v>437.01013579812474</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Demand!F61</f>
        <v>6.0636386466438061</v>
      </c>
      <c r="E37" s="383">
        <f>Demand!G61</f>
        <v>6.1279522728453877</v>
      </c>
      <c r="F37" s="383">
        <f>Demand!H61</f>
        <v>6.1929480377356736</v>
      </c>
      <c r="G37" s="383">
        <f>Demand!I61</f>
        <v>6.2586331763784937</v>
      </c>
      <c r="H37" s="383">
        <f>Demand!J61</f>
        <v>8.4333533341012696</v>
      </c>
      <c r="I37" s="383">
        <f>Demand!K61</f>
        <v>8.5228011995764756</v>
      </c>
      <c r="J37" s="383">
        <f>Demand!L61</f>
        <v>8.6131977885690176</v>
      </c>
      <c r="K37" s="383">
        <f>Demand!M61</f>
        <v>8.7045531636590106</v>
      </c>
      <c r="L37" s="383">
        <f>Demand!N61</f>
        <v>8.7968774941547299</v>
      </c>
      <c r="M37" s="383">
        <f>Demand!O61</f>
        <v>8.8901810572246251</v>
      </c>
      <c r="N37" s="383">
        <f>Demand!P61</f>
        <v>8.9844742390413206</v>
      </c>
      <c r="O37" s="383">
        <f>Demand!Q61</f>
        <v>9.0797675359377763</v>
      </c>
      <c r="P37" s="383">
        <f>Demand!R61</f>
        <v>9.1760715555756835</v>
      </c>
      <c r="Q37" s="383">
        <f>Demand!S61</f>
        <v>9.2733970181262784</v>
      </c>
      <c r="R37" s="383">
        <f>Demand!T61</f>
        <v>9.3717547574636537</v>
      </c>
      <c r="S37" s="383">
        <f>Demand!U61</f>
        <v>9.4711557223707619</v>
      </c>
      <c r="T37" s="383">
        <f>Demand!V61</f>
        <v>9.5716109777581639</v>
      </c>
      <c r="U37" s="383">
        <f>Demand!W61</f>
        <v>9.6731317058957522</v>
      </c>
      <c r="V37" s="383">
        <f>Demand!X61</f>
        <v>9.775729207657502</v>
      </c>
      <c r="W37" s="383">
        <f>Demand!Y61</f>
        <v>9.8794149037794448</v>
      </c>
      <c r="X37" s="383">
        <f>Demand!Z61</f>
        <v>9.9842003361309732</v>
      </c>
      <c r="Y37" s="383">
        <f>Demand!AA61</f>
        <v>10.090097168999641</v>
      </c>
      <c r="Z37" s="383">
        <f>Demand!AB61</f>
        <v>10.19711719038958</v>
      </c>
      <c r="AA37" s="383">
        <f>Demand!AC61</f>
        <v>10.305272313333695</v>
      </c>
      <c r="AB37" s="383">
        <f>Demand!AD61</f>
        <v>10.414574577219767</v>
      </c>
      <c r="AC37" s="383">
        <f>Demand!AE61</f>
        <v>10.525036149130644</v>
      </c>
      <c r="AD37" s="383">
        <f>Demand!AF61</f>
        <v>10.636669325198612</v>
      </c>
      <c r="AE37" s="383">
        <f>Demand!AG61</f>
        <v>10.749486531974167</v>
      </c>
      <c r="AF37" s="383">
        <f>Demand!AH61</f>
        <v>10.863500327809277</v>
      </c>
      <c r="AG37" s="383">
        <f>Demand!AI61</f>
        <v>10.978723404255332</v>
      </c>
      <c r="AH37" s="383">
        <f>Demand!AJ61</f>
        <v>11.095168587475913</v>
      </c>
      <c r="AI37" s="383">
        <f>Demand!AK61</f>
        <v>11.212848839674553</v>
      </c>
      <c r="AJ37" s="383">
        <f>Demand!AL61</f>
        <v>11.331777260537629</v>
      </c>
      <c r="AK37" s="383">
        <f>Demand!AM61</f>
        <v>11.451967088692575</v>
      </c>
      <c r="AL37" s="383">
        <f>Demand!AN61</f>
        <v>11.573431703181543</v>
      </c>
    </row>
    <row r="38" spans="1:38">
      <c r="B38" s="363" t="s">
        <v>645</v>
      </c>
      <c r="C38" s="358" t="s">
        <v>1054</v>
      </c>
      <c r="D38" s="383">
        <f>Demand!F62</f>
        <v>2.021212882214602</v>
      </c>
      <c r="E38" s="383">
        <f>Demand!G62</f>
        <v>2.0426507576151294</v>
      </c>
      <c r="F38" s="383">
        <f>Demand!H62</f>
        <v>2.064316012578558</v>
      </c>
      <c r="G38" s="383">
        <f>Demand!I62</f>
        <v>2.0862110587928311</v>
      </c>
      <c r="H38" s="383">
        <f>Demand!J62</f>
        <v>3.1625075002879761</v>
      </c>
      <c r="I38" s="383">
        <f>Demand!K62</f>
        <v>3.1960504498411781</v>
      </c>
      <c r="J38" s="383">
        <f>Demand!L62</f>
        <v>3.2299491707133816</v>
      </c>
      <c r="K38" s="383">
        <f>Demand!M62</f>
        <v>3.264207436372129</v>
      </c>
      <c r="L38" s="383">
        <f>Demand!N62</f>
        <v>3.2988290603080239</v>
      </c>
      <c r="M38" s="383">
        <f>Demand!O62</f>
        <v>3.3338178964592347</v>
      </c>
      <c r="N38" s="383">
        <f>Demand!P62</f>
        <v>3.3691778396404954</v>
      </c>
      <c r="O38" s="383">
        <f>Demand!Q62</f>
        <v>3.4049128259766661</v>
      </c>
      <c r="P38" s="383">
        <f>Demand!R62</f>
        <v>3.4410268333408816</v>
      </c>
      <c r="Q38" s="383">
        <f>Demand!S62</f>
        <v>3.4775238817973544</v>
      </c>
      <c r="R38" s="383">
        <f>Demand!T62</f>
        <v>3.5144080340488699</v>
      </c>
      <c r="S38" s="383">
        <f>Demand!U62</f>
        <v>3.5516833958890359</v>
      </c>
      <c r="T38" s="383">
        <f>Demand!V62</f>
        <v>3.5893541166593117</v>
      </c>
      <c r="U38" s="383">
        <f>Demand!W62</f>
        <v>3.6274243897109071</v>
      </c>
      <c r="V38" s="383">
        <f>Demand!X62</f>
        <v>3.6658984528715632</v>
      </c>
      <c r="W38" s="383">
        <f>Demand!Y62</f>
        <v>3.7047805889172918</v>
      </c>
      <c r="X38" s="383">
        <f>Demand!Z62</f>
        <v>3.7440751260491147</v>
      </c>
      <c r="Y38" s="383">
        <f>Demand!AA62</f>
        <v>3.7837864383748654</v>
      </c>
      <c r="Z38" s="383">
        <f>Demand!AB62</f>
        <v>3.8239189463960925</v>
      </c>
      <c r="AA38" s="383">
        <f>Demand!AC62</f>
        <v>3.8644771175001358</v>
      </c>
      <c r="AB38" s="383">
        <f>Demand!AD62</f>
        <v>3.9054654664574127</v>
      </c>
      <c r="AC38" s="383">
        <f>Demand!AE62</f>
        <v>3.9468885559239917</v>
      </c>
      <c r="AD38" s="383">
        <f>Demand!AF62</f>
        <v>3.9887509969494799</v>
      </c>
      <c r="AE38" s="383">
        <f>Demand!AG62</f>
        <v>4.0310574494903122</v>
      </c>
      <c r="AF38" s="383">
        <f>Demand!AH62</f>
        <v>4.0738126229284788</v>
      </c>
      <c r="AG38" s="383">
        <f>Demand!AI62</f>
        <v>4.1170212765957492</v>
      </c>
      <c r="AH38" s="383">
        <f>Demand!AJ62</f>
        <v>4.1606882203034674</v>
      </c>
      <c r="AI38" s="383">
        <f>Demand!AK62</f>
        <v>4.2048183148779579</v>
      </c>
      <c r="AJ38" s="383">
        <f>Demand!AL62</f>
        <v>4.2494164727016113</v>
      </c>
      <c r="AK38" s="383">
        <f>Demand!AM62</f>
        <v>4.2944876582597153</v>
      </c>
      <c r="AL38" s="383">
        <f>Demand!AN62</f>
        <v>4.3400368886930787</v>
      </c>
    </row>
    <row r="40" spans="1:38">
      <c r="B40" s="571" t="s">
        <v>1058</v>
      </c>
      <c r="C40" s="572" t="s">
        <v>15</v>
      </c>
      <c r="D40" s="570">
        <f t="shared" ref="D40:AL40" si="20">(D$37*$C$13)/Minutes.Per.Day</f>
        <v>4.0003171627163998E-2</v>
      </c>
      <c r="E40" s="570">
        <f t="shared" si="20"/>
        <v>4.0427462911132764E-2</v>
      </c>
      <c r="F40" s="570">
        <f t="shared" si="20"/>
        <v>4.0856254415617292E-2</v>
      </c>
      <c r="G40" s="570">
        <f t="shared" si="20"/>
        <v>4.1289593871941456E-2</v>
      </c>
      <c r="H40" s="570">
        <f t="shared" si="20"/>
        <v>5.5636706023584767E-2</v>
      </c>
      <c r="I40" s="570">
        <f t="shared" si="20"/>
        <v>5.6226813469428136E-2</v>
      </c>
      <c r="J40" s="570">
        <f t="shared" si="20"/>
        <v>5.6823179855142826E-2</v>
      </c>
      <c r="K40" s="570">
        <f t="shared" si="20"/>
        <v>5.7425871565805968E-2</v>
      </c>
      <c r="L40" s="570">
        <f t="shared" si="20"/>
        <v>5.8034955690604122E-2</v>
      </c>
      <c r="M40" s="570">
        <f t="shared" si="20"/>
        <v>5.8650500030301346E-2</v>
      </c>
      <c r="N40" s="570">
        <f t="shared" si="20"/>
        <v>5.9272573104786494E-2</v>
      </c>
      <c r="O40" s="570">
        <f t="shared" si="20"/>
        <v>5.9901244160700605E-2</v>
      </c>
      <c r="P40" s="570">
        <f t="shared" si="20"/>
        <v>6.0536583179145134E-2</v>
      </c>
      <c r="Q40" s="570">
        <f t="shared" si="20"/>
        <v>6.1178660883471972E-2</v>
      </c>
      <c r="R40" s="570">
        <f t="shared" si="20"/>
        <v>6.1827548747156048E-2</v>
      </c>
      <c r="S40" s="570">
        <f t="shared" si="20"/>
        <v>6.2483319001751553E-2</v>
      </c>
      <c r="T40" s="570">
        <f t="shared" si="20"/>
        <v>6.3146044644932328E-2</v>
      </c>
      <c r="U40" s="570">
        <f t="shared" si="20"/>
        <v>6.3815799448617802E-2</v>
      </c>
      <c r="V40" s="570">
        <f t="shared" si="20"/>
        <v>6.449265796718491E-2</v>
      </c>
      <c r="W40" s="570">
        <f t="shared" si="20"/>
        <v>6.5176695545767174E-2</v>
      </c>
      <c r="X40" s="570">
        <f t="shared" si="20"/>
        <v>6.5867988328641838E-2</v>
      </c>
      <c r="Y40" s="570">
        <f t="shared" si="20"/>
        <v>6.6566613267705965E-2</v>
      </c>
      <c r="Z40" s="570">
        <f t="shared" si="20"/>
        <v>6.7272648131042362E-2</v>
      </c>
      <c r="AA40" s="570">
        <f t="shared" si="20"/>
        <v>6.798617151157646E-2</v>
      </c>
      <c r="AB40" s="570">
        <f t="shared" si="20"/>
        <v>6.8707262835824859E-2</v>
      </c>
      <c r="AC40" s="570">
        <f t="shared" si="20"/>
        <v>6.943600237273688E-2</v>
      </c>
      <c r="AD40" s="570">
        <f t="shared" si="20"/>
        <v>7.0172471242629736E-2</v>
      </c>
      <c r="AE40" s="570">
        <f t="shared" si="20"/>
        <v>7.0916751426218463E-2</v>
      </c>
      <c r="AF40" s="570">
        <f t="shared" si="20"/>
        <v>7.166892577374176E-2</v>
      </c>
      <c r="AG40" s="570">
        <f t="shared" si="20"/>
        <v>7.2429078014184481E-2</v>
      </c>
      <c r="AH40" s="570">
        <f t="shared" si="20"/>
        <v>7.3197292764598035E-2</v>
      </c>
      <c r="AI40" s="570">
        <f t="shared" si="20"/>
        <v>7.3973655539519623E-2</v>
      </c>
      <c r="AJ40" s="570">
        <f t="shared" si="20"/>
        <v>7.4758252760491306E-2</v>
      </c>
      <c r="AK40" s="570">
        <f t="shared" si="20"/>
        <v>7.5551171765680186E-2</v>
      </c>
      <c r="AL40" s="570">
        <f t="shared" si="20"/>
        <v>7.6352500819600447E-2</v>
      </c>
    </row>
    <row r="42" spans="1:38">
      <c r="B42" s="573" t="s">
        <v>1055</v>
      </c>
      <c r="C42" s="574" t="s">
        <v>505</v>
      </c>
      <c r="D42" s="383">
        <f t="shared" ref="D42:AK42" si="21">D6*D40</f>
        <v>46.814002416773306</v>
      </c>
      <c r="E42" s="383">
        <f t="shared" si="21"/>
        <v>48.705913334385933</v>
      </c>
      <c r="F42" s="383">
        <f t="shared" si="21"/>
        <v>50.674282720307176</v>
      </c>
      <c r="G42" s="383">
        <f t="shared" si="21"/>
        <v>52.722200517790533</v>
      </c>
      <c r="H42" s="383">
        <f t="shared" si="21"/>
        <v>73.13717539341917</v>
      </c>
      <c r="I42" s="383">
        <f t="shared" si="21"/>
        <v>76.092894055931595</v>
      </c>
      <c r="J42" s="383">
        <f t="shared" si="21"/>
        <v>79.168063227230178</v>
      </c>
      <c r="K42" s="383">
        <f t="shared" si="21"/>
        <v>82.367510303179785</v>
      </c>
      <c r="L42" s="383">
        <f t="shared" si="21"/>
        <v>85.696257770910165</v>
      </c>
      <c r="M42" s="383">
        <f t="shared" si="21"/>
        <v>89.159531093108313</v>
      </c>
      <c r="N42" s="383">
        <f t="shared" si="21"/>
        <v>92.762766910942105</v>
      </c>
      <c r="O42" s="383">
        <f t="shared" si="21"/>
        <v>96.511621578491031</v>
      </c>
      <c r="P42" s="383">
        <f t="shared" si="21"/>
        <v>100.41198004208235</v>
      </c>
      <c r="Q42" s="383">
        <f t="shared" si="21"/>
        <v>104.46996507847079</v>
      </c>
      <c r="R42" s="383">
        <f t="shared" si="21"/>
        <v>108.69194690636404</v>
      </c>
      <c r="S42" s="383">
        <f t="shared" si="21"/>
        <v>113.08455318638264</v>
      </c>
      <c r="T42" s="383">
        <f t="shared" si="21"/>
        <v>117.65467942515106</v>
      </c>
      <c r="U42" s="383">
        <f t="shared" si="21"/>
        <v>122.40949979985379</v>
      </c>
      <c r="V42" s="383">
        <f t="shared" si="21"/>
        <v>127.35647842024768</v>
      </c>
      <c r="W42" s="383">
        <f t="shared" si="21"/>
        <v>132.50338104580987</v>
      </c>
      <c r="X42" s="383">
        <f t="shared" si="21"/>
        <v>137.85828727641527</v>
      </c>
      <c r="Y42" s="383">
        <f t="shared" si="21"/>
        <v>143.42960323568002</v>
      </c>
      <c r="Z42" s="383">
        <f t="shared" si="21"/>
        <v>149.22607476688165</v>
      </c>
      <c r="AA42" s="383">
        <f t="shared" si="21"/>
        <v>155.25680116217035</v>
      </c>
      <c r="AB42" s="383">
        <f t="shared" si="21"/>
        <v>161.53124944662383</v>
      </c>
      <c r="AC42" s="383">
        <f t="shared" si="21"/>
        <v>168.05926923956892</v>
      </c>
      <c r="AD42" s="383">
        <f t="shared" si="21"/>
        <v>174.85110821649903</v>
      </c>
      <c r="AE42" s="383">
        <f t="shared" si="21"/>
        <v>181.91742819585929</v>
      </c>
      <c r="AF42" s="383">
        <f t="shared" si="21"/>
        <v>189.26932187595281</v>
      </c>
      <c r="AG42" s="383">
        <f t="shared" si="21"/>
        <v>196.91833024824177</v>
      </c>
      <c r="AH42" s="383">
        <f t="shared" si="21"/>
        <v>204.87646071437797</v>
      </c>
      <c r="AI42" s="383">
        <f t="shared" si="21"/>
        <v>213.15620593540379</v>
      </c>
      <c r="AJ42" s="383">
        <f t="shared" si="21"/>
        <v>221.77056344271202</v>
      </c>
      <c r="AK42" s="383">
        <f t="shared" si="21"/>
        <v>230.73305604155121</v>
      </c>
      <c r="AL42" s="383">
        <f t="shared" ref="AL42" si="22">AL6*AL40</f>
        <v>240.05775303910445</v>
      </c>
    </row>
    <row r="43" spans="1:38">
      <c r="B43" s="573" t="s">
        <v>1056</v>
      </c>
      <c r="C43" s="574" t="s">
        <v>490</v>
      </c>
      <c r="D43" s="383">
        <f t="shared" ref="D43:AK43" si="23">D42*$C$13/2</f>
        <v>222.36651147967319</v>
      </c>
      <c r="E43" s="383">
        <f t="shared" si="23"/>
        <v>231.35308833833318</v>
      </c>
      <c r="F43" s="383">
        <f t="shared" si="23"/>
        <v>240.70284292145908</v>
      </c>
      <c r="G43" s="383">
        <f t="shared" si="23"/>
        <v>250.43045245950503</v>
      </c>
      <c r="H43" s="383">
        <f t="shared" si="23"/>
        <v>347.40158311874109</v>
      </c>
      <c r="I43" s="383">
        <f t="shared" si="23"/>
        <v>361.44124676567509</v>
      </c>
      <c r="J43" s="383">
        <f t="shared" si="23"/>
        <v>376.04830032934336</v>
      </c>
      <c r="K43" s="383">
        <f t="shared" si="23"/>
        <v>391.24567394010398</v>
      </c>
      <c r="L43" s="383">
        <f t="shared" si="23"/>
        <v>407.05722441182331</v>
      </c>
      <c r="M43" s="383">
        <f t="shared" si="23"/>
        <v>423.5077726922645</v>
      </c>
      <c r="N43" s="383">
        <f t="shared" si="23"/>
        <v>440.62314282697503</v>
      </c>
      <c r="O43" s="383">
        <f t="shared" si="23"/>
        <v>458.4302024978324</v>
      </c>
      <c r="P43" s="383">
        <f t="shared" si="23"/>
        <v>476.95690519989114</v>
      </c>
      <c r="Q43" s="383">
        <f t="shared" si="23"/>
        <v>496.23233412273629</v>
      </c>
      <c r="R43" s="383">
        <f t="shared" si="23"/>
        <v>516.2867478052292</v>
      </c>
      <c r="S43" s="383">
        <f t="shared" si="23"/>
        <v>537.15162763531748</v>
      </c>
      <c r="T43" s="383">
        <f t="shared" si="23"/>
        <v>558.8597272694675</v>
      </c>
      <c r="U43" s="383">
        <f t="shared" si="23"/>
        <v>581.44512404930549</v>
      </c>
      <c r="V43" s="383">
        <f t="shared" si="23"/>
        <v>604.94327249617652</v>
      </c>
      <c r="W43" s="383">
        <f t="shared" si="23"/>
        <v>629.3910599675969</v>
      </c>
      <c r="X43" s="383">
        <f t="shared" si="23"/>
        <v>654.82686456297256</v>
      </c>
      <c r="Y43" s="383">
        <f t="shared" si="23"/>
        <v>681.29061536948007</v>
      </c>
      <c r="Z43" s="383">
        <f t="shared" si="23"/>
        <v>708.82385514268788</v>
      </c>
      <c r="AA43" s="383">
        <f t="shared" si="23"/>
        <v>737.46980552030914</v>
      </c>
      <c r="AB43" s="383">
        <f t="shared" si="23"/>
        <v>767.27343487146322</v>
      </c>
      <c r="AC43" s="383">
        <f t="shared" si="23"/>
        <v>798.28152888795239</v>
      </c>
      <c r="AD43" s="383">
        <f t="shared" si="23"/>
        <v>830.54276402837036</v>
      </c>
      <c r="AE43" s="383">
        <f t="shared" si="23"/>
        <v>864.10778393033161</v>
      </c>
      <c r="AF43" s="383">
        <f t="shared" si="23"/>
        <v>899.02927891077582</v>
      </c>
      <c r="AG43" s="383">
        <f t="shared" si="23"/>
        <v>935.36206867914848</v>
      </c>
      <c r="AH43" s="383">
        <f t="shared" si="23"/>
        <v>973.1631883932954</v>
      </c>
      <c r="AI43" s="383">
        <f t="shared" si="23"/>
        <v>1012.4919781931681</v>
      </c>
      <c r="AJ43" s="383">
        <f t="shared" si="23"/>
        <v>1053.410176352882</v>
      </c>
      <c r="AK43" s="383">
        <f t="shared" si="23"/>
        <v>1095.9820161973682</v>
      </c>
      <c r="AL43" s="383">
        <f t="shared" ref="AL43" si="24">AL42*$C$13/2</f>
        <v>1140.2743269357461</v>
      </c>
    </row>
    <row r="44" spans="1:38">
      <c r="B44" s="575" t="s">
        <v>1057</v>
      </c>
      <c r="C44" s="574" t="s">
        <v>443</v>
      </c>
      <c r="D44" s="383">
        <f t="shared" ref="D44:AK44" si="25">D43/Minutes.per.Hour*Days.Per.Year</f>
        <v>1352.7296115013453</v>
      </c>
      <c r="E44" s="383">
        <f t="shared" si="25"/>
        <v>1407.3979540581936</v>
      </c>
      <c r="F44" s="383">
        <f t="shared" si="25"/>
        <v>1464.2756277722096</v>
      </c>
      <c r="G44" s="383">
        <f t="shared" si="25"/>
        <v>1523.4519191286556</v>
      </c>
      <c r="H44" s="383">
        <f t="shared" si="25"/>
        <v>2113.3596306390082</v>
      </c>
      <c r="I44" s="383">
        <f t="shared" si="25"/>
        <v>2198.7675844911901</v>
      </c>
      <c r="J44" s="383">
        <f t="shared" si="25"/>
        <v>2287.6271603368386</v>
      </c>
      <c r="K44" s="383">
        <f t="shared" si="25"/>
        <v>2380.0778498022992</v>
      </c>
      <c r="L44" s="383">
        <f t="shared" si="25"/>
        <v>2476.2647818385917</v>
      </c>
      <c r="M44" s="383">
        <f t="shared" si="25"/>
        <v>2576.3389505446089</v>
      </c>
      <c r="N44" s="383">
        <f t="shared" si="25"/>
        <v>2680.4574521974314</v>
      </c>
      <c r="O44" s="383">
        <f t="shared" si="25"/>
        <v>2788.7837318618135</v>
      </c>
      <c r="P44" s="383">
        <f t="shared" si="25"/>
        <v>2901.4878399660042</v>
      </c>
      <c r="Q44" s="383">
        <f t="shared" si="25"/>
        <v>3018.7466992466457</v>
      </c>
      <c r="R44" s="383">
        <f t="shared" si="25"/>
        <v>3140.744382481811</v>
      </c>
      <c r="S44" s="383">
        <f t="shared" si="25"/>
        <v>3267.6724014481811</v>
      </c>
      <c r="T44" s="383">
        <f t="shared" si="25"/>
        <v>3399.7300075559269</v>
      </c>
      <c r="U44" s="383">
        <f t="shared" si="25"/>
        <v>3537.1245046332751</v>
      </c>
      <c r="V44" s="383">
        <f t="shared" si="25"/>
        <v>3680.0715743517403</v>
      </c>
      <c r="W44" s="383">
        <f t="shared" si="25"/>
        <v>3828.7956148028811</v>
      </c>
      <c r="X44" s="383">
        <f t="shared" si="25"/>
        <v>3983.5300927580829</v>
      </c>
      <c r="Y44" s="383">
        <f t="shared" si="25"/>
        <v>4144.5179101643371</v>
      </c>
      <c r="Z44" s="383">
        <f t="shared" si="25"/>
        <v>4312.011785451351</v>
      </c>
      <c r="AA44" s="383">
        <f t="shared" si="25"/>
        <v>4486.274650248547</v>
      </c>
      <c r="AB44" s="383">
        <f t="shared" si="25"/>
        <v>4667.5800621347344</v>
      </c>
      <c r="AC44" s="383">
        <f t="shared" si="25"/>
        <v>4856.2126340683772</v>
      </c>
      <c r="AD44" s="383">
        <f t="shared" si="25"/>
        <v>5052.4684811725865</v>
      </c>
      <c r="AE44" s="383">
        <f t="shared" si="25"/>
        <v>5256.6556855761837</v>
      </c>
      <c r="AF44" s="383">
        <f t="shared" si="25"/>
        <v>5469.0947800405529</v>
      </c>
      <c r="AG44" s="383">
        <f t="shared" si="25"/>
        <v>5690.1192511314866</v>
      </c>
      <c r="AH44" s="383">
        <f t="shared" si="25"/>
        <v>5920.0760627258805</v>
      </c>
      <c r="AI44" s="383">
        <f t="shared" si="25"/>
        <v>6159.3262006751056</v>
      </c>
      <c r="AJ44" s="383">
        <f t="shared" si="25"/>
        <v>6408.2452394800321</v>
      </c>
      <c r="AK44" s="383">
        <f t="shared" si="25"/>
        <v>6667.2239318673237</v>
      </c>
      <c r="AL44" s="383">
        <f t="shared" ref="AL44" si="26">AL43/Minutes.per.Hour*Days.Per.Year</f>
        <v>6936.6688221924551</v>
      </c>
    </row>
    <row r="46" spans="1:38">
      <c r="B46" s="575" t="s">
        <v>745</v>
      </c>
      <c r="C46" s="574" t="s">
        <v>443</v>
      </c>
      <c r="D46" s="383">
        <f>D44</f>
        <v>1352.7296115013453</v>
      </c>
      <c r="E46" s="383">
        <f t="shared" ref="E46:AK46" si="27">E44</f>
        <v>1407.3979540581936</v>
      </c>
      <c r="F46" s="383">
        <f t="shared" si="27"/>
        <v>1464.2756277722096</v>
      </c>
      <c r="G46" s="383">
        <f t="shared" si="27"/>
        <v>1523.4519191286556</v>
      </c>
      <c r="H46" s="383">
        <f t="shared" si="27"/>
        <v>2113.3596306390082</v>
      </c>
      <c r="I46" s="383">
        <f t="shared" si="27"/>
        <v>2198.7675844911901</v>
      </c>
      <c r="J46" s="383">
        <f t="shared" si="27"/>
        <v>2287.6271603368386</v>
      </c>
      <c r="K46" s="383">
        <f t="shared" si="27"/>
        <v>2380.0778498022992</v>
      </c>
      <c r="L46" s="383">
        <f t="shared" si="27"/>
        <v>2476.2647818385917</v>
      </c>
      <c r="M46" s="383">
        <f t="shared" si="27"/>
        <v>2576.3389505446089</v>
      </c>
      <c r="N46" s="383">
        <f t="shared" si="27"/>
        <v>2680.4574521974314</v>
      </c>
      <c r="O46" s="383">
        <f t="shared" si="27"/>
        <v>2788.7837318618135</v>
      </c>
      <c r="P46" s="383">
        <f t="shared" si="27"/>
        <v>2901.4878399660042</v>
      </c>
      <c r="Q46" s="383">
        <f t="shared" si="27"/>
        <v>3018.7466992466457</v>
      </c>
      <c r="R46" s="383">
        <f t="shared" si="27"/>
        <v>3140.744382481811</v>
      </c>
      <c r="S46" s="383">
        <f t="shared" si="27"/>
        <v>3267.6724014481811</v>
      </c>
      <c r="T46" s="383">
        <f t="shared" si="27"/>
        <v>3399.7300075559269</v>
      </c>
      <c r="U46" s="383">
        <f t="shared" si="27"/>
        <v>3537.1245046332751</v>
      </c>
      <c r="V46" s="383">
        <f t="shared" si="27"/>
        <v>3680.0715743517403</v>
      </c>
      <c r="W46" s="383">
        <f t="shared" si="27"/>
        <v>3828.7956148028811</v>
      </c>
      <c r="X46" s="383">
        <f t="shared" si="27"/>
        <v>3983.5300927580829</v>
      </c>
      <c r="Y46" s="383">
        <f t="shared" si="27"/>
        <v>4144.5179101643371</v>
      </c>
      <c r="Z46" s="383">
        <f t="shared" si="27"/>
        <v>4312.011785451351</v>
      </c>
      <c r="AA46" s="383">
        <f t="shared" si="27"/>
        <v>4486.274650248547</v>
      </c>
      <c r="AB46" s="383">
        <f t="shared" si="27"/>
        <v>4667.5800621347344</v>
      </c>
      <c r="AC46" s="383">
        <f t="shared" si="27"/>
        <v>4856.2126340683772</v>
      </c>
      <c r="AD46" s="383">
        <f t="shared" si="27"/>
        <v>5052.4684811725865</v>
      </c>
      <c r="AE46" s="383">
        <f t="shared" si="27"/>
        <v>5256.6556855761837</v>
      </c>
      <c r="AF46" s="383">
        <f t="shared" si="27"/>
        <v>5469.0947800405529</v>
      </c>
      <c r="AG46" s="383">
        <f t="shared" si="27"/>
        <v>5690.1192511314866</v>
      </c>
      <c r="AH46" s="383">
        <f t="shared" si="27"/>
        <v>5920.0760627258805</v>
      </c>
      <c r="AI46" s="383">
        <f t="shared" si="27"/>
        <v>6159.3262006751056</v>
      </c>
      <c r="AJ46" s="383">
        <f t="shared" si="27"/>
        <v>6408.2452394800321</v>
      </c>
      <c r="AK46" s="383">
        <f t="shared" si="27"/>
        <v>6667.2239318673237</v>
      </c>
      <c r="AL46" s="383">
        <f t="shared" ref="AL46" si="28">AL44</f>
        <v>6936.6688221924551</v>
      </c>
    </row>
    <row r="48" spans="1:38">
      <c r="B48" s="358" t="s">
        <v>508</v>
      </c>
      <c r="C48" s="358" t="s">
        <v>443</v>
      </c>
      <c r="D48" s="383">
        <f t="shared" ref="D48:AK48" si="29">D$46*$C22</f>
        <v>1217.4566503512108</v>
      </c>
      <c r="E48" s="383">
        <f t="shared" si="29"/>
        <v>1266.6581586523744</v>
      </c>
      <c r="F48" s="383">
        <f t="shared" si="29"/>
        <v>1317.8480649949888</v>
      </c>
      <c r="G48" s="383">
        <f t="shared" si="29"/>
        <v>1371.10672721579</v>
      </c>
      <c r="H48" s="383">
        <f t="shared" si="29"/>
        <v>1902.0236675751073</v>
      </c>
      <c r="I48" s="383">
        <f t="shared" si="29"/>
        <v>1978.890826042071</v>
      </c>
      <c r="J48" s="383">
        <f t="shared" si="29"/>
        <v>2058.8644443031549</v>
      </c>
      <c r="K48" s="383">
        <f t="shared" si="29"/>
        <v>2142.0700648220695</v>
      </c>
      <c r="L48" s="383">
        <f t="shared" si="29"/>
        <v>2228.6383036547327</v>
      </c>
      <c r="M48" s="383">
        <f t="shared" si="29"/>
        <v>2318.705055490148</v>
      </c>
      <c r="N48" s="383">
        <f t="shared" si="29"/>
        <v>2412.4117069776885</v>
      </c>
      <c r="O48" s="383">
        <f t="shared" si="29"/>
        <v>2509.9053586756322</v>
      </c>
      <c r="P48" s="383">
        <f t="shared" si="29"/>
        <v>2611.3390559694039</v>
      </c>
      <c r="Q48" s="383">
        <f t="shared" si="29"/>
        <v>2716.8720293219812</v>
      </c>
      <c r="R48" s="383">
        <f t="shared" si="29"/>
        <v>2826.6699442336298</v>
      </c>
      <c r="S48" s="383">
        <f t="shared" si="29"/>
        <v>2940.905161303363</v>
      </c>
      <c r="T48" s="383">
        <f t="shared" si="29"/>
        <v>3059.7570068003342</v>
      </c>
      <c r="U48" s="383">
        <f t="shared" si="29"/>
        <v>3183.4120541699476</v>
      </c>
      <c r="V48" s="383">
        <f t="shared" si="29"/>
        <v>3312.0644169165662</v>
      </c>
      <c r="W48" s="383">
        <f t="shared" si="29"/>
        <v>3445.9160533225931</v>
      </c>
      <c r="X48" s="383">
        <f t="shared" si="29"/>
        <v>3585.1770834822746</v>
      </c>
      <c r="Y48" s="383">
        <f t="shared" si="29"/>
        <v>3730.0661191479035</v>
      </c>
      <c r="Z48" s="383">
        <f t="shared" si="29"/>
        <v>3880.810606906216</v>
      </c>
      <c r="AA48" s="383">
        <f t="shared" si="29"/>
        <v>4037.6471852236923</v>
      </c>
      <c r="AB48" s="383">
        <f t="shared" si="29"/>
        <v>4200.8220559212614</v>
      </c>
      <c r="AC48" s="383">
        <f t="shared" si="29"/>
        <v>4370.5913706615393</v>
      </c>
      <c r="AD48" s="383">
        <f t="shared" si="29"/>
        <v>4547.2216330553283</v>
      </c>
      <c r="AE48" s="383">
        <f t="shared" si="29"/>
        <v>4730.9901170185658</v>
      </c>
      <c r="AF48" s="383">
        <f t="shared" si="29"/>
        <v>4922.1853020364979</v>
      </c>
      <c r="AG48" s="383">
        <f t="shared" si="29"/>
        <v>5121.1073260183384</v>
      </c>
      <c r="AH48" s="383">
        <f t="shared" si="29"/>
        <v>5328.068456453293</v>
      </c>
      <c r="AI48" s="383">
        <f t="shared" si="29"/>
        <v>5543.3935806075951</v>
      </c>
      <c r="AJ48" s="383">
        <f t="shared" si="29"/>
        <v>5767.4207155320291</v>
      </c>
      <c r="AK48" s="383">
        <f t="shared" si="29"/>
        <v>6000.5015386805917</v>
      </c>
      <c r="AL48" s="383">
        <f t="shared" ref="AL48" si="30">AL$46*$C22</f>
        <v>6243.00193997321</v>
      </c>
    </row>
    <row r="49" spans="2:38">
      <c r="B49" s="358" t="s">
        <v>509</v>
      </c>
      <c r="C49" s="358" t="s">
        <v>443</v>
      </c>
      <c r="D49" s="383">
        <f t="shared" ref="D49:AK49" si="31">D$46*$C23</f>
        <v>135.27296115013453</v>
      </c>
      <c r="E49" s="383">
        <f t="shared" si="31"/>
        <v>140.73979540581936</v>
      </c>
      <c r="F49" s="383">
        <f t="shared" si="31"/>
        <v>146.42756277722097</v>
      </c>
      <c r="G49" s="383">
        <f t="shared" si="31"/>
        <v>152.34519191286557</v>
      </c>
      <c r="H49" s="383">
        <f t="shared" si="31"/>
        <v>211.33596306390083</v>
      </c>
      <c r="I49" s="383">
        <f t="shared" si="31"/>
        <v>219.87675844911902</v>
      </c>
      <c r="J49" s="383">
        <f t="shared" si="31"/>
        <v>228.76271603368389</v>
      </c>
      <c r="K49" s="383">
        <f t="shared" si="31"/>
        <v>238.00778498022993</v>
      </c>
      <c r="L49" s="383">
        <f t="shared" si="31"/>
        <v>247.62647818385918</v>
      </c>
      <c r="M49" s="383">
        <f t="shared" si="31"/>
        <v>257.63389505446088</v>
      </c>
      <c r="N49" s="383">
        <f t="shared" si="31"/>
        <v>268.04574521974314</v>
      </c>
      <c r="O49" s="383">
        <f t="shared" si="31"/>
        <v>278.87837318618136</v>
      </c>
      <c r="P49" s="383">
        <f t="shared" si="31"/>
        <v>290.14878399660046</v>
      </c>
      <c r="Q49" s="383">
        <f t="shared" si="31"/>
        <v>301.8746699246646</v>
      </c>
      <c r="R49" s="383">
        <f t="shared" si="31"/>
        <v>314.07443824818114</v>
      </c>
      <c r="S49" s="383">
        <f t="shared" si="31"/>
        <v>326.76724014481812</v>
      </c>
      <c r="T49" s="383">
        <f t="shared" si="31"/>
        <v>339.97300075559269</v>
      </c>
      <c r="U49" s="383">
        <f t="shared" si="31"/>
        <v>353.71245046332751</v>
      </c>
      <c r="V49" s="383">
        <f t="shared" si="31"/>
        <v>368.00715743517407</v>
      </c>
      <c r="W49" s="383">
        <f t="shared" si="31"/>
        <v>382.87956148028815</v>
      </c>
      <c r="X49" s="383">
        <f t="shared" si="31"/>
        <v>398.35300927580829</v>
      </c>
      <c r="Y49" s="383">
        <f t="shared" si="31"/>
        <v>414.45179101643373</v>
      </c>
      <c r="Z49" s="383">
        <f t="shared" si="31"/>
        <v>431.20117854513512</v>
      </c>
      <c r="AA49" s="383">
        <f t="shared" si="31"/>
        <v>448.6274650248547</v>
      </c>
      <c r="AB49" s="383">
        <f t="shared" si="31"/>
        <v>466.75800621347344</v>
      </c>
      <c r="AC49" s="383">
        <f t="shared" si="31"/>
        <v>485.62126340683773</v>
      </c>
      <c r="AD49" s="383">
        <f t="shared" si="31"/>
        <v>505.24684811725865</v>
      </c>
      <c r="AE49" s="383">
        <f t="shared" si="31"/>
        <v>525.66556855761837</v>
      </c>
      <c r="AF49" s="383">
        <f t="shared" si="31"/>
        <v>546.90947800405536</v>
      </c>
      <c r="AG49" s="383">
        <f t="shared" si="31"/>
        <v>569.01192511314866</v>
      </c>
      <c r="AH49" s="383">
        <f t="shared" si="31"/>
        <v>592.00760627258808</v>
      </c>
      <c r="AI49" s="383">
        <f t="shared" si="31"/>
        <v>615.93262006751058</v>
      </c>
      <c r="AJ49" s="383">
        <f t="shared" si="31"/>
        <v>640.82452394800328</v>
      </c>
      <c r="AK49" s="383">
        <f t="shared" si="31"/>
        <v>666.72239318673246</v>
      </c>
      <c r="AL49" s="383">
        <f t="shared" ref="AL49" si="32">AL$46*$C23</f>
        <v>693.66688221924551</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1177" t="s">
        <v>788</v>
      </c>
      <c r="C52" s="358" t="s">
        <v>295</v>
      </c>
      <c r="D52" s="383">
        <f>D48*$C$29</f>
        <v>435.24075250055785</v>
      </c>
      <c r="E52" s="383">
        <f t="shared" ref="E52:AK52" si="35">E48*$C$29</f>
        <v>452.8302917182238</v>
      </c>
      <c r="F52" s="383">
        <f t="shared" si="35"/>
        <v>471.13068323570849</v>
      </c>
      <c r="G52" s="383">
        <f t="shared" si="35"/>
        <v>490.17065497964489</v>
      </c>
      <c r="H52" s="383">
        <f t="shared" si="35"/>
        <v>679.9734611581008</v>
      </c>
      <c r="I52" s="383">
        <f t="shared" si="35"/>
        <v>707.4534703100403</v>
      </c>
      <c r="J52" s="383">
        <f t="shared" si="35"/>
        <v>736.04403883837779</v>
      </c>
      <c r="K52" s="383">
        <f t="shared" si="35"/>
        <v>765.79004817388977</v>
      </c>
      <c r="L52" s="383">
        <f t="shared" si="35"/>
        <v>796.7381935565669</v>
      </c>
      <c r="M52" s="383">
        <f t="shared" si="35"/>
        <v>828.93705733772788</v>
      </c>
      <c r="N52" s="383">
        <f t="shared" si="35"/>
        <v>862.43718524452356</v>
      </c>
      <c r="O52" s="383">
        <f t="shared" si="35"/>
        <v>897.29116572653845</v>
      </c>
      <c r="P52" s="383">
        <f t="shared" si="35"/>
        <v>933.55371250906182</v>
      </c>
      <c r="Q52" s="383">
        <f t="shared" si="35"/>
        <v>971.28175048260823</v>
      </c>
      <c r="R52" s="383">
        <f t="shared" si="35"/>
        <v>1010.5345050635226</v>
      </c>
      <c r="S52" s="383">
        <f t="shared" si="35"/>
        <v>1051.3735951659523</v>
      </c>
      <c r="T52" s="383">
        <f t="shared" si="35"/>
        <v>1093.8631299311194</v>
      </c>
      <c r="U52" s="383">
        <f t="shared" si="35"/>
        <v>1138.0698093657563</v>
      </c>
      <c r="V52" s="383">
        <f t="shared" si="35"/>
        <v>1184.0630290476724</v>
      </c>
      <c r="W52" s="383">
        <f t="shared" si="35"/>
        <v>1231.9149890628271</v>
      </c>
      <c r="X52" s="383">
        <f t="shared" si="35"/>
        <v>1281.7008073449131</v>
      </c>
      <c r="Y52" s="383">
        <f t="shared" si="35"/>
        <v>1333.4986375953754</v>
      </c>
      <c r="Z52" s="383">
        <f t="shared" si="35"/>
        <v>1387.3897919689721</v>
      </c>
      <c r="AA52" s="383">
        <f t="shared" si="35"/>
        <v>1443.4588687174698</v>
      </c>
      <c r="AB52" s="383">
        <f t="shared" si="35"/>
        <v>1501.793884991851</v>
      </c>
      <c r="AC52" s="383">
        <f t="shared" si="35"/>
        <v>1562.4864150115002</v>
      </c>
      <c r="AD52" s="383">
        <f t="shared" si="35"/>
        <v>1625.6317338172798</v>
      </c>
      <c r="AE52" s="383">
        <f t="shared" si="35"/>
        <v>1691.3289668341372</v>
      </c>
      <c r="AF52" s="383">
        <f t="shared" si="35"/>
        <v>1759.6812454780479</v>
      </c>
      <c r="AG52" s="383">
        <f t="shared" si="35"/>
        <v>1830.7958690515559</v>
      </c>
      <c r="AH52" s="383">
        <f t="shared" si="35"/>
        <v>1904.7844731820521</v>
      </c>
      <c r="AI52" s="383">
        <f t="shared" si="35"/>
        <v>1981.7632050672153</v>
      </c>
      <c r="AJ52" s="383">
        <f t="shared" si="35"/>
        <v>2061.8529058027002</v>
      </c>
      <c r="AK52" s="383">
        <f t="shared" si="35"/>
        <v>2145.1793000783114</v>
      </c>
      <c r="AL52" s="383">
        <f t="shared" ref="AL52" si="36">AL48*$C$29</f>
        <v>2231.8731935404226</v>
      </c>
    </row>
    <row r="53" spans="2:38">
      <c r="B53" s="1177" t="s">
        <v>789</v>
      </c>
      <c r="C53" s="358" t="s">
        <v>295</v>
      </c>
      <c r="D53" s="383">
        <f>D49*$C$30+D50*$C$31</f>
        <v>113.629287366113</v>
      </c>
      <c r="E53" s="383">
        <f t="shared" ref="E53:AK53" si="37">E49*$C$30+E50*$C$31</f>
        <v>118.22142814088826</v>
      </c>
      <c r="F53" s="383">
        <f t="shared" si="37"/>
        <v>122.99915273286561</v>
      </c>
      <c r="G53" s="383">
        <f t="shared" si="37"/>
        <v>127.96996120680707</v>
      </c>
      <c r="H53" s="383">
        <f t="shared" si="37"/>
        <v>177.5222089736767</v>
      </c>
      <c r="I53" s="383">
        <f t="shared" si="37"/>
        <v>184.69647709725999</v>
      </c>
      <c r="J53" s="383">
        <f t="shared" si="37"/>
        <v>192.16068146829446</v>
      </c>
      <c r="K53" s="383">
        <f t="shared" si="37"/>
        <v>199.92653938339313</v>
      </c>
      <c r="L53" s="383">
        <f t="shared" si="37"/>
        <v>208.0062416744417</v>
      </c>
      <c r="M53" s="383">
        <f t="shared" si="37"/>
        <v>216.41247184574712</v>
      </c>
      <c r="N53" s="383">
        <f t="shared" si="37"/>
        <v>225.15842598458423</v>
      </c>
      <c r="O53" s="383">
        <f t="shared" si="37"/>
        <v>234.25783347639234</v>
      </c>
      <c r="P53" s="383">
        <f t="shared" si="37"/>
        <v>243.72497855714437</v>
      </c>
      <c r="Q53" s="383">
        <f t="shared" si="37"/>
        <v>253.57472273671826</v>
      </c>
      <c r="R53" s="383">
        <f t="shared" si="37"/>
        <v>263.82252812847213</v>
      </c>
      <c r="S53" s="383">
        <f t="shared" si="37"/>
        <v>274.48448172164723</v>
      </c>
      <c r="T53" s="383">
        <f t="shared" si="37"/>
        <v>285.57732063469786</v>
      </c>
      <c r="U53" s="383">
        <f t="shared" si="37"/>
        <v>297.1184583891951</v>
      </c>
      <c r="V53" s="383">
        <f t="shared" si="37"/>
        <v>309.12601224554618</v>
      </c>
      <c r="W53" s="383">
        <f t="shared" si="37"/>
        <v>321.61883164344204</v>
      </c>
      <c r="X53" s="383">
        <f t="shared" si="37"/>
        <v>334.61652779167895</v>
      </c>
      <c r="Y53" s="383">
        <f t="shared" si="37"/>
        <v>348.13950445380431</v>
      </c>
      <c r="Z53" s="383">
        <f t="shared" si="37"/>
        <v>362.20898997791346</v>
      </c>
      <c r="AA53" s="383">
        <f t="shared" si="37"/>
        <v>376.84707062087796</v>
      </c>
      <c r="AB53" s="383">
        <f t="shared" si="37"/>
        <v>392.07672521931767</v>
      </c>
      <c r="AC53" s="383">
        <f t="shared" si="37"/>
        <v>407.92186126174369</v>
      </c>
      <c r="AD53" s="383">
        <f t="shared" si="37"/>
        <v>424.40735241849723</v>
      </c>
      <c r="AE53" s="383">
        <f t="shared" si="37"/>
        <v>441.55907758839942</v>
      </c>
      <c r="AF53" s="383">
        <f t="shared" si="37"/>
        <v>459.40396152340651</v>
      </c>
      <c r="AG53" s="383">
        <f t="shared" si="37"/>
        <v>477.97001709504485</v>
      </c>
      <c r="AH53" s="383">
        <f t="shared" si="37"/>
        <v>497.28638926897395</v>
      </c>
      <c r="AI53" s="383">
        <f t="shared" si="37"/>
        <v>517.38340085670882</v>
      </c>
      <c r="AJ53" s="383">
        <f t="shared" si="37"/>
        <v>538.29260011632277</v>
      </c>
      <c r="AK53" s="383">
        <f t="shared" si="37"/>
        <v>560.04681027685524</v>
      </c>
      <c r="AL53" s="383">
        <f t="shared" ref="AL53" si="38">AL49*$C$30+AL50*$C$31</f>
        <v>582.68018106416616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theme="4" tint="0.39997558519241921"/>
  </sheetPr>
  <dimension ref="A1:AL205"/>
  <sheetViews>
    <sheetView showGridLines="0" workbookViewId="0">
      <pane ySplit="4" topLeftCell="A83"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V9:AL9"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si="1"/>
        <v>12071000</v>
      </c>
      <c r="AG9" s="498">
        <f t="shared" si="1"/>
        <v>12071000</v>
      </c>
      <c r="AH9" s="498">
        <f t="shared" si="1"/>
        <v>12071000</v>
      </c>
      <c r="AI9" s="498">
        <f t="shared" si="1"/>
        <v>12071000</v>
      </c>
      <c r="AJ9" s="498">
        <f t="shared" si="1"/>
        <v>12071000</v>
      </c>
      <c r="AK9" s="498">
        <f t="shared" si="1"/>
        <v>12071000</v>
      </c>
      <c r="AL9" s="498">
        <f t="shared" si="1"/>
        <v>12071000</v>
      </c>
    </row>
    <row r="10" spans="1:38">
      <c r="B10" s="476" t="s">
        <v>973</v>
      </c>
      <c r="C10" s="384" t="s">
        <v>1075</v>
      </c>
      <c r="D10" s="498">
        <f>'General Inputs'!D24</f>
        <v>284100</v>
      </c>
      <c r="E10" s="498">
        <f t="shared" ref="E10:T11" si="2">D10*(1+$C$8)</f>
        <v>284100</v>
      </c>
      <c r="F10" s="498">
        <f t="shared" si="2"/>
        <v>284100</v>
      </c>
      <c r="G10" s="498">
        <f t="shared" si="2"/>
        <v>284100</v>
      </c>
      <c r="H10" s="498">
        <f t="shared" si="2"/>
        <v>284100</v>
      </c>
      <c r="I10" s="498">
        <f t="shared" si="2"/>
        <v>284100</v>
      </c>
      <c r="J10" s="498">
        <f t="shared" si="2"/>
        <v>284100</v>
      </c>
      <c r="K10" s="498">
        <f t="shared" si="2"/>
        <v>284100</v>
      </c>
      <c r="L10" s="498">
        <f t="shared" si="2"/>
        <v>284100</v>
      </c>
      <c r="M10" s="498">
        <f t="shared" si="2"/>
        <v>284100</v>
      </c>
      <c r="N10" s="498">
        <f t="shared" si="2"/>
        <v>284100</v>
      </c>
      <c r="O10" s="498">
        <f t="shared" si="2"/>
        <v>284100</v>
      </c>
      <c r="P10" s="498">
        <f t="shared" si="2"/>
        <v>284100</v>
      </c>
      <c r="Q10" s="498">
        <f t="shared" si="2"/>
        <v>284100</v>
      </c>
      <c r="R10" s="498">
        <f t="shared" si="2"/>
        <v>284100</v>
      </c>
      <c r="S10" s="498">
        <f t="shared" si="2"/>
        <v>284100</v>
      </c>
      <c r="T10" s="498">
        <f t="shared" si="2"/>
        <v>284100</v>
      </c>
      <c r="U10" s="498">
        <f t="shared" ref="U10:AL11" si="3">T10*(1+$C$8)</f>
        <v>284100</v>
      </c>
      <c r="V10" s="498">
        <f t="shared" si="3"/>
        <v>284100</v>
      </c>
      <c r="W10" s="498">
        <f t="shared" si="3"/>
        <v>284100</v>
      </c>
      <c r="X10" s="498">
        <f t="shared" si="3"/>
        <v>284100</v>
      </c>
      <c r="Y10" s="498">
        <f t="shared" si="3"/>
        <v>284100</v>
      </c>
      <c r="Z10" s="498">
        <f t="shared" si="3"/>
        <v>284100</v>
      </c>
      <c r="AA10" s="498">
        <f t="shared" si="3"/>
        <v>284100</v>
      </c>
      <c r="AB10" s="498">
        <f t="shared" si="3"/>
        <v>284100</v>
      </c>
      <c r="AC10" s="498">
        <f t="shared" si="3"/>
        <v>284100</v>
      </c>
      <c r="AD10" s="498">
        <f t="shared" si="3"/>
        <v>284100</v>
      </c>
      <c r="AE10" s="498">
        <f t="shared" si="3"/>
        <v>284100</v>
      </c>
      <c r="AF10" s="498">
        <f t="shared" si="3"/>
        <v>284100</v>
      </c>
      <c r="AG10" s="498">
        <f t="shared" si="3"/>
        <v>284100</v>
      </c>
      <c r="AH10" s="498">
        <f t="shared" si="3"/>
        <v>284100</v>
      </c>
      <c r="AI10" s="498">
        <f t="shared" si="3"/>
        <v>284100</v>
      </c>
      <c r="AJ10" s="498">
        <f t="shared" si="3"/>
        <v>284100</v>
      </c>
      <c r="AK10" s="498">
        <f t="shared" si="3"/>
        <v>284100</v>
      </c>
      <c r="AL10" s="498">
        <f t="shared" si="3"/>
        <v>284100</v>
      </c>
    </row>
    <row r="11" spans="1:38">
      <c r="B11" s="476" t="s">
        <v>451</v>
      </c>
      <c r="C11" s="473" t="s">
        <v>453</v>
      </c>
      <c r="D11" s="498">
        <f>'General Inputs'!D25</f>
        <v>4500</v>
      </c>
      <c r="E11" s="498">
        <f t="shared" si="2"/>
        <v>4500</v>
      </c>
      <c r="F11" s="498">
        <f t="shared" si="2"/>
        <v>4500</v>
      </c>
      <c r="G11" s="498">
        <f t="shared" si="2"/>
        <v>4500</v>
      </c>
      <c r="H11" s="498">
        <f t="shared" si="2"/>
        <v>4500</v>
      </c>
      <c r="I11" s="498">
        <f t="shared" si="2"/>
        <v>4500</v>
      </c>
      <c r="J11" s="498">
        <f t="shared" si="2"/>
        <v>4500</v>
      </c>
      <c r="K11" s="498">
        <f t="shared" si="2"/>
        <v>4500</v>
      </c>
      <c r="L11" s="498">
        <f t="shared" si="2"/>
        <v>4500</v>
      </c>
      <c r="M11" s="498">
        <f t="shared" si="2"/>
        <v>4500</v>
      </c>
      <c r="N11" s="498">
        <f t="shared" si="2"/>
        <v>4500</v>
      </c>
      <c r="O11" s="498">
        <f t="shared" si="2"/>
        <v>4500</v>
      </c>
      <c r="P11" s="498">
        <f t="shared" si="2"/>
        <v>4500</v>
      </c>
      <c r="Q11" s="498">
        <f t="shared" si="2"/>
        <v>4500</v>
      </c>
      <c r="R11" s="498">
        <f t="shared" si="2"/>
        <v>4500</v>
      </c>
      <c r="S11" s="498">
        <f t="shared" si="2"/>
        <v>4500</v>
      </c>
      <c r="T11" s="498">
        <f t="shared" si="2"/>
        <v>4500</v>
      </c>
      <c r="U11" s="498">
        <f t="shared" si="3"/>
        <v>4500</v>
      </c>
      <c r="V11" s="498">
        <f t="shared" si="3"/>
        <v>4500</v>
      </c>
      <c r="W11" s="498">
        <f t="shared" si="3"/>
        <v>4500</v>
      </c>
      <c r="X11" s="498">
        <f t="shared" si="3"/>
        <v>4500</v>
      </c>
      <c r="Y11" s="498">
        <f t="shared" si="3"/>
        <v>4500</v>
      </c>
      <c r="Z11" s="498">
        <f t="shared" si="3"/>
        <v>4500</v>
      </c>
      <c r="AA11" s="498">
        <f t="shared" si="3"/>
        <v>4500</v>
      </c>
      <c r="AB11" s="498">
        <f t="shared" si="3"/>
        <v>4500</v>
      </c>
      <c r="AC11" s="498">
        <f t="shared" si="3"/>
        <v>4500</v>
      </c>
      <c r="AD11" s="498">
        <f t="shared" si="3"/>
        <v>4500</v>
      </c>
      <c r="AE11" s="498">
        <f t="shared" si="3"/>
        <v>4500</v>
      </c>
      <c r="AF11" s="498">
        <f t="shared" si="3"/>
        <v>4500</v>
      </c>
      <c r="AG11" s="498">
        <f t="shared" si="3"/>
        <v>4500</v>
      </c>
      <c r="AH11" s="498">
        <f t="shared" si="3"/>
        <v>4500</v>
      </c>
      <c r="AI11" s="498">
        <f t="shared" si="3"/>
        <v>4500</v>
      </c>
      <c r="AJ11" s="498">
        <f t="shared" si="3"/>
        <v>4500</v>
      </c>
      <c r="AK11" s="498">
        <f t="shared" si="3"/>
        <v>4500</v>
      </c>
      <c r="AL11" s="498">
        <f t="shared" si="3"/>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'A1.9'!D24</f>
        <v>1.4437488394637658E-3</v>
      </c>
      <c r="E15" s="388">
        <f>'A1.9'!E24</f>
        <v>1.4627391676381529E-3</v>
      </c>
      <c r="F15" s="388">
        <f>'A1.9'!F24</f>
        <v>1.4819819312017284E-3</v>
      </c>
      <c r="G15" s="388">
        <f>'A1.9'!G24</f>
        <v>1.5014804984063198E-3</v>
      </c>
      <c r="H15" s="388">
        <f>'A1.9'!H24</f>
        <v>1.5212382824670706E-3</v>
      </c>
      <c r="I15" s="388">
        <f>'A1.9'!I24</f>
        <v>1.5412587421621772E-3</v>
      </c>
      <c r="J15" s="388">
        <f>'A1.9'!J24</f>
        <v>1.5615453824406231E-3</v>
      </c>
      <c r="K15" s="388">
        <f>'A1.9'!K24</f>
        <v>1.5821017550380512E-3</v>
      </c>
      <c r="L15" s="388">
        <f>'A1.9'!L24</f>
        <v>1.60293145910084E-3</v>
      </c>
      <c r="M15" s="388">
        <f>'A1.9'!M24</f>
        <v>1.624038141818536E-3</v>
      </c>
      <c r="N15" s="388">
        <f>'A1.9'!N24</f>
        <v>1.6454254990647152E-3</v>
      </c>
      <c r="O15" s="388">
        <f>'A1.9'!O24</f>
        <v>1.6670972760464214E-3</v>
      </c>
      <c r="P15" s="388">
        <f>'A1.9'!P24</f>
        <v>1.6890572679622584E-3</v>
      </c>
      <c r="Q15" s="388">
        <f>'A1.9'!Q24</f>
        <v>1.7113093206692915E-3</v>
      </c>
      <c r="R15" s="388">
        <f>'A1.9'!R24</f>
        <v>1.7338573313588357E-3</v>
      </c>
      <c r="S15" s="388">
        <f>'A1.9'!S24</f>
        <v>1.7567052492412861E-3</v>
      </c>
      <c r="T15" s="388">
        <f>'A1.9'!T24</f>
        <v>1.7798570762400827E-3</v>
      </c>
      <c r="U15" s="388">
        <f>'A1.9'!U24</f>
        <v>1.8033168676949418E-3</v>
      </c>
      <c r="V15" s="388">
        <f>'A1.9'!V24</f>
        <v>1.8270887330744843E-3</v>
      </c>
      <c r="W15" s="388">
        <f>'A1.9'!W24</f>
        <v>1.8511768366983787E-3</v>
      </c>
      <c r="X15" s="388">
        <f>'A1.9'!X24</f>
        <v>1.8755853984691196E-3</v>
      </c>
      <c r="Y15" s="388">
        <f>'A1.9'!Y24</f>
        <v>1.9003186946135856E-3</v>
      </c>
      <c r="Z15" s="388">
        <f>'A1.9'!Z24</f>
        <v>1.9253810584344974E-3</v>
      </c>
      <c r="AA15" s="388">
        <f>'A1.9'!AA24</f>
        <v>1.9507768810718971E-3</v>
      </c>
      <c r="AB15" s="388">
        <f>'A1.9'!AB24</f>
        <v>1.9765106122748189E-3</v>
      </c>
      <c r="AC15" s="388">
        <f>'A1.9'!AC24</f>
        <v>2.0025867611832373E-3</v>
      </c>
      <c r="AD15" s="388">
        <f>'A1.9'!AD24</f>
        <v>2.0290098971204738E-3</v>
      </c>
      <c r="AE15" s="388">
        <f>'A1.9'!AE24</f>
        <v>2.0557846503961681E-3</v>
      </c>
      <c r="AF15" s="388">
        <f>'A1.9'!AF24</f>
        <v>2.0829157131199844E-3</v>
      </c>
      <c r="AG15" s="388">
        <f>'A1.9'!AG24</f>
        <v>2.1104078400261688E-3</v>
      </c>
      <c r="AH15" s="388">
        <f>'A1.9'!AH24</f>
        <v>2.1382658493091216E-3</v>
      </c>
      <c r="AI15" s="388">
        <f>'A1.9'!AI24</f>
        <v>2.1664946234701225E-3</v>
      </c>
      <c r="AJ15" s="388">
        <f>'A1.9'!AJ24</f>
        <v>2.1950991101753535E-3</v>
      </c>
      <c r="AK15" s="388">
        <f>'A1.9'!AK24</f>
        <v>2.2240843231253983E-3</v>
      </c>
      <c r="AL15" s="388">
        <f>'A1.9'!AL24</f>
        <v>2.2534553429363136E-3</v>
      </c>
    </row>
    <row r="16" spans="1:38">
      <c r="B16" s="367" t="s">
        <v>516</v>
      </c>
      <c r="C16" s="367" t="s">
        <v>329</v>
      </c>
      <c r="D16" s="388">
        <f>'A1.9'!D25</f>
        <v>2.0414663771281944E-2</v>
      </c>
      <c r="E16" s="388">
        <f>'A1.9'!E25</f>
        <v>2.0663981402425154E-2</v>
      </c>
      <c r="F16" s="388">
        <f>'A1.9'!F25</f>
        <v>2.0916352435270624E-2</v>
      </c>
      <c r="G16" s="388">
        <f>'A1.9'!G25</f>
        <v>2.1171814282768455E-2</v>
      </c>
      <c r="H16" s="388">
        <f>'A1.9'!H25</f>
        <v>2.1430404816376022E-2</v>
      </c>
      <c r="I16" s="388">
        <f>'A1.9'!I25</f>
        <v>2.1692162371671417E-2</v>
      </c>
      <c r="J16" s="388">
        <f>'A1.9'!J25</f>
        <v>2.1957125754035457E-2</v>
      </c>
      <c r="K16" s="388">
        <f>'A1.9'!K25</f>
        <v>2.2225334244403743E-2</v>
      </c>
      <c r="L16" s="388">
        <f>'A1.9'!L25</f>
        <v>2.2496827605088934E-2</v>
      </c>
      <c r="M16" s="388">
        <f>'A1.9'!M25</f>
        <v>2.2771646085674706E-2</v>
      </c>
      <c r="N16" s="388">
        <f>'A1.9'!N25</f>
        <v>2.3049830428981823E-2</v>
      </c>
      <c r="O16" s="388">
        <f>'A1.9'!O25</f>
        <v>2.3331421877107499E-2</v>
      </c>
      <c r="P16" s="388">
        <f>'A1.9'!P25</f>
        <v>2.3616462177538714E-2</v>
      </c>
      <c r="Q16" s="388">
        <f>'A1.9'!Q25</f>
        <v>2.3904993589340603E-2</v>
      </c>
      <c r="R16" s="388">
        <f>'A1.9'!R25</f>
        <v>2.4197058889420617E-2</v>
      </c>
      <c r="S16" s="388">
        <f>'A1.9'!S25</f>
        <v>2.449270137886965E-2</v>
      </c>
      <c r="T16" s="388">
        <f>'A1.9'!T25</f>
        <v>2.479196488938076E-2</v>
      </c>
      <c r="U16" s="388">
        <f>'A1.9'!U25</f>
        <v>2.5094893789746654E-2</v>
      </c>
      <c r="V16" s="388">
        <f>'A1.9'!V25</f>
        <v>2.5401532992436859E-2</v>
      </c>
      <c r="W16" s="388">
        <f>'A1.9'!W25</f>
        <v>2.5711927960255548E-2</v>
      </c>
      <c r="X16" s="388">
        <f>'A1.9'!X25</f>
        <v>2.6026124713080839E-2</v>
      </c>
      <c r="Y16" s="388">
        <f>'A1.9'!Y25</f>
        <v>2.6344169834686949E-2</v>
      </c>
      <c r="Z16" s="388">
        <f>'A1.9'!Z25</f>
        <v>2.6666110479649771E-2</v>
      </c>
      <c r="AA16" s="388">
        <f>'A1.9'!AA25</f>
        <v>2.6991994380337163E-2</v>
      </c>
      <c r="AB16" s="388">
        <f>'A1.9'!AB25</f>
        <v>2.7321869853985017E-2</v>
      </c>
      <c r="AC16" s="388">
        <f>'A1.9'!AC25</f>
        <v>2.7655785809859966E-2</v>
      </c>
      <c r="AD16" s="388">
        <f>'A1.9'!AD25</f>
        <v>2.7993791756509866E-2</v>
      </c>
      <c r="AE16" s="388">
        <f>'A1.9'!AE25</f>
        <v>2.8335937809103203E-2</v>
      </c>
      <c r="AF16" s="388">
        <f>'A1.9'!AF25</f>
        <v>2.8682274696858478E-2</v>
      </c>
      <c r="AG16" s="388">
        <f>'A1.9'!AG25</f>
        <v>2.9032853770564592E-2</v>
      </c>
      <c r="AH16" s="388">
        <f>'A1.9'!AH25</f>
        <v>2.9387727010193397E-2</v>
      </c>
      <c r="AI16" s="388">
        <f>'A1.9'!AI25</f>
        <v>2.9746947032605584E-2</v>
      </c>
      <c r="AJ16" s="388">
        <f>'A1.9'!AJ25</f>
        <v>3.0110567099350935E-2</v>
      </c>
      <c r="AK16" s="388">
        <f>'A1.9'!AK25</f>
        <v>3.0478641124564405E-2</v>
      </c>
      <c r="AL16" s="388">
        <f>'A1.9'!AL25</f>
        <v>3.0851223682958517E-2</v>
      </c>
    </row>
    <row r="17" spans="1:38">
      <c r="B17" s="367" t="s">
        <v>517</v>
      </c>
      <c r="C17" s="367" t="s">
        <v>518</v>
      </c>
      <c r="D17" s="388">
        <f>'A1.9'!D23</f>
        <v>0.11528052808120189</v>
      </c>
      <c r="E17" s="388">
        <f>'A1.9'!E23</f>
        <v>0.11668976987055626</v>
      </c>
      <c r="F17" s="388">
        <f>'A1.9'!F23</f>
        <v>0.11811629055331112</v>
      </c>
      <c r="G17" s="388">
        <f>'A1.9'!G23</f>
        <v>0.11956030212078399</v>
      </c>
      <c r="H17" s="388">
        <f>'A1.9'!H23</f>
        <v>0.12102201916599596</v>
      </c>
      <c r="I17" s="388">
        <f>'A1.9'!I23</f>
        <v>0.12250165891557306</v>
      </c>
      <c r="J17" s="388">
        <f>'A1.9'!J23</f>
        <v>0.12399944126203849</v>
      </c>
      <c r="K17" s="388">
        <f>'A1.9'!K23</f>
        <v>0.12551558879650285</v>
      </c>
      <c r="L17" s="388">
        <f>'A1.9'!L23</f>
        <v>0.12705032684175488</v>
      </c>
      <c r="M17" s="388">
        <f>'A1.9'!M23</f>
        <v>0.1286038834857598</v>
      </c>
      <c r="N17" s="388">
        <f>'A1.9'!N23</f>
        <v>0.13017648961556827</v>
      </c>
      <c r="O17" s="388">
        <f>'A1.9'!O23</f>
        <v>0.13176837895164284</v>
      </c>
      <c r="P17" s="388">
        <f>'A1.9'!P23</f>
        <v>0.13337978808260514</v>
      </c>
      <c r="Q17" s="388">
        <f>'A1.9'!Q23</f>
        <v>0.13501095650041064</v>
      </c>
      <c r="R17" s="388">
        <f>'A1.9'!R23</f>
        <v>0.13666212663595495</v>
      </c>
      <c r="S17" s="388">
        <f>'A1.9'!S23</f>
        <v>0.13833354389511801</v>
      </c>
      <c r="T17" s="388">
        <f>'A1.9'!T23</f>
        <v>0.14002545669525046</v>
      </c>
      <c r="U17" s="388">
        <f>'A1.9'!U23</f>
        <v>0.14173811650210821</v>
      </c>
      <c r="V17" s="388">
        <f>'A1.9'!V23</f>
        <v>0.143471777867241</v>
      </c>
      <c r="W17" s="388">
        <f>'A1.9'!W23</f>
        <v>0.14522669846583983</v>
      </c>
      <c r="X17" s="388">
        <f>'A1.9'!X23</f>
        <v>0.14700313913504887</v>
      </c>
      <c r="Y17" s="388">
        <f>'A1.9'!Y23</f>
        <v>0.14880136391274876</v>
      </c>
      <c r="Z17" s="388">
        <f>'A1.9'!Z23</f>
        <v>0.15062164007681508</v>
      </c>
      <c r="AA17" s="388">
        <f>'A1.9'!AA23</f>
        <v>0.15246423818485941</v>
      </c>
      <c r="AB17" s="388">
        <f>'A1.9'!AB23</f>
        <v>0.15432943211445857</v>
      </c>
      <c r="AC17" s="388">
        <f>'A1.9'!AC23</f>
        <v>0.15621749910387758</v>
      </c>
      <c r="AD17" s="388">
        <f>'A1.9'!AD23</f>
        <v>0.15812871979329238</v>
      </c>
      <c r="AE17" s="388">
        <f>'A1.9'!AE23</f>
        <v>0.16006337826651895</v>
      </c>
      <c r="AF17" s="388">
        <f>'A1.9'!AF23</f>
        <v>0.16202176209325497</v>
      </c>
      <c r="AG17" s="388">
        <f>'A1.9'!AG23</f>
        <v>0.16400416237183971</v>
      </c>
      <c r="AH17" s="388">
        <f>'A1.9'!AH23</f>
        <v>0.16601087377253895</v>
      </c>
      <c r="AI17" s="388">
        <f>'A1.9'!AI23</f>
        <v>0.16804219458136149</v>
      </c>
      <c r="AJ17" s="388">
        <f>'A1.9'!AJ23</f>
        <v>0.17009842674441311</v>
      </c>
      <c r="AK17" s="388">
        <f>'A1.9'!AK23</f>
        <v>0.17217987591279629</v>
      </c>
      <c r="AL17" s="388">
        <f>'A1.9'!AL23</f>
        <v>0.17428685148805903</v>
      </c>
    </row>
    <row r="18" spans="1:38">
      <c r="D18" s="358"/>
      <c r="F18" s="464"/>
      <c r="G18" s="465"/>
      <c r="H18" s="465"/>
    </row>
    <row r="19" spans="1:38">
      <c r="B19" s="366" t="s">
        <v>719</v>
      </c>
      <c r="C19" s="484" t="s">
        <v>292</v>
      </c>
      <c r="D19" s="485">
        <f t="shared" ref="D19:AK19" si="4">D15*D9</f>
        <v>17427.492241167118</v>
      </c>
      <c r="E19" s="485">
        <f t="shared" si="4"/>
        <v>17656.724492560144</v>
      </c>
      <c r="F19" s="485">
        <f t="shared" si="4"/>
        <v>17889.003891536064</v>
      </c>
      <c r="G19" s="485">
        <f t="shared" si="4"/>
        <v>18124.371096262686</v>
      </c>
      <c r="H19" s="485">
        <f t="shared" si="4"/>
        <v>18362.86730766001</v>
      </c>
      <c r="I19" s="485">
        <f t="shared" si="4"/>
        <v>18604.534276639642</v>
      </c>
      <c r="J19" s="485">
        <f t="shared" si="4"/>
        <v>18849.414311440763</v>
      </c>
      <c r="K19" s="485">
        <f t="shared" si="4"/>
        <v>19097.550285064317</v>
      </c>
      <c r="L19" s="485">
        <f t="shared" si="4"/>
        <v>19348.985642806238</v>
      </c>
      <c r="M19" s="485">
        <f t="shared" si="4"/>
        <v>19603.764409891548</v>
      </c>
      <c r="N19" s="485">
        <f t="shared" si="4"/>
        <v>19861.931199210176</v>
      </c>
      <c r="O19" s="485">
        <f t="shared" si="4"/>
        <v>20123.531219156353</v>
      </c>
      <c r="P19" s="485">
        <f t="shared" si="4"/>
        <v>20388.610281572423</v>
      </c>
      <c r="Q19" s="485">
        <f t="shared" si="4"/>
        <v>20657.214809799018</v>
      </c>
      <c r="R19" s="485">
        <f t="shared" si="4"/>
        <v>20929.391846832506</v>
      </c>
      <c r="S19" s="485">
        <f t="shared" si="4"/>
        <v>21205.189063591566</v>
      </c>
      <c r="T19" s="485">
        <f t="shared" si="4"/>
        <v>21484.65476729404</v>
      </c>
      <c r="U19" s="485">
        <f t="shared" si="4"/>
        <v>21767.837909945643</v>
      </c>
      <c r="V19" s="485">
        <f t="shared" si="4"/>
        <v>22054.788096942098</v>
      </c>
      <c r="W19" s="485">
        <f t="shared" si="4"/>
        <v>22345.555595786129</v>
      </c>
      <c r="X19" s="485">
        <f t="shared" si="4"/>
        <v>22640.191344920742</v>
      </c>
      <c r="Y19" s="485">
        <f t="shared" si="4"/>
        <v>22938.746962680591</v>
      </c>
      <c r="Z19" s="485">
        <f t="shared" si="4"/>
        <v>23241.274756362818</v>
      </c>
      <c r="AA19" s="485">
        <f t="shared" si="4"/>
        <v>23547.827731418871</v>
      </c>
      <c r="AB19" s="485">
        <f t="shared" si="4"/>
        <v>23858.45960076934</v>
      </c>
      <c r="AC19" s="485">
        <f t="shared" si="4"/>
        <v>24173.224794242858</v>
      </c>
      <c r="AD19" s="485">
        <f t="shared" si="4"/>
        <v>24492.178468141239</v>
      </c>
      <c r="AE19" s="485">
        <f t="shared" si="4"/>
        <v>24815.376514932144</v>
      </c>
      <c r="AF19" s="485">
        <f t="shared" si="4"/>
        <v>25142.875573071331</v>
      </c>
      <c r="AG19" s="485">
        <f t="shared" si="4"/>
        <v>25474.733036955884</v>
      </c>
      <c r="AH19" s="485">
        <f t="shared" si="4"/>
        <v>25811.007067010407</v>
      </c>
      <c r="AI19" s="485">
        <f t="shared" si="4"/>
        <v>26151.756599907847</v>
      </c>
      <c r="AJ19" s="485">
        <f t="shared" si="4"/>
        <v>26497.041358926694</v>
      </c>
      <c r="AK19" s="485">
        <f t="shared" si="4"/>
        <v>26846.921864446682</v>
      </c>
      <c r="AL19" s="485">
        <f t="shared" ref="AL19" si="5">AL15*AL9</f>
        <v>27201.459444584241</v>
      </c>
    </row>
    <row r="20" spans="1:38">
      <c r="B20" s="366" t="s">
        <v>720</v>
      </c>
      <c r="C20" s="484" t="s">
        <v>292</v>
      </c>
      <c r="D20" s="485">
        <f t="shared" ref="D20:AK20" si="6">D16*D10</f>
        <v>5799.8059774212006</v>
      </c>
      <c r="E20" s="485">
        <f t="shared" si="6"/>
        <v>5870.6371164289858</v>
      </c>
      <c r="F20" s="485">
        <f t="shared" si="6"/>
        <v>5942.3357268603841</v>
      </c>
      <c r="G20" s="485">
        <f t="shared" si="6"/>
        <v>6014.9124377345179</v>
      </c>
      <c r="H20" s="485">
        <f t="shared" si="6"/>
        <v>6088.3780083324282</v>
      </c>
      <c r="I20" s="485">
        <f t="shared" si="6"/>
        <v>6162.7433297918496</v>
      </c>
      <c r="J20" s="485">
        <f t="shared" si="6"/>
        <v>6238.0194267214729</v>
      </c>
      <c r="K20" s="485">
        <f t="shared" si="6"/>
        <v>6314.2174588351036</v>
      </c>
      <c r="L20" s="485">
        <f t="shared" si="6"/>
        <v>6391.3487226057659</v>
      </c>
      <c r="M20" s="485">
        <f t="shared" si="6"/>
        <v>6469.4246529401844</v>
      </c>
      <c r="N20" s="485">
        <f t="shared" si="6"/>
        <v>6548.456824873736</v>
      </c>
      <c r="O20" s="485">
        <f t="shared" si="6"/>
        <v>6628.4569552862404</v>
      </c>
      <c r="P20" s="485">
        <f t="shared" si="6"/>
        <v>6709.4369046387483</v>
      </c>
      <c r="Q20" s="485">
        <f t="shared" si="6"/>
        <v>6791.4086787316655</v>
      </c>
      <c r="R20" s="485">
        <f t="shared" si="6"/>
        <v>6874.3844304843979</v>
      </c>
      <c r="S20" s="485">
        <f t="shared" si="6"/>
        <v>6958.3764617368679</v>
      </c>
      <c r="T20" s="485">
        <f t="shared" si="6"/>
        <v>7043.397225073074</v>
      </c>
      <c r="U20" s="485">
        <f t="shared" si="6"/>
        <v>7129.4593256670241</v>
      </c>
      <c r="V20" s="485">
        <f t="shared" si="6"/>
        <v>7216.5755231513122</v>
      </c>
      <c r="W20" s="485">
        <f t="shared" si="6"/>
        <v>7304.7587335086009</v>
      </c>
      <c r="X20" s="485">
        <f t="shared" si="6"/>
        <v>7394.0220309862661</v>
      </c>
      <c r="Y20" s="485">
        <f t="shared" si="6"/>
        <v>7484.3786500345623</v>
      </c>
      <c r="Z20" s="485">
        <f t="shared" si="6"/>
        <v>7575.8419872684999</v>
      </c>
      <c r="AA20" s="485">
        <f t="shared" si="6"/>
        <v>7668.4256034537875</v>
      </c>
      <c r="AB20" s="485">
        <f t="shared" si="6"/>
        <v>7762.143225517143</v>
      </c>
      <c r="AC20" s="485">
        <f t="shared" si="6"/>
        <v>7857.0087485812164</v>
      </c>
      <c r="AD20" s="485">
        <f t="shared" si="6"/>
        <v>7953.0362380244533</v>
      </c>
      <c r="AE20" s="485">
        <f t="shared" si="6"/>
        <v>8050.2399315662196</v>
      </c>
      <c r="AF20" s="485">
        <f t="shared" si="6"/>
        <v>8148.6342413774937</v>
      </c>
      <c r="AG20" s="485">
        <f t="shared" si="6"/>
        <v>8248.2337562173998</v>
      </c>
      <c r="AH20" s="485">
        <f t="shared" si="6"/>
        <v>8349.0532435959449</v>
      </c>
      <c r="AI20" s="485">
        <f t="shared" si="6"/>
        <v>8451.1076519632461</v>
      </c>
      <c r="AJ20" s="485">
        <f t="shared" si="6"/>
        <v>8554.4121129256</v>
      </c>
      <c r="AK20" s="485">
        <f t="shared" si="6"/>
        <v>8658.9819434887468</v>
      </c>
      <c r="AL20" s="485">
        <f t="shared" ref="AL20" si="7">AL16*AL10</f>
        <v>8764.8326483285146</v>
      </c>
    </row>
    <row r="21" spans="1:38">
      <c r="B21" s="366" t="s">
        <v>721</v>
      </c>
      <c r="C21" s="484" t="s">
        <v>292</v>
      </c>
      <c r="D21" s="485">
        <f t="shared" ref="D21:AK21" si="8">D17*D11</f>
        <v>518.7623763654085</v>
      </c>
      <c r="E21" s="485">
        <f t="shared" si="8"/>
        <v>525.10396441750322</v>
      </c>
      <c r="F21" s="485">
        <f t="shared" si="8"/>
        <v>531.52330748990005</v>
      </c>
      <c r="G21" s="485">
        <f t="shared" si="8"/>
        <v>538.02135954352798</v>
      </c>
      <c r="H21" s="485">
        <f t="shared" si="8"/>
        <v>544.59908624698187</v>
      </c>
      <c r="I21" s="485">
        <f t="shared" si="8"/>
        <v>551.25746512007879</v>
      </c>
      <c r="J21" s="485">
        <f t="shared" si="8"/>
        <v>557.99748567917322</v>
      </c>
      <c r="K21" s="485">
        <f t="shared" si="8"/>
        <v>564.82014958426282</v>
      </c>
      <c r="L21" s="485">
        <f t="shared" si="8"/>
        <v>571.72647078789691</v>
      </c>
      <c r="M21" s="485">
        <f t="shared" si="8"/>
        <v>578.71747568591911</v>
      </c>
      <c r="N21" s="485">
        <f t="shared" si="8"/>
        <v>585.79420327005721</v>
      </c>
      <c r="O21" s="485">
        <f t="shared" si="8"/>
        <v>592.95770528239279</v>
      </c>
      <c r="P21" s="485">
        <f t="shared" si="8"/>
        <v>600.20904637172316</v>
      </c>
      <c r="Q21" s="485">
        <f t="shared" si="8"/>
        <v>607.54930425184796</v>
      </c>
      <c r="R21" s="485">
        <f t="shared" si="8"/>
        <v>614.97956986179724</v>
      </c>
      <c r="S21" s="485">
        <f t="shared" si="8"/>
        <v>622.50094752803102</v>
      </c>
      <c r="T21" s="485">
        <f t="shared" si="8"/>
        <v>630.1145551286271</v>
      </c>
      <c r="U21" s="485">
        <f t="shared" si="8"/>
        <v>637.82152425948698</v>
      </c>
      <c r="V21" s="485">
        <f t="shared" si="8"/>
        <v>645.62300040258447</v>
      </c>
      <c r="W21" s="485">
        <f t="shared" si="8"/>
        <v>653.52014309627918</v>
      </c>
      <c r="X21" s="485">
        <f t="shared" si="8"/>
        <v>661.5141261077199</v>
      </c>
      <c r="Y21" s="485">
        <f t="shared" si="8"/>
        <v>669.60613760736942</v>
      </c>
      <c r="Z21" s="485">
        <f t="shared" si="8"/>
        <v>677.79738034566788</v>
      </c>
      <c r="AA21" s="485">
        <f t="shared" si="8"/>
        <v>686.08907183186739</v>
      </c>
      <c r="AB21" s="485">
        <f t="shared" si="8"/>
        <v>694.48244451506355</v>
      </c>
      <c r="AC21" s="485">
        <f t="shared" si="8"/>
        <v>702.97874596744907</v>
      </c>
      <c r="AD21" s="485">
        <f t="shared" si="8"/>
        <v>711.57923906981569</v>
      </c>
      <c r="AE21" s="485">
        <f t="shared" si="8"/>
        <v>720.28520219933523</v>
      </c>
      <c r="AF21" s="485">
        <f t="shared" si="8"/>
        <v>729.09792941964736</v>
      </c>
      <c r="AG21" s="485">
        <f t="shared" si="8"/>
        <v>738.0187306732787</v>
      </c>
      <c r="AH21" s="485">
        <f t="shared" si="8"/>
        <v>747.04893197642525</v>
      </c>
      <c r="AI21" s="485">
        <f t="shared" si="8"/>
        <v>756.18987561612676</v>
      </c>
      <c r="AJ21" s="485">
        <f t="shared" si="8"/>
        <v>765.44292034985904</v>
      </c>
      <c r="AK21" s="485">
        <f t="shared" si="8"/>
        <v>774.80944160758327</v>
      </c>
      <c r="AL21" s="485">
        <f t="shared" ref="AL21" si="9">AL17*AL11</f>
        <v>784.29083169626563</v>
      </c>
    </row>
    <row r="22" spans="1:38">
      <c r="D22" s="358"/>
      <c r="F22" s="464"/>
      <c r="G22" s="465"/>
      <c r="H22" s="465"/>
    </row>
    <row r="23" spans="1:38" ht="13">
      <c r="B23" s="486" t="s">
        <v>461</v>
      </c>
      <c r="C23" s="487" t="s">
        <v>292</v>
      </c>
      <c r="D23" s="488">
        <f>SUM(D19:D21)</f>
        <v>23746.060594953728</v>
      </c>
      <c r="E23" s="488">
        <f t="shared" ref="E23:AK23" si="10">SUM(E19:E21)</f>
        <v>24052.465573406633</v>
      </c>
      <c r="F23" s="488">
        <f t="shared" si="10"/>
        <v>24362.862925886348</v>
      </c>
      <c r="G23" s="488">
        <f t="shared" si="10"/>
        <v>24677.304893540731</v>
      </c>
      <c r="H23" s="488">
        <f t="shared" si="10"/>
        <v>24995.844402239418</v>
      </c>
      <c r="I23" s="488">
        <f t="shared" si="10"/>
        <v>25318.535071551571</v>
      </c>
      <c r="J23" s="488">
        <f t="shared" si="10"/>
        <v>25645.43122384141</v>
      </c>
      <c r="K23" s="488">
        <f t="shared" si="10"/>
        <v>25976.587893483684</v>
      </c>
      <c r="L23" s="488">
        <f t="shared" si="10"/>
        <v>26312.0608361999</v>
      </c>
      <c r="M23" s="488">
        <f t="shared" si="10"/>
        <v>26651.906538517655</v>
      </c>
      <c r="N23" s="488">
        <f t="shared" si="10"/>
        <v>26996.182227353969</v>
      </c>
      <c r="O23" s="488">
        <f t="shared" si="10"/>
        <v>27344.945879724986</v>
      </c>
      <c r="P23" s="488">
        <f t="shared" si="10"/>
        <v>27698.256232582891</v>
      </c>
      <c r="Q23" s="488">
        <f t="shared" si="10"/>
        <v>28056.17279278253</v>
      </c>
      <c r="R23" s="488">
        <f t="shared" si="10"/>
        <v>28418.755847178702</v>
      </c>
      <c r="S23" s="488">
        <f t="shared" si="10"/>
        <v>28786.066472856466</v>
      </c>
      <c r="T23" s="488">
        <f t="shared" si="10"/>
        <v>29158.166547495741</v>
      </c>
      <c r="U23" s="488">
        <f t="shared" si="10"/>
        <v>29535.118759872152</v>
      </c>
      <c r="V23" s="488">
        <f t="shared" si="10"/>
        <v>29916.986620495998</v>
      </c>
      <c r="W23" s="488">
        <f t="shared" si="10"/>
        <v>30303.834472391009</v>
      </c>
      <c r="X23" s="488">
        <f t="shared" si="10"/>
        <v>30695.727502014728</v>
      </c>
      <c r="Y23" s="488">
        <f t="shared" si="10"/>
        <v>31092.731750322524</v>
      </c>
      <c r="Z23" s="488">
        <f t="shared" si="10"/>
        <v>31494.914123976985</v>
      </c>
      <c r="AA23" s="488">
        <f t="shared" si="10"/>
        <v>31902.342406704523</v>
      </c>
      <c r="AB23" s="488">
        <f t="shared" si="10"/>
        <v>32315.085270801545</v>
      </c>
      <c r="AC23" s="488">
        <f t="shared" si="10"/>
        <v>32733.212288791525</v>
      </c>
      <c r="AD23" s="488">
        <f t="shared" si="10"/>
        <v>33156.793945235513</v>
      </c>
      <c r="AE23" s="488">
        <f t="shared" si="10"/>
        <v>33585.901648697705</v>
      </c>
      <c r="AF23" s="488">
        <f t="shared" si="10"/>
        <v>34020.607743868466</v>
      </c>
      <c r="AG23" s="488">
        <f t="shared" si="10"/>
        <v>34460.985523846561</v>
      </c>
      <c r="AH23" s="488">
        <f t="shared" si="10"/>
        <v>34907.109242582774</v>
      </c>
      <c r="AI23" s="488">
        <f t="shared" si="10"/>
        <v>35359.054127487216</v>
      </c>
      <c r="AJ23" s="488">
        <f t="shared" si="10"/>
        <v>35816.89639220215</v>
      </c>
      <c r="AK23" s="488">
        <f t="shared" si="10"/>
        <v>36280.713249543012</v>
      </c>
      <c r="AL23" s="488">
        <f t="shared" ref="AL23" si="11">SUM(AL19:AL21)</f>
        <v>36750.582924609022</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'A1.9'!D86</f>
        <v>1.4437488394637658E-3</v>
      </c>
      <c r="E27" s="388">
        <f>'A1.9'!E86</f>
        <v>1.4627391676381529E-3</v>
      </c>
      <c r="F27" s="388">
        <f>'A1.9'!F86</f>
        <v>1.4819819312017284E-3</v>
      </c>
      <c r="G27" s="388">
        <f>'A1.9'!G86</f>
        <v>1.5014804984063198E-3</v>
      </c>
      <c r="H27" s="388">
        <f>'A1.9'!H86</f>
        <v>1.6856561223129866E-3</v>
      </c>
      <c r="I27" s="388">
        <f>'A1.9'!I86</f>
        <v>1.7078634433369485E-3</v>
      </c>
      <c r="J27" s="388">
        <f>'A1.9'!J86</f>
        <v>1.7303661073605483E-3</v>
      </c>
      <c r="K27" s="388">
        <f>'A1.9'!K86</f>
        <v>1.7531680554079686E-3</v>
      </c>
      <c r="L27" s="388">
        <f>'A1.9'!L86</f>
        <v>1.7762732811091176E-3</v>
      </c>
      <c r="M27" s="388">
        <f>'A1.9'!M86</f>
        <v>1.7996858314014274E-3</v>
      </c>
      <c r="N27" s="388">
        <f>'A1.9'!N86</f>
        <v>1.823409807241003E-3</v>
      </c>
      <c r="O27" s="388">
        <f>'A1.9'!O86</f>
        <v>1.8474493643232854E-3</v>
      </c>
      <c r="P27" s="388">
        <f>'A1.9'!P86</f>
        <v>1.8718087138133261E-3</v>
      </c>
      <c r="Q27" s="388">
        <f>'A1.9'!Q86</f>
        <v>1.8964921230858194E-3</v>
      </c>
      <c r="R27" s="388">
        <f>'A1.9'!R86</f>
        <v>1.9215039164750126E-3</v>
      </c>
      <c r="S27" s="388">
        <f>'A1.9'!S86</f>
        <v>1.9468484760346348E-3</v>
      </c>
      <c r="T27" s="388">
        <f>'A1.9'!T86</f>
        <v>1.972530242307959E-3</v>
      </c>
      <c r="U27" s="388">
        <f>'A1.9'!U86</f>
        <v>1.998553715108166E-3</v>
      </c>
      <c r="V27" s="388">
        <f>'A1.9'!V86</f>
        <v>2.0249234543091069E-3</v>
      </c>
      <c r="W27" s="388">
        <f>'A1.9'!W86</f>
        <v>2.0516440806466387E-3</v>
      </c>
      <c r="X27" s="388">
        <f>'A1.9'!X86</f>
        <v>2.0787202765306509E-3</v>
      </c>
      <c r="Y27" s="388">
        <f>'A1.9'!Y86</f>
        <v>2.1061567868679346E-3</v>
      </c>
      <c r="Z27" s="388">
        <f>'A1.9'!Z86</f>
        <v>2.1339584198960411E-3</v>
      </c>
      <c r="AA27" s="388">
        <f>'A1.9'!AA86</f>
        <v>2.1621300480282597E-3</v>
      </c>
      <c r="AB27" s="388">
        <f>'A1.9'!AB86</f>
        <v>2.1906766087099049E-3</v>
      </c>
      <c r="AC27" s="388">
        <f>'A1.9'!AC86</f>
        <v>2.2196031052859923E-3</v>
      </c>
      <c r="AD27" s="388">
        <f>'A1.9'!AD86</f>
        <v>2.2489146078805478E-3</v>
      </c>
      <c r="AE27" s="388">
        <f>'A1.9'!AE86</f>
        <v>2.2786162542876077E-3</v>
      </c>
      <c r="AF27" s="388">
        <f>'A1.9'!AF86</f>
        <v>2.3087132508741487E-3</v>
      </c>
      <c r="AG27" s="388">
        <f>'A1.9'!AG86</f>
        <v>2.3392108734950497E-3</v>
      </c>
      <c r="AH27" s="388">
        <f>'A1.9'!AH86</f>
        <v>2.3701144684202795E-3</v>
      </c>
      <c r="AI27" s="388">
        <f>'A1.9'!AI86</f>
        <v>2.4014294532744571E-3</v>
      </c>
      <c r="AJ27" s="388">
        <f>'A1.9'!AJ86</f>
        <v>2.4331613179889534E-3</v>
      </c>
      <c r="AK27" s="388">
        <f>'A1.9'!AK86</f>
        <v>2.4653156257667041E-3</v>
      </c>
      <c r="AL27" s="388">
        <f>'A1.9'!AL86</f>
        <v>2.4978980140598975E-3</v>
      </c>
    </row>
    <row r="28" spans="1:38">
      <c r="B28" s="367" t="s">
        <v>516</v>
      </c>
      <c r="C28" s="367" t="s">
        <v>329</v>
      </c>
      <c r="D28" s="388">
        <f>'A1.9'!D87</f>
        <v>2.0414663771281944E-2</v>
      </c>
      <c r="E28" s="388">
        <f>'A1.9'!E87</f>
        <v>2.0663981402425154E-2</v>
      </c>
      <c r="F28" s="388">
        <f>'A1.9'!F87</f>
        <v>2.0916352435270624E-2</v>
      </c>
      <c r="G28" s="388">
        <f>'A1.9'!G87</f>
        <v>2.1171814282768455E-2</v>
      </c>
      <c r="H28" s="388">
        <f>'A1.9'!H87</f>
        <v>2.3746636867292958E-2</v>
      </c>
      <c r="I28" s="388">
        <f>'A1.9'!I87</f>
        <v>2.4037009561116686E-2</v>
      </c>
      <c r="J28" s="388">
        <f>'A1.9'!J87</f>
        <v>2.4330939495625627E-2</v>
      </c>
      <c r="K28" s="388">
        <f>'A1.9'!K87</f>
        <v>2.4628470257348462E-2</v>
      </c>
      <c r="L28" s="388">
        <f>'A1.9'!L87</f>
        <v>2.4929645966929384E-2</v>
      </c>
      <c r="M28" s="388">
        <f>'A1.9'!M87</f>
        <v>2.5234511285668872E-2</v>
      </c>
      <c r="N28" s="388">
        <f>'A1.9'!N87</f>
        <v>2.5543111422144386E-2</v>
      </c>
      <c r="O28" s="388">
        <f>'A1.9'!O87</f>
        <v>2.5855492138912476E-2</v>
      </c>
      <c r="P28" s="388">
        <f>'A1.9'!P87</f>
        <v>2.6171699759292923E-2</v>
      </c>
      <c r="Q28" s="388">
        <f>'A1.9'!Q87</f>
        <v>2.6491781174236072E-2</v>
      </c>
      <c r="R28" s="388">
        <f>'A1.9'!R87</f>
        <v>2.6815783849274376E-2</v>
      </c>
      <c r="S28" s="388">
        <f>'A1.9'!S87</f>
        <v>2.7143755831559178E-2</v>
      </c>
      <c r="T28" s="388">
        <f>'A1.9'!T87</f>
        <v>2.7475745756983576E-2</v>
      </c>
      <c r="U28" s="388">
        <f>'A1.9'!U87</f>
        <v>2.7811802857392907E-2</v>
      </c>
      <c r="V28" s="388">
        <f>'A1.9'!V87</f>
        <v>2.8151976967883314E-2</v>
      </c>
      <c r="W28" s="388">
        <f>'A1.9'!W87</f>
        <v>2.8496318534189932E-2</v>
      </c>
      <c r="X28" s="388">
        <f>'A1.9'!X87</f>
        <v>2.8844878620165559E-2</v>
      </c>
      <c r="Y28" s="388">
        <f>'A1.9'!Y87</f>
        <v>2.9197708915351093E-2</v>
      </c>
      <c r="Z28" s="388">
        <f>'A1.9'!Z87</f>
        <v>2.955486174263857E-2</v>
      </c>
      <c r="AA28" s="388">
        <f>'A1.9'!AA87</f>
        <v>2.9916390066028267E-2</v>
      </c>
      <c r="AB28" s="388">
        <f>'A1.9'!AB87</f>
        <v>3.028234749848089E-2</v>
      </c>
      <c r="AC28" s="388">
        <f>'A1.9'!AC87</f>
        <v>3.0652788309865755E-2</v>
      </c>
      <c r="AD28" s="388">
        <f>'A1.9'!AD87</f>
        <v>3.1027767435006775E-2</v>
      </c>
      <c r="AE28" s="388">
        <f>'A1.9'!AE87</f>
        <v>3.1407340481826612E-2</v>
      </c>
      <c r="AF28" s="388">
        <f>'A1.9'!AF87</f>
        <v>3.1791563739590932E-2</v>
      </c>
      <c r="AG28" s="388">
        <f>'A1.9'!AG87</f>
        <v>3.218049418725355E-2</v>
      </c>
      <c r="AH28" s="388">
        <f>'A1.9'!AH87</f>
        <v>3.2574189501903897E-2</v>
      </c>
      <c r="AI28" s="388">
        <f>'A1.9'!AI87</f>
        <v>3.2972708067317946E-2</v>
      </c>
      <c r="AJ28" s="388">
        <f>'A1.9'!AJ87</f>
        <v>3.3376108982613971E-2</v>
      </c>
      <c r="AK28" s="388">
        <f>'A1.9'!AK87</f>
        <v>3.3784452071014298E-2</v>
      </c>
      <c r="AL28" s="388">
        <f>'A1.9'!AL87</f>
        <v>3.4197797888714444E-2</v>
      </c>
    </row>
    <row r="29" spans="1:38">
      <c r="B29" s="367" t="s">
        <v>517</v>
      </c>
      <c r="C29" s="367" t="s">
        <v>518</v>
      </c>
      <c r="D29" s="388">
        <f>'A1.9'!D85</f>
        <v>0.11528052808120189</v>
      </c>
      <c r="E29" s="388">
        <f>'A1.9'!E85</f>
        <v>0.11668976987055626</v>
      </c>
      <c r="F29" s="388">
        <f>'A1.9'!F85</f>
        <v>0.11811629055331112</v>
      </c>
      <c r="G29" s="388">
        <f>'A1.9'!G85</f>
        <v>0.11956030212078399</v>
      </c>
      <c r="H29" s="388">
        <f>'A1.9'!H85</f>
        <v>0.13410227042866743</v>
      </c>
      <c r="I29" s="388">
        <f>'A1.9'!I85</f>
        <v>0.13574366151950396</v>
      </c>
      <c r="J29" s="388">
        <f>'A1.9'!J85</f>
        <v>0.13740518393139636</v>
      </c>
      <c r="K29" s="388">
        <f>'A1.9'!K85</f>
        <v>0.13908708465370401</v>
      </c>
      <c r="L29" s="388">
        <f>'A1.9'!L85</f>
        <v>0.14078961370674084</v>
      </c>
      <c r="M29" s="388">
        <f>'A1.9'!M85</f>
        <v>0.14251302417894993</v>
      </c>
      <c r="N29" s="388">
        <f>'A1.9'!N85</f>
        <v>0.1442575722645332</v>
      </c>
      <c r="O29" s="388">
        <f>'A1.9'!O85</f>
        <v>0.14602351730154453</v>
      </c>
      <c r="P29" s="388">
        <f>'A1.9'!P85</f>
        <v>0.14781112181044992</v>
      </c>
      <c r="Q29" s="388">
        <f>'A1.9'!Q85</f>
        <v>0.14962065153316126</v>
      </c>
      <c r="R29" s="388">
        <f>'A1.9'!R85</f>
        <v>0.15145237547254981</v>
      </c>
      <c r="S29" s="388">
        <f>'A1.9'!S85</f>
        <v>0.1533065659324446</v>
      </c>
      <c r="T29" s="388">
        <f>'A1.9'!T85</f>
        <v>0.15518349855812139</v>
      </c>
      <c r="U29" s="388">
        <f>'A1.9'!U85</f>
        <v>0.15708345237729013</v>
      </c>
      <c r="V29" s="388">
        <f>'A1.9'!V85</f>
        <v>0.15900670984158435</v>
      </c>
      <c r="W29" s="388">
        <f>'A1.9'!W85</f>
        <v>0.16095355686856058</v>
      </c>
      <c r="X29" s="388">
        <f>'A1.9'!X85</f>
        <v>0.16292428288421318</v>
      </c>
      <c r="Y29" s="388">
        <f>'A1.9'!Y85</f>
        <v>0.16491918086601171</v>
      </c>
      <c r="Z29" s="388">
        <f>'A1.9'!Z85</f>
        <v>0.16693854738646555</v>
      </c>
      <c r="AA29" s="388">
        <f>'A1.9'!AA85</f>
        <v>0.16898268265722427</v>
      </c>
      <c r="AB29" s="388">
        <f>'A1.9'!AB85</f>
        <v>0.1710518905737195</v>
      </c>
      <c r="AC29" s="388">
        <f>'A1.9'!AC85</f>
        <v>0.17314647876035344</v>
      </c>
      <c r="AD29" s="388">
        <f>'A1.9'!AD85</f>
        <v>0.17526675861624447</v>
      </c>
      <c r="AE29" s="388">
        <f>'A1.9'!AE85</f>
        <v>0.17741304536153166</v>
      </c>
      <c r="AF29" s="388">
        <f>'A1.9'!AF85</f>
        <v>0.1795856580842497</v>
      </c>
      <c r="AG29" s="388">
        <f>'A1.9'!AG85</f>
        <v>0.18178491978777808</v>
      </c>
      <c r="AH29" s="388">
        <f>'A1.9'!AH85</f>
        <v>0.18401115743887347</v>
      </c>
      <c r="AI29" s="388">
        <f>'A1.9'!AI85</f>
        <v>0.18626470201629097</v>
      </c>
      <c r="AJ29" s="388">
        <f>'A1.9'!AJ85</f>
        <v>0.18854588856000287</v>
      </c>
      <c r="AK29" s="388">
        <f>'A1.9'!AK85</f>
        <v>0.19085505622102078</v>
      </c>
      <c r="AL29" s="388">
        <f>'A1.9'!AL85</f>
        <v>0.19319254831182989</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2">D27*D9</f>
        <v>17427.492241167118</v>
      </c>
      <c r="E31" s="485">
        <f t="shared" si="12"/>
        <v>17656.724492560144</v>
      </c>
      <c r="F31" s="485">
        <f t="shared" si="12"/>
        <v>17889.003891536064</v>
      </c>
      <c r="G31" s="485">
        <f t="shared" si="12"/>
        <v>18124.371096262686</v>
      </c>
      <c r="H31" s="485">
        <f t="shared" si="12"/>
        <v>20347.555052440061</v>
      </c>
      <c r="I31" s="485">
        <f t="shared" si="12"/>
        <v>20615.619624520306</v>
      </c>
      <c r="J31" s="485">
        <f t="shared" si="12"/>
        <v>20887.249281949178</v>
      </c>
      <c r="K31" s="485">
        <f t="shared" si="12"/>
        <v>21162.49159682959</v>
      </c>
      <c r="L31" s="485">
        <f t="shared" si="12"/>
        <v>21441.39477626816</v>
      </c>
      <c r="M31" s="485">
        <f t="shared" si="12"/>
        <v>21724.007670846629</v>
      </c>
      <c r="N31" s="485">
        <f t="shared" si="12"/>
        <v>22010.379783206146</v>
      </c>
      <c r="O31" s="485">
        <f t="shared" si="12"/>
        <v>22300.561276746379</v>
      </c>
      <c r="P31" s="485">
        <f t="shared" si="12"/>
        <v>22594.602984440658</v>
      </c>
      <c r="Q31" s="485">
        <f t="shared" si="12"/>
        <v>22892.556417768927</v>
      </c>
      <c r="R31" s="485">
        <f t="shared" si="12"/>
        <v>23194.473775769879</v>
      </c>
      <c r="S31" s="485">
        <f t="shared" si="12"/>
        <v>23500.407954214075</v>
      </c>
      <c r="T31" s="485">
        <f t="shared" si="12"/>
        <v>23810.412554899372</v>
      </c>
      <c r="U31" s="485">
        <f t="shared" si="12"/>
        <v>24124.54189507067</v>
      </c>
      <c r="V31" s="485">
        <f t="shared" si="12"/>
        <v>24442.851016965229</v>
      </c>
      <c r="W31" s="485">
        <f t="shared" si="12"/>
        <v>24765.395697485576</v>
      </c>
      <c r="X31" s="485">
        <f t="shared" si="12"/>
        <v>25092.232458001487</v>
      </c>
      <c r="Y31" s="485">
        <f t="shared" si="12"/>
        <v>25423.418574282838</v>
      </c>
      <c r="Z31" s="485">
        <f t="shared" si="12"/>
        <v>25759.012086565112</v>
      </c>
      <c r="AA31" s="485">
        <f t="shared" si="12"/>
        <v>26099.071809749123</v>
      </c>
      <c r="AB31" s="485">
        <f t="shared" si="12"/>
        <v>26443.657343737261</v>
      </c>
      <c r="AC31" s="485">
        <f t="shared" si="12"/>
        <v>26792.829083907214</v>
      </c>
      <c r="AD31" s="485">
        <f t="shared" si="12"/>
        <v>27146.648231726092</v>
      </c>
      <c r="AE31" s="485">
        <f t="shared" si="12"/>
        <v>27505.176805505711</v>
      </c>
      <c r="AF31" s="485">
        <f t="shared" si="12"/>
        <v>27868.477651301848</v>
      </c>
      <c r="AG31" s="485">
        <f t="shared" si="12"/>
        <v>28236.614453958744</v>
      </c>
      <c r="AH31" s="485">
        <f t="shared" si="12"/>
        <v>28609.651748301196</v>
      </c>
      <c r="AI31" s="485">
        <f t="shared" si="12"/>
        <v>28987.654930475972</v>
      </c>
      <c r="AJ31" s="485">
        <f t="shared" si="12"/>
        <v>29370.690269444658</v>
      </c>
      <c r="AK31" s="485">
        <f t="shared" si="12"/>
        <v>29758.824918629885</v>
      </c>
      <c r="AL31" s="485">
        <f t="shared" ref="AL31" si="13">AL27*AL9</f>
        <v>30152.126927717021</v>
      </c>
    </row>
    <row r="32" spans="1:38">
      <c r="B32" s="366" t="s">
        <v>720</v>
      </c>
      <c r="C32" s="484" t="s">
        <v>292</v>
      </c>
      <c r="D32" s="485">
        <f t="shared" ref="D32:AK32" si="14">D28*D10</f>
        <v>5799.8059774212006</v>
      </c>
      <c r="E32" s="485">
        <f t="shared" si="14"/>
        <v>5870.6371164289858</v>
      </c>
      <c r="F32" s="485">
        <f t="shared" si="14"/>
        <v>5942.3357268603841</v>
      </c>
      <c r="G32" s="485">
        <f t="shared" si="14"/>
        <v>6014.9124377345179</v>
      </c>
      <c r="H32" s="485">
        <f t="shared" si="14"/>
        <v>6746.4195339979296</v>
      </c>
      <c r="I32" s="485">
        <f t="shared" si="14"/>
        <v>6828.9144163132505</v>
      </c>
      <c r="J32" s="485">
        <f t="shared" si="14"/>
        <v>6912.4199107072409</v>
      </c>
      <c r="K32" s="485">
        <f t="shared" si="14"/>
        <v>6996.9484001126975</v>
      </c>
      <c r="L32" s="485">
        <f t="shared" si="14"/>
        <v>7082.5124192046378</v>
      </c>
      <c r="M32" s="485">
        <f t="shared" si="14"/>
        <v>7169.1246562585266</v>
      </c>
      <c r="N32" s="485">
        <f t="shared" si="14"/>
        <v>7256.7979550312202</v>
      </c>
      <c r="O32" s="485">
        <f t="shared" si="14"/>
        <v>7345.5453166650341</v>
      </c>
      <c r="P32" s="485">
        <f t="shared" si="14"/>
        <v>7435.3799016151197</v>
      </c>
      <c r="Q32" s="485">
        <f t="shared" si="14"/>
        <v>7526.3150316004685</v>
      </c>
      <c r="R32" s="485">
        <f t="shared" si="14"/>
        <v>7618.3641915788503</v>
      </c>
      <c r="S32" s="485">
        <f t="shared" si="14"/>
        <v>7711.5410317459628</v>
      </c>
      <c r="T32" s="485">
        <f t="shared" si="14"/>
        <v>7805.8593695590343</v>
      </c>
      <c r="U32" s="485">
        <f t="shared" si="14"/>
        <v>7901.3331917853247</v>
      </c>
      <c r="V32" s="485">
        <f t="shared" si="14"/>
        <v>7997.976656575649</v>
      </c>
      <c r="W32" s="485">
        <f t="shared" si="14"/>
        <v>8095.8040955633596</v>
      </c>
      <c r="X32" s="485">
        <f t="shared" si="14"/>
        <v>8194.830015989035</v>
      </c>
      <c r="Y32" s="485">
        <f t="shared" si="14"/>
        <v>8295.0691028512447</v>
      </c>
      <c r="Z32" s="485">
        <f t="shared" si="14"/>
        <v>8396.5362210836174</v>
      </c>
      <c r="AA32" s="485">
        <f t="shared" si="14"/>
        <v>8499.2464177586298</v>
      </c>
      <c r="AB32" s="485">
        <f t="shared" si="14"/>
        <v>8603.2149243184213</v>
      </c>
      <c r="AC32" s="485">
        <f t="shared" si="14"/>
        <v>8708.4571588328618</v>
      </c>
      <c r="AD32" s="485">
        <f t="shared" si="14"/>
        <v>8814.9887282854252</v>
      </c>
      <c r="AE32" s="485">
        <f t="shared" si="14"/>
        <v>8922.82543088694</v>
      </c>
      <c r="AF32" s="485">
        <f t="shared" si="14"/>
        <v>9031.9832584177839</v>
      </c>
      <c r="AG32" s="485">
        <f t="shared" si="14"/>
        <v>9142.4783985987342</v>
      </c>
      <c r="AH32" s="485">
        <f t="shared" si="14"/>
        <v>9254.3272374908975</v>
      </c>
      <c r="AI32" s="485">
        <f t="shared" si="14"/>
        <v>9367.5463619250277</v>
      </c>
      <c r="AJ32" s="485">
        <f t="shared" si="14"/>
        <v>9482.1525619606291</v>
      </c>
      <c r="AK32" s="485">
        <f t="shared" si="14"/>
        <v>9598.1628333751614</v>
      </c>
      <c r="AL32" s="485">
        <f t="shared" ref="AL32" si="15">AL28*AL10</f>
        <v>9715.594380183773</v>
      </c>
    </row>
    <row r="33" spans="1:38">
      <c r="B33" s="366" t="s">
        <v>721</v>
      </c>
      <c r="C33" s="484" t="s">
        <v>292</v>
      </c>
      <c r="D33" s="485">
        <f t="shared" ref="D33:AK33" si="16">D29*D11</f>
        <v>518.7623763654085</v>
      </c>
      <c r="E33" s="485">
        <f t="shared" si="16"/>
        <v>525.10396441750322</v>
      </c>
      <c r="F33" s="485">
        <f t="shared" si="16"/>
        <v>531.52330748990005</v>
      </c>
      <c r="G33" s="485">
        <f t="shared" si="16"/>
        <v>538.02135954352798</v>
      </c>
      <c r="H33" s="485">
        <f t="shared" si="16"/>
        <v>603.46021692900342</v>
      </c>
      <c r="I33" s="485">
        <f t="shared" si="16"/>
        <v>610.8464768377678</v>
      </c>
      <c r="J33" s="485">
        <f t="shared" si="16"/>
        <v>618.32332769128368</v>
      </c>
      <c r="K33" s="485">
        <f t="shared" si="16"/>
        <v>625.89188094166798</v>
      </c>
      <c r="L33" s="485">
        <f t="shared" si="16"/>
        <v>633.55326168033378</v>
      </c>
      <c r="M33" s="485">
        <f t="shared" si="16"/>
        <v>641.30860880527462</v>
      </c>
      <c r="N33" s="485">
        <f t="shared" si="16"/>
        <v>649.15907519039945</v>
      </c>
      <c r="O33" s="485">
        <f t="shared" si="16"/>
        <v>657.10582785695044</v>
      </c>
      <c r="P33" s="485">
        <f t="shared" si="16"/>
        <v>665.15004814702468</v>
      </c>
      <c r="Q33" s="485">
        <f t="shared" si="16"/>
        <v>673.29293189922566</v>
      </c>
      <c r="R33" s="485">
        <f t="shared" si="16"/>
        <v>681.5356896264741</v>
      </c>
      <c r="S33" s="485">
        <f t="shared" si="16"/>
        <v>689.87954669600072</v>
      </c>
      <c r="T33" s="485">
        <f t="shared" si="16"/>
        <v>698.32574351154619</v>
      </c>
      <c r="U33" s="485">
        <f t="shared" si="16"/>
        <v>706.87553569780562</v>
      </c>
      <c r="V33" s="485">
        <f t="shared" si="16"/>
        <v>715.53019428712958</v>
      </c>
      <c r="W33" s="485">
        <f t="shared" si="16"/>
        <v>724.29100590852261</v>
      </c>
      <c r="X33" s="485">
        <f t="shared" si="16"/>
        <v>733.15927297895928</v>
      </c>
      <c r="Y33" s="485">
        <f t="shared" si="16"/>
        <v>742.13631389705267</v>
      </c>
      <c r="Z33" s="485">
        <f t="shared" si="16"/>
        <v>751.22346323909494</v>
      </c>
      <c r="AA33" s="485">
        <f t="shared" si="16"/>
        <v>760.42207195750916</v>
      </c>
      <c r="AB33" s="485">
        <f t="shared" si="16"/>
        <v>769.73350758173774</v>
      </c>
      <c r="AC33" s="485">
        <f t="shared" si="16"/>
        <v>779.15915442159053</v>
      </c>
      <c r="AD33" s="485">
        <f t="shared" si="16"/>
        <v>788.70041377310008</v>
      </c>
      <c r="AE33" s="485">
        <f t="shared" si="16"/>
        <v>798.35870412689246</v>
      </c>
      <c r="AF33" s="485">
        <f t="shared" si="16"/>
        <v>808.13546137912363</v>
      </c>
      <c r="AG33" s="485">
        <f t="shared" si="16"/>
        <v>818.03213904500137</v>
      </c>
      <c r="AH33" s="485">
        <f t="shared" si="16"/>
        <v>828.05020847493063</v>
      </c>
      <c r="AI33" s="485">
        <f t="shared" si="16"/>
        <v>838.19115907330934</v>
      </c>
      <c r="AJ33" s="485">
        <f t="shared" si="16"/>
        <v>848.45649852001293</v>
      </c>
      <c r="AK33" s="485">
        <f t="shared" si="16"/>
        <v>858.84775299459352</v>
      </c>
      <c r="AL33" s="485">
        <f t="shared" ref="AL33" si="17">AL29*AL11</f>
        <v>869.36646740323454</v>
      </c>
    </row>
    <row r="34" spans="1:38">
      <c r="D34" s="358"/>
      <c r="F34" s="464"/>
      <c r="G34" s="465"/>
      <c r="H34" s="465"/>
    </row>
    <row r="35" spans="1:38" ht="13">
      <c r="B35" s="486" t="s">
        <v>462</v>
      </c>
      <c r="C35" s="487" t="s">
        <v>292</v>
      </c>
      <c r="D35" s="488">
        <f>SUM(D31:D33)</f>
        <v>23746.060594953728</v>
      </c>
      <c r="E35" s="488">
        <f t="shared" ref="E35:AK35" si="18">SUM(E31:E33)</f>
        <v>24052.465573406633</v>
      </c>
      <c r="F35" s="488">
        <f t="shared" si="18"/>
        <v>24362.862925886348</v>
      </c>
      <c r="G35" s="488">
        <f t="shared" si="18"/>
        <v>24677.304893540731</v>
      </c>
      <c r="H35" s="488">
        <f t="shared" si="18"/>
        <v>27697.434803366996</v>
      </c>
      <c r="I35" s="488">
        <f t="shared" si="18"/>
        <v>28055.380517671325</v>
      </c>
      <c r="J35" s="488">
        <f t="shared" si="18"/>
        <v>28417.992520347703</v>
      </c>
      <c r="K35" s="488">
        <f t="shared" si="18"/>
        <v>28785.331877883957</v>
      </c>
      <c r="L35" s="488">
        <f t="shared" si="18"/>
        <v>29157.460457153131</v>
      </c>
      <c r="M35" s="488">
        <f t="shared" si="18"/>
        <v>29534.440935910428</v>
      </c>
      <c r="N35" s="488">
        <f t="shared" si="18"/>
        <v>29916.336813427766</v>
      </c>
      <c r="O35" s="488">
        <f t="shared" si="18"/>
        <v>30303.212421268363</v>
      </c>
      <c r="P35" s="488">
        <f t="shared" si="18"/>
        <v>30695.132934202804</v>
      </c>
      <c r="Q35" s="488">
        <f t="shared" si="18"/>
        <v>31092.16438126862</v>
      </c>
      <c r="R35" s="488">
        <f t="shared" si="18"/>
        <v>31494.373656975204</v>
      </c>
      <c r="S35" s="488">
        <f t="shared" si="18"/>
        <v>31901.828532656036</v>
      </c>
      <c r="T35" s="488">
        <f t="shared" si="18"/>
        <v>32314.597667969952</v>
      </c>
      <c r="U35" s="488">
        <f t="shared" si="18"/>
        <v>32732.750622553802</v>
      </c>
      <c r="V35" s="488">
        <f t="shared" si="18"/>
        <v>33156.35786782801</v>
      </c>
      <c r="W35" s="488">
        <f t="shared" si="18"/>
        <v>33585.490798957464</v>
      </c>
      <c r="X35" s="488">
        <f t="shared" si="18"/>
        <v>34020.221746969481</v>
      </c>
      <c r="Y35" s="488">
        <f t="shared" si="18"/>
        <v>34460.623991031134</v>
      </c>
      <c r="Z35" s="488">
        <f t="shared" si="18"/>
        <v>34906.771770887826</v>
      </c>
      <c r="AA35" s="488">
        <f t="shared" si="18"/>
        <v>35358.740299465266</v>
      </c>
      <c r="AB35" s="488">
        <f t="shared" si="18"/>
        <v>35816.605775637421</v>
      </c>
      <c r="AC35" s="488">
        <f t="shared" si="18"/>
        <v>36280.445397161668</v>
      </c>
      <c r="AD35" s="488">
        <f t="shared" si="18"/>
        <v>36750.337373784612</v>
      </c>
      <c r="AE35" s="488">
        <f t="shared" si="18"/>
        <v>37226.360940519546</v>
      </c>
      <c r="AF35" s="488">
        <f t="shared" si="18"/>
        <v>37708.596371098756</v>
      </c>
      <c r="AG35" s="488">
        <f t="shared" si="18"/>
        <v>38197.124991602483</v>
      </c>
      <c r="AH35" s="488">
        <f t="shared" si="18"/>
        <v>38692.029194267023</v>
      </c>
      <c r="AI35" s="488">
        <f t="shared" si="18"/>
        <v>39193.392451474305</v>
      </c>
      <c r="AJ35" s="488">
        <f t="shared" si="18"/>
        <v>39701.299329925299</v>
      </c>
      <c r="AK35" s="488">
        <f t="shared" si="18"/>
        <v>40215.835504999646</v>
      </c>
      <c r="AL35" s="488">
        <f t="shared" ref="AL35" si="19">SUM(AL31:AL33)</f>
        <v>40737.087775304026</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 t="shared" ref="D39:AK39" si="20">D15-D27</f>
        <v>0</v>
      </c>
      <c r="E39" s="388">
        <f t="shared" si="20"/>
        <v>0</v>
      </c>
      <c r="F39" s="388">
        <f t="shared" si="20"/>
        <v>0</v>
      </c>
      <c r="G39" s="388">
        <f t="shared" si="20"/>
        <v>0</v>
      </c>
      <c r="H39" s="388">
        <f t="shared" si="20"/>
        <v>-1.6441783984591594E-4</v>
      </c>
      <c r="I39" s="388">
        <f t="shared" si="20"/>
        <v>-1.6660470117477134E-4</v>
      </c>
      <c r="J39" s="388">
        <f t="shared" si="20"/>
        <v>-1.6882072491992517E-4</v>
      </c>
      <c r="K39" s="388">
        <f t="shared" si="20"/>
        <v>-1.7106630036991741E-4</v>
      </c>
      <c r="L39" s="388">
        <f t="shared" si="20"/>
        <v>-1.7334182200827767E-4</v>
      </c>
      <c r="M39" s="388">
        <f t="shared" si="20"/>
        <v>-1.7564768958289135E-4</v>
      </c>
      <c r="N39" s="388">
        <f t="shared" si="20"/>
        <v>-1.7798430817628783E-4</v>
      </c>
      <c r="O39" s="388">
        <f t="shared" si="20"/>
        <v>-1.8035208827686406E-4</v>
      </c>
      <c r="P39" s="388">
        <f t="shared" si="20"/>
        <v>-1.8275144585106775E-4</v>
      </c>
      <c r="Q39" s="388">
        <f t="shared" si="20"/>
        <v>-1.8518280241652785E-4</v>
      </c>
      <c r="R39" s="388">
        <f t="shared" si="20"/>
        <v>-1.8764658511617694E-4</v>
      </c>
      <c r="S39" s="388">
        <f t="shared" si="20"/>
        <v>-1.9014322679334868E-4</v>
      </c>
      <c r="T39" s="388">
        <f t="shared" si="20"/>
        <v>-1.9267316606787622E-4</v>
      </c>
      <c r="U39" s="388">
        <f t="shared" si="20"/>
        <v>-1.9523684741322412E-4</v>
      </c>
      <c r="V39" s="388">
        <f t="shared" si="20"/>
        <v>-1.9783472123462262E-4</v>
      </c>
      <c r="W39" s="388">
        <f t="shared" si="20"/>
        <v>-2.0046724394825999E-4</v>
      </c>
      <c r="X39" s="388">
        <f t="shared" si="20"/>
        <v>-2.0313487806153125E-4</v>
      </c>
      <c r="Y39" s="388">
        <f t="shared" si="20"/>
        <v>-2.0583809225434898E-4</v>
      </c>
      <c r="Z39" s="388">
        <f t="shared" si="20"/>
        <v>-2.0857736146154379E-4</v>
      </c>
      <c r="AA39" s="388">
        <f t="shared" si="20"/>
        <v>-2.1135316695636264E-4</v>
      </c>
      <c r="AB39" s="388">
        <f t="shared" si="20"/>
        <v>-2.1416599643508602E-4</v>
      </c>
      <c r="AC39" s="388">
        <f t="shared" si="20"/>
        <v>-2.1701634410275497E-4</v>
      </c>
      <c r="AD39" s="388">
        <f t="shared" si="20"/>
        <v>-2.1990471076007399E-4</v>
      </c>
      <c r="AE39" s="388">
        <f t="shared" si="20"/>
        <v>-2.2283160389143962E-4</v>
      </c>
      <c r="AF39" s="388">
        <f t="shared" si="20"/>
        <v>-2.2579753775416435E-4</v>
      </c>
      <c r="AG39" s="388">
        <f t="shared" si="20"/>
        <v>-2.2880303346888096E-4</v>
      </c>
      <c r="AH39" s="388">
        <f t="shared" si="20"/>
        <v>-2.3184861911115795E-4</v>
      </c>
      <c r="AI39" s="388">
        <f t="shared" si="20"/>
        <v>-2.3493482980433463E-4</v>
      </c>
      <c r="AJ39" s="388">
        <f t="shared" si="20"/>
        <v>-2.3806220781359992E-4</v>
      </c>
      <c r="AK39" s="388">
        <f t="shared" si="20"/>
        <v>-2.4123130264130585E-4</v>
      </c>
      <c r="AL39" s="388">
        <f t="shared" ref="AL39" si="21">AL15-AL27</f>
        <v>-2.4444267112358389E-4</v>
      </c>
    </row>
    <row r="40" spans="1:38" ht="13">
      <c r="B40" s="581" t="s">
        <v>782</v>
      </c>
      <c r="C40" s="581" t="s">
        <v>329</v>
      </c>
      <c r="D40" s="388">
        <f t="shared" ref="D40:AK40" si="22">D16-D28</f>
        <v>0</v>
      </c>
      <c r="E40" s="388">
        <f t="shared" si="22"/>
        <v>0</v>
      </c>
      <c r="F40" s="388">
        <f t="shared" si="22"/>
        <v>0</v>
      </c>
      <c r="G40" s="388">
        <f t="shared" si="22"/>
        <v>0</v>
      </c>
      <c r="H40" s="388">
        <f t="shared" si="22"/>
        <v>-2.3162320509169353E-3</v>
      </c>
      <c r="I40" s="388">
        <f t="shared" si="22"/>
        <v>-2.3448471894452691E-3</v>
      </c>
      <c r="J40" s="388">
        <f t="shared" si="22"/>
        <v>-2.3738137415901701E-3</v>
      </c>
      <c r="K40" s="388">
        <f t="shared" si="22"/>
        <v>-2.4031360129447184E-3</v>
      </c>
      <c r="L40" s="388">
        <f t="shared" si="22"/>
        <v>-2.4328183618404498E-3</v>
      </c>
      <c r="M40" s="388">
        <f t="shared" si="22"/>
        <v>-2.4628651999941652E-3</v>
      </c>
      <c r="N40" s="388">
        <f t="shared" si="22"/>
        <v>-2.4932809931625631E-3</v>
      </c>
      <c r="O40" s="388">
        <f t="shared" si="22"/>
        <v>-2.5240702618049768E-3</v>
      </c>
      <c r="P40" s="388">
        <f t="shared" si="22"/>
        <v>-2.5552375817542092E-3</v>
      </c>
      <c r="Q40" s="388">
        <f t="shared" si="22"/>
        <v>-2.586787584895469E-3</v>
      </c>
      <c r="R40" s="388">
        <f t="shared" si="22"/>
        <v>-2.6187249598537583E-3</v>
      </c>
      <c r="S40" s="388">
        <f t="shared" si="22"/>
        <v>-2.6510544526895281E-3</v>
      </c>
      <c r="T40" s="388">
        <f t="shared" si="22"/>
        <v>-2.6837808676028162E-3</v>
      </c>
      <c r="U40" s="388">
        <f t="shared" si="22"/>
        <v>-2.7169090676462532E-3</v>
      </c>
      <c r="V40" s="388">
        <f t="shared" si="22"/>
        <v>-2.7504439754464545E-3</v>
      </c>
      <c r="W40" s="388">
        <f t="shared" si="22"/>
        <v>-2.7843905739343838E-3</v>
      </c>
      <c r="X40" s="388">
        <f t="shared" si="22"/>
        <v>-2.8187539070847201E-3</v>
      </c>
      <c r="Y40" s="388">
        <f t="shared" si="22"/>
        <v>-2.8535390806641442E-3</v>
      </c>
      <c r="Z40" s="388">
        <f t="shared" si="22"/>
        <v>-2.8887512629887993E-3</v>
      </c>
      <c r="AA40" s="388">
        <f t="shared" si="22"/>
        <v>-2.9243956856911044E-3</v>
      </c>
      <c r="AB40" s="388">
        <f t="shared" si="22"/>
        <v>-2.9604776444958729E-3</v>
      </c>
      <c r="AC40" s="388">
        <f t="shared" si="22"/>
        <v>-2.9970025000057889E-3</v>
      </c>
      <c r="AD40" s="388">
        <f t="shared" si="22"/>
        <v>-3.0339756784969092E-3</v>
      </c>
      <c r="AE40" s="388">
        <f t="shared" si="22"/>
        <v>-3.0714026727234091E-3</v>
      </c>
      <c r="AF40" s="388">
        <f t="shared" si="22"/>
        <v>-3.1092890427324542E-3</v>
      </c>
      <c r="AG40" s="388">
        <f t="shared" si="22"/>
        <v>-3.1476404166889578E-3</v>
      </c>
      <c r="AH40" s="388">
        <f t="shared" si="22"/>
        <v>-3.1864624917104997E-3</v>
      </c>
      <c r="AI40" s="388">
        <f t="shared" si="22"/>
        <v>-3.2257610347123621E-3</v>
      </c>
      <c r="AJ40" s="388">
        <f t="shared" si="22"/>
        <v>-3.2655418832630359E-3</v>
      </c>
      <c r="AK40" s="388">
        <f t="shared" si="22"/>
        <v>-3.3058109464498935E-3</v>
      </c>
      <c r="AL40" s="388">
        <f t="shared" ref="AL40" si="23">AL16-AL28</f>
        <v>-3.3465742057559277E-3</v>
      </c>
    </row>
    <row r="41" spans="1:38" ht="13">
      <c r="B41" s="581" t="s">
        <v>783</v>
      </c>
      <c r="C41" s="581" t="s">
        <v>518</v>
      </c>
      <c r="D41" s="388">
        <f t="shared" ref="D41:AK41" si="24">D17-D29</f>
        <v>0</v>
      </c>
      <c r="E41" s="388">
        <f t="shared" si="24"/>
        <v>0</v>
      </c>
      <c r="F41" s="388">
        <f t="shared" si="24"/>
        <v>0</v>
      </c>
      <c r="G41" s="388">
        <f t="shared" si="24"/>
        <v>0</v>
      </c>
      <c r="H41" s="388">
        <f t="shared" si="24"/>
        <v>-1.3080251262671469E-2</v>
      </c>
      <c r="I41" s="388">
        <f t="shared" si="24"/>
        <v>-1.3242002603930894E-2</v>
      </c>
      <c r="J41" s="388">
        <f t="shared" si="24"/>
        <v>-1.3405742669357873E-2</v>
      </c>
      <c r="K41" s="388">
        <f t="shared" si="24"/>
        <v>-1.357149585720116E-2</v>
      </c>
      <c r="L41" s="388">
        <f t="shared" si="24"/>
        <v>-1.3739286864985961E-2</v>
      </c>
      <c r="M41" s="388">
        <f t="shared" si="24"/>
        <v>-1.3909140693190131E-2</v>
      </c>
      <c r="N41" s="388">
        <f t="shared" si="24"/>
        <v>-1.4081082648964932E-2</v>
      </c>
      <c r="O41" s="388">
        <f t="shared" si="24"/>
        <v>-1.4255138349901691E-2</v>
      </c>
      <c r="P41" s="388">
        <f t="shared" si="24"/>
        <v>-1.4431333727844775E-2</v>
      </c>
      <c r="Q41" s="388">
        <f t="shared" si="24"/>
        <v>-1.4609695032750614E-2</v>
      </c>
      <c r="R41" s="388">
        <f t="shared" si="24"/>
        <v>-1.4790248836594855E-2</v>
      </c>
      <c r="S41" s="388">
        <f t="shared" si="24"/>
        <v>-1.4973022037326589E-2</v>
      </c>
      <c r="T41" s="388">
        <f t="shared" si="24"/>
        <v>-1.5158041862870925E-2</v>
      </c>
      <c r="U41" s="388">
        <f t="shared" si="24"/>
        <v>-1.5345335875181915E-2</v>
      </c>
      <c r="V41" s="388">
        <f t="shared" si="24"/>
        <v>-1.5534931974343358E-2</v>
      </c>
      <c r="W41" s="388">
        <f t="shared" si="24"/>
        <v>-1.5726858402720756E-2</v>
      </c>
      <c r="X41" s="388">
        <f t="shared" si="24"/>
        <v>-1.5921143749164313E-2</v>
      </c>
      <c r="Y41" s="388">
        <f t="shared" si="24"/>
        <v>-1.6117816953262948E-2</v>
      </c>
      <c r="Z41" s="388">
        <f t="shared" si="24"/>
        <v>-1.6316907309650464E-2</v>
      </c>
      <c r="AA41" s="388">
        <f t="shared" si="24"/>
        <v>-1.6518444472364863E-2</v>
      </c>
      <c r="AB41" s="388">
        <f t="shared" si="24"/>
        <v>-1.672245845926093E-2</v>
      </c>
      <c r="AC41" s="388">
        <f t="shared" si="24"/>
        <v>-1.6928979656475857E-2</v>
      </c>
      <c r="AD41" s="388">
        <f t="shared" si="24"/>
        <v>-1.713803882295209E-2</v>
      </c>
      <c r="AE41" s="388">
        <f t="shared" si="24"/>
        <v>-1.7349667095012705E-2</v>
      </c>
      <c r="AF41" s="388">
        <f t="shared" si="24"/>
        <v>-1.7563895990994727E-2</v>
      </c>
      <c r="AG41" s="388">
        <f t="shared" si="24"/>
        <v>-1.7780757415938375E-2</v>
      </c>
      <c r="AH41" s="388">
        <f t="shared" si="24"/>
        <v>-1.8000283666334521E-2</v>
      </c>
      <c r="AI41" s="388">
        <f t="shared" si="24"/>
        <v>-1.822250743492948E-2</v>
      </c>
      <c r="AJ41" s="388">
        <f t="shared" si="24"/>
        <v>-1.8447461815589761E-2</v>
      </c>
      <c r="AK41" s="388">
        <f t="shared" si="24"/>
        <v>-1.8675180308224487E-2</v>
      </c>
      <c r="AL41" s="388">
        <f t="shared" ref="AL41" si="25">AL17-AL29</f>
        <v>-1.8905696823770857E-2</v>
      </c>
    </row>
    <row r="42" spans="1:38">
      <c r="D42" s="358"/>
      <c r="F42" s="464"/>
      <c r="G42" s="465"/>
      <c r="H42" s="465"/>
    </row>
    <row r="43" spans="1:38" ht="13">
      <c r="B43" s="492" t="s">
        <v>284</v>
      </c>
      <c r="C43" s="487" t="s">
        <v>292</v>
      </c>
      <c r="D43" s="488">
        <f t="shared" ref="D43:AK43" si="26">D23-D35</f>
        <v>0</v>
      </c>
      <c r="E43" s="488">
        <f t="shared" si="26"/>
        <v>0</v>
      </c>
      <c r="F43" s="488">
        <f t="shared" si="26"/>
        <v>0</v>
      </c>
      <c r="G43" s="488">
        <f t="shared" si="26"/>
        <v>0</v>
      </c>
      <c r="H43" s="488">
        <f t="shared" si="26"/>
        <v>-2701.5904011275779</v>
      </c>
      <c r="I43" s="488">
        <f t="shared" si="26"/>
        <v>-2736.8454461197543</v>
      </c>
      <c r="J43" s="488">
        <f t="shared" si="26"/>
        <v>-2772.5612965062937</v>
      </c>
      <c r="K43" s="488">
        <f t="shared" si="26"/>
        <v>-2808.7439844002729</v>
      </c>
      <c r="L43" s="488">
        <f t="shared" si="26"/>
        <v>-2845.3996209532306</v>
      </c>
      <c r="M43" s="488">
        <f t="shared" si="26"/>
        <v>-2882.5343973927738</v>
      </c>
      <c r="N43" s="488">
        <f t="shared" si="26"/>
        <v>-2920.154586073797</v>
      </c>
      <c r="O43" s="488">
        <f t="shared" si="26"/>
        <v>-2958.2665415433767</v>
      </c>
      <c r="P43" s="488">
        <f t="shared" si="26"/>
        <v>-2996.8767016199126</v>
      </c>
      <c r="Q43" s="488">
        <f t="shared" si="26"/>
        <v>-3035.9915884860893</v>
      </c>
      <c r="R43" s="488">
        <f t="shared" si="26"/>
        <v>-3075.6178097965021</v>
      </c>
      <c r="S43" s="488">
        <f t="shared" si="26"/>
        <v>-3115.7620597995701</v>
      </c>
      <c r="T43" s="488">
        <f t="shared" si="26"/>
        <v>-3156.4311204742116</v>
      </c>
      <c r="U43" s="488">
        <f t="shared" si="26"/>
        <v>-3197.6318626816501</v>
      </c>
      <c r="V43" s="488">
        <f t="shared" si="26"/>
        <v>-3239.371247332012</v>
      </c>
      <c r="W43" s="488">
        <f t="shared" si="26"/>
        <v>-3281.6563265664554</v>
      </c>
      <c r="X43" s="488">
        <f t="shared" si="26"/>
        <v>-3324.4942449547525</v>
      </c>
      <c r="Y43" s="488">
        <f t="shared" si="26"/>
        <v>-3367.8922407086102</v>
      </c>
      <c r="Z43" s="488">
        <f t="shared" si="26"/>
        <v>-3411.8576469108411</v>
      </c>
      <c r="AA43" s="488">
        <f t="shared" si="26"/>
        <v>-3456.3978927607423</v>
      </c>
      <c r="AB43" s="488">
        <f t="shared" si="26"/>
        <v>-3501.5205048358766</v>
      </c>
      <c r="AC43" s="488">
        <f t="shared" si="26"/>
        <v>-3547.2331083701429</v>
      </c>
      <c r="AD43" s="488">
        <f t="shared" si="26"/>
        <v>-3593.5434285490992</v>
      </c>
      <c r="AE43" s="488">
        <f t="shared" si="26"/>
        <v>-3640.4592918218405</v>
      </c>
      <c r="AF43" s="488">
        <f t="shared" si="26"/>
        <v>-3687.9886272302901</v>
      </c>
      <c r="AG43" s="488">
        <f t="shared" si="26"/>
        <v>-3736.1394677559219</v>
      </c>
      <c r="AH43" s="488">
        <f t="shared" si="26"/>
        <v>-3784.9199516842491</v>
      </c>
      <c r="AI43" s="488">
        <f t="shared" si="26"/>
        <v>-3834.3383239870891</v>
      </c>
      <c r="AJ43" s="488">
        <f t="shared" si="26"/>
        <v>-3884.4029377231491</v>
      </c>
      <c r="AK43" s="488">
        <f t="shared" si="26"/>
        <v>-3935.1222554566339</v>
      </c>
      <c r="AL43" s="488">
        <f t="shared" ref="AL43" si="27">AL23-AL35</f>
        <v>-3986.5048506950043</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1177" t="s">
        <v>493</v>
      </c>
      <c r="C49" s="384" t="s">
        <v>450</v>
      </c>
      <c r="D49" s="496">
        <f>'General Inputs'!D15</f>
        <v>17.899999999999999</v>
      </c>
      <c r="E49" s="496">
        <f t="shared" ref="E49:T51" si="28">D49*(1+$C$48)</f>
        <v>17.899999999999999</v>
      </c>
      <c r="F49" s="496">
        <f t="shared" si="28"/>
        <v>17.899999999999999</v>
      </c>
      <c r="G49" s="496">
        <f t="shared" si="28"/>
        <v>17.899999999999999</v>
      </c>
      <c r="H49" s="496">
        <f t="shared" si="28"/>
        <v>17.899999999999999</v>
      </c>
      <c r="I49" s="496">
        <f t="shared" si="28"/>
        <v>17.899999999999999</v>
      </c>
      <c r="J49" s="496">
        <f t="shared" si="28"/>
        <v>17.899999999999999</v>
      </c>
      <c r="K49" s="496">
        <f t="shared" si="28"/>
        <v>17.899999999999999</v>
      </c>
      <c r="L49" s="496">
        <f t="shared" si="28"/>
        <v>17.899999999999999</v>
      </c>
      <c r="M49" s="496">
        <f t="shared" si="28"/>
        <v>17.899999999999999</v>
      </c>
      <c r="N49" s="496">
        <f t="shared" si="28"/>
        <v>17.899999999999999</v>
      </c>
      <c r="O49" s="496">
        <f t="shared" si="28"/>
        <v>17.899999999999999</v>
      </c>
      <c r="P49" s="496">
        <f t="shared" si="28"/>
        <v>17.899999999999999</v>
      </c>
      <c r="Q49" s="496">
        <f t="shared" si="28"/>
        <v>17.899999999999999</v>
      </c>
      <c r="R49" s="496">
        <f t="shared" si="28"/>
        <v>17.899999999999999</v>
      </c>
      <c r="S49" s="496">
        <f t="shared" si="28"/>
        <v>17.899999999999999</v>
      </c>
      <c r="T49" s="496">
        <f t="shared" si="28"/>
        <v>17.899999999999999</v>
      </c>
      <c r="U49" s="496">
        <f t="shared" ref="U49:AJ51" si="29">T49*(1+$C$48)</f>
        <v>17.899999999999999</v>
      </c>
      <c r="V49" s="496">
        <f t="shared" si="29"/>
        <v>17.899999999999999</v>
      </c>
      <c r="W49" s="496">
        <f t="shared" si="29"/>
        <v>17.899999999999999</v>
      </c>
      <c r="X49" s="496">
        <f t="shared" si="29"/>
        <v>17.899999999999999</v>
      </c>
      <c r="Y49" s="496">
        <f t="shared" si="29"/>
        <v>17.899999999999999</v>
      </c>
      <c r="Z49" s="496">
        <f t="shared" si="29"/>
        <v>17.899999999999999</v>
      </c>
      <c r="AA49" s="496">
        <f t="shared" si="29"/>
        <v>17.899999999999999</v>
      </c>
      <c r="AB49" s="496">
        <f t="shared" si="29"/>
        <v>17.899999999999999</v>
      </c>
      <c r="AC49" s="496">
        <f t="shared" si="29"/>
        <v>17.899999999999999</v>
      </c>
      <c r="AD49" s="496">
        <f t="shared" si="29"/>
        <v>17.899999999999999</v>
      </c>
      <c r="AE49" s="496">
        <f t="shared" si="29"/>
        <v>17.899999999999999</v>
      </c>
      <c r="AF49" s="496">
        <f t="shared" si="29"/>
        <v>17.899999999999999</v>
      </c>
      <c r="AG49" s="496">
        <f t="shared" si="29"/>
        <v>17.899999999999999</v>
      </c>
      <c r="AH49" s="496">
        <f t="shared" si="29"/>
        <v>17.899999999999999</v>
      </c>
      <c r="AI49" s="496">
        <f t="shared" si="29"/>
        <v>17.899999999999999</v>
      </c>
      <c r="AJ49" s="496">
        <f t="shared" si="29"/>
        <v>17.899999999999999</v>
      </c>
      <c r="AK49" s="496">
        <f t="shared" ref="AJ49:AL51" si="30">AJ49*(1+$C$48)</f>
        <v>17.899999999999999</v>
      </c>
      <c r="AL49" s="496">
        <f t="shared" si="30"/>
        <v>17.899999999999999</v>
      </c>
    </row>
    <row r="50" spans="1:38">
      <c r="B50" s="754" t="s">
        <v>494</v>
      </c>
      <c r="C50" s="384" t="s">
        <v>450</v>
      </c>
      <c r="D50" s="496">
        <f>'General Inputs'!D16</f>
        <v>30.8</v>
      </c>
      <c r="E50" s="496">
        <f t="shared" si="28"/>
        <v>30.8</v>
      </c>
      <c r="F50" s="496">
        <f t="shared" si="28"/>
        <v>30.8</v>
      </c>
      <c r="G50" s="496">
        <f t="shared" si="28"/>
        <v>30.8</v>
      </c>
      <c r="H50" s="496">
        <f t="shared" si="28"/>
        <v>30.8</v>
      </c>
      <c r="I50" s="496">
        <f t="shared" si="28"/>
        <v>30.8</v>
      </c>
      <c r="J50" s="496">
        <f t="shared" si="28"/>
        <v>30.8</v>
      </c>
      <c r="K50" s="496">
        <f t="shared" si="28"/>
        <v>30.8</v>
      </c>
      <c r="L50" s="496">
        <f t="shared" si="28"/>
        <v>30.8</v>
      </c>
      <c r="M50" s="496">
        <f t="shared" si="28"/>
        <v>30.8</v>
      </c>
      <c r="N50" s="496">
        <f t="shared" si="28"/>
        <v>30.8</v>
      </c>
      <c r="O50" s="496">
        <f t="shared" si="28"/>
        <v>30.8</v>
      </c>
      <c r="P50" s="496">
        <f t="shared" si="28"/>
        <v>30.8</v>
      </c>
      <c r="Q50" s="496">
        <f t="shared" si="28"/>
        <v>30.8</v>
      </c>
      <c r="R50" s="496">
        <f t="shared" si="28"/>
        <v>30.8</v>
      </c>
      <c r="S50" s="496">
        <f t="shared" si="28"/>
        <v>30.8</v>
      </c>
      <c r="T50" s="496">
        <f t="shared" si="28"/>
        <v>30.8</v>
      </c>
      <c r="U50" s="496">
        <f t="shared" si="29"/>
        <v>30.8</v>
      </c>
      <c r="V50" s="496">
        <f t="shared" si="29"/>
        <v>30.8</v>
      </c>
      <c r="W50" s="496">
        <f t="shared" si="29"/>
        <v>30.8</v>
      </c>
      <c r="X50" s="496">
        <f t="shared" si="29"/>
        <v>30.8</v>
      </c>
      <c r="Y50" s="496">
        <f t="shared" si="29"/>
        <v>30.8</v>
      </c>
      <c r="Z50" s="496">
        <f t="shared" si="29"/>
        <v>30.8</v>
      </c>
      <c r="AA50" s="496">
        <f t="shared" si="29"/>
        <v>30.8</v>
      </c>
      <c r="AB50" s="496">
        <f t="shared" si="29"/>
        <v>30.8</v>
      </c>
      <c r="AC50" s="496">
        <f t="shared" si="29"/>
        <v>30.8</v>
      </c>
      <c r="AD50" s="496">
        <f t="shared" si="29"/>
        <v>30.8</v>
      </c>
      <c r="AE50" s="496">
        <f t="shared" si="29"/>
        <v>30.8</v>
      </c>
      <c r="AF50" s="496">
        <f t="shared" si="29"/>
        <v>30.8</v>
      </c>
      <c r="AG50" s="496">
        <f t="shared" si="29"/>
        <v>30.8</v>
      </c>
      <c r="AH50" s="496">
        <f t="shared" si="29"/>
        <v>30.8</v>
      </c>
      <c r="AI50" s="496">
        <f t="shared" si="29"/>
        <v>30.8</v>
      </c>
      <c r="AJ50" s="496">
        <f t="shared" si="30"/>
        <v>30.8</v>
      </c>
      <c r="AK50" s="496">
        <f t="shared" si="30"/>
        <v>30.8</v>
      </c>
      <c r="AL50" s="496">
        <f t="shared" si="30"/>
        <v>30.8</v>
      </c>
    </row>
    <row r="51" spans="1:38">
      <c r="B51" s="754" t="s">
        <v>773</v>
      </c>
      <c r="C51" s="384" t="s">
        <v>450</v>
      </c>
      <c r="D51" s="496">
        <f>'General Inputs'!D17</f>
        <v>31.7</v>
      </c>
      <c r="E51" s="496">
        <f t="shared" si="28"/>
        <v>31.7</v>
      </c>
      <c r="F51" s="496">
        <f t="shared" si="28"/>
        <v>31.7</v>
      </c>
      <c r="G51" s="496">
        <f t="shared" si="28"/>
        <v>31.7</v>
      </c>
      <c r="H51" s="496">
        <f t="shared" si="28"/>
        <v>31.7</v>
      </c>
      <c r="I51" s="496">
        <f t="shared" si="28"/>
        <v>31.7</v>
      </c>
      <c r="J51" s="496">
        <f t="shared" si="28"/>
        <v>31.7</v>
      </c>
      <c r="K51" s="496">
        <f t="shared" si="28"/>
        <v>31.7</v>
      </c>
      <c r="L51" s="496">
        <f t="shared" si="28"/>
        <v>31.7</v>
      </c>
      <c r="M51" s="496">
        <f t="shared" si="28"/>
        <v>31.7</v>
      </c>
      <c r="N51" s="496">
        <f t="shared" si="28"/>
        <v>31.7</v>
      </c>
      <c r="O51" s="496">
        <f t="shared" si="28"/>
        <v>31.7</v>
      </c>
      <c r="P51" s="496">
        <f t="shared" si="28"/>
        <v>31.7</v>
      </c>
      <c r="Q51" s="496">
        <f t="shared" si="28"/>
        <v>31.7</v>
      </c>
      <c r="R51" s="496">
        <f t="shared" si="28"/>
        <v>31.7</v>
      </c>
      <c r="S51" s="496">
        <f t="shared" si="28"/>
        <v>31.7</v>
      </c>
      <c r="T51" s="496">
        <f t="shared" si="28"/>
        <v>31.7</v>
      </c>
      <c r="U51" s="496">
        <f t="shared" si="29"/>
        <v>31.7</v>
      </c>
      <c r="V51" s="496">
        <f t="shared" si="29"/>
        <v>31.7</v>
      </c>
      <c r="W51" s="496">
        <f t="shared" si="29"/>
        <v>31.7</v>
      </c>
      <c r="X51" s="496">
        <f t="shared" si="29"/>
        <v>31.7</v>
      </c>
      <c r="Y51" s="496">
        <f t="shared" si="29"/>
        <v>31.7</v>
      </c>
      <c r="Z51" s="496">
        <f t="shared" si="29"/>
        <v>31.7</v>
      </c>
      <c r="AA51" s="496">
        <f t="shared" si="29"/>
        <v>31.7</v>
      </c>
      <c r="AB51" s="496">
        <f t="shared" si="29"/>
        <v>31.7</v>
      </c>
      <c r="AC51" s="496">
        <f t="shared" si="29"/>
        <v>31.7</v>
      </c>
      <c r="AD51" s="496">
        <f t="shared" si="29"/>
        <v>31.7</v>
      </c>
      <c r="AE51" s="496">
        <f t="shared" si="29"/>
        <v>31.7</v>
      </c>
      <c r="AF51" s="496">
        <f t="shared" si="29"/>
        <v>31.7</v>
      </c>
      <c r="AG51" s="496">
        <f t="shared" si="29"/>
        <v>31.7</v>
      </c>
      <c r="AH51" s="496">
        <f t="shared" si="29"/>
        <v>31.7</v>
      </c>
      <c r="AI51" s="496">
        <f t="shared" si="29"/>
        <v>31.7</v>
      </c>
      <c r="AJ51" s="496">
        <f t="shared" si="30"/>
        <v>31.7</v>
      </c>
      <c r="AK51" s="496">
        <f t="shared" si="30"/>
        <v>31.7</v>
      </c>
      <c r="AL51" s="496">
        <f t="shared" si="30"/>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'1000 North'!D25</f>
        <v>1217.4566503512108</v>
      </c>
      <c r="E55" s="383">
        <f>'1000 North'!E25</f>
        <v>1266.6581586523744</v>
      </c>
      <c r="F55" s="383">
        <f>'1000 North'!F25</f>
        <v>1317.8480649949888</v>
      </c>
      <c r="G55" s="383">
        <f>'1000 North'!G25</f>
        <v>1371.10672721579</v>
      </c>
      <c r="H55" s="383">
        <f>'1000 North'!H25</f>
        <v>1426.5177506813304</v>
      </c>
      <c r="I55" s="383">
        <f>'1000 North'!I25</f>
        <v>1484.168119531553</v>
      </c>
      <c r="J55" s="383">
        <f>'1000 North'!J25</f>
        <v>1544.1483332273663</v>
      </c>
      <c r="K55" s="383">
        <f>'1000 North'!K25</f>
        <v>1606.5525486165525</v>
      </c>
      <c r="L55" s="383">
        <f>'1000 North'!L25</f>
        <v>1671.4787277410492</v>
      </c>
      <c r="M55" s="383">
        <f>'1000 North'!M25</f>
        <v>1739.0287916176114</v>
      </c>
      <c r="N55" s="383">
        <f>'1000 North'!N25</f>
        <v>1809.3087802332661</v>
      </c>
      <c r="O55" s="383">
        <f>'1000 North'!O25</f>
        <v>1882.4290190067247</v>
      </c>
      <c r="P55" s="383">
        <f>'1000 North'!P25</f>
        <v>1958.5042919770535</v>
      </c>
      <c r="Q55" s="383">
        <f>'1000 North'!Q25</f>
        <v>2037.6540219914859</v>
      </c>
      <c r="R55" s="383">
        <f>'1000 North'!R25</f>
        <v>2120.0024581752223</v>
      </c>
      <c r="S55" s="383">
        <f>'1000 North'!S25</f>
        <v>2205.6788709775233</v>
      </c>
      <c r="T55" s="383">
        <f>'1000 North'!T25</f>
        <v>2294.8177551002514</v>
      </c>
      <c r="U55" s="383">
        <f>'1000 North'!U25</f>
        <v>2387.5590406274614</v>
      </c>
      <c r="V55" s="383">
        <f>'1000 North'!V25</f>
        <v>2484.0483126874246</v>
      </c>
      <c r="W55" s="383">
        <f>'1000 North'!W25</f>
        <v>2584.4370399919449</v>
      </c>
      <c r="X55" s="383">
        <f>'1000 North'!X25</f>
        <v>2688.8828126117055</v>
      </c>
      <c r="Y55" s="383">
        <f>'1000 North'!Y25</f>
        <v>2797.5495893609273</v>
      </c>
      <c r="Z55" s="383">
        <f>'1000 North'!Z25</f>
        <v>2910.6079551796629</v>
      </c>
      <c r="AA55" s="383">
        <f>'1000 North'!AA25</f>
        <v>3028.2353889177693</v>
      </c>
      <c r="AB55" s="383">
        <f>'1000 North'!AB25</f>
        <v>3150.6165419409454</v>
      </c>
      <c r="AC55" s="383">
        <f>'1000 North'!AC25</f>
        <v>3277.9435279961544</v>
      </c>
      <c r="AD55" s="383">
        <f>'1000 North'!AD25</f>
        <v>3410.4162247914969</v>
      </c>
      <c r="AE55" s="383">
        <f>'1000 North'!AE25</f>
        <v>3548.2425877639239</v>
      </c>
      <c r="AF55" s="383">
        <f>'1000 North'!AF25</f>
        <v>3691.6389765273725</v>
      </c>
      <c r="AG55" s="383">
        <f>'1000 North'!AG25</f>
        <v>3840.8304945137525</v>
      </c>
      <c r="AH55" s="383">
        <f>'1000 North'!AH25</f>
        <v>3996.0513423399689</v>
      </c>
      <c r="AI55" s="383">
        <f>'1000 North'!AI25</f>
        <v>4157.5451854556968</v>
      </c>
      <c r="AJ55" s="383">
        <f>'1000 North'!AJ25</f>
        <v>4325.5655366490219</v>
      </c>
      <c r="AK55" s="383">
        <f>'1000 North'!AK25</f>
        <v>4500.3761540104424</v>
      </c>
      <c r="AL55" s="383">
        <f>'1000 North'!AL25</f>
        <v>4682.251454979908</v>
      </c>
    </row>
    <row r="56" spans="1:38">
      <c r="B56" s="385" t="s">
        <v>509</v>
      </c>
      <c r="C56" s="386" t="s">
        <v>443</v>
      </c>
      <c r="D56" s="383">
        <f>'1000 North'!D26</f>
        <v>135.27296115013453</v>
      </c>
      <c r="E56" s="383">
        <f>'1000 North'!E26</f>
        <v>140.73979540581936</v>
      </c>
      <c r="F56" s="383">
        <f>'1000 North'!F26</f>
        <v>146.42756277722097</v>
      </c>
      <c r="G56" s="383">
        <f>'1000 North'!G26</f>
        <v>152.34519191286557</v>
      </c>
      <c r="H56" s="383">
        <f>'1000 North'!H26</f>
        <v>158.50197229792559</v>
      </c>
      <c r="I56" s="383">
        <f>'1000 North'!I26</f>
        <v>164.90756883683923</v>
      </c>
      <c r="J56" s="383">
        <f>'1000 North'!J26</f>
        <v>171.57203702526294</v>
      </c>
      <c r="K56" s="383">
        <f>'1000 North'!K26</f>
        <v>178.50583873517252</v>
      </c>
      <c r="L56" s="383">
        <f>'1000 North'!L26</f>
        <v>185.71985863789436</v>
      </c>
      <c r="M56" s="383">
        <f>'1000 North'!M26</f>
        <v>193.2254212908457</v>
      </c>
      <c r="N56" s="383">
        <f>'1000 North'!N26</f>
        <v>201.03430891480735</v>
      </c>
      <c r="O56" s="383">
        <f>'1000 North'!O26</f>
        <v>209.15877988963609</v>
      </c>
      <c r="P56" s="383">
        <f>'1000 North'!P26</f>
        <v>217.61158799745041</v>
      </c>
      <c r="Q56" s="383">
        <f>'1000 North'!Q26</f>
        <v>226.40600244349844</v>
      </c>
      <c r="R56" s="383">
        <f>'1000 North'!R26</f>
        <v>235.55582868613578</v>
      </c>
      <c r="S56" s="383">
        <f>'1000 North'!S26</f>
        <v>245.07543010861369</v>
      </c>
      <c r="T56" s="383">
        <f>'1000 North'!T26</f>
        <v>254.97975056669463</v>
      </c>
      <c r="U56" s="383">
        <f>'1000 North'!U26</f>
        <v>265.28433784749569</v>
      </c>
      <c r="V56" s="383">
        <f>'1000 North'!V26</f>
        <v>276.00536807638053</v>
      </c>
      <c r="W56" s="383">
        <f>'1000 North'!W26</f>
        <v>287.1596711102161</v>
      </c>
      <c r="X56" s="383">
        <f>'1000 North'!X26</f>
        <v>298.76475695685616</v>
      </c>
      <c r="Y56" s="383">
        <f>'1000 North'!Y26</f>
        <v>310.83884326232527</v>
      </c>
      <c r="Z56" s="383">
        <f>'1000 North'!Z26</f>
        <v>323.40088390885148</v>
      </c>
      <c r="AA56" s="383">
        <f>'1000 North'!AA26</f>
        <v>336.47059876864108</v>
      </c>
      <c r="AB56" s="383">
        <f>'1000 North'!AB26</f>
        <v>350.06850466010508</v>
      </c>
      <c r="AC56" s="383">
        <f>'1000 North'!AC26</f>
        <v>364.21594755512831</v>
      </c>
      <c r="AD56" s="383">
        <f>'1000 North'!AD26</f>
        <v>378.9351360879441</v>
      </c>
      <c r="AE56" s="383">
        <f>'1000 North'!AE26</f>
        <v>394.24917641821378</v>
      </c>
      <c r="AF56" s="383">
        <f>'1000 North'!AF26</f>
        <v>410.18210850304143</v>
      </c>
      <c r="AG56" s="383">
        <f>'1000 North'!AG26</f>
        <v>426.75894383486138</v>
      </c>
      <c r="AH56" s="383">
        <f>'1000 North'!AH26</f>
        <v>444.00570470444103</v>
      </c>
      <c r="AI56" s="383">
        <f>'1000 North'!AI26</f>
        <v>461.94946505063302</v>
      </c>
      <c r="AJ56" s="383">
        <f>'1000 North'!AJ26</f>
        <v>480.61839296100243</v>
      </c>
      <c r="AK56" s="383">
        <f>'1000 North'!AK26</f>
        <v>500.04179489004923</v>
      </c>
      <c r="AL56" s="383">
        <f>'1000 North'!AL26</f>
        <v>520.25016166443424</v>
      </c>
    </row>
    <row r="57" spans="1:38">
      <c r="B57" s="358" t="s">
        <v>769</v>
      </c>
      <c r="C57" s="358" t="s">
        <v>443</v>
      </c>
      <c r="D57" s="383">
        <f>'1000 North'!D27</f>
        <v>0</v>
      </c>
      <c r="E57" s="383">
        <f>'1000 North'!E27</f>
        <v>0</v>
      </c>
      <c r="F57" s="383">
        <f>'1000 North'!F27</f>
        <v>0</v>
      </c>
      <c r="G57" s="383">
        <f>'1000 North'!G27</f>
        <v>0</v>
      </c>
      <c r="H57" s="383">
        <f>'1000 North'!H27</f>
        <v>0</v>
      </c>
      <c r="I57" s="383">
        <f>'1000 North'!I27</f>
        <v>0</v>
      </c>
      <c r="J57" s="383">
        <f>'1000 North'!J27</f>
        <v>0</v>
      </c>
      <c r="K57" s="383">
        <f>'1000 North'!K27</f>
        <v>0</v>
      </c>
      <c r="L57" s="383">
        <f>'1000 North'!L27</f>
        <v>0</v>
      </c>
      <c r="M57" s="383">
        <f>'1000 North'!M27</f>
        <v>0</v>
      </c>
      <c r="N57" s="383">
        <f>'1000 North'!N27</f>
        <v>0</v>
      </c>
      <c r="O57" s="383">
        <f>'1000 North'!O27</f>
        <v>0</v>
      </c>
      <c r="P57" s="383">
        <f>'1000 North'!P27</f>
        <v>0</v>
      </c>
      <c r="Q57" s="383">
        <f>'1000 North'!Q27</f>
        <v>0</v>
      </c>
      <c r="R57" s="383">
        <f>'1000 North'!R27</f>
        <v>0</v>
      </c>
      <c r="S57" s="383">
        <f>'1000 North'!S27</f>
        <v>0</v>
      </c>
      <c r="T57" s="383">
        <f>'1000 North'!T27</f>
        <v>0</v>
      </c>
      <c r="U57" s="383">
        <f>'1000 North'!U27</f>
        <v>0</v>
      </c>
      <c r="V57" s="383">
        <f>'1000 North'!V27</f>
        <v>0</v>
      </c>
      <c r="W57" s="383">
        <f>'1000 North'!W27</f>
        <v>0</v>
      </c>
      <c r="X57" s="383">
        <f>'1000 North'!X27</f>
        <v>0</v>
      </c>
      <c r="Y57" s="383">
        <f>'1000 North'!Y27</f>
        <v>0</v>
      </c>
      <c r="Z57" s="383">
        <f>'1000 North'!Z27</f>
        <v>0</v>
      </c>
      <c r="AA57" s="383">
        <f>'1000 North'!AA27</f>
        <v>0</v>
      </c>
      <c r="AB57" s="383">
        <f>'1000 North'!AB27</f>
        <v>0</v>
      </c>
      <c r="AC57" s="383">
        <f>'1000 North'!AC27</f>
        <v>0</v>
      </c>
      <c r="AD57" s="383">
        <f>'1000 North'!AD27</f>
        <v>0</v>
      </c>
      <c r="AE57" s="383">
        <f>'1000 North'!AE27</f>
        <v>0</v>
      </c>
      <c r="AF57" s="383">
        <f>'1000 North'!AF27</f>
        <v>0</v>
      </c>
      <c r="AG57" s="383">
        <f>'1000 North'!AG27</f>
        <v>0</v>
      </c>
      <c r="AH57" s="383">
        <f>'1000 North'!AH27</f>
        <v>0</v>
      </c>
      <c r="AI57" s="383">
        <f>'1000 North'!AI27</f>
        <v>0</v>
      </c>
      <c r="AJ57" s="383">
        <f>'1000 North'!AJ27</f>
        <v>0</v>
      </c>
      <c r="AK57" s="383">
        <f>'1000 North'!AK27</f>
        <v>0</v>
      </c>
      <c r="AL57" s="383">
        <f>'1000 North'!AL27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2033.1526060865219</v>
      </c>
      <c r="E62" s="383">
        <f t="shared" ref="D62:AK64" si="31">E55*$C59</f>
        <v>2115.3191249494653</v>
      </c>
      <c r="F62" s="383">
        <f t="shared" si="31"/>
        <v>2200.8062685416312</v>
      </c>
      <c r="G62" s="383">
        <f t="shared" si="31"/>
        <v>2289.7482344503692</v>
      </c>
      <c r="H62" s="383">
        <f t="shared" si="31"/>
        <v>2382.2846436378218</v>
      </c>
      <c r="I62" s="383">
        <f t="shared" si="31"/>
        <v>2478.5607596176933</v>
      </c>
      <c r="J62" s="383">
        <f t="shared" si="31"/>
        <v>2578.7277164897014</v>
      </c>
      <c r="K62" s="383">
        <f t="shared" si="31"/>
        <v>2682.9427561896428</v>
      </c>
      <c r="L62" s="383">
        <f t="shared" si="31"/>
        <v>2791.3694753275522</v>
      </c>
      <c r="M62" s="383">
        <f t="shared" si="31"/>
        <v>2904.178082001411</v>
      </c>
      <c r="N62" s="383">
        <f t="shared" si="31"/>
        <v>3021.5456629895543</v>
      </c>
      <c r="O62" s="383">
        <f t="shared" si="31"/>
        <v>3143.65646174123</v>
      </c>
      <c r="P62" s="383">
        <f t="shared" si="31"/>
        <v>3270.7021676016793</v>
      </c>
      <c r="Q62" s="383">
        <f t="shared" si="31"/>
        <v>3402.8822167257813</v>
      </c>
      <c r="R62" s="383">
        <f t="shared" si="31"/>
        <v>3540.404105152621</v>
      </c>
      <c r="S62" s="383">
        <f t="shared" si="31"/>
        <v>3683.4837145324636</v>
      </c>
      <c r="T62" s="383">
        <f t="shared" si="31"/>
        <v>3832.3456510174196</v>
      </c>
      <c r="U62" s="383">
        <f t="shared" si="31"/>
        <v>3987.2235978478602</v>
      </c>
      <c r="V62" s="383">
        <f t="shared" si="31"/>
        <v>4148.3606821879994</v>
      </c>
      <c r="W62" s="383">
        <f t="shared" si="31"/>
        <v>4316.009856786548</v>
      </c>
      <c r="X62" s="383">
        <f t="shared" si="31"/>
        <v>4490.434297061548</v>
      </c>
      <c r="Y62" s="383">
        <f t="shared" si="31"/>
        <v>4671.907814232748</v>
      </c>
      <c r="Z62" s="383">
        <f t="shared" si="31"/>
        <v>4860.7152851500368</v>
      </c>
      <c r="AA62" s="383">
        <f t="shared" si="31"/>
        <v>5057.1530994926743</v>
      </c>
      <c r="AB62" s="383">
        <f t="shared" si="31"/>
        <v>5261.5296250413785</v>
      </c>
      <c r="AC62" s="383">
        <f t="shared" si="31"/>
        <v>5474.1656917535774</v>
      </c>
      <c r="AD62" s="383">
        <f t="shared" si="31"/>
        <v>5695.3950954017992</v>
      </c>
      <c r="AE62" s="383">
        <f t="shared" si="31"/>
        <v>5925.5651215657526</v>
      </c>
      <c r="AF62" s="383">
        <f t="shared" si="31"/>
        <v>6165.0370908007117</v>
      </c>
      <c r="AG62" s="383">
        <f t="shared" si="31"/>
        <v>6414.1869258379666</v>
      </c>
      <c r="AH62" s="383">
        <f t="shared" si="31"/>
        <v>6673.4057417077474</v>
      </c>
      <c r="AI62" s="383">
        <f t="shared" si="31"/>
        <v>6943.1004597110132</v>
      </c>
      <c r="AJ62" s="383">
        <f t="shared" si="31"/>
        <v>7223.6944462038664</v>
      </c>
      <c r="AK62" s="383">
        <f t="shared" si="31"/>
        <v>7515.6281771974382</v>
      </c>
      <c r="AL62" s="383">
        <f t="shared" ref="AL62" si="32">AL55*$C59</f>
        <v>7819.3599298164463</v>
      </c>
    </row>
    <row r="63" spans="1:38">
      <c r="B63" s="472" t="s">
        <v>513</v>
      </c>
      <c r="C63" s="386" t="s">
        <v>443</v>
      </c>
      <c r="D63" s="383">
        <f t="shared" si="31"/>
        <v>135.27296115013453</v>
      </c>
      <c r="E63" s="383">
        <f t="shared" si="31"/>
        <v>140.73979540581936</v>
      </c>
      <c r="F63" s="383">
        <f t="shared" si="31"/>
        <v>146.42756277722097</v>
      </c>
      <c r="G63" s="383">
        <f t="shared" si="31"/>
        <v>152.34519191286557</v>
      </c>
      <c r="H63" s="383">
        <f t="shared" si="31"/>
        <v>158.50197229792559</v>
      </c>
      <c r="I63" s="383">
        <f t="shared" si="31"/>
        <v>164.90756883683923</v>
      </c>
      <c r="J63" s="383">
        <f t="shared" si="31"/>
        <v>171.57203702526294</v>
      </c>
      <c r="K63" s="383">
        <f t="shared" si="31"/>
        <v>178.50583873517252</v>
      </c>
      <c r="L63" s="383">
        <f t="shared" si="31"/>
        <v>185.71985863789436</v>
      </c>
      <c r="M63" s="383">
        <f t="shared" si="31"/>
        <v>193.2254212908457</v>
      </c>
      <c r="N63" s="383">
        <f t="shared" si="31"/>
        <v>201.03430891480735</v>
      </c>
      <c r="O63" s="383">
        <f t="shared" si="31"/>
        <v>209.15877988963609</v>
      </c>
      <c r="P63" s="383">
        <f t="shared" si="31"/>
        <v>217.61158799745041</v>
      </c>
      <c r="Q63" s="383">
        <f t="shared" si="31"/>
        <v>226.40600244349844</v>
      </c>
      <c r="R63" s="383">
        <f t="shared" si="31"/>
        <v>235.55582868613578</v>
      </c>
      <c r="S63" s="383">
        <f t="shared" si="31"/>
        <v>245.07543010861369</v>
      </c>
      <c r="T63" s="383">
        <f t="shared" si="31"/>
        <v>254.97975056669463</v>
      </c>
      <c r="U63" s="383">
        <f t="shared" si="31"/>
        <v>265.28433784749569</v>
      </c>
      <c r="V63" s="383">
        <f t="shared" si="31"/>
        <v>276.00536807638053</v>
      </c>
      <c r="W63" s="383">
        <f t="shared" si="31"/>
        <v>287.1596711102161</v>
      </c>
      <c r="X63" s="383">
        <f t="shared" si="31"/>
        <v>298.76475695685616</v>
      </c>
      <c r="Y63" s="383">
        <f t="shared" si="31"/>
        <v>310.83884326232527</v>
      </c>
      <c r="Z63" s="383">
        <f t="shared" si="31"/>
        <v>323.40088390885148</v>
      </c>
      <c r="AA63" s="383">
        <f t="shared" si="31"/>
        <v>336.47059876864108</v>
      </c>
      <c r="AB63" s="383">
        <f t="shared" si="31"/>
        <v>350.06850466010508</v>
      </c>
      <c r="AC63" s="383">
        <f t="shared" si="31"/>
        <v>364.21594755512831</v>
      </c>
      <c r="AD63" s="383">
        <f t="shared" si="31"/>
        <v>378.9351360879441</v>
      </c>
      <c r="AE63" s="383">
        <f t="shared" si="31"/>
        <v>394.24917641821378</v>
      </c>
      <c r="AF63" s="383">
        <f t="shared" si="31"/>
        <v>410.18210850304143</v>
      </c>
      <c r="AG63" s="383">
        <f t="shared" si="31"/>
        <v>426.75894383486138</v>
      </c>
      <c r="AH63" s="383">
        <f t="shared" si="31"/>
        <v>444.00570470444103</v>
      </c>
      <c r="AI63" s="383">
        <f t="shared" si="31"/>
        <v>461.94946505063302</v>
      </c>
      <c r="AJ63" s="383">
        <f t="shared" si="31"/>
        <v>480.61839296100243</v>
      </c>
      <c r="AK63" s="383">
        <f t="shared" si="31"/>
        <v>500.04179489004923</v>
      </c>
      <c r="AL63" s="383">
        <f t="shared" ref="AL63" si="33">AL56*$C60</f>
        <v>520.25016166443424</v>
      </c>
    </row>
    <row r="64" spans="1:38">
      <c r="B64" s="472" t="s">
        <v>752</v>
      </c>
      <c r="C64" s="386" t="s">
        <v>443</v>
      </c>
      <c r="D64" s="383">
        <f t="shared" si="31"/>
        <v>0</v>
      </c>
      <c r="E64" s="383">
        <f t="shared" si="31"/>
        <v>0</v>
      </c>
      <c r="F64" s="383">
        <f t="shared" si="31"/>
        <v>0</v>
      </c>
      <c r="G64" s="383">
        <f t="shared" si="31"/>
        <v>0</v>
      </c>
      <c r="H64" s="383">
        <f t="shared" si="31"/>
        <v>0</v>
      </c>
      <c r="I64" s="383">
        <f t="shared" si="31"/>
        <v>0</v>
      </c>
      <c r="J64" s="383">
        <f t="shared" si="31"/>
        <v>0</v>
      </c>
      <c r="K64" s="383">
        <f t="shared" si="31"/>
        <v>0</v>
      </c>
      <c r="L64" s="383">
        <f t="shared" si="31"/>
        <v>0</v>
      </c>
      <c r="M64" s="383">
        <f t="shared" si="31"/>
        <v>0</v>
      </c>
      <c r="N64" s="383">
        <f t="shared" si="31"/>
        <v>0</v>
      </c>
      <c r="O64" s="383">
        <f t="shared" si="31"/>
        <v>0</v>
      </c>
      <c r="P64" s="383">
        <f t="shared" si="31"/>
        <v>0</v>
      </c>
      <c r="Q64" s="383">
        <f t="shared" si="31"/>
        <v>0</v>
      </c>
      <c r="R64" s="383">
        <f t="shared" si="31"/>
        <v>0</v>
      </c>
      <c r="S64" s="383">
        <f t="shared" si="31"/>
        <v>0</v>
      </c>
      <c r="T64" s="383">
        <f t="shared" si="31"/>
        <v>0</v>
      </c>
      <c r="U64" s="383">
        <f t="shared" si="31"/>
        <v>0</v>
      </c>
      <c r="V64" s="383">
        <f t="shared" si="31"/>
        <v>0</v>
      </c>
      <c r="W64" s="383">
        <f t="shared" si="31"/>
        <v>0</v>
      </c>
      <c r="X64" s="383">
        <f t="shared" si="31"/>
        <v>0</v>
      </c>
      <c r="Y64" s="383">
        <f t="shared" si="31"/>
        <v>0</v>
      </c>
      <c r="Z64" s="383">
        <f t="shared" si="31"/>
        <v>0</v>
      </c>
      <c r="AA64" s="383">
        <f t="shared" si="31"/>
        <v>0</v>
      </c>
      <c r="AB64" s="383">
        <f t="shared" si="31"/>
        <v>0</v>
      </c>
      <c r="AC64" s="383">
        <f t="shared" si="31"/>
        <v>0</v>
      </c>
      <c r="AD64" s="383">
        <f t="shared" si="31"/>
        <v>0</v>
      </c>
      <c r="AE64" s="383">
        <f t="shared" si="31"/>
        <v>0</v>
      </c>
      <c r="AF64" s="383">
        <f t="shared" si="31"/>
        <v>0</v>
      </c>
      <c r="AG64" s="383">
        <f t="shared" si="31"/>
        <v>0</v>
      </c>
      <c r="AH64" s="383">
        <f t="shared" si="31"/>
        <v>0</v>
      </c>
      <c r="AI64" s="383">
        <f t="shared" si="31"/>
        <v>0</v>
      </c>
      <c r="AJ64" s="383">
        <f t="shared" si="31"/>
        <v>0</v>
      </c>
      <c r="AK64" s="383">
        <f t="shared" si="31"/>
        <v>0</v>
      </c>
      <c r="AL64" s="383">
        <f t="shared" ref="AL64" si="34">AL57*$C61</f>
        <v>0</v>
      </c>
    </row>
    <row r="65" spans="1:38">
      <c r="D65" s="358"/>
      <c r="F65" s="464"/>
      <c r="G65" s="465"/>
      <c r="H65" s="465"/>
    </row>
    <row r="66" spans="1:38" ht="13">
      <c r="B66" s="364" t="s">
        <v>526</v>
      </c>
      <c r="C66" s="487" t="s">
        <v>292</v>
      </c>
      <c r="D66" s="488">
        <f>SUMPRODUCT(D62:D64,D49:D51)</f>
        <v>40559.838852372879</v>
      </c>
      <c r="E66" s="488">
        <f t="shared" ref="E66:AK66" si="35">SUMPRODUCT(E62:E64,E49:E51)</f>
        <v>42198.998035094664</v>
      </c>
      <c r="F66" s="488">
        <f t="shared" si="35"/>
        <v>43904.401140433605</v>
      </c>
      <c r="G66" s="488">
        <f t="shared" si="35"/>
        <v>45678.725307577872</v>
      </c>
      <c r="H66" s="488">
        <f t="shared" si="35"/>
        <v>47524.755867893116</v>
      </c>
      <c r="I66" s="488">
        <f t="shared" si="35"/>
        <v>49445.390717331356</v>
      </c>
      <c r="J66" s="488">
        <f t="shared" si="35"/>
        <v>51443.644865543749</v>
      </c>
      <c r="K66" s="488">
        <f t="shared" si="35"/>
        <v>53522.655168837911</v>
      </c>
      <c r="L66" s="488">
        <f t="shared" si="35"/>
        <v>55685.685254410324</v>
      </c>
      <c r="M66" s="488">
        <f t="shared" si="35"/>
        <v>57936.130643583296</v>
      </c>
      <c r="N66" s="488">
        <f t="shared" si="35"/>
        <v>60277.524082089083</v>
      </c>
      <c r="O66" s="488">
        <f t="shared" si="35"/>
        <v>62713.541085768804</v>
      </c>
      <c r="P66" s="488">
        <f t="shared" si="35"/>
        <v>65248.005710391524</v>
      </c>
      <c r="Q66" s="488">
        <f t="shared" si="35"/>
        <v>67884.896554651234</v>
      </c>
      <c r="R66" s="488">
        <f t="shared" si="35"/>
        <v>70628.35300576489</v>
      </c>
      <c r="S66" s="488">
        <f t="shared" si="35"/>
        <v>73482.681737476392</v>
      </c>
      <c r="T66" s="488">
        <f t="shared" si="35"/>
        <v>76452.363470666009</v>
      </c>
      <c r="U66" s="488">
        <f t="shared" si="35"/>
        <v>79542.060007179549</v>
      </c>
      <c r="V66" s="488">
        <f t="shared" si="35"/>
        <v>82756.621547917704</v>
      </c>
      <c r="W66" s="488">
        <f t="shared" si="35"/>
        <v>86101.094306673855</v>
      </c>
      <c r="X66" s="488">
        <f t="shared" si="35"/>
        <v>89580.728431672876</v>
      </c>
      <c r="Y66" s="488">
        <f t="shared" si="35"/>
        <v>93200.986247245804</v>
      </c>
      <c r="Z66" s="488">
        <f t="shared" si="35"/>
        <v>96967.550828578285</v>
      </c>
      <c r="AA66" s="488">
        <f t="shared" si="35"/>
        <v>100886.334922993</v>
      </c>
      <c r="AB66" s="488">
        <f t="shared" si="35"/>
        <v>104963.49023177191</v>
      </c>
      <c r="AC66" s="488">
        <f t="shared" si="35"/>
        <v>109205.41706708698</v>
      </c>
      <c r="AD66" s="488">
        <f t="shared" si="35"/>
        <v>113618.77439920088</v>
      </c>
      <c r="AE66" s="488">
        <f t="shared" si="35"/>
        <v>118210.49030970795</v>
      </c>
      <c r="AF66" s="488">
        <f t="shared" si="35"/>
        <v>122987.77286722641</v>
      </c>
      <c r="AG66" s="488">
        <f t="shared" si="35"/>
        <v>127958.12144261332</v>
      </c>
      <c r="AH66" s="488">
        <f t="shared" si="35"/>
        <v>133129.33848146547</v>
      </c>
      <c r="AI66" s="488">
        <f t="shared" si="35"/>
        <v>138509.54175238663</v>
      </c>
      <c r="AJ66" s="488">
        <f t="shared" si="35"/>
        <v>144107.17709024806</v>
      </c>
      <c r="AK66" s="488">
        <f t="shared" si="35"/>
        <v>149931.03165444764</v>
      </c>
      <c r="AL66" s="488">
        <f t="shared" ref="AL66" si="36">SUMPRODUCT(AL62:AL64,AL49:AL51)</f>
        <v>155990.24772297897</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'1000 North'!D48</f>
        <v>1217.4566503512108</v>
      </c>
      <c r="E70" s="383">
        <f>'1000 North'!E48</f>
        <v>1266.6581586523744</v>
      </c>
      <c r="F70" s="383">
        <f>'1000 North'!F48</f>
        <v>1317.8480649949888</v>
      </c>
      <c r="G70" s="383">
        <f>'1000 North'!G48</f>
        <v>1371.10672721579</v>
      </c>
      <c r="H70" s="383">
        <f>'1000 North'!H48</f>
        <v>1902.0236675751073</v>
      </c>
      <c r="I70" s="383">
        <f>'1000 North'!I48</f>
        <v>1978.890826042071</v>
      </c>
      <c r="J70" s="383">
        <f>'1000 North'!J48</f>
        <v>2058.8644443031549</v>
      </c>
      <c r="K70" s="383">
        <f>'1000 North'!K48</f>
        <v>2142.0700648220695</v>
      </c>
      <c r="L70" s="383">
        <f>'1000 North'!L48</f>
        <v>2228.6383036547327</v>
      </c>
      <c r="M70" s="383">
        <f>'1000 North'!M48</f>
        <v>2318.705055490148</v>
      </c>
      <c r="N70" s="383">
        <f>'1000 North'!N48</f>
        <v>2412.4117069776885</v>
      </c>
      <c r="O70" s="383">
        <f>'1000 North'!O48</f>
        <v>2509.9053586756322</v>
      </c>
      <c r="P70" s="383">
        <f>'1000 North'!P48</f>
        <v>2611.3390559694039</v>
      </c>
      <c r="Q70" s="383">
        <f>'1000 North'!Q48</f>
        <v>2716.8720293219812</v>
      </c>
      <c r="R70" s="383">
        <f>'1000 North'!R48</f>
        <v>2826.6699442336298</v>
      </c>
      <c r="S70" s="383">
        <f>'1000 North'!S48</f>
        <v>2940.905161303363</v>
      </c>
      <c r="T70" s="383">
        <f>'1000 North'!T48</f>
        <v>3059.7570068003342</v>
      </c>
      <c r="U70" s="383">
        <f>'1000 North'!U48</f>
        <v>3183.4120541699476</v>
      </c>
      <c r="V70" s="383">
        <f>'1000 North'!V48</f>
        <v>3312.0644169165662</v>
      </c>
      <c r="W70" s="383">
        <f>'1000 North'!W48</f>
        <v>3445.9160533225931</v>
      </c>
      <c r="X70" s="383">
        <f>'1000 North'!X48</f>
        <v>3585.1770834822746</v>
      </c>
      <c r="Y70" s="383">
        <f>'1000 North'!Y48</f>
        <v>3730.0661191479035</v>
      </c>
      <c r="Z70" s="383">
        <f>'1000 North'!Z48</f>
        <v>3880.810606906216</v>
      </c>
      <c r="AA70" s="383">
        <f>'1000 North'!AA48</f>
        <v>4037.6471852236923</v>
      </c>
      <c r="AB70" s="383">
        <f>'1000 North'!AB48</f>
        <v>4200.8220559212614</v>
      </c>
      <c r="AC70" s="383">
        <f>'1000 North'!AC48</f>
        <v>4370.5913706615393</v>
      </c>
      <c r="AD70" s="383">
        <f>'1000 North'!AD48</f>
        <v>4547.2216330553283</v>
      </c>
      <c r="AE70" s="383">
        <f>'1000 North'!AE48</f>
        <v>4730.9901170185658</v>
      </c>
      <c r="AF70" s="383">
        <f>'1000 North'!AF48</f>
        <v>4922.1853020364979</v>
      </c>
      <c r="AG70" s="383">
        <f>'1000 North'!AG48</f>
        <v>5121.1073260183384</v>
      </c>
      <c r="AH70" s="383">
        <f>'1000 North'!AH48</f>
        <v>5328.068456453293</v>
      </c>
      <c r="AI70" s="383">
        <f>'1000 North'!AI48</f>
        <v>5543.3935806075951</v>
      </c>
      <c r="AJ70" s="383">
        <f>'1000 North'!AJ48</f>
        <v>5767.4207155320291</v>
      </c>
      <c r="AK70" s="383">
        <f>'1000 North'!AK48</f>
        <v>6000.5015386805917</v>
      </c>
      <c r="AL70" s="383">
        <f>'1000 North'!AL48</f>
        <v>6243.00193997321</v>
      </c>
    </row>
    <row r="71" spans="1:38">
      <c r="B71" s="385" t="s">
        <v>509</v>
      </c>
      <c r="C71" s="386" t="s">
        <v>443</v>
      </c>
      <c r="D71" s="383">
        <f>'1000 North'!D49</f>
        <v>135.27296115013453</v>
      </c>
      <c r="E71" s="383">
        <f>'1000 North'!E49</f>
        <v>140.73979540581936</v>
      </c>
      <c r="F71" s="383">
        <f>'1000 North'!F49</f>
        <v>146.42756277722097</v>
      </c>
      <c r="G71" s="383">
        <f>'1000 North'!G49</f>
        <v>152.34519191286557</v>
      </c>
      <c r="H71" s="383">
        <f>'1000 North'!H49</f>
        <v>211.33596306390083</v>
      </c>
      <c r="I71" s="383">
        <f>'1000 North'!I49</f>
        <v>219.87675844911902</v>
      </c>
      <c r="J71" s="383">
        <f>'1000 North'!J49</f>
        <v>228.76271603368389</v>
      </c>
      <c r="K71" s="383">
        <f>'1000 North'!K49</f>
        <v>238.00778498022993</v>
      </c>
      <c r="L71" s="383">
        <f>'1000 North'!L49</f>
        <v>247.62647818385918</v>
      </c>
      <c r="M71" s="383">
        <f>'1000 North'!M49</f>
        <v>257.63389505446088</v>
      </c>
      <c r="N71" s="383">
        <f>'1000 North'!N49</f>
        <v>268.04574521974314</v>
      </c>
      <c r="O71" s="383">
        <f>'1000 North'!O49</f>
        <v>278.87837318618136</v>
      </c>
      <c r="P71" s="383">
        <f>'1000 North'!P49</f>
        <v>290.14878399660046</v>
      </c>
      <c r="Q71" s="383">
        <f>'1000 North'!Q49</f>
        <v>301.8746699246646</v>
      </c>
      <c r="R71" s="383">
        <f>'1000 North'!R49</f>
        <v>314.07443824818114</v>
      </c>
      <c r="S71" s="383">
        <f>'1000 North'!S49</f>
        <v>326.76724014481812</v>
      </c>
      <c r="T71" s="383">
        <f>'1000 North'!T49</f>
        <v>339.97300075559269</v>
      </c>
      <c r="U71" s="383">
        <f>'1000 North'!U49</f>
        <v>353.71245046332751</v>
      </c>
      <c r="V71" s="383">
        <f>'1000 North'!V49</f>
        <v>368.00715743517407</v>
      </c>
      <c r="W71" s="383">
        <f>'1000 North'!W49</f>
        <v>382.87956148028815</v>
      </c>
      <c r="X71" s="383">
        <f>'1000 North'!X49</f>
        <v>398.35300927580829</v>
      </c>
      <c r="Y71" s="383">
        <f>'1000 North'!Y49</f>
        <v>414.45179101643373</v>
      </c>
      <c r="Z71" s="383">
        <f>'1000 North'!Z49</f>
        <v>431.20117854513512</v>
      </c>
      <c r="AA71" s="383">
        <f>'1000 North'!AA49</f>
        <v>448.6274650248547</v>
      </c>
      <c r="AB71" s="383">
        <f>'1000 North'!AB49</f>
        <v>466.75800621347344</v>
      </c>
      <c r="AC71" s="383">
        <f>'1000 North'!AC49</f>
        <v>485.62126340683773</v>
      </c>
      <c r="AD71" s="383">
        <f>'1000 North'!AD49</f>
        <v>505.24684811725865</v>
      </c>
      <c r="AE71" s="383">
        <f>'1000 North'!AE49</f>
        <v>525.66556855761837</v>
      </c>
      <c r="AF71" s="383">
        <f>'1000 North'!AF49</f>
        <v>546.90947800405536</v>
      </c>
      <c r="AG71" s="383">
        <f>'1000 North'!AG49</f>
        <v>569.01192511314866</v>
      </c>
      <c r="AH71" s="383">
        <f>'1000 North'!AH49</f>
        <v>592.00760627258808</v>
      </c>
      <c r="AI71" s="383">
        <f>'1000 North'!AI49</f>
        <v>615.93262006751058</v>
      </c>
      <c r="AJ71" s="383">
        <f>'1000 North'!AJ49</f>
        <v>640.82452394800328</v>
      </c>
      <c r="AK71" s="383">
        <f>'1000 North'!AK49</f>
        <v>666.72239318673246</v>
      </c>
      <c r="AL71" s="383">
        <f>'1000 North'!AL49</f>
        <v>693.66688221924551</v>
      </c>
    </row>
    <row r="72" spans="1:38">
      <c r="B72" s="358" t="s">
        <v>769</v>
      </c>
      <c r="C72" s="358" t="s">
        <v>443</v>
      </c>
      <c r="D72" s="383">
        <f>'1000 North'!D50</f>
        <v>0</v>
      </c>
      <c r="E72" s="383">
        <f>'1000 North'!E50</f>
        <v>0</v>
      </c>
      <c r="F72" s="383">
        <f>'1000 North'!F50</f>
        <v>0</v>
      </c>
      <c r="G72" s="383">
        <f>'1000 North'!G50</f>
        <v>0</v>
      </c>
      <c r="H72" s="383">
        <f>'1000 North'!H50</f>
        <v>0</v>
      </c>
      <c r="I72" s="383">
        <f>'1000 North'!I50</f>
        <v>0</v>
      </c>
      <c r="J72" s="383">
        <f>'1000 North'!J50</f>
        <v>0</v>
      </c>
      <c r="K72" s="383">
        <f>'1000 North'!K50</f>
        <v>0</v>
      </c>
      <c r="L72" s="383">
        <f>'1000 North'!L50</f>
        <v>0</v>
      </c>
      <c r="M72" s="383">
        <f>'1000 North'!M50</f>
        <v>0</v>
      </c>
      <c r="N72" s="383">
        <f>'1000 North'!N50</f>
        <v>0</v>
      </c>
      <c r="O72" s="383">
        <f>'1000 North'!O50</f>
        <v>0</v>
      </c>
      <c r="P72" s="383">
        <f>'1000 North'!P50</f>
        <v>0</v>
      </c>
      <c r="Q72" s="383">
        <f>'1000 North'!Q50</f>
        <v>0</v>
      </c>
      <c r="R72" s="383">
        <f>'1000 North'!R50</f>
        <v>0</v>
      </c>
      <c r="S72" s="383">
        <f>'1000 North'!S50</f>
        <v>0</v>
      </c>
      <c r="T72" s="383">
        <f>'1000 North'!T50</f>
        <v>0</v>
      </c>
      <c r="U72" s="383">
        <f>'1000 North'!U50</f>
        <v>0</v>
      </c>
      <c r="V72" s="383">
        <f>'1000 North'!V50</f>
        <v>0</v>
      </c>
      <c r="W72" s="383">
        <f>'1000 North'!W50</f>
        <v>0</v>
      </c>
      <c r="X72" s="383">
        <f>'1000 North'!X50</f>
        <v>0</v>
      </c>
      <c r="Y72" s="383">
        <f>'1000 North'!Y50</f>
        <v>0</v>
      </c>
      <c r="Z72" s="383">
        <f>'1000 North'!Z50</f>
        <v>0</v>
      </c>
      <c r="AA72" s="383">
        <f>'1000 North'!AA50</f>
        <v>0</v>
      </c>
      <c r="AB72" s="383">
        <f>'1000 North'!AB50</f>
        <v>0</v>
      </c>
      <c r="AC72" s="383">
        <f>'1000 North'!AC50</f>
        <v>0</v>
      </c>
      <c r="AD72" s="383">
        <f>'1000 North'!AD50</f>
        <v>0</v>
      </c>
      <c r="AE72" s="383">
        <f>'1000 North'!AE50</f>
        <v>0</v>
      </c>
      <c r="AF72" s="383">
        <f>'1000 North'!AF50</f>
        <v>0</v>
      </c>
      <c r="AG72" s="383">
        <f>'1000 North'!AG50</f>
        <v>0</v>
      </c>
      <c r="AH72" s="383">
        <f>'1000 North'!AH50</f>
        <v>0</v>
      </c>
      <c r="AI72" s="383">
        <f>'1000 North'!AI50</f>
        <v>0</v>
      </c>
      <c r="AJ72" s="383">
        <f>'1000 North'!AJ50</f>
        <v>0</v>
      </c>
      <c r="AK72" s="383">
        <f>'1000 North'!AK50</f>
        <v>0</v>
      </c>
      <c r="AL72" s="383">
        <f>'1000 North'!AL50</f>
        <v>0</v>
      </c>
    </row>
    <row r="73" spans="1:38">
      <c r="D73" s="358"/>
      <c r="F73" s="464"/>
      <c r="G73" s="465"/>
      <c r="H73" s="465"/>
    </row>
    <row r="74" spans="1:38">
      <c r="B74" s="472" t="s">
        <v>512</v>
      </c>
      <c r="C74" s="386" t="s">
        <v>443</v>
      </c>
      <c r="D74" s="383">
        <f>D70*$C59</f>
        <v>2033.1526060865219</v>
      </c>
      <c r="E74" s="383">
        <f t="shared" ref="E74:AK76" si="37">E70*$C59</f>
        <v>2115.3191249494653</v>
      </c>
      <c r="F74" s="383">
        <f t="shared" si="37"/>
        <v>2200.8062685416312</v>
      </c>
      <c r="G74" s="383">
        <f t="shared" si="37"/>
        <v>2289.7482344503692</v>
      </c>
      <c r="H74" s="383">
        <f t="shared" si="37"/>
        <v>3176.3795248504289</v>
      </c>
      <c r="I74" s="383">
        <f t="shared" si="37"/>
        <v>3304.7476794902586</v>
      </c>
      <c r="J74" s="383">
        <f t="shared" si="37"/>
        <v>3438.3036219862684</v>
      </c>
      <c r="K74" s="383">
        <f t="shared" si="37"/>
        <v>3577.2570082528559</v>
      </c>
      <c r="L74" s="383">
        <f t="shared" si="37"/>
        <v>3721.8259671034034</v>
      </c>
      <c r="M74" s="383">
        <f t="shared" si="37"/>
        <v>3872.2374426685469</v>
      </c>
      <c r="N74" s="383">
        <f t="shared" si="37"/>
        <v>4028.7275506527394</v>
      </c>
      <c r="O74" s="383">
        <f t="shared" si="37"/>
        <v>4191.5419489883052</v>
      </c>
      <c r="P74" s="383">
        <f t="shared" si="37"/>
        <v>4360.9362234689042</v>
      </c>
      <c r="Q74" s="383">
        <f t="shared" si="37"/>
        <v>4537.1762889677084</v>
      </c>
      <c r="R74" s="383">
        <f t="shared" si="37"/>
        <v>4720.5388068701614</v>
      </c>
      <c r="S74" s="383">
        <f t="shared" si="37"/>
        <v>4911.3116193766164</v>
      </c>
      <c r="T74" s="383">
        <f t="shared" si="37"/>
        <v>5109.794201356558</v>
      </c>
      <c r="U74" s="383">
        <f t="shared" si="37"/>
        <v>5316.2981304638124</v>
      </c>
      <c r="V74" s="383">
        <f t="shared" si="37"/>
        <v>5531.1475762506652</v>
      </c>
      <c r="W74" s="383">
        <f t="shared" si="37"/>
        <v>5754.67980904873</v>
      </c>
      <c r="X74" s="383">
        <f t="shared" si="37"/>
        <v>5987.2457294153983</v>
      </c>
      <c r="Y74" s="383">
        <f t="shared" si="37"/>
        <v>6229.2104189769989</v>
      </c>
      <c r="Z74" s="383">
        <f t="shared" si="37"/>
        <v>6480.9537135333803</v>
      </c>
      <c r="AA74" s="383">
        <f t="shared" si="37"/>
        <v>6742.8707993235657</v>
      </c>
      <c r="AB74" s="383">
        <f t="shared" si="37"/>
        <v>7015.3728333885065</v>
      </c>
      <c r="AC74" s="383">
        <f t="shared" si="37"/>
        <v>7298.8875890047702</v>
      </c>
      <c r="AD74" s="383">
        <f t="shared" si="37"/>
        <v>7593.860127202398</v>
      </c>
      <c r="AE74" s="383">
        <f t="shared" si="37"/>
        <v>7900.7534954210041</v>
      </c>
      <c r="AF74" s="383">
        <f t="shared" si="37"/>
        <v>8220.0494544009507</v>
      </c>
      <c r="AG74" s="383">
        <f t="shared" si="37"/>
        <v>8552.2492344506245</v>
      </c>
      <c r="AH74" s="383">
        <f t="shared" si="37"/>
        <v>8897.874322276999</v>
      </c>
      <c r="AI74" s="383">
        <f t="shared" si="37"/>
        <v>9257.4672796146842</v>
      </c>
      <c r="AJ74" s="383">
        <f t="shared" si="37"/>
        <v>9631.5925949384891</v>
      </c>
      <c r="AK74" s="383">
        <f t="shared" si="37"/>
        <v>10020.837569596588</v>
      </c>
      <c r="AL74" s="383">
        <f t="shared" ref="AL74" si="38">AL70*$C59</f>
        <v>10425.81323975526</v>
      </c>
    </row>
    <row r="75" spans="1:38">
      <c r="B75" s="472" t="s">
        <v>513</v>
      </c>
      <c r="C75" s="386" t="s">
        <v>443</v>
      </c>
      <c r="D75" s="383">
        <f t="shared" ref="D75:S76" si="39">D71*$C60</f>
        <v>135.27296115013453</v>
      </c>
      <c r="E75" s="383">
        <f t="shared" si="39"/>
        <v>140.73979540581936</v>
      </c>
      <c r="F75" s="383">
        <f t="shared" si="39"/>
        <v>146.42756277722097</v>
      </c>
      <c r="G75" s="383">
        <f t="shared" si="39"/>
        <v>152.34519191286557</v>
      </c>
      <c r="H75" s="383">
        <f t="shared" si="39"/>
        <v>211.33596306390083</v>
      </c>
      <c r="I75" s="383">
        <f t="shared" si="39"/>
        <v>219.87675844911902</v>
      </c>
      <c r="J75" s="383">
        <f t="shared" si="39"/>
        <v>228.76271603368389</v>
      </c>
      <c r="K75" s="383">
        <f t="shared" si="39"/>
        <v>238.00778498022993</v>
      </c>
      <c r="L75" s="383">
        <f t="shared" si="39"/>
        <v>247.62647818385918</v>
      </c>
      <c r="M75" s="383">
        <f t="shared" si="39"/>
        <v>257.63389505446088</v>
      </c>
      <c r="N75" s="383">
        <f t="shared" si="39"/>
        <v>268.04574521974314</v>
      </c>
      <c r="O75" s="383">
        <f t="shared" si="39"/>
        <v>278.87837318618136</v>
      </c>
      <c r="P75" s="383">
        <f t="shared" si="39"/>
        <v>290.14878399660046</v>
      </c>
      <c r="Q75" s="383">
        <f t="shared" si="39"/>
        <v>301.8746699246646</v>
      </c>
      <c r="R75" s="383">
        <f t="shared" si="39"/>
        <v>314.07443824818114</v>
      </c>
      <c r="S75" s="383">
        <f t="shared" si="39"/>
        <v>326.76724014481812</v>
      </c>
      <c r="T75" s="383">
        <f t="shared" si="37"/>
        <v>339.97300075559269</v>
      </c>
      <c r="U75" s="383">
        <f t="shared" si="37"/>
        <v>353.71245046332751</v>
      </c>
      <c r="V75" s="383">
        <f t="shared" si="37"/>
        <v>368.00715743517407</v>
      </c>
      <c r="W75" s="383">
        <f t="shared" si="37"/>
        <v>382.87956148028815</v>
      </c>
      <c r="X75" s="383">
        <f t="shared" si="37"/>
        <v>398.35300927580829</v>
      </c>
      <c r="Y75" s="383">
        <f t="shared" si="37"/>
        <v>414.45179101643373</v>
      </c>
      <c r="Z75" s="383">
        <f t="shared" si="37"/>
        <v>431.20117854513512</v>
      </c>
      <c r="AA75" s="383">
        <f t="shared" si="37"/>
        <v>448.6274650248547</v>
      </c>
      <c r="AB75" s="383">
        <f t="shared" si="37"/>
        <v>466.75800621347344</v>
      </c>
      <c r="AC75" s="383">
        <f t="shared" si="37"/>
        <v>485.62126340683773</v>
      </c>
      <c r="AD75" s="383">
        <f t="shared" si="37"/>
        <v>505.24684811725865</v>
      </c>
      <c r="AE75" s="383">
        <f t="shared" si="37"/>
        <v>525.66556855761837</v>
      </c>
      <c r="AF75" s="383">
        <f t="shared" si="37"/>
        <v>546.90947800405536</v>
      </c>
      <c r="AG75" s="383">
        <f t="shared" si="37"/>
        <v>569.01192511314866</v>
      </c>
      <c r="AH75" s="383">
        <f t="shared" si="37"/>
        <v>592.00760627258808</v>
      </c>
      <c r="AI75" s="383">
        <f t="shared" si="37"/>
        <v>615.93262006751058</v>
      </c>
      <c r="AJ75" s="383">
        <f t="shared" si="37"/>
        <v>640.82452394800328</v>
      </c>
      <c r="AK75" s="383">
        <f t="shared" si="37"/>
        <v>666.72239318673246</v>
      </c>
      <c r="AL75" s="383">
        <f t="shared" ref="AL75" si="40">AL71*$C60</f>
        <v>693.66688221924551</v>
      </c>
    </row>
    <row r="76" spans="1:38">
      <c r="B76" s="472" t="s">
        <v>752</v>
      </c>
      <c r="C76" s="386" t="s">
        <v>443</v>
      </c>
      <c r="D76" s="383">
        <f t="shared" si="39"/>
        <v>0</v>
      </c>
      <c r="E76" s="383">
        <f t="shared" si="37"/>
        <v>0</v>
      </c>
      <c r="F76" s="383">
        <f t="shared" si="37"/>
        <v>0</v>
      </c>
      <c r="G76" s="383">
        <f t="shared" si="37"/>
        <v>0</v>
      </c>
      <c r="H76" s="383">
        <f t="shared" si="37"/>
        <v>0</v>
      </c>
      <c r="I76" s="383">
        <f t="shared" si="37"/>
        <v>0</v>
      </c>
      <c r="J76" s="383">
        <f t="shared" si="37"/>
        <v>0</v>
      </c>
      <c r="K76" s="383">
        <f t="shared" si="37"/>
        <v>0</v>
      </c>
      <c r="L76" s="383">
        <f t="shared" si="37"/>
        <v>0</v>
      </c>
      <c r="M76" s="383">
        <f t="shared" si="37"/>
        <v>0</v>
      </c>
      <c r="N76" s="383">
        <f t="shared" si="37"/>
        <v>0</v>
      </c>
      <c r="O76" s="383">
        <f t="shared" si="37"/>
        <v>0</v>
      </c>
      <c r="P76" s="383">
        <f t="shared" si="37"/>
        <v>0</v>
      </c>
      <c r="Q76" s="383">
        <f t="shared" si="37"/>
        <v>0</v>
      </c>
      <c r="R76" s="383">
        <f t="shared" si="37"/>
        <v>0</v>
      </c>
      <c r="S76" s="383">
        <f t="shared" si="37"/>
        <v>0</v>
      </c>
      <c r="T76" s="383">
        <f t="shared" si="37"/>
        <v>0</v>
      </c>
      <c r="U76" s="383">
        <f t="shared" si="37"/>
        <v>0</v>
      </c>
      <c r="V76" s="383">
        <f t="shared" si="37"/>
        <v>0</v>
      </c>
      <c r="W76" s="383">
        <f t="shared" si="37"/>
        <v>0</v>
      </c>
      <c r="X76" s="383">
        <f t="shared" si="37"/>
        <v>0</v>
      </c>
      <c r="Y76" s="383">
        <f t="shared" si="37"/>
        <v>0</v>
      </c>
      <c r="Z76" s="383">
        <f t="shared" si="37"/>
        <v>0</v>
      </c>
      <c r="AA76" s="383">
        <f t="shared" si="37"/>
        <v>0</v>
      </c>
      <c r="AB76" s="383">
        <f t="shared" si="37"/>
        <v>0</v>
      </c>
      <c r="AC76" s="383">
        <f t="shared" si="37"/>
        <v>0</v>
      </c>
      <c r="AD76" s="383">
        <f t="shared" si="37"/>
        <v>0</v>
      </c>
      <c r="AE76" s="383">
        <f t="shared" si="37"/>
        <v>0</v>
      </c>
      <c r="AF76" s="383">
        <f t="shared" si="37"/>
        <v>0</v>
      </c>
      <c r="AG76" s="383">
        <f t="shared" si="37"/>
        <v>0</v>
      </c>
      <c r="AH76" s="383">
        <f t="shared" si="37"/>
        <v>0</v>
      </c>
      <c r="AI76" s="383">
        <f t="shared" si="37"/>
        <v>0</v>
      </c>
      <c r="AJ76" s="383">
        <f t="shared" si="37"/>
        <v>0</v>
      </c>
      <c r="AK76" s="383">
        <f t="shared" si="37"/>
        <v>0</v>
      </c>
      <c r="AL76" s="383">
        <f t="shared" ref="AL76" si="41">AL72*$C61</f>
        <v>0</v>
      </c>
    </row>
    <row r="77" spans="1:38">
      <c r="D77" s="358"/>
      <c r="F77" s="464"/>
      <c r="G77" s="465"/>
      <c r="H77" s="465"/>
    </row>
    <row r="78" spans="1:38" ht="13">
      <c r="B78" s="364" t="s">
        <v>514</v>
      </c>
      <c r="C78" s="487" t="s">
        <v>292</v>
      </c>
      <c r="D78" s="488">
        <f t="shared" ref="D78:AK78" si="42">D74*D49+D75*D50+D76*D51</f>
        <v>40559.838852372879</v>
      </c>
      <c r="E78" s="488">
        <f t="shared" si="42"/>
        <v>42198.998035094664</v>
      </c>
      <c r="F78" s="488">
        <f t="shared" si="42"/>
        <v>43904.401140433605</v>
      </c>
      <c r="G78" s="488">
        <f t="shared" si="42"/>
        <v>45678.725307577872</v>
      </c>
      <c r="H78" s="488">
        <f t="shared" si="42"/>
        <v>63366.341157190815</v>
      </c>
      <c r="I78" s="488">
        <f t="shared" si="42"/>
        <v>65927.18762310849</v>
      </c>
      <c r="J78" s="488">
        <f t="shared" si="42"/>
        <v>68591.52648739166</v>
      </c>
      <c r="K78" s="488">
        <f t="shared" si="42"/>
        <v>71363.540225117205</v>
      </c>
      <c r="L78" s="488">
        <f t="shared" si="42"/>
        <v>74247.580339213775</v>
      </c>
      <c r="M78" s="488">
        <f t="shared" si="42"/>
        <v>77248.174191444385</v>
      </c>
      <c r="N78" s="488">
        <f t="shared" si="42"/>
        <v>80370.03210945212</v>
      </c>
      <c r="O78" s="488">
        <f t="shared" si="42"/>
        <v>83618.054781025043</v>
      </c>
      <c r="P78" s="488">
        <f t="shared" si="42"/>
        <v>86997.340947188684</v>
      </c>
      <c r="Q78" s="488">
        <f t="shared" si="42"/>
        <v>90513.195406201645</v>
      </c>
      <c r="R78" s="488">
        <f t="shared" si="42"/>
        <v>94171.137341019858</v>
      </c>
      <c r="S78" s="488">
        <f t="shared" si="42"/>
        <v>97976.908983301822</v>
      </c>
      <c r="T78" s="488">
        <f t="shared" si="42"/>
        <v>101936.48462755463</v>
      </c>
      <c r="U78" s="488">
        <f t="shared" si="42"/>
        <v>106056.08000957272</v>
      </c>
      <c r="V78" s="488">
        <f t="shared" si="42"/>
        <v>110342.16206389025</v>
      </c>
      <c r="W78" s="488">
        <f t="shared" si="42"/>
        <v>114801.45907556513</v>
      </c>
      <c r="X78" s="488">
        <f t="shared" si="42"/>
        <v>119440.97124223052</v>
      </c>
      <c r="Y78" s="488">
        <f t="shared" si="42"/>
        <v>124267.98166299443</v>
      </c>
      <c r="Z78" s="488">
        <f t="shared" si="42"/>
        <v>129290.06777143765</v>
      </c>
      <c r="AA78" s="488">
        <f t="shared" si="42"/>
        <v>134515.11323065733</v>
      </c>
      <c r="AB78" s="488">
        <f t="shared" si="42"/>
        <v>139951.32030902922</v>
      </c>
      <c r="AC78" s="488">
        <f t="shared" si="42"/>
        <v>145607.22275611598</v>
      </c>
      <c r="AD78" s="488">
        <f t="shared" si="42"/>
        <v>151491.69919893448</v>
      </c>
      <c r="AE78" s="488">
        <f t="shared" si="42"/>
        <v>157613.98707961061</v>
      </c>
      <c r="AF78" s="488">
        <f t="shared" si="42"/>
        <v>163983.6971563019</v>
      </c>
      <c r="AG78" s="488">
        <f t="shared" si="42"/>
        <v>170610.82859015116</v>
      </c>
      <c r="AH78" s="488">
        <f t="shared" si="42"/>
        <v>177505.78464195397</v>
      </c>
      <c r="AI78" s="488">
        <f t="shared" si="42"/>
        <v>184679.38900318218</v>
      </c>
      <c r="AJ78" s="488">
        <f t="shared" si="42"/>
        <v>192142.90278699744</v>
      </c>
      <c r="AK78" s="488">
        <f t="shared" si="42"/>
        <v>199908.04220593028</v>
      </c>
      <c r="AL78" s="488">
        <f t="shared" ref="AL78" si="43">AL74*AL49+AL75*AL50+AL76*AL51</f>
        <v>207986.99696397191</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4">SUM(E62:E64)-SUM(E74:E76)</f>
        <v>0</v>
      </c>
      <c r="F82" s="383">
        <f t="shared" si="44"/>
        <v>0</v>
      </c>
      <c r="G82" s="383">
        <f t="shared" si="44"/>
        <v>0</v>
      </c>
      <c r="H82" s="383">
        <f t="shared" si="44"/>
        <v>-846.92887197858227</v>
      </c>
      <c r="I82" s="383">
        <f t="shared" si="44"/>
        <v>-881.15610948484482</v>
      </c>
      <c r="J82" s="383">
        <f t="shared" si="44"/>
        <v>-916.7665845049878</v>
      </c>
      <c r="K82" s="383">
        <f t="shared" si="44"/>
        <v>-953.81619830827094</v>
      </c>
      <c r="L82" s="383">
        <f t="shared" si="44"/>
        <v>-992.36311132181572</v>
      </c>
      <c r="M82" s="383">
        <f t="shared" si="44"/>
        <v>-1032.4678344307513</v>
      </c>
      <c r="N82" s="383">
        <f t="shared" si="44"/>
        <v>-1074.1933239681211</v>
      </c>
      <c r="O82" s="383">
        <f t="shared" si="44"/>
        <v>-1117.6050805436203</v>
      </c>
      <c r="P82" s="383">
        <f t="shared" si="44"/>
        <v>-1162.7712518663748</v>
      </c>
      <c r="Q82" s="383">
        <f t="shared" si="44"/>
        <v>-1209.7627397230935</v>
      </c>
      <c r="R82" s="383">
        <f t="shared" si="44"/>
        <v>-1258.6533112795851</v>
      </c>
      <c r="S82" s="383">
        <f t="shared" si="44"/>
        <v>-1309.5197148803572</v>
      </c>
      <c r="T82" s="383">
        <f t="shared" si="44"/>
        <v>-1362.4418005280363</v>
      </c>
      <c r="U82" s="383">
        <f t="shared" si="44"/>
        <v>-1417.5026452317843</v>
      </c>
      <c r="V82" s="383">
        <f t="shared" si="44"/>
        <v>-1474.7886834214596</v>
      </c>
      <c r="W82" s="383">
        <f t="shared" si="44"/>
        <v>-1534.3898426322548</v>
      </c>
      <c r="X82" s="383">
        <f t="shared" si="44"/>
        <v>-1596.3996846728023</v>
      </c>
      <c r="Y82" s="383">
        <f t="shared" si="44"/>
        <v>-1660.9155524983598</v>
      </c>
      <c r="Z82" s="383">
        <f t="shared" si="44"/>
        <v>-1728.0387230196266</v>
      </c>
      <c r="AA82" s="383">
        <f t="shared" si="44"/>
        <v>-1797.8745660871045</v>
      </c>
      <c r="AB82" s="383">
        <f t="shared" si="44"/>
        <v>-1870.5327099004962</v>
      </c>
      <c r="AC82" s="383">
        <f t="shared" si="44"/>
        <v>-1946.1272131029027</v>
      </c>
      <c r="AD82" s="383">
        <f t="shared" si="44"/>
        <v>-2024.7767438299143</v>
      </c>
      <c r="AE82" s="383">
        <f t="shared" si="44"/>
        <v>-2106.6047659946562</v>
      </c>
      <c r="AF82" s="383">
        <f t="shared" ref="AF82:AJ82" si="45">SUM(AF62:AF64)-SUM(AF74:AF76)</f>
        <v>-2191.7397331012535</v>
      </c>
      <c r="AG82" s="383">
        <f t="shared" si="45"/>
        <v>-2280.3152898909457</v>
      </c>
      <c r="AH82" s="383">
        <f t="shared" si="45"/>
        <v>-2372.470482137398</v>
      </c>
      <c r="AI82" s="383">
        <f t="shared" si="45"/>
        <v>-2468.3499749205494</v>
      </c>
      <c r="AJ82" s="383">
        <f t="shared" si="45"/>
        <v>-2568.1042797216242</v>
      </c>
      <c r="AK82" s="383">
        <f t="shared" ref="AK82:AL82" si="46">SUM(AK62:AK64)-SUM(AK74:AK76)</f>
        <v>-2671.8899906958322</v>
      </c>
      <c r="AL82" s="383">
        <f t="shared" si="46"/>
        <v>-2779.8700304936247</v>
      </c>
    </row>
    <row r="83" spans="1:38" ht="13">
      <c r="B83" s="364" t="s">
        <v>813</v>
      </c>
      <c r="C83" s="590" t="s">
        <v>443</v>
      </c>
      <c r="D83" s="383">
        <f>SUM(D55:D57)-SUM(D70:D72)</f>
        <v>0</v>
      </c>
      <c r="E83" s="383">
        <f t="shared" ref="E83:AE83" si="47">SUM(E55:E57)-SUM(E70:E72)</f>
        <v>0</v>
      </c>
      <c r="F83" s="383">
        <f t="shared" si="47"/>
        <v>0</v>
      </c>
      <c r="G83" s="383">
        <f t="shared" si="47"/>
        <v>0</v>
      </c>
      <c r="H83" s="383">
        <f t="shared" si="47"/>
        <v>-528.33990765975204</v>
      </c>
      <c r="I83" s="383">
        <f t="shared" si="47"/>
        <v>-549.69189612279797</v>
      </c>
      <c r="J83" s="383">
        <f t="shared" si="47"/>
        <v>-571.90679008420943</v>
      </c>
      <c r="K83" s="383">
        <f t="shared" si="47"/>
        <v>-595.01946245057457</v>
      </c>
      <c r="L83" s="383">
        <f t="shared" si="47"/>
        <v>-619.06619545964827</v>
      </c>
      <c r="M83" s="383">
        <f t="shared" si="47"/>
        <v>-644.08473763615166</v>
      </c>
      <c r="N83" s="383">
        <f t="shared" si="47"/>
        <v>-670.11436304935842</v>
      </c>
      <c r="O83" s="383">
        <f t="shared" si="47"/>
        <v>-697.19593296545281</v>
      </c>
      <c r="P83" s="383">
        <f t="shared" si="47"/>
        <v>-725.37195999150026</v>
      </c>
      <c r="Q83" s="383">
        <f t="shared" si="47"/>
        <v>-754.68667481166131</v>
      </c>
      <c r="R83" s="383">
        <f t="shared" si="47"/>
        <v>-785.18609562045276</v>
      </c>
      <c r="S83" s="383">
        <f t="shared" si="47"/>
        <v>-816.91810036204424</v>
      </c>
      <c r="T83" s="383">
        <f t="shared" si="47"/>
        <v>-849.93250188898082</v>
      </c>
      <c r="U83" s="383">
        <f t="shared" si="47"/>
        <v>-884.28112615831787</v>
      </c>
      <c r="V83" s="383">
        <f t="shared" si="47"/>
        <v>-920.0178935879353</v>
      </c>
      <c r="W83" s="383">
        <f t="shared" si="47"/>
        <v>-957.19890370072017</v>
      </c>
      <c r="X83" s="383">
        <f t="shared" si="47"/>
        <v>-995.88252318952118</v>
      </c>
      <c r="Y83" s="383">
        <f t="shared" si="47"/>
        <v>-1036.1294775410847</v>
      </c>
      <c r="Z83" s="383">
        <f t="shared" si="47"/>
        <v>-1078.0029463628366</v>
      </c>
      <c r="AA83" s="383">
        <f t="shared" si="47"/>
        <v>-1121.5686625621365</v>
      </c>
      <c r="AB83" s="383">
        <f t="shared" si="47"/>
        <v>-1166.8950155336847</v>
      </c>
      <c r="AC83" s="383">
        <f t="shared" si="47"/>
        <v>-1214.0531585170943</v>
      </c>
      <c r="AD83" s="383">
        <f t="shared" si="47"/>
        <v>-1263.1171202931464</v>
      </c>
      <c r="AE83" s="383">
        <f t="shared" si="47"/>
        <v>-1314.1639213940471</v>
      </c>
      <c r="AF83" s="383">
        <f t="shared" ref="AF83:AJ83" si="48">SUM(AF55:AF57)-SUM(AF70:AF72)</f>
        <v>-1367.2736950101389</v>
      </c>
      <c r="AG83" s="383">
        <f t="shared" si="48"/>
        <v>-1422.5298127828737</v>
      </c>
      <c r="AH83" s="383">
        <f t="shared" si="48"/>
        <v>-1480.0190156814715</v>
      </c>
      <c r="AI83" s="383">
        <f t="shared" si="48"/>
        <v>-1539.8315501687757</v>
      </c>
      <c r="AJ83" s="383">
        <f t="shared" si="48"/>
        <v>-1602.0613098700078</v>
      </c>
      <c r="AK83" s="383">
        <f t="shared" ref="AK83:AL83" si="49">SUM(AK55:AK57)-SUM(AK70:AK72)</f>
        <v>-1666.8059829668318</v>
      </c>
      <c r="AL83" s="383">
        <f t="shared" si="49"/>
        <v>-1734.167205548114</v>
      </c>
    </row>
    <row r="84" spans="1:38">
      <c r="D84" s="358"/>
      <c r="F84" s="464"/>
      <c r="G84" s="465"/>
      <c r="H84" s="465"/>
    </row>
    <row r="85" spans="1:38" ht="13">
      <c r="B85" s="492" t="s">
        <v>284</v>
      </c>
      <c r="C85" s="487" t="s">
        <v>292</v>
      </c>
      <c r="D85" s="488">
        <f>D66-D78</f>
        <v>0</v>
      </c>
      <c r="E85" s="488">
        <f t="shared" ref="E85:AK85" si="50">E66-E78</f>
        <v>0</v>
      </c>
      <c r="F85" s="488">
        <f t="shared" si="50"/>
        <v>0</v>
      </c>
      <c r="G85" s="488">
        <f t="shared" si="50"/>
        <v>0</v>
      </c>
      <c r="H85" s="488">
        <f t="shared" si="50"/>
        <v>-15841.585289297698</v>
      </c>
      <c r="I85" s="488">
        <f t="shared" si="50"/>
        <v>-16481.796905777133</v>
      </c>
      <c r="J85" s="488">
        <f t="shared" si="50"/>
        <v>-17147.881621847911</v>
      </c>
      <c r="K85" s="488">
        <f t="shared" si="50"/>
        <v>-17840.885056279294</v>
      </c>
      <c r="L85" s="488">
        <f t="shared" si="50"/>
        <v>-18561.895084803451</v>
      </c>
      <c r="M85" s="488">
        <f t="shared" si="50"/>
        <v>-19312.043547861089</v>
      </c>
      <c r="N85" s="488">
        <f t="shared" si="50"/>
        <v>-20092.508027363037</v>
      </c>
      <c r="O85" s="488">
        <f t="shared" si="50"/>
        <v>-20904.513695256239</v>
      </c>
      <c r="P85" s="488">
        <f t="shared" si="50"/>
        <v>-21749.33523679716</v>
      </c>
      <c r="Q85" s="488">
        <f t="shared" si="50"/>
        <v>-22628.298851550411</v>
      </c>
      <c r="R85" s="488">
        <f t="shared" si="50"/>
        <v>-23542.784335254968</v>
      </c>
      <c r="S85" s="488">
        <f t="shared" si="50"/>
        <v>-24494.22724582543</v>
      </c>
      <c r="T85" s="488">
        <f t="shared" si="50"/>
        <v>-25484.121156888621</v>
      </c>
      <c r="U85" s="488">
        <f t="shared" si="50"/>
        <v>-26514.020002393168</v>
      </c>
      <c r="V85" s="488">
        <f t="shared" si="50"/>
        <v>-27585.540515972549</v>
      </c>
      <c r="W85" s="488">
        <f t="shared" si="50"/>
        <v>-28700.364768891275</v>
      </c>
      <c r="X85" s="488">
        <f t="shared" si="50"/>
        <v>-29860.24281055764</v>
      </c>
      <c r="Y85" s="488">
        <f t="shared" si="50"/>
        <v>-31066.995415748621</v>
      </c>
      <c r="Z85" s="488">
        <f t="shared" si="50"/>
        <v>-32322.516942859365</v>
      </c>
      <c r="AA85" s="488">
        <f t="shared" si="50"/>
        <v>-33628.778307664325</v>
      </c>
      <c r="AB85" s="488">
        <f t="shared" si="50"/>
        <v>-34987.830077257313</v>
      </c>
      <c r="AC85" s="488">
        <f t="shared" si="50"/>
        <v>-36401.805689029003</v>
      </c>
      <c r="AD85" s="488">
        <f t="shared" si="50"/>
        <v>-37872.924799733606</v>
      </c>
      <c r="AE85" s="488">
        <f t="shared" si="50"/>
        <v>-39403.49676990266</v>
      </c>
      <c r="AF85" s="488">
        <f t="shared" si="50"/>
        <v>-40995.924289075498</v>
      </c>
      <c r="AG85" s="488">
        <f t="shared" si="50"/>
        <v>-42652.707147537832</v>
      </c>
      <c r="AH85" s="488">
        <f t="shared" si="50"/>
        <v>-44376.4461604885</v>
      </c>
      <c r="AI85" s="488">
        <f t="shared" si="50"/>
        <v>-46169.847250795545</v>
      </c>
      <c r="AJ85" s="488">
        <f t="shared" si="50"/>
        <v>-48035.725696749374</v>
      </c>
      <c r="AK85" s="488">
        <f t="shared" si="50"/>
        <v>-49977.010551482643</v>
      </c>
      <c r="AL85" s="488">
        <f t="shared" ref="AL85" si="51">AL66-AL78</f>
        <v>-51996.74924099294</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'1000 North'!D25</f>
        <v>1217.4566503512108</v>
      </c>
      <c r="E112" s="383">
        <f>'1000 North'!E25</f>
        <v>1266.6581586523744</v>
      </c>
      <c r="F112" s="383">
        <f>'1000 North'!F25</f>
        <v>1317.8480649949888</v>
      </c>
      <c r="G112" s="383">
        <f>'1000 North'!G25</f>
        <v>1371.10672721579</v>
      </c>
      <c r="H112" s="383">
        <f>'1000 North'!H25</f>
        <v>1426.5177506813304</v>
      </c>
      <c r="I112" s="383">
        <f>'1000 North'!I25</f>
        <v>1484.168119531553</v>
      </c>
      <c r="J112" s="383">
        <f>'1000 North'!J25</f>
        <v>1544.1483332273663</v>
      </c>
      <c r="K112" s="383">
        <f>'1000 North'!K25</f>
        <v>1606.5525486165525</v>
      </c>
      <c r="L112" s="383">
        <f>'1000 North'!L25</f>
        <v>1671.4787277410492</v>
      </c>
      <c r="M112" s="383">
        <f>'1000 North'!M25</f>
        <v>1739.0287916176114</v>
      </c>
      <c r="N112" s="383">
        <f>'1000 North'!N25</f>
        <v>1809.3087802332661</v>
      </c>
      <c r="O112" s="383">
        <f>'1000 North'!O25</f>
        <v>1882.4290190067247</v>
      </c>
      <c r="P112" s="383">
        <f>'1000 North'!P25</f>
        <v>1958.5042919770535</v>
      </c>
      <c r="Q112" s="383">
        <f>'1000 North'!Q25</f>
        <v>2037.6540219914859</v>
      </c>
      <c r="R112" s="383">
        <f>'1000 North'!R25</f>
        <v>2120.0024581752223</v>
      </c>
      <c r="S112" s="383">
        <f>'1000 North'!S25</f>
        <v>2205.6788709775233</v>
      </c>
      <c r="T112" s="383">
        <f>'1000 North'!T25</f>
        <v>2294.8177551002514</v>
      </c>
      <c r="U112" s="383">
        <f>'1000 North'!U25</f>
        <v>2387.5590406274614</v>
      </c>
      <c r="V112" s="383">
        <f>'1000 North'!V25</f>
        <v>2484.0483126874246</v>
      </c>
      <c r="W112" s="383">
        <f>'1000 North'!W25</f>
        <v>2584.4370399919449</v>
      </c>
      <c r="X112" s="383">
        <f>'1000 North'!X25</f>
        <v>2688.8828126117055</v>
      </c>
      <c r="Y112" s="383">
        <f>'1000 North'!Y25</f>
        <v>2797.5495893609273</v>
      </c>
      <c r="Z112" s="383">
        <f>'1000 North'!Z25</f>
        <v>2910.6079551796629</v>
      </c>
      <c r="AA112" s="383">
        <f>'1000 North'!AA25</f>
        <v>3028.2353889177693</v>
      </c>
      <c r="AB112" s="383">
        <f>'1000 North'!AB25</f>
        <v>3150.6165419409454</v>
      </c>
      <c r="AC112" s="383">
        <f>'1000 North'!AC25</f>
        <v>3277.9435279961544</v>
      </c>
      <c r="AD112" s="383">
        <f>'1000 North'!AD25</f>
        <v>3410.4162247914969</v>
      </c>
      <c r="AE112" s="383">
        <f>'1000 North'!AE25</f>
        <v>3548.2425877639239</v>
      </c>
      <c r="AF112" s="383">
        <f>'1000 North'!AF25</f>
        <v>3691.6389765273725</v>
      </c>
      <c r="AG112" s="383">
        <f>'1000 North'!AG25</f>
        <v>3840.8304945137525</v>
      </c>
      <c r="AH112" s="383">
        <f>'1000 North'!AH25</f>
        <v>3996.0513423399689</v>
      </c>
      <c r="AI112" s="383">
        <f>'1000 North'!AI25</f>
        <v>4157.5451854556968</v>
      </c>
      <c r="AJ112" s="383">
        <f>'1000 North'!AJ25</f>
        <v>4325.5655366490219</v>
      </c>
      <c r="AK112" s="383">
        <f>'1000 North'!AK25</f>
        <v>4500.3761540104424</v>
      </c>
      <c r="AL112" s="383">
        <f>'1000 North'!AL25</f>
        <v>4682.251454979908</v>
      </c>
    </row>
    <row r="113" spans="1:38">
      <c r="B113" s="385" t="s">
        <v>509</v>
      </c>
      <c r="C113" s="386" t="s">
        <v>443</v>
      </c>
      <c r="D113" s="383">
        <f>'1000 North'!D26</f>
        <v>135.27296115013453</v>
      </c>
      <c r="E113" s="383">
        <f>'1000 North'!E26</f>
        <v>140.73979540581936</v>
      </c>
      <c r="F113" s="383">
        <f>'1000 North'!F26</f>
        <v>146.42756277722097</v>
      </c>
      <c r="G113" s="383">
        <f>'1000 North'!G26</f>
        <v>152.34519191286557</v>
      </c>
      <c r="H113" s="383">
        <f>'1000 North'!H26</f>
        <v>158.50197229792559</v>
      </c>
      <c r="I113" s="383">
        <f>'1000 North'!I26</f>
        <v>164.90756883683923</v>
      </c>
      <c r="J113" s="383">
        <f>'1000 North'!J26</f>
        <v>171.57203702526294</v>
      </c>
      <c r="K113" s="383">
        <f>'1000 North'!K26</f>
        <v>178.50583873517252</v>
      </c>
      <c r="L113" s="383">
        <f>'1000 North'!L26</f>
        <v>185.71985863789436</v>
      </c>
      <c r="M113" s="383">
        <f>'1000 North'!M26</f>
        <v>193.2254212908457</v>
      </c>
      <c r="N113" s="383">
        <f>'1000 North'!N26</f>
        <v>201.03430891480735</v>
      </c>
      <c r="O113" s="383">
        <f>'1000 North'!O26</f>
        <v>209.15877988963609</v>
      </c>
      <c r="P113" s="383">
        <f>'1000 North'!P26</f>
        <v>217.61158799745041</v>
      </c>
      <c r="Q113" s="383">
        <f>'1000 North'!Q26</f>
        <v>226.40600244349844</v>
      </c>
      <c r="R113" s="383">
        <f>'1000 North'!R26</f>
        <v>235.55582868613578</v>
      </c>
      <c r="S113" s="383">
        <f>'1000 North'!S26</f>
        <v>245.07543010861369</v>
      </c>
      <c r="T113" s="383">
        <f>'1000 North'!T26</f>
        <v>254.97975056669463</v>
      </c>
      <c r="U113" s="383">
        <f>'1000 North'!U26</f>
        <v>265.28433784749569</v>
      </c>
      <c r="V113" s="383">
        <f>'1000 North'!V26</f>
        <v>276.00536807638053</v>
      </c>
      <c r="W113" s="383">
        <f>'1000 North'!W26</f>
        <v>287.1596711102161</v>
      </c>
      <c r="X113" s="383">
        <f>'1000 North'!X26</f>
        <v>298.76475695685616</v>
      </c>
      <c r="Y113" s="383">
        <f>'1000 North'!Y26</f>
        <v>310.83884326232527</v>
      </c>
      <c r="Z113" s="383">
        <f>'1000 North'!Z26</f>
        <v>323.40088390885148</v>
      </c>
      <c r="AA113" s="383">
        <f>'1000 North'!AA26</f>
        <v>336.47059876864108</v>
      </c>
      <c r="AB113" s="383">
        <f>'1000 North'!AB26</f>
        <v>350.06850466010508</v>
      </c>
      <c r="AC113" s="383">
        <f>'1000 North'!AC26</f>
        <v>364.21594755512831</v>
      </c>
      <c r="AD113" s="383">
        <f>'1000 North'!AD26</f>
        <v>378.9351360879441</v>
      </c>
      <c r="AE113" s="383">
        <f>'1000 North'!AE26</f>
        <v>394.24917641821378</v>
      </c>
      <c r="AF113" s="383">
        <f>'1000 North'!AF26</f>
        <v>410.18210850304143</v>
      </c>
      <c r="AG113" s="383">
        <f>'1000 North'!AG26</f>
        <v>426.75894383486138</v>
      </c>
      <c r="AH113" s="383">
        <f>'1000 North'!AH26</f>
        <v>444.00570470444103</v>
      </c>
      <c r="AI113" s="383">
        <f>'1000 North'!AI26</f>
        <v>461.94946505063302</v>
      </c>
      <c r="AJ113" s="383">
        <f>'1000 North'!AJ26</f>
        <v>480.61839296100243</v>
      </c>
      <c r="AK113" s="383">
        <f>'1000 North'!AK26</f>
        <v>500.04179489004923</v>
      </c>
      <c r="AL113" s="383">
        <f>'1000 North'!AL26</f>
        <v>520.25016166443424</v>
      </c>
    </row>
    <row r="114" spans="1:38">
      <c r="B114" s="358" t="s">
        <v>769</v>
      </c>
      <c r="C114" s="358" t="s">
        <v>443</v>
      </c>
      <c r="D114" s="383">
        <f>'1000 North'!D27</f>
        <v>0</v>
      </c>
      <c r="E114" s="383">
        <f>'1000 North'!E27</f>
        <v>0</v>
      </c>
      <c r="F114" s="383">
        <f>'1000 North'!F27</f>
        <v>0</v>
      </c>
      <c r="G114" s="383">
        <f>'1000 North'!G27</f>
        <v>0</v>
      </c>
      <c r="H114" s="383">
        <f>'1000 North'!H27</f>
        <v>0</v>
      </c>
      <c r="I114" s="383">
        <f>'1000 North'!I27</f>
        <v>0</v>
      </c>
      <c r="J114" s="383">
        <f>'1000 North'!J27</f>
        <v>0</v>
      </c>
      <c r="K114" s="383">
        <f>'1000 North'!K27</f>
        <v>0</v>
      </c>
      <c r="L114" s="383">
        <f>'1000 North'!L27</f>
        <v>0</v>
      </c>
      <c r="M114" s="383">
        <f>'1000 North'!M27</f>
        <v>0</v>
      </c>
      <c r="N114" s="383">
        <f>'1000 North'!N27</f>
        <v>0</v>
      </c>
      <c r="O114" s="383">
        <f>'1000 North'!O27</f>
        <v>0</v>
      </c>
      <c r="P114" s="383">
        <f>'1000 North'!P27</f>
        <v>0</v>
      </c>
      <c r="Q114" s="383">
        <f>'1000 North'!Q27</f>
        <v>0</v>
      </c>
      <c r="R114" s="383">
        <f>'1000 North'!R27</f>
        <v>0</v>
      </c>
      <c r="S114" s="383">
        <f>'1000 North'!S27</f>
        <v>0</v>
      </c>
      <c r="T114" s="383">
        <f>'1000 North'!T27</f>
        <v>0</v>
      </c>
      <c r="U114" s="383">
        <f>'1000 North'!U27</f>
        <v>0</v>
      </c>
      <c r="V114" s="383">
        <f>'1000 North'!V27</f>
        <v>0</v>
      </c>
      <c r="W114" s="383">
        <f>'1000 North'!W27</f>
        <v>0</v>
      </c>
      <c r="X114" s="383">
        <f>'1000 North'!X27</f>
        <v>0</v>
      </c>
      <c r="Y114" s="383">
        <f>'1000 North'!Y27</f>
        <v>0</v>
      </c>
      <c r="Z114" s="383">
        <f>'1000 North'!Z27</f>
        <v>0</v>
      </c>
      <c r="AA114" s="383">
        <f>'1000 North'!AA27</f>
        <v>0</v>
      </c>
      <c r="AB114" s="383">
        <f>'1000 North'!AB27</f>
        <v>0</v>
      </c>
      <c r="AC114" s="383">
        <f>'1000 North'!AC27</f>
        <v>0</v>
      </c>
      <c r="AD114" s="383">
        <f>'1000 North'!AD27</f>
        <v>0</v>
      </c>
      <c r="AE114" s="383">
        <f>'1000 North'!AE27</f>
        <v>0</v>
      </c>
      <c r="AF114" s="383">
        <f>'1000 North'!AF27</f>
        <v>0</v>
      </c>
      <c r="AG114" s="383">
        <f>'1000 North'!AG27</f>
        <v>0</v>
      </c>
      <c r="AH114" s="383">
        <f>'1000 North'!AH27</f>
        <v>0</v>
      </c>
      <c r="AI114" s="383">
        <f>'1000 North'!AI27</f>
        <v>0</v>
      </c>
      <c r="AJ114" s="383">
        <f>'1000 North'!AJ27</f>
        <v>0</v>
      </c>
      <c r="AK114" s="383">
        <f>'1000 North'!AK27</f>
        <v>0</v>
      </c>
      <c r="AL114" s="383">
        <f>'1000 North'!AL27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2">(D$112*D90+D$113*D95+D$114*D100)/Grams.Per.Metric.Ton*D105</f>
        <v>213.49197207851185</v>
      </c>
      <c r="E116" s="582">
        <f t="shared" si="52"/>
        <v>223.94867367303837</v>
      </c>
      <c r="F116" s="582">
        <f t="shared" si="52"/>
        <v>234.80596760152036</v>
      </c>
      <c r="G116" s="582">
        <f t="shared" si="52"/>
        <v>246.07527828654767</v>
      </c>
      <c r="H116" s="582">
        <f t="shared" si="52"/>
        <v>257.76814265028304</v>
      </c>
      <c r="I116" s="582">
        <f t="shared" si="52"/>
        <v>269.89619421843327</v>
      </c>
      <c r="J116" s="582">
        <f t="shared" si="52"/>
        <v>282.47114549984866</v>
      </c>
      <c r="K116" s="582">
        <f t="shared" si="52"/>
        <v>295.50476851796827</v>
      </c>
      <c r="L116" s="582">
        <f t="shared" si="52"/>
        <v>309.00887336277924</v>
      </c>
      <c r="M116" s="582">
        <f t="shared" si="52"/>
        <v>322.99528462388673</v>
      </c>
      <c r="N116" s="582">
        <f t="shared" si="52"/>
        <v>336.88636063138529</v>
      </c>
      <c r="O116" s="582">
        <f t="shared" si="52"/>
        <v>351.2159031502328</v>
      </c>
      <c r="P116" s="582">
        <f t="shared" si="52"/>
        <v>365.99032873617529</v>
      </c>
      <c r="Q116" s="582">
        <f t="shared" si="52"/>
        <v>387.08045579322425</v>
      </c>
      <c r="R116" s="582">
        <f t="shared" si="52"/>
        <v>402.91076362050228</v>
      </c>
      <c r="S116" s="582">
        <f t="shared" si="52"/>
        <v>419.20469195783221</v>
      </c>
      <c r="T116" s="582">
        <f t="shared" si="52"/>
        <v>435.96643526581033</v>
      </c>
      <c r="U116" s="582">
        <f t="shared" si="52"/>
        <v>453.19946980642271</v>
      </c>
      <c r="V116" s="582">
        <f t="shared" si="52"/>
        <v>470.90647661802984</v>
      </c>
      <c r="W116" s="582">
        <f t="shared" si="52"/>
        <v>489.08925894768402</v>
      </c>
      <c r="X116" s="582">
        <f t="shared" si="52"/>
        <v>510.52031347171021</v>
      </c>
      <c r="Y116" s="582">
        <f t="shared" si="52"/>
        <v>539.92985008624726</v>
      </c>
      <c r="Z116" s="582">
        <f t="shared" si="52"/>
        <v>563.1523467662621</v>
      </c>
      <c r="AA116" s="582">
        <f t="shared" si="52"/>
        <v>587.20332484663413</v>
      </c>
      <c r="AB116" s="582">
        <f t="shared" si="52"/>
        <v>612.10508368190483</v>
      </c>
      <c r="AC116" s="582">
        <f t="shared" si="52"/>
        <v>637.88009967016797</v>
      </c>
      <c r="AD116" s="582">
        <f t="shared" si="52"/>
        <v>664.55099314093809</v>
      </c>
      <c r="AE116" s="582">
        <f t="shared" si="52"/>
        <v>692.14049183291775</v>
      </c>
      <c r="AF116" s="582">
        <f t="shared" si="52"/>
        <v>729.46006621872505</v>
      </c>
      <c r="AG116" s="582">
        <f t="shared" si="52"/>
        <v>759.20465864444134</v>
      </c>
      <c r="AH116" s="582">
        <f t="shared" si="52"/>
        <v>789.88666633958246</v>
      </c>
      <c r="AI116" s="582">
        <f t="shared" si="52"/>
        <v>821.80863691625518</v>
      </c>
      <c r="AJ116" s="582">
        <f t="shared" si="52"/>
        <v>855.02068143507915</v>
      </c>
      <c r="AK116" s="582">
        <f t="shared" si="52"/>
        <v>889.57493611277823</v>
      </c>
      <c r="AL116" s="582">
        <f t="shared" si="52"/>
        <v>925.52564416553219</v>
      </c>
    </row>
    <row r="117" spans="1:38">
      <c r="B117" s="478" t="s">
        <v>709</v>
      </c>
      <c r="C117" s="484" t="s">
        <v>292</v>
      </c>
      <c r="D117" s="582">
        <f t="shared" ref="D117:AL117" si="53">(D$112*D91+D$113*D96+D$114*D101)/Grams.Per.Metric.Ton*D106</f>
        <v>196.27682596456285</v>
      </c>
      <c r="E117" s="582">
        <f t="shared" si="53"/>
        <v>192.08462773777188</v>
      </c>
      <c r="F117" s="582">
        <f t="shared" si="53"/>
        <v>187.99956175344192</v>
      </c>
      <c r="G117" s="582">
        <f t="shared" si="53"/>
        <v>181.5839934234431</v>
      </c>
      <c r="H117" s="582">
        <f t="shared" si="53"/>
        <v>173.9317114871605</v>
      </c>
      <c r="I117" s="582">
        <f t="shared" si="53"/>
        <v>164.93662003090941</v>
      </c>
      <c r="J117" s="582">
        <f t="shared" si="53"/>
        <v>155.38356706351354</v>
      </c>
      <c r="K117" s="582">
        <f t="shared" si="53"/>
        <v>143.27577067746796</v>
      </c>
      <c r="L117" s="582">
        <f t="shared" si="53"/>
        <v>129.45384967817034</v>
      </c>
      <c r="M117" s="582">
        <f t="shared" si="53"/>
        <v>114.41520433723666</v>
      </c>
      <c r="N117" s="582">
        <f t="shared" si="53"/>
        <v>110.93313900786325</v>
      </c>
      <c r="O117" s="582">
        <f t="shared" si="53"/>
        <v>106.98276238341172</v>
      </c>
      <c r="P117" s="582">
        <f t="shared" si="53"/>
        <v>102.53190944818517</v>
      </c>
      <c r="Q117" s="582">
        <f t="shared" si="53"/>
        <v>97.546580258478102</v>
      </c>
      <c r="R117" s="582">
        <f t="shared" si="53"/>
        <v>91.990844164541755</v>
      </c>
      <c r="S117" s="582">
        <f t="shared" si="53"/>
        <v>85.826739288022836</v>
      </c>
      <c r="T117" s="582">
        <f t="shared" si="53"/>
        <v>79.014167027763577</v>
      </c>
      <c r="U117" s="582">
        <f t="shared" si="53"/>
        <v>71.510781356371368</v>
      </c>
      <c r="V117" s="582">
        <f t="shared" si="53"/>
        <v>63.271872658752862</v>
      </c>
      <c r="W117" s="582">
        <f t="shared" si="53"/>
        <v>54.250245852306286</v>
      </c>
      <c r="X117" s="582">
        <f t="shared" si="53"/>
        <v>56.098795295173787</v>
      </c>
      <c r="Y117" s="582">
        <f t="shared" si="53"/>
        <v>58.008153275982593</v>
      </c>
      <c r="Z117" s="582">
        <f t="shared" si="53"/>
        <v>59.980215625255461</v>
      </c>
      <c r="AA117" s="582">
        <f t="shared" si="53"/>
        <v>62.016932092366119</v>
      </c>
      <c r="AB117" s="582">
        <f t="shared" si="53"/>
        <v>64.120307607278477</v>
      </c>
      <c r="AC117" s="582">
        <f t="shared" si="53"/>
        <v>66.292403556204988</v>
      </c>
      <c r="AD117" s="582">
        <f t="shared" si="53"/>
        <v>68.53533907024935</v>
      </c>
      <c r="AE117" s="582">
        <f t="shared" si="53"/>
        <v>70.851292325998429</v>
      </c>
      <c r="AF117" s="582">
        <f t="shared" si="53"/>
        <v>73.242501856927262</v>
      </c>
      <c r="AG117" s="582">
        <f t="shared" si="53"/>
        <v>75.711267874363713</v>
      </c>
      <c r="AH117" s="582">
        <f t="shared" si="53"/>
        <v>78.771014251154625</v>
      </c>
      <c r="AI117" s="582">
        <f t="shared" si="53"/>
        <v>81.954415245720853</v>
      </c>
      <c r="AJ117" s="582">
        <f t="shared" si="53"/>
        <v>85.266468156077934</v>
      </c>
      <c r="AK117" s="582">
        <f t="shared" si="53"/>
        <v>88.712372237822365</v>
      </c>
      <c r="AL117" s="582">
        <f t="shared" si="53"/>
        <v>92.29753686591485</v>
      </c>
    </row>
    <row r="118" spans="1:38">
      <c r="B118" s="478" t="s">
        <v>710</v>
      </c>
      <c r="C118" s="484" t="s">
        <v>292</v>
      </c>
      <c r="D118" s="582">
        <f t="shared" ref="D118:AL118" si="54">(D$112*D92+D$113*D97+D$114*D102)/Grams.Per.Metric.Ton*D107</f>
        <v>319.52810443368975</v>
      </c>
      <c r="E118" s="582">
        <f t="shared" si="54"/>
        <v>316.67948710535131</v>
      </c>
      <c r="F118" s="582">
        <f t="shared" si="54"/>
        <v>312.41267731516933</v>
      </c>
      <c r="G118" s="582">
        <f t="shared" si="54"/>
        <v>306.52367088395181</v>
      </c>
      <c r="H118" s="582">
        <f t="shared" si="54"/>
        <v>298.83821619271623</v>
      </c>
      <c r="I118" s="582">
        <f t="shared" si="54"/>
        <v>288.02641363013009</v>
      </c>
      <c r="J118" s="582">
        <f t="shared" si="54"/>
        <v>275.15748526280385</v>
      </c>
      <c r="K118" s="582">
        <f t="shared" si="54"/>
        <v>260.00156011812754</v>
      </c>
      <c r="L118" s="582">
        <f t="shared" si="54"/>
        <v>242.38088464662499</v>
      </c>
      <c r="M118" s="582">
        <f t="shared" si="54"/>
        <v>222.03938264706241</v>
      </c>
      <c r="N118" s="582">
        <f t="shared" si="54"/>
        <v>213.89027787256276</v>
      </c>
      <c r="O118" s="582">
        <f t="shared" si="54"/>
        <v>204.71986431828714</v>
      </c>
      <c r="P118" s="582">
        <f t="shared" si="54"/>
        <v>194.45890239297734</v>
      </c>
      <c r="Q118" s="582">
        <f t="shared" si="54"/>
        <v>183.03422413860298</v>
      </c>
      <c r="R118" s="582">
        <f t="shared" si="54"/>
        <v>170.36852879818079</v>
      </c>
      <c r="S118" s="582">
        <f t="shared" si="54"/>
        <v>156.38016827605529</v>
      </c>
      <c r="T118" s="582">
        <f t="shared" si="54"/>
        <v>140.98292200740391</v>
      </c>
      <c r="U118" s="582">
        <f t="shared" si="54"/>
        <v>124.08576073151245</v>
      </c>
      <c r="V118" s="582">
        <f t="shared" si="54"/>
        <v>105.59259863950042</v>
      </c>
      <c r="W118" s="582">
        <f t="shared" si="54"/>
        <v>85.40203334270592</v>
      </c>
      <c r="X118" s="582">
        <f t="shared" si="54"/>
        <v>86.755077775456002</v>
      </c>
      <c r="Y118" s="582">
        <f t="shared" si="54"/>
        <v>88.078002382546316</v>
      </c>
      <c r="Z118" s="582">
        <f t="shared" si="54"/>
        <v>89.366162832204111</v>
      </c>
      <c r="AA118" s="582">
        <f t="shared" si="54"/>
        <v>90.614588599477656</v>
      </c>
      <c r="AB118" s="582">
        <f t="shared" si="54"/>
        <v>91.817964186420625</v>
      </c>
      <c r="AC118" s="582">
        <f t="shared" si="54"/>
        <v>92.970609357114085</v>
      </c>
      <c r="AD118" s="582">
        <f t="shared" si="54"/>
        <v>94.066458338580475</v>
      </c>
      <c r="AE118" s="582">
        <f t="shared" si="54"/>
        <v>95.099037936270534</v>
      </c>
      <c r="AF118" s="582">
        <f t="shared" si="54"/>
        <v>96.061444510381264</v>
      </c>
      <c r="AG118" s="582">
        <f t="shared" si="54"/>
        <v>96.946319756655541</v>
      </c>
      <c r="AH118" s="582">
        <f t="shared" si="54"/>
        <v>100.86424583221505</v>
      </c>
      <c r="AI118" s="582">
        <f t="shared" si="54"/>
        <v>104.94050844671781</v>
      </c>
      <c r="AJ118" s="582">
        <f t="shared" si="54"/>
        <v>109.18150651098561</v>
      </c>
      <c r="AK118" s="582">
        <f t="shared" si="54"/>
        <v>113.59389753729781</v>
      </c>
      <c r="AL118" s="582">
        <f t="shared" si="54"/>
        <v>118.18460809034342</v>
      </c>
    </row>
    <row r="119" spans="1:38">
      <c r="B119" s="478" t="s">
        <v>711</v>
      </c>
      <c r="C119" s="484" t="s">
        <v>292</v>
      </c>
      <c r="D119" s="582">
        <f t="shared" ref="D119:AL119" si="55">(D$112*D93+D$113*D98+D$114*D103)/Grams.Per.Metric.Ton*D108</f>
        <v>1.2390522738013858</v>
      </c>
      <c r="E119" s="582">
        <f t="shared" si="55"/>
        <v>1.2998819192975009</v>
      </c>
      <c r="F119" s="582">
        <f t="shared" si="55"/>
        <v>1.3662197176460251</v>
      </c>
      <c r="G119" s="582">
        <f t="shared" si="55"/>
        <v>1.4351384528991908</v>
      </c>
      <c r="H119" s="582">
        <f t="shared" si="55"/>
        <v>1.5100749957931394</v>
      </c>
      <c r="I119" s="582">
        <f t="shared" si="55"/>
        <v>1.5740949993135962</v>
      </c>
      <c r="J119" s="582">
        <f t="shared" si="55"/>
        <v>1.6438874512201178</v>
      </c>
      <c r="K119" s="582">
        <f t="shared" si="55"/>
        <v>1.7161505448145877</v>
      </c>
      <c r="L119" s="582">
        <f t="shared" si="55"/>
        <v>1.7909457551708472</v>
      </c>
      <c r="M119" s="582">
        <f t="shared" si="55"/>
        <v>1.8644663243909645</v>
      </c>
      <c r="N119" s="582">
        <f t="shared" si="55"/>
        <v>1.914156313060279</v>
      </c>
      <c r="O119" s="582">
        <f t="shared" si="55"/>
        <v>1.9648174604085422</v>
      </c>
      <c r="P119" s="582">
        <f t="shared" si="55"/>
        <v>2.0164471063553759</v>
      </c>
      <c r="Q119" s="582">
        <f t="shared" si="55"/>
        <v>2.06904078968034</v>
      </c>
      <c r="R119" s="582">
        <f t="shared" si="55"/>
        <v>2.1225921067872542</v>
      </c>
      <c r="S119" s="582">
        <f t="shared" si="55"/>
        <v>2.1770925619945998</v>
      </c>
      <c r="T119" s="582">
        <f t="shared" si="55"/>
        <v>2.2325314088977275</v>
      </c>
      <c r="U119" s="582">
        <f t="shared" si="55"/>
        <v>2.2888954823258163</v>
      </c>
      <c r="V119" s="582">
        <f t="shared" si="55"/>
        <v>2.3461690203923955</v>
      </c>
      <c r="W119" s="582">
        <f t="shared" si="55"/>
        <v>2.4043334761132402</v>
      </c>
      <c r="X119" s="582">
        <f t="shared" si="55"/>
        <v>2.4768480306027096</v>
      </c>
      <c r="Y119" s="582">
        <f t="shared" si="55"/>
        <v>2.5512968461057266</v>
      </c>
      <c r="Z119" s="582">
        <f t="shared" si="55"/>
        <v>2.6277178289579846</v>
      </c>
      <c r="AA119" s="582">
        <f t="shared" si="55"/>
        <v>2.7061487902285402</v>
      </c>
      <c r="AB119" s="582">
        <f t="shared" si="55"/>
        <v>2.7866273761095899</v>
      </c>
      <c r="AC119" s="582">
        <f t="shared" si="55"/>
        <v>2.8691909928354549</v>
      </c>
      <c r="AD119" s="582">
        <f t="shared" si="55"/>
        <v>2.9538767258024055</v>
      </c>
      <c r="AE119" s="582">
        <f t="shared" si="55"/>
        <v>3.0407212525429608</v>
      </c>
      <c r="AF119" s="582">
        <f t="shared" si="55"/>
        <v>3.1297607491903539</v>
      </c>
      <c r="AG119" s="582">
        <f t="shared" si="55"/>
        <v>3.2210307900488537</v>
      </c>
      <c r="AH119" s="582">
        <f t="shared" si="55"/>
        <v>3.3512034521384435</v>
      </c>
      <c r="AI119" s="582">
        <f t="shared" si="55"/>
        <v>3.4866368282851128</v>
      </c>
      <c r="AJ119" s="582">
        <f t="shared" si="55"/>
        <v>3.6275435215957317</v>
      </c>
      <c r="AK119" s="582">
        <f t="shared" si="55"/>
        <v>3.7741447271820951</v>
      </c>
      <c r="AL119" s="582">
        <f t="shared" si="55"/>
        <v>3.9266705793926642</v>
      </c>
    </row>
    <row r="120" spans="1:38">
      <c r="D120" s="358"/>
      <c r="F120" s="464"/>
      <c r="G120" s="465"/>
      <c r="H120" s="465"/>
    </row>
    <row r="121" spans="1:38" ht="13">
      <c r="B121" s="493" t="s">
        <v>463</v>
      </c>
      <c r="C121" s="487" t="s">
        <v>292</v>
      </c>
      <c r="D121" s="488">
        <f t="shared" ref="D121:AL121" si="56">D116</f>
        <v>213.49197207851185</v>
      </c>
      <c r="E121" s="488">
        <f t="shared" si="56"/>
        <v>223.94867367303837</v>
      </c>
      <c r="F121" s="488">
        <f t="shared" si="56"/>
        <v>234.80596760152036</v>
      </c>
      <c r="G121" s="488">
        <f t="shared" si="56"/>
        <v>246.07527828654767</v>
      </c>
      <c r="H121" s="488">
        <f t="shared" si="56"/>
        <v>257.76814265028304</v>
      </c>
      <c r="I121" s="488">
        <f t="shared" si="56"/>
        <v>269.89619421843327</v>
      </c>
      <c r="J121" s="488">
        <f t="shared" si="56"/>
        <v>282.47114549984866</v>
      </c>
      <c r="K121" s="488">
        <f t="shared" si="56"/>
        <v>295.50476851796827</v>
      </c>
      <c r="L121" s="488">
        <f t="shared" si="56"/>
        <v>309.00887336277924</v>
      </c>
      <c r="M121" s="488">
        <f t="shared" si="56"/>
        <v>322.99528462388673</v>
      </c>
      <c r="N121" s="488">
        <f t="shared" si="56"/>
        <v>336.88636063138529</v>
      </c>
      <c r="O121" s="488">
        <f t="shared" si="56"/>
        <v>351.2159031502328</v>
      </c>
      <c r="P121" s="488">
        <f t="shared" si="56"/>
        <v>365.99032873617529</v>
      </c>
      <c r="Q121" s="488">
        <f t="shared" si="56"/>
        <v>387.08045579322425</v>
      </c>
      <c r="R121" s="488">
        <f t="shared" si="56"/>
        <v>402.91076362050228</v>
      </c>
      <c r="S121" s="488">
        <f t="shared" si="56"/>
        <v>419.20469195783221</v>
      </c>
      <c r="T121" s="488">
        <f t="shared" si="56"/>
        <v>435.96643526581033</v>
      </c>
      <c r="U121" s="488">
        <f t="shared" si="56"/>
        <v>453.19946980642271</v>
      </c>
      <c r="V121" s="488">
        <f t="shared" si="56"/>
        <v>470.90647661802984</v>
      </c>
      <c r="W121" s="488">
        <f t="shared" si="56"/>
        <v>489.08925894768402</v>
      </c>
      <c r="X121" s="488">
        <f t="shared" si="56"/>
        <v>510.52031347171021</v>
      </c>
      <c r="Y121" s="488">
        <f t="shared" si="56"/>
        <v>539.92985008624726</v>
      </c>
      <c r="Z121" s="488">
        <f t="shared" si="56"/>
        <v>563.1523467662621</v>
      </c>
      <c r="AA121" s="488">
        <f t="shared" si="56"/>
        <v>587.20332484663413</v>
      </c>
      <c r="AB121" s="488">
        <f t="shared" si="56"/>
        <v>612.10508368190483</v>
      </c>
      <c r="AC121" s="488">
        <f t="shared" si="56"/>
        <v>637.88009967016797</v>
      </c>
      <c r="AD121" s="488">
        <f t="shared" si="56"/>
        <v>664.55099314093809</v>
      </c>
      <c r="AE121" s="488">
        <f t="shared" si="56"/>
        <v>692.14049183291775</v>
      </c>
      <c r="AF121" s="488">
        <f t="shared" si="56"/>
        <v>729.46006621872505</v>
      </c>
      <c r="AG121" s="488">
        <f t="shared" si="56"/>
        <v>759.20465864444134</v>
      </c>
      <c r="AH121" s="488">
        <f t="shared" si="56"/>
        <v>789.88666633958246</v>
      </c>
      <c r="AI121" s="488">
        <f t="shared" si="56"/>
        <v>821.80863691625518</v>
      </c>
      <c r="AJ121" s="488">
        <f t="shared" si="56"/>
        <v>855.02068143507915</v>
      </c>
      <c r="AK121" s="488">
        <f t="shared" si="56"/>
        <v>889.57493611277823</v>
      </c>
      <c r="AL121" s="488">
        <f t="shared" si="56"/>
        <v>925.52564416553219</v>
      </c>
    </row>
    <row r="122" spans="1:38" ht="13">
      <c r="B122" s="494" t="s">
        <v>464</v>
      </c>
      <c r="C122" s="487" t="s">
        <v>292</v>
      </c>
      <c r="D122" s="488">
        <f t="shared" ref="D122:AL122" si="57">SUM(D116:D119)</f>
        <v>730.53595475056579</v>
      </c>
      <c r="E122" s="488">
        <f t="shared" si="57"/>
        <v>734.01267043545909</v>
      </c>
      <c r="F122" s="488">
        <f t="shared" si="57"/>
        <v>736.58442638777763</v>
      </c>
      <c r="G122" s="488">
        <f t="shared" si="57"/>
        <v>735.61808104684178</v>
      </c>
      <c r="H122" s="488">
        <f t="shared" si="57"/>
        <v>732.04814532595299</v>
      </c>
      <c r="I122" s="488">
        <f t="shared" si="57"/>
        <v>724.43332287878638</v>
      </c>
      <c r="J122" s="488">
        <f t="shared" si="57"/>
        <v>714.6560852773863</v>
      </c>
      <c r="K122" s="488">
        <f t="shared" si="57"/>
        <v>700.49824985837836</v>
      </c>
      <c r="L122" s="488">
        <f t="shared" si="57"/>
        <v>682.63455344274541</v>
      </c>
      <c r="M122" s="488">
        <f t="shared" si="57"/>
        <v>661.31433793257679</v>
      </c>
      <c r="N122" s="488">
        <f t="shared" si="57"/>
        <v>663.62393382487164</v>
      </c>
      <c r="O122" s="488">
        <f t="shared" si="57"/>
        <v>664.88334731234022</v>
      </c>
      <c r="P122" s="488">
        <f t="shared" si="57"/>
        <v>664.99758768369315</v>
      </c>
      <c r="Q122" s="488">
        <f t="shared" si="57"/>
        <v>669.73030097998571</v>
      </c>
      <c r="R122" s="488">
        <f t="shared" si="57"/>
        <v>667.39272869001206</v>
      </c>
      <c r="S122" s="488">
        <f t="shared" si="57"/>
        <v>663.58869208390502</v>
      </c>
      <c r="T122" s="488">
        <f t="shared" si="57"/>
        <v>658.19605570987551</v>
      </c>
      <c r="U122" s="488">
        <f t="shared" si="57"/>
        <v>651.08490737663237</v>
      </c>
      <c r="V122" s="488">
        <f t="shared" si="57"/>
        <v>642.11711693667553</v>
      </c>
      <c r="W122" s="488">
        <f t="shared" si="57"/>
        <v>631.14587161880957</v>
      </c>
      <c r="X122" s="488">
        <f t="shared" si="57"/>
        <v>655.85103457294269</v>
      </c>
      <c r="Y122" s="488">
        <f t="shared" si="57"/>
        <v>688.56730259088192</v>
      </c>
      <c r="Z122" s="488">
        <f t="shared" si="57"/>
        <v>715.12644305267975</v>
      </c>
      <c r="AA122" s="488">
        <f t="shared" si="57"/>
        <v>742.54099432870646</v>
      </c>
      <c r="AB122" s="488">
        <f t="shared" si="57"/>
        <v>770.82998285171345</v>
      </c>
      <c r="AC122" s="488">
        <f t="shared" si="57"/>
        <v>800.01230357632255</v>
      </c>
      <c r="AD122" s="488">
        <f t="shared" si="57"/>
        <v>830.10666727557032</v>
      </c>
      <c r="AE122" s="488">
        <f t="shared" si="57"/>
        <v>861.13154334772969</v>
      </c>
      <c r="AF122" s="488">
        <f t="shared" si="57"/>
        <v>901.89377333522395</v>
      </c>
      <c r="AG122" s="488">
        <f t="shared" si="57"/>
        <v>935.08327706550938</v>
      </c>
      <c r="AH122" s="488">
        <f t="shared" si="57"/>
        <v>972.87312987509051</v>
      </c>
      <c r="AI122" s="488">
        <f t="shared" si="57"/>
        <v>1012.1901974369789</v>
      </c>
      <c r="AJ122" s="488">
        <f t="shared" si="57"/>
        <v>1053.0961996237384</v>
      </c>
      <c r="AK122" s="488">
        <f t="shared" si="57"/>
        <v>1095.6553506150806</v>
      </c>
      <c r="AL122" s="488">
        <f t="shared" si="57"/>
        <v>1139.9344597011832</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'1000 North'!D48</f>
        <v>1217.4566503512108</v>
      </c>
      <c r="E126" s="383">
        <f>'1000 North'!E48</f>
        <v>1266.6581586523744</v>
      </c>
      <c r="F126" s="383">
        <f>'1000 North'!F48</f>
        <v>1317.8480649949888</v>
      </c>
      <c r="G126" s="383">
        <f>'1000 North'!G48</f>
        <v>1371.10672721579</v>
      </c>
      <c r="H126" s="383">
        <f>'1000 North'!H48</f>
        <v>1902.0236675751073</v>
      </c>
      <c r="I126" s="383">
        <f>'1000 North'!I48</f>
        <v>1978.890826042071</v>
      </c>
      <c r="J126" s="383">
        <f>'1000 North'!J48</f>
        <v>2058.8644443031549</v>
      </c>
      <c r="K126" s="383">
        <f>'1000 North'!K48</f>
        <v>2142.0700648220695</v>
      </c>
      <c r="L126" s="383">
        <f>'1000 North'!L48</f>
        <v>2228.6383036547327</v>
      </c>
      <c r="M126" s="383">
        <f>'1000 North'!M48</f>
        <v>2318.705055490148</v>
      </c>
      <c r="N126" s="383">
        <f>'1000 North'!N48</f>
        <v>2412.4117069776885</v>
      </c>
      <c r="O126" s="383">
        <f>'1000 North'!O48</f>
        <v>2509.9053586756322</v>
      </c>
      <c r="P126" s="383">
        <f>'1000 North'!P48</f>
        <v>2611.3390559694039</v>
      </c>
      <c r="Q126" s="383">
        <f>'1000 North'!Q48</f>
        <v>2716.8720293219812</v>
      </c>
      <c r="R126" s="383">
        <f>'1000 North'!R48</f>
        <v>2826.6699442336298</v>
      </c>
      <c r="S126" s="383">
        <f>'1000 North'!S48</f>
        <v>2940.905161303363</v>
      </c>
      <c r="T126" s="383">
        <f>'1000 North'!T48</f>
        <v>3059.7570068003342</v>
      </c>
      <c r="U126" s="383">
        <f>'1000 North'!U48</f>
        <v>3183.4120541699476</v>
      </c>
      <c r="V126" s="383">
        <f>'1000 North'!V48</f>
        <v>3312.0644169165662</v>
      </c>
      <c r="W126" s="383">
        <f>'1000 North'!W48</f>
        <v>3445.9160533225931</v>
      </c>
      <c r="X126" s="383">
        <f>'1000 North'!X48</f>
        <v>3585.1770834822746</v>
      </c>
      <c r="Y126" s="383">
        <f>'1000 North'!Y48</f>
        <v>3730.0661191479035</v>
      </c>
      <c r="Z126" s="383">
        <f>'1000 North'!Z48</f>
        <v>3880.810606906216</v>
      </c>
      <c r="AA126" s="383">
        <f>'1000 North'!AA48</f>
        <v>4037.6471852236923</v>
      </c>
      <c r="AB126" s="383">
        <f>'1000 North'!AB48</f>
        <v>4200.8220559212614</v>
      </c>
      <c r="AC126" s="383">
        <f>'1000 North'!AC48</f>
        <v>4370.5913706615393</v>
      </c>
      <c r="AD126" s="383">
        <f>'1000 North'!AD48</f>
        <v>4547.2216330553283</v>
      </c>
      <c r="AE126" s="383">
        <f>'1000 North'!AE48</f>
        <v>4730.9901170185658</v>
      </c>
      <c r="AF126" s="383">
        <f>'1000 North'!AF48</f>
        <v>4922.1853020364979</v>
      </c>
      <c r="AG126" s="383">
        <f>'1000 North'!AG48</f>
        <v>5121.1073260183384</v>
      </c>
      <c r="AH126" s="383">
        <f>'1000 North'!AH48</f>
        <v>5328.068456453293</v>
      </c>
      <c r="AI126" s="383">
        <f>'1000 North'!AI48</f>
        <v>5543.3935806075951</v>
      </c>
      <c r="AJ126" s="383">
        <f>'1000 North'!AJ48</f>
        <v>5767.4207155320291</v>
      </c>
      <c r="AK126" s="383">
        <f>'1000 North'!AK48</f>
        <v>6000.5015386805917</v>
      </c>
      <c r="AL126" s="383">
        <f>'1000 North'!AL48</f>
        <v>6243.00193997321</v>
      </c>
    </row>
    <row r="127" spans="1:38">
      <c r="B127" s="385" t="s">
        <v>509</v>
      </c>
      <c r="C127" s="386" t="s">
        <v>443</v>
      </c>
      <c r="D127" s="383">
        <f>'1000 North'!D49</f>
        <v>135.27296115013453</v>
      </c>
      <c r="E127" s="383">
        <f>'1000 North'!E49</f>
        <v>140.73979540581936</v>
      </c>
      <c r="F127" s="383">
        <f>'1000 North'!F49</f>
        <v>146.42756277722097</v>
      </c>
      <c r="G127" s="383">
        <f>'1000 North'!G49</f>
        <v>152.34519191286557</v>
      </c>
      <c r="H127" s="383">
        <f>'1000 North'!H49</f>
        <v>211.33596306390083</v>
      </c>
      <c r="I127" s="383">
        <f>'1000 North'!I49</f>
        <v>219.87675844911902</v>
      </c>
      <c r="J127" s="383">
        <f>'1000 North'!J49</f>
        <v>228.76271603368389</v>
      </c>
      <c r="K127" s="383">
        <f>'1000 North'!K49</f>
        <v>238.00778498022993</v>
      </c>
      <c r="L127" s="383">
        <f>'1000 North'!L49</f>
        <v>247.62647818385918</v>
      </c>
      <c r="M127" s="383">
        <f>'1000 North'!M49</f>
        <v>257.63389505446088</v>
      </c>
      <c r="N127" s="383">
        <f>'1000 North'!N49</f>
        <v>268.04574521974314</v>
      </c>
      <c r="O127" s="383">
        <f>'1000 North'!O49</f>
        <v>278.87837318618136</v>
      </c>
      <c r="P127" s="383">
        <f>'1000 North'!P49</f>
        <v>290.14878399660046</v>
      </c>
      <c r="Q127" s="383">
        <f>'1000 North'!Q49</f>
        <v>301.8746699246646</v>
      </c>
      <c r="R127" s="383">
        <f>'1000 North'!R49</f>
        <v>314.07443824818114</v>
      </c>
      <c r="S127" s="383">
        <f>'1000 North'!S49</f>
        <v>326.76724014481812</v>
      </c>
      <c r="T127" s="383">
        <f>'1000 North'!T49</f>
        <v>339.97300075559269</v>
      </c>
      <c r="U127" s="383">
        <f>'1000 North'!U49</f>
        <v>353.71245046332751</v>
      </c>
      <c r="V127" s="383">
        <f>'1000 North'!V49</f>
        <v>368.00715743517407</v>
      </c>
      <c r="W127" s="383">
        <f>'1000 North'!W49</f>
        <v>382.87956148028815</v>
      </c>
      <c r="X127" s="383">
        <f>'1000 North'!X49</f>
        <v>398.35300927580829</v>
      </c>
      <c r="Y127" s="383">
        <f>'1000 North'!Y49</f>
        <v>414.45179101643373</v>
      </c>
      <c r="Z127" s="383">
        <f>'1000 North'!Z49</f>
        <v>431.20117854513512</v>
      </c>
      <c r="AA127" s="383">
        <f>'1000 North'!AA49</f>
        <v>448.6274650248547</v>
      </c>
      <c r="AB127" s="383">
        <f>'1000 North'!AB49</f>
        <v>466.75800621347344</v>
      </c>
      <c r="AC127" s="383">
        <f>'1000 North'!AC49</f>
        <v>485.62126340683773</v>
      </c>
      <c r="AD127" s="383">
        <f>'1000 North'!AD49</f>
        <v>505.24684811725865</v>
      </c>
      <c r="AE127" s="383">
        <f>'1000 North'!AE49</f>
        <v>525.66556855761837</v>
      </c>
      <c r="AF127" s="383">
        <f>'1000 North'!AF49</f>
        <v>546.90947800405536</v>
      </c>
      <c r="AG127" s="383">
        <f>'1000 North'!AG49</f>
        <v>569.01192511314866</v>
      </c>
      <c r="AH127" s="383">
        <f>'1000 North'!AH49</f>
        <v>592.00760627258808</v>
      </c>
      <c r="AI127" s="383">
        <f>'1000 North'!AI49</f>
        <v>615.93262006751058</v>
      </c>
      <c r="AJ127" s="383">
        <f>'1000 North'!AJ49</f>
        <v>640.82452394800328</v>
      </c>
      <c r="AK127" s="383">
        <f>'1000 North'!AK49</f>
        <v>666.72239318673246</v>
      </c>
      <c r="AL127" s="383">
        <f>'1000 North'!AL49</f>
        <v>693.66688221924551</v>
      </c>
    </row>
    <row r="128" spans="1:38">
      <c r="B128" s="358" t="s">
        <v>769</v>
      </c>
      <c r="C128" s="358" t="s">
        <v>443</v>
      </c>
      <c r="D128" s="383">
        <f>'1000 North'!D50</f>
        <v>0</v>
      </c>
      <c r="E128" s="383">
        <f>'1000 North'!E50</f>
        <v>0</v>
      </c>
      <c r="F128" s="383">
        <f>'1000 North'!F50</f>
        <v>0</v>
      </c>
      <c r="G128" s="383">
        <f>'1000 North'!G50</f>
        <v>0</v>
      </c>
      <c r="H128" s="383">
        <f>'1000 North'!H50</f>
        <v>0</v>
      </c>
      <c r="I128" s="383">
        <f>'1000 North'!I50</f>
        <v>0</v>
      </c>
      <c r="J128" s="383">
        <f>'1000 North'!J50</f>
        <v>0</v>
      </c>
      <c r="K128" s="383">
        <f>'1000 North'!K50</f>
        <v>0</v>
      </c>
      <c r="L128" s="383">
        <f>'1000 North'!L50</f>
        <v>0</v>
      </c>
      <c r="M128" s="383">
        <f>'1000 North'!M50</f>
        <v>0</v>
      </c>
      <c r="N128" s="383">
        <f>'1000 North'!N50</f>
        <v>0</v>
      </c>
      <c r="O128" s="383">
        <f>'1000 North'!O50</f>
        <v>0</v>
      </c>
      <c r="P128" s="383">
        <f>'1000 North'!P50</f>
        <v>0</v>
      </c>
      <c r="Q128" s="383">
        <f>'1000 North'!Q50</f>
        <v>0</v>
      </c>
      <c r="R128" s="383">
        <f>'1000 North'!R50</f>
        <v>0</v>
      </c>
      <c r="S128" s="383">
        <f>'1000 North'!S50</f>
        <v>0</v>
      </c>
      <c r="T128" s="383">
        <f>'1000 North'!T50</f>
        <v>0</v>
      </c>
      <c r="U128" s="383">
        <f>'1000 North'!U50</f>
        <v>0</v>
      </c>
      <c r="V128" s="383">
        <f>'1000 North'!V50</f>
        <v>0</v>
      </c>
      <c r="W128" s="383">
        <f>'1000 North'!W50</f>
        <v>0</v>
      </c>
      <c r="X128" s="383">
        <f>'1000 North'!X50</f>
        <v>0</v>
      </c>
      <c r="Y128" s="383">
        <f>'1000 North'!Y50</f>
        <v>0</v>
      </c>
      <c r="Z128" s="383">
        <f>'1000 North'!Z50</f>
        <v>0</v>
      </c>
      <c r="AA128" s="383">
        <f>'1000 North'!AA50</f>
        <v>0</v>
      </c>
      <c r="AB128" s="383">
        <f>'1000 North'!AB50</f>
        <v>0</v>
      </c>
      <c r="AC128" s="383">
        <f>'1000 North'!AC50</f>
        <v>0</v>
      </c>
      <c r="AD128" s="383">
        <f>'1000 North'!AD50</f>
        <v>0</v>
      </c>
      <c r="AE128" s="383">
        <f>'1000 North'!AE50</f>
        <v>0</v>
      </c>
      <c r="AF128" s="383">
        <f>'1000 North'!AF50</f>
        <v>0</v>
      </c>
      <c r="AG128" s="383">
        <f>'1000 North'!AG50</f>
        <v>0</v>
      </c>
      <c r="AH128" s="383">
        <f>'1000 North'!AH50</f>
        <v>0</v>
      </c>
      <c r="AI128" s="383">
        <f>'1000 North'!AI50</f>
        <v>0</v>
      </c>
      <c r="AJ128" s="383">
        <f>'1000 North'!AJ50</f>
        <v>0</v>
      </c>
      <c r="AK128" s="383">
        <f>'1000 North'!AK50</f>
        <v>0</v>
      </c>
      <c r="AL128" s="383">
        <f>'1000 North'!AL50</f>
        <v>0</v>
      </c>
    </row>
    <row r="129" spans="1:38">
      <c r="D129" s="358"/>
      <c r="F129" s="464"/>
      <c r="G129" s="465"/>
      <c r="H129" s="465"/>
    </row>
    <row r="130" spans="1:38">
      <c r="B130" s="476" t="s">
        <v>708</v>
      </c>
      <c r="C130" s="484" t="s">
        <v>292</v>
      </c>
      <c r="D130" s="582">
        <f t="shared" ref="D130:AL130" si="58">(D$126*D90+D$127*D95+D$128*D100)/Grams.Per.Metric.Ton*D105</f>
        <v>213.49197207851185</v>
      </c>
      <c r="E130" s="582">
        <f t="shared" si="58"/>
        <v>223.94867367303837</v>
      </c>
      <c r="F130" s="582">
        <f t="shared" si="58"/>
        <v>234.80596760152036</v>
      </c>
      <c r="G130" s="582">
        <f t="shared" si="58"/>
        <v>246.07527828654767</v>
      </c>
      <c r="H130" s="582">
        <f t="shared" si="58"/>
        <v>343.69085686704409</v>
      </c>
      <c r="I130" s="582">
        <f t="shared" si="58"/>
        <v>359.86159229124445</v>
      </c>
      <c r="J130" s="582">
        <f t="shared" si="58"/>
        <v>376.62819399979821</v>
      </c>
      <c r="K130" s="582">
        <f t="shared" si="58"/>
        <v>394.00635802395755</v>
      </c>
      <c r="L130" s="582">
        <f t="shared" si="58"/>
        <v>412.01183115037236</v>
      </c>
      <c r="M130" s="582">
        <f t="shared" si="58"/>
        <v>430.66037949851562</v>
      </c>
      <c r="N130" s="582">
        <f t="shared" si="58"/>
        <v>449.18181417518042</v>
      </c>
      <c r="O130" s="582">
        <f t="shared" si="58"/>
        <v>468.2878708669769</v>
      </c>
      <c r="P130" s="582">
        <f t="shared" si="58"/>
        <v>487.98710498156692</v>
      </c>
      <c r="Q130" s="582">
        <f t="shared" si="58"/>
        <v>516.1072743909657</v>
      </c>
      <c r="R130" s="582">
        <f t="shared" si="58"/>
        <v>537.21435149400315</v>
      </c>
      <c r="S130" s="582">
        <f t="shared" si="58"/>
        <v>558.93958927710946</v>
      </c>
      <c r="T130" s="582">
        <f t="shared" si="58"/>
        <v>581.28858035441351</v>
      </c>
      <c r="U130" s="582">
        <f t="shared" si="58"/>
        <v>604.26595974189684</v>
      </c>
      <c r="V130" s="582">
        <f t="shared" si="58"/>
        <v>627.8753021573732</v>
      </c>
      <c r="W130" s="582">
        <f t="shared" si="58"/>
        <v>652.11901193024539</v>
      </c>
      <c r="X130" s="582">
        <f t="shared" si="58"/>
        <v>680.69375129561377</v>
      </c>
      <c r="Y130" s="582">
        <f t="shared" si="58"/>
        <v>719.90646678166308</v>
      </c>
      <c r="Z130" s="582">
        <f t="shared" si="58"/>
        <v>750.86979568834931</v>
      </c>
      <c r="AA130" s="582">
        <f t="shared" si="58"/>
        <v>782.93776646217873</v>
      </c>
      <c r="AB130" s="582">
        <f t="shared" si="58"/>
        <v>816.14011157587311</v>
      </c>
      <c r="AC130" s="582">
        <f t="shared" si="58"/>
        <v>850.50679956022407</v>
      </c>
      <c r="AD130" s="582">
        <f t="shared" si="58"/>
        <v>886.06799085458397</v>
      </c>
      <c r="AE130" s="582">
        <f t="shared" si="58"/>
        <v>922.85398911055711</v>
      </c>
      <c r="AF130" s="582">
        <f t="shared" si="58"/>
        <v>972.6134216249668</v>
      </c>
      <c r="AG130" s="582">
        <f t="shared" si="58"/>
        <v>1012.2728781925889</v>
      </c>
      <c r="AH130" s="582">
        <f t="shared" si="58"/>
        <v>1053.1822217861099</v>
      </c>
      <c r="AI130" s="582">
        <f t="shared" si="58"/>
        <v>1095.7448492216733</v>
      </c>
      <c r="AJ130" s="582">
        <f t="shared" si="58"/>
        <v>1140.0275752467721</v>
      </c>
      <c r="AK130" s="582">
        <f t="shared" si="58"/>
        <v>1186.0999148170379</v>
      </c>
      <c r="AL130" s="582">
        <f t="shared" si="58"/>
        <v>1234.0341922207094</v>
      </c>
    </row>
    <row r="131" spans="1:38">
      <c r="B131" s="478" t="s">
        <v>709</v>
      </c>
      <c r="C131" s="484" t="s">
        <v>292</v>
      </c>
      <c r="D131" s="582">
        <f t="shared" ref="D131:AL131" si="59">(D$126*D91+D$127*D96+D$128*D101)/Grams.Per.Metric.Ton*D106</f>
        <v>196.27682596456285</v>
      </c>
      <c r="E131" s="582">
        <f t="shared" si="59"/>
        <v>192.08462773777188</v>
      </c>
      <c r="F131" s="582">
        <f t="shared" si="59"/>
        <v>187.99956175344192</v>
      </c>
      <c r="G131" s="582">
        <f t="shared" si="59"/>
        <v>181.5839934234431</v>
      </c>
      <c r="H131" s="582">
        <f t="shared" si="59"/>
        <v>231.90894864954734</v>
      </c>
      <c r="I131" s="582">
        <f t="shared" si="59"/>
        <v>219.91549337454592</v>
      </c>
      <c r="J131" s="582">
        <f t="shared" si="59"/>
        <v>207.178089418018</v>
      </c>
      <c r="K131" s="582">
        <f t="shared" si="59"/>
        <v>191.03436090329058</v>
      </c>
      <c r="L131" s="582">
        <f t="shared" si="59"/>
        <v>172.60513290422716</v>
      </c>
      <c r="M131" s="582">
        <f t="shared" si="59"/>
        <v>152.5536057829822</v>
      </c>
      <c r="N131" s="582">
        <f t="shared" si="59"/>
        <v>147.91085201048429</v>
      </c>
      <c r="O131" s="582">
        <f t="shared" si="59"/>
        <v>142.6436831778822</v>
      </c>
      <c r="P131" s="582">
        <f t="shared" si="59"/>
        <v>136.70921259758018</v>
      </c>
      <c r="Q131" s="582">
        <f t="shared" si="59"/>
        <v>130.06210701130416</v>
      </c>
      <c r="R131" s="582">
        <f t="shared" si="59"/>
        <v>122.65445888605571</v>
      </c>
      <c r="S131" s="582">
        <f t="shared" si="59"/>
        <v>114.43565238403038</v>
      </c>
      <c r="T131" s="582">
        <f t="shared" si="59"/>
        <v>105.35222270368472</v>
      </c>
      <c r="U131" s="582">
        <f t="shared" si="59"/>
        <v>95.347708475161795</v>
      </c>
      <c r="V131" s="582">
        <f t="shared" si="59"/>
        <v>84.362496878337168</v>
      </c>
      <c r="W131" s="582">
        <f t="shared" si="59"/>
        <v>72.333661136408381</v>
      </c>
      <c r="X131" s="582">
        <f t="shared" si="59"/>
        <v>74.798393726898396</v>
      </c>
      <c r="Y131" s="582">
        <f t="shared" si="59"/>
        <v>77.344204367976801</v>
      </c>
      <c r="Z131" s="582">
        <f t="shared" si="59"/>
        <v>79.973620833673905</v>
      </c>
      <c r="AA131" s="582">
        <f t="shared" si="59"/>
        <v>82.689242789821478</v>
      </c>
      <c r="AB131" s="582">
        <f t="shared" si="59"/>
        <v>85.493743476371307</v>
      </c>
      <c r="AC131" s="582">
        <f t="shared" si="59"/>
        <v>88.389871408273294</v>
      </c>
      <c r="AD131" s="582">
        <f t="shared" si="59"/>
        <v>91.380452093665767</v>
      </c>
      <c r="AE131" s="582">
        <f t="shared" si="59"/>
        <v>94.468389767997905</v>
      </c>
      <c r="AF131" s="582">
        <f t="shared" si="59"/>
        <v>97.656669142569712</v>
      </c>
      <c r="AG131" s="582">
        <f t="shared" si="59"/>
        <v>100.94835716581831</v>
      </c>
      <c r="AH131" s="582">
        <f t="shared" si="59"/>
        <v>105.0280190015395</v>
      </c>
      <c r="AI131" s="582">
        <f t="shared" si="59"/>
        <v>109.27255366096111</v>
      </c>
      <c r="AJ131" s="582">
        <f t="shared" si="59"/>
        <v>113.6886242081039</v>
      </c>
      <c r="AK131" s="582">
        <f t="shared" si="59"/>
        <v>118.28316298376318</v>
      </c>
      <c r="AL131" s="582">
        <f t="shared" si="59"/>
        <v>123.06338248788644</v>
      </c>
    </row>
    <row r="132" spans="1:38">
      <c r="B132" s="478" t="s">
        <v>710</v>
      </c>
      <c r="C132" s="484" t="s">
        <v>292</v>
      </c>
      <c r="D132" s="582">
        <f t="shared" ref="D132:AL132" si="60">(D$126*D92+D$127*D97+D$128*D102)/Grams.Per.Metric.Ton*D107</f>
        <v>319.52810443368975</v>
      </c>
      <c r="E132" s="582">
        <f t="shared" si="60"/>
        <v>316.67948710535131</v>
      </c>
      <c r="F132" s="582">
        <f t="shared" si="60"/>
        <v>312.41267731516933</v>
      </c>
      <c r="G132" s="582">
        <f t="shared" si="60"/>
        <v>306.52367088395181</v>
      </c>
      <c r="H132" s="582">
        <f t="shared" si="60"/>
        <v>398.45095492362174</v>
      </c>
      <c r="I132" s="582">
        <f t="shared" si="60"/>
        <v>384.03521817350691</v>
      </c>
      <c r="J132" s="582">
        <f t="shared" si="60"/>
        <v>366.87664701707178</v>
      </c>
      <c r="K132" s="582">
        <f t="shared" si="60"/>
        <v>346.66874682417</v>
      </c>
      <c r="L132" s="582">
        <f t="shared" si="60"/>
        <v>323.17451286216669</v>
      </c>
      <c r="M132" s="582">
        <f t="shared" si="60"/>
        <v>296.05251019608318</v>
      </c>
      <c r="N132" s="582">
        <f t="shared" si="60"/>
        <v>285.18703716341702</v>
      </c>
      <c r="O132" s="582">
        <f t="shared" si="60"/>
        <v>272.95981909104944</v>
      </c>
      <c r="P132" s="582">
        <f t="shared" si="60"/>
        <v>259.27853652396976</v>
      </c>
      <c r="Q132" s="582">
        <f t="shared" si="60"/>
        <v>244.04563218480402</v>
      </c>
      <c r="R132" s="582">
        <f t="shared" si="60"/>
        <v>227.15803839757444</v>
      </c>
      <c r="S132" s="582">
        <f t="shared" si="60"/>
        <v>208.50689103474025</v>
      </c>
      <c r="T132" s="582">
        <f t="shared" si="60"/>
        <v>187.97722934320515</v>
      </c>
      <c r="U132" s="582">
        <f t="shared" si="60"/>
        <v>165.44768097534993</v>
      </c>
      <c r="V132" s="582">
        <f t="shared" si="60"/>
        <v>140.79013151933393</v>
      </c>
      <c r="W132" s="582">
        <f t="shared" si="60"/>
        <v>113.86937779027457</v>
      </c>
      <c r="X132" s="582">
        <f t="shared" si="60"/>
        <v>115.67343703394134</v>
      </c>
      <c r="Y132" s="582">
        <f t="shared" si="60"/>
        <v>117.43733651006175</v>
      </c>
      <c r="Z132" s="582">
        <f t="shared" si="60"/>
        <v>119.15488377627209</v>
      </c>
      <c r="AA132" s="582">
        <f t="shared" si="60"/>
        <v>120.81945146597019</v>
      </c>
      <c r="AB132" s="582">
        <f t="shared" si="60"/>
        <v>122.42395224856084</v>
      </c>
      <c r="AC132" s="582">
        <f t="shared" si="60"/>
        <v>123.96081247615211</v>
      </c>
      <c r="AD132" s="582">
        <f t="shared" si="60"/>
        <v>125.42194445144061</v>
      </c>
      <c r="AE132" s="582">
        <f t="shared" si="60"/>
        <v>126.7987172483607</v>
      </c>
      <c r="AF132" s="582">
        <f t="shared" si="60"/>
        <v>128.08192601384172</v>
      </c>
      <c r="AG132" s="582">
        <f t="shared" si="60"/>
        <v>129.26175967554076</v>
      </c>
      <c r="AH132" s="582">
        <f t="shared" si="60"/>
        <v>134.48566110962008</v>
      </c>
      <c r="AI132" s="582">
        <f t="shared" si="60"/>
        <v>139.92067792895705</v>
      </c>
      <c r="AJ132" s="582">
        <f t="shared" si="60"/>
        <v>145.5753420146475</v>
      </c>
      <c r="AK132" s="582">
        <f t="shared" si="60"/>
        <v>151.45853004973046</v>
      </c>
      <c r="AL132" s="582">
        <f t="shared" si="60"/>
        <v>157.57947745379124</v>
      </c>
    </row>
    <row r="133" spans="1:38">
      <c r="B133" s="478" t="s">
        <v>711</v>
      </c>
      <c r="C133" s="484" t="s">
        <v>292</v>
      </c>
      <c r="D133" s="582">
        <f t="shared" ref="D133:AL133" si="61">(D$126*D93+D$127*D98+D$128*D103)/Grams.Per.Metric.Ton*D108</f>
        <v>1.2390522738013858</v>
      </c>
      <c r="E133" s="582">
        <f t="shared" si="61"/>
        <v>1.2998819192975009</v>
      </c>
      <c r="F133" s="582">
        <f t="shared" si="61"/>
        <v>1.3662197176460251</v>
      </c>
      <c r="G133" s="582">
        <f t="shared" si="61"/>
        <v>1.4351384528991908</v>
      </c>
      <c r="H133" s="582">
        <f t="shared" si="61"/>
        <v>2.0134333277241865</v>
      </c>
      <c r="I133" s="582">
        <f t="shared" si="61"/>
        <v>2.0987933324181287</v>
      </c>
      <c r="J133" s="582">
        <f t="shared" si="61"/>
        <v>2.1918499349601577</v>
      </c>
      <c r="K133" s="582">
        <f t="shared" si="61"/>
        <v>2.2882007264194497</v>
      </c>
      <c r="L133" s="582">
        <f t="shared" si="61"/>
        <v>2.3879276735611299</v>
      </c>
      <c r="M133" s="582">
        <f t="shared" si="61"/>
        <v>2.4859550991879518</v>
      </c>
      <c r="N133" s="582">
        <f t="shared" si="61"/>
        <v>2.5522084174137061</v>
      </c>
      <c r="O133" s="582">
        <f t="shared" si="61"/>
        <v>2.6197566138780557</v>
      </c>
      <c r="P133" s="582">
        <f t="shared" si="61"/>
        <v>2.6885961418071669</v>
      </c>
      <c r="Q133" s="582">
        <f t="shared" si="61"/>
        <v>2.7587210529071196</v>
      </c>
      <c r="R133" s="582">
        <f t="shared" si="61"/>
        <v>2.8301228090496733</v>
      </c>
      <c r="S133" s="582">
        <f t="shared" si="61"/>
        <v>2.902790082659465</v>
      </c>
      <c r="T133" s="582">
        <f t="shared" si="61"/>
        <v>2.9767085451969693</v>
      </c>
      <c r="U133" s="582">
        <f t="shared" si="61"/>
        <v>3.0518606431010875</v>
      </c>
      <c r="V133" s="582">
        <f t="shared" si="61"/>
        <v>3.1282253605231944</v>
      </c>
      <c r="W133" s="582">
        <f t="shared" si="61"/>
        <v>3.2057779681509868</v>
      </c>
      <c r="X133" s="582">
        <f t="shared" si="61"/>
        <v>3.3024640408036134</v>
      </c>
      <c r="Y133" s="582">
        <f t="shared" si="61"/>
        <v>3.4017291281409698</v>
      </c>
      <c r="Z133" s="582">
        <f t="shared" si="61"/>
        <v>3.5036237719439787</v>
      </c>
      <c r="AA133" s="582">
        <f t="shared" si="61"/>
        <v>3.6081983869713863</v>
      </c>
      <c r="AB133" s="582">
        <f t="shared" si="61"/>
        <v>3.7155031681461201</v>
      </c>
      <c r="AC133" s="582">
        <f t="shared" si="61"/>
        <v>3.8255879904472732</v>
      </c>
      <c r="AD133" s="582">
        <f t="shared" si="61"/>
        <v>3.9385023010698723</v>
      </c>
      <c r="AE133" s="582">
        <f t="shared" si="61"/>
        <v>4.0542950033906138</v>
      </c>
      <c r="AF133" s="582">
        <f t="shared" si="61"/>
        <v>4.173014332253806</v>
      </c>
      <c r="AG133" s="582">
        <f t="shared" si="61"/>
        <v>4.2947077200651398</v>
      </c>
      <c r="AH133" s="582">
        <f t="shared" si="61"/>
        <v>4.468271269517925</v>
      </c>
      <c r="AI133" s="582">
        <f t="shared" si="61"/>
        <v>4.6488491043801492</v>
      </c>
      <c r="AJ133" s="582">
        <f t="shared" si="61"/>
        <v>4.8367246954609753</v>
      </c>
      <c r="AK133" s="582">
        <f t="shared" si="61"/>
        <v>5.032192969576128</v>
      </c>
      <c r="AL133" s="582">
        <f t="shared" si="61"/>
        <v>5.2355607725235505</v>
      </c>
    </row>
    <row r="134" spans="1:38">
      <c r="D134" s="358"/>
      <c r="F134" s="464"/>
      <c r="G134" s="465"/>
      <c r="H134" s="465"/>
    </row>
    <row r="135" spans="1:38" ht="13">
      <c r="B135" s="493" t="s">
        <v>465</v>
      </c>
      <c r="C135" s="487" t="s">
        <v>292</v>
      </c>
      <c r="D135" s="488">
        <f t="shared" ref="D135:AL135" si="62">D130</f>
        <v>213.49197207851185</v>
      </c>
      <c r="E135" s="488">
        <f t="shared" si="62"/>
        <v>223.94867367303837</v>
      </c>
      <c r="F135" s="488">
        <f t="shared" si="62"/>
        <v>234.80596760152036</v>
      </c>
      <c r="G135" s="488">
        <f t="shared" si="62"/>
        <v>246.07527828654767</v>
      </c>
      <c r="H135" s="488">
        <f t="shared" si="62"/>
        <v>343.69085686704409</v>
      </c>
      <c r="I135" s="488">
        <f t="shared" si="62"/>
        <v>359.86159229124445</v>
      </c>
      <c r="J135" s="488">
        <f t="shared" si="62"/>
        <v>376.62819399979821</v>
      </c>
      <c r="K135" s="488">
        <f t="shared" si="62"/>
        <v>394.00635802395755</v>
      </c>
      <c r="L135" s="488">
        <f t="shared" si="62"/>
        <v>412.01183115037236</v>
      </c>
      <c r="M135" s="488">
        <f t="shared" si="62"/>
        <v>430.66037949851562</v>
      </c>
      <c r="N135" s="488">
        <f t="shared" si="62"/>
        <v>449.18181417518042</v>
      </c>
      <c r="O135" s="488">
        <f t="shared" si="62"/>
        <v>468.2878708669769</v>
      </c>
      <c r="P135" s="488">
        <f t="shared" si="62"/>
        <v>487.98710498156692</v>
      </c>
      <c r="Q135" s="488">
        <f t="shared" si="62"/>
        <v>516.1072743909657</v>
      </c>
      <c r="R135" s="488">
        <f t="shared" si="62"/>
        <v>537.21435149400315</v>
      </c>
      <c r="S135" s="488">
        <f t="shared" si="62"/>
        <v>558.93958927710946</v>
      </c>
      <c r="T135" s="488">
        <f t="shared" si="62"/>
        <v>581.28858035441351</v>
      </c>
      <c r="U135" s="488">
        <f t="shared" si="62"/>
        <v>604.26595974189684</v>
      </c>
      <c r="V135" s="488">
        <f t="shared" si="62"/>
        <v>627.8753021573732</v>
      </c>
      <c r="W135" s="488">
        <f t="shared" si="62"/>
        <v>652.11901193024539</v>
      </c>
      <c r="X135" s="488">
        <f t="shared" si="62"/>
        <v>680.69375129561377</v>
      </c>
      <c r="Y135" s="488">
        <f t="shared" si="62"/>
        <v>719.90646678166308</v>
      </c>
      <c r="Z135" s="488">
        <f t="shared" si="62"/>
        <v>750.86979568834931</v>
      </c>
      <c r="AA135" s="488">
        <f t="shared" si="62"/>
        <v>782.93776646217873</v>
      </c>
      <c r="AB135" s="488">
        <f t="shared" si="62"/>
        <v>816.14011157587311</v>
      </c>
      <c r="AC135" s="488">
        <f t="shared" si="62"/>
        <v>850.50679956022407</v>
      </c>
      <c r="AD135" s="488">
        <f t="shared" si="62"/>
        <v>886.06799085458397</v>
      </c>
      <c r="AE135" s="488">
        <f t="shared" si="62"/>
        <v>922.85398911055711</v>
      </c>
      <c r="AF135" s="488">
        <f t="shared" si="62"/>
        <v>972.6134216249668</v>
      </c>
      <c r="AG135" s="488">
        <f t="shared" si="62"/>
        <v>1012.2728781925889</v>
      </c>
      <c r="AH135" s="488">
        <f t="shared" si="62"/>
        <v>1053.1822217861099</v>
      </c>
      <c r="AI135" s="488">
        <f t="shared" si="62"/>
        <v>1095.7448492216733</v>
      </c>
      <c r="AJ135" s="488">
        <f t="shared" si="62"/>
        <v>1140.0275752467721</v>
      </c>
      <c r="AK135" s="488">
        <f t="shared" si="62"/>
        <v>1186.0999148170379</v>
      </c>
      <c r="AL135" s="488">
        <f t="shared" si="62"/>
        <v>1234.0341922207094</v>
      </c>
    </row>
    <row r="136" spans="1:38" ht="13">
      <c r="B136" s="494" t="s">
        <v>466</v>
      </c>
      <c r="C136" s="487" t="s">
        <v>292</v>
      </c>
      <c r="D136" s="488">
        <f t="shared" ref="D136:AL136" si="63">SUM(D130:D133)</f>
        <v>730.53595475056579</v>
      </c>
      <c r="E136" s="488">
        <f t="shared" si="63"/>
        <v>734.01267043545909</v>
      </c>
      <c r="F136" s="488">
        <f t="shared" si="63"/>
        <v>736.58442638777763</v>
      </c>
      <c r="G136" s="488">
        <f t="shared" si="63"/>
        <v>735.61808104684178</v>
      </c>
      <c r="H136" s="488">
        <f t="shared" si="63"/>
        <v>976.06419376793747</v>
      </c>
      <c r="I136" s="488">
        <f t="shared" si="63"/>
        <v>965.91109717171537</v>
      </c>
      <c r="J136" s="488">
        <f t="shared" si="63"/>
        <v>952.87478036984817</v>
      </c>
      <c r="K136" s="488">
        <f t="shared" si="63"/>
        <v>933.99766647783747</v>
      </c>
      <c r="L136" s="488">
        <f t="shared" si="63"/>
        <v>910.17940459032729</v>
      </c>
      <c r="M136" s="488">
        <f t="shared" si="63"/>
        <v>881.75245057676898</v>
      </c>
      <c r="N136" s="488">
        <f t="shared" si="63"/>
        <v>884.83191176649541</v>
      </c>
      <c r="O136" s="488">
        <f t="shared" si="63"/>
        <v>886.51112974978662</v>
      </c>
      <c r="P136" s="488">
        <f t="shared" si="63"/>
        <v>886.66345024492387</v>
      </c>
      <c r="Q136" s="488">
        <f t="shared" si="63"/>
        <v>892.9737346399811</v>
      </c>
      <c r="R136" s="488">
        <f t="shared" si="63"/>
        <v>889.85697158668313</v>
      </c>
      <c r="S136" s="488">
        <f t="shared" si="63"/>
        <v>884.78492277853957</v>
      </c>
      <c r="T136" s="488">
        <f t="shared" si="63"/>
        <v>877.59474094650034</v>
      </c>
      <c r="U136" s="488">
        <f t="shared" si="63"/>
        <v>868.11320983550968</v>
      </c>
      <c r="V136" s="488">
        <f t="shared" si="63"/>
        <v>856.15615591556752</v>
      </c>
      <c r="W136" s="488">
        <f t="shared" si="63"/>
        <v>841.52782882507938</v>
      </c>
      <c r="X136" s="488">
        <f t="shared" si="63"/>
        <v>874.46804609725723</v>
      </c>
      <c r="Y136" s="488">
        <f t="shared" si="63"/>
        <v>918.08973678784253</v>
      </c>
      <c r="Z136" s="488">
        <f t="shared" si="63"/>
        <v>953.50192407023928</v>
      </c>
      <c r="AA136" s="488">
        <f t="shared" si="63"/>
        <v>990.05465910494183</v>
      </c>
      <c r="AB136" s="488">
        <f t="shared" si="63"/>
        <v>1027.7733104689514</v>
      </c>
      <c r="AC136" s="488">
        <f t="shared" si="63"/>
        <v>1066.6830714350967</v>
      </c>
      <c r="AD136" s="488">
        <f t="shared" si="63"/>
        <v>1106.8088897007601</v>
      </c>
      <c r="AE136" s="488">
        <f t="shared" si="63"/>
        <v>1148.1753911303063</v>
      </c>
      <c r="AF136" s="488">
        <f t="shared" si="63"/>
        <v>1202.5250311136319</v>
      </c>
      <c r="AG136" s="488">
        <f t="shared" si="63"/>
        <v>1246.7777027540133</v>
      </c>
      <c r="AH136" s="488">
        <f t="shared" si="63"/>
        <v>1297.1641731667874</v>
      </c>
      <c r="AI136" s="488">
        <f t="shared" si="63"/>
        <v>1349.5869299159717</v>
      </c>
      <c r="AJ136" s="488">
        <f t="shared" si="63"/>
        <v>1404.1282661649846</v>
      </c>
      <c r="AK136" s="488">
        <f t="shared" si="63"/>
        <v>1460.8738008201074</v>
      </c>
      <c r="AL136" s="488">
        <f t="shared" si="63"/>
        <v>1519.9126129349106</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4">((D$112*D90+D$113*D95+D$114*D100)-(D$126*D90+D$127*D95+D$128*D100))/Grams.Per.Metric.Ton</f>
        <v>0</v>
      </c>
      <c r="E140" s="474">
        <f t="shared" si="64"/>
        <v>0</v>
      </c>
      <c r="F140" s="474">
        <f t="shared" si="64"/>
        <v>0</v>
      </c>
      <c r="G140" s="474">
        <f t="shared" si="64"/>
        <v>0</v>
      </c>
      <c r="H140" s="474">
        <f t="shared" si="64"/>
        <v>-1.5343341824421612</v>
      </c>
      <c r="I140" s="474">
        <f t="shared" si="64"/>
        <v>-1.5783403170668633</v>
      </c>
      <c r="J140" s="474">
        <f t="shared" si="64"/>
        <v>-1.6233973879301642</v>
      </c>
      <c r="K140" s="474">
        <f t="shared" si="64"/>
        <v>-1.6695184662032081</v>
      </c>
      <c r="L140" s="474">
        <f t="shared" si="64"/>
        <v>-1.7167159631265523</v>
      </c>
      <c r="M140" s="474">
        <f t="shared" si="64"/>
        <v>-1.7650015553217846</v>
      </c>
      <c r="N140" s="474">
        <f t="shared" si="64"/>
        <v>-1.8112169926418569</v>
      </c>
      <c r="O140" s="474">
        <f t="shared" si="64"/>
        <v>-1.8582852018530807</v>
      </c>
      <c r="P140" s="474">
        <f t="shared" si="64"/>
        <v>-1.9061996288342438</v>
      </c>
      <c r="Q140" s="474">
        <f t="shared" si="64"/>
        <v>-1.9549517969354764</v>
      </c>
      <c r="R140" s="474">
        <f t="shared" si="64"/>
        <v>-2.0045311622910575</v>
      </c>
      <c r="S140" s="474">
        <f t="shared" si="64"/>
        <v>-2.0549249605776061</v>
      </c>
      <c r="T140" s="474">
        <f t="shared" si="64"/>
        <v>-2.1061180447623653</v>
      </c>
      <c r="U140" s="474">
        <f t="shared" si="64"/>
        <v>-2.1580927133639149</v>
      </c>
      <c r="V140" s="474">
        <f t="shared" si="64"/>
        <v>-2.2108285287231451</v>
      </c>
      <c r="W140" s="474">
        <f t="shared" si="64"/>
        <v>-2.2643021247577964</v>
      </c>
      <c r="X140" s="474">
        <f t="shared" si="64"/>
        <v>-2.3311429838890891</v>
      </c>
      <c r="Y140" s="474">
        <f t="shared" si="64"/>
        <v>-2.3996882226055449</v>
      </c>
      <c r="Z140" s="474">
        <f t="shared" si="64"/>
        <v>-2.4699664331853577</v>
      </c>
      <c r="AA140" s="474">
        <f t="shared" si="64"/>
        <v>-2.5420057352668133</v>
      </c>
      <c r="AB140" s="474">
        <f t="shared" si="64"/>
        <v>-2.6158336909483113</v>
      </c>
      <c r="AC140" s="474">
        <f t="shared" si="64"/>
        <v>-2.6914772137981782</v>
      </c>
      <c r="AD140" s="474">
        <f t="shared" si="64"/>
        <v>-2.7689624714205721</v>
      </c>
      <c r="AE140" s="474">
        <f t="shared" si="64"/>
        <v>-2.8483147812054233</v>
      </c>
      <c r="AF140" s="474">
        <f t="shared" si="64"/>
        <v>-2.9295584988703838</v>
      </c>
      <c r="AG140" s="474">
        <f t="shared" si="64"/>
        <v>-3.0127168993827085</v>
      </c>
      <c r="AH140" s="474">
        <f t="shared" si="64"/>
        <v>-3.1344708981729483</v>
      </c>
      <c r="AI140" s="474">
        <f t="shared" si="64"/>
        <v>-3.2611453845883123</v>
      </c>
      <c r="AJ140" s="474">
        <f t="shared" si="64"/>
        <v>-3.3929392120439652</v>
      </c>
      <c r="AK140" s="474">
        <f t="shared" si="64"/>
        <v>-3.5300592702888065</v>
      </c>
      <c r="AL140" s="474">
        <f t="shared" si="64"/>
        <v>-3.6727208101806808</v>
      </c>
    </row>
    <row r="141" spans="1:38" ht="13">
      <c r="B141" s="494" t="s">
        <v>815</v>
      </c>
      <c r="C141" s="387" t="s">
        <v>818</v>
      </c>
      <c r="D141" s="541">
        <f t="shared" ref="D141:AL141" si="65">((D$112*D91+D$113*D96+D$114*D101)-(D$126*D91+D$127*D96+D$128*D101))/Grams.Per.Metric.Ton</f>
        <v>0</v>
      </c>
      <c r="E141" s="541">
        <f t="shared" si="65"/>
        <v>0</v>
      </c>
      <c r="F141" s="541">
        <f t="shared" si="65"/>
        <v>0</v>
      </c>
      <c r="G141" s="541">
        <f t="shared" si="65"/>
        <v>0</v>
      </c>
      <c r="H141" s="541">
        <f t="shared" si="65"/>
        <v>-3.4510260215706457E-3</v>
      </c>
      <c r="I141" s="541">
        <f t="shared" si="65"/>
        <v>-3.2340513731550892E-3</v>
      </c>
      <c r="J141" s="541">
        <f t="shared" si="65"/>
        <v>-2.9939030262719352E-3</v>
      </c>
      <c r="K141" s="541">
        <f t="shared" si="65"/>
        <v>-2.7290622986184333E-3</v>
      </c>
      <c r="L141" s="541">
        <f t="shared" si="65"/>
        <v>-2.4379256059919099E-3</v>
      </c>
      <c r="M141" s="541">
        <f t="shared" si="65"/>
        <v>-2.1188000803191963E-3</v>
      </c>
      <c r="N141" s="541">
        <f t="shared" si="65"/>
        <v>-2.0543173890345033E-3</v>
      </c>
      <c r="O141" s="541">
        <f t="shared" si="65"/>
        <v>-1.9811622663594725E-3</v>
      </c>
      <c r="P141" s="541">
        <f t="shared" si="65"/>
        <v>-1.8987390638552778E-3</v>
      </c>
      <c r="Q141" s="541">
        <f t="shared" si="65"/>
        <v>-1.8064181529347807E-3</v>
      </c>
      <c r="R141" s="541">
        <f t="shared" si="65"/>
        <v>-1.7035341511952191E-3</v>
      </c>
      <c r="S141" s="541">
        <f t="shared" si="65"/>
        <v>-1.5893840608893087E-3</v>
      </c>
      <c r="T141" s="541">
        <f t="shared" si="65"/>
        <v>-1.463225315328952E-3</v>
      </c>
      <c r="U141" s="541">
        <f t="shared" si="65"/>
        <v>-1.3242737288216904E-3</v>
      </c>
      <c r="V141" s="541">
        <f t="shared" si="65"/>
        <v>-1.1717013455324614E-3</v>
      </c>
      <c r="W141" s="541">
        <f t="shared" si="65"/>
        <v>-1.0046341824501163E-3</v>
      </c>
      <c r="X141" s="541">
        <f t="shared" si="65"/>
        <v>-1.0388665795402563E-3</v>
      </c>
      <c r="Y141" s="541">
        <f t="shared" si="65"/>
        <v>-1.0742250606663446E-3</v>
      </c>
      <c r="Z141" s="541">
        <f t="shared" si="65"/>
        <v>-1.1107447338010252E-3</v>
      </c>
      <c r="AA141" s="541">
        <f t="shared" si="65"/>
        <v>-1.1484617054141868E-3</v>
      </c>
      <c r="AB141" s="541">
        <f t="shared" si="65"/>
        <v>-1.1874131038384903E-3</v>
      </c>
      <c r="AC141" s="541">
        <f t="shared" si="65"/>
        <v>-1.2276371028926841E-3</v>
      </c>
      <c r="AD141" s="541">
        <f t="shared" si="65"/>
        <v>-1.2691729457453571E-3</v>
      </c>
      <c r="AE141" s="541">
        <f t="shared" si="65"/>
        <v>-1.3120609689999706E-3</v>
      </c>
      <c r="AF141" s="541">
        <f t="shared" si="65"/>
        <v>-1.3563426269801357E-3</v>
      </c>
      <c r="AG141" s="541">
        <f t="shared" si="65"/>
        <v>-1.402060516191922E-3</v>
      </c>
      <c r="AH141" s="541">
        <f t="shared" si="65"/>
        <v>-1.458722486132494E-3</v>
      </c>
      <c r="AI141" s="541">
        <f t="shared" si="65"/>
        <v>-1.5176743564022364E-3</v>
      </c>
      <c r="AJ141" s="541">
        <f t="shared" si="65"/>
        <v>-1.5790086695569988E-3</v>
      </c>
      <c r="AK141" s="541">
        <f t="shared" si="65"/>
        <v>-1.6428217081078228E-3</v>
      </c>
      <c r="AL141" s="541">
        <f t="shared" si="65"/>
        <v>-1.7092136456650887E-3</v>
      </c>
    </row>
    <row r="142" spans="1:38" ht="13">
      <c r="B142" s="494" t="s">
        <v>816</v>
      </c>
      <c r="C142" s="387" t="s">
        <v>818</v>
      </c>
      <c r="D142" s="541">
        <f t="shared" ref="D142:AL142" si="66">((D$112*D92+D$113*D97+D$114*D102)-(D$126*D92+D$127*D97+D$128*D102))/Grams.Per.Metric.Ton</f>
        <v>0</v>
      </c>
      <c r="E142" s="541">
        <f t="shared" si="66"/>
        <v>0</v>
      </c>
      <c r="F142" s="541">
        <f t="shared" si="66"/>
        <v>0</v>
      </c>
      <c r="G142" s="541">
        <f t="shared" si="66"/>
        <v>0</v>
      </c>
      <c r="H142" s="541">
        <f t="shared" si="66"/>
        <v>-1.2504737475634635E-4</v>
      </c>
      <c r="I142" s="541">
        <f t="shared" si="66"/>
        <v>-1.1889635237569876E-4</v>
      </c>
      <c r="J142" s="541">
        <f t="shared" si="66"/>
        <v>-1.1204393080169547E-4</v>
      </c>
      <c r="K142" s="541">
        <f t="shared" si="66"/>
        <v>-1.0444346433603568E-4</v>
      </c>
      <c r="L142" s="541">
        <f t="shared" si="66"/>
        <v>-9.6045682614766638E-5</v>
      </c>
      <c r="M142" s="541">
        <f t="shared" si="66"/>
        <v>-8.6798554648787109E-5</v>
      </c>
      <c r="N142" s="541">
        <f t="shared" si="66"/>
        <v>-8.3612946277535169E-5</v>
      </c>
      <c r="O142" s="541">
        <f t="shared" si="66"/>
        <v>-8.0028092849492567E-5</v>
      </c>
      <c r="P142" s="541">
        <f t="shared" si="66"/>
        <v>-7.6016927560680647E-5</v>
      </c>
      <c r="Q142" s="541">
        <f t="shared" si="66"/>
        <v>-7.1550847949104058E-5</v>
      </c>
      <c r="R142" s="541">
        <f t="shared" si="66"/>
        <v>-6.6599635979117667E-5</v>
      </c>
      <c r="S142" s="541">
        <f t="shared" si="66"/>
        <v>-6.1131374174604164E-5</v>
      </c>
      <c r="T142" s="541">
        <f t="shared" si="66"/>
        <v>-5.511235761205728E-5</v>
      </c>
      <c r="U142" s="541">
        <f t="shared" si="66"/>
        <v>-4.850700157597919E-5</v>
      </c>
      <c r="V142" s="541">
        <f t="shared" si="66"/>
        <v>-4.1277744669676893E-5</v>
      </c>
      <c r="W142" s="541">
        <f t="shared" si="66"/>
        <v>-3.3384947164968511E-5</v>
      </c>
      <c r="X142" s="541">
        <f t="shared" si="66"/>
        <v>-3.3913872708438317E-5</v>
      </c>
      <c r="Y142" s="541">
        <f t="shared" si="66"/>
        <v>-3.4431023956274731E-5</v>
      </c>
      <c r="Z142" s="541">
        <f t="shared" si="66"/>
        <v>-3.4934585368908159E-5</v>
      </c>
      <c r="AA142" s="541">
        <f t="shared" si="66"/>
        <v>-3.5422613892919599E-5</v>
      </c>
      <c r="AB142" s="541">
        <f t="shared" si="66"/>
        <v>-3.589303161972583E-5</v>
      </c>
      <c r="AC142" s="541">
        <f t="shared" si="66"/>
        <v>-3.6343618059150958E-5</v>
      </c>
      <c r="AD142" s="541">
        <f t="shared" si="66"/>
        <v>-3.6772002008748812E-5</v>
      </c>
      <c r="AE142" s="541">
        <f t="shared" si="66"/>
        <v>-3.7175652998815735E-5</v>
      </c>
      <c r="AF142" s="541">
        <f t="shared" si="66"/>
        <v>-3.7551872292084484E-5</v>
      </c>
      <c r="AG142" s="541">
        <f t="shared" si="66"/>
        <v>-3.7897783416072743E-5</v>
      </c>
      <c r="AH142" s="541">
        <f t="shared" si="66"/>
        <v>-3.9429360006338723E-5</v>
      </c>
      <c r="AI142" s="541">
        <f t="shared" si="66"/>
        <v>-4.1022832745677544E-5</v>
      </c>
      <c r="AJ142" s="541">
        <f t="shared" si="66"/>
        <v>-4.2680703065159949E-5</v>
      </c>
      <c r="AK142" s="541">
        <f t="shared" si="66"/>
        <v>-4.4405573487079439E-5</v>
      </c>
      <c r="AL142" s="541">
        <f t="shared" si="66"/>
        <v>-4.6200151710387957E-5</v>
      </c>
    </row>
    <row r="143" spans="1:38" ht="13">
      <c r="B143" s="494" t="s">
        <v>817</v>
      </c>
      <c r="C143" s="387" t="s">
        <v>818</v>
      </c>
      <c r="D143" s="541">
        <f t="shared" ref="D143:AL143" si="67">((D$112*D93+D$113*D98+D$114*D103)-(D$126*D93+D$127*D98+D$128*D103))/Grams.Per.Metric.Ton</f>
        <v>0</v>
      </c>
      <c r="E143" s="541">
        <f t="shared" si="67"/>
        <v>0</v>
      </c>
      <c r="F143" s="541">
        <f t="shared" si="67"/>
        <v>0</v>
      </c>
      <c r="G143" s="541">
        <f t="shared" si="67"/>
        <v>0</v>
      </c>
      <c r="H143" s="541">
        <f t="shared" si="67"/>
        <v>-1.1210653272406389E-5</v>
      </c>
      <c r="I143" s="541">
        <f t="shared" si="67"/>
        <v>-1.1531831496802916E-5</v>
      </c>
      <c r="J143" s="541">
        <f t="shared" si="67"/>
        <v>-1.1860659821212977E-5</v>
      </c>
      <c r="K143" s="541">
        <f t="shared" si="67"/>
        <v>-1.2197232017161233E-5</v>
      </c>
      <c r="L143" s="541">
        <f t="shared" si="67"/>
        <v>-1.2541636940972332E-5</v>
      </c>
      <c r="M143" s="541">
        <f t="shared" si="67"/>
        <v>-1.2893957983339987E-5</v>
      </c>
      <c r="N143" s="541">
        <f t="shared" si="67"/>
        <v>-1.3237595526004711E-5</v>
      </c>
      <c r="O143" s="541">
        <f t="shared" si="67"/>
        <v>-1.3587949242106084E-5</v>
      </c>
      <c r="P143" s="541">
        <f t="shared" si="67"/>
        <v>-1.3945000735514334E-5</v>
      </c>
      <c r="Q143" s="541">
        <f t="shared" si="67"/>
        <v>-1.4308719154082567E-5</v>
      </c>
      <c r="R143" s="541">
        <f t="shared" si="67"/>
        <v>-1.4679060212913256E-5</v>
      </c>
      <c r="S143" s="541">
        <f t="shared" si="67"/>
        <v>-1.5055965159022108E-5</v>
      </c>
      <c r="T143" s="541">
        <f t="shared" si="67"/>
        <v>-1.5439359674258129E-5</v>
      </c>
      <c r="U143" s="541">
        <f t="shared" si="67"/>
        <v>-1.5829152713179908E-5</v>
      </c>
      <c r="V143" s="541">
        <f t="shared" si="67"/>
        <v>-1.6225235272423218E-5</v>
      </c>
      <c r="W143" s="541">
        <f t="shared" si="67"/>
        <v>-1.6627479087920057E-5</v>
      </c>
      <c r="X143" s="541">
        <f t="shared" si="67"/>
        <v>-1.7128962867238668E-5</v>
      </c>
      <c r="Y143" s="541">
        <f t="shared" si="67"/>
        <v>-1.7643823278739476E-5</v>
      </c>
      <c r="Z143" s="541">
        <f t="shared" si="67"/>
        <v>-1.8172322468589088E-5</v>
      </c>
      <c r="AA143" s="541">
        <f t="shared" si="67"/>
        <v>-1.8714721924125441E-5</v>
      </c>
      <c r="AB143" s="541">
        <f t="shared" si="67"/>
        <v>-1.9271281992459137E-5</v>
      </c>
      <c r="AC143" s="541">
        <f t="shared" si="67"/>
        <v>-1.9842261361241044E-5</v>
      </c>
      <c r="AD143" s="541">
        <f t="shared" si="67"/>
        <v>-2.042791649932505E-5</v>
      </c>
      <c r="AE143" s="541">
        <f t="shared" si="67"/>
        <v>-2.1028501054930581E-5</v>
      </c>
      <c r="AF143" s="541">
        <f t="shared" si="67"/>
        <v>-2.1644265208785313E-5</v>
      </c>
      <c r="AG143" s="541">
        <f t="shared" si="67"/>
        <v>-2.2275454979590989E-5</v>
      </c>
      <c r="AH143" s="541">
        <f t="shared" si="67"/>
        <v>-2.3175680858495469E-5</v>
      </c>
      <c r="AI143" s="541">
        <f t="shared" si="67"/>
        <v>-2.4112287885789144E-5</v>
      </c>
      <c r="AJ143" s="541">
        <f t="shared" si="67"/>
        <v>-2.5086746345751948E-5</v>
      </c>
      <c r="AK143" s="541">
        <f t="shared" si="67"/>
        <v>-2.6100585941784913E-5</v>
      </c>
      <c r="AL143" s="541">
        <f t="shared" si="67"/>
        <v>-2.7155398197736232E-5</v>
      </c>
    </row>
    <row r="144" spans="1:38">
      <c r="D144" s="358"/>
      <c r="F144" s="464"/>
      <c r="G144" s="465"/>
      <c r="H144" s="465"/>
    </row>
    <row r="145" spans="1:38" ht="13">
      <c r="B145" s="492" t="s">
        <v>284</v>
      </c>
      <c r="C145" s="487" t="s">
        <v>292</v>
      </c>
      <c r="D145" s="583">
        <f t="shared" ref="D145:AL145" si="68">D122-D136</f>
        <v>0</v>
      </c>
      <c r="E145" s="583">
        <f t="shared" si="68"/>
        <v>0</v>
      </c>
      <c r="F145" s="583">
        <f t="shared" si="68"/>
        <v>0</v>
      </c>
      <c r="G145" s="583">
        <f t="shared" si="68"/>
        <v>0</v>
      </c>
      <c r="H145" s="583">
        <f t="shared" si="68"/>
        <v>-244.01604844198448</v>
      </c>
      <c r="I145" s="583">
        <f t="shared" si="68"/>
        <v>-241.47777429292898</v>
      </c>
      <c r="J145" s="583">
        <f t="shared" si="68"/>
        <v>-238.21869509246187</v>
      </c>
      <c r="K145" s="583">
        <f t="shared" si="68"/>
        <v>-233.49941661945911</v>
      </c>
      <c r="L145" s="583">
        <f t="shared" si="68"/>
        <v>-227.54485114758188</v>
      </c>
      <c r="M145" s="583">
        <f t="shared" si="68"/>
        <v>-220.43811264419219</v>
      </c>
      <c r="N145" s="583">
        <f t="shared" si="68"/>
        <v>-221.20797794162377</v>
      </c>
      <c r="O145" s="583">
        <f t="shared" si="68"/>
        <v>-221.6277824374464</v>
      </c>
      <c r="P145" s="583">
        <f t="shared" si="68"/>
        <v>-221.66586256123071</v>
      </c>
      <c r="Q145" s="583">
        <f t="shared" si="68"/>
        <v>-223.24343365999539</v>
      </c>
      <c r="R145" s="583">
        <f t="shared" si="68"/>
        <v>-222.46424289667107</v>
      </c>
      <c r="S145" s="583">
        <f t="shared" si="68"/>
        <v>-221.19623069463455</v>
      </c>
      <c r="T145" s="583">
        <f t="shared" si="68"/>
        <v>-219.39868523662483</v>
      </c>
      <c r="U145" s="583">
        <f t="shared" si="68"/>
        <v>-217.02830245887731</v>
      </c>
      <c r="V145" s="583">
        <f t="shared" si="68"/>
        <v>-214.03903897889199</v>
      </c>
      <c r="W145" s="583">
        <f t="shared" si="68"/>
        <v>-210.38195720626982</v>
      </c>
      <c r="X145" s="583">
        <f t="shared" si="68"/>
        <v>-218.61701152431453</v>
      </c>
      <c r="Y145" s="583">
        <f t="shared" si="68"/>
        <v>-229.5224341969606</v>
      </c>
      <c r="Z145" s="583">
        <f t="shared" si="68"/>
        <v>-238.37548101755954</v>
      </c>
      <c r="AA145" s="583">
        <f t="shared" si="68"/>
        <v>-247.51366477623537</v>
      </c>
      <c r="AB145" s="583">
        <f t="shared" si="68"/>
        <v>-256.94332761723797</v>
      </c>
      <c r="AC145" s="583">
        <f t="shared" si="68"/>
        <v>-266.67076785877418</v>
      </c>
      <c r="AD145" s="583">
        <f t="shared" si="68"/>
        <v>-276.7022224251898</v>
      </c>
      <c r="AE145" s="583">
        <f t="shared" si="68"/>
        <v>-287.04384778257656</v>
      </c>
      <c r="AF145" s="583">
        <f t="shared" si="68"/>
        <v>-300.63125777840798</v>
      </c>
      <c r="AG145" s="583">
        <f t="shared" si="68"/>
        <v>-311.69442568850388</v>
      </c>
      <c r="AH145" s="583">
        <f t="shared" si="68"/>
        <v>-324.29104329169684</v>
      </c>
      <c r="AI145" s="583">
        <f t="shared" si="68"/>
        <v>-337.39673247899282</v>
      </c>
      <c r="AJ145" s="583">
        <f t="shared" si="68"/>
        <v>-351.03206654124619</v>
      </c>
      <c r="AK145" s="583">
        <f t="shared" si="68"/>
        <v>-365.21845020502678</v>
      </c>
      <c r="AL145" s="583">
        <f t="shared" si="68"/>
        <v>-379.97815323372743</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'1000 North'!D25</f>
        <v>1217.4566503512108</v>
      </c>
      <c r="E159" s="383">
        <f>'1000 North'!E25</f>
        <v>1266.6581586523744</v>
      </c>
      <c r="F159" s="383">
        <f>'1000 North'!F25</f>
        <v>1317.8480649949888</v>
      </c>
      <c r="G159" s="383">
        <f>'1000 North'!G25</f>
        <v>1371.10672721579</v>
      </c>
      <c r="H159" s="383">
        <f>'1000 North'!H25</f>
        <v>1426.5177506813304</v>
      </c>
      <c r="I159" s="383">
        <f>'1000 North'!I25</f>
        <v>1484.168119531553</v>
      </c>
      <c r="J159" s="383">
        <f>'1000 North'!J25</f>
        <v>1544.1483332273663</v>
      </c>
      <c r="K159" s="383">
        <f>'1000 North'!K25</f>
        <v>1606.5525486165525</v>
      </c>
      <c r="L159" s="383">
        <f>'1000 North'!L25</f>
        <v>1671.4787277410492</v>
      </c>
      <c r="M159" s="383">
        <f>'1000 North'!M25</f>
        <v>1739.0287916176114</v>
      </c>
      <c r="N159" s="383">
        <f>'1000 North'!N25</f>
        <v>1809.3087802332661</v>
      </c>
      <c r="O159" s="383">
        <f>'1000 North'!O25</f>
        <v>1882.4290190067247</v>
      </c>
      <c r="P159" s="383">
        <f>'1000 North'!P25</f>
        <v>1958.5042919770535</v>
      </c>
      <c r="Q159" s="383">
        <f>'1000 North'!Q25</f>
        <v>2037.6540219914859</v>
      </c>
      <c r="R159" s="383">
        <f>'1000 North'!R25</f>
        <v>2120.0024581752223</v>
      </c>
      <c r="S159" s="383">
        <f>'1000 North'!S25</f>
        <v>2205.6788709775233</v>
      </c>
      <c r="T159" s="383">
        <f>'1000 North'!T25</f>
        <v>2294.8177551002514</v>
      </c>
      <c r="U159" s="383">
        <f>'1000 North'!U25</f>
        <v>2387.5590406274614</v>
      </c>
      <c r="V159" s="383">
        <f>'1000 North'!V25</f>
        <v>2484.0483126874246</v>
      </c>
      <c r="W159" s="383">
        <f>'1000 North'!W25</f>
        <v>2584.4370399919449</v>
      </c>
      <c r="X159" s="383">
        <f>'1000 North'!X25</f>
        <v>2688.8828126117055</v>
      </c>
      <c r="Y159" s="383">
        <f>'1000 North'!Y25</f>
        <v>2797.5495893609273</v>
      </c>
      <c r="Z159" s="383">
        <f>'1000 North'!Z25</f>
        <v>2910.6079551796629</v>
      </c>
      <c r="AA159" s="383">
        <f>'1000 North'!AA25</f>
        <v>3028.2353889177693</v>
      </c>
      <c r="AB159" s="383">
        <f>'1000 North'!AB25</f>
        <v>3150.6165419409454</v>
      </c>
      <c r="AC159" s="383">
        <f>'1000 North'!AC25</f>
        <v>3277.9435279961544</v>
      </c>
      <c r="AD159" s="383">
        <f>'1000 North'!AD25</f>
        <v>3410.4162247914969</v>
      </c>
      <c r="AE159" s="383">
        <f>'1000 North'!AE25</f>
        <v>3548.2425877639239</v>
      </c>
      <c r="AF159" s="383">
        <f>'1000 North'!AF25</f>
        <v>3691.6389765273725</v>
      </c>
      <c r="AG159" s="383">
        <f>'1000 North'!AG25</f>
        <v>3840.8304945137525</v>
      </c>
      <c r="AH159" s="383">
        <f>'1000 North'!AH25</f>
        <v>3996.0513423399689</v>
      </c>
      <c r="AI159" s="383">
        <f>'1000 North'!AI25</f>
        <v>4157.5451854556968</v>
      </c>
      <c r="AJ159" s="383">
        <f>'1000 North'!AJ25</f>
        <v>4325.5655366490219</v>
      </c>
      <c r="AK159" s="383">
        <f>'1000 North'!AK25</f>
        <v>4500.3761540104424</v>
      </c>
      <c r="AL159" s="383">
        <f>'1000 North'!AL25</f>
        <v>4682.251454979908</v>
      </c>
    </row>
    <row r="160" spans="1:38">
      <c r="B160" s="385" t="s">
        <v>509</v>
      </c>
      <c r="C160" s="386" t="s">
        <v>443</v>
      </c>
      <c r="D160" s="383">
        <f>'1000 North'!D26</f>
        <v>135.27296115013453</v>
      </c>
      <c r="E160" s="383">
        <f>'1000 North'!E26</f>
        <v>140.73979540581936</v>
      </c>
      <c r="F160" s="383">
        <f>'1000 North'!F26</f>
        <v>146.42756277722097</v>
      </c>
      <c r="G160" s="383">
        <f>'1000 North'!G26</f>
        <v>152.34519191286557</v>
      </c>
      <c r="H160" s="383">
        <f>'1000 North'!H26</f>
        <v>158.50197229792559</v>
      </c>
      <c r="I160" s="383">
        <f>'1000 North'!I26</f>
        <v>164.90756883683923</v>
      </c>
      <c r="J160" s="383">
        <f>'1000 North'!J26</f>
        <v>171.57203702526294</v>
      </c>
      <c r="K160" s="383">
        <f>'1000 North'!K26</f>
        <v>178.50583873517252</v>
      </c>
      <c r="L160" s="383">
        <f>'1000 North'!L26</f>
        <v>185.71985863789436</v>
      </c>
      <c r="M160" s="383">
        <f>'1000 North'!M26</f>
        <v>193.2254212908457</v>
      </c>
      <c r="N160" s="383">
        <f>'1000 North'!N26</f>
        <v>201.03430891480735</v>
      </c>
      <c r="O160" s="383">
        <f>'1000 North'!O26</f>
        <v>209.15877988963609</v>
      </c>
      <c r="P160" s="383">
        <f>'1000 North'!P26</f>
        <v>217.61158799745041</v>
      </c>
      <c r="Q160" s="383">
        <f>'1000 North'!Q26</f>
        <v>226.40600244349844</v>
      </c>
      <c r="R160" s="383">
        <f>'1000 North'!R26</f>
        <v>235.55582868613578</v>
      </c>
      <c r="S160" s="383">
        <f>'1000 North'!S26</f>
        <v>245.07543010861369</v>
      </c>
      <c r="T160" s="383">
        <f>'1000 North'!T26</f>
        <v>254.97975056669463</v>
      </c>
      <c r="U160" s="383">
        <f>'1000 North'!U26</f>
        <v>265.28433784749569</v>
      </c>
      <c r="V160" s="383">
        <f>'1000 North'!V26</f>
        <v>276.00536807638053</v>
      </c>
      <c r="W160" s="383">
        <f>'1000 North'!W26</f>
        <v>287.1596711102161</v>
      </c>
      <c r="X160" s="383">
        <f>'1000 North'!X26</f>
        <v>298.76475695685616</v>
      </c>
      <c r="Y160" s="383">
        <f>'1000 North'!Y26</f>
        <v>310.83884326232527</v>
      </c>
      <c r="Z160" s="383">
        <f>'1000 North'!Z26</f>
        <v>323.40088390885148</v>
      </c>
      <c r="AA160" s="383">
        <f>'1000 North'!AA26</f>
        <v>336.47059876864108</v>
      </c>
      <c r="AB160" s="383">
        <f>'1000 North'!AB26</f>
        <v>350.06850466010508</v>
      </c>
      <c r="AC160" s="383">
        <f>'1000 North'!AC26</f>
        <v>364.21594755512831</v>
      </c>
      <c r="AD160" s="383">
        <f>'1000 North'!AD26</f>
        <v>378.9351360879441</v>
      </c>
      <c r="AE160" s="383">
        <f>'1000 North'!AE26</f>
        <v>394.24917641821378</v>
      </c>
      <c r="AF160" s="383">
        <f>'1000 North'!AF26</f>
        <v>410.18210850304143</v>
      </c>
      <c r="AG160" s="383">
        <f>'1000 North'!AG26</f>
        <v>426.75894383486138</v>
      </c>
      <c r="AH160" s="383">
        <f>'1000 North'!AH26</f>
        <v>444.00570470444103</v>
      </c>
      <c r="AI160" s="383">
        <f>'1000 North'!AI26</f>
        <v>461.94946505063302</v>
      </c>
      <c r="AJ160" s="383">
        <f>'1000 North'!AJ26</f>
        <v>480.61839296100243</v>
      </c>
      <c r="AK160" s="383">
        <f>'1000 North'!AK26</f>
        <v>500.04179489004923</v>
      </c>
      <c r="AL160" s="383">
        <f>'1000 North'!AL26</f>
        <v>520.25016166443424</v>
      </c>
    </row>
    <row r="161" spans="2:38">
      <c r="B161" s="358" t="s">
        <v>769</v>
      </c>
      <c r="C161" s="358" t="s">
        <v>443</v>
      </c>
      <c r="D161" s="383">
        <f>'1000 North'!D27</f>
        <v>0</v>
      </c>
      <c r="E161" s="383">
        <f>'1000 North'!E27</f>
        <v>0</v>
      </c>
      <c r="F161" s="383">
        <f>'1000 North'!F27</f>
        <v>0</v>
      </c>
      <c r="G161" s="383">
        <f>'1000 North'!G27</f>
        <v>0</v>
      </c>
      <c r="H161" s="383">
        <f>'1000 North'!H27</f>
        <v>0</v>
      </c>
      <c r="I161" s="383">
        <f>'1000 North'!I27</f>
        <v>0</v>
      </c>
      <c r="J161" s="383">
        <f>'1000 North'!J27</f>
        <v>0</v>
      </c>
      <c r="K161" s="383">
        <f>'1000 North'!K27</f>
        <v>0</v>
      </c>
      <c r="L161" s="383">
        <f>'1000 North'!L27</f>
        <v>0</v>
      </c>
      <c r="M161" s="383">
        <f>'1000 North'!M27</f>
        <v>0</v>
      </c>
      <c r="N161" s="383">
        <f>'1000 North'!N27</f>
        <v>0</v>
      </c>
      <c r="O161" s="383">
        <f>'1000 North'!O27</f>
        <v>0</v>
      </c>
      <c r="P161" s="383">
        <f>'1000 North'!P27</f>
        <v>0</v>
      </c>
      <c r="Q161" s="383">
        <f>'1000 North'!Q27</f>
        <v>0</v>
      </c>
      <c r="R161" s="383">
        <f>'1000 North'!R27</f>
        <v>0</v>
      </c>
      <c r="S161" s="383">
        <f>'1000 North'!S27</f>
        <v>0</v>
      </c>
      <c r="T161" s="383">
        <f>'1000 North'!T27</f>
        <v>0</v>
      </c>
      <c r="U161" s="383">
        <f>'1000 North'!U27</f>
        <v>0</v>
      </c>
      <c r="V161" s="383">
        <f>'1000 North'!V27</f>
        <v>0</v>
      </c>
      <c r="W161" s="383">
        <f>'1000 North'!W27</f>
        <v>0</v>
      </c>
      <c r="X161" s="383">
        <f>'1000 North'!X27</f>
        <v>0</v>
      </c>
      <c r="Y161" s="383">
        <f>'1000 North'!Y27</f>
        <v>0</v>
      </c>
      <c r="Z161" s="383">
        <f>'1000 North'!Z27</f>
        <v>0</v>
      </c>
      <c r="AA161" s="383">
        <f>'1000 North'!AA27</f>
        <v>0</v>
      </c>
      <c r="AB161" s="383">
        <f>'1000 North'!AB27</f>
        <v>0</v>
      </c>
      <c r="AC161" s="383">
        <f>'1000 North'!AC27</f>
        <v>0</v>
      </c>
      <c r="AD161" s="383">
        <f>'1000 North'!AD27</f>
        <v>0</v>
      </c>
      <c r="AE161" s="383">
        <f>'1000 North'!AE27</f>
        <v>0</v>
      </c>
      <c r="AF161" s="383">
        <f>'1000 North'!AF27</f>
        <v>0</v>
      </c>
      <c r="AG161" s="383">
        <f>'1000 North'!AG27</f>
        <v>0</v>
      </c>
      <c r="AH161" s="383">
        <f>'1000 North'!AH27</f>
        <v>0</v>
      </c>
      <c r="AI161" s="383">
        <f>'1000 North'!AI27</f>
        <v>0</v>
      </c>
      <c r="AJ161" s="383">
        <f>'1000 North'!AJ27</f>
        <v>0</v>
      </c>
      <c r="AK161" s="383">
        <f>'1000 North'!AK27</f>
        <v>0</v>
      </c>
      <c r="AL161" s="383">
        <f>'1000 North'!AL27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42.002254437116768</v>
      </c>
      <c r="E166" s="383">
        <f t="shared" ref="E166:AK168" si="69">E159*$C163</f>
        <v>43.699706473506907</v>
      </c>
      <c r="F166" s="383">
        <f t="shared" si="69"/>
        <v>45.465758242327112</v>
      </c>
      <c r="G166" s="383">
        <f t="shared" si="69"/>
        <v>47.303182088944752</v>
      </c>
      <c r="H166" s="383">
        <f t="shared" si="69"/>
        <v>49.214862398505893</v>
      </c>
      <c r="I166" s="383">
        <f t="shared" si="69"/>
        <v>51.203800123838569</v>
      </c>
      <c r="J166" s="383">
        <f t="shared" si="69"/>
        <v>53.273117496344128</v>
      </c>
      <c r="K166" s="383">
        <f t="shared" si="69"/>
        <v>55.426062927271055</v>
      </c>
      <c r="L166" s="383">
        <f t="shared" si="69"/>
        <v>57.666016107066191</v>
      </c>
      <c r="M166" s="383">
        <f t="shared" si="69"/>
        <v>59.996493310807587</v>
      </c>
      <c r="N166" s="383">
        <f t="shared" si="69"/>
        <v>62.421152918047675</v>
      </c>
      <c r="O166" s="383">
        <f t="shared" si="69"/>
        <v>64.94380115573199</v>
      </c>
      <c r="P166" s="383">
        <f t="shared" si="69"/>
        <v>67.568398073208343</v>
      </c>
      <c r="Q166" s="383">
        <f t="shared" si="69"/>
        <v>70.299063758706254</v>
      </c>
      <c r="R166" s="383">
        <f t="shared" si="69"/>
        <v>73.140084807045156</v>
      </c>
      <c r="S166" s="383">
        <f t="shared" si="69"/>
        <v>76.095921048724549</v>
      </c>
      <c r="T166" s="383">
        <f t="shared" si="69"/>
        <v>79.171212550958657</v>
      </c>
      <c r="U166" s="383">
        <f t="shared" si="69"/>
        <v>82.370786901647406</v>
      </c>
      <c r="V166" s="383">
        <f t="shared" si="69"/>
        <v>85.69966678771614</v>
      </c>
      <c r="W166" s="383">
        <f t="shared" si="69"/>
        <v>89.163077879722081</v>
      </c>
      <c r="X166" s="383">
        <f t="shared" si="69"/>
        <v>92.766457035103826</v>
      </c>
      <c r="Y166" s="383">
        <f t="shared" si="69"/>
        <v>96.515460832951973</v>
      </c>
      <c r="Z166" s="383">
        <f t="shared" si="69"/>
        <v>100.41597445369835</v>
      </c>
      <c r="AA166" s="383">
        <f t="shared" si="69"/>
        <v>104.47412091766303</v>
      </c>
      <c r="AB166" s="383">
        <f t="shared" si="69"/>
        <v>108.6962706969626</v>
      </c>
      <c r="AC166" s="383">
        <f t="shared" si="69"/>
        <v>113.08905171586731</v>
      </c>
      <c r="AD166" s="383">
        <f t="shared" si="69"/>
        <v>117.65935975530662</v>
      </c>
      <c r="AE166" s="383">
        <f t="shared" si="69"/>
        <v>122.41436927785536</v>
      </c>
      <c r="AF166" s="383">
        <f t="shared" si="69"/>
        <v>127.36154469019434</v>
      </c>
      <c r="AG166" s="383">
        <f t="shared" si="69"/>
        <v>132.50865206072444</v>
      </c>
      <c r="AH166" s="383">
        <f t="shared" si="69"/>
        <v>137.86377131072891</v>
      </c>
      <c r="AI166" s="383">
        <f t="shared" si="69"/>
        <v>143.43530889822154</v>
      </c>
      <c r="AJ166" s="383">
        <f t="shared" si="69"/>
        <v>149.23201101439125</v>
      </c>
      <c r="AK166" s="383">
        <f t="shared" si="69"/>
        <v>155.26297731336024</v>
      </c>
      <c r="AL166" s="383">
        <f t="shared" ref="AL166" si="70">AL159*$C163</f>
        <v>161.53767519680682</v>
      </c>
    </row>
    <row r="167" spans="2:38">
      <c r="B167" s="385" t="s">
        <v>501</v>
      </c>
      <c r="C167" s="386" t="s">
        <v>479</v>
      </c>
      <c r="D167" s="383">
        <f t="shared" ref="D167:S168" si="71">D160*$C164</f>
        <v>4.6669171596796408</v>
      </c>
      <c r="E167" s="383">
        <f t="shared" si="71"/>
        <v>4.8555229415007677</v>
      </c>
      <c r="F167" s="383">
        <f t="shared" si="71"/>
        <v>5.0517509158141225</v>
      </c>
      <c r="G167" s="383">
        <f t="shared" si="71"/>
        <v>5.255909120993862</v>
      </c>
      <c r="H167" s="383">
        <f t="shared" si="71"/>
        <v>5.4683180442784325</v>
      </c>
      <c r="I167" s="383">
        <f t="shared" si="71"/>
        <v>5.6893111248709527</v>
      </c>
      <c r="J167" s="383">
        <f t="shared" si="71"/>
        <v>5.9192352773715706</v>
      </c>
      <c r="K167" s="383">
        <f t="shared" si="71"/>
        <v>6.1584514363634515</v>
      </c>
      <c r="L167" s="383">
        <f t="shared" si="71"/>
        <v>6.4073351230073543</v>
      </c>
      <c r="M167" s="383">
        <f t="shared" si="71"/>
        <v>6.6662770345341755</v>
      </c>
      <c r="N167" s="383">
        <f t="shared" si="71"/>
        <v>6.9356836575608529</v>
      </c>
      <c r="O167" s="383">
        <f t="shared" si="71"/>
        <v>7.2159779061924443</v>
      </c>
      <c r="P167" s="383">
        <f t="shared" si="71"/>
        <v>7.5075997859120385</v>
      </c>
      <c r="Q167" s="383">
        <f t="shared" si="71"/>
        <v>7.8110070843006953</v>
      </c>
      <c r="R167" s="383">
        <f t="shared" si="71"/>
        <v>8.1266760896716832</v>
      </c>
      <c r="S167" s="383">
        <f t="shared" si="71"/>
        <v>8.4551023387471709</v>
      </c>
      <c r="T167" s="383">
        <f t="shared" si="69"/>
        <v>8.7968013945509647</v>
      </c>
      <c r="U167" s="383">
        <f t="shared" si="69"/>
        <v>9.1523096557386001</v>
      </c>
      <c r="V167" s="383">
        <f t="shared" si="69"/>
        <v>9.5221851986351265</v>
      </c>
      <c r="W167" s="383">
        <f t="shared" si="69"/>
        <v>9.9070086533024533</v>
      </c>
      <c r="X167" s="383">
        <f t="shared" si="69"/>
        <v>10.307384115011537</v>
      </c>
      <c r="Y167" s="383">
        <f t="shared" si="69"/>
        <v>10.723940092550221</v>
      </c>
      <c r="Z167" s="383">
        <f t="shared" si="69"/>
        <v>11.157330494855374</v>
      </c>
      <c r="AA167" s="383">
        <f t="shared" si="69"/>
        <v>11.608235657518115</v>
      </c>
      <c r="AB167" s="383">
        <f t="shared" si="69"/>
        <v>12.077363410773623</v>
      </c>
      <c r="AC167" s="383">
        <f t="shared" si="69"/>
        <v>12.565450190651925</v>
      </c>
      <c r="AD167" s="383">
        <f t="shared" si="69"/>
        <v>13.07326219503407</v>
      </c>
      <c r="AE167" s="383">
        <f t="shared" si="69"/>
        <v>13.601596586428373</v>
      </c>
      <c r="AF167" s="383">
        <f t="shared" si="69"/>
        <v>14.151282743354928</v>
      </c>
      <c r="AG167" s="383">
        <f t="shared" si="69"/>
        <v>14.723183562302715</v>
      </c>
      <c r="AH167" s="383">
        <f t="shared" si="69"/>
        <v>15.318196812303214</v>
      </c>
      <c r="AI167" s="383">
        <f t="shared" si="69"/>
        <v>15.937256544246837</v>
      </c>
      <c r="AJ167" s="383">
        <f t="shared" si="69"/>
        <v>16.58133455715458</v>
      </c>
      <c r="AK167" s="383">
        <f t="shared" si="69"/>
        <v>17.251441923706697</v>
      </c>
      <c r="AL167" s="383">
        <f t="shared" ref="AL167" si="72">AL160*$C164</f>
        <v>17.948630577422978</v>
      </c>
    </row>
    <row r="168" spans="2:38">
      <c r="B168" s="385" t="s">
        <v>768</v>
      </c>
      <c r="C168" s="386" t="s">
        <v>479</v>
      </c>
      <c r="D168" s="383">
        <f t="shared" si="71"/>
        <v>0</v>
      </c>
      <c r="E168" s="383">
        <f t="shared" si="69"/>
        <v>0</v>
      </c>
      <c r="F168" s="383">
        <f t="shared" si="69"/>
        <v>0</v>
      </c>
      <c r="G168" s="383">
        <f t="shared" si="69"/>
        <v>0</v>
      </c>
      <c r="H168" s="383">
        <f t="shared" si="69"/>
        <v>0</v>
      </c>
      <c r="I168" s="383">
        <f t="shared" si="69"/>
        <v>0</v>
      </c>
      <c r="J168" s="383">
        <f t="shared" si="69"/>
        <v>0</v>
      </c>
      <c r="K168" s="383">
        <f t="shared" si="69"/>
        <v>0</v>
      </c>
      <c r="L168" s="383">
        <f t="shared" si="69"/>
        <v>0</v>
      </c>
      <c r="M168" s="383">
        <f t="shared" si="69"/>
        <v>0</v>
      </c>
      <c r="N168" s="383">
        <f t="shared" si="69"/>
        <v>0</v>
      </c>
      <c r="O168" s="383">
        <f t="shared" si="69"/>
        <v>0</v>
      </c>
      <c r="P168" s="383">
        <f t="shared" si="69"/>
        <v>0</v>
      </c>
      <c r="Q168" s="383">
        <f t="shared" si="69"/>
        <v>0</v>
      </c>
      <c r="R168" s="383">
        <f t="shared" si="69"/>
        <v>0</v>
      </c>
      <c r="S168" s="383">
        <f t="shared" si="69"/>
        <v>0</v>
      </c>
      <c r="T168" s="383">
        <f t="shared" si="69"/>
        <v>0</v>
      </c>
      <c r="U168" s="383">
        <f t="shared" si="69"/>
        <v>0</v>
      </c>
      <c r="V168" s="383">
        <f t="shared" si="69"/>
        <v>0</v>
      </c>
      <c r="W168" s="383">
        <f t="shared" si="69"/>
        <v>0</v>
      </c>
      <c r="X168" s="383">
        <f t="shared" si="69"/>
        <v>0</v>
      </c>
      <c r="Y168" s="383">
        <f t="shared" si="69"/>
        <v>0</v>
      </c>
      <c r="Z168" s="383">
        <f t="shared" si="69"/>
        <v>0</v>
      </c>
      <c r="AA168" s="383">
        <f t="shared" si="69"/>
        <v>0</v>
      </c>
      <c r="AB168" s="383">
        <f t="shared" si="69"/>
        <v>0</v>
      </c>
      <c r="AC168" s="383">
        <f t="shared" si="69"/>
        <v>0</v>
      </c>
      <c r="AD168" s="383">
        <f t="shared" si="69"/>
        <v>0</v>
      </c>
      <c r="AE168" s="383">
        <f t="shared" si="69"/>
        <v>0</v>
      </c>
      <c r="AF168" s="383">
        <f t="shared" si="69"/>
        <v>0</v>
      </c>
      <c r="AG168" s="383">
        <f t="shared" si="69"/>
        <v>0</v>
      </c>
      <c r="AH168" s="383">
        <f t="shared" si="69"/>
        <v>0</v>
      </c>
      <c r="AI168" s="383">
        <f t="shared" si="69"/>
        <v>0</v>
      </c>
      <c r="AJ168" s="383">
        <f t="shared" si="69"/>
        <v>0</v>
      </c>
      <c r="AK168" s="383">
        <f t="shared" si="69"/>
        <v>0</v>
      </c>
      <c r="AL168" s="383">
        <f t="shared" ref="AL168" si="73">AL161*$C165</f>
        <v>0</v>
      </c>
    </row>
    <row r="169" spans="2:38">
      <c r="D169" s="358"/>
      <c r="F169" s="464"/>
      <c r="G169" s="465"/>
      <c r="H169" s="465"/>
    </row>
    <row r="170" spans="2:38">
      <c r="B170" s="358" t="s">
        <v>459</v>
      </c>
      <c r="C170" s="362" t="s">
        <v>292</v>
      </c>
      <c r="D170" s="485">
        <f>SUMPRODUCT($C$153:$C$155,D166:D168)</f>
        <v>470.06737843967397</v>
      </c>
      <c r="E170" s="485">
        <f t="shared" ref="E170:AK170" si="74">SUMPRODUCT($C$153:$C$155,E166:E168)</f>
        <v>489.06437846898416</v>
      </c>
      <c r="F170" s="485">
        <f t="shared" si="74"/>
        <v>508.829111012113</v>
      </c>
      <c r="G170" s="485">
        <f t="shared" si="74"/>
        <v>529.39260271599755</v>
      </c>
      <c r="H170" s="485">
        <f t="shared" si="74"/>
        <v>550.78713411848469</v>
      </c>
      <c r="I170" s="485">
        <f t="shared" si="74"/>
        <v>573.04629032226956</v>
      </c>
      <c r="J170" s="485">
        <f t="shared" si="74"/>
        <v>596.20501371674015</v>
      </c>
      <c r="K170" s="485">
        <f t="shared" si="74"/>
        <v>620.29965883048385</v>
      </c>
      <c r="L170" s="485">
        <f t="shared" si="74"/>
        <v>645.36804940057311</v>
      </c>
      <c r="M170" s="485">
        <f t="shared" si="74"/>
        <v>671.44953774820999</v>
      </c>
      <c r="N170" s="485">
        <f t="shared" si="74"/>
        <v>698.58506655393853</v>
      </c>
      <c r="O170" s="485">
        <f t="shared" si="74"/>
        <v>726.81723312940312</v>
      </c>
      <c r="P170" s="485">
        <f t="shared" si="74"/>
        <v>756.19035628654308</v>
      </c>
      <c r="Q170" s="485">
        <f t="shared" si="74"/>
        <v>786.75054590919547</v>
      </c>
      <c r="R170" s="485">
        <f t="shared" si="74"/>
        <v>818.54577533632028</v>
      </c>
      <c r="S170" s="485">
        <f t="shared" si="74"/>
        <v>851.62595667047697</v>
      </c>
      <c r="T170" s="485">
        <f t="shared" si="74"/>
        <v>886.04301912976121</v>
      </c>
      <c r="U170" s="485">
        <f t="shared" si="74"/>
        <v>921.85099056621834</v>
      </c>
      <c r="V170" s="485">
        <f t="shared" si="74"/>
        <v>959.10608227867897</v>
      </c>
      <c r="W170" s="485">
        <f t="shared" si="74"/>
        <v>997.86677725317179</v>
      </c>
      <c r="X170" s="485">
        <f t="shared" si="74"/>
        <v>1038.1939219694243</v>
      </c>
      <c r="Y170" s="485">
        <f t="shared" si="74"/>
        <v>1080.1508219175744</v>
      </c>
      <c r="Z170" s="485">
        <f t="shared" si="74"/>
        <v>1123.803340975034</v>
      </c>
      <c r="AA170" s="485">
        <f t="shared" si="74"/>
        <v>1169.2200047994972</v>
      </c>
      <c r="AB170" s="485">
        <f t="shared" si="74"/>
        <v>1216.4721084004207</v>
      </c>
      <c r="AC170" s="485">
        <f t="shared" si="74"/>
        <v>1265.6338280578157</v>
      </c>
      <c r="AD170" s="485">
        <f t="shared" si="74"/>
        <v>1316.7823377640595</v>
      </c>
      <c r="AE170" s="485">
        <f t="shared" si="74"/>
        <v>1369.9979303715122</v>
      </c>
      <c r="AF170" s="485">
        <f t="shared" si="74"/>
        <v>1425.3641436361122</v>
      </c>
      <c r="AG170" s="485">
        <f t="shared" si="74"/>
        <v>1482.9678913548191</v>
      </c>
      <c r="AH170" s="485">
        <f t="shared" si="74"/>
        <v>1542.8995998027581</v>
      </c>
      <c r="AI170" s="485">
        <f t="shared" si="74"/>
        <v>1605.25334968425</v>
      </c>
      <c r="AJ170" s="485">
        <f t="shared" si="74"/>
        <v>1670.1270238205532</v>
      </c>
      <c r="AK170" s="485">
        <f t="shared" si="74"/>
        <v>1737.6224608061727</v>
      </c>
      <c r="AL170" s="485">
        <f t="shared" ref="AL170" si="75">SUMPRODUCT($C$153:$C$155,AL166:AL168)</f>
        <v>1807.8456148749278</v>
      </c>
    </row>
    <row r="171" spans="2:38">
      <c r="D171" s="358"/>
      <c r="F171" s="464"/>
      <c r="G171" s="465"/>
      <c r="H171" s="465"/>
    </row>
    <row r="172" spans="2:38">
      <c r="B172" s="1177" t="s">
        <v>715</v>
      </c>
      <c r="C172" s="358" t="s">
        <v>295</v>
      </c>
      <c r="D172" s="383">
        <f>'1000 North'!D32</f>
        <v>435.24075250055785</v>
      </c>
      <c r="E172" s="383">
        <f>'1000 North'!E32</f>
        <v>452.8302917182238</v>
      </c>
      <c r="F172" s="383">
        <f>'1000 North'!F32</f>
        <v>471.13068323570849</v>
      </c>
      <c r="G172" s="383">
        <f>'1000 North'!G32</f>
        <v>490.17065497964489</v>
      </c>
      <c r="H172" s="383">
        <f>'1000 North'!H32</f>
        <v>509.98009586857563</v>
      </c>
      <c r="I172" s="383">
        <f>'1000 North'!I32</f>
        <v>530.59010273253011</v>
      </c>
      <c r="J172" s="383">
        <f>'1000 North'!J32</f>
        <v>552.03302912878337</v>
      </c>
      <c r="K172" s="383">
        <f>'1000 North'!K32</f>
        <v>574.34253613041744</v>
      </c>
      <c r="L172" s="383">
        <f>'1000 North'!L32</f>
        <v>597.55364516742509</v>
      </c>
      <c r="M172" s="383">
        <f>'1000 North'!M32</f>
        <v>621.70279300329605</v>
      </c>
      <c r="N172" s="383">
        <f>'1000 North'!N32</f>
        <v>646.82788893339261</v>
      </c>
      <c r="O172" s="383">
        <f>'1000 North'!O32</f>
        <v>672.96837429490404</v>
      </c>
      <c r="P172" s="383">
        <f>'1000 North'!P32</f>
        <v>700.1652843817966</v>
      </c>
      <c r="Q172" s="383">
        <f>'1000 North'!Q32</f>
        <v>728.46131286195623</v>
      </c>
      <c r="R172" s="383">
        <f>'1000 North'!R32</f>
        <v>757.90087879764189</v>
      </c>
      <c r="S172" s="383">
        <f>'1000 North'!S32</f>
        <v>788.53019637446448</v>
      </c>
      <c r="T172" s="383">
        <f>'1000 North'!T32</f>
        <v>820.39734744833981</v>
      </c>
      <c r="U172" s="383">
        <f>'1000 North'!U32</f>
        <v>853.55235702431742</v>
      </c>
      <c r="V172" s="383">
        <f>'1000 North'!V32</f>
        <v>888.04727178575422</v>
      </c>
      <c r="W172" s="383">
        <f>'1000 North'!W32</f>
        <v>923.93624179712026</v>
      </c>
      <c r="X172" s="383">
        <f>'1000 North'!X32</f>
        <v>961.27560550868463</v>
      </c>
      <c r="Y172" s="383">
        <f>'1000 North'!Y32</f>
        <v>1000.1239781965314</v>
      </c>
      <c r="Z172" s="383">
        <f>'1000 North'!Z32</f>
        <v>1040.5423439767294</v>
      </c>
      <c r="AA172" s="383">
        <f>'1000 North'!AA32</f>
        <v>1082.5941515381026</v>
      </c>
      <c r="AB172" s="383">
        <f>'1000 North'!AB32</f>
        <v>1126.345413743888</v>
      </c>
      <c r="AC172" s="383">
        <f>'1000 North'!AC32</f>
        <v>1171.8648112586252</v>
      </c>
      <c r="AD172" s="383">
        <f>'1000 North'!AD32</f>
        <v>1219.22380036296</v>
      </c>
      <c r="AE172" s="383">
        <f>'1000 North'!AE32</f>
        <v>1268.4967251256028</v>
      </c>
      <c r="AF172" s="383">
        <f>'1000 North'!AF32</f>
        <v>1319.7609341085356</v>
      </c>
      <c r="AG172" s="383">
        <f>'1000 North'!AG32</f>
        <v>1373.0969017886664</v>
      </c>
      <c r="AH172" s="383">
        <f>'1000 North'!AH32</f>
        <v>1428.5883548865388</v>
      </c>
      <c r="AI172" s="383">
        <f>'1000 North'!AI32</f>
        <v>1486.3224038004116</v>
      </c>
      <c r="AJ172" s="383">
        <f>'1000 North'!AJ32</f>
        <v>1546.3896793520253</v>
      </c>
      <c r="AK172" s="383">
        <f>'1000 North'!AK32</f>
        <v>1608.8844750587332</v>
      </c>
      <c r="AL172" s="383">
        <f>'1000 North'!AL32</f>
        <v>1673.904895155317</v>
      </c>
    </row>
    <row r="173" spans="2:38">
      <c r="B173" s="1177" t="s">
        <v>716</v>
      </c>
      <c r="C173" s="358" t="s">
        <v>295</v>
      </c>
      <c r="D173" s="383">
        <f>'1000 North'!D33</f>
        <v>113.629287366113</v>
      </c>
      <c r="E173" s="383">
        <f>'1000 North'!E33</f>
        <v>118.22142814088826</v>
      </c>
      <c r="F173" s="383">
        <f>'1000 North'!F33</f>
        <v>122.99915273286561</v>
      </c>
      <c r="G173" s="383">
        <f>'1000 North'!G33</f>
        <v>127.96996120680707</v>
      </c>
      <c r="H173" s="383">
        <f>'1000 North'!H33</f>
        <v>133.14165673025749</v>
      </c>
      <c r="I173" s="383">
        <f>'1000 North'!I33</f>
        <v>138.52235782294494</v>
      </c>
      <c r="J173" s="383">
        <f>'1000 North'!J33</f>
        <v>144.12051110122087</v>
      </c>
      <c r="K173" s="383">
        <f>'1000 North'!K33</f>
        <v>149.94490453754491</v>
      </c>
      <c r="L173" s="383">
        <f>'1000 North'!L33</f>
        <v>156.00468125583126</v>
      </c>
      <c r="M173" s="383">
        <f>'1000 North'!M33</f>
        <v>162.30935388431038</v>
      </c>
      <c r="N173" s="383">
        <f>'1000 North'!N33</f>
        <v>168.86881948843816</v>
      </c>
      <c r="O173" s="383">
        <f>'1000 North'!O33</f>
        <v>175.69337510729432</v>
      </c>
      <c r="P173" s="383">
        <f>'1000 North'!P33</f>
        <v>182.79373391785833</v>
      </c>
      <c r="Q173" s="383">
        <f>'1000 North'!Q33</f>
        <v>190.18104205253869</v>
      </c>
      <c r="R173" s="383">
        <f>'1000 North'!R33</f>
        <v>197.86689609635405</v>
      </c>
      <c r="S173" s="383">
        <f>'1000 North'!S33</f>
        <v>205.86336129123549</v>
      </c>
      <c r="T173" s="383">
        <f>'1000 North'!T33</f>
        <v>214.18299047602349</v>
      </c>
      <c r="U173" s="383">
        <f>'1000 North'!U33</f>
        <v>222.83884379189638</v>
      </c>
      <c r="V173" s="383">
        <f>'1000 North'!V33</f>
        <v>231.84450918415965</v>
      </c>
      <c r="W173" s="383">
        <f>'1000 North'!W33</f>
        <v>241.2141237325815</v>
      </c>
      <c r="X173" s="383">
        <f>'1000 North'!X33</f>
        <v>250.96239584375917</v>
      </c>
      <c r="Y173" s="383">
        <f>'1000 North'!Y33</f>
        <v>261.1046283403532</v>
      </c>
      <c r="Z173" s="383">
        <f>'1000 North'!Z33</f>
        <v>271.65674248343521</v>
      </c>
      <c r="AA173" s="383">
        <f>'1000 North'!AA33</f>
        <v>282.63530296565852</v>
      </c>
      <c r="AB173" s="383">
        <f>'1000 North'!AB33</f>
        <v>294.05754391448824</v>
      </c>
      <c r="AC173" s="383">
        <f>'1000 North'!AC33</f>
        <v>305.94139594630775</v>
      </c>
      <c r="AD173" s="383">
        <f>'1000 North'!AD33</f>
        <v>318.30551431387306</v>
      </c>
      <c r="AE173" s="383">
        <f>'1000 North'!AE33</f>
        <v>331.16930819129954</v>
      </c>
      <c r="AF173" s="383">
        <f>'1000 North'!AF33</f>
        <v>344.55297114255478</v>
      </c>
      <c r="AG173" s="383">
        <f>'1000 North'!AG33</f>
        <v>358.47751282128354</v>
      </c>
      <c r="AH173" s="383">
        <f>'1000 North'!AH33</f>
        <v>372.96479195173043</v>
      </c>
      <c r="AI173" s="383">
        <f>'1000 North'!AI33</f>
        <v>388.0375506425317</v>
      </c>
      <c r="AJ173" s="383">
        <f>'1000 North'!AJ33</f>
        <v>403.71945008724202</v>
      </c>
      <c r="AK173" s="383">
        <f>'1000 North'!AK33</f>
        <v>420.03510770764132</v>
      </c>
      <c r="AL173" s="383">
        <f>'1000 North'!AL33</f>
        <v>437.01013579812474</v>
      </c>
    </row>
    <row r="174" spans="2:38">
      <c r="D174" s="358"/>
      <c r="F174" s="464"/>
      <c r="G174" s="465"/>
      <c r="H174" s="465"/>
    </row>
    <row r="175" spans="2:38">
      <c r="B175" s="358" t="s">
        <v>208</v>
      </c>
      <c r="C175" s="362" t="s">
        <v>292</v>
      </c>
      <c r="D175" s="485">
        <f>SUMPRODUCT(D172:D173,D$150:D$151)</f>
        <v>1186.8494279680281</v>
      </c>
      <c r="E175" s="485">
        <f t="shared" ref="E175:AK175" si="76">SUMPRODUCT(E172:E173,E$150:E$151)</f>
        <v>1242.9598648314086</v>
      </c>
      <c r="F175" s="485">
        <f t="shared" si="76"/>
        <v>1293.1907971387093</v>
      </c>
      <c r="G175" s="485">
        <f t="shared" si="76"/>
        <v>1338.1735331570237</v>
      </c>
      <c r="H175" s="485">
        <f t="shared" si="76"/>
        <v>1412.2249141840962</v>
      </c>
      <c r="I175" s="485">
        <f t="shared" si="76"/>
        <v>1491.3983570752666</v>
      </c>
      <c r="J175" s="485">
        <f t="shared" si="76"/>
        <v>1573.1259495277388</v>
      </c>
      <c r="K175" s="485">
        <f t="shared" si="76"/>
        <v>1654.2268924096265</v>
      </c>
      <c r="L175" s="485">
        <f t="shared" si="76"/>
        <v>1749.4662562816388</v>
      </c>
      <c r="M175" s="485">
        <f t="shared" si="76"/>
        <v>1886.008658874676</v>
      </c>
      <c r="N175" s="485">
        <f t="shared" si="76"/>
        <v>1983.6899318247592</v>
      </c>
      <c r="O175" s="485">
        <f t="shared" si="76"/>
        <v>2087.4401091771642</v>
      </c>
      <c r="P175" s="485">
        <f t="shared" si="76"/>
        <v>2219.6408578756573</v>
      </c>
      <c r="Q175" s="485">
        <f t="shared" si="76"/>
        <v>2350.8241064338954</v>
      </c>
      <c r="R175" s="485">
        <f t="shared" si="76"/>
        <v>2477.7880526664158</v>
      </c>
      <c r="S175" s="485">
        <f t="shared" si="76"/>
        <v>2615.6184201979959</v>
      </c>
      <c r="T175" s="485">
        <f t="shared" si="76"/>
        <v>2736.8668928927841</v>
      </c>
      <c r="U175" s="485">
        <f t="shared" si="76"/>
        <v>2884.7949574682825</v>
      </c>
      <c r="V175" s="485">
        <f t="shared" si="76"/>
        <v>3047.4629613568623</v>
      </c>
      <c r="W175" s="485">
        <f t="shared" si="76"/>
        <v>3183.5017300937288</v>
      </c>
      <c r="X175" s="485">
        <f t="shared" si="76"/>
        <v>3342.1274513129838</v>
      </c>
      <c r="Y175" s="485">
        <f t="shared" si="76"/>
        <v>3541.9439994641671</v>
      </c>
      <c r="Z175" s="485">
        <f t="shared" si="76"/>
        <v>3721.1856240813686</v>
      </c>
      <c r="AA175" s="485">
        <f t="shared" si="76"/>
        <v>3909.7349160664071</v>
      </c>
      <c r="AB175" s="485">
        <f t="shared" si="76"/>
        <v>4132.5192675465178</v>
      </c>
      <c r="AC175" s="485">
        <f t="shared" si="76"/>
        <v>4315.394732450698</v>
      </c>
      <c r="AD175" s="485">
        <f t="shared" si="76"/>
        <v>4573.7454375822781</v>
      </c>
      <c r="AE175" s="485">
        <f t="shared" si="76"/>
        <v>4821.4468964329408</v>
      </c>
      <c r="AF175" s="485">
        <f t="shared" si="76"/>
        <v>5066.4671109644378</v>
      </c>
      <c r="AG175" s="485">
        <f t="shared" si="76"/>
        <v>5316.634157964505</v>
      </c>
      <c r="AH175" s="485">
        <f t="shared" si="76"/>
        <v>5588.0765493915633</v>
      </c>
      <c r="AI175" s="485">
        <f t="shared" si="76"/>
        <v>5873.1683417451259</v>
      </c>
      <c r="AJ175" s="485">
        <f t="shared" si="76"/>
        <v>6172.5891883187614</v>
      </c>
      <c r="AK175" s="485">
        <f t="shared" si="76"/>
        <v>6487.052366732054</v>
      </c>
      <c r="AL175" s="485">
        <f t="shared" ref="AL175" si="77">SUMPRODUCT(AL172:AL173,AL$150:AL$151)</f>
        <v>6817.3064352534702</v>
      </c>
    </row>
    <row r="177" spans="1:38" ht="13">
      <c r="B177" s="364" t="s">
        <v>527</v>
      </c>
      <c r="C177" s="387" t="s">
        <v>292</v>
      </c>
      <c r="D177" s="488">
        <f>D170+D175</f>
        <v>1656.9168064077021</v>
      </c>
      <c r="E177" s="488">
        <f t="shared" ref="E177:AK177" si="78">E170+E175</f>
        <v>1732.0242433003928</v>
      </c>
      <c r="F177" s="488">
        <f t="shared" si="78"/>
        <v>1802.0199081508222</v>
      </c>
      <c r="G177" s="488">
        <f t="shared" si="78"/>
        <v>1867.5661358730213</v>
      </c>
      <c r="H177" s="488">
        <f t="shared" si="78"/>
        <v>1963.0120483025808</v>
      </c>
      <c r="I177" s="488">
        <f t="shared" si="78"/>
        <v>2064.4446473975363</v>
      </c>
      <c r="J177" s="488">
        <f t="shared" si="78"/>
        <v>2169.3309632444789</v>
      </c>
      <c r="K177" s="488">
        <f t="shared" si="78"/>
        <v>2274.5265512401102</v>
      </c>
      <c r="L177" s="488">
        <f t="shared" si="78"/>
        <v>2394.8343056822118</v>
      </c>
      <c r="M177" s="488">
        <f t="shared" si="78"/>
        <v>2557.4581966228861</v>
      </c>
      <c r="N177" s="488">
        <f t="shared" si="78"/>
        <v>2682.274998378698</v>
      </c>
      <c r="O177" s="488">
        <f t="shared" si="78"/>
        <v>2814.2573423065674</v>
      </c>
      <c r="P177" s="488">
        <f t="shared" si="78"/>
        <v>2975.8312141622005</v>
      </c>
      <c r="Q177" s="488">
        <f t="shared" si="78"/>
        <v>3137.5746523430907</v>
      </c>
      <c r="R177" s="488">
        <f t="shared" si="78"/>
        <v>3296.333828002736</v>
      </c>
      <c r="S177" s="488">
        <f t="shared" si="78"/>
        <v>3467.244376868473</v>
      </c>
      <c r="T177" s="488">
        <f t="shared" si="78"/>
        <v>3622.9099120225455</v>
      </c>
      <c r="U177" s="488">
        <f t="shared" si="78"/>
        <v>3806.6459480345011</v>
      </c>
      <c r="V177" s="488">
        <f t="shared" si="78"/>
        <v>4006.5690436355412</v>
      </c>
      <c r="W177" s="488">
        <f t="shared" si="78"/>
        <v>4181.3685073469005</v>
      </c>
      <c r="X177" s="488">
        <f t="shared" si="78"/>
        <v>4380.3213732824079</v>
      </c>
      <c r="Y177" s="488">
        <f t="shared" si="78"/>
        <v>4622.094821381741</v>
      </c>
      <c r="Z177" s="488">
        <f t="shared" si="78"/>
        <v>4844.9889650564028</v>
      </c>
      <c r="AA177" s="488">
        <f t="shared" si="78"/>
        <v>5078.9549208659046</v>
      </c>
      <c r="AB177" s="488">
        <f t="shared" si="78"/>
        <v>5348.9913759469382</v>
      </c>
      <c r="AC177" s="488">
        <f t="shared" si="78"/>
        <v>5581.0285605085137</v>
      </c>
      <c r="AD177" s="488">
        <f t="shared" si="78"/>
        <v>5890.5277753463379</v>
      </c>
      <c r="AE177" s="488">
        <f t="shared" si="78"/>
        <v>6191.4448268044525</v>
      </c>
      <c r="AF177" s="488">
        <f t="shared" si="78"/>
        <v>6491.83125460055</v>
      </c>
      <c r="AG177" s="488">
        <f t="shared" si="78"/>
        <v>6799.6020493193246</v>
      </c>
      <c r="AH177" s="488">
        <f t="shared" si="78"/>
        <v>7130.9761491943209</v>
      </c>
      <c r="AI177" s="488">
        <f t="shared" si="78"/>
        <v>7478.4216914293756</v>
      </c>
      <c r="AJ177" s="488">
        <f t="shared" si="78"/>
        <v>7842.7162121393148</v>
      </c>
      <c r="AK177" s="488">
        <f t="shared" si="78"/>
        <v>8224.674827538227</v>
      </c>
      <c r="AL177" s="488">
        <f t="shared" ref="AL177" si="79">AL170+AL175</f>
        <v>8625.1520501283976</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'1000 North'!D48</f>
        <v>1217.4566503512108</v>
      </c>
      <c r="E181" s="383">
        <f>'1000 North'!E48</f>
        <v>1266.6581586523744</v>
      </c>
      <c r="F181" s="383">
        <f>'1000 North'!F48</f>
        <v>1317.8480649949888</v>
      </c>
      <c r="G181" s="383">
        <f>'1000 North'!G48</f>
        <v>1371.10672721579</v>
      </c>
      <c r="H181" s="383">
        <f>'1000 North'!H48</f>
        <v>1902.0236675751073</v>
      </c>
      <c r="I181" s="383">
        <f>'1000 North'!I48</f>
        <v>1978.890826042071</v>
      </c>
      <c r="J181" s="383">
        <f>'1000 North'!J48</f>
        <v>2058.8644443031549</v>
      </c>
      <c r="K181" s="383">
        <f>'1000 North'!K48</f>
        <v>2142.0700648220695</v>
      </c>
      <c r="L181" s="383">
        <f>'1000 North'!L48</f>
        <v>2228.6383036547327</v>
      </c>
      <c r="M181" s="383">
        <f>'1000 North'!M48</f>
        <v>2318.705055490148</v>
      </c>
      <c r="N181" s="383">
        <f>'1000 North'!N48</f>
        <v>2412.4117069776885</v>
      </c>
      <c r="O181" s="383">
        <f>'1000 North'!O48</f>
        <v>2509.9053586756322</v>
      </c>
      <c r="P181" s="383">
        <f>'1000 North'!P48</f>
        <v>2611.3390559694039</v>
      </c>
      <c r="Q181" s="383">
        <f>'1000 North'!Q48</f>
        <v>2716.8720293219812</v>
      </c>
      <c r="R181" s="383">
        <f>'1000 North'!R48</f>
        <v>2826.6699442336298</v>
      </c>
      <c r="S181" s="383">
        <f>'1000 North'!S48</f>
        <v>2940.905161303363</v>
      </c>
      <c r="T181" s="383">
        <f>'1000 North'!T48</f>
        <v>3059.7570068003342</v>
      </c>
      <c r="U181" s="383">
        <f>'1000 North'!U48</f>
        <v>3183.4120541699476</v>
      </c>
      <c r="V181" s="383">
        <f>'1000 North'!V48</f>
        <v>3312.0644169165662</v>
      </c>
      <c r="W181" s="383">
        <f>'1000 North'!W48</f>
        <v>3445.9160533225931</v>
      </c>
      <c r="X181" s="383">
        <f>'1000 North'!X48</f>
        <v>3585.1770834822746</v>
      </c>
      <c r="Y181" s="383">
        <f>'1000 North'!Y48</f>
        <v>3730.0661191479035</v>
      </c>
      <c r="Z181" s="383">
        <f>'1000 North'!Z48</f>
        <v>3880.810606906216</v>
      </c>
      <c r="AA181" s="383">
        <f>'1000 North'!AA48</f>
        <v>4037.6471852236923</v>
      </c>
      <c r="AB181" s="383">
        <f>'1000 North'!AB48</f>
        <v>4200.8220559212614</v>
      </c>
      <c r="AC181" s="383">
        <f>'1000 North'!AC48</f>
        <v>4370.5913706615393</v>
      </c>
      <c r="AD181" s="383">
        <f>'1000 North'!AD48</f>
        <v>4547.2216330553283</v>
      </c>
      <c r="AE181" s="383">
        <f>'1000 North'!AE48</f>
        <v>4730.9901170185658</v>
      </c>
      <c r="AF181" s="383">
        <f>'1000 North'!AF48</f>
        <v>4922.1853020364979</v>
      </c>
      <c r="AG181" s="383">
        <f>'1000 North'!AG48</f>
        <v>5121.1073260183384</v>
      </c>
      <c r="AH181" s="383">
        <f>'1000 North'!AH48</f>
        <v>5328.068456453293</v>
      </c>
      <c r="AI181" s="383">
        <f>'1000 North'!AI48</f>
        <v>5543.3935806075951</v>
      </c>
      <c r="AJ181" s="383">
        <f>'1000 North'!AJ48</f>
        <v>5767.4207155320291</v>
      </c>
      <c r="AK181" s="383">
        <f>'1000 North'!AK48</f>
        <v>6000.5015386805917</v>
      </c>
      <c r="AL181" s="383">
        <f>'1000 North'!AL48</f>
        <v>6243.00193997321</v>
      </c>
    </row>
    <row r="182" spans="1:38">
      <c r="B182" s="385" t="s">
        <v>509</v>
      </c>
      <c r="C182" s="386" t="s">
        <v>443</v>
      </c>
      <c r="D182" s="383">
        <f>'1000 North'!D49</f>
        <v>135.27296115013453</v>
      </c>
      <c r="E182" s="383">
        <f>'1000 North'!E49</f>
        <v>140.73979540581936</v>
      </c>
      <c r="F182" s="383">
        <f>'1000 North'!F49</f>
        <v>146.42756277722097</v>
      </c>
      <c r="G182" s="383">
        <f>'1000 North'!G49</f>
        <v>152.34519191286557</v>
      </c>
      <c r="H182" s="383">
        <f>'1000 North'!H49</f>
        <v>211.33596306390083</v>
      </c>
      <c r="I182" s="383">
        <f>'1000 North'!I49</f>
        <v>219.87675844911902</v>
      </c>
      <c r="J182" s="383">
        <f>'1000 North'!J49</f>
        <v>228.76271603368389</v>
      </c>
      <c r="K182" s="383">
        <f>'1000 North'!K49</f>
        <v>238.00778498022993</v>
      </c>
      <c r="L182" s="383">
        <f>'1000 North'!L49</f>
        <v>247.62647818385918</v>
      </c>
      <c r="M182" s="383">
        <f>'1000 North'!M49</f>
        <v>257.63389505446088</v>
      </c>
      <c r="N182" s="383">
        <f>'1000 North'!N49</f>
        <v>268.04574521974314</v>
      </c>
      <c r="O182" s="383">
        <f>'1000 North'!O49</f>
        <v>278.87837318618136</v>
      </c>
      <c r="P182" s="383">
        <f>'1000 North'!P49</f>
        <v>290.14878399660046</v>
      </c>
      <c r="Q182" s="383">
        <f>'1000 North'!Q49</f>
        <v>301.8746699246646</v>
      </c>
      <c r="R182" s="383">
        <f>'1000 North'!R49</f>
        <v>314.07443824818114</v>
      </c>
      <c r="S182" s="383">
        <f>'1000 North'!S49</f>
        <v>326.76724014481812</v>
      </c>
      <c r="T182" s="383">
        <f>'1000 North'!T49</f>
        <v>339.97300075559269</v>
      </c>
      <c r="U182" s="383">
        <f>'1000 North'!U49</f>
        <v>353.71245046332751</v>
      </c>
      <c r="V182" s="383">
        <f>'1000 North'!V49</f>
        <v>368.00715743517407</v>
      </c>
      <c r="W182" s="383">
        <f>'1000 North'!W49</f>
        <v>382.87956148028815</v>
      </c>
      <c r="X182" s="383">
        <f>'1000 North'!X49</f>
        <v>398.35300927580829</v>
      </c>
      <c r="Y182" s="383">
        <f>'1000 North'!Y49</f>
        <v>414.45179101643373</v>
      </c>
      <c r="Z182" s="383">
        <f>'1000 North'!Z49</f>
        <v>431.20117854513512</v>
      </c>
      <c r="AA182" s="383">
        <f>'1000 North'!AA49</f>
        <v>448.6274650248547</v>
      </c>
      <c r="AB182" s="383">
        <f>'1000 North'!AB49</f>
        <v>466.75800621347344</v>
      </c>
      <c r="AC182" s="383">
        <f>'1000 North'!AC49</f>
        <v>485.62126340683773</v>
      </c>
      <c r="AD182" s="383">
        <f>'1000 North'!AD49</f>
        <v>505.24684811725865</v>
      </c>
      <c r="AE182" s="383">
        <f>'1000 North'!AE49</f>
        <v>525.66556855761837</v>
      </c>
      <c r="AF182" s="383">
        <f>'1000 North'!AF49</f>
        <v>546.90947800405536</v>
      </c>
      <c r="AG182" s="383">
        <f>'1000 North'!AG49</f>
        <v>569.01192511314866</v>
      </c>
      <c r="AH182" s="383">
        <f>'1000 North'!AH49</f>
        <v>592.00760627258808</v>
      </c>
      <c r="AI182" s="383">
        <f>'1000 North'!AI49</f>
        <v>615.93262006751058</v>
      </c>
      <c r="AJ182" s="383">
        <f>'1000 North'!AJ49</f>
        <v>640.82452394800328</v>
      </c>
      <c r="AK182" s="383">
        <f>'1000 North'!AK49</f>
        <v>666.72239318673246</v>
      </c>
      <c r="AL182" s="383">
        <f>'1000 North'!AL49</f>
        <v>693.66688221924551</v>
      </c>
    </row>
    <row r="183" spans="1:38">
      <c r="B183" s="358" t="s">
        <v>769</v>
      </c>
      <c r="C183" s="358" t="s">
        <v>443</v>
      </c>
      <c r="D183" s="383">
        <f>'1000 North'!D50</f>
        <v>0</v>
      </c>
      <c r="E183" s="383">
        <f>'1000 North'!E50</f>
        <v>0</v>
      </c>
      <c r="F183" s="383">
        <f>'1000 North'!F50</f>
        <v>0</v>
      </c>
      <c r="G183" s="383">
        <f>'1000 North'!G50</f>
        <v>0</v>
      </c>
      <c r="H183" s="383">
        <f>'1000 North'!H50</f>
        <v>0</v>
      </c>
      <c r="I183" s="383">
        <f>'1000 North'!I50</f>
        <v>0</v>
      </c>
      <c r="J183" s="383">
        <f>'1000 North'!J50</f>
        <v>0</v>
      </c>
      <c r="K183" s="383">
        <f>'1000 North'!K50</f>
        <v>0</v>
      </c>
      <c r="L183" s="383">
        <f>'1000 North'!L50</f>
        <v>0</v>
      </c>
      <c r="M183" s="383">
        <f>'1000 North'!M50</f>
        <v>0</v>
      </c>
      <c r="N183" s="383">
        <f>'1000 North'!N50</f>
        <v>0</v>
      </c>
      <c r="O183" s="383">
        <f>'1000 North'!O50</f>
        <v>0</v>
      </c>
      <c r="P183" s="383">
        <f>'1000 North'!P50</f>
        <v>0</v>
      </c>
      <c r="Q183" s="383">
        <f>'1000 North'!Q50</f>
        <v>0</v>
      </c>
      <c r="R183" s="383">
        <f>'1000 North'!R50</f>
        <v>0</v>
      </c>
      <c r="S183" s="383">
        <f>'1000 North'!S50</f>
        <v>0</v>
      </c>
      <c r="T183" s="383">
        <f>'1000 North'!T50</f>
        <v>0</v>
      </c>
      <c r="U183" s="383">
        <f>'1000 North'!U50</f>
        <v>0</v>
      </c>
      <c r="V183" s="383">
        <f>'1000 North'!V50</f>
        <v>0</v>
      </c>
      <c r="W183" s="383">
        <f>'1000 North'!W50</f>
        <v>0</v>
      </c>
      <c r="X183" s="383">
        <f>'1000 North'!X50</f>
        <v>0</v>
      </c>
      <c r="Y183" s="383">
        <f>'1000 North'!Y50</f>
        <v>0</v>
      </c>
      <c r="Z183" s="383">
        <f>'1000 North'!Z50</f>
        <v>0</v>
      </c>
      <c r="AA183" s="383">
        <f>'1000 North'!AA50</f>
        <v>0</v>
      </c>
      <c r="AB183" s="383">
        <f>'1000 North'!AB50</f>
        <v>0</v>
      </c>
      <c r="AC183" s="383">
        <f>'1000 North'!AC50</f>
        <v>0</v>
      </c>
      <c r="AD183" s="383">
        <f>'1000 North'!AD50</f>
        <v>0</v>
      </c>
      <c r="AE183" s="383">
        <f>'1000 North'!AE50</f>
        <v>0</v>
      </c>
      <c r="AF183" s="383">
        <f>'1000 North'!AF50</f>
        <v>0</v>
      </c>
      <c r="AG183" s="383">
        <f>'1000 North'!AG50</f>
        <v>0</v>
      </c>
      <c r="AH183" s="383">
        <f>'1000 North'!AH50</f>
        <v>0</v>
      </c>
      <c r="AI183" s="383">
        <f>'1000 North'!AI50</f>
        <v>0</v>
      </c>
      <c r="AJ183" s="383">
        <f>'1000 North'!AJ50</f>
        <v>0</v>
      </c>
      <c r="AK183" s="383">
        <f>'1000 North'!AK50</f>
        <v>0</v>
      </c>
      <c r="AL183" s="383">
        <f>'1000 North'!AL50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42.002254437116768</v>
      </c>
      <c r="E185" s="383">
        <f t="shared" ref="E185:AK187" si="80">E181*$C163</f>
        <v>43.699706473506907</v>
      </c>
      <c r="F185" s="383">
        <f t="shared" si="80"/>
        <v>45.465758242327112</v>
      </c>
      <c r="G185" s="383">
        <f t="shared" si="80"/>
        <v>47.303182088944752</v>
      </c>
      <c r="H185" s="383">
        <f t="shared" si="80"/>
        <v>65.619816531341201</v>
      </c>
      <c r="I185" s="383">
        <f t="shared" si="80"/>
        <v>68.271733498451439</v>
      </c>
      <c r="J185" s="383">
        <f t="shared" si="80"/>
        <v>71.030823328458837</v>
      </c>
      <c r="K185" s="383">
        <f t="shared" si="80"/>
        <v>73.901417236361397</v>
      </c>
      <c r="L185" s="383">
        <f t="shared" si="80"/>
        <v>76.888021476088269</v>
      </c>
      <c r="M185" s="383">
        <f t="shared" si="80"/>
        <v>79.995324414410092</v>
      </c>
      <c r="N185" s="383">
        <f t="shared" si="80"/>
        <v>83.228203890730242</v>
      </c>
      <c r="O185" s="383">
        <f t="shared" si="80"/>
        <v>86.591734874309296</v>
      </c>
      <c r="P185" s="383">
        <f t="shared" si="80"/>
        <v>90.091197430944419</v>
      </c>
      <c r="Q185" s="383">
        <f t="shared" si="80"/>
        <v>93.732085011608348</v>
      </c>
      <c r="R185" s="383">
        <f t="shared" si="80"/>
        <v>97.520113076060213</v>
      </c>
      <c r="S185" s="383">
        <f t="shared" si="80"/>
        <v>101.46122806496601</v>
      </c>
      <c r="T185" s="383">
        <f t="shared" si="80"/>
        <v>105.56161673461152</v>
      </c>
      <c r="U185" s="383">
        <f t="shared" si="80"/>
        <v>109.82771586886318</v>
      </c>
      <c r="V185" s="383">
        <f t="shared" si="80"/>
        <v>114.26622238362152</v>
      </c>
      <c r="W185" s="383">
        <f t="shared" si="80"/>
        <v>118.88410383962945</v>
      </c>
      <c r="X185" s="383">
        <f t="shared" si="80"/>
        <v>123.68860938013846</v>
      </c>
      <c r="Y185" s="383">
        <f t="shared" si="80"/>
        <v>128.68728111060264</v>
      </c>
      <c r="Z185" s="383">
        <f t="shared" si="80"/>
        <v>133.88796593826444</v>
      </c>
      <c r="AA185" s="383">
        <f t="shared" si="80"/>
        <v>139.29882789021738</v>
      </c>
      <c r="AB185" s="383">
        <f t="shared" si="80"/>
        <v>144.92836092928351</v>
      </c>
      <c r="AC185" s="383">
        <f t="shared" si="80"/>
        <v>150.78540228782308</v>
      </c>
      <c r="AD185" s="383">
        <f t="shared" si="80"/>
        <v>156.87914634040879</v>
      </c>
      <c r="AE185" s="383">
        <f t="shared" si="80"/>
        <v>163.21915903714051</v>
      </c>
      <c r="AF185" s="383">
        <f t="shared" si="80"/>
        <v>169.81539292025917</v>
      </c>
      <c r="AG185" s="383">
        <f t="shared" si="80"/>
        <v>176.67820274763267</v>
      </c>
      <c r="AH185" s="383">
        <f t="shared" si="80"/>
        <v>183.81836174763859</v>
      </c>
      <c r="AI185" s="383">
        <f t="shared" si="80"/>
        <v>191.247078530962</v>
      </c>
      <c r="AJ185" s="383">
        <f t="shared" si="80"/>
        <v>198.97601468585498</v>
      </c>
      <c r="AK185" s="383">
        <f t="shared" si="80"/>
        <v>207.0173030844804</v>
      </c>
      <c r="AL185" s="383">
        <f t="shared" ref="AL185" si="81">AL181*$C163</f>
        <v>215.38356692907573</v>
      </c>
    </row>
    <row r="186" spans="1:38">
      <c r="B186" s="385" t="s">
        <v>501</v>
      </c>
      <c r="C186" s="386" t="s">
        <v>479</v>
      </c>
      <c r="D186" s="383">
        <f>D182*$C164</f>
        <v>4.6669171596796408</v>
      </c>
      <c r="E186" s="383">
        <f t="shared" si="80"/>
        <v>4.8555229415007677</v>
      </c>
      <c r="F186" s="383">
        <f t="shared" si="80"/>
        <v>5.0517509158141225</v>
      </c>
      <c r="G186" s="383">
        <f t="shared" si="80"/>
        <v>5.255909120993862</v>
      </c>
      <c r="H186" s="383">
        <f t="shared" si="80"/>
        <v>7.2910907257045778</v>
      </c>
      <c r="I186" s="383">
        <f t="shared" si="80"/>
        <v>7.5857481664946054</v>
      </c>
      <c r="J186" s="383">
        <f t="shared" si="80"/>
        <v>7.8923137031620936</v>
      </c>
      <c r="K186" s="383">
        <f t="shared" si="80"/>
        <v>8.2112685818179312</v>
      </c>
      <c r="L186" s="383">
        <f t="shared" si="80"/>
        <v>8.5431134973431408</v>
      </c>
      <c r="M186" s="383">
        <f t="shared" si="80"/>
        <v>8.8883693793788989</v>
      </c>
      <c r="N186" s="383">
        <f t="shared" si="80"/>
        <v>9.2475782100811372</v>
      </c>
      <c r="O186" s="383">
        <f t="shared" si="80"/>
        <v>9.6213038749232567</v>
      </c>
      <c r="P186" s="383">
        <f t="shared" si="80"/>
        <v>10.010133047882714</v>
      </c>
      <c r="Q186" s="383">
        <f t="shared" si="80"/>
        <v>10.414676112400928</v>
      </c>
      <c r="R186" s="383">
        <f t="shared" si="80"/>
        <v>10.835568119562248</v>
      </c>
      <c r="S186" s="383">
        <f t="shared" si="80"/>
        <v>11.273469784996223</v>
      </c>
      <c r="T186" s="383">
        <f t="shared" si="80"/>
        <v>11.729068526067946</v>
      </c>
      <c r="U186" s="383">
        <f t="shared" si="80"/>
        <v>12.203079540984797</v>
      </c>
      <c r="V186" s="383">
        <f t="shared" si="80"/>
        <v>12.696246931513503</v>
      </c>
      <c r="W186" s="383">
        <f t="shared" si="80"/>
        <v>13.209344871069939</v>
      </c>
      <c r="X186" s="383">
        <f t="shared" si="80"/>
        <v>13.743178820015384</v>
      </c>
      <c r="Y186" s="383">
        <f t="shared" si="80"/>
        <v>14.298586790066961</v>
      </c>
      <c r="Z186" s="383">
        <f t="shared" si="80"/>
        <v>14.876440659807161</v>
      </c>
      <c r="AA186" s="383">
        <f t="shared" si="80"/>
        <v>15.477647543357484</v>
      </c>
      <c r="AB186" s="383">
        <f t="shared" si="80"/>
        <v>16.103151214364832</v>
      </c>
      <c r="AC186" s="383">
        <f t="shared" si="80"/>
        <v>16.753933587535901</v>
      </c>
      <c r="AD186" s="383">
        <f t="shared" si="80"/>
        <v>17.431016260045421</v>
      </c>
      <c r="AE186" s="383">
        <f t="shared" si="80"/>
        <v>18.135462115237832</v>
      </c>
      <c r="AF186" s="383">
        <f t="shared" si="80"/>
        <v>18.868376991139908</v>
      </c>
      <c r="AG186" s="383">
        <f t="shared" si="80"/>
        <v>19.630911416403627</v>
      </c>
      <c r="AH186" s="383">
        <f t="shared" si="80"/>
        <v>20.424262416404286</v>
      </c>
      <c r="AI186" s="383">
        <f t="shared" si="80"/>
        <v>21.249675392329113</v>
      </c>
      <c r="AJ186" s="383">
        <f t="shared" si="80"/>
        <v>22.108446076206111</v>
      </c>
      <c r="AK186" s="383">
        <f t="shared" si="80"/>
        <v>23.001922564942266</v>
      </c>
      <c r="AL186" s="383">
        <f t="shared" ref="AL186" si="82">AL182*$C164</f>
        <v>23.931507436563969</v>
      </c>
    </row>
    <row r="187" spans="1:38">
      <c r="B187" s="385" t="s">
        <v>768</v>
      </c>
      <c r="C187" s="386" t="s">
        <v>479</v>
      </c>
      <c r="D187" s="383">
        <f>D183*$C165</f>
        <v>0</v>
      </c>
      <c r="E187" s="383">
        <f t="shared" si="80"/>
        <v>0</v>
      </c>
      <c r="F187" s="383">
        <f t="shared" si="80"/>
        <v>0</v>
      </c>
      <c r="G187" s="383">
        <f t="shared" si="80"/>
        <v>0</v>
      </c>
      <c r="H187" s="383">
        <f t="shared" si="80"/>
        <v>0</v>
      </c>
      <c r="I187" s="383">
        <f t="shared" si="80"/>
        <v>0</v>
      </c>
      <c r="J187" s="383">
        <f t="shared" si="80"/>
        <v>0</v>
      </c>
      <c r="K187" s="383">
        <f t="shared" si="80"/>
        <v>0</v>
      </c>
      <c r="L187" s="383">
        <f t="shared" si="80"/>
        <v>0</v>
      </c>
      <c r="M187" s="383">
        <f t="shared" si="80"/>
        <v>0</v>
      </c>
      <c r="N187" s="383">
        <f t="shared" si="80"/>
        <v>0</v>
      </c>
      <c r="O187" s="383">
        <f t="shared" si="80"/>
        <v>0</v>
      </c>
      <c r="P187" s="383">
        <f t="shared" si="80"/>
        <v>0</v>
      </c>
      <c r="Q187" s="383">
        <f t="shared" si="80"/>
        <v>0</v>
      </c>
      <c r="R187" s="383">
        <f t="shared" si="80"/>
        <v>0</v>
      </c>
      <c r="S187" s="383">
        <f t="shared" si="80"/>
        <v>0</v>
      </c>
      <c r="T187" s="383">
        <f t="shared" si="80"/>
        <v>0</v>
      </c>
      <c r="U187" s="383">
        <f t="shared" si="80"/>
        <v>0</v>
      </c>
      <c r="V187" s="383">
        <f t="shared" si="80"/>
        <v>0</v>
      </c>
      <c r="W187" s="383">
        <f t="shared" si="80"/>
        <v>0</v>
      </c>
      <c r="X187" s="383">
        <f t="shared" si="80"/>
        <v>0</v>
      </c>
      <c r="Y187" s="383">
        <f t="shared" si="80"/>
        <v>0</v>
      </c>
      <c r="Z187" s="383">
        <f t="shared" si="80"/>
        <v>0</v>
      </c>
      <c r="AA187" s="383">
        <f t="shared" si="80"/>
        <v>0</v>
      </c>
      <c r="AB187" s="383">
        <f t="shared" si="80"/>
        <v>0</v>
      </c>
      <c r="AC187" s="383">
        <f t="shared" si="80"/>
        <v>0</v>
      </c>
      <c r="AD187" s="383">
        <f t="shared" si="80"/>
        <v>0</v>
      </c>
      <c r="AE187" s="383">
        <f t="shared" si="80"/>
        <v>0</v>
      </c>
      <c r="AF187" s="383">
        <f t="shared" si="80"/>
        <v>0</v>
      </c>
      <c r="AG187" s="383">
        <f t="shared" si="80"/>
        <v>0</v>
      </c>
      <c r="AH187" s="383">
        <f t="shared" si="80"/>
        <v>0</v>
      </c>
      <c r="AI187" s="383">
        <f t="shared" si="80"/>
        <v>0</v>
      </c>
      <c r="AJ187" s="383">
        <f t="shared" si="80"/>
        <v>0</v>
      </c>
      <c r="AK187" s="383">
        <f t="shared" si="80"/>
        <v>0</v>
      </c>
      <c r="AL187" s="383">
        <f t="shared" ref="AL187" si="83">AL183*$C165</f>
        <v>0</v>
      </c>
    </row>
    <row r="188" spans="1:38">
      <c r="D188" s="358"/>
      <c r="F188" s="464"/>
      <c r="G188" s="465"/>
      <c r="H188" s="465"/>
    </row>
    <row r="189" spans="1:38">
      <c r="B189" s="358" t="s">
        <v>459</v>
      </c>
      <c r="C189" s="362" t="s">
        <v>292</v>
      </c>
      <c r="D189" s="485">
        <f>SUMPRODUCT($C$153:$C$155,D185:D187)</f>
        <v>470.06737843967397</v>
      </c>
      <c r="E189" s="485">
        <f t="shared" ref="E189:AK189" si="84">SUMPRODUCT($C$153:$C$155,E185:E187)</f>
        <v>489.06437846898416</v>
      </c>
      <c r="F189" s="485">
        <f t="shared" si="84"/>
        <v>508.829111012113</v>
      </c>
      <c r="G189" s="485">
        <f t="shared" si="84"/>
        <v>529.39260271599755</v>
      </c>
      <c r="H189" s="485">
        <f t="shared" si="84"/>
        <v>734.38284549131299</v>
      </c>
      <c r="I189" s="485">
        <f t="shared" si="84"/>
        <v>764.06172042969297</v>
      </c>
      <c r="J189" s="485">
        <f t="shared" si="84"/>
        <v>794.94001828898683</v>
      </c>
      <c r="K189" s="485">
        <f t="shared" si="84"/>
        <v>827.06621177397835</v>
      </c>
      <c r="L189" s="485">
        <f t="shared" si="84"/>
        <v>860.49073253409779</v>
      </c>
      <c r="M189" s="485">
        <f t="shared" si="84"/>
        <v>895.26605033094643</v>
      </c>
      <c r="N189" s="485">
        <f t="shared" si="84"/>
        <v>931.44675540525157</v>
      </c>
      <c r="O189" s="485">
        <f t="shared" si="84"/>
        <v>969.08964417253731</v>
      </c>
      <c r="P189" s="485">
        <f t="shared" si="84"/>
        <v>1008.2538083820571</v>
      </c>
      <c r="Q189" s="485">
        <f t="shared" si="84"/>
        <v>1049.0007278789274</v>
      </c>
      <c r="R189" s="485">
        <f t="shared" si="84"/>
        <v>1091.3943671150937</v>
      </c>
      <c r="S189" s="485">
        <f t="shared" si="84"/>
        <v>1135.5012755606353</v>
      </c>
      <c r="T189" s="485">
        <f t="shared" si="84"/>
        <v>1181.3906921730147</v>
      </c>
      <c r="U189" s="485">
        <f t="shared" si="84"/>
        <v>1229.1346540882907</v>
      </c>
      <c r="V189" s="485">
        <f t="shared" si="84"/>
        <v>1278.8081097049053</v>
      </c>
      <c r="W189" s="485">
        <f t="shared" si="84"/>
        <v>1330.4890363375625</v>
      </c>
      <c r="X189" s="485">
        <f t="shared" si="84"/>
        <v>1384.2585626258992</v>
      </c>
      <c r="Y189" s="485">
        <f t="shared" si="84"/>
        <v>1440.2010958900996</v>
      </c>
      <c r="Z189" s="485">
        <f t="shared" si="84"/>
        <v>1498.404454633378</v>
      </c>
      <c r="AA189" s="485">
        <f t="shared" si="84"/>
        <v>1558.9600063993296</v>
      </c>
      <c r="AB189" s="485">
        <f t="shared" si="84"/>
        <v>1621.9628112005616</v>
      </c>
      <c r="AC189" s="485">
        <f t="shared" si="84"/>
        <v>1687.5117707437539</v>
      </c>
      <c r="AD189" s="485">
        <f t="shared" si="84"/>
        <v>1755.7097836854125</v>
      </c>
      <c r="AE189" s="485">
        <f t="shared" si="84"/>
        <v>1826.6639071620166</v>
      </c>
      <c r="AF189" s="485">
        <f t="shared" si="84"/>
        <v>1900.4855248481504</v>
      </c>
      <c r="AG189" s="485">
        <f t="shared" si="84"/>
        <v>1977.2905218064263</v>
      </c>
      <c r="AH189" s="485">
        <f t="shared" si="84"/>
        <v>2057.1994664036779</v>
      </c>
      <c r="AI189" s="485">
        <f t="shared" si="84"/>
        <v>2140.3377995789992</v>
      </c>
      <c r="AJ189" s="485">
        <f t="shared" si="84"/>
        <v>2226.8360317607371</v>
      </c>
      <c r="AK189" s="485">
        <f t="shared" si="84"/>
        <v>2316.8299477415649</v>
      </c>
      <c r="AL189" s="485">
        <f t="shared" ref="AL189" si="85">SUMPRODUCT($C$153:$C$155,AL185:AL187)</f>
        <v>2410.4608198332367</v>
      </c>
    </row>
    <row r="190" spans="1:38">
      <c r="D190" s="358"/>
      <c r="F190" s="464"/>
      <c r="G190" s="465"/>
      <c r="H190" s="465"/>
    </row>
    <row r="191" spans="1:38">
      <c r="B191" s="1177" t="s">
        <v>715</v>
      </c>
      <c r="C191" s="358" t="s">
        <v>295</v>
      </c>
      <c r="D191" s="383">
        <f>'1000 North'!D52</f>
        <v>435.24075250055785</v>
      </c>
      <c r="E191" s="383">
        <f>'1000 North'!E52</f>
        <v>452.8302917182238</v>
      </c>
      <c r="F191" s="383">
        <f>'1000 North'!F52</f>
        <v>471.13068323570849</v>
      </c>
      <c r="G191" s="383">
        <f>'1000 North'!G52</f>
        <v>490.17065497964489</v>
      </c>
      <c r="H191" s="383">
        <f>'1000 North'!H52</f>
        <v>679.9734611581008</v>
      </c>
      <c r="I191" s="383">
        <f>'1000 North'!I52</f>
        <v>707.4534703100403</v>
      </c>
      <c r="J191" s="383">
        <f>'1000 North'!J52</f>
        <v>736.04403883837779</v>
      </c>
      <c r="K191" s="383">
        <f>'1000 North'!K52</f>
        <v>765.79004817388977</v>
      </c>
      <c r="L191" s="383">
        <f>'1000 North'!L52</f>
        <v>796.7381935565669</v>
      </c>
      <c r="M191" s="383">
        <f>'1000 North'!M52</f>
        <v>828.93705733772788</v>
      </c>
      <c r="N191" s="383">
        <f>'1000 North'!N52</f>
        <v>862.43718524452356</v>
      </c>
      <c r="O191" s="383">
        <f>'1000 North'!O52</f>
        <v>897.29116572653845</v>
      </c>
      <c r="P191" s="383">
        <f>'1000 North'!P52</f>
        <v>933.55371250906182</v>
      </c>
      <c r="Q191" s="383">
        <f>'1000 North'!Q52</f>
        <v>971.28175048260823</v>
      </c>
      <c r="R191" s="383">
        <f>'1000 North'!R52</f>
        <v>1010.5345050635226</v>
      </c>
      <c r="S191" s="383">
        <f>'1000 North'!S52</f>
        <v>1051.3735951659523</v>
      </c>
      <c r="T191" s="383">
        <f>'1000 North'!T52</f>
        <v>1093.8631299311194</v>
      </c>
      <c r="U191" s="383">
        <f>'1000 North'!U52</f>
        <v>1138.0698093657563</v>
      </c>
      <c r="V191" s="383">
        <f>'1000 North'!V52</f>
        <v>1184.0630290476724</v>
      </c>
      <c r="W191" s="383">
        <f>'1000 North'!W52</f>
        <v>1231.9149890628271</v>
      </c>
      <c r="X191" s="383">
        <f>'1000 North'!X52</f>
        <v>1281.7008073449131</v>
      </c>
      <c r="Y191" s="383">
        <f>'1000 North'!Y52</f>
        <v>1333.4986375953754</v>
      </c>
      <c r="Z191" s="383">
        <f>'1000 North'!Z52</f>
        <v>1387.3897919689721</v>
      </c>
      <c r="AA191" s="383">
        <f>'1000 North'!AA52</f>
        <v>1443.4588687174698</v>
      </c>
      <c r="AB191" s="383">
        <f>'1000 North'!AB52</f>
        <v>1501.793884991851</v>
      </c>
      <c r="AC191" s="383">
        <f>'1000 North'!AC52</f>
        <v>1562.4864150115002</v>
      </c>
      <c r="AD191" s="383">
        <f>'1000 North'!AD52</f>
        <v>1625.6317338172798</v>
      </c>
      <c r="AE191" s="383">
        <f>'1000 North'!AE52</f>
        <v>1691.3289668341372</v>
      </c>
      <c r="AF191" s="383">
        <f>'1000 North'!AF52</f>
        <v>1759.6812454780479</v>
      </c>
      <c r="AG191" s="383">
        <f>'1000 North'!AG52</f>
        <v>1830.7958690515559</v>
      </c>
      <c r="AH191" s="383">
        <f>'1000 North'!AH52</f>
        <v>1904.7844731820521</v>
      </c>
      <c r="AI191" s="383">
        <f>'1000 North'!AI52</f>
        <v>1981.7632050672153</v>
      </c>
      <c r="AJ191" s="383">
        <f>'1000 North'!AJ52</f>
        <v>2061.8529058027002</v>
      </c>
      <c r="AK191" s="383">
        <f>'1000 North'!AK52</f>
        <v>2145.1793000783114</v>
      </c>
      <c r="AL191" s="383">
        <f>'1000 North'!AL52</f>
        <v>2231.8731935404226</v>
      </c>
    </row>
    <row r="192" spans="1:38">
      <c r="B192" s="1177" t="s">
        <v>716</v>
      </c>
      <c r="C192" s="358" t="s">
        <v>295</v>
      </c>
      <c r="D192" s="383">
        <f>'1000 North'!D53</f>
        <v>113.629287366113</v>
      </c>
      <c r="E192" s="383">
        <f>'1000 North'!E53</f>
        <v>118.22142814088826</v>
      </c>
      <c r="F192" s="383">
        <f>'1000 North'!F53</f>
        <v>122.99915273286561</v>
      </c>
      <c r="G192" s="383">
        <f>'1000 North'!G53</f>
        <v>127.96996120680707</v>
      </c>
      <c r="H192" s="383">
        <f>'1000 North'!H53</f>
        <v>177.5222089736767</v>
      </c>
      <c r="I192" s="383">
        <f>'1000 North'!I53</f>
        <v>184.69647709725999</v>
      </c>
      <c r="J192" s="383">
        <f>'1000 North'!J53</f>
        <v>192.16068146829446</v>
      </c>
      <c r="K192" s="383">
        <f>'1000 North'!K53</f>
        <v>199.92653938339313</v>
      </c>
      <c r="L192" s="383">
        <f>'1000 North'!L53</f>
        <v>208.0062416744417</v>
      </c>
      <c r="M192" s="383">
        <f>'1000 North'!M53</f>
        <v>216.41247184574712</v>
      </c>
      <c r="N192" s="383">
        <f>'1000 North'!N53</f>
        <v>225.15842598458423</v>
      </c>
      <c r="O192" s="383">
        <f>'1000 North'!O53</f>
        <v>234.25783347639234</v>
      </c>
      <c r="P192" s="383">
        <f>'1000 North'!P53</f>
        <v>243.72497855714437</v>
      </c>
      <c r="Q192" s="383">
        <f>'1000 North'!Q53</f>
        <v>253.57472273671826</v>
      </c>
      <c r="R192" s="383">
        <f>'1000 North'!R53</f>
        <v>263.82252812847213</v>
      </c>
      <c r="S192" s="383">
        <f>'1000 North'!S53</f>
        <v>274.48448172164723</v>
      </c>
      <c r="T192" s="383">
        <f>'1000 North'!T53</f>
        <v>285.57732063469786</v>
      </c>
      <c r="U192" s="383">
        <f>'1000 North'!U53</f>
        <v>297.1184583891951</v>
      </c>
      <c r="V192" s="383">
        <f>'1000 North'!V53</f>
        <v>309.12601224554618</v>
      </c>
      <c r="W192" s="383">
        <f>'1000 North'!W53</f>
        <v>321.61883164344204</v>
      </c>
      <c r="X192" s="383">
        <f>'1000 North'!X53</f>
        <v>334.61652779167895</v>
      </c>
      <c r="Y192" s="383">
        <f>'1000 North'!Y53</f>
        <v>348.13950445380431</v>
      </c>
      <c r="Z192" s="383">
        <f>'1000 North'!Z53</f>
        <v>362.20898997791346</v>
      </c>
      <c r="AA192" s="383">
        <f>'1000 North'!AA53</f>
        <v>376.84707062087796</v>
      </c>
      <c r="AB192" s="383">
        <f>'1000 North'!AB53</f>
        <v>392.07672521931767</v>
      </c>
      <c r="AC192" s="383">
        <f>'1000 North'!AC53</f>
        <v>407.92186126174369</v>
      </c>
      <c r="AD192" s="383">
        <f>'1000 North'!AD53</f>
        <v>424.40735241849723</v>
      </c>
      <c r="AE192" s="383">
        <f>'1000 North'!AE53</f>
        <v>441.55907758839942</v>
      </c>
      <c r="AF192" s="383">
        <f>'1000 North'!AF53</f>
        <v>459.40396152340651</v>
      </c>
      <c r="AG192" s="383">
        <f>'1000 North'!AG53</f>
        <v>477.97001709504485</v>
      </c>
      <c r="AH192" s="383">
        <f>'1000 North'!AH53</f>
        <v>497.28638926897395</v>
      </c>
      <c r="AI192" s="383">
        <f>'1000 North'!AI53</f>
        <v>517.38340085670882</v>
      </c>
      <c r="AJ192" s="383">
        <f>'1000 North'!AJ53</f>
        <v>538.29260011632277</v>
      </c>
      <c r="AK192" s="383">
        <f>'1000 North'!AK53</f>
        <v>560.04681027685524</v>
      </c>
      <c r="AL192" s="383">
        <f>'1000 North'!AL53</f>
        <v>582.68018106416616</v>
      </c>
    </row>
    <row r="193" spans="1:38">
      <c r="D193" s="358"/>
      <c r="F193" s="464"/>
      <c r="G193" s="465"/>
      <c r="H193" s="465"/>
    </row>
    <row r="194" spans="1:38">
      <c r="B194" s="358" t="s">
        <v>208</v>
      </c>
      <c r="C194" s="362" t="s">
        <v>292</v>
      </c>
      <c r="D194" s="485">
        <f>SUMPRODUCT(D191:D192,D$150:D$151)</f>
        <v>1186.8494279680281</v>
      </c>
      <c r="E194" s="485">
        <f t="shared" ref="E194:AK194" si="86">SUMPRODUCT(E191:E192,E$150:E$151)</f>
        <v>1242.9598648314086</v>
      </c>
      <c r="F194" s="485">
        <f t="shared" si="86"/>
        <v>1293.1907971387093</v>
      </c>
      <c r="G194" s="485">
        <f t="shared" si="86"/>
        <v>1338.1735331570237</v>
      </c>
      <c r="H194" s="485">
        <f t="shared" si="86"/>
        <v>1882.9665522454616</v>
      </c>
      <c r="I194" s="485">
        <f t="shared" si="86"/>
        <v>1988.5311427670226</v>
      </c>
      <c r="J194" s="485">
        <f t="shared" si="86"/>
        <v>2097.5012660369848</v>
      </c>
      <c r="K194" s="485">
        <f t="shared" si="86"/>
        <v>2205.6358565461683</v>
      </c>
      <c r="L194" s="485">
        <f t="shared" si="86"/>
        <v>2332.6216750421859</v>
      </c>
      <c r="M194" s="485">
        <f t="shared" si="86"/>
        <v>2514.6782118329011</v>
      </c>
      <c r="N194" s="485">
        <f t="shared" si="86"/>
        <v>2644.9199090996794</v>
      </c>
      <c r="O194" s="485">
        <f t="shared" si="86"/>
        <v>2783.2534789028846</v>
      </c>
      <c r="P194" s="485">
        <f t="shared" si="86"/>
        <v>2959.5211438342089</v>
      </c>
      <c r="Q194" s="485">
        <f t="shared" si="86"/>
        <v>3134.4321419118601</v>
      </c>
      <c r="R194" s="485">
        <f t="shared" si="86"/>
        <v>3303.7174035552212</v>
      </c>
      <c r="S194" s="485">
        <f t="shared" si="86"/>
        <v>3487.4912269306596</v>
      </c>
      <c r="T194" s="485">
        <f t="shared" si="86"/>
        <v>3649.155857190377</v>
      </c>
      <c r="U194" s="485">
        <f t="shared" si="86"/>
        <v>3846.3932766243756</v>
      </c>
      <c r="V194" s="485">
        <f t="shared" si="86"/>
        <v>4063.2839484758169</v>
      </c>
      <c r="W194" s="485">
        <f t="shared" si="86"/>
        <v>4244.6689734583051</v>
      </c>
      <c r="X194" s="485">
        <f t="shared" si="86"/>
        <v>4456.169935083979</v>
      </c>
      <c r="Y194" s="485">
        <f t="shared" si="86"/>
        <v>4722.591999285557</v>
      </c>
      <c r="Z194" s="485">
        <f t="shared" si="86"/>
        <v>4961.5808321084896</v>
      </c>
      <c r="AA194" s="485">
        <f t="shared" si="86"/>
        <v>5212.979888088541</v>
      </c>
      <c r="AB194" s="485">
        <f t="shared" si="86"/>
        <v>5510.0256900620243</v>
      </c>
      <c r="AC194" s="485">
        <f t="shared" si="86"/>
        <v>5753.8596432675968</v>
      </c>
      <c r="AD194" s="485">
        <f t="shared" si="86"/>
        <v>6098.3272501097035</v>
      </c>
      <c r="AE194" s="485">
        <f t="shared" si="86"/>
        <v>6428.5958619105877</v>
      </c>
      <c r="AF194" s="485">
        <f t="shared" si="86"/>
        <v>6755.2894812859195</v>
      </c>
      <c r="AG194" s="485">
        <f t="shared" si="86"/>
        <v>7088.8455439526751</v>
      </c>
      <c r="AH194" s="485">
        <f t="shared" si="86"/>
        <v>7450.7687325220868</v>
      </c>
      <c r="AI194" s="485">
        <f t="shared" si="86"/>
        <v>7830.8911223268342</v>
      </c>
      <c r="AJ194" s="485">
        <f t="shared" si="86"/>
        <v>8230.1189177583474</v>
      </c>
      <c r="AK194" s="485">
        <f t="shared" si="86"/>
        <v>8649.4031556427399</v>
      </c>
      <c r="AL194" s="485">
        <f t="shared" ref="AL194" si="87">SUMPRODUCT(AL191:AL192,AL$150:AL$151)</f>
        <v>9089.7419136712924</v>
      </c>
    </row>
    <row r="196" spans="1:38" ht="13">
      <c r="B196" s="364" t="s">
        <v>520</v>
      </c>
      <c r="C196" s="387" t="s">
        <v>292</v>
      </c>
      <c r="D196" s="488">
        <f>D189+D194</f>
        <v>1656.9168064077021</v>
      </c>
      <c r="E196" s="488">
        <f t="shared" ref="E196:AK196" si="88">E189+E194</f>
        <v>1732.0242433003928</v>
      </c>
      <c r="F196" s="488">
        <f t="shared" si="88"/>
        <v>1802.0199081508222</v>
      </c>
      <c r="G196" s="488">
        <f t="shared" si="88"/>
        <v>1867.5661358730213</v>
      </c>
      <c r="H196" s="488">
        <f t="shared" si="88"/>
        <v>2617.3493977367743</v>
      </c>
      <c r="I196" s="488">
        <f t="shared" si="88"/>
        <v>2752.5928631967154</v>
      </c>
      <c r="J196" s="488">
        <f t="shared" si="88"/>
        <v>2892.4412843259715</v>
      </c>
      <c r="K196" s="488">
        <f t="shared" si="88"/>
        <v>3032.7020683201467</v>
      </c>
      <c r="L196" s="488">
        <f t="shared" si="88"/>
        <v>3193.1124075762837</v>
      </c>
      <c r="M196" s="488">
        <f t="shared" si="88"/>
        <v>3409.9442621638473</v>
      </c>
      <c r="N196" s="488">
        <f t="shared" si="88"/>
        <v>3576.3666645049311</v>
      </c>
      <c r="O196" s="488">
        <f t="shared" si="88"/>
        <v>3752.3431230754218</v>
      </c>
      <c r="P196" s="488">
        <f t="shared" si="88"/>
        <v>3967.7749522162658</v>
      </c>
      <c r="Q196" s="488">
        <f t="shared" si="88"/>
        <v>4183.4328697907877</v>
      </c>
      <c r="R196" s="488">
        <f t="shared" si="88"/>
        <v>4395.1117706703153</v>
      </c>
      <c r="S196" s="488">
        <f t="shared" si="88"/>
        <v>4622.9925024912955</v>
      </c>
      <c r="T196" s="488">
        <f t="shared" si="88"/>
        <v>4830.5465493633919</v>
      </c>
      <c r="U196" s="488">
        <f t="shared" si="88"/>
        <v>5075.5279307126666</v>
      </c>
      <c r="V196" s="488">
        <f t="shared" si="88"/>
        <v>5342.0920581807222</v>
      </c>
      <c r="W196" s="488">
        <f t="shared" si="88"/>
        <v>5575.1580097958677</v>
      </c>
      <c r="X196" s="488">
        <f t="shared" si="88"/>
        <v>5840.4284977098778</v>
      </c>
      <c r="Y196" s="488">
        <f t="shared" si="88"/>
        <v>6162.7930951756571</v>
      </c>
      <c r="Z196" s="488">
        <f t="shared" si="88"/>
        <v>6459.9852867418676</v>
      </c>
      <c r="AA196" s="488">
        <f t="shared" si="88"/>
        <v>6771.9398944878703</v>
      </c>
      <c r="AB196" s="488">
        <f t="shared" si="88"/>
        <v>7131.9885012625855</v>
      </c>
      <c r="AC196" s="488">
        <f t="shared" si="88"/>
        <v>7441.3714140113507</v>
      </c>
      <c r="AD196" s="488">
        <f t="shared" si="88"/>
        <v>7854.0370337951163</v>
      </c>
      <c r="AE196" s="488">
        <f t="shared" si="88"/>
        <v>8255.2597690726034</v>
      </c>
      <c r="AF196" s="488">
        <f t="shared" si="88"/>
        <v>8655.7750061340703</v>
      </c>
      <c r="AG196" s="488">
        <f t="shared" si="88"/>
        <v>9066.1360657591013</v>
      </c>
      <c r="AH196" s="488">
        <f t="shared" si="88"/>
        <v>9507.9681989257642</v>
      </c>
      <c r="AI196" s="488">
        <f t="shared" si="88"/>
        <v>9971.228921905833</v>
      </c>
      <c r="AJ196" s="488">
        <f t="shared" si="88"/>
        <v>10456.954949519084</v>
      </c>
      <c r="AK196" s="488">
        <f t="shared" si="88"/>
        <v>10966.233103384304</v>
      </c>
      <c r="AL196" s="488">
        <f t="shared" ref="AL196" si="89">AL189+AL194</f>
        <v>11500.20273350453</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0">E172-E191</f>
        <v>0</v>
      </c>
      <c r="F200" s="383">
        <f t="shared" si="90"/>
        <v>0</v>
      </c>
      <c r="G200" s="383">
        <f t="shared" si="90"/>
        <v>0</v>
      </c>
      <c r="H200" s="383">
        <f t="shared" si="90"/>
        <v>-169.99336528952517</v>
      </c>
      <c r="I200" s="383">
        <f t="shared" si="90"/>
        <v>-176.86336757751019</v>
      </c>
      <c r="J200" s="383">
        <f t="shared" si="90"/>
        <v>-184.01100970959442</v>
      </c>
      <c r="K200" s="383">
        <f t="shared" si="90"/>
        <v>-191.44751204347233</v>
      </c>
      <c r="L200" s="383">
        <f t="shared" si="90"/>
        <v>-199.18454838914181</v>
      </c>
      <c r="M200" s="383">
        <f t="shared" si="90"/>
        <v>-207.23426433443183</v>
      </c>
      <c r="N200" s="383">
        <f t="shared" si="90"/>
        <v>-215.60929631113095</v>
      </c>
      <c r="O200" s="383">
        <f t="shared" si="90"/>
        <v>-224.32279143163441</v>
      </c>
      <c r="P200" s="383">
        <f t="shared" si="90"/>
        <v>-233.38842812726523</v>
      </c>
      <c r="Q200" s="383">
        <f t="shared" si="90"/>
        <v>-242.820437620652</v>
      </c>
      <c r="R200" s="383">
        <f t="shared" si="90"/>
        <v>-252.63362626588071</v>
      </c>
      <c r="S200" s="383">
        <f t="shared" si="90"/>
        <v>-262.84339879148786</v>
      </c>
      <c r="T200" s="383">
        <f t="shared" si="90"/>
        <v>-273.46578248277956</v>
      </c>
      <c r="U200" s="383">
        <f t="shared" si="90"/>
        <v>-284.51745234143891</v>
      </c>
      <c r="V200" s="383">
        <f t="shared" si="90"/>
        <v>-296.01575726191822</v>
      </c>
      <c r="W200" s="383">
        <f t="shared" si="90"/>
        <v>-307.97874726570683</v>
      </c>
      <c r="X200" s="383">
        <f t="shared" si="90"/>
        <v>-320.42520183622844</v>
      </c>
      <c r="Y200" s="383">
        <f t="shared" si="90"/>
        <v>-333.37465939884396</v>
      </c>
      <c r="Z200" s="383">
        <f t="shared" si="90"/>
        <v>-346.84744799224268</v>
      </c>
      <c r="AA200" s="383">
        <f t="shared" si="90"/>
        <v>-360.86471717936729</v>
      </c>
      <c r="AB200" s="383">
        <f t="shared" si="90"/>
        <v>-375.44847124796297</v>
      </c>
      <c r="AC200" s="383">
        <f t="shared" si="90"/>
        <v>-390.62160375287499</v>
      </c>
      <c r="AD200" s="383">
        <f t="shared" si="90"/>
        <v>-406.40793345431985</v>
      </c>
      <c r="AE200" s="383">
        <f t="shared" si="90"/>
        <v>-422.83224170853441</v>
      </c>
      <c r="AF200" s="383">
        <f t="shared" si="90"/>
        <v>-439.92031136951232</v>
      </c>
      <c r="AG200" s="383">
        <f t="shared" si="90"/>
        <v>-457.69896726288948</v>
      </c>
      <c r="AH200" s="383">
        <f t="shared" si="90"/>
        <v>-476.19611829551332</v>
      </c>
      <c r="AI200" s="383">
        <f t="shared" si="90"/>
        <v>-495.44080126680365</v>
      </c>
      <c r="AJ200" s="383">
        <f t="shared" si="90"/>
        <v>-515.46322645067494</v>
      </c>
      <c r="AK200" s="383">
        <f t="shared" si="90"/>
        <v>-536.29482501957818</v>
      </c>
      <c r="AL200" s="383">
        <f t="shared" ref="AL200" si="91">AL172-AL191</f>
        <v>-557.96829838510553</v>
      </c>
    </row>
    <row r="201" spans="1:38" ht="13">
      <c r="B201" s="364" t="s">
        <v>820</v>
      </c>
      <c r="C201" s="387" t="s">
        <v>295</v>
      </c>
      <c r="D201" s="383">
        <f>D173-D192</f>
        <v>0</v>
      </c>
      <c r="E201" s="383">
        <f t="shared" si="90"/>
        <v>0</v>
      </c>
      <c r="F201" s="383">
        <f t="shared" si="90"/>
        <v>0</v>
      </c>
      <c r="G201" s="383">
        <f t="shared" si="90"/>
        <v>0</v>
      </c>
      <c r="H201" s="383">
        <f t="shared" si="90"/>
        <v>-44.380552243419203</v>
      </c>
      <c r="I201" s="383">
        <f t="shared" si="90"/>
        <v>-46.174119274315046</v>
      </c>
      <c r="J201" s="383">
        <f t="shared" si="90"/>
        <v>-48.040170367073586</v>
      </c>
      <c r="K201" s="383">
        <f t="shared" si="90"/>
        <v>-49.98163484584822</v>
      </c>
      <c r="L201" s="383">
        <f t="shared" si="90"/>
        <v>-52.001560418610438</v>
      </c>
      <c r="M201" s="383">
        <f t="shared" si="90"/>
        <v>-54.103117961436737</v>
      </c>
      <c r="N201" s="383">
        <f t="shared" si="90"/>
        <v>-56.289606496146064</v>
      </c>
      <c r="O201" s="383">
        <f t="shared" si="90"/>
        <v>-58.56445836909802</v>
      </c>
      <c r="P201" s="383">
        <f t="shared" si="90"/>
        <v>-60.931244639286035</v>
      </c>
      <c r="Q201" s="383">
        <f t="shared" si="90"/>
        <v>-63.393680684179571</v>
      </c>
      <c r="R201" s="383">
        <f t="shared" si="90"/>
        <v>-65.955632032118075</v>
      </c>
      <c r="S201" s="383">
        <f t="shared" si="90"/>
        <v>-68.621120430411736</v>
      </c>
      <c r="T201" s="383">
        <f t="shared" si="90"/>
        <v>-71.394330158674364</v>
      </c>
      <c r="U201" s="383">
        <f t="shared" si="90"/>
        <v>-74.279614597298718</v>
      </c>
      <c r="V201" s="383">
        <f t="shared" si="90"/>
        <v>-77.28150306138653</v>
      </c>
      <c r="W201" s="383">
        <f t="shared" si="90"/>
        <v>-80.404707910860537</v>
      </c>
      <c r="X201" s="383">
        <f t="shared" si="90"/>
        <v>-83.65413194791978</v>
      </c>
      <c r="Y201" s="383">
        <f t="shared" si="90"/>
        <v>-87.034876113451105</v>
      </c>
      <c r="Z201" s="383">
        <f t="shared" si="90"/>
        <v>-90.552247494478252</v>
      </c>
      <c r="AA201" s="383">
        <f t="shared" si="90"/>
        <v>-94.211767655219433</v>
      </c>
      <c r="AB201" s="383">
        <f t="shared" si="90"/>
        <v>-98.019181304829431</v>
      </c>
      <c r="AC201" s="383">
        <f t="shared" si="90"/>
        <v>-101.98046531543594</v>
      </c>
      <c r="AD201" s="383">
        <f t="shared" si="90"/>
        <v>-106.10183810462416</v>
      </c>
      <c r="AE201" s="383">
        <f t="shared" si="90"/>
        <v>-110.38976939709988</v>
      </c>
      <c r="AF201" s="383">
        <f t="shared" si="90"/>
        <v>-114.85099038085173</v>
      </c>
      <c r="AG201" s="383">
        <f t="shared" si="90"/>
        <v>-119.49250427376131</v>
      </c>
      <c r="AH201" s="383">
        <f t="shared" si="90"/>
        <v>-124.32159731724352</v>
      </c>
      <c r="AI201" s="383">
        <f t="shared" si="90"/>
        <v>-129.34585021417712</v>
      </c>
      <c r="AJ201" s="383">
        <f t="shared" si="90"/>
        <v>-134.57315002908075</v>
      </c>
      <c r="AK201" s="383">
        <f t="shared" si="90"/>
        <v>-140.01170256921392</v>
      </c>
      <c r="AL201" s="383">
        <f t="shared" ref="AL201" si="92">AL173-AL192</f>
        <v>-145.67004526604143</v>
      </c>
    </row>
    <row r="202" spans="1:38" ht="13">
      <c r="B202" s="364" t="s">
        <v>821</v>
      </c>
      <c r="C202" s="387" t="s">
        <v>479</v>
      </c>
      <c r="D202" s="383">
        <f>SUM(D166:D168)-SUM(D185:D187)</f>
        <v>0</v>
      </c>
      <c r="E202" s="383">
        <f t="shared" ref="E202:AE202" si="93">SUM(E166:E168)-SUM(E185:E187)</f>
        <v>0</v>
      </c>
      <c r="F202" s="383">
        <f t="shared" si="93"/>
        <v>0</v>
      </c>
      <c r="G202" s="383">
        <f t="shared" si="93"/>
        <v>0</v>
      </c>
      <c r="H202" s="383">
        <f t="shared" si="93"/>
        <v>-18.227726814261452</v>
      </c>
      <c r="I202" s="383">
        <f t="shared" si="93"/>
        <v>-18.964370416236527</v>
      </c>
      <c r="J202" s="383">
        <f t="shared" si="93"/>
        <v>-19.730784257905228</v>
      </c>
      <c r="K202" s="383">
        <f t="shared" si="93"/>
        <v>-20.528171454544825</v>
      </c>
      <c r="L202" s="383">
        <f t="shared" si="93"/>
        <v>-21.357783743357871</v>
      </c>
      <c r="M202" s="383">
        <f t="shared" si="93"/>
        <v>-22.220923448447238</v>
      </c>
      <c r="N202" s="383">
        <f t="shared" si="93"/>
        <v>-23.118945525202861</v>
      </c>
      <c r="O202" s="383">
        <f t="shared" si="93"/>
        <v>-24.053259687308113</v>
      </c>
      <c r="P202" s="383">
        <f t="shared" si="93"/>
        <v>-25.025332619706759</v>
      </c>
      <c r="Q202" s="383">
        <f t="shared" si="93"/>
        <v>-26.036690281002322</v>
      </c>
      <c r="R202" s="383">
        <f t="shared" si="93"/>
        <v>-27.08892029890562</v>
      </c>
      <c r="S202" s="383">
        <f t="shared" si="93"/>
        <v>-28.183674462490515</v>
      </c>
      <c r="T202" s="383">
        <f t="shared" si="93"/>
        <v>-29.322671315169842</v>
      </c>
      <c r="U202" s="383">
        <f t="shared" si="93"/>
        <v>-30.507698852461971</v>
      </c>
      <c r="V202" s="383">
        <f t="shared" si="93"/>
        <v>-31.740617328783756</v>
      </c>
      <c r="W202" s="383">
        <f t="shared" si="93"/>
        <v>-33.023362177674855</v>
      </c>
      <c r="X202" s="383">
        <f t="shared" si="93"/>
        <v>-34.35794705003849</v>
      </c>
      <c r="Y202" s="383">
        <f t="shared" si="93"/>
        <v>-35.746466975167408</v>
      </c>
      <c r="Z202" s="383">
        <f t="shared" si="93"/>
        <v>-37.19110164951789</v>
      </c>
      <c r="AA202" s="383">
        <f t="shared" si="93"/>
        <v>-38.694118858393722</v>
      </c>
      <c r="AB202" s="383">
        <f t="shared" si="93"/>
        <v>-40.257878035912114</v>
      </c>
      <c r="AC202" s="383">
        <f t="shared" si="93"/>
        <v>-41.884833968839729</v>
      </c>
      <c r="AD202" s="383">
        <f t="shared" si="93"/>
        <v>-43.577540650113519</v>
      </c>
      <c r="AE202" s="383">
        <f t="shared" si="93"/>
        <v>-45.3386552880946</v>
      </c>
      <c r="AF202" s="383">
        <f t="shared" ref="AF202:AJ202" si="94">SUM(AF166:AF168)-SUM(AF185:AF187)</f>
        <v>-47.17094247784982</v>
      </c>
      <c r="AG202" s="383">
        <f t="shared" si="94"/>
        <v>-49.077278541009122</v>
      </c>
      <c r="AH202" s="383">
        <f t="shared" si="94"/>
        <v>-51.060656041010759</v>
      </c>
      <c r="AI202" s="383">
        <f t="shared" si="94"/>
        <v>-53.124188480822738</v>
      </c>
      <c r="AJ202" s="383">
        <f t="shared" si="94"/>
        <v>-55.271115190515275</v>
      </c>
      <c r="AK202" s="383">
        <f t="shared" ref="AK202:AL202" si="95">SUM(AK166:AK168)-SUM(AK185:AK187)</f>
        <v>-57.504806412355748</v>
      </c>
      <c r="AL202" s="383">
        <f t="shared" si="95"/>
        <v>-59.828768591409897</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96">D177-D196</f>
        <v>0</v>
      </c>
      <c r="E204" s="488">
        <f t="shared" si="96"/>
        <v>0</v>
      </c>
      <c r="F204" s="488">
        <f t="shared" si="96"/>
        <v>0</v>
      </c>
      <c r="G204" s="488">
        <f t="shared" si="96"/>
        <v>0</v>
      </c>
      <c r="H204" s="488">
        <f t="shared" si="96"/>
        <v>-654.33734943419358</v>
      </c>
      <c r="I204" s="488">
        <f t="shared" si="96"/>
        <v>-688.14821579917907</v>
      </c>
      <c r="J204" s="488">
        <f t="shared" si="96"/>
        <v>-723.11032108149266</v>
      </c>
      <c r="K204" s="488">
        <f t="shared" si="96"/>
        <v>-758.17551708003657</v>
      </c>
      <c r="L204" s="488">
        <f t="shared" si="96"/>
        <v>-798.27810189407182</v>
      </c>
      <c r="M204" s="488">
        <f t="shared" si="96"/>
        <v>-852.48606554096114</v>
      </c>
      <c r="N204" s="488">
        <f t="shared" si="96"/>
        <v>-894.09166612623312</v>
      </c>
      <c r="O204" s="488">
        <f t="shared" si="96"/>
        <v>-938.08578076885442</v>
      </c>
      <c r="P204" s="488">
        <f t="shared" si="96"/>
        <v>-991.94373805406531</v>
      </c>
      <c r="Q204" s="488">
        <f t="shared" si="96"/>
        <v>-1045.8582174476969</v>
      </c>
      <c r="R204" s="488">
        <f t="shared" si="96"/>
        <v>-1098.7779426675793</v>
      </c>
      <c r="S204" s="488">
        <f t="shared" si="96"/>
        <v>-1155.7481256228225</v>
      </c>
      <c r="T204" s="488">
        <f t="shared" si="96"/>
        <v>-1207.6366373408464</v>
      </c>
      <c r="U204" s="488">
        <f t="shared" si="96"/>
        <v>-1268.8819826781655</v>
      </c>
      <c r="V204" s="488">
        <f t="shared" si="96"/>
        <v>-1335.523014545181</v>
      </c>
      <c r="W204" s="488">
        <f t="shared" si="96"/>
        <v>-1393.7895024489671</v>
      </c>
      <c r="X204" s="488">
        <f t="shared" si="96"/>
        <v>-1460.1071244274699</v>
      </c>
      <c r="Y204" s="488">
        <f t="shared" si="96"/>
        <v>-1540.6982737939161</v>
      </c>
      <c r="Z204" s="488">
        <f t="shared" si="96"/>
        <v>-1614.9963216854649</v>
      </c>
      <c r="AA204" s="488">
        <f t="shared" si="96"/>
        <v>-1692.9849736219658</v>
      </c>
      <c r="AB204" s="488">
        <f t="shared" si="96"/>
        <v>-1782.9971253156473</v>
      </c>
      <c r="AC204" s="488">
        <f t="shared" si="96"/>
        <v>-1860.342853502837</v>
      </c>
      <c r="AD204" s="488">
        <f t="shared" si="96"/>
        <v>-1963.5092584487784</v>
      </c>
      <c r="AE204" s="488">
        <f t="shared" si="96"/>
        <v>-2063.8149422681508</v>
      </c>
      <c r="AF204" s="488">
        <f t="shared" si="96"/>
        <v>-2163.9437515335203</v>
      </c>
      <c r="AG204" s="488">
        <f t="shared" si="96"/>
        <v>-2266.5340164397767</v>
      </c>
      <c r="AH204" s="488">
        <f t="shared" si="96"/>
        <v>-2376.9920497314433</v>
      </c>
      <c r="AI204" s="488">
        <f t="shared" si="96"/>
        <v>-2492.8072304764573</v>
      </c>
      <c r="AJ204" s="488">
        <f t="shared" si="96"/>
        <v>-2614.2387373797692</v>
      </c>
      <c r="AK204" s="488">
        <f t="shared" si="96"/>
        <v>-2741.5582758460769</v>
      </c>
      <c r="AL204" s="488">
        <f t="shared" ref="AL204" si="97">AL177-AL196</f>
        <v>-2875.0506833761319</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theme="4" tint="0.39997558519241921"/>
  </sheetPr>
  <dimension ref="A1:AL135"/>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7.25"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Inputs'!E50</f>
        <v>806913W</v>
      </c>
      <c r="E4" s="410"/>
    </row>
    <row r="5" spans="1:38">
      <c r="B5" s="358" t="s">
        <v>628</v>
      </c>
      <c r="C5" s="399" t="s">
        <v>629</v>
      </c>
      <c r="D5" s="439" t="str">
        <f>'Crossing Inputs'!E52</f>
        <v>Urban</v>
      </c>
      <c r="E5" s="398">
        <f>SUMIFS('Accidents Methodology'!$C$22:$C$23,'Accidents Methodology'!$B$22:$B$23,$D5)</f>
        <v>1</v>
      </c>
    </row>
    <row r="6" spans="1:38">
      <c r="B6" s="358" t="s">
        <v>615</v>
      </c>
      <c r="C6" s="399" t="s">
        <v>150</v>
      </c>
      <c r="D6" s="439" t="str">
        <f>'Crossing Inputs'!E53</f>
        <v>Flashing Lights</v>
      </c>
      <c r="E6" s="398">
        <f>SUMIFS('Accidents Methodology'!$C$3:$C$5,'Accidents Methodology'!$B$3:$B$5,$D6)</f>
        <v>3.6459999999999999E-3</v>
      </c>
    </row>
    <row r="7" spans="1:38">
      <c r="B7" s="358" t="s">
        <v>630</v>
      </c>
      <c r="C7" s="399" t="s">
        <v>631</v>
      </c>
      <c r="D7" s="439" t="str">
        <f>'Crossing Inputs'!E55</f>
        <v>Yes</v>
      </c>
      <c r="E7" s="398">
        <f>SUMIFS('Accidents Methodology'!$C$26:$C$27,'Accidents Methodology'!$B$26:$B$27,$D7)</f>
        <v>1</v>
      </c>
    </row>
    <row r="8" spans="1:38">
      <c r="B8" s="358" t="s">
        <v>632</v>
      </c>
      <c r="C8" s="399" t="s">
        <v>633</v>
      </c>
      <c r="D8" s="439" t="str">
        <f>'Crossing Inputs'!$E$52&amp;" - "&amp;'Crossing Inputs'!$E$54</f>
        <v>Urban - Local</v>
      </c>
      <c r="E8" s="398">
        <f>SUMIFS('Accidents Methodology'!$C$8:$C$19,'Accidents Methodology'!$B$8:$B$19,$D8)</f>
        <v>6</v>
      </c>
    </row>
    <row r="9" spans="1:38">
      <c r="B9" s="358" t="s">
        <v>607</v>
      </c>
      <c r="C9" s="399" t="s">
        <v>635</v>
      </c>
      <c r="D9" s="439">
        <f>'Crossing Inputs'!E56</f>
        <v>1</v>
      </c>
    </row>
    <row r="10" spans="1:38">
      <c r="B10" s="358" t="s">
        <v>636</v>
      </c>
      <c r="C10" s="399" t="s">
        <v>637</v>
      </c>
      <c r="D10" s="439">
        <f>'Crossing Inputs'!E61</f>
        <v>2</v>
      </c>
    </row>
    <row r="11" spans="1:38">
      <c r="B11" s="358" t="s">
        <v>610</v>
      </c>
      <c r="C11" s="399" t="s">
        <v>638</v>
      </c>
      <c r="D11" s="439">
        <f>'Crossing Inputs'!E57</f>
        <v>3</v>
      </c>
    </row>
    <row r="12" spans="1:38">
      <c r="C12" s="399"/>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3">
      <c r="C14" s="399"/>
      <c r="D14" s="440">
        <f>D$1</f>
        <v>2021</v>
      </c>
      <c r="E14" s="440">
        <f t="shared" ref="E14:AL14" si="0">E$1</f>
        <v>2022</v>
      </c>
      <c r="F14" s="440">
        <f t="shared" si="0"/>
        <v>2023</v>
      </c>
      <c r="G14" s="440">
        <f t="shared" si="0"/>
        <v>2024</v>
      </c>
      <c r="H14" s="440">
        <f t="shared" si="0"/>
        <v>2025</v>
      </c>
      <c r="I14" s="440">
        <f t="shared" si="0"/>
        <v>2026</v>
      </c>
      <c r="J14" s="440">
        <f t="shared" si="0"/>
        <v>2027</v>
      </c>
      <c r="K14" s="440">
        <f t="shared" si="0"/>
        <v>2028</v>
      </c>
      <c r="L14" s="440">
        <f t="shared" si="0"/>
        <v>2029</v>
      </c>
      <c r="M14" s="440">
        <f t="shared" si="0"/>
        <v>2030</v>
      </c>
      <c r="N14" s="440">
        <f t="shared" si="0"/>
        <v>2031</v>
      </c>
      <c r="O14" s="440">
        <f t="shared" si="0"/>
        <v>2032</v>
      </c>
      <c r="P14" s="440">
        <f t="shared" si="0"/>
        <v>2033</v>
      </c>
      <c r="Q14" s="440">
        <f t="shared" si="0"/>
        <v>2034</v>
      </c>
      <c r="R14" s="440">
        <f t="shared" si="0"/>
        <v>2035</v>
      </c>
      <c r="S14" s="440">
        <f t="shared" si="0"/>
        <v>2036</v>
      </c>
      <c r="T14" s="440">
        <f t="shared" si="0"/>
        <v>2037</v>
      </c>
      <c r="U14" s="440">
        <f t="shared" si="0"/>
        <v>2038</v>
      </c>
      <c r="V14" s="440">
        <f t="shared" si="0"/>
        <v>2039</v>
      </c>
      <c r="W14" s="440">
        <f t="shared" si="0"/>
        <v>2040</v>
      </c>
      <c r="X14" s="440">
        <f t="shared" si="0"/>
        <v>2041</v>
      </c>
      <c r="Y14" s="440">
        <f t="shared" si="0"/>
        <v>2042</v>
      </c>
      <c r="Z14" s="440">
        <f t="shared" si="0"/>
        <v>2043</v>
      </c>
      <c r="AA14" s="440">
        <f t="shared" si="0"/>
        <v>2044</v>
      </c>
      <c r="AB14" s="440">
        <f t="shared" si="0"/>
        <v>2045</v>
      </c>
      <c r="AC14" s="440">
        <f t="shared" si="0"/>
        <v>2046</v>
      </c>
      <c r="AD14" s="440">
        <f t="shared" si="0"/>
        <v>2047</v>
      </c>
      <c r="AE14" s="440">
        <f t="shared" si="0"/>
        <v>2048</v>
      </c>
      <c r="AF14" s="440">
        <f t="shared" si="0"/>
        <v>2049</v>
      </c>
      <c r="AG14" s="440">
        <f t="shared" si="0"/>
        <v>2050</v>
      </c>
      <c r="AH14" s="440">
        <f t="shared" si="0"/>
        <v>2051</v>
      </c>
      <c r="AI14" s="440">
        <f t="shared" si="0"/>
        <v>2052</v>
      </c>
      <c r="AJ14" s="440">
        <f t="shared" si="0"/>
        <v>2053</v>
      </c>
      <c r="AK14" s="440">
        <f t="shared" si="0"/>
        <v>2054</v>
      </c>
      <c r="AL14" s="440">
        <f t="shared" si="0"/>
        <v>2055</v>
      </c>
    </row>
    <row r="15" spans="1:38" ht="13">
      <c r="B15" s="400" t="s">
        <v>639</v>
      </c>
      <c r="C15" s="401" t="s">
        <v>640</v>
      </c>
      <c r="D15" s="441">
        <f>'1000 North'!D6</f>
        <v>1170.2572699256787</v>
      </c>
      <c r="E15" s="441">
        <f>'1000 North'!E6</f>
        <v>1204.7729396586369</v>
      </c>
      <c r="F15" s="441">
        <f>'1000 North'!F6</f>
        <v>1240.3066175576032</v>
      </c>
      <c r="G15" s="441">
        <f>'1000 North'!G6</f>
        <v>1276.8883288439938</v>
      </c>
      <c r="H15" s="441">
        <f>'1000 North'!H6</f>
        <v>1314.5489843057178</v>
      </c>
      <c r="I15" s="441">
        <f>'1000 North'!I6</f>
        <v>1353.3204064161509</v>
      </c>
      <c r="J15" s="441">
        <f>'1000 North'!J6</f>
        <v>1393.2353562234694</v>
      </c>
      <c r="K15" s="441">
        <f>'1000 North'!K6</f>
        <v>1434.3275610330525</v>
      </c>
      <c r="L15" s="441">
        <f>'1000 North'!L6</f>
        <v>1476.6317429063604</v>
      </c>
      <c r="M15" s="441">
        <f>'1000 North'!M6</f>
        <v>1520.1836480003531</v>
      </c>
      <c r="N15" s="441">
        <f>'1000 North'!N6</f>
        <v>1565.0200767722558</v>
      </c>
      <c r="O15" s="441">
        <f>'1000 North'!O6</f>
        <v>1611.1789150751795</v>
      </c>
      <c r="P15" s="441">
        <f>'1000 North'!P6</f>
        <v>1658.6991661708832</v>
      </c>
      <c r="Q15" s="441">
        <f>'1000 North'!Q6</f>
        <v>1707.620983686722</v>
      </c>
      <c r="R15" s="441">
        <f>'1000 North'!R6</f>
        <v>1757.9857055446284</v>
      </c>
      <c r="S15" s="441">
        <f>'1000 North'!S6</f>
        <v>1809.8358888908033</v>
      </c>
      <c r="T15" s="441">
        <f>'1000 North'!T6</f>
        <v>1863.2153460556174</v>
      </c>
      <c r="U15" s="441">
        <f>'1000 North'!U6</f>
        <v>1918.1691815741262</v>
      </c>
      <c r="V15" s="441">
        <f>'1000 North'!V6</f>
        <v>1974.7438302984672</v>
      </c>
      <c r="W15" s="441">
        <f>'1000 North'!W6</f>
        <v>2032.9870966343453</v>
      </c>
      <c r="X15" s="441">
        <f>'1000 North'!X6</f>
        <v>2092.9481949347673</v>
      </c>
      <c r="Y15" s="441">
        <f>'1000 North'!Y6</f>
        <v>2154.6777910851483</v>
      </c>
      <c r="Z15" s="441">
        <f>'1000 North'!Z6</f>
        <v>2218.2280453149369</v>
      </c>
      <c r="AA15" s="441">
        <f>'1000 North'!AA6</f>
        <v>2283.6526562719264</v>
      </c>
      <c r="AB15" s="441">
        <f>'1000 North'!AB6</f>
        <v>2351.0069063965002</v>
      </c>
      <c r="AC15" s="441">
        <f>'1000 North'!AC6</f>
        <v>2420.3477086341472</v>
      </c>
      <c r="AD15" s="441">
        <f>'1000 North'!AD6</f>
        <v>2491.7336545257235</v>
      </c>
      <c r="AE15" s="441">
        <f>'1000 North'!AE6</f>
        <v>2565.2250637160887</v>
      </c>
      <c r="AF15" s="441">
        <f>'1000 North'!AF6</f>
        <v>2640.8840349229536</v>
      </c>
      <c r="AG15" s="441">
        <f>'1000 North'!AG6</f>
        <v>2718.7744984090141</v>
      </c>
      <c r="AH15" s="441">
        <f>'1000 North'!AH6</f>
        <v>2798.9622700016953</v>
      </c>
      <c r="AI15" s="441">
        <f>'1000 North'!AI6</f>
        <v>2881.5151067061624</v>
      </c>
      <c r="AJ15" s="441">
        <f>'1000 North'!AJ6</f>
        <v>2966.5027639585855</v>
      </c>
      <c r="AK15" s="441">
        <f>'1000 North'!AK6</f>
        <v>3053.997054568038</v>
      </c>
      <c r="AL15" s="441">
        <f>'1000 North'!AL6</f>
        <v>3144.0719093968332</v>
      </c>
    </row>
    <row r="16" spans="1:38" ht="13">
      <c r="B16" s="400" t="s">
        <v>641</v>
      </c>
      <c r="C16" s="401" t="s">
        <v>642</v>
      </c>
      <c r="D16" s="442">
        <f>'1000 North'!D10</f>
        <v>6.0636386466438061</v>
      </c>
      <c r="E16" s="442">
        <f>'1000 North'!E10</f>
        <v>6.1279522728453877</v>
      </c>
      <c r="F16" s="442">
        <f>'1000 North'!F10</f>
        <v>6.1929480377356736</v>
      </c>
      <c r="G16" s="442">
        <f>'1000 North'!G10</f>
        <v>6.2586331763784937</v>
      </c>
      <c r="H16" s="442">
        <f>'1000 North'!H10</f>
        <v>6.3250150005759522</v>
      </c>
      <c r="I16" s="442">
        <f>'1000 North'!I10</f>
        <v>6.3921008996823563</v>
      </c>
      <c r="J16" s="442">
        <f>'1000 North'!J10</f>
        <v>6.4598983414267632</v>
      </c>
      <c r="K16" s="442">
        <f>'1000 North'!K10</f>
        <v>6.5284148727442579</v>
      </c>
      <c r="L16" s="442">
        <f>'1000 North'!L10</f>
        <v>6.5976581206160478</v>
      </c>
      <c r="M16" s="442">
        <f>'1000 North'!M10</f>
        <v>6.6676357929184693</v>
      </c>
      <c r="N16" s="442">
        <f>'1000 North'!N10</f>
        <v>6.7383556792809909</v>
      </c>
      <c r="O16" s="442">
        <f>'1000 North'!O10</f>
        <v>6.8098256519533322</v>
      </c>
      <c r="P16" s="442">
        <f>'1000 North'!P10</f>
        <v>6.8820536666817631</v>
      </c>
      <c r="Q16" s="442">
        <f>'1000 North'!Q10</f>
        <v>6.9550477635947088</v>
      </c>
      <c r="R16" s="442">
        <f>'1000 North'!R10</f>
        <v>7.0288160680977398</v>
      </c>
      <c r="S16" s="442">
        <f>'1000 North'!S10</f>
        <v>7.1033667917780718</v>
      </c>
      <c r="T16" s="442">
        <f>'1000 North'!T10</f>
        <v>7.1787082333186234</v>
      </c>
      <c r="U16" s="442">
        <f>'1000 North'!U10</f>
        <v>7.2548487794218142</v>
      </c>
      <c r="V16" s="442">
        <f>'1000 North'!V10</f>
        <v>7.3317969057431265</v>
      </c>
      <c r="W16" s="442">
        <f>'1000 North'!W10</f>
        <v>7.4095611778345836</v>
      </c>
      <c r="X16" s="442">
        <f>'1000 North'!X10</f>
        <v>7.4881502520982295</v>
      </c>
      <c r="Y16" s="442">
        <f>'1000 North'!Y10</f>
        <v>7.5675728767497308</v>
      </c>
      <c r="Z16" s="442">
        <f>'1000 North'!Z10</f>
        <v>7.6478378927921851</v>
      </c>
      <c r="AA16" s="442">
        <f>'1000 North'!AA10</f>
        <v>7.7289542350002716</v>
      </c>
      <c r="AB16" s="442">
        <f>'1000 North'!AB10</f>
        <v>7.8109309329148253</v>
      </c>
      <c r="AC16" s="442">
        <f>'1000 North'!AC10</f>
        <v>7.8937771118479834</v>
      </c>
      <c r="AD16" s="442">
        <f>'1000 North'!AD10</f>
        <v>7.9775019938989598</v>
      </c>
      <c r="AE16" s="442">
        <f>'1000 North'!AE10</f>
        <v>8.0621148989806244</v>
      </c>
      <c r="AF16" s="442">
        <f>'1000 North'!AF10</f>
        <v>8.1476252458569576</v>
      </c>
      <c r="AG16" s="442">
        <f>'1000 North'!AG10</f>
        <v>8.2340425531914985</v>
      </c>
      <c r="AH16" s="442">
        <f>'1000 North'!AH10</f>
        <v>8.3213764406069348</v>
      </c>
      <c r="AI16" s="442">
        <f>'1000 North'!AI10</f>
        <v>8.4096366297559157</v>
      </c>
      <c r="AJ16" s="442">
        <f>'1000 North'!AJ10</f>
        <v>8.4988329454032225</v>
      </c>
      <c r="AK16" s="442">
        <f>'1000 North'!AK10</f>
        <v>8.5889753165194307</v>
      </c>
      <c r="AL16" s="442">
        <f>'1000 North'!AL10</f>
        <v>8.6800737773861574</v>
      </c>
    </row>
    <row r="17" spans="2:38" ht="13">
      <c r="B17" s="400" t="s">
        <v>643</v>
      </c>
      <c r="C17" s="401" t="s">
        <v>644</v>
      </c>
      <c r="D17" s="442">
        <f>'1000 North'!D10</f>
        <v>6.0636386466438061</v>
      </c>
      <c r="E17" s="442">
        <f>'1000 North'!E10</f>
        <v>6.1279522728453877</v>
      </c>
      <c r="F17" s="442">
        <f>'1000 North'!F10</f>
        <v>6.1929480377356736</v>
      </c>
      <c r="G17" s="442">
        <f>'1000 North'!G10</f>
        <v>6.2586331763784937</v>
      </c>
      <c r="H17" s="442">
        <f>'1000 North'!H10</f>
        <v>6.3250150005759522</v>
      </c>
      <c r="I17" s="442">
        <f>'1000 North'!I10</f>
        <v>6.3921008996823563</v>
      </c>
      <c r="J17" s="442">
        <f>'1000 North'!J10</f>
        <v>6.4598983414267632</v>
      </c>
      <c r="K17" s="442">
        <f>'1000 North'!K10</f>
        <v>6.5284148727442579</v>
      </c>
      <c r="L17" s="442">
        <f>'1000 North'!L10</f>
        <v>6.5976581206160478</v>
      </c>
      <c r="M17" s="442">
        <f>'1000 North'!M10</f>
        <v>6.6676357929184693</v>
      </c>
      <c r="N17" s="442">
        <f>'1000 North'!N10</f>
        <v>6.7383556792809909</v>
      </c>
      <c r="O17" s="442">
        <f>'1000 North'!O10</f>
        <v>6.8098256519533322</v>
      </c>
      <c r="P17" s="442">
        <f>'1000 North'!P10</f>
        <v>6.8820536666817631</v>
      </c>
      <c r="Q17" s="442">
        <f>'1000 North'!Q10</f>
        <v>6.9550477635947088</v>
      </c>
      <c r="R17" s="442">
        <f>'1000 North'!R10</f>
        <v>7.0288160680977398</v>
      </c>
      <c r="S17" s="442">
        <f>'1000 North'!S10</f>
        <v>7.1033667917780718</v>
      </c>
      <c r="T17" s="442">
        <f>'1000 North'!T10</f>
        <v>7.1787082333186234</v>
      </c>
      <c r="U17" s="442">
        <f>'1000 North'!U10</f>
        <v>7.2548487794218142</v>
      </c>
      <c r="V17" s="442">
        <f>'1000 North'!V10</f>
        <v>7.3317969057431265</v>
      </c>
      <c r="W17" s="442">
        <f>'1000 North'!W10</f>
        <v>7.4095611778345836</v>
      </c>
      <c r="X17" s="442">
        <f>'1000 North'!X10</f>
        <v>7.4881502520982295</v>
      </c>
      <c r="Y17" s="442">
        <f>'1000 North'!Y10</f>
        <v>7.5675728767497308</v>
      </c>
      <c r="Z17" s="442">
        <f>'1000 North'!Z10</f>
        <v>7.6478378927921851</v>
      </c>
      <c r="AA17" s="442">
        <f>'1000 North'!AA10</f>
        <v>7.7289542350002716</v>
      </c>
      <c r="AB17" s="442">
        <f>'1000 North'!AB10</f>
        <v>7.8109309329148253</v>
      </c>
      <c r="AC17" s="442">
        <f>'1000 North'!AC10</f>
        <v>7.8937771118479834</v>
      </c>
      <c r="AD17" s="442">
        <f>'1000 North'!AD10</f>
        <v>7.9775019938989598</v>
      </c>
      <c r="AE17" s="442">
        <f>'1000 North'!AE10</f>
        <v>8.0621148989806244</v>
      </c>
      <c r="AF17" s="442">
        <f>'1000 North'!AF10</f>
        <v>8.1476252458569576</v>
      </c>
      <c r="AG17" s="442">
        <f>'1000 North'!AG10</f>
        <v>8.2340425531914985</v>
      </c>
      <c r="AH17" s="442">
        <f>'1000 North'!AH10</f>
        <v>8.3213764406069348</v>
      </c>
      <c r="AI17" s="442">
        <f>'1000 North'!AI10</f>
        <v>8.4096366297559157</v>
      </c>
      <c r="AJ17" s="442">
        <f>'1000 North'!AJ10</f>
        <v>8.4988329454032225</v>
      </c>
      <c r="AK17" s="442">
        <f>'1000 North'!AK10</f>
        <v>8.5889753165194307</v>
      </c>
      <c r="AL17" s="442">
        <f>'1000 North'!AL10</f>
        <v>8.6800737773861574</v>
      </c>
    </row>
    <row r="18" spans="2:38" ht="13">
      <c r="B18" s="400" t="s">
        <v>645</v>
      </c>
      <c r="C18" s="401" t="s">
        <v>646</v>
      </c>
      <c r="D18" s="442">
        <f>'1000 North'!D11</f>
        <v>2.021212882214602</v>
      </c>
      <c r="E18" s="442">
        <f>'1000 North'!E11</f>
        <v>2.0426507576151294</v>
      </c>
      <c r="F18" s="442">
        <f>'1000 North'!F11</f>
        <v>2.064316012578558</v>
      </c>
      <c r="G18" s="442">
        <f>'1000 North'!G11</f>
        <v>2.0862110587928311</v>
      </c>
      <c r="H18" s="442">
        <f>'1000 North'!H11</f>
        <v>2.1083383335253174</v>
      </c>
      <c r="I18" s="442">
        <f>'1000 North'!I11</f>
        <v>2.1307002998941189</v>
      </c>
      <c r="J18" s="442">
        <f>'1000 North'!J11</f>
        <v>2.1532994471422544</v>
      </c>
      <c r="K18" s="442">
        <f>'1000 North'!K11</f>
        <v>2.1761382909147526</v>
      </c>
      <c r="L18" s="442">
        <f>'1000 North'!L11</f>
        <v>2.1992193735386825</v>
      </c>
      <c r="M18" s="442">
        <f>'1000 North'!M11</f>
        <v>2.2225452643061563</v>
      </c>
      <c r="N18" s="442">
        <f>'1000 North'!N11</f>
        <v>2.2461185597603301</v>
      </c>
      <c r="O18" s="442">
        <f>'1000 North'!O11</f>
        <v>2.2699418839844441</v>
      </c>
      <c r="P18" s="442">
        <f>'1000 North'!P11</f>
        <v>2.2940178888939209</v>
      </c>
      <c r="Q18" s="442">
        <f>'1000 North'!Q11</f>
        <v>2.3183492545315696</v>
      </c>
      <c r="R18" s="442">
        <f>'1000 North'!R11</f>
        <v>2.3429386893659134</v>
      </c>
      <c r="S18" s="442">
        <f>'1000 North'!S11</f>
        <v>2.3677889305926905</v>
      </c>
      <c r="T18" s="442">
        <f>'1000 North'!T11</f>
        <v>2.392902744439541</v>
      </c>
      <c r="U18" s="442">
        <f>'1000 North'!U11</f>
        <v>2.4182829264739381</v>
      </c>
      <c r="V18" s="442">
        <f>'1000 North'!V11</f>
        <v>2.4439323019143755</v>
      </c>
      <c r="W18" s="442">
        <f>'1000 North'!W11</f>
        <v>2.4698537259448612</v>
      </c>
      <c r="X18" s="442">
        <f>'1000 North'!X11</f>
        <v>2.4960500840327433</v>
      </c>
      <c r="Y18" s="442">
        <f>'1000 North'!Y11</f>
        <v>2.5225242922499103</v>
      </c>
      <c r="Z18" s="442">
        <f>'1000 North'!Z11</f>
        <v>2.549279297597395</v>
      </c>
      <c r="AA18" s="442">
        <f>'1000 North'!AA11</f>
        <v>2.5763180783334239</v>
      </c>
      <c r="AB18" s="442">
        <f>'1000 North'!AB11</f>
        <v>2.6036436443049418</v>
      </c>
      <c r="AC18" s="442">
        <f>'1000 North'!AC11</f>
        <v>2.631259037282661</v>
      </c>
      <c r="AD18" s="442">
        <f>'1000 North'!AD11</f>
        <v>2.6591673312996531</v>
      </c>
      <c r="AE18" s="442">
        <f>'1000 North'!AE11</f>
        <v>2.6873716329935418</v>
      </c>
      <c r="AF18" s="442">
        <f>'1000 North'!AF11</f>
        <v>2.7158750819523192</v>
      </c>
      <c r="AG18" s="442">
        <f>'1000 North'!AG11</f>
        <v>2.744680851063833</v>
      </c>
      <c r="AH18" s="442">
        <f>'1000 North'!AH11</f>
        <v>2.7737921468689781</v>
      </c>
      <c r="AI18" s="442">
        <f>'1000 North'!AI11</f>
        <v>2.8032122099186383</v>
      </c>
      <c r="AJ18" s="442">
        <f>'1000 North'!AJ11</f>
        <v>2.8329443151344074</v>
      </c>
      <c r="AK18" s="442">
        <f>'1000 North'!AK11</f>
        <v>2.8629917721731437</v>
      </c>
      <c r="AL18" s="442">
        <f>'1000 North'!AL11</f>
        <v>2.8933579257953856</v>
      </c>
    </row>
    <row r="19" spans="2:38" ht="13">
      <c r="B19" s="400" t="s">
        <v>1048</v>
      </c>
      <c r="C19" s="401" t="s">
        <v>647</v>
      </c>
      <c r="D19" s="442">
        <v>0</v>
      </c>
      <c r="E19" s="442">
        <v>0</v>
      </c>
      <c r="F19" s="442">
        <v>0</v>
      </c>
      <c r="G19" s="442">
        <v>0</v>
      </c>
      <c r="H19" s="442">
        <v>0</v>
      </c>
      <c r="I19" s="442">
        <v>0</v>
      </c>
      <c r="J19" s="442">
        <v>0</v>
      </c>
      <c r="K19" s="442">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442">
        <v>0</v>
      </c>
      <c r="AC19" s="442">
        <v>0</v>
      </c>
      <c r="AD19" s="442">
        <v>0</v>
      </c>
      <c r="AE19" s="442">
        <v>0</v>
      </c>
      <c r="AF19" s="442">
        <v>0</v>
      </c>
      <c r="AG19" s="442">
        <v>0</v>
      </c>
      <c r="AH19" s="442">
        <v>0</v>
      </c>
      <c r="AI19" s="442">
        <v>0</v>
      </c>
      <c r="AJ19" s="442">
        <v>0</v>
      </c>
      <c r="AK19" s="442">
        <v>0</v>
      </c>
      <c r="AL19" s="442">
        <v>0</v>
      </c>
    </row>
    <row r="20" spans="2:38" ht="13">
      <c r="B20" s="400" t="s">
        <v>648</v>
      </c>
      <c r="C20" s="401" t="s">
        <v>649</v>
      </c>
      <c r="D20" s="441">
        <f>'Crossing Inputs'!$E60</f>
        <v>7.5</v>
      </c>
      <c r="E20" s="441">
        <f>'Crossing Inputs'!$E60</f>
        <v>7.5</v>
      </c>
      <c r="F20" s="441">
        <f>'Crossing Inputs'!$E60</f>
        <v>7.5</v>
      </c>
      <c r="G20" s="441">
        <f>'Crossing Inputs'!$E60</f>
        <v>7.5</v>
      </c>
      <c r="H20" s="441">
        <f>'Crossing Inputs'!$E60</f>
        <v>7.5</v>
      </c>
      <c r="I20" s="441">
        <f>'Crossing Inputs'!$E60</f>
        <v>7.5</v>
      </c>
      <c r="J20" s="441">
        <f>'Crossing Inputs'!$E60</f>
        <v>7.5</v>
      </c>
      <c r="K20" s="441">
        <f>'Crossing Inputs'!$E60</f>
        <v>7.5</v>
      </c>
      <c r="L20" s="441">
        <f>'Crossing Inputs'!$E60</f>
        <v>7.5</v>
      </c>
      <c r="M20" s="441">
        <f>'Crossing Inputs'!$E60</f>
        <v>7.5</v>
      </c>
      <c r="N20" s="441">
        <f>'Crossing Inputs'!$E60</f>
        <v>7.5</v>
      </c>
      <c r="O20" s="441">
        <f>'Crossing Inputs'!$E60</f>
        <v>7.5</v>
      </c>
      <c r="P20" s="441">
        <f>'Crossing Inputs'!$E60</f>
        <v>7.5</v>
      </c>
      <c r="Q20" s="441">
        <f>'Crossing Inputs'!$E60</f>
        <v>7.5</v>
      </c>
      <c r="R20" s="441">
        <f>'Crossing Inputs'!$E60</f>
        <v>7.5</v>
      </c>
      <c r="S20" s="441">
        <f>'Crossing Inputs'!$E60</f>
        <v>7.5</v>
      </c>
      <c r="T20" s="441">
        <f>'Crossing Inputs'!$E60</f>
        <v>7.5</v>
      </c>
      <c r="U20" s="441">
        <f>'Crossing Inputs'!$E60</f>
        <v>7.5</v>
      </c>
      <c r="V20" s="441">
        <f>'Crossing Inputs'!$E60</f>
        <v>7.5</v>
      </c>
      <c r="W20" s="441">
        <f>'Crossing Inputs'!$E60</f>
        <v>7.5</v>
      </c>
      <c r="X20" s="441">
        <f>'Crossing Inputs'!$E60</f>
        <v>7.5</v>
      </c>
      <c r="Y20" s="441">
        <f>'Crossing Inputs'!$E60</f>
        <v>7.5</v>
      </c>
      <c r="Z20" s="441">
        <f>'Crossing Inputs'!$E60</f>
        <v>7.5</v>
      </c>
      <c r="AA20" s="441">
        <f>'Crossing Inputs'!$E60</f>
        <v>7.5</v>
      </c>
      <c r="AB20" s="441">
        <f>'Crossing Inputs'!$E60</f>
        <v>7.5</v>
      </c>
      <c r="AC20" s="441">
        <f>'Crossing Inputs'!$E60</f>
        <v>7.5</v>
      </c>
      <c r="AD20" s="441">
        <f>'Crossing Inputs'!$E60</f>
        <v>7.5</v>
      </c>
      <c r="AE20" s="441">
        <f>'Crossing Inputs'!$E60</f>
        <v>7.5</v>
      </c>
      <c r="AF20" s="441">
        <f>'Crossing Inputs'!$E60</f>
        <v>7.5</v>
      </c>
      <c r="AG20" s="441">
        <f>'Crossing Inputs'!$E60</f>
        <v>7.5</v>
      </c>
      <c r="AH20" s="441">
        <f>'Crossing Inputs'!$E60</f>
        <v>7.5</v>
      </c>
      <c r="AI20" s="441">
        <f>'Crossing Inputs'!$E60</f>
        <v>7.5</v>
      </c>
      <c r="AJ20" s="441">
        <f>'Crossing Inputs'!$E60</f>
        <v>7.5</v>
      </c>
      <c r="AK20" s="441">
        <f>'Crossing Inputs'!$E60</f>
        <v>7.5</v>
      </c>
      <c r="AL20" s="441">
        <f>'Crossing Inputs'!$E60</f>
        <v>7.5</v>
      </c>
    </row>
    <row r="21" spans="2:38" ht="13">
      <c r="B21" s="400"/>
      <c r="C21" s="403"/>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2:38" ht="13">
      <c r="B22" s="400"/>
      <c r="C22" s="404"/>
      <c r="D22" s="440">
        <f t="shared" ref="D22:AL22" si="1">D$1</f>
        <v>2021</v>
      </c>
      <c r="E22" s="440">
        <f t="shared" si="1"/>
        <v>2022</v>
      </c>
      <c r="F22" s="440">
        <f t="shared" si="1"/>
        <v>2023</v>
      </c>
      <c r="G22" s="440">
        <f t="shared" si="1"/>
        <v>2024</v>
      </c>
      <c r="H22" s="1229">
        <f t="shared" si="1"/>
        <v>2025</v>
      </c>
      <c r="I22" s="440">
        <f t="shared" si="1"/>
        <v>2026</v>
      </c>
      <c r="J22" s="440">
        <f t="shared" si="1"/>
        <v>2027</v>
      </c>
      <c r="K22" s="440">
        <f t="shared" si="1"/>
        <v>2028</v>
      </c>
      <c r="L22" s="440">
        <f t="shared" si="1"/>
        <v>2029</v>
      </c>
      <c r="M22" s="440">
        <f t="shared" si="1"/>
        <v>2030</v>
      </c>
      <c r="N22" s="440">
        <f t="shared" si="1"/>
        <v>2031</v>
      </c>
      <c r="O22" s="440">
        <f t="shared" si="1"/>
        <v>2032</v>
      </c>
      <c r="P22" s="440">
        <f t="shared" si="1"/>
        <v>2033</v>
      </c>
      <c r="Q22" s="440">
        <f t="shared" si="1"/>
        <v>2034</v>
      </c>
      <c r="R22" s="440">
        <f t="shared" si="1"/>
        <v>2035</v>
      </c>
      <c r="S22" s="440">
        <f t="shared" si="1"/>
        <v>2036</v>
      </c>
      <c r="T22" s="440">
        <f t="shared" si="1"/>
        <v>2037</v>
      </c>
      <c r="U22" s="440">
        <f t="shared" si="1"/>
        <v>2038</v>
      </c>
      <c r="V22" s="440">
        <f t="shared" si="1"/>
        <v>2039</v>
      </c>
      <c r="W22" s="440">
        <f t="shared" si="1"/>
        <v>2040</v>
      </c>
      <c r="X22" s="440">
        <f t="shared" si="1"/>
        <v>2041</v>
      </c>
      <c r="Y22" s="440">
        <f t="shared" si="1"/>
        <v>2042</v>
      </c>
      <c r="Z22" s="440">
        <f t="shared" si="1"/>
        <v>2043</v>
      </c>
      <c r="AA22" s="440">
        <f t="shared" si="1"/>
        <v>2044</v>
      </c>
      <c r="AB22" s="440">
        <f t="shared" si="1"/>
        <v>2045</v>
      </c>
      <c r="AC22" s="440">
        <f t="shared" si="1"/>
        <v>2046</v>
      </c>
      <c r="AD22" s="440">
        <f t="shared" si="1"/>
        <v>2047</v>
      </c>
      <c r="AE22" s="440">
        <f t="shared" si="1"/>
        <v>2048</v>
      </c>
      <c r="AF22" s="440">
        <f t="shared" si="1"/>
        <v>2049</v>
      </c>
      <c r="AG22" s="440">
        <f t="shared" si="1"/>
        <v>2050</v>
      </c>
      <c r="AH22" s="440">
        <f t="shared" si="1"/>
        <v>2051</v>
      </c>
      <c r="AI22" s="440">
        <f t="shared" si="1"/>
        <v>2052</v>
      </c>
      <c r="AJ22" s="440">
        <f t="shared" si="1"/>
        <v>2053</v>
      </c>
      <c r="AK22" s="440">
        <f t="shared" si="1"/>
        <v>2054</v>
      </c>
      <c r="AL22" s="440">
        <f t="shared" si="1"/>
        <v>2055</v>
      </c>
    </row>
    <row r="23" spans="2:38" ht="13">
      <c r="B23" s="400" t="s">
        <v>354</v>
      </c>
      <c r="C23" s="404"/>
      <c r="D23" s="405">
        <f t="shared" ref="D23:AL23" si="2">D$56</f>
        <v>0.11528052808120189</v>
      </c>
      <c r="E23" s="405">
        <f t="shared" si="2"/>
        <v>0.11668976987055626</v>
      </c>
      <c r="F23" s="405">
        <f t="shared" si="2"/>
        <v>0.11811629055331112</v>
      </c>
      <c r="G23" s="405">
        <f t="shared" si="2"/>
        <v>0.11956030212078399</v>
      </c>
      <c r="H23" s="1240">
        <f t="shared" si="2"/>
        <v>0.12102201916599596</v>
      </c>
      <c r="I23" s="405">
        <f t="shared" si="2"/>
        <v>0.12250165891557306</v>
      </c>
      <c r="J23" s="405">
        <f t="shared" si="2"/>
        <v>0.12399944126203849</v>
      </c>
      <c r="K23" s="405">
        <f t="shared" si="2"/>
        <v>0.12551558879650285</v>
      </c>
      <c r="L23" s="405">
        <f t="shared" si="2"/>
        <v>0.12705032684175488</v>
      </c>
      <c r="M23" s="405">
        <f t="shared" si="2"/>
        <v>0.1286038834857598</v>
      </c>
      <c r="N23" s="405">
        <f t="shared" si="2"/>
        <v>0.13017648961556827</v>
      </c>
      <c r="O23" s="405">
        <f t="shared" si="2"/>
        <v>0.13176837895164284</v>
      </c>
      <c r="P23" s="405">
        <f t="shared" si="2"/>
        <v>0.13337978808260514</v>
      </c>
      <c r="Q23" s="405">
        <f t="shared" si="2"/>
        <v>0.13501095650041064</v>
      </c>
      <c r="R23" s="405">
        <f t="shared" si="2"/>
        <v>0.13666212663595495</v>
      </c>
      <c r="S23" s="405">
        <f t="shared" si="2"/>
        <v>0.13833354389511801</v>
      </c>
      <c r="T23" s="405">
        <f t="shared" si="2"/>
        <v>0.14002545669525046</v>
      </c>
      <c r="U23" s="405">
        <f t="shared" si="2"/>
        <v>0.14173811650210821</v>
      </c>
      <c r="V23" s="405">
        <f t="shared" si="2"/>
        <v>0.143471777867241</v>
      </c>
      <c r="W23" s="405">
        <f t="shared" si="2"/>
        <v>0.14522669846583983</v>
      </c>
      <c r="X23" s="405">
        <f t="shared" si="2"/>
        <v>0.14700313913504887</v>
      </c>
      <c r="Y23" s="405">
        <f t="shared" si="2"/>
        <v>0.14880136391274876</v>
      </c>
      <c r="Z23" s="405">
        <f t="shared" si="2"/>
        <v>0.15062164007681508</v>
      </c>
      <c r="AA23" s="405">
        <f t="shared" si="2"/>
        <v>0.15246423818485941</v>
      </c>
      <c r="AB23" s="405">
        <f t="shared" si="2"/>
        <v>0.15432943211445857</v>
      </c>
      <c r="AC23" s="405">
        <f t="shared" si="2"/>
        <v>0.15621749910387758</v>
      </c>
      <c r="AD23" s="405">
        <f t="shared" si="2"/>
        <v>0.15812871979329238</v>
      </c>
      <c r="AE23" s="405">
        <f t="shared" si="2"/>
        <v>0.16006337826651895</v>
      </c>
      <c r="AF23" s="405">
        <f t="shared" si="2"/>
        <v>0.16202176209325497</v>
      </c>
      <c r="AG23" s="405">
        <f t="shared" si="2"/>
        <v>0.16400416237183971</v>
      </c>
      <c r="AH23" s="405">
        <f t="shared" si="2"/>
        <v>0.16601087377253895</v>
      </c>
      <c r="AI23" s="405">
        <f t="shared" si="2"/>
        <v>0.16804219458136149</v>
      </c>
      <c r="AJ23" s="405">
        <f t="shared" si="2"/>
        <v>0.17009842674441311</v>
      </c>
      <c r="AK23" s="405">
        <f t="shared" si="2"/>
        <v>0.17217987591279629</v>
      </c>
      <c r="AL23" s="405">
        <f t="shared" si="2"/>
        <v>0.17428685148805903</v>
      </c>
    </row>
    <row r="24" spans="2:38" ht="13">
      <c r="B24" s="400" t="s">
        <v>650</v>
      </c>
      <c r="C24" s="404"/>
      <c r="D24" s="405">
        <f t="shared" ref="D24:AL24" si="3">D$64*D$23</f>
        <v>1.4437488394637658E-3</v>
      </c>
      <c r="E24" s="405">
        <f t="shared" si="3"/>
        <v>1.4627391676381529E-3</v>
      </c>
      <c r="F24" s="405">
        <f t="shared" si="3"/>
        <v>1.4819819312017284E-3</v>
      </c>
      <c r="G24" s="405">
        <f t="shared" si="3"/>
        <v>1.5014804984063198E-3</v>
      </c>
      <c r="H24" s="1240">
        <f t="shared" si="3"/>
        <v>1.5212382824670706E-3</v>
      </c>
      <c r="I24" s="405">
        <f t="shared" si="3"/>
        <v>1.5412587421621772E-3</v>
      </c>
      <c r="J24" s="405">
        <f t="shared" si="3"/>
        <v>1.5615453824406231E-3</v>
      </c>
      <c r="K24" s="405">
        <f t="shared" si="3"/>
        <v>1.5821017550380512E-3</v>
      </c>
      <c r="L24" s="405">
        <f t="shared" si="3"/>
        <v>1.60293145910084E-3</v>
      </c>
      <c r="M24" s="405">
        <f t="shared" si="3"/>
        <v>1.624038141818536E-3</v>
      </c>
      <c r="N24" s="405">
        <f t="shared" si="3"/>
        <v>1.6454254990647152E-3</v>
      </c>
      <c r="O24" s="405">
        <f t="shared" si="3"/>
        <v>1.6670972760464214E-3</v>
      </c>
      <c r="P24" s="405">
        <f t="shared" si="3"/>
        <v>1.6890572679622584E-3</v>
      </c>
      <c r="Q24" s="405">
        <f t="shared" si="3"/>
        <v>1.7113093206692915E-3</v>
      </c>
      <c r="R24" s="405">
        <f t="shared" si="3"/>
        <v>1.7338573313588357E-3</v>
      </c>
      <c r="S24" s="405">
        <f t="shared" si="3"/>
        <v>1.7567052492412861E-3</v>
      </c>
      <c r="T24" s="405">
        <f t="shared" si="3"/>
        <v>1.7798570762400827E-3</v>
      </c>
      <c r="U24" s="405">
        <f t="shared" si="3"/>
        <v>1.8033168676949418E-3</v>
      </c>
      <c r="V24" s="405">
        <f t="shared" si="3"/>
        <v>1.8270887330744843E-3</v>
      </c>
      <c r="W24" s="405">
        <f t="shared" si="3"/>
        <v>1.8511768366983787E-3</v>
      </c>
      <c r="X24" s="405">
        <f t="shared" si="3"/>
        <v>1.8755853984691196E-3</v>
      </c>
      <c r="Y24" s="405">
        <f t="shared" si="3"/>
        <v>1.9003186946135856E-3</v>
      </c>
      <c r="Z24" s="405">
        <f t="shared" si="3"/>
        <v>1.9253810584344974E-3</v>
      </c>
      <c r="AA24" s="405">
        <f t="shared" si="3"/>
        <v>1.9507768810718971E-3</v>
      </c>
      <c r="AB24" s="405">
        <f t="shared" si="3"/>
        <v>1.9765106122748189E-3</v>
      </c>
      <c r="AC24" s="405">
        <f t="shared" si="3"/>
        <v>2.0025867611832373E-3</v>
      </c>
      <c r="AD24" s="405">
        <f t="shared" si="3"/>
        <v>2.0290098971204738E-3</v>
      </c>
      <c r="AE24" s="405">
        <f t="shared" si="3"/>
        <v>2.0557846503961681E-3</v>
      </c>
      <c r="AF24" s="405">
        <f t="shared" si="3"/>
        <v>2.0829157131199844E-3</v>
      </c>
      <c r="AG24" s="405">
        <f t="shared" si="3"/>
        <v>2.1104078400261688E-3</v>
      </c>
      <c r="AH24" s="405">
        <f t="shared" si="3"/>
        <v>2.1382658493091216E-3</v>
      </c>
      <c r="AI24" s="405">
        <f t="shared" si="3"/>
        <v>2.1664946234701225E-3</v>
      </c>
      <c r="AJ24" s="405">
        <f t="shared" si="3"/>
        <v>2.1950991101753535E-3</v>
      </c>
      <c r="AK24" s="405">
        <f t="shared" si="3"/>
        <v>2.2240843231253983E-3</v>
      </c>
      <c r="AL24" s="405">
        <f t="shared" si="3"/>
        <v>2.2534553429363136E-3</v>
      </c>
    </row>
    <row r="25" spans="2:38" ht="13">
      <c r="B25" s="400" t="s">
        <v>651</v>
      </c>
      <c r="C25" s="404"/>
      <c r="D25" s="405">
        <f t="shared" ref="D25:AK25" si="4">D$73*D23</f>
        <v>2.0414663771281944E-2</v>
      </c>
      <c r="E25" s="405">
        <f t="shared" si="4"/>
        <v>2.0663981402425154E-2</v>
      </c>
      <c r="F25" s="405">
        <f t="shared" si="4"/>
        <v>2.0916352435270624E-2</v>
      </c>
      <c r="G25" s="405">
        <f t="shared" si="4"/>
        <v>2.1171814282768455E-2</v>
      </c>
      <c r="H25" s="1240">
        <f t="shared" si="4"/>
        <v>2.1430404816376022E-2</v>
      </c>
      <c r="I25" s="405">
        <f t="shared" si="4"/>
        <v>2.1692162371671417E-2</v>
      </c>
      <c r="J25" s="405">
        <f t="shared" si="4"/>
        <v>2.1957125754035457E-2</v>
      </c>
      <c r="K25" s="405">
        <f t="shared" si="4"/>
        <v>2.2225334244403743E-2</v>
      </c>
      <c r="L25" s="405">
        <f t="shared" si="4"/>
        <v>2.2496827605088934E-2</v>
      </c>
      <c r="M25" s="405">
        <f t="shared" si="4"/>
        <v>2.2771646085674706E-2</v>
      </c>
      <c r="N25" s="405">
        <f t="shared" si="4"/>
        <v>2.3049830428981823E-2</v>
      </c>
      <c r="O25" s="405">
        <f t="shared" si="4"/>
        <v>2.3331421877107499E-2</v>
      </c>
      <c r="P25" s="405">
        <f t="shared" si="4"/>
        <v>2.3616462177538714E-2</v>
      </c>
      <c r="Q25" s="405">
        <f t="shared" si="4"/>
        <v>2.3904993589340603E-2</v>
      </c>
      <c r="R25" s="405">
        <f t="shared" si="4"/>
        <v>2.4197058889420617E-2</v>
      </c>
      <c r="S25" s="405">
        <f t="shared" si="4"/>
        <v>2.449270137886965E-2</v>
      </c>
      <c r="T25" s="405">
        <f t="shared" si="4"/>
        <v>2.479196488938076E-2</v>
      </c>
      <c r="U25" s="405">
        <f t="shared" si="4"/>
        <v>2.5094893789746654E-2</v>
      </c>
      <c r="V25" s="405">
        <f t="shared" si="4"/>
        <v>2.5401532992436859E-2</v>
      </c>
      <c r="W25" s="405">
        <f t="shared" si="4"/>
        <v>2.5711927960255548E-2</v>
      </c>
      <c r="X25" s="405">
        <f t="shared" si="4"/>
        <v>2.6026124713080839E-2</v>
      </c>
      <c r="Y25" s="405">
        <f t="shared" si="4"/>
        <v>2.6344169834686949E-2</v>
      </c>
      <c r="Z25" s="405">
        <f t="shared" si="4"/>
        <v>2.6666110479649771E-2</v>
      </c>
      <c r="AA25" s="405">
        <f t="shared" si="4"/>
        <v>2.6991994380337163E-2</v>
      </c>
      <c r="AB25" s="405">
        <f t="shared" si="4"/>
        <v>2.7321869853985017E-2</v>
      </c>
      <c r="AC25" s="405">
        <f t="shared" si="4"/>
        <v>2.7655785809859966E-2</v>
      </c>
      <c r="AD25" s="405">
        <f t="shared" si="4"/>
        <v>2.7993791756509866E-2</v>
      </c>
      <c r="AE25" s="405">
        <f t="shared" si="4"/>
        <v>2.8335937809103203E-2</v>
      </c>
      <c r="AF25" s="405">
        <f t="shared" si="4"/>
        <v>2.8682274696858478E-2</v>
      </c>
      <c r="AG25" s="405">
        <f t="shared" si="4"/>
        <v>2.9032853770564592E-2</v>
      </c>
      <c r="AH25" s="405">
        <f t="shared" si="4"/>
        <v>2.9387727010193397E-2</v>
      </c>
      <c r="AI25" s="405">
        <f t="shared" si="4"/>
        <v>2.9746947032605584E-2</v>
      </c>
      <c r="AJ25" s="405">
        <f t="shared" si="4"/>
        <v>3.0110567099350935E-2</v>
      </c>
      <c r="AK25" s="405">
        <f t="shared" si="4"/>
        <v>3.0478641124564405E-2</v>
      </c>
      <c r="AL25" s="405">
        <f t="shared" ref="AL25" si="5">AL$73*AL23</f>
        <v>3.0851223682958517E-2</v>
      </c>
    </row>
    <row r="26" spans="2:38">
      <c r="H26" s="1228"/>
    </row>
    <row r="27" spans="2:38" ht="13">
      <c r="B27" s="364" t="s">
        <v>652</v>
      </c>
      <c r="H27" s="1228"/>
    </row>
    <row r="28" spans="2:38" ht="13">
      <c r="B28" s="407" t="s">
        <v>615</v>
      </c>
      <c r="C28" s="396" t="s">
        <v>627</v>
      </c>
      <c r="D28" s="440">
        <f t="shared" ref="D28:AL28" si="6">D$1</f>
        <v>2021</v>
      </c>
      <c r="E28" s="440">
        <f t="shared" si="6"/>
        <v>2022</v>
      </c>
      <c r="F28" s="440">
        <f t="shared" si="6"/>
        <v>2023</v>
      </c>
      <c r="G28" s="440">
        <f t="shared" si="6"/>
        <v>2024</v>
      </c>
      <c r="H28" s="1229">
        <f t="shared" si="6"/>
        <v>2025</v>
      </c>
      <c r="I28" s="440">
        <f t="shared" si="6"/>
        <v>2026</v>
      </c>
      <c r="J28" s="440">
        <f t="shared" si="6"/>
        <v>2027</v>
      </c>
      <c r="K28" s="440">
        <f t="shared" si="6"/>
        <v>2028</v>
      </c>
      <c r="L28" s="440">
        <f t="shared" si="6"/>
        <v>2029</v>
      </c>
      <c r="M28" s="440">
        <f t="shared" si="6"/>
        <v>2030</v>
      </c>
      <c r="N28" s="440">
        <f t="shared" si="6"/>
        <v>2031</v>
      </c>
      <c r="O28" s="440">
        <f t="shared" si="6"/>
        <v>2032</v>
      </c>
      <c r="P28" s="440">
        <f t="shared" si="6"/>
        <v>2033</v>
      </c>
      <c r="Q28" s="440">
        <f t="shared" si="6"/>
        <v>2034</v>
      </c>
      <c r="R28" s="440">
        <f t="shared" si="6"/>
        <v>2035</v>
      </c>
      <c r="S28" s="440">
        <f t="shared" si="6"/>
        <v>2036</v>
      </c>
      <c r="T28" s="440">
        <f t="shared" si="6"/>
        <v>2037</v>
      </c>
      <c r="U28" s="440">
        <f t="shared" si="6"/>
        <v>2038</v>
      </c>
      <c r="V28" s="440">
        <f t="shared" si="6"/>
        <v>2039</v>
      </c>
      <c r="W28" s="440">
        <f t="shared" si="6"/>
        <v>2040</v>
      </c>
      <c r="X28" s="440">
        <f t="shared" si="6"/>
        <v>2041</v>
      </c>
      <c r="Y28" s="440">
        <f t="shared" si="6"/>
        <v>2042</v>
      </c>
      <c r="Z28" s="440">
        <f t="shared" si="6"/>
        <v>2043</v>
      </c>
      <c r="AA28" s="440">
        <f t="shared" si="6"/>
        <v>2044</v>
      </c>
      <c r="AB28" s="440">
        <f t="shared" si="6"/>
        <v>2045</v>
      </c>
      <c r="AC28" s="440">
        <f t="shared" si="6"/>
        <v>2046</v>
      </c>
      <c r="AD28" s="440">
        <f t="shared" si="6"/>
        <v>2047</v>
      </c>
      <c r="AE28" s="440">
        <f t="shared" si="6"/>
        <v>2048</v>
      </c>
      <c r="AF28" s="440">
        <f t="shared" si="6"/>
        <v>2049</v>
      </c>
      <c r="AG28" s="440">
        <f t="shared" si="6"/>
        <v>2050</v>
      </c>
      <c r="AH28" s="440">
        <f t="shared" si="6"/>
        <v>2051</v>
      </c>
      <c r="AI28" s="440">
        <f t="shared" si="6"/>
        <v>2052</v>
      </c>
      <c r="AJ28" s="440">
        <f t="shared" si="6"/>
        <v>2053</v>
      </c>
      <c r="AK28" s="440">
        <f t="shared" si="6"/>
        <v>2054</v>
      </c>
      <c r="AL28" s="440">
        <f t="shared" si="6"/>
        <v>2055</v>
      </c>
    </row>
    <row r="29" spans="2:38" ht="13">
      <c r="B29" s="364" t="s">
        <v>624</v>
      </c>
      <c r="C29" s="408"/>
      <c r="D29" s="358"/>
      <c r="E29" s="409"/>
      <c r="F29" s="410"/>
      <c r="G29" s="410"/>
      <c r="H29" s="1234"/>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row>
    <row r="30" spans="2:38">
      <c r="B30" s="411" t="s">
        <v>653</v>
      </c>
      <c r="C30" s="412" t="s">
        <v>654</v>
      </c>
      <c r="D30" s="413">
        <f t="shared" ref="D30:AL30" si="7">((D$15*D$16+0.2)/0.2)^(0.3334)</f>
        <v>32.882813403116188</v>
      </c>
      <c r="E30" s="413">
        <f t="shared" si="7"/>
        <v>33.320020713832122</v>
      </c>
      <c r="F30" s="413">
        <f t="shared" si="7"/>
        <v>33.763041577367979</v>
      </c>
      <c r="G30" s="413">
        <f t="shared" si="7"/>
        <v>34.211953284155797</v>
      </c>
      <c r="H30" s="413">
        <f t="shared" si="7"/>
        <v>34.666834152519044</v>
      </c>
      <c r="I30" s="413">
        <f t="shared" si="7"/>
        <v>35.127763542334073</v>
      </c>
      <c r="J30" s="413">
        <f t="shared" si="7"/>
        <v>35.594821868873538</v>
      </c>
      <c r="K30" s="413">
        <f t="shared" si="7"/>
        <v>36.068090616833885</v>
      </c>
      <c r="L30" s="413">
        <f t="shared" si="7"/>
        <v>36.54765235454947</v>
      </c>
      <c r="M30" s="413">
        <f t="shared" si="7"/>
        <v>37.033590748396023</v>
      </c>
      <c r="N30" s="413">
        <f t="shared" si="7"/>
        <v>37.525990577385464</v>
      </c>
      <c r="O30" s="413">
        <f t="shared" si="7"/>
        <v>38.024937747955221</v>
      </c>
      <c r="P30" s="413">
        <f t="shared" si="7"/>
        <v>38.530519308953913</v>
      </c>
      <c r="Q30" s="413">
        <f t="shared" si="7"/>
        <v>39.042823466826889</v>
      </c>
      <c r="R30" s="413">
        <f t="shared" si="7"/>
        <v>39.561939601003353</v>
      </c>
      <c r="S30" s="413">
        <f t="shared" si="7"/>
        <v>40.087958279488518</v>
      </c>
      <c r="T30" s="413">
        <f t="shared" si="7"/>
        <v>40.620971274662999</v>
      </c>
      <c r="U30" s="413">
        <f t="shared" si="7"/>
        <v>41.161071579292454</v>
      </c>
      <c r="V30" s="413">
        <f t="shared" si="7"/>
        <v>41.708353422750264</v>
      </c>
      <c r="W30" s="413">
        <f t="shared" si="7"/>
        <v>42.262912287455855</v>
      </c>
      <c r="X30" s="413">
        <f t="shared" si="7"/>
        <v>42.824844925531877</v>
      </c>
      <c r="Y30" s="413">
        <f t="shared" si="7"/>
        <v>43.394249375682783</v>
      </c>
      <c r="Z30" s="413">
        <f t="shared" si="7"/>
        <v>43.971224980298132</v>
      </c>
      <c r="AA30" s="413">
        <f t="shared" si="7"/>
        <v>44.555872402783123</v>
      </c>
      <c r="AB30" s="413">
        <f t="shared" si="7"/>
        <v>45.148293645119978</v>
      </c>
      <c r="AC30" s="413">
        <f t="shared" si="7"/>
        <v>45.748592065662621</v>
      </c>
      <c r="AD30" s="413">
        <f t="shared" si="7"/>
        <v>46.356872397168196</v>
      </c>
      <c r="AE30" s="413">
        <f t="shared" si="7"/>
        <v>46.973240765068475</v>
      </c>
      <c r="AF30" s="413">
        <f t="shared" si="7"/>
        <v>47.597804705984046</v>
      </c>
      <c r="AG30" s="413">
        <f t="shared" si="7"/>
        <v>48.230673186485078</v>
      </c>
      <c r="AH30" s="413">
        <f t="shared" si="7"/>
        <v>48.871956622101365</v>
      </c>
      <c r="AI30" s="413">
        <f t="shared" si="7"/>
        <v>49.52176689658527</v>
      </c>
      <c r="AJ30" s="413">
        <f t="shared" si="7"/>
        <v>50.180217381430943</v>
      </c>
      <c r="AK30" s="413">
        <f t="shared" si="7"/>
        <v>50.84742295565313</v>
      </c>
      <c r="AL30" s="413">
        <f t="shared" si="7"/>
        <v>51.523500025828881</v>
      </c>
    </row>
    <row r="31" spans="2:38">
      <c r="B31" s="411" t="s">
        <v>655</v>
      </c>
      <c r="C31" s="412" t="s">
        <v>656</v>
      </c>
      <c r="D31" s="414">
        <f t="shared" ref="D31:AL31" si="8">EXP(0.2094*$D$9)</f>
        <v>1.2329380751384142</v>
      </c>
      <c r="E31" s="415">
        <f t="shared" si="8"/>
        <v>1.2329380751384142</v>
      </c>
      <c r="F31" s="415">
        <f t="shared" si="8"/>
        <v>1.2329380751384142</v>
      </c>
      <c r="G31" s="415">
        <f t="shared" si="8"/>
        <v>1.2329380751384142</v>
      </c>
      <c r="H31" s="1235">
        <f t="shared" si="8"/>
        <v>1.2329380751384142</v>
      </c>
      <c r="I31" s="415">
        <f t="shared" si="8"/>
        <v>1.2329380751384142</v>
      </c>
      <c r="J31" s="415">
        <f t="shared" si="8"/>
        <v>1.2329380751384142</v>
      </c>
      <c r="K31" s="415">
        <f t="shared" si="8"/>
        <v>1.2329380751384142</v>
      </c>
      <c r="L31" s="415">
        <f t="shared" si="8"/>
        <v>1.2329380751384142</v>
      </c>
      <c r="M31" s="415">
        <f t="shared" si="8"/>
        <v>1.2329380751384142</v>
      </c>
      <c r="N31" s="415">
        <f t="shared" si="8"/>
        <v>1.2329380751384142</v>
      </c>
      <c r="O31" s="415">
        <f t="shared" si="8"/>
        <v>1.2329380751384142</v>
      </c>
      <c r="P31" s="415">
        <f t="shared" si="8"/>
        <v>1.2329380751384142</v>
      </c>
      <c r="Q31" s="415">
        <f t="shared" si="8"/>
        <v>1.2329380751384142</v>
      </c>
      <c r="R31" s="415">
        <f t="shared" si="8"/>
        <v>1.2329380751384142</v>
      </c>
      <c r="S31" s="415">
        <f t="shared" si="8"/>
        <v>1.2329380751384142</v>
      </c>
      <c r="T31" s="415">
        <f t="shared" si="8"/>
        <v>1.2329380751384142</v>
      </c>
      <c r="U31" s="415">
        <f t="shared" si="8"/>
        <v>1.2329380751384142</v>
      </c>
      <c r="V31" s="415">
        <f t="shared" si="8"/>
        <v>1.2329380751384142</v>
      </c>
      <c r="W31" s="415">
        <f t="shared" si="8"/>
        <v>1.2329380751384142</v>
      </c>
      <c r="X31" s="415">
        <f t="shared" si="8"/>
        <v>1.2329380751384142</v>
      </c>
      <c r="Y31" s="415">
        <f t="shared" si="8"/>
        <v>1.2329380751384142</v>
      </c>
      <c r="Z31" s="415">
        <f t="shared" si="8"/>
        <v>1.2329380751384142</v>
      </c>
      <c r="AA31" s="415">
        <f t="shared" si="8"/>
        <v>1.2329380751384142</v>
      </c>
      <c r="AB31" s="415">
        <f t="shared" si="8"/>
        <v>1.2329380751384142</v>
      </c>
      <c r="AC31" s="415">
        <f t="shared" si="8"/>
        <v>1.2329380751384142</v>
      </c>
      <c r="AD31" s="415">
        <f t="shared" si="8"/>
        <v>1.2329380751384142</v>
      </c>
      <c r="AE31" s="415">
        <f t="shared" si="8"/>
        <v>1.2329380751384142</v>
      </c>
      <c r="AF31" s="415">
        <f t="shared" si="8"/>
        <v>1.2329380751384142</v>
      </c>
      <c r="AG31" s="415">
        <f t="shared" si="8"/>
        <v>1.2329380751384142</v>
      </c>
      <c r="AH31" s="415">
        <f t="shared" si="8"/>
        <v>1.2329380751384142</v>
      </c>
      <c r="AI31" s="415">
        <f t="shared" si="8"/>
        <v>1.2329380751384142</v>
      </c>
      <c r="AJ31" s="415">
        <f t="shared" si="8"/>
        <v>1.2329380751384142</v>
      </c>
      <c r="AK31" s="415">
        <f t="shared" si="8"/>
        <v>1.2329380751384142</v>
      </c>
      <c r="AL31" s="415">
        <f t="shared" si="8"/>
        <v>1.2329380751384142</v>
      </c>
    </row>
    <row r="32" spans="2:38">
      <c r="B32" s="411" t="s">
        <v>657</v>
      </c>
      <c r="C32" s="416" t="s">
        <v>658</v>
      </c>
      <c r="D32" s="417">
        <f t="shared" ref="D32:AL32" si="9">((D$18+0.2)/0.2)^(0.1336)</f>
        <v>1.3793892627846567</v>
      </c>
      <c r="E32" s="417">
        <f t="shared" si="9"/>
        <v>1.3811604976010341</v>
      </c>
      <c r="F32" s="417">
        <f t="shared" si="9"/>
        <v>1.3829356773787482</v>
      </c>
      <c r="G32" s="417">
        <f t="shared" si="9"/>
        <v>1.3847147970270854</v>
      </c>
      <c r="H32" s="417">
        <f t="shared" si="9"/>
        <v>1.3864978515027926</v>
      </c>
      <c r="I32" s="417">
        <f t="shared" si="9"/>
        <v>1.3882848358103002</v>
      </c>
      <c r="J32" s="417">
        <f t="shared" si="9"/>
        <v>1.3900757450019334</v>
      </c>
      <c r="K32" s="417">
        <f t="shared" si="9"/>
        <v>1.3918705741781165</v>
      </c>
      <c r="L32" s="417">
        <f t="shared" si="9"/>
        <v>1.3936693184875664</v>
      </c>
      <c r="M32" s="417">
        <f t="shared" si="9"/>
        <v>1.3954719731274763</v>
      </c>
      <c r="N32" s="417">
        <f t="shared" si="9"/>
        <v>1.3972785333436928</v>
      </c>
      <c r="O32" s="417">
        <f t="shared" si="9"/>
        <v>1.3990889944308826</v>
      </c>
      <c r="P32" s="417">
        <f t="shared" si="9"/>
        <v>1.4009033517326905</v>
      </c>
      <c r="Q32" s="417">
        <f t="shared" si="9"/>
        <v>1.4027216006418901</v>
      </c>
      <c r="R32" s="417">
        <f t="shared" si="9"/>
        <v>1.4045437366005245</v>
      </c>
      <c r="S32" s="417">
        <f t="shared" si="9"/>
        <v>1.4063697551000396</v>
      </c>
      <c r="T32" s="417">
        <f t="shared" si="9"/>
        <v>1.4081996516814101</v>
      </c>
      <c r="U32" s="417">
        <f t="shared" si="9"/>
        <v>1.4100334219352559</v>
      </c>
      <c r="V32" s="417">
        <f t="shared" si="9"/>
        <v>1.4118710615019512</v>
      </c>
      <c r="W32" s="417">
        <f t="shared" si="9"/>
        <v>1.4137125660717269</v>
      </c>
      <c r="X32" s="417">
        <f t="shared" si="9"/>
        <v>1.4155579313847642</v>
      </c>
      <c r="Y32" s="417">
        <f t="shared" si="9"/>
        <v>1.4174071532312809</v>
      </c>
      <c r="Z32" s="417">
        <f t="shared" si="9"/>
        <v>1.4192602274516108</v>
      </c>
      <c r="AA32" s="417">
        <f t="shared" si="9"/>
        <v>1.4211171499362765</v>
      </c>
      <c r="AB32" s="417">
        <f t="shared" si="9"/>
        <v>1.4229779166260526</v>
      </c>
      <c r="AC32" s="417">
        <f t="shared" si="9"/>
        <v>1.4248425235120254</v>
      </c>
      <c r="AD32" s="417">
        <f t="shared" si="9"/>
        <v>1.4267109666356435</v>
      </c>
      <c r="AE32" s="417">
        <f t="shared" si="9"/>
        <v>1.4285832420887616</v>
      </c>
      <c r="AF32" s="417">
        <f t="shared" si="9"/>
        <v>1.4304593460136799</v>
      </c>
      <c r="AG32" s="417">
        <f t="shared" si="9"/>
        <v>1.4323392746031738</v>
      </c>
      <c r="AH32" s="417">
        <f t="shared" si="9"/>
        <v>1.4342230241005205</v>
      </c>
      <c r="AI32" s="417">
        <f t="shared" si="9"/>
        <v>1.4361105907995173</v>
      </c>
      <c r="AJ32" s="417">
        <f t="shared" si="9"/>
        <v>1.4380019710444945</v>
      </c>
      <c r="AK32" s="417">
        <f t="shared" si="9"/>
        <v>1.4398971612303222</v>
      </c>
      <c r="AL32" s="417">
        <f t="shared" si="9"/>
        <v>1.4417961578024112</v>
      </c>
    </row>
    <row r="33" spans="2:38">
      <c r="B33" s="411" t="s">
        <v>659</v>
      </c>
      <c r="C33" s="412" t="s">
        <v>660</v>
      </c>
      <c r="D33" s="414">
        <f t="shared" ref="D33:AL33" si="10">EXP(-0.616*($E$7-1))</f>
        <v>1</v>
      </c>
      <c r="E33" s="415">
        <f t="shared" si="10"/>
        <v>1</v>
      </c>
      <c r="F33" s="415">
        <f t="shared" si="10"/>
        <v>1</v>
      </c>
      <c r="G33" s="415">
        <f t="shared" si="10"/>
        <v>1</v>
      </c>
      <c r="H33" s="1235">
        <f t="shared" si="10"/>
        <v>1</v>
      </c>
      <c r="I33" s="415">
        <f t="shared" si="10"/>
        <v>1</v>
      </c>
      <c r="J33" s="415">
        <f t="shared" si="10"/>
        <v>1</v>
      </c>
      <c r="K33" s="415">
        <f t="shared" si="10"/>
        <v>1</v>
      </c>
      <c r="L33" s="415">
        <f t="shared" si="10"/>
        <v>1</v>
      </c>
      <c r="M33" s="415">
        <f t="shared" si="10"/>
        <v>1</v>
      </c>
      <c r="N33" s="415">
        <f t="shared" si="10"/>
        <v>1</v>
      </c>
      <c r="O33" s="415">
        <f t="shared" si="10"/>
        <v>1</v>
      </c>
      <c r="P33" s="415">
        <f t="shared" si="10"/>
        <v>1</v>
      </c>
      <c r="Q33" s="415">
        <f t="shared" si="10"/>
        <v>1</v>
      </c>
      <c r="R33" s="415">
        <f t="shared" si="10"/>
        <v>1</v>
      </c>
      <c r="S33" s="415">
        <f t="shared" si="10"/>
        <v>1</v>
      </c>
      <c r="T33" s="415">
        <f t="shared" si="10"/>
        <v>1</v>
      </c>
      <c r="U33" s="415">
        <f t="shared" si="10"/>
        <v>1</v>
      </c>
      <c r="V33" s="415">
        <f t="shared" si="10"/>
        <v>1</v>
      </c>
      <c r="W33" s="415">
        <f t="shared" si="10"/>
        <v>1</v>
      </c>
      <c r="X33" s="415">
        <f t="shared" si="10"/>
        <v>1</v>
      </c>
      <c r="Y33" s="415">
        <f t="shared" si="10"/>
        <v>1</v>
      </c>
      <c r="Z33" s="415">
        <f t="shared" si="10"/>
        <v>1</v>
      </c>
      <c r="AA33" s="415">
        <f t="shared" si="10"/>
        <v>1</v>
      </c>
      <c r="AB33" s="415">
        <f t="shared" si="10"/>
        <v>1</v>
      </c>
      <c r="AC33" s="415">
        <f t="shared" si="10"/>
        <v>1</v>
      </c>
      <c r="AD33" s="415">
        <f t="shared" si="10"/>
        <v>1</v>
      </c>
      <c r="AE33" s="415">
        <f t="shared" si="10"/>
        <v>1</v>
      </c>
      <c r="AF33" s="415">
        <f t="shared" si="10"/>
        <v>1</v>
      </c>
      <c r="AG33" s="415">
        <f t="shared" si="10"/>
        <v>1</v>
      </c>
      <c r="AH33" s="415">
        <f t="shared" si="10"/>
        <v>1</v>
      </c>
      <c r="AI33" s="415">
        <f t="shared" si="10"/>
        <v>1</v>
      </c>
      <c r="AJ33" s="415">
        <f t="shared" si="10"/>
        <v>1</v>
      </c>
      <c r="AK33" s="415">
        <f t="shared" si="10"/>
        <v>1</v>
      </c>
      <c r="AL33" s="415">
        <f t="shared" si="10"/>
        <v>1</v>
      </c>
    </row>
    <row r="34" spans="2:38">
      <c r="B34" s="411" t="s">
        <v>661</v>
      </c>
      <c r="C34" s="412" t="s">
        <v>662</v>
      </c>
      <c r="D34" s="414">
        <f t="shared" ref="D34:AL34" si="11">EXP(0.0077*D$20)</f>
        <v>1.0594501000746941</v>
      </c>
      <c r="E34" s="415">
        <f t="shared" si="11"/>
        <v>1.0594501000746941</v>
      </c>
      <c r="F34" s="415">
        <f t="shared" si="11"/>
        <v>1.0594501000746941</v>
      </c>
      <c r="G34" s="415">
        <f t="shared" si="11"/>
        <v>1.0594501000746941</v>
      </c>
      <c r="H34" s="1235">
        <f t="shared" si="11"/>
        <v>1.0594501000746941</v>
      </c>
      <c r="I34" s="415">
        <f t="shared" si="11"/>
        <v>1.0594501000746941</v>
      </c>
      <c r="J34" s="415">
        <f t="shared" si="11"/>
        <v>1.0594501000746941</v>
      </c>
      <c r="K34" s="415">
        <f t="shared" si="11"/>
        <v>1.0594501000746941</v>
      </c>
      <c r="L34" s="415">
        <f t="shared" si="11"/>
        <v>1.0594501000746941</v>
      </c>
      <c r="M34" s="415">
        <f t="shared" si="11"/>
        <v>1.0594501000746941</v>
      </c>
      <c r="N34" s="415">
        <f t="shared" si="11"/>
        <v>1.0594501000746941</v>
      </c>
      <c r="O34" s="415">
        <f t="shared" si="11"/>
        <v>1.0594501000746941</v>
      </c>
      <c r="P34" s="415">
        <f t="shared" si="11"/>
        <v>1.0594501000746941</v>
      </c>
      <c r="Q34" s="415">
        <f t="shared" si="11"/>
        <v>1.0594501000746941</v>
      </c>
      <c r="R34" s="415">
        <f t="shared" si="11"/>
        <v>1.0594501000746941</v>
      </c>
      <c r="S34" s="415">
        <f t="shared" si="11"/>
        <v>1.0594501000746941</v>
      </c>
      <c r="T34" s="415">
        <f t="shared" si="11"/>
        <v>1.0594501000746941</v>
      </c>
      <c r="U34" s="415">
        <f t="shared" si="11"/>
        <v>1.0594501000746941</v>
      </c>
      <c r="V34" s="415">
        <f t="shared" si="11"/>
        <v>1.0594501000746941</v>
      </c>
      <c r="W34" s="415">
        <f t="shared" si="11"/>
        <v>1.0594501000746941</v>
      </c>
      <c r="X34" s="415">
        <f t="shared" si="11"/>
        <v>1.0594501000746941</v>
      </c>
      <c r="Y34" s="415">
        <f t="shared" si="11"/>
        <v>1.0594501000746941</v>
      </c>
      <c r="Z34" s="415">
        <f t="shared" si="11"/>
        <v>1.0594501000746941</v>
      </c>
      <c r="AA34" s="415">
        <f t="shared" si="11"/>
        <v>1.0594501000746941</v>
      </c>
      <c r="AB34" s="415">
        <f t="shared" si="11"/>
        <v>1.0594501000746941</v>
      </c>
      <c r="AC34" s="415">
        <f t="shared" si="11"/>
        <v>1.0594501000746941</v>
      </c>
      <c r="AD34" s="415">
        <f t="shared" si="11"/>
        <v>1.0594501000746941</v>
      </c>
      <c r="AE34" s="415">
        <f t="shared" si="11"/>
        <v>1.0594501000746941</v>
      </c>
      <c r="AF34" s="415">
        <f t="shared" si="11"/>
        <v>1.0594501000746941</v>
      </c>
      <c r="AG34" s="415">
        <f t="shared" si="11"/>
        <v>1.0594501000746941</v>
      </c>
      <c r="AH34" s="415">
        <f t="shared" si="11"/>
        <v>1.0594501000746941</v>
      </c>
      <c r="AI34" s="415">
        <f t="shared" si="11"/>
        <v>1.0594501000746941</v>
      </c>
      <c r="AJ34" s="415">
        <f t="shared" si="11"/>
        <v>1.0594501000746941</v>
      </c>
      <c r="AK34" s="415">
        <f t="shared" si="11"/>
        <v>1.0594501000746941</v>
      </c>
      <c r="AL34" s="415">
        <f t="shared" si="11"/>
        <v>1.0594501000746941</v>
      </c>
    </row>
    <row r="35" spans="2:38">
      <c r="B35" s="411" t="s">
        <v>663</v>
      </c>
      <c r="C35" s="412" t="s">
        <v>664</v>
      </c>
      <c r="D35" s="414">
        <f t="shared" ref="D35:AL35" si="12">EXP(-0.1*($E$8-1))</f>
        <v>0.60653065971263342</v>
      </c>
      <c r="E35" s="415">
        <f t="shared" si="12"/>
        <v>0.60653065971263342</v>
      </c>
      <c r="F35" s="415">
        <f t="shared" si="12"/>
        <v>0.60653065971263342</v>
      </c>
      <c r="G35" s="415">
        <f t="shared" si="12"/>
        <v>0.60653065971263342</v>
      </c>
      <c r="H35" s="1235">
        <f t="shared" si="12"/>
        <v>0.60653065971263342</v>
      </c>
      <c r="I35" s="415">
        <f t="shared" si="12"/>
        <v>0.60653065971263342</v>
      </c>
      <c r="J35" s="415">
        <f t="shared" si="12"/>
        <v>0.60653065971263342</v>
      </c>
      <c r="K35" s="415">
        <f t="shared" si="12"/>
        <v>0.60653065971263342</v>
      </c>
      <c r="L35" s="415">
        <f t="shared" si="12"/>
        <v>0.60653065971263342</v>
      </c>
      <c r="M35" s="415">
        <f t="shared" si="12"/>
        <v>0.60653065971263342</v>
      </c>
      <c r="N35" s="415">
        <f t="shared" si="12"/>
        <v>0.60653065971263342</v>
      </c>
      <c r="O35" s="415">
        <f t="shared" si="12"/>
        <v>0.60653065971263342</v>
      </c>
      <c r="P35" s="415">
        <f t="shared" si="12"/>
        <v>0.60653065971263342</v>
      </c>
      <c r="Q35" s="415">
        <f t="shared" si="12"/>
        <v>0.60653065971263342</v>
      </c>
      <c r="R35" s="415">
        <f t="shared" si="12"/>
        <v>0.60653065971263342</v>
      </c>
      <c r="S35" s="415">
        <f t="shared" si="12"/>
        <v>0.60653065971263342</v>
      </c>
      <c r="T35" s="415">
        <f t="shared" si="12"/>
        <v>0.60653065971263342</v>
      </c>
      <c r="U35" s="415">
        <f t="shared" si="12"/>
        <v>0.60653065971263342</v>
      </c>
      <c r="V35" s="415">
        <f t="shared" si="12"/>
        <v>0.60653065971263342</v>
      </c>
      <c r="W35" s="415">
        <f t="shared" si="12"/>
        <v>0.60653065971263342</v>
      </c>
      <c r="X35" s="415">
        <f t="shared" si="12"/>
        <v>0.60653065971263342</v>
      </c>
      <c r="Y35" s="415">
        <f t="shared" si="12"/>
        <v>0.60653065971263342</v>
      </c>
      <c r="Z35" s="415">
        <f t="shared" si="12"/>
        <v>0.60653065971263342</v>
      </c>
      <c r="AA35" s="415">
        <f t="shared" si="12"/>
        <v>0.60653065971263342</v>
      </c>
      <c r="AB35" s="415">
        <f t="shared" si="12"/>
        <v>0.60653065971263342</v>
      </c>
      <c r="AC35" s="415">
        <f t="shared" si="12"/>
        <v>0.60653065971263342</v>
      </c>
      <c r="AD35" s="415">
        <f t="shared" si="12"/>
        <v>0.60653065971263342</v>
      </c>
      <c r="AE35" s="415">
        <f t="shared" si="12"/>
        <v>0.60653065971263342</v>
      </c>
      <c r="AF35" s="415">
        <f t="shared" si="12"/>
        <v>0.60653065971263342</v>
      </c>
      <c r="AG35" s="415">
        <f t="shared" si="12"/>
        <v>0.60653065971263342</v>
      </c>
      <c r="AH35" s="415">
        <f t="shared" si="12"/>
        <v>0.60653065971263342</v>
      </c>
      <c r="AI35" s="415">
        <f t="shared" si="12"/>
        <v>0.60653065971263342</v>
      </c>
      <c r="AJ35" s="415">
        <f t="shared" si="12"/>
        <v>0.60653065971263342</v>
      </c>
      <c r="AK35" s="415">
        <f t="shared" si="12"/>
        <v>0.60653065971263342</v>
      </c>
      <c r="AL35" s="415">
        <f t="shared" si="12"/>
        <v>0.60653065971263342</v>
      </c>
    </row>
    <row r="36" spans="2:38">
      <c r="B36" s="411" t="s">
        <v>665</v>
      </c>
      <c r="C36" s="412" t="s">
        <v>666</v>
      </c>
      <c r="D36" s="414">
        <v>1</v>
      </c>
      <c r="E36" s="414">
        <v>1</v>
      </c>
      <c r="F36" s="414">
        <v>1</v>
      </c>
      <c r="G36" s="414">
        <v>1</v>
      </c>
      <c r="H36" s="417">
        <v>1</v>
      </c>
      <c r="I36" s="414">
        <v>1</v>
      </c>
      <c r="J36" s="414">
        <v>1</v>
      </c>
      <c r="K36" s="414">
        <v>1</v>
      </c>
      <c r="L36" s="414">
        <v>1</v>
      </c>
      <c r="M36" s="414">
        <v>1</v>
      </c>
      <c r="N36" s="414">
        <v>1</v>
      </c>
      <c r="O36" s="414">
        <v>1</v>
      </c>
      <c r="P36" s="414">
        <v>1</v>
      </c>
      <c r="Q36" s="414">
        <v>1</v>
      </c>
      <c r="R36" s="414">
        <v>1</v>
      </c>
      <c r="S36" s="414">
        <v>1</v>
      </c>
      <c r="T36" s="414">
        <v>1</v>
      </c>
      <c r="U36" s="414">
        <v>1</v>
      </c>
      <c r="V36" s="414">
        <v>1</v>
      </c>
      <c r="W36" s="414">
        <v>1</v>
      </c>
      <c r="X36" s="414">
        <v>1</v>
      </c>
      <c r="Y36" s="414">
        <v>1</v>
      </c>
      <c r="Z36" s="414">
        <v>1</v>
      </c>
      <c r="AA36" s="414">
        <v>1</v>
      </c>
      <c r="AB36" s="414">
        <v>1</v>
      </c>
      <c r="AC36" s="414">
        <v>1</v>
      </c>
      <c r="AD36" s="414">
        <v>1</v>
      </c>
      <c r="AE36" s="414">
        <v>1</v>
      </c>
      <c r="AF36" s="414">
        <v>1</v>
      </c>
      <c r="AG36" s="414">
        <v>1</v>
      </c>
      <c r="AH36" s="414">
        <v>1</v>
      </c>
      <c r="AI36" s="414">
        <v>1</v>
      </c>
      <c r="AJ36" s="414">
        <v>1</v>
      </c>
      <c r="AK36" s="414">
        <v>1</v>
      </c>
      <c r="AL36" s="414">
        <v>1</v>
      </c>
    </row>
    <row r="37" spans="2:38" s="421" customFormat="1" ht="13">
      <c r="B37" s="418"/>
      <c r="C37" s="419"/>
      <c r="D37" s="420"/>
      <c r="E37" s="420"/>
      <c r="F37" s="420"/>
      <c r="G37" s="420"/>
      <c r="H37" s="1236"/>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ht="13">
      <c r="B38" s="422" t="s">
        <v>667</v>
      </c>
      <c r="C38" s="408"/>
      <c r="D38" s="420"/>
      <c r="E38" s="420"/>
      <c r="F38" s="420"/>
      <c r="G38" s="420"/>
      <c r="H38" s="1236"/>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row>
    <row r="39" spans="2:38" s="421" customFormat="1">
      <c r="B39" s="411" t="s">
        <v>653</v>
      </c>
      <c r="C39" s="412" t="s">
        <v>654</v>
      </c>
      <c r="D39" s="423">
        <f t="shared" ref="D39:AL39" si="13">((D$15*D$16+0.2)/0.2)^(0.2953)</f>
        <v>22.06043571665862</v>
      </c>
      <c r="E39" s="423">
        <f t="shared" si="13"/>
        <v>22.320034074420253</v>
      </c>
      <c r="F39" s="423">
        <f t="shared" si="13"/>
        <v>22.582687565091277</v>
      </c>
      <c r="G39" s="423">
        <f t="shared" si="13"/>
        <v>22.848432135780094</v>
      </c>
      <c r="H39" s="423">
        <f t="shared" si="13"/>
        <v>23.117304156768519</v>
      </c>
      <c r="I39" s="423">
        <f t="shared" si="13"/>
        <v>23.389340426487635</v>
      </c>
      <c r="J39" s="423">
        <f t="shared" si="13"/>
        <v>23.664578176552073</v>
      </c>
      <c r="K39" s="423">
        <f t="shared" si="13"/>
        <v>23.943055076853863</v>
      </c>
      <c r="L39" s="423">
        <f t="shared" si="13"/>
        <v>24.224809240716169</v>
      </c>
      <c r="M39" s="423">
        <f t="shared" si="13"/>
        <v>24.509879230107888</v>
      </c>
      <c r="N39" s="423">
        <f t="shared" si="13"/>
        <v>24.79830406091963</v>
      </c>
      <c r="O39" s="423">
        <f t="shared" si="13"/>
        <v>25.09012320830201</v>
      </c>
      <c r="P39" s="423">
        <f t="shared" si="13"/>
        <v>25.385376612066683</v>
      </c>
      <c r="Q39" s="423">
        <f t="shared" si="13"/>
        <v>25.684104682151201</v>
      </c>
      <c r="R39" s="423">
        <f t="shared" si="13"/>
        <v>25.986348304148127</v>
      </c>
      <c r="S39" s="423">
        <f t="shared" si="13"/>
        <v>26.292148844899451</v>
      </c>
      <c r="T39" s="423">
        <f t="shared" si="13"/>
        <v>26.601548158156795</v>
      </c>
      <c r="U39" s="423">
        <f t="shared" si="13"/>
        <v>26.914588590308362</v>
      </c>
      <c r="V39" s="423">
        <f t="shared" si="13"/>
        <v>27.231312986173403</v>
      </c>
      <c r="W39" s="423">
        <f t="shared" si="13"/>
        <v>27.551764694864875</v>
      </c>
      <c r="X39" s="423">
        <f t="shared" si="13"/>
        <v>27.875987575721204</v>
      </c>
      <c r="Y39" s="423">
        <f t="shared" si="13"/>
        <v>28.204026004307988</v>
      </c>
      <c r="Z39" s="423">
        <f t="shared" si="13"/>
        <v>28.535924878490253</v>
      </c>
      <c r="AA39" s="423">
        <f t="shared" si="13"/>
        <v>28.871729624576385</v>
      </c>
      <c r="AB39" s="423">
        <f t="shared" si="13"/>
        <v>29.211486203534356</v>
      </c>
      <c r="AC39" s="423">
        <f t="shared" si="13"/>
        <v>29.555241117281213</v>
      </c>
      <c r="AD39" s="423">
        <f t="shared" si="13"/>
        <v>29.903041415046555</v>
      </c>
      <c r="AE39" s="423">
        <f t="shared" si="13"/>
        <v>30.254934699811109</v>
      </c>
      <c r="AF39" s="423">
        <f t="shared" si="13"/>
        <v>30.610969134820955</v>
      </c>
      <c r="AG39" s="423">
        <f t="shared" si="13"/>
        <v>30.971193450178681</v>
      </c>
      <c r="AH39" s="423">
        <f t="shared" si="13"/>
        <v>31.335656949511929</v>
      </c>
      <c r="AI39" s="423">
        <f t="shared" si="13"/>
        <v>31.704409516720681</v>
      </c>
      <c r="AJ39" s="423">
        <f t="shared" si="13"/>
        <v>32.077501622803794</v>
      </c>
      <c r="AK39" s="423">
        <f t="shared" si="13"/>
        <v>32.454984332766244</v>
      </c>
      <c r="AL39" s="423">
        <f t="shared" si="13"/>
        <v>32.836909312607283</v>
      </c>
    </row>
    <row r="40" spans="2:38" s="421" customFormat="1">
      <c r="B40" s="411" t="s">
        <v>655</v>
      </c>
      <c r="C40" s="412" t="s">
        <v>656</v>
      </c>
      <c r="D40" s="414">
        <f t="shared" ref="D40:AL40" si="14">EXP(0.1088*$D$9)</f>
        <v>1.1149393401731398</v>
      </c>
      <c r="E40" s="414">
        <f t="shared" si="14"/>
        <v>1.1149393401731398</v>
      </c>
      <c r="F40" s="414">
        <f t="shared" si="14"/>
        <v>1.1149393401731398</v>
      </c>
      <c r="G40" s="414">
        <f t="shared" si="14"/>
        <v>1.1149393401731398</v>
      </c>
      <c r="H40" s="417">
        <f t="shared" si="14"/>
        <v>1.1149393401731398</v>
      </c>
      <c r="I40" s="414">
        <f t="shared" si="14"/>
        <v>1.1149393401731398</v>
      </c>
      <c r="J40" s="414">
        <f t="shared" si="14"/>
        <v>1.1149393401731398</v>
      </c>
      <c r="K40" s="414">
        <f t="shared" si="14"/>
        <v>1.1149393401731398</v>
      </c>
      <c r="L40" s="414">
        <f t="shared" si="14"/>
        <v>1.1149393401731398</v>
      </c>
      <c r="M40" s="414">
        <f t="shared" si="14"/>
        <v>1.1149393401731398</v>
      </c>
      <c r="N40" s="414">
        <f t="shared" si="14"/>
        <v>1.1149393401731398</v>
      </c>
      <c r="O40" s="414">
        <f t="shared" si="14"/>
        <v>1.1149393401731398</v>
      </c>
      <c r="P40" s="414">
        <f t="shared" si="14"/>
        <v>1.1149393401731398</v>
      </c>
      <c r="Q40" s="414">
        <f t="shared" si="14"/>
        <v>1.1149393401731398</v>
      </c>
      <c r="R40" s="414">
        <f t="shared" si="14"/>
        <v>1.1149393401731398</v>
      </c>
      <c r="S40" s="414">
        <f t="shared" si="14"/>
        <v>1.1149393401731398</v>
      </c>
      <c r="T40" s="414">
        <f t="shared" si="14"/>
        <v>1.1149393401731398</v>
      </c>
      <c r="U40" s="414">
        <f t="shared" si="14"/>
        <v>1.1149393401731398</v>
      </c>
      <c r="V40" s="414">
        <f t="shared" si="14"/>
        <v>1.1149393401731398</v>
      </c>
      <c r="W40" s="414">
        <f t="shared" si="14"/>
        <v>1.1149393401731398</v>
      </c>
      <c r="X40" s="414">
        <f t="shared" si="14"/>
        <v>1.1149393401731398</v>
      </c>
      <c r="Y40" s="414">
        <f t="shared" si="14"/>
        <v>1.1149393401731398</v>
      </c>
      <c r="Z40" s="414">
        <f t="shared" si="14"/>
        <v>1.1149393401731398</v>
      </c>
      <c r="AA40" s="414">
        <f t="shared" si="14"/>
        <v>1.1149393401731398</v>
      </c>
      <c r="AB40" s="414">
        <f t="shared" si="14"/>
        <v>1.1149393401731398</v>
      </c>
      <c r="AC40" s="414">
        <f t="shared" si="14"/>
        <v>1.1149393401731398</v>
      </c>
      <c r="AD40" s="414">
        <f t="shared" si="14"/>
        <v>1.1149393401731398</v>
      </c>
      <c r="AE40" s="414">
        <f t="shared" si="14"/>
        <v>1.1149393401731398</v>
      </c>
      <c r="AF40" s="414">
        <f t="shared" si="14"/>
        <v>1.1149393401731398</v>
      </c>
      <c r="AG40" s="414">
        <f t="shared" si="14"/>
        <v>1.1149393401731398</v>
      </c>
      <c r="AH40" s="414">
        <f t="shared" si="14"/>
        <v>1.1149393401731398</v>
      </c>
      <c r="AI40" s="414">
        <f t="shared" si="14"/>
        <v>1.1149393401731398</v>
      </c>
      <c r="AJ40" s="414">
        <f t="shared" si="14"/>
        <v>1.1149393401731398</v>
      </c>
      <c r="AK40" s="414">
        <f t="shared" si="14"/>
        <v>1.1149393401731398</v>
      </c>
      <c r="AL40" s="414">
        <f t="shared" si="14"/>
        <v>1.1149393401731398</v>
      </c>
    </row>
    <row r="41" spans="2:38" s="421" customFormat="1">
      <c r="B41" s="411" t="s">
        <v>657</v>
      </c>
      <c r="C41" s="416" t="s">
        <v>658</v>
      </c>
      <c r="D41" s="417">
        <f t="shared" ref="D41:AL41" si="15">((D$18+0.2)/0.2)^(0.047)</f>
        <v>1.1198022320808569</v>
      </c>
      <c r="E41" s="417">
        <f t="shared" si="15"/>
        <v>1.120307872028153</v>
      </c>
      <c r="F41" s="417">
        <f t="shared" si="15"/>
        <v>1.1208142166017745</v>
      </c>
      <c r="G41" s="417">
        <f t="shared" si="15"/>
        <v>1.1213212624333833</v>
      </c>
      <c r="H41" s="417">
        <f t="shared" si="15"/>
        <v>1.1218290061756129</v>
      </c>
      <c r="I41" s="417">
        <f t="shared" si="15"/>
        <v>1.1223374445020879</v>
      </c>
      <c r="J41" s="417">
        <f t="shared" si="15"/>
        <v>1.1228465741074423</v>
      </c>
      <c r="K41" s="417">
        <f t="shared" si="15"/>
        <v>1.1233563917073321</v>
      </c>
      <c r="L41" s="417">
        <f t="shared" si="15"/>
        <v>1.1238668940384469</v>
      </c>
      <c r="M41" s="417">
        <f t="shared" si="15"/>
        <v>1.1243780778585168</v>
      </c>
      <c r="N41" s="417">
        <f t="shared" si="15"/>
        <v>1.1248899399463164</v>
      </c>
      <c r="O41" s="417">
        <f t="shared" si="15"/>
        <v>1.1254024771016669</v>
      </c>
      <c r="P41" s="417">
        <f t="shared" si="15"/>
        <v>1.1259156861454336</v>
      </c>
      <c r="Q41" s="417">
        <f t="shared" si="15"/>
        <v>1.1264295639195219</v>
      </c>
      <c r="R41" s="417">
        <f t="shared" si="15"/>
        <v>1.1269441072868684</v>
      </c>
      <c r="S41" s="417">
        <f t="shared" si="15"/>
        <v>1.1274593131314321</v>
      </c>
      <c r="T41" s="417">
        <f t="shared" si="15"/>
        <v>1.1279751783581806</v>
      </c>
      <c r="U41" s="417">
        <f t="shared" si="15"/>
        <v>1.1284916998930739</v>
      </c>
      <c r="V41" s="417">
        <f t="shared" si="15"/>
        <v>1.1290088746830456</v>
      </c>
      <c r="W41" s="417">
        <f t="shared" si="15"/>
        <v>1.1295266996959834</v>
      </c>
      <c r="X41" s="417">
        <f t="shared" si="15"/>
        <v>1.1300451719207034</v>
      </c>
      <c r="Y41" s="417">
        <f t="shared" si="15"/>
        <v>1.1305642883669256</v>
      </c>
      <c r="Z41" s="417">
        <f t="shared" si="15"/>
        <v>1.1310840460652438</v>
      </c>
      <c r="AA41" s="417">
        <f t="shared" si="15"/>
        <v>1.1316044420670963</v>
      </c>
      <c r="AB41" s="417">
        <f t="shared" si="15"/>
        <v>1.1321254734447308</v>
      </c>
      <c r="AC41" s="417">
        <f t="shared" si="15"/>
        <v>1.1326471372911706</v>
      </c>
      <c r="AD41" s="417">
        <f t="shared" si="15"/>
        <v>1.1331694307201756</v>
      </c>
      <c r="AE41" s="417">
        <f t="shared" si="15"/>
        <v>1.1336923508662025</v>
      </c>
      <c r="AF41" s="417">
        <f t="shared" si="15"/>
        <v>1.1342158948843635</v>
      </c>
      <c r="AG41" s="417">
        <f t="shared" si="15"/>
        <v>1.1347400599503807</v>
      </c>
      <c r="AH41" s="417">
        <f t="shared" si="15"/>
        <v>1.1352648432605419</v>
      </c>
      <c r="AI41" s="417">
        <f t="shared" si="15"/>
        <v>1.1357902420316506</v>
      </c>
      <c r="AJ41" s="417">
        <f t="shared" si="15"/>
        <v>1.1363162535009765</v>
      </c>
      <c r="AK41" s="417">
        <f t="shared" si="15"/>
        <v>1.1368428749262049</v>
      </c>
      <c r="AL41" s="417">
        <f t="shared" si="15"/>
        <v>1.1373701035853803</v>
      </c>
    </row>
    <row r="42" spans="2:38" s="421" customFormat="1">
      <c r="B42" s="411" t="s">
        <v>659</v>
      </c>
      <c r="C42" s="412" t="s">
        <v>660</v>
      </c>
      <c r="D42" s="414">
        <v>1</v>
      </c>
      <c r="E42" s="414">
        <v>1</v>
      </c>
      <c r="F42" s="414">
        <v>1</v>
      </c>
      <c r="G42" s="414">
        <v>1</v>
      </c>
      <c r="H42" s="417">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661</v>
      </c>
      <c r="C43" s="412" t="s">
        <v>662</v>
      </c>
      <c r="D43" s="414">
        <v>1</v>
      </c>
      <c r="E43" s="414">
        <v>1</v>
      </c>
      <c r="F43" s="414">
        <v>1</v>
      </c>
      <c r="G43" s="414">
        <v>1</v>
      </c>
      <c r="H43" s="417">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663</v>
      </c>
      <c r="C44" s="412" t="s">
        <v>664</v>
      </c>
      <c r="D44" s="414">
        <v>1</v>
      </c>
      <c r="E44" s="414">
        <v>1</v>
      </c>
      <c r="F44" s="414">
        <v>1</v>
      </c>
      <c r="G44" s="414">
        <v>1</v>
      </c>
      <c r="H44" s="417">
        <v>1</v>
      </c>
      <c r="I44" s="414">
        <v>1</v>
      </c>
      <c r="J44" s="414">
        <v>1</v>
      </c>
      <c r="K44" s="414">
        <v>1</v>
      </c>
      <c r="L44" s="414">
        <v>1</v>
      </c>
      <c r="M44" s="414">
        <v>1</v>
      </c>
      <c r="N44" s="414">
        <v>1</v>
      </c>
      <c r="O44" s="414">
        <v>1</v>
      </c>
      <c r="P44" s="414">
        <v>1</v>
      </c>
      <c r="Q44" s="414">
        <v>1</v>
      </c>
      <c r="R44" s="414">
        <v>1</v>
      </c>
      <c r="S44" s="414">
        <v>1</v>
      </c>
      <c r="T44" s="414">
        <v>1</v>
      </c>
      <c r="U44" s="414">
        <v>1</v>
      </c>
      <c r="V44" s="414">
        <v>1</v>
      </c>
      <c r="W44" s="414">
        <v>1</v>
      </c>
      <c r="X44" s="414">
        <v>1</v>
      </c>
      <c r="Y44" s="414">
        <v>1</v>
      </c>
      <c r="Z44" s="414">
        <v>1</v>
      </c>
      <c r="AA44" s="414">
        <v>1</v>
      </c>
      <c r="AB44" s="414">
        <v>1</v>
      </c>
      <c r="AC44" s="414">
        <v>1</v>
      </c>
      <c r="AD44" s="414">
        <v>1</v>
      </c>
      <c r="AE44" s="414">
        <v>1</v>
      </c>
      <c r="AF44" s="414">
        <v>1</v>
      </c>
      <c r="AG44" s="414">
        <v>1</v>
      </c>
      <c r="AH44" s="414">
        <v>1</v>
      </c>
      <c r="AI44" s="414">
        <v>1</v>
      </c>
      <c r="AJ44" s="414">
        <v>1</v>
      </c>
      <c r="AK44" s="414">
        <v>1</v>
      </c>
      <c r="AL44" s="414">
        <v>1</v>
      </c>
    </row>
    <row r="45" spans="2:38" s="421" customFormat="1">
      <c r="B45" s="411" t="s">
        <v>665</v>
      </c>
      <c r="C45" s="412" t="s">
        <v>666</v>
      </c>
      <c r="D45" s="414">
        <f t="shared" ref="D45:AL45" si="16">EXP(0.138*($D$10-1))</f>
        <v>1.1479755502741786</v>
      </c>
      <c r="E45" s="414">
        <f t="shared" si="16"/>
        <v>1.1479755502741786</v>
      </c>
      <c r="F45" s="414">
        <f t="shared" si="16"/>
        <v>1.1479755502741786</v>
      </c>
      <c r="G45" s="414">
        <f t="shared" si="16"/>
        <v>1.1479755502741786</v>
      </c>
      <c r="H45" s="417">
        <f t="shared" si="16"/>
        <v>1.1479755502741786</v>
      </c>
      <c r="I45" s="414">
        <f t="shared" si="16"/>
        <v>1.1479755502741786</v>
      </c>
      <c r="J45" s="414">
        <f t="shared" si="16"/>
        <v>1.1479755502741786</v>
      </c>
      <c r="K45" s="414">
        <f t="shared" si="16"/>
        <v>1.1479755502741786</v>
      </c>
      <c r="L45" s="414">
        <f t="shared" si="16"/>
        <v>1.1479755502741786</v>
      </c>
      <c r="M45" s="414">
        <f t="shared" si="16"/>
        <v>1.1479755502741786</v>
      </c>
      <c r="N45" s="414">
        <f t="shared" si="16"/>
        <v>1.1479755502741786</v>
      </c>
      <c r="O45" s="414">
        <f t="shared" si="16"/>
        <v>1.1479755502741786</v>
      </c>
      <c r="P45" s="414">
        <f t="shared" si="16"/>
        <v>1.1479755502741786</v>
      </c>
      <c r="Q45" s="414">
        <f t="shared" si="16"/>
        <v>1.1479755502741786</v>
      </c>
      <c r="R45" s="414">
        <f t="shared" si="16"/>
        <v>1.1479755502741786</v>
      </c>
      <c r="S45" s="414">
        <f t="shared" si="16"/>
        <v>1.1479755502741786</v>
      </c>
      <c r="T45" s="414">
        <f t="shared" si="16"/>
        <v>1.1479755502741786</v>
      </c>
      <c r="U45" s="414">
        <f t="shared" si="16"/>
        <v>1.1479755502741786</v>
      </c>
      <c r="V45" s="414">
        <f t="shared" si="16"/>
        <v>1.1479755502741786</v>
      </c>
      <c r="W45" s="414">
        <f t="shared" si="16"/>
        <v>1.1479755502741786</v>
      </c>
      <c r="X45" s="414">
        <f t="shared" si="16"/>
        <v>1.1479755502741786</v>
      </c>
      <c r="Y45" s="414">
        <f t="shared" si="16"/>
        <v>1.1479755502741786</v>
      </c>
      <c r="Z45" s="414">
        <f t="shared" si="16"/>
        <v>1.1479755502741786</v>
      </c>
      <c r="AA45" s="414">
        <f t="shared" si="16"/>
        <v>1.1479755502741786</v>
      </c>
      <c r="AB45" s="414">
        <f t="shared" si="16"/>
        <v>1.1479755502741786</v>
      </c>
      <c r="AC45" s="414">
        <f t="shared" si="16"/>
        <v>1.1479755502741786</v>
      </c>
      <c r="AD45" s="414">
        <f t="shared" si="16"/>
        <v>1.1479755502741786</v>
      </c>
      <c r="AE45" s="414">
        <f t="shared" si="16"/>
        <v>1.1479755502741786</v>
      </c>
      <c r="AF45" s="414">
        <f t="shared" si="16"/>
        <v>1.1479755502741786</v>
      </c>
      <c r="AG45" s="414">
        <f t="shared" si="16"/>
        <v>1.1479755502741786</v>
      </c>
      <c r="AH45" s="414">
        <f t="shared" si="16"/>
        <v>1.1479755502741786</v>
      </c>
      <c r="AI45" s="414">
        <f t="shared" si="16"/>
        <v>1.1479755502741786</v>
      </c>
      <c r="AJ45" s="414">
        <f t="shared" si="16"/>
        <v>1.1479755502741786</v>
      </c>
      <c r="AK45" s="414">
        <f t="shared" si="16"/>
        <v>1.1479755502741786</v>
      </c>
      <c r="AL45" s="414">
        <f t="shared" si="16"/>
        <v>1.1479755502741786</v>
      </c>
    </row>
    <row r="46" spans="2:38" s="421" customFormat="1" ht="13">
      <c r="B46" s="418"/>
      <c r="C46" s="419"/>
      <c r="D46" s="420"/>
      <c r="E46" s="420"/>
      <c r="F46" s="420"/>
      <c r="G46" s="420"/>
      <c r="H46" s="1236"/>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ht="13">
      <c r="B47" s="422" t="s">
        <v>668</v>
      </c>
      <c r="C47" s="408"/>
      <c r="D47" s="420"/>
      <c r="E47" s="420"/>
      <c r="F47" s="420"/>
      <c r="G47" s="420"/>
      <c r="H47" s="1236"/>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row>
    <row r="48" spans="2:38" s="421" customFormat="1">
      <c r="B48" s="411" t="s">
        <v>653</v>
      </c>
      <c r="C48" s="412" t="s">
        <v>654</v>
      </c>
      <c r="D48" s="423">
        <f t="shared" ref="D48:AL48" si="17">((D$15*D$16+0.2)/0.2)^(0.3116)</f>
        <v>26.168512428837325</v>
      </c>
      <c r="E48" s="423">
        <f t="shared" si="17"/>
        <v>26.493555862916516</v>
      </c>
      <c r="F48" s="423">
        <f t="shared" si="17"/>
        <v>26.822637070822399</v>
      </c>
      <c r="G48" s="423">
        <f t="shared" si="17"/>
        <v>27.155806201266632</v>
      </c>
      <c r="H48" s="423">
        <f t="shared" si="17"/>
        <v>27.493114026059601</v>
      </c>
      <c r="I48" s="423">
        <f t="shared" si="17"/>
        <v>27.834611947845541</v>
      </c>
      <c r="J48" s="423">
        <f t="shared" si="17"/>
        <v>28.180352007933855</v>
      </c>
      <c r="K48" s="423">
        <f t="shared" si="17"/>
        <v>28.530386894227824</v>
      </c>
      <c r="L48" s="423">
        <f t="shared" si="17"/>
        <v>28.884769949251826</v>
      </c>
      <c r="M48" s="423">
        <f t="shared" si="17"/>
        <v>29.24355517827864</v>
      </c>
      <c r="N48" s="423">
        <f t="shared" si="17"/>
        <v>29.606797257557492</v>
      </c>
      <c r="O48" s="423">
        <f t="shared" si="17"/>
        <v>29.974551542644686</v>
      </c>
      <c r="P48" s="423">
        <f t="shared" si="17"/>
        <v>30.346874076837661</v>
      </c>
      <c r="Q48" s="423">
        <f t="shared" si="17"/>
        <v>30.72382159971399</v>
      </c>
      <c r="R48" s="423">
        <f t="shared" si="17"/>
        <v>31.105451555776476</v>
      </c>
      <c r="S48" s="423">
        <f t="shared" si="17"/>
        <v>31.491822103205934</v>
      </c>
      <c r="T48" s="423">
        <f t="shared" si="17"/>
        <v>31.882992122722445</v>
      </c>
      <c r="U48" s="423">
        <f t="shared" si="17"/>
        <v>32.279021226557099</v>
      </c>
      <c r="V48" s="423">
        <f t="shared" si="17"/>
        <v>32.679969767535134</v>
      </c>
      <c r="W48" s="423">
        <f t="shared" si="17"/>
        <v>33.085898848271981</v>
      </c>
      <c r="X48" s="423">
        <f t="shared" si="17"/>
        <v>33.496870330483638</v>
      </c>
      <c r="Y48" s="423">
        <f t="shared" si="17"/>
        <v>33.912946844412808</v>
      </c>
      <c r="Z48" s="423">
        <f t="shared" si="17"/>
        <v>34.334191798372181</v>
      </c>
      <c r="AA48" s="423">
        <f t="shared" si="17"/>
        <v>34.760669388406328</v>
      </c>
      <c r="AB48" s="423">
        <f t="shared" si="17"/>
        <v>35.192444608073707</v>
      </c>
      <c r="AC48" s="423">
        <f t="shared" si="17"/>
        <v>35.629583258350266</v>
      </c>
      <c r="AD48" s="423">
        <f t="shared" si="17"/>
        <v>36.072151957656082</v>
      </c>
      <c r="AE48" s="423">
        <f t="shared" si="17"/>
        <v>36.52021815200672</v>
      </c>
      <c r="AF48" s="423">
        <f t="shared" si="17"/>
        <v>36.973850125290589</v>
      </c>
      <c r="AG48" s="423">
        <f t="shared" si="17"/>
        <v>37.433117009674234</v>
      </c>
      <c r="AH48" s="423">
        <f t="shared" si="17"/>
        <v>37.898088796136783</v>
      </c>
      <c r="AI48" s="423">
        <f t="shared" si="17"/>
        <v>38.368836345135328</v>
      </c>
      <c r="AJ48" s="423">
        <f t="shared" si="17"/>
        <v>38.845431397402962</v>
      </c>
      <c r="AK48" s="423">
        <f t="shared" si="17"/>
        <v>39.327946584880955</v>
      </c>
      <c r="AL48" s="423">
        <f t="shared" si="17"/>
        <v>39.816455441786673</v>
      </c>
    </row>
    <row r="49" spans="2:38" s="421" customFormat="1">
      <c r="B49" s="411" t="s">
        <v>655</v>
      </c>
      <c r="C49" s="412" t="s">
        <v>656</v>
      </c>
      <c r="D49" s="414">
        <f t="shared" ref="D49:AL49" si="18">EXP(0.2912*$D$9)</f>
        <v>1.3380321636239008</v>
      </c>
      <c r="E49" s="414">
        <f t="shared" si="18"/>
        <v>1.3380321636239008</v>
      </c>
      <c r="F49" s="414">
        <f t="shared" si="18"/>
        <v>1.3380321636239008</v>
      </c>
      <c r="G49" s="414">
        <f t="shared" si="18"/>
        <v>1.3380321636239008</v>
      </c>
      <c r="H49" s="417">
        <f t="shared" si="18"/>
        <v>1.3380321636239008</v>
      </c>
      <c r="I49" s="414">
        <f t="shared" si="18"/>
        <v>1.3380321636239008</v>
      </c>
      <c r="J49" s="414">
        <f t="shared" si="18"/>
        <v>1.3380321636239008</v>
      </c>
      <c r="K49" s="414">
        <f t="shared" si="18"/>
        <v>1.3380321636239008</v>
      </c>
      <c r="L49" s="414">
        <f t="shared" si="18"/>
        <v>1.3380321636239008</v>
      </c>
      <c r="M49" s="414">
        <f t="shared" si="18"/>
        <v>1.3380321636239008</v>
      </c>
      <c r="N49" s="414">
        <f t="shared" si="18"/>
        <v>1.3380321636239008</v>
      </c>
      <c r="O49" s="414">
        <f t="shared" si="18"/>
        <v>1.3380321636239008</v>
      </c>
      <c r="P49" s="414">
        <f t="shared" si="18"/>
        <v>1.3380321636239008</v>
      </c>
      <c r="Q49" s="414">
        <f t="shared" si="18"/>
        <v>1.3380321636239008</v>
      </c>
      <c r="R49" s="414">
        <f t="shared" si="18"/>
        <v>1.3380321636239008</v>
      </c>
      <c r="S49" s="414">
        <f t="shared" si="18"/>
        <v>1.3380321636239008</v>
      </c>
      <c r="T49" s="414">
        <f t="shared" si="18"/>
        <v>1.3380321636239008</v>
      </c>
      <c r="U49" s="414">
        <f t="shared" si="18"/>
        <v>1.3380321636239008</v>
      </c>
      <c r="V49" s="414">
        <f t="shared" si="18"/>
        <v>1.3380321636239008</v>
      </c>
      <c r="W49" s="414">
        <f t="shared" si="18"/>
        <v>1.3380321636239008</v>
      </c>
      <c r="X49" s="414">
        <f t="shared" si="18"/>
        <v>1.3380321636239008</v>
      </c>
      <c r="Y49" s="414">
        <f t="shared" si="18"/>
        <v>1.3380321636239008</v>
      </c>
      <c r="Z49" s="414">
        <f t="shared" si="18"/>
        <v>1.3380321636239008</v>
      </c>
      <c r="AA49" s="414">
        <f t="shared" si="18"/>
        <v>1.3380321636239008</v>
      </c>
      <c r="AB49" s="414">
        <f t="shared" si="18"/>
        <v>1.3380321636239008</v>
      </c>
      <c r="AC49" s="414">
        <f t="shared" si="18"/>
        <v>1.3380321636239008</v>
      </c>
      <c r="AD49" s="414">
        <f t="shared" si="18"/>
        <v>1.3380321636239008</v>
      </c>
      <c r="AE49" s="414">
        <f t="shared" si="18"/>
        <v>1.3380321636239008</v>
      </c>
      <c r="AF49" s="414">
        <f t="shared" si="18"/>
        <v>1.3380321636239008</v>
      </c>
      <c r="AG49" s="414">
        <f t="shared" si="18"/>
        <v>1.3380321636239008</v>
      </c>
      <c r="AH49" s="414">
        <f t="shared" si="18"/>
        <v>1.3380321636239008</v>
      </c>
      <c r="AI49" s="414">
        <f t="shared" si="18"/>
        <v>1.3380321636239008</v>
      </c>
      <c r="AJ49" s="414">
        <f t="shared" si="18"/>
        <v>1.3380321636239008</v>
      </c>
      <c r="AK49" s="414">
        <f t="shared" si="18"/>
        <v>1.3380321636239008</v>
      </c>
      <c r="AL49" s="414">
        <f t="shared" si="18"/>
        <v>1.3380321636239008</v>
      </c>
    </row>
    <row r="50" spans="2:38" s="421" customFormat="1">
      <c r="B50" s="411" t="s">
        <v>657</v>
      </c>
      <c r="C50" s="416" t="s">
        <v>658</v>
      </c>
      <c r="D50" s="414">
        <v>1</v>
      </c>
      <c r="E50" s="414">
        <v>1</v>
      </c>
      <c r="F50" s="414">
        <v>1</v>
      </c>
      <c r="G50" s="414">
        <v>1</v>
      </c>
      <c r="H50" s="417">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659</v>
      </c>
      <c r="C51" s="412" t="s">
        <v>660</v>
      </c>
      <c r="D51" s="414">
        <v>1</v>
      </c>
      <c r="E51" s="414">
        <v>1</v>
      </c>
      <c r="F51" s="414">
        <v>1</v>
      </c>
      <c r="G51" s="414">
        <v>1</v>
      </c>
      <c r="H51" s="417">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661</v>
      </c>
      <c r="C52" s="412" t="s">
        <v>662</v>
      </c>
      <c r="D52" s="414">
        <v>1</v>
      </c>
      <c r="E52" s="414">
        <v>1</v>
      </c>
      <c r="F52" s="414">
        <v>1</v>
      </c>
      <c r="G52" s="414">
        <v>1</v>
      </c>
      <c r="H52" s="417">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11" t="s">
        <v>663</v>
      </c>
      <c r="C53" s="412" t="s">
        <v>664</v>
      </c>
      <c r="D53" s="414">
        <v>1</v>
      </c>
      <c r="E53" s="414">
        <v>1</v>
      </c>
      <c r="F53" s="414">
        <v>1</v>
      </c>
      <c r="G53" s="414">
        <v>1</v>
      </c>
      <c r="H53" s="417">
        <v>1</v>
      </c>
      <c r="I53" s="414">
        <v>1</v>
      </c>
      <c r="J53" s="414">
        <v>1</v>
      </c>
      <c r="K53" s="414">
        <v>1</v>
      </c>
      <c r="L53" s="414">
        <v>1</v>
      </c>
      <c r="M53" s="414">
        <v>1</v>
      </c>
      <c r="N53" s="414">
        <v>1</v>
      </c>
      <c r="O53" s="414">
        <v>1</v>
      </c>
      <c r="P53" s="414">
        <v>1</v>
      </c>
      <c r="Q53" s="414">
        <v>1</v>
      </c>
      <c r="R53" s="414">
        <v>1</v>
      </c>
      <c r="S53" s="414">
        <v>1</v>
      </c>
      <c r="T53" s="414">
        <v>1</v>
      </c>
      <c r="U53" s="414">
        <v>1</v>
      </c>
      <c r="V53" s="414">
        <v>1</v>
      </c>
      <c r="W53" s="414">
        <v>1</v>
      </c>
      <c r="X53" s="414">
        <v>1</v>
      </c>
      <c r="Y53" s="414">
        <v>1</v>
      </c>
      <c r="Z53" s="414">
        <v>1</v>
      </c>
      <c r="AA53" s="414">
        <v>1</v>
      </c>
      <c r="AB53" s="414">
        <v>1</v>
      </c>
      <c r="AC53" s="414">
        <v>1</v>
      </c>
      <c r="AD53" s="414">
        <v>1</v>
      </c>
      <c r="AE53" s="414">
        <v>1</v>
      </c>
      <c r="AF53" s="414">
        <v>1</v>
      </c>
      <c r="AG53" s="414">
        <v>1</v>
      </c>
      <c r="AH53" s="414">
        <v>1</v>
      </c>
      <c r="AI53" s="414">
        <v>1</v>
      </c>
      <c r="AJ53" s="414">
        <v>1</v>
      </c>
      <c r="AK53" s="414">
        <v>1</v>
      </c>
      <c r="AL53" s="414">
        <v>1</v>
      </c>
    </row>
    <row r="54" spans="2:38" s="421" customFormat="1">
      <c r="B54" s="424" t="s">
        <v>665</v>
      </c>
      <c r="C54" s="425" t="s">
        <v>666</v>
      </c>
      <c r="D54" s="426">
        <f t="shared" ref="D54:AL54" si="19">EXP(0.1036*($D$10-1))</f>
        <v>1.1091567034898182</v>
      </c>
      <c r="E54" s="426">
        <f t="shared" si="19"/>
        <v>1.1091567034898182</v>
      </c>
      <c r="F54" s="426">
        <f t="shared" si="19"/>
        <v>1.1091567034898182</v>
      </c>
      <c r="G54" s="426">
        <f t="shared" si="19"/>
        <v>1.1091567034898182</v>
      </c>
      <c r="H54" s="1237">
        <f t="shared" si="19"/>
        <v>1.1091567034898182</v>
      </c>
      <c r="I54" s="426">
        <f t="shared" si="19"/>
        <v>1.1091567034898182</v>
      </c>
      <c r="J54" s="426">
        <f t="shared" si="19"/>
        <v>1.1091567034898182</v>
      </c>
      <c r="K54" s="426">
        <f t="shared" si="19"/>
        <v>1.1091567034898182</v>
      </c>
      <c r="L54" s="426">
        <f t="shared" si="19"/>
        <v>1.1091567034898182</v>
      </c>
      <c r="M54" s="426">
        <f t="shared" si="19"/>
        <v>1.1091567034898182</v>
      </c>
      <c r="N54" s="426">
        <f t="shared" si="19"/>
        <v>1.1091567034898182</v>
      </c>
      <c r="O54" s="426">
        <f t="shared" si="19"/>
        <v>1.1091567034898182</v>
      </c>
      <c r="P54" s="426">
        <f t="shared" si="19"/>
        <v>1.1091567034898182</v>
      </c>
      <c r="Q54" s="426">
        <f t="shared" si="19"/>
        <v>1.1091567034898182</v>
      </c>
      <c r="R54" s="426">
        <f t="shared" si="19"/>
        <v>1.1091567034898182</v>
      </c>
      <c r="S54" s="426">
        <f t="shared" si="19"/>
        <v>1.1091567034898182</v>
      </c>
      <c r="T54" s="426">
        <f t="shared" si="19"/>
        <v>1.1091567034898182</v>
      </c>
      <c r="U54" s="426">
        <f t="shared" si="19"/>
        <v>1.1091567034898182</v>
      </c>
      <c r="V54" s="426">
        <f t="shared" si="19"/>
        <v>1.1091567034898182</v>
      </c>
      <c r="W54" s="426">
        <f t="shared" si="19"/>
        <v>1.1091567034898182</v>
      </c>
      <c r="X54" s="426">
        <f t="shared" si="19"/>
        <v>1.1091567034898182</v>
      </c>
      <c r="Y54" s="426">
        <f t="shared" si="19"/>
        <v>1.1091567034898182</v>
      </c>
      <c r="Z54" s="426">
        <f t="shared" si="19"/>
        <v>1.1091567034898182</v>
      </c>
      <c r="AA54" s="426">
        <f t="shared" si="19"/>
        <v>1.1091567034898182</v>
      </c>
      <c r="AB54" s="426">
        <f t="shared" si="19"/>
        <v>1.1091567034898182</v>
      </c>
      <c r="AC54" s="426">
        <f t="shared" si="19"/>
        <v>1.1091567034898182</v>
      </c>
      <c r="AD54" s="426">
        <f t="shared" si="19"/>
        <v>1.1091567034898182</v>
      </c>
      <c r="AE54" s="426">
        <f t="shared" si="19"/>
        <v>1.1091567034898182</v>
      </c>
      <c r="AF54" s="426">
        <f t="shared" si="19"/>
        <v>1.1091567034898182</v>
      </c>
      <c r="AG54" s="426">
        <f t="shared" si="19"/>
        <v>1.1091567034898182</v>
      </c>
      <c r="AH54" s="426">
        <f t="shared" si="19"/>
        <v>1.1091567034898182</v>
      </c>
      <c r="AI54" s="426">
        <f t="shared" si="19"/>
        <v>1.1091567034898182</v>
      </c>
      <c r="AJ54" s="426">
        <f t="shared" si="19"/>
        <v>1.1091567034898182</v>
      </c>
      <c r="AK54" s="426">
        <f t="shared" si="19"/>
        <v>1.1091567034898182</v>
      </c>
      <c r="AL54" s="426">
        <f t="shared" si="19"/>
        <v>1.1091567034898182</v>
      </c>
    </row>
    <row r="55" spans="2:38">
      <c r="B55" s="362"/>
      <c r="C55" s="427" t="s">
        <v>290</v>
      </c>
      <c r="D55" s="415"/>
      <c r="E55" s="415"/>
      <c r="F55" s="415"/>
      <c r="G55" s="415"/>
      <c r="H55" s="123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row>
    <row r="56" spans="2:38">
      <c r="B56" s="362" t="s">
        <v>669</v>
      </c>
      <c r="C56" s="428">
        <f>$E$6</f>
        <v>3.6459999999999999E-3</v>
      </c>
      <c r="D56" s="429">
        <f t="shared" ref="D56:AK56" si="20">IF($D$6=$B29,$C$56*PRODUCT(D$30:D$36),IF($D$6=$B38,$C$56*PRODUCT(D$39:D$45), $C$56*PRODUCT(D$48:D$54)))</f>
        <v>0.11528052808120189</v>
      </c>
      <c r="E56" s="429">
        <f t="shared" si="20"/>
        <v>0.11668976987055626</v>
      </c>
      <c r="F56" s="429">
        <f t="shared" si="20"/>
        <v>0.11811629055331112</v>
      </c>
      <c r="G56" s="429">
        <f t="shared" si="20"/>
        <v>0.11956030212078399</v>
      </c>
      <c r="H56" s="429">
        <f t="shared" si="20"/>
        <v>0.12102201916599596</v>
      </c>
      <c r="I56" s="429">
        <f t="shared" si="20"/>
        <v>0.12250165891557306</v>
      </c>
      <c r="J56" s="429">
        <f t="shared" si="20"/>
        <v>0.12399944126203849</v>
      </c>
      <c r="K56" s="429">
        <f t="shared" si="20"/>
        <v>0.12551558879650285</v>
      </c>
      <c r="L56" s="429">
        <f t="shared" si="20"/>
        <v>0.12705032684175488</v>
      </c>
      <c r="M56" s="429">
        <f t="shared" si="20"/>
        <v>0.1286038834857598</v>
      </c>
      <c r="N56" s="429">
        <f t="shared" si="20"/>
        <v>0.13017648961556827</v>
      </c>
      <c r="O56" s="429">
        <f t="shared" si="20"/>
        <v>0.13176837895164284</v>
      </c>
      <c r="P56" s="429">
        <f t="shared" si="20"/>
        <v>0.13337978808260514</v>
      </c>
      <c r="Q56" s="429">
        <f t="shared" si="20"/>
        <v>0.13501095650041064</v>
      </c>
      <c r="R56" s="429">
        <f t="shared" si="20"/>
        <v>0.13666212663595495</v>
      </c>
      <c r="S56" s="429">
        <f t="shared" si="20"/>
        <v>0.13833354389511801</v>
      </c>
      <c r="T56" s="429">
        <f t="shared" si="20"/>
        <v>0.14002545669525046</v>
      </c>
      <c r="U56" s="429">
        <f t="shared" si="20"/>
        <v>0.14173811650210821</v>
      </c>
      <c r="V56" s="429">
        <f t="shared" si="20"/>
        <v>0.143471777867241</v>
      </c>
      <c r="W56" s="429">
        <f t="shared" si="20"/>
        <v>0.14522669846583983</v>
      </c>
      <c r="X56" s="429">
        <f t="shared" si="20"/>
        <v>0.14700313913504887</v>
      </c>
      <c r="Y56" s="429">
        <f t="shared" si="20"/>
        <v>0.14880136391274876</v>
      </c>
      <c r="Z56" s="429">
        <f t="shared" si="20"/>
        <v>0.15062164007681508</v>
      </c>
      <c r="AA56" s="429">
        <f t="shared" si="20"/>
        <v>0.15246423818485941</v>
      </c>
      <c r="AB56" s="429">
        <f t="shared" si="20"/>
        <v>0.15432943211445857</v>
      </c>
      <c r="AC56" s="429">
        <f t="shared" si="20"/>
        <v>0.15621749910387758</v>
      </c>
      <c r="AD56" s="429">
        <f t="shared" si="20"/>
        <v>0.15812871979329238</v>
      </c>
      <c r="AE56" s="429">
        <f t="shared" si="20"/>
        <v>0.16006337826651895</v>
      </c>
      <c r="AF56" s="429">
        <f t="shared" si="20"/>
        <v>0.16202176209325497</v>
      </c>
      <c r="AG56" s="429">
        <f t="shared" si="20"/>
        <v>0.16400416237183971</v>
      </c>
      <c r="AH56" s="429">
        <f t="shared" si="20"/>
        <v>0.16601087377253895</v>
      </c>
      <c r="AI56" s="429">
        <f t="shared" si="20"/>
        <v>0.16804219458136149</v>
      </c>
      <c r="AJ56" s="429">
        <f t="shared" si="20"/>
        <v>0.17009842674441311</v>
      </c>
      <c r="AK56" s="429">
        <f t="shared" si="20"/>
        <v>0.17217987591279629</v>
      </c>
      <c r="AL56" s="429">
        <f t="shared" ref="AL56" si="21">IF($D$6=$B29,$C$56*PRODUCT(AL$30:AL$36),IF($D$6=$B38,$C$56*PRODUCT(AL$39:AL$45), $C$56*PRODUCT(AL$48:AL$54)))</f>
        <v>0.17428685148805903</v>
      </c>
    </row>
    <row r="57" spans="2:38">
      <c r="H57" s="1228"/>
    </row>
    <row r="58" spans="2:38" ht="13">
      <c r="B58" s="407" t="s">
        <v>670</v>
      </c>
      <c r="C58" s="396" t="s">
        <v>627</v>
      </c>
      <c r="D58" s="397">
        <v>2018</v>
      </c>
      <c r="E58" s="397">
        <v>2020</v>
      </c>
      <c r="F58" s="397">
        <v>2021</v>
      </c>
      <c r="G58" s="397">
        <v>2022</v>
      </c>
      <c r="H58" s="1238">
        <v>2023</v>
      </c>
      <c r="I58" s="397">
        <v>2024</v>
      </c>
      <c r="J58" s="397">
        <v>2025</v>
      </c>
      <c r="K58" s="397">
        <v>2026</v>
      </c>
      <c r="L58" s="397">
        <v>2027</v>
      </c>
      <c r="M58" s="397">
        <v>2028</v>
      </c>
      <c r="N58" s="397">
        <v>2029</v>
      </c>
      <c r="O58" s="397">
        <v>2030</v>
      </c>
      <c r="P58" s="397">
        <v>2031</v>
      </c>
      <c r="Q58" s="397">
        <v>2032</v>
      </c>
      <c r="R58" s="397">
        <v>2033</v>
      </c>
      <c r="S58" s="397">
        <v>2034</v>
      </c>
      <c r="T58" s="397">
        <v>2035</v>
      </c>
      <c r="U58" s="397">
        <v>2036</v>
      </c>
      <c r="V58" s="397">
        <v>2037</v>
      </c>
      <c r="W58" s="397">
        <v>2038</v>
      </c>
      <c r="X58" s="397">
        <v>2039</v>
      </c>
      <c r="Y58" s="397">
        <v>2040</v>
      </c>
      <c r="Z58" s="397">
        <v>2041</v>
      </c>
      <c r="AA58" s="397">
        <v>2042</v>
      </c>
      <c r="AB58" s="397">
        <v>2043</v>
      </c>
      <c r="AC58" s="397">
        <v>2044</v>
      </c>
      <c r="AD58" s="397">
        <v>2044</v>
      </c>
      <c r="AE58" s="397">
        <v>2044</v>
      </c>
      <c r="AF58" s="397">
        <v>2044</v>
      </c>
      <c r="AG58" s="397">
        <v>2044</v>
      </c>
      <c r="AH58" s="397">
        <v>2044</v>
      </c>
      <c r="AI58" s="397">
        <v>2044</v>
      </c>
      <c r="AJ58" s="397">
        <v>2044</v>
      </c>
      <c r="AK58" s="397">
        <v>2044</v>
      </c>
      <c r="AL58" s="397">
        <v>2044</v>
      </c>
    </row>
    <row r="59" spans="2:38" s="366" customFormat="1">
      <c r="B59" s="366" t="s">
        <v>671</v>
      </c>
      <c r="C59" s="430" t="s">
        <v>662</v>
      </c>
      <c r="D59" s="431">
        <f t="shared" ref="D59:AK59" si="22">D20^(-1.074)</f>
        <v>0.11486407065121609</v>
      </c>
      <c r="E59" s="432">
        <f t="shared" si="22"/>
        <v>0.11486407065121609</v>
      </c>
      <c r="F59" s="432">
        <f t="shared" si="22"/>
        <v>0.11486407065121609</v>
      </c>
      <c r="G59" s="432">
        <f t="shared" si="22"/>
        <v>0.11486407065121609</v>
      </c>
      <c r="H59" s="1239">
        <f t="shared" si="22"/>
        <v>0.11486407065121609</v>
      </c>
      <c r="I59" s="432">
        <f t="shared" si="22"/>
        <v>0.11486407065121609</v>
      </c>
      <c r="J59" s="432">
        <f t="shared" si="22"/>
        <v>0.11486407065121609</v>
      </c>
      <c r="K59" s="432">
        <f t="shared" si="22"/>
        <v>0.11486407065121609</v>
      </c>
      <c r="L59" s="432">
        <f t="shared" si="22"/>
        <v>0.11486407065121609</v>
      </c>
      <c r="M59" s="432">
        <f t="shared" si="22"/>
        <v>0.11486407065121609</v>
      </c>
      <c r="N59" s="432">
        <f t="shared" si="22"/>
        <v>0.11486407065121609</v>
      </c>
      <c r="O59" s="432">
        <f t="shared" si="22"/>
        <v>0.11486407065121609</v>
      </c>
      <c r="P59" s="432">
        <f t="shared" si="22"/>
        <v>0.11486407065121609</v>
      </c>
      <c r="Q59" s="432">
        <f t="shared" si="22"/>
        <v>0.11486407065121609</v>
      </c>
      <c r="R59" s="432">
        <f t="shared" si="22"/>
        <v>0.11486407065121609</v>
      </c>
      <c r="S59" s="432">
        <f t="shared" si="22"/>
        <v>0.11486407065121609</v>
      </c>
      <c r="T59" s="432">
        <f t="shared" si="22"/>
        <v>0.11486407065121609</v>
      </c>
      <c r="U59" s="432">
        <f t="shared" si="22"/>
        <v>0.11486407065121609</v>
      </c>
      <c r="V59" s="432">
        <f t="shared" si="22"/>
        <v>0.11486407065121609</v>
      </c>
      <c r="W59" s="432">
        <f t="shared" si="22"/>
        <v>0.11486407065121609</v>
      </c>
      <c r="X59" s="432">
        <f t="shared" si="22"/>
        <v>0.11486407065121609</v>
      </c>
      <c r="Y59" s="432">
        <f t="shared" si="22"/>
        <v>0.11486407065121609</v>
      </c>
      <c r="Z59" s="432">
        <f t="shared" si="22"/>
        <v>0.11486407065121609</v>
      </c>
      <c r="AA59" s="432">
        <f t="shared" si="22"/>
        <v>0.11486407065121609</v>
      </c>
      <c r="AB59" s="432">
        <f t="shared" si="22"/>
        <v>0.11486407065121609</v>
      </c>
      <c r="AC59" s="432">
        <f t="shared" si="22"/>
        <v>0.11486407065121609</v>
      </c>
      <c r="AD59" s="432">
        <f t="shared" si="22"/>
        <v>0.11486407065121609</v>
      </c>
      <c r="AE59" s="432">
        <f t="shared" si="22"/>
        <v>0.11486407065121609</v>
      </c>
      <c r="AF59" s="432">
        <f t="shared" si="22"/>
        <v>0.11486407065121609</v>
      </c>
      <c r="AG59" s="432">
        <f t="shared" si="22"/>
        <v>0.11486407065121609</v>
      </c>
      <c r="AH59" s="432">
        <f t="shared" si="22"/>
        <v>0.11486407065121609</v>
      </c>
      <c r="AI59" s="432">
        <f t="shared" si="22"/>
        <v>0.11486407065121609</v>
      </c>
      <c r="AJ59" s="432">
        <f t="shared" si="22"/>
        <v>0.11486407065121609</v>
      </c>
      <c r="AK59" s="432">
        <f t="shared" si="22"/>
        <v>0.11486407065121609</v>
      </c>
      <c r="AL59" s="432">
        <f t="shared" ref="AL59" si="23">AL20^(-1.074)</f>
        <v>0.11486407065121609</v>
      </c>
    </row>
    <row r="60" spans="2:38">
      <c r="B60" s="358" t="s">
        <v>606</v>
      </c>
      <c r="C60" s="419" t="s">
        <v>672</v>
      </c>
      <c r="D60" s="417">
        <f t="shared" ref="D60:AL60" si="24">(D$17+1)^(-0.1025)</f>
        <v>0.81841688605541607</v>
      </c>
      <c r="E60" s="417">
        <f t="shared" si="24"/>
        <v>0.81765690702612781</v>
      </c>
      <c r="F60" s="417">
        <f t="shared" si="24"/>
        <v>0.81689650954219895</v>
      </c>
      <c r="G60" s="417">
        <f t="shared" si="24"/>
        <v>0.81613570459200147</v>
      </c>
      <c r="H60" s="417">
        <f t="shared" si="24"/>
        <v>0.81537450309664339</v>
      </c>
      <c r="I60" s="417">
        <f t="shared" si="24"/>
        <v>0.81461291590967277</v>
      </c>
      <c r="J60" s="417">
        <f t="shared" si="24"/>
        <v>0.81385095381679629</v>
      </c>
      <c r="K60" s="417">
        <f t="shared" si="24"/>
        <v>0.81308862753561317</v>
      </c>
      <c r="L60" s="417">
        <f t="shared" si="24"/>
        <v>0.81232594771536493</v>
      </c>
      <c r="M60" s="417">
        <f t="shared" si="24"/>
        <v>0.81156292493670046</v>
      </c>
      <c r="N60" s="417">
        <f t="shared" si="24"/>
        <v>0.81079956971145628</v>
      </c>
      <c r="O60" s="417">
        <f t="shared" si="24"/>
        <v>0.81003589248245045</v>
      </c>
      <c r="P60" s="417">
        <f t="shared" si="24"/>
        <v>0.80927190362329249</v>
      </c>
      <c r="Q60" s="417">
        <f t="shared" si="24"/>
        <v>0.80850761343820632</v>
      </c>
      <c r="R60" s="417">
        <f t="shared" si="24"/>
        <v>0.80774303216186893</v>
      </c>
      <c r="S60" s="417">
        <f t="shared" si="24"/>
        <v>0.8069781699592613</v>
      </c>
      <c r="T60" s="417">
        <f t="shared" si="24"/>
        <v>0.80621303692553392</v>
      </c>
      <c r="U60" s="417">
        <f t="shared" si="24"/>
        <v>0.80544764308588568</v>
      </c>
      <c r="V60" s="417">
        <f t="shared" si="24"/>
        <v>0.8046819983954564</v>
      </c>
      <c r="W60" s="417">
        <f t="shared" si="24"/>
        <v>0.80391611273923169</v>
      </c>
      <c r="X60" s="417">
        <f t="shared" si="24"/>
        <v>0.80314999593196079</v>
      </c>
      <c r="Y60" s="417">
        <f t="shared" si="24"/>
        <v>0.80238365771808795</v>
      </c>
      <c r="Z60" s="417">
        <f t="shared" si="24"/>
        <v>0.80161710777169504</v>
      </c>
      <c r="AA60" s="417">
        <f t="shared" si="24"/>
        <v>0.80085035569645713</v>
      </c>
      <c r="AB60" s="417">
        <f t="shared" si="24"/>
        <v>0.80008341102560987</v>
      </c>
      <c r="AC60" s="417">
        <f t="shared" si="24"/>
        <v>0.79931628322192838</v>
      </c>
      <c r="AD60" s="417">
        <f t="shared" si="24"/>
        <v>0.79854898167771826</v>
      </c>
      <c r="AE60" s="417">
        <f t="shared" si="24"/>
        <v>0.7977815157148177</v>
      </c>
      <c r="AF60" s="417">
        <f t="shared" si="24"/>
        <v>0.79701389458460981</v>
      </c>
      <c r="AG60" s="417">
        <f t="shared" si="24"/>
        <v>0.79624612746804801</v>
      </c>
      <c r="AH60" s="417">
        <f t="shared" si="24"/>
        <v>0.79547822347569053</v>
      </c>
      <c r="AI60" s="417">
        <f t="shared" si="24"/>
        <v>0.79471019164774515</v>
      </c>
      <c r="AJ60" s="417">
        <f t="shared" si="24"/>
        <v>0.79394204095412557</v>
      </c>
      <c r="AK60" s="417">
        <f t="shared" si="24"/>
        <v>0.79317378029451702</v>
      </c>
      <c r="AL60" s="417">
        <f t="shared" si="24"/>
        <v>0.79240541849845181</v>
      </c>
    </row>
    <row r="61" spans="2:38">
      <c r="B61" s="358" t="s">
        <v>673</v>
      </c>
      <c r="C61" s="419" t="s">
        <v>674</v>
      </c>
      <c r="D61" s="414">
        <f t="shared" ref="D61:AL61" si="25">(D$19+1)^(0.1025)</f>
        <v>1</v>
      </c>
      <c r="E61" s="415">
        <f t="shared" si="25"/>
        <v>1</v>
      </c>
      <c r="F61" s="415">
        <f t="shared" si="25"/>
        <v>1</v>
      </c>
      <c r="G61" s="415">
        <f t="shared" si="25"/>
        <v>1</v>
      </c>
      <c r="H61" s="1235">
        <f t="shared" si="25"/>
        <v>1</v>
      </c>
      <c r="I61" s="415">
        <f t="shared" si="25"/>
        <v>1</v>
      </c>
      <c r="J61" s="415">
        <f t="shared" si="25"/>
        <v>1</v>
      </c>
      <c r="K61" s="415">
        <f t="shared" si="25"/>
        <v>1</v>
      </c>
      <c r="L61" s="415">
        <f t="shared" si="25"/>
        <v>1</v>
      </c>
      <c r="M61" s="415">
        <f t="shared" si="25"/>
        <v>1</v>
      </c>
      <c r="N61" s="415">
        <f t="shared" si="25"/>
        <v>1</v>
      </c>
      <c r="O61" s="415">
        <f t="shared" si="25"/>
        <v>1</v>
      </c>
      <c r="P61" s="415">
        <f t="shared" si="25"/>
        <v>1</v>
      </c>
      <c r="Q61" s="415">
        <f t="shared" si="25"/>
        <v>1</v>
      </c>
      <c r="R61" s="415">
        <f t="shared" si="25"/>
        <v>1</v>
      </c>
      <c r="S61" s="415">
        <f t="shared" si="25"/>
        <v>1</v>
      </c>
      <c r="T61" s="415">
        <f t="shared" si="25"/>
        <v>1</v>
      </c>
      <c r="U61" s="415">
        <f t="shared" si="25"/>
        <v>1</v>
      </c>
      <c r="V61" s="415">
        <f t="shared" si="25"/>
        <v>1</v>
      </c>
      <c r="W61" s="415">
        <f t="shared" si="25"/>
        <v>1</v>
      </c>
      <c r="X61" s="415">
        <f t="shared" si="25"/>
        <v>1</v>
      </c>
      <c r="Y61" s="415">
        <f t="shared" si="25"/>
        <v>1</v>
      </c>
      <c r="Z61" s="415">
        <f t="shared" si="25"/>
        <v>1</v>
      </c>
      <c r="AA61" s="415">
        <f t="shared" si="25"/>
        <v>1</v>
      </c>
      <c r="AB61" s="415">
        <f t="shared" si="25"/>
        <v>1</v>
      </c>
      <c r="AC61" s="415">
        <f t="shared" si="25"/>
        <v>1</v>
      </c>
      <c r="AD61" s="415">
        <f t="shared" si="25"/>
        <v>1</v>
      </c>
      <c r="AE61" s="415">
        <f t="shared" si="25"/>
        <v>1</v>
      </c>
      <c r="AF61" s="415">
        <f t="shared" si="25"/>
        <v>1</v>
      </c>
      <c r="AG61" s="415">
        <f t="shared" si="25"/>
        <v>1</v>
      </c>
      <c r="AH61" s="415">
        <f t="shared" si="25"/>
        <v>1</v>
      </c>
      <c r="AI61" s="415">
        <f t="shared" si="25"/>
        <v>1</v>
      </c>
      <c r="AJ61" s="415">
        <f t="shared" si="25"/>
        <v>1</v>
      </c>
      <c r="AK61" s="415">
        <f t="shared" si="25"/>
        <v>1</v>
      </c>
      <c r="AL61" s="415">
        <f t="shared" si="25"/>
        <v>1</v>
      </c>
    </row>
    <row r="62" spans="2:38">
      <c r="B62" s="433" t="s">
        <v>675</v>
      </c>
      <c r="C62" s="434" t="s">
        <v>676</v>
      </c>
      <c r="D62" s="426">
        <f t="shared" ref="D62:AL62" si="26">EXP(0.188*$E$5)</f>
        <v>1.2068335153496053</v>
      </c>
      <c r="E62" s="426">
        <f t="shared" si="26"/>
        <v>1.2068335153496053</v>
      </c>
      <c r="F62" s="426">
        <f t="shared" si="26"/>
        <v>1.2068335153496053</v>
      </c>
      <c r="G62" s="426">
        <f t="shared" si="26"/>
        <v>1.2068335153496053</v>
      </c>
      <c r="H62" s="1237">
        <f t="shared" si="26"/>
        <v>1.2068335153496053</v>
      </c>
      <c r="I62" s="426">
        <f t="shared" si="26"/>
        <v>1.2068335153496053</v>
      </c>
      <c r="J62" s="426">
        <f t="shared" si="26"/>
        <v>1.2068335153496053</v>
      </c>
      <c r="K62" s="426">
        <f t="shared" si="26"/>
        <v>1.2068335153496053</v>
      </c>
      <c r="L62" s="426">
        <f t="shared" si="26"/>
        <v>1.2068335153496053</v>
      </c>
      <c r="M62" s="426">
        <f t="shared" si="26"/>
        <v>1.2068335153496053</v>
      </c>
      <c r="N62" s="426">
        <f t="shared" si="26"/>
        <v>1.2068335153496053</v>
      </c>
      <c r="O62" s="426">
        <f t="shared" si="26"/>
        <v>1.2068335153496053</v>
      </c>
      <c r="P62" s="426">
        <f t="shared" si="26"/>
        <v>1.2068335153496053</v>
      </c>
      <c r="Q62" s="426">
        <f t="shared" si="26"/>
        <v>1.2068335153496053</v>
      </c>
      <c r="R62" s="426">
        <f t="shared" si="26"/>
        <v>1.2068335153496053</v>
      </c>
      <c r="S62" s="426">
        <f t="shared" si="26"/>
        <v>1.2068335153496053</v>
      </c>
      <c r="T62" s="426">
        <f t="shared" si="26"/>
        <v>1.2068335153496053</v>
      </c>
      <c r="U62" s="426">
        <f t="shared" si="26"/>
        <v>1.2068335153496053</v>
      </c>
      <c r="V62" s="426">
        <f t="shared" si="26"/>
        <v>1.2068335153496053</v>
      </c>
      <c r="W62" s="426">
        <f t="shared" si="26"/>
        <v>1.2068335153496053</v>
      </c>
      <c r="X62" s="426">
        <f t="shared" si="26"/>
        <v>1.2068335153496053</v>
      </c>
      <c r="Y62" s="426">
        <f t="shared" si="26"/>
        <v>1.2068335153496053</v>
      </c>
      <c r="Z62" s="426">
        <f t="shared" si="26"/>
        <v>1.2068335153496053</v>
      </c>
      <c r="AA62" s="426">
        <f t="shared" si="26"/>
        <v>1.2068335153496053</v>
      </c>
      <c r="AB62" s="426">
        <f t="shared" si="26"/>
        <v>1.2068335153496053</v>
      </c>
      <c r="AC62" s="426">
        <f t="shared" si="26"/>
        <v>1.2068335153496053</v>
      </c>
      <c r="AD62" s="426">
        <f t="shared" si="26"/>
        <v>1.2068335153496053</v>
      </c>
      <c r="AE62" s="426">
        <f t="shared" si="26"/>
        <v>1.2068335153496053</v>
      </c>
      <c r="AF62" s="426">
        <f t="shared" si="26"/>
        <v>1.2068335153496053</v>
      </c>
      <c r="AG62" s="426">
        <f t="shared" si="26"/>
        <v>1.2068335153496053</v>
      </c>
      <c r="AH62" s="426">
        <f t="shared" si="26"/>
        <v>1.2068335153496053</v>
      </c>
      <c r="AI62" s="426">
        <f t="shared" si="26"/>
        <v>1.2068335153496053</v>
      </c>
      <c r="AJ62" s="426">
        <f t="shared" si="26"/>
        <v>1.2068335153496053</v>
      </c>
      <c r="AK62" s="426">
        <f t="shared" si="26"/>
        <v>1.2068335153496053</v>
      </c>
      <c r="AL62" s="426">
        <f t="shared" si="26"/>
        <v>1.2068335153496053</v>
      </c>
    </row>
    <row r="63" spans="2:38">
      <c r="B63" s="362"/>
      <c r="C63" s="427" t="s">
        <v>290</v>
      </c>
      <c r="H63" s="1228"/>
    </row>
    <row r="64" spans="2:38">
      <c r="B64" s="362" t="s">
        <v>677</v>
      </c>
      <c r="C64" s="406">
        <v>695</v>
      </c>
      <c r="D64" s="435">
        <f t="shared" ref="D64:AL64" si="27">1/(1+$C$64*PRODUCT(D$59:D$62))</f>
        <v>1.2523787525043351E-2</v>
      </c>
      <c r="E64" s="435">
        <f t="shared" si="27"/>
        <v>1.2535281963969649E-2</v>
      </c>
      <c r="F64" s="435">
        <f t="shared" si="27"/>
        <v>1.2546803868115417E-2</v>
      </c>
      <c r="G64" s="435">
        <f t="shared" si="27"/>
        <v>1.2558353163824159E-2</v>
      </c>
      <c r="H64" s="435">
        <f t="shared" si="27"/>
        <v>1.2569929777658998E-2</v>
      </c>
      <c r="I64" s="435">
        <f t="shared" si="27"/>
        <v>1.2581533636408937E-2</v>
      </c>
      <c r="J64" s="435">
        <f t="shared" si="27"/>
        <v>1.2593164667094986E-2</v>
      </c>
      <c r="K64" s="435">
        <f t="shared" si="27"/>
        <v>1.2604822796976212E-2</v>
      </c>
      <c r="L64" s="435">
        <f t="shared" si="27"/>
        <v>1.2616507953555609E-2</v>
      </c>
      <c r="M64" s="435">
        <f t="shared" si="27"/>
        <v>1.2628220064585876E-2</v>
      </c>
      <c r="N64" s="435">
        <f t="shared" si="27"/>
        <v>1.2639959058075053E-2</v>
      </c>
      <c r="O64" s="435">
        <f t="shared" si="27"/>
        <v>1.2651724862292059E-2</v>
      </c>
      <c r="P64" s="435">
        <f t="shared" si="27"/>
        <v>1.2663517405772056E-2</v>
      </c>
      <c r="Q64" s="435">
        <f t="shared" si="27"/>
        <v>1.2675336617321769E-2</v>
      </c>
      <c r="R64" s="435">
        <f t="shared" si="27"/>
        <v>1.2687182426024598E-2</v>
      </c>
      <c r="S64" s="435">
        <f t="shared" si="27"/>
        <v>1.2699054761245677E-2</v>
      </c>
      <c r="T64" s="435">
        <f t="shared" si="27"/>
        <v>1.2710953552636789E-2</v>
      </c>
      <c r="U64" s="435">
        <f t="shared" si="27"/>
        <v>1.2722878730141156E-2</v>
      </c>
      <c r="V64" s="435">
        <f t="shared" si="27"/>
        <v>1.2734830223998114E-2</v>
      </c>
      <c r="W64" s="435">
        <f t="shared" si="27"/>
        <v>1.2746807964747694E-2</v>
      </c>
      <c r="X64" s="435">
        <f t="shared" si="27"/>
        <v>1.2758811883235069E-2</v>
      </c>
      <c r="Y64" s="435">
        <f t="shared" si="27"/>
        <v>1.2770841910614861E-2</v>
      </c>
      <c r="Z64" s="435">
        <f t="shared" si="27"/>
        <v>1.2782897978355421E-2</v>
      </c>
      <c r="AA64" s="435">
        <f t="shared" si="27"/>
        <v>1.2794980018242866E-2</v>
      </c>
      <c r="AB64" s="435">
        <f t="shared" si="27"/>
        <v>1.2807087962385151E-2</v>
      </c>
      <c r="AC64" s="435">
        <f t="shared" si="27"/>
        <v>1.2819221743215897E-2</v>
      </c>
      <c r="AD64" s="435">
        <f t="shared" si="27"/>
        <v>1.2831381293498223E-2</v>
      </c>
      <c r="AE64" s="435">
        <f t="shared" si="27"/>
        <v>1.2843566546328381E-2</v>
      </c>
      <c r="AF64" s="435">
        <f t="shared" si="27"/>
        <v>1.2855777435139356E-2</v>
      </c>
      <c r="AG64" s="435">
        <f t="shared" si="27"/>
        <v>1.2868013893704297E-2</v>
      </c>
      <c r="AH64" s="435">
        <f t="shared" si="27"/>
        <v>1.2880275856139899E-2</v>
      </c>
      <c r="AI64" s="435">
        <f t="shared" si="27"/>
        <v>1.2892563256909646E-2</v>
      </c>
      <c r="AJ64" s="435">
        <f t="shared" si="27"/>
        <v>1.2904876030826967E-2</v>
      </c>
      <c r="AK64" s="435">
        <f t="shared" si="27"/>
        <v>1.2917214113058295E-2</v>
      </c>
      <c r="AL64" s="435">
        <f t="shared" si="27"/>
        <v>1.2929577439126011E-2</v>
      </c>
    </row>
    <row r="65" spans="1:38">
      <c r="H65" s="1228"/>
    </row>
    <row r="66" spans="1:38" ht="13">
      <c r="B66" s="407" t="s">
        <v>678</v>
      </c>
      <c r="C66" s="396" t="s">
        <v>627</v>
      </c>
      <c r="D66" s="397">
        <v>2018</v>
      </c>
      <c r="E66" s="397">
        <v>2020</v>
      </c>
      <c r="F66" s="397">
        <v>2021</v>
      </c>
      <c r="G66" s="397">
        <v>2022</v>
      </c>
      <c r="H66" s="1238">
        <v>2023</v>
      </c>
      <c r="I66" s="397">
        <v>2024</v>
      </c>
      <c r="J66" s="397">
        <v>2025</v>
      </c>
      <c r="K66" s="397">
        <v>2026</v>
      </c>
      <c r="L66" s="397">
        <v>2027</v>
      </c>
      <c r="M66" s="397">
        <v>2028</v>
      </c>
      <c r="N66" s="397">
        <v>2029</v>
      </c>
      <c r="O66" s="397">
        <v>2030</v>
      </c>
      <c r="P66" s="397">
        <v>2031</v>
      </c>
      <c r="Q66" s="397">
        <v>2032</v>
      </c>
      <c r="R66" s="397">
        <v>2033</v>
      </c>
      <c r="S66" s="397">
        <v>2034</v>
      </c>
      <c r="T66" s="397">
        <v>2035</v>
      </c>
      <c r="U66" s="397">
        <v>2036</v>
      </c>
      <c r="V66" s="397">
        <v>2037</v>
      </c>
      <c r="W66" s="397">
        <v>2038</v>
      </c>
      <c r="X66" s="397">
        <v>2039</v>
      </c>
      <c r="Y66" s="397">
        <v>2040</v>
      </c>
      <c r="Z66" s="397">
        <v>2041</v>
      </c>
      <c r="AA66" s="397">
        <v>2042</v>
      </c>
      <c r="AB66" s="397">
        <v>2043</v>
      </c>
      <c r="AC66" s="397">
        <v>2044</v>
      </c>
      <c r="AD66" s="397">
        <v>2044</v>
      </c>
      <c r="AE66" s="397">
        <v>2044</v>
      </c>
      <c r="AF66" s="397">
        <v>2044</v>
      </c>
      <c r="AG66" s="397">
        <v>2044</v>
      </c>
      <c r="AH66" s="397">
        <v>2044</v>
      </c>
      <c r="AI66" s="397">
        <v>2044</v>
      </c>
      <c r="AJ66" s="397">
        <v>2044</v>
      </c>
      <c r="AK66" s="397">
        <v>2044</v>
      </c>
      <c r="AL66" s="397">
        <v>2044</v>
      </c>
    </row>
    <row r="67" spans="1:38">
      <c r="B67" s="358" t="s">
        <v>679</v>
      </c>
      <c r="C67" s="436" t="s">
        <v>680</v>
      </c>
      <c r="D67" s="437">
        <f t="shared" ref="D67:AL67" si="28">D$64</f>
        <v>1.2523787525043351E-2</v>
      </c>
      <c r="E67" s="415">
        <f t="shared" si="28"/>
        <v>1.2535281963969649E-2</v>
      </c>
      <c r="F67" s="415">
        <f t="shared" si="28"/>
        <v>1.2546803868115417E-2</v>
      </c>
      <c r="G67" s="415">
        <f t="shared" si="28"/>
        <v>1.2558353163824159E-2</v>
      </c>
      <c r="H67" s="1235">
        <f t="shared" si="28"/>
        <v>1.2569929777658998E-2</v>
      </c>
      <c r="I67" s="415">
        <f t="shared" si="28"/>
        <v>1.2581533636408937E-2</v>
      </c>
      <c r="J67" s="415">
        <f t="shared" si="28"/>
        <v>1.2593164667094986E-2</v>
      </c>
      <c r="K67" s="415">
        <f t="shared" si="28"/>
        <v>1.2604822796976212E-2</v>
      </c>
      <c r="L67" s="415">
        <f t="shared" si="28"/>
        <v>1.2616507953555609E-2</v>
      </c>
      <c r="M67" s="415">
        <f t="shared" si="28"/>
        <v>1.2628220064585876E-2</v>
      </c>
      <c r="N67" s="415">
        <f t="shared" si="28"/>
        <v>1.2639959058075053E-2</v>
      </c>
      <c r="O67" s="415">
        <f t="shared" si="28"/>
        <v>1.2651724862292059E-2</v>
      </c>
      <c r="P67" s="415">
        <f t="shared" si="28"/>
        <v>1.2663517405772056E-2</v>
      </c>
      <c r="Q67" s="415">
        <f t="shared" si="28"/>
        <v>1.2675336617321769E-2</v>
      </c>
      <c r="R67" s="415">
        <f t="shared" si="28"/>
        <v>1.2687182426024598E-2</v>
      </c>
      <c r="S67" s="415">
        <f t="shared" si="28"/>
        <v>1.2699054761245677E-2</v>
      </c>
      <c r="T67" s="415">
        <f t="shared" si="28"/>
        <v>1.2710953552636789E-2</v>
      </c>
      <c r="U67" s="415">
        <f t="shared" si="28"/>
        <v>1.2722878730141156E-2</v>
      </c>
      <c r="V67" s="415">
        <f t="shared" si="28"/>
        <v>1.2734830223998114E-2</v>
      </c>
      <c r="W67" s="415">
        <f t="shared" si="28"/>
        <v>1.2746807964747694E-2</v>
      </c>
      <c r="X67" s="415">
        <f t="shared" si="28"/>
        <v>1.2758811883235069E-2</v>
      </c>
      <c r="Y67" s="415">
        <f t="shared" si="28"/>
        <v>1.2770841910614861E-2</v>
      </c>
      <c r="Z67" s="415">
        <f t="shared" si="28"/>
        <v>1.2782897978355421E-2</v>
      </c>
      <c r="AA67" s="415">
        <f t="shared" si="28"/>
        <v>1.2794980018242866E-2</v>
      </c>
      <c r="AB67" s="415">
        <f t="shared" si="28"/>
        <v>1.2807087962385151E-2</v>
      </c>
      <c r="AC67" s="415">
        <f t="shared" si="28"/>
        <v>1.2819221743215897E-2</v>
      </c>
      <c r="AD67" s="415">
        <f t="shared" si="28"/>
        <v>1.2831381293498223E-2</v>
      </c>
      <c r="AE67" s="415">
        <f t="shared" si="28"/>
        <v>1.2843566546328381E-2</v>
      </c>
      <c r="AF67" s="415">
        <f t="shared" si="28"/>
        <v>1.2855777435139356E-2</v>
      </c>
      <c r="AG67" s="415">
        <f t="shared" si="28"/>
        <v>1.2868013893704297E-2</v>
      </c>
      <c r="AH67" s="415">
        <f t="shared" si="28"/>
        <v>1.2880275856139899E-2</v>
      </c>
      <c r="AI67" s="415">
        <f t="shared" si="28"/>
        <v>1.2892563256909646E-2</v>
      </c>
      <c r="AJ67" s="415">
        <f t="shared" si="28"/>
        <v>1.2904876030826967E-2</v>
      </c>
      <c r="AK67" s="415">
        <f t="shared" si="28"/>
        <v>1.2917214113058295E-2</v>
      </c>
      <c r="AL67" s="415">
        <f t="shared" si="28"/>
        <v>1.2929577439126011E-2</v>
      </c>
    </row>
    <row r="68" spans="1:38">
      <c r="B68" s="358" t="s">
        <v>681</v>
      </c>
      <c r="C68" s="419" t="s">
        <v>682</v>
      </c>
      <c r="D68" s="414">
        <f t="shared" ref="D68:AK68" si="29">1-D67</f>
        <v>0.98747621247495665</v>
      </c>
      <c r="E68" s="414">
        <f t="shared" si="29"/>
        <v>0.98746471803603031</v>
      </c>
      <c r="F68" s="414">
        <f t="shared" si="29"/>
        <v>0.98745319613188454</v>
      </c>
      <c r="G68" s="414">
        <f t="shared" si="29"/>
        <v>0.98744164683617586</v>
      </c>
      <c r="H68" s="417">
        <f t="shared" si="29"/>
        <v>0.98743007022234097</v>
      </c>
      <c r="I68" s="414">
        <f t="shared" si="29"/>
        <v>0.9874184663635911</v>
      </c>
      <c r="J68" s="414">
        <f t="shared" si="29"/>
        <v>0.98740683533290496</v>
      </c>
      <c r="K68" s="414">
        <f t="shared" si="29"/>
        <v>0.98739517720302383</v>
      </c>
      <c r="L68" s="414">
        <f t="shared" si="29"/>
        <v>0.98738349204644438</v>
      </c>
      <c r="M68" s="414">
        <f t="shared" si="29"/>
        <v>0.98737177993541414</v>
      </c>
      <c r="N68" s="414">
        <f t="shared" si="29"/>
        <v>0.98736004094192498</v>
      </c>
      <c r="O68" s="414">
        <f t="shared" si="29"/>
        <v>0.98734827513770795</v>
      </c>
      <c r="P68" s="414">
        <f t="shared" si="29"/>
        <v>0.9873364825942279</v>
      </c>
      <c r="Q68" s="414">
        <f t="shared" si="29"/>
        <v>0.98732466338267821</v>
      </c>
      <c r="R68" s="414">
        <f t="shared" si="29"/>
        <v>0.98731281757397538</v>
      </c>
      <c r="S68" s="414">
        <f t="shared" si="29"/>
        <v>0.98730094523875433</v>
      </c>
      <c r="T68" s="414">
        <f t="shared" si="29"/>
        <v>0.98728904644736326</v>
      </c>
      <c r="U68" s="414">
        <f t="shared" si="29"/>
        <v>0.98727712126985889</v>
      </c>
      <c r="V68" s="414">
        <f t="shared" si="29"/>
        <v>0.98726516977600187</v>
      </c>
      <c r="W68" s="414">
        <f t="shared" si="29"/>
        <v>0.9872531920352523</v>
      </c>
      <c r="X68" s="414">
        <f t="shared" si="29"/>
        <v>0.98724118811676498</v>
      </c>
      <c r="Y68" s="414">
        <f t="shared" si="29"/>
        <v>0.98722915808938516</v>
      </c>
      <c r="Z68" s="414">
        <f t="shared" si="29"/>
        <v>0.98721710202164459</v>
      </c>
      <c r="AA68" s="414">
        <f t="shared" si="29"/>
        <v>0.98720501998175714</v>
      </c>
      <c r="AB68" s="414">
        <f t="shared" si="29"/>
        <v>0.98719291203761483</v>
      </c>
      <c r="AC68" s="414">
        <f t="shared" si="29"/>
        <v>0.98718077825678407</v>
      </c>
      <c r="AD68" s="414">
        <f t="shared" si="29"/>
        <v>0.98716861870650174</v>
      </c>
      <c r="AE68" s="414">
        <f t="shared" si="29"/>
        <v>0.98715643345367166</v>
      </c>
      <c r="AF68" s="414">
        <f t="shared" si="29"/>
        <v>0.98714422256486067</v>
      </c>
      <c r="AG68" s="414">
        <f t="shared" si="29"/>
        <v>0.98713198610629571</v>
      </c>
      <c r="AH68" s="414">
        <f t="shared" si="29"/>
        <v>0.98711972414386007</v>
      </c>
      <c r="AI68" s="414">
        <f t="shared" si="29"/>
        <v>0.98710743674309032</v>
      </c>
      <c r="AJ68" s="414">
        <f t="shared" si="29"/>
        <v>0.98709512396917298</v>
      </c>
      <c r="AK68" s="414">
        <f t="shared" si="29"/>
        <v>0.98708278588694176</v>
      </c>
      <c r="AL68" s="414">
        <f t="shared" ref="AL68" si="30">1-AL67</f>
        <v>0.98707042256087396</v>
      </c>
    </row>
    <row r="69" spans="1:38">
      <c r="B69" s="358" t="s">
        <v>671</v>
      </c>
      <c r="C69" s="419" t="s">
        <v>662</v>
      </c>
      <c r="D69" s="414">
        <f t="shared" ref="D69:AL69" si="31">D$20^(-0.2334)</f>
        <v>0.62482831374223813</v>
      </c>
      <c r="E69" s="414">
        <f t="shared" si="31"/>
        <v>0.62482831374223813</v>
      </c>
      <c r="F69" s="414">
        <f t="shared" si="31"/>
        <v>0.62482831374223813</v>
      </c>
      <c r="G69" s="414">
        <f t="shared" si="31"/>
        <v>0.62482831374223813</v>
      </c>
      <c r="H69" s="417">
        <f t="shared" si="31"/>
        <v>0.62482831374223813</v>
      </c>
      <c r="I69" s="414">
        <f t="shared" si="31"/>
        <v>0.62482831374223813</v>
      </c>
      <c r="J69" s="414">
        <f t="shared" si="31"/>
        <v>0.62482831374223813</v>
      </c>
      <c r="K69" s="414">
        <f t="shared" si="31"/>
        <v>0.62482831374223813</v>
      </c>
      <c r="L69" s="414">
        <f t="shared" si="31"/>
        <v>0.62482831374223813</v>
      </c>
      <c r="M69" s="414">
        <f t="shared" si="31"/>
        <v>0.62482831374223813</v>
      </c>
      <c r="N69" s="414">
        <f t="shared" si="31"/>
        <v>0.62482831374223813</v>
      </c>
      <c r="O69" s="414">
        <f t="shared" si="31"/>
        <v>0.62482831374223813</v>
      </c>
      <c r="P69" s="414">
        <f t="shared" si="31"/>
        <v>0.62482831374223813</v>
      </c>
      <c r="Q69" s="414">
        <f t="shared" si="31"/>
        <v>0.62482831374223813</v>
      </c>
      <c r="R69" s="414">
        <f t="shared" si="31"/>
        <v>0.62482831374223813</v>
      </c>
      <c r="S69" s="414">
        <f t="shared" si="31"/>
        <v>0.62482831374223813</v>
      </c>
      <c r="T69" s="414">
        <f t="shared" si="31"/>
        <v>0.62482831374223813</v>
      </c>
      <c r="U69" s="414">
        <f t="shared" si="31"/>
        <v>0.62482831374223813</v>
      </c>
      <c r="V69" s="414">
        <f t="shared" si="31"/>
        <v>0.62482831374223813</v>
      </c>
      <c r="W69" s="414">
        <f t="shared" si="31"/>
        <v>0.62482831374223813</v>
      </c>
      <c r="X69" s="414">
        <f t="shared" si="31"/>
        <v>0.62482831374223813</v>
      </c>
      <c r="Y69" s="414">
        <f t="shared" si="31"/>
        <v>0.62482831374223813</v>
      </c>
      <c r="Z69" s="414">
        <f t="shared" si="31"/>
        <v>0.62482831374223813</v>
      </c>
      <c r="AA69" s="414">
        <f t="shared" si="31"/>
        <v>0.62482831374223813</v>
      </c>
      <c r="AB69" s="414">
        <f t="shared" si="31"/>
        <v>0.62482831374223813</v>
      </c>
      <c r="AC69" s="414">
        <f t="shared" si="31"/>
        <v>0.62482831374223813</v>
      </c>
      <c r="AD69" s="414">
        <f t="shared" si="31"/>
        <v>0.62482831374223813</v>
      </c>
      <c r="AE69" s="414">
        <f t="shared" si="31"/>
        <v>0.62482831374223813</v>
      </c>
      <c r="AF69" s="414">
        <f t="shared" si="31"/>
        <v>0.62482831374223813</v>
      </c>
      <c r="AG69" s="414">
        <f t="shared" si="31"/>
        <v>0.62482831374223813</v>
      </c>
      <c r="AH69" s="414">
        <f t="shared" si="31"/>
        <v>0.62482831374223813</v>
      </c>
      <c r="AI69" s="414">
        <f t="shared" si="31"/>
        <v>0.62482831374223813</v>
      </c>
      <c r="AJ69" s="414">
        <f t="shared" si="31"/>
        <v>0.62482831374223813</v>
      </c>
      <c r="AK69" s="414">
        <f t="shared" si="31"/>
        <v>0.62482831374223813</v>
      </c>
      <c r="AL69" s="414">
        <f t="shared" si="31"/>
        <v>0.62482831374223813</v>
      </c>
    </row>
    <row r="70" spans="1:38">
      <c r="B70" s="358" t="s">
        <v>683</v>
      </c>
      <c r="C70" s="419" t="s">
        <v>684</v>
      </c>
      <c r="D70" s="414">
        <f t="shared" ref="D70:AL70" si="32">EXP(0.1176*$D$11)</f>
        <v>1.4230465056696404</v>
      </c>
      <c r="E70" s="415">
        <f t="shared" si="32"/>
        <v>1.4230465056696404</v>
      </c>
      <c r="F70" s="415">
        <f t="shared" si="32"/>
        <v>1.4230465056696404</v>
      </c>
      <c r="G70" s="415">
        <f t="shared" si="32"/>
        <v>1.4230465056696404</v>
      </c>
      <c r="H70" s="1235">
        <f t="shared" si="32"/>
        <v>1.4230465056696404</v>
      </c>
      <c r="I70" s="415">
        <f t="shared" si="32"/>
        <v>1.4230465056696404</v>
      </c>
      <c r="J70" s="415">
        <f t="shared" si="32"/>
        <v>1.4230465056696404</v>
      </c>
      <c r="K70" s="415">
        <f t="shared" si="32"/>
        <v>1.4230465056696404</v>
      </c>
      <c r="L70" s="415">
        <f t="shared" si="32"/>
        <v>1.4230465056696404</v>
      </c>
      <c r="M70" s="415">
        <f t="shared" si="32"/>
        <v>1.4230465056696404</v>
      </c>
      <c r="N70" s="415">
        <f t="shared" si="32"/>
        <v>1.4230465056696404</v>
      </c>
      <c r="O70" s="415">
        <f t="shared" si="32"/>
        <v>1.4230465056696404</v>
      </c>
      <c r="P70" s="415">
        <f t="shared" si="32"/>
        <v>1.4230465056696404</v>
      </c>
      <c r="Q70" s="415">
        <f t="shared" si="32"/>
        <v>1.4230465056696404</v>
      </c>
      <c r="R70" s="415">
        <f t="shared" si="32"/>
        <v>1.4230465056696404</v>
      </c>
      <c r="S70" s="415">
        <f t="shared" si="32"/>
        <v>1.4230465056696404</v>
      </c>
      <c r="T70" s="415">
        <f t="shared" si="32"/>
        <v>1.4230465056696404</v>
      </c>
      <c r="U70" s="415">
        <f t="shared" si="32"/>
        <v>1.4230465056696404</v>
      </c>
      <c r="V70" s="415">
        <f t="shared" si="32"/>
        <v>1.4230465056696404</v>
      </c>
      <c r="W70" s="415">
        <f t="shared" si="32"/>
        <v>1.4230465056696404</v>
      </c>
      <c r="X70" s="415">
        <f t="shared" si="32"/>
        <v>1.4230465056696404</v>
      </c>
      <c r="Y70" s="415">
        <f t="shared" si="32"/>
        <v>1.4230465056696404</v>
      </c>
      <c r="Z70" s="415">
        <f t="shared" si="32"/>
        <v>1.4230465056696404</v>
      </c>
      <c r="AA70" s="415">
        <f t="shared" si="32"/>
        <v>1.4230465056696404</v>
      </c>
      <c r="AB70" s="415">
        <f t="shared" si="32"/>
        <v>1.4230465056696404</v>
      </c>
      <c r="AC70" s="415">
        <f t="shared" si="32"/>
        <v>1.4230465056696404</v>
      </c>
      <c r="AD70" s="415">
        <f t="shared" si="32"/>
        <v>1.4230465056696404</v>
      </c>
      <c r="AE70" s="415">
        <f t="shared" si="32"/>
        <v>1.4230465056696404</v>
      </c>
      <c r="AF70" s="415">
        <f t="shared" si="32"/>
        <v>1.4230465056696404</v>
      </c>
      <c r="AG70" s="415">
        <f t="shared" si="32"/>
        <v>1.4230465056696404</v>
      </c>
      <c r="AH70" s="415">
        <f t="shared" si="32"/>
        <v>1.4230465056696404</v>
      </c>
      <c r="AI70" s="415">
        <f t="shared" si="32"/>
        <v>1.4230465056696404</v>
      </c>
      <c r="AJ70" s="415">
        <f t="shared" si="32"/>
        <v>1.4230465056696404</v>
      </c>
      <c r="AK70" s="415">
        <f t="shared" si="32"/>
        <v>1.4230465056696404</v>
      </c>
      <c r="AL70" s="415">
        <f t="shared" si="32"/>
        <v>1.4230465056696404</v>
      </c>
    </row>
    <row r="71" spans="1:38">
      <c r="B71" s="433" t="s">
        <v>675</v>
      </c>
      <c r="C71" s="434" t="s">
        <v>676</v>
      </c>
      <c r="D71" s="426">
        <f t="shared" ref="D71:AL71" si="33">EXP(0.1844*$E$5)</f>
        <v>1.2024967255996286</v>
      </c>
      <c r="E71" s="426">
        <f t="shared" si="33"/>
        <v>1.2024967255996286</v>
      </c>
      <c r="F71" s="426">
        <f t="shared" si="33"/>
        <v>1.2024967255996286</v>
      </c>
      <c r="G71" s="426">
        <f t="shared" si="33"/>
        <v>1.2024967255996286</v>
      </c>
      <c r="H71" s="1237">
        <f t="shared" si="33"/>
        <v>1.2024967255996286</v>
      </c>
      <c r="I71" s="426">
        <f t="shared" si="33"/>
        <v>1.2024967255996286</v>
      </c>
      <c r="J71" s="426">
        <f t="shared" si="33"/>
        <v>1.2024967255996286</v>
      </c>
      <c r="K71" s="426">
        <f t="shared" si="33"/>
        <v>1.2024967255996286</v>
      </c>
      <c r="L71" s="426">
        <f t="shared" si="33"/>
        <v>1.2024967255996286</v>
      </c>
      <c r="M71" s="426">
        <f t="shared" si="33"/>
        <v>1.2024967255996286</v>
      </c>
      <c r="N71" s="426">
        <f t="shared" si="33"/>
        <v>1.2024967255996286</v>
      </c>
      <c r="O71" s="426">
        <f t="shared" si="33"/>
        <v>1.2024967255996286</v>
      </c>
      <c r="P71" s="426">
        <f t="shared" si="33"/>
        <v>1.2024967255996286</v>
      </c>
      <c r="Q71" s="426">
        <f t="shared" si="33"/>
        <v>1.2024967255996286</v>
      </c>
      <c r="R71" s="426">
        <f t="shared" si="33"/>
        <v>1.2024967255996286</v>
      </c>
      <c r="S71" s="426">
        <f t="shared" si="33"/>
        <v>1.2024967255996286</v>
      </c>
      <c r="T71" s="426">
        <f t="shared" si="33"/>
        <v>1.2024967255996286</v>
      </c>
      <c r="U71" s="426">
        <f t="shared" si="33"/>
        <v>1.2024967255996286</v>
      </c>
      <c r="V71" s="426">
        <f t="shared" si="33"/>
        <v>1.2024967255996286</v>
      </c>
      <c r="W71" s="426">
        <f t="shared" si="33"/>
        <v>1.2024967255996286</v>
      </c>
      <c r="X71" s="426">
        <f t="shared" si="33"/>
        <v>1.2024967255996286</v>
      </c>
      <c r="Y71" s="426">
        <f t="shared" si="33"/>
        <v>1.2024967255996286</v>
      </c>
      <c r="Z71" s="426">
        <f t="shared" si="33"/>
        <v>1.2024967255996286</v>
      </c>
      <c r="AA71" s="426">
        <f t="shared" si="33"/>
        <v>1.2024967255996286</v>
      </c>
      <c r="AB71" s="426">
        <f t="shared" si="33"/>
        <v>1.2024967255996286</v>
      </c>
      <c r="AC71" s="426">
        <f t="shared" si="33"/>
        <v>1.2024967255996286</v>
      </c>
      <c r="AD71" s="426">
        <f t="shared" si="33"/>
        <v>1.2024967255996286</v>
      </c>
      <c r="AE71" s="426">
        <f t="shared" si="33"/>
        <v>1.2024967255996286</v>
      </c>
      <c r="AF71" s="426">
        <f t="shared" si="33"/>
        <v>1.2024967255996286</v>
      </c>
      <c r="AG71" s="426">
        <f t="shared" si="33"/>
        <v>1.2024967255996286</v>
      </c>
      <c r="AH71" s="426">
        <f t="shared" si="33"/>
        <v>1.2024967255996286</v>
      </c>
      <c r="AI71" s="426">
        <f t="shared" si="33"/>
        <v>1.2024967255996286</v>
      </c>
      <c r="AJ71" s="426">
        <f t="shared" si="33"/>
        <v>1.2024967255996286</v>
      </c>
      <c r="AK71" s="426">
        <f t="shared" si="33"/>
        <v>1.2024967255996286</v>
      </c>
      <c r="AL71" s="426">
        <f t="shared" si="33"/>
        <v>1.2024967255996286</v>
      </c>
    </row>
    <row r="72" spans="1:38">
      <c r="B72" s="362"/>
      <c r="C72" s="427" t="s">
        <v>290</v>
      </c>
      <c r="H72" s="1228"/>
    </row>
    <row r="73" spans="1:38">
      <c r="B73" s="362" t="s">
        <v>685</v>
      </c>
      <c r="C73" s="438">
        <v>4.28</v>
      </c>
      <c r="D73" s="435">
        <f t="shared" ref="D73:AL73" si="34">D$68/(1+$C$73*PRODUCT(D$69:D$71))</f>
        <v>0.17708683427353974</v>
      </c>
      <c r="E73" s="435">
        <f t="shared" si="34"/>
        <v>0.17708477294408642</v>
      </c>
      <c r="F73" s="435">
        <f t="shared" si="34"/>
        <v>0.17708270668921952</v>
      </c>
      <c r="G73" s="435">
        <f t="shared" si="34"/>
        <v>0.17708063552214806</v>
      </c>
      <c r="H73" s="435">
        <f t="shared" si="34"/>
        <v>0.17707855945604162</v>
      </c>
      <c r="I73" s="435">
        <f t="shared" si="34"/>
        <v>0.17707647850402941</v>
      </c>
      <c r="J73" s="435">
        <f t="shared" si="34"/>
        <v>0.17707439267919886</v>
      </c>
      <c r="K73" s="435">
        <f t="shared" si="34"/>
        <v>0.17707230199459489</v>
      </c>
      <c r="L73" s="435">
        <f t="shared" si="34"/>
        <v>0.17707020646321855</v>
      </c>
      <c r="M73" s="435">
        <f t="shared" si="34"/>
        <v>0.17706810609802615</v>
      </c>
      <c r="N73" s="435">
        <f t="shared" si="34"/>
        <v>0.1770660009119282</v>
      </c>
      <c r="O73" s="435">
        <f t="shared" si="34"/>
        <v>0.17706389091778846</v>
      </c>
      <c r="P73" s="435">
        <f t="shared" si="34"/>
        <v>0.17706177612842286</v>
      </c>
      <c r="Q73" s="435">
        <f t="shared" si="34"/>
        <v>0.17705965655659875</v>
      </c>
      <c r="R73" s="435">
        <f t="shared" si="34"/>
        <v>0.17705753221503376</v>
      </c>
      <c r="S73" s="435">
        <f t="shared" si="34"/>
        <v>0.17705540311639506</v>
      </c>
      <c r="T73" s="435">
        <f t="shared" si="34"/>
        <v>0.17705326927329837</v>
      </c>
      <c r="U73" s="435">
        <f t="shared" si="34"/>
        <v>0.17705113069830719</v>
      </c>
      <c r="V73" s="435">
        <f t="shared" si="34"/>
        <v>0.17704898740393185</v>
      </c>
      <c r="W73" s="435">
        <f t="shared" si="34"/>
        <v>0.17704683940262883</v>
      </c>
      <c r="X73" s="435">
        <f t="shared" si="34"/>
        <v>0.17704468670679988</v>
      </c>
      <c r="Y73" s="435">
        <f t="shared" si="34"/>
        <v>0.17704252932879116</v>
      </c>
      <c r="Z73" s="435">
        <f t="shared" si="34"/>
        <v>0.1770403672808927</v>
      </c>
      <c r="AA73" s="435">
        <f t="shared" si="34"/>
        <v>0.17703820057533745</v>
      </c>
      <c r="AB73" s="435">
        <f t="shared" si="34"/>
        <v>0.1770360292243007</v>
      </c>
      <c r="AC73" s="435">
        <f t="shared" si="34"/>
        <v>0.17703385323989931</v>
      </c>
      <c r="AD73" s="435">
        <f t="shared" si="34"/>
        <v>0.17703167263419106</v>
      </c>
      <c r="AE73" s="435">
        <f t="shared" si="34"/>
        <v>0.17702948741917399</v>
      </c>
      <c r="AF73" s="435">
        <f t="shared" si="34"/>
        <v>0.17702729760678571</v>
      </c>
      <c r="AG73" s="435">
        <f t="shared" si="34"/>
        <v>0.17702510320890288</v>
      </c>
      <c r="AH73" s="435">
        <f t="shared" si="34"/>
        <v>0.17702290423734057</v>
      </c>
      <c r="AI73" s="435">
        <f t="shared" si="34"/>
        <v>0.17702070070385159</v>
      </c>
      <c r="AJ73" s="435">
        <f t="shared" si="34"/>
        <v>0.17701849262012601</v>
      </c>
      <c r="AK73" s="435">
        <f t="shared" si="34"/>
        <v>0.17701627999779068</v>
      </c>
      <c r="AL73" s="435">
        <f t="shared" si="34"/>
        <v>0.17701406284840848</v>
      </c>
    </row>
    <row r="74" spans="1:38">
      <c r="H74" s="1228"/>
    </row>
    <row r="75" spans="1:38" ht="13">
      <c r="A75" s="452"/>
      <c r="B75" s="495" t="s">
        <v>625</v>
      </c>
      <c r="C75" s="453"/>
      <c r="D75" s="454"/>
      <c r="E75" s="379"/>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row>
    <row r="76" spans="1:38" ht="13">
      <c r="C76" s="399"/>
      <c r="D76" s="440">
        <f>D$1</f>
        <v>2021</v>
      </c>
      <c r="E76" s="440">
        <f t="shared" ref="E76:AL76" si="35">E$1</f>
        <v>2022</v>
      </c>
      <c r="F76" s="440">
        <f t="shared" si="35"/>
        <v>2023</v>
      </c>
      <c r="G76" s="440">
        <f t="shared" si="35"/>
        <v>2024</v>
      </c>
      <c r="H76" s="440">
        <f t="shared" si="35"/>
        <v>2025</v>
      </c>
      <c r="I76" s="440">
        <f t="shared" si="35"/>
        <v>2026</v>
      </c>
      <c r="J76" s="440">
        <f t="shared" si="35"/>
        <v>2027</v>
      </c>
      <c r="K76" s="440">
        <f t="shared" si="35"/>
        <v>2028</v>
      </c>
      <c r="L76" s="440">
        <f t="shared" si="35"/>
        <v>2029</v>
      </c>
      <c r="M76" s="440">
        <f t="shared" si="35"/>
        <v>2030</v>
      </c>
      <c r="N76" s="440">
        <f t="shared" si="35"/>
        <v>2031</v>
      </c>
      <c r="O76" s="440">
        <f t="shared" si="35"/>
        <v>2032</v>
      </c>
      <c r="P76" s="440">
        <f t="shared" si="35"/>
        <v>2033</v>
      </c>
      <c r="Q76" s="440">
        <f t="shared" si="35"/>
        <v>2034</v>
      </c>
      <c r="R76" s="440">
        <f t="shared" si="35"/>
        <v>2035</v>
      </c>
      <c r="S76" s="440">
        <f t="shared" si="35"/>
        <v>2036</v>
      </c>
      <c r="T76" s="440">
        <f t="shared" si="35"/>
        <v>2037</v>
      </c>
      <c r="U76" s="440">
        <f t="shared" si="35"/>
        <v>2038</v>
      </c>
      <c r="V76" s="440">
        <f t="shared" si="35"/>
        <v>2039</v>
      </c>
      <c r="W76" s="440">
        <f t="shared" si="35"/>
        <v>2040</v>
      </c>
      <c r="X76" s="440">
        <f t="shared" si="35"/>
        <v>2041</v>
      </c>
      <c r="Y76" s="440">
        <f t="shared" si="35"/>
        <v>2042</v>
      </c>
      <c r="Z76" s="440">
        <f t="shared" si="35"/>
        <v>2043</v>
      </c>
      <c r="AA76" s="440">
        <f t="shared" si="35"/>
        <v>2044</v>
      </c>
      <c r="AB76" s="440">
        <f t="shared" si="35"/>
        <v>2045</v>
      </c>
      <c r="AC76" s="440">
        <f t="shared" si="35"/>
        <v>2046</v>
      </c>
      <c r="AD76" s="440">
        <f t="shared" si="35"/>
        <v>2047</v>
      </c>
      <c r="AE76" s="440">
        <f t="shared" si="35"/>
        <v>2048</v>
      </c>
      <c r="AF76" s="440">
        <f t="shared" si="35"/>
        <v>2049</v>
      </c>
      <c r="AG76" s="440">
        <f t="shared" si="35"/>
        <v>2050</v>
      </c>
      <c r="AH76" s="440">
        <f t="shared" si="35"/>
        <v>2051</v>
      </c>
      <c r="AI76" s="440">
        <f t="shared" si="35"/>
        <v>2052</v>
      </c>
      <c r="AJ76" s="440">
        <f t="shared" si="35"/>
        <v>2053</v>
      </c>
      <c r="AK76" s="440">
        <f t="shared" si="35"/>
        <v>2054</v>
      </c>
      <c r="AL76" s="440">
        <f t="shared" si="35"/>
        <v>2055</v>
      </c>
    </row>
    <row r="77" spans="1:38" ht="13">
      <c r="B77" s="400" t="s">
        <v>639</v>
      </c>
      <c r="C77" s="401" t="s">
        <v>640</v>
      </c>
      <c r="D77" s="441">
        <f>'1000 North'!D6</f>
        <v>1170.2572699256787</v>
      </c>
      <c r="E77" s="441">
        <f>'1000 North'!E6</f>
        <v>1204.7729396586369</v>
      </c>
      <c r="F77" s="441">
        <f>'1000 North'!F6</f>
        <v>1240.3066175576032</v>
      </c>
      <c r="G77" s="441">
        <f>'1000 North'!G6</f>
        <v>1276.8883288439938</v>
      </c>
      <c r="H77" s="441">
        <f>'1000 North'!H6</f>
        <v>1314.5489843057178</v>
      </c>
      <c r="I77" s="441">
        <f>'1000 North'!I6</f>
        <v>1353.3204064161509</v>
      </c>
      <c r="J77" s="441">
        <f>'1000 North'!J6</f>
        <v>1393.2353562234694</v>
      </c>
      <c r="K77" s="441">
        <f>'1000 North'!K6</f>
        <v>1434.3275610330525</v>
      </c>
      <c r="L77" s="441">
        <f>'1000 North'!L6</f>
        <v>1476.6317429063604</v>
      </c>
      <c r="M77" s="441">
        <f>'1000 North'!M6</f>
        <v>1520.1836480003531</v>
      </c>
      <c r="N77" s="441">
        <f>'1000 North'!N6</f>
        <v>1565.0200767722558</v>
      </c>
      <c r="O77" s="441">
        <f>'1000 North'!O6</f>
        <v>1611.1789150751795</v>
      </c>
      <c r="P77" s="441">
        <f>'1000 North'!P6</f>
        <v>1658.6991661708832</v>
      </c>
      <c r="Q77" s="441">
        <f>'1000 North'!Q6</f>
        <v>1707.620983686722</v>
      </c>
      <c r="R77" s="441">
        <f>'1000 North'!R6</f>
        <v>1757.9857055446284</v>
      </c>
      <c r="S77" s="441">
        <f>'1000 North'!S6</f>
        <v>1809.8358888908033</v>
      </c>
      <c r="T77" s="441">
        <f>'1000 North'!T6</f>
        <v>1863.2153460556174</v>
      </c>
      <c r="U77" s="441">
        <f>'1000 North'!U6</f>
        <v>1918.1691815741262</v>
      </c>
      <c r="V77" s="441">
        <f>'1000 North'!V6</f>
        <v>1974.7438302984672</v>
      </c>
      <c r="W77" s="441">
        <f>'1000 North'!W6</f>
        <v>2032.9870966343453</v>
      </c>
      <c r="X77" s="441">
        <f>'1000 North'!X6</f>
        <v>2092.9481949347673</v>
      </c>
      <c r="Y77" s="441">
        <f>'1000 North'!Y6</f>
        <v>2154.6777910851483</v>
      </c>
      <c r="Z77" s="441">
        <f>'1000 North'!Z6</f>
        <v>2218.2280453149369</v>
      </c>
      <c r="AA77" s="441">
        <f>'1000 North'!AA6</f>
        <v>2283.6526562719264</v>
      </c>
      <c r="AB77" s="441">
        <f>'1000 North'!AB6</f>
        <v>2351.0069063965002</v>
      </c>
      <c r="AC77" s="441">
        <f>'1000 North'!AC6</f>
        <v>2420.3477086341472</v>
      </c>
      <c r="AD77" s="441">
        <f>'1000 North'!AD6</f>
        <v>2491.7336545257235</v>
      </c>
      <c r="AE77" s="441">
        <f>'1000 North'!AE6</f>
        <v>2565.2250637160887</v>
      </c>
      <c r="AF77" s="441">
        <f>'1000 North'!AF6</f>
        <v>2640.8840349229536</v>
      </c>
      <c r="AG77" s="441">
        <f>'1000 North'!AG6</f>
        <v>2718.7744984090141</v>
      </c>
      <c r="AH77" s="441">
        <f>'1000 North'!AH6</f>
        <v>2798.9622700016953</v>
      </c>
      <c r="AI77" s="441">
        <f>'1000 North'!AI6</f>
        <v>2881.5151067061624</v>
      </c>
      <c r="AJ77" s="441">
        <f>'1000 North'!AJ6</f>
        <v>2966.5027639585855</v>
      </c>
      <c r="AK77" s="441">
        <f>'1000 North'!AK6</f>
        <v>3053.997054568038</v>
      </c>
      <c r="AL77" s="441">
        <f>'1000 North'!AL6</f>
        <v>3144.0719093968332</v>
      </c>
    </row>
    <row r="78" spans="1:38" ht="13">
      <c r="B78" s="400" t="s">
        <v>641</v>
      </c>
      <c r="C78" s="401" t="s">
        <v>642</v>
      </c>
      <c r="D78" s="442">
        <f>'1000 North'!D37</f>
        <v>6.0636386466438061</v>
      </c>
      <c r="E78" s="442">
        <f>'1000 North'!E37</f>
        <v>6.1279522728453877</v>
      </c>
      <c r="F78" s="442">
        <f>'1000 North'!F37</f>
        <v>6.1929480377356736</v>
      </c>
      <c r="G78" s="442">
        <f>'1000 North'!G37</f>
        <v>6.2586331763784937</v>
      </c>
      <c r="H78" s="442">
        <f>'1000 North'!H37</f>
        <v>8.4333533341012696</v>
      </c>
      <c r="I78" s="442">
        <f>'1000 North'!I37</f>
        <v>8.5228011995764756</v>
      </c>
      <c r="J78" s="442">
        <f>'1000 North'!J37</f>
        <v>8.6131977885690176</v>
      </c>
      <c r="K78" s="442">
        <f>'1000 North'!K37</f>
        <v>8.7045531636590106</v>
      </c>
      <c r="L78" s="442">
        <f>'1000 North'!L37</f>
        <v>8.7968774941547299</v>
      </c>
      <c r="M78" s="442">
        <f>'1000 North'!M37</f>
        <v>8.8901810572246251</v>
      </c>
      <c r="N78" s="442">
        <f>'1000 North'!N37</f>
        <v>8.9844742390413206</v>
      </c>
      <c r="O78" s="442">
        <f>'1000 North'!O37</f>
        <v>9.0797675359377763</v>
      </c>
      <c r="P78" s="442">
        <f>'1000 North'!P37</f>
        <v>9.1760715555756835</v>
      </c>
      <c r="Q78" s="442">
        <f>'1000 North'!Q37</f>
        <v>9.2733970181262784</v>
      </c>
      <c r="R78" s="442">
        <f>'1000 North'!R37</f>
        <v>9.3717547574636537</v>
      </c>
      <c r="S78" s="442">
        <f>'1000 North'!S37</f>
        <v>9.4711557223707619</v>
      </c>
      <c r="T78" s="442">
        <f>'1000 North'!T37</f>
        <v>9.5716109777581639</v>
      </c>
      <c r="U78" s="442">
        <f>'1000 North'!U37</f>
        <v>9.6731317058957522</v>
      </c>
      <c r="V78" s="442">
        <f>'1000 North'!V37</f>
        <v>9.775729207657502</v>
      </c>
      <c r="W78" s="442">
        <f>'1000 North'!W37</f>
        <v>9.8794149037794448</v>
      </c>
      <c r="X78" s="442">
        <f>'1000 North'!X37</f>
        <v>9.9842003361309732</v>
      </c>
      <c r="Y78" s="442">
        <f>'1000 North'!Y37</f>
        <v>10.090097168999641</v>
      </c>
      <c r="Z78" s="442">
        <f>'1000 North'!Z37</f>
        <v>10.19711719038958</v>
      </c>
      <c r="AA78" s="442">
        <f>'1000 North'!AA37</f>
        <v>10.305272313333695</v>
      </c>
      <c r="AB78" s="442">
        <f>'1000 North'!AB37</f>
        <v>10.414574577219767</v>
      </c>
      <c r="AC78" s="442">
        <f>'1000 North'!AC37</f>
        <v>10.525036149130644</v>
      </c>
      <c r="AD78" s="442">
        <f>'1000 North'!AD37</f>
        <v>10.636669325198612</v>
      </c>
      <c r="AE78" s="442">
        <f>'1000 North'!AE37</f>
        <v>10.749486531974167</v>
      </c>
      <c r="AF78" s="442">
        <f>'1000 North'!AF37</f>
        <v>10.863500327809277</v>
      </c>
      <c r="AG78" s="442">
        <f>'1000 North'!AG37</f>
        <v>10.978723404255332</v>
      </c>
      <c r="AH78" s="442">
        <f>'1000 North'!AH37</f>
        <v>11.095168587475913</v>
      </c>
      <c r="AI78" s="442">
        <f>'1000 North'!AI37</f>
        <v>11.212848839674553</v>
      </c>
      <c r="AJ78" s="442">
        <f>'1000 North'!AJ37</f>
        <v>11.331777260537629</v>
      </c>
      <c r="AK78" s="442">
        <f>'1000 North'!AK37</f>
        <v>11.451967088692575</v>
      </c>
      <c r="AL78" s="442">
        <f>'1000 North'!AL37</f>
        <v>11.573431703181543</v>
      </c>
    </row>
    <row r="79" spans="1:38" ht="13">
      <c r="B79" s="400" t="s">
        <v>643</v>
      </c>
      <c r="C79" s="401" t="s">
        <v>644</v>
      </c>
      <c r="D79" s="442">
        <f>'1000 North'!D37</f>
        <v>6.0636386466438061</v>
      </c>
      <c r="E79" s="442">
        <f>'1000 North'!E37</f>
        <v>6.1279522728453877</v>
      </c>
      <c r="F79" s="442">
        <f>'1000 North'!F37</f>
        <v>6.1929480377356736</v>
      </c>
      <c r="G79" s="442">
        <f>'1000 North'!G37</f>
        <v>6.2586331763784937</v>
      </c>
      <c r="H79" s="442">
        <f>'1000 North'!H37</f>
        <v>8.4333533341012696</v>
      </c>
      <c r="I79" s="442">
        <f>'1000 North'!I37</f>
        <v>8.5228011995764756</v>
      </c>
      <c r="J79" s="442">
        <f>'1000 North'!J37</f>
        <v>8.6131977885690176</v>
      </c>
      <c r="K79" s="442">
        <f>'1000 North'!K37</f>
        <v>8.7045531636590106</v>
      </c>
      <c r="L79" s="442">
        <f>'1000 North'!L37</f>
        <v>8.7968774941547299</v>
      </c>
      <c r="M79" s="442">
        <f>'1000 North'!M37</f>
        <v>8.8901810572246251</v>
      </c>
      <c r="N79" s="442">
        <f>'1000 North'!N37</f>
        <v>8.9844742390413206</v>
      </c>
      <c r="O79" s="442">
        <f>'1000 North'!O37</f>
        <v>9.0797675359377763</v>
      </c>
      <c r="P79" s="442">
        <f>'1000 North'!P37</f>
        <v>9.1760715555756835</v>
      </c>
      <c r="Q79" s="442">
        <f>'1000 North'!Q37</f>
        <v>9.2733970181262784</v>
      </c>
      <c r="R79" s="442">
        <f>'1000 North'!R37</f>
        <v>9.3717547574636537</v>
      </c>
      <c r="S79" s="442">
        <f>'1000 North'!S37</f>
        <v>9.4711557223707619</v>
      </c>
      <c r="T79" s="442">
        <f>'1000 North'!T37</f>
        <v>9.5716109777581639</v>
      </c>
      <c r="U79" s="442">
        <f>'1000 North'!U37</f>
        <v>9.6731317058957522</v>
      </c>
      <c r="V79" s="442">
        <f>'1000 North'!V37</f>
        <v>9.775729207657502</v>
      </c>
      <c r="W79" s="442">
        <f>'1000 North'!W37</f>
        <v>9.8794149037794448</v>
      </c>
      <c r="X79" s="442">
        <f>'1000 North'!X37</f>
        <v>9.9842003361309732</v>
      </c>
      <c r="Y79" s="442">
        <f>'1000 North'!Y37</f>
        <v>10.090097168999641</v>
      </c>
      <c r="Z79" s="442">
        <f>'1000 North'!Z37</f>
        <v>10.19711719038958</v>
      </c>
      <c r="AA79" s="442">
        <f>'1000 North'!AA37</f>
        <v>10.305272313333695</v>
      </c>
      <c r="AB79" s="442">
        <f>'1000 North'!AB37</f>
        <v>10.414574577219767</v>
      </c>
      <c r="AC79" s="442">
        <f>'1000 North'!AC37</f>
        <v>10.525036149130644</v>
      </c>
      <c r="AD79" s="442">
        <f>'1000 North'!AD37</f>
        <v>10.636669325198612</v>
      </c>
      <c r="AE79" s="442">
        <f>'1000 North'!AE37</f>
        <v>10.749486531974167</v>
      </c>
      <c r="AF79" s="442">
        <f>'1000 North'!AF37</f>
        <v>10.863500327809277</v>
      </c>
      <c r="AG79" s="442">
        <f>'1000 North'!AG37</f>
        <v>10.978723404255332</v>
      </c>
      <c r="AH79" s="442">
        <f>'1000 North'!AH37</f>
        <v>11.095168587475913</v>
      </c>
      <c r="AI79" s="442">
        <f>'1000 North'!AI37</f>
        <v>11.212848839674553</v>
      </c>
      <c r="AJ79" s="442">
        <f>'1000 North'!AJ37</f>
        <v>11.331777260537629</v>
      </c>
      <c r="AK79" s="442">
        <f>'1000 North'!AK37</f>
        <v>11.451967088692575</v>
      </c>
      <c r="AL79" s="442">
        <f>'1000 North'!AL37</f>
        <v>11.573431703181543</v>
      </c>
    </row>
    <row r="80" spans="1:38" ht="13">
      <c r="B80" s="400" t="s">
        <v>645</v>
      </c>
      <c r="C80" s="401" t="s">
        <v>646</v>
      </c>
      <c r="D80" s="442">
        <f>'1000 North'!D38</f>
        <v>2.021212882214602</v>
      </c>
      <c r="E80" s="442">
        <f>'1000 North'!E38</f>
        <v>2.0426507576151294</v>
      </c>
      <c r="F80" s="442">
        <f>'1000 North'!F38</f>
        <v>2.064316012578558</v>
      </c>
      <c r="G80" s="442">
        <f>'1000 North'!G38</f>
        <v>2.0862110587928311</v>
      </c>
      <c r="H80" s="442">
        <f>'1000 North'!H38</f>
        <v>3.1625075002879761</v>
      </c>
      <c r="I80" s="442">
        <f>'1000 North'!I38</f>
        <v>3.1960504498411781</v>
      </c>
      <c r="J80" s="442">
        <f>'1000 North'!J38</f>
        <v>3.2299491707133816</v>
      </c>
      <c r="K80" s="442">
        <f>'1000 North'!K38</f>
        <v>3.264207436372129</v>
      </c>
      <c r="L80" s="442">
        <f>'1000 North'!L38</f>
        <v>3.2988290603080239</v>
      </c>
      <c r="M80" s="442">
        <f>'1000 North'!M38</f>
        <v>3.3338178964592347</v>
      </c>
      <c r="N80" s="442">
        <f>'1000 North'!N38</f>
        <v>3.3691778396404954</v>
      </c>
      <c r="O80" s="442">
        <f>'1000 North'!O38</f>
        <v>3.4049128259766661</v>
      </c>
      <c r="P80" s="442">
        <f>'1000 North'!P38</f>
        <v>3.4410268333408816</v>
      </c>
      <c r="Q80" s="442">
        <f>'1000 North'!Q38</f>
        <v>3.4775238817973544</v>
      </c>
      <c r="R80" s="442">
        <f>'1000 North'!R38</f>
        <v>3.5144080340488699</v>
      </c>
      <c r="S80" s="442">
        <f>'1000 North'!S38</f>
        <v>3.5516833958890359</v>
      </c>
      <c r="T80" s="442">
        <f>'1000 North'!T38</f>
        <v>3.5893541166593117</v>
      </c>
      <c r="U80" s="442">
        <f>'1000 North'!U38</f>
        <v>3.6274243897109071</v>
      </c>
      <c r="V80" s="442">
        <f>'1000 North'!V38</f>
        <v>3.6658984528715632</v>
      </c>
      <c r="W80" s="442">
        <f>'1000 North'!W38</f>
        <v>3.7047805889172918</v>
      </c>
      <c r="X80" s="442">
        <f>'1000 North'!X38</f>
        <v>3.7440751260491147</v>
      </c>
      <c r="Y80" s="442">
        <f>'1000 North'!Y38</f>
        <v>3.7837864383748654</v>
      </c>
      <c r="Z80" s="442">
        <f>'1000 North'!Z38</f>
        <v>3.8239189463960925</v>
      </c>
      <c r="AA80" s="442">
        <f>'1000 North'!AA38</f>
        <v>3.8644771175001358</v>
      </c>
      <c r="AB80" s="442">
        <f>'1000 North'!AB38</f>
        <v>3.9054654664574127</v>
      </c>
      <c r="AC80" s="442">
        <f>'1000 North'!AC38</f>
        <v>3.9468885559239917</v>
      </c>
      <c r="AD80" s="442">
        <f>'1000 North'!AD38</f>
        <v>3.9887509969494799</v>
      </c>
      <c r="AE80" s="442">
        <f>'1000 North'!AE38</f>
        <v>4.0310574494903122</v>
      </c>
      <c r="AF80" s="442">
        <f>'1000 North'!AF38</f>
        <v>4.0738126229284788</v>
      </c>
      <c r="AG80" s="442">
        <f>'1000 North'!AG38</f>
        <v>4.1170212765957492</v>
      </c>
      <c r="AH80" s="442">
        <f>'1000 North'!AH38</f>
        <v>4.1606882203034674</v>
      </c>
      <c r="AI80" s="442">
        <f>'1000 North'!AI38</f>
        <v>4.2048183148779579</v>
      </c>
      <c r="AJ80" s="442">
        <f>'1000 North'!AJ38</f>
        <v>4.2494164727016113</v>
      </c>
      <c r="AK80" s="442">
        <f>'1000 North'!AK38</f>
        <v>4.2944876582597153</v>
      </c>
      <c r="AL80" s="442">
        <f>'1000 North'!AL38</f>
        <v>4.3400368886930787</v>
      </c>
    </row>
    <row r="81" spans="2:38" ht="13">
      <c r="B81" s="400" t="s">
        <v>1048</v>
      </c>
      <c r="C81" s="401" t="s">
        <v>647</v>
      </c>
      <c r="D81" s="442">
        <v>0</v>
      </c>
      <c r="E81" s="442">
        <v>0</v>
      </c>
      <c r="F81" s="442">
        <v>0</v>
      </c>
      <c r="G81" s="442">
        <v>0</v>
      </c>
      <c r="H81" s="442">
        <v>0</v>
      </c>
      <c r="I81" s="442">
        <v>0</v>
      </c>
      <c r="J81" s="442">
        <v>0</v>
      </c>
      <c r="K81" s="442">
        <v>0</v>
      </c>
      <c r="L81" s="442">
        <v>0</v>
      </c>
      <c r="M81" s="442">
        <v>0</v>
      </c>
      <c r="N81" s="442">
        <v>0</v>
      </c>
      <c r="O81" s="442">
        <v>0</v>
      </c>
      <c r="P81" s="442">
        <v>0</v>
      </c>
      <c r="Q81" s="442">
        <v>0</v>
      </c>
      <c r="R81" s="442">
        <v>0</v>
      </c>
      <c r="S81" s="442">
        <v>0</v>
      </c>
      <c r="T81" s="442">
        <v>0</v>
      </c>
      <c r="U81" s="442">
        <v>0</v>
      </c>
      <c r="V81" s="442">
        <v>0</v>
      </c>
      <c r="W81" s="442">
        <v>0</v>
      </c>
      <c r="X81" s="442">
        <v>0</v>
      </c>
      <c r="Y81" s="442">
        <v>0</v>
      </c>
      <c r="Z81" s="442">
        <v>0</v>
      </c>
      <c r="AA81" s="442">
        <v>0</v>
      </c>
      <c r="AB81" s="442">
        <v>0</v>
      </c>
      <c r="AC81" s="442">
        <v>0</v>
      </c>
      <c r="AD81" s="442">
        <v>0</v>
      </c>
      <c r="AE81" s="442">
        <v>0</v>
      </c>
      <c r="AF81" s="442">
        <v>0</v>
      </c>
      <c r="AG81" s="442">
        <v>0</v>
      </c>
      <c r="AH81" s="442">
        <v>0</v>
      </c>
      <c r="AI81" s="442">
        <v>0</v>
      </c>
      <c r="AJ81" s="442">
        <v>0</v>
      </c>
      <c r="AK81" s="442">
        <v>0</v>
      </c>
      <c r="AL81" s="442">
        <v>0</v>
      </c>
    </row>
    <row r="82" spans="2:38" ht="13">
      <c r="B82" s="400" t="s">
        <v>648</v>
      </c>
      <c r="C82" s="401" t="s">
        <v>649</v>
      </c>
      <c r="D82" s="441">
        <f>'Crossing Inputs'!$H34</f>
        <v>7.5</v>
      </c>
      <c r="E82" s="441">
        <f>'Crossing Inputs'!$H34</f>
        <v>7.5</v>
      </c>
      <c r="F82" s="441">
        <f>'Crossing Inputs'!$H34</f>
        <v>7.5</v>
      </c>
      <c r="G82" s="441">
        <f>'Crossing Inputs'!$H34</f>
        <v>7.5</v>
      </c>
      <c r="H82" s="441">
        <f>'Crossing Inputs'!$H34</f>
        <v>7.5</v>
      </c>
      <c r="I82" s="441">
        <f>'Crossing Inputs'!$H34</f>
        <v>7.5</v>
      </c>
      <c r="J82" s="441">
        <f>'Crossing Inputs'!$H34</f>
        <v>7.5</v>
      </c>
      <c r="K82" s="441">
        <f>'Crossing Inputs'!$H34</f>
        <v>7.5</v>
      </c>
      <c r="L82" s="441">
        <f>'Crossing Inputs'!$H34</f>
        <v>7.5</v>
      </c>
      <c r="M82" s="441">
        <f>'Crossing Inputs'!$H34</f>
        <v>7.5</v>
      </c>
      <c r="N82" s="441">
        <f>'Crossing Inputs'!$H34</f>
        <v>7.5</v>
      </c>
      <c r="O82" s="441">
        <f>'Crossing Inputs'!$H34</f>
        <v>7.5</v>
      </c>
      <c r="P82" s="441">
        <f>'Crossing Inputs'!$H34</f>
        <v>7.5</v>
      </c>
      <c r="Q82" s="441">
        <f>'Crossing Inputs'!$H34</f>
        <v>7.5</v>
      </c>
      <c r="R82" s="441">
        <f>'Crossing Inputs'!$H34</f>
        <v>7.5</v>
      </c>
      <c r="S82" s="441">
        <f>'Crossing Inputs'!$H34</f>
        <v>7.5</v>
      </c>
      <c r="T82" s="441">
        <f>'Crossing Inputs'!$H34</f>
        <v>7.5</v>
      </c>
      <c r="U82" s="441">
        <f>'Crossing Inputs'!$H34</f>
        <v>7.5</v>
      </c>
      <c r="V82" s="441">
        <f>'Crossing Inputs'!$H34</f>
        <v>7.5</v>
      </c>
      <c r="W82" s="441">
        <f>'Crossing Inputs'!$H34</f>
        <v>7.5</v>
      </c>
      <c r="X82" s="441">
        <f>'Crossing Inputs'!$H34</f>
        <v>7.5</v>
      </c>
      <c r="Y82" s="441">
        <f>'Crossing Inputs'!$H34</f>
        <v>7.5</v>
      </c>
      <c r="Z82" s="441">
        <f>'Crossing Inputs'!$H34</f>
        <v>7.5</v>
      </c>
      <c r="AA82" s="441">
        <f>'Crossing Inputs'!$H34</f>
        <v>7.5</v>
      </c>
      <c r="AB82" s="441">
        <f>'Crossing Inputs'!$H34</f>
        <v>7.5</v>
      </c>
      <c r="AC82" s="441">
        <f>'Crossing Inputs'!$H34</f>
        <v>7.5</v>
      </c>
      <c r="AD82" s="441">
        <f>'Crossing Inputs'!$H34</f>
        <v>7.5</v>
      </c>
      <c r="AE82" s="441">
        <f>'Crossing Inputs'!$H34</f>
        <v>7.5</v>
      </c>
      <c r="AF82" s="441">
        <f>'Crossing Inputs'!$H34</f>
        <v>7.5</v>
      </c>
      <c r="AG82" s="441">
        <f>'Crossing Inputs'!$H34</f>
        <v>7.5</v>
      </c>
      <c r="AH82" s="441">
        <f>'Crossing Inputs'!$H34</f>
        <v>7.5</v>
      </c>
      <c r="AI82" s="441">
        <f>'Crossing Inputs'!$H34</f>
        <v>7.5</v>
      </c>
      <c r="AJ82" s="441">
        <f>'Crossing Inputs'!$H34</f>
        <v>7.5</v>
      </c>
      <c r="AK82" s="441">
        <f>'Crossing Inputs'!$H34</f>
        <v>7.5</v>
      </c>
      <c r="AL82" s="441">
        <f>'Crossing Inputs'!$H34</f>
        <v>7.5</v>
      </c>
    </row>
    <row r="83" spans="2:38" ht="13">
      <c r="B83" s="400"/>
      <c r="C83" s="403"/>
      <c r="D83" s="402"/>
      <c r="E83" s="402"/>
      <c r="F83" s="402"/>
      <c r="G83" s="402"/>
      <c r="H83" s="123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row>
    <row r="84" spans="2:38" ht="13">
      <c r="B84" s="400"/>
      <c r="C84" s="404"/>
      <c r="D84" s="440">
        <f>D$1</f>
        <v>2021</v>
      </c>
      <c r="E84" s="440">
        <f t="shared" ref="E84:AL84" si="36">E$1</f>
        <v>2022</v>
      </c>
      <c r="F84" s="440">
        <f t="shared" si="36"/>
        <v>2023</v>
      </c>
      <c r="G84" s="440">
        <f t="shared" si="36"/>
        <v>2024</v>
      </c>
      <c r="H84" s="440">
        <f t="shared" si="36"/>
        <v>2025</v>
      </c>
      <c r="I84" s="440">
        <f t="shared" si="36"/>
        <v>2026</v>
      </c>
      <c r="J84" s="440">
        <f t="shared" si="36"/>
        <v>2027</v>
      </c>
      <c r="K84" s="440">
        <f t="shared" si="36"/>
        <v>2028</v>
      </c>
      <c r="L84" s="440">
        <f t="shared" si="36"/>
        <v>2029</v>
      </c>
      <c r="M84" s="440">
        <f t="shared" si="36"/>
        <v>2030</v>
      </c>
      <c r="N84" s="440">
        <f t="shared" si="36"/>
        <v>2031</v>
      </c>
      <c r="O84" s="440">
        <f t="shared" si="36"/>
        <v>2032</v>
      </c>
      <c r="P84" s="440">
        <f t="shared" si="36"/>
        <v>2033</v>
      </c>
      <c r="Q84" s="440">
        <f t="shared" si="36"/>
        <v>2034</v>
      </c>
      <c r="R84" s="440">
        <f t="shared" si="36"/>
        <v>2035</v>
      </c>
      <c r="S84" s="440">
        <f t="shared" si="36"/>
        <v>2036</v>
      </c>
      <c r="T84" s="440">
        <f t="shared" si="36"/>
        <v>2037</v>
      </c>
      <c r="U84" s="440">
        <f t="shared" si="36"/>
        <v>2038</v>
      </c>
      <c r="V84" s="440">
        <f t="shared" si="36"/>
        <v>2039</v>
      </c>
      <c r="W84" s="440">
        <f t="shared" si="36"/>
        <v>2040</v>
      </c>
      <c r="X84" s="440">
        <f t="shared" si="36"/>
        <v>2041</v>
      </c>
      <c r="Y84" s="440">
        <f t="shared" si="36"/>
        <v>2042</v>
      </c>
      <c r="Z84" s="440">
        <f t="shared" si="36"/>
        <v>2043</v>
      </c>
      <c r="AA84" s="440">
        <f t="shared" si="36"/>
        <v>2044</v>
      </c>
      <c r="AB84" s="440">
        <f t="shared" si="36"/>
        <v>2045</v>
      </c>
      <c r="AC84" s="440">
        <f t="shared" si="36"/>
        <v>2046</v>
      </c>
      <c r="AD84" s="440">
        <f t="shared" si="36"/>
        <v>2047</v>
      </c>
      <c r="AE84" s="440">
        <f t="shared" si="36"/>
        <v>2048</v>
      </c>
      <c r="AF84" s="440">
        <f t="shared" si="36"/>
        <v>2049</v>
      </c>
      <c r="AG84" s="440">
        <f t="shared" si="36"/>
        <v>2050</v>
      </c>
      <c r="AH84" s="440">
        <f t="shared" si="36"/>
        <v>2051</v>
      </c>
      <c r="AI84" s="440">
        <f t="shared" si="36"/>
        <v>2052</v>
      </c>
      <c r="AJ84" s="440">
        <f t="shared" si="36"/>
        <v>2053</v>
      </c>
      <c r="AK84" s="440">
        <f t="shared" si="36"/>
        <v>2054</v>
      </c>
      <c r="AL84" s="440">
        <f t="shared" si="36"/>
        <v>2055</v>
      </c>
    </row>
    <row r="85" spans="2:38" ht="13">
      <c r="B85" s="400" t="s">
        <v>354</v>
      </c>
      <c r="C85" s="404"/>
      <c r="D85" s="405">
        <f t="shared" ref="D85:AL85" si="37">D$118</f>
        <v>0.11528052808120189</v>
      </c>
      <c r="E85" s="405">
        <f t="shared" si="37"/>
        <v>0.11668976987055626</v>
      </c>
      <c r="F85" s="405">
        <f t="shared" si="37"/>
        <v>0.11811629055331112</v>
      </c>
      <c r="G85" s="405">
        <f t="shared" si="37"/>
        <v>0.11956030212078399</v>
      </c>
      <c r="H85" s="1240">
        <f t="shared" si="37"/>
        <v>0.13410227042866743</v>
      </c>
      <c r="I85" s="405">
        <f t="shared" si="37"/>
        <v>0.13574366151950396</v>
      </c>
      <c r="J85" s="405">
        <f t="shared" si="37"/>
        <v>0.13740518393139636</v>
      </c>
      <c r="K85" s="405">
        <f t="shared" si="37"/>
        <v>0.13908708465370401</v>
      </c>
      <c r="L85" s="405">
        <f t="shared" si="37"/>
        <v>0.14078961370674084</v>
      </c>
      <c r="M85" s="405">
        <f t="shared" si="37"/>
        <v>0.14251302417894993</v>
      </c>
      <c r="N85" s="405">
        <f t="shared" si="37"/>
        <v>0.1442575722645332</v>
      </c>
      <c r="O85" s="405">
        <f t="shared" si="37"/>
        <v>0.14602351730154453</v>
      </c>
      <c r="P85" s="405">
        <f t="shared" si="37"/>
        <v>0.14781112181044992</v>
      </c>
      <c r="Q85" s="405">
        <f t="shared" si="37"/>
        <v>0.14962065153316126</v>
      </c>
      <c r="R85" s="405">
        <f t="shared" si="37"/>
        <v>0.15145237547254981</v>
      </c>
      <c r="S85" s="405">
        <f t="shared" si="37"/>
        <v>0.1533065659324446</v>
      </c>
      <c r="T85" s="405">
        <f t="shared" si="37"/>
        <v>0.15518349855812139</v>
      </c>
      <c r="U85" s="405">
        <f t="shared" si="37"/>
        <v>0.15708345237729013</v>
      </c>
      <c r="V85" s="405">
        <f t="shared" si="37"/>
        <v>0.15900670984158435</v>
      </c>
      <c r="W85" s="405">
        <f t="shared" si="37"/>
        <v>0.16095355686856058</v>
      </c>
      <c r="X85" s="405">
        <f t="shared" si="37"/>
        <v>0.16292428288421318</v>
      </c>
      <c r="Y85" s="405">
        <f t="shared" si="37"/>
        <v>0.16491918086601171</v>
      </c>
      <c r="Z85" s="405">
        <f t="shared" si="37"/>
        <v>0.16693854738646555</v>
      </c>
      <c r="AA85" s="405">
        <f t="shared" si="37"/>
        <v>0.16898268265722427</v>
      </c>
      <c r="AB85" s="405">
        <f t="shared" si="37"/>
        <v>0.1710518905737195</v>
      </c>
      <c r="AC85" s="405">
        <f t="shared" si="37"/>
        <v>0.17314647876035344</v>
      </c>
      <c r="AD85" s="405">
        <f t="shared" si="37"/>
        <v>0.17526675861624447</v>
      </c>
      <c r="AE85" s="405">
        <f t="shared" si="37"/>
        <v>0.17741304536153166</v>
      </c>
      <c r="AF85" s="405">
        <f t="shared" si="37"/>
        <v>0.1795856580842497</v>
      </c>
      <c r="AG85" s="405">
        <f t="shared" si="37"/>
        <v>0.18178491978777808</v>
      </c>
      <c r="AH85" s="405">
        <f t="shared" si="37"/>
        <v>0.18401115743887347</v>
      </c>
      <c r="AI85" s="405">
        <f t="shared" si="37"/>
        <v>0.18626470201629097</v>
      </c>
      <c r="AJ85" s="405">
        <f t="shared" si="37"/>
        <v>0.18854588856000287</v>
      </c>
      <c r="AK85" s="405">
        <f t="shared" si="37"/>
        <v>0.19085505622102078</v>
      </c>
      <c r="AL85" s="405">
        <f t="shared" si="37"/>
        <v>0.19319254831182989</v>
      </c>
    </row>
    <row r="86" spans="2:38" ht="13">
      <c r="B86" s="400" t="s">
        <v>650</v>
      </c>
      <c r="C86" s="404"/>
      <c r="D86" s="405">
        <f t="shared" ref="D86:AL86" si="38">D$85*D$126</f>
        <v>1.4437488394637658E-3</v>
      </c>
      <c r="E86" s="405">
        <f t="shared" si="38"/>
        <v>1.4627391676381529E-3</v>
      </c>
      <c r="F86" s="405">
        <f t="shared" si="38"/>
        <v>1.4819819312017284E-3</v>
      </c>
      <c r="G86" s="405">
        <f t="shared" si="38"/>
        <v>1.5014804984063198E-3</v>
      </c>
      <c r="H86" s="1240">
        <f t="shared" si="38"/>
        <v>1.6856561223129866E-3</v>
      </c>
      <c r="I86" s="405">
        <f t="shared" si="38"/>
        <v>1.7078634433369485E-3</v>
      </c>
      <c r="J86" s="405">
        <f t="shared" si="38"/>
        <v>1.7303661073605483E-3</v>
      </c>
      <c r="K86" s="405">
        <f t="shared" si="38"/>
        <v>1.7531680554079686E-3</v>
      </c>
      <c r="L86" s="405">
        <f t="shared" si="38"/>
        <v>1.7762732811091176E-3</v>
      </c>
      <c r="M86" s="405">
        <f t="shared" si="38"/>
        <v>1.7996858314014274E-3</v>
      </c>
      <c r="N86" s="405">
        <f t="shared" si="38"/>
        <v>1.823409807241003E-3</v>
      </c>
      <c r="O86" s="405">
        <f t="shared" si="38"/>
        <v>1.8474493643232854E-3</v>
      </c>
      <c r="P86" s="405">
        <f t="shared" si="38"/>
        <v>1.8718087138133261E-3</v>
      </c>
      <c r="Q86" s="405">
        <f t="shared" si="38"/>
        <v>1.8964921230858194E-3</v>
      </c>
      <c r="R86" s="405">
        <f t="shared" si="38"/>
        <v>1.9215039164750126E-3</v>
      </c>
      <c r="S86" s="405">
        <f t="shared" si="38"/>
        <v>1.9468484760346348E-3</v>
      </c>
      <c r="T86" s="405">
        <f t="shared" si="38"/>
        <v>1.972530242307959E-3</v>
      </c>
      <c r="U86" s="405">
        <f t="shared" si="38"/>
        <v>1.998553715108166E-3</v>
      </c>
      <c r="V86" s="405">
        <f t="shared" si="38"/>
        <v>2.0249234543091069E-3</v>
      </c>
      <c r="W86" s="405">
        <f t="shared" si="38"/>
        <v>2.0516440806466387E-3</v>
      </c>
      <c r="X86" s="405">
        <f t="shared" si="38"/>
        <v>2.0787202765306509E-3</v>
      </c>
      <c r="Y86" s="405">
        <f t="shared" si="38"/>
        <v>2.1061567868679346E-3</v>
      </c>
      <c r="Z86" s="405">
        <f t="shared" si="38"/>
        <v>2.1339584198960411E-3</v>
      </c>
      <c r="AA86" s="405">
        <f t="shared" si="38"/>
        <v>2.1621300480282597E-3</v>
      </c>
      <c r="AB86" s="405">
        <f t="shared" si="38"/>
        <v>2.1906766087099049E-3</v>
      </c>
      <c r="AC86" s="405">
        <f t="shared" si="38"/>
        <v>2.2196031052859923E-3</v>
      </c>
      <c r="AD86" s="405">
        <f t="shared" si="38"/>
        <v>2.2489146078805478E-3</v>
      </c>
      <c r="AE86" s="405">
        <f t="shared" si="38"/>
        <v>2.2786162542876077E-3</v>
      </c>
      <c r="AF86" s="405">
        <f t="shared" si="38"/>
        <v>2.3087132508741487E-3</v>
      </c>
      <c r="AG86" s="405">
        <f t="shared" si="38"/>
        <v>2.3392108734950497E-3</v>
      </c>
      <c r="AH86" s="405">
        <f t="shared" si="38"/>
        <v>2.3701144684202795E-3</v>
      </c>
      <c r="AI86" s="405">
        <f t="shared" si="38"/>
        <v>2.4014294532744571E-3</v>
      </c>
      <c r="AJ86" s="405">
        <f t="shared" si="38"/>
        <v>2.4331613179889534E-3</v>
      </c>
      <c r="AK86" s="405">
        <f t="shared" si="38"/>
        <v>2.4653156257667041E-3</v>
      </c>
      <c r="AL86" s="405">
        <f t="shared" si="38"/>
        <v>2.4978980140598975E-3</v>
      </c>
    </row>
    <row r="87" spans="2:38" ht="13">
      <c r="B87" s="400" t="s">
        <v>651</v>
      </c>
      <c r="C87" s="404"/>
      <c r="D87" s="405">
        <f t="shared" ref="D87:AL87" si="39">D$85*D$135</f>
        <v>2.0414663771281944E-2</v>
      </c>
      <c r="E87" s="405">
        <f t="shared" si="39"/>
        <v>2.0663981402425154E-2</v>
      </c>
      <c r="F87" s="405">
        <f t="shared" si="39"/>
        <v>2.0916352435270624E-2</v>
      </c>
      <c r="G87" s="405">
        <f t="shared" si="39"/>
        <v>2.1171814282768455E-2</v>
      </c>
      <c r="H87" s="1240">
        <f t="shared" si="39"/>
        <v>2.3746636867292958E-2</v>
      </c>
      <c r="I87" s="405">
        <f t="shared" si="39"/>
        <v>2.4037009561116686E-2</v>
      </c>
      <c r="J87" s="405">
        <f t="shared" si="39"/>
        <v>2.4330939495625627E-2</v>
      </c>
      <c r="K87" s="405">
        <f t="shared" si="39"/>
        <v>2.4628470257348462E-2</v>
      </c>
      <c r="L87" s="405">
        <f t="shared" si="39"/>
        <v>2.4929645966929384E-2</v>
      </c>
      <c r="M87" s="405">
        <f t="shared" si="39"/>
        <v>2.5234511285668872E-2</v>
      </c>
      <c r="N87" s="405">
        <f t="shared" si="39"/>
        <v>2.5543111422144386E-2</v>
      </c>
      <c r="O87" s="405">
        <f t="shared" si="39"/>
        <v>2.5855492138912476E-2</v>
      </c>
      <c r="P87" s="405">
        <f t="shared" si="39"/>
        <v>2.6171699759292923E-2</v>
      </c>
      <c r="Q87" s="405">
        <f t="shared" si="39"/>
        <v>2.6491781174236072E-2</v>
      </c>
      <c r="R87" s="405">
        <f t="shared" si="39"/>
        <v>2.6815783849274376E-2</v>
      </c>
      <c r="S87" s="405">
        <f t="shared" si="39"/>
        <v>2.7143755831559178E-2</v>
      </c>
      <c r="T87" s="405">
        <f t="shared" si="39"/>
        <v>2.7475745756983576E-2</v>
      </c>
      <c r="U87" s="405">
        <f t="shared" si="39"/>
        <v>2.7811802857392907E-2</v>
      </c>
      <c r="V87" s="405">
        <f t="shared" si="39"/>
        <v>2.8151976967883314E-2</v>
      </c>
      <c r="W87" s="405">
        <f t="shared" si="39"/>
        <v>2.8496318534189932E-2</v>
      </c>
      <c r="X87" s="405">
        <f t="shared" si="39"/>
        <v>2.8844878620165559E-2</v>
      </c>
      <c r="Y87" s="405">
        <f t="shared" si="39"/>
        <v>2.9197708915351093E-2</v>
      </c>
      <c r="Z87" s="405">
        <f t="shared" si="39"/>
        <v>2.955486174263857E-2</v>
      </c>
      <c r="AA87" s="405">
        <f t="shared" si="39"/>
        <v>2.9916390066028267E-2</v>
      </c>
      <c r="AB87" s="405">
        <f t="shared" si="39"/>
        <v>3.028234749848089E-2</v>
      </c>
      <c r="AC87" s="405">
        <f t="shared" si="39"/>
        <v>3.0652788309865755E-2</v>
      </c>
      <c r="AD87" s="405">
        <f t="shared" si="39"/>
        <v>3.1027767435006775E-2</v>
      </c>
      <c r="AE87" s="405">
        <f t="shared" si="39"/>
        <v>3.1407340481826612E-2</v>
      </c>
      <c r="AF87" s="405">
        <f t="shared" si="39"/>
        <v>3.1791563739590932E-2</v>
      </c>
      <c r="AG87" s="405">
        <f t="shared" si="39"/>
        <v>3.218049418725355E-2</v>
      </c>
      <c r="AH87" s="405">
        <f t="shared" si="39"/>
        <v>3.2574189501903897E-2</v>
      </c>
      <c r="AI87" s="405">
        <f t="shared" si="39"/>
        <v>3.2972708067317946E-2</v>
      </c>
      <c r="AJ87" s="405">
        <f t="shared" si="39"/>
        <v>3.3376108982613971E-2</v>
      </c>
      <c r="AK87" s="405">
        <f t="shared" si="39"/>
        <v>3.3784452071014298E-2</v>
      </c>
      <c r="AL87" s="405">
        <f t="shared" si="39"/>
        <v>3.4197797888714444E-2</v>
      </c>
    </row>
    <row r="88" spans="2:38">
      <c r="H88" s="1228"/>
    </row>
    <row r="89" spans="2:38" ht="13">
      <c r="B89" s="364" t="s">
        <v>652</v>
      </c>
      <c r="H89" s="1228"/>
    </row>
    <row r="90" spans="2:38" ht="13">
      <c r="B90" s="407" t="s">
        <v>615</v>
      </c>
      <c r="C90" s="396" t="s">
        <v>627</v>
      </c>
      <c r="D90" s="440">
        <f>D$1</f>
        <v>2021</v>
      </c>
      <c r="E90" s="440">
        <f t="shared" ref="E90:AL90" si="40">E$1</f>
        <v>2022</v>
      </c>
      <c r="F90" s="440">
        <f t="shared" si="40"/>
        <v>2023</v>
      </c>
      <c r="G90" s="440">
        <f t="shared" si="40"/>
        <v>2024</v>
      </c>
      <c r="H90" s="440">
        <f t="shared" si="40"/>
        <v>2025</v>
      </c>
      <c r="I90" s="440">
        <f t="shared" si="40"/>
        <v>2026</v>
      </c>
      <c r="J90" s="440">
        <f t="shared" si="40"/>
        <v>2027</v>
      </c>
      <c r="K90" s="440">
        <f t="shared" si="40"/>
        <v>2028</v>
      </c>
      <c r="L90" s="440">
        <f t="shared" si="40"/>
        <v>2029</v>
      </c>
      <c r="M90" s="440">
        <f t="shared" si="40"/>
        <v>2030</v>
      </c>
      <c r="N90" s="440">
        <f t="shared" si="40"/>
        <v>2031</v>
      </c>
      <c r="O90" s="440">
        <f t="shared" si="40"/>
        <v>2032</v>
      </c>
      <c r="P90" s="440">
        <f t="shared" si="40"/>
        <v>2033</v>
      </c>
      <c r="Q90" s="440">
        <f t="shared" si="40"/>
        <v>2034</v>
      </c>
      <c r="R90" s="440">
        <f t="shared" si="40"/>
        <v>2035</v>
      </c>
      <c r="S90" s="440">
        <f t="shared" si="40"/>
        <v>2036</v>
      </c>
      <c r="T90" s="440">
        <f t="shared" si="40"/>
        <v>2037</v>
      </c>
      <c r="U90" s="440">
        <f t="shared" si="40"/>
        <v>2038</v>
      </c>
      <c r="V90" s="440">
        <f t="shared" si="40"/>
        <v>2039</v>
      </c>
      <c r="W90" s="440">
        <f t="shared" si="40"/>
        <v>2040</v>
      </c>
      <c r="X90" s="440">
        <f t="shared" si="40"/>
        <v>2041</v>
      </c>
      <c r="Y90" s="440">
        <f t="shared" si="40"/>
        <v>2042</v>
      </c>
      <c r="Z90" s="440">
        <f t="shared" si="40"/>
        <v>2043</v>
      </c>
      <c r="AA90" s="440">
        <f t="shared" si="40"/>
        <v>2044</v>
      </c>
      <c r="AB90" s="440">
        <f t="shared" si="40"/>
        <v>2045</v>
      </c>
      <c r="AC90" s="440">
        <f t="shared" si="40"/>
        <v>2046</v>
      </c>
      <c r="AD90" s="440">
        <f t="shared" si="40"/>
        <v>2047</v>
      </c>
      <c r="AE90" s="440">
        <f t="shared" si="40"/>
        <v>2048</v>
      </c>
      <c r="AF90" s="440">
        <f t="shared" si="40"/>
        <v>2049</v>
      </c>
      <c r="AG90" s="440">
        <f t="shared" si="40"/>
        <v>2050</v>
      </c>
      <c r="AH90" s="440">
        <f t="shared" si="40"/>
        <v>2051</v>
      </c>
      <c r="AI90" s="440">
        <f t="shared" si="40"/>
        <v>2052</v>
      </c>
      <c r="AJ90" s="440">
        <f t="shared" si="40"/>
        <v>2053</v>
      </c>
      <c r="AK90" s="440">
        <f t="shared" si="40"/>
        <v>2054</v>
      </c>
      <c r="AL90" s="440">
        <f t="shared" si="40"/>
        <v>2055</v>
      </c>
    </row>
    <row r="91" spans="2:38" ht="13">
      <c r="B91" s="364" t="s">
        <v>624</v>
      </c>
      <c r="C91" s="408"/>
      <c r="D91" s="358"/>
      <c r="E91" s="409"/>
      <c r="F91" s="410"/>
      <c r="G91" s="410"/>
      <c r="H91" s="1234"/>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row>
    <row r="92" spans="2:38">
      <c r="B92" s="411" t="s">
        <v>653</v>
      </c>
      <c r="C92" s="412" t="s">
        <v>654</v>
      </c>
      <c r="D92" s="413">
        <f>((D$77*D$78+0.2)/0.2)^(0.3334)</f>
        <v>32.882813403116188</v>
      </c>
      <c r="E92" s="413">
        <f t="shared" ref="E92:AL92" si="41">((E$77*E$78+0.2)/0.2)^(0.3334)</f>
        <v>33.320020713832122</v>
      </c>
      <c r="F92" s="413">
        <f t="shared" si="41"/>
        <v>33.763041577367979</v>
      </c>
      <c r="G92" s="413">
        <f t="shared" si="41"/>
        <v>34.211953284155797</v>
      </c>
      <c r="H92" s="413">
        <f t="shared" si="41"/>
        <v>38.156443397347012</v>
      </c>
      <c r="I92" s="413">
        <f t="shared" si="41"/>
        <v>38.663773558363161</v>
      </c>
      <c r="J92" s="413">
        <f t="shared" si="41"/>
        <v>39.177849564518397</v>
      </c>
      <c r="K92" s="413">
        <f t="shared" si="41"/>
        <v>39.698761104400198</v>
      </c>
      <c r="L92" s="413">
        <f t="shared" si="41"/>
        <v>40.226599059281483</v>
      </c>
      <c r="M92" s="413">
        <f t="shared" si="41"/>
        <v>40.761455518974863</v>
      </c>
      <c r="N92" s="413">
        <f t="shared" si="41"/>
        <v>41.303423797897587</v>
      </c>
      <c r="O92" s="413">
        <f t="shared" si="41"/>
        <v>41.852598451350346</v>
      </c>
      <c r="P92" s="413">
        <f t="shared" si="41"/>
        <v>42.409075292012602</v>
      </c>
      <c r="Q92" s="413">
        <f t="shared" si="41"/>
        <v>42.972951406657153</v>
      </c>
      <c r="R92" s="413">
        <f t="shared" si="41"/>
        <v>43.544325173087408</v>
      </c>
      <c r="S92" s="413">
        <f t="shared" si="41"/>
        <v>44.123296277299637</v>
      </c>
      <c r="T92" s="413">
        <f t="shared" si="41"/>
        <v>44.709965730873627</v>
      </c>
      <c r="U92" s="413">
        <f t="shared" si="41"/>
        <v>45.304435888594611</v>
      </c>
      <c r="V92" s="413">
        <f t="shared" si="41"/>
        <v>45.906810466309778</v>
      </c>
      <c r="W92" s="413">
        <f t="shared" si="41"/>
        <v>46.517194559021995</v>
      </c>
      <c r="X92" s="413">
        <f t="shared" si="41"/>
        <v>47.135694659224384</v>
      </c>
      <c r="Y92" s="413">
        <f t="shared" si="41"/>
        <v>47.762418675478806</v>
      </c>
      <c r="Z92" s="413">
        <f t="shared" si="41"/>
        <v>48.397475951241319</v>
      </c>
      <c r="AA92" s="413">
        <f t="shared" si="41"/>
        <v>49.04097728393797</v>
      </c>
      <c r="AB92" s="413">
        <f t="shared" si="41"/>
        <v>49.693034944294617</v>
      </c>
      <c r="AC92" s="413">
        <f t="shared" si="41"/>
        <v>50.353762695923315</v>
      </c>
      <c r="AD92" s="413">
        <f t="shared" si="41"/>
        <v>51.023275815169889</v>
      </c>
      <c r="AE92" s="413">
        <f t="shared" si="41"/>
        <v>51.701691111224747</v>
      </c>
      <c r="AF92" s="413">
        <f t="shared" si="41"/>
        <v>52.389126946501705</v>
      </c>
      <c r="AG92" s="413">
        <f t="shared" si="41"/>
        <v>53.085703257287577</v>
      </c>
      <c r="AH92" s="413">
        <f t="shared" si="41"/>
        <v>53.79154157466639</v>
      </c>
      <c r="AI92" s="413">
        <f t="shared" si="41"/>
        <v>54.506765045722133</v>
      </c>
      <c r="AJ92" s="413">
        <f t="shared" si="41"/>
        <v>55.231498455023086</v>
      </c>
      <c r="AK92" s="413">
        <f t="shared" si="41"/>
        <v>55.965868246392176</v>
      </c>
      <c r="AL92" s="413">
        <f t="shared" si="41"/>
        <v>56.710002544966748</v>
      </c>
    </row>
    <row r="93" spans="2:38">
      <c r="B93" s="411" t="s">
        <v>655</v>
      </c>
      <c r="C93" s="412" t="s">
        <v>656</v>
      </c>
      <c r="D93" s="414">
        <f>EXP(0.2094*$D$9)</f>
        <v>1.2329380751384142</v>
      </c>
      <c r="E93" s="414">
        <f t="shared" ref="E93:AL93" si="42">EXP(0.2094*$D$9)</f>
        <v>1.2329380751384142</v>
      </c>
      <c r="F93" s="414">
        <f t="shared" si="42"/>
        <v>1.2329380751384142</v>
      </c>
      <c r="G93" s="414">
        <f t="shared" si="42"/>
        <v>1.2329380751384142</v>
      </c>
      <c r="H93" s="414">
        <f t="shared" si="42"/>
        <v>1.2329380751384142</v>
      </c>
      <c r="I93" s="414">
        <f t="shared" si="42"/>
        <v>1.2329380751384142</v>
      </c>
      <c r="J93" s="414">
        <f t="shared" si="42"/>
        <v>1.2329380751384142</v>
      </c>
      <c r="K93" s="414">
        <f t="shared" si="42"/>
        <v>1.2329380751384142</v>
      </c>
      <c r="L93" s="414">
        <f t="shared" si="42"/>
        <v>1.2329380751384142</v>
      </c>
      <c r="M93" s="414">
        <f t="shared" si="42"/>
        <v>1.2329380751384142</v>
      </c>
      <c r="N93" s="414">
        <f t="shared" si="42"/>
        <v>1.2329380751384142</v>
      </c>
      <c r="O93" s="414">
        <f t="shared" si="42"/>
        <v>1.2329380751384142</v>
      </c>
      <c r="P93" s="414">
        <f t="shared" si="42"/>
        <v>1.2329380751384142</v>
      </c>
      <c r="Q93" s="414">
        <f t="shared" si="42"/>
        <v>1.2329380751384142</v>
      </c>
      <c r="R93" s="414">
        <f t="shared" si="42"/>
        <v>1.2329380751384142</v>
      </c>
      <c r="S93" s="414">
        <f t="shared" si="42"/>
        <v>1.2329380751384142</v>
      </c>
      <c r="T93" s="414">
        <f t="shared" si="42"/>
        <v>1.2329380751384142</v>
      </c>
      <c r="U93" s="414">
        <f t="shared" si="42"/>
        <v>1.2329380751384142</v>
      </c>
      <c r="V93" s="414">
        <f t="shared" si="42"/>
        <v>1.2329380751384142</v>
      </c>
      <c r="W93" s="414">
        <f t="shared" si="42"/>
        <v>1.2329380751384142</v>
      </c>
      <c r="X93" s="414">
        <f t="shared" si="42"/>
        <v>1.2329380751384142</v>
      </c>
      <c r="Y93" s="414">
        <f t="shared" si="42"/>
        <v>1.2329380751384142</v>
      </c>
      <c r="Z93" s="414">
        <f t="shared" si="42"/>
        <v>1.2329380751384142</v>
      </c>
      <c r="AA93" s="414">
        <f t="shared" si="42"/>
        <v>1.2329380751384142</v>
      </c>
      <c r="AB93" s="414">
        <f t="shared" si="42"/>
        <v>1.2329380751384142</v>
      </c>
      <c r="AC93" s="414">
        <f t="shared" si="42"/>
        <v>1.2329380751384142</v>
      </c>
      <c r="AD93" s="414">
        <f t="shared" si="42"/>
        <v>1.2329380751384142</v>
      </c>
      <c r="AE93" s="414">
        <f t="shared" si="42"/>
        <v>1.2329380751384142</v>
      </c>
      <c r="AF93" s="414">
        <f t="shared" si="42"/>
        <v>1.2329380751384142</v>
      </c>
      <c r="AG93" s="414">
        <f t="shared" si="42"/>
        <v>1.2329380751384142</v>
      </c>
      <c r="AH93" s="414">
        <f t="shared" si="42"/>
        <v>1.2329380751384142</v>
      </c>
      <c r="AI93" s="414">
        <f t="shared" si="42"/>
        <v>1.2329380751384142</v>
      </c>
      <c r="AJ93" s="414">
        <f t="shared" si="42"/>
        <v>1.2329380751384142</v>
      </c>
      <c r="AK93" s="414">
        <f t="shared" si="42"/>
        <v>1.2329380751384142</v>
      </c>
      <c r="AL93" s="414">
        <f t="shared" si="42"/>
        <v>1.2329380751384142</v>
      </c>
    </row>
    <row r="94" spans="2:38">
      <c r="B94" s="411" t="s">
        <v>657</v>
      </c>
      <c r="C94" s="416" t="s">
        <v>658</v>
      </c>
      <c r="D94" s="417">
        <f>((D$80+0.2)/0.2)^(0.1336)</f>
        <v>1.3793892627846567</v>
      </c>
      <c r="E94" s="417">
        <f t="shared" ref="E94:AL94" si="43">((E$80+0.2)/0.2)^(0.1336)</f>
        <v>1.3811604976010341</v>
      </c>
      <c r="F94" s="417">
        <f t="shared" si="43"/>
        <v>1.3829356773787482</v>
      </c>
      <c r="G94" s="417">
        <f t="shared" si="43"/>
        <v>1.3847147970270854</v>
      </c>
      <c r="H94" s="417">
        <f t="shared" si="43"/>
        <v>1.4579566272457978</v>
      </c>
      <c r="I94" s="417">
        <f t="shared" si="43"/>
        <v>1.4598913548546146</v>
      </c>
      <c r="J94" s="417">
        <f t="shared" si="43"/>
        <v>1.4618298547819031</v>
      </c>
      <c r="K94" s="417">
        <f t="shared" si="43"/>
        <v>1.4637721240491282</v>
      </c>
      <c r="L94" s="417">
        <f t="shared" si="43"/>
        <v>1.4657181597278657</v>
      </c>
      <c r="M94" s="417">
        <f t="shared" si="43"/>
        <v>1.4676679589397352</v>
      </c>
      <c r="N94" s="417">
        <f t="shared" si="43"/>
        <v>1.4696215188563289</v>
      </c>
      <c r="O94" s="417">
        <f t="shared" si="43"/>
        <v>1.4715788366991369</v>
      </c>
      <c r="P94" s="417">
        <f t="shared" si="43"/>
        <v>1.4735399097394672</v>
      </c>
      <c r="Q94" s="417">
        <f t="shared" si="43"/>
        <v>1.475504735298363</v>
      </c>
      <c r="R94" s="417">
        <f t="shared" si="43"/>
        <v>1.4774733107465152</v>
      </c>
      <c r="S94" s="417">
        <f t="shared" si="43"/>
        <v>1.4794456335041717</v>
      </c>
      <c r="T94" s="417">
        <f t="shared" si="43"/>
        <v>1.481421701041042</v>
      </c>
      <c r="U94" s="417">
        <f t="shared" si="43"/>
        <v>1.4834015108761993</v>
      </c>
      <c r="V94" s="417">
        <f t="shared" si="43"/>
        <v>1.4853850605779795</v>
      </c>
      <c r="W94" s="417">
        <f t="shared" si="43"/>
        <v>1.4873723477638745</v>
      </c>
      <c r="X94" s="417">
        <f t="shared" si="43"/>
        <v>1.4893633701004245</v>
      </c>
      <c r="Y94" s="417">
        <f t="shared" si="43"/>
        <v>1.4913581253031054</v>
      </c>
      <c r="Z94" s="417">
        <f t="shared" si="43"/>
        <v>1.4933566111362149</v>
      </c>
      <c r="AA94" s="417">
        <f t="shared" si="43"/>
        <v>1.4953588254127532</v>
      </c>
      <c r="AB94" s="417">
        <f t="shared" si="43"/>
        <v>1.4973647659943026</v>
      </c>
      <c r="AC94" s="417">
        <f t="shared" si="43"/>
        <v>1.4993744307909029</v>
      </c>
      <c r="AD94" s="417">
        <f t="shared" si="43"/>
        <v>1.5013878177609252</v>
      </c>
      <c r="AE94" s="417">
        <f t="shared" si="43"/>
        <v>1.5034049249109414</v>
      </c>
      <c r="AF94" s="417">
        <f t="shared" si="43"/>
        <v>1.5054257502955928</v>
      </c>
      <c r="AG94" s="417">
        <f t="shared" si="43"/>
        <v>1.5074502920174546</v>
      </c>
      <c r="AH94" s="417">
        <f t="shared" si="43"/>
        <v>1.5094785482268982</v>
      </c>
      <c r="AI94" s="417">
        <f t="shared" si="43"/>
        <v>1.5115105171219521</v>
      </c>
      <c r="AJ94" s="417">
        <f t="shared" si="43"/>
        <v>1.5135461969481585</v>
      </c>
      <c r="AK94" s="417">
        <f t="shared" si="43"/>
        <v>1.5155855859984304</v>
      </c>
      <c r="AL94" s="417">
        <f t="shared" si="43"/>
        <v>1.5176286826129031</v>
      </c>
    </row>
    <row r="95" spans="2:38">
      <c r="B95" s="411" t="s">
        <v>659</v>
      </c>
      <c r="C95" s="412" t="s">
        <v>660</v>
      </c>
      <c r="D95" s="414">
        <f>EXP(-0.616*($E$7-1))</f>
        <v>1</v>
      </c>
      <c r="E95" s="414">
        <f t="shared" ref="E95:AL95" si="44">EXP(-0.616*($E$7-1))</f>
        <v>1</v>
      </c>
      <c r="F95" s="414">
        <f t="shared" si="44"/>
        <v>1</v>
      </c>
      <c r="G95" s="414">
        <f t="shared" si="44"/>
        <v>1</v>
      </c>
      <c r="H95" s="414">
        <f t="shared" si="44"/>
        <v>1</v>
      </c>
      <c r="I95" s="414">
        <f t="shared" si="44"/>
        <v>1</v>
      </c>
      <c r="J95" s="414">
        <f t="shared" si="44"/>
        <v>1</v>
      </c>
      <c r="K95" s="414">
        <f t="shared" si="44"/>
        <v>1</v>
      </c>
      <c r="L95" s="414">
        <f t="shared" si="44"/>
        <v>1</v>
      </c>
      <c r="M95" s="414">
        <f t="shared" si="44"/>
        <v>1</v>
      </c>
      <c r="N95" s="414">
        <f t="shared" si="44"/>
        <v>1</v>
      </c>
      <c r="O95" s="414">
        <f t="shared" si="44"/>
        <v>1</v>
      </c>
      <c r="P95" s="414">
        <f t="shared" si="44"/>
        <v>1</v>
      </c>
      <c r="Q95" s="414">
        <f t="shared" si="44"/>
        <v>1</v>
      </c>
      <c r="R95" s="414">
        <f t="shared" si="44"/>
        <v>1</v>
      </c>
      <c r="S95" s="414">
        <f t="shared" si="44"/>
        <v>1</v>
      </c>
      <c r="T95" s="414">
        <f t="shared" si="44"/>
        <v>1</v>
      </c>
      <c r="U95" s="414">
        <f t="shared" si="44"/>
        <v>1</v>
      </c>
      <c r="V95" s="414">
        <f t="shared" si="44"/>
        <v>1</v>
      </c>
      <c r="W95" s="414">
        <f t="shared" si="44"/>
        <v>1</v>
      </c>
      <c r="X95" s="414">
        <f t="shared" si="44"/>
        <v>1</v>
      </c>
      <c r="Y95" s="414">
        <f t="shared" si="44"/>
        <v>1</v>
      </c>
      <c r="Z95" s="414">
        <f t="shared" si="44"/>
        <v>1</v>
      </c>
      <c r="AA95" s="414">
        <f t="shared" si="44"/>
        <v>1</v>
      </c>
      <c r="AB95" s="414">
        <f t="shared" si="44"/>
        <v>1</v>
      </c>
      <c r="AC95" s="414">
        <f t="shared" si="44"/>
        <v>1</v>
      </c>
      <c r="AD95" s="414">
        <f t="shared" si="44"/>
        <v>1</v>
      </c>
      <c r="AE95" s="414">
        <f t="shared" si="44"/>
        <v>1</v>
      </c>
      <c r="AF95" s="414">
        <f t="shared" si="44"/>
        <v>1</v>
      </c>
      <c r="AG95" s="414">
        <f t="shared" si="44"/>
        <v>1</v>
      </c>
      <c r="AH95" s="414">
        <f t="shared" si="44"/>
        <v>1</v>
      </c>
      <c r="AI95" s="414">
        <f t="shared" si="44"/>
        <v>1</v>
      </c>
      <c r="AJ95" s="414">
        <f t="shared" si="44"/>
        <v>1</v>
      </c>
      <c r="AK95" s="414">
        <f t="shared" si="44"/>
        <v>1</v>
      </c>
      <c r="AL95" s="414">
        <f t="shared" si="44"/>
        <v>1</v>
      </c>
    </row>
    <row r="96" spans="2:38">
      <c r="B96" s="411" t="s">
        <v>661</v>
      </c>
      <c r="C96" s="412" t="s">
        <v>662</v>
      </c>
      <c r="D96" s="414">
        <f>EXP(0.0077*D$82)</f>
        <v>1.0594501000746941</v>
      </c>
      <c r="E96" s="414">
        <f t="shared" ref="E96:AL96" si="45">EXP(0.0077*E$82)</f>
        <v>1.0594501000746941</v>
      </c>
      <c r="F96" s="414">
        <f t="shared" si="45"/>
        <v>1.0594501000746941</v>
      </c>
      <c r="G96" s="414">
        <f t="shared" si="45"/>
        <v>1.0594501000746941</v>
      </c>
      <c r="H96" s="414">
        <f t="shared" si="45"/>
        <v>1.0594501000746941</v>
      </c>
      <c r="I96" s="414">
        <f t="shared" si="45"/>
        <v>1.0594501000746941</v>
      </c>
      <c r="J96" s="414">
        <f t="shared" si="45"/>
        <v>1.0594501000746941</v>
      </c>
      <c r="K96" s="414">
        <f t="shared" si="45"/>
        <v>1.0594501000746941</v>
      </c>
      <c r="L96" s="414">
        <f t="shared" si="45"/>
        <v>1.0594501000746941</v>
      </c>
      <c r="M96" s="414">
        <f t="shared" si="45"/>
        <v>1.0594501000746941</v>
      </c>
      <c r="N96" s="414">
        <f t="shared" si="45"/>
        <v>1.0594501000746941</v>
      </c>
      <c r="O96" s="414">
        <f t="shared" si="45"/>
        <v>1.0594501000746941</v>
      </c>
      <c r="P96" s="414">
        <f t="shared" si="45"/>
        <v>1.0594501000746941</v>
      </c>
      <c r="Q96" s="414">
        <f t="shared" si="45"/>
        <v>1.0594501000746941</v>
      </c>
      <c r="R96" s="414">
        <f t="shared" si="45"/>
        <v>1.0594501000746941</v>
      </c>
      <c r="S96" s="414">
        <f t="shared" si="45"/>
        <v>1.0594501000746941</v>
      </c>
      <c r="T96" s="414">
        <f t="shared" si="45"/>
        <v>1.0594501000746941</v>
      </c>
      <c r="U96" s="414">
        <f t="shared" si="45"/>
        <v>1.0594501000746941</v>
      </c>
      <c r="V96" s="414">
        <f t="shared" si="45"/>
        <v>1.0594501000746941</v>
      </c>
      <c r="W96" s="414">
        <f t="shared" si="45"/>
        <v>1.0594501000746941</v>
      </c>
      <c r="X96" s="414">
        <f t="shared" si="45"/>
        <v>1.0594501000746941</v>
      </c>
      <c r="Y96" s="414">
        <f t="shared" si="45"/>
        <v>1.0594501000746941</v>
      </c>
      <c r="Z96" s="414">
        <f t="shared" si="45"/>
        <v>1.0594501000746941</v>
      </c>
      <c r="AA96" s="414">
        <f t="shared" si="45"/>
        <v>1.0594501000746941</v>
      </c>
      <c r="AB96" s="414">
        <f t="shared" si="45"/>
        <v>1.0594501000746941</v>
      </c>
      <c r="AC96" s="414">
        <f t="shared" si="45"/>
        <v>1.0594501000746941</v>
      </c>
      <c r="AD96" s="414">
        <f t="shared" si="45"/>
        <v>1.0594501000746941</v>
      </c>
      <c r="AE96" s="414">
        <f t="shared" si="45"/>
        <v>1.0594501000746941</v>
      </c>
      <c r="AF96" s="414">
        <f t="shared" si="45"/>
        <v>1.0594501000746941</v>
      </c>
      <c r="AG96" s="414">
        <f t="shared" si="45"/>
        <v>1.0594501000746941</v>
      </c>
      <c r="AH96" s="414">
        <f t="shared" si="45"/>
        <v>1.0594501000746941</v>
      </c>
      <c r="AI96" s="414">
        <f t="shared" si="45"/>
        <v>1.0594501000746941</v>
      </c>
      <c r="AJ96" s="414">
        <f t="shared" si="45"/>
        <v>1.0594501000746941</v>
      </c>
      <c r="AK96" s="414">
        <f t="shared" si="45"/>
        <v>1.0594501000746941</v>
      </c>
      <c r="AL96" s="414">
        <f t="shared" si="45"/>
        <v>1.0594501000746941</v>
      </c>
    </row>
    <row r="97" spans="1:38">
      <c r="B97" s="411" t="s">
        <v>663</v>
      </c>
      <c r="C97" s="412" t="s">
        <v>664</v>
      </c>
      <c r="D97" s="414">
        <f>EXP(-0.1*($E$8-1))</f>
        <v>0.60653065971263342</v>
      </c>
      <c r="E97" s="414">
        <f t="shared" ref="E97:AL97" si="46">EXP(-0.1*($E$8-1))</f>
        <v>0.60653065971263342</v>
      </c>
      <c r="F97" s="414">
        <f t="shared" si="46"/>
        <v>0.60653065971263342</v>
      </c>
      <c r="G97" s="414">
        <f t="shared" si="46"/>
        <v>0.60653065971263342</v>
      </c>
      <c r="H97" s="414">
        <f t="shared" si="46"/>
        <v>0.60653065971263342</v>
      </c>
      <c r="I97" s="414">
        <f t="shared" si="46"/>
        <v>0.60653065971263342</v>
      </c>
      <c r="J97" s="414">
        <f t="shared" si="46"/>
        <v>0.60653065971263342</v>
      </c>
      <c r="K97" s="414">
        <f t="shared" si="46"/>
        <v>0.60653065971263342</v>
      </c>
      <c r="L97" s="414">
        <f t="shared" si="46"/>
        <v>0.60653065971263342</v>
      </c>
      <c r="M97" s="414">
        <f t="shared" si="46"/>
        <v>0.60653065971263342</v>
      </c>
      <c r="N97" s="414">
        <f t="shared" si="46"/>
        <v>0.60653065971263342</v>
      </c>
      <c r="O97" s="414">
        <f t="shared" si="46"/>
        <v>0.60653065971263342</v>
      </c>
      <c r="P97" s="414">
        <f t="shared" si="46"/>
        <v>0.60653065971263342</v>
      </c>
      <c r="Q97" s="414">
        <f t="shared" si="46"/>
        <v>0.60653065971263342</v>
      </c>
      <c r="R97" s="414">
        <f t="shared" si="46"/>
        <v>0.60653065971263342</v>
      </c>
      <c r="S97" s="414">
        <f t="shared" si="46"/>
        <v>0.60653065971263342</v>
      </c>
      <c r="T97" s="414">
        <f t="shared" si="46"/>
        <v>0.60653065971263342</v>
      </c>
      <c r="U97" s="414">
        <f t="shared" si="46"/>
        <v>0.60653065971263342</v>
      </c>
      <c r="V97" s="414">
        <f t="shared" si="46"/>
        <v>0.60653065971263342</v>
      </c>
      <c r="W97" s="414">
        <f t="shared" si="46"/>
        <v>0.60653065971263342</v>
      </c>
      <c r="X97" s="414">
        <f t="shared" si="46"/>
        <v>0.60653065971263342</v>
      </c>
      <c r="Y97" s="414">
        <f t="shared" si="46"/>
        <v>0.60653065971263342</v>
      </c>
      <c r="Z97" s="414">
        <f t="shared" si="46"/>
        <v>0.60653065971263342</v>
      </c>
      <c r="AA97" s="414">
        <f t="shared" si="46"/>
        <v>0.60653065971263342</v>
      </c>
      <c r="AB97" s="414">
        <f t="shared" si="46"/>
        <v>0.60653065971263342</v>
      </c>
      <c r="AC97" s="414">
        <f t="shared" si="46"/>
        <v>0.60653065971263342</v>
      </c>
      <c r="AD97" s="414">
        <f t="shared" si="46"/>
        <v>0.60653065971263342</v>
      </c>
      <c r="AE97" s="414">
        <f t="shared" si="46"/>
        <v>0.60653065971263342</v>
      </c>
      <c r="AF97" s="414">
        <f t="shared" si="46"/>
        <v>0.60653065971263342</v>
      </c>
      <c r="AG97" s="414">
        <f t="shared" si="46"/>
        <v>0.60653065971263342</v>
      </c>
      <c r="AH97" s="414">
        <f t="shared" si="46"/>
        <v>0.60653065971263342</v>
      </c>
      <c r="AI97" s="414">
        <f t="shared" si="46"/>
        <v>0.60653065971263342</v>
      </c>
      <c r="AJ97" s="414">
        <f t="shared" si="46"/>
        <v>0.60653065971263342</v>
      </c>
      <c r="AK97" s="414">
        <f t="shared" si="46"/>
        <v>0.60653065971263342</v>
      </c>
      <c r="AL97" s="414">
        <f t="shared" si="46"/>
        <v>0.60653065971263342</v>
      </c>
    </row>
    <row r="98" spans="1:38">
      <c r="B98" s="411" t="s">
        <v>665</v>
      </c>
      <c r="C98" s="412" t="s">
        <v>666</v>
      </c>
      <c r="D98" s="414">
        <v>1</v>
      </c>
      <c r="E98" s="414">
        <v>1</v>
      </c>
      <c r="F98" s="414">
        <v>1</v>
      </c>
      <c r="G98" s="414">
        <v>1</v>
      </c>
      <c r="H98" s="414">
        <v>1</v>
      </c>
      <c r="I98" s="414">
        <v>1</v>
      </c>
      <c r="J98" s="414">
        <v>1</v>
      </c>
      <c r="K98" s="414">
        <v>1</v>
      </c>
      <c r="L98" s="414">
        <v>1</v>
      </c>
      <c r="M98" s="414">
        <v>1</v>
      </c>
      <c r="N98" s="414">
        <v>1</v>
      </c>
      <c r="O98" s="414">
        <v>1</v>
      </c>
      <c r="P98" s="414">
        <v>1</v>
      </c>
      <c r="Q98" s="414">
        <v>1</v>
      </c>
      <c r="R98" s="414">
        <v>1</v>
      </c>
      <c r="S98" s="414">
        <v>1</v>
      </c>
      <c r="T98" s="414">
        <v>1</v>
      </c>
      <c r="U98" s="414">
        <v>1</v>
      </c>
      <c r="V98" s="414">
        <v>1</v>
      </c>
      <c r="W98" s="414">
        <v>1</v>
      </c>
      <c r="X98" s="414">
        <v>1</v>
      </c>
      <c r="Y98" s="414">
        <v>1</v>
      </c>
      <c r="Z98" s="414">
        <v>1</v>
      </c>
      <c r="AA98" s="414">
        <v>1</v>
      </c>
      <c r="AB98" s="414">
        <v>1</v>
      </c>
      <c r="AC98" s="414">
        <v>1</v>
      </c>
      <c r="AD98" s="414">
        <v>1</v>
      </c>
      <c r="AE98" s="414">
        <v>1</v>
      </c>
      <c r="AF98" s="414">
        <v>1</v>
      </c>
      <c r="AG98" s="414">
        <v>1</v>
      </c>
      <c r="AH98" s="414">
        <v>1</v>
      </c>
      <c r="AI98" s="414">
        <v>1</v>
      </c>
      <c r="AJ98" s="414">
        <v>1</v>
      </c>
      <c r="AK98" s="414">
        <v>1</v>
      </c>
      <c r="AL98" s="414">
        <v>1</v>
      </c>
    </row>
    <row r="99" spans="1:38" ht="13">
      <c r="A99" s="421"/>
      <c r="B99" s="418"/>
      <c r="C99" s="419"/>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row>
    <row r="100" spans="1:38" ht="13">
      <c r="A100" s="421"/>
      <c r="B100" s="422" t="s">
        <v>667</v>
      </c>
      <c r="C100" s="408"/>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row>
    <row r="101" spans="1:38">
      <c r="A101" s="421"/>
      <c r="B101" s="411" t="s">
        <v>653</v>
      </c>
      <c r="C101" s="412" t="s">
        <v>654</v>
      </c>
      <c r="D101" s="423">
        <f>((D$77*D$78+0.2)/0.2)^(0.2953)</f>
        <v>22.06043571665862</v>
      </c>
      <c r="E101" s="423">
        <f t="shared" ref="E101:AL101" si="47">((E$77*E$78+0.2)/0.2)^(0.2953)</f>
        <v>22.320034074420253</v>
      </c>
      <c r="F101" s="423">
        <f t="shared" si="47"/>
        <v>22.582687565091277</v>
      </c>
      <c r="G101" s="423">
        <f t="shared" si="47"/>
        <v>22.848432135780094</v>
      </c>
      <c r="H101" s="423">
        <f t="shared" si="47"/>
        <v>25.166963822097976</v>
      </c>
      <c r="I101" s="423">
        <f t="shared" si="47"/>
        <v>25.463121519105556</v>
      </c>
      <c r="J101" s="423">
        <f t="shared" si="47"/>
        <v>25.762764523026384</v>
      </c>
      <c r="K101" s="423">
        <f t="shared" si="47"/>
        <v>26.065933844700037</v>
      </c>
      <c r="L101" s="423">
        <f t="shared" si="47"/>
        <v>26.372670977688507</v>
      </c>
      <c r="M101" s="423">
        <f t="shared" si="47"/>
        <v>26.683017903953957</v>
      </c>
      <c r="N101" s="423">
        <f t="shared" si="47"/>
        <v>26.997017099603092</v>
      </c>
      <c r="O101" s="423">
        <f t="shared" si="47"/>
        <v>27.314711540699456</v>
      </c>
      <c r="P101" s="423">
        <f t="shared" si="47"/>
        <v>27.636144709144073</v>
      </c>
      <c r="Q101" s="423">
        <f t="shared" si="47"/>
        <v>27.961360598625337</v>
      </c>
      <c r="R101" s="423">
        <f t="shared" si="47"/>
        <v>28.290403720639155</v>
      </c>
      <c r="S101" s="423">
        <f t="shared" si="47"/>
        <v>28.623319110579882</v>
      </c>
      <c r="T101" s="423">
        <f t="shared" si="47"/>
        <v>28.960152333902951</v>
      </c>
      <c r="U101" s="423">
        <f t="shared" si="47"/>
        <v>29.300949492360242</v>
      </c>
      <c r="V101" s="423">
        <f t="shared" si="47"/>
        <v>29.64575723030887</v>
      </c>
      <c r="W101" s="423">
        <f t="shared" si="47"/>
        <v>29.994622741094101</v>
      </c>
      <c r="X101" s="423">
        <f t="shared" si="47"/>
        <v>30.347593773507676</v>
      </c>
      <c r="Y101" s="423">
        <f t="shared" si="47"/>
        <v>30.704718638322106</v>
      </c>
      <c r="Z101" s="423">
        <f t="shared" si="47"/>
        <v>31.066046214901849</v>
      </c>
      <c r="AA101" s="423">
        <f t="shared" si="47"/>
        <v>31.431625957892425</v>
      </c>
      <c r="AB101" s="423">
        <f t="shared" si="47"/>
        <v>31.801507903988384</v>
      </c>
      <c r="AC101" s="423">
        <f t="shared" si="47"/>
        <v>32.175742678780679</v>
      </c>
      <c r="AD101" s="423">
        <f t="shared" si="47"/>
        <v>32.554381503685129</v>
      </c>
      <c r="AE101" s="423">
        <f t="shared" si="47"/>
        <v>32.937476202952006</v>
      </c>
      <c r="AF101" s="423">
        <f t="shared" si="47"/>
        <v>33.325079210758453</v>
      </c>
      <c r="AG101" s="423">
        <f t="shared" si="47"/>
        <v>33.717243578384277</v>
      </c>
      <c r="AH101" s="423">
        <f t="shared" si="47"/>
        <v>34.114022981472367</v>
      </c>
      <c r="AI101" s="423">
        <f t="shared" si="47"/>
        <v>34.515471727374425</v>
      </c>
      <c r="AJ101" s="423">
        <f t="shared" si="47"/>
        <v>34.921644762583341</v>
      </c>
      <c r="AK101" s="423">
        <f t="shared" si="47"/>
        <v>35.33259768025296</v>
      </c>
      <c r="AL101" s="423">
        <f t="shared" si="47"/>
        <v>35.748386727806455</v>
      </c>
    </row>
    <row r="102" spans="1:38">
      <c r="A102" s="421"/>
      <c r="B102" s="411" t="s">
        <v>655</v>
      </c>
      <c r="C102" s="412" t="s">
        <v>656</v>
      </c>
      <c r="D102" s="414">
        <f>EXP(0.1088*$D$9)</f>
        <v>1.1149393401731398</v>
      </c>
      <c r="E102" s="414">
        <f t="shared" ref="E102:AL102" si="48">EXP(0.1088*$D$9)</f>
        <v>1.1149393401731398</v>
      </c>
      <c r="F102" s="414">
        <f t="shared" si="48"/>
        <v>1.1149393401731398</v>
      </c>
      <c r="G102" s="414">
        <f t="shared" si="48"/>
        <v>1.1149393401731398</v>
      </c>
      <c r="H102" s="414">
        <f t="shared" si="48"/>
        <v>1.1149393401731398</v>
      </c>
      <c r="I102" s="414">
        <f t="shared" si="48"/>
        <v>1.1149393401731398</v>
      </c>
      <c r="J102" s="414">
        <f t="shared" si="48"/>
        <v>1.1149393401731398</v>
      </c>
      <c r="K102" s="414">
        <f t="shared" si="48"/>
        <v>1.1149393401731398</v>
      </c>
      <c r="L102" s="414">
        <f t="shared" si="48"/>
        <v>1.1149393401731398</v>
      </c>
      <c r="M102" s="414">
        <f t="shared" si="48"/>
        <v>1.1149393401731398</v>
      </c>
      <c r="N102" s="414">
        <f t="shared" si="48"/>
        <v>1.1149393401731398</v>
      </c>
      <c r="O102" s="414">
        <f t="shared" si="48"/>
        <v>1.1149393401731398</v>
      </c>
      <c r="P102" s="414">
        <f t="shared" si="48"/>
        <v>1.1149393401731398</v>
      </c>
      <c r="Q102" s="414">
        <f t="shared" si="48"/>
        <v>1.1149393401731398</v>
      </c>
      <c r="R102" s="414">
        <f t="shared" si="48"/>
        <v>1.1149393401731398</v>
      </c>
      <c r="S102" s="414">
        <f t="shared" si="48"/>
        <v>1.1149393401731398</v>
      </c>
      <c r="T102" s="414">
        <f t="shared" si="48"/>
        <v>1.1149393401731398</v>
      </c>
      <c r="U102" s="414">
        <f t="shared" si="48"/>
        <v>1.1149393401731398</v>
      </c>
      <c r="V102" s="414">
        <f t="shared" si="48"/>
        <v>1.1149393401731398</v>
      </c>
      <c r="W102" s="414">
        <f t="shared" si="48"/>
        <v>1.1149393401731398</v>
      </c>
      <c r="X102" s="414">
        <f t="shared" si="48"/>
        <v>1.1149393401731398</v>
      </c>
      <c r="Y102" s="414">
        <f t="shared" si="48"/>
        <v>1.1149393401731398</v>
      </c>
      <c r="Z102" s="414">
        <f t="shared" si="48"/>
        <v>1.1149393401731398</v>
      </c>
      <c r="AA102" s="414">
        <f t="shared" si="48"/>
        <v>1.1149393401731398</v>
      </c>
      <c r="AB102" s="414">
        <f t="shared" si="48"/>
        <v>1.1149393401731398</v>
      </c>
      <c r="AC102" s="414">
        <f t="shared" si="48"/>
        <v>1.1149393401731398</v>
      </c>
      <c r="AD102" s="414">
        <f t="shared" si="48"/>
        <v>1.1149393401731398</v>
      </c>
      <c r="AE102" s="414">
        <f t="shared" si="48"/>
        <v>1.1149393401731398</v>
      </c>
      <c r="AF102" s="414">
        <f t="shared" si="48"/>
        <v>1.1149393401731398</v>
      </c>
      <c r="AG102" s="414">
        <f t="shared" si="48"/>
        <v>1.1149393401731398</v>
      </c>
      <c r="AH102" s="414">
        <f t="shared" si="48"/>
        <v>1.1149393401731398</v>
      </c>
      <c r="AI102" s="414">
        <f t="shared" si="48"/>
        <v>1.1149393401731398</v>
      </c>
      <c r="AJ102" s="414">
        <f t="shared" si="48"/>
        <v>1.1149393401731398</v>
      </c>
      <c r="AK102" s="414">
        <f t="shared" si="48"/>
        <v>1.1149393401731398</v>
      </c>
      <c r="AL102" s="414">
        <f t="shared" si="48"/>
        <v>1.1149393401731398</v>
      </c>
    </row>
    <row r="103" spans="1:38">
      <c r="A103" s="421"/>
      <c r="B103" s="411" t="s">
        <v>657</v>
      </c>
      <c r="C103" s="416" t="s">
        <v>658</v>
      </c>
      <c r="D103" s="417">
        <f>((D$80+0.2)/0.2)^(0.047)</f>
        <v>1.1198022320808569</v>
      </c>
      <c r="E103" s="417">
        <f t="shared" ref="E103:AL103" si="49">((E$80+0.2)/0.2)^(0.047)</f>
        <v>1.120307872028153</v>
      </c>
      <c r="F103" s="417">
        <f t="shared" si="49"/>
        <v>1.1208142166017745</v>
      </c>
      <c r="G103" s="417">
        <f t="shared" si="49"/>
        <v>1.1213212624333833</v>
      </c>
      <c r="H103" s="417">
        <f t="shared" si="49"/>
        <v>1.1418387135960879</v>
      </c>
      <c r="I103" s="417">
        <f t="shared" si="49"/>
        <v>1.1423715387259614</v>
      </c>
      <c r="J103" s="417">
        <f t="shared" si="49"/>
        <v>1.1429049438973249</v>
      </c>
      <c r="K103" s="417">
        <f t="shared" si="49"/>
        <v>1.143438926616609</v>
      </c>
      <c r="L103" s="417">
        <f t="shared" si="49"/>
        <v>1.1439734844098017</v>
      </c>
      <c r="M103" s="417">
        <f t="shared" si="49"/>
        <v>1.1445086148223753</v>
      </c>
      <c r="N103" s="417">
        <f t="shared" si="49"/>
        <v>1.1450443154192105</v>
      </c>
      <c r="O103" s="417">
        <f t="shared" si="49"/>
        <v>1.1455805837845203</v>
      </c>
      <c r="P103" s="417">
        <f t="shared" si="49"/>
        <v>1.1461174175217719</v>
      </c>
      <c r="Q103" s="417">
        <f t="shared" si="49"/>
        <v>1.146654814253609</v>
      </c>
      <c r="R103" s="417">
        <f t="shared" si="49"/>
        <v>1.1471927716217718</v>
      </c>
      <c r="S103" s="417">
        <f t="shared" si="49"/>
        <v>1.1477312872870153</v>
      </c>
      <c r="T103" s="417">
        <f t="shared" si="49"/>
        <v>1.1482703589290293</v>
      </c>
      <c r="U103" s="417">
        <f t="shared" si="49"/>
        <v>1.1488099842463546</v>
      </c>
      <c r="V103" s="417">
        <f t="shared" si="49"/>
        <v>1.149350160956299</v>
      </c>
      <c r="W103" s="417">
        <f t="shared" si="49"/>
        <v>1.1498908867948547</v>
      </c>
      <c r="X103" s="417">
        <f t="shared" si="49"/>
        <v>1.1504321595166109</v>
      </c>
      <c r="Y103" s="417">
        <f t="shared" si="49"/>
        <v>1.150973976894669</v>
      </c>
      <c r="Z103" s="417">
        <f t="shared" si="49"/>
        <v>1.1515163367205548</v>
      </c>
      <c r="AA103" s="417">
        <f t="shared" si="49"/>
        <v>1.1520592368041316</v>
      </c>
      <c r="AB103" s="417">
        <f t="shared" si="49"/>
        <v>1.1526026749735114</v>
      </c>
      <c r="AC103" s="417">
        <f t="shared" si="49"/>
        <v>1.1531466490749658</v>
      </c>
      <c r="AD103" s="417">
        <f t="shared" si="49"/>
        <v>1.1536911569728363</v>
      </c>
      <c r="AE103" s="417">
        <f t="shared" si="49"/>
        <v>1.1542361965494436</v>
      </c>
      <c r="AF103" s="417">
        <f t="shared" si="49"/>
        <v>1.1547817657049975</v>
      </c>
      <c r="AG103" s="417">
        <f t="shared" si="49"/>
        <v>1.1553278623575041</v>
      </c>
      <c r="AH103" s="417">
        <f t="shared" si="49"/>
        <v>1.155874484442674</v>
      </c>
      <c r="AI103" s="417">
        <f t="shared" si="49"/>
        <v>1.1564216299138308</v>
      </c>
      <c r="AJ103" s="417">
        <f t="shared" si="49"/>
        <v>1.1569692967418161</v>
      </c>
      <c r="AK103" s="417">
        <f t="shared" si="49"/>
        <v>1.1575174829148973</v>
      </c>
      <c r="AL103" s="417">
        <f t="shared" si="49"/>
        <v>1.1580661864386725</v>
      </c>
    </row>
    <row r="104" spans="1:38">
      <c r="A104" s="421"/>
      <c r="B104" s="411" t="s">
        <v>659</v>
      </c>
      <c r="C104" s="412" t="s">
        <v>660</v>
      </c>
      <c r="D104" s="414">
        <v>1</v>
      </c>
      <c r="E104" s="414">
        <v>1</v>
      </c>
      <c r="F104" s="414">
        <v>1</v>
      </c>
      <c r="G104" s="414">
        <v>1</v>
      </c>
      <c r="H104" s="414">
        <v>1</v>
      </c>
      <c r="I104" s="414">
        <v>1</v>
      </c>
      <c r="J104" s="414">
        <v>1</v>
      </c>
      <c r="K104" s="414">
        <v>1</v>
      </c>
      <c r="L104" s="414">
        <v>1</v>
      </c>
      <c r="M104" s="414">
        <v>1</v>
      </c>
      <c r="N104" s="414">
        <v>1</v>
      </c>
      <c r="O104" s="414">
        <v>1</v>
      </c>
      <c r="P104" s="414">
        <v>1</v>
      </c>
      <c r="Q104" s="414">
        <v>1</v>
      </c>
      <c r="R104" s="414">
        <v>1</v>
      </c>
      <c r="S104" s="414">
        <v>1</v>
      </c>
      <c r="T104" s="414">
        <v>1</v>
      </c>
      <c r="U104" s="414">
        <v>1</v>
      </c>
      <c r="V104" s="414">
        <v>1</v>
      </c>
      <c r="W104" s="414">
        <v>1</v>
      </c>
      <c r="X104" s="414">
        <v>1</v>
      </c>
      <c r="Y104" s="414">
        <v>1</v>
      </c>
      <c r="Z104" s="414">
        <v>1</v>
      </c>
      <c r="AA104" s="414">
        <v>1</v>
      </c>
      <c r="AB104" s="414">
        <v>1</v>
      </c>
      <c r="AC104" s="414">
        <v>1</v>
      </c>
      <c r="AD104" s="414">
        <v>1</v>
      </c>
      <c r="AE104" s="414">
        <v>1</v>
      </c>
      <c r="AF104" s="414">
        <v>1</v>
      </c>
      <c r="AG104" s="414">
        <v>1</v>
      </c>
      <c r="AH104" s="414">
        <v>1</v>
      </c>
      <c r="AI104" s="414">
        <v>1</v>
      </c>
      <c r="AJ104" s="414">
        <v>1</v>
      </c>
      <c r="AK104" s="414">
        <v>1</v>
      </c>
      <c r="AL104" s="414">
        <v>1</v>
      </c>
    </row>
    <row r="105" spans="1:38">
      <c r="A105" s="421"/>
      <c r="B105" s="411" t="s">
        <v>661</v>
      </c>
      <c r="C105" s="412" t="s">
        <v>662</v>
      </c>
      <c r="D105" s="414">
        <v>1</v>
      </c>
      <c r="E105" s="414">
        <v>1</v>
      </c>
      <c r="F105" s="414">
        <v>1</v>
      </c>
      <c r="G105" s="414">
        <v>1</v>
      </c>
      <c r="H105" s="414">
        <v>1</v>
      </c>
      <c r="I105" s="414">
        <v>1</v>
      </c>
      <c r="J105" s="414">
        <v>1</v>
      </c>
      <c r="K105" s="414">
        <v>1</v>
      </c>
      <c r="L105" s="414">
        <v>1</v>
      </c>
      <c r="M105" s="414">
        <v>1</v>
      </c>
      <c r="N105" s="414">
        <v>1</v>
      </c>
      <c r="O105" s="414">
        <v>1</v>
      </c>
      <c r="P105" s="414">
        <v>1</v>
      </c>
      <c r="Q105" s="414">
        <v>1</v>
      </c>
      <c r="R105" s="414">
        <v>1</v>
      </c>
      <c r="S105" s="414">
        <v>1</v>
      </c>
      <c r="T105" s="414">
        <v>1</v>
      </c>
      <c r="U105" s="414">
        <v>1</v>
      </c>
      <c r="V105" s="414">
        <v>1</v>
      </c>
      <c r="W105" s="414">
        <v>1</v>
      </c>
      <c r="X105" s="414">
        <v>1</v>
      </c>
      <c r="Y105" s="414">
        <v>1</v>
      </c>
      <c r="Z105" s="414">
        <v>1</v>
      </c>
      <c r="AA105" s="414">
        <v>1</v>
      </c>
      <c r="AB105" s="414">
        <v>1</v>
      </c>
      <c r="AC105" s="414">
        <v>1</v>
      </c>
      <c r="AD105" s="414">
        <v>1</v>
      </c>
      <c r="AE105" s="414">
        <v>1</v>
      </c>
      <c r="AF105" s="414">
        <v>1</v>
      </c>
      <c r="AG105" s="414">
        <v>1</v>
      </c>
      <c r="AH105" s="414">
        <v>1</v>
      </c>
      <c r="AI105" s="414">
        <v>1</v>
      </c>
      <c r="AJ105" s="414">
        <v>1</v>
      </c>
      <c r="AK105" s="414">
        <v>1</v>
      </c>
      <c r="AL105" s="414">
        <v>1</v>
      </c>
    </row>
    <row r="106" spans="1:38">
      <c r="A106" s="421"/>
      <c r="B106" s="411" t="s">
        <v>663</v>
      </c>
      <c r="C106" s="412" t="s">
        <v>664</v>
      </c>
      <c r="D106" s="414">
        <v>1</v>
      </c>
      <c r="E106" s="414">
        <v>1</v>
      </c>
      <c r="F106" s="414">
        <v>1</v>
      </c>
      <c r="G106" s="414">
        <v>1</v>
      </c>
      <c r="H106" s="414">
        <v>1</v>
      </c>
      <c r="I106" s="414">
        <v>1</v>
      </c>
      <c r="J106" s="414">
        <v>1</v>
      </c>
      <c r="K106" s="414">
        <v>1</v>
      </c>
      <c r="L106" s="414">
        <v>1</v>
      </c>
      <c r="M106" s="414">
        <v>1</v>
      </c>
      <c r="N106" s="414">
        <v>1</v>
      </c>
      <c r="O106" s="414">
        <v>1</v>
      </c>
      <c r="P106" s="414">
        <v>1</v>
      </c>
      <c r="Q106" s="414">
        <v>1</v>
      </c>
      <c r="R106" s="414">
        <v>1</v>
      </c>
      <c r="S106" s="414">
        <v>1</v>
      </c>
      <c r="T106" s="414">
        <v>1</v>
      </c>
      <c r="U106" s="414">
        <v>1</v>
      </c>
      <c r="V106" s="414">
        <v>1</v>
      </c>
      <c r="W106" s="414">
        <v>1</v>
      </c>
      <c r="X106" s="414">
        <v>1</v>
      </c>
      <c r="Y106" s="414">
        <v>1</v>
      </c>
      <c r="Z106" s="414">
        <v>1</v>
      </c>
      <c r="AA106" s="414">
        <v>1</v>
      </c>
      <c r="AB106" s="414">
        <v>1</v>
      </c>
      <c r="AC106" s="414">
        <v>1</v>
      </c>
      <c r="AD106" s="414">
        <v>1</v>
      </c>
      <c r="AE106" s="414">
        <v>1</v>
      </c>
      <c r="AF106" s="414">
        <v>1</v>
      </c>
      <c r="AG106" s="414">
        <v>1</v>
      </c>
      <c r="AH106" s="414">
        <v>1</v>
      </c>
      <c r="AI106" s="414">
        <v>1</v>
      </c>
      <c r="AJ106" s="414">
        <v>1</v>
      </c>
      <c r="AK106" s="414">
        <v>1</v>
      </c>
      <c r="AL106" s="414">
        <v>1</v>
      </c>
    </row>
    <row r="107" spans="1:38">
      <c r="A107" s="421"/>
      <c r="B107" s="411" t="s">
        <v>665</v>
      </c>
      <c r="C107" s="412" t="s">
        <v>666</v>
      </c>
      <c r="D107" s="414">
        <f>EXP(0.138*($D$10-1))</f>
        <v>1.1479755502741786</v>
      </c>
      <c r="E107" s="414">
        <f t="shared" ref="E107:AL107" si="50">EXP(0.138*($D$10-1))</f>
        <v>1.1479755502741786</v>
      </c>
      <c r="F107" s="414">
        <f t="shared" si="50"/>
        <v>1.1479755502741786</v>
      </c>
      <c r="G107" s="414">
        <f t="shared" si="50"/>
        <v>1.1479755502741786</v>
      </c>
      <c r="H107" s="414">
        <f t="shared" si="50"/>
        <v>1.1479755502741786</v>
      </c>
      <c r="I107" s="414">
        <f t="shared" si="50"/>
        <v>1.1479755502741786</v>
      </c>
      <c r="J107" s="414">
        <f t="shared" si="50"/>
        <v>1.1479755502741786</v>
      </c>
      <c r="K107" s="414">
        <f t="shared" si="50"/>
        <v>1.1479755502741786</v>
      </c>
      <c r="L107" s="414">
        <f t="shared" si="50"/>
        <v>1.1479755502741786</v>
      </c>
      <c r="M107" s="414">
        <f t="shared" si="50"/>
        <v>1.1479755502741786</v>
      </c>
      <c r="N107" s="414">
        <f t="shared" si="50"/>
        <v>1.1479755502741786</v>
      </c>
      <c r="O107" s="414">
        <f t="shared" si="50"/>
        <v>1.1479755502741786</v>
      </c>
      <c r="P107" s="414">
        <f t="shared" si="50"/>
        <v>1.1479755502741786</v>
      </c>
      <c r="Q107" s="414">
        <f t="shared" si="50"/>
        <v>1.1479755502741786</v>
      </c>
      <c r="R107" s="414">
        <f t="shared" si="50"/>
        <v>1.1479755502741786</v>
      </c>
      <c r="S107" s="414">
        <f t="shared" si="50"/>
        <v>1.1479755502741786</v>
      </c>
      <c r="T107" s="414">
        <f t="shared" si="50"/>
        <v>1.1479755502741786</v>
      </c>
      <c r="U107" s="414">
        <f t="shared" si="50"/>
        <v>1.1479755502741786</v>
      </c>
      <c r="V107" s="414">
        <f t="shared" si="50"/>
        <v>1.1479755502741786</v>
      </c>
      <c r="W107" s="414">
        <f t="shared" si="50"/>
        <v>1.1479755502741786</v>
      </c>
      <c r="X107" s="414">
        <f t="shared" si="50"/>
        <v>1.1479755502741786</v>
      </c>
      <c r="Y107" s="414">
        <f t="shared" si="50"/>
        <v>1.1479755502741786</v>
      </c>
      <c r="Z107" s="414">
        <f t="shared" si="50"/>
        <v>1.1479755502741786</v>
      </c>
      <c r="AA107" s="414">
        <f t="shared" si="50"/>
        <v>1.1479755502741786</v>
      </c>
      <c r="AB107" s="414">
        <f t="shared" si="50"/>
        <v>1.1479755502741786</v>
      </c>
      <c r="AC107" s="414">
        <f t="shared" si="50"/>
        <v>1.1479755502741786</v>
      </c>
      <c r="AD107" s="414">
        <f t="shared" si="50"/>
        <v>1.1479755502741786</v>
      </c>
      <c r="AE107" s="414">
        <f t="shared" si="50"/>
        <v>1.1479755502741786</v>
      </c>
      <c r="AF107" s="414">
        <f t="shared" si="50"/>
        <v>1.1479755502741786</v>
      </c>
      <c r="AG107" s="414">
        <f t="shared" si="50"/>
        <v>1.1479755502741786</v>
      </c>
      <c r="AH107" s="414">
        <f t="shared" si="50"/>
        <v>1.1479755502741786</v>
      </c>
      <c r="AI107" s="414">
        <f t="shared" si="50"/>
        <v>1.1479755502741786</v>
      </c>
      <c r="AJ107" s="414">
        <f t="shared" si="50"/>
        <v>1.1479755502741786</v>
      </c>
      <c r="AK107" s="414">
        <f t="shared" si="50"/>
        <v>1.1479755502741786</v>
      </c>
      <c r="AL107" s="414">
        <f t="shared" si="50"/>
        <v>1.1479755502741786</v>
      </c>
    </row>
    <row r="108" spans="1:38" ht="13">
      <c r="A108" s="421"/>
      <c r="B108" s="418"/>
      <c r="C108" s="419"/>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row>
    <row r="109" spans="1:38" ht="13">
      <c r="A109" s="421"/>
      <c r="B109" s="422" t="s">
        <v>668</v>
      </c>
      <c r="C109" s="408"/>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row>
    <row r="110" spans="1:38">
      <c r="A110" s="421"/>
      <c r="B110" s="411" t="s">
        <v>653</v>
      </c>
      <c r="C110" s="412" t="s">
        <v>654</v>
      </c>
      <c r="D110" s="423">
        <f>((D$77*D$78+0.2)/0.2)^(0.3116)</f>
        <v>26.168512428837325</v>
      </c>
      <c r="E110" s="423">
        <f t="shared" ref="E110:AL110" si="51">((E$77*E$78+0.2)/0.2)^(0.3116)</f>
        <v>26.493555862916516</v>
      </c>
      <c r="F110" s="423">
        <f t="shared" si="51"/>
        <v>26.822637070822399</v>
      </c>
      <c r="G110" s="423">
        <f t="shared" si="51"/>
        <v>27.155806201266632</v>
      </c>
      <c r="H110" s="423">
        <f t="shared" si="51"/>
        <v>30.071426472081143</v>
      </c>
      <c r="I110" s="423">
        <f t="shared" si="51"/>
        <v>30.444952386859452</v>
      </c>
      <c r="J110" s="423">
        <f t="shared" si="51"/>
        <v>30.823118236847105</v>
      </c>
      <c r="K110" s="423">
        <f t="shared" si="51"/>
        <v>31.205981652239842</v>
      </c>
      <c r="L110" s="423">
        <f t="shared" si="51"/>
        <v>31.593600979216887</v>
      </c>
      <c r="M110" s="423">
        <f t="shared" si="51"/>
        <v>31.986035288831239</v>
      </c>
      <c r="N110" s="423">
        <f t="shared" si="51"/>
        <v>32.38334438601018</v>
      </c>
      <c r="O110" s="423">
        <f t="shared" si="51"/>
        <v>32.78558881866784</v>
      </c>
      <c r="P110" s="423">
        <f t="shared" si="51"/>
        <v>33.192829886931044</v>
      </c>
      <c r="Q110" s="423">
        <f t="shared" si="51"/>
        <v>33.605129652479746</v>
      </c>
      <c r="R110" s="423">
        <f t="shared" si="51"/>
        <v>34.022550948003705</v>
      </c>
      <c r="S110" s="423">
        <f t="shared" si="51"/>
        <v>34.44515738677655</v>
      </c>
      <c r="T110" s="423">
        <f t="shared" si="51"/>
        <v>34.873013372349057</v>
      </c>
      <c r="U110" s="423">
        <f t="shared" si="51"/>
        <v>35.306184108362572</v>
      </c>
      <c r="V110" s="423">
        <f t="shared" si="51"/>
        <v>35.744735608484909</v>
      </c>
      <c r="W110" s="423">
        <f t="shared" si="51"/>
        <v>36.188734706469234</v>
      </c>
      <c r="X110" s="423">
        <f t="shared" si="51"/>
        <v>36.638249066338211</v>
      </c>
      <c r="Y110" s="423">
        <f t="shared" si="51"/>
        <v>37.093347192694822</v>
      </c>
      <c r="Z110" s="423">
        <f t="shared" si="51"/>
        <v>37.554098441161038</v>
      </c>
      <c r="AA110" s="423">
        <f t="shared" si="51"/>
        <v>38.020573028946494</v>
      </c>
      <c r="AB110" s="423">
        <f t="shared" si="51"/>
        <v>38.492842045548386</v>
      </c>
      <c r="AC110" s="423">
        <f t="shared" si="51"/>
        <v>38.970977463584227</v>
      </c>
      <c r="AD110" s="423">
        <f t="shared" si="51"/>
        <v>39.455052149759581</v>
      </c>
      <c r="AE110" s="423">
        <f t="shared" si="51"/>
        <v>39.945139875971648</v>
      </c>
      <c r="AF110" s="423">
        <f t="shared" si="51"/>
        <v>40.441315330551106</v>
      </c>
      <c r="AG110" s="423">
        <f t="shared" si="51"/>
        <v>40.943654129643591</v>
      </c>
      <c r="AH110" s="423">
        <f t="shared" si="51"/>
        <v>41.452232828732591</v>
      </c>
      <c r="AI110" s="423">
        <f t="shared" si="51"/>
        <v>41.967128934305528</v>
      </c>
      <c r="AJ110" s="423">
        <f t="shared" si="51"/>
        <v>42.48842091566484</v>
      </c>
      <c r="AK110" s="423">
        <f t="shared" si="51"/>
        <v>43.016188216885709</v>
      </c>
      <c r="AL110" s="423">
        <f t="shared" si="51"/>
        <v>43.550511268922513</v>
      </c>
    </row>
    <row r="111" spans="1:38">
      <c r="A111" s="421"/>
      <c r="B111" s="411" t="s">
        <v>655</v>
      </c>
      <c r="C111" s="412" t="s">
        <v>656</v>
      </c>
      <c r="D111" s="414">
        <f>EXP(0.2912*$D$9)</f>
        <v>1.3380321636239008</v>
      </c>
      <c r="E111" s="414">
        <f t="shared" ref="E111:AL111" si="52">EXP(0.2912*$D$9)</f>
        <v>1.3380321636239008</v>
      </c>
      <c r="F111" s="414">
        <f t="shared" si="52"/>
        <v>1.3380321636239008</v>
      </c>
      <c r="G111" s="414">
        <f t="shared" si="52"/>
        <v>1.3380321636239008</v>
      </c>
      <c r="H111" s="414">
        <f t="shared" si="52"/>
        <v>1.3380321636239008</v>
      </c>
      <c r="I111" s="414">
        <f t="shared" si="52"/>
        <v>1.3380321636239008</v>
      </c>
      <c r="J111" s="414">
        <f t="shared" si="52"/>
        <v>1.3380321636239008</v>
      </c>
      <c r="K111" s="414">
        <f t="shared" si="52"/>
        <v>1.3380321636239008</v>
      </c>
      <c r="L111" s="414">
        <f t="shared" si="52"/>
        <v>1.3380321636239008</v>
      </c>
      <c r="M111" s="414">
        <f t="shared" si="52"/>
        <v>1.3380321636239008</v>
      </c>
      <c r="N111" s="414">
        <f t="shared" si="52"/>
        <v>1.3380321636239008</v>
      </c>
      <c r="O111" s="414">
        <f t="shared" si="52"/>
        <v>1.3380321636239008</v>
      </c>
      <c r="P111" s="414">
        <f t="shared" si="52"/>
        <v>1.3380321636239008</v>
      </c>
      <c r="Q111" s="414">
        <f t="shared" si="52"/>
        <v>1.3380321636239008</v>
      </c>
      <c r="R111" s="414">
        <f t="shared" si="52"/>
        <v>1.3380321636239008</v>
      </c>
      <c r="S111" s="414">
        <f t="shared" si="52"/>
        <v>1.3380321636239008</v>
      </c>
      <c r="T111" s="414">
        <f t="shared" si="52"/>
        <v>1.3380321636239008</v>
      </c>
      <c r="U111" s="414">
        <f t="shared" si="52"/>
        <v>1.3380321636239008</v>
      </c>
      <c r="V111" s="414">
        <f t="shared" si="52"/>
        <v>1.3380321636239008</v>
      </c>
      <c r="W111" s="414">
        <f t="shared" si="52"/>
        <v>1.3380321636239008</v>
      </c>
      <c r="X111" s="414">
        <f t="shared" si="52"/>
        <v>1.3380321636239008</v>
      </c>
      <c r="Y111" s="414">
        <f t="shared" si="52"/>
        <v>1.3380321636239008</v>
      </c>
      <c r="Z111" s="414">
        <f t="shared" si="52"/>
        <v>1.3380321636239008</v>
      </c>
      <c r="AA111" s="414">
        <f t="shared" si="52"/>
        <v>1.3380321636239008</v>
      </c>
      <c r="AB111" s="414">
        <f t="shared" si="52"/>
        <v>1.3380321636239008</v>
      </c>
      <c r="AC111" s="414">
        <f t="shared" si="52"/>
        <v>1.3380321636239008</v>
      </c>
      <c r="AD111" s="414">
        <f t="shared" si="52"/>
        <v>1.3380321636239008</v>
      </c>
      <c r="AE111" s="414">
        <f t="shared" si="52"/>
        <v>1.3380321636239008</v>
      </c>
      <c r="AF111" s="414">
        <f t="shared" si="52"/>
        <v>1.3380321636239008</v>
      </c>
      <c r="AG111" s="414">
        <f t="shared" si="52"/>
        <v>1.3380321636239008</v>
      </c>
      <c r="AH111" s="414">
        <f t="shared" si="52"/>
        <v>1.3380321636239008</v>
      </c>
      <c r="AI111" s="414">
        <f t="shared" si="52"/>
        <v>1.3380321636239008</v>
      </c>
      <c r="AJ111" s="414">
        <f t="shared" si="52"/>
        <v>1.3380321636239008</v>
      </c>
      <c r="AK111" s="414">
        <f t="shared" si="52"/>
        <v>1.3380321636239008</v>
      </c>
      <c r="AL111" s="414">
        <f t="shared" si="52"/>
        <v>1.3380321636239008</v>
      </c>
    </row>
    <row r="112" spans="1:38">
      <c r="A112" s="421"/>
      <c r="B112" s="411" t="s">
        <v>657</v>
      </c>
      <c r="C112" s="416" t="s">
        <v>658</v>
      </c>
      <c r="D112" s="414">
        <v>1</v>
      </c>
      <c r="E112" s="414">
        <v>1</v>
      </c>
      <c r="F112" s="414">
        <v>1</v>
      </c>
      <c r="G112" s="414">
        <v>1</v>
      </c>
      <c r="H112" s="414">
        <v>1</v>
      </c>
      <c r="I112" s="414">
        <v>1</v>
      </c>
      <c r="J112" s="414">
        <v>1</v>
      </c>
      <c r="K112" s="414">
        <v>1</v>
      </c>
      <c r="L112" s="414">
        <v>1</v>
      </c>
      <c r="M112" s="414">
        <v>1</v>
      </c>
      <c r="N112" s="414">
        <v>1</v>
      </c>
      <c r="O112" s="414">
        <v>1</v>
      </c>
      <c r="P112" s="414">
        <v>1</v>
      </c>
      <c r="Q112" s="414">
        <v>1</v>
      </c>
      <c r="R112" s="414">
        <v>1</v>
      </c>
      <c r="S112" s="414">
        <v>1</v>
      </c>
      <c r="T112" s="414">
        <v>1</v>
      </c>
      <c r="U112" s="414">
        <v>1</v>
      </c>
      <c r="V112" s="414">
        <v>1</v>
      </c>
      <c r="W112" s="414">
        <v>1</v>
      </c>
      <c r="X112" s="414">
        <v>1</v>
      </c>
      <c r="Y112" s="414">
        <v>1</v>
      </c>
      <c r="Z112" s="414">
        <v>1</v>
      </c>
      <c r="AA112" s="414">
        <v>1</v>
      </c>
      <c r="AB112" s="414">
        <v>1</v>
      </c>
      <c r="AC112" s="414">
        <v>1</v>
      </c>
      <c r="AD112" s="414">
        <v>1</v>
      </c>
      <c r="AE112" s="414">
        <v>1</v>
      </c>
      <c r="AF112" s="414">
        <v>1</v>
      </c>
      <c r="AG112" s="414">
        <v>1</v>
      </c>
      <c r="AH112" s="414">
        <v>1</v>
      </c>
      <c r="AI112" s="414">
        <v>1</v>
      </c>
      <c r="AJ112" s="414">
        <v>1</v>
      </c>
      <c r="AK112" s="414">
        <v>1</v>
      </c>
      <c r="AL112" s="414">
        <v>1</v>
      </c>
    </row>
    <row r="113" spans="1:38">
      <c r="A113" s="421"/>
      <c r="B113" s="411" t="s">
        <v>659</v>
      </c>
      <c r="C113" s="412" t="s">
        <v>660</v>
      </c>
      <c r="D113" s="414">
        <v>1</v>
      </c>
      <c r="E113" s="414">
        <v>1</v>
      </c>
      <c r="F113" s="414">
        <v>1</v>
      </c>
      <c r="G113" s="414">
        <v>1</v>
      </c>
      <c r="H113" s="414">
        <v>1</v>
      </c>
      <c r="I113" s="414">
        <v>1</v>
      </c>
      <c r="J113" s="414">
        <v>1</v>
      </c>
      <c r="K113" s="414">
        <v>1</v>
      </c>
      <c r="L113" s="414">
        <v>1</v>
      </c>
      <c r="M113" s="414">
        <v>1</v>
      </c>
      <c r="N113" s="414">
        <v>1</v>
      </c>
      <c r="O113" s="414">
        <v>1</v>
      </c>
      <c r="P113" s="414">
        <v>1</v>
      </c>
      <c r="Q113" s="414">
        <v>1</v>
      </c>
      <c r="R113" s="414">
        <v>1</v>
      </c>
      <c r="S113" s="414">
        <v>1</v>
      </c>
      <c r="T113" s="414">
        <v>1</v>
      </c>
      <c r="U113" s="414">
        <v>1</v>
      </c>
      <c r="V113" s="414">
        <v>1</v>
      </c>
      <c r="W113" s="414">
        <v>1</v>
      </c>
      <c r="X113" s="414">
        <v>1</v>
      </c>
      <c r="Y113" s="414">
        <v>1</v>
      </c>
      <c r="Z113" s="414">
        <v>1</v>
      </c>
      <c r="AA113" s="414">
        <v>1</v>
      </c>
      <c r="AB113" s="414">
        <v>1</v>
      </c>
      <c r="AC113" s="414">
        <v>1</v>
      </c>
      <c r="AD113" s="414">
        <v>1</v>
      </c>
      <c r="AE113" s="414">
        <v>1</v>
      </c>
      <c r="AF113" s="414">
        <v>1</v>
      </c>
      <c r="AG113" s="414">
        <v>1</v>
      </c>
      <c r="AH113" s="414">
        <v>1</v>
      </c>
      <c r="AI113" s="414">
        <v>1</v>
      </c>
      <c r="AJ113" s="414">
        <v>1</v>
      </c>
      <c r="AK113" s="414">
        <v>1</v>
      </c>
      <c r="AL113" s="414">
        <v>1</v>
      </c>
    </row>
    <row r="114" spans="1:38">
      <c r="A114" s="421"/>
      <c r="B114" s="411" t="s">
        <v>661</v>
      </c>
      <c r="C114" s="412" t="s">
        <v>662</v>
      </c>
      <c r="D114" s="414">
        <v>1</v>
      </c>
      <c r="E114" s="414">
        <v>1</v>
      </c>
      <c r="F114" s="414">
        <v>1</v>
      </c>
      <c r="G114" s="414">
        <v>1</v>
      </c>
      <c r="H114" s="414">
        <v>1</v>
      </c>
      <c r="I114" s="414">
        <v>1</v>
      </c>
      <c r="J114" s="414">
        <v>1</v>
      </c>
      <c r="K114" s="414">
        <v>1</v>
      </c>
      <c r="L114" s="414">
        <v>1</v>
      </c>
      <c r="M114" s="414">
        <v>1</v>
      </c>
      <c r="N114" s="414">
        <v>1</v>
      </c>
      <c r="O114" s="414">
        <v>1</v>
      </c>
      <c r="P114" s="414">
        <v>1</v>
      </c>
      <c r="Q114" s="414">
        <v>1</v>
      </c>
      <c r="R114" s="414">
        <v>1</v>
      </c>
      <c r="S114" s="414">
        <v>1</v>
      </c>
      <c r="T114" s="414">
        <v>1</v>
      </c>
      <c r="U114" s="414">
        <v>1</v>
      </c>
      <c r="V114" s="414">
        <v>1</v>
      </c>
      <c r="W114" s="414">
        <v>1</v>
      </c>
      <c r="X114" s="414">
        <v>1</v>
      </c>
      <c r="Y114" s="414">
        <v>1</v>
      </c>
      <c r="Z114" s="414">
        <v>1</v>
      </c>
      <c r="AA114" s="414">
        <v>1</v>
      </c>
      <c r="AB114" s="414">
        <v>1</v>
      </c>
      <c r="AC114" s="414">
        <v>1</v>
      </c>
      <c r="AD114" s="414">
        <v>1</v>
      </c>
      <c r="AE114" s="414">
        <v>1</v>
      </c>
      <c r="AF114" s="414">
        <v>1</v>
      </c>
      <c r="AG114" s="414">
        <v>1</v>
      </c>
      <c r="AH114" s="414">
        <v>1</v>
      </c>
      <c r="AI114" s="414">
        <v>1</v>
      </c>
      <c r="AJ114" s="414">
        <v>1</v>
      </c>
      <c r="AK114" s="414">
        <v>1</v>
      </c>
      <c r="AL114" s="414">
        <v>1</v>
      </c>
    </row>
    <row r="115" spans="1:38">
      <c r="A115" s="421"/>
      <c r="B115" s="411" t="s">
        <v>663</v>
      </c>
      <c r="C115" s="412" t="s">
        <v>664</v>
      </c>
      <c r="D115" s="414">
        <v>1</v>
      </c>
      <c r="E115" s="414">
        <v>1</v>
      </c>
      <c r="F115" s="414">
        <v>1</v>
      </c>
      <c r="G115" s="414">
        <v>1</v>
      </c>
      <c r="H115" s="414">
        <v>1</v>
      </c>
      <c r="I115" s="414">
        <v>1</v>
      </c>
      <c r="J115" s="414">
        <v>1</v>
      </c>
      <c r="K115" s="414">
        <v>1</v>
      </c>
      <c r="L115" s="414">
        <v>1</v>
      </c>
      <c r="M115" s="414">
        <v>1</v>
      </c>
      <c r="N115" s="414">
        <v>1</v>
      </c>
      <c r="O115" s="414">
        <v>1</v>
      </c>
      <c r="P115" s="414">
        <v>1</v>
      </c>
      <c r="Q115" s="414">
        <v>1</v>
      </c>
      <c r="R115" s="414">
        <v>1</v>
      </c>
      <c r="S115" s="414">
        <v>1</v>
      </c>
      <c r="T115" s="414">
        <v>1</v>
      </c>
      <c r="U115" s="414">
        <v>1</v>
      </c>
      <c r="V115" s="414">
        <v>1</v>
      </c>
      <c r="W115" s="414">
        <v>1</v>
      </c>
      <c r="X115" s="414">
        <v>1</v>
      </c>
      <c r="Y115" s="414">
        <v>1</v>
      </c>
      <c r="Z115" s="414">
        <v>1</v>
      </c>
      <c r="AA115" s="414">
        <v>1</v>
      </c>
      <c r="AB115" s="414">
        <v>1</v>
      </c>
      <c r="AC115" s="414">
        <v>1</v>
      </c>
      <c r="AD115" s="414">
        <v>1</v>
      </c>
      <c r="AE115" s="414">
        <v>1</v>
      </c>
      <c r="AF115" s="414">
        <v>1</v>
      </c>
      <c r="AG115" s="414">
        <v>1</v>
      </c>
      <c r="AH115" s="414">
        <v>1</v>
      </c>
      <c r="AI115" s="414">
        <v>1</v>
      </c>
      <c r="AJ115" s="414">
        <v>1</v>
      </c>
      <c r="AK115" s="414">
        <v>1</v>
      </c>
      <c r="AL115" s="414">
        <v>1</v>
      </c>
    </row>
    <row r="116" spans="1:38">
      <c r="A116" s="421"/>
      <c r="B116" s="424" t="s">
        <v>665</v>
      </c>
      <c r="C116" s="425" t="s">
        <v>666</v>
      </c>
      <c r="D116" s="426">
        <f>EXP(0.1036*($D$10-1))</f>
        <v>1.1091567034898182</v>
      </c>
      <c r="E116" s="426">
        <f t="shared" ref="E116:AL116" si="53">EXP(0.1036*($D$10-1))</f>
        <v>1.1091567034898182</v>
      </c>
      <c r="F116" s="426">
        <f t="shared" si="53"/>
        <v>1.1091567034898182</v>
      </c>
      <c r="G116" s="426">
        <f t="shared" si="53"/>
        <v>1.1091567034898182</v>
      </c>
      <c r="H116" s="426">
        <f t="shared" si="53"/>
        <v>1.1091567034898182</v>
      </c>
      <c r="I116" s="426">
        <f t="shared" si="53"/>
        <v>1.1091567034898182</v>
      </c>
      <c r="J116" s="426">
        <f t="shared" si="53"/>
        <v>1.1091567034898182</v>
      </c>
      <c r="K116" s="426">
        <f t="shared" si="53"/>
        <v>1.1091567034898182</v>
      </c>
      <c r="L116" s="426">
        <f t="shared" si="53"/>
        <v>1.1091567034898182</v>
      </c>
      <c r="M116" s="426">
        <f t="shared" si="53"/>
        <v>1.1091567034898182</v>
      </c>
      <c r="N116" s="426">
        <f t="shared" si="53"/>
        <v>1.1091567034898182</v>
      </c>
      <c r="O116" s="426">
        <f t="shared" si="53"/>
        <v>1.1091567034898182</v>
      </c>
      <c r="P116" s="426">
        <f t="shared" si="53"/>
        <v>1.1091567034898182</v>
      </c>
      <c r="Q116" s="426">
        <f t="shared" si="53"/>
        <v>1.1091567034898182</v>
      </c>
      <c r="R116" s="426">
        <f t="shared" si="53"/>
        <v>1.1091567034898182</v>
      </c>
      <c r="S116" s="426">
        <f t="shared" si="53"/>
        <v>1.1091567034898182</v>
      </c>
      <c r="T116" s="426">
        <f t="shared" si="53"/>
        <v>1.1091567034898182</v>
      </c>
      <c r="U116" s="426">
        <f t="shared" si="53"/>
        <v>1.1091567034898182</v>
      </c>
      <c r="V116" s="426">
        <f t="shared" si="53"/>
        <v>1.1091567034898182</v>
      </c>
      <c r="W116" s="426">
        <f t="shared" si="53"/>
        <v>1.1091567034898182</v>
      </c>
      <c r="X116" s="426">
        <f t="shared" si="53"/>
        <v>1.1091567034898182</v>
      </c>
      <c r="Y116" s="426">
        <f t="shared" si="53"/>
        <v>1.1091567034898182</v>
      </c>
      <c r="Z116" s="426">
        <f t="shared" si="53"/>
        <v>1.1091567034898182</v>
      </c>
      <c r="AA116" s="426">
        <f t="shared" si="53"/>
        <v>1.1091567034898182</v>
      </c>
      <c r="AB116" s="426">
        <f t="shared" si="53"/>
        <v>1.1091567034898182</v>
      </c>
      <c r="AC116" s="426">
        <f t="shared" si="53"/>
        <v>1.1091567034898182</v>
      </c>
      <c r="AD116" s="426">
        <f t="shared" si="53"/>
        <v>1.1091567034898182</v>
      </c>
      <c r="AE116" s="426">
        <f t="shared" si="53"/>
        <v>1.1091567034898182</v>
      </c>
      <c r="AF116" s="426">
        <f t="shared" si="53"/>
        <v>1.1091567034898182</v>
      </c>
      <c r="AG116" s="426">
        <f t="shared" si="53"/>
        <v>1.1091567034898182</v>
      </c>
      <c r="AH116" s="426">
        <f t="shared" si="53"/>
        <v>1.1091567034898182</v>
      </c>
      <c r="AI116" s="426">
        <f t="shared" si="53"/>
        <v>1.1091567034898182</v>
      </c>
      <c r="AJ116" s="426">
        <f t="shared" si="53"/>
        <v>1.1091567034898182</v>
      </c>
      <c r="AK116" s="426">
        <f t="shared" si="53"/>
        <v>1.1091567034898182</v>
      </c>
      <c r="AL116" s="426">
        <f t="shared" si="53"/>
        <v>1.1091567034898182</v>
      </c>
    </row>
    <row r="117" spans="1:38">
      <c r="B117" s="362"/>
      <c r="C117" s="427" t="s">
        <v>290</v>
      </c>
      <c r="D117" s="415"/>
      <c r="E117" s="415"/>
      <c r="F117" s="415"/>
      <c r="G117" s="415"/>
      <c r="H117" s="1235"/>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row>
    <row r="118" spans="1:38">
      <c r="B118" s="362" t="s">
        <v>669</v>
      </c>
      <c r="C118" s="428">
        <f>$E$6</f>
        <v>3.6459999999999999E-3</v>
      </c>
      <c r="D118" s="429">
        <f>IF($D$6=$B91,$C$118*PRODUCT(D$92:D$98),IF($D$6=$B100,$C$118*PRODUCT(D$101:D$107), $C$118*PRODUCT(D$110:D$116)))</f>
        <v>0.11528052808120189</v>
      </c>
      <c r="E118" s="429">
        <f t="shared" ref="E118:AK118" si="54">IF($D$6=$B91,$C$118*PRODUCT(E$92:E$98),IF($D$6=$B100,$C$118*PRODUCT(E$101:E$107), $C$118*PRODUCT(E$110:E$116)))</f>
        <v>0.11668976987055626</v>
      </c>
      <c r="F118" s="429">
        <f t="shared" si="54"/>
        <v>0.11811629055331112</v>
      </c>
      <c r="G118" s="429">
        <f t="shared" si="54"/>
        <v>0.11956030212078399</v>
      </c>
      <c r="H118" s="429">
        <f>IF($D$6=$B91,$C$118*PRODUCT(H$92:H$98),IF($D$6=$B100,$C$118*PRODUCT(H$101:H$107), $C$118*PRODUCT(H$110:H$116)))</f>
        <v>0.13410227042866743</v>
      </c>
      <c r="I118" s="429">
        <f t="shared" si="54"/>
        <v>0.13574366151950396</v>
      </c>
      <c r="J118" s="429">
        <f t="shared" si="54"/>
        <v>0.13740518393139636</v>
      </c>
      <c r="K118" s="429">
        <f t="shared" si="54"/>
        <v>0.13908708465370401</v>
      </c>
      <c r="L118" s="429">
        <f t="shared" si="54"/>
        <v>0.14078961370674084</v>
      </c>
      <c r="M118" s="429">
        <f t="shared" si="54"/>
        <v>0.14251302417894993</v>
      </c>
      <c r="N118" s="429">
        <f t="shared" si="54"/>
        <v>0.1442575722645332</v>
      </c>
      <c r="O118" s="429">
        <f t="shared" si="54"/>
        <v>0.14602351730154453</v>
      </c>
      <c r="P118" s="429">
        <f t="shared" si="54"/>
        <v>0.14781112181044992</v>
      </c>
      <c r="Q118" s="429">
        <f t="shared" si="54"/>
        <v>0.14962065153316126</v>
      </c>
      <c r="R118" s="429">
        <f t="shared" si="54"/>
        <v>0.15145237547254981</v>
      </c>
      <c r="S118" s="429">
        <f t="shared" si="54"/>
        <v>0.1533065659324446</v>
      </c>
      <c r="T118" s="429">
        <f t="shared" si="54"/>
        <v>0.15518349855812139</v>
      </c>
      <c r="U118" s="429">
        <f t="shared" si="54"/>
        <v>0.15708345237729013</v>
      </c>
      <c r="V118" s="429">
        <f t="shared" si="54"/>
        <v>0.15900670984158435</v>
      </c>
      <c r="W118" s="429">
        <f t="shared" si="54"/>
        <v>0.16095355686856058</v>
      </c>
      <c r="X118" s="429">
        <f t="shared" si="54"/>
        <v>0.16292428288421318</v>
      </c>
      <c r="Y118" s="429">
        <f t="shared" si="54"/>
        <v>0.16491918086601171</v>
      </c>
      <c r="Z118" s="429">
        <f t="shared" si="54"/>
        <v>0.16693854738646555</v>
      </c>
      <c r="AA118" s="429">
        <f t="shared" si="54"/>
        <v>0.16898268265722427</v>
      </c>
      <c r="AB118" s="429">
        <f t="shared" si="54"/>
        <v>0.1710518905737195</v>
      </c>
      <c r="AC118" s="429">
        <f t="shared" si="54"/>
        <v>0.17314647876035344</v>
      </c>
      <c r="AD118" s="429">
        <f t="shared" si="54"/>
        <v>0.17526675861624447</v>
      </c>
      <c r="AE118" s="429">
        <f t="shared" si="54"/>
        <v>0.17741304536153166</v>
      </c>
      <c r="AF118" s="429">
        <f t="shared" si="54"/>
        <v>0.1795856580842497</v>
      </c>
      <c r="AG118" s="429">
        <f t="shared" si="54"/>
        <v>0.18178491978777808</v>
      </c>
      <c r="AH118" s="429">
        <f t="shared" si="54"/>
        <v>0.18401115743887347</v>
      </c>
      <c r="AI118" s="429">
        <f t="shared" si="54"/>
        <v>0.18626470201629097</v>
      </c>
      <c r="AJ118" s="429">
        <f t="shared" si="54"/>
        <v>0.18854588856000287</v>
      </c>
      <c r="AK118" s="429">
        <f t="shared" si="54"/>
        <v>0.19085505622102078</v>
      </c>
      <c r="AL118" s="429">
        <f t="shared" ref="AL118" si="55">IF($D$6=$B91,$C$118*PRODUCT(AL$92:AL$98),IF($D$6=$B100,$C$118*PRODUCT(AL$101:AL$107), $C$118*PRODUCT(AL$110:AL$116)))</f>
        <v>0.19319254831182989</v>
      </c>
    </row>
    <row r="119" spans="1:38">
      <c r="H119" s="1228"/>
    </row>
    <row r="120" spans="1:38" ht="13">
      <c r="B120" s="407" t="s">
        <v>670</v>
      </c>
      <c r="C120" s="396" t="s">
        <v>627</v>
      </c>
      <c r="D120" s="397">
        <v>2018</v>
      </c>
      <c r="E120" s="397">
        <v>2020</v>
      </c>
      <c r="F120" s="397">
        <v>2021</v>
      </c>
      <c r="G120" s="397">
        <v>2022</v>
      </c>
      <c r="H120" s="1238">
        <v>2023</v>
      </c>
      <c r="I120" s="397">
        <v>2024</v>
      </c>
      <c r="J120" s="397">
        <v>2025</v>
      </c>
      <c r="K120" s="397">
        <v>2026</v>
      </c>
      <c r="L120" s="397">
        <v>2027</v>
      </c>
      <c r="M120" s="397">
        <v>2028</v>
      </c>
      <c r="N120" s="397">
        <v>2029</v>
      </c>
      <c r="O120" s="397">
        <v>2030</v>
      </c>
      <c r="P120" s="397">
        <v>2031</v>
      </c>
      <c r="Q120" s="397">
        <v>2032</v>
      </c>
      <c r="R120" s="397">
        <v>2033</v>
      </c>
      <c r="S120" s="397">
        <v>2034</v>
      </c>
      <c r="T120" s="397">
        <v>2035</v>
      </c>
      <c r="U120" s="397">
        <v>2036</v>
      </c>
      <c r="V120" s="397">
        <v>2037</v>
      </c>
      <c r="W120" s="397">
        <v>2038</v>
      </c>
      <c r="X120" s="397">
        <v>2039</v>
      </c>
      <c r="Y120" s="397">
        <v>2040</v>
      </c>
      <c r="Z120" s="397">
        <v>2041</v>
      </c>
      <c r="AA120" s="397">
        <v>2042</v>
      </c>
      <c r="AB120" s="397">
        <v>2043</v>
      </c>
      <c r="AC120" s="397">
        <v>2044</v>
      </c>
      <c r="AD120" s="397">
        <v>2044</v>
      </c>
      <c r="AE120" s="397">
        <v>2044</v>
      </c>
      <c r="AF120" s="397">
        <v>2044</v>
      </c>
      <c r="AG120" s="397">
        <v>2044</v>
      </c>
      <c r="AH120" s="397">
        <v>2044</v>
      </c>
      <c r="AI120" s="397">
        <v>2044</v>
      </c>
      <c r="AJ120" s="397">
        <v>2044</v>
      </c>
      <c r="AK120" s="397">
        <v>2044</v>
      </c>
      <c r="AL120" s="397">
        <v>2044</v>
      </c>
    </row>
    <row r="121" spans="1:38">
      <c r="A121" s="366"/>
      <c r="B121" s="366" t="s">
        <v>671</v>
      </c>
      <c r="C121" s="430" t="s">
        <v>662</v>
      </c>
      <c r="D121" s="431">
        <f>D82^(-1.074)</f>
        <v>0.11486407065121609</v>
      </c>
      <c r="E121" s="431">
        <f t="shared" ref="E121:AK121" si="56">E82^(-1.074)</f>
        <v>0.11486407065121609</v>
      </c>
      <c r="F121" s="431">
        <f t="shared" si="56"/>
        <v>0.11486407065121609</v>
      </c>
      <c r="G121" s="431">
        <f t="shared" si="56"/>
        <v>0.11486407065121609</v>
      </c>
      <c r="H121" s="431">
        <f t="shared" si="56"/>
        <v>0.11486407065121609</v>
      </c>
      <c r="I121" s="431">
        <f t="shared" si="56"/>
        <v>0.11486407065121609</v>
      </c>
      <c r="J121" s="431">
        <f t="shared" si="56"/>
        <v>0.11486407065121609</v>
      </c>
      <c r="K121" s="431">
        <f t="shared" si="56"/>
        <v>0.11486407065121609</v>
      </c>
      <c r="L121" s="431">
        <f t="shared" si="56"/>
        <v>0.11486407065121609</v>
      </c>
      <c r="M121" s="431">
        <f t="shared" si="56"/>
        <v>0.11486407065121609</v>
      </c>
      <c r="N121" s="431">
        <f t="shared" si="56"/>
        <v>0.11486407065121609</v>
      </c>
      <c r="O121" s="431">
        <f t="shared" si="56"/>
        <v>0.11486407065121609</v>
      </c>
      <c r="P121" s="431">
        <f t="shared" si="56"/>
        <v>0.11486407065121609</v>
      </c>
      <c r="Q121" s="431">
        <f t="shared" si="56"/>
        <v>0.11486407065121609</v>
      </c>
      <c r="R121" s="431">
        <f t="shared" si="56"/>
        <v>0.11486407065121609</v>
      </c>
      <c r="S121" s="431">
        <f t="shared" si="56"/>
        <v>0.11486407065121609</v>
      </c>
      <c r="T121" s="431">
        <f t="shared" si="56"/>
        <v>0.11486407065121609</v>
      </c>
      <c r="U121" s="431">
        <f t="shared" si="56"/>
        <v>0.11486407065121609</v>
      </c>
      <c r="V121" s="431">
        <f t="shared" si="56"/>
        <v>0.11486407065121609</v>
      </c>
      <c r="W121" s="431">
        <f t="shared" si="56"/>
        <v>0.11486407065121609</v>
      </c>
      <c r="X121" s="431">
        <f t="shared" si="56"/>
        <v>0.11486407065121609</v>
      </c>
      <c r="Y121" s="431">
        <f t="shared" si="56"/>
        <v>0.11486407065121609</v>
      </c>
      <c r="Z121" s="431">
        <f t="shared" si="56"/>
        <v>0.11486407065121609</v>
      </c>
      <c r="AA121" s="431">
        <f t="shared" si="56"/>
        <v>0.11486407065121609</v>
      </c>
      <c r="AB121" s="431">
        <f t="shared" si="56"/>
        <v>0.11486407065121609</v>
      </c>
      <c r="AC121" s="431">
        <f t="shared" si="56"/>
        <v>0.11486407065121609</v>
      </c>
      <c r="AD121" s="431">
        <f t="shared" si="56"/>
        <v>0.11486407065121609</v>
      </c>
      <c r="AE121" s="431">
        <f t="shared" si="56"/>
        <v>0.11486407065121609</v>
      </c>
      <c r="AF121" s="431">
        <f t="shared" si="56"/>
        <v>0.11486407065121609</v>
      </c>
      <c r="AG121" s="431">
        <f t="shared" si="56"/>
        <v>0.11486407065121609</v>
      </c>
      <c r="AH121" s="431">
        <f t="shared" si="56"/>
        <v>0.11486407065121609</v>
      </c>
      <c r="AI121" s="431">
        <f t="shared" si="56"/>
        <v>0.11486407065121609</v>
      </c>
      <c r="AJ121" s="431">
        <f t="shared" si="56"/>
        <v>0.11486407065121609</v>
      </c>
      <c r="AK121" s="431">
        <f t="shared" si="56"/>
        <v>0.11486407065121609</v>
      </c>
      <c r="AL121" s="431">
        <f t="shared" ref="AL121" si="57">AL82^(-1.074)</f>
        <v>0.11486407065121609</v>
      </c>
    </row>
    <row r="122" spans="1:38">
      <c r="B122" s="358" t="s">
        <v>606</v>
      </c>
      <c r="C122" s="419" t="s">
        <v>672</v>
      </c>
      <c r="D122" s="417">
        <f>(D$17+1)^(-0.1025)</f>
        <v>0.81841688605541607</v>
      </c>
      <c r="E122" s="417">
        <f t="shared" ref="E122:AL122" si="58">(E$17+1)^(-0.1025)</f>
        <v>0.81765690702612781</v>
      </c>
      <c r="F122" s="417">
        <f t="shared" si="58"/>
        <v>0.81689650954219895</v>
      </c>
      <c r="G122" s="417">
        <f t="shared" si="58"/>
        <v>0.81613570459200147</v>
      </c>
      <c r="H122" s="417">
        <f t="shared" si="58"/>
        <v>0.81537450309664339</v>
      </c>
      <c r="I122" s="417">
        <f t="shared" si="58"/>
        <v>0.81461291590967277</v>
      </c>
      <c r="J122" s="417">
        <f t="shared" si="58"/>
        <v>0.81385095381679629</v>
      </c>
      <c r="K122" s="417">
        <f t="shared" si="58"/>
        <v>0.81308862753561317</v>
      </c>
      <c r="L122" s="417">
        <f t="shared" si="58"/>
        <v>0.81232594771536493</v>
      </c>
      <c r="M122" s="417">
        <f t="shared" si="58"/>
        <v>0.81156292493670046</v>
      </c>
      <c r="N122" s="417">
        <f t="shared" si="58"/>
        <v>0.81079956971145628</v>
      </c>
      <c r="O122" s="417">
        <f t="shared" si="58"/>
        <v>0.81003589248245045</v>
      </c>
      <c r="P122" s="417">
        <f t="shared" si="58"/>
        <v>0.80927190362329249</v>
      </c>
      <c r="Q122" s="417">
        <f t="shared" si="58"/>
        <v>0.80850761343820632</v>
      </c>
      <c r="R122" s="417">
        <f t="shared" si="58"/>
        <v>0.80774303216186893</v>
      </c>
      <c r="S122" s="417">
        <f t="shared" si="58"/>
        <v>0.8069781699592613</v>
      </c>
      <c r="T122" s="417">
        <f t="shared" si="58"/>
        <v>0.80621303692553392</v>
      </c>
      <c r="U122" s="417">
        <f t="shared" si="58"/>
        <v>0.80544764308588568</v>
      </c>
      <c r="V122" s="417">
        <f t="shared" si="58"/>
        <v>0.8046819983954564</v>
      </c>
      <c r="W122" s="417">
        <f t="shared" si="58"/>
        <v>0.80391611273923169</v>
      </c>
      <c r="X122" s="417">
        <f t="shared" si="58"/>
        <v>0.80314999593196079</v>
      </c>
      <c r="Y122" s="417">
        <f t="shared" si="58"/>
        <v>0.80238365771808795</v>
      </c>
      <c r="Z122" s="417">
        <f t="shared" si="58"/>
        <v>0.80161710777169504</v>
      </c>
      <c r="AA122" s="417">
        <f t="shared" si="58"/>
        <v>0.80085035569645713</v>
      </c>
      <c r="AB122" s="417">
        <f t="shared" si="58"/>
        <v>0.80008341102560987</v>
      </c>
      <c r="AC122" s="417">
        <f t="shared" si="58"/>
        <v>0.79931628322192838</v>
      </c>
      <c r="AD122" s="417">
        <f t="shared" si="58"/>
        <v>0.79854898167771826</v>
      </c>
      <c r="AE122" s="417">
        <f t="shared" si="58"/>
        <v>0.7977815157148177</v>
      </c>
      <c r="AF122" s="417">
        <f t="shared" si="58"/>
        <v>0.79701389458460981</v>
      </c>
      <c r="AG122" s="417">
        <f t="shared" si="58"/>
        <v>0.79624612746804801</v>
      </c>
      <c r="AH122" s="417">
        <f t="shared" si="58"/>
        <v>0.79547822347569053</v>
      </c>
      <c r="AI122" s="417">
        <f t="shared" si="58"/>
        <v>0.79471019164774515</v>
      </c>
      <c r="AJ122" s="417">
        <f t="shared" si="58"/>
        <v>0.79394204095412557</v>
      </c>
      <c r="AK122" s="417">
        <f t="shared" si="58"/>
        <v>0.79317378029451702</v>
      </c>
      <c r="AL122" s="417">
        <f t="shared" si="58"/>
        <v>0.79240541849845181</v>
      </c>
    </row>
    <row r="123" spans="1:38">
      <c r="B123" s="358" t="s">
        <v>673</v>
      </c>
      <c r="C123" s="419" t="s">
        <v>674</v>
      </c>
      <c r="D123" s="414">
        <f>(D$19+1)^(0.1025)</f>
        <v>1</v>
      </c>
      <c r="E123" s="414">
        <f t="shared" ref="E123:AL123" si="59">(E$19+1)^(0.1025)</f>
        <v>1</v>
      </c>
      <c r="F123" s="414">
        <f t="shared" si="59"/>
        <v>1</v>
      </c>
      <c r="G123" s="414">
        <f t="shared" si="59"/>
        <v>1</v>
      </c>
      <c r="H123" s="414">
        <f t="shared" si="59"/>
        <v>1</v>
      </c>
      <c r="I123" s="414">
        <f t="shared" si="59"/>
        <v>1</v>
      </c>
      <c r="J123" s="414">
        <f t="shared" si="59"/>
        <v>1</v>
      </c>
      <c r="K123" s="414">
        <f t="shared" si="59"/>
        <v>1</v>
      </c>
      <c r="L123" s="414">
        <f t="shared" si="59"/>
        <v>1</v>
      </c>
      <c r="M123" s="414">
        <f t="shared" si="59"/>
        <v>1</v>
      </c>
      <c r="N123" s="414">
        <f t="shared" si="59"/>
        <v>1</v>
      </c>
      <c r="O123" s="414">
        <f t="shared" si="59"/>
        <v>1</v>
      </c>
      <c r="P123" s="414">
        <f t="shared" si="59"/>
        <v>1</v>
      </c>
      <c r="Q123" s="414">
        <f t="shared" si="59"/>
        <v>1</v>
      </c>
      <c r="R123" s="414">
        <f t="shared" si="59"/>
        <v>1</v>
      </c>
      <c r="S123" s="414">
        <f t="shared" si="59"/>
        <v>1</v>
      </c>
      <c r="T123" s="414">
        <f t="shared" si="59"/>
        <v>1</v>
      </c>
      <c r="U123" s="414">
        <f t="shared" si="59"/>
        <v>1</v>
      </c>
      <c r="V123" s="414">
        <f t="shared" si="59"/>
        <v>1</v>
      </c>
      <c r="W123" s="414">
        <f t="shared" si="59"/>
        <v>1</v>
      </c>
      <c r="X123" s="414">
        <f t="shared" si="59"/>
        <v>1</v>
      </c>
      <c r="Y123" s="414">
        <f t="shared" si="59"/>
        <v>1</v>
      </c>
      <c r="Z123" s="414">
        <f t="shared" si="59"/>
        <v>1</v>
      </c>
      <c r="AA123" s="414">
        <f t="shared" si="59"/>
        <v>1</v>
      </c>
      <c r="AB123" s="414">
        <f t="shared" si="59"/>
        <v>1</v>
      </c>
      <c r="AC123" s="414">
        <f t="shared" si="59"/>
        <v>1</v>
      </c>
      <c r="AD123" s="414">
        <f t="shared" si="59"/>
        <v>1</v>
      </c>
      <c r="AE123" s="414">
        <f t="shared" si="59"/>
        <v>1</v>
      </c>
      <c r="AF123" s="414">
        <f t="shared" si="59"/>
        <v>1</v>
      </c>
      <c r="AG123" s="414">
        <f t="shared" si="59"/>
        <v>1</v>
      </c>
      <c r="AH123" s="414">
        <f t="shared" si="59"/>
        <v>1</v>
      </c>
      <c r="AI123" s="414">
        <f t="shared" si="59"/>
        <v>1</v>
      </c>
      <c r="AJ123" s="414">
        <f t="shared" si="59"/>
        <v>1</v>
      </c>
      <c r="AK123" s="414">
        <f t="shared" si="59"/>
        <v>1</v>
      </c>
      <c r="AL123" s="414">
        <f t="shared" si="59"/>
        <v>1</v>
      </c>
    </row>
    <row r="124" spans="1:38">
      <c r="B124" s="433" t="s">
        <v>675</v>
      </c>
      <c r="C124" s="434" t="s">
        <v>676</v>
      </c>
      <c r="D124" s="426">
        <f>EXP(0.188*$E$5)</f>
        <v>1.2068335153496053</v>
      </c>
      <c r="E124" s="426">
        <f t="shared" ref="E124:AL124" si="60">EXP(0.188*$E$5)</f>
        <v>1.2068335153496053</v>
      </c>
      <c r="F124" s="426">
        <f t="shared" si="60"/>
        <v>1.2068335153496053</v>
      </c>
      <c r="G124" s="426">
        <f t="shared" si="60"/>
        <v>1.2068335153496053</v>
      </c>
      <c r="H124" s="426">
        <f t="shared" si="60"/>
        <v>1.2068335153496053</v>
      </c>
      <c r="I124" s="426">
        <f t="shared" si="60"/>
        <v>1.2068335153496053</v>
      </c>
      <c r="J124" s="426">
        <f t="shared" si="60"/>
        <v>1.2068335153496053</v>
      </c>
      <c r="K124" s="426">
        <f t="shared" si="60"/>
        <v>1.2068335153496053</v>
      </c>
      <c r="L124" s="426">
        <f t="shared" si="60"/>
        <v>1.2068335153496053</v>
      </c>
      <c r="M124" s="426">
        <f t="shared" si="60"/>
        <v>1.2068335153496053</v>
      </c>
      <c r="N124" s="426">
        <f t="shared" si="60"/>
        <v>1.2068335153496053</v>
      </c>
      <c r="O124" s="426">
        <f t="shared" si="60"/>
        <v>1.2068335153496053</v>
      </c>
      <c r="P124" s="426">
        <f t="shared" si="60"/>
        <v>1.2068335153496053</v>
      </c>
      <c r="Q124" s="426">
        <f t="shared" si="60"/>
        <v>1.2068335153496053</v>
      </c>
      <c r="R124" s="426">
        <f t="shared" si="60"/>
        <v>1.2068335153496053</v>
      </c>
      <c r="S124" s="426">
        <f t="shared" si="60"/>
        <v>1.2068335153496053</v>
      </c>
      <c r="T124" s="426">
        <f t="shared" si="60"/>
        <v>1.2068335153496053</v>
      </c>
      <c r="U124" s="426">
        <f t="shared" si="60"/>
        <v>1.2068335153496053</v>
      </c>
      <c r="V124" s="426">
        <f t="shared" si="60"/>
        <v>1.2068335153496053</v>
      </c>
      <c r="W124" s="426">
        <f t="shared" si="60"/>
        <v>1.2068335153496053</v>
      </c>
      <c r="X124" s="426">
        <f t="shared" si="60"/>
        <v>1.2068335153496053</v>
      </c>
      <c r="Y124" s="426">
        <f t="shared" si="60"/>
        <v>1.2068335153496053</v>
      </c>
      <c r="Z124" s="426">
        <f t="shared" si="60"/>
        <v>1.2068335153496053</v>
      </c>
      <c r="AA124" s="426">
        <f t="shared" si="60"/>
        <v>1.2068335153496053</v>
      </c>
      <c r="AB124" s="426">
        <f t="shared" si="60"/>
        <v>1.2068335153496053</v>
      </c>
      <c r="AC124" s="426">
        <f t="shared" si="60"/>
        <v>1.2068335153496053</v>
      </c>
      <c r="AD124" s="426">
        <f t="shared" si="60"/>
        <v>1.2068335153496053</v>
      </c>
      <c r="AE124" s="426">
        <f t="shared" si="60"/>
        <v>1.2068335153496053</v>
      </c>
      <c r="AF124" s="426">
        <f t="shared" si="60"/>
        <v>1.2068335153496053</v>
      </c>
      <c r="AG124" s="426">
        <f t="shared" si="60"/>
        <v>1.2068335153496053</v>
      </c>
      <c r="AH124" s="426">
        <f t="shared" si="60"/>
        <v>1.2068335153496053</v>
      </c>
      <c r="AI124" s="426">
        <f t="shared" si="60"/>
        <v>1.2068335153496053</v>
      </c>
      <c r="AJ124" s="426">
        <f t="shared" si="60"/>
        <v>1.2068335153496053</v>
      </c>
      <c r="AK124" s="426">
        <f t="shared" si="60"/>
        <v>1.2068335153496053</v>
      </c>
      <c r="AL124" s="426">
        <f t="shared" si="60"/>
        <v>1.2068335153496053</v>
      </c>
    </row>
    <row r="125" spans="1:38">
      <c r="B125" s="362"/>
      <c r="C125" s="427" t="s">
        <v>290</v>
      </c>
    </row>
    <row r="126" spans="1:38">
      <c r="B126" s="362" t="s">
        <v>677</v>
      </c>
      <c r="C126" s="406">
        <v>695</v>
      </c>
      <c r="D126" s="435">
        <f>1/(1+$C$64*PRODUCT(D$59:D$62))</f>
        <v>1.2523787525043351E-2</v>
      </c>
      <c r="E126" s="435">
        <f t="shared" ref="E126:AL126" si="61">1/(1+$C$64*PRODUCT(E$59:E$62))</f>
        <v>1.2535281963969649E-2</v>
      </c>
      <c r="F126" s="435">
        <f t="shared" si="61"/>
        <v>1.2546803868115417E-2</v>
      </c>
      <c r="G126" s="435">
        <f t="shared" si="61"/>
        <v>1.2558353163824159E-2</v>
      </c>
      <c r="H126" s="435">
        <f t="shared" si="61"/>
        <v>1.2569929777658998E-2</v>
      </c>
      <c r="I126" s="435">
        <f t="shared" si="61"/>
        <v>1.2581533636408937E-2</v>
      </c>
      <c r="J126" s="435">
        <f t="shared" si="61"/>
        <v>1.2593164667094986E-2</v>
      </c>
      <c r="K126" s="435">
        <f t="shared" si="61"/>
        <v>1.2604822796976212E-2</v>
      </c>
      <c r="L126" s="435">
        <f t="shared" si="61"/>
        <v>1.2616507953555609E-2</v>
      </c>
      <c r="M126" s="435">
        <f t="shared" si="61"/>
        <v>1.2628220064585876E-2</v>
      </c>
      <c r="N126" s="435">
        <f t="shared" si="61"/>
        <v>1.2639959058075053E-2</v>
      </c>
      <c r="O126" s="435">
        <f t="shared" si="61"/>
        <v>1.2651724862292059E-2</v>
      </c>
      <c r="P126" s="435">
        <f t="shared" si="61"/>
        <v>1.2663517405772056E-2</v>
      </c>
      <c r="Q126" s="435">
        <f t="shared" si="61"/>
        <v>1.2675336617321769E-2</v>
      </c>
      <c r="R126" s="435">
        <f t="shared" si="61"/>
        <v>1.2687182426024598E-2</v>
      </c>
      <c r="S126" s="435">
        <f t="shared" si="61"/>
        <v>1.2699054761245677E-2</v>
      </c>
      <c r="T126" s="435">
        <f t="shared" si="61"/>
        <v>1.2710953552636789E-2</v>
      </c>
      <c r="U126" s="435">
        <f t="shared" si="61"/>
        <v>1.2722878730141156E-2</v>
      </c>
      <c r="V126" s="435">
        <f t="shared" si="61"/>
        <v>1.2734830223998114E-2</v>
      </c>
      <c r="W126" s="435">
        <f t="shared" si="61"/>
        <v>1.2746807964747694E-2</v>
      </c>
      <c r="X126" s="435">
        <f t="shared" si="61"/>
        <v>1.2758811883235069E-2</v>
      </c>
      <c r="Y126" s="435">
        <f t="shared" si="61"/>
        <v>1.2770841910614861E-2</v>
      </c>
      <c r="Z126" s="435">
        <f t="shared" si="61"/>
        <v>1.2782897978355421E-2</v>
      </c>
      <c r="AA126" s="435">
        <f t="shared" si="61"/>
        <v>1.2794980018242866E-2</v>
      </c>
      <c r="AB126" s="435">
        <f t="shared" si="61"/>
        <v>1.2807087962385151E-2</v>
      </c>
      <c r="AC126" s="435">
        <f t="shared" si="61"/>
        <v>1.2819221743215897E-2</v>
      </c>
      <c r="AD126" s="435">
        <f t="shared" si="61"/>
        <v>1.2831381293498223E-2</v>
      </c>
      <c r="AE126" s="435">
        <f t="shared" si="61"/>
        <v>1.2843566546328381E-2</v>
      </c>
      <c r="AF126" s="435">
        <f t="shared" si="61"/>
        <v>1.2855777435139356E-2</v>
      </c>
      <c r="AG126" s="435">
        <f t="shared" si="61"/>
        <v>1.2868013893704297E-2</v>
      </c>
      <c r="AH126" s="435">
        <f t="shared" si="61"/>
        <v>1.2880275856139899E-2</v>
      </c>
      <c r="AI126" s="435">
        <f t="shared" si="61"/>
        <v>1.2892563256909646E-2</v>
      </c>
      <c r="AJ126" s="435">
        <f t="shared" si="61"/>
        <v>1.2904876030826967E-2</v>
      </c>
      <c r="AK126" s="435">
        <f t="shared" si="61"/>
        <v>1.2917214113058295E-2</v>
      </c>
      <c r="AL126" s="435">
        <f t="shared" si="61"/>
        <v>1.2929577439126011E-2</v>
      </c>
    </row>
    <row r="127" spans="1:38">
      <c r="H127" s="1228"/>
    </row>
    <row r="128" spans="1:38" ht="13">
      <c r="B128" s="407" t="s">
        <v>678</v>
      </c>
      <c r="C128" s="396" t="s">
        <v>627</v>
      </c>
      <c r="D128" s="397">
        <v>2018</v>
      </c>
      <c r="E128" s="397">
        <v>2020</v>
      </c>
      <c r="F128" s="397">
        <v>2021</v>
      </c>
      <c r="G128" s="397">
        <v>2022</v>
      </c>
      <c r="H128" s="1238">
        <v>2023</v>
      </c>
      <c r="I128" s="397">
        <v>2024</v>
      </c>
      <c r="J128" s="397">
        <v>2025</v>
      </c>
      <c r="K128" s="397">
        <v>2026</v>
      </c>
      <c r="L128" s="397">
        <v>2027</v>
      </c>
      <c r="M128" s="397">
        <v>2028</v>
      </c>
      <c r="N128" s="397">
        <v>2029</v>
      </c>
      <c r="O128" s="397">
        <v>2030</v>
      </c>
      <c r="P128" s="397">
        <v>2031</v>
      </c>
      <c r="Q128" s="397">
        <v>2032</v>
      </c>
      <c r="R128" s="397">
        <v>2033</v>
      </c>
      <c r="S128" s="397">
        <v>2034</v>
      </c>
      <c r="T128" s="397">
        <v>2035</v>
      </c>
      <c r="U128" s="397">
        <v>2036</v>
      </c>
      <c r="V128" s="397">
        <v>2037</v>
      </c>
      <c r="W128" s="397">
        <v>2038</v>
      </c>
      <c r="X128" s="397">
        <v>2039</v>
      </c>
      <c r="Y128" s="397">
        <v>2040</v>
      </c>
      <c r="Z128" s="397">
        <v>2041</v>
      </c>
      <c r="AA128" s="397">
        <v>2042</v>
      </c>
      <c r="AB128" s="397">
        <v>2043</v>
      </c>
      <c r="AC128" s="397">
        <v>2044</v>
      </c>
      <c r="AD128" s="397">
        <v>2044</v>
      </c>
      <c r="AE128" s="397">
        <v>2044</v>
      </c>
      <c r="AF128" s="397">
        <v>2044</v>
      </c>
      <c r="AG128" s="397">
        <v>2044</v>
      </c>
      <c r="AH128" s="397">
        <v>2044</v>
      </c>
      <c r="AI128" s="397">
        <v>2044</v>
      </c>
      <c r="AJ128" s="397">
        <v>2044</v>
      </c>
      <c r="AK128" s="397">
        <v>2044</v>
      </c>
      <c r="AL128" s="397">
        <v>2044</v>
      </c>
    </row>
    <row r="129" spans="2:38">
      <c r="B129" s="358" t="s">
        <v>679</v>
      </c>
      <c r="C129" s="436" t="s">
        <v>680</v>
      </c>
      <c r="D129" s="437">
        <f>D$64</f>
        <v>1.2523787525043351E-2</v>
      </c>
      <c r="E129" s="437">
        <f t="shared" ref="E129:AL129" si="62">E$64</f>
        <v>1.2535281963969649E-2</v>
      </c>
      <c r="F129" s="437">
        <f t="shared" si="62"/>
        <v>1.2546803868115417E-2</v>
      </c>
      <c r="G129" s="437">
        <f t="shared" si="62"/>
        <v>1.2558353163824159E-2</v>
      </c>
      <c r="H129" s="437">
        <f t="shared" si="62"/>
        <v>1.2569929777658998E-2</v>
      </c>
      <c r="I129" s="437">
        <f t="shared" si="62"/>
        <v>1.2581533636408937E-2</v>
      </c>
      <c r="J129" s="437">
        <f t="shared" si="62"/>
        <v>1.2593164667094986E-2</v>
      </c>
      <c r="K129" s="437">
        <f t="shared" si="62"/>
        <v>1.2604822796976212E-2</v>
      </c>
      <c r="L129" s="437">
        <f t="shared" si="62"/>
        <v>1.2616507953555609E-2</v>
      </c>
      <c r="M129" s="437">
        <f t="shared" si="62"/>
        <v>1.2628220064585876E-2</v>
      </c>
      <c r="N129" s="437">
        <f t="shared" si="62"/>
        <v>1.2639959058075053E-2</v>
      </c>
      <c r="O129" s="437">
        <f t="shared" si="62"/>
        <v>1.2651724862292059E-2</v>
      </c>
      <c r="P129" s="437">
        <f t="shared" si="62"/>
        <v>1.2663517405772056E-2</v>
      </c>
      <c r="Q129" s="437">
        <f t="shared" si="62"/>
        <v>1.2675336617321769E-2</v>
      </c>
      <c r="R129" s="437">
        <f t="shared" si="62"/>
        <v>1.2687182426024598E-2</v>
      </c>
      <c r="S129" s="437">
        <f t="shared" si="62"/>
        <v>1.2699054761245677E-2</v>
      </c>
      <c r="T129" s="437">
        <f t="shared" si="62"/>
        <v>1.2710953552636789E-2</v>
      </c>
      <c r="U129" s="437">
        <f t="shared" si="62"/>
        <v>1.2722878730141156E-2</v>
      </c>
      <c r="V129" s="437">
        <f t="shared" si="62"/>
        <v>1.2734830223998114E-2</v>
      </c>
      <c r="W129" s="437">
        <f t="shared" si="62"/>
        <v>1.2746807964747694E-2</v>
      </c>
      <c r="X129" s="437">
        <f t="shared" si="62"/>
        <v>1.2758811883235069E-2</v>
      </c>
      <c r="Y129" s="437">
        <f t="shared" si="62"/>
        <v>1.2770841910614861E-2</v>
      </c>
      <c r="Z129" s="437">
        <f t="shared" si="62"/>
        <v>1.2782897978355421E-2</v>
      </c>
      <c r="AA129" s="437">
        <f t="shared" si="62"/>
        <v>1.2794980018242866E-2</v>
      </c>
      <c r="AB129" s="437">
        <f t="shared" si="62"/>
        <v>1.2807087962385151E-2</v>
      </c>
      <c r="AC129" s="437">
        <f t="shared" si="62"/>
        <v>1.2819221743215897E-2</v>
      </c>
      <c r="AD129" s="437">
        <f t="shared" si="62"/>
        <v>1.2831381293498223E-2</v>
      </c>
      <c r="AE129" s="437">
        <f t="shared" si="62"/>
        <v>1.2843566546328381E-2</v>
      </c>
      <c r="AF129" s="437">
        <f t="shared" si="62"/>
        <v>1.2855777435139356E-2</v>
      </c>
      <c r="AG129" s="437">
        <f t="shared" si="62"/>
        <v>1.2868013893704297E-2</v>
      </c>
      <c r="AH129" s="437">
        <f t="shared" si="62"/>
        <v>1.2880275856139899E-2</v>
      </c>
      <c r="AI129" s="437">
        <f t="shared" si="62"/>
        <v>1.2892563256909646E-2</v>
      </c>
      <c r="AJ129" s="437">
        <f t="shared" si="62"/>
        <v>1.2904876030826967E-2</v>
      </c>
      <c r="AK129" s="437">
        <f t="shared" si="62"/>
        <v>1.2917214113058295E-2</v>
      </c>
      <c r="AL129" s="437">
        <f t="shared" si="62"/>
        <v>1.2929577439126011E-2</v>
      </c>
    </row>
    <row r="130" spans="2:38">
      <c r="B130" s="358" t="s">
        <v>681</v>
      </c>
      <c r="C130" s="419" t="s">
        <v>682</v>
      </c>
      <c r="D130" s="414">
        <f>1-D129</f>
        <v>0.98747621247495665</v>
      </c>
      <c r="E130" s="414">
        <f t="shared" ref="E130:AK130" si="63">1-E129</f>
        <v>0.98746471803603031</v>
      </c>
      <c r="F130" s="414">
        <f t="shared" si="63"/>
        <v>0.98745319613188454</v>
      </c>
      <c r="G130" s="414">
        <f t="shared" si="63"/>
        <v>0.98744164683617586</v>
      </c>
      <c r="H130" s="414">
        <f t="shared" si="63"/>
        <v>0.98743007022234097</v>
      </c>
      <c r="I130" s="414">
        <f t="shared" si="63"/>
        <v>0.9874184663635911</v>
      </c>
      <c r="J130" s="414">
        <f t="shared" si="63"/>
        <v>0.98740683533290496</v>
      </c>
      <c r="K130" s="414">
        <f t="shared" si="63"/>
        <v>0.98739517720302383</v>
      </c>
      <c r="L130" s="414">
        <f t="shared" si="63"/>
        <v>0.98738349204644438</v>
      </c>
      <c r="M130" s="414">
        <f t="shared" si="63"/>
        <v>0.98737177993541414</v>
      </c>
      <c r="N130" s="414">
        <f t="shared" si="63"/>
        <v>0.98736004094192498</v>
      </c>
      <c r="O130" s="414">
        <f t="shared" si="63"/>
        <v>0.98734827513770795</v>
      </c>
      <c r="P130" s="414">
        <f t="shared" si="63"/>
        <v>0.9873364825942279</v>
      </c>
      <c r="Q130" s="414">
        <f t="shared" si="63"/>
        <v>0.98732466338267821</v>
      </c>
      <c r="R130" s="414">
        <f t="shared" si="63"/>
        <v>0.98731281757397538</v>
      </c>
      <c r="S130" s="414">
        <f t="shared" si="63"/>
        <v>0.98730094523875433</v>
      </c>
      <c r="T130" s="414">
        <f t="shared" si="63"/>
        <v>0.98728904644736326</v>
      </c>
      <c r="U130" s="414">
        <f t="shared" si="63"/>
        <v>0.98727712126985889</v>
      </c>
      <c r="V130" s="414">
        <f t="shared" si="63"/>
        <v>0.98726516977600187</v>
      </c>
      <c r="W130" s="414">
        <f t="shared" si="63"/>
        <v>0.9872531920352523</v>
      </c>
      <c r="X130" s="414">
        <f t="shared" si="63"/>
        <v>0.98724118811676498</v>
      </c>
      <c r="Y130" s="414">
        <f t="shared" si="63"/>
        <v>0.98722915808938516</v>
      </c>
      <c r="Z130" s="414">
        <f t="shared" si="63"/>
        <v>0.98721710202164459</v>
      </c>
      <c r="AA130" s="414">
        <f t="shared" si="63"/>
        <v>0.98720501998175714</v>
      </c>
      <c r="AB130" s="414">
        <f t="shared" si="63"/>
        <v>0.98719291203761483</v>
      </c>
      <c r="AC130" s="414">
        <f t="shared" si="63"/>
        <v>0.98718077825678407</v>
      </c>
      <c r="AD130" s="414">
        <f t="shared" si="63"/>
        <v>0.98716861870650174</v>
      </c>
      <c r="AE130" s="414">
        <f t="shared" si="63"/>
        <v>0.98715643345367166</v>
      </c>
      <c r="AF130" s="414">
        <f t="shared" si="63"/>
        <v>0.98714422256486067</v>
      </c>
      <c r="AG130" s="414">
        <f t="shared" si="63"/>
        <v>0.98713198610629571</v>
      </c>
      <c r="AH130" s="414">
        <f t="shared" si="63"/>
        <v>0.98711972414386007</v>
      </c>
      <c r="AI130" s="414">
        <f t="shared" si="63"/>
        <v>0.98710743674309032</v>
      </c>
      <c r="AJ130" s="414">
        <f t="shared" si="63"/>
        <v>0.98709512396917298</v>
      </c>
      <c r="AK130" s="414">
        <f t="shared" si="63"/>
        <v>0.98708278588694176</v>
      </c>
      <c r="AL130" s="414">
        <f t="shared" ref="AL130" si="64">1-AL129</f>
        <v>0.98707042256087396</v>
      </c>
    </row>
    <row r="131" spans="2:38">
      <c r="B131" s="358" t="s">
        <v>671</v>
      </c>
      <c r="C131" s="419" t="s">
        <v>662</v>
      </c>
      <c r="D131" s="414">
        <f>D$20^(-0.2334)</f>
        <v>0.62482831374223813</v>
      </c>
      <c r="E131" s="414">
        <f t="shared" ref="E131:AL131" si="65">E$20^(-0.2334)</f>
        <v>0.62482831374223813</v>
      </c>
      <c r="F131" s="414">
        <f t="shared" si="65"/>
        <v>0.62482831374223813</v>
      </c>
      <c r="G131" s="414">
        <f t="shared" si="65"/>
        <v>0.62482831374223813</v>
      </c>
      <c r="H131" s="414">
        <f t="shared" si="65"/>
        <v>0.62482831374223813</v>
      </c>
      <c r="I131" s="414">
        <f t="shared" si="65"/>
        <v>0.62482831374223813</v>
      </c>
      <c r="J131" s="414">
        <f t="shared" si="65"/>
        <v>0.62482831374223813</v>
      </c>
      <c r="K131" s="414">
        <f t="shared" si="65"/>
        <v>0.62482831374223813</v>
      </c>
      <c r="L131" s="414">
        <f t="shared" si="65"/>
        <v>0.62482831374223813</v>
      </c>
      <c r="M131" s="414">
        <f t="shared" si="65"/>
        <v>0.62482831374223813</v>
      </c>
      <c r="N131" s="414">
        <f t="shared" si="65"/>
        <v>0.62482831374223813</v>
      </c>
      <c r="O131" s="414">
        <f t="shared" si="65"/>
        <v>0.62482831374223813</v>
      </c>
      <c r="P131" s="414">
        <f t="shared" si="65"/>
        <v>0.62482831374223813</v>
      </c>
      <c r="Q131" s="414">
        <f t="shared" si="65"/>
        <v>0.62482831374223813</v>
      </c>
      <c r="R131" s="414">
        <f t="shared" si="65"/>
        <v>0.62482831374223813</v>
      </c>
      <c r="S131" s="414">
        <f t="shared" si="65"/>
        <v>0.62482831374223813</v>
      </c>
      <c r="T131" s="414">
        <f t="shared" si="65"/>
        <v>0.62482831374223813</v>
      </c>
      <c r="U131" s="414">
        <f t="shared" si="65"/>
        <v>0.62482831374223813</v>
      </c>
      <c r="V131" s="414">
        <f t="shared" si="65"/>
        <v>0.62482831374223813</v>
      </c>
      <c r="W131" s="414">
        <f t="shared" si="65"/>
        <v>0.62482831374223813</v>
      </c>
      <c r="X131" s="414">
        <f t="shared" si="65"/>
        <v>0.62482831374223813</v>
      </c>
      <c r="Y131" s="414">
        <f t="shared" si="65"/>
        <v>0.62482831374223813</v>
      </c>
      <c r="Z131" s="414">
        <f t="shared" si="65"/>
        <v>0.62482831374223813</v>
      </c>
      <c r="AA131" s="414">
        <f t="shared" si="65"/>
        <v>0.62482831374223813</v>
      </c>
      <c r="AB131" s="414">
        <f t="shared" si="65"/>
        <v>0.62482831374223813</v>
      </c>
      <c r="AC131" s="414">
        <f t="shared" si="65"/>
        <v>0.62482831374223813</v>
      </c>
      <c r="AD131" s="414">
        <f t="shared" si="65"/>
        <v>0.62482831374223813</v>
      </c>
      <c r="AE131" s="414">
        <f t="shared" si="65"/>
        <v>0.62482831374223813</v>
      </c>
      <c r="AF131" s="414">
        <f t="shared" si="65"/>
        <v>0.62482831374223813</v>
      </c>
      <c r="AG131" s="414">
        <f t="shared" si="65"/>
        <v>0.62482831374223813</v>
      </c>
      <c r="AH131" s="414">
        <f t="shared" si="65"/>
        <v>0.62482831374223813</v>
      </c>
      <c r="AI131" s="414">
        <f t="shared" si="65"/>
        <v>0.62482831374223813</v>
      </c>
      <c r="AJ131" s="414">
        <f t="shared" si="65"/>
        <v>0.62482831374223813</v>
      </c>
      <c r="AK131" s="414">
        <f t="shared" si="65"/>
        <v>0.62482831374223813</v>
      </c>
      <c r="AL131" s="414">
        <f t="shared" si="65"/>
        <v>0.62482831374223813</v>
      </c>
    </row>
    <row r="132" spans="2:38">
      <c r="B132" s="358" t="s">
        <v>683</v>
      </c>
      <c r="C132" s="419" t="s">
        <v>684</v>
      </c>
      <c r="D132" s="414">
        <f>EXP(0.1176*$D$11)</f>
        <v>1.4230465056696404</v>
      </c>
      <c r="E132" s="414">
        <f t="shared" ref="E132:AL132" si="66">EXP(0.1176*$D$11)</f>
        <v>1.4230465056696404</v>
      </c>
      <c r="F132" s="414">
        <f t="shared" si="66"/>
        <v>1.4230465056696404</v>
      </c>
      <c r="G132" s="414">
        <f t="shared" si="66"/>
        <v>1.4230465056696404</v>
      </c>
      <c r="H132" s="414">
        <f t="shared" si="66"/>
        <v>1.4230465056696404</v>
      </c>
      <c r="I132" s="414">
        <f t="shared" si="66"/>
        <v>1.4230465056696404</v>
      </c>
      <c r="J132" s="414">
        <f t="shared" si="66"/>
        <v>1.4230465056696404</v>
      </c>
      <c r="K132" s="414">
        <f t="shared" si="66"/>
        <v>1.4230465056696404</v>
      </c>
      <c r="L132" s="414">
        <f t="shared" si="66"/>
        <v>1.4230465056696404</v>
      </c>
      <c r="M132" s="414">
        <f t="shared" si="66"/>
        <v>1.4230465056696404</v>
      </c>
      <c r="N132" s="414">
        <f t="shared" si="66"/>
        <v>1.4230465056696404</v>
      </c>
      <c r="O132" s="414">
        <f t="shared" si="66"/>
        <v>1.4230465056696404</v>
      </c>
      <c r="P132" s="414">
        <f t="shared" si="66"/>
        <v>1.4230465056696404</v>
      </c>
      <c r="Q132" s="414">
        <f t="shared" si="66"/>
        <v>1.4230465056696404</v>
      </c>
      <c r="R132" s="414">
        <f t="shared" si="66"/>
        <v>1.4230465056696404</v>
      </c>
      <c r="S132" s="414">
        <f t="shared" si="66"/>
        <v>1.4230465056696404</v>
      </c>
      <c r="T132" s="414">
        <f t="shared" si="66"/>
        <v>1.4230465056696404</v>
      </c>
      <c r="U132" s="414">
        <f t="shared" si="66"/>
        <v>1.4230465056696404</v>
      </c>
      <c r="V132" s="414">
        <f t="shared" si="66"/>
        <v>1.4230465056696404</v>
      </c>
      <c r="W132" s="414">
        <f t="shared" si="66"/>
        <v>1.4230465056696404</v>
      </c>
      <c r="X132" s="414">
        <f t="shared" si="66"/>
        <v>1.4230465056696404</v>
      </c>
      <c r="Y132" s="414">
        <f t="shared" si="66"/>
        <v>1.4230465056696404</v>
      </c>
      <c r="Z132" s="414">
        <f t="shared" si="66"/>
        <v>1.4230465056696404</v>
      </c>
      <c r="AA132" s="414">
        <f t="shared" si="66"/>
        <v>1.4230465056696404</v>
      </c>
      <c r="AB132" s="414">
        <f t="shared" si="66"/>
        <v>1.4230465056696404</v>
      </c>
      <c r="AC132" s="414">
        <f t="shared" si="66"/>
        <v>1.4230465056696404</v>
      </c>
      <c r="AD132" s="414">
        <f t="shared" si="66"/>
        <v>1.4230465056696404</v>
      </c>
      <c r="AE132" s="414">
        <f t="shared" si="66"/>
        <v>1.4230465056696404</v>
      </c>
      <c r="AF132" s="414">
        <f t="shared" si="66"/>
        <v>1.4230465056696404</v>
      </c>
      <c r="AG132" s="414">
        <f t="shared" si="66"/>
        <v>1.4230465056696404</v>
      </c>
      <c r="AH132" s="414">
        <f t="shared" si="66"/>
        <v>1.4230465056696404</v>
      </c>
      <c r="AI132" s="414">
        <f t="shared" si="66"/>
        <v>1.4230465056696404</v>
      </c>
      <c r="AJ132" s="414">
        <f t="shared" si="66"/>
        <v>1.4230465056696404</v>
      </c>
      <c r="AK132" s="414">
        <f t="shared" si="66"/>
        <v>1.4230465056696404</v>
      </c>
      <c r="AL132" s="414">
        <f t="shared" si="66"/>
        <v>1.4230465056696404</v>
      </c>
    </row>
    <row r="133" spans="2:38">
      <c r="B133" s="433" t="s">
        <v>675</v>
      </c>
      <c r="C133" s="434" t="s">
        <v>676</v>
      </c>
      <c r="D133" s="426">
        <f>EXP(0.1844*$E$5)</f>
        <v>1.2024967255996286</v>
      </c>
      <c r="E133" s="426">
        <f t="shared" ref="E133:AL133" si="67">EXP(0.1844*$E$5)</f>
        <v>1.2024967255996286</v>
      </c>
      <c r="F133" s="426">
        <f t="shared" si="67"/>
        <v>1.2024967255996286</v>
      </c>
      <c r="G133" s="426">
        <f t="shared" si="67"/>
        <v>1.2024967255996286</v>
      </c>
      <c r="H133" s="426">
        <f t="shared" si="67"/>
        <v>1.2024967255996286</v>
      </c>
      <c r="I133" s="426">
        <f t="shared" si="67"/>
        <v>1.2024967255996286</v>
      </c>
      <c r="J133" s="426">
        <f t="shared" si="67"/>
        <v>1.2024967255996286</v>
      </c>
      <c r="K133" s="426">
        <f t="shared" si="67"/>
        <v>1.2024967255996286</v>
      </c>
      <c r="L133" s="426">
        <f t="shared" si="67"/>
        <v>1.2024967255996286</v>
      </c>
      <c r="M133" s="426">
        <f t="shared" si="67"/>
        <v>1.2024967255996286</v>
      </c>
      <c r="N133" s="426">
        <f t="shared" si="67"/>
        <v>1.2024967255996286</v>
      </c>
      <c r="O133" s="426">
        <f t="shared" si="67"/>
        <v>1.2024967255996286</v>
      </c>
      <c r="P133" s="426">
        <f t="shared" si="67"/>
        <v>1.2024967255996286</v>
      </c>
      <c r="Q133" s="426">
        <f t="shared" si="67"/>
        <v>1.2024967255996286</v>
      </c>
      <c r="R133" s="426">
        <f t="shared" si="67"/>
        <v>1.2024967255996286</v>
      </c>
      <c r="S133" s="426">
        <f t="shared" si="67"/>
        <v>1.2024967255996286</v>
      </c>
      <c r="T133" s="426">
        <f t="shared" si="67"/>
        <v>1.2024967255996286</v>
      </c>
      <c r="U133" s="426">
        <f t="shared" si="67"/>
        <v>1.2024967255996286</v>
      </c>
      <c r="V133" s="426">
        <f t="shared" si="67"/>
        <v>1.2024967255996286</v>
      </c>
      <c r="W133" s="426">
        <f t="shared" si="67"/>
        <v>1.2024967255996286</v>
      </c>
      <c r="X133" s="426">
        <f t="shared" si="67"/>
        <v>1.2024967255996286</v>
      </c>
      <c r="Y133" s="426">
        <f t="shared" si="67"/>
        <v>1.2024967255996286</v>
      </c>
      <c r="Z133" s="426">
        <f t="shared" si="67"/>
        <v>1.2024967255996286</v>
      </c>
      <c r="AA133" s="426">
        <f t="shared" si="67"/>
        <v>1.2024967255996286</v>
      </c>
      <c r="AB133" s="426">
        <f t="shared" si="67"/>
        <v>1.2024967255996286</v>
      </c>
      <c r="AC133" s="426">
        <f t="shared" si="67"/>
        <v>1.2024967255996286</v>
      </c>
      <c r="AD133" s="426">
        <f t="shared" si="67"/>
        <v>1.2024967255996286</v>
      </c>
      <c r="AE133" s="426">
        <f t="shared" si="67"/>
        <v>1.2024967255996286</v>
      </c>
      <c r="AF133" s="426">
        <f t="shared" si="67"/>
        <v>1.2024967255996286</v>
      </c>
      <c r="AG133" s="426">
        <f t="shared" si="67"/>
        <v>1.2024967255996286</v>
      </c>
      <c r="AH133" s="426">
        <f t="shared" si="67"/>
        <v>1.2024967255996286</v>
      </c>
      <c r="AI133" s="426">
        <f t="shared" si="67"/>
        <v>1.2024967255996286</v>
      </c>
      <c r="AJ133" s="426">
        <f t="shared" si="67"/>
        <v>1.2024967255996286</v>
      </c>
      <c r="AK133" s="426">
        <f t="shared" si="67"/>
        <v>1.2024967255996286</v>
      </c>
      <c r="AL133" s="426">
        <f t="shared" si="67"/>
        <v>1.2024967255996286</v>
      </c>
    </row>
    <row r="134" spans="2:38">
      <c r="B134" s="362"/>
      <c r="C134" s="427" t="s">
        <v>290</v>
      </c>
    </row>
    <row r="135" spans="2:38">
      <c r="B135" s="362" t="s">
        <v>685</v>
      </c>
      <c r="C135" s="438">
        <v>4.28</v>
      </c>
      <c r="D135" s="435">
        <f>D$130/(1+$C$135*PRODUCT(D$131:D$133))</f>
        <v>0.17708683427353974</v>
      </c>
      <c r="E135" s="435">
        <f t="shared" ref="E135:AL135" si="68">E$130/(1+$C$135*PRODUCT(E$131:E$133))</f>
        <v>0.17708477294408642</v>
      </c>
      <c r="F135" s="435">
        <f t="shared" si="68"/>
        <v>0.17708270668921952</v>
      </c>
      <c r="G135" s="435">
        <f t="shared" si="68"/>
        <v>0.17708063552214806</v>
      </c>
      <c r="H135" s="435">
        <f t="shared" si="68"/>
        <v>0.17707855945604162</v>
      </c>
      <c r="I135" s="435">
        <f t="shared" si="68"/>
        <v>0.17707647850402941</v>
      </c>
      <c r="J135" s="435">
        <f t="shared" si="68"/>
        <v>0.17707439267919886</v>
      </c>
      <c r="K135" s="435">
        <f t="shared" si="68"/>
        <v>0.17707230199459489</v>
      </c>
      <c r="L135" s="435">
        <f t="shared" si="68"/>
        <v>0.17707020646321855</v>
      </c>
      <c r="M135" s="435">
        <f t="shared" si="68"/>
        <v>0.17706810609802615</v>
      </c>
      <c r="N135" s="435">
        <f t="shared" si="68"/>
        <v>0.1770660009119282</v>
      </c>
      <c r="O135" s="435">
        <f t="shared" si="68"/>
        <v>0.17706389091778846</v>
      </c>
      <c r="P135" s="435">
        <f t="shared" si="68"/>
        <v>0.17706177612842286</v>
      </c>
      <c r="Q135" s="435">
        <f t="shared" si="68"/>
        <v>0.17705965655659875</v>
      </c>
      <c r="R135" s="435">
        <f t="shared" si="68"/>
        <v>0.17705753221503376</v>
      </c>
      <c r="S135" s="435">
        <f t="shared" si="68"/>
        <v>0.17705540311639506</v>
      </c>
      <c r="T135" s="435">
        <f t="shared" si="68"/>
        <v>0.17705326927329837</v>
      </c>
      <c r="U135" s="435">
        <f t="shared" si="68"/>
        <v>0.17705113069830719</v>
      </c>
      <c r="V135" s="435">
        <f t="shared" si="68"/>
        <v>0.17704898740393185</v>
      </c>
      <c r="W135" s="435">
        <f t="shared" si="68"/>
        <v>0.17704683940262883</v>
      </c>
      <c r="X135" s="435">
        <f t="shared" si="68"/>
        <v>0.17704468670679988</v>
      </c>
      <c r="Y135" s="435">
        <f t="shared" si="68"/>
        <v>0.17704252932879116</v>
      </c>
      <c r="Z135" s="435">
        <f t="shared" si="68"/>
        <v>0.1770403672808927</v>
      </c>
      <c r="AA135" s="435">
        <f t="shared" si="68"/>
        <v>0.17703820057533745</v>
      </c>
      <c r="AB135" s="435">
        <f t="shared" si="68"/>
        <v>0.1770360292243007</v>
      </c>
      <c r="AC135" s="435">
        <f t="shared" si="68"/>
        <v>0.17703385323989931</v>
      </c>
      <c r="AD135" s="435">
        <f t="shared" si="68"/>
        <v>0.17703167263419106</v>
      </c>
      <c r="AE135" s="435">
        <f t="shared" si="68"/>
        <v>0.17702948741917399</v>
      </c>
      <c r="AF135" s="435">
        <f t="shared" si="68"/>
        <v>0.17702729760678571</v>
      </c>
      <c r="AG135" s="435">
        <f t="shared" si="68"/>
        <v>0.17702510320890288</v>
      </c>
      <c r="AH135" s="435">
        <f t="shared" si="68"/>
        <v>0.17702290423734057</v>
      </c>
      <c r="AI135" s="435">
        <f t="shared" si="68"/>
        <v>0.17702070070385159</v>
      </c>
      <c r="AJ135" s="435">
        <f t="shared" si="68"/>
        <v>0.17701849262012601</v>
      </c>
      <c r="AK135" s="435">
        <f t="shared" si="68"/>
        <v>0.17701627999779068</v>
      </c>
      <c r="AL135" s="435">
        <f t="shared" si="68"/>
        <v>0.17701406284840848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theme="4" tint="-0.249977111117893"/>
  </sheetPr>
  <dimension ref="A1:AL53"/>
  <sheetViews>
    <sheetView showGridLines="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Inputs'!$F$49</f>
        <v>West Center</v>
      </c>
      <c r="B1" s="1177"/>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Demand!F20</f>
        <v>14456.119216728972</v>
      </c>
      <c r="E6" s="383">
        <f>Demand!G20</f>
        <v>14882.489254606689</v>
      </c>
      <c r="F6" s="383">
        <f>Demand!H20</f>
        <v>15321.434687476274</v>
      </c>
      <c r="G6" s="383">
        <f>Demand!I20</f>
        <v>15773.326415131689</v>
      </c>
      <c r="H6" s="383">
        <f>Demand!J20</f>
        <v>16238.546276717689</v>
      </c>
      <c r="I6" s="383">
        <f>Demand!K20</f>
        <v>16717.487373375981</v>
      </c>
      <c r="J6" s="383">
        <f>Demand!L20</f>
        <v>17210.55440040756</v>
      </c>
      <c r="K6" s="383">
        <f>Demand!M20</f>
        <v>17718.163989231824</v>
      </c>
      <c r="L6" s="383">
        <f>Demand!N20</f>
        <v>18240.745059431509</v>
      </c>
      <c r="M6" s="383">
        <f>Demand!O20</f>
        <v>18778.739181180834</v>
      </c>
      <c r="N6" s="383">
        <f>Demand!P20</f>
        <v>19332.600948363161</v>
      </c>
      <c r="O6" s="383">
        <f>Demand!Q20</f>
        <v>19902.798362693393</v>
      </c>
      <c r="P6" s="383">
        <f>Demand!R20</f>
        <v>20489.813229169733</v>
      </c>
      <c r="Q6" s="383">
        <f>Demand!S20</f>
        <v>21094.141563188918</v>
      </c>
      <c r="R6" s="383">
        <f>Demand!T20</f>
        <v>21716.294009668942</v>
      </c>
      <c r="S6" s="383">
        <f>Demand!U20</f>
        <v>22356.796274533452</v>
      </c>
      <c r="T6" s="383">
        <f>Demand!V20</f>
        <v>23016.189568922335</v>
      </c>
      <c r="U6" s="383">
        <f>Demand!W20</f>
        <v>23695.031066503911</v>
      </c>
      <c r="V6" s="383">
        <f>Demand!X20</f>
        <v>24393.894374275184</v>
      </c>
      <c r="W6" s="383">
        <f>Demand!Y20</f>
        <v>25113.370017247795</v>
      </c>
      <c r="X6" s="383">
        <f>Demand!Z20</f>
        <v>25854.065937429481</v>
      </c>
      <c r="Y6" s="383">
        <f>Demand!AA20</f>
        <v>26616.608007522424</v>
      </c>
      <c r="Z6" s="383">
        <f>Demand!AB20</f>
        <v>27401.64055977275</v>
      </c>
      <c r="AA6" s="383">
        <f>Demand!AC20</f>
        <v>28209.826930417916</v>
      </c>
      <c r="AB6" s="383">
        <f>Demand!AD20</f>
        <v>29041.850020192058</v>
      </c>
      <c r="AC6" s="383">
        <f>Demand!AE20</f>
        <v>29898.412871362994</v>
      </c>
      <c r="AD6" s="383">
        <f>Demand!AF20</f>
        <v>30780.239261788352</v>
      </c>
      <c r="AE6" s="383">
        <f>Demand!AG20</f>
        <v>31688.074316492861</v>
      </c>
      <c r="AF6" s="383">
        <f>Demand!AH20</f>
        <v>32622.685137283544</v>
      </c>
      <c r="AG6" s="383">
        <f>Demand!AI20</f>
        <v>33584.861450934884</v>
      </c>
      <c r="AH6" s="383">
        <f>Demand!AJ20</f>
        <v>34575.416276491531</v>
      </c>
      <c r="AI6" s="383">
        <f>Demand!AK20</f>
        <v>35595.186612252597</v>
      </c>
      <c r="AJ6" s="383">
        <f>Demand!AL20</f>
        <v>36645.034143017823</v>
      </c>
      <c r="AK6" s="383">
        <f>Demand!AM20</f>
        <v>37725.845968193411</v>
      </c>
      <c r="AL6" s="383">
        <f>Demand!AN20</f>
        <v>38838.535351372644</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Demand!F44</f>
        <v>8.0848515288584082</v>
      </c>
      <c r="E10" s="383">
        <f>Demand!G44</f>
        <v>8.1706030304605175</v>
      </c>
      <c r="F10" s="383">
        <f>Demand!H44</f>
        <v>8.2572640503142321</v>
      </c>
      <c r="G10" s="383">
        <f>Demand!I44</f>
        <v>8.3448442351713243</v>
      </c>
      <c r="H10" s="383">
        <f>Demand!J44</f>
        <v>8.4333533341012696</v>
      </c>
      <c r="I10" s="383">
        <f>Demand!K44</f>
        <v>8.5228011995764756</v>
      </c>
      <c r="J10" s="383">
        <f>Demand!L44</f>
        <v>8.6131977885690176</v>
      </c>
      <c r="K10" s="383">
        <f>Demand!M44</f>
        <v>8.7045531636590106</v>
      </c>
      <c r="L10" s="383">
        <f>Demand!N44</f>
        <v>8.7968774941547299</v>
      </c>
      <c r="M10" s="383">
        <f>Demand!O44</f>
        <v>8.8901810572246251</v>
      </c>
      <c r="N10" s="383">
        <f>Demand!P44</f>
        <v>8.9844742390413206</v>
      </c>
      <c r="O10" s="383">
        <f>Demand!Q44</f>
        <v>9.0797675359377763</v>
      </c>
      <c r="P10" s="383">
        <f>Demand!R44</f>
        <v>9.1760715555756835</v>
      </c>
      <c r="Q10" s="383">
        <f>Demand!S44</f>
        <v>9.2733970181262784</v>
      </c>
      <c r="R10" s="383">
        <f>Demand!T44</f>
        <v>9.3717547574636537</v>
      </c>
      <c r="S10" s="383">
        <f>Demand!U44</f>
        <v>9.4711557223707619</v>
      </c>
      <c r="T10" s="383">
        <f>Demand!V44</f>
        <v>9.5716109777581639</v>
      </c>
      <c r="U10" s="383">
        <f>Demand!W44</f>
        <v>9.6731317058957522</v>
      </c>
      <c r="V10" s="383">
        <f>Demand!X44</f>
        <v>9.775729207657502</v>
      </c>
      <c r="W10" s="383">
        <f>Demand!Y44</f>
        <v>9.8794149037794448</v>
      </c>
      <c r="X10" s="383">
        <f>Demand!Z44</f>
        <v>9.9842003361309732</v>
      </c>
      <c r="Y10" s="383">
        <f>Demand!AA44</f>
        <v>10.090097168999641</v>
      </c>
      <c r="Z10" s="383">
        <f>Demand!AB44</f>
        <v>10.19711719038958</v>
      </c>
      <c r="AA10" s="383">
        <f>Demand!AC44</f>
        <v>10.305272313333695</v>
      </c>
      <c r="AB10" s="383">
        <f>Demand!AD44</f>
        <v>10.414574577219767</v>
      </c>
      <c r="AC10" s="383">
        <f>Demand!AE44</f>
        <v>10.525036149130644</v>
      </c>
      <c r="AD10" s="383">
        <f>Demand!AF44</f>
        <v>10.636669325198612</v>
      </c>
      <c r="AE10" s="383">
        <f>Demand!AG44</f>
        <v>10.749486531974167</v>
      </c>
      <c r="AF10" s="383">
        <f>Demand!AH44</f>
        <v>10.863500327809277</v>
      </c>
      <c r="AG10" s="383">
        <f>Demand!AI44</f>
        <v>10.978723404255332</v>
      </c>
      <c r="AH10" s="383">
        <f>Demand!AJ44</f>
        <v>11.095168587475913</v>
      </c>
      <c r="AI10" s="383">
        <f>Demand!AK44</f>
        <v>11.212848839674553</v>
      </c>
      <c r="AJ10" s="383">
        <f>Demand!AL44</f>
        <v>11.331777260537629</v>
      </c>
      <c r="AK10" s="383">
        <f>Demand!AM44</f>
        <v>11.451967088692575</v>
      </c>
      <c r="AL10" s="383">
        <f>Demand!AN44</f>
        <v>11.573431703181543</v>
      </c>
    </row>
    <row r="11" spans="1:38">
      <c r="B11" s="363" t="s">
        <v>645</v>
      </c>
      <c r="C11" s="358" t="s">
        <v>1054</v>
      </c>
      <c r="D11" s="383">
        <f>Demand!F45</f>
        <v>4.0424257644292041</v>
      </c>
      <c r="E11" s="383">
        <f>Demand!G45</f>
        <v>4.0853015152302588</v>
      </c>
      <c r="F11" s="383">
        <f>Demand!H45</f>
        <v>4.128632025157116</v>
      </c>
      <c r="G11" s="383">
        <f>Demand!I45</f>
        <v>4.1724221175856622</v>
      </c>
      <c r="H11" s="383">
        <f>Demand!J45</f>
        <v>4.2166766670506348</v>
      </c>
      <c r="I11" s="383">
        <f>Demand!K45</f>
        <v>4.2614005997882378</v>
      </c>
      <c r="J11" s="383">
        <f>Demand!L45</f>
        <v>4.3065988942845088</v>
      </c>
      <c r="K11" s="383">
        <f>Demand!M45</f>
        <v>4.3522765818295053</v>
      </c>
      <c r="L11" s="383">
        <f>Demand!N45</f>
        <v>4.3984387470773649</v>
      </c>
      <c r="M11" s="383">
        <f>Demand!O45</f>
        <v>4.4450905286123126</v>
      </c>
      <c r="N11" s="383">
        <f>Demand!P45</f>
        <v>4.4922371195206603</v>
      </c>
      <c r="O11" s="383">
        <f>Demand!Q45</f>
        <v>4.5398837679688882</v>
      </c>
      <c r="P11" s="383">
        <f>Demand!R45</f>
        <v>4.5880357777878418</v>
      </c>
      <c r="Q11" s="383">
        <f>Demand!S45</f>
        <v>4.6366985090631392</v>
      </c>
      <c r="R11" s="383">
        <f>Demand!T45</f>
        <v>4.6858773787318269</v>
      </c>
      <c r="S11" s="383">
        <f>Demand!U45</f>
        <v>4.7355778611853809</v>
      </c>
      <c r="T11" s="383">
        <f>Demand!V45</f>
        <v>4.785805488879082</v>
      </c>
      <c r="U11" s="383">
        <f>Demand!W45</f>
        <v>4.8365658529478761</v>
      </c>
      <c r="V11" s="383">
        <f>Demand!X45</f>
        <v>4.887864603828751</v>
      </c>
      <c r="W11" s="383">
        <f>Demand!Y45</f>
        <v>4.9397074518897224</v>
      </c>
      <c r="X11" s="383">
        <f>Demand!Z45</f>
        <v>4.9921001680654866</v>
      </c>
      <c r="Y11" s="383">
        <f>Demand!AA45</f>
        <v>5.0450485844998205</v>
      </c>
      <c r="Z11" s="383">
        <f>Demand!AB45</f>
        <v>5.09855859519479</v>
      </c>
      <c r="AA11" s="383">
        <f>Demand!AC45</f>
        <v>5.1526361566668477</v>
      </c>
      <c r="AB11" s="383">
        <f>Demand!AD45</f>
        <v>5.2072872886098835</v>
      </c>
      <c r="AC11" s="383">
        <f>Demand!AE45</f>
        <v>5.2625180745653219</v>
      </c>
      <c r="AD11" s="383">
        <f>Demand!AF45</f>
        <v>5.3183346625993062</v>
      </c>
      <c r="AE11" s="383">
        <f>Demand!AG45</f>
        <v>5.3747432659870835</v>
      </c>
      <c r="AF11" s="383">
        <f>Demand!AH45</f>
        <v>5.4317501639046384</v>
      </c>
      <c r="AG11" s="383">
        <f>Demand!AI45</f>
        <v>5.4893617021276659</v>
      </c>
      <c r="AH11" s="383">
        <f>Demand!AJ45</f>
        <v>5.5475842937379563</v>
      </c>
      <c r="AI11" s="383">
        <f>Demand!AK45</f>
        <v>5.6064244198372766</v>
      </c>
      <c r="AJ11" s="383">
        <f>Demand!AL45</f>
        <v>5.6658886302688147</v>
      </c>
      <c r="AK11" s="383">
        <f>Demand!AM45</f>
        <v>5.7259835443462874</v>
      </c>
      <c r="AL11" s="383">
        <f>Demand!AN45</f>
        <v>5.7867158515907713</v>
      </c>
    </row>
    <row r="13" spans="1:38" ht="13">
      <c r="B13" s="502" t="s">
        <v>1059</v>
      </c>
      <c r="C13" s="497">
        <f>IF('Crossing Inputs'!$C$11&gt;0, 'Crossing Inputs'!$C$20/Feet.Per.Mile/'Crossing Inputs'!$F$59*60+IF('Crossing Inputs'!$F$53="Passive",0,'Crossing Inputs'!$C$21),0)</f>
        <v>9.5</v>
      </c>
    </row>
    <row r="14" spans="1:38">
      <c r="B14" s="571" t="s">
        <v>1058</v>
      </c>
      <c r="C14" s="572" t="s">
        <v>15</v>
      </c>
      <c r="D14" s="570">
        <f t="shared" ref="D14:AL14" si="2">(D$10*$C$13)/Minutes.Per.Day</f>
        <v>5.3337562169552002E-2</v>
      </c>
      <c r="E14" s="570">
        <f t="shared" si="2"/>
        <v>5.3903283881510361E-2</v>
      </c>
      <c r="F14" s="570">
        <f t="shared" si="2"/>
        <v>5.4475005887489727E-2</v>
      </c>
      <c r="G14" s="570">
        <f t="shared" si="2"/>
        <v>5.5052791829255265E-2</v>
      </c>
      <c r="H14" s="570">
        <f t="shared" si="2"/>
        <v>5.5636706023584767E-2</v>
      </c>
      <c r="I14" s="570">
        <f t="shared" si="2"/>
        <v>5.6226813469428136E-2</v>
      </c>
      <c r="J14" s="570">
        <f t="shared" si="2"/>
        <v>5.6823179855142826E-2</v>
      </c>
      <c r="K14" s="570">
        <f t="shared" si="2"/>
        <v>5.7425871565805968E-2</v>
      </c>
      <c r="L14" s="570">
        <f t="shared" si="2"/>
        <v>5.8034955690604122E-2</v>
      </c>
      <c r="M14" s="570">
        <f t="shared" si="2"/>
        <v>5.8650500030301346E-2</v>
      </c>
      <c r="N14" s="570">
        <f t="shared" si="2"/>
        <v>5.9272573104786494E-2</v>
      </c>
      <c r="O14" s="570">
        <f t="shared" si="2"/>
        <v>5.9901244160700605E-2</v>
      </c>
      <c r="P14" s="570">
        <f t="shared" si="2"/>
        <v>6.0536583179145134E-2</v>
      </c>
      <c r="Q14" s="570">
        <f t="shared" si="2"/>
        <v>6.1178660883471972E-2</v>
      </c>
      <c r="R14" s="570">
        <f t="shared" si="2"/>
        <v>6.1827548747156048E-2</v>
      </c>
      <c r="S14" s="570">
        <f t="shared" si="2"/>
        <v>6.2483319001751553E-2</v>
      </c>
      <c r="T14" s="570">
        <f t="shared" si="2"/>
        <v>6.3146044644932328E-2</v>
      </c>
      <c r="U14" s="570">
        <f t="shared" si="2"/>
        <v>6.3815799448617802E-2</v>
      </c>
      <c r="V14" s="570">
        <f t="shared" si="2"/>
        <v>6.449265796718491E-2</v>
      </c>
      <c r="W14" s="570">
        <f t="shared" si="2"/>
        <v>6.5176695545767174E-2</v>
      </c>
      <c r="X14" s="570">
        <f t="shared" si="2"/>
        <v>6.5867988328641838E-2</v>
      </c>
      <c r="Y14" s="570">
        <f t="shared" si="2"/>
        <v>6.6566613267705965E-2</v>
      </c>
      <c r="Z14" s="570">
        <f t="shared" si="2"/>
        <v>6.7272648131042362E-2</v>
      </c>
      <c r="AA14" s="570">
        <f t="shared" si="2"/>
        <v>6.798617151157646E-2</v>
      </c>
      <c r="AB14" s="570">
        <f t="shared" si="2"/>
        <v>6.8707262835824859E-2</v>
      </c>
      <c r="AC14" s="570">
        <f t="shared" si="2"/>
        <v>6.943600237273688E-2</v>
      </c>
      <c r="AD14" s="570">
        <f t="shared" si="2"/>
        <v>7.0172471242629736E-2</v>
      </c>
      <c r="AE14" s="570">
        <f t="shared" si="2"/>
        <v>7.0916751426218463E-2</v>
      </c>
      <c r="AF14" s="570">
        <f t="shared" si="2"/>
        <v>7.166892577374176E-2</v>
      </c>
      <c r="AG14" s="570">
        <f t="shared" si="2"/>
        <v>7.2429078014184481E-2</v>
      </c>
      <c r="AH14" s="570">
        <f t="shared" si="2"/>
        <v>7.3197292764598035E-2</v>
      </c>
      <c r="AI14" s="570">
        <f t="shared" si="2"/>
        <v>7.3973655539519623E-2</v>
      </c>
      <c r="AJ14" s="570">
        <f t="shared" si="2"/>
        <v>7.4758252760491306E-2</v>
      </c>
      <c r="AK14" s="570">
        <f t="shared" si="2"/>
        <v>7.5551171765680186E-2</v>
      </c>
      <c r="AL14" s="570">
        <f t="shared" si="2"/>
        <v>7.6352500819600447E-2</v>
      </c>
    </row>
    <row r="16" spans="1:38">
      <c r="B16" s="573" t="s">
        <v>1055</v>
      </c>
      <c r="C16" s="574" t="s">
        <v>505</v>
      </c>
      <c r="D16" s="383">
        <f t="shared" ref="D16:AK16" si="3">D6*D14</f>
        <v>771.05415745273694</v>
      </c>
      <c r="E16" s="383">
        <f t="shared" si="3"/>
        <v>802.21504315459185</v>
      </c>
      <c r="F16" s="383">
        <f t="shared" si="3"/>
        <v>834.63524480505941</v>
      </c>
      <c r="G16" s="383">
        <f t="shared" si="3"/>
        <v>868.36565558713812</v>
      </c>
      <c r="H16" s="383">
        <f t="shared" si="3"/>
        <v>903.45922544811901</v>
      </c>
      <c r="I16" s="383">
        <f t="shared" si="3"/>
        <v>939.97104422033146</v>
      </c>
      <c r="J16" s="383">
        <f t="shared" si="3"/>
        <v>977.95842810107854</v>
      </c>
      <c r="K16" s="383">
        <f t="shared" si="3"/>
        <v>1017.481009627515</v>
      </c>
      <c r="L16" s="383">
        <f t="shared" si="3"/>
        <v>1058.6008312877136</v>
      </c>
      <c r="M16" s="383">
        <f t="shared" si="3"/>
        <v>1101.3824429148676</v>
      </c>
      <c r="N16" s="383">
        <f t="shared" si="3"/>
        <v>1145.8930030175202</v>
      </c>
      <c r="O16" s="383">
        <f t="shared" si="3"/>
        <v>1192.2023842048891</v>
      </c>
      <c r="P16" s="383">
        <f t="shared" si="3"/>
        <v>1240.3832828727818</v>
      </c>
      <c r="Q16" s="383">
        <f t="shared" si="3"/>
        <v>1290.5113333222862</v>
      </c>
      <c r="R16" s="383">
        <f t="shared" si="3"/>
        <v>1342.6652264903794</v>
      </c>
      <c r="S16" s="383">
        <f t="shared" si="3"/>
        <v>1396.9268334788444</v>
      </c>
      <c r="T16" s="383">
        <f t="shared" si="3"/>
        <v>1453.3813340753954</v>
      </c>
      <c r="U16" s="383">
        <f t="shared" si="3"/>
        <v>1512.117350468782</v>
      </c>
      <c r="V16" s="383">
        <f t="shared" si="3"/>
        <v>1573.2270863677657</v>
      </c>
      <c r="W16" s="383">
        <f t="shared" si="3"/>
        <v>1636.8064717423572</v>
      </c>
      <c r="X16" s="383">
        <f t="shared" si="3"/>
        <v>1702.9553134145415</v>
      </c>
      <c r="Y16" s="383">
        <f t="shared" si="3"/>
        <v>1771.777451734871</v>
      </c>
      <c r="Z16" s="383">
        <f t="shared" si="3"/>
        <v>1843.3809235908909</v>
      </c>
      <c r="AA16" s="383">
        <f t="shared" si="3"/>
        <v>1917.8781320032808</v>
      </c>
      <c r="AB16" s="383">
        <f t="shared" si="3"/>
        <v>1995.3860225759413</v>
      </c>
      <c r="AC16" s="383">
        <f t="shared" si="3"/>
        <v>2076.0262670770276</v>
      </c>
      <c r="AD16" s="383">
        <f t="shared" si="3"/>
        <v>2159.925454439106</v>
      </c>
      <c r="AE16" s="383">
        <f t="shared" si="3"/>
        <v>2247.2152894782616</v>
      </c>
      <c r="AF16" s="383">
        <f t="shared" si="3"/>
        <v>2338.0327996441229</v>
      </c>
      <c r="AG16" s="383">
        <f t="shared" si="3"/>
        <v>2432.5205501253399</v>
      </c>
      <c r="AH16" s="383">
        <f t="shared" si="3"/>
        <v>2530.8268676481985</v>
      </c>
      <c r="AI16" s="383">
        <f t="shared" si="3"/>
        <v>2633.1060733196941</v>
      </c>
      <c r="AJ16" s="383">
        <f t="shared" si="3"/>
        <v>2739.5187248805605</v>
      </c>
      <c r="AK16" s="383">
        <f t="shared" si="3"/>
        <v>2850.2318687485736</v>
      </c>
      <c r="AL16" s="383">
        <f t="shared" ref="AL16" si="4">AL6*AL14</f>
        <v>2965.4193022477607</v>
      </c>
    </row>
    <row r="17" spans="2:38">
      <c r="B17" s="573" t="s">
        <v>1056</v>
      </c>
      <c r="C17" s="574" t="s">
        <v>490</v>
      </c>
      <c r="D17" s="383">
        <f>D16*$C13/2</f>
        <v>3662.5072479005003</v>
      </c>
      <c r="E17" s="383">
        <f t="shared" ref="E17:AK17" si="5">E16*$C13/2</f>
        <v>3810.5214549843113</v>
      </c>
      <c r="F17" s="383">
        <f t="shared" si="5"/>
        <v>3964.5174128240324</v>
      </c>
      <c r="G17" s="383">
        <f t="shared" si="5"/>
        <v>4124.7368640389059</v>
      </c>
      <c r="H17" s="383">
        <f t="shared" si="5"/>
        <v>4291.4313208785652</v>
      </c>
      <c r="I17" s="383">
        <f t="shared" si="5"/>
        <v>4464.8624600465746</v>
      </c>
      <c r="J17" s="383">
        <f t="shared" si="5"/>
        <v>4645.3025334801232</v>
      </c>
      <c r="K17" s="383">
        <f t="shared" si="5"/>
        <v>4833.0347957306967</v>
      </c>
      <c r="L17" s="383">
        <f t="shared" si="5"/>
        <v>5028.3539486166401</v>
      </c>
      <c r="M17" s="383">
        <f t="shared" si="5"/>
        <v>5231.5666038456211</v>
      </c>
      <c r="N17" s="383">
        <f t="shared" si="5"/>
        <v>5442.991764333221</v>
      </c>
      <c r="O17" s="383">
        <f t="shared" si="5"/>
        <v>5662.9613249732229</v>
      </c>
      <c r="P17" s="383">
        <f t="shared" si="5"/>
        <v>5891.8205936457134</v>
      </c>
      <c r="Q17" s="383">
        <f t="shared" si="5"/>
        <v>6129.9288332808592</v>
      </c>
      <c r="R17" s="383">
        <f t="shared" si="5"/>
        <v>6377.6598258293025</v>
      </c>
      <c r="S17" s="383">
        <f t="shared" si="5"/>
        <v>6635.4024590245108</v>
      </c>
      <c r="T17" s="383">
        <f t="shared" si="5"/>
        <v>6903.561336858128</v>
      </c>
      <c r="U17" s="383">
        <f t="shared" si="5"/>
        <v>7182.5574147267143</v>
      </c>
      <c r="V17" s="383">
        <f t="shared" si="5"/>
        <v>7472.828660246887</v>
      </c>
      <c r="W17" s="383">
        <f t="shared" si="5"/>
        <v>7774.8307407761968</v>
      </c>
      <c r="X17" s="383">
        <f t="shared" si="5"/>
        <v>8089.037738719072</v>
      </c>
      <c r="Y17" s="383">
        <f t="shared" si="5"/>
        <v>8415.9428957406362</v>
      </c>
      <c r="Z17" s="383">
        <f t="shared" si="5"/>
        <v>8756.0593870567318</v>
      </c>
      <c r="AA17" s="383">
        <f t="shared" si="5"/>
        <v>9109.9211270155847</v>
      </c>
      <c r="AB17" s="383">
        <f t="shared" si="5"/>
        <v>9478.0836072357215</v>
      </c>
      <c r="AC17" s="383">
        <f t="shared" si="5"/>
        <v>9861.1247686158804</v>
      </c>
      <c r="AD17" s="383">
        <f t="shared" si="5"/>
        <v>10259.645908585753</v>
      </c>
      <c r="AE17" s="383">
        <f t="shared" si="5"/>
        <v>10674.272625021742</v>
      </c>
      <c r="AF17" s="383">
        <f t="shared" si="5"/>
        <v>11105.655798309584</v>
      </c>
      <c r="AG17" s="383">
        <f t="shared" si="5"/>
        <v>11554.472613095364</v>
      </c>
      <c r="AH17" s="383">
        <f t="shared" si="5"/>
        <v>12021.427621328943</v>
      </c>
      <c r="AI17" s="383">
        <f t="shared" si="5"/>
        <v>12507.253848268547</v>
      </c>
      <c r="AJ17" s="383">
        <f t="shared" si="5"/>
        <v>13012.713943182662</v>
      </c>
      <c r="AK17" s="383">
        <f t="shared" si="5"/>
        <v>13538.601376555724</v>
      </c>
      <c r="AL17" s="383">
        <f t="shared" ref="AL17" si="6">AL16*$C13/2</f>
        <v>14085.741685676863</v>
      </c>
    </row>
    <row r="18" spans="2:38">
      <c r="B18" s="575" t="s">
        <v>1057</v>
      </c>
      <c r="C18" s="574" t="s">
        <v>443</v>
      </c>
      <c r="D18" s="383">
        <f>D17/Minutes.per.Hour*Days.Per.Year</f>
        <v>22280.252424728045</v>
      </c>
      <c r="E18" s="383">
        <f t="shared" ref="E18:AK18" si="7">E17/Minutes.per.Hour*Days.Per.Year</f>
        <v>23180.672184487892</v>
      </c>
      <c r="F18" s="383">
        <f t="shared" si="7"/>
        <v>24117.480928012865</v>
      </c>
      <c r="G18" s="383">
        <f t="shared" si="7"/>
        <v>25092.14925623668</v>
      </c>
      <c r="H18" s="383">
        <f t="shared" si="7"/>
        <v>26106.207202011268</v>
      </c>
      <c r="I18" s="383">
        <f t="shared" si="7"/>
        <v>27161.246631949998</v>
      </c>
      <c r="J18" s="383">
        <f t="shared" si="7"/>
        <v>28258.923745337415</v>
      </c>
      <c r="K18" s="383">
        <f t="shared" si="7"/>
        <v>29400.961674028404</v>
      </c>
      <c r="L18" s="383">
        <f t="shared" si="7"/>
        <v>30589.153187417895</v>
      </c>
      <c r="M18" s="383">
        <f t="shared" si="7"/>
        <v>31825.363506727532</v>
      </c>
      <c r="N18" s="383">
        <f t="shared" si="7"/>
        <v>33111.533233027098</v>
      </c>
      <c r="O18" s="383">
        <f t="shared" si="7"/>
        <v>34449.681393587103</v>
      </c>
      <c r="P18" s="383">
        <f t="shared" si="7"/>
        <v>35841.908611344756</v>
      </c>
      <c r="Q18" s="383">
        <f t="shared" si="7"/>
        <v>37290.400402458559</v>
      </c>
      <c r="R18" s="383">
        <f t="shared" si="7"/>
        <v>38797.430607128255</v>
      </c>
      <c r="S18" s="383">
        <f t="shared" si="7"/>
        <v>40365.364959065773</v>
      </c>
      <c r="T18" s="383">
        <f t="shared" si="7"/>
        <v>41996.664799220278</v>
      </c>
      <c r="U18" s="383">
        <f t="shared" si="7"/>
        <v>43693.890939587516</v>
      </c>
      <c r="V18" s="383">
        <f t="shared" si="7"/>
        <v>45459.707683168563</v>
      </c>
      <c r="W18" s="383">
        <f t="shared" si="7"/>
        <v>47296.887006388533</v>
      </c>
      <c r="X18" s="383">
        <f t="shared" si="7"/>
        <v>49208.312910541019</v>
      </c>
      <c r="Y18" s="383">
        <f t="shared" si="7"/>
        <v>51196.98594908887</v>
      </c>
      <c r="Z18" s="383">
        <f t="shared" si="7"/>
        <v>53266.027937928447</v>
      </c>
      <c r="AA18" s="383">
        <f t="shared" si="7"/>
        <v>55418.686856011474</v>
      </c>
      <c r="AB18" s="383">
        <f t="shared" si="7"/>
        <v>57658.341944017309</v>
      </c>
      <c r="AC18" s="383">
        <f t="shared" si="7"/>
        <v>59988.509009079942</v>
      </c>
      <c r="AD18" s="383">
        <f t="shared" si="7"/>
        <v>62412.845943896667</v>
      </c>
      <c r="AE18" s="383">
        <f t="shared" si="7"/>
        <v>64935.158468882262</v>
      </c>
      <c r="AF18" s="383">
        <f t="shared" si="7"/>
        <v>67559.406106383307</v>
      </c>
      <c r="AG18" s="383">
        <f t="shared" si="7"/>
        <v>70289.708396330141</v>
      </c>
      <c r="AH18" s="383">
        <f t="shared" si="7"/>
        <v>73130.35136308441</v>
      </c>
      <c r="AI18" s="383">
        <f t="shared" si="7"/>
        <v>76085.79424363366</v>
      </c>
      <c r="AJ18" s="383">
        <f t="shared" si="7"/>
        <v>79160.676487694524</v>
      </c>
      <c r="AK18" s="383">
        <f t="shared" si="7"/>
        <v>82359.825040713986</v>
      </c>
      <c r="AL18" s="383">
        <f t="shared" ref="AL18" si="8">AL17/Minutes.per.Hour*Days.Per.Year</f>
        <v>85688.261921200916</v>
      </c>
    </row>
    <row r="20" spans="2:38">
      <c r="B20" s="575" t="s">
        <v>745</v>
      </c>
      <c r="C20" s="574" t="s">
        <v>443</v>
      </c>
      <c r="D20" s="383">
        <f>D18</f>
        <v>22280.252424728045</v>
      </c>
      <c r="E20" s="383">
        <f t="shared" ref="E20:AK20" si="9">E18</f>
        <v>23180.672184487892</v>
      </c>
      <c r="F20" s="383">
        <f t="shared" si="9"/>
        <v>24117.480928012865</v>
      </c>
      <c r="G20" s="383">
        <f t="shared" si="9"/>
        <v>25092.14925623668</v>
      </c>
      <c r="H20" s="383">
        <f t="shared" si="9"/>
        <v>26106.207202011268</v>
      </c>
      <c r="I20" s="383">
        <f t="shared" si="9"/>
        <v>27161.246631949998</v>
      </c>
      <c r="J20" s="383">
        <f t="shared" si="9"/>
        <v>28258.923745337415</v>
      </c>
      <c r="K20" s="383">
        <f t="shared" si="9"/>
        <v>29400.961674028404</v>
      </c>
      <c r="L20" s="383">
        <f t="shared" si="9"/>
        <v>30589.153187417895</v>
      </c>
      <c r="M20" s="383">
        <f t="shared" si="9"/>
        <v>31825.363506727532</v>
      </c>
      <c r="N20" s="383">
        <f t="shared" si="9"/>
        <v>33111.533233027098</v>
      </c>
      <c r="O20" s="383">
        <f t="shared" si="9"/>
        <v>34449.681393587103</v>
      </c>
      <c r="P20" s="383">
        <f t="shared" si="9"/>
        <v>35841.908611344756</v>
      </c>
      <c r="Q20" s="383">
        <f t="shared" si="9"/>
        <v>37290.400402458559</v>
      </c>
      <c r="R20" s="383">
        <f t="shared" si="9"/>
        <v>38797.430607128255</v>
      </c>
      <c r="S20" s="383">
        <f t="shared" si="9"/>
        <v>40365.364959065773</v>
      </c>
      <c r="T20" s="383">
        <f t="shared" si="9"/>
        <v>41996.664799220278</v>
      </c>
      <c r="U20" s="383">
        <f t="shared" si="9"/>
        <v>43693.890939587516</v>
      </c>
      <c r="V20" s="383">
        <f t="shared" si="9"/>
        <v>45459.707683168563</v>
      </c>
      <c r="W20" s="383">
        <f t="shared" si="9"/>
        <v>47296.887006388533</v>
      </c>
      <c r="X20" s="383">
        <f t="shared" si="9"/>
        <v>49208.312910541019</v>
      </c>
      <c r="Y20" s="383">
        <f t="shared" si="9"/>
        <v>51196.98594908887</v>
      </c>
      <c r="Z20" s="383">
        <f t="shared" si="9"/>
        <v>53266.027937928447</v>
      </c>
      <c r="AA20" s="383">
        <f t="shared" si="9"/>
        <v>55418.686856011474</v>
      </c>
      <c r="AB20" s="383">
        <f t="shared" si="9"/>
        <v>57658.341944017309</v>
      </c>
      <c r="AC20" s="383">
        <f t="shared" si="9"/>
        <v>59988.509009079942</v>
      </c>
      <c r="AD20" s="383">
        <f t="shared" si="9"/>
        <v>62412.845943896667</v>
      </c>
      <c r="AE20" s="383">
        <f t="shared" si="9"/>
        <v>64935.158468882262</v>
      </c>
      <c r="AF20" s="383">
        <f t="shared" si="9"/>
        <v>67559.406106383307</v>
      </c>
      <c r="AG20" s="383">
        <f t="shared" si="9"/>
        <v>70289.708396330141</v>
      </c>
      <c r="AH20" s="383">
        <f t="shared" si="9"/>
        <v>73130.35136308441</v>
      </c>
      <c r="AI20" s="383">
        <f t="shared" si="9"/>
        <v>76085.79424363366</v>
      </c>
      <c r="AJ20" s="383">
        <f t="shared" si="9"/>
        <v>79160.676487694524</v>
      </c>
      <c r="AK20" s="383">
        <f t="shared" si="9"/>
        <v>82359.825040713986</v>
      </c>
      <c r="AL20" s="383">
        <f t="shared" ref="AL20" si="10">AL18</f>
        <v>85688.261921200916</v>
      </c>
    </row>
    <row r="22" spans="2:38" ht="13">
      <c r="B22" s="502" t="s">
        <v>506</v>
      </c>
      <c r="C22" s="542">
        <f>SUMIFS('Crossing Inputs'!$C$67:$H$67,'Crossing Inputs'!$C$49:$H$49,$A$1)</f>
        <v>0.9</v>
      </c>
    </row>
    <row r="23" spans="2:38" ht="13">
      <c r="B23" s="502" t="s">
        <v>507</v>
      </c>
      <c r="C23" s="542">
        <f>SUMIFS('Crossing Inputs'!$C$68:$H$68,'Crossing Inputs'!$C$49:$H$49,$A$1)</f>
        <v>0.1</v>
      </c>
    </row>
    <row r="24" spans="2:38" ht="13">
      <c r="B24" s="502" t="s">
        <v>746</v>
      </c>
      <c r="C24" s="542">
        <f>SUMIFS('Crossing Inputs'!$C$69:$H$69,'Crossing Inputs'!$C$49:$H$49,$A$1)</f>
        <v>0</v>
      </c>
    </row>
    <row r="25" spans="2:38">
      <c r="B25" s="358" t="s">
        <v>508</v>
      </c>
      <c r="C25" s="358" t="s">
        <v>443</v>
      </c>
      <c r="D25" s="576">
        <f>D$20*$C22</f>
        <v>20052.227182255243</v>
      </c>
      <c r="E25" s="576">
        <f t="shared" ref="E25:AK27" si="11">E$20*$C22</f>
        <v>20862.604966039104</v>
      </c>
      <c r="F25" s="576">
        <f t="shared" si="11"/>
        <v>21705.73283521158</v>
      </c>
      <c r="G25" s="576">
        <f t="shared" si="11"/>
        <v>22582.934330613014</v>
      </c>
      <c r="H25" s="576">
        <f t="shared" si="11"/>
        <v>23495.586481810144</v>
      </c>
      <c r="I25" s="576">
        <f t="shared" si="11"/>
        <v>24445.121968755</v>
      </c>
      <c r="J25" s="576">
        <f t="shared" si="11"/>
        <v>25433.031370803674</v>
      </c>
      <c r="K25" s="576">
        <f t="shared" si="11"/>
        <v>26460.865506625563</v>
      </c>
      <c r="L25" s="576">
        <f t="shared" si="11"/>
        <v>27530.237868676104</v>
      </c>
      <c r="M25" s="576">
        <f t="shared" si="11"/>
        <v>28642.82715605478</v>
      </c>
      <c r="N25" s="576">
        <f t="shared" si="11"/>
        <v>29800.37990972439</v>
      </c>
      <c r="O25" s="576">
        <f>O$20*$C22</f>
        <v>31004.713254228394</v>
      </c>
      <c r="P25" s="576">
        <f t="shared" si="11"/>
        <v>32257.717750210282</v>
      </c>
      <c r="Q25" s="576">
        <f t="shared" si="11"/>
        <v>33561.360362212705</v>
      </c>
      <c r="R25" s="576">
        <f t="shared" si="11"/>
        <v>34917.687546415429</v>
      </c>
      <c r="S25" s="576">
        <f t="shared" si="11"/>
        <v>36328.828463159196</v>
      </c>
      <c r="T25" s="576">
        <f t="shared" si="11"/>
        <v>37796.998319298255</v>
      </c>
      <c r="U25" s="576">
        <f t="shared" si="11"/>
        <v>39324.501845628765</v>
      </c>
      <c r="V25" s="576">
        <f t="shared" si="11"/>
        <v>40913.73691485171</v>
      </c>
      <c r="W25" s="576">
        <f t="shared" si="11"/>
        <v>42567.198305749684</v>
      </c>
      <c r="X25" s="576">
        <f t="shared" si="11"/>
        <v>44287.48161948692</v>
      </c>
      <c r="Y25" s="576">
        <f t="shared" si="11"/>
        <v>46077.287354179985</v>
      </c>
      <c r="Z25" s="576">
        <f t="shared" si="11"/>
        <v>47939.425144135603</v>
      </c>
      <c r="AA25" s="576">
        <f t="shared" si="11"/>
        <v>49876.818170410326</v>
      </c>
      <c r="AB25" s="576">
        <f t="shared" si="11"/>
        <v>51892.507749615579</v>
      </c>
      <c r="AC25" s="576">
        <f t="shared" si="11"/>
        <v>53989.658108171949</v>
      </c>
      <c r="AD25" s="576">
        <f t="shared" si="11"/>
        <v>56171.561349506999</v>
      </c>
      <c r="AE25" s="576">
        <f t="shared" si="11"/>
        <v>58441.64262199404</v>
      </c>
      <c r="AF25" s="576">
        <f t="shared" si="11"/>
        <v>60803.465495744975</v>
      </c>
      <c r="AG25" s="576">
        <f t="shared" si="11"/>
        <v>63260.737556697131</v>
      </c>
      <c r="AH25" s="576">
        <f t="shared" si="11"/>
        <v>65817.316226775976</v>
      </c>
      <c r="AI25" s="576">
        <f t="shared" si="11"/>
        <v>68477.214819270303</v>
      </c>
      <c r="AJ25" s="576">
        <f t="shared" si="11"/>
        <v>71244.60883892508</v>
      </c>
      <c r="AK25" s="576">
        <f t="shared" si="11"/>
        <v>74123.842536642594</v>
      </c>
      <c r="AL25" s="576">
        <f t="shared" ref="AL25" si="12">AL$20*$C22</f>
        <v>77119.435729080826</v>
      </c>
    </row>
    <row r="26" spans="2:38">
      <c r="B26" s="358" t="s">
        <v>509</v>
      </c>
      <c r="C26" s="358" t="s">
        <v>443</v>
      </c>
      <c r="D26" s="576">
        <f t="shared" ref="D26:S27" si="13">D$20*$C23</f>
        <v>2228.0252424728046</v>
      </c>
      <c r="E26" s="576">
        <f t="shared" si="13"/>
        <v>2318.0672184487894</v>
      </c>
      <c r="F26" s="576">
        <f t="shared" si="13"/>
        <v>2411.7480928012865</v>
      </c>
      <c r="G26" s="576">
        <f t="shared" si="13"/>
        <v>2509.214925623668</v>
      </c>
      <c r="H26" s="576">
        <f t="shared" si="13"/>
        <v>2610.6207202011269</v>
      </c>
      <c r="I26" s="576">
        <f t="shared" si="13"/>
        <v>2716.1246631949998</v>
      </c>
      <c r="J26" s="576">
        <f t="shared" si="13"/>
        <v>2825.8923745337415</v>
      </c>
      <c r="K26" s="576">
        <f t="shared" si="13"/>
        <v>2940.0961674028404</v>
      </c>
      <c r="L26" s="576">
        <f t="shared" si="13"/>
        <v>3058.9153187417896</v>
      </c>
      <c r="M26" s="576">
        <f t="shared" si="13"/>
        <v>3182.5363506727535</v>
      </c>
      <c r="N26" s="576">
        <f t="shared" si="13"/>
        <v>3311.1533233027099</v>
      </c>
      <c r="O26" s="576">
        <f t="shared" si="13"/>
        <v>3444.9681393587107</v>
      </c>
      <c r="P26" s="576">
        <f t="shared" si="13"/>
        <v>3584.1908611344757</v>
      </c>
      <c r="Q26" s="576">
        <f t="shared" si="13"/>
        <v>3729.0400402458563</v>
      </c>
      <c r="R26" s="576">
        <f t="shared" si="13"/>
        <v>3879.7430607128258</v>
      </c>
      <c r="S26" s="576">
        <f t="shared" si="13"/>
        <v>4036.5364959065773</v>
      </c>
      <c r="T26" s="576">
        <f t="shared" si="11"/>
        <v>4199.666479922028</v>
      </c>
      <c r="U26" s="576">
        <f t="shared" si="11"/>
        <v>4369.3890939587518</v>
      </c>
      <c r="V26" s="576">
        <f t="shared" si="11"/>
        <v>4545.9707683168563</v>
      </c>
      <c r="W26" s="576">
        <f t="shared" si="11"/>
        <v>4729.6887006388533</v>
      </c>
      <c r="X26" s="576">
        <f t="shared" si="11"/>
        <v>4920.8312910541026</v>
      </c>
      <c r="Y26" s="576">
        <f t="shared" si="11"/>
        <v>5119.6985949088876</v>
      </c>
      <c r="Z26" s="576">
        <f t="shared" si="11"/>
        <v>5326.6027937928447</v>
      </c>
      <c r="AA26" s="576">
        <f t="shared" si="11"/>
        <v>5541.8686856011482</v>
      </c>
      <c r="AB26" s="576">
        <f t="shared" si="11"/>
        <v>5765.8341944017311</v>
      </c>
      <c r="AC26" s="576">
        <f t="shared" si="11"/>
        <v>5998.8509009079944</v>
      </c>
      <c r="AD26" s="576">
        <f t="shared" si="11"/>
        <v>6241.2845943896673</v>
      </c>
      <c r="AE26" s="576">
        <f t="shared" si="11"/>
        <v>6493.5158468882264</v>
      </c>
      <c r="AF26" s="576">
        <f t="shared" si="11"/>
        <v>6755.9406106383312</v>
      </c>
      <c r="AG26" s="576">
        <f t="shared" si="11"/>
        <v>7028.9708396330143</v>
      </c>
      <c r="AH26" s="576">
        <f t="shared" si="11"/>
        <v>7313.035136308441</v>
      </c>
      <c r="AI26" s="576">
        <f t="shared" si="11"/>
        <v>7608.5794243633663</v>
      </c>
      <c r="AJ26" s="576">
        <f t="shared" si="11"/>
        <v>7916.0676487694527</v>
      </c>
      <c r="AK26" s="576">
        <f t="shared" si="11"/>
        <v>8235.9825040713986</v>
      </c>
      <c r="AL26" s="576">
        <f t="shared" ref="AL26" si="14">AL$20*$C23</f>
        <v>8568.8261921200919</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1177" t="s">
        <v>788</v>
      </c>
      <c r="C32" s="358" t="s">
        <v>295</v>
      </c>
      <c r="D32" s="383">
        <f>D25*$C29</f>
        <v>7168.6712176562487</v>
      </c>
      <c r="E32" s="383">
        <f t="shared" ref="E32:AK32" si="16">E25*$C29</f>
        <v>7458.3812753589791</v>
      </c>
      <c r="F32" s="383">
        <f t="shared" si="16"/>
        <v>7759.7994885881399</v>
      </c>
      <c r="G32" s="383">
        <f t="shared" si="16"/>
        <v>8073.3990231941525</v>
      </c>
      <c r="H32" s="383">
        <f t="shared" si="16"/>
        <v>8399.6721672471267</v>
      </c>
      <c r="I32" s="383">
        <f t="shared" si="16"/>
        <v>8739.1311038299118</v>
      </c>
      <c r="J32" s="383">
        <f t="shared" si="16"/>
        <v>9092.3087150623123</v>
      </c>
      <c r="K32" s="383">
        <f t="shared" si="16"/>
        <v>9459.7594186186379</v>
      </c>
      <c r="L32" s="383">
        <f t="shared" si="16"/>
        <v>9842.0600380517062</v>
      </c>
      <c r="M32" s="383">
        <f t="shared" si="16"/>
        <v>10239.810708289584</v>
      </c>
      <c r="N32" s="383">
        <f t="shared" si="16"/>
        <v>10653.635817726468</v>
      </c>
      <c r="O32" s="383">
        <f t="shared" si="16"/>
        <v>11084.184988386651</v>
      </c>
      <c r="P32" s="383">
        <f t="shared" si="16"/>
        <v>11532.134095700176</v>
      </c>
      <c r="Q32" s="383">
        <f t="shared" si="16"/>
        <v>11998.186329491042</v>
      </c>
      <c r="R32" s="383">
        <f t="shared" si="16"/>
        <v>12483.073297843515</v>
      </c>
      <c r="S32" s="383">
        <f t="shared" si="16"/>
        <v>12987.556175579412</v>
      </c>
      <c r="T32" s="383">
        <f t="shared" si="16"/>
        <v>13512.426899149126</v>
      </c>
      <c r="U32" s="383">
        <f t="shared" si="16"/>
        <v>14058.509409812283</v>
      </c>
      <c r="V32" s="383">
        <f t="shared" si="16"/>
        <v>14626.660947059485</v>
      </c>
      <c r="W32" s="383">
        <f t="shared" si="16"/>
        <v>15217.773394305512</v>
      </c>
      <c r="X32" s="383">
        <f t="shared" si="16"/>
        <v>15832.774678966573</v>
      </c>
      <c r="Y32" s="383">
        <f t="shared" si="16"/>
        <v>16472.630229119342</v>
      </c>
      <c r="Z32" s="383">
        <f t="shared" si="16"/>
        <v>17138.344489028477</v>
      </c>
      <c r="AA32" s="383">
        <f t="shared" si="16"/>
        <v>17830.962495921693</v>
      </c>
      <c r="AB32" s="383">
        <f t="shared" si="16"/>
        <v>18551.571520487571</v>
      </c>
      <c r="AC32" s="383">
        <f t="shared" si="16"/>
        <v>19301.302773671472</v>
      </c>
      <c r="AD32" s="383">
        <f t="shared" si="16"/>
        <v>20081.33318244875</v>
      </c>
      <c r="AE32" s="383">
        <f t="shared" si="16"/>
        <v>20892.887237362869</v>
      </c>
      <c r="AF32" s="383">
        <f t="shared" si="16"/>
        <v>21737.238914728827</v>
      </c>
      <c r="AG32" s="383">
        <f t="shared" si="16"/>
        <v>22615.713676519223</v>
      </c>
      <c r="AH32" s="383">
        <f t="shared" si="16"/>
        <v>23529.69055107241</v>
      </c>
      <c r="AI32" s="383">
        <f t="shared" si="16"/>
        <v>24480.604297889131</v>
      </c>
      <c r="AJ32" s="383">
        <f t="shared" si="16"/>
        <v>25469.947659915713</v>
      </c>
      <c r="AK32" s="383">
        <f t="shared" si="16"/>
        <v>26499.273706849726</v>
      </c>
      <c r="AL32" s="383">
        <f t="shared" ref="AL32" si="17">AL25*$C29</f>
        <v>27570.198273146394</v>
      </c>
    </row>
    <row r="33" spans="1:38">
      <c r="B33" s="1177" t="s">
        <v>789</v>
      </c>
      <c r="C33" s="358" t="s">
        <v>295</v>
      </c>
      <c r="D33" s="383">
        <f>D26*$C30+D27*$C31</f>
        <v>1871.5412036771559</v>
      </c>
      <c r="E33" s="383">
        <f t="shared" ref="E33:AK33" si="18">E26*$C30+E27*$C31</f>
        <v>1947.1764634969829</v>
      </c>
      <c r="F33" s="383">
        <f t="shared" si="18"/>
        <v>2025.8683979530806</v>
      </c>
      <c r="G33" s="383">
        <f t="shared" si="18"/>
        <v>2107.7405375238809</v>
      </c>
      <c r="H33" s="383">
        <f t="shared" si="18"/>
        <v>2192.9214049689467</v>
      </c>
      <c r="I33" s="383">
        <f t="shared" si="18"/>
        <v>2281.5447170837997</v>
      </c>
      <c r="J33" s="383">
        <f t="shared" si="18"/>
        <v>2373.7495946083427</v>
      </c>
      <c r="K33" s="383">
        <f t="shared" si="18"/>
        <v>2469.6807806183856</v>
      </c>
      <c r="L33" s="383">
        <f t="shared" si="18"/>
        <v>2569.4888677431031</v>
      </c>
      <c r="M33" s="383">
        <f t="shared" si="18"/>
        <v>2673.3305345651129</v>
      </c>
      <c r="N33" s="383">
        <f t="shared" si="18"/>
        <v>2781.3687915742762</v>
      </c>
      <c r="O33" s="383">
        <f t="shared" si="18"/>
        <v>2893.7732370613166</v>
      </c>
      <c r="P33" s="383">
        <f t="shared" si="18"/>
        <v>3010.7203233529594</v>
      </c>
      <c r="Q33" s="383">
        <f t="shared" si="18"/>
        <v>3132.3936338065191</v>
      </c>
      <c r="R33" s="383">
        <f t="shared" si="18"/>
        <v>3258.9841709987736</v>
      </c>
      <c r="S33" s="383">
        <f t="shared" si="18"/>
        <v>3390.690656561525</v>
      </c>
      <c r="T33" s="383">
        <f t="shared" si="18"/>
        <v>3527.7198431345032</v>
      </c>
      <c r="U33" s="383">
        <f t="shared" si="18"/>
        <v>3670.2868389253513</v>
      </c>
      <c r="V33" s="383">
        <f t="shared" si="18"/>
        <v>3818.6154453861591</v>
      </c>
      <c r="W33" s="383">
        <f t="shared" si="18"/>
        <v>3972.9385085366366</v>
      </c>
      <c r="X33" s="383">
        <f t="shared" si="18"/>
        <v>4133.4982844854458</v>
      </c>
      <c r="Y33" s="383">
        <f t="shared" si="18"/>
        <v>4300.546819723465</v>
      </c>
      <c r="Z33" s="383">
        <f t="shared" si="18"/>
        <v>4474.3463467859892</v>
      </c>
      <c r="AA33" s="383">
        <f t="shared" si="18"/>
        <v>4655.1696959049641</v>
      </c>
      <c r="AB33" s="383">
        <f t="shared" si="18"/>
        <v>4843.3007232974542</v>
      </c>
      <c r="AC33" s="383">
        <f t="shared" si="18"/>
        <v>5039.034756762715</v>
      </c>
      <c r="AD33" s="383">
        <f t="shared" si="18"/>
        <v>5242.6790592873203</v>
      </c>
      <c r="AE33" s="383">
        <f t="shared" si="18"/>
        <v>5454.5533113861102</v>
      </c>
      <c r="AF33" s="383">
        <f t="shared" si="18"/>
        <v>5674.9901129361979</v>
      </c>
      <c r="AG33" s="383">
        <f t="shared" si="18"/>
        <v>5904.3355052917314</v>
      </c>
      <c r="AH33" s="383">
        <f t="shared" si="18"/>
        <v>6142.9495144990906</v>
      </c>
      <c r="AI33" s="383">
        <f t="shared" si="18"/>
        <v>6391.2067164652271</v>
      </c>
      <c r="AJ33" s="383">
        <f t="shared" si="18"/>
        <v>6649.4968249663398</v>
      </c>
      <c r="AK33" s="383">
        <f t="shared" si="18"/>
        <v>6918.2253034199748</v>
      </c>
      <c r="AL33" s="383">
        <f t="shared" ref="AL33" si="19">AL26*$C30+AL27*$C31</f>
        <v>7197.814001380877</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Demand!F66</f>
        <v>8.0848515288584082</v>
      </c>
      <c r="E37" s="383">
        <f>Demand!G66</f>
        <v>8.1706030304605175</v>
      </c>
      <c r="F37" s="383">
        <f>Demand!H66</f>
        <v>8.2572640503142321</v>
      </c>
      <c r="G37" s="383">
        <f>Demand!I66</f>
        <v>8.3448442351713243</v>
      </c>
      <c r="H37" s="383">
        <f>Demand!J66</f>
        <v>6.3250150005759522</v>
      </c>
      <c r="I37" s="383">
        <f>Demand!K66</f>
        <v>6.3921008996823563</v>
      </c>
      <c r="J37" s="383">
        <f>Demand!L66</f>
        <v>6.4598983414267632</v>
      </c>
      <c r="K37" s="383">
        <f>Demand!M66</f>
        <v>6.5284148727442579</v>
      </c>
      <c r="L37" s="383">
        <f>Demand!N66</f>
        <v>6.5976581206160478</v>
      </c>
      <c r="M37" s="383">
        <f>Demand!O66</f>
        <v>6.6676357929184693</v>
      </c>
      <c r="N37" s="383">
        <f>Demand!P66</f>
        <v>6.7383556792809909</v>
      </c>
      <c r="O37" s="383">
        <f>Demand!Q66</f>
        <v>6.8098256519533322</v>
      </c>
      <c r="P37" s="383">
        <f>Demand!R66</f>
        <v>6.8820536666817631</v>
      </c>
      <c r="Q37" s="383">
        <f>Demand!S66</f>
        <v>6.9550477635947088</v>
      </c>
      <c r="R37" s="383">
        <f>Demand!T66</f>
        <v>7.0288160680977398</v>
      </c>
      <c r="S37" s="383">
        <f>Demand!U66</f>
        <v>7.1033667917780718</v>
      </c>
      <c r="T37" s="383">
        <f>Demand!V66</f>
        <v>7.1787082333186234</v>
      </c>
      <c r="U37" s="383">
        <f>Demand!W66</f>
        <v>7.2548487794218142</v>
      </c>
      <c r="V37" s="383">
        <f>Demand!X66</f>
        <v>7.3317969057431265</v>
      </c>
      <c r="W37" s="383">
        <f>Demand!Y66</f>
        <v>7.4095611778345836</v>
      </c>
      <c r="X37" s="383">
        <f>Demand!Z66</f>
        <v>7.4881502520982295</v>
      </c>
      <c r="Y37" s="383">
        <f>Demand!AA66</f>
        <v>7.5675728767497308</v>
      </c>
      <c r="Z37" s="383">
        <f>Demand!AB66</f>
        <v>7.6478378927921851</v>
      </c>
      <c r="AA37" s="383">
        <f>Demand!AC66</f>
        <v>7.7289542350002716</v>
      </c>
      <c r="AB37" s="383">
        <f>Demand!AD66</f>
        <v>7.8109309329148253</v>
      </c>
      <c r="AC37" s="383">
        <f>Demand!AE66</f>
        <v>7.8937771118479834</v>
      </c>
      <c r="AD37" s="383">
        <f>Demand!AF66</f>
        <v>7.9775019938989598</v>
      </c>
      <c r="AE37" s="383">
        <f>Demand!AG66</f>
        <v>8.0621148989806244</v>
      </c>
      <c r="AF37" s="383">
        <f>Demand!AH66</f>
        <v>8.1476252458569576</v>
      </c>
      <c r="AG37" s="383">
        <f>Demand!AI66</f>
        <v>8.2340425531914985</v>
      </c>
      <c r="AH37" s="383">
        <f>Demand!AJ66</f>
        <v>8.3213764406069348</v>
      </c>
      <c r="AI37" s="383">
        <f>Demand!AK66</f>
        <v>8.4096366297559157</v>
      </c>
      <c r="AJ37" s="383">
        <f>Demand!AL66</f>
        <v>8.4988329454032225</v>
      </c>
      <c r="AK37" s="383">
        <f>Demand!AM66</f>
        <v>8.5889753165194307</v>
      </c>
      <c r="AL37" s="383">
        <f>Demand!AN66</f>
        <v>8.6800737773861574</v>
      </c>
    </row>
    <row r="38" spans="1:38">
      <c r="B38" s="363" t="s">
        <v>645</v>
      </c>
      <c r="C38" s="358" t="s">
        <v>1054</v>
      </c>
      <c r="D38" s="383">
        <f>Demand!F67</f>
        <v>4.0424257644292041</v>
      </c>
      <c r="E38" s="383">
        <f>Demand!G67</f>
        <v>4.0853015152302588</v>
      </c>
      <c r="F38" s="383">
        <f>Demand!H67</f>
        <v>4.128632025157116</v>
      </c>
      <c r="G38" s="383">
        <f>Demand!I67</f>
        <v>4.1724221175856622</v>
      </c>
      <c r="H38" s="383">
        <f>Demand!J67</f>
        <v>3.1625075002879761</v>
      </c>
      <c r="I38" s="383">
        <f>Demand!K67</f>
        <v>3.1960504498411781</v>
      </c>
      <c r="J38" s="383">
        <f>Demand!L67</f>
        <v>3.2299491707133816</v>
      </c>
      <c r="K38" s="383">
        <f>Demand!M67</f>
        <v>3.264207436372129</v>
      </c>
      <c r="L38" s="383">
        <f>Demand!N67</f>
        <v>3.2988290603080239</v>
      </c>
      <c r="M38" s="383">
        <f>Demand!O67</f>
        <v>3.3338178964592347</v>
      </c>
      <c r="N38" s="383">
        <f>Demand!P67</f>
        <v>3.3691778396404954</v>
      </c>
      <c r="O38" s="383">
        <f>Demand!Q67</f>
        <v>3.4049128259766661</v>
      </c>
      <c r="P38" s="383">
        <f>Demand!R67</f>
        <v>3.4410268333408816</v>
      </c>
      <c r="Q38" s="383">
        <f>Demand!S67</f>
        <v>3.4775238817973544</v>
      </c>
      <c r="R38" s="383">
        <f>Demand!T67</f>
        <v>3.5144080340488699</v>
      </c>
      <c r="S38" s="383">
        <f>Demand!U67</f>
        <v>3.5516833958890359</v>
      </c>
      <c r="T38" s="383">
        <f>Demand!V67</f>
        <v>3.5893541166593117</v>
      </c>
      <c r="U38" s="383">
        <f>Demand!W67</f>
        <v>3.6274243897109071</v>
      </c>
      <c r="V38" s="383">
        <f>Demand!X67</f>
        <v>3.6658984528715632</v>
      </c>
      <c r="W38" s="383">
        <f>Demand!Y67</f>
        <v>3.7047805889172918</v>
      </c>
      <c r="X38" s="383">
        <f>Demand!Z67</f>
        <v>3.7440751260491147</v>
      </c>
      <c r="Y38" s="383">
        <f>Demand!AA67</f>
        <v>3.7837864383748654</v>
      </c>
      <c r="Z38" s="383">
        <f>Demand!AB67</f>
        <v>3.8239189463960925</v>
      </c>
      <c r="AA38" s="383">
        <f>Demand!AC67</f>
        <v>3.8644771175001358</v>
      </c>
      <c r="AB38" s="383">
        <f>Demand!AD67</f>
        <v>3.9054654664574127</v>
      </c>
      <c r="AC38" s="383">
        <f>Demand!AE67</f>
        <v>3.9468885559239917</v>
      </c>
      <c r="AD38" s="383">
        <f>Demand!AF67</f>
        <v>3.9887509969494799</v>
      </c>
      <c r="AE38" s="383">
        <f>Demand!AG67</f>
        <v>4.0310574494903122</v>
      </c>
      <c r="AF38" s="383">
        <f>Demand!AH67</f>
        <v>4.0738126229284788</v>
      </c>
      <c r="AG38" s="383">
        <f>Demand!AI67</f>
        <v>4.1170212765957492</v>
      </c>
      <c r="AH38" s="383">
        <f>Demand!AJ67</f>
        <v>4.1606882203034674</v>
      </c>
      <c r="AI38" s="383">
        <f>Demand!AK67</f>
        <v>4.2048183148779579</v>
      </c>
      <c r="AJ38" s="383">
        <f>Demand!AL67</f>
        <v>4.2494164727016113</v>
      </c>
      <c r="AK38" s="383">
        <f>Demand!AM67</f>
        <v>4.2944876582597153</v>
      </c>
      <c r="AL38" s="383">
        <f>Demand!AN67</f>
        <v>4.3400368886930787</v>
      </c>
    </row>
    <row r="40" spans="1:38">
      <c r="B40" s="571" t="s">
        <v>1058</v>
      </c>
      <c r="C40" s="572" t="s">
        <v>15</v>
      </c>
      <c r="D40" s="570">
        <f t="shared" ref="D40:AL40" si="20">(D$37*$C$13)/Minutes.Per.Day</f>
        <v>5.3337562169552002E-2</v>
      </c>
      <c r="E40" s="570">
        <f t="shared" si="20"/>
        <v>5.3903283881510361E-2</v>
      </c>
      <c r="F40" s="570">
        <f t="shared" si="20"/>
        <v>5.4475005887489727E-2</v>
      </c>
      <c r="G40" s="570">
        <f t="shared" si="20"/>
        <v>5.5052791829255265E-2</v>
      </c>
      <c r="H40" s="570">
        <f t="shared" si="20"/>
        <v>4.1727529517688579E-2</v>
      </c>
      <c r="I40" s="570">
        <f t="shared" si="20"/>
        <v>4.2170110102071098E-2</v>
      </c>
      <c r="J40" s="570">
        <f t="shared" si="20"/>
        <v>4.2617384891357121E-2</v>
      </c>
      <c r="K40" s="570">
        <f t="shared" si="20"/>
        <v>4.3069403674354481E-2</v>
      </c>
      <c r="L40" s="570">
        <f t="shared" si="20"/>
        <v>4.352621676795309E-2</v>
      </c>
      <c r="M40" s="570">
        <f t="shared" si="20"/>
        <v>4.3987875022726011E-2</v>
      </c>
      <c r="N40" s="570">
        <f t="shared" si="20"/>
        <v>4.4454429828589867E-2</v>
      </c>
      <c r="O40" s="570">
        <f t="shared" si="20"/>
        <v>4.4925933120525459E-2</v>
      </c>
      <c r="P40" s="570">
        <f t="shared" si="20"/>
        <v>4.5402437384358854E-2</v>
      </c>
      <c r="Q40" s="570">
        <f t="shared" si="20"/>
        <v>4.5883995662603982E-2</v>
      </c>
      <c r="R40" s="570">
        <f t="shared" si="20"/>
        <v>4.6370661560367031E-2</v>
      </c>
      <c r="S40" s="570">
        <f t="shared" si="20"/>
        <v>4.6862489251313671E-2</v>
      </c>
      <c r="T40" s="570">
        <f t="shared" si="20"/>
        <v>4.7359533483699257E-2</v>
      </c>
      <c r="U40" s="570">
        <f t="shared" si="20"/>
        <v>4.7861849586463362E-2</v>
      </c>
      <c r="V40" s="570">
        <f t="shared" si="20"/>
        <v>4.8369493475388679E-2</v>
      </c>
      <c r="W40" s="570">
        <f t="shared" si="20"/>
        <v>4.8882521659325377E-2</v>
      </c>
      <c r="X40" s="570">
        <f t="shared" si="20"/>
        <v>4.9400991246481375E-2</v>
      </c>
      <c r="Y40" s="570">
        <f t="shared" si="20"/>
        <v>4.9924959950779474E-2</v>
      </c>
      <c r="Z40" s="570">
        <f t="shared" si="20"/>
        <v>5.0454486098281778E-2</v>
      </c>
      <c r="AA40" s="570">
        <f t="shared" si="20"/>
        <v>5.0989628633682345E-2</v>
      </c>
      <c r="AB40" s="570">
        <f t="shared" si="20"/>
        <v>5.1530447126868641E-2</v>
      </c>
      <c r="AC40" s="570">
        <f t="shared" si="20"/>
        <v>5.2077001779552663E-2</v>
      </c>
      <c r="AD40" s="570">
        <f t="shared" si="20"/>
        <v>5.2629353431972309E-2</v>
      </c>
      <c r="AE40" s="570">
        <f t="shared" si="20"/>
        <v>5.3187563569663844E-2</v>
      </c>
      <c r="AF40" s="570">
        <f t="shared" si="20"/>
        <v>5.375169433030632E-2</v>
      </c>
      <c r="AG40" s="570">
        <f t="shared" si="20"/>
        <v>5.4321808510638357E-2</v>
      </c>
      <c r="AH40" s="570">
        <f t="shared" si="20"/>
        <v>5.4897969573448523E-2</v>
      </c>
      <c r="AI40" s="570">
        <f t="shared" si="20"/>
        <v>5.5480241654639724E-2</v>
      </c>
      <c r="AJ40" s="570">
        <f t="shared" si="20"/>
        <v>5.606868957036848E-2</v>
      </c>
      <c r="AK40" s="570">
        <f t="shared" si="20"/>
        <v>5.6663378824260133E-2</v>
      </c>
      <c r="AL40" s="570">
        <f t="shared" si="20"/>
        <v>5.7264375614700339E-2</v>
      </c>
    </row>
    <row r="42" spans="1:38">
      <c r="B42" s="573" t="s">
        <v>1055</v>
      </c>
      <c r="C42" s="574" t="s">
        <v>505</v>
      </c>
      <c r="D42" s="383">
        <f t="shared" ref="D42:AK42" si="21">D6*D40</f>
        <v>771.05415745273694</v>
      </c>
      <c r="E42" s="383">
        <f t="shared" si="21"/>
        <v>802.21504315459185</v>
      </c>
      <c r="F42" s="383">
        <f t="shared" si="21"/>
        <v>834.63524480505941</v>
      </c>
      <c r="G42" s="383">
        <f t="shared" si="21"/>
        <v>868.36565558713812</v>
      </c>
      <c r="H42" s="383">
        <f t="shared" si="21"/>
        <v>677.59441908608937</v>
      </c>
      <c r="I42" s="383">
        <f t="shared" si="21"/>
        <v>704.97828316524851</v>
      </c>
      <c r="J42" s="383">
        <f t="shared" si="21"/>
        <v>733.46882107580893</v>
      </c>
      <c r="K42" s="383">
        <f t="shared" si="21"/>
        <v>763.1107572206364</v>
      </c>
      <c r="L42" s="383">
        <f t="shared" si="21"/>
        <v>793.95062346578516</v>
      </c>
      <c r="M42" s="383">
        <f t="shared" si="21"/>
        <v>826.03683218615072</v>
      </c>
      <c r="N42" s="383">
        <f t="shared" si="21"/>
        <v>859.41975226314003</v>
      </c>
      <c r="O42" s="383">
        <f t="shared" si="21"/>
        <v>894.15178815366698</v>
      </c>
      <c r="P42" s="383">
        <f t="shared" si="21"/>
        <v>930.28746215458648</v>
      </c>
      <c r="Q42" s="383">
        <f t="shared" si="21"/>
        <v>967.88349999171464</v>
      </c>
      <c r="R42" s="383">
        <f t="shared" si="21"/>
        <v>1006.9989198677844</v>
      </c>
      <c r="S42" s="383">
        <f t="shared" si="21"/>
        <v>1047.6951251091334</v>
      </c>
      <c r="T42" s="383">
        <f t="shared" si="21"/>
        <v>1090.0360005565469</v>
      </c>
      <c r="U42" s="383">
        <f t="shared" si="21"/>
        <v>1134.0880128515867</v>
      </c>
      <c r="V42" s="383">
        <f t="shared" si="21"/>
        <v>1179.9203147758242</v>
      </c>
      <c r="W42" s="383">
        <f t="shared" si="21"/>
        <v>1227.6048538067678</v>
      </c>
      <c r="X42" s="383">
        <f t="shared" si="21"/>
        <v>1277.2164850609061</v>
      </c>
      <c r="Y42" s="383">
        <f t="shared" si="21"/>
        <v>1328.8330888011533</v>
      </c>
      <c r="Z42" s="383">
        <f t="shared" si="21"/>
        <v>1382.5356926931684</v>
      </c>
      <c r="AA42" s="383">
        <f t="shared" si="21"/>
        <v>1438.4085990024607</v>
      </c>
      <c r="AB42" s="383">
        <f t="shared" si="21"/>
        <v>1496.5395169319559</v>
      </c>
      <c r="AC42" s="383">
        <f t="shared" si="21"/>
        <v>1557.019700307771</v>
      </c>
      <c r="AD42" s="383">
        <f t="shared" si="21"/>
        <v>1619.9440908293295</v>
      </c>
      <c r="AE42" s="383">
        <f t="shared" si="21"/>
        <v>1685.4114671086961</v>
      </c>
      <c r="AF42" s="383">
        <f t="shared" si="21"/>
        <v>1753.5245997330921</v>
      </c>
      <c r="AG42" s="383">
        <f t="shared" si="21"/>
        <v>1824.3904125940046</v>
      </c>
      <c r="AH42" s="383">
        <f t="shared" si="21"/>
        <v>1898.1201507361488</v>
      </c>
      <c r="AI42" s="383">
        <f t="shared" si="21"/>
        <v>1974.8295549897707</v>
      </c>
      <c r="AJ42" s="383">
        <f t="shared" si="21"/>
        <v>2054.6390436604202</v>
      </c>
      <c r="AK42" s="383">
        <f t="shared" si="21"/>
        <v>2137.6739015614298</v>
      </c>
      <c r="AL42" s="383">
        <f t="shared" ref="AL42" si="22">AL6*AL40</f>
        <v>2224.0644766858209</v>
      </c>
    </row>
    <row r="43" spans="1:38">
      <c r="B43" s="573" t="s">
        <v>1056</v>
      </c>
      <c r="C43" s="574" t="s">
        <v>490</v>
      </c>
      <c r="D43" s="383">
        <f t="shared" ref="D43:AK43" si="23">D42*$C$13/2</f>
        <v>3662.5072479005003</v>
      </c>
      <c r="E43" s="383">
        <f t="shared" si="23"/>
        <v>3810.5214549843113</v>
      </c>
      <c r="F43" s="383">
        <f t="shared" si="23"/>
        <v>3964.5174128240324</v>
      </c>
      <c r="G43" s="383">
        <f t="shared" si="23"/>
        <v>4124.7368640389059</v>
      </c>
      <c r="H43" s="383">
        <f t="shared" si="23"/>
        <v>3218.5734906589246</v>
      </c>
      <c r="I43" s="383">
        <f t="shared" si="23"/>
        <v>3348.6468450349303</v>
      </c>
      <c r="J43" s="383">
        <f t="shared" si="23"/>
        <v>3483.9769001100926</v>
      </c>
      <c r="K43" s="383">
        <f t="shared" si="23"/>
        <v>3624.776096798023</v>
      </c>
      <c r="L43" s="383">
        <f t="shared" si="23"/>
        <v>3771.2654614624794</v>
      </c>
      <c r="M43" s="383">
        <f t="shared" si="23"/>
        <v>3923.6749528842161</v>
      </c>
      <c r="N43" s="383">
        <f t="shared" si="23"/>
        <v>4082.2438232499153</v>
      </c>
      <c r="O43" s="383">
        <f t="shared" si="23"/>
        <v>4247.2209937299185</v>
      </c>
      <c r="P43" s="383">
        <f t="shared" si="23"/>
        <v>4418.8654452342862</v>
      </c>
      <c r="Q43" s="383">
        <f t="shared" si="23"/>
        <v>4597.4466249606448</v>
      </c>
      <c r="R43" s="383">
        <f t="shared" si="23"/>
        <v>4783.2448693719762</v>
      </c>
      <c r="S43" s="383">
        <f t="shared" si="23"/>
        <v>4976.5518442683833</v>
      </c>
      <c r="T43" s="383">
        <f t="shared" si="23"/>
        <v>5177.6710026435976</v>
      </c>
      <c r="U43" s="383">
        <f t="shared" si="23"/>
        <v>5386.9180610450367</v>
      </c>
      <c r="V43" s="383">
        <f t="shared" si="23"/>
        <v>5604.6214951851653</v>
      </c>
      <c r="W43" s="383">
        <f t="shared" si="23"/>
        <v>5831.1230555821467</v>
      </c>
      <c r="X43" s="383">
        <f t="shared" si="23"/>
        <v>6066.7783040393042</v>
      </c>
      <c r="Y43" s="383">
        <f t="shared" si="23"/>
        <v>6311.9571718054776</v>
      </c>
      <c r="Z43" s="383">
        <f t="shared" si="23"/>
        <v>6567.0445402925498</v>
      </c>
      <c r="AA43" s="383">
        <f t="shared" si="23"/>
        <v>6832.4408452616881</v>
      </c>
      <c r="AB43" s="383">
        <f t="shared" si="23"/>
        <v>7108.5627054267907</v>
      </c>
      <c r="AC43" s="383">
        <f t="shared" si="23"/>
        <v>7395.8435764619126</v>
      </c>
      <c r="AD43" s="383">
        <f t="shared" si="23"/>
        <v>7694.7344314393149</v>
      </c>
      <c r="AE43" s="383">
        <f t="shared" si="23"/>
        <v>8005.7044687663065</v>
      </c>
      <c r="AF43" s="383">
        <f t="shared" si="23"/>
        <v>8329.2418487321884</v>
      </c>
      <c r="AG43" s="383">
        <f t="shared" si="23"/>
        <v>8665.8544598215212</v>
      </c>
      <c r="AH43" s="383">
        <f t="shared" si="23"/>
        <v>9016.0707159967078</v>
      </c>
      <c r="AI43" s="383">
        <f t="shared" si="23"/>
        <v>9380.4403862014115</v>
      </c>
      <c r="AJ43" s="383">
        <f t="shared" si="23"/>
        <v>9759.5354573869954</v>
      </c>
      <c r="AK43" s="383">
        <f t="shared" si="23"/>
        <v>10153.951032416791</v>
      </c>
      <c r="AL43" s="383">
        <f t="shared" ref="AL43" si="24">AL42*$C$13/2</f>
        <v>10564.30626425765</v>
      </c>
    </row>
    <row r="44" spans="1:38">
      <c r="B44" s="575" t="s">
        <v>1057</v>
      </c>
      <c r="C44" s="574" t="s">
        <v>443</v>
      </c>
      <c r="D44" s="383">
        <f t="shared" ref="D44:AK44" si="25">D43/Minutes.per.Hour*Days.Per.Year</f>
        <v>22280.252424728045</v>
      </c>
      <c r="E44" s="383">
        <f t="shared" si="25"/>
        <v>23180.672184487892</v>
      </c>
      <c r="F44" s="383">
        <f t="shared" si="25"/>
        <v>24117.480928012865</v>
      </c>
      <c r="G44" s="383">
        <f t="shared" si="25"/>
        <v>25092.14925623668</v>
      </c>
      <c r="H44" s="383">
        <f t="shared" si="25"/>
        <v>19579.655401508458</v>
      </c>
      <c r="I44" s="383">
        <f t="shared" si="25"/>
        <v>20370.934973962492</v>
      </c>
      <c r="J44" s="383">
        <f t="shared" si="25"/>
        <v>21194.192809003063</v>
      </c>
      <c r="K44" s="383">
        <f t="shared" si="25"/>
        <v>22050.721255521308</v>
      </c>
      <c r="L44" s="383">
        <f t="shared" si="25"/>
        <v>22941.864890563418</v>
      </c>
      <c r="M44" s="383">
        <f t="shared" si="25"/>
        <v>23869.022630045645</v>
      </c>
      <c r="N44" s="383">
        <f t="shared" si="25"/>
        <v>24833.649924770318</v>
      </c>
      <c r="O44" s="383">
        <f t="shared" si="25"/>
        <v>25837.261045190338</v>
      </c>
      <c r="P44" s="383">
        <f t="shared" si="25"/>
        <v>26881.431458508574</v>
      </c>
      <c r="Q44" s="383">
        <f t="shared" si="25"/>
        <v>27967.800301843923</v>
      </c>
      <c r="R44" s="383">
        <f t="shared" si="25"/>
        <v>29098.07295534619</v>
      </c>
      <c r="S44" s="383">
        <f t="shared" si="25"/>
        <v>30274.023719299334</v>
      </c>
      <c r="T44" s="383">
        <f t="shared" si="25"/>
        <v>31497.498599415219</v>
      </c>
      <c r="U44" s="383">
        <f t="shared" si="25"/>
        <v>32770.418204690635</v>
      </c>
      <c r="V44" s="383">
        <f t="shared" si="25"/>
        <v>34094.780762376424</v>
      </c>
      <c r="W44" s="383">
        <f t="shared" si="25"/>
        <v>35472.665254791391</v>
      </c>
      <c r="X44" s="383">
        <f t="shared" si="25"/>
        <v>36906.234682905764</v>
      </c>
      <c r="Y44" s="383">
        <f t="shared" si="25"/>
        <v>38397.739461816658</v>
      </c>
      <c r="Z44" s="383">
        <f t="shared" si="25"/>
        <v>39949.520953446343</v>
      </c>
      <c r="AA44" s="383">
        <f t="shared" si="25"/>
        <v>41564.015142008604</v>
      </c>
      <c r="AB44" s="383">
        <f t="shared" si="25"/>
        <v>43243.756458012977</v>
      </c>
      <c r="AC44" s="383">
        <f t="shared" si="25"/>
        <v>44991.381756809969</v>
      </c>
      <c r="AD44" s="383">
        <f t="shared" si="25"/>
        <v>46809.634457922497</v>
      </c>
      <c r="AE44" s="383">
        <f t="shared" si="25"/>
        <v>48701.368851661697</v>
      </c>
      <c r="AF44" s="383">
        <f t="shared" si="25"/>
        <v>50669.55457978748</v>
      </c>
      <c r="AG44" s="383">
        <f t="shared" si="25"/>
        <v>52717.281297247588</v>
      </c>
      <c r="AH44" s="383">
        <f t="shared" si="25"/>
        <v>54847.763522313304</v>
      </c>
      <c r="AI44" s="383">
        <f t="shared" si="25"/>
        <v>57064.345682725252</v>
      </c>
      <c r="AJ44" s="383">
        <f t="shared" si="25"/>
        <v>59370.507365770885</v>
      </c>
      <c r="AK44" s="383">
        <f t="shared" si="25"/>
        <v>61769.868780535478</v>
      </c>
      <c r="AL44" s="383">
        <f t="shared" ref="AL44" si="26">AL43/Minutes.per.Hour*Days.Per.Year</f>
        <v>64266.196440900705</v>
      </c>
    </row>
    <row r="46" spans="1:38">
      <c r="B46" s="575" t="s">
        <v>745</v>
      </c>
      <c r="C46" s="574" t="s">
        <v>443</v>
      </c>
      <c r="D46" s="383">
        <f>D44</f>
        <v>22280.252424728045</v>
      </c>
      <c r="E46" s="383">
        <f t="shared" ref="E46:AK46" si="27">E44</f>
        <v>23180.672184487892</v>
      </c>
      <c r="F46" s="383">
        <f t="shared" si="27"/>
        <v>24117.480928012865</v>
      </c>
      <c r="G46" s="383">
        <f t="shared" si="27"/>
        <v>25092.14925623668</v>
      </c>
      <c r="H46" s="383">
        <f t="shared" si="27"/>
        <v>19579.655401508458</v>
      </c>
      <c r="I46" s="383">
        <f t="shared" si="27"/>
        <v>20370.934973962492</v>
      </c>
      <c r="J46" s="383">
        <f t="shared" si="27"/>
        <v>21194.192809003063</v>
      </c>
      <c r="K46" s="383">
        <f t="shared" si="27"/>
        <v>22050.721255521308</v>
      </c>
      <c r="L46" s="383">
        <f t="shared" si="27"/>
        <v>22941.864890563418</v>
      </c>
      <c r="M46" s="383">
        <f t="shared" si="27"/>
        <v>23869.022630045645</v>
      </c>
      <c r="N46" s="383">
        <f t="shared" si="27"/>
        <v>24833.649924770318</v>
      </c>
      <c r="O46" s="383">
        <f t="shared" si="27"/>
        <v>25837.261045190338</v>
      </c>
      <c r="P46" s="383">
        <f t="shared" si="27"/>
        <v>26881.431458508574</v>
      </c>
      <c r="Q46" s="383">
        <f t="shared" si="27"/>
        <v>27967.800301843923</v>
      </c>
      <c r="R46" s="383">
        <f t="shared" si="27"/>
        <v>29098.07295534619</v>
      </c>
      <c r="S46" s="383">
        <f t="shared" si="27"/>
        <v>30274.023719299334</v>
      </c>
      <c r="T46" s="383">
        <f t="shared" si="27"/>
        <v>31497.498599415219</v>
      </c>
      <c r="U46" s="383">
        <f t="shared" si="27"/>
        <v>32770.418204690635</v>
      </c>
      <c r="V46" s="383">
        <f t="shared" si="27"/>
        <v>34094.780762376424</v>
      </c>
      <c r="W46" s="383">
        <f t="shared" si="27"/>
        <v>35472.665254791391</v>
      </c>
      <c r="X46" s="383">
        <f t="shared" si="27"/>
        <v>36906.234682905764</v>
      </c>
      <c r="Y46" s="383">
        <f t="shared" si="27"/>
        <v>38397.739461816658</v>
      </c>
      <c r="Z46" s="383">
        <f t="shared" si="27"/>
        <v>39949.520953446343</v>
      </c>
      <c r="AA46" s="383">
        <f t="shared" si="27"/>
        <v>41564.015142008604</v>
      </c>
      <c r="AB46" s="383">
        <f t="shared" si="27"/>
        <v>43243.756458012977</v>
      </c>
      <c r="AC46" s="383">
        <f t="shared" si="27"/>
        <v>44991.381756809969</v>
      </c>
      <c r="AD46" s="383">
        <f t="shared" si="27"/>
        <v>46809.634457922497</v>
      </c>
      <c r="AE46" s="383">
        <f t="shared" si="27"/>
        <v>48701.368851661697</v>
      </c>
      <c r="AF46" s="383">
        <f t="shared" si="27"/>
        <v>50669.55457978748</v>
      </c>
      <c r="AG46" s="383">
        <f t="shared" si="27"/>
        <v>52717.281297247588</v>
      </c>
      <c r="AH46" s="383">
        <f t="shared" si="27"/>
        <v>54847.763522313304</v>
      </c>
      <c r="AI46" s="383">
        <f t="shared" si="27"/>
        <v>57064.345682725252</v>
      </c>
      <c r="AJ46" s="383">
        <f t="shared" si="27"/>
        <v>59370.507365770885</v>
      </c>
      <c r="AK46" s="383">
        <f t="shared" si="27"/>
        <v>61769.868780535478</v>
      </c>
      <c r="AL46" s="383">
        <f t="shared" ref="AL46" si="28">AL44</f>
        <v>64266.196440900705</v>
      </c>
    </row>
    <row r="48" spans="1:38">
      <c r="B48" s="358" t="s">
        <v>508</v>
      </c>
      <c r="C48" s="358" t="s">
        <v>443</v>
      </c>
      <c r="D48" s="383">
        <f t="shared" ref="D48:AK48" si="29">D$46*$C22</f>
        <v>20052.227182255243</v>
      </c>
      <c r="E48" s="383">
        <f t="shared" si="29"/>
        <v>20862.604966039104</v>
      </c>
      <c r="F48" s="383">
        <f t="shared" si="29"/>
        <v>21705.73283521158</v>
      </c>
      <c r="G48" s="383">
        <f t="shared" si="29"/>
        <v>22582.934330613014</v>
      </c>
      <c r="H48" s="383">
        <f t="shared" si="29"/>
        <v>17621.689861357612</v>
      </c>
      <c r="I48" s="383">
        <f t="shared" si="29"/>
        <v>18333.841476566242</v>
      </c>
      <c r="J48" s="383">
        <f t="shared" si="29"/>
        <v>19074.773528102756</v>
      </c>
      <c r="K48" s="383">
        <f t="shared" si="29"/>
        <v>19845.649129969177</v>
      </c>
      <c r="L48" s="383">
        <f t="shared" si="29"/>
        <v>20647.678401507077</v>
      </c>
      <c r="M48" s="383">
        <f t="shared" si="29"/>
        <v>21482.12036704108</v>
      </c>
      <c r="N48" s="383">
        <f t="shared" si="29"/>
        <v>22350.284932293285</v>
      </c>
      <c r="O48" s="383">
        <f t="shared" si="29"/>
        <v>23253.534940671307</v>
      </c>
      <c r="P48" s="383">
        <f t="shared" si="29"/>
        <v>24193.288312657718</v>
      </c>
      <c r="Q48" s="383">
        <f t="shared" si="29"/>
        <v>25171.02027165953</v>
      </c>
      <c r="R48" s="383">
        <f t="shared" si="29"/>
        <v>26188.265659811572</v>
      </c>
      <c r="S48" s="383">
        <f t="shared" si="29"/>
        <v>27246.621347369401</v>
      </c>
      <c r="T48" s="383">
        <f t="shared" si="29"/>
        <v>28347.748739473696</v>
      </c>
      <c r="U48" s="383">
        <f t="shared" si="29"/>
        <v>29493.376384221574</v>
      </c>
      <c r="V48" s="383">
        <f t="shared" si="29"/>
        <v>30685.302686138781</v>
      </c>
      <c r="W48" s="383">
        <f t="shared" si="29"/>
        <v>31925.398729312252</v>
      </c>
      <c r="X48" s="383">
        <f t="shared" si="29"/>
        <v>33215.611214615186</v>
      </c>
      <c r="Y48" s="383">
        <f t="shared" si="29"/>
        <v>34557.965515634991</v>
      </c>
      <c r="Z48" s="383">
        <f t="shared" si="29"/>
        <v>35954.568858101709</v>
      </c>
      <c r="AA48" s="383">
        <f t="shared" si="29"/>
        <v>37407.613627807747</v>
      </c>
      <c r="AB48" s="383">
        <f t="shared" si="29"/>
        <v>38919.380812211682</v>
      </c>
      <c r="AC48" s="383">
        <f t="shared" si="29"/>
        <v>40492.243581128976</v>
      </c>
      <c r="AD48" s="383">
        <f t="shared" si="29"/>
        <v>42128.671012130246</v>
      </c>
      <c r="AE48" s="383">
        <f t="shared" si="29"/>
        <v>43831.231966495528</v>
      </c>
      <c r="AF48" s="383">
        <f t="shared" si="29"/>
        <v>45602.599121808737</v>
      </c>
      <c r="AG48" s="383">
        <f t="shared" si="29"/>
        <v>47445.553167522827</v>
      </c>
      <c r="AH48" s="383">
        <f t="shared" si="29"/>
        <v>49362.987170081971</v>
      </c>
      <c r="AI48" s="383">
        <f t="shared" si="29"/>
        <v>51357.911114452727</v>
      </c>
      <c r="AJ48" s="383">
        <f t="shared" si="29"/>
        <v>53433.456629193795</v>
      </c>
      <c r="AK48" s="383">
        <f t="shared" si="29"/>
        <v>55592.881902481931</v>
      </c>
      <c r="AL48" s="383">
        <f t="shared" ref="AL48" si="30">AL$46*$C22</f>
        <v>57839.576796810637</v>
      </c>
    </row>
    <row r="49" spans="2:38">
      <c r="B49" s="358" t="s">
        <v>509</v>
      </c>
      <c r="C49" s="358" t="s">
        <v>443</v>
      </c>
      <c r="D49" s="383">
        <f t="shared" ref="D49:AK49" si="31">D$46*$C23</f>
        <v>2228.0252424728046</v>
      </c>
      <c r="E49" s="383">
        <f t="shared" si="31"/>
        <v>2318.0672184487894</v>
      </c>
      <c r="F49" s="383">
        <f t="shared" si="31"/>
        <v>2411.7480928012865</v>
      </c>
      <c r="G49" s="383">
        <f t="shared" si="31"/>
        <v>2509.214925623668</v>
      </c>
      <c r="H49" s="383">
        <f t="shared" si="31"/>
        <v>1957.965540150846</v>
      </c>
      <c r="I49" s="383">
        <f t="shared" si="31"/>
        <v>2037.0934973962494</v>
      </c>
      <c r="J49" s="383">
        <f t="shared" si="31"/>
        <v>2119.4192809003066</v>
      </c>
      <c r="K49" s="383">
        <f t="shared" si="31"/>
        <v>2205.0721255521307</v>
      </c>
      <c r="L49" s="383">
        <f t="shared" si="31"/>
        <v>2294.186489056342</v>
      </c>
      <c r="M49" s="383">
        <f t="shared" si="31"/>
        <v>2386.9022630045647</v>
      </c>
      <c r="N49" s="383">
        <f t="shared" si="31"/>
        <v>2483.364992477032</v>
      </c>
      <c r="O49" s="383">
        <f t="shared" si="31"/>
        <v>2583.7261045190339</v>
      </c>
      <c r="P49" s="383">
        <f t="shared" si="31"/>
        <v>2688.1431458508578</v>
      </c>
      <c r="Q49" s="383">
        <f t="shared" si="31"/>
        <v>2796.7800301843927</v>
      </c>
      <c r="R49" s="383">
        <f t="shared" si="31"/>
        <v>2909.8072955346192</v>
      </c>
      <c r="S49" s="383">
        <f t="shared" si="31"/>
        <v>3027.4023719299335</v>
      </c>
      <c r="T49" s="383">
        <f t="shared" si="31"/>
        <v>3149.7498599415221</v>
      </c>
      <c r="U49" s="383">
        <f t="shared" si="31"/>
        <v>3277.0418204690636</v>
      </c>
      <c r="V49" s="383">
        <f t="shared" si="31"/>
        <v>3409.4780762376427</v>
      </c>
      <c r="W49" s="383">
        <f t="shared" si="31"/>
        <v>3547.2665254791391</v>
      </c>
      <c r="X49" s="383">
        <f t="shared" si="31"/>
        <v>3690.6234682905765</v>
      </c>
      <c r="Y49" s="383">
        <f t="shared" si="31"/>
        <v>3839.7739461816659</v>
      </c>
      <c r="Z49" s="383">
        <f t="shared" si="31"/>
        <v>3994.9520953446345</v>
      </c>
      <c r="AA49" s="383">
        <f t="shared" si="31"/>
        <v>4156.4015142008602</v>
      </c>
      <c r="AB49" s="383">
        <f t="shared" si="31"/>
        <v>4324.3756458012977</v>
      </c>
      <c r="AC49" s="383">
        <f t="shared" si="31"/>
        <v>4499.1381756809969</v>
      </c>
      <c r="AD49" s="383">
        <f t="shared" si="31"/>
        <v>4680.9634457922502</v>
      </c>
      <c r="AE49" s="383">
        <f t="shared" si="31"/>
        <v>4870.13688516617</v>
      </c>
      <c r="AF49" s="383">
        <f t="shared" si="31"/>
        <v>5066.9554579787482</v>
      </c>
      <c r="AG49" s="383">
        <f t="shared" si="31"/>
        <v>5271.7281297247591</v>
      </c>
      <c r="AH49" s="383">
        <f t="shared" si="31"/>
        <v>5484.7763522313307</v>
      </c>
      <c r="AI49" s="383">
        <f t="shared" si="31"/>
        <v>5706.4345682725252</v>
      </c>
      <c r="AJ49" s="383">
        <f t="shared" si="31"/>
        <v>5937.0507365770891</v>
      </c>
      <c r="AK49" s="383">
        <f t="shared" si="31"/>
        <v>6176.986878053548</v>
      </c>
      <c r="AL49" s="383">
        <f t="shared" ref="AL49" si="32">AL$46*$C23</f>
        <v>6426.6196440900712</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1177" t="s">
        <v>788</v>
      </c>
      <c r="C52" s="358" t="s">
        <v>295</v>
      </c>
      <c r="D52" s="383">
        <f t="shared" ref="D52:AK53" si="35">IF(D$2&gt;VRCConstEnd,0,D32)</f>
        <v>7168.6712176562487</v>
      </c>
      <c r="E52" s="383">
        <f t="shared" si="35"/>
        <v>7458.3812753589791</v>
      </c>
      <c r="F52" s="383">
        <f t="shared" si="35"/>
        <v>7759.7994885881399</v>
      </c>
      <c r="G52" s="383">
        <f t="shared" si="35"/>
        <v>8073.3990231941525</v>
      </c>
      <c r="H52" s="383">
        <f t="shared" si="35"/>
        <v>0</v>
      </c>
      <c r="I52" s="383">
        <f t="shared" si="35"/>
        <v>0</v>
      </c>
      <c r="J52" s="383">
        <f t="shared" si="35"/>
        <v>0</v>
      </c>
      <c r="K52" s="383">
        <f t="shared" si="35"/>
        <v>0</v>
      </c>
      <c r="L52" s="383">
        <f t="shared" si="35"/>
        <v>0</v>
      </c>
      <c r="M52" s="383">
        <f t="shared" si="35"/>
        <v>0</v>
      </c>
      <c r="N52" s="383">
        <f t="shared" si="35"/>
        <v>0</v>
      </c>
      <c r="O52" s="383">
        <f t="shared" si="35"/>
        <v>0</v>
      </c>
      <c r="P52" s="383">
        <f t="shared" si="35"/>
        <v>0</v>
      </c>
      <c r="Q52" s="383">
        <f t="shared" si="35"/>
        <v>0</v>
      </c>
      <c r="R52" s="383">
        <f t="shared" si="35"/>
        <v>0</v>
      </c>
      <c r="S52" s="383">
        <f t="shared" si="35"/>
        <v>0</v>
      </c>
      <c r="T52" s="383">
        <f t="shared" si="35"/>
        <v>0</v>
      </c>
      <c r="U52" s="383">
        <f t="shared" si="35"/>
        <v>0</v>
      </c>
      <c r="V52" s="383">
        <f t="shared" si="35"/>
        <v>0</v>
      </c>
      <c r="W52" s="383">
        <f t="shared" si="35"/>
        <v>0</v>
      </c>
      <c r="X52" s="383">
        <f t="shared" si="35"/>
        <v>0</v>
      </c>
      <c r="Y52" s="383">
        <f t="shared" si="35"/>
        <v>0</v>
      </c>
      <c r="Z52" s="383">
        <f t="shared" si="35"/>
        <v>0</v>
      </c>
      <c r="AA52" s="383">
        <f t="shared" si="35"/>
        <v>0</v>
      </c>
      <c r="AB52" s="383">
        <f t="shared" si="35"/>
        <v>0</v>
      </c>
      <c r="AC52" s="383">
        <f t="shared" si="35"/>
        <v>0</v>
      </c>
      <c r="AD52" s="383">
        <f t="shared" si="35"/>
        <v>0</v>
      </c>
      <c r="AE52" s="383">
        <f t="shared" si="35"/>
        <v>0</v>
      </c>
      <c r="AF52" s="383">
        <f t="shared" si="35"/>
        <v>0</v>
      </c>
      <c r="AG52" s="383">
        <f t="shared" si="35"/>
        <v>0</v>
      </c>
      <c r="AH52" s="383">
        <f t="shared" si="35"/>
        <v>0</v>
      </c>
      <c r="AI52" s="383">
        <f t="shared" si="35"/>
        <v>0</v>
      </c>
      <c r="AJ52" s="383">
        <f t="shared" si="35"/>
        <v>0</v>
      </c>
      <c r="AK52" s="383">
        <f t="shared" si="35"/>
        <v>0</v>
      </c>
      <c r="AL52" s="383">
        <f t="shared" ref="AL52" si="36">IF(AL$2&gt;VRCConstEnd,0,AL32)</f>
        <v>0</v>
      </c>
    </row>
    <row r="53" spans="2:38">
      <c r="B53" s="1177" t="s">
        <v>789</v>
      </c>
      <c r="C53" s="358" t="s">
        <v>295</v>
      </c>
      <c r="D53" s="383">
        <f t="shared" si="35"/>
        <v>1871.5412036771559</v>
      </c>
      <c r="E53" s="383">
        <f t="shared" si="35"/>
        <v>1947.1764634969829</v>
      </c>
      <c r="F53" s="383">
        <f t="shared" si="35"/>
        <v>2025.8683979530806</v>
      </c>
      <c r="G53" s="383">
        <f t="shared" si="35"/>
        <v>2107.7405375238809</v>
      </c>
      <c r="H53" s="383">
        <f t="shared" si="35"/>
        <v>0</v>
      </c>
      <c r="I53" s="383">
        <f t="shared" si="35"/>
        <v>0</v>
      </c>
      <c r="J53" s="383">
        <f t="shared" si="35"/>
        <v>0</v>
      </c>
      <c r="K53" s="383">
        <f t="shared" si="35"/>
        <v>0</v>
      </c>
      <c r="L53" s="383">
        <f t="shared" si="35"/>
        <v>0</v>
      </c>
      <c r="M53" s="383">
        <f t="shared" si="35"/>
        <v>0</v>
      </c>
      <c r="N53" s="383">
        <f t="shared" si="35"/>
        <v>0</v>
      </c>
      <c r="O53" s="383">
        <f t="shared" si="35"/>
        <v>0</v>
      </c>
      <c r="P53" s="383">
        <f t="shared" si="35"/>
        <v>0</v>
      </c>
      <c r="Q53" s="383">
        <f t="shared" si="35"/>
        <v>0</v>
      </c>
      <c r="R53" s="383">
        <f t="shared" si="35"/>
        <v>0</v>
      </c>
      <c r="S53" s="383">
        <f t="shared" si="35"/>
        <v>0</v>
      </c>
      <c r="T53" s="383">
        <f t="shared" si="35"/>
        <v>0</v>
      </c>
      <c r="U53" s="383">
        <f t="shared" si="35"/>
        <v>0</v>
      </c>
      <c r="V53" s="383">
        <f t="shared" si="35"/>
        <v>0</v>
      </c>
      <c r="W53" s="383">
        <f t="shared" si="35"/>
        <v>0</v>
      </c>
      <c r="X53" s="383">
        <f t="shared" si="35"/>
        <v>0</v>
      </c>
      <c r="Y53" s="383">
        <f t="shared" si="35"/>
        <v>0</v>
      </c>
      <c r="Z53" s="383">
        <f t="shared" si="35"/>
        <v>0</v>
      </c>
      <c r="AA53" s="383">
        <f t="shared" si="35"/>
        <v>0</v>
      </c>
      <c r="AB53" s="383">
        <f t="shared" si="35"/>
        <v>0</v>
      </c>
      <c r="AC53" s="383">
        <f t="shared" si="35"/>
        <v>0</v>
      </c>
      <c r="AD53" s="383">
        <f t="shared" si="35"/>
        <v>0</v>
      </c>
      <c r="AE53" s="383">
        <f t="shared" si="35"/>
        <v>0</v>
      </c>
      <c r="AF53" s="383">
        <f t="shared" si="35"/>
        <v>0</v>
      </c>
      <c r="AG53" s="383">
        <f t="shared" si="35"/>
        <v>0</v>
      </c>
      <c r="AH53" s="383">
        <f t="shared" si="35"/>
        <v>0</v>
      </c>
      <c r="AI53" s="383">
        <f t="shared" si="35"/>
        <v>0</v>
      </c>
      <c r="AJ53" s="383">
        <f t="shared" si="35"/>
        <v>0</v>
      </c>
      <c r="AK53" s="383">
        <f t="shared" si="35"/>
        <v>0</v>
      </c>
      <c r="AL53" s="383">
        <f t="shared" ref="AL53" si="37">IF(AL$2&gt;VRCConstEnd,0,AL33)</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tabColor theme="0" tint="-0.499984740745262"/>
    <pageSetUpPr fitToPage="1"/>
  </sheetPr>
  <dimension ref="A1:W32"/>
  <sheetViews>
    <sheetView showGridLines="0" zoomScale="85" zoomScaleNormal="85" workbookViewId="0"/>
  </sheetViews>
  <sheetFormatPr defaultColWidth="9.25" defaultRowHeight="14"/>
  <cols>
    <col min="1" max="11" width="8.83203125" style="3" customWidth="1"/>
    <col min="12" max="12" width="9.25" style="3"/>
    <col min="13" max="13" width="10.5" style="3" customWidth="1"/>
    <col min="14" max="16384" width="9.25" style="3"/>
  </cols>
  <sheetData>
    <row r="1" spans="1:23" ht="23">
      <c r="A1" s="521" t="s">
        <v>841</v>
      </c>
    </row>
    <row r="2" spans="1:23" ht="23">
      <c r="A2" s="259" t="s">
        <v>840</v>
      </c>
      <c r="M2" s="259" t="s">
        <v>523</v>
      </c>
      <c r="O2" s="249"/>
      <c r="P2" s="249"/>
      <c r="Q2" s="249"/>
      <c r="R2" s="249"/>
      <c r="S2" s="249"/>
      <c r="T2" s="249"/>
      <c r="U2" s="249"/>
      <c r="V2" s="249"/>
      <c r="W2" s="259"/>
    </row>
    <row r="3" spans="1:23" ht="23">
      <c r="B3" s="2"/>
      <c r="C3" s="2"/>
      <c r="D3" s="2"/>
      <c r="E3" s="2"/>
      <c r="F3" s="2"/>
      <c r="N3" s="259"/>
      <c r="O3" s="249"/>
      <c r="P3" s="249"/>
      <c r="Q3" s="249"/>
      <c r="R3" s="249"/>
      <c r="S3" s="249"/>
      <c r="T3" s="249"/>
      <c r="U3" s="249"/>
      <c r="V3" s="249"/>
      <c r="W3" s="249"/>
    </row>
    <row r="4" spans="1:23" ht="23">
      <c r="A4" s="259"/>
      <c r="B4" s="2"/>
      <c r="C4" s="2"/>
      <c r="D4" s="2"/>
      <c r="E4" s="2"/>
      <c r="F4" s="2"/>
      <c r="N4" s="259"/>
      <c r="O4" s="249"/>
      <c r="P4" s="249"/>
      <c r="Q4" s="249"/>
      <c r="R4" s="249"/>
      <c r="S4" s="249"/>
      <c r="T4" s="249"/>
      <c r="U4" s="249"/>
      <c r="V4" s="249"/>
      <c r="W4" s="249"/>
    </row>
    <row r="5" spans="1:23" ht="23">
      <c r="A5" s="259"/>
      <c r="B5" s="2"/>
      <c r="C5" s="2"/>
      <c r="D5" s="2"/>
      <c r="E5" s="2"/>
      <c r="F5" s="2"/>
      <c r="N5" s="259"/>
      <c r="O5" s="249"/>
      <c r="P5" s="249"/>
      <c r="Q5" s="249"/>
      <c r="R5" s="249"/>
      <c r="S5" s="249"/>
      <c r="T5" s="249"/>
      <c r="U5" s="249"/>
      <c r="V5" s="249"/>
      <c r="W5" s="249"/>
    </row>
    <row r="6" spans="1:23" ht="23">
      <c r="A6" s="259"/>
      <c r="B6" s="2"/>
      <c r="C6" s="2"/>
      <c r="D6" s="2"/>
      <c r="E6" s="2"/>
      <c r="F6" s="2"/>
      <c r="N6" s="259"/>
      <c r="O6" s="249"/>
      <c r="P6" s="249"/>
      <c r="Q6" s="249"/>
      <c r="R6" s="249"/>
      <c r="S6" s="249"/>
      <c r="T6" s="249"/>
      <c r="U6" s="249"/>
      <c r="V6" s="249"/>
      <c r="W6" s="249"/>
    </row>
    <row r="7" spans="1:23" ht="23">
      <c r="A7" s="259"/>
      <c r="B7" s="2"/>
      <c r="C7" s="2"/>
      <c r="D7" s="2"/>
      <c r="E7" s="2"/>
      <c r="F7" s="2"/>
      <c r="N7" s="259"/>
      <c r="O7" s="249"/>
      <c r="P7" s="249"/>
      <c r="Q7" s="249"/>
      <c r="R7" s="249"/>
      <c r="S7" s="249"/>
      <c r="T7" s="249"/>
      <c r="U7" s="249"/>
      <c r="V7" s="249"/>
      <c r="W7" s="249"/>
    </row>
    <row r="8" spans="1:23" ht="23">
      <c r="A8" s="259"/>
      <c r="B8" s="2"/>
      <c r="C8" s="2"/>
      <c r="D8" s="2"/>
      <c r="E8" s="2"/>
      <c r="F8" s="2"/>
      <c r="N8" s="259"/>
      <c r="O8" s="249"/>
      <c r="P8" s="249"/>
      <c r="Q8" s="249"/>
      <c r="R8" s="249"/>
      <c r="S8" s="249"/>
      <c r="T8" s="249"/>
      <c r="U8" s="249"/>
      <c r="V8" s="249"/>
      <c r="W8" s="249"/>
    </row>
    <row r="9" spans="1:23" ht="23">
      <c r="A9" s="259"/>
      <c r="B9" s="2"/>
      <c r="C9" s="2"/>
      <c r="D9" s="2"/>
      <c r="E9" s="2"/>
      <c r="F9" s="2"/>
      <c r="N9" s="259"/>
      <c r="O9" s="249"/>
      <c r="P9" s="249"/>
      <c r="Q9" s="249"/>
      <c r="R9" s="249"/>
      <c r="S9" s="249"/>
      <c r="T9" s="249"/>
      <c r="U9" s="249"/>
      <c r="V9" s="249"/>
      <c r="W9" s="249"/>
    </row>
    <row r="10" spans="1:23" ht="23">
      <c r="A10" s="259"/>
      <c r="B10" s="2"/>
      <c r="C10" s="2"/>
      <c r="D10" s="2"/>
      <c r="E10" s="2"/>
      <c r="F10" s="2"/>
      <c r="N10" s="259"/>
      <c r="O10" s="249"/>
      <c r="P10" s="249"/>
      <c r="Q10" s="249"/>
      <c r="R10" s="249"/>
      <c r="S10" s="249"/>
      <c r="T10" s="249"/>
      <c r="U10" s="249"/>
      <c r="V10" s="249"/>
      <c r="W10" s="249"/>
    </row>
    <row r="11" spans="1:23" ht="23">
      <c r="A11" s="259"/>
      <c r="B11" s="2"/>
      <c r="C11" s="2"/>
      <c r="D11" s="2"/>
      <c r="E11" s="2"/>
      <c r="F11" s="2"/>
      <c r="N11" s="259"/>
      <c r="O11" s="249"/>
      <c r="P11" s="249"/>
      <c r="Q11" s="249"/>
      <c r="R11" s="249"/>
      <c r="S11" s="249"/>
      <c r="T11" s="249"/>
      <c r="U11" s="249"/>
      <c r="V11" s="249"/>
      <c r="W11" s="249"/>
    </row>
    <row r="12" spans="1:23" ht="23">
      <c r="A12" s="259"/>
      <c r="B12" s="2"/>
      <c r="C12" s="2"/>
      <c r="D12" s="2"/>
      <c r="E12" s="2"/>
      <c r="F12" s="2"/>
      <c r="N12" s="259"/>
      <c r="O12" s="249"/>
      <c r="P12" s="249"/>
      <c r="Q12" s="249"/>
      <c r="R12" s="249"/>
      <c r="S12" s="249"/>
      <c r="T12" s="249"/>
      <c r="U12" s="249"/>
      <c r="V12" s="249"/>
      <c r="W12" s="249"/>
    </row>
    <row r="13" spans="1:23" ht="23">
      <c r="K13" s="249"/>
      <c r="L13" s="249"/>
      <c r="M13" s="249"/>
      <c r="N13" s="259"/>
      <c r="O13" s="249"/>
      <c r="P13" s="249"/>
      <c r="Q13" s="249"/>
      <c r="R13" s="249"/>
      <c r="S13" s="249"/>
      <c r="T13" s="249"/>
      <c r="U13" s="249"/>
      <c r="V13" s="249"/>
      <c r="W13" s="249"/>
    </row>
    <row r="14" spans="1:23" ht="23">
      <c r="A14" s="259" t="s">
        <v>707</v>
      </c>
      <c r="M14" s="259" t="s">
        <v>458</v>
      </c>
    </row>
    <row r="15" spans="1:23" ht="23">
      <c r="A15" s="259"/>
      <c r="M15" s="259"/>
    </row>
    <row r="16" spans="1:23" ht="23">
      <c r="A16" s="259"/>
      <c r="M16" s="259"/>
    </row>
    <row r="17" spans="1:14" ht="23">
      <c r="A17" s="259"/>
      <c r="M17" s="259"/>
    </row>
    <row r="18" spans="1:14" ht="23">
      <c r="A18" s="259"/>
      <c r="M18" s="259"/>
    </row>
    <row r="19" spans="1:14" ht="23">
      <c r="A19" s="259"/>
      <c r="M19" s="259"/>
    </row>
    <row r="20" spans="1:14" ht="23">
      <c r="A20" s="259"/>
      <c r="M20" s="259"/>
    </row>
    <row r="21" spans="1:14" ht="23">
      <c r="A21" s="259"/>
      <c r="M21" s="259"/>
    </row>
    <row r="22" spans="1:14" ht="23">
      <c r="A22" s="259"/>
      <c r="M22" s="259"/>
    </row>
    <row r="23" spans="1:14" ht="23">
      <c r="A23" s="259"/>
      <c r="M23" s="259"/>
    </row>
    <row r="24" spans="1:14" ht="23">
      <c r="A24" s="259"/>
      <c r="M24" s="259"/>
    </row>
    <row r="25" spans="1:14" ht="23">
      <c r="A25" s="259"/>
      <c r="M25" s="259"/>
    </row>
    <row r="26" spans="1:14" ht="23">
      <c r="A26" s="259"/>
      <c r="M26" s="259"/>
      <c r="N26" s="150"/>
    </row>
    <row r="27" spans="1:14" ht="23">
      <c r="A27" s="259"/>
      <c r="M27" s="259"/>
    </row>
    <row r="28" spans="1:14" ht="23">
      <c r="M28" s="259"/>
    </row>
    <row r="29" spans="1:14" ht="23">
      <c r="M29" s="259"/>
    </row>
    <row r="30" spans="1:14" ht="23">
      <c r="M30" s="259"/>
    </row>
    <row r="31" spans="1:14" ht="23">
      <c r="M31" s="259"/>
    </row>
    <row r="32" spans="1:14" ht="23">
      <c r="M32" s="259"/>
    </row>
  </sheetData>
  <pageMargins left="0.7" right="0.7" top="0.75" bottom="0.75" header="0.3" footer="0.3"/>
  <pageSetup scale="31" orientation="portrait" r:id="rId1"/>
  <drawing r:id="rId2"/>
  <legacyDrawing r:id="rId3"/>
  <oleObjects>
    <mc:AlternateContent xmlns:mc="http://schemas.openxmlformats.org/markup-compatibility/2006">
      <mc:Choice Requires="x14">
        <oleObject progId="Visio.Drawing.11" shapeId="840705" r:id="rId4">
          <objectPr defaultSize="0" autoPict="0" r:id="rId5">
            <anchor moveWithCells="1">
              <from>
                <xdr:col>0</xdr:col>
                <xdr:colOff>171450</xdr:colOff>
                <xdr:row>3</xdr:row>
                <xdr:rowOff>69850</xdr:rowOff>
              </from>
              <to>
                <xdr:col>8</xdr:col>
                <xdr:colOff>323850</xdr:colOff>
                <xdr:row>12</xdr:row>
                <xdr:rowOff>19050</xdr:rowOff>
              </to>
            </anchor>
          </objectPr>
        </oleObject>
      </mc:Choice>
      <mc:Fallback>
        <oleObject progId="Visio.Drawing.11" shapeId="840705" r:id="rId4"/>
      </mc:Fallback>
    </mc:AlternateContent>
    <mc:AlternateContent xmlns:mc="http://schemas.openxmlformats.org/markup-compatibility/2006">
      <mc:Choice Requires="x14">
        <oleObject progId="Visio.Drawing.11" shapeId="840706" r:id="rId6">
          <objectPr defaultSize="0" autoPict="0" r:id="rId7">
            <anchor moveWithCells="1">
              <from>
                <xdr:col>11</xdr:col>
                <xdr:colOff>488950</xdr:colOff>
                <xdr:row>2</xdr:row>
                <xdr:rowOff>184150</xdr:rowOff>
              </from>
              <to>
                <xdr:col>19</xdr:col>
                <xdr:colOff>228600</xdr:colOff>
                <xdr:row>12</xdr:row>
                <xdr:rowOff>57150</xdr:rowOff>
              </to>
            </anchor>
          </objectPr>
        </oleObject>
      </mc:Choice>
      <mc:Fallback>
        <oleObject progId="Visio.Drawing.11" shapeId="840706" r:id="rId6"/>
      </mc:Fallback>
    </mc:AlternateContent>
    <mc:AlternateContent xmlns:mc="http://schemas.openxmlformats.org/markup-compatibility/2006">
      <mc:Choice Requires="x14">
        <oleObject progId="Visio.Drawing.11" shapeId="840707" r:id="rId8">
          <objectPr defaultSize="0" autoPict="0" r:id="rId9">
            <anchor moveWithCells="1">
              <from>
                <xdr:col>0</xdr:col>
                <xdr:colOff>38100</xdr:colOff>
                <xdr:row>14</xdr:row>
                <xdr:rowOff>76200</xdr:rowOff>
              </from>
              <to>
                <xdr:col>9</xdr:col>
                <xdr:colOff>152400</xdr:colOff>
                <xdr:row>27</xdr:row>
                <xdr:rowOff>133350</xdr:rowOff>
              </to>
            </anchor>
          </objectPr>
        </oleObject>
      </mc:Choice>
      <mc:Fallback>
        <oleObject progId="Visio.Drawing.11" shapeId="840707" r:id="rId8"/>
      </mc:Fallback>
    </mc:AlternateContent>
    <mc:AlternateContent xmlns:mc="http://schemas.openxmlformats.org/markup-compatibility/2006">
      <mc:Choice Requires="x14">
        <oleObject progId="Visio.Drawing.11" shapeId="840709" r:id="rId10">
          <objectPr defaultSize="0" autoPict="0" r:id="rId11">
            <anchor moveWithCells="1">
              <from>
                <xdr:col>11</xdr:col>
                <xdr:colOff>374650</xdr:colOff>
                <xdr:row>14</xdr:row>
                <xdr:rowOff>107950</xdr:rowOff>
              </from>
              <to>
                <xdr:col>18</xdr:col>
                <xdr:colOff>336550</xdr:colOff>
                <xdr:row>31</xdr:row>
                <xdr:rowOff>228600</xdr:rowOff>
              </to>
            </anchor>
          </objectPr>
        </oleObject>
      </mc:Choice>
      <mc:Fallback>
        <oleObject progId="Visio.Drawing.11" shapeId="840709" r:id="rId10"/>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theme="4" tint="-0.249977111117893"/>
  </sheetPr>
  <dimension ref="A1:AL205"/>
  <sheetViews>
    <sheetView showGridLines="0" workbookViewId="0">
      <pane ySplit="4" topLeftCell="A117"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V9:AL9"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si="1"/>
        <v>12071000</v>
      </c>
      <c r="AG9" s="498">
        <f t="shared" si="1"/>
        <v>12071000</v>
      </c>
      <c r="AH9" s="498">
        <f t="shared" si="1"/>
        <v>12071000</v>
      </c>
      <c r="AI9" s="498">
        <f t="shared" si="1"/>
        <v>12071000</v>
      </c>
      <c r="AJ9" s="498">
        <f t="shared" si="1"/>
        <v>12071000</v>
      </c>
      <c r="AK9" s="498">
        <f t="shared" si="1"/>
        <v>12071000</v>
      </c>
      <c r="AL9" s="498">
        <f t="shared" si="1"/>
        <v>12071000</v>
      </c>
    </row>
    <row r="10" spans="1:38">
      <c r="B10" s="476" t="s">
        <v>973</v>
      </c>
      <c r="C10" s="384" t="s">
        <v>1075</v>
      </c>
      <c r="D10" s="498">
        <f>'General Inputs'!D24</f>
        <v>284100</v>
      </c>
      <c r="E10" s="498">
        <f t="shared" ref="E10:T11" si="2">D10*(1+$C$8)</f>
        <v>284100</v>
      </c>
      <c r="F10" s="498">
        <f t="shared" si="2"/>
        <v>284100</v>
      </c>
      <c r="G10" s="498">
        <f t="shared" si="2"/>
        <v>284100</v>
      </c>
      <c r="H10" s="498">
        <f t="shared" si="2"/>
        <v>284100</v>
      </c>
      <c r="I10" s="498">
        <f t="shared" si="2"/>
        <v>284100</v>
      </c>
      <c r="J10" s="498">
        <f t="shared" si="2"/>
        <v>284100</v>
      </c>
      <c r="K10" s="498">
        <f t="shared" si="2"/>
        <v>284100</v>
      </c>
      <c r="L10" s="498">
        <f t="shared" si="2"/>
        <v>284100</v>
      </c>
      <c r="M10" s="498">
        <f t="shared" si="2"/>
        <v>284100</v>
      </c>
      <c r="N10" s="498">
        <f t="shared" si="2"/>
        <v>284100</v>
      </c>
      <c r="O10" s="498">
        <f t="shared" si="2"/>
        <v>284100</v>
      </c>
      <c r="P10" s="498">
        <f t="shared" si="2"/>
        <v>284100</v>
      </c>
      <c r="Q10" s="498">
        <f t="shared" si="2"/>
        <v>284100</v>
      </c>
      <c r="R10" s="498">
        <f t="shared" si="2"/>
        <v>284100</v>
      </c>
      <c r="S10" s="498">
        <f t="shared" si="2"/>
        <v>284100</v>
      </c>
      <c r="T10" s="498">
        <f t="shared" si="2"/>
        <v>284100</v>
      </c>
      <c r="U10" s="498">
        <f t="shared" ref="U10:AL11" si="3">T10*(1+$C$8)</f>
        <v>284100</v>
      </c>
      <c r="V10" s="498">
        <f t="shared" si="3"/>
        <v>284100</v>
      </c>
      <c r="W10" s="498">
        <f t="shared" si="3"/>
        <v>284100</v>
      </c>
      <c r="X10" s="498">
        <f t="shared" si="3"/>
        <v>284100</v>
      </c>
      <c r="Y10" s="498">
        <f t="shared" si="3"/>
        <v>284100</v>
      </c>
      <c r="Z10" s="498">
        <f t="shared" si="3"/>
        <v>284100</v>
      </c>
      <c r="AA10" s="498">
        <f t="shared" si="3"/>
        <v>284100</v>
      </c>
      <c r="AB10" s="498">
        <f t="shared" si="3"/>
        <v>284100</v>
      </c>
      <c r="AC10" s="498">
        <f t="shared" si="3"/>
        <v>284100</v>
      </c>
      <c r="AD10" s="498">
        <f t="shared" si="3"/>
        <v>284100</v>
      </c>
      <c r="AE10" s="498">
        <f t="shared" si="3"/>
        <v>284100</v>
      </c>
      <c r="AF10" s="498">
        <f t="shared" si="3"/>
        <v>284100</v>
      </c>
      <c r="AG10" s="498">
        <f t="shared" si="3"/>
        <v>284100</v>
      </c>
      <c r="AH10" s="498">
        <f t="shared" si="3"/>
        <v>284100</v>
      </c>
      <c r="AI10" s="498">
        <f t="shared" si="3"/>
        <v>284100</v>
      </c>
      <c r="AJ10" s="498">
        <f t="shared" si="3"/>
        <v>284100</v>
      </c>
      <c r="AK10" s="498">
        <f t="shared" si="3"/>
        <v>284100</v>
      </c>
      <c r="AL10" s="498">
        <f t="shared" si="3"/>
        <v>284100</v>
      </c>
    </row>
    <row r="11" spans="1:38">
      <c r="B11" s="476" t="s">
        <v>451</v>
      </c>
      <c r="C11" s="473" t="s">
        <v>453</v>
      </c>
      <c r="D11" s="498">
        <f>'General Inputs'!D25</f>
        <v>4500</v>
      </c>
      <c r="E11" s="498">
        <f t="shared" si="2"/>
        <v>4500</v>
      </c>
      <c r="F11" s="498">
        <f t="shared" si="2"/>
        <v>4500</v>
      </c>
      <c r="G11" s="498">
        <f t="shared" si="2"/>
        <v>4500</v>
      </c>
      <c r="H11" s="498">
        <f t="shared" si="2"/>
        <v>4500</v>
      </c>
      <c r="I11" s="498">
        <f t="shared" si="2"/>
        <v>4500</v>
      </c>
      <c r="J11" s="498">
        <f t="shared" si="2"/>
        <v>4500</v>
      </c>
      <c r="K11" s="498">
        <f t="shared" si="2"/>
        <v>4500</v>
      </c>
      <c r="L11" s="498">
        <f t="shared" si="2"/>
        <v>4500</v>
      </c>
      <c r="M11" s="498">
        <f t="shared" si="2"/>
        <v>4500</v>
      </c>
      <c r="N11" s="498">
        <f t="shared" si="2"/>
        <v>4500</v>
      </c>
      <c r="O11" s="498">
        <f t="shared" si="2"/>
        <v>4500</v>
      </c>
      <c r="P11" s="498">
        <f t="shared" si="2"/>
        <v>4500</v>
      </c>
      <c r="Q11" s="498">
        <f t="shared" si="2"/>
        <v>4500</v>
      </c>
      <c r="R11" s="498">
        <f t="shared" si="2"/>
        <v>4500</v>
      </c>
      <c r="S11" s="498">
        <f t="shared" si="2"/>
        <v>4500</v>
      </c>
      <c r="T11" s="498">
        <f t="shared" si="2"/>
        <v>4500</v>
      </c>
      <c r="U11" s="498">
        <f t="shared" si="3"/>
        <v>4500</v>
      </c>
      <c r="V11" s="498">
        <f t="shared" si="3"/>
        <v>4500</v>
      </c>
      <c r="W11" s="498">
        <f t="shared" si="3"/>
        <v>4500</v>
      </c>
      <c r="X11" s="498">
        <f t="shared" si="3"/>
        <v>4500</v>
      </c>
      <c r="Y11" s="498">
        <f t="shared" si="3"/>
        <v>4500</v>
      </c>
      <c r="Z11" s="498">
        <f t="shared" si="3"/>
        <v>4500</v>
      </c>
      <c r="AA11" s="498">
        <f t="shared" si="3"/>
        <v>4500</v>
      </c>
      <c r="AB11" s="498">
        <f t="shared" si="3"/>
        <v>4500</v>
      </c>
      <c r="AC11" s="498">
        <f t="shared" si="3"/>
        <v>4500</v>
      </c>
      <c r="AD11" s="498">
        <f t="shared" si="3"/>
        <v>4500</v>
      </c>
      <c r="AE11" s="498">
        <f t="shared" si="3"/>
        <v>4500</v>
      </c>
      <c r="AF11" s="498">
        <f t="shared" si="3"/>
        <v>4500</v>
      </c>
      <c r="AG11" s="498">
        <f t="shared" si="3"/>
        <v>4500</v>
      </c>
      <c r="AH11" s="498">
        <f t="shared" si="3"/>
        <v>4500</v>
      </c>
      <c r="AI11" s="498">
        <f t="shared" si="3"/>
        <v>4500</v>
      </c>
      <c r="AJ11" s="498">
        <f t="shared" si="3"/>
        <v>4500</v>
      </c>
      <c r="AK11" s="498">
        <f t="shared" si="3"/>
        <v>4500</v>
      </c>
      <c r="AL11" s="498">
        <f t="shared" si="3"/>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'A1.10'!D24</f>
        <v>3.8931567334583245E-3</v>
      </c>
      <c r="E15" s="388">
        <f>'A1.10'!E24</f>
        <v>3.9445809558329402E-3</v>
      </c>
      <c r="F15" s="388">
        <f>'A1.10'!F24</f>
        <v>3.9966896940259091E-3</v>
      </c>
      <c r="G15" s="388">
        <f>'A1.10'!G24</f>
        <v>4.0494920829314274E-3</v>
      </c>
      <c r="H15" s="388">
        <f>'A1.10'!H24</f>
        <v>4.1029973793590881E-3</v>
      </c>
      <c r="I15" s="388">
        <f>'A1.10'!I24</f>
        <v>4.1572149636607469E-3</v>
      </c>
      <c r="J15" s="388">
        <f>'A1.10'!J24</f>
        <v>4.2121543413791091E-3</v>
      </c>
      <c r="K15" s="388">
        <f>'A1.10'!K24</f>
        <v>4.2678251449182938E-3</v>
      </c>
      <c r="L15" s="388">
        <f>'A1.10'!L24</f>
        <v>4.3242371352367401E-3</v>
      </c>
      <c r="M15" s="388">
        <f>'A1.10'!M24</f>
        <v>4.3814002035626716E-3</v>
      </c>
      <c r="N15" s="388">
        <f>'A1.10'!N24</f>
        <v>4.4393243731324613E-3</v>
      </c>
      <c r="O15" s="388">
        <f>'A1.10'!O24</f>
        <v>4.4980198009522028E-3</v>
      </c>
      <c r="P15" s="388">
        <f>'A1.10'!P24</f>
        <v>4.5574967795828031E-3</v>
      </c>
      <c r="Q15" s="388">
        <f>'A1.10'!Q24</f>
        <v>4.6177657389488789E-3</v>
      </c>
      <c r="R15" s="388">
        <f>'A1.10'!R24</f>
        <v>4.6788372481718007E-3</v>
      </c>
      <c r="S15" s="388">
        <f>'A1.10'!S24</f>
        <v>4.74072201742721E-3</v>
      </c>
      <c r="T15" s="388">
        <f>'A1.10'!T24</f>
        <v>4.8034308998273247E-3</v>
      </c>
      <c r="U15" s="388">
        <f>'A1.10'!U24</f>
        <v>4.8669748933283406E-3</v>
      </c>
      <c r="V15" s="388">
        <f>'A1.10'!V24</f>
        <v>4.9313651426633499E-3</v>
      </c>
      <c r="W15" s="388">
        <f>'A1.10'!W24</f>
        <v>4.9966129413009652E-3</v>
      </c>
      <c r="X15" s="388">
        <f>'A1.10'!X24</f>
        <v>5.0627297334301831E-3</v>
      </c>
      <c r="Y15" s="388">
        <f>'A1.10'!Y24</f>
        <v>5.1297271159716452E-3</v>
      </c>
      <c r="Z15" s="388">
        <f>'A1.10'!Z24</f>
        <v>5.1976168406158048E-3</v>
      </c>
      <c r="AA15" s="388">
        <f>'A1.10'!AA24</f>
        <v>5.2664108158882788E-3</v>
      </c>
      <c r="AB15" s="388">
        <f>'A1.10'!AB24</f>
        <v>5.3361211092427356E-3</v>
      </c>
      <c r="AC15" s="388">
        <f>'A1.10'!AC24</f>
        <v>5.406759949181752E-3</v>
      </c>
      <c r="AD15" s="388">
        <f>'A1.10'!AD24</f>
        <v>5.478339727405945E-3</v>
      </c>
      <c r="AE15" s="388">
        <f>'A1.10'!AE24</f>
        <v>5.5508730009917939E-3</v>
      </c>
      <c r="AF15" s="388">
        <f>'A1.10'!AF24</f>
        <v>5.6243724945985391E-3</v>
      </c>
      <c r="AG15" s="388">
        <f>'A1.10'!AG24</f>
        <v>5.6988511027045111E-3</v>
      </c>
      <c r="AH15" s="388">
        <f>'A1.10'!AH24</f>
        <v>5.7743218918733042E-3</v>
      </c>
      <c r="AI15" s="388">
        <f>'A1.10'!AI24</f>
        <v>5.8507981030502323E-3</v>
      </c>
      <c r="AJ15" s="388">
        <f>'A1.10'!AJ24</f>
        <v>5.9282931538893625E-3</v>
      </c>
      <c r="AK15" s="388">
        <f>'A1.10'!AK24</f>
        <v>6.0068206411116607E-3</v>
      </c>
      <c r="AL15" s="388">
        <f>'A1.10'!AL24</f>
        <v>6.0863943428945896E-3</v>
      </c>
    </row>
    <row r="16" spans="1:38">
      <c r="B16" s="367" t="s">
        <v>516</v>
      </c>
      <c r="C16" s="367" t="s">
        <v>329</v>
      </c>
      <c r="D16" s="388">
        <f>'A1.10'!D25</f>
        <v>5.9021621655857073E-2</v>
      </c>
      <c r="E16" s="388">
        <f>'A1.10'!E25</f>
        <v>5.9743672708662682E-2</v>
      </c>
      <c r="F16" s="388">
        <f>'A1.10'!F25</f>
        <v>6.0474569644603987E-2</v>
      </c>
      <c r="G16" s="388">
        <f>'A1.10'!G25</f>
        <v>6.1214420854820061E-2</v>
      </c>
      <c r="H16" s="388">
        <f>'A1.10'!H25</f>
        <v>6.19633360584326E-2</v>
      </c>
      <c r="I16" s="388">
        <f>'A1.10'!I25</f>
        <v>6.2721426318813556E-2</v>
      </c>
      <c r="J16" s="388">
        <f>'A1.10'!J25</f>
        <v>6.3488804060052167E-2</v>
      </c>
      <c r="K16" s="388">
        <f>'A1.10'!K25</f>
        <v>6.4265583083623221E-2</v>
      </c>
      <c r="L16" s="388">
        <f>'A1.10'!L25</f>
        <v>6.5051878585260181E-2</v>
      </c>
      <c r="M16" s="388">
        <f>'A1.10'!M25</f>
        <v>6.5847807172034561E-2</v>
      </c>
      <c r="N16" s="388">
        <f>'A1.10'!N25</f>
        <v>6.6653486879644425E-2</v>
      </c>
      <c r="O16" s="388">
        <f>'A1.10'!O25</f>
        <v>6.7469037189915038E-2</v>
      </c>
      <c r="P16" s="388">
        <f>'A1.10'!P25</f>
        <v>6.8294579048513618E-2</v>
      </c>
      <c r="Q16" s="388">
        <f>'A1.10'!Q25</f>
        <v>6.9130234882881211E-2</v>
      </c>
      <c r="R16" s="388">
        <f>'A1.10'!R25</f>
        <v>6.9976128620384007E-2</v>
      </c>
      <c r="S16" s="388">
        <f>'A1.10'!S25</f>
        <v>7.083238570668729E-2</v>
      </c>
      <c r="T16" s="388">
        <f>'A1.10'!T25</f>
        <v>7.1699133124354372E-2</v>
      </c>
      <c r="U16" s="388">
        <f>'A1.10'!U25</f>
        <v>7.2576499411672921E-2</v>
      </c>
      <c r="V16" s="388">
        <f>'A1.10'!V25</f>
        <v>7.346461468171285E-2</v>
      </c>
      <c r="W16" s="388">
        <f>'A1.10'!W25</f>
        <v>7.4363610641616396E-2</v>
      </c>
      <c r="X16" s="388">
        <f>'A1.10'!X25</f>
        <v>7.5273620612125752E-2</v>
      </c>
      <c r="Y16" s="388">
        <f>'A1.10'!Y25</f>
        <v>7.6194779547348698E-2</v>
      </c>
      <c r="Z16" s="388">
        <f>'A1.10'!Z25</f>
        <v>7.7127224054767268E-2</v>
      </c>
      <c r="AA16" s="388">
        <f>'A1.10'!AA25</f>
        <v>7.8071092415491192E-2</v>
      </c>
      <c r="AB16" s="388">
        <f>'A1.10'!AB25</f>
        <v>7.9026524604759021E-2</v>
      </c>
      <c r="AC16" s="388">
        <f>'A1.10'!AC25</f>
        <v>7.9993662312691102E-2</v>
      </c>
      <c r="AD16" s="388">
        <f>'A1.10'!AD25</f>
        <v>8.0972648965296101E-2</v>
      </c>
      <c r="AE16" s="388">
        <f>'A1.10'!AE25</f>
        <v>8.1963629745735067E-2</v>
      </c>
      <c r="AF16" s="388">
        <f>'A1.10'!AF25</f>
        <v>8.2966751615846226E-2</v>
      </c>
      <c r="AG16" s="388">
        <f>'A1.10'!AG25</f>
        <v>8.3982163337932889E-2</v>
      </c>
      <c r="AH16" s="388">
        <f>'A1.10'!AH25</f>
        <v>8.5010015496818442E-2</v>
      </c>
      <c r="AI16" s="388">
        <f>'A1.10'!AI25</f>
        <v>8.6050460522171981E-2</v>
      </c>
      <c r="AJ16" s="388">
        <f>'A1.10'!AJ25</f>
        <v>8.7103652711106372E-2</v>
      </c>
      <c r="AK16" s="388">
        <f>'A1.10'!AK25</f>
        <v>8.8169748251054031E-2</v>
      </c>
      <c r="AL16" s="388">
        <f>'A1.10'!AL25</f>
        <v>8.9248905242922436E-2</v>
      </c>
    </row>
    <row r="17" spans="1:38">
      <c r="B17" s="367" t="s">
        <v>517</v>
      </c>
      <c r="C17" s="367" t="s">
        <v>518</v>
      </c>
      <c r="D17" s="388">
        <f>'A1.10'!D23</f>
        <v>0.30304430935698168</v>
      </c>
      <c r="E17" s="388">
        <f>'A1.10'!E23</f>
        <v>0.30675545011441341</v>
      </c>
      <c r="F17" s="388">
        <f>'A1.10'!F23</f>
        <v>0.31051211075581803</v>
      </c>
      <c r="G17" s="388">
        <f>'A1.10'!G23</f>
        <v>0.31431484979669427</v>
      </c>
      <c r="H17" s="388">
        <f>'A1.10'!H23</f>
        <v>0.3181642326053376</v>
      </c>
      <c r="I17" s="388">
        <f>'A1.10'!I23</f>
        <v>0.32206083148691983</v>
      </c>
      <c r="J17" s="388">
        <f>'A1.10'!J23</f>
        <v>0.32600522576860019</v>
      </c>
      <c r="K17" s="388">
        <f>'A1.10'!K23</f>
        <v>0.32999800188567996</v>
      </c>
      <c r="L17" s="388">
        <f>'A1.10'!L23</f>
        <v>0.33403975346881604</v>
      </c>
      <c r="M17" s="388">
        <f>'A1.10'!M23</f>
        <v>0.33813108143230347</v>
      </c>
      <c r="N17" s="388">
        <f>'A1.10'!N23</f>
        <v>0.34227259406344107</v>
      </c>
      <c r="O17" s="388">
        <f>'A1.10'!O23</f>
        <v>0.34646490711299405</v>
      </c>
      <c r="P17" s="388">
        <f>'A1.10'!P23</f>
        <v>0.35070864388676742</v>
      </c>
      <c r="Q17" s="388">
        <f>'A1.10'!Q23</f>
        <v>0.35500443533830195</v>
      </c>
      <c r="R17" s="388">
        <f>'A1.10'!R23</f>
        <v>0.35935292016270731</v>
      </c>
      <c r="S17" s="388">
        <f>'A1.10'!S23</f>
        <v>0.36375474489164811</v>
      </c>
      <c r="T17" s="388">
        <f>'A1.10'!T23</f>
        <v>0.36821056398949481</v>
      </c>
      <c r="U17" s="388">
        <f>'A1.10'!U23</f>
        <v>0.37272103995065242</v>
      </c>
      <c r="V17" s="388">
        <f>'A1.10'!V23</f>
        <v>0.37728684339808838</v>
      </c>
      <c r="W17" s="388">
        <f>'A1.10'!W23</f>
        <v>0.38190865318306294</v>
      </c>
      <c r="X17" s="388">
        <f>'A1.10'!X23</f>
        <v>0.38658715648608971</v>
      </c>
      <c r="Y17" s="388">
        <f>'A1.10'!Y23</f>
        <v>0.39132304891912922</v>
      </c>
      <c r="Z17" s="388">
        <f>'A1.10'!Z23</f>
        <v>0.39611703462904113</v>
      </c>
      <c r="AA17" s="388">
        <f>'A1.10'!AA23</f>
        <v>0.40096982640230394</v>
      </c>
      <c r="AB17" s="388">
        <f>'A1.10'!AB23</f>
        <v>0.40588214577101783</v>
      </c>
      <c r="AC17" s="388">
        <f>'A1.10'!AC23</f>
        <v>0.41085472312021243</v>
      </c>
      <c r="AD17" s="388">
        <f>'A1.10'!AD23</f>
        <v>0.41588829779646674</v>
      </c>
      <c r="AE17" s="388">
        <f>'A1.10'!AE23</f>
        <v>0.42098361821786484</v>
      </c>
      <c r="AF17" s="388">
        <f>'A1.10'!AF23</f>
        <v>0.42614144198530052</v>
      </c>
      <c r="AG17" s="388">
        <f>'A1.10'!AG23</f>
        <v>0.43136253599514573</v>
      </c>
      <c r="AH17" s="388">
        <f>'A1.10'!AH23</f>
        <v>0.43664767655330294</v>
      </c>
      <c r="AI17" s="388">
        <f>'A1.10'!AI23</f>
        <v>0.44199764949065856</v>
      </c>
      <c r="AJ17" s="388">
        <f>'A1.10'!AJ23</f>
        <v>0.44741325027994872</v>
      </c>
      <c r="AK17" s="388">
        <f>'A1.10'!AK23</f>
        <v>0.45289528415406283</v>
      </c>
      <c r="AL17" s="388">
        <f>'A1.10'!AL23</f>
        <v>0.45844456622579755</v>
      </c>
    </row>
    <row r="18" spans="1:38">
      <c r="D18" s="358"/>
      <c r="F18" s="464"/>
      <c r="G18" s="465"/>
      <c r="H18" s="465"/>
    </row>
    <row r="19" spans="1:38">
      <c r="B19" s="366" t="s">
        <v>719</v>
      </c>
      <c r="C19" s="484" t="s">
        <v>292</v>
      </c>
      <c r="D19" s="485">
        <f t="shared" ref="D19:AK19" si="4">D15*D9</f>
        <v>46994.294929575437</v>
      </c>
      <c r="E19" s="485">
        <f t="shared" si="4"/>
        <v>47615.036717859424</v>
      </c>
      <c r="F19" s="485">
        <f t="shared" si="4"/>
        <v>48244.041296586751</v>
      </c>
      <c r="G19" s="485">
        <f t="shared" si="4"/>
        <v>48881.418933065259</v>
      </c>
      <c r="H19" s="485">
        <f t="shared" si="4"/>
        <v>49527.281366243551</v>
      </c>
      <c r="I19" s="485">
        <f t="shared" si="4"/>
        <v>50181.741826348873</v>
      </c>
      <c r="J19" s="485">
        <f t="shared" si="4"/>
        <v>50844.915054787227</v>
      </c>
      <c r="K19" s="485">
        <f t="shared" si="4"/>
        <v>51516.917324308721</v>
      </c>
      <c r="L19" s="485">
        <f t="shared" si="4"/>
        <v>52197.866459442688</v>
      </c>
      <c r="M19" s="485">
        <f t="shared" si="4"/>
        <v>52887.881857205008</v>
      </c>
      <c r="N19" s="485">
        <f t="shared" si="4"/>
        <v>53587.084508081942</v>
      </c>
      <c r="O19" s="485">
        <f t="shared" si="4"/>
        <v>54295.597017294043</v>
      </c>
      <c r="P19" s="485">
        <f t="shared" si="4"/>
        <v>55013.543626344013</v>
      </c>
      <c r="Q19" s="485">
        <f t="shared" si="4"/>
        <v>55741.050234851915</v>
      </c>
      <c r="R19" s="485">
        <f t="shared" si="4"/>
        <v>56478.244422681804</v>
      </c>
      <c r="S19" s="485">
        <f t="shared" si="4"/>
        <v>57225.255472363853</v>
      </c>
      <c r="T19" s="485">
        <f t="shared" si="4"/>
        <v>57982.214391815636</v>
      </c>
      <c r="U19" s="485">
        <f t="shared" si="4"/>
        <v>58749.253937366397</v>
      </c>
      <c r="V19" s="485">
        <f t="shared" si="4"/>
        <v>59526.508637089297</v>
      </c>
      <c r="W19" s="485">
        <f t="shared" si="4"/>
        <v>60314.11481444395</v>
      </c>
      <c r="X19" s="485">
        <f t="shared" si="4"/>
        <v>61112.210612235744</v>
      </c>
      <c r="Y19" s="485">
        <f t="shared" si="4"/>
        <v>61920.936016893727</v>
      </c>
      <c r="Z19" s="485">
        <f t="shared" si="4"/>
        <v>62740.432883073379</v>
      </c>
      <c r="AA19" s="485">
        <f t="shared" si="4"/>
        <v>63570.844958587411</v>
      </c>
      <c r="AB19" s="485">
        <f t="shared" si="4"/>
        <v>64412.317909669058</v>
      </c>
      <c r="AC19" s="485">
        <f t="shared" si="4"/>
        <v>65264.999346572928</v>
      </c>
      <c r="AD19" s="485">
        <f t="shared" si="4"/>
        <v>66129.038849517165</v>
      </c>
      <c r="AE19" s="485">
        <f t="shared" si="4"/>
        <v>67004.587994971938</v>
      </c>
      <c r="AF19" s="485">
        <f t="shared" si="4"/>
        <v>67891.80038229897</v>
      </c>
      <c r="AG19" s="485">
        <f t="shared" si="4"/>
        <v>68790.83166074616</v>
      </c>
      <c r="AH19" s="485">
        <f t="shared" si="4"/>
        <v>69701.839556802661</v>
      </c>
      <c r="AI19" s="485">
        <f t="shared" si="4"/>
        <v>70624.983901919361</v>
      </c>
      <c r="AJ19" s="485">
        <f t="shared" si="4"/>
        <v>71560.426660598489</v>
      </c>
      <c r="AK19" s="485">
        <f t="shared" si="4"/>
        <v>72508.331958858849</v>
      </c>
      <c r="AL19" s="485">
        <f t="shared" ref="AL19" si="5">AL15*AL9</f>
        <v>73468.866113080585</v>
      </c>
    </row>
    <row r="20" spans="1:38">
      <c r="B20" s="366" t="s">
        <v>720</v>
      </c>
      <c r="C20" s="484" t="s">
        <v>292</v>
      </c>
      <c r="D20" s="485">
        <f t="shared" ref="D20:AK20" si="6">D16*D10</f>
        <v>16768.042712428996</v>
      </c>
      <c r="E20" s="485">
        <f t="shared" si="6"/>
        <v>16973.177416531067</v>
      </c>
      <c r="F20" s="485">
        <f t="shared" si="6"/>
        <v>17180.825236031993</v>
      </c>
      <c r="G20" s="485">
        <f t="shared" si="6"/>
        <v>17391.016964854378</v>
      </c>
      <c r="H20" s="485">
        <f t="shared" si="6"/>
        <v>17603.783774200703</v>
      </c>
      <c r="I20" s="485">
        <f t="shared" si="6"/>
        <v>17819.157217174932</v>
      </c>
      <c r="J20" s="485">
        <f t="shared" si="6"/>
        <v>18037.16923346082</v>
      </c>
      <c r="K20" s="485">
        <f t="shared" si="6"/>
        <v>18257.852154057357</v>
      </c>
      <c r="L20" s="485">
        <f t="shared" si="6"/>
        <v>18481.238706072418</v>
      </c>
      <c r="M20" s="485">
        <f t="shared" si="6"/>
        <v>18707.362017575018</v>
      </c>
      <c r="N20" s="485">
        <f t="shared" si="6"/>
        <v>18936.255622506982</v>
      </c>
      <c r="O20" s="485">
        <f t="shared" si="6"/>
        <v>19167.953465654864</v>
      </c>
      <c r="P20" s="485">
        <f t="shared" si="6"/>
        <v>19402.489907682721</v>
      </c>
      <c r="Q20" s="485">
        <f t="shared" si="6"/>
        <v>19639.899730226552</v>
      </c>
      <c r="R20" s="485">
        <f t="shared" si="6"/>
        <v>19880.218141051097</v>
      </c>
      <c r="S20" s="485">
        <f t="shared" si="6"/>
        <v>20123.480779269859</v>
      </c>
      <c r="T20" s="485">
        <f t="shared" si="6"/>
        <v>20369.723720629077</v>
      </c>
      <c r="U20" s="485">
        <f t="shared" si="6"/>
        <v>20618.983482856278</v>
      </c>
      <c r="V20" s="485">
        <f t="shared" si="6"/>
        <v>20871.29703107462</v>
      </c>
      <c r="W20" s="485">
        <f t="shared" si="6"/>
        <v>21126.701783283217</v>
      </c>
      <c r="X20" s="485">
        <f t="shared" si="6"/>
        <v>21385.235615904927</v>
      </c>
      <c r="Y20" s="485">
        <f t="shared" si="6"/>
        <v>21646.936869401765</v>
      </c>
      <c r="Z20" s="485">
        <f t="shared" si="6"/>
        <v>21911.844353959383</v>
      </c>
      <c r="AA20" s="485">
        <f t="shared" si="6"/>
        <v>22179.997355241048</v>
      </c>
      <c r="AB20" s="485">
        <f t="shared" si="6"/>
        <v>22451.435640212039</v>
      </c>
      <c r="AC20" s="485">
        <f t="shared" si="6"/>
        <v>22726.199463035544</v>
      </c>
      <c r="AD20" s="485">
        <f t="shared" si="6"/>
        <v>23004.329571040624</v>
      </c>
      <c r="AE20" s="485">
        <f t="shared" si="6"/>
        <v>23285.867210763332</v>
      </c>
      <c r="AF20" s="485">
        <f t="shared" si="6"/>
        <v>23570.854134061912</v>
      </c>
      <c r="AG20" s="485">
        <f t="shared" si="6"/>
        <v>23859.332604306735</v>
      </c>
      <c r="AH20" s="485">
        <f t="shared" si="6"/>
        <v>24151.345402646119</v>
      </c>
      <c r="AI20" s="485">
        <f t="shared" si="6"/>
        <v>24446.93583434906</v>
      </c>
      <c r="AJ20" s="485">
        <f t="shared" si="6"/>
        <v>24746.147735225321</v>
      </c>
      <c r="AK20" s="485">
        <f t="shared" si="6"/>
        <v>25049.025478124451</v>
      </c>
      <c r="AL20" s="485">
        <f t="shared" ref="AL20" si="7">AL16*AL10</f>
        <v>25355.613979514263</v>
      </c>
    </row>
    <row r="21" spans="1:38">
      <c r="B21" s="366" t="s">
        <v>721</v>
      </c>
      <c r="C21" s="484" t="s">
        <v>292</v>
      </c>
      <c r="D21" s="485">
        <f t="shared" ref="D21:AK21" si="8">D17*D11</f>
        <v>1363.6993921064175</v>
      </c>
      <c r="E21" s="485">
        <f t="shared" si="8"/>
        <v>1380.3995255148604</v>
      </c>
      <c r="F21" s="485">
        <f t="shared" si="8"/>
        <v>1397.304498401181</v>
      </c>
      <c r="G21" s="485">
        <f t="shared" si="8"/>
        <v>1414.4168240851243</v>
      </c>
      <c r="H21" s="485">
        <f t="shared" si="8"/>
        <v>1431.7390467240193</v>
      </c>
      <c r="I21" s="485">
        <f t="shared" si="8"/>
        <v>1449.2737416911393</v>
      </c>
      <c r="J21" s="485">
        <f t="shared" si="8"/>
        <v>1467.023515958701</v>
      </c>
      <c r="K21" s="485">
        <f t="shared" si="8"/>
        <v>1484.9910084855599</v>
      </c>
      <c r="L21" s="485">
        <f t="shared" si="8"/>
        <v>1503.1788906096722</v>
      </c>
      <c r="M21" s="485">
        <f t="shared" si="8"/>
        <v>1521.5898664453657</v>
      </c>
      <c r="N21" s="485">
        <f t="shared" si="8"/>
        <v>1540.2266732854848</v>
      </c>
      <c r="O21" s="485">
        <f t="shared" si="8"/>
        <v>1559.0920820084732</v>
      </c>
      <c r="P21" s="485">
        <f t="shared" si="8"/>
        <v>1578.1888974904534</v>
      </c>
      <c r="Q21" s="485">
        <f t="shared" si="8"/>
        <v>1597.5199590223588</v>
      </c>
      <c r="R21" s="485">
        <f t="shared" si="8"/>
        <v>1617.0881407321829</v>
      </c>
      <c r="S21" s="485">
        <f t="shared" si="8"/>
        <v>1636.8963520124164</v>
      </c>
      <c r="T21" s="485">
        <f t="shared" si="8"/>
        <v>1656.9475379527266</v>
      </c>
      <c r="U21" s="485">
        <f t="shared" si="8"/>
        <v>1677.244679777936</v>
      </c>
      <c r="V21" s="485">
        <f t="shared" si="8"/>
        <v>1697.7907952913977</v>
      </c>
      <c r="W21" s="485">
        <f t="shared" si="8"/>
        <v>1718.5889393237833</v>
      </c>
      <c r="X21" s="485">
        <f t="shared" si="8"/>
        <v>1739.6422041874036</v>
      </c>
      <c r="Y21" s="485">
        <f t="shared" si="8"/>
        <v>1760.9537201360815</v>
      </c>
      <c r="Z21" s="485">
        <f t="shared" si="8"/>
        <v>1782.5266558306851</v>
      </c>
      <c r="AA21" s="485">
        <f t="shared" si="8"/>
        <v>1804.3642188103677</v>
      </c>
      <c r="AB21" s="485">
        <f t="shared" si="8"/>
        <v>1826.4696559695803</v>
      </c>
      <c r="AC21" s="485">
        <f t="shared" si="8"/>
        <v>1848.846254040956</v>
      </c>
      <c r="AD21" s="485">
        <f t="shared" si="8"/>
        <v>1871.4973400841004</v>
      </c>
      <c r="AE21" s="485">
        <f t="shared" si="8"/>
        <v>1894.4262819803919</v>
      </c>
      <c r="AF21" s="485">
        <f t="shared" si="8"/>
        <v>1917.6364889338524</v>
      </c>
      <c r="AG21" s="485">
        <f t="shared" si="8"/>
        <v>1941.1314119781557</v>
      </c>
      <c r="AH21" s="485">
        <f t="shared" si="8"/>
        <v>1964.9145444898631</v>
      </c>
      <c r="AI21" s="485">
        <f t="shared" si="8"/>
        <v>1988.9894227079635</v>
      </c>
      <c r="AJ21" s="485">
        <f t="shared" si="8"/>
        <v>2013.3596262597691</v>
      </c>
      <c r="AK21" s="485">
        <f t="shared" si="8"/>
        <v>2038.0287786932827</v>
      </c>
      <c r="AL21" s="485">
        <f t="shared" ref="AL21" si="9">AL17*AL11</f>
        <v>2063.0005480160889</v>
      </c>
    </row>
    <row r="22" spans="1:38">
      <c r="D22" s="358"/>
      <c r="F22" s="464"/>
      <c r="G22" s="465"/>
      <c r="H22" s="465"/>
    </row>
    <row r="23" spans="1:38" ht="13">
      <c r="B23" s="486" t="s">
        <v>461</v>
      </c>
      <c r="C23" s="487" t="s">
        <v>292</v>
      </c>
      <c r="D23" s="488">
        <f>SUM(D19:D21)</f>
        <v>65126.037034110857</v>
      </c>
      <c r="E23" s="488">
        <f t="shared" ref="E23:AK23" si="10">SUM(E19:E21)</f>
        <v>65968.613659905357</v>
      </c>
      <c r="F23" s="488">
        <f t="shared" si="10"/>
        <v>66822.171031019927</v>
      </c>
      <c r="G23" s="488">
        <f t="shared" si="10"/>
        <v>67686.852722004769</v>
      </c>
      <c r="H23" s="488">
        <f t="shared" si="10"/>
        <v>68562.80418716828</v>
      </c>
      <c r="I23" s="488">
        <f t="shared" si="10"/>
        <v>69450.172785214949</v>
      </c>
      <c r="J23" s="488">
        <f t="shared" si="10"/>
        <v>70349.107804206753</v>
      </c>
      <c r="K23" s="488">
        <f t="shared" si="10"/>
        <v>71259.760486851636</v>
      </c>
      <c r="L23" s="488">
        <f t="shared" si="10"/>
        <v>72182.284056124787</v>
      </c>
      <c r="M23" s="488">
        <f t="shared" si="10"/>
        <v>73116.83374122539</v>
      </c>
      <c r="N23" s="488">
        <f t="shared" si="10"/>
        <v>74063.566803874419</v>
      </c>
      <c r="O23" s="488">
        <f t="shared" si="10"/>
        <v>75022.642564957379</v>
      </c>
      <c r="P23" s="488">
        <f t="shared" si="10"/>
        <v>75994.222431517192</v>
      </c>
      <c r="Q23" s="488">
        <f t="shared" si="10"/>
        <v>76978.469924100835</v>
      </c>
      <c r="R23" s="488">
        <f t="shared" si="10"/>
        <v>77975.550704465088</v>
      </c>
      <c r="S23" s="488">
        <f t="shared" si="10"/>
        <v>78985.63260364614</v>
      </c>
      <c r="T23" s="488">
        <f t="shared" si="10"/>
        <v>80008.885650397438</v>
      </c>
      <c r="U23" s="488">
        <f t="shared" si="10"/>
        <v>81045.48210000062</v>
      </c>
      <c r="V23" s="488">
        <f t="shared" si="10"/>
        <v>82095.596463455309</v>
      </c>
      <c r="W23" s="488">
        <f t="shared" si="10"/>
        <v>83159.40553705096</v>
      </c>
      <c r="X23" s="488">
        <f t="shared" si="10"/>
        <v>84237.088432328077</v>
      </c>
      <c r="Y23" s="488">
        <f t="shared" si="10"/>
        <v>85328.826606431569</v>
      </c>
      <c r="Z23" s="488">
        <f t="shared" si="10"/>
        <v>86434.803892863449</v>
      </c>
      <c r="AA23" s="488">
        <f t="shared" si="10"/>
        <v>87555.206532638826</v>
      </c>
      <c r="AB23" s="488">
        <f t="shared" si="10"/>
        <v>88690.223205850692</v>
      </c>
      <c r="AC23" s="488">
        <f t="shared" si="10"/>
        <v>89840.045063649421</v>
      </c>
      <c r="AD23" s="488">
        <f t="shared" si="10"/>
        <v>91004.865760641886</v>
      </c>
      <c r="AE23" s="488">
        <f t="shared" si="10"/>
        <v>92184.881487715669</v>
      </c>
      <c r="AF23" s="488">
        <f t="shared" si="10"/>
        <v>93380.291005294741</v>
      </c>
      <c r="AG23" s="488">
        <f t="shared" si="10"/>
        <v>94591.295677031056</v>
      </c>
      <c r="AH23" s="488">
        <f t="shared" si="10"/>
        <v>95818.099503938647</v>
      </c>
      <c r="AI23" s="488">
        <f t="shared" si="10"/>
        <v>97060.909158976385</v>
      </c>
      <c r="AJ23" s="488">
        <f t="shared" si="10"/>
        <v>98319.934022083587</v>
      </c>
      <c r="AK23" s="488">
        <f t="shared" si="10"/>
        <v>99595.386215676583</v>
      </c>
      <c r="AL23" s="488">
        <f t="shared" ref="AL23" si="11">SUM(AL19:AL21)</f>
        <v>100887.48064061094</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'A1.10'!D86</f>
        <v>3.8931567334583245E-3</v>
      </c>
      <c r="E27" s="388">
        <f>'A1.10'!E86</f>
        <v>3.9445809558329402E-3</v>
      </c>
      <c r="F27" s="388">
        <f>'A1.10'!F86</f>
        <v>3.9966896940259091E-3</v>
      </c>
      <c r="G27" s="388">
        <f>'A1.10'!G86</f>
        <v>4.0494920829314274E-3</v>
      </c>
      <c r="H27" s="388">
        <f>'A1.10'!H86</f>
        <v>3.7208363807141086E-3</v>
      </c>
      <c r="I27" s="388">
        <f>'A1.10'!I86</f>
        <v>3.7699776000707321E-3</v>
      </c>
      <c r="J27" s="388">
        <f>'A1.10'!J86</f>
        <v>3.8197729378150725E-3</v>
      </c>
      <c r="K27" s="388">
        <f>'A1.10'!K86</f>
        <v>3.8702311230947506E-3</v>
      </c>
      <c r="L27" s="388">
        <f>'A1.10'!L86</f>
        <v>3.9213610015562256E-3</v>
      </c>
      <c r="M27" s="388">
        <f>'A1.10'!M86</f>
        <v>3.9731715368993654E-3</v>
      </c>
      <c r="N27" s="388">
        <f>'A1.10'!N86</f>
        <v>4.0256718124527871E-3</v>
      </c>
      <c r="O27" s="388">
        <f>'A1.10'!O86</f>
        <v>4.0788710327702262E-3</v>
      </c>
      <c r="P27" s="388">
        <f>'A1.10'!P86</f>
        <v>4.132778525248188E-3</v>
      </c>
      <c r="Q27" s="388">
        <f>'A1.10'!Q86</f>
        <v>4.1874037417652275E-3</v>
      </c>
      <c r="R27" s="388">
        <f>'A1.10'!R86</f>
        <v>4.2427562603430547E-3</v>
      </c>
      <c r="S27" s="388">
        <f>'A1.10'!S86</f>
        <v>4.2988457868298677E-3</v>
      </c>
      <c r="T27" s="388">
        <f>'A1.10'!T86</f>
        <v>4.3556821566060958E-3</v>
      </c>
      <c r="U27" s="388">
        <f>'A1.10'!U86</f>
        <v>4.4132753363129692E-3</v>
      </c>
      <c r="V27" s="388">
        <f>'A1.10'!V86</f>
        <v>4.4716354256040917E-3</v>
      </c>
      <c r="W27" s="388">
        <f>'A1.10'!W86</f>
        <v>4.5307726589204345E-3</v>
      </c>
      <c r="X27" s="388">
        <f>'A1.10'!X86</f>
        <v>4.5906974072890206E-3</v>
      </c>
      <c r="Y27" s="388">
        <f>'A1.10'!Y86</f>
        <v>4.6514201801455771E-3</v>
      </c>
      <c r="Z27" s="388">
        <f>'A1.10'!Z86</f>
        <v>4.7129516271815497E-3</v>
      </c>
      <c r="AA27" s="388">
        <f>'A1.10'!AA86</f>
        <v>4.7753025402157518E-3</v>
      </c>
      <c r="AB27" s="388">
        <f>'A1.10'!AB86</f>
        <v>4.8384838550909765E-3</v>
      </c>
      <c r="AC27" s="388">
        <f>'A1.10'!AC86</f>
        <v>4.9025066535959717E-3</v>
      </c>
      <c r="AD27" s="388">
        <f>'A1.10'!AD86</f>
        <v>4.9673821654129926E-3</v>
      </c>
      <c r="AE27" s="388">
        <f>'A1.10'!AE86</f>
        <v>5.0331217700913958E-3</v>
      </c>
      <c r="AF27" s="388">
        <f>'A1.10'!AF86</f>
        <v>5.0997369990475605E-3</v>
      </c>
      <c r="AG27" s="388">
        <f>'A1.10'!AG86</f>
        <v>5.1672395375915005E-3</v>
      </c>
      <c r="AH27" s="388">
        <f>'A1.10'!AH86</f>
        <v>5.2356412269805109E-3</v>
      </c>
      <c r="AI27" s="388">
        <f>'A1.10'!AI86</f>
        <v>5.3049540665002131E-3</v>
      </c>
      <c r="AJ27" s="388">
        <f>'A1.10'!AJ86</f>
        <v>5.3751902155734282E-3</v>
      </c>
      <c r="AK27" s="388">
        <f>'A1.10'!AK86</f>
        <v>5.4463619958971116E-3</v>
      </c>
      <c r="AL27" s="388">
        <f>'A1.10'!AL86</f>
        <v>5.5184818936078713E-3</v>
      </c>
    </row>
    <row r="28" spans="1:38">
      <c r="B28" s="367" t="s">
        <v>516</v>
      </c>
      <c r="C28" s="367" t="s">
        <v>329</v>
      </c>
      <c r="D28" s="388">
        <f>'A1.10'!D87</f>
        <v>5.9021621655857073E-2</v>
      </c>
      <c r="E28" s="388">
        <f>'A1.10'!E87</f>
        <v>5.9743672708662682E-2</v>
      </c>
      <c r="F28" s="388">
        <f>'A1.10'!F87</f>
        <v>6.0474569644603987E-2</v>
      </c>
      <c r="G28" s="388">
        <f>'A1.10'!G87</f>
        <v>6.1214420854820061E-2</v>
      </c>
      <c r="H28" s="388">
        <f>'A1.10'!H87</f>
        <v>5.6191952799308019E-2</v>
      </c>
      <c r="I28" s="388">
        <f>'A1.10'!I87</f>
        <v>5.687903424127827E-2</v>
      </c>
      <c r="J28" s="388">
        <f>'A1.10'!J87</f>
        <v>5.7574532162900136E-2</v>
      </c>
      <c r="K28" s="388">
        <f>'A1.10'!K87</f>
        <v>5.8278549694151506E-2</v>
      </c>
      <c r="L28" s="388">
        <f>'A1.10'!L87</f>
        <v>5.8991191228518113E-2</v>
      </c>
      <c r="M28" s="388">
        <f>'A1.10'!M87</f>
        <v>5.9712562438470999E-2</v>
      </c>
      <c r="N28" s="388">
        <f>'A1.10'!N87</f>
        <v>6.0442770291133645E-2</v>
      </c>
      <c r="O28" s="388">
        <f>'A1.10'!O87</f>
        <v>6.1181923064141226E-2</v>
      </c>
      <c r="P28" s="388">
        <f>'A1.10'!P87</f>
        <v>6.193013036169364E-2</v>
      </c>
      <c r="Q28" s="388">
        <f>'A1.10'!Q87</f>
        <v>6.2687503130805844E-2</v>
      </c>
      <c r="R28" s="388">
        <f>'A1.10'!R87</f>
        <v>6.3454153677756558E-2</v>
      </c>
      <c r="S28" s="388">
        <f>'A1.10'!S87</f>
        <v>6.4230195684739089E-2</v>
      </c>
      <c r="T28" s="388">
        <f>'A1.10'!T87</f>
        <v>6.5015744226715536E-2</v>
      </c>
      <c r="U28" s="388">
        <f>'A1.10'!U87</f>
        <v>6.5810915788478141E-2</v>
      </c>
      <c r="V28" s="388">
        <f>'A1.10'!V87</f>
        <v>6.6615828281918768E-2</v>
      </c>
      <c r="W28" s="388">
        <f>'A1.10'!W87</f>
        <v>6.7430601063510703E-2</v>
      </c>
      <c r="X28" s="388">
        <f>'A1.10'!X87</f>
        <v>6.8255354952004271E-2</v>
      </c>
      <c r="Y28" s="388">
        <f>'A1.10'!Y87</f>
        <v>6.9090212246338961E-2</v>
      </c>
      <c r="Z28" s="388">
        <f>'A1.10'!Z87</f>
        <v>6.9935296743775549E-2</v>
      </c>
      <c r="AA28" s="388">
        <f>'A1.10'!AA87</f>
        <v>7.0790733758249721E-2</v>
      </c>
      <c r="AB28" s="388">
        <f>'A1.10'!AB87</f>
        <v>7.1656650138950714E-2</v>
      </c>
      <c r="AC28" s="388">
        <f>'A1.10'!AC87</f>
        <v>7.2533174289128116E-2</v>
      </c>
      <c r="AD28" s="388">
        <f>'A1.10'!AD87</f>
        <v>7.3420436185127808E-2</v>
      </c>
      <c r="AE28" s="388">
        <f>'A1.10'!AE87</f>
        <v>7.431856739566213E-2</v>
      </c>
      <c r="AF28" s="388">
        <f>'A1.10'!AF87</f>
        <v>7.5227701101315658E-2</v>
      </c>
      <c r="AG28" s="388">
        <f>'A1.10'!AG87</f>
        <v>7.6147972114290044E-2</v>
      </c>
      <c r="AH28" s="388">
        <f>'A1.10'!AH87</f>
        <v>7.7079516898390543E-2</v>
      </c>
      <c r="AI28" s="388">
        <f>'A1.10'!AI87</f>
        <v>7.802247358925711E-2</v>
      </c>
      <c r="AJ28" s="388">
        <f>'A1.10'!AJ87</f>
        <v>7.8976982014844321E-2</v>
      </c>
      <c r="AK28" s="388">
        <f>'A1.10'!AK87</f>
        <v>7.9943183716150834E-2</v>
      </c>
      <c r="AL28" s="388">
        <f>'A1.10'!AL87</f>
        <v>8.0921221968203644E-2</v>
      </c>
    </row>
    <row r="29" spans="1:38">
      <c r="B29" s="367" t="s">
        <v>517</v>
      </c>
      <c r="C29" s="367" t="s">
        <v>518</v>
      </c>
      <c r="D29" s="388">
        <f>'A1.10'!D85</f>
        <v>0.30304430935698168</v>
      </c>
      <c r="E29" s="388">
        <f>'A1.10'!E85</f>
        <v>0.30675545011441341</v>
      </c>
      <c r="F29" s="388">
        <f>'A1.10'!F85</f>
        <v>0.31051211075581803</v>
      </c>
      <c r="G29" s="388">
        <f>'A1.10'!G85</f>
        <v>0.31431484979669427</v>
      </c>
      <c r="H29" s="388">
        <f>'A1.10'!H85</f>
        <v>0.28852980937191053</v>
      </c>
      <c r="I29" s="388">
        <f>'A1.10'!I85</f>
        <v>0.29206142361632403</v>
      </c>
      <c r="J29" s="388">
        <f>'A1.10'!J85</f>
        <v>0.29563635091526042</v>
      </c>
      <c r="K29" s="388">
        <f>'A1.10'!K85</f>
        <v>0.29925512271227078</v>
      </c>
      <c r="L29" s="388">
        <f>'A1.10'!L85</f>
        <v>0.30291827697149598</v>
      </c>
      <c r="M29" s="388">
        <f>'A1.10'!M85</f>
        <v>0.30662635825766854</v>
      </c>
      <c r="N29" s="388">
        <f>'A1.10'!N85</f>
        <v>0.31037991781709717</v>
      </c>
      <c r="O29" s="388">
        <f>'A1.10'!O85</f>
        <v>0.31417951365964547</v>
      </c>
      <c r="P29" s="388">
        <f>'A1.10'!P85</f>
        <v>0.31802571064171464</v>
      </c>
      <c r="Q29" s="388">
        <f>'A1.10'!Q85</f>
        <v>0.32191908055024748</v>
      </c>
      <c r="R29" s="388">
        <f>'A1.10'!R85</f>
        <v>0.32586020218775974</v>
      </c>
      <c r="S29" s="388">
        <f>'A1.10'!S85</f>
        <v>0.32984966145841821</v>
      </c>
      <c r="T29" s="388">
        <f>'A1.10'!T85</f>
        <v>0.33388805145517214</v>
      </c>
      <c r="U29" s="388">
        <f>'A1.10'!U85</f>
        <v>0.33797597254795703</v>
      </c>
      <c r="V29" s="388">
        <f>'A1.10'!V85</f>
        <v>0.34211403247297678</v>
      </c>
      <c r="W29" s="388">
        <f>'A1.10'!W85</f>
        <v>0.34630284642308518</v>
      </c>
      <c r="X29" s="388">
        <f>'A1.10'!X85</f>
        <v>0.3505430371392747</v>
      </c>
      <c r="Y29" s="388">
        <f>'A1.10'!Y85</f>
        <v>0.35483523500328701</v>
      </c>
      <c r="Z29" s="388">
        <f>'A1.10'!Z85</f>
        <v>0.35918007813136243</v>
      </c>
      <c r="AA29" s="388">
        <f>'A1.10'!AA85</f>
        <v>0.36357821246913724</v>
      </c>
      <c r="AB29" s="388">
        <f>'A1.10'!AB85</f>
        <v>0.36803029188770575</v>
      </c>
      <c r="AC29" s="388">
        <f>'A1.10'!AC85</f>
        <v>0.37253697828086485</v>
      </c>
      <c r="AD29" s="388">
        <f>'A1.10'!AD85</f>
        <v>0.37709894166354518</v>
      </c>
      <c r="AE29" s="388">
        <f>'A1.10'!AE85</f>
        <v>0.38171686027145568</v>
      </c>
      <c r="AF29" s="388">
        <f>'A1.10'!AF85</f>
        <v>0.38639142066194848</v>
      </c>
      <c r="AG29" s="388">
        <f>'A1.10'!AG85</f>
        <v>0.39112331781612197</v>
      </c>
      <c r="AH29" s="388">
        <f>'A1.10'!AH85</f>
        <v>0.39591325524217674</v>
      </c>
      <c r="AI29" s="388">
        <f>'A1.10'!AI85</f>
        <v>0.40076194508003754</v>
      </c>
      <c r="AJ29" s="388">
        <f>'A1.10'!AJ85</f>
        <v>0.40567010820726496</v>
      </c>
      <c r="AK29" s="388">
        <f>'A1.10'!AK85</f>
        <v>0.41063847434625922</v>
      </c>
      <c r="AL29" s="388">
        <f>'A1.10'!AL85</f>
        <v>0.41566778217278488</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2">D27*D9</f>
        <v>46994.294929575437</v>
      </c>
      <c r="E31" s="485">
        <f t="shared" si="12"/>
        <v>47615.036717859424</v>
      </c>
      <c r="F31" s="485">
        <f t="shared" si="12"/>
        <v>48244.041296586751</v>
      </c>
      <c r="G31" s="485">
        <f t="shared" si="12"/>
        <v>48881.418933065259</v>
      </c>
      <c r="H31" s="485">
        <f t="shared" si="12"/>
        <v>44914.215951600003</v>
      </c>
      <c r="I31" s="485">
        <f t="shared" si="12"/>
        <v>45507.399610453809</v>
      </c>
      <c r="J31" s="485">
        <f t="shared" si="12"/>
        <v>46108.479132365741</v>
      </c>
      <c r="K31" s="485">
        <f t="shared" si="12"/>
        <v>46717.559886876734</v>
      </c>
      <c r="L31" s="485">
        <f t="shared" si="12"/>
        <v>47334.748649785201</v>
      </c>
      <c r="M31" s="485">
        <f t="shared" si="12"/>
        <v>47960.153621912243</v>
      </c>
      <c r="N31" s="485">
        <f t="shared" si="12"/>
        <v>48593.884448117591</v>
      </c>
      <c r="O31" s="485">
        <f t="shared" si="12"/>
        <v>49236.052236569398</v>
      </c>
      <c r="P31" s="485">
        <f t="shared" si="12"/>
        <v>49886.769578270876</v>
      </c>
      <c r="Q31" s="485">
        <f t="shared" si="12"/>
        <v>50546.15056684806</v>
      </c>
      <c r="R31" s="485">
        <f t="shared" si="12"/>
        <v>51214.310818601014</v>
      </c>
      <c r="S31" s="485">
        <f t="shared" si="12"/>
        <v>51891.36749282333</v>
      </c>
      <c r="T31" s="485">
        <f t="shared" si="12"/>
        <v>52577.439312392184</v>
      </c>
      <c r="U31" s="485">
        <f t="shared" si="12"/>
        <v>53272.646584633854</v>
      </c>
      <c r="V31" s="485">
        <f t="shared" si="12"/>
        <v>53977.111222466992</v>
      </c>
      <c r="W31" s="485">
        <f t="shared" si="12"/>
        <v>54690.956765828567</v>
      </c>
      <c r="X31" s="485">
        <f t="shared" si="12"/>
        <v>55414.308403385767</v>
      </c>
      <c r="Y31" s="485">
        <f t="shared" si="12"/>
        <v>56147.29299453726</v>
      </c>
      <c r="Z31" s="485">
        <f t="shared" si="12"/>
        <v>56890.039091708488</v>
      </c>
      <c r="AA31" s="485">
        <f t="shared" si="12"/>
        <v>57642.676962944337</v>
      </c>
      <c r="AB31" s="485">
        <f t="shared" si="12"/>
        <v>58405.338614803179</v>
      </c>
      <c r="AC31" s="485">
        <f t="shared" si="12"/>
        <v>59178.157815556973</v>
      </c>
      <c r="AD31" s="485">
        <f t="shared" si="12"/>
        <v>59961.270118700231</v>
      </c>
      <c r="AE31" s="485">
        <f t="shared" si="12"/>
        <v>60754.812886773238</v>
      </c>
      <c r="AF31" s="485">
        <f t="shared" si="12"/>
        <v>61558.925315503104</v>
      </c>
      <c r="AG31" s="485">
        <f t="shared" si="12"/>
        <v>62373.748458267</v>
      </c>
      <c r="AH31" s="485">
        <f t="shared" si="12"/>
        <v>63199.425250881744</v>
      </c>
      <c r="AI31" s="485">
        <f t="shared" si="12"/>
        <v>64036.100536724072</v>
      </c>
      <c r="AJ31" s="485">
        <f t="shared" si="12"/>
        <v>64883.921092186851</v>
      </c>
      <c r="AK31" s="485">
        <f t="shared" si="12"/>
        <v>65743.035652474035</v>
      </c>
      <c r="AL31" s="485">
        <f t="shared" ref="AL31" si="13">AL27*AL9</f>
        <v>66613.594937740621</v>
      </c>
    </row>
    <row r="32" spans="1:38">
      <c r="B32" s="366" t="s">
        <v>720</v>
      </c>
      <c r="C32" s="484" t="s">
        <v>292</v>
      </c>
      <c r="D32" s="485">
        <f t="shared" ref="D32:AK32" si="14">D28*D10</f>
        <v>16768.042712428996</v>
      </c>
      <c r="E32" s="485">
        <f t="shared" si="14"/>
        <v>16973.177416531067</v>
      </c>
      <c r="F32" s="485">
        <f t="shared" si="14"/>
        <v>17180.825236031993</v>
      </c>
      <c r="G32" s="485">
        <f t="shared" si="14"/>
        <v>17391.016964854378</v>
      </c>
      <c r="H32" s="485">
        <f t="shared" si="14"/>
        <v>15964.133790283408</v>
      </c>
      <c r="I32" s="485">
        <f t="shared" si="14"/>
        <v>16159.333627947157</v>
      </c>
      <c r="J32" s="485">
        <f t="shared" si="14"/>
        <v>16356.924587479929</v>
      </c>
      <c r="K32" s="485">
        <f t="shared" si="14"/>
        <v>16556.935968108442</v>
      </c>
      <c r="L32" s="485">
        <f t="shared" si="14"/>
        <v>16759.397428021995</v>
      </c>
      <c r="M32" s="485">
        <f t="shared" si="14"/>
        <v>16964.33898876961</v>
      </c>
      <c r="N32" s="485">
        <f t="shared" si="14"/>
        <v>17171.791039711068</v>
      </c>
      <c r="O32" s="485">
        <f t="shared" si="14"/>
        <v>17381.784342522522</v>
      </c>
      <c r="P32" s="485">
        <f t="shared" si="14"/>
        <v>17594.350035757165</v>
      </c>
      <c r="Q32" s="485">
        <f t="shared" si="14"/>
        <v>17809.519639461942</v>
      </c>
      <c r="R32" s="485">
        <f t="shared" si="14"/>
        <v>18027.325059850638</v>
      </c>
      <c r="S32" s="485">
        <f t="shared" si="14"/>
        <v>18247.798594034375</v>
      </c>
      <c r="T32" s="485">
        <f t="shared" si="14"/>
        <v>18470.972934809884</v>
      </c>
      <c r="U32" s="485">
        <f t="shared" si="14"/>
        <v>18696.881175506642</v>
      </c>
      <c r="V32" s="485">
        <f t="shared" si="14"/>
        <v>18925.556814893123</v>
      </c>
      <c r="W32" s="485">
        <f t="shared" si="14"/>
        <v>19157.03376214339</v>
      </c>
      <c r="X32" s="485">
        <f t="shared" si="14"/>
        <v>19391.346341864413</v>
      </c>
      <c r="Y32" s="485">
        <f t="shared" si="14"/>
        <v>19628.529299184898</v>
      </c>
      <c r="Z32" s="485">
        <f t="shared" si="14"/>
        <v>19868.617804906633</v>
      </c>
      <c r="AA32" s="485">
        <f t="shared" si="14"/>
        <v>20111.647460718745</v>
      </c>
      <c r="AB32" s="485">
        <f t="shared" si="14"/>
        <v>20357.654304475898</v>
      </c>
      <c r="AC32" s="485">
        <f t="shared" si="14"/>
        <v>20606.674815541297</v>
      </c>
      <c r="AD32" s="485">
        <f t="shared" si="14"/>
        <v>20858.745920194811</v>
      </c>
      <c r="AE32" s="485">
        <f t="shared" si="14"/>
        <v>21113.904997107613</v>
      </c>
      <c r="AF32" s="485">
        <f t="shared" si="14"/>
        <v>21372.18988288378</v>
      </c>
      <c r="AG32" s="485">
        <f t="shared" si="14"/>
        <v>21633.6388776698</v>
      </c>
      <c r="AH32" s="485">
        <f t="shared" si="14"/>
        <v>21898.290750832752</v>
      </c>
      <c r="AI32" s="485">
        <f t="shared" si="14"/>
        <v>22166.184746707946</v>
      </c>
      <c r="AJ32" s="485">
        <f t="shared" si="14"/>
        <v>22437.360590417273</v>
      </c>
      <c r="AK32" s="485">
        <f t="shared" si="14"/>
        <v>22711.858493758453</v>
      </c>
      <c r="AL32" s="485">
        <f t="shared" ref="AL32" si="15">AL28*AL10</f>
        <v>22989.719161166657</v>
      </c>
    </row>
    <row r="33" spans="1:38">
      <c r="B33" s="366" t="s">
        <v>721</v>
      </c>
      <c r="C33" s="484" t="s">
        <v>292</v>
      </c>
      <c r="D33" s="485">
        <f t="shared" ref="D33:AK33" si="16">D29*D11</f>
        <v>1363.6993921064175</v>
      </c>
      <c r="E33" s="485">
        <f t="shared" si="16"/>
        <v>1380.3995255148604</v>
      </c>
      <c r="F33" s="485">
        <f t="shared" si="16"/>
        <v>1397.304498401181</v>
      </c>
      <c r="G33" s="485">
        <f t="shared" si="16"/>
        <v>1414.4168240851243</v>
      </c>
      <c r="H33" s="485">
        <f t="shared" si="16"/>
        <v>1298.3841421735974</v>
      </c>
      <c r="I33" s="485">
        <f t="shared" si="16"/>
        <v>1314.2764062734582</v>
      </c>
      <c r="J33" s="485">
        <f t="shared" si="16"/>
        <v>1330.3635791186719</v>
      </c>
      <c r="K33" s="485">
        <f t="shared" si="16"/>
        <v>1346.6480522052186</v>
      </c>
      <c r="L33" s="485">
        <f t="shared" si="16"/>
        <v>1363.132246371732</v>
      </c>
      <c r="M33" s="485">
        <f t="shared" si="16"/>
        <v>1379.8186121595083</v>
      </c>
      <c r="N33" s="485">
        <f t="shared" si="16"/>
        <v>1396.7096301769373</v>
      </c>
      <c r="O33" s="485">
        <f t="shared" si="16"/>
        <v>1413.8078114684047</v>
      </c>
      <c r="P33" s="485">
        <f t="shared" si="16"/>
        <v>1431.1156978877159</v>
      </c>
      <c r="Q33" s="485">
        <f t="shared" si="16"/>
        <v>1448.6358624761137</v>
      </c>
      <c r="R33" s="485">
        <f t="shared" si="16"/>
        <v>1466.3709098449187</v>
      </c>
      <c r="S33" s="485">
        <f t="shared" si="16"/>
        <v>1484.323476562882</v>
      </c>
      <c r="T33" s="485">
        <f t="shared" si="16"/>
        <v>1502.4962315482746</v>
      </c>
      <c r="U33" s="485">
        <f t="shared" si="16"/>
        <v>1520.8918764658067</v>
      </c>
      <c r="V33" s="485">
        <f t="shared" si="16"/>
        <v>1539.5131461283954</v>
      </c>
      <c r="W33" s="485">
        <f t="shared" si="16"/>
        <v>1558.3628089038832</v>
      </c>
      <c r="X33" s="485">
        <f t="shared" si="16"/>
        <v>1577.4436671267363</v>
      </c>
      <c r="Y33" s="485">
        <f t="shared" si="16"/>
        <v>1596.7585575147916</v>
      </c>
      <c r="Z33" s="485">
        <f t="shared" si="16"/>
        <v>1616.3103515911309</v>
      </c>
      <c r="AA33" s="485">
        <f t="shared" si="16"/>
        <v>1636.1019561111175</v>
      </c>
      <c r="AB33" s="485">
        <f t="shared" si="16"/>
        <v>1656.136313494676</v>
      </c>
      <c r="AC33" s="485">
        <f t="shared" si="16"/>
        <v>1676.4164022638918</v>
      </c>
      <c r="AD33" s="485">
        <f t="shared" si="16"/>
        <v>1696.9452374859534</v>
      </c>
      <c r="AE33" s="485">
        <f t="shared" si="16"/>
        <v>1717.7258712215505</v>
      </c>
      <c r="AF33" s="485">
        <f t="shared" si="16"/>
        <v>1738.7613929787681</v>
      </c>
      <c r="AG33" s="485">
        <f t="shared" si="16"/>
        <v>1760.0549301725489</v>
      </c>
      <c r="AH33" s="485">
        <f t="shared" si="16"/>
        <v>1781.6096485897954</v>
      </c>
      <c r="AI33" s="485">
        <f t="shared" si="16"/>
        <v>1803.428752860169</v>
      </c>
      <c r="AJ33" s="485">
        <f t="shared" si="16"/>
        <v>1825.5154869326923</v>
      </c>
      <c r="AK33" s="485">
        <f t="shared" si="16"/>
        <v>1847.8731345581664</v>
      </c>
      <c r="AL33" s="485">
        <f t="shared" ref="AL33" si="17">AL29*AL11</f>
        <v>1870.505019777532</v>
      </c>
    </row>
    <row r="34" spans="1:38">
      <c r="D34" s="358"/>
      <c r="F34" s="464"/>
      <c r="G34" s="465"/>
      <c r="H34" s="465"/>
    </row>
    <row r="35" spans="1:38" ht="13">
      <c r="B35" s="486" t="s">
        <v>462</v>
      </c>
      <c r="C35" s="487" t="s">
        <v>292</v>
      </c>
      <c r="D35" s="488">
        <f>SUM(D31:D33)</f>
        <v>65126.037034110857</v>
      </c>
      <c r="E35" s="488">
        <f t="shared" ref="E35:AK35" si="18">SUM(E31:E33)</f>
        <v>65968.613659905357</v>
      </c>
      <c r="F35" s="488">
        <f t="shared" si="18"/>
        <v>66822.171031019927</v>
      </c>
      <c r="G35" s="488">
        <f t="shared" si="18"/>
        <v>67686.852722004769</v>
      </c>
      <c r="H35" s="488">
        <f t="shared" si="18"/>
        <v>62176.733884057008</v>
      </c>
      <c r="I35" s="488">
        <f t="shared" si="18"/>
        <v>62981.009644674421</v>
      </c>
      <c r="J35" s="488">
        <f t="shared" si="18"/>
        <v>63795.767298964347</v>
      </c>
      <c r="K35" s="488">
        <f t="shared" si="18"/>
        <v>64621.143907190388</v>
      </c>
      <c r="L35" s="488">
        <f t="shared" si="18"/>
        <v>65457.278324178922</v>
      </c>
      <c r="M35" s="488">
        <f t="shared" si="18"/>
        <v>66304.311222841367</v>
      </c>
      <c r="N35" s="488">
        <f t="shared" si="18"/>
        <v>67162.385118005594</v>
      </c>
      <c r="O35" s="488">
        <f t="shared" si="18"/>
        <v>68031.644390560323</v>
      </c>
      <c r="P35" s="488">
        <f t="shared" si="18"/>
        <v>68912.235311915749</v>
      </c>
      <c r="Q35" s="488">
        <f t="shared" si="18"/>
        <v>69804.306068786114</v>
      </c>
      <c r="R35" s="488">
        <f t="shared" si="18"/>
        <v>70708.006788296567</v>
      </c>
      <c r="S35" s="488">
        <f t="shared" si="18"/>
        <v>71623.48956342059</v>
      </c>
      <c r="T35" s="488">
        <f t="shared" si="18"/>
        <v>72550.908478750338</v>
      </c>
      <c r="U35" s="488">
        <f t="shared" si="18"/>
        <v>73490.419636606297</v>
      </c>
      <c r="V35" s="488">
        <f t="shared" si="18"/>
        <v>74442.181183488501</v>
      </c>
      <c r="W35" s="488">
        <f t="shared" si="18"/>
        <v>75406.353336875836</v>
      </c>
      <c r="X35" s="488">
        <f t="shared" si="18"/>
        <v>76383.098412376916</v>
      </c>
      <c r="Y35" s="488">
        <f t="shared" si="18"/>
        <v>77372.580851236955</v>
      </c>
      <c r="Z35" s="488">
        <f t="shared" si="18"/>
        <v>78374.96724820626</v>
      </c>
      <c r="AA35" s="488">
        <f t="shared" si="18"/>
        <v>79390.426379774202</v>
      </c>
      <c r="AB35" s="488">
        <f t="shared" si="18"/>
        <v>80419.129232773746</v>
      </c>
      <c r="AC35" s="488">
        <f t="shared" si="18"/>
        <v>81461.249033362154</v>
      </c>
      <c r="AD35" s="488">
        <f t="shared" si="18"/>
        <v>82516.961276381</v>
      </c>
      <c r="AE35" s="488">
        <f t="shared" si="18"/>
        <v>83586.443755102402</v>
      </c>
      <c r="AF35" s="488">
        <f t="shared" si="18"/>
        <v>84669.876591365653</v>
      </c>
      <c r="AG35" s="488">
        <f t="shared" si="18"/>
        <v>85767.442266109356</v>
      </c>
      <c r="AH35" s="488">
        <f t="shared" si="18"/>
        <v>86879.325650304294</v>
      </c>
      <c r="AI35" s="488">
        <f t="shared" si="18"/>
        <v>88005.714036292193</v>
      </c>
      <c r="AJ35" s="488">
        <f t="shared" si="18"/>
        <v>89146.797169536818</v>
      </c>
      <c r="AK35" s="488">
        <f t="shared" si="18"/>
        <v>90302.767280790649</v>
      </c>
      <c r="AL35" s="488">
        <f t="shared" ref="AL35" si="19">SUM(AL31:AL33)</f>
        <v>91473.819118684813</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 t="shared" ref="D39:AK39" si="20">D15-D27</f>
        <v>0</v>
      </c>
      <c r="E39" s="388">
        <f t="shared" si="20"/>
        <v>0</v>
      </c>
      <c r="F39" s="388">
        <f t="shared" si="20"/>
        <v>0</v>
      </c>
      <c r="G39" s="388">
        <f t="shared" si="20"/>
        <v>0</v>
      </c>
      <c r="H39" s="388">
        <f t="shared" si="20"/>
        <v>3.8216099864497952E-4</v>
      </c>
      <c r="I39" s="388">
        <f t="shared" si="20"/>
        <v>3.8723736359001478E-4</v>
      </c>
      <c r="J39" s="388">
        <f t="shared" si="20"/>
        <v>3.923814035640366E-4</v>
      </c>
      <c r="K39" s="388">
        <f t="shared" si="20"/>
        <v>3.9759402182354322E-4</v>
      </c>
      <c r="L39" s="388">
        <f t="shared" si="20"/>
        <v>4.028761336805145E-4</v>
      </c>
      <c r="M39" s="388">
        <f t="shared" si="20"/>
        <v>4.0822866666330622E-4</v>
      </c>
      <c r="N39" s="388">
        <f t="shared" si="20"/>
        <v>4.1365256067967416E-4</v>
      </c>
      <c r="O39" s="388">
        <f t="shared" si="20"/>
        <v>4.1914876818197663E-4</v>
      </c>
      <c r="P39" s="388">
        <f t="shared" si="20"/>
        <v>4.2471825433461514E-4</v>
      </c>
      <c r="Q39" s="388">
        <f t="shared" si="20"/>
        <v>4.3036199718365139E-4</v>
      </c>
      <c r="R39" s="388">
        <f t="shared" si="20"/>
        <v>4.3608098782874603E-4</v>
      </c>
      <c r="S39" s="388">
        <f t="shared" si="20"/>
        <v>4.4187623059734234E-4</v>
      </c>
      <c r="T39" s="388">
        <f t="shared" si="20"/>
        <v>4.477487432212289E-4</v>
      </c>
      <c r="U39" s="388">
        <f t="shared" si="20"/>
        <v>4.5369955701537144E-4</v>
      </c>
      <c r="V39" s="388">
        <f t="shared" si="20"/>
        <v>4.5972971705925819E-4</v>
      </c>
      <c r="W39" s="388">
        <f t="shared" si="20"/>
        <v>4.6584028238053077E-4</v>
      </c>
      <c r="X39" s="388">
        <f t="shared" si="20"/>
        <v>4.7203232614116252E-4</v>
      </c>
      <c r="Y39" s="388">
        <f t="shared" si="20"/>
        <v>4.7830693582606807E-4</v>
      </c>
      <c r="Z39" s="388">
        <f t="shared" si="20"/>
        <v>4.8466521343425509E-4</v>
      </c>
      <c r="AA39" s="388">
        <f t="shared" si="20"/>
        <v>4.9110827567252699E-4</v>
      </c>
      <c r="AB39" s="388">
        <f t="shared" si="20"/>
        <v>4.9763725415175909E-4</v>
      </c>
      <c r="AC39" s="388">
        <f t="shared" si="20"/>
        <v>5.0425329558578032E-4</v>
      </c>
      <c r="AD39" s="388">
        <f t="shared" si="20"/>
        <v>5.1095756199295243E-4</v>
      </c>
      <c r="AE39" s="388">
        <f t="shared" si="20"/>
        <v>5.1775123090039808E-4</v>
      </c>
      <c r="AF39" s="388">
        <f t="shared" si="20"/>
        <v>5.2463549555097858E-4</v>
      </c>
      <c r="AG39" s="388">
        <f t="shared" si="20"/>
        <v>5.3161156511301062E-4</v>
      </c>
      <c r="AH39" s="388">
        <f t="shared" si="20"/>
        <v>5.3868066489279331E-4</v>
      </c>
      <c r="AI39" s="388">
        <f t="shared" si="20"/>
        <v>5.4584403655001928E-4</v>
      </c>
      <c r="AJ39" s="388">
        <f t="shared" si="20"/>
        <v>5.5310293831593426E-4</v>
      </c>
      <c r="AK39" s="388">
        <f t="shared" si="20"/>
        <v>5.6045864521454911E-4</v>
      </c>
      <c r="AL39" s="388">
        <f t="shared" ref="AL39" si="21">AL15-AL27</f>
        <v>5.6791244928671835E-4</v>
      </c>
    </row>
    <row r="40" spans="1:38" ht="13">
      <c r="B40" s="581" t="s">
        <v>782</v>
      </c>
      <c r="C40" s="581" t="s">
        <v>329</v>
      </c>
      <c r="D40" s="388">
        <f t="shared" ref="D40:AK40" si="22">D16-D28</f>
        <v>0</v>
      </c>
      <c r="E40" s="388">
        <f t="shared" si="22"/>
        <v>0</v>
      </c>
      <c r="F40" s="388">
        <f t="shared" si="22"/>
        <v>0</v>
      </c>
      <c r="G40" s="388">
        <f t="shared" si="22"/>
        <v>0</v>
      </c>
      <c r="H40" s="388">
        <f t="shared" si="22"/>
        <v>5.7713832591245809E-3</v>
      </c>
      <c r="I40" s="388">
        <f t="shared" si="22"/>
        <v>5.8423920775352856E-3</v>
      </c>
      <c r="J40" s="388">
        <f t="shared" si="22"/>
        <v>5.9142718971520319E-3</v>
      </c>
      <c r="K40" s="388">
        <f t="shared" si="22"/>
        <v>5.9870333894717145E-3</v>
      </c>
      <c r="L40" s="388">
        <f t="shared" si="22"/>
        <v>6.0606873567420685E-3</v>
      </c>
      <c r="M40" s="388">
        <f t="shared" si="22"/>
        <v>6.1352447335635621E-3</v>
      </c>
      <c r="N40" s="388">
        <f t="shared" si="22"/>
        <v>6.2107165885107798E-3</v>
      </c>
      <c r="O40" s="388">
        <f t="shared" si="22"/>
        <v>6.2871141257738114E-3</v>
      </c>
      <c r="P40" s="388">
        <f t="shared" si="22"/>
        <v>6.3644486868199776E-3</v>
      </c>
      <c r="Q40" s="388">
        <f t="shared" si="22"/>
        <v>6.4427317520753674E-3</v>
      </c>
      <c r="R40" s="388">
        <f t="shared" si="22"/>
        <v>6.5219749426274481E-3</v>
      </c>
      <c r="S40" s="388">
        <f t="shared" si="22"/>
        <v>6.602190021948201E-3</v>
      </c>
      <c r="T40" s="388">
        <f t="shared" si="22"/>
        <v>6.6833888976388367E-3</v>
      </c>
      <c r="U40" s="388">
        <f t="shared" si="22"/>
        <v>6.7655836231947791E-3</v>
      </c>
      <c r="V40" s="388">
        <f t="shared" si="22"/>
        <v>6.8487863997940823E-3</v>
      </c>
      <c r="W40" s="388">
        <f t="shared" si="22"/>
        <v>6.9330095781056922E-3</v>
      </c>
      <c r="X40" s="388">
        <f t="shared" si="22"/>
        <v>7.018265660121481E-3</v>
      </c>
      <c r="Y40" s="388">
        <f t="shared" si="22"/>
        <v>7.1045673010097371E-3</v>
      </c>
      <c r="Z40" s="388">
        <f t="shared" si="22"/>
        <v>7.1919273109917192E-3</v>
      </c>
      <c r="AA40" s="388">
        <f t="shared" si="22"/>
        <v>7.2803586572414702E-3</v>
      </c>
      <c r="AB40" s="388">
        <f t="shared" si="22"/>
        <v>7.3698744658083071E-3</v>
      </c>
      <c r="AC40" s="388">
        <f t="shared" si="22"/>
        <v>7.4604880235629861E-3</v>
      </c>
      <c r="AD40" s="388">
        <f t="shared" si="22"/>
        <v>7.5522127801682937E-3</v>
      </c>
      <c r="AE40" s="388">
        <f t="shared" si="22"/>
        <v>7.645062350072937E-3</v>
      </c>
      <c r="AF40" s="388">
        <f t="shared" si="22"/>
        <v>7.7390505145305682E-3</v>
      </c>
      <c r="AG40" s="388">
        <f t="shared" si="22"/>
        <v>7.8341912236428446E-3</v>
      </c>
      <c r="AH40" s="388">
        <f t="shared" si="22"/>
        <v>7.9304985984278986E-3</v>
      </c>
      <c r="AI40" s="388">
        <f t="shared" si="22"/>
        <v>8.0279869329148712E-3</v>
      </c>
      <c r="AJ40" s="388">
        <f t="shared" si="22"/>
        <v>8.1266706962620505E-3</v>
      </c>
      <c r="AK40" s="388">
        <f t="shared" si="22"/>
        <v>8.2265645349031968E-3</v>
      </c>
      <c r="AL40" s="388">
        <f t="shared" ref="AL40" si="23">AL16-AL28</f>
        <v>8.3276832747187918E-3</v>
      </c>
    </row>
    <row r="41" spans="1:38" ht="13">
      <c r="B41" s="581" t="s">
        <v>783</v>
      </c>
      <c r="C41" s="581" t="s">
        <v>518</v>
      </c>
      <c r="D41" s="388">
        <f t="shared" ref="D41:AK41" si="24">D17-D29</f>
        <v>0</v>
      </c>
      <c r="E41" s="388">
        <f t="shared" si="24"/>
        <v>0</v>
      </c>
      <c r="F41" s="388">
        <f t="shared" si="24"/>
        <v>0</v>
      </c>
      <c r="G41" s="388">
        <f t="shared" si="24"/>
        <v>0</v>
      </c>
      <c r="H41" s="388">
        <f t="shared" si="24"/>
        <v>2.9634423233427076E-2</v>
      </c>
      <c r="I41" s="388">
        <f t="shared" si="24"/>
        <v>2.9999407870595796E-2</v>
      </c>
      <c r="J41" s="388">
        <f t="shared" si="24"/>
        <v>3.0368874853339778E-2</v>
      </c>
      <c r="K41" s="388">
        <f t="shared" si="24"/>
        <v>3.0742879173409177E-2</v>
      </c>
      <c r="L41" s="388">
        <f t="shared" si="24"/>
        <v>3.1121476497320055E-2</v>
      </c>
      <c r="M41" s="388">
        <f t="shared" si="24"/>
        <v>3.150472317463493E-2</v>
      </c>
      <c r="N41" s="388">
        <f t="shared" si="24"/>
        <v>3.1892676246343898E-2</v>
      </c>
      <c r="O41" s="388">
        <f t="shared" si="24"/>
        <v>3.2285393453348576E-2</v>
      </c>
      <c r="P41" s="388">
        <f t="shared" si="24"/>
        <v>3.2682933245052781E-2</v>
      </c>
      <c r="Q41" s="388">
        <f t="shared" si="24"/>
        <v>3.3085354788054466E-2</v>
      </c>
      <c r="R41" s="388">
        <f t="shared" si="24"/>
        <v>3.3492717974947572E-2</v>
      </c>
      <c r="S41" s="388">
        <f t="shared" si="24"/>
        <v>3.3905083433229899E-2</v>
      </c>
      <c r="T41" s="388">
        <f t="shared" si="24"/>
        <v>3.4322512534322669E-2</v>
      </c>
      <c r="U41" s="388">
        <f t="shared" si="24"/>
        <v>3.4745067402695395E-2</v>
      </c>
      <c r="V41" s="388">
        <f t="shared" si="24"/>
        <v>3.5172810925111597E-2</v>
      </c>
      <c r="W41" s="388">
        <f t="shared" si="24"/>
        <v>3.5605806759977765E-2</v>
      </c>
      <c r="X41" s="388">
        <f t="shared" si="24"/>
        <v>3.6044119346815007E-2</v>
      </c>
      <c r="Y41" s="388">
        <f t="shared" si="24"/>
        <v>3.6487813915842215E-2</v>
      </c>
      <c r="Z41" s="388">
        <f t="shared" si="24"/>
        <v>3.6936956497678697E-2</v>
      </c>
      <c r="AA41" s="388">
        <f t="shared" si="24"/>
        <v>3.7391613933166701E-2</v>
      </c>
      <c r="AB41" s="388">
        <f t="shared" si="24"/>
        <v>3.7851853883312081E-2</v>
      </c>
      <c r="AC41" s="388">
        <f t="shared" si="24"/>
        <v>3.8317744839347578E-2</v>
      </c>
      <c r="AD41" s="388">
        <f t="shared" si="24"/>
        <v>3.878935613292156E-2</v>
      </c>
      <c r="AE41" s="388">
        <f t="shared" si="24"/>
        <v>3.9266757946409159E-2</v>
      </c>
      <c r="AF41" s="388">
        <f t="shared" si="24"/>
        <v>3.9750021323352036E-2</v>
      </c>
      <c r="AG41" s="388">
        <f t="shared" si="24"/>
        <v>4.0239218179023761E-2</v>
      </c>
      <c r="AH41" s="388">
        <f t="shared" si="24"/>
        <v>4.0734421311126201E-2</v>
      </c>
      <c r="AI41" s="388">
        <f t="shared" si="24"/>
        <v>4.1235704410621021E-2</v>
      </c>
      <c r="AJ41" s="388">
        <f t="shared" si="24"/>
        <v>4.1743142072683759E-2</v>
      </c>
      <c r="AK41" s="388">
        <f t="shared" si="24"/>
        <v>4.2256809807803608E-2</v>
      </c>
      <c r="AL41" s="388">
        <f t="shared" ref="AL41" si="25">AL17-AL29</f>
        <v>4.2776784053012662E-2</v>
      </c>
    </row>
    <row r="42" spans="1:38">
      <c r="D42" s="358"/>
      <c r="F42" s="464"/>
      <c r="G42" s="465"/>
      <c r="H42" s="465"/>
    </row>
    <row r="43" spans="1:38" ht="13">
      <c r="B43" s="492" t="s">
        <v>284</v>
      </c>
      <c r="C43" s="487" t="s">
        <v>292</v>
      </c>
      <c r="D43" s="488">
        <f t="shared" ref="D43:AK43" si="26">D23-D35</f>
        <v>0</v>
      </c>
      <c r="E43" s="488">
        <f t="shared" si="26"/>
        <v>0</v>
      </c>
      <c r="F43" s="488">
        <f t="shared" si="26"/>
        <v>0</v>
      </c>
      <c r="G43" s="488">
        <f t="shared" si="26"/>
        <v>0</v>
      </c>
      <c r="H43" s="488">
        <f t="shared" si="26"/>
        <v>6386.0703031112716</v>
      </c>
      <c r="I43" s="488">
        <f t="shared" si="26"/>
        <v>6469.1631405405278</v>
      </c>
      <c r="J43" s="488">
        <f t="shared" si="26"/>
        <v>6553.3405052424059</v>
      </c>
      <c r="K43" s="488">
        <f t="shared" si="26"/>
        <v>6638.6165796612477</v>
      </c>
      <c r="L43" s="488">
        <f t="shared" si="26"/>
        <v>6725.0057319458647</v>
      </c>
      <c r="M43" s="488">
        <f t="shared" si="26"/>
        <v>6812.522518384023</v>
      </c>
      <c r="N43" s="488">
        <f t="shared" si="26"/>
        <v>6901.1816858688253</v>
      </c>
      <c r="O43" s="488">
        <f t="shared" si="26"/>
        <v>6990.9981743970566</v>
      </c>
      <c r="P43" s="488">
        <f t="shared" si="26"/>
        <v>7081.9871196014428</v>
      </c>
      <c r="Q43" s="488">
        <f t="shared" si="26"/>
        <v>7174.1638553147204</v>
      </c>
      <c r="R43" s="488">
        <f t="shared" si="26"/>
        <v>7267.5439161685208</v>
      </c>
      <c r="S43" s="488">
        <f t="shared" si="26"/>
        <v>7362.1430402255501</v>
      </c>
      <c r="T43" s="488">
        <f t="shared" si="26"/>
        <v>7457.9771716471005</v>
      </c>
      <c r="U43" s="488">
        <f t="shared" si="26"/>
        <v>7555.0624633943225</v>
      </c>
      <c r="V43" s="488">
        <f t="shared" si="26"/>
        <v>7653.4152799668082</v>
      </c>
      <c r="W43" s="488">
        <f t="shared" si="26"/>
        <v>7753.0522001751233</v>
      </c>
      <c r="X43" s="488">
        <f t="shared" si="26"/>
        <v>7853.9900199511612</v>
      </c>
      <c r="Y43" s="488">
        <f t="shared" si="26"/>
        <v>7956.2457551946136</v>
      </c>
      <c r="Z43" s="488">
        <f t="shared" si="26"/>
        <v>8059.836644657189</v>
      </c>
      <c r="AA43" s="488">
        <f t="shared" si="26"/>
        <v>8164.7801528646232</v>
      </c>
      <c r="AB43" s="488">
        <f t="shared" si="26"/>
        <v>8271.093973076946</v>
      </c>
      <c r="AC43" s="488">
        <f t="shared" si="26"/>
        <v>8378.7960302872671</v>
      </c>
      <c r="AD43" s="488">
        <f t="shared" si="26"/>
        <v>8487.9044842608855</v>
      </c>
      <c r="AE43" s="488">
        <f t="shared" si="26"/>
        <v>8598.4377326132671</v>
      </c>
      <c r="AF43" s="488">
        <f t="shared" si="26"/>
        <v>8710.4144139290875</v>
      </c>
      <c r="AG43" s="488">
        <f t="shared" si="26"/>
        <v>8823.8534109216998</v>
      </c>
      <c r="AH43" s="488">
        <f t="shared" si="26"/>
        <v>8938.7738536343531</v>
      </c>
      <c r="AI43" s="488">
        <f t="shared" si="26"/>
        <v>9055.195122684192</v>
      </c>
      <c r="AJ43" s="488">
        <f t="shared" si="26"/>
        <v>9173.1368525467697</v>
      </c>
      <c r="AK43" s="488">
        <f t="shared" si="26"/>
        <v>9292.6189348859334</v>
      </c>
      <c r="AL43" s="488">
        <f t="shared" ref="AL43" si="27">AL23-AL35</f>
        <v>9413.6615219261294</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1177" t="s">
        <v>493</v>
      </c>
      <c r="C49" s="384" t="s">
        <v>450</v>
      </c>
      <c r="D49" s="496">
        <f>'General Inputs'!D15</f>
        <v>17.899999999999999</v>
      </c>
      <c r="E49" s="496">
        <f t="shared" ref="E49:T51" si="28">D49*(1+$C$48)</f>
        <v>17.899999999999999</v>
      </c>
      <c r="F49" s="496">
        <f t="shared" si="28"/>
        <v>17.899999999999999</v>
      </c>
      <c r="G49" s="496">
        <f t="shared" si="28"/>
        <v>17.899999999999999</v>
      </c>
      <c r="H49" s="496">
        <f t="shared" si="28"/>
        <v>17.899999999999999</v>
      </c>
      <c r="I49" s="496">
        <f t="shared" si="28"/>
        <v>17.899999999999999</v>
      </c>
      <c r="J49" s="496">
        <f t="shared" si="28"/>
        <v>17.899999999999999</v>
      </c>
      <c r="K49" s="496">
        <f t="shared" si="28"/>
        <v>17.899999999999999</v>
      </c>
      <c r="L49" s="496">
        <f t="shared" si="28"/>
        <v>17.899999999999999</v>
      </c>
      <c r="M49" s="496">
        <f t="shared" si="28"/>
        <v>17.899999999999999</v>
      </c>
      <c r="N49" s="496">
        <f t="shared" si="28"/>
        <v>17.899999999999999</v>
      </c>
      <c r="O49" s="496">
        <f t="shared" si="28"/>
        <v>17.899999999999999</v>
      </c>
      <c r="P49" s="496">
        <f t="shared" si="28"/>
        <v>17.899999999999999</v>
      </c>
      <c r="Q49" s="496">
        <f t="shared" si="28"/>
        <v>17.899999999999999</v>
      </c>
      <c r="R49" s="496">
        <f t="shared" si="28"/>
        <v>17.899999999999999</v>
      </c>
      <c r="S49" s="496">
        <f t="shared" si="28"/>
        <v>17.899999999999999</v>
      </c>
      <c r="T49" s="496">
        <f t="shared" si="28"/>
        <v>17.899999999999999</v>
      </c>
      <c r="U49" s="496">
        <f t="shared" ref="U49:AJ51" si="29">T49*(1+$C$48)</f>
        <v>17.899999999999999</v>
      </c>
      <c r="V49" s="496">
        <f t="shared" si="29"/>
        <v>17.899999999999999</v>
      </c>
      <c r="W49" s="496">
        <f t="shared" si="29"/>
        <v>17.899999999999999</v>
      </c>
      <c r="X49" s="496">
        <f t="shared" si="29"/>
        <v>17.899999999999999</v>
      </c>
      <c r="Y49" s="496">
        <f t="shared" si="29"/>
        <v>17.899999999999999</v>
      </c>
      <c r="Z49" s="496">
        <f t="shared" si="29"/>
        <v>17.899999999999999</v>
      </c>
      <c r="AA49" s="496">
        <f t="shared" si="29"/>
        <v>17.899999999999999</v>
      </c>
      <c r="AB49" s="496">
        <f t="shared" si="29"/>
        <v>17.899999999999999</v>
      </c>
      <c r="AC49" s="496">
        <f t="shared" si="29"/>
        <v>17.899999999999999</v>
      </c>
      <c r="AD49" s="496">
        <f t="shared" si="29"/>
        <v>17.899999999999999</v>
      </c>
      <c r="AE49" s="496">
        <f t="shared" si="29"/>
        <v>17.899999999999999</v>
      </c>
      <c r="AF49" s="496">
        <f t="shared" si="29"/>
        <v>17.899999999999999</v>
      </c>
      <c r="AG49" s="496">
        <f t="shared" si="29"/>
        <v>17.899999999999999</v>
      </c>
      <c r="AH49" s="496">
        <f t="shared" si="29"/>
        <v>17.899999999999999</v>
      </c>
      <c r="AI49" s="496">
        <f t="shared" si="29"/>
        <v>17.899999999999999</v>
      </c>
      <c r="AJ49" s="496">
        <f t="shared" si="29"/>
        <v>17.899999999999999</v>
      </c>
      <c r="AK49" s="496">
        <f t="shared" ref="AJ49:AL51" si="30">AJ49*(1+$C$48)</f>
        <v>17.899999999999999</v>
      </c>
      <c r="AL49" s="496">
        <f t="shared" si="30"/>
        <v>17.899999999999999</v>
      </c>
    </row>
    <row r="50" spans="1:38">
      <c r="B50" s="754" t="s">
        <v>494</v>
      </c>
      <c r="C50" s="384" t="s">
        <v>450</v>
      </c>
      <c r="D50" s="496">
        <f>'General Inputs'!D16</f>
        <v>30.8</v>
      </c>
      <c r="E50" s="496">
        <f t="shared" si="28"/>
        <v>30.8</v>
      </c>
      <c r="F50" s="496">
        <f t="shared" si="28"/>
        <v>30.8</v>
      </c>
      <c r="G50" s="496">
        <f t="shared" si="28"/>
        <v>30.8</v>
      </c>
      <c r="H50" s="496">
        <f t="shared" si="28"/>
        <v>30.8</v>
      </c>
      <c r="I50" s="496">
        <f t="shared" si="28"/>
        <v>30.8</v>
      </c>
      <c r="J50" s="496">
        <f t="shared" si="28"/>
        <v>30.8</v>
      </c>
      <c r="K50" s="496">
        <f t="shared" si="28"/>
        <v>30.8</v>
      </c>
      <c r="L50" s="496">
        <f t="shared" si="28"/>
        <v>30.8</v>
      </c>
      <c r="M50" s="496">
        <f t="shared" si="28"/>
        <v>30.8</v>
      </c>
      <c r="N50" s="496">
        <f t="shared" si="28"/>
        <v>30.8</v>
      </c>
      <c r="O50" s="496">
        <f t="shared" si="28"/>
        <v>30.8</v>
      </c>
      <c r="P50" s="496">
        <f t="shared" si="28"/>
        <v>30.8</v>
      </c>
      <c r="Q50" s="496">
        <f t="shared" si="28"/>
        <v>30.8</v>
      </c>
      <c r="R50" s="496">
        <f t="shared" si="28"/>
        <v>30.8</v>
      </c>
      <c r="S50" s="496">
        <f t="shared" si="28"/>
        <v>30.8</v>
      </c>
      <c r="T50" s="496">
        <f t="shared" si="28"/>
        <v>30.8</v>
      </c>
      <c r="U50" s="496">
        <f t="shared" si="29"/>
        <v>30.8</v>
      </c>
      <c r="V50" s="496">
        <f t="shared" si="29"/>
        <v>30.8</v>
      </c>
      <c r="W50" s="496">
        <f t="shared" si="29"/>
        <v>30.8</v>
      </c>
      <c r="X50" s="496">
        <f t="shared" si="29"/>
        <v>30.8</v>
      </c>
      <c r="Y50" s="496">
        <f t="shared" si="29"/>
        <v>30.8</v>
      </c>
      <c r="Z50" s="496">
        <f t="shared" si="29"/>
        <v>30.8</v>
      </c>
      <c r="AA50" s="496">
        <f t="shared" si="29"/>
        <v>30.8</v>
      </c>
      <c r="AB50" s="496">
        <f t="shared" si="29"/>
        <v>30.8</v>
      </c>
      <c r="AC50" s="496">
        <f t="shared" si="29"/>
        <v>30.8</v>
      </c>
      <c r="AD50" s="496">
        <f t="shared" si="29"/>
        <v>30.8</v>
      </c>
      <c r="AE50" s="496">
        <f t="shared" si="29"/>
        <v>30.8</v>
      </c>
      <c r="AF50" s="496">
        <f t="shared" si="29"/>
        <v>30.8</v>
      </c>
      <c r="AG50" s="496">
        <f t="shared" si="29"/>
        <v>30.8</v>
      </c>
      <c r="AH50" s="496">
        <f t="shared" si="29"/>
        <v>30.8</v>
      </c>
      <c r="AI50" s="496">
        <f t="shared" si="29"/>
        <v>30.8</v>
      </c>
      <c r="AJ50" s="496">
        <f t="shared" si="30"/>
        <v>30.8</v>
      </c>
      <c r="AK50" s="496">
        <f t="shared" si="30"/>
        <v>30.8</v>
      </c>
      <c r="AL50" s="496">
        <f t="shared" si="30"/>
        <v>30.8</v>
      </c>
    </row>
    <row r="51" spans="1:38">
      <c r="B51" s="754" t="s">
        <v>773</v>
      </c>
      <c r="C51" s="384" t="s">
        <v>450</v>
      </c>
      <c r="D51" s="496">
        <f>'General Inputs'!D17</f>
        <v>31.7</v>
      </c>
      <c r="E51" s="496">
        <f t="shared" si="28"/>
        <v>31.7</v>
      </c>
      <c r="F51" s="496">
        <f t="shared" si="28"/>
        <v>31.7</v>
      </c>
      <c r="G51" s="496">
        <f t="shared" si="28"/>
        <v>31.7</v>
      </c>
      <c r="H51" s="496">
        <f t="shared" si="28"/>
        <v>31.7</v>
      </c>
      <c r="I51" s="496">
        <f t="shared" si="28"/>
        <v>31.7</v>
      </c>
      <c r="J51" s="496">
        <f t="shared" si="28"/>
        <v>31.7</v>
      </c>
      <c r="K51" s="496">
        <f t="shared" si="28"/>
        <v>31.7</v>
      </c>
      <c r="L51" s="496">
        <f t="shared" si="28"/>
        <v>31.7</v>
      </c>
      <c r="M51" s="496">
        <f t="shared" si="28"/>
        <v>31.7</v>
      </c>
      <c r="N51" s="496">
        <f t="shared" si="28"/>
        <v>31.7</v>
      </c>
      <c r="O51" s="496">
        <f t="shared" si="28"/>
        <v>31.7</v>
      </c>
      <c r="P51" s="496">
        <f t="shared" si="28"/>
        <v>31.7</v>
      </c>
      <c r="Q51" s="496">
        <f t="shared" si="28"/>
        <v>31.7</v>
      </c>
      <c r="R51" s="496">
        <f t="shared" si="28"/>
        <v>31.7</v>
      </c>
      <c r="S51" s="496">
        <f t="shared" si="28"/>
        <v>31.7</v>
      </c>
      <c r="T51" s="496">
        <f t="shared" si="28"/>
        <v>31.7</v>
      </c>
      <c r="U51" s="496">
        <f t="shared" si="29"/>
        <v>31.7</v>
      </c>
      <c r="V51" s="496">
        <f t="shared" si="29"/>
        <v>31.7</v>
      </c>
      <c r="W51" s="496">
        <f t="shared" si="29"/>
        <v>31.7</v>
      </c>
      <c r="X51" s="496">
        <f t="shared" si="29"/>
        <v>31.7</v>
      </c>
      <c r="Y51" s="496">
        <f t="shared" si="29"/>
        <v>31.7</v>
      </c>
      <c r="Z51" s="496">
        <f t="shared" si="29"/>
        <v>31.7</v>
      </c>
      <c r="AA51" s="496">
        <f t="shared" si="29"/>
        <v>31.7</v>
      </c>
      <c r="AB51" s="496">
        <f t="shared" si="29"/>
        <v>31.7</v>
      </c>
      <c r="AC51" s="496">
        <f t="shared" si="29"/>
        <v>31.7</v>
      </c>
      <c r="AD51" s="496">
        <f t="shared" si="29"/>
        <v>31.7</v>
      </c>
      <c r="AE51" s="496">
        <f t="shared" si="29"/>
        <v>31.7</v>
      </c>
      <c r="AF51" s="496">
        <f t="shared" si="29"/>
        <v>31.7</v>
      </c>
      <c r="AG51" s="496">
        <f t="shared" si="29"/>
        <v>31.7</v>
      </c>
      <c r="AH51" s="496">
        <f t="shared" si="29"/>
        <v>31.7</v>
      </c>
      <c r="AI51" s="496">
        <f t="shared" si="29"/>
        <v>31.7</v>
      </c>
      <c r="AJ51" s="496">
        <f t="shared" si="30"/>
        <v>31.7</v>
      </c>
      <c r="AK51" s="496">
        <f t="shared" si="30"/>
        <v>31.7</v>
      </c>
      <c r="AL51" s="496">
        <f t="shared" si="30"/>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'West Center'!D25</f>
        <v>20052.227182255243</v>
      </c>
      <c r="E55" s="383">
        <f>'West Center'!E25</f>
        <v>20862.604966039104</v>
      </c>
      <c r="F55" s="383">
        <f>'West Center'!F25</f>
        <v>21705.73283521158</v>
      </c>
      <c r="G55" s="383">
        <f>'West Center'!G25</f>
        <v>22582.934330613014</v>
      </c>
      <c r="H55" s="383">
        <f>'West Center'!H25</f>
        <v>23495.586481810144</v>
      </c>
      <c r="I55" s="383">
        <f>'West Center'!I25</f>
        <v>24445.121968755</v>
      </c>
      <c r="J55" s="383">
        <f>'West Center'!J25</f>
        <v>25433.031370803674</v>
      </c>
      <c r="K55" s="383">
        <f>'West Center'!K25</f>
        <v>26460.865506625563</v>
      </c>
      <c r="L55" s="383">
        <f>'West Center'!L25</f>
        <v>27530.237868676104</v>
      </c>
      <c r="M55" s="383">
        <f>'West Center'!M25</f>
        <v>28642.82715605478</v>
      </c>
      <c r="N55" s="383">
        <f>'West Center'!N25</f>
        <v>29800.37990972439</v>
      </c>
      <c r="O55" s="383">
        <f>'West Center'!O25</f>
        <v>31004.713254228394</v>
      </c>
      <c r="P55" s="383">
        <f>'West Center'!P25</f>
        <v>32257.717750210282</v>
      </c>
      <c r="Q55" s="383">
        <f>'West Center'!Q25</f>
        <v>33561.360362212705</v>
      </c>
      <c r="R55" s="383">
        <f>'West Center'!R25</f>
        <v>34917.687546415429</v>
      </c>
      <c r="S55" s="383">
        <f>'West Center'!S25</f>
        <v>36328.828463159196</v>
      </c>
      <c r="T55" s="383">
        <f>'West Center'!T25</f>
        <v>37796.998319298255</v>
      </c>
      <c r="U55" s="383">
        <f>'West Center'!U25</f>
        <v>39324.501845628765</v>
      </c>
      <c r="V55" s="383">
        <f>'West Center'!V25</f>
        <v>40913.73691485171</v>
      </c>
      <c r="W55" s="383">
        <f>'West Center'!W25</f>
        <v>42567.198305749684</v>
      </c>
      <c r="X55" s="383">
        <f>'West Center'!X25</f>
        <v>44287.48161948692</v>
      </c>
      <c r="Y55" s="383">
        <f>'West Center'!Y25</f>
        <v>46077.287354179985</v>
      </c>
      <c r="Z55" s="383">
        <f>'West Center'!Z25</f>
        <v>47939.425144135603</v>
      </c>
      <c r="AA55" s="383">
        <f>'West Center'!AA25</f>
        <v>49876.818170410326</v>
      </c>
      <c r="AB55" s="383">
        <f>'West Center'!AB25</f>
        <v>51892.507749615579</v>
      </c>
      <c r="AC55" s="383">
        <f>'West Center'!AC25</f>
        <v>53989.658108171949</v>
      </c>
      <c r="AD55" s="383">
        <f>'West Center'!AD25</f>
        <v>56171.561349506999</v>
      </c>
      <c r="AE55" s="383">
        <f>'West Center'!AE25</f>
        <v>58441.64262199404</v>
      </c>
      <c r="AF55" s="383">
        <f>'West Center'!AF25</f>
        <v>60803.465495744975</v>
      </c>
      <c r="AG55" s="383">
        <f>'West Center'!AG25</f>
        <v>63260.737556697131</v>
      </c>
      <c r="AH55" s="383">
        <f>'West Center'!AH25</f>
        <v>65817.316226775976</v>
      </c>
      <c r="AI55" s="383">
        <f>'West Center'!AI25</f>
        <v>68477.214819270303</v>
      </c>
      <c r="AJ55" s="383">
        <f>'West Center'!AJ25</f>
        <v>71244.60883892508</v>
      </c>
      <c r="AK55" s="383">
        <f>'West Center'!AK25</f>
        <v>74123.842536642594</v>
      </c>
      <c r="AL55" s="383">
        <f>'West Center'!AL25</f>
        <v>77119.435729080826</v>
      </c>
    </row>
    <row r="56" spans="1:38">
      <c r="B56" s="385" t="s">
        <v>509</v>
      </c>
      <c r="C56" s="386" t="s">
        <v>443</v>
      </c>
      <c r="D56" s="383">
        <f>'West Center'!D26</f>
        <v>2228.0252424728046</v>
      </c>
      <c r="E56" s="383">
        <f>'West Center'!E26</f>
        <v>2318.0672184487894</v>
      </c>
      <c r="F56" s="383">
        <f>'West Center'!F26</f>
        <v>2411.7480928012865</v>
      </c>
      <c r="G56" s="383">
        <f>'West Center'!G26</f>
        <v>2509.214925623668</v>
      </c>
      <c r="H56" s="383">
        <f>'West Center'!H26</f>
        <v>2610.6207202011269</v>
      </c>
      <c r="I56" s="383">
        <f>'West Center'!I26</f>
        <v>2716.1246631949998</v>
      </c>
      <c r="J56" s="383">
        <f>'West Center'!J26</f>
        <v>2825.8923745337415</v>
      </c>
      <c r="K56" s="383">
        <f>'West Center'!K26</f>
        <v>2940.0961674028404</v>
      </c>
      <c r="L56" s="383">
        <f>'West Center'!L26</f>
        <v>3058.9153187417896</v>
      </c>
      <c r="M56" s="383">
        <f>'West Center'!M26</f>
        <v>3182.5363506727535</v>
      </c>
      <c r="N56" s="383">
        <f>'West Center'!N26</f>
        <v>3311.1533233027099</v>
      </c>
      <c r="O56" s="383">
        <f>'West Center'!O26</f>
        <v>3444.9681393587107</v>
      </c>
      <c r="P56" s="383">
        <f>'West Center'!P26</f>
        <v>3584.1908611344757</v>
      </c>
      <c r="Q56" s="383">
        <f>'West Center'!Q26</f>
        <v>3729.0400402458563</v>
      </c>
      <c r="R56" s="383">
        <f>'West Center'!R26</f>
        <v>3879.7430607128258</v>
      </c>
      <c r="S56" s="383">
        <f>'West Center'!S26</f>
        <v>4036.5364959065773</v>
      </c>
      <c r="T56" s="383">
        <f>'West Center'!T26</f>
        <v>4199.666479922028</v>
      </c>
      <c r="U56" s="383">
        <f>'West Center'!U26</f>
        <v>4369.3890939587518</v>
      </c>
      <c r="V56" s="383">
        <f>'West Center'!V26</f>
        <v>4545.9707683168563</v>
      </c>
      <c r="W56" s="383">
        <f>'West Center'!W26</f>
        <v>4729.6887006388533</v>
      </c>
      <c r="X56" s="383">
        <f>'West Center'!X26</f>
        <v>4920.8312910541026</v>
      </c>
      <c r="Y56" s="383">
        <f>'West Center'!Y26</f>
        <v>5119.6985949088876</v>
      </c>
      <c r="Z56" s="383">
        <f>'West Center'!Z26</f>
        <v>5326.6027937928447</v>
      </c>
      <c r="AA56" s="383">
        <f>'West Center'!AA26</f>
        <v>5541.8686856011482</v>
      </c>
      <c r="AB56" s="383">
        <f>'West Center'!AB26</f>
        <v>5765.8341944017311</v>
      </c>
      <c r="AC56" s="383">
        <f>'West Center'!AC26</f>
        <v>5998.8509009079944</v>
      </c>
      <c r="AD56" s="383">
        <f>'West Center'!AD26</f>
        <v>6241.2845943896673</v>
      </c>
      <c r="AE56" s="383">
        <f>'West Center'!AE26</f>
        <v>6493.5158468882264</v>
      </c>
      <c r="AF56" s="383">
        <f>'West Center'!AF26</f>
        <v>6755.9406106383312</v>
      </c>
      <c r="AG56" s="383">
        <f>'West Center'!AG26</f>
        <v>7028.9708396330143</v>
      </c>
      <c r="AH56" s="383">
        <f>'West Center'!AH26</f>
        <v>7313.035136308441</v>
      </c>
      <c r="AI56" s="383">
        <f>'West Center'!AI26</f>
        <v>7608.5794243633663</v>
      </c>
      <c r="AJ56" s="383">
        <f>'West Center'!AJ26</f>
        <v>7916.0676487694527</v>
      </c>
      <c r="AK56" s="383">
        <f>'West Center'!AK26</f>
        <v>8235.9825040713986</v>
      </c>
      <c r="AL56" s="383">
        <f>'West Center'!AL26</f>
        <v>8568.8261921200919</v>
      </c>
    </row>
    <row r="57" spans="1:38">
      <c r="B57" s="358" t="s">
        <v>769</v>
      </c>
      <c r="C57" s="358" t="s">
        <v>443</v>
      </c>
      <c r="D57" s="383">
        <f>'West Center'!D27</f>
        <v>0</v>
      </c>
      <c r="E57" s="383">
        <f>'West Center'!E27</f>
        <v>0</v>
      </c>
      <c r="F57" s="383">
        <f>'West Center'!F27</f>
        <v>0</v>
      </c>
      <c r="G57" s="383">
        <f>'West Center'!G27</f>
        <v>0</v>
      </c>
      <c r="H57" s="383">
        <f>'West Center'!H27</f>
        <v>0</v>
      </c>
      <c r="I57" s="383">
        <f>'West Center'!I27</f>
        <v>0</v>
      </c>
      <c r="J57" s="383">
        <f>'West Center'!J27</f>
        <v>0</v>
      </c>
      <c r="K57" s="383">
        <f>'West Center'!K27</f>
        <v>0</v>
      </c>
      <c r="L57" s="383">
        <f>'West Center'!L27</f>
        <v>0</v>
      </c>
      <c r="M57" s="383">
        <f>'West Center'!M27</f>
        <v>0</v>
      </c>
      <c r="N57" s="383">
        <f>'West Center'!N27</f>
        <v>0</v>
      </c>
      <c r="O57" s="383">
        <f>'West Center'!O27</f>
        <v>0</v>
      </c>
      <c r="P57" s="383">
        <f>'West Center'!P27</f>
        <v>0</v>
      </c>
      <c r="Q57" s="383">
        <f>'West Center'!Q27</f>
        <v>0</v>
      </c>
      <c r="R57" s="383">
        <f>'West Center'!R27</f>
        <v>0</v>
      </c>
      <c r="S57" s="383">
        <f>'West Center'!S27</f>
        <v>0</v>
      </c>
      <c r="T57" s="383">
        <f>'West Center'!T27</f>
        <v>0</v>
      </c>
      <c r="U57" s="383">
        <f>'West Center'!U27</f>
        <v>0</v>
      </c>
      <c r="V57" s="383">
        <f>'West Center'!V27</f>
        <v>0</v>
      </c>
      <c r="W57" s="383">
        <f>'West Center'!W27</f>
        <v>0</v>
      </c>
      <c r="X57" s="383">
        <f>'West Center'!X27</f>
        <v>0</v>
      </c>
      <c r="Y57" s="383">
        <f>'West Center'!Y27</f>
        <v>0</v>
      </c>
      <c r="Z57" s="383">
        <f>'West Center'!Z27</f>
        <v>0</v>
      </c>
      <c r="AA57" s="383">
        <f>'West Center'!AA27</f>
        <v>0</v>
      </c>
      <c r="AB57" s="383">
        <f>'West Center'!AB27</f>
        <v>0</v>
      </c>
      <c r="AC57" s="383">
        <f>'West Center'!AC27</f>
        <v>0</v>
      </c>
      <c r="AD57" s="383">
        <f>'West Center'!AD27</f>
        <v>0</v>
      </c>
      <c r="AE57" s="383">
        <f>'West Center'!AE27</f>
        <v>0</v>
      </c>
      <c r="AF57" s="383">
        <f>'West Center'!AF27</f>
        <v>0</v>
      </c>
      <c r="AG57" s="383">
        <f>'West Center'!AG27</f>
        <v>0</v>
      </c>
      <c r="AH57" s="383">
        <f>'West Center'!AH27</f>
        <v>0</v>
      </c>
      <c r="AI57" s="383">
        <f>'West Center'!AI27</f>
        <v>0</v>
      </c>
      <c r="AJ57" s="383">
        <f>'West Center'!AJ27</f>
        <v>0</v>
      </c>
      <c r="AK57" s="383">
        <f>'West Center'!AK27</f>
        <v>0</v>
      </c>
      <c r="AL57" s="383">
        <f>'West Center'!AL27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33487.219394366257</v>
      </c>
      <c r="E62" s="383">
        <f t="shared" ref="D62:AK64" si="31">E55*$C59</f>
        <v>34840.550293285305</v>
      </c>
      <c r="F62" s="383">
        <f t="shared" si="31"/>
        <v>36248.573834803334</v>
      </c>
      <c r="G62" s="383">
        <f t="shared" si="31"/>
        <v>37713.500332123731</v>
      </c>
      <c r="H62" s="383">
        <f t="shared" si="31"/>
        <v>39237.629424622937</v>
      </c>
      <c r="I62" s="383">
        <f t="shared" si="31"/>
        <v>40823.353687820847</v>
      </c>
      <c r="J62" s="383">
        <f t="shared" si="31"/>
        <v>42473.162389242134</v>
      </c>
      <c r="K62" s="383">
        <f t="shared" si="31"/>
        <v>44189.64539606469</v>
      </c>
      <c r="L62" s="383">
        <f t="shared" si="31"/>
        <v>45975.497240689088</v>
      </c>
      <c r="M62" s="383">
        <f t="shared" si="31"/>
        <v>47833.521350611481</v>
      </c>
      <c r="N62" s="383">
        <f t="shared" si="31"/>
        <v>49766.634449239726</v>
      </c>
      <c r="O62" s="383">
        <f t="shared" si="31"/>
        <v>51777.871134561414</v>
      </c>
      <c r="P62" s="383">
        <f t="shared" si="31"/>
        <v>53870.388642851169</v>
      </c>
      <c r="Q62" s="383">
        <f t="shared" si="31"/>
        <v>56047.471804895213</v>
      </c>
      <c r="R62" s="383">
        <f t="shared" si="31"/>
        <v>58312.538202513766</v>
      </c>
      <c r="S62" s="383">
        <f t="shared" si="31"/>
        <v>60669.143533475857</v>
      </c>
      <c r="T62" s="383">
        <f t="shared" si="31"/>
        <v>63120.98719322808</v>
      </c>
      <c r="U62" s="383">
        <f t="shared" si="31"/>
        <v>65671.918082200034</v>
      </c>
      <c r="V62" s="383">
        <f t="shared" si="31"/>
        <v>68325.940647802359</v>
      </c>
      <c r="W62" s="383">
        <f t="shared" si="31"/>
        <v>71087.221170601973</v>
      </c>
      <c r="X62" s="383">
        <f t="shared" si="31"/>
        <v>73960.094304543149</v>
      </c>
      <c r="Y62" s="383">
        <f t="shared" si="31"/>
        <v>76949.069881480566</v>
      </c>
      <c r="Z62" s="383">
        <f t="shared" si="31"/>
        <v>80058.83999070646</v>
      </c>
      <c r="AA62" s="383">
        <f t="shared" si="31"/>
        <v>83294.286344585242</v>
      </c>
      <c r="AB62" s="383">
        <f t="shared" si="31"/>
        <v>86660.487941858009</v>
      </c>
      <c r="AC62" s="383">
        <f t="shared" si="31"/>
        <v>90162.729040647144</v>
      </c>
      <c r="AD62" s="383">
        <f t="shared" si="31"/>
        <v>93806.507453676692</v>
      </c>
      <c r="AE62" s="383">
        <f t="shared" si="31"/>
        <v>97597.543178730048</v>
      </c>
      <c r="AF62" s="383">
        <f t="shared" si="31"/>
        <v>101541.7873778941</v>
      </c>
      <c r="AG62" s="383">
        <f t="shared" si="31"/>
        <v>105645.4317196842</v>
      </c>
      <c r="AH62" s="383">
        <f t="shared" si="31"/>
        <v>109914.91809871588</v>
      </c>
      <c r="AI62" s="383">
        <f t="shared" si="31"/>
        <v>114356.9487481814</v>
      </c>
      <c r="AJ62" s="383">
        <f t="shared" si="31"/>
        <v>118978.49676100488</v>
      </c>
      <c r="AK62" s="383">
        <f t="shared" si="31"/>
        <v>123786.81703619313</v>
      </c>
      <c r="AL62" s="383">
        <f t="shared" ref="AL62" si="32">AL55*$C59</f>
        <v>128789.45766756497</v>
      </c>
    </row>
    <row r="63" spans="1:38">
      <c r="B63" s="472" t="s">
        <v>513</v>
      </c>
      <c r="C63" s="386" t="s">
        <v>443</v>
      </c>
      <c r="D63" s="383">
        <f t="shared" si="31"/>
        <v>2228.0252424728046</v>
      </c>
      <c r="E63" s="383">
        <f t="shared" si="31"/>
        <v>2318.0672184487894</v>
      </c>
      <c r="F63" s="383">
        <f t="shared" si="31"/>
        <v>2411.7480928012865</v>
      </c>
      <c r="G63" s="383">
        <f t="shared" si="31"/>
        <v>2509.214925623668</v>
      </c>
      <c r="H63" s="383">
        <f t="shared" si="31"/>
        <v>2610.6207202011269</v>
      </c>
      <c r="I63" s="383">
        <f t="shared" si="31"/>
        <v>2716.1246631949998</v>
      </c>
      <c r="J63" s="383">
        <f t="shared" si="31"/>
        <v>2825.8923745337415</v>
      </c>
      <c r="K63" s="383">
        <f t="shared" si="31"/>
        <v>2940.0961674028404</v>
      </c>
      <c r="L63" s="383">
        <f t="shared" si="31"/>
        <v>3058.9153187417896</v>
      </c>
      <c r="M63" s="383">
        <f t="shared" si="31"/>
        <v>3182.5363506727535</v>
      </c>
      <c r="N63" s="383">
        <f t="shared" si="31"/>
        <v>3311.1533233027099</v>
      </c>
      <c r="O63" s="383">
        <f t="shared" si="31"/>
        <v>3444.9681393587107</v>
      </c>
      <c r="P63" s="383">
        <f t="shared" si="31"/>
        <v>3584.1908611344757</v>
      </c>
      <c r="Q63" s="383">
        <f t="shared" si="31"/>
        <v>3729.0400402458563</v>
      </c>
      <c r="R63" s="383">
        <f t="shared" si="31"/>
        <v>3879.7430607128258</v>
      </c>
      <c r="S63" s="383">
        <f t="shared" si="31"/>
        <v>4036.5364959065773</v>
      </c>
      <c r="T63" s="383">
        <f t="shared" si="31"/>
        <v>4199.666479922028</v>
      </c>
      <c r="U63" s="383">
        <f t="shared" si="31"/>
        <v>4369.3890939587518</v>
      </c>
      <c r="V63" s="383">
        <f t="shared" si="31"/>
        <v>4545.9707683168563</v>
      </c>
      <c r="W63" s="383">
        <f t="shared" si="31"/>
        <v>4729.6887006388533</v>
      </c>
      <c r="X63" s="383">
        <f t="shared" si="31"/>
        <v>4920.8312910541026</v>
      </c>
      <c r="Y63" s="383">
        <f t="shared" si="31"/>
        <v>5119.6985949088876</v>
      </c>
      <c r="Z63" s="383">
        <f t="shared" si="31"/>
        <v>5326.6027937928447</v>
      </c>
      <c r="AA63" s="383">
        <f t="shared" si="31"/>
        <v>5541.8686856011482</v>
      </c>
      <c r="AB63" s="383">
        <f t="shared" si="31"/>
        <v>5765.8341944017311</v>
      </c>
      <c r="AC63" s="383">
        <f t="shared" si="31"/>
        <v>5998.8509009079944</v>
      </c>
      <c r="AD63" s="383">
        <f t="shared" si="31"/>
        <v>6241.2845943896673</v>
      </c>
      <c r="AE63" s="383">
        <f t="shared" si="31"/>
        <v>6493.5158468882264</v>
      </c>
      <c r="AF63" s="383">
        <f t="shared" si="31"/>
        <v>6755.9406106383312</v>
      </c>
      <c r="AG63" s="383">
        <f t="shared" si="31"/>
        <v>7028.9708396330143</v>
      </c>
      <c r="AH63" s="383">
        <f t="shared" si="31"/>
        <v>7313.035136308441</v>
      </c>
      <c r="AI63" s="383">
        <f t="shared" si="31"/>
        <v>7608.5794243633663</v>
      </c>
      <c r="AJ63" s="383">
        <f t="shared" si="31"/>
        <v>7916.0676487694527</v>
      </c>
      <c r="AK63" s="383">
        <f t="shared" si="31"/>
        <v>8235.9825040713986</v>
      </c>
      <c r="AL63" s="383">
        <f t="shared" ref="AL63" si="33">AL56*$C60</f>
        <v>8568.8261921200919</v>
      </c>
    </row>
    <row r="64" spans="1:38">
      <c r="B64" s="472" t="s">
        <v>752</v>
      </c>
      <c r="C64" s="386" t="s">
        <v>443</v>
      </c>
      <c r="D64" s="383">
        <f t="shared" si="31"/>
        <v>0</v>
      </c>
      <c r="E64" s="383">
        <f t="shared" si="31"/>
        <v>0</v>
      </c>
      <c r="F64" s="383">
        <f t="shared" si="31"/>
        <v>0</v>
      </c>
      <c r="G64" s="383">
        <f t="shared" si="31"/>
        <v>0</v>
      </c>
      <c r="H64" s="383">
        <f t="shared" si="31"/>
        <v>0</v>
      </c>
      <c r="I64" s="383">
        <f t="shared" si="31"/>
        <v>0</v>
      </c>
      <c r="J64" s="383">
        <f t="shared" si="31"/>
        <v>0</v>
      </c>
      <c r="K64" s="383">
        <f t="shared" si="31"/>
        <v>0</v>
      </c>
      <c r="L64" s="383">
        <f t="shared" si="31"/>
        <v>0</v>
      </c>
      <c r="M64" s="383">
        <f t="shared" si="31"/>
        <v>0</v>
      </c>
      <c r="N64" s="383">
        <f t="shared" si="31"/>
        <v>0</v>
      </c>
      <c r="O64" s="383">
        <f t="shared" si="31"/>
        <v>0</v>
      </c>
      <c r="P64" s="383">
        <f t="shared" si="31"/>
        <v>0</v>
      </c>
      <c r="Q64" s="383">
        <f t="shared" si="31"/>
        <v>0</v>
      </c>
      <c r="R64" s="383">
        <f t="shared" si="31"/>
        <v>0</v>
      </c>
      <c r="S64" s="383">
        <f t="shared" si="31"/>
        <v>0</v>
      </c>
      <c r="T64" s="383">
        <f t="shared" si="31"/>
        <v>0</v>
      </c>
      <c r="U64" s="383">
        <f t="shared" si="31"/>
        <v>0</v>
      </c>
      <c r="V64" s="383">
        <f t="shared" si="31"/>
        <v>0</v>
      </c>
      <c r="W64" s="383">
        <f t="shared" si="31"/>
        <v>0</v>
      </c>
      <c r="X64" s="383">
        <f t="shared" si="31"/>
        <v>0</v>
      </c>
      <c r="Y64" s="383">
        <f t="shared" si="31"/>
        <v>0</v>
      </c>
      <c r="Z64" s="383">
        <f t="shared" si="31"/>
        <v>0</v>
      </c>
      <c r="AA64" s="383">
        <f t="shared" si="31"/>
        <v>0</v>
      </c>
      <c r="AB64" s="383">
        <f t="shared" si="31"/>
        <v>0</v>
      </c>
      <c r="AC64" s="383">
        <f t="shared" si="31"/>
        <v>0</v>
      </c>
      <c r="AD64" s="383">
        <f t="shared" si="31"/>
        <v>0</v>
      </c>
      <c r="AE64" s="383">
        <f t="shared" si="31"/>
        <v>0</v>
      </c>
      <c r="AF64" s="383">
        <f t="shared" si="31"/>
        <v>0</v>
      </c>
      <c r="AG64" s="383">
        <f t="shared" si="31"/>
        <v>0</v>
      </c>
      <c r="AH64" s="383">
        <f t="shared" si="31"/>
        <v>0</v>
      </c>
      <c r="AI64" s="383">
        <f t="shared" si="31"/>
        <v>0</v>
      </c>
      <c r="AJ64" s="383">
        <f t="shared" si="31"/>
        <v>0</v>
      </c>
      <c r="AK64" s="383">
        <f t="shared" si="31"/>
        <v>0</v>
      </c>
      <c r="AL64" s="383">
        <f t="shared" ref="AL64" si="34">AL57*$C61</f>
        <v>0</v>
      </c>
    </row>
    <row r="65" spans="1:38">
      <c r="D65" s="358"/>
      <c r="F65" s="464"/>
      <c r="G65" s="465"/>
      <c r="H65" s="465"/>
    </row>
    <row r="66" spans="1:38" ht="13">
      <c r="B66" s="364" t="s">
        <v>526</v>
      </c>
      <c r="C66" s="487" t="s">
        <v>292</v>
      </c>
      <c r="D66" s="488">
        <f>SUMPRODUCT(D62:D64,D49:D51)</f>
        <v>668044.40462731838</v>
      </c>
      <c r="E66" s="488">
        <f t="shared" ref="E66:AK66" si="35">SUMPRODUCT(E62:E64,E49:E51)</f>
        <v>695042.32057802961</v>
      </c>
      <c r="F66" s="488">
        <f t="shared" si="35"/>
        <v>723131.31290125928</v>
      </c>
      <c r="G66" s="488">
        <f t="shared" si="35"/>
        <v>752355.4756542237</v>
      </c>
      <c r="H66" s="488">
        <f t="shared" si="35"/>
        <v>782760.68488294515</v>
      </c>
      <c r="I66" s="488">
        <f t="shared" si="35"/>
        <v>814394.67063839908</v>
      </c>
      <c r="J66" s="488">
        <f t="shared" si="35"/>
        <v>847307.09190307336</v>
      </c>
      <c r="K66" s="488">
        <f t="shared" si="35"/>
        <v>881549.61454556545</v>
      </c>
      <c r="L66" s="488">
        <f t="shared" si="35"/>
        <v>917175.99242558167</v>
      </c>
      <c r="M66" s="488">
        <f t="shared" si="35"/>
        <v>954242.15177666629</v>
      </c>
      <c r="N66" s="488">
        <f t="shared" si="35"/>
        <v>992806.27899911441</v>
      </c>
      <c r="O66" s="488">
        <f t="shared" si="35"/>
        <v>1032928.9120008975</v>
      </c>
      <c r="P66" s="488">
        <f t="shared" si="35"/>
        <v>1074673.0352299777</v>
      </c>
      <c r="Q66" s="488">
        <f t="shared" si="35"/>
        <v>1118104.1785471966</v>
      </c>
      <c r="R66" s="488">
        <f t="shared" si="35"/>
        <v>1163290.5200949514</v>
      </c>
      <c r="S66" s="488">
        <f t="shared" si="35"/>
        <v>1210302.9933231403</v>
      </c>
      <c r="T66" s="488">
        <f t="shared" si="35"/>
        <v>1259215.3983403812</v>
      </c>
      <c r="U66" s="488">
        <f t="shared" si="35"/>
        <v>1310104.5177653101</v>
      </c>
      <c r="V66" s="488">
        <f t="shared" si="35"/>
        <v>1363050.2372598213</v>
      </c>
      <c r="W66" s="488">
        <f t="shared" si="35"/>
        <v>1418135.670933452</v>
      </c>
      <c r="X66" s="488">
        <f t="shared" si="35"/>
        <v>1475447.2918157885</v>
      </c>
      <c r="Y66" s="488">
        <f t="shared" si="35"/>
        <v>1535075.0676016957</v>
      </c>
      <c r="Z66" s="488">
        <f t="shared" si="35"/>
        <v>1597112.6018824652</v>
      </c>
      <c r="AA66" s="488">
        <f t="shared" si="35"/>
        <v>1661657.2810845911</v>
      </c>
      <c r="AB66" s="488">
        <f t="shared" si="35"/>
        <v>1728810.4273468314</v>
      </c>
      <c r="AC66" s="488">
        <f t="shared" si="35"/>
        <v>1798677.4575755498</v>
      </c>
      <c r="AD66" s="488">
        <f t="shared" si="35"/>
        <v>1871368.0489280145</v>
      </c>
      <c r="AE66" s="488">
        <f t="shared" si="35"/>
        <v>1946996.310983425</v>
      </c>
      <c r="AF66" s="488">
        <f t="shared" si="35"/>
        <v>2025680.9648719649</v>
      </c>
      <c r="AG66" s="488">
        <f t="shared" si="35"/>
        <v>2107545.5296430439</v>
      </c>
      <c r="AH66" s="488">
        <f t="shared" si="35"/>
        <v>2192718.5161653138</v>
      </c>
      <c r="AI66" s="488">
        <f t="shared" si="35"/>
        <v>2281333.6288628387</v>
      </c>
      <c r="AJ66" s="488">
        <f t="shared" si="35"/>
        <v>2373529.9756040866</v>
      </c>
      <c r="AK66" s="488">
        <f t="shared" si="35"/>
        <v>2469452.2860732558</v>
      </c>
      <c r="AL66" s="488">
        <f t="shared" ref="AL66" si="36">SUMPRODUCT(AL62:AL64,AL49:AL51)</f>
        <v>2569251.1389667117</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'West Center'!D48</f>
        <v>20052.227182255243</v>
      </c>
      <c r="E70" s="383">
        <f>'West Center'!E48</f>
        <v>20862.604966039104</v>
      </c>
      <c r="F70" s="383">
        <f>'West Center'!F48</f>
        <v>21705.73283521158</v>
      </c>
      <c r="G70" s="383">
        <f>'West Center'!G48</f>
        <v>22582.934330613014</v>
      </c>
      <c r="H70" s="383">
        <f>'West Center'!H48</f>
        <v>17621.689861357612</v>
      </c>
      <c r="I70" s="383">
        <f>'West Center'!I48</f>
        <v>18333.841476566242</v>
      </c>
      <c r="J70" s="383">
        <f>'West Center'!J48</f>
        <v>19074.773528102756</v>
      </c>
      <c r="K70" s="383">
        <f>'West Center'!K48</f>
        <v>19845.649129969177</v>
      </c>
      <c r="L70" s="383">
        <f>'West Center'!L48</f>
        <v>20647.678401507077</v>
      </c>
      <c r="M70" s="383">
        <f>'West Center'!M48</f>
        <v>21482.12036704108</v>
      </c>
      <c r="N70" s="383">
        <f>'West Center'!N48</f>
        <v>22350.284932293285</v>
      </c>
      <c r="O70" s="383">
        <f>'West Center'!O48</f>
        <v>23253.534940671307</v>
      </c>
      <c r="P70" s="383">
        <f>'West Center'!P48</f>
        <v>24193.288312657718</v>
      </c>
      <c r="Q70" s="383">
        <f>'West Center'!Q48</f>
        <v>25171.02027165953</v>
      </c>
      <c r="R70" s="383">
        <f>'West Center'!R48</f>
        <v>26188.265659811572</v>
      </c>
      <c r="S70" s="383">
        <f>'West Center'!S48</f>
        <v>27246.621347369401</v>
      </c>
      <c r="T70" s="383">
        <f>'West Center'!T48</f>
        <v>28347.748739473696</v>
      </c>
      <c r="U70" s="383">
        <f>'West Center'!U48</f>
        <v>29493.376384221574</v>
      </c>
      <c r="V70" s="383">
        <f>'West Center'!V48</f>
        <v>30685.302686138781</v>
      </c>
      <c r="W70" s="383">
        <f>'West Center'!W48</f>
        <v>31925.398729312252</v>
      </c>
      <c r="X70" s="383">
        <f>'West Center'!X48</f>
        <v>33215.611214615186</v>
      </c>
      <c r="Y70" s="383">
        <f>'West Center'!Y48</f>
        <v>34557.965515634991</v>
      </c>
      <c r="Z70" s="383">
        <f>'West Center'!Z48</f>
        <v>35954.568858101709</v>
      </c>
      <c r="AA70" s="383">
        <f>'West Center'!AA48</f>
        <v>37407.613627807747</v>
      </c>
      <c r="AB70" s="383">
        <f>'West Center'!AB48</f>
        <v>38919.380812211682</v>
      </c>
      <c r="AC70" s="383">
        <f>'West Center'!AC48</f>
        <v>40492.243581128976</v>
      </c>
      <c r="AD70" s="383">
        <f>'West Center'!AD48</f>
        <v>42128.671012130246</v>
      </c>
      <c r="AE70" s="383">
        <f>'West Center'!AE48</f>
        <v>43831.231966495528</v>
      </c>
      <c r="AF70" s="383">
        <f>'West Center'!AF48</f>
        <v>45602.599121808737</v>
      </c>
      <c r="AG70" s="383">
        <f>'West Center'!AG48</f>
        <v>47445.553167522827</v>
      </c>
      <c r="AH70" s="383">
        <f>'West Center'!AH48</f>
        <v>49362.987170081971</v>
      </c>
      <c r="AI70" s="383">
        <f>'West Center'!AI48</f>
        <v>51357.911114452727</v>
      </c>
      <c r="AJ70" s="383">
        <f>'West Center'!AJ48</f>
        <v>53433.456629193795</v>
      </c>
      <c r="AK70" s="383">
        <f>'West Center'!AK48</f>
        <v>55592.881902481931</v>
      </c>
      <c r="AL70" s="383">
        <f>'West Center'!AL48</f>
        <v>57839.576796810637</v>
      </c>
    </row>
    <row r="71" spans="1:38">
      <c r="B71" s="385" t="s">
        <v>509</v>
      </c>
      <c r="C71" s="386" t="s">
        <v>443</v>
      </c>
      <c r="D71" s="383">
        <f>'West Center'!D49</f>
        <v>2228.0252424728046</v>
      </c>
      <c r="E71" s="383">
        <f>'West Center'!E49</f>
        <v>2318.0672184487894</v>
      </c>
      <c r="F71" s="383">
        <f>'West Center'!F49</f>
        <v>2411.7480928012865</v>
      </c>
      <c r="G71" s="383">
        <f>'West Center'!G49</f>
        <v>2509.214925623668</v>
      </c>
      <c r="H71" s="383">
        <f>'West Center'!H49</f>
        <v>1957.965540150846</v>
      </c>
      <c r="I71" s="383">
        <f>'West Center'!I49</f>
        <v>2037.0934973962494</v>
      </c>
      <c r="J71" s="383">
        <f>'West Center'!J49</f>
        <v>2119.4192809003066</v>
      </c>
      <c r="K71" s="383">
        <f>'West Center'!K49</f>
        <v>2205.0721255521307</v>
      </c>
      <c r="L71" s="383">
        <f>'West Center'!L49</f>
        <v>2294.186489056342</v>
      </c>
      <c r="M71" s="383">
        <f>'West Center'!M49</f>
        <v>2386.9022630045647</v>
      </c>
      <c r="N71" s="383">
        <f>'West Center'!N49</f>
        <v>2483.364992477032</v>
      </c>
      <c r="O71" s="383">
        <f>'West Center'!O49</f>
        <v>2583.7261045190339</v>
      </c>
      <c r="P71" s="383">
        <f>'West Center'!P49</f>
        <v>2688.1431458508578</v>
      </c>
      <c r="Q71" s="383">
        <f>'West Center'!Q49</f>
        <v>2796.7800301843927</v>
      </c>
      <c r="R71" s="383">
        <f>'West Center'!R49</f>
        <v>2909.8072955346192</v>
      </c>
      <c r="S71" s="383">
        <f>'West Center'!S49</f>
        <v>3027.4023719299335</v>
      </c>
      <c r="T71" s="383">
        <f>'West Center'!T49</f>
        <v>3149.7498599415221</v>
      </c>
      <c r="U71" s="383">
        <f>'West Center'!U49</f>
        <v>3277.0418204690636</v>
      </c>
      <c r="V71" s="383">
        <f>'West Center'!V49</f>
        <v>3409.4780762376427</v>
      </c>
      <c r="W71" s="383">
        <f>'West Center'!W49</f>
        <v>3547.2665254791391</v>
      </c>
      <c r="X71" s="383">
        <f>'West Center'!X49</f>
        <v>3690.6234682905765</v>
      </c>
      <c r="Y71" s="383">
        <f>'West Center'!Y49</f>
        <v>3839.7739461816659</v>
      </c>
      <c r="Z71" s="383">
        <f>'West Center'!Z49</f>
        <v>3994.9520953446345</v>
      </c>
      <c r="AA71" s="383">
        <f>'West Center'!AA49</f>
        <v>4156.4015142008602</v>
      </c>
      <c r="AB71" s="383">
        <f>'West Center'!AB49</f>
        <v>4324.3756458012977</v>
      </c>
      <c r="AC71" s="383">
        <f>'West Center'!AC49</f>
        <v>4499.1381756809969</v>
      </c>
      <c r="AD71" s="383">
        <f>'West Center'!AD49</f>
        <v>4680.9634457922502</v>
      </c>
      <c r="AE71" s="383">
        <f>'West Center'!AE49</f>
        <v>4870.13688516617</v>
      </c>
      <c r="AF71" s="383">
        <f>'West Center'!AF49</f>
        <v>5066.9554579787482</v>
      </c>
      <c r="AG71" s="383">
        <f>'West Center'!AG49</f>
        <v>5271.7281297247591</v>
      </c>
      <c r="AH71" s="383">
        <f>'West Center'!AH49</f>
        <v>5484.7763522313307</v>
      </c>
      <c r="AI71" s="383">
        <f>'West Center'!AI49</f>
        <v>5706.4345682725252</v>
      </c>
      <c r="AJ71" s="383">
        <f>'West Center'!AJ49</f>
        <v>5937.0507365770891</v>
      </c>
      <c r="AK71" s="383">
        <f>'West Center'!AK49</f>
        <v>6176.986878053548</v>
      </c>
      <c r="AL71" s="383">
        <f>'West Center'!AL49</f>
        <v>6426.6196440900712</v>
      </c>
    </row>
    <row r="72" spans="1:38">
      <c r="B72" s="358" t="s">
        <v>769</v>
      </c>
      <c r="C72" s="358" t="s">
        <v>443</v>
      </c>
      <c r="D72" s="383">
        <f>'West Center'!D50</f>
        <v>0</v>
      </c>
      <c r="E72" s="383">
        <f>'West Center'!E50</f>
        <v>0</v>
      </c>
      <c r="F72" s="383">
        <f>'West Center'!F50</f>
        <v>0</v>
      </c>
      <c r="G72" s="383">
        <f>'West Center'!G50</f>
        <v>0</v>
      </c>
      <c r="H72" s="383">
        <f>'West Center'!H50</f>
        <v>0</v>
      </c>
      <c r="I72" s="383">
        <f>'West Center'!I50</f>
        <v>0</v>
      </c>
      <c r="J72" s="383">
        <f>'West Center'!J50</f>
        <v>0</v>
      </c>
      <c r="K72" s="383">
        <f>'West Center'!K50</f>
        <v>0</v>
      </c>
      <c r="L72" s="383">
        <f>'West Center'!L50</f>
        <v>0</v>
      </c>
      <c r="M72" s="383">
        <f>'West Center'!M50</f>
        <v>0</v>
      </c>
      <c r="N72" s="383">
        <f>'West Center'!N50</f>
        <v>0</v>
      </c>
      <c r="O72" s="383">
        <f>'West Center'!O50</f>
        <v>0</v>
      </c>
      <c r="P72" s="383">
        <f>'West Center'!P50</f>
        <v>0</v>
      </c>
      <c r="Q72" s="383">
        <f>'West Center'!Q50</f>
        <v>0</v>
      </c>
      <c r="R72" s="383">
        <f>'West Center'!R50</f>
        <v>0</v>
      </c>
      <c r="S72" s="383">
        <f>'West Center'!S50</f>
        <v>0</v>
      </c>
      <c r="T72" s="383">
        <f>'West Center'!T50</f>
        <v>0</v>
      </c>
      <c r="U72" s="383">
        <f>'West Center'!U50</f>
        <v>0</v>
      </c>
      <c r="V72" s="383">
        <f>'West Center'!V50</f>
        <v>0</v>
      </c>
      <c r="W72" s="383">
        <f>'West Center'!W50</f>
        <v>0</v>
      </c>
      <c r="X72" s="383">
        <f>'West Center'!X50</f>
        <v>0</v>
      </c>
      <c r="Y72" s="383">
        <f>'West Center'!Y50</f>
        <v>0</v>
      </c>
      <c r="Z72" s="383">
        <f>'West Center'!Z50</f>
        <v>0</v>
      </c>
      <c r="AA72" s="383">
        <f>'West Center'!AA50</f>
        <v>0</v>
      </c>
      <c r="AB72" s="383">
        <f>'West Center'!AB50</f>
        <v>0</v>
      </c>
      <c r="AC72" s="383">
        <f>'West Center'!AC50</f>
        <v>0</v>
      </c>
      <c r="AD72" s="383">
        <f>'West Center'!AD50</f>
        <v>0</v>
      </c>
      <c r="AE72" s="383">
        <f>'West Center'!AE50</f>
        <v>0</v>
      </c>
      <c r="AF72" s="383">
        <f>'West Center'!AF50</f>
        <v>0</v>
      </c>
      <c r="AG72" s="383">
        <f>'West Center'!AG50</f>
        <v>0</v>
      </c>
      <c r="AH72" s="383">
        <f>'West Center'!AH50</f>
        <v>0</v>
      </c>
      <c r="AI72" s="383">
        <f>'West Center'!AI50</f>
        <v>0</v>
      </c>
      <c r="AJ72" s="383">
        <f>'West Center'!AJ50</f>
        <v>0</v>
      </c>
      <c r="AK72" s="383">
        <f>'West Center'!AK50</f>
        <v>0</v>
      </c>
      <c r="AL72" s="383">
        <f>'West Center'!AL50</f>
        <v>0</v>
      </c>
    </row>
    <row r="73" spans="1:38">
      <c r="D73" s="358"/>
      <c r="F73" s="464"/>
      <c r="G73" s="465"/>
      <c r="H73" s="465"/>
    </row>
    <row r="74" spans="1:38">
      <c r="B74" s="472" t="s">
        <v>512</v>
      </c>
      <c r="C74" s="386" t="s">
        <v>443</v>
      </c>
      <c r="D74" s="383">
        <f>D70*$C59</f>
        <v>33487.219394366257</v>
      </c>
      <c r="E74" s="383">
        <f t="shared" ref="E74:AK76" si="37">E70*$C59</f>
        <v>34840.550293285305</v>
      </c>
      <c r="F74" s="383">
        <f t="shared" si="37"/>
        <v>36248.573834803334</v>
      </c>
      <c r="G74" s="383">
        <f t="shared" si="37"/>
        <v>37713.500332123731</v>
      </c>
      <c r="H74" s="383">
        <f t="shared" si="37"/>
        <v>29428.22206846721</v>
      </c>
      <c r="I74" s="383">
        <f t="shared" si="37"/>
        <v>30617.515265865622</v>
      </c>
      <c r="J74" s="383">
        <f t="shared" si="37"/>
        <v>31854.8717919316</v>
      </c>
      <c r="K74" s="383">
        <f t="shared" si="37"/>
        <v>33142.234047048521</v>
      </c>
      <c r="L74" s="383">
        <f t="shared" si="37"/>
        <v>34481.622930516816</v>
      </c>
      <c r="M74" s="383">
        <f t="shared" si="37"/>
        <v>35875.1410129586</v>
      </c>
      <c r="N74" s="383">
        <f t="shared" si="37"/>
        <v>37324.975836929785</v>
      </c>
      <c r="O74" s="383">
        <f t="shared" si="37"/>
        <v>38833.403350921079</v>
      </c>
      <c r="P74" s="383">
        <f t="shared" si="37"/>
        <v>40402.791482138389</v>
      </c>
      <c r="Q74" s="383">
        <f t="shared" si="37"/>
        <v>42035.603853671411</v>
      </c>
      <c r="R74" s="383">
        <f t="shared" si="37"/>
        <v>43734.403651885325</v>
      </c>
      <c r="S74" s="383">
        <f t="shared" si="37"/>
        <v>45501.857650106896</v>
      </c>
      <c r="T74" s="383">
        <f t="shared" si="37"/>
        <v>47340.740394921071</v>
      </c>
      <c r="U74" s="383">
        <f t="shared" si="37"/>
        <v>49253.938561650029</v>
      </c>
      <c r="V74" s="383">
        <f t="shared" si="37"/>
        <v>51244.455485851759</v>
      </c>
      <c r="W74" s="383">
        <f t="shared" si="37"/>
        <v>53315.415877951462</v>
      </c>
      <c r="X74" s="383">
        <f t="shared" si="37"/>
        <v>55470.070728407358</v>
      </c>
      <c r="Y74" s="383">
        <f t="shared" si="37"/>
        <v>57711.802411110431</v>
      </c>
      <c r="Z74" s="383">
        <f t="shared" si="37"/>
        <v>60044.129993029856</v>
      </c>
      <c r="AA74" s="383">
        <f t="shared" si="37"/>
        <v>62470.714758438931</v>
      </c>
      <c r="AB74" s="383">
        <f t="shared" si="37"/>
        <v>64995.365956393507</v>
      </c>
      <c r="AC74" s="383">
        <f t="shared" si="37"/>
        <v>67622.046780485383</v>
      </c>
      <c r="AD74" s="383">
        <f t="shared" si="37"/>
        <v>70354.880590257511</v>
      </c>
      <c r="AE74" s="383">
        <f t="shared" si="37"/>
        <v>73198.157384047532</v>
      </c>
      <c r="AF74" s="383">
        <f t="shared" si="37"/>
        <v>76156.340533420589</v>
      </c>
      <c r="AG74" s="383">
        <f t="shared" si="37"/>
        <v>79234.073789763119</v>
      </c>
      <c r="AH74" s="383">
        <f t="shared" si="37"/>
        <v>82436.188574036889</v>
      </c>
      <c r="AI74" s="383">
        <f t="shared" si="37"/>
        <v>85767.71156113605</v>
      </c>
      <c r="AJ74" s="383">
        <f t="shared" si="37"/>
        <v>89233.872570753636</v>
      </c>
      <c r="AK74" s="383">
        <f t="shared" si="37"/>
        <v>92840.112777144823</v>
      </c>
      <c r="AL74" s="383">
        <f t="shared" ref="AL74" si="38">AL70*$C59</f>
        <v>96592.093250673759</v>
      </c>
    </row>
    <row r="75" spans="1:38">
      <c r="B75" s="472" t="s">
        <v>513</v>
      </c>
      <c r="C75" s="386" t="s">
        <v>443</v>
      </c>
      <c r="D75" s="383">
        <f t="shared" ref="D75:S76" si="39">D71*$C60</f>
        <v>2228.0252424728046</v>
      </c>
      <c r="E75" s="383">
        <f t="shared" si="39"/>
        <v>2318.0672184487894</v>
      </c>
      <c r="F75" s="383">
        <f t="shared" si="39"/>
        <v>2411.7480928012865</v>
      </c>
      <c r="G75" s="383">
        <f t="shared" si="39"/>
        <v>2509.214925623668</v>
      </c>
      <c r="H75" s="383">
        <f t="shared" si="39"/>
        <v>1957.965540150846</v>
      </c>
      <c r="I75" s="383">
        <f t="shared" si="39"/>
        <v>2037.0934973962494</v>
      </c>
      <c r="J75" s="383">
        <f t="shared" si="39"/>
        <v>2119.4192809003066</v>
      </c>
      <c r="K75" s="383">
        <f t="shared" si="39"/>
        <v>2205.0721255521307</v>
      </c>
      <c r="L75" s="383">
        <f t="shared" si="39"/>
        <v>2294.186489056342</v>
      </c>
      <c r="M75" s="383">
        <f t="shared" si="39"/>
        <v>2386.9022630045647</v>
      </c>
      <c r="N75" s="383">
        <f t="shared" si="39"/>
        <v>2483.364992477032</v>
      </c>
      <c r="O75" s="383">
        <f t="shared" si="39"/>
        <v>2583.7261045190339</v>
      </c>
      <c r="P75" s="383">
        <f t="shared" si="39"/>
        <v>2688.1431458508578</v>
      </c>
      <c r="Q75" s="383">
        <f t="shared" si="39"/>
        <v>2796.7800301843927</v>
      </c>
      <c r="R75" s="383">
        <f t="shared" si="39"/>
        <v>2909.8072955346192</v>
      </c>
      <c r="S75" s="383">
        <f t="shared" si="39"/>
        <v>3027.4023719299335</v>
      </c>
      <c r="T75" s="383">
        <f t="shared" si="37"/>
        <v>3149.7498599415221</v>
      </c>
      <c r="U75" s="383">
        <f t="shared" si="37"/>
        <v>3277.0418204690636</v>
      </c>
      <c r="V75" s="383">
        <f t="shared" si="37"/>
        <v>3409.4780762376427</v>
      </c>
      <c r="W75" s="383">
        <f t="shared" si="37"/>
        <v>3547.2665254791391</v>
      </c>
      <c r="X75" s="383">
        <f t="shared" si="37"/>
        <v>3690.6234682905765</v>
      </c>
      <c r="Y75" s="383">
        <f t="shared" si="37"/>
        <v>3839.7739461816659</v>
      </c>
      <c r="Z75" s="383">
        <f t="shared" si="37"/>
        <v>3994.9520953446345</v>
      </c>
      <c r="AA75" s="383">
        <f t="shared" si="37"/>
        <v>4156.4015142008602</v>
      </c>
      <c r="AB75" s="383">
        <f t="shared" si="37"/>
        <v>4324.3756458012977</v>
      </c>
      <c r="AC75" s="383">
        <f t="shared" si="37"/>
        <v>4499.1381756809969</v>
      </c>
      <c r="AD75" s="383">
        <f t="shared" si="37"/>
        <v>4680.9634457922502</v>
      </c>
      <c r="AE75" s="383">
        <f t="shared" si="37"/>
        <v>4870.13688516617</v>
      </c>
      <c r="AF75" s="383">
        <f t="shared" si="37"/>
        <v>5066.9554579787482</v>
      </c>
      <c r="AG75" s="383">
        <f t="shared" si="37"/>
        <v>5271.7281297247591</v>
      </c>
      <c r="AH75" s="383">
        <f t="shared" si="37"/>
        <v>5484.7763522313307</v>
      </c>
      <c r="AI75" s="383">
        <f t="shared" si="37"/>
        <v>5706.4345682725252</v>
      </c>
      <c r="AJ75" s="383">
        <f t="shared" si="37"/>
        <v>5937.0507365770891</v>
      </c>
      <c r="AK75" s="383">
        <f t="shared" si="37"/>
        <v>6176.986878053548</v>
      </c>
      <c r="AL75" s="383">
        <f t="shared" ref="AL75" si="40">AL71*$C60</f>
        <v>6426.6196440900712</v>
      </c>
    </row>
    <row r="76" spans="1:38">
      <c r="B76" s="472" t="s">
        <v>752</v>
      </c>
      <c r="C76" s="386" t="s">
        <v>443</v>
      </c>
      <c r="D76" s="383">
        <f t="shared" si="39"/>
        <v>0</v>
      </c>
      <c r="E76" s="383">
        <f t="shared" si="37"/>
        <v>0</v>
      </c>
      <c r="F76" s="383">
        <f t="shared" si="37"/>
        <v>0</v>
      </c>
      <c r="G76" s="383">
        <f t="shared" si="37"/>
        <v>0</v>
      </c>
      <c r="H76" s="383">
        <f t="shared" si="37"/>
        <v>0</v>
      </c>
      <c r="I76" s="383">
        <f t="shared" si="37"/>
        <v>0</v>
      </c>
      <c r="J76" s="383">
        <f t="shared" si="37"/>
        <v>0</v>
      </c>
      <c r="K76" s="383">
        <f t="shared" si="37"/>
        <v>0</v>
      </c>
      <c r="L76" s="383">
        <f t="shared" si="37"/>
        <v>0</v>
      </c>
      <c r="M76" s="383">
        <f t="shared" si="37"/>
        <v>0</v>
      </c>
      <c r="N76" s="383">
        <f t="shared" si="37"/>
        <v>0</v>
      </c>
      <c r="O76" s="383">
        <f t="shared" si="37"/>
        <v>0</v>
      </c>
      <c r="P76" s="383">
        <f t="shared" si="37"/>
        <v>0</v>
      </c>
      <c r="Q76" s="383">
        <f t="shared" si="37"/>
        <v>0</v>
      </c>
      <c r="R76" s="383">
        <f t="shared" si="37"/>
        <v>0</v>
      </c>
      <c r="S76" s="383">
        <f t="shared" si="37"/>
        <v>0</v>
      </c>
      <c r="T76" s="383">
        <f t="shared" si="37"/>
        <v>0</v>
      </c>
      <c r="U76" s="383">
        <f t="shared" si="37"/>
        <v>0</v>
      </c>
      <c r="V76" s="383">
        <f t="shared" si="37"/>
        <v>0</v>
      </c>
      <c r="W76" s="383">
        <f t="shared" si="37"/>
        <v>0</v>
      </c>
      <c r="X76" s="383">
        <f t="shared" si="37"/>
        <v>0</v>
      </c>
      <c r="Y76" s="383">
        <f t="shared" si="37"/>
        <v>0</v>
      </c>
      <c r="Z76" s="383">
        <f t="shared" si="37"/>
        <v>0</v>
      </c>
      <c r="AA76" s="383">
        <f t="shared" si="37"/>
        <v>0</v>
      </c>
      <c r="AB76" s="383">
        <f t="shared" si="37"/>
        <v>0</v>
      </c>
      <c r="AC76" s="383">
        <f t="shared" si="37"/>
        <v>0</v>
      </c>
      <c r="AD76" s="383">
        <f t="shared" si="37"/>
        <v>0</v>
      </c>
      <c r="AE76" s="383">
        <f t="shared" si="37"/>
        <v>0</v>
      </c>
      <c r="AF76" s="383">
        <f t="shared" si="37"/>
        <v>0</v>
      </c>
      <c r="AG76" s="383">
        <f t="shared" si="37"/>
        <v>0</v>
      </c>
      <c r="AH76" s="383">
        <f t="shared" si="37"/>
        <v>0</v>
      </c>
      <c r="AI76" s="383">
        <f t="shared" si="37"/>
        <v>0</v>
      </c>
      <c r="AJ76" s="383">
        <f t="shared" si="37"/>
        <v>0</v>
      </c>
      <c r="AK76" s="383">
        <f t="shared" si="37"/>
        <v>0</v>
      </c>
      <c r="AL76" s="383">
        <f t="shared" ref="AL76" si="41">AL72*$C61</f>
        <v>0</v>
      </c>
    </row>
    <row r="77" spans="1:38">
      <c r="D77" s="358"/>
      <c r="F77" s="464"/>
      <c r="G77" s="465"/>
      <c r="H77" s="465"/>
    </row>
    <row r="78" spans="1:38" ht="13">
      <c r="B78" s="364" t="s">
        <v>514</v>
      </c>
      <c r="C78" s="487" t="s">
        <v>292</v>
      </c>
      <c r="D78" s="488">
        <f t="shared" ref="D78:AK78" si="42">D74*D49+D75*D50+D76*D51</f>
        <v>668044.40462731838</v>
      </c>
      <c r="E78" s="488">
        <f t="shared" si="42"/>
        <v>695042.32057802961</v>
      </c>
      <c r="F78" s="488">
        <f t="shared" si="42"/>
        <v>723131.31290125928</v>
      </c>
      <c r="G78" s="488">
        <f t="shared" si="42"/>
        <v>752355.4756542237</v>
      </c>
      <c r="H78" s="488">
        <f t="shared" si="42"/>
        <v>587070.51366220904</v>
      </c>
      <c r="I78" s="488">
        <f t="shared" si="42"/>
        <v>610796.00297879905</v>
      </c>
      <c r="J78" s="488">
        <f t="shared" si="42"/>
        <v>635480.31892730505</v>
      </c>
      <c r="K78" s="488">
        <f t="shared" si="42"/>
        <v>661162.21090917417</v>
      </c>
      <c r="L78" s="488">
        <f t="shared" si="42"/>
        <v>687881.99431918631</v>
      </c>
      <c r="M78" s="488">
        <f t="shared" si="42"/>
        <v>715681.61383249948</v>
      </c>
      <c r="N78" s="488">
        <f t="shared" si="42"/>
        <v>744604.70924933557</v>
      </c>
      <c r="O78" s="488">
        <f t="shared" si="42"/>
        <v>774696.68400067347</v>
      </c>
      <c r="P78" s="488">
        <f t="shared" si="42"/>
        <v>806004.7764224835</v>
      </c>
      <c r="Q78" s="488">
        <f t="shared" si="42"/>
        <v>838578.13391039753</v>
      </c>
      <c r="R78" s="488">
        <f t="shared" si="42"/>
        <v>872467.89007121348</v>
      </c>
      <c r="S78" s="488">
        <f t="shared" si="42"/>
        <v>907727.24499235535</v>
      </c>
      <c r="T78" s="488">
        <f t="shared" si="42"/>
        <v>944411.54875528591</v>
      </c>
      <c r="U78" s="488">
        <f t="shared" si="42"/>
        <v>982578.3883239826</v>
      </c>
      <c r="V78" s="488">
        <f t="shared" si="42"/>
        <v>1022287.6779448659</v>
      </c>
      <c r="W78" s="488">
        <f t="shared" si="42"/>
        <v>1063601.7532000886</v>
      </c>
      <c r="X78" s="488">
        <f t="shared" si="42"/>
        <v>1106585.4688618414</v>
      </c>
      <c r="Y78" s="488">
        <f t="shared" si="42"/>
        <v>1151306.300701272</v>
      </c>
      <c r="Z78" s="488">
        <f t="shared" si="42"/>
        <v>1197834.4514118491</v>
      </c>
      <c r="AA78" s="488">
        <f t="shared" si="42"/>
        <v>1246242.9608134432</v>
      </c>
      <c r="AB78" s="488">
        <f t="shared" si="42"/>
        <v>1296607.8205101236</v>
      </c>
      <c r="AC78" s="488">
        <f t="shared" si="42"/>
        <v>1349008.0931816632</v>
      </c>
      <c r="AD78" s="488">
        <f t="shared" si="42"/>
        <v>1403526.0366960107</v>
      </c>
      <c r="AE78" s="488">
        <f t="shared" si="42"/>
        <v>1460247.2332375688</v>
      </c>
      <c r="AF78" s="488">
        <f t="shared" si="42"/>
        <v>1519260.723653974</v>
      </c>
      <c r="AG78" s="488">
        <f t="shared" si="42"/>
        <v>1580659.1472322824</v>
      </c>
      <c r="AH78" s="488">
        <f t="shared" si="42"/>
        <v>1644538.8871239852</v>
      </c>
      <c r="AI78" s="488">
        <f t="shared" si="42"/>
        <v>1711000.2216471289</v>
      </c>
      <c r="AJ78" s="488">
        <f t="shared" si="42"/>
        <v>1780147.4817030642</v>
      </c>
      <c r="AK78" s="488">
        <f t="shared" si="42"/>
        <v>1852089.2145549415</v>
      </c>
      <c r="AL78" s="488">
        <f t="shared" ref="AL78" si="43">AL74*AL49+AL75*AL50+AL76*AL51</f>
        <v>1926938.3542250344</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4">SUM(E62:E64)-SUM(E74:E76)</f>
        <v>0</v>
      </c>
      <c r="F82" s="383">
        <f t="shared" si="44"/>
        <v>0</v>
      </c>
      <c r="G82" s="383">
        <f t="shared" si="44"/>
        <v>0</v>
      </c>
      <c r="H82" s="383">
        <f t="shared" si="44"/>
        <v>10462.062536206009</v>
      </c>
      <c r="I82" s="383">
        <f t="shared" si="44"/>
        <v>10884.869587753972</v>
      </c>
      <c r="J82" s="383">
        <f t="shared" si="44"/>
        <v>11324.763690943968</v>
      </c>
      <c r="K82" s="383">
        <f t="shared" si="44"/>
        <v>11782.435390866878</v>
      </c>
      <c r="L82" s="383">
        <f t="shared" si="44"/>
        <v>12258.603139857718</v>
      </c>
      <c r="M82" s="383">
        <f t="shared" si="44"/>
        <v>12754.014425321067</v>
      </c>
      <c r="N82" s="383">
        <f t="shared" si="44"/>
        <v>13269.446943135619</v>
      </c>
      <c r="O82" s="383">
        <f t="shared" si="44"/>
        <v>13805.709818480012</v>
      </c>
      <c r="P82" s="383">
        <f t="shared" si="44"/>
        <v>14363.644875996397</v>
      </c>
      <c r="Q82" s="383">
        <f t="shared" si="44"/>
        <v>14944.127961285267</v>
      </c>
      <c r="R82" s="383">
        <f t="shared" si="44"/>
        <v>15548.070315806646</v>
      </c>
      <c r="S82" s="383">
        <f t="shared" si="44"/>
        <v>16176.420007345601</v>
      </c>
      <c r="T82" s="383">
        <f t="shared" si="44"/>
        <v>16830.16341828752</v>
      </c>
      <c r="U82" s="383">
        <f t="shared" si="44"/>
        <v>17510.326794039698</v>
      </c>
      <c r="V82" s="383">
        <f t="shared" si="44"/>
        <v>18217.977854029814</v>
      </c>
      <c r="W82" s="383">
        <f t="shared" si="44"/>
        <v>18954.227467810226</v>
      </c>
      <c r="X82" s="383">
        <f t="shared" si="44"/>
        <v>19720.231398899312</v>
      </c>
      <c r="Y82" s="383">
        <f t="shared" si="44"/>
        <v>20517.192119097352</v>
      </c>
      <c r="Z82" s="383">
        <f t="shared" si="44"/>
        <v>21346.360696124815</v>
      </c>
      <c r="AA82" s="383">
        <f t="shared" si="44"/>
        <v>22209.038757546601</v>
      </c>
      <c r="AB82" s="383">
        <f t="shared" si="44"/>
        <v>23106.580534064939</v>
      </c>
      <c r="AC82" s="383">
        <f t="shared" si="44"/>
        <v>24040.394985388761</v>
      </c>
      <c r="AD82" s="383">
        <f t="shared" si="44"/>
        <v>25011.948012016597</v>
      </c>
      <c r="AE82" s="383">
        <f t="shared" si="44"/>
        <v>26022.764756404576</v>
      </c>
      <c r="AF82" s="383">
        <f t="shared" ref="AF82:AJ82" si="45">SUM(AF62:AF64)-SUM(AF74:AF76)</f>
        <v>27074.431997133084</v>
      </c>
      <c r="AG82" s="383">
        <f t="shared" si="45"/>
        <v>28168.600639829339</v>
      </c>
      <c r="AH82" s="383">
        <f t="shared" si="45"/>
        <v>29306.988308756103</v>
      </c>
      <c r="AI82" s="383">
        <f t="shared" si="45"/>
        <v>30491.382043136196</v>
      </c>
      <c r="AJ82" s="383">
        <f t="shared" si="45"/>
        <v>31723.641102443609</v>
      </c>
      <c r="AK82" s="383">
        <f t="shared" ref="AK82:AL82" si="46">SUM(AK62:AK64)-SUM(AK74:AK76)</f>
        <v>33005.699885066162</v>
      </c>
      <c r="AL82" s="383">
        <f t="shared" si="46"/>
        <v>34339.570964921237</v>
      </c>
    </row>
    <row r="83" spans="1:38" ht="13">
      <c r="B83" s="364" t="s">
        <v>813</v>
      </c>
      <c r="C83" s="590" t="s">
        <v>443</v>
      </c>
      <c r="D83" s="383">
        <f>SUM(D55:D57)-SUM(D70:D72)</f>
        <v>0</v>
      </c>
      <c r="E83" s="383">
        <f t="shared" ref="E83:AE83" si="47">SUM(E55:E57)-SUM(E70:E72)</f>
        <v>0</v>
      </c>
      <c r="F83" s="383">
        <f t="shared" si="47"/>
        <v>0</v>
      </c>
      <c r="G83" s="383">
        <f t="shared" si="47"/>
        <v>0</v>
      </c>
      <c r="H83" s="383">
        <f t="shared" si="47"/>
        <v>6526.5518005028134</v>
      </c>
      <c r="I83" s="383">
        <f t="shared" si="47"/>
        <v>6790.3116579875095</v>
      </c>
      <c r="J83" s="383">
        <f t="shared" si="47"/>
        <v>7064.730936334352</v>
      </c>
      <c r="K83" s="383">
        <f t="shared" si="47"/>
        <v>7350.2404185070955</v>
      </c>
      <c r="L83" s="383">
        <f t="shared" si="47"/>
        <v>7647.2882968544764</v>
      </c>
      <c r="M83" s="383">
        <f t="shared" si="47"/>
        <v>7956.3408766818866</v>
      </c>
      <c r="N83" s="383">
        <f t="shared" si="47"/>
        <v>8277.8833082567799</v>
      </c>
      <c r="O83" s="383">
        <f t="shared" si="47"/>
        <v>8612.4203483967613</v>
      </c>
      <c r="P83" s="383">
        <f t="shared" si="47"/>
        <v>8960.4771528361816</v>
      </c>
      <c r="Q83" s="383">
        <f t="shared" si="47"/>
        <v>9322.6001006146362</v>
      </c>
      <c r="R83" s="383">
        <f t="shared" si="47"/>
        <v>9699.3576517820657</v>
      </c>
      <c r="S83" s="383">
        <f t="shared" si="47"/>
        <v>10091.34123976644</v>
      </c>
      <c r="T83" s="383">
        <f t="shared" si="47"/>
        <v>10499.166199805066</v>
      </c>
      <c r="U83" s="383">
        <f t="shared" si="47"/>
        <v>10923.472734896881</v>
      </c>
      <c r="V83" s="383">
        <f t="shared" si="47"/>
        <v>11364.926920792146</v>
      </c>
      <c r="W83" s="383">
        <f t="shared" si="47"/>
        <v>11824.22175159715</v>
      </c>
      <c r="X83" s="383">
        <f t="shared" si="47"/>
        <v>12302.078227635255</v>
      </c>
      <c r="Y83" s="383">
        <f t="shared" si="47"/>
        <v>12799.246487272212</v>
      </c>
      <c r="Z83" s="383">
        <f t="shared" si="47"/>
        <v>13316.506984482105</v>
      </c>
      <c r="AA83" s="383">
        <f t="shared" si="47"/>
        <v>13854.67171400287</v>
      </c>
      <c r="AB83" s="383">
        <f t="shared" si="47"/>
        <v>14414.585486004326</v>
      </c>
      <c r="AC83" s="383">
        <f t="shared" si="47"/>
        <v>14997.127252269966</v>
      </c>
      <c r="AD83" s="383">
        <f t="shared" si="47"/>
        <v>15603.211485974171</v>
      </c>
      <c r="AE83" s="383">
        <f t="shared" si="47"/>
        <v>16233.789617220573</v>
      </c>
      <c r="AF83" s="383">
        <f t="shared" ref="AF83:AJ83" si="48">SUM(AF55:AF57)-SUM(AF70:AF72)</f>
        <v>16889.851526595819</v>
      </c>
      <c r="AG83" s="383">
        <f t="shared" si="48"/>
        <v>17572.427099082553</v>
      </c>
      <c r="AH83" s="383">
        <f t="shared" si="48"/>
        <v>18282.587840771121</v>
      </c>
      <c r="AI83" s="383">
        <f t="shared" si="48"/>
        <v>19021.448560908422</v>
      </c>
      <c r="AJ83" s="383">
        <f t="shared" si="48"/>
        <v>19790.169121923653</v>
      </c>
      <c r="AK83" s="383">
        <f t="shared" ref="AK83:AL83" si="49">SUM(AK55:AK57)-SUM(AK70:AK72)</f>
        <v>20589.956260178522</v>
      </c>
      <c r="AL83" s="383">
        <f t="shared" si="49"/>
        <v>21422.065480300211</v>
      </c>
    </row>
    <row r="84" spans="1:38">
      <c r="D84" s="358"/>
      <c r="F84" s="464"/>
      <c r="G84" s="465"/>
      <c r="H84" s="465"/>
    </row>
    <row r="85" spans="1:38" ht="13">
      <c r="B85" s="492" t="s">
        <v>284</v>
      </c>
      <c r="C85" s="487" t="s">
        <v>292</v>
      </c>
      <c r="D85" s="488">
        <f>D66-D78</f>
        <v>0</v>
      </c>
      <c r="E85" s="488">
        <f t="shared" ref="E85:AK85" si="50">E66-E78</f>
        <v>0</v>
      </c>
      <c r="F85" s="488">
        <f t="shared" si="50"/>
        <v>0</v>
      </c>
      <c r="G85" s="488">
        <f t="shared" si="50"/>
        <v>0</v>
      </c>
      <c r="H85" s="488">
        <f t="shared" si="50"/>
        <v>195690.17122073611</v>
      </c>
      <c r="I85" s="488">
        <f t="shared" si="50"/>
        <v>203598.66765960003</v>
      </c>
      <c r="J85" s="488">
        <f t="shared" si="50"/>
        <v>211826.77297576831</v>
      </c>
      <c r="K85" s="488">
        <f t="shared" si="50"/>
        <v>220387.40363639127</v>
      </c>
      <c r="L85" s="488">
        <f t="shared" si="50"/>
        <v>229293.99810639536</v>
      </c>
      <c r="M85" s="488">
        <f t="shared" si="50"/>
        <v>238560.5379441668</v>
      </c>
      <c r="N85" s="488">
        <f t="shared" si="50"/>
        <v>248201.56974977884</v>
      </c>
      <c r="O85" s="488">
        <f t="shared" si="50"/>
        <v>258232.22800022399</v>
      </c>
      <c r="P85" s="488">
        <f t="shared" si="50"/>
        <v>268668.25880749419</v>
      </c>
      <c r="Q85" s="488">
        <f t="shared" si="50"/>
        <v>279526.04463679902</v>
      </c>
      <c r="R85" s="488">
        <f t="shared" si="50"/>
        <v>290822.6300237379</v>
      </c>
      <c r="S85" s="488">
        <f t="shared" si="50"/>
        <v>302575.74833078496</v>
      </c>
      <c r="T85" s="488">
        <f t="shared" si="50"/>
        <v>314803.8495850953</v>
      </c>
      <c r="U85" s="488">
        <f t="shared" si="50"/>
        <v>327526.12944132753</v>
      </c>
      <c r="V85" s="488">
        <f t="shared" si="50"/>
        <v>340762.55931495538</v>
      </c>
      <c r="W85" s="488">
        <f t="shared" si="50"/>
        <v>354533.91773336334</v>
      </c>
      <c r="X85" s="488">
        <f t="shared" si="50"/>
        <v>368861.82295394712</v>
      </c>
      <c r="Y85" s="488">
        <f t="shared" si="50"/>
        <v>383768.76690042368</v>
      </c>
      <c r="Z85" s="488">
        <f t="shared" si="50"/>
        <v>399278.15047061606</v>
      </c>
      <c r="AA85" s="488">
        <f t="shared" si="50"/>
        <v>415414.32027114788</v>
      </c>
      <c r="AB85" s="488">
        <f t="shared" si="50"/>
        <v>432202.6068367078</v>
      </c>
      <c r="AC85" s="488">
        <f t="shared" si="50"/>
        <v>449669.36439388664</v>
      </c>
      <c r="AD85" s="488">
        <f t="shared" si="50"/>
        <v>467842.01223200373</v>
      </c>
      <c r="AE85" s="488">
        <f t="shared" si="50"/>
        <v>486749.07774585625</v>
      </c>
      <c r="AF85" s="488">
        <f t="shared" si="50"/>
        <v>506420.24121799087</v>
      </c>
      <c r="AG85" s="488">
        <f t="shared" si="50"/>
        <v>526886.38241076143</v>
      </c>
      <c r="AH85" s="488">
        <f t="shared" si="50"/>
        <v>548179.62904132856</v>
      </c>
      <c r="AI85" s="488">
        <f t="shared" si="50"/>
        <v>570333.4072157098</v>
      </c>
      <c r="AJ85" s="488">
        <f t="shared" si="50"/>
        <v>593382.49390102248</v>
      </c>
      <c r="AK85" s="488">
        <f t="shared" si="50"/>
        <v>617363.0715183143</v>
      </c>
      <c r="AL85" s="488">
        <f t="shared" ref="AL85" si="51">AL66-AL78</f>
        <v>642312.78474167734</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'West Center'!D25</f>
        <v>20052.227182255243</v>
      </c>
      <c r="E112" s="383">
        <f>'West Center'!E25</f>
        <v>20862.604966039104</v>
      </c>
      <c r="F112" s="383">
        <f>'West Center'!F25</f>
        <v>21705.73283521158</v>
      </c>
      <c r="G112" s="383">
        <f>'West Center'!G25</f>
        <v>22582.934330613014</v>
      </c>
      <c r="H112" s="383">
        <f>'West Center'!H25</f>
        <v>23495.586481810144</v>
      </c>
      <c r="I112" s="383">
        <f>'West Center'!I25</f>
        <v>24445.121968755</v>
      </c>
      <c r="J112" s="383">
        <f>'West Center'!J25</f>
        <v>25433.031370803674</v>
      </c>
      <c r="K112" s="383">
        <f>'West Center'!K25</f>
        <v>26460.865506625563</v>
      </c>
      <c r="L112" s="383">
        <f>'West Center'!L25</f>
        <v>27530.237868676104</v>
      </c>
      <c r="M112" s="383">
        <f>'West Center'!M25</f>
        <v>28642.82715605478</v>
      </c>
      <c r="N112" s="383">
        <f>'West Center'!N25</f>
        <v>29800.37990972439</v>
      </c>
      <c r="O112" s="383">
        <f>'West Center'!O25</f>
        <v>31004.713254228394</v>
      </c>
      <c r="P112" s="383">
        <f>'West Center'!P25</f>
        <v>32257.717750210282</v>
      </c>
      <c r="Q112" s="383">
        <f>'West Center'!Q25</f>
        <v>33561.360362212705</v>
      </c>
      <c r="R112" s="383">
        <f>'West Center'!R25</f>
        <v>34917.687546415429</v>
      </c>
      <c r="S112" s="383">
        <f>'West Center'!S25</f>
        <v>36328.828463159196</v>
      </c>
      <c r="T112" s="383">
        <f>'West Center'!T25</f>
        <v>37796.998319298255</v>
      </c>
      <c r="U112" s="383">
        <f>'West Center'!U25</f>
        <v>39324.501845628765</v>
      </c>
      <c r="V112" s="383">
        <f>'West Center'!V25</f>
        <v>40913.73691485171</v>
      </c>
      <c r="W112" s="383">
        <f>'West Center'!W25</f>
        <v>42567.198305749684</v>
      </c>
      <c r="X112" s="383">
        <f>'West Center'!X25</f>
        <v>44287.48161948692</v>
      </c>
      <c r="Y112" s="383">
        <f>'West Center'!Y25</f>
        <v>46077.287354179985</v>
      </c>
      <c r="Z112" s="383">
        <f>'West Center'!Z25</f>
        <v>47939.425144135603</v>
      </c>
      <c r="AA112" s="383">
        <f>'West Center'!AA25</f>
        <v>49876.818170410326</v>
      </c>
      <c r="AB112" s="383">
        <f>'West Center'!AB25</f>
        <v>51892.507749615579</v>
      </c>
      <c r="AC112" s="383">
        <f>'West Center'!AC25</f>
        <v>53989.658108171949</v>
      </c>
      <c r="AD112" s="383">
        <f>'West Center'!AD25</f>
        <v>56171.561349506999</v>
      </c>
      <c r="AE112" s="383">
        <f>'West Center'!AE25</f>
        <v>58441.64262199404</v>
      </c>
      <c r="AF112" s="383">
        <f>'West Center'!AF25</f>
        <v>60803.465495744975</v>
      </c>
      <c r="AG112" s="383">
        <f>'West Center'!AG25</f>
        <v>63260.737556697131</v>
      </c>
      <c r="AH112" s="383">
        <f>'West Center'!AH25</f>
        <v>65817.316226775976</v>
      </c>
      <c r="AI112" s="383">
        <f>'West Center'!AI25</f>
        <v>68477.214819270303</v>
      </c>
      <c r="AJ112" s="383">
        <f>'West Center'!AJ25</f>
        <v>71244.60883892508</v>
      </c>
      <c r="AK112" s="383">
        <f>'West Center'!AK25</f>
        <v>74123.842536642594</v>
      </c>
      <c r="AL112" s="383">
        <f>'West Center'!AL25</f>
        <v>77119.435729080826</v>
      </c>
    </row>
    <row r="113" spans="1:38">
      <c r="B113" s="385" t="s">
        <v>509</v>
      </c>
      <c r="C113" s="386" t="s">
        <v>443</v>
      </c>
      <c r="D113" s="383">
        <f>'West Center'!D26</f>
        <v>2228.0252424728046</v>
      </c>
      <c r="E113" s="383">
        <f>'West Center'!E26</f>
        <v>2318.0672184487894</v>
      </c>
      <c r="F113" s="383">
        <f>'West Center'!F26</f>
        <v>2411.7480928012865</v>
      </c>
      <c r="G113" s="383">
        <f>'West Center'!G26</f>
        <v>2509.214925623668</v>
      </c>
      <c r="H113" s="383">
        <f>'West Center'!H26</f>
        <v>2610.6207202011269</v>
      </c>
      <c r="I113" s="383">
        <f>'West Center'!I26</f>
        <v>2716.1246631949998</v>
      </c>
      <c r="J113" s="383">
        <f>'West Center'!J26</f>
        <v>2825.8923745337415</v>
      </c>
      <c r="K113" s="383">
        <f>'West Center'!K26</f>
        <v>2940.0961674028404</v>
      </c>
      <c r="L113" s="383">
        <f>'West Center'!L26</f>
        <v>3058.9153187417896</v>
      </c>
      <c r="M113" s="383">
        <f>'West Center'!M26</f>
        <v>3182.5363506727535</v>
      </c>
      <c r="N113" s="383">
        <f>'West Center'!N26</f>
        <v>3311.1533233027099</v>
      </c>
      <c r="O113" s="383">
        <f>'West Center'!O26</f>
        <v>3444.9681393587107</v>
      </c>
      <c r="P113" s="383">
        <f>'West Center'!P26</f>
        <v>3584.1908611344757</v>
      </c>
      <c r="Q113" s="383">
        <f>'West Center'!Q26</f>
        <v>3729.0400402458563</v>
      </c>
      <c r="R113" s="383">
        <f>'West Center'!R26</f>
        <v>3879.7430607128258</v>
      </c>
      <c r="S113" s="383">
        <f>'West Center'!S26</f>
        <v>4036.5364959065773</v>
      </c>
      <c r="T113" s="383">
        <f>'West Center'!T26</f>
        <v>4199.666479922028</v>
      </c>
      <c r="U113" s="383">
        <f>'West Center'!U26</f>
        <v>4369.3890939587518</v>
      </c>
      <c r="V113" s="383">
        <f>'West Center'!V26</f>
        <v>4545.9707683168563</v>
      </c>
      <c r="W113" s="383">
        <f>'West Center'!W26</f>
        <v>4729.6887006388533</v>
      </c>
      <c r="X113" s="383">
        <f>'West Center'!X26</f>
        <v>4920.8312910541026</v>
      </c>
      <c r="Y113" s="383">
        <f>'West Center'!Y26</f>
        <v>5119.6985949088876</v>
      </c>
      <c r="Z113" s="383">
        <f>'West Center'!Z26</f>
        <v>5326.6027937928447</v>
      </c>
      <c r="AA113" s="383">
        <f>'West Center'!AA26</f>
        <v>5541.8686856011482</v>
      </c>
      <c r="AB113" s="383">
        <f>'West Center'!AB26</f>
        <v>5765.8341944017311</v>
      </c>
      <c r="AC113" s="383">
        <f>'West Center'!AC26</f>
        <v>5998.8509009079944</v>
      </c>
      <c r="AD113" s="383">
        <f>'West Center'!AD26</f>
        <v>6241.2845943896673</v>
      </c>
      <c r="AE113" s="383">
        <f>'West Center'!AE26</f>
        <v>6493.5158468882264</v>
      </c>
      <c r="AF113" s="383">
        <f>'West Center'!AF26</f>
        <v>6755.9406106383312</v>
      </c>
      <c r="AG113" s="383">
        <f>'West Center'!AG26</f>
        <v>7028.9708396330143</v>
      </c>
      <c r="AH113" s="383">
        <f>'West Center'!AH26</f>
        <v>7313.035136308441</v>
      </c>
      <c r="AI113" s="383">
        <f>'West Center'!AI26</f>
        <v>7608.5794243633663</v>
      </c>
      <c r="AJ113" s="383">
        <f>'West Center'!AJ26</f>
        <v>7916.0676487694527</v>
      </c>
      <c r="AK113" s="383">
        <f>'West Center'!AK26</f>
        <v>8235.9825040713986</v>
      </c>
      <c r="AL113" s="383">
        <f>'West Center'!AL26</f>
        <v>8568.8261921200919</v>
      </c>
    </row>
    <row r="114" spans="1:38">
      <c r="B114" s="358" t="s">
        <v>769</v>
      </c>
      <c r="C114" s="358" t="s">
        <v>443</v>
      </c>
      <c r="D114" s="383">
        <f>'West Center'!D27</f>
        <v>0</v>
      </c>
      <c r="E114" s="383">
        <f>'West Center'!E27</f>
        <v>0</v>
      </c>
      <c r="F114" s="383">
        <f>'West Center'!F27</f>
        <v>0</v>
      </c>
      <c r="G114" s="383">
        <f>'West Center'!G27</f>
        <v>0</v>
      </c>
      <c r="H114" s="383">
        <f>'West Center'!H27</f>
        <v>0</v>
      </c>
      <c r="I114" s="383">
        <f>'West Center'!I27</f>
        <v>0</v>
      </c>
      <c r="J114" s="383">
        <f>'West Center'!J27</f>
        <v>0</v>
      </c>
      <c r="K114" s="383">
        <f>'West Center'!K27</f>
        <v>0</v>
      </c>
      <c r="L114" s="383">
        <f>'West Center'!L27</f>
        <v>0</v>
      </c>
      <c r="M114" s="383">
        <f>'West Center'!M27</f>
        <v>0</v>
      </c>
      <c r="N114" s="383">
        <f>'West Center'!N27</f>
        <v>0</v>
      </c>
      <c r="O114" s="383">
        <f>'West Center'!O27</f>
        <v>0</v>
      </c>
      <c r="P114" s="383">
        <f>'West Center'!P27</f>
        <v>0</v>
      </c>
      <c r="Q114" s="383">
        <f>'West Center'!Q27</f>
        <v>0</v>
      </c>
      <c r="R114" s="383">
        <f>'West Center'!R27</f>
        <v>0</v>
      </c>
      <c r="S114" s="383">
        <f>'West Center'!S27</f>
        <v>0</v>
      </c>
      <c r="T114" s="383">
        <f>'West Center'!T27</f>
        <v>0</v>
      </c>
      <c r="U114" s="383">
        <f>'West Center'!U27</f>
        <v>0</v>
      </c>
      <c r="V114" s="383">
        <f>'West Center'!V27</f>
        <v>0</v>
      </c>
      <c r="W114" s="383">
        <f>'West Center'!W27</f>
        <v>0</v>
      </c>
      <c r="X114" s="383">
        <f>'West Center'!X27</f>
        <v>0</v>
      </c>
      <c r="Y114" s="383">
        <f>'West Center'!Y27</f>
        <v>0</v>
      </c>
      <c r="Z114" s="383">
        <f>'West Center'!Z27</f>
        <v>0</v>
      </c>
      <c r="AA114" s="383">
        <f>'West Center'!AA27</f>
        <v>0</v>
      </c>
      <c r="AB114" s="383">
        <f>'West Center'!AB27</f>
        <v>0</v>
      </c>
      <c r="AC114" s="383">
        <f>'West Center'!AC27</f>
        <v>0</v>
      </c>
      <c r="AD114" s="383">
        <f>'West Center'!AD27</f>
        <v>0</v>
      </c>
      <c r="AE114" s="383">
        <f>'West Center'!AE27</f>
        <v>0</v>
      </c>
      <c r="AF114" s="383">
        <f>'West Center'!AF27</f>
        <v>0</v>
      </c>
      <c r="AG114" s="383">
        <f>'West Center'!AG27</f>
        <v>0</v>
      </c>
      <c r="AH114" s="383">
        <f>'West Center'!AH27</f>
        <v>0</v>
      </c>
      <c r="AI114" s="383">
        <f>'West Center'!AI27</f>
        <v>0</v>
      </c>
      <c r="AJ114" s="383">
        <f>'West Center'!AJ27</f>
        <v>0</v>
      </c>
      <c r="AK114" s="383">
        <f>'West Center'!AK27</f>
        <v>0</v>
      </c>
      <c r="AL114" s="383">
        <f>'West Center'!AL27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2">(D$112*D90+D$113*D95+D$114*D100)/Grams.Per.Metric.Ton*D105</f>
        <v>3516.3383636460785</v>
      </c>
      <c r="E116" s="582">
        <f t="shared" si="52"/>
        <v>3688.5663899088663</v>
      </c>
      <c r="F116" s="582">
        <f t="shared" si="52"/>
        <v>3867.3924075544528</v>
      </c>
      <c r="G116" s="582">
        <f t="shared" si="52"/>
        <v>4053.0045835431388</v>
      </c>
      <c r="H116" s="582">
        <f t="shared" si="52"/>
        <v>4245.5929377693665</v>
      </c>
      <c r="I116" s="582">
        <f t="shared" si="52"/>
        <v>4445.3490812447853</v>
      </c>
      <c r="J116" s="582">
        <f t="shared" si="52"/>
        <v>4652.4659258798592</v>
      </c>
      <c r="K116" s="582">
        <f t="shared" si="52"/>
        <v>4867.1373638253581</v>
      </c>
      <c r="L116" s="582">
        <f t="shared" si="52"/>
        <v>5089.5579142104816</v>
      </c>
      <c r="M116" s="582">
        <f t="shared" si="52"/>
        <v>5319.9223349816648</v>
      </c>
      <c r="N116" s="582">
        <f t="shared" si="52"/>
        <v>5548.7165280463469</v>
      </c>
      <c r="O116" s="582">
        <f t="shared" si="52"/>
        <v>5784.73252247442</v>
      </c>
      <c r="P116" s="582">
        <f t="shared" si="52"/>
        <v>6028.0760027134729</v>
      </c>
      <c r="Q116" s="582">
        <f t="shared" si="52"/>
        <v>6375.4428013001616</v>
      </c>
      <c r="R116" s="582">
        <f t="shared" si="52"/>
        <v>6636.1772831612143</v>
      </c>
      <c r="S116" s="582">
        <f t="shared" si="52"/>
        <v>6904.5478675407649</v>
      </c>
      <c r="T116" s="582">
        <f t="shared" si="52"/>
        <v>7180.6236396721688</v>
      </c>
      <c r="U116" s="582">
        <f t="shared" si="52"/>
        <v>7464.461855635197</v>
      </c>
      <c r="V116" s="582">
        <f t="shared" si="52"/>
        <v>7756.1066737087285</v>
      </c>
      <c r="W116" s="582">
        <f t="shared" si="52"/>
        <v>8055.5877944324448</v>
      </c>
      <c r="X116" s="582">
        <f t="shared" si="52"/>
        <v>8408.5698689458168</v>
      </c>
      <c r="Y116" s="582">
        <f t="shared" si="52"/>
        <v>8892.9622367146603</v>
      </c>
      <c r="Z116" s="582">
        <f t="shared" si="52"/>
        <v>9275.4504173266669</v>
      </c>
      <c r="AA116" s="582">
        <f t="shared" si="52"/>
        <v>9671.5841739445641</v>
      </c>
      <c r="AB116" s="582">
        <f t="shared" si="52"/>
        <v>10081.730790054904</v>
      </c>
      <c r="AC116" s="582">
        <f t="shared" si="52"/>
        <v>10506.260465155707</v>
      </c>
      <c r="AD116" s="582">
        <f t="shared" si="52"/>
        <v>10945.545769380158</v>
      </c>
      <c r="AE116" s="582">
        <f t="shared" si="52"/>
        <v>11399.96104195394</v>
      </c>
      <c r="AF116" s="582">
        <f t="shared" si="52"/>
        <v>12014.636384779005</v>
      </c>
      <c r="AG116" s="582">
        <f t="shared" si="52"/>
        <v>12504.547318849629</v>
      </c>
      <c r="AH116" s="582">
        <f t="shared" si="52"/>
        <v>13009.89803382842</v>
      </c>
      <c r="AI116" s="582">
        <f t="shared" si="52"/>
        <v>13535.671666855967</v>
      </c>
      <c r="AJ116" s="582">
        <f t="shared" si="52"/>
        <v>14082.693576577776</v>
      </c>
      <c r="AK116" s="582">
        <f t="shared" si="52"/>
        <v>14651.822477151645</v>
      </c>
      <c r="AL116" s="582">
        <f t="shared" si="52"/>
        <v>15243.951786255822</v>
      </c>
    </row>
    <row r="117" spans="1:38">
      <c r="B117" s="478" t="s">
        <v>709</v>
      </c>
      <c r="C117" s="484" t="s">
        <v>292</v>
      </c>
      <c r="D117" s="582">
        <f t="shared" ref="D117:AL117" si="53">(D$112*D91+D$113*D96+D$114*D101)/Grams.Per.Metric.Ton*D106</f>
        <v>3232.7947805928006</v>
      </c>
      <c r="E117" s="582">
        <f t="shared" si="53"/>
        <v>3163.7468097985952</v>
      </c>
      <c r="F117" s="582">
        <f t="shared" si="53"/>
        <v>3096.4633700566906</v>
      </c>
      <c r="G117" s="582">
        <f t="shared" si="53"/>
        <v>2990.7951857978869</v>
      </c>
      <c r="H117" s="582">
        <f t="shared" si="53"/>
        <v>2864.7576009649956</v>
      </c>
      <c r="I117" s="582">
        <f t="shared" si="53"/>
        <v>2716.6031534502736</v>
      </c>
      <c r="J117" s="582">
        <f t="shared" si="53"/>
        <v>2559.2587516343397</v>
      </c>
      <c r="K117" s="582">
        <f t="shared" si="53"/>
        <v>2359.8362229230006</v>
      </c>
      <c r="L117" s="582">
        <f t="shared" si="53"/>
        <v>2132.1810535228055</v>
      </c>
      <c r="M117" s="582">
        <f t="shared" si="53"/>
        <v>1884.4857184956634</v>
      </c>
      <c r="N117" s="582">
        <f t="shared" si="53"/>
        <v>1827.1340542471594</v>
      </c>
      <c r="O117" s="582">
        <f t="shared" si="53"/>
        <v>1762.0690274914864</v>
      </c>
      <c r="P117" s="582">
        <f t="shared" si="53"/>
        <v>1688.7608614995197</v>
      </c>
      <c r="Q117" s="582">
        <f t="shared" si="53"/>
        <v>1606.6495571984626</v>
      </c>
      <c r="R117" s="582">
        <f t="shared" si="53"/>
        <v>1515.1433156512765</v>
      </c>
      <c r="S117" s="582">
        <f t="shared" si="53"/>
        <v>1413.6168823909636</v>
      </c>
      <c r="T117" s="582">
        <f t="shared" si="53"/>
        <v>1301.4098098690467</v>
      </c>
      <c r="U117" s="582">
        <f t="shared" si="53"/>
        <v>1177.8246341049398</v>
      </c>
      <c r="V117" s="582">
        <f t="shared" si="53"/>
        <v>1042.1249614382828</v>
      </c>
      <c r="W117" s="582">
        <f t="shared" si="53"/>
        <v>893.53346109680945</v>
      </c>
      <c r="X117" s="582">
        <f t="shared" si="53"/>
        <v>923.98015780286255</v>
      </c>
      <c r="Y117" s="582">
        <f t="shared" si="53"/>
        <v>955.42840689853699</v>
      </c>
      <c r="Z117" s="582">
        <f t="shared" si="53"/>
        <v>987.90943382773639</v>
      </c>
      <c r="AA117" s="582">
        <f t="shared" si="53"/>
        <v>1021.4553521095598</v>
      </c>
      <c r="AB117" s="582">
        <f t="shared" si="53"/>
        <v>1056.0991841198809</v>
      </c>
      <c r="AC117" s="582">
        <f t="shared" si="53"/>
        <v>1091.8748821021993</v>
      </c>
      <c r="AD117" s="582">
        <f t="shared" si="53"/>
        <v>1128.8173493923423</v>
      </c>
      <c r="AE117" s="582">
        <f t="shared" si="53"/>
        <v>1166.9624618399739</v>
      </c>
      <c r="AF117" s="582">
        <f t="shared" si="53"/>
        <v>1206.3470894082141</v>
      </c>
      <c r="AG117" s="582">
        <f t="shared" si="53"/>
        <v>1247.0091179306971</v>
      </c>
      <c r="AH117" s="582">
        <f t="shared" si="53"/>
        <v>1297.4049406072527</v>
      </c>
      <c r="AI117" s="582">
        <f t="shared" si="53"/>
        <v>1349.8374275765786</v>
      </c>
      <c r="AJ117" s="582">
        <f t="shared" si="53"/>
        <v>1404.3888872765776</v>
      </c>
      <c r="AK117" s="582">
        <f t="shared" si="53"/>
        <v>1461.1449545053094</v>
      </c>
      <c r="AL117" s="582">
        <f t="shared" si="53"/>
        <v>1520.194724850362</v>
      </c>
    </row>
    <row r="118" spans="1:38">
      <c r="B118" s="478" t="s">
        <v>710</v>
      </c>
      <c r="C118" s="484" t="s">
        <v>292</v>
      </c>
      <c r="D118" s="582">
        <f t="shared" ref="D118:AL118" si="54">(D$112*D92+D$113*D97+D$114*D102)/Grams.Per.Metric.Ton*D107</f>
        <v>5262.8158377313612</v>
      </c>
      <c r="E118" s="582">
        <f t="shared" si="54"/>
        <v>5215.8974346763735</v>
      </c>
      <c r="F118" s="582">
        <f t="shared" si="54"/>
        <v>5145.620567543966</v>
      </c>
      <c r="G118" s="582">
        <f t="shared" si="54"/>
        <v>5048.6251675003814</v>
      </c>
      <c r="H118" s="582">
        <f t="shared" si="54"/>
        <v>4922.0412078800318</v>
      </c>
      <c r="I118" s="582">
        <f t="shared" si="54"/>
        <v>4743.9644597903789</v>
      </c>
      <c r="J118" s="582">
        <f t="shared" si="54"/>
        <v>4532.0056396226491</v>
      </c>
      <c r="K118" s="582">
        <f t="shared" si="54"/>
        <v>4282.3786372397462</v>
      </c>
      <c r="L118" s="582">
        <f t="shared" si="54"/>
        <v>3992.1557471208826</v>
      </c>
      <c r="M118" s="582">
        <f t="shared" si="54"/>
        <v>3657.1192435986763</v>
      </c>
      <c r="N118" s="582">
        <f t="shared" si="54"/>
        <v>3522.8986943716222</v>
      </c>
      <c r="O118" s="582">
        <f t="shared" si="54"/>
        <v>3371.8565887717864</v>
      </c>
      <c r="P118" s="582">
        <f t="shared" si="54"/>
        <v>3202.8525100019783</v>
      </c>
      <c r="Q118" s="582">
        <f t="shared" si="54"/>
        <v>3014.6813387534603</v>
      </c>
      <c r="R118" s="582">
        <f t="shared" si="54"/>
        <v>2806.0698860876846</v>
      </c>
      <c r="S118" s="582">
        <f t="shared" si="54"/>
        <v>2575.6733598409096</v>
      </c>
      <c r="T118" s="582">
        <f t="shared" si="54"/>
        <v>2322.071656592535</v>
      </c>
      <c r="U118" s="582">
        <f t="shared" si="54"/>
        <v>2043.7654708719697</v>
      </c>
      <c r="V118" s="582">
        <f t="shared" si="54"/>
        <v>1739.1722128858896</v>
      </c>
      <c r="W118" s="582">
        <f t="shared" si="54"/>
        <v>1406.6217256445682</v>
      </c>
      <c r="X118" s="582">
        <f t="shared" si="54"/>
        <v>1428.9071633604519</v>
      </c>
      <c r="Y118" s="582">
        <f t="shared" si="54"/>
        <v>1450.6965098301748</v>
      </c>
      <c r="Z118" s="582">
        <f t="shared" si="54"/>
        <v>1471.9132701774786</v>
      </c>
      <c r="AA118" s="582">
        <f t="shared" si="54"/>
        <v>1492.4755769325734</v>
      </c>
      <c r="AB118" s="582">
        <f t="shared" si="54"/>
        <v>1512.2958807175162</v>
      </c>
      <c r="AC118" s="582">
        <f t="shared" si="54"/>
        <v>1531.2806247054082</v>
      </c>
      <c r="AD118" s="582">
        <f t="shared" si="54"/>
        <v>1549.329902047208</v>
      </c>
      <c r="AE118" s="582">
        <f t="shared" si="54"/>
        <v>1566.3370954209265</v>
      </c>
      <c r="AF118" s="582">
        <f t="shared" si="54"/>
        <v>1582.1884978180444</v>
      </c>
      <c r="AG118" s="582">
        <f t="shared" si="54"/>
        <v>1596.7629136390331</v>
      </c>
      <c r="AH118" s="582">
        <f t="shared" si="54"/>
        <v>1661.2934607658954</v>
      </c>
      <c r="AI118" s="582">
        <f t="shared" si="54"/>
        <v>1728.4319038282933</v>
      </c>
      <c r="AJ118" s="582">
        <f t="shared" si="54"/>
        <v>1798.2836366515282</v>
      </c>
      <c r="AK118" s="582">
        <f t="shared" si="54"/>
        <v>1870.958312379023</v>
      </c>
      <c r="AL118" s="582">
        <f t="shared" si="54"/>
        <v>1946.5700156056562</v>
      </c>
    </row>
    <row r="119" spans="1:38">
      <c r="B119" s="478" t="s">
        <v>711</v>
      </c>
      <c r="C119" s="484" t="s">
        <v>292</v>
      </c>
      <c r="D119" s="582">
        <f t="shared" ref="D119:AL119" si="55">(D$112*D93+D$113*D98+D$114*D103)/Grams.Per.Metric.Ton*D108</f>
        <v>20.407919803787536</v>
      </c>
      <c r="E119" s="582">
        <f t="shared" si="55"/>
        <v>21.409819847252948</v>
      </c>
      <c r="F119" s="582">
        <f t="shared" si="55"/>
        <v>22.502442408287472</v>
      </c>
      <c r="G119" s="582">
        <f t="shared" si="55"/>
        <v>23.637574518339612</v>
      </c>
      <c r="H119" s="582">
        <f t="shared" si="55"/>
        <v>24.871823460122293</v>
      </c>
      <c r="I119" s="582">
        <f t="shared" si="55"/>
        <v>25.926270576929831</v>
      </c>
      <c r="J119" s="582">
        <f t="shared" si="55"/>
        <v>27.075793314213701</v>
      </c>
      <c r="K119" s="582">
        <f t="shared" si="55"/>
        <v>28.266008973416728</v>
      </c>
      <c r="L119" s="582">
        <f t="shared" si="55"/>
        <v>29.4979300851669</v>
      </c>
      <c r="M119" s="582">
        <f t="shared" si="55"/>
        <v>30.708857107615888</v>
      </c>
      <c r="N119" s="582">
        <f t="shared" si="55"/>
        <v>31.527280450404604</v>
      </c>
      <c r="O119" s="582">
        <f t="shared" si="55"/>
        <v>32.361699347905393</v>
      </c>
      <c r="P119" s="582">
        <f t="shared" si="55"/>
        <v>33.2120699870297</v>
      </c>
      <c r="Q119" s="582">
        <f t="shared" si="55"/>
        <v>34.07831888885265</v>
      </c>
      <c r="R119" s="582">
        <f t="shared" si="55"/>
        <v>34.960340582378315</v>
      </c>
      <c r="S119" s="582">
        <f t="shared" si="55"/>
        <v>35.857995138734573</v>
      </c>
      <c r="T119" s="582">
        <f t="shared" si="55"/>
        <v>36.771105558315504</v>
      </c>
      <c r="U119" s="582">
        <f t="shared" si="55"/>
        <v>37.699455003013433</v>
      </c>
      <c r="V119" s="582">
        <f t="shared" si="55"/>
        <v>38.642783865286525</v>
      </c>
      <c r="W119" s="582">
        <f t="shared" si="55"/>
        <v>39.600786665394551</v>
      </c>
      <c r="X119" s="582">
        <f t="shared" si="55"/>
        <v>40.795144033456403</v>
      </c>
      <c r="Y119" s="582">
        <f t="shared" si="55"/>
        <v>42.021359818211977</v>
      </c>
      <c r="Z119" s="582">
        <f t="shared" si="55"/>
        <v>43.280058359307958</v>
      </c>
      <c r="AA119" s="582">
        <f t="shared" si="55"/>
        <v>44.57186242729361</v>
      </c>
      <c r="AB119" s="582">
        <f t="shared" si="55"/>
        <v>45.89739207709912</v>
      </c>
      <c r="AC119" s="582">
        <f t="shared" si="55"/>
        <v>47.257263411407472</v>
      </c>
      <c r="AD119" s="582">
        <f t="shared" si="55"/>
        <v>48.652087248510199</v>
      </c>
      <c r="AE119" s="582">
        <f t="shared" si="55"/>
        <v>50.08246768894287</v>
      </c>
      <c r="AF119" s="582">
        <f t="shared" si="55"/>
        <v>51.549000574899949</v>
      </c>
      <c r="AG119" s="582">
        <f t="shared" si="55"/>
        <v>53.052271836098797</v>
      </c>
      <c r="AH119" s="582">
        <f t="shared" si="55"/>
        <v>55.19629215286848</v>
      </c>
      <c r="AI119" s="582">
        <f t="shared" si="55"/>
        <v>57.42695952469596</v>
      </c>
      <c r="AJ119" s="582">
        <f t="shared" si="55"/>
        <v>59.747775649812056</v>
      </c>
      <c r="AK119" s="582">
        <f t="shared" si="55"/>
        <v>62.162383741822737</v>
      </c>
      <c r="AL119" s="582">
        <f t="shared" si="55"/>
        <v>64.674574248820335</v>
      </c>
    </row>
    <row r="120" spans="1:38">
      <c r="D120" s="358"/>
      <c r="F120" s="464"/>
      <c r="G120" s="465"/>
      <c r="H120" s="465"/>
    </row>
    <row r="121" spans="1:38" ht="13">
      <c r="B121" s="493" t="s">
        <v>463</v>
      </c>
      <c r="C121" s="487" t="s">
        <v>292</v>
      </c>
      <c r="D121" s="488">
        <f t="shared" ref="D121:AL121" si="56">D116</f>
        <v>3516.3383636460785</v>
      </c>
      <c r="E121" s="488">
        <f t="shared" si="56"/>
        <v>3688.5663899088663</v>
      </c>
      <c r="F121" s="488">
        <f t="shared" si="56"/>
        <v>3867.3924075544528</v>
      </c>
      <c r="G121" s="488">
        <f t="shared" si="56"/>
        <v>4053.0045835431388</v>
      </c>
      <c r="H121" s="488">
        <f t="shared" si="56"/>
        <v>4245.5929377693665</v>
      </c>
      <c r="I121" s="488">
        <f t="shared" si="56"/>
        <v>4445.3490812447853</v>
      </c>
      <c r="J121" s="488">
        <f t="shared" si="56"/>
        <v>4652.4659258798592</v>
      </c>
      <c r="K121" s="488">
        <f t="shared" si="56"/>
        <v>4867.1373638253581</v>
      </c>
      <c r="L121" s="488">
        <f t="shared" si="56"/>
        <v>5089.5579142104816</v>
      </c>
      <c r="M121" s="488">
        <f t="shared" si="56"/>
        <v>5319.9223349816648</v>
      </c>
      <c r="N121" s="488">
        <f t="shared" si="56"/>
        <v>5548.7165280463469</v>
      </c>
      <c r="O121" s="488">
        <f t="shared" si="56"/>
        <v>5784.73252247442</v>
      </c>
      <c r="P121" s="488">
        <f t="shared" si="56"/>
        <v>6028.0760027134729</v>
      </c>
      <c r="Q121" s="488">
        <f t="shared" si="56"/>
        <v>6375.4428013001616</v>
      </c>
      <c r="R121" s="488">
        <f t="shared" si="56"/>
        <v>6636.1772831612143</v>
      </c>
      <c r="S121" s="488">
        <f t="shared" si="56"/>
        <v>6904.5478675407649</v>
      </c>
      <c r="T121" s="488">
        <f t="shared" si="56"/>
        <v>7180.6236396721688</v>
      </c>
      <c r="U121" s="488">
        <f t="shared" si="56"/>
        <v>7464.461855635197</v>
      </c>
      <c r="V121" s="488">
        <f t="shared" si="56"/>
        <v>7756.1066737087285</v>
      </c>
      <c r="W121" s="488">
        <f t="shared" si="56"/>
        <v>8055.5877944324448</v>
      </c>
      <c r="X121" s="488">
        <f t="shared" si="56"/>
        <v>8408.5698689458168</v>
      </c>
      <c r="Y121" s="488">
        <f t="shared" si="56"/>
        <v>8892.9622367146603</v>
      </c>
      <c r="Z121" s="488">
        <f t="shared" si="56"/>
        <v>9275.4504173266669</v>
      </c>
      <c r="AA121" s="488">
        <f t="shared" si="56"/>
        <v>9671.5841739445641</v>
      </c>
      <c r="AB121" s="488">
        <f t="shared" si="56"/>
        <v>10081.730790054904</v>
      </c>
      <c r="AC121" s="488">
        <f t="shared" si="56"/>
        <v>10506.260465155707</v>
      </c>
      <c r="AD121" s="488">
        <f t="shared" si="56"/>
        <v>10945.545769380158</v>
      </c>
      <c r="AE121" s="488">
        <f t="shared" si="56"/>
        <v>11399.96104195394</v>
      </c>
      <c r="AF121" s="488">
        <f t="shared" si="56"/>
        <v>12014.636384779005</v>
      </c>
      <c r="AG121" s="488">
        <f t="shared" si="56"/>
        <v>12504.547318849629</v>
      </c>
      <c r="AH121" s="488">
        <f t="shared" si="56"/>
        <v>13009.89803382842</v>
      </c>
      <c r="AI121" s="488">
        <f t="shared" si="56"/>
        <v>13535.671666855967</v>
      </c>
      <c r="AJ121" s="488">
        <f t="shared" si="56"/>
        <v>14082.693576577776</v>
      </c>
      <c r="AK121" s="488">
        <f t="shared" si="56"/>
        <v>14651.822477151645</v>
      </c>
      <c r="AL121" s="488">
        <f t="shared" si="56"/>
        <v>15243.951786255822</v>
      </c>
    </row>
    <row r="122" spans="1:38" ht="13">
      <c r="B122" s="494" t="s">
        <v>464</v>
      </c>
      <c r="C122" s="487" t="s">
        <v>292</v>
      </c>
      <c r="D122" s="488">
        <f t="shared" ref="D122:AL122" si="57">SUM(D116:D119)</f>
        <v>12032.356901774026</v>
      </c>
      <c r="E122" s="488">
        <f t="shared" si="57"/>
        <v>12089.620454231088</v>
      </c>
      <c r="F122" s="488">
        <f t="shared" si="57"/>
        <v>12131.978787563396</v>
      </c>
      <c r="G122" s="488">
        <f t="shared" si="57"/>
        <v>12116.062511359745</v>
      </c>
      <c r="H122" s="488">
        <f t="shared" si="57"/>
        <v>12057.263570074516</v>
      </c>
      <c r="I122" s="488">
        <f t="shared" si="57"/>
        <v>11931.842965062368</v>
      </c>
      <c r="J122" s="488">
        <f t="shared" si="57"/>
        <v>11770.806110451062</v>
      </c>
      <c r="K122" s="488">
        <f t="shared" si="57"/>
        <v>11537.618232961522</v>
      </c>
      <c r="L122" s="488">
        <f t="shared" si="57"/>
        <v>11243.392644939337</v>
      </c>
      <c r="M122" s="488">
        <f t="shared" si="57"/>
        <v>10892.236154183622</v>
      </c>
      <c r="N122" s="488">
        <f t="shared" si="57"/>
        <v>10930.276557115532</v>
      </c>
      <c r="O122" s="488">
        <f t="shared" si="57"/>
        <v>10951.019838085598</v>
      </c>
      <c r="P122" s="488">
        <f t="shared" si="57"/>
        <v>10952.901444202002</v>
      </c>
      <c r="Q122" s="488">
        <f t="shared" si="57"/>
        <v>11030.852016140936</v>
      </c>
      <c r="R122" s="488">
        <f t="shared" si="57"/>
        <v>10992.350825482554</v>
      </c>
      <c r="S122" s="488">
        <f t="shared" si="57"/>
        <v>10929.696104911372</v>
      </c>
      <c r="T122" s="488">
        <f t="shared" si="57"/>
        <v>10840.876211692064</v>
      </c>
      <c r="U122" s="488">
        <f t="shared" si="57"/>
        <v>10723.751415615121</v>
      </c>
      <c r="V122" s="488">
        <f t="shared" si="57"/>
        <v>10576.046631898187</v>
      </c>
      <c r="W122" s="488">
        <f t="shared" si="57"/>
        <v>10395.343767839218</v>
      </c>
      <c r="X122" s="488">
        <f t="shared" si="57"/>
        <v>10802.252334142588</v>
      </c>
      <c r="Y122" s="488">
        <f t="shared" si="57"/>
        <v>11341.108513261584</v>
      </c>
      <c r="Z122" s="488">
        <f t="shared" si="57"/>
        <v>11778.553179691189</v>
      </c>
      <c r="AA122" s="488">
        <f t="shared" si="57"/>
        <v>12230.086965413991</v>
      </c>
      <c r="AB122" s="488">
        <f t="shared" si="57"/>
        <v>12696.0232469694</v>
      </c>
      <c r="AC122" s="488">
        <f t="shared" si="57"/>
        <v>13176.673235374723</v>
      </c>
      <c r="AD122" s="488">
        <f t="shared" si="57"/>
        <v>13672.345108068219</v>
      </c>
      <c r="AE122" s="488">
        <f t="shared" si="57"/>
        <v>14183.343066903783</v>
      </c>
      <c r="AF122" s="488">
        <f t="shared" si="57"/>
        <v>14854.720972580164</v>
      </c>
      <c r="AG122" s="488">
        <f t="shared" si="57"/>
        <v>15401.371622255458</v>
      </c>
      <c r="AH122" s="488">
        <f t="shared" si="57"/>
        <v>16023.792727354436</v>
      </c>
      <c r="AI122" s="488">
        <f t="shared" si="57"/>
        <v>16671.367957785533</v>
      </c>
      <c r="AJ122" s="488">
        <f t="shared" si="57"/>
        <v>17345.113876155694</v>
      </c>
      <c r="AK122" s="488">
        <f t="shared" si="57"/>
        <v>18046.088127777799</v>
      </c>
      <c r="AL122" s="488">
        <f t="shared" si="57"/>
        <v>18775.39110096066</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'West Center'!D48</f>
        <v>20052.227182255243</v>
      </c>
      <c r="E126" s="383">
        <f>'West Center'!E48</f>
        <v>20862.604966039104</v>
      </c>
      <c r="F126" s="383">
        <f>'West Center'!F48</f>
        <v>21705.73283521158</v>
      </c>
      <c r="G126" s="383">
        <f>'West Center'!G48</f>
        <v>22582.934330613014</v>
      </c>
      <c r="H126" s="383">
        <f>'West Center'!H48</f>
        <v>17621.689861357612</v>
      </c>
      <c r="I126" s="383">
        <f>'West Center'!I48</f>
        <v>18333.841476566242</v>
      </c>
      <c r="J126" s="383">
        <f>'West Center'!J48</f>
        <v>19074.773528102756</v>
      </c>
      <c r="K126" s="383">
        <f>'West Center'!K48</f>
        <v>19845.649129969177</v>
      </c>
      <c r="L126" s="383">
        <f>'West Center'!L48</f>
        <v>20647.678401507077</v>
      </c>
      <c r="M126" s="383">
        <f>'West Center'!M48</f>
        <v>21482.12036704108</v>
      </c>
      <c r="N126" s="383">
        <f>'West Center'!N48</f>
        <v>22350.284932293285</v>
      </c>
      <c r="O126" s="383">
        <f>'West Center'!O48</f>
        <v>23253.534940671307</v>
      </c>
      <c r="P126" s="383">
        <f>'West Center'!P48</f>
        <v>24193.288312657718</v>
      </c>
      <c r="Q126" s="383">
        <f>'West Center'!Q48</f>
        <v>25171.02027165953</v>
      </c>
      <c r="R126" s="383">
        <f>'West Center'!R48</f>
        <v>26188.265659811572</v>
      </c>
      <c r="S126" s="383">
        <f>'West Center'!S48</f>
        <v>27246.621347369401</v>
      </c>
      <c r="T126" s="383">
        <f>'West Center'!T48</f>
        <v>28347.748739473696</v>
      </c>
      <c r="U126" s="383">
        <f>'West Center'!U48</f>
        <v>29493.376384221574</v>
      </c>
      <c r="V126" s="383">
        <f>'West Center'!V48</f>
        <v>30685.302686138781</v>
      </c>
      <c r="W126" s="383">
        <f>'West Center'!W48</f>
        <v>31925.398729312252</v>
      </c>
      <c r="X126" s="383">
        <f>'West Center'!X48</f>
        <v>33215.611214615186</v>
      </c>
      <c r="Y126" s="383">
        <f>'West Center'!Y48</f>
        <v>34557.965515634991</v>
      </c>
      <c r="Z126" s="383">
        <f>'West Center'!Z48</f>
        <v>35954.568858101709</v>
      </c>
      <c r="AA126" s="383">
        <f>'West Center'!AA48</f>
        <v>37407.613627807747</v>
      </c>
      <c r="AB126" s="383">
        <f>'West Center'!AB48</f>
        <v>38919.380812211682</v>
      </c>
      <c r="AC126" s="383">
        <f>'West Center'!AC48</f>
        <v>40492.243581128976</v>
      </c>
      <c r="AD126" s="383">
        <f>'West Center'!AD48</f>
        <v>42128.671012130246</v>
      </c>
      <c r="AE126" s="383">
        <f>'West Center'!AE48</f>
        <v>43831.231966495528</v>
      </c>
      <c r="AF126" s="383">
        <f>'West Center'!AF48</f>
        <v>45602.599121808737</v>
      </c>
      <c r="AG126" s="383">
        <f>'West Center'!AG48</f>
        <v>47445.553167522827</v>
      </c>
      <c r="AH126" s="383">
        <f>'West Center'!AH48</f>
        <v>49362.987170081971</v>
      </c>
      <c r="AI126" s="383">
        <f>'West Center'!AI48</f>
        <v>51357.911114452727</v>
      </c>
      <c r="AJ126" s="383">
        <f>'West Center'!AJ48</f>
        <v>53433.456629193795</v>
      </c>
      <c r="AK126" s="383">
        <f>'West Center'!AK48</f>
        <v>55592.881902481931</v>
      </c>
      <c r="AL126" s="383">
        <f>'West Center'!AL48</f>
        <v>57839.576796810637</v>
      </c>
    </row>
    <row r="127" spans="1:38">
      <c r="B127" s="385" t="s">
        <v>509</v>
      </c>
      <c r="C127" s="386" t="s">
        <v>443</v>
      </c>
      <c r="D127" s="383">
        <f>'West Center'!D49</f>
        <v>2228.0252424728046</v>
      </c>
      <c r="E127" s="383">
        <f>'West Center'!E49</f>
        <v>2318.0672184487894</v>
      </c>
      <c r="F127" s="383">
        <f>'West Center'!F49</f>
        <v>2411.7480928012865</v>
      </c>
      <c r="G127" s="383">
        <f>'West Center'!G49</f>
        <v>2509.214925623668</v>
      </c>
      <c r="H127" s="383">
        <f>'West Center'!H49</f>
        <v>1957.965540150846</v>
      </c>
      <c r="I127" s="383">
        <f>'West Center'!I49</f>
        <v>2037.0934973962494</v>
      </c>
      <c r="J127" s="383">
        <f>'West Center'!J49</f>
        <v>2119.4192809003066</v>
      </c>
      <c r="K127" s="383">
        <f>'West Center'!K49</f>
        <v>2205.0721255521307</v>
      </c>
      <c r="L127" s="383">
        <f>'West Center'!L49</f>
        <v>2294.186489056342</v>
      </c>
      <c r="M127" s="383">
        <f>'West Center'!M49</f>
        <v>2386.9022630045647</v>
      </c>
      <c r="N127" s="383">
        <f>'West Center'!N49</f>
        <v>2483.364992477032</v>
      </c>
      <c r="O127" s="383">
        <f>'West Center'!O49</f>
        <v>2583.7261045190339</v>
      </c>
      <c r="P127" s="383">
        <f>'West Center'!P49</f>
        <v>2688.1431458508578</v>
      </c>
      <c r="Q127" s="383">
        <f>'West Center'!Q49</f>
        <v>2796.7800301843927</v>
      </c>
      <c r="R127" s="383">
        <f>'West Center'!R49</f>
        <v>2909.8072955346192</v>
      </c>
      <c r="S127" s="383">
        <f>'West Center'!S49</f>
        <v>3027.4023719299335</v>
      </c>
      <c r="T127" s="383">
        <f>'West Center'!T49</f>
        <v>3149.7498599415221</v>
      </c>
      <c r="U127" s="383">
        <f>'West Center'!U49</f>
        <v>3277.0418204690636</v>
      </c>
      <c r="V127" s="383">
        <f>'West Center'!V49</f>
        <v>3409.4780762376427</v>
      </c>
      <c r="W127" s="383">
        <f>'West Center'!W49</f>
        <v>3547.2665254791391</v>
      </c>
      <c r="X127" s="383">
        <f>'West Center'!X49</f>
        <v>3690.6234682905765</v>
      </c>
      <c r="Y127" s="383">
        <f>'West Center'!Y49</f>
        <v>3839.7739461816659</v>
      </c>
      <c r="Z127" s="383">
        <f>'West Center'!Z49</f>
        <v>3994.9520953446345</v>
      </c>
      <c r="AA127" s="383">
        <f>'West Center'!AA49</f>
        <v>4156.4015142008602</v>
      </c>
      <c r="AB127" s="383">
        <f>'West Center'!AB49</f>
        <v>4324.3756458012977</v>
      </c>
      <c r="AC127" s="383">
        <f>'West Center'!AC49</f>
        <v>4499.1381756809969</v>
      </c>
      <c r="AD127" s="383">
        <f>'West Center'!AD49</f>
        <v>4680.9634457922502</v>
      </c>
      <c r="AE127" s="383">
        <f>'West Center'!AE49</f>
        <v>4870.13688516617</v>
      </c>
      <c r="AF127" s="383">
        <f>'West Center'!AF49</f>
        <v>5066.9554579787482</v>
      </c>
      <c r="AG127" s="383">
        <f>'West Center'!AG49</f>
        <v>5271.7281297247591</v>
      </c>
      <c r="AH127" s="383">
        <f>'West Center'!AH49</f>
        <v>5484.7763522313307</v>
      </c>
      <c r="AI127" s="383">
        <f>'West Center'!AI49</f>
        <v>5706.4345682725252</v>
      </c>
      <c r="AJ127" s="383">
        <f>'West Center'!AJ49</f>
        <v>5937.0507365770891</v>
      </c>
      <c r="AK127" s="383">
        <f>'West Center'!AK49</f>
        <v>6176.986878053548</v>
      </c>
      <c r="AL127" s="383">
        <f>'West Center'!AL49</f>
        <v>6426.6196440900712</v>
      </c>
    </row>
    <row r="128" spans="1:38">
      <c r="B128" s="358" t="s">
        <v>769</v>
      </c>
      <c r="C128" s="358" t="s">
        <v>443</v>
      </c>
      <c r="D128" s="383">
        <f>'West Center'!D50</f>
        <v>0</v>
      </c>
      <c r="E128" s="383">
        <f>'West Center'!E50</f>
        <v>0</v>
      </c>
      <c r="F128" s="383">
        <f>'West Center'!F50</f>
        <v>0</v>
      </c>
      <c r="G128" s="383">
        <f>'West Center'!G50</f>
        <v>0</v>
      </c>
      <c r="H128" s="383">
        <f>'West Center'!H50</f>
        <v>0</v>
      </c>
      <c r="I128" s="383">
        <f>'West Center'!I50</f>
        <v>0</v>
      </c>
      <c r="J128" s="383">
        <f>'West Center'!J50</f>
        <v>0</v>
      </c>
      <c r="K128" s="383">
        <f>'West Center'!K50</f>
        <v>0</v>
      </c>
      <c r="L128" s="383">
        <f>'West Center'!L50</f>
        <v>0</v>
      </c>
      <c r="M128" s="383">
        <f>'West Center'!M50</f>
        <v>0</v>
      </c>
      <c r="N128" s="383">
        <f>'West Center'!N50</f>
        <v>0</v>
      </c>
      <c r="O128" s="383">
        <f>'West Center'!O50</f>
        <v>0</v>
      </c>
      <c r="P128" s="383">
        <f>'West Center'!P50</f>
        <v>0</v>
      </c>
      <c r="Q128" s="383">
        <f>'West Center'!Q50</f>
        <v>0</v>
      </c>
      <c r="R128" s="383">
        <f>'West Center'!R50</f>
        <v>0</v>
      </c>
      <c r="S128" s="383">
        <f>'West Center'!S50</f>
        <v>0</v>
      </c>
      <c r="T128" s="383">
        <f>'West Center'!T50</f>
        <v>0</v>
      </c>
      <c r="U128" s="383">
        <f>'West Center'!U50</f>
        <v>0</v>
      </c>
      <c r="V128" s="383">
        <f>'West Center'!V50</f>
        <v>0</v>
      </c>
      <c r="W128" s="383">
        <f>'West Center'!W50</f>
        <v>0</v>
      </c>
      <c r="X128" s="383">
        <f>'West Center'!X50</f>
        <v>0</v>
      </c>
      <c r="Y128" s="383">
        <f>'West Center'!Y50</f>
        <v>0</v>
      </c>
      <c r="Z128" s="383">
        <f>'West Center'!Z50</f>
        <v>0</v>
      </c>
      <c r="AA128" s="383">
        <f>'West Center'!AA50</f>
        <v>0</v>
      </c>
      <c r="AB128" s="383">
        <f>'West Center'!AB50</f>
        <v>0</v>
      </c>
      <c r="AC128" s="383">
        <f>'West Center'!AC50</f>
        <v>0</v>
      </c>
      <c r="AD128" s="383">
        <f>'West Center'!AD50</f>
        <v>0</v>
      </c>
      <c r="AE128" s="383">
        <f>'West Center'!AE50</f>
        <v>0</v>
      </c>
      <c r="AF128" s="383">
        <f>'West Center'!AF50</f>
        <v>0</v>
      </c>
      <c r="AG128" s="383">
        <f>'West Center'!AG50</f>
        <v>0</v>
      </c>
      <c r="AH128" s="383">
        <f>'West Center'!AH50</f>
        <v>0</v>
      </c>
      <c r="AI128" s="383">
        <f>'West Center'!AI50</f>
        <v>0</v>
      </c>
      <c r="AJ128" s="383">
        <f>'West Center'!AJ50</f>
        <v>0</v>
      </c>
      <c r="AK128" s="383">
        <f>'West Center'!AK50</f>
        <v>0</v>
      </c>
      <c r="AL128" s="383">
        <f>'West Center'!AL50</f>
        <v>0</v>
      </c>
    </row>
    <row r="129" spans="1:38">
      <c r="D129" s="358"/>
      <c r="F129" s="464"/>
      <c r="G129" s="465"/>
      <c r="H129" s="465"/>
    </row>
    <row r="130" spans="1:38">
      <c r="B130" s="476" t="s">
        <v>708</v>
      </c>
      <c r="C130" s="484" t="s">
        <v>292</v>
      </c>
      <c r="D130" s="582">
        <f t="shared" ref="D130:AL130" si="58">(D$126*D90+D$127*D95+D$128*D100)/Grams.Per.Metric.Ton*D105</f>
        <v>3516.3383636460785</v>
      </c>
      <c r="E130" s="582">
        <f t="shared" si="58"/>
        <v>3688.5663899088663</v>
      </c>
      <c r="F130" s="582">
        <f t="shared" si="58"/>
        <v>3867.3924075544528</v>
      </c>
      <c r="G130" s="582">
        <f t="shared" si="58"/>
        <v>4053.0045835431388</v>
      </c>
      <c r="H130" s="582">
        <f t="shared" si="58"/>
        <v>3184.1947033270262</v>
      </c>
      <c r="I130" s="582">
        <f t="shared" si="58"/>
        <v>3334.0118109335881</v>
      </c>
      <c r="J130" s="582">
        <f t="shared" si="58"/>
        <v>3489.3494444098947</v>
      </c>
      <c r="K130" s="582">
        <f t="shared" si="58"/>
        <v>3650.3530228690192</v>
      </c>
      <c r="L130" s="582">
        <f t="shared" si="58"/>
        <v>3817.1684356578608</v>
      </c>
      <c r="M130" s="582">
        <f t="shared" si="58"/>
        <v>3989.9417512362475</v>
      </c>
      <c r="N130" s="582">
        <f t="shared" si="58"/>
        <v>4161.5373960347588</v>
      </c>
      <c r="O130" s="582">
        <f t="shared" si="58"/>
        <v>4338.5493918558168</v>
      </c>
      <c r="P130" s="582">
        <f t="shared" si="58"/>
        <v>4521.057002035107</v>
      </c>
      <c r="Q130" s="582">
        <f t="shared" si="58"/>
        <v>4781.5821009751226</v>
      </c>
      <c r="R130" s="582">
        <f t="shared" si="58"/>
        <v>4977.1329623709116</v>
      </c>
      <c r="S130" s="582">
        <f t="shared" si="58"/>
        <v>5178.4109006555746</v>
      </c>
      <c r="T130" s="582">
        <f t="shared" si="58"/>
        <v>5385.4677297541284</v>
      </c>
      <c r="U130" s="582">
        <f t="shared" si="58"/>
        <v>5598.346391726398</v>
      </c>
      <c r="V130" s="582">
        <f t="shared" si="58"/>
        <v>5817.0800052815475</v>
      </c>
      <c r="W130" s="582">
        <f t="shared" si="58"/>
        <v>6041.6908458243306</v>
      </c>
      <c r="X130" s="582">
        <f t="shared" si="58"/>
        <v>6306.4274017093621</v>
      </c>
      <c r="Y130" s="582">
        <f t="shared" si="58"/>
        <v>6669.7216775359957</v>
      </c>
      <c r="Z130" s="582">
        <f t="shared" si="58"/>
        <v>6956.5878129950015</v>
      </c>
      <c r="AA130" s="582">
        <f t="shared" si="58"/>
        <v>7253.6881304584222</v>
      </c>
      <c r="AB130" s="582">
        <f t="shared" si="58"/>
        <v>7561.2980925411766</v>
      </c>
      <c r="AC130" s="582">
        <f t="shared" si="58"/>
        <v>7879.6953488667832</v>
      </c>
      <c r="AD130" s="582">
        <f t="shared" si="58"/>
        <v>8209.1593270351186</v>
      </c>
      <c r="AE130" s="582">
        <f t="shared" si="58"/>
        <v>8549.9707814654539</v>
      </c>
      <c r="AF130" s="582">
        <f t="shared" si="58"/>
        <v>9010.9772885842522</v>
      </c>
      <c r="AG130" s="582">
        <f t="shared" si="58"/>
        <v>9378.4104891372172</v>
      </c>
      <c r="AH130" s="582">
        <f t="shared" si="58"/>
        <v>9757.4235253713123</v>
      </c>
      <c r="AI130" s="582">
        <f t="shared" si="58"/>
        <v>10151.753750141976</v>
      </c>
      <c r="AJ130" s="582">
        <f t="shared" si="58"/>
        <v>10562.020182433329</v>
      </c>
      <c r="AK130" s="582">
        <f t="shared" si="58"/>
        <v>10988.866857863732</v>
      </c>
      <c r="AL130" s="582">
        <f t="shared" si="58"/>
        <v>11432.963839691871</v>
      </c>
    </row>
    <row r="131" spans="1:38">
      <c r="B131" s="478" t="s">
        <v>709</v>
      </c>
      <c r="C131" s="484" t="s">
        <v>292</v>
      </c>
      <c r="D131" s="582">
        <f t="shared" ref="D131:AL131" si="59">(D$126*D91+D$127*D96+D$128*D101)/Grams.Per.Metric.Ton*D106</f>
        <v>3232.7947805928006</v>
      </c>
      <c r="E131" s="582">
        <f t="shared" si="59"/>
        <v>3163.7468097985952</v>
      </c>
      <c r="F131" s="582">
        <f t="shared" si="59"/>
        <v>3096.4633700566906</v>
      </c>
      <c r="G131" s="582">
        <f t="shared" si="59"/>
        <v>2990.7951857978869</v>
      </c>
      <c r="H131" s="582">
        <f t="shared" si="59"/>
        <v>2148.5682007237479</v>
      </c>
      <c r="I131" s="582">
        <f t="shared" si="59"/>
        <v>2037.4523650877047</v>
      </c>
      <c r="J131" s="582">
        <f t="shared" si="59"/>
        <v>1919.4440637257551</v>
      </c>
      <c r="K131" s="582">
        <f t="shared" si="59"/>
        <v>1769.8771671922514</v>
      </c>
      <c r="L131" s="582">
        <f t="shared" si="59"/>
        <v>1599.1357901421043</v>
      </c>
      <c r="M131" s="582">
        <f t="shared" si="59"/>
        <v>1413.3642888717475</v>
      </c>
      <c r="N131" s="582">
        <f t="shared" si="59"/>
        <v>1370.3505406853694</v>
      </c>
      <c r="O131" s="582">
        <f t="shared" si="59"/>
        <v>1321.5517706186151</v>
      </c>
      <c r="P131" s="582">
        <f t="shared" si="59"/>
        <v>1266.5706461246402</v>
      </c>
      <c r="Q131" s="582">
        <f t="shared" si="59"/>
        <v>1204.9871678988472</v>
      </c>
      <c r="R131" s="582">
        <f t="shared" si="59"/>
        <v>1136.3574867384573</v>
      </c>
      <c r="S131" s="582">
        <f t="shared" si="59"/>
        <v>1060.2126617932229</v>
      </c>
      <c r="T131" s="582">
        <f t="shared" si="59"/>
        <v>976.05735740178534</v>
      </c>
      <c r="U131" s="582">
        <f t="shared" si="59"/>
        <v>883.36847557870487</v>
      </c>
      <c r="V131" s="582">
        <f t="shared" si="59"/>
        <v>781.59372107871195</v>
      </c>
      <c r="W131" s="582">
        <f t="shared" si="59"/>
        <v>670.15009582260689</v>
      </c>
      <c r="X131" s="582">
        <f t="shared" si="59"/>
        <v>692.98511835214686</v>
      </c>
      <c r="Y131" s="582">
        <f t="shared" si="59"/>
        <v>716.57130517390294</v>
      </c>
      <c r="Z131" s="582">
        <f t="shared" si="59"/>
        <v>740.93207537080229</v>
      </c>
      <c r="AA131" s="582">
        <f t="shared" si="59"/>
        <v>766.09151408216974</v>
      </c>
      <c r="AB131" s="582">
        <f t="shared" si="59"/>
        <v>792.0743880899106</v>
      </c>
      <c r="AC131" s="582">
        <f t="shared" si="59"/>
        <v>818.90616157664977</v>
      </c>
      <c r="AD131" s="582">
        <f t="shared" si="59"/>
        <v>846.61301204425649</v>
      </c>
      <c r="AE131" s="582">
        <f t="shared" si="59"/>
        <v>875.22184637998066</v>
      </c>
      <c r="AF131" s="582">
        <f t="shared" si="59"/>
        <v>904.76031705616037</v>
      </c>
      <c r="AG131" s="582">
        <f t="shared" si="59"/>
        <v>935.25683844802234</v>
      </c>
      <c r="AH131" s="582">
        <f t="shared" si="59"/>
        <v>973.05370545543963</v>
      </c>
      <c r="AI131" s="582">
        <f t="shared" si="59"/>
        <v>1012.378070682434</v>
      </c>
      <c r="AJ131" s="582">
        <f t="shared" si="59"/>
        <v>1053.2916654574333</v>
      </c>
      <c r="AK131" s="582">
        <f t="shared" si="59"/>
        <v>1095.8587158789819</v>
      </c>
      <c r="AL131" s="582">
        <f t="shared" si="59"/>
        <v>1140.146043637772</v>
      </c>
    </row>
    <row r="132" spans="1:38">
      <c r="B132" s="478" t="s">
        <v>710</v>
      </c>
      <c r="C132" s="484" t="s">
        <v>292</v>
      </c>
      <c r="D132" s="582">
        <f t="shared" ref="D132:AL132" si="60">(D$126*D92+D$127*D97+D$128*D102)/Grams.Per.Metric.Ton*D107</f>
        <v>5262.8158377313612</v>
      </c>
      <c r="E132" s="582">
        <f t="shared" si="60"/>
        <v>5215.8974346763735</v>
      </c>
      <c r="F132" s="582">
        <f t="shared" si="60"/>
        <v>5145.620567543966</v>
      </c>
      <c r="G132" s="582">
        <f t="shared" si="60"/>
        <v>5048.6251675003814</v>
      </c>
      <c r="H132" s="582">
        <f t="shared" si="60"/>
        <v>3691.5309059100255</v>
      </c>
      <c r="I132" s="582">
        <f t="shared" si="60"/>
        <v>3557.9733448427837</v>
      </c>
      <c r="J132" s="582">
        <f t="shared" si="60"/>
        <v>3399.004229716988</v>
      </c>
      <c r="K132" s="582">
        <f t="shared" si="60"/>
        <v>3211.783977929811</v>
      </c>
      <c r="L132" s="582">
        <f t="shared" si="60"/>
        <v>2994.1168103406617</v>
      </c>
      <c r="M132" s="582">
        <f t="shared" si="60"/>
        <v>2742.8394326990065</v>
      </c>
      <c r="N132" s="582">
        <f t="shared" si="60"/>
        <v>2642.1740207787166</v>
      </c>
      <c r="O132" s="582">
        <f t="shared" si="60"/>
        <v>2528.892441578841</v>
      </c>
      <c r="P132" s="582">
        <f t="shared" si="60"/>
        <v>2402.1393825014848</v>
      </c>
      <c r="Q132" s="582">
        <f t="shared" si="60"/>
        <v>2261.0110040650957</v>
      </c>
      <c r="R132" s="582">
        <f t="shared" si="60"/>
        <v>2104.5524145657632</v>
      </c>
      <c r="S132" s="582">
        <f t="shared" si="60"/>
        <v>1931.7550198806828</v>
      </c>
      <c r="T132" s="582">
        <f t="shared" si="60"/>
        <v>1741.5537424444019</v>
      </c>
      <c r="U132" s="582">
        <f t="shared" si="60"/>
        <v>1532.8241031539771</v>
      </c>
      <c r="V132" s="582">
        <f t="shared" si="60"/>
        <v>1304.3791596644173</v>
      </c>
      <c r="W132" s="582">
        <f t="shared" si="60"/>
        <v>1054.966294233426</v>
      </c>
      <c r="X132" s="582">
        <f t="shared" si="60"/>
        <v>1071.6803725203388</v>
      </c>
      <c r="Y132" s="582">
        <f t="shared" si="60"/>
        <v>1088.022382372631</v>
      </c>
      <c r="Z132" s="582">
        <f t="shared" si="60"/>
        <v>1103.9349526331091</v>
      </c>
      <c r="AA132" s="582">
        <f t="shared" si="60"/>
        <v>1119.3566826994297</v>
      </c>
      <c r="AB132" s="582">
        <f t="shared" si="60"/>
        <v>1134.2219105381371</v>
      </c>
      <c r="AC132" s="582">
        <f t="shared" si="60"/>
        <v>1148.4604685290562</v>
      </c>
      <c r="AD132" s="582">
        <f t="shared" si="60"/>
        <v>1161.9974265354058</v>
      </c>
      <c r="AE132" s="582">
        <f t="shared" si="60"/>
        <v>1174.7528215656951</v>
      </c>
      <c r="AF132" s="582">
        <f t="shared" si="60"/>
        <v>1186.6413733635336</v>
      </c>
      <c r="AG132" s="582">
        <f t="shared" si="60"/>
        <v>1197.5721852292745</v>
      </c>
      <c r="AH132" s="582">
        <f t="shared" si="60"/>
        <v>1245.9700955744213</v>
      </c>
      <c r="AI132" s="582">
        <f t="shared" si="60"/>
        <v>1296.3239278712199</v>
      </c>
      <c r="AJ132" s="582">
        <f t="shared" si="60"/>
        <v>1348.7127274886457</v>
      </c>
      <c r="AK132" s="582">
        <f t="shared" si="60"/>
        <v>1403.2187342842667</v>
      </c>
      <c r="AL132" s="582">
        <f t="shared" si="60"/>
        <v>1459.9275117042428</v>
      </c>
    </row>
    <row r="133" spans="1:38">
      <c r="B133" s="478" t="s">
        <v>711</v>
      </c>
      <c r="C133" s="484" t="s">
        <v>292</v>
      </c>
      <c r="D133" s="582">
        <f t="shared" ref="D133:AL133" si="61">(D$126*D93+D$127*D98+D$128*D103)/Grams.Per.Metric.Ton*D108</f>
        <v>20.407919803787536</v>
      </c>
      <c r="E133" s="582">
        <f t="shared" si="61"/>
        <v>21.409819847252948</v>
      </c>
      <c r="F133" s="582">
        <f t="shared" si="61"/>
        <v>22.502442408287472</v>
      </c>
      <c r="G133" s="582">
        <f t="shared" si="61"/>
        <v>23.637574518339612</v>
      </c>
      <c r="H133" s="582">
        <f t="shared" si="61"/>
        <v>18.653867595091729</v>
      </c>
      <c r="I133" s="582">
        <f t="shared" si="61"/>
        <v>19.444702932697364</v>
      </c>
      <c r="J133" s="582">
        <f t="shared" si="61"/>
        <v>20.30684498566028</v>
      </c>
      <c r="K133" s="582">
        <f t="shared" si="61"/>
        <v>21.199506730062549</v>
      </c>
      <c r="L133" s="582">
        <f t="shared" si="61"/>
        <v>22.123447563875175</v>
      </c>
      <c r="M133" s="582">
        <f t="shared" si="61"/>
        <v>23.031642830711913</v>
      </c>
      <c r="N133" s="582">
        <f t="shared" si="61"/>
        <v>23.645460337803453</v>
      </c>
      <c r="O133" s="582">
        <f t="shared" si="61"/>
        <v>24.27127451092905</v>
      </c>
      <c r="P133" s="582">
        <f t="shared" si="61"/>
        <v>24.909052490272281</v>
      </c>
      <c r="Q133" s="582">
        <f t="shared" si="61"/>
        <v>25.558739166639487</v>
      </c>
      <c r="R133" s="582">
        <f t="shared" si="61"/>
        <v>26.220255436783738</v>
      </c>
      <c r="S133" s="582">
        <f t="shared" si="61"/>
        <v>26.893496354050939</v>
      </c>
      <c r="T133" s="582">
        <f t="shared" si="61"/>
        <v>27.578329168736634</v>
      </c>
      <c r="U133" s="582">
        <f t="shared" si="61"/>
        <v>28.274591252260077</v>
      </c>
      <c r="V133" s="582">
        <f t="shared" si="61"/>
        <v>28.982087898964899</v>
      </c>
      <c r="W133" s="582">
        <f t="shared" si="61"/>
        <v>29.700589999045906</v>
      </c>
      <c r="X133" s="582">
        <f t="shared" si="61"/>
        <v>30.596358025092293</v>
      </c>
      <c r="Y133" s="582">
        <f t="shared" si="61"/>
        <v>31.516019863658986</v>
      </c>
      <c r="Z133" s="582">
        <f t="shared" si="61"/>
        <v>32.460043769480968</v>
      </c>
      <c r="AA133" s="582">
        <f t="shared" si="61"/>
        <v>33.4288968204702</v>
      </c>
      <c r="AB133" s="582">
        <f t="shared" si="61"/>
        <v>34.423044057824342</v>
      </c>
      <c r="AC133" s="582">
        <f t="shared" si="61"/>
        <v>35.442947558555623</v>
      </c>
      <c r="AD133" s="582">
        <f t="shared" si="61"/>
        <v>36.489065436382639</v>
      </c>
      <c r="AE133" s="582">
        <f t="shared" si="61"/>
        <v>37.561850766707153</v>
      </c>
      <c r="AF133" s="582">
        <f t="shared" si="61"/>
        <v>38.661750431174966</v>
      </c>
      <c r="AG133" s="582">
        <f t="shared" si="61"/>
        <v>39.789203877074073</v>
      </c>
      <c r="AH133" s="582">
        <f t="shared" si="61"/>
        <v>41.397219114651357</v>
      </c>
      <c r="AI133" s="582">
        <f t="shared" si="61"/>
        <v>43.07021964352198</v>
      </c>
      <c r="AJ133" s="582">
        <f t="shared" si="61"/>
        <v>44.810831737359038</v>
      </c>
      <c r="AK133" s="582">
        <f t="shared" si="61"/>
        <v>46.621787806367045</v>
      </c>
      <c r="AL133" s="582">
        <f t="shared" si="61"/>
        <v>48.505930686615265</v>
      </c>
    </row>
    <row r="134" spans="1:38">
      <c r="D134" s="358"/>
      <c r="F134" s="464"/>
      <c r="G134" s="465"/>
      <c r="H134" s="465"/>
    </row>
    <row r="135" spans="1:38" ht="13">
      <c r="B135" s="493" t="s">
        <v>465</v>
      </c>
      <c r="C135" s="487" t="s">
        <v>292</v>
      </c>
      <c r="D135" s="488">
        <f t="shared" ref="D135:AL135" si="62">D130</f>
        <v>3516.3383636460785</v>
      </c>
      <c r="E135" s="488">
        <f t="shared" si="62"/>
        <v>3688.5663899088663</v>
      </c>
      <c r="F135" s="488">
        <f t="shared" si="62"/>
        <v>3867.3924075544528</v>
      </c>
      <c r="G135" s="488">
        <f t="shared" si="62"/>
        <v>4053.0045835431388</v>
      </c>
      <c r="H135" s="488">
        <f t="shared" si="62"/>
        <v>3184.1947033270262</v>
      </c>
      <c r="I135" s="488">
        <f t="shared" si="62"/>
        <v>3334.0118109335881</v>
      </c>
      <c r="J135" s="488">
        <f t="shared" si="62"/>
        <v>3489.3494444098947</v>
      </c>
      <c r="K135" s="488">
        <f t="shared" si="62"/>
        <v>3650.3530228690192</v>
      </c>
      <c r="L135" s="488">
        <f t="shared" si="62"/>
        <v>3817.1684356578608</v>
      </c>
      <c r="M135" s="488">
        <f t="shared" si="62"/>
        <v>3989.9417512362475</v>
      </c>
      <c r="N135" s="488">
        <f t="shared" si="62"/>
        <v>4161.5373960347588</v>
      </c>
      <c r="O135" s="488">
        <f t="shared" si="62"/>
        <v>4338.5493918558168</v>
      </c>
      <c r="P135" s="488">
        <f t="shared" si="62"/>
        <v>4521.057002035107</v>
      </c>
      <c r="Q135" s="488">
        <f t="shared" si="62"/>
        <v>4781.5821009751226</v>
      </c>
      <c r="R135" s="488">
        <f t="shared" si="62"/>
        <v>4977.1329623709116</v>
      </c>
      <c r="S135" s="488">
        <f t="shared" si="62"/>
        <v>5178.4109006555746</v>
      </c>
      <c r="T135" s="488">
        <f t="shared" si="62"/>
        <v>5385.4677297541284</v>
      </c>
      <c r="U135" s="488">
        <f t="shared" si="62"/>
        <v>5598.346391726398</v>
      </c>
      <c r="V135" s="488">
        <f t="shared" si="62"/>
        <v>5817.0800052815475</v>
      </c>
      <c r="W135" s="488">
        <f t="shared" si="62"/>
        <v>6041.6908458243306</v>
      </c>
      <c r="X135" s="488">
        <f t="shared" si="62"/>
        <v>6306.4274017093621</v>
      </c>
      <c r="Y135" s="488">
        <f t="shared" si="62"/>
        <v>6669.7216775359957</v>
      </c>
      <c r="Z135" s="488">
        <f t="shared" si="62"/>
        <v>6956.5878129950015</v>
      </c>
      <c r="AA135" s="488">
        <f t="shared" si="62"/>
        <v>7253.6881304584222</v>
      </c>
      <c r="AB135" s="488">
        <f t="shared" si="62"/>
        <v>7561.2980925411766</v>
      </c>
      <c r="AC135" s="488">
        <f t="shared" si="62"/>
        <v>7879.6953488667832</v>
      </c>
      <c r="AD135" s="488">
        <f t="shared" si="62"/>
        <v>8209.1593270351186</v>
      </c>
      <c r="AE135" s="488">
        <f t="shared" si="62"/>
        <v>8549.9707814654539</v>
      </c>
      <c r="AF135" s="488">
        <f t="shared" si="62"/>
        <v>9010.9772885842522</v>
      </c>
      <c r="AG135" s="488">
        <f t="shared" si="62"/>
        <v>9378.4104891372172</v>
      </c>
      <c r="AH135" s="488">
        <f t="shared" si="62"/>
        <v>9757.4235253713123</v>
      </c>
      <c r="AI135" s="488">
        <f t="shared" si="62"/>
        <v>10151.753750141976</v>
      </c>
      <c r="AJ135" s="488">
        <f t="shared" si="62"/>
        <v>10562.020182433329</v>
      </c>
      <c r="AK135" s="488">
        <f t="shared" si="62"/>
        <v>10988.866857863732</v>
      </c>
      <c r="AL135" s="488">
        <f t="shared" si="62"/>
        <v>11432.963839691871</v>
      </c>
    </row>
    <row r="136" spans="1:38" ht="13">
      <c r="B136" s="494" t="s">
        <v>466</v>
      </c>
      <c r="C136" s="487" t="s">
        <v>292</v>
      </c>
      <c r="D136" s="488">
        <f t="shared" ref="D136:AL136" si="63">SUM(D130:D133)</f>
        <v>12032.356901774026</v>
      </c>
      <c r="E136" s="488">
        <f t="shared" si="63"/>
        <v>12089.620454231088</v>
      </c>
      <c r="F136" s="488">
        <f t="shared" si="63"/>
        <v>12131.978787563396</v>
      </c>
      <c r="G136" s="488">
        <f t="shared" si="63"/>
        <v>12116.062511359745</v>
      </c>
      <c r="H136" s="488">
        <f t="shared" si="63"/>
        <v>9042.9476775558924</v>
      </c>
      <c r="I136" s="488">
        <f t="shared" si="63"/>
        <v>8948.8822237967725</v>
      </c>
      <c r="J136" s="488">
        <f t="shared" si="63"/>
        <v>8828.1045828382976</v>
      </c>
      <c r="K136" s="488">
        <f t="shared" si="63"/>
        <v>8653.2136747211443</v>
      </c>
      <c r="L136" s="488">
        <f t="shared" si="63"/>
        <v>8432.5444837045015</v>
      </c>
      <c r="M136" s="488">
        <f t="shared" si="63"/>
        <v>8169.1771156377126</v>
      </c>
      <c r="N136" s="488">
        <f t="shared" si="63"/>
        <v>8197.7074178366493</v>
      </c>
      <c r="O136" s="488">
        <f t="shared" si="63"/>
        <v>8213.2648785642014</v>
      </c>
      <c r="P136" s="488">
        <f t="shared" si="63"/>
        <v>8214.6760831515039</v>
      </c>
      <c r="Q136" s="488">
        <f t="shared" si="63"/>
        <v>8273.1390121057048</v>
      </c>
      <c r="R136" s="488">
        <f t="shared" si="63"/>
        <v>8244.2631191119162</v>
      </c>
      <c r="S136" s="488">
        <f t="shared" si="63"/>
        <v>8197.2720786835307</v>
      </c>
      <c r="T136" s="488">
        <f t="shared" si="63"/>
        <v>8130.6571587690523</v>
      </c>
      <c r="U136" s="488">
        <f t="shared" si="63"/>
        <v>8042.8135617113412</v>
      </c>
      <c r="V136" s="488">
        <f t="shared" si="63"/>
        <v>7932.0349739236408</v>
      </c>
      <c r="W136" s="488">
        <f t="shared" si="63"/>
        <v>7796.5078258794101</v>
      </c>
      <c r="X136" s="488">
        <f t="shared" si="63"/>
        <v>8101.6892506069407</v>
      </c>
      <c r="Y136" s="488">
        <f t="shared" si="63"/>
        <v>8505.8313849461883</v>
      </c>
      <c r="Z136" s="488">
        <f t="shared" si="63"/>
        <v>8833.9148847683937</v>
      </c>
      <c r="AA136" s="488">
        <f t="shared" si="63"/>
        <v>9172.5652240604923</v>
      </c>
      <c r="AB136" s="488">
        <f t="shared" si="63"/>
        <v>9522.0174352270496</v>
      </c>
      <c r="AC136" s="488">
        <f t="shared" si="63"/>
        <v>9882.5049265310445</v>
      </c>
      <c r="AD136" s="488">
        <f t="shared" si="63"/>
        <v>10254.258831051162</v>
      </c>
      <c r="AE136" s="488">
        <f t="shared" si="63"/>
        <v>10637.507300177836</v>
      </c>
      <c r="AF136" s="488">
        <f t="shared" si="63"/>
        <v>11141.040729435119</v>
      </c>
      <c r="AG136" s="488">
        <f t="shared" si="63"/>
        <v>11551.028716691588</v>
      </c>
      <c r="AH136" s="488">
        <f t="shared" si="63"/>
        <v>12017.844545515823</v>
      </c>
      <c r="AI136" s="488">
        <f t="shared" si="63"/>
        <v>12503.52596833915</v>
      </c>
      <c r="AJ136" s="488">
        <f t="shared" si="63"/>
        <v>13008.835407116767</v>
      </c>
      <c r="AK136" s="488">
        <f t="shared" si="63"/>
        <v>13534.566095833346</v>
      </c>
      <c r="AL136" s="488">
        <f t="shared" si="63"/>
        <v>14081.5433257205</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4">((D$112*D90+D$113*D95+D$114*D100)-(D$126*D90+D$127*D95+D$128*D100))/Grams.Per.Metric.Ton</f>
        <v>0</v>
      </c>
      <c r="E140" s="474">
        <f t="shared" si="64"/>
        <v>0</v>
      </c>
      <c r="F140" s="474">
        <f t="shared" si="64"/>
        <v>0</v>
      </c>
      <c r="G140" s="474">
        <f t="shared" si="64"/>
        <v>0</v>
      </c>
      <c r="H140" s="474">
        <f t="shared" si="64"/>
        <v>18.953539900756084</v>
      </c>
      <c r="I140" s="474">
        <f t="shared" si="64"/>
        <v>19.497145093178897</v>
      </c>
      <c r="J140" s="474">
        <f t="shared" si="64"/>
        <v>20.053732439137324</v>
      </c>
      <c r="K140" s="474">
        <f t="shared" si="64"/>
        <v>20.623463406039647</v>
      </c>
      <c r="L140" s="474">
        <f t="shared" si="64"/>
        <v>21.206491309210339</v>
      </c>
      <c r="M140" s="474">
        <f t="shared" si="64"/>
        <v>21.802960389269128</v>
      </c>
      <c r="N140" s="474">
        <f t="shared" si="64"/>
        <v>22.373856967928841</v>
      </c>
      <c r="O140" s="474">
        <f t="shared" si="64"/>
        <v>22.955287787596866</v>
      </c>
      <c r="P140" s="474">
        <f t="shared" si="64"/>
        <v>23.547171885599479</v>
      </c>
      <c r="Q140" s="474">
        <f t="shared" si="64"/>
        <v>24.149404550379394</v>
      </c>
      <c r="R140" s="474">
        <f t="shared" si="64"/>
        <v>24.761855534183635</v>
      </c>
      <c r="S140" s="474">
        <f t="shared" si="64"/>
        <v>25.384367160076334</v>
      </c>
      <c r="T140" s="474">
        <f t="shared" si="64"/>
        <v>26.016752317652763</v>
      </c>
      <c r="U140" s="474">
        <f t="shared" si="64"/>
        <v>26.658792341554268</v>
      </c>
      <c r="V140" s="474">
        <f t="shared" si="64"/>
        <v>27.310234766580017</v>
      </c>
      <c r="W140" s="474">
        <f t="shared" si="64"/>
        <v>27.970790952890471</v>
      </c>
      <c r="X140" s="474">
        <f t="shared" si="64"/>
        <v>28.796472153924046</v>
      </c>
      <c r="Y140" s="474">
        <f t="shared" si="64"/>
        <v>29.643207455715537</v>
      </c>
      <c r="Z140" s="474">
        <f t="shared" si="64"/>
        <v>30.5113500569956</v>
      </c>
      <c r="AA140" s="474">
        <f t="shared" si="64"/>
        <v>31.401247318001836</v>
      </c>
      <c r="AB140" s="474">
        <f t="shared" si="64"/>
        <v>32.313239711714445</v>
      </c>
      <c r="AC140" s="474">
        <f t="shared" si="64"/>
        <v>33.247659699859796</v>
      </c>
      <c r="AD140" s="474">
        <f t="shared" si="64"/>
        <v>34.204830529313</v>
      </c>
      <c r="AE140" s="474">
        <f t="shared" si="64"/>
        <v>35.18506494430229</v>
      </c>
      <c r="AF140" s="474">
        <f t="shared" si="64"/>
        <v>36.188663809575331</v>
      </c>
      <c r="AG140" s="474">
        <f t="shared" si="64"/>
        <v>37.215914639433471</v>
      </c>
      <c r="AH140" s="474">
        <f t="shared" si="64"/>
        <v>38.719934624489369</v>
      </c>
      <c r="AI140" s="474">
        <f t="shared" si="64"/>
        <v>40.284737103737982</v>
      </c>
      <c r="AJ140" s="474">
        <f t="shared" si="64"/>
        <v>41.912778501719593</v>
      </c>
      <c r="AK140" s="474">
        <f t="shared" si="64"/>
        <v>43.606614515332296</v>
      </c>
      <c r="AL140" s="474">
        <f t="shared" si="64"/>
        <v>45.368904125761333</v>
      </c>
    </row>
    <row r="141" spans="1:38" ht="13">
      <c r="B141" s="494" t="s">
        <v>815</v>
      </c>
      <c r="C141" s="387" t="s">
        <v>818</v>
      </c>
      <c r="D141" s="541">
        <f t="shared" ref="D141:AL141" si="65">((D$112*D91+D$113*D96+D$114*D101)-(D$126*D91+D$127*D96+D$128*D101))/Grams.Per.Metric.Ton</f>
        <v>0</v>
      </c>
      <c r="E141" s="541">
        <f t="shared" si="65"/>
        <v>0</v>
      </c>
      <c r="F141" s="541">
        <f t="shared" si="65"/>
        <v>0</v>
      </c>
      <c r="G141" s="541">
        <f t="shared" si="65"/>
        <v>0</v>
      </c>
      <c r="H141" s="541">
        <f t="shared" si="65"/>
        <v>4.2630321442931426E-2</v>
      </c>
      <c r="I141" s="541">
        <f t="shared" si="65"/>
        <v>3.9950046374268744E-2</v>
      </c>
      <c r="J141" s="541">
        <f t="shared" si="65"/>
        <v>3.6983507971594477E-2</v>
      </c>
      <c r="K141" s="541">
        <f t="shared" si="65"/>
        <v>3.3711946041757111E-2</v>
      </c>
      <c r="L141" s="541">
        <f t="shared" si="65"/>
        <v>3.0115551603429457E-2</v>
      </c>
      <c r="M141" s="541">
        <f t="shared" si="65"/>
        <v>2.6173412756884239E-2</v>
      </c>
      <c r="N141" s="541">
        <f t="shared" si="65"/>
        <v>2.5376861864543885E-2</v>
      </c>
      <c r="O141" s="541">
        <f t="shared" si="65"/>
        <v>2.4473180937381739E-2</v>
      </c>
      <c r="P141" s="541">
        <f t="shared" si="65"/>
        <v>2.3455011965271087E-2</v>
      </c>
      <c r="Q141" s="541">
        <f t="shared" si="65"/>
        <v>2.2314577183311965E-2</v>
      </c>
      <c r="R141" s="541">
        <f t="shared" si="65"/>
        <v>2.1043657161823291E-2</v>
      </c>
      <c r="S141" s="541">
        <f t="shared" si="65"/>
        <v>1.9633567810985596E-2</v>
      </c>
      <c r="T141" s="541">
        <f t="shared" si="65"/>
        <v>1.8075136248181183E-2</v>
      </c>
      <c r="U141" s="541">
        <f t="shared" si="65"/>
        <v>1.635867547367973E-2</v>
      </c>
      <c r="V141" s="541">
        <f t="shared" si="65"/>
        <v>1.447395779775393E-2</v>
      </c>
      <c r="W141" s="541">
        <f t="shared" si="65"/>
        <v>1.2410186959677922E-2</v>
      </c>
      <c r="X141" s="541">
        <f t="shared" si="65"/>
        <v>1.2833057747261985E-2</v>
      </c>
      <c r="Y141" s="541">
        <f t="shared" si="65"/>
        <v>1.3269838984701892E-2</v>
      </c>
      <c r="Z141" s="541">
        <f t="shared" si="65"/>
        <v>1.3720964358718557E-2</v>
      </c>
      <c r="AA141" s="541">
        <f t="shared" si="65"/>
        <v>1.4186879890410564E-2</v>
      </c>
      <c r="AB141" s="541">
        <f t="shared" si="65"/>
        <v>1.4668044223887242E-2</v>
      </c>
      <c r="AC141" s="541">
        <f t="shared" si="65"/>
        <v>1.5164928918086087E-2</v>
      </c>
      <c r="AD141" s="541">
        <f t="shared" si="65"/>
        <v>1.5678018741560308E-2</v>
      </c>
      <c r="AE141" s="541">
        <f t="shared" si="65"/>
        <v>1.6207811969999632E-2</v>
      </c>
      <c r="AF141" s="541">
        <f t="shared" si="65"/>
        <v>1.6754820686225198E-2</v>
      </c>
      <c r="AG141" s="541">
        <f t="shared" si="65"/>
        <v>1.7319571082370814E-2</v>
      </c>
      <c r="AH141" s="541">
        <f t="shared" si="65"/>
        <v>1.801951306398961E-2</v>
      </c>
      <c r="AI141" s="541">
        <f t="shared" si="65"/>
        <v>1.87477420496747E-2</v>
      </c>
      <c r="AJ141" s="541">
        <f t="shared" si="65"/>
        <v>1.9505401212174693E-2</v>
      </c>
      <c r="AK141" s="541">
        <f t="shared" si="65"/>
        <v>2.029367992368486E-2</v>
      </c>
      <c r="AL141" s="541">
        <f t="shared" si="65"/>
        <v>2.111381562292167E-2</v>
      </c>
    </row>
    <row r="142" spans="1:38" ht="13">
      <c r="B142" s="494" t="s">
        <v>816</v>
      </c>
      <c r="C142" s="387" t="s">
        <v>818</v>
      </c>
      <c r="D142" s="541">
        <f t="shared" ref="D142:AL142" si="66">((D$112*D92+D$113*D97+D$114*D102)-(D$126*D92+D$127*D97+D$128*D102))/Grams.Per.Metric.Ton</f>
        <v>0</v>
      </c>
      <c r="E142" s="541">
        <f t="shared" si="66"/>
        <v>0</v>
      </c>
      <c r="F142" s="541">
        <f t="shared" si="66"/>
        <v>0</v>
      </c>
      <c r="G142" s="541">
        <f t="shared" si="66"/>
        <v>0</v>
      </c>
      <c r="H142" s="541">
        <f t="shared" si="66"/>
        <v>1.5447028646372164E-3</v>
      </c>
      <c r="I142" s="541">
        <f t="shared" si="66"/>
        <v>1.4687196469939264E-3</v>
      </c>
      <c r="J142" s="541">
        <f t="shared" si="66"/>
        <v>1.3840720863738843E-3</v>
      </c>
      <c r="K142" s="541">
        <f t="shared" si="66"/>
        <v>1.2901839712098526E-3</v>
      </c>
      <c r="L142" s="541">
        <f t="shared" si="66"/>
        <v>1.1864466675941762E-3</v>
      </c>
      <c r="M142" s="541">
        <f t="shared" si="66"/>
        <v>1.0722174397791364E-3</v>
      </c>
      <c r="N142" s="541">
        <f t="shared" si="66"/>
        <v>1.0328658069577881E-3</v>
      </c>
      <c r="O142" s="541">
        <f t="shared" si="66"/>
        <v>9.8858232343490733E-4</v>
      </c>
      <c r="P142" s="541">
        <f t="shared" si="66"/>
        <v>9.3903263457311369E-4</v>
      </c>
      <c r="Q142" s="541">
        <f t="shared" si="66"/>
        <v>8.8386341584187269E-4</v>
      </c>
      <c r="R142" s="541">
        <f t="shared" si="66"/>
        <v>8.2270138562439484E-4</v>
      </c>
      <c r="S142" s="541">
        <f t="shared" si="66"/>
        <v>7.5515226921569957E-4</v>
      </c>
      <c r="T142" s="541">
        <f t="shared" si="66"/>
        <v>6.8079971167835497E-4</v>
      </c>
      <c r="U142" s="541">
        <f t="shared" si="66"/>
        <v>5.9920413711503741E-4</v>
      </c>
      <c r="V142" s="541">
        <f t="shared" si="66"/>
        <v>5.0990155180189118E-4</v>
      </c>
      <c r="W142" s="541">
        <f t="shared" si="66"/>
        <v>4.1240228850843483E-4</v>
      </c>
      <c r="X142" s="541">
        <f t="shared" si="66"/>
        <v>4.1893607463364992E-4</v>
      </c>
      <c r="Y142" s="541">
        <f t="shared" si="66"/>
        <v>4.253244135775112E-4</v>
      </c>
      <c r="Z142" s="541">
        <f t="shared" si="66"/>
        <v>4.3154487808651264E-4</v>
      </c>
      <c r="AA142" s="541">
        <f t="shared" si="66"/>
        <v>4.3757346573606605E-4</v>
      </c>
      <c r="AB142" s="541">
        <f t="shared" si="66"/>
        <v>4.4338450824367193E-4</v>
      </c>
      <c r="AC142" s="541">
        <f t="shared" si="66"/>
        <v>4.4895057602480575E-4</v>
      </c>
      <c r="AD142" s="541">
        <f t="shared" si="66"/>
        <v>4.5424237775513326E-4</v>
      </c>
      <c r="AE142" s="541">
        <f t="shared" si="66"/>
        <v>4.5922865469125303E-4</v>
      </c>
      <c r="AF142" s="541">
        <f t="shared" si="66"/>
        <v>4.6387606949045495E-4</v>
      </c>
      <c r="AG142" s="541">
        <f t="shared" si="66"/>
        <v>4.6814908925736924E-4</v>
      </c>
      <c r="AH142" s="541">
        <f t="shared" si="66"/>
        <v>4.8706856478418443E-4</v>
      </c>
      <c r="AI142" s="541">
        <f t="shared" si="66"/>
        <v>5.0675263979954642E-4</v>
      </c>
      <c r="AJ142" s="541">
        <f t="shared" si="66"/>
        <v>5.2723221433432902E-4</v>
      </c>
      <c r="AK142" s="541">
        <f t="shared" si="66"/>
        <v>5.4853943719333439E-4</v>
      </c>
      <c r="AL142" s="541">
        <f t="shared" si="66"/>
        <v>5.7070775642243873E-4</v>
      </c>
    </row>
    <row r="143" spans="1:38" ht="13">
      <c r="B143" s="494" t="s">
        <v>817</v>
      </c>
      <c r="C143" s="387" t="s">
        <v>818</v>
      </c>
      <c r="D143" s="541">
        <f t="shared" ref="D143:AL143" si="67">((D$112*D93+D$113*D98+D$114*D103)-(D$126*D93+D$127*D98+D$128*D103))/Grams.Per.Metric.Ton</f>
        <v>0</v>
      </c>
      <c r="E143" s="541">
        <f t="shared" si="67"/>
        <v>0</v>
      </c>
      <c r="F143" s="541">
        <f t="shared" si="67"/>
        <v>0</v>
      </c>
      <c r="G143" s="541">
        <f t="shared" si="67"/>
        <v>0</v>
      </c>
      <c r="H143" s="541">
        <f t="shared" si="67"/>
        <v>1.3848454042384331E-4</v>
      </c>
      <c r="I143" s="541">
        <f t="shared" si="67"/>
        <v>1.4245203613697731E-4</v>
      </c>
      <c r="J143" s="541">
        <f t="shared" si="67"/>
        <v>1.4651403308557189E-4</v>
      </c>
      <c r="K143" s="541">
        <f t="shared" si="67"/>
        <v>1.5067168962375649E-4</v>
      </c>
      <c r="L143" s="541">
        <f t="shared" si="67"/>
        <v>1.5492610338848159E-4</v>
      </c>
      <c r="M143" s="541">
        <f t="shared" si="67"/>
        <v>1.5927830450008254E-4</v>
      </c>
      <c r="N143" s="541">
        <f t="shared" si="67"/>
        <v>1.635232388506464E-4</v>
      </c>
      <c r="O143" s="541">
        <f t="shared" si="67"/>
        <v>1.6785113769660456E-4</v>
      </c>
      <c r="P143" s="541">
        <f t="shared" si="67"/>
        <v>1.7226177379164778E-4</v>
      </c>
      <c r="Q143" s="541">
        <f t="shared" si="67"/>
        <v>1.7675476602101991E-4</v>
      </c>
      <c r="R143" s="541">
        <f t="shared" si="67"/>
        <v>1.8132956733598712E-4</v>
      </c>
      <c r="S143" s="541">
        <f t="shared" si="67"/>
        <v>1.859854519643908E-4</v>
      </c>
      <c r="T143" s="541">
        <f t="shared" si="67"/>
        <v>1.9072150185848273E-4</v>
      </c>
      <c r="U143" s="541">
        <f t="shared" si="67"/>
        <v>1.9553659233928125E-4</v>
      </c>
      <c r="V143" s="541">
        <f t="shared" si="67"/>
        <v>2.0042937689463951E-4</v>
      </c>
      <c r="W143" s="541">
        <f t="shared" si="67"/>
        <v>2.0539827108607142E-4</v>
      </c>
      <c r="X143" s="541">
        <f t="shared" si="67"/>
        <v>2.1159307071294824E-4</v>
      </c>
      <c r="Y143" s="541">
        <f t="shared" si="67"/>
        <v>2.1795311109031092E-4</v>
      </c>
      <c r="Z143" s="541">
        <f t="shared" si="67"/>
        <v>2.2448163049433584E-4</v>
      </c>
      <c r="AA143" s="541">
        <f t="shared" si="67"/>
        <v>2.3118185906272618E-4</v>
      </c>
      <c r="AB143" s="541">
        <f t="shared" si="67"/>
        <v>2.3805701284802444E-4</v>
      </c>
      <c r="AC143" s="541">
        <f t="shared" si="67"/>
        <v>2.451102874035654E-4</v>
      </c>
      <c r="AD143" s="541">
        <f t="shared" si="67"/>
        <v>2.5234485087401572E-4</v>
      </c>
      <c r="AE143" s="541">
        <f t="shared" si="67"/>
        <v>2.5976383656090696E-4</v>
      </c>
      <c r="AF143" s="541">
        <f t="shared" si="67"/>
        <v>2.6737033493205356E-4</v>
      </c>
      <c r="AG143" s="541">
        <f t="shared" si="67"/>
        <v>2.7516738504200657E-4</v>
      </c>
      <c r="AH143" s="541">
        <f t="shared" si="67"/>
        <v>2.8628782236964979E-4</v>
      </c>
      <c r="AI143" s="541">
        <f t="shared" si="67"/>
        <v>2.9785767388327758E-4</v>
      </c>
      <c r="AJ143" s="541">
        <f t="shared" si="67"/>
        <v>3.0989510191811259E-4</v>
      </c>
      <c r="AK143" s="541">
        <f t="shared" si="67"/>
        <v>3.2241900281028402E-4</v>
      </c>
      <c r="AL143" s="541">
        <f t="shared" si="67"/>
        <v>3.3544903656027112E-4</v>
      </c>
    </row>
    <row r="144" spans="1:38">
      <c r="D144" s="358"/>
      <c r="F144" s="464"/>
      <c r="G144" s="465"/>
      <c r="H144" s="465"/>
    </row>
    <row r="145" spans="1:38" ht="13">
      <c r="B145" s="492" t="s">
        <v>284</v>
      </c>
      <c r="C145" s="487" t="s">
        <v>292</v>
      </c>
      <c r="D145" s="583">
        <f t="shared" ref="D145:AL145" si="68">D122-D136</f>
        <v>0</v>
      </c>
      <c r="E145" s="583">
        <f t="shared" si="68"/>
        <v>0</v>
      </c>
      <c r="F145" s="583">
        <f t="shared" si="68"/>
        <v>0</v>
      </c>
      <c r="G145" s="583">
        <f t="shared" si="68"/>
        <v>0</v>
      </c>
      <c r="H145" s="583">
        <f t="shared" si="68"/>
        <v>3014.3158925186235</v>
      </c>
      <c r="I145" s="583">
        <f t="shared" si="68"/>
        <v>2982.9607412655951</v>
      </c>
      <c r="J145" s="583">
        <f t="shared" si="68"/>
        <v>2942.701527612764</v>
      </c>
      <c r="K145" s="583">
        <f t="shared" si="68"/>
        <v>2884.4045582403778</v>
      </c>
      <c r="L145" s="583">
        <f t="shared" si="68"/>
        <v>2810.8481612348351</v>
      </c>
      <c r="M145" s="583">
        <f t="shared" si="68"/>
        <v>2723.0590385459091</v>
      </c>
      <c r="N145" s="583">
        <f t="shared" si="68"/>
        <v>2732.5691392788831</v>
      </c>
      <c r="O145" s="583">
        <f t="shared" si="68"/>
        <v>2737.7549595213968</v>
      </c>
      <c r="P145" s="583">
        <f t="shared" si="68"/>
        <v>2738.2253610504977</v>
      </c>
      <c r="Q145" s="583">
        <f t="shared" si="68"/>
        <v>2757.7130040352313</v>
      </c>
      <c r="R145" s="583">
        <f t="shared" si="68"/>
        <v>2748.0877063706375</v>
      </c>
      <c r="S145" s="583">
        <f t="shared" si="68"/>
        <v>2732.4240262278418</v>
      </c>
      <c r="T145" s="583">
        <f t="shared" si="68"/>
        <v>2710.219052923012</v>
      </c>
      <c r="U145" s="583">
        <f t="shared" si="68"/>
        <v>2680.9378539037798</v>
      </c>
      <c r="V145" s="583">
        <f t="shared" si="68"/>
        <v>2644.0116579745463</v>
      </c>
      <c r="W145" s="583">
        <f t="shared" si="68"/>
        <v>2598.8359419598082</v>
      </c>
      <c r="X145" s="583">
        <f t="shared" si="68"/>
        <v>2700.5630835356469</v>
      </c>
      <c r="Y145" s="583">
        <f t="shared" si="68"/>
        <v>2835.2771283153961</v>
      </c>
      <c r="Z145" s="583">
        <f t="shared" si="68"/>
        <v>2944.6382949227955</v>
      </c>
      <c r="AA145" s="583">
        <f t="shared" si="68"/>
        <v>3057.5217413534992</v>
      </c>
      <c r="AB145" s="583">
        <f t="shared" si="68"/>
        <v>3174.0058117423505</v>
      </c>
      <c r="AC145" s="583">
        <f t="shared" si="68"/>
        <v>3294.1683088436785</v>
      </c>
      <c r="AD145" s="583">
        <f t="shared" si="68"/>
        <v>3418.086277017057</v>
      </c>
      <c r="AE145" s="583">
        <f t="shared" si="68"/>
        <v>3545.8357667259461</v>
      </c>
      <c r="AF145" s="583">
        <f t="shared" si="68"/>
        <v>3713.6802431450451</v>
      </c>
      <c r="AG145" s="583">
        <f t="shared" si="68"/>
        <v>3850.3429055638699</v>
      </c>
      <c r="AH145" s="583">
        <f t="shared" si="68"/>
        <v>4005.9481818386121</v>
      </c>
      <c r="AI145" s="583">
        <f t="shared" si="68"/>
        <v>4167.8419894463823</v>
      </c>
      <c r="AJ145" s="583">
        <f t="shared" si="68"/>
        <v>4336.2784690389271</v>
      </c>
      <c r="AK145" s="583">
        <f t="shared" si="68"/>
        <v>4511.5220319444525</v>
      </c>
      <c r="AL145" s="583">
        <f t="shared" si="68"/>
        <v>4693.8477752401595</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'West Center'!D25</f>
        <v>20052.227182255243</v>
      </c>
      <c r="E159" s="383">
        <f>'West Center'!E25</f>
        <v>20862.604966039104</v>
      </c>
      <c r="F159" s="383">
        <f>'West Center'!F25</f>
        <v>21705.73283521158</v>
      </c>
      <c r="G159" s="383">
        <f>'West Center'!G25</f>
        <v>22582.934330613014</v>
      </c>
      <c r="H159" s="383">
        <f>'West Center'!H25</f>
        <v>23495.586481810144</v>
      </c>
      <c r="I159" s="383">
        <f>'West Center'!I25</f>
        <v>24445.121968755</v>
      </c>
      <c r="J159" s="383">
        <f>'West Center'!J25</f>
        <v>25433.031370803674</v>
      </c>
      <c r="K159" s="383">
        <f>'West Center'!K25</f>
        <v>26460.865506625563</v>
      </c>
      <c r="L159" s="383">
        <f>'West Center'!L25</f>
        <v>27530.237868676104</v>
      </c>
      <c r="M159" s="383">
        <f>'West Center'!M25</f>
        <v>28642.82715605478</v>
      </c>
      <c r="N159" s="383">
        <f>'West Center'!N25</f>
        <v>29800.37990972439</v>
      </c>
      <c r="O159" s="383">
        <f>'West Center'!O25</f>
        <v>31004.713254228394</v>
      </c>
      <c r="P159" s="383">
        <f>'West Center'!P25</f>
        <v>32257.717750210282</v>
      </c>
      <c r="Q159" s="383">
        <f>'West Center'!Q25</f>
        <v>33561.360362212705</v>
      </c>
      <c r="R159" s="383">
        <f>'West Center'!R25</f>
        <v>34917.687546415429</v>
      </c>
      <c r="S159" s="383">
        <f>'West Center'!S25</f>
        <v>36328.828463159196</v>
      </c>
      <c r="T159" s="383">
        <f>'West Center'!T25</f>
        <v>37796.998319298255</v>
      </c>
      <c r="U159" s="383">
        <f>'West Center'!U25</f>
        <v>39324.501845628765</v>
      </c>
      <c r="V159" s="383">
        <f>'West Center'!V25</f>
        <v>40913.73691485171</v>
      </c>
      <c r="W159" s="383">
        <f>'West Center'!W25</f>
        <v>42567.198305749684</v>
      </c>
      <c r="X159" s="383">
        <f>'West Center'!X25</f>
        <v>44287.48161948692</v>
      </c>
      <c r="Y159" s="383">
        <f>'West Center'!Y25</f>
        <v>46077.287354179985</v>
      </c>
      <c r="Z159" s="383">
        <f>'West Center'!Z25</f>
        <v>47939.425144135603</v>
      </c>
      <c r="AA159" s="383">
        <f>'West Center'!AA25</f>
        <v>49876.818170410326</v>
      </c>
      <c r="AB159" s="383">
        <f>'West Center'!AB25</f>
        <v>51892.507749615579</v>
      </c>
      <c r="AC159" s="383">
        <f>'West Center'!AC25</f>
        <v>53989.658108171949</v>
      </c>
      <c r="AD159" s="383">
        <f>'West Center'!AD25</f>
        <v>56171.561349506999</v>
      </c>
      <c r="AE159" s="383">
        <f>'West Center'!AE25</f>
        <v>58441.64262199404</v>
      </c>
      <c r="AF159" s="383">
        <f>'West Center'!AF25</f>
        <v>60803.465495744975</v>
      </c>
      <c r="AG159" s="383">
        <f>'West Center'!AG25</f>
        <v>63260.737556697131</v>
      </c>
      <c r="AH159" s="383">
        <f>'West Center'!AH25</f>
        <v>65817.316226775976</v>
      </c>
      <c r="AI159" s="383">
        <f>'West Center'!AI25</f>
        <v>68477.214819270303</v>
      </c>
      <c r="AJ159" s="383">
        <f>'West Center'!AJ25</f>
        <v>71244.60883892508</v>
      </c>
      <c r="AK159" s="383">
        <f>'West Center'!AK25</f>
        <v>74123.842536642594</v>
      </c>
      <c r="AL159" s="383">
        <f>'West Center'!AL25</f>
        <v>77119.435729080826</v>
      </c>
    </row>
    <row r="160" spans="1:38">
      <c r="B160" s="385" t="s">
        <v>509</v>
      </c>
      <c r="C160" s="386" t="s">
        <v>443</v>
      </c>
      <c r="D160" s="383">
        <f>'West Center'!D26</f>
        <v>2228.0252424728046</v>
      </c>
      <c r="E160" s="383">
        <f>'West Center'!E26</f>
        <v>2318.0672184487894</v>
      </c>
      <c r="F160" s="383">
        <f>'West Center'!F26</f>
        <v>2411.7480928012865</v>
      </c>
      <c r="G160" s="383">
        <f>'West Center'!G26</f>
        <v>2509.214925623668</v>
      </c>
      <c r="H160" s="383">
        <f>'West Center'!H26</f>
        <v>2610.6207202011269</v>
      </c>
      <c r="I160" s="383">
        <f>'West Center'!I26</f>
        <v>2716.1246631949998</v>
      </c>
      <c r="J160" s="383">
        <f>'West Center'!J26</f>
        <v>2825.8923745337415</v>
      </c>
      <c r="K160" s="383">
        <f>'West Center'!K26</f>
        <v>2940.0961674028404</v>
      </c>
      <c r="L160" s="383">
        <f>'West Center'!L26</f>
        <v>3058.9153187417896</v>
      </c>
      <c r="M160" s="383">
        <f>'West Center'!M26</f>
        <v>3182.5363506727535</v>
      </c>
      <c r="N160" s="383">
        <f>'West Center'!N26</f>
        <v>3311.1533233027099</v>
      </c>
      <c r="O160" s="383">
        <f>'West Center'!O26</f>
        <v>3444.9681393587107</v>
      </c>
      <c r="P160" s="383">
        <f>'West Center'!P26</f>
        <v>3584.1908611344757</v>
      </c>
      <c r="Q160" s="383">
        <f>'West Center'!Q26</f>
        <v>3729.0400402458563</v>
      </c>
      <c r="R160" s="383">
        <f>'West Center'!R26</f>
        <v>3879.7430607128258</v>
      </c>
      <c r="S160" s="383">
        <f>'West Center'!S26</f>
        <v>4036.5364959065773</v>
      </c>
      <c r="T160" s="383">
        <f>'West Center'!T26</f>
        <v>4199.666479922028</v>
      </c>
      <c r="U160" s="383">
        <f>'West Center'!U26</f>
        <v>4369.3890939587518</v>
      </c>
      <c r="V160" s="383">
        <f>'West Center'!V26</f>
        <v>4545.9707683168563</v>
      </c>
      <c r="W160" s="383">
        <f>'West Center'!W26</f>
        <v>4729.6887006388533</v>
      </c>
      <c r="X160" s="383">
        <f>'West Center'!X26</f>
        <v>4920.8312910541026</v>
      </c>
      <c r="Y160" s="383">
        <f>'West Center'!Y26</f>
        <v>5119.6985949088876</v>
      </c>
      <c r="Z160" s="383">
        <f>'West Center'!Z26</f>
        <v>5326.6027937928447</v>
      </c>
      <c r="AA160" s="383">
        <f>'West Center'!AA26</f>
        <v>5541.8686856011482</v>
      </c>
      <c r="AB160" s="383">
        <f>'West Center'!AB26</f>
        <v>5765.8341944017311</v>
      </c>
      <c r="AC160" s="383">
        <f>'West Center'!AC26</f>
        <v>5998.8509009079944</v>
      </c>
      <c r="AD160" s="383">
        <f>'West Center'!AD26</f>
        <v>6241.2845943896673</v>
      </c>
      <c r="AE160" s="383">
        <f>'West Center'!AE26</f>
        <v>6493.5158468882264</v>
      </c>
      <c r="AF160" s="383">
        <f>'West Center'!AF26</f>
        <v>6755.9406106383312</v>
      </c>
      <c r="AG160" s="383">
        <f>'West Center'!AG26</f>
        <v>7028.9708396330143</v>
      </c>
      <c r="AH160" s="383">
        <f>'West Center'!AH26</f>
        <v>7313.035136308441</v>
      </c>
      <c r="AI160" s="383">
        <f>'West Center'!AI26</f>
        <v>7608.5794243633663</v>
      </c>
      <c r="AJ160" s="383">
        <f>'West Center'!AJ26</f>
        <v>7916.0676487694527</v>
      </c>
      <c r="AK160" s="383">
        <f>'West Center'!AK26</f>
        <v>8235.9825040713986</v>
      </c>
      <c r="AL160" s="383">
        <f>'West Center'!AL26</f>
        <v>8568.8261921200919</v>
      </c>
    </row>
    <row r="161" spans="2:38">
      <c r="B161" s="358" t="s">
        <v>769</v>
      </c>
      <c r="C161" s="358" t="s">
        <v>443</v>
      </c>
      <c r="D161" s="383">
        <f>'West Center'!D27</f>
        <v>0</v>
      </c>
      <c r="E161" s="383">
        <f>'West Center'!E27</f>
        <v>0</v>
      </c>
      <c r="F161" s="383">
        <f>'West Center'!F27</f>
        <v>0</v>
      </c>
      <c r="G161" s="383">
        <f>'West Center'!G27</f>
        <v>0</v>
      </c>
      <c r="H161" s="383">
        <f>'West Center'!H27</f>
        <v>0</v>
      </c>
      <c r="I161" s="383">
        <f>'West Center'!I27</f>
        <v>0</v>
      </c>
      <c r="J161" s="383">
        <f>'West Center'!J27</f>
        <v>0</v>
      </c>
      <c r="K161" s="383">
        <f>'West Center'!K27</f>
        <v>0</v>
      </c>
      <c r="L161" s="383">
        <f>'West Center'!L27</f>
        <v>0</v>
      </c>
      <c r="M161" s="383">
        <f>'West Center'!M27</f>
        <v>0</v>
      </c>
      <c r="N161" s="383">
        <f>'West Center'!N27</f>
        <v>0</v>
      </c>
      <c r="O161" s="383">
        <f>'West Center'!O27</f>
        <v>0</v>
      </c>
      <c r="P161" s="383">
        <f>'West Center'!P27</f>
        <v>0</v>
      </c>
      <c r="Q161" s="383">
        <f>'West Center'!Q27</f>
        <v>0</v>
      </c>
      <c r="R161" s="383">
        <f>'West Center'!R27</f>
        <v>0</v>
      </c>
      <c r="S161" s="383">
        <f>'West Center'!S27</f>
        <v>0</v>
      </c>
      <c r="T161" s="383">
        <f>'West Center'!T27</f>
        <v>0</v>
      </c>
      <c r="U161" s="383">
        <f>'West Center'!U27</f>
        <v>0</v>
      </c>
      <c r="V161" s="383">
        <f>'West Center'!V27</f>
        <v>0</v>
      </c>
      <c r="W161" s="383">
        <f>'West Center'!W27</f>
        <v>0</v>
      </c>
      <c r="X161" s="383">
        <f>'West Center'!X27</f>
        <v>0</v>
      </c>
      <c r="Y161" s="383">
        <f>'West Center'!Y27</f>
        <v>0</v>
      </c>
      <c r="Z161" s="383">
        <f>'West Center'!Z27</f>
        <v>0</v>
      </c>
      <c r="AA161" s="383">
        <f>'West Center'!AA27</f>
        <v>0</v>
      </c>
      <c r="AB161" s="383">
        <f>'West Center'!AB27</f>
        <v>0</v>
      </c>
      <c r="AC161" s="383">
        <f>'West Center'!AC27</f>
        <v>0</v>
      </c>
      <c r="AD161" s="383">
        <f>'West Center'!AD27</f>
        <v>0</v>
      </c>
      <c r="AE161" s="383">
        <f>'West Center'!AE27</f>
        <v>0</v>
      </c>
      <c r="AF161" s="383">
        <f>'West Center'!AF27</f>
        <v>0</v>
      </c>
      <c r="AG161" s="383">
        <f>'West Center'!AG27</f>
        <v>0</v>
      </c>
      <c r="AH161" s="383">
        <f>'West Center'!AH27</f>
        <v>0</v>
      </c>
      <c r="AI161" s="383">
        <f>'West Center'!AI27</f>
        <v>0</v>
      </c>
      <c r="AJ161" s="383">
        <f>'West Center'!AJ27</f>
        <v>0</v>
      </c>
      <c r="AK161" s="383">
        <f>'West Center'!AK27</f>
        <v>0</v>
      </c>
      <c r="AL161" s="383">
        <f>'West Center'!AL27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691.80183778780577</v>
      </c>
      <c r="E166" s="383">
        <f t="shared" ref="E166:AK168" si="69">E159*$C163</f>
        <v>719.75987132834894</v>
      </c>
      <c r="F166" s="383">
        <f t="shared" si="69"/>
        <v>748.84778281479942</v>
      </c>
      <c r="G166" s="383">
        <f t="shared" si="69"/>
        <v>779.11123440614892</v>
      </c>
      <c r="H166" s="383">
        <f t="shared" si="69"/>
        <v>810.59773362244982</v>
      </c>
      <c r="I166" s="383">
        <f t="shared" si="69"/>
        <v>843.35670792204735</v>
      </c>
      <c r="J166" s="383">
        <f t="shared" si="69"/>
        <v>877.43958229272664</v>
      </c>
      <c r="K166" s="383">
        <f t="shared" si="69"/>
        <v>912.89985997858184</v>
      </c>
      <c r="L166" s="383">
        <f t="shared" si="69"/>
        <v>949.79320646932547</v>
      </c>
      <c r="M166" s="383">
        <f t="shared" si="69"/>
        <v>988.17753688388984</v>
      </c>
      <c r="N166" s="383">
        <f t="shared" si="69"/>
        <v>1028.1131068854913</v>
      </c>
      <c r="O166" s="383">
        <f t="shared" si="69"/>
        <v>1069.6626072708796</v>
      </c>
      <c r="P166" s="383">
        <f t="shared" si="69"/>
        <v>1112.8912623822546</v>
      </c>
      <c r="Q166" s="383">
        <f t="shared" si="69"/>
        <v>1157.8669324963382</v>
      </c>
      <c r="R166" s="383">
        <f t="shared" si="69"/>
        <v>1204.6602203513321</v>
      </c>
      <c r="S166" s="383">
        <f t="shared" si="69"/>
        <v>1253.3445819789922</v>
      </c>
      <c r="T166" s="383">
        <f t="shared" si="69"/>
        <v>1303.9964420157896</v>
      </c>
      <c r="U166" s="383">
        <f t="shared" si="69"/>
        <v>1356.6953136741922</v>
      </c>
      <c r="V166" s="383">
        <f t="shared" si="69"/>
        <v>1411.5239235623837</v>
      </c>
      <c r="W166" s="383">
        <f t="shared" si="69"/>
        <v>1468.5683415483638</v>
      </c>
      <c r="X166" s="383">
        <f t="shared" si="69"/>
        <v>1527.9181158722986</v>
      </c>
      <c r="Y166" s="383">
        <f t="shared" si="69"/>
        <v>1589.6664137192092</v>
      </c>
      <c r="Z166" s="383">
        <f t="shared" si="69"/>
        <v>1653.910167472678</v>
      </c>
      <c r="AA166" s="383">
        <f t="shared" si="69"/>
        <v>1720.7502268791561</v>
      </c>
      <c r="AB166" s="383">
        <f t="shared" si="69"/>
        <v>1790.2915173617373</v>
      </c>
      <c r="AC166" s="383">
        <f t="shared" si="69"/>
        <v>1862.643204731932</v>
      </c>
      <c r="AD166" s="383">
        <f t="shared" si="69"/>
        <v>1937.9188665579914</v>
      </c>
      <c r="AE166" s="383">
        <f t="shared" si="69"/>
        <v>2016.2366704587942</v>
      </c>
      <c r="AF166" s="383">
        <f t="shared" si="69"/>
        <v>2097.7195596032016</v>
      </c>
      <c r="AG166" s="383">
        <f t="shared" si="69"/>
        <v>2182.4954457060508</v>
      </c>
      <c r="AH166" s="383">
        <f t="shared" si="69"/>
        <v>2270.6974098237711</v>
      </c>
      <c r="AI166" s="383">
        <f t="shared" si="69"/>
        <v>2362.4639112648251</v>
      </c>
      <c r="AJ166" s="383">
        <f t="shared" si="69"/>
        <v>2457.9390049429148</v>
      </c>
      <c r="AK166" s="383">
        <f t="shared" si="69"/>
        <v>2557.2725675141692</v>
      </c>
      <c r="AL166" s="383">
        <f t="shared" ref="AL166" si="70">AL159*$C163</f>
        <v>2660.6205326532881</v>
      </c>
    </row>
    <row r="167" spans="2:38">
      <c r="B167" s="385" t="s">
        <v>501</v>
      </c>
      <c r="C167" s="386" t="s">
        <v>479</v>
      </c>
      <c r="D167" s="383">
        <f t="shared" ref="D167:S168" si="71">D160*$C164</f>
        <v>76.866870865311753</v>
      </c>
      <c r="E167" s="383">
        <f t="shared" si="71"/>
        <v>79.973319036483218</v>
      </c>
      <c r="F167" s="383">
        <f t="shared" si="71"/>
        <v>83.205309201644368</v>
      </c>
      <c r="G167" s="383">
        <f t="shared" si="71"/>
        <v>86.567914934016542</v>
      </c>
      <c r="H167" s="383">
        <f t="shared" si="71"/>
        <v>90.066414846938869</v>
      </c>
      <c r="I167" s="383">
        <f t="shared" si="71"/>
        <v>93.706300880227488</v>
      </c>
      <c r="J167" s="383">
        <f t="shared" si="71"/>
        <v>97.493286921414068</v>
      </c>
      <c r="K167" s="383">
        <f t="shared" si="71"/>
        <v>101.43331777539798</v>
      </c>
      <c r="L167" s="383">
        <f t="shared" si="71"/>
        <v>105.53257849659173</v>
      </c>
      <c r="M167" s="383">
        <f t="shared" si="71"/>
        <v>109.79750409820998</v>
      </c>
      <c r="N167" s="383">
        <f t="shared" si="71"/>
        <v>114.23478965394348</v>
      </c>
      <c r="O167" s="383">
        <f t="shared" si="71"/>
        <v>118.85140080787551</v>
      </c>
      <c r="P167" s="383">
        <f t="shared" si="71"/>
        <v>123.6545847091394</v>
      </c>
      <c r="Q167" s="383">
        <f t="shared" si="71"/>
        <v>128.65188138848202</v>
      </c>
      <c r="R167" s="383">
        <f t="shared" si="71"/>
        <v>133.85113559459248</v>
      </c>
      <c r="S167" s="383">
        <f t="shared" si="71"/>
        <v>139.26050910877692</v>
      </c>
      <c r="T167" s="383">
        <f t="shared" si="69"/>
        <v>144.88849355730994</v>
      </c>
      <c r="U167" s="383">
        <f t="shared" si="69"/>
        <v>150.74392374157691</v>
      </c>
      <c r="V167" s="383">
        <f t="shared" si="69"/>
        <v>156.83599150693152</v>
      </c>
      <c r="W167" s="383">
        <f t="shared" si="69"/>
        <v>163.17426017204042</v>
      </c>
      <c r="X167" s="383">
        <f t="shared" si="69"/>
        <v>169.76867954136651</v>
      </c>
      <c r="Y167" s="383">
        <f t="shared" si="69"/>
        <v>176.62960152435659</v>
      </c>
      <c r="Z167" s="383">
        <f t="shared" si="69"/>
        <v>183.76779638585313</v>
      </c>
      <c r="AA167" s="383">
        <f t="shared" si="69"/>
        <v>191.19446965323959</v>
      </c>
      <c r="AB167" s="383">
        <f t="shared" si="69"/>
        <v>198.92127970685971</v>
      </c>
      <c r="AC167" s="383">
        <f t="shared" si="69"/>
        <v>206.96035608132578</v>
      </c>
      <c r="AD167" s="383">
        <f t="shared" si="69"/>
        <v>215.32431850644349</v>
      </c>
      <c r="AE167" s="383">
        <f t="shared" si="69"/>
        <v>224.02629671764379</v>
      </c>
      <c r="AF167" s="383">
        <f t="shared" si="69"/>
        <v>233.07995106702239</v>
      </c>
      <c r="AG167" s="383">
        <f t="shared" si="69"/>
        <v>242.49949396733896</v>
      </c>
      <c r="AH167" s="383">
        <f t="shared" si="69"/>
        <v>252.29971220264119</v>
      </c>
      <c r="AI167" s="383">
        <f t="shared" si="69"/>
        <v>262.49599014053609</v>
      </c>
      <c r="AJ167" s="383">
        <f t="shared" si="69"/>
        <v>273.10433388254609</v>
      </c>
      <c r="AK167" s="383">
        <f t="shared" si="69"/>
        <v>284.14139639046323</v>
      </c>
      <c r="AL167" s="383">
        <f t="shared" ref="AL167" si="72">AL160*$C164</f>
        <v>295.62450362814315</v>
      </c>
    </row>
    <row r="168" spans="2:38">
      <c r="B168" s="385" t="s">
        <v>768</v>
      </c>
      <c r="C168" s="386" t="s">
        <v>479</v>
      </c>
      <c r="D168" s="383">
        <f t="shared" si="71"/>
        <v>0</v>
      </c>
      <c r="E168" s="383">
        <f t="shared" si="69"/>
        <v>0</v>
      </c>
      <c r="F168" s="383">
        <f t="shared" si="69"/>
        <v>0</v>
      </c>
      <c r="G168" s="383">
        <f t="shared" si="69"/>
        <v>0</v>
      </c>
      <c r="H168" s="383">
        <f t="shared" si="69"/>
        <v>0</v>
      </c>
      <c r="I168" s="383">
        <f t="shared" si="69"/>
        <v>0</v>
      </c>
      <c r="J168" s="383">
        <f t="shared" si="69"/>
        <v>0</v>
      </c>
      <c r="K168" s="383">
        <f t="shared" si="69"/>
        <v>0</v>
      </c>
      <c r="L168" s="383">
        <f t="shared" si="69"/>
        <v>0</v>
      </c>
      <c r="M168" s="383">
        <f t="shared" si="69"/>
        <v>0</v>
      </c>
      <c r="N168" s="383">
        <f t="shared" si="69"/>
        <v>0</v>
      </c>
      <c r="O168" s="383">
        <f t="shared" si="69"/>
        <v>0</v>
      </c>
      <c r="P168" s="383">
        <f t="shared" si="69"/>
        <v>0</v>
      </c>
      <c r="Q168" s="383">
        <f t="shared" si="69"/>
        <v>0</v>
      </c>
      <c r="R168" s="383">
        <f t="shared" si="69"/>
        <v>0</v>
      </c>
      <c r="S168" s="383">
        <f t="shared" si="69"/>
        <v>0</v>
      </c>
      <c r="T168" s="383">
        <f t="shared" si="69"/>
        <v>0</v>
      </c>
      <c r="U168" s="383">
        <f t="shared" si="69"/>
        <v>0</v>
      </c>
      <c r="V168" s="383">
        <f t="shared" si="69"/>
        <v>0</v>
      </c>
      <c r="W168" s="383">
        <f t="shared" si="69"/>
        <v>0</v>
      </c>
      <c r="X168" s="383">
        <f t="shared" si="69"/>
        <v>0</v>
      </c>
      <c r="Y168" s="383">
        <f t="shared" si="69"/>
        <v>0</v>
      </c>
      <c r="Z168" s="383">
        <f t="shared" si="69"/>
        <v>0</v>
      </c>
      <c r="AA168" s="383">
        <f t="shared" si="69"/>
        <v>0</v>
      </c>
      <c r="AB168" s="383">
        <f t="shared" si="69"/>
        <v>0</v>
      </c>
      <c r="AC168" s="383">
        <f t="shared" si="69"/>
        <v>0</v>
      </c>
      <c r="AD168" s="383">
        <f t="shared" si="69"/>
        <v>0</v>
      </c>
      <c r="AE168" s="383">
        <f t="shared" si="69"/>
        <v>0</v>
      </c>
      <c r="AF168" s="383">
        <f t="shared" si="69"/>
        <v>0</v>
      </c>
      <c r="AG168" s="383">
        <f t="shared" si="69"/>
        <v>0</v>
      </c>
      <c r="AH168" s="383">
        <f t="shared" si="69"/>
        <v>0</v>
      </c>
      <c r="AI168" s="383">
        <f t="shared" si="69"/>
        <v>0</v>
      </c>
      <c r="AJ168" s="383">
        <f t="shared" si="69"/>
        <v>0</v>
      </c>
      <c r="AK168" s="383">
        <f t="shared" si="69"/>
        <v>0</v>
      </c>
      <c r="AL168" s="383">
        <f t="shared" ref="AL168" si="73">AL161*$C165</f>
        <v>0</v>
      </c>
    </row>
    <row r="169" spans="2:38">
      <c r="D169" s="358"/>
      <c r="F169" s="464"/>
      <c r="G169" s="465"/>
      <c r="H169" s="465"/>
    </row>
    <row r="170" spans="2:38">
      <c r="B170" s="358" t="s">
        <v>459</v>
      </c>
      <c r="C170" s="362" t="s">
        <v>292</v>
      </c>
      <c r="D170" s="485">
        <f>SUMPRODUCT($C$153:$C$155,D166:D168)</f>
        <v>7742.286233124044</v>
      </c>
      <c r="E170" s="485">
        <f t="shared" ref="E170:AK170" si="74">SUMPRODUCT($C$153:$C$155,E166:E168)</f>
        <v>8055.177998312678</v>
      </c>
      <c r="F170" s="485">
        <f t="shared" si="74"/>
        <v>8380.7147696112734</v>
      </c>
      <c r="G170" s="485">
        <f t="shared" si="74"/>
        <v>8719.4075741458419</v>
      </c>
      <c r="H170" s="485">
        <f t="shared" si="74"/>
        <v>9071.7880913632744</v>
      </c>
      <c r="I170" s="485">
        <f t="shared" si="74"/>
        <v>9438.4094876609142</v>
      </c>
      <c r="J170" s="485">
        <f t="shared" si="74"/>
        <v>9819.8472847463072</v>
      </c>
      <c r="K170" s="485">
        <f t="shared" si="74"/>
        <v>10216.700263090321</v>
      </c>
      <c r="L170" s="485">
        <f t="shared" si="74"/>
        <v>10629.591401891794</v>
      </c>
      <c r="M170" s="485">
        <f t="shared" si="74"/>
        <v>11059.168857029345</v>
      </c>
      <c r="N170" s="485">
        <f t="shared" si="74"/>
        <v>11506.106978535459</v>
      </c>
      <c r="O170" s="485">
        <f t="shared" si="74"/>
        <v>11971.107369190167</v>
      </c>
      <c r="P170" s="485">
        <f t="shared" si="74"/>
        <v>12454.899985896</v>
      </c>
      <c r="Q170" s="485">
        <f t="shared" si="74"/>
        <v>12958.244285563218</v>
      </c>
      <c r="R170" s="485">
        <f t="shared" si="74"/>
        <v>13481.930417304102</v>
      </c>
      <c r="S170" s="485">
        <f t="shared" si="74"/>
        <v>14026.780462807852</v>
      </c>
      <c r="T170" s="485">
        <f t="shared" si="74"/>
        <v>14593.649726843127</v>
      </c>
      <c r="U170" s="485">
        <f t="shared" si="74"/>
        <v>15183.428079914182</v>
      </c>
      <c r="V170" s="485">
        <f t="shared" si="74"/>
        <v>15797.041355178246</v>
      </c>
      <c r="W170" s="485">
        <f t="shared" si="74"/>
        <v>16435.452801816948</v>
      </c>
      <c r="X170" s="485">
        <f t="shared" si="74"/>
        <v>17099.664597143459</v>
      </c>
      <c r="Y170" s="485">
        <f t="shared" si="74"/>
        <v>17790.719419818877</v>
      </c>
      <c r="Z170" s="485">
        <f t="shared" si="74"/>
        <v>18509.702086647605</v>
      </c>
      <c r="AA170" s="485">
        <f t="shared" si="74"/>
        <v>19257.741255521134</v>
      </c>
      <c r="AB170" s="485">
        <f t="shared" si="74"/>
        <v>20036.011197183405</v>
      </c>
      <c r="AC170" s="485">
        <f t="shared" si="74"/>
        <v>20845.733638599311</v>
      </c>
      <c r="AD170" s="485">
        <f t="shared" si="74"/>
        <v>21688.179680819805</v>
      </c>
      <c r="AE170" s="485">
        <f t="shared" si="74"/>
        <v>22564.671794354319</v>
      </c>
      <c r="AF170" s="485">
        <f t="shared" si="74"/>
        <v>23476.585895183031</v>
      </c>
      <c r="AG170" s="485">
        <f t="shared" si="74"/>
        <v>24425.353504667622</v>
      </c>
      <c r="AH170" s="485">
        <f t="shared" si="74"/>
        <v>25412.463996751318</v>
      </c>
      <c r="AI170" s="485">
        <f t="shared" si="74"/>
        <v>26439.466935975877</v>
      </c>
      <c r="AJ170" s="485">
        <f t="shared" si="74"/>
        <v>27507.974509985583</v>
      </c>
      <c r="AK170" s="485">
        <f t="shared" si="74"/>
        <v>28619.664060336971</v>
      </c>
      <c r="AL170" s="485">
        <f t="shared" ref="AL170" si="75">SUMPRODUCT($C$153:$C$155,AL166:AL168)</f>
        <v>29776.28071558704</v>
      </c>
    </row>
    <row r="171" spans="2:38">
      <c r="D171" s="358"/>
      <c r="F171" s="464"/>
      <c r="G171" s="465"/>
      <c r="H171" s="465"/>
    </row>
    <row r="172" spans="2:38">
      <c r="B172" s="1177" t="s">
        <v>715</v>
      </c>
      <c r="C172" s="358" t="s">
        <v>295</v>
      </c>
      <c r="D172" s="383">
        <f>'West Center'!D32</f>
        <v>7168.6712176562487</v>
      </c>
      <c r="E172" s="383">
        <f>'West Center'!E32</f>
        <v>7458.3812753589791</v>
      </c>
      <c r="F172" s="383">
        <f>'West Center'!F32</f>
        <v>7759.7994885881399</v>
      </c>
      <c r="G172" s="383">
        <f>'West Center'!G32</f>
        <v>8073.3990231941525</v>
      </c>
      <c r="H172" s="383">
        <f>'West Center'!H32</f>
        <v>8399.6721672471267</v>
      </c>
      <c r="I172" s="383">
        <f>'West Center'!I32</f>
        <v>8739.1311038299118</v>
      </c>
      <c r="J172" s="383">
        <f>'West Center'!J32</f>
        <v>9092.3087150623123</v>
      </c>
      <c r="K172" s="383">
        <f>'West Center'!K32</f>
        <v>9459.7594186186379</v>
      </c>
      <c r="L172" s="383">
        <f>'West Center'!L32</f>
        <v>9842.0600380517062</v>
      </c>
      <c r="M172" s="383">
        <f>'West Center'!M32</f>
        <v>10239.810708289584</v>
      </c>
      <c r="N172" s="383">
        <f>'West Center'!N32</f>
        <v>10653.635817726468</v>
      </c>
      <c r="O172" s="383">
        <f>'West Center'!O32</f>
        <v>11084.184988386651</v>
      </c>
      <c r="P172" s="383">
        <f>'West Center'!P32</f>
        <v>11532.134095700176</v>
      </c>
      <c r="Q172" s="383">
        <f>'West Center'!Q32</f>
        <v>11998.186329491042</v>
      </c>
      <c r="R172" s="383">
        <f>'West Center'!R32</f>
        <v>12483.073297843515</v>
      </c>
      <c r="S172" s="383">
        <f>'West Center'!S32</f>
        <v>12987.556175579412</v>
      </c>
      <c r="T172" s="383">
        <f>'West Center'!T32</f>
        <v>13512.426899149126</v>
      </c>
      <c r="U172" s="383">
        <f>'West Center'!U32</f>
        <v>14058.509409812283</v>
      </c>
      <c r="V172" s="383">
        <f>'West Center'!V32</f>
        <v>14626.660947059485</v>
      </c>
      <c r="W172" s="383">
        <f>'West Center'!W32</f>
        <v>15217.773394305512</v>
      </c>
      <c r="X172" s="383">
        <f>'West Center'!X32</f>
        <v>15832.774678966573</v>
      </c>
      <c r="Y172" s="383">
        <f>'West Center'!Y32</f>
        <v>16472.630229119342</v>
      </c>
      <c r="Z172" s="383">
        <f>'West Center'!Z32</f>
        <v>17138.344489028477</v>
      </c>
      <c r="AA172" s="383">
        <f>'West Center'!AA32</f>
        <v>17830.962495921693</v>
      </c>
      <c r="AB172" s="383">
        <f>'West Center'!AB32</f>
        <v>18551.571520487571</v>
      </c>
      <c r="AC172" s="383">
        <f>'West Center'!AC32</f>
        <v>19301.302773671472</v>
      </c>
      <c r="AD172" s="383">
        <f>'West Center'!AD32</f>
        <v>20081.33318244875</v>
      </c>
      <c r="AE172" s="383">
        <f>'West Center'!AE32</f>
        <v>20892.887237362869</v>
      </c>
      <c r="AF172" s="383">
        <f>'West Center'!AF32</f>
        <v>21737.238914728827</v>
      </c>
      <c r="AG172" s="383">
        <f>'West Center'!AG32</f>
        <v>22615.713676519223</v>
      </c>
      <c r="AH172" s="383">
        <f>'West Center'!AH32</f>
        <v>23529.69055107241</v>
      </c>
      <c r="AI172" s="383">
        <f>'West Center'!AI32</f>
        <v>24480.604297889131</v>
      </c>
      <c r="AJ172" s="383">
        <f>'West Center'!AJ32</f>
        <v>25469.947659915713</v>
      </c>
      <c r="AK172" s="383">
        <f>'West Center'!AK32</f>
        <v>26499.273706849726</v>
      </c>
      <c r="AL172" s="383">
        <f>'West Center'!AL32</f>
        <v>27570.198273146394</v>
      </c>
    </row>
    <row r="173" spans="2:38">
      <c r="B173" s="1177" t="s">
        <v>716</v>
      </c>
      <c r="C173" s="358" t="s">
        <v>295</v>
      </c>
      <c r="D173" s="383">
        <f>'West Center'!D33</f>
        <v>1871.5412036771559</v>
      </c>
      <c r="E173" s="383">
        <f>'West Center'!E33</f>
        <v>1947.1764634969829</v>
      </c>
      <c r="F173" s="383">
        <f>'West Center'!F33</f>
        <v>2025.8683979530806</v>
      </c>
      <c r="G173" s="383">
        <f>'West Center'!G33</f>
        <v>2107.7405375238809</v>
      </c>
      <c r="H173" s="383">
        <f>'West Center'!H33</f>
        <v>2192.9214049689467</v>
      </c>
      <c r="I173" s="383">
        <f>'West Center'!I33</f>
        <v>2281.5447170837997</v>
      </c>
      <c r="J173" s="383">
        <f>'West Center'!J33</f>
        <v>2373.7495946083427</v>
      </c>
      <c r="K173" s="383">
        <f>'West Center'!K33</f>
        <v>2469.6807806183856</v>
      </c>
      <c r="L173" s="383">
        <f>'West Center'!L33</f>
        <v>2569.4888677431031</v>
      </c>
      <c r="M173" s="383">
        <f>'West Center'!M33</f>
        <v>2673.3305345651129</v>
      </c>
      <c r="N173" s="383">
        <f>'West Center'!N33</f>
        <v>2781.3687915742762</v>
      </c>
      <c r="O173" s="383">
        <f>'West Center'!O33</f>
        <v>2893.7732370613166</v>
      </c>
      <c r="P173" s="383">
        <f>'West Center'!P33</f>
        <v>3010.7203233529594</v>
      </c>
      <c r="Q173" s="383">
        <f>'West Center'!Q33</f>
        <v>3132.3936338065191</v>
      </c>
      <c r="R173" s="383">
        <f>'West Center'!R33</f>
        <v>3258.9841709987736</v>
      </c>
      <c r="S173" s="383">
        <f>'West Center'!S33</f>
        <v>3390.690656561525</v>
      </c>
      <c r="T173" s="383">
        <f>'West Center'!T33</f>
        <v>3527.7198431345032</v>
      </c>
      <c r="U173" s="383">
        <f>'West Center'!U33</f>
        <v>3670.2868389253513</v>
      </c>
      <c r="V173" s="383">
        <f>'West Center'!V33</f>
        <v>3818.6154453861591</v>
      </c>
      <c r="W173" s="383">
        <f>'West Center'!W33</f>
        <v>3972.9385085366366</v>
      </c>
      <c r="X173" s="383">
        <f>'West Center'!X33</f>
        <v>4133.4982844854458</v>
      </c>
      <c r="Y173" s="383">
        <f>'West Center'!Y33</f>
        <v>4300.546819723465</v>
      </c>
      <c r="Z173" s="383">
        <f>'West Center'!Z33</f>
        <v>4474.3463467859892</v>
      </c>
      <c r="AA173" s="383">
        <f>'West Center'!AA33</f>
        <v>4655.1696959049641</v>
      </c>
      <c r="AB173" s="383">
        <f>'West Center'!AB33</f>
        <v>4843.3007232974542</v>
      </c>
      <c r="AC173" s="383">
        <f>'West Center'!AC33</f>
        <v>5039.034756762715</v>
      </c>
      <c r="AD173" s="383">
        <f>'West Center'!AD33</f>
        <v>5242.6790592873203</v>
      </c>
      <c r="AE173" s="383">
        <f>'West Center'!AE33</f>
        <v>5454.5533113861102</v>
      </c>
      <c r="AF173" s="383">
        <f>'West Center'!AF33</f>
        <v>5674.9901129361979</v>
      </c>
      <c r="AG173" s="383">
        <f>'West Center'!AG33</f>
        <v>5904.3355052917314</v>
      </c>
      <c r="AH173" s="383">
        <f>'West Center'!AH33</f>
        <v>6142.9495144990906</v>
      </c>
      <c r="AI173" s="383">
        <f>'West Center'!AI33</f>
        <v>6391.2067164652271</v>
      </c>
      <c r="AJ173" s="383">
        <f>'West Center'!AJ33</f>
        <v>6649.4968249663398</v>
      </c>
      <c r="AK173" s="383">
        <f>'West Center'!AK33</f>
        <v>6918.2253034199748</v>
      </c>
      <c r="AL173" s="383">
        <f>'West Center'!AL33</f>
        <v>7197.814001380877</v>
      </c>
    </row>
    <row r="174" spans="2:38">
      <c r="D174" s="358"/>
      <c r="F174" s="464"/>
      <c r="G174" s="465"/>
      <c r="H174" s="465"/>
    </row>
    <row r="175" spans="2:38">
      <c r="B175" s="358" t="s">
        <v>208</v>
      </c>
      <c r="C175" s="362" t="s">
        <v>292</v>
      </c>
      <c r="D175" s="485">
        <f>SUMPRODUCT(D172:D173,D$150:D$151)</f>
        <v>19548.108225355762</v>
      </c>
      <c r="E175" s="485">
        <f t="shared" ref="E175:AK175" si="76">SUMPRODUCT(E172:E173,E$150:E$151)</f>
        <v>20472.280126634963</v>
      </c>
      <c r="F175" s="485">
        <f t="shared" si="76"/>
        <v>21299.613129343448</v>
      </c>
      <c r="G175" s="485">
        <f t="shared" si="76"/>
        <v>22040.505251998038</v>
      </c>
      <c r="H175" s="485">
        <f t="shared" si="76"/>
        <v>23260.175057149816</v>
      </c>
      <c r="I175" s="485">
        <f t="shared" si="76"/>
        <v>24564.208234180871</v>
      </c>
      <c r="J175" s="485">
        <f t="shared" si="76"/>
        <v>25910.309756927454</v>
      </c>
      <c r="K175" s="485">
        <f t="shared" si="76"/>
        <v>27246.089992629139</v>
      </c>
      <c r="L175" s="485">
        <f t="shared" si="76"/>
        <v>28814.738338756404</v>
      </c>
      <c r="M175" s="485">
        <f t="shared" si="76"/>
        <v>31063.672028524081</v>
      </c>
      <c r="N175" s="485">
        <f t="shared" si="76"/>
        <v>32672.540053584278</v>
      </c>
      <c r="O175" s="485">
        <f t="shared" si="76"/>
        <v>34381.366504094454</v>
      </c>
      <c r="P175" s="485">
        <f t="shared" si="76"/>
        <v>36558.790600304928</v>
      </c>
      <c r="Q175" s="485">
        <f t="shared" si="76"/>
        <v>38719.455870675913</v>
      </c>
      <c r="R175" s="485">
        <f t="shared" si="76"/>
        <v>40810.626749799791</v>
      </c>
      <c r="S175" s="485">
        <f t="shared" si="76"/>
        <v>43080.773979731683</v>
      </c>
      <c r="T175" s="485">
        <f t="shared" si="76"/>
        <v>45077.807647645852</v>
      </c>
      <c r="U175" s="485">
        <f t="shared" si="76"/>
        <v>47514.269887712871</v>
      </c>
      <c r="V175" s="485">
        <f t="shared" si="76"/>
        <v>50193.50759881892</v>
      </c>
      <c r="W175" s="485">
        <f t="shared" si="76"/>
        <v>52434.146142720245</v>
      </c>
      <c r="X175" s="485">
        <f t="shared" si="76"/>
        <v>55046.80508044915</v>
      </c>
      <c r="Y175" s="485">
        <f t="shared" si="76"/>
        <v>58337.901167645112</v>
      </c>
      <c r="Z175" s="485">
        <f t="shared" si="76"/>
        <v>61290.116161340171</v>
      </c>
      <c r="AA175" s="485">
        <f t="shared" si="76"/>
        <v>64395.633911682002</v>
      </c>
      <c r="AB175" s="485">
        <f t="shared" si="76"/>
        <v>68065.023230177947</v>
      </c>
      <c r="AC175" s="485">
        <f t="shared" si="76"/>
        <v>71077.089710952656</v>
      </c>
      <c r="AD175" s="485">
        <f t="shared" si="76"/>
        <v>75332.277795472808</v>
      </c>
      <c r="AE175" s="485">
        <f t="shared" si="76"/>
        <v>79412.066529483738</v>
      </c>
      <c r="AF175" s="485">
        <f t="shared" si="76"/>
        <v>83447.69359235547</v>
      </c>
      <c r="AG175" s="485">
        <f t="shared" si="76"/>
        <v>87568.092013533067</v>
      </c>
      <c r="AH175" s="485">
        <f t="shared" si="76"/>
        <v>92038.907872331663</v>
      </c>
      <c r="AI175" s="485">
        <f t="shared" si="76"/>
        <v>96734.537393449122</v>
      </c>
      <c r="AJ175" s="485">
        <f t="shared" si="76"/>
        <v>101666.17486642665</v>
      </c>
      <c r="AK175" s="485">
        <f t="shared" si="76"/>
        <v>106845.56839323384</v>
      </c>
      <c r="AL175" s="485">
        <f t="shared" ref="AL175" si="77">SUMPRODUCT(AL172:AL173,AL$150:AL$151)</f>
        <v>112285.04716888067</v>
      </c>
    </row>
    <row r="177" spans="1:38" ht="13">
      <c r="B177" s="364" t="s">
        <v>527</v>
      </c>
      <c r="C177" s="387" t="s">
        <v>292</v>
      </c>
      <c r="D177" s="488">
        <f>D170+D175</f>
        <v>27290.394458479805</v>
      </c>
      <c r="E177" s="488">
        <f t="shared" ref="E177:AK177" si="78">E170+E175</f>
        <v>28527.45812494764</v>
      </c>
      <c r="F177" s="488">
        <f t="shared" si="78"/>
        <v>29680.327898954722</v>
      </c>
      <c r="G177" s="488">
        <f t="shared" si="78"/>
        <v>30759.912826143882</v>
      </c>
      <c r="H177" s="488">
        <f t="shared" si="78"/>
        <v>32331.963148513089</v>
      </c>
      <c r="I177" s="488">
        <f t="shared" si="78"/>
        <v>34002.617721841787</v>
      </c>
      <c r="J177" s="488">
        <f t="shared" si="78"/>
        <v>35730.15704167376</v>
      </c>
      <c r="K177" s="488">
        <f t="shared" si="78"/>
        <v>37462.790255719461</v>
      </c>
      <c r="L177" s="488">
        <f t="shared" si="78"/>
        <v>39444.329740648202</v>
      </c>
      <c r="M177" s="488">
        <f t="shared" si="78"/>
        <v>42122.840885553422</v>
      </c>
      <c r="N177" s="488">
        <f t="shared" si="78"/>
        <v>44178.647032119741</v>
      </c>
      <c r="O177" s="488">
        <f t="shared" si="78"/>
        <v>46352.473873284624</v>
      </c>
      <c r="P177" s="488">
        <f t="shared" si="78"/>
        <v>49013.69058620093</v>
      </c>
      <c r="Q177" s="488">
        <f t="shared" si="78"/>
        <v>51677.700156239131</v>
      </c>
      <c r="R177" s="488">
        <f t="shared" si="78"/>
        <v>54292.557167103892</v>
      </c>
      <c r="S177" s="488">
        <f t="shared" si="78"/>
        <v>57107.554442539535</v>
      </c>
      <c r="T177" s="488">
        <f t="shared" si="78"/>
        <v>59671.457374488979</v>
      </c>
      <c r="U177" s="488">
        <f t="shared" si="78"/>
        <v>62697.697967627057</v>
      </c>
      <c r="V177" s="488">
        <f t="shared" si="78"/>
        <v>65990.54895399716</v>
      </c>
      <c r="W177" s="488">
        <f t="shared" si="78"/>
        <v>68869.598944537196</v>
      </c>
      <c r="X177" s="488">
        <f t="shared" si="78"/>
        <v>72146.469677592613</v>
      </c>
      <c r="Y177" s="488">
        <f t="shared" si="78"/>
        <v>76128.620587463985</v>
      </c>
      <c r="Z177" s="488">
        <f t="shared" si="78"/>
        <v>79799.818247987772</v>
      </c>
      <c r="AA177" s="488">
        <f t="shared" si="78"/>
        <v>83653.375167203136</v>
      </c>
      <c r="AB177" s="488">
        <f t="shared" si="78"/>
        <v>88101.034427361359</v>
      </c>
      <c r="AC177" s="488">
        <f t="shared" si="78"/>
        <v>91922.823349551967</v>
      </c>
      <c r="AD177" s="488">
        <f t="shared" si="78"/>
        <v>97020.45747629262</v>
      </c>
      <c r="AE177" s="488">
        <f t="shared" si="78"/>
        <v>101976.73832383806</v>
      </c>
      <c r="AF177" s="488">
        <f t="shared" si="78"/>
        <v>106924.2794875385</v>
      </c>
      <c r="AG177" s="488">
        <f t="shared" si="78"/>
        <v>111993.44551820069</v>
      </c>
      <c r="AH177" s="488">
        <f t="shared" si="78"/>
        <v>117451.37186908298</v>
      </c>
      <c r="AI177" s="488">
        <f t="shared" si="78"/>
        <v>123174.00432942499</v>
      </c>
      <c r="AJ177" s="488">
        <f t="shared" si="78"/>
        <v>129174.14937641223</v>
      </c>
      <c r="AK177" s="488">
        <f t="shared" si="78"/>
        <v>135465.23245357082</v>
      </c>
      <c r="AL177" s="488">
        <f t="shared" ref="AL177" si="79">AL170+AL175</f>
        <v>142061.32788446773</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'West Center'!D48</f>
        <v>20052.227182255243</v>
      </c>
      <c r="E181" s="383">
        <f>'West Center'!E48</f>
        <v>20862.604966039104</v>
      </c>
      <c r="F181" s="383">
        <f>'West Center'!F48</f>
        <v>21705.73283521158</v>
      </c>
      <c r="G181" s="383">
        <f>'West Center'!G48</f>
        <v>22582.934330613014</v>
      </c>
      <c r="H181" s="383">
        <f>'West Center'!H48</f>
        <v>17621.689861357612</v>
      </c>
      <c r="I181" s="383">
        <f>'West Center'!I48</f>
        <v>18333.841476566242</v>
      </c>
      <c r="J181" s="383">
        <f>'West Center'!J48</f>
        <v>19074.773528102756</v>
      </c>
      <c r="K181" s="383">
        <f>'West Center'!K48</f>
        <v>19845.649129969177</v>
      </c>
      <c r="L181" s="383">
        <f>'West Center'!L48</f>
        <v>20647.678401507077</v>
      </c>
      <c r="M181" s="383">
        <f>'West Center'!M48</f>
        <v>21482.12036704108</v>
      </c>
      <c r="N181" s="383">
        <f>'West Center'!N48</f>
        <v>22350.284932293285</v>
      </c>
      <c r="O181" s="383">
        <f>'West Center'!O48</f>
        <v>23253.534940671307</v>
      </c>
      <c r="P181" s="383">
        <f>'West Center'!P48</f>
        <v>24193.288312657718</v>
      </c>
      <c r="Q181" s="383">
        <f>'West Center'!Q48</f>
        <v>25171.02027165953</v>
      </c>
      <c r="R181" s="383">
        <f>'West Center'!R48</f>
        <v>26188.265659811572</v>
      </c>
      <c r="S181" s="383">
        <f>'West Center'!S48</f>
        <v>27246.621347369401</v>
      </c>
      <c r="T181" s="383">
        <f>'West Center'!T48</f>
        <v>28347.748739473696</v>
      </c>
      <c r="U181" s="383">
        <f>'West Center'!U48</f>
        <v>29493.376384221574</v>
      </c>
      <c r="V181" s="383">
        <f>'West Center'!V48</f>
        <v>30685.302686138781</v>
      </c>
      <c r="W181" s="383">
        <f>'West Center'!W48</f>
        <v>31925.398729312252</v>
      </c>
      <c r="X181" s="383">
        <f>'West Center'!X48</f>
        <v>33215.611214615186</v>
      </c>
      <c r="Y181" s="383">
        <f>'West Center'!Y48</f>
        <v>34557.965515634991</v>
      </c>
      <c r="Z181" s="383">
        <f>'West Center'!Z48</f>
        <v>35954.568858101709</v>
      </c>
      <c r="AA181" s="383">
        <f>'West Center'!AA48</f>
        <v>37407.613627807747</v>
      </c>
      <c r="AB181" s="383">
        <f>'West Center'!AB48</f>
        <v>38919.380812211682</v>
      </c>
      <c r="AC181" s="383">
        <f>'West Center'!AC48</f>
        <v>40492.243581128976</v>
      </c>
      <c r="AD181" s="383">
        <f>'West Center'!AD48</f>
        <v>42128.671012130246</v>
      </c>
      <c r="AE181" s="383">
        <f>'West Center'!AE48</f>
        <v>43831.231966495528</v>
      </c>
      <c r="AF181" s="383">
        <f>'West Center'!AF48</f>
        <v>45602.599121808737</v>
      </c>
      <c r="AG181" s="383">
        <f>'West Center'!AG48</f>
        <v>47445.553167522827</v>
      </c>
      <c r="AH181" s="383">
        <f>'West Center'!AH48</f>
        <v>49362.987170081971</v>
      </c>
      <c r="AI181" s="383">
        <f>'West Center'!AI48</f>
        <v>51357.911114452727</v>
      </c>
      <c r="AJ181" s="383">
        <f>'West Center'!AJ48</f>
        <v>53433.456629193795</v>
      </c>
      <c r="AK181" s="383">
        <f>'West Center'!AK48</f>
        <v>55592.881902481931</v>
      </c>
      <c r="AL181" s="383">
        <f>'West Center'!AL48</f>
        <v>57839.576796810637</v>
      </c>
    </row>
    <row r="182" spans="1:38">
      <c r="B182" s="385" t="s">
        <v>509</v>
      </c>
      <c r="C182" s="386" t="s">
        <v>443</v>
      </c>
      <c r="D182" s="383">
        <f>'West Center'!D49</f>
        <v>2228.0252424728046</v>
      </c>
      <c r="E182" s="383">
        <f>'West Center'!E49</f>
        <v>2318.0672184487894</v>
      </c>
      <c r="F182" s="383">
        <f>'West Center'!F49</f>
        <v>2411.7480928012865</v>
      </c>
      <c r="G182" s="383">
        <f>'West Center'!G49</f>
        <v>2509.214925623668</v>
      </c>
      <c r="H182" s="383">
        <f>'West Center'!H49</f>
        <v>1957.965540150846</v>
      </c>
      <c r="I182" s="383">
        <f>'West Center'!I49</f>
        <v>2037.0934973962494</v>
      </c>
      <c r="J182" s="383">
        <f>'West Center'!J49</f>
        <v>2119.4192809003066</v>
      </c>
      <c r="K182" s="383">
        <f>'West Center'!K49</f>
        <v>2205.0721255521307</v>
      </c>
      <c r="L182" s="383">
        <f>'West Center'!L49</f>
        <v>2294.186489056342</v>
      </c>
      <c r="M182" s="383">
        <f>'West Center'!M49</f>
        <v>2386.9022630045647</v>
      </c>
      <c r="N182" s="383">
        <f>'West Center'!N49</f>
        <v>2483.364992477032</v>
      </c>
      <c r="O182" s="383">
        <f>'West Center'!O49</f>
        <v>2583.7261045190339</v>
      </c>
      <c r="P182" s="383">
        <f>'West Center'!P49</f>
        <v>2688.1431458508578</v>
      </c>
      <c r="Q182" s="383">
        <f>'West Center'!Q49</f>
        <v>2796.7800301843927</v>
      </c>
      <c r="R182" s="383">
        <f>'West Center'!R49</f>
        <v>2909.8072955346192</v>
      </c>
      <c r="S182" s="383">
        <f>'West Center'!S49</f>
        <v>3027.4023719299335</v>
      </c>
      <c r="T182" s="383">
        <f>'West Center'!T49</f>
        <v>3149.7498599415221</v>
      </c>
      <c r="U182" s="383">
        <f>'West Center'!U49</f>
        <v>3277.0418204690636</v>
      </c>
      <c r="V182" s="383">
        <f>'West Center'!V49</f>
        <v>3409.4780762376427</v>
      </c>
      <c r="W182" s="383">
        <f>'West Center'!W49</f>
        <v>3547.2665254791391</v>
      </c>
      <c r="X182" s="383">
        <f>'West Center'!X49</f>
        <v>3690.6234682905765</v>
      </c>
      <c r="Y182" s="383">
        <f>'West Center'!Y49</f>
        <v>3839.7739461816659</v>
      </c>
      <c r="Z182" s="383">
        <f>'West Center'!Z49</f>
        <v>3994.9520953446345</v>
      </c>
      <c r="AA182" s="383">
        <f>'West Center'!AA49</f>
        <v>4156.4015142008602</v>
      </c>
      <c r="AB182" s="383">
        <f>'West Center'!AB49</f>
        <v>4324.3756458012977</v>
      </c>
      <c r="AC182" s="383">
        <f>'West Center'!AC49</f>
        <v>4499.1381756809969</v>
      </c>
      <c r="AD182" s="383">
        <f>'West Center'!AD49</f>
        <v>4680.9634457922502</v>
      </c>
      <c r="AE182" s="383">
        <f>'West Center'!AE49</f>
        <v>4870.13688516617</v>
      </c>
      <c r="AF182" s="383">
        <f>'West Center'!AF49</f>
        <v>5066.9554579787482</v>
      </c>
      <c r="AG182" s="383">
        <f>'West Center'!AG49</f>
        <v>5271.7281297247591</v>
      </c>
      <c r="AH182" s="383">
        <f>'West Center'!AH49</f>
        <v>5484.7763522313307</v>
      </c>
      <c r="AI182" s="383">
        <f>'West Center'!AI49</f>
        <v>5706.4345682725252</v>
      </c>
      <c r="AJ182" s="383">
        <f>'West Center'!AJ49</f>
        <v>5937.0507365770891</v>
      </c>
      <c r="AK182" s="383">
        <f>'West Center'!AK49</f>
        <v>6176.986878053548</v>
      </c>
      <c r="AL182" s="383">
        <f>'West Center'!AL49</f>
        <v>6426.6196440900712</v>
      </c>
    </row>
    <row r="183" spans="1:38">
      <c r="B183" s="358" t="s">
        <v>769</v>
      </c>
      <c r="C183" s="358" t="s">
        <v>443</v>
      </c>
      <c r="D183" s="383">
        <f>'West Center'!D50</f>
        <v>0</v>
      </c>
      <c r="E183" s="383">
        <f>'West Center'!E50</f>
        <v>0</v>
      </c>
      <c r="F183" s="383">
        <f>'West Center'!F50</f>
        <v>0</v>
      </c>
      <c r="G183" s="383">
        <f>'West Center'!G50</f>
        <v>0</v>
      </c>
      <c r="H183" s="383">
        <f>'West Center'!H50</f>
        <v>0</v>
      </c>
      <c r="I183" s="383">
        <f>'West Center'!I50</f>
        <v>0</v>
      </c>
      <c r="J183" s="383">
        <f>'West Center'!J50</f>
        <v>0</v>
      </c>
      <c r="K183" s="383">
        <f>'West Center'!K50</f>
        <v>0</v>
      </c>
      <c r="L183" s="383">
        <f>'West Center'!L50</f>
        <v>0</v>
      </c>
      <c r="M183" s="383">
        <f>'West Center'!M50</f>
        <v>0</v>
      </c>
      <c r="N183" s="383">
        <f>'West Center'!N50</f>
        <v>0</v>
      </c>
      <c r="O183" s="383">
        <f>'West Center'!O50</f>
        <v>0</v>
      </c>
      <c r="P183" s="383">
        <f>'West Center'!P50</f>
        <v>0</v>
      </c>
      <c r="Q183" s="383">
        <f>'West Center'!Q50</f>
        <v>0</v>
      </c>
      <c r="R183" s="383">
        <f>'West Center'!R50</f>
        <v>0</v>
      </c>
      <c r="S183" s="383">
        <f>'West Center'!S50</f>
        <v>0</v>
      </c>
      <c r="T183" s="383">
        <f>'West Center'!T50</f>
        <v>0</v>
      </c>
      <c r="U183" s="383">
        <f>'West Center'!U50</f>
        <v>0</v>
      </c>
      <c r="V183" s="383">
        <f>'West Center'!V50</f>
        <v>0</v>
      </c>
      <c r="W183" s="383">
        <f>'West Center'!W50</f>
        <v>0</v>
      </c>
      <c r="X183" s="383">
        <f>'West Center'!X50</f>
        <v>0</v>
      </c>
      <c r="Y183" s="383">
        <f>'West Center'!Y50</f>
        <v>0</v>
      </c>
      <c r="Z183" s="383">
        <f>'West Center'!Z50</f>
        <v>0</v>
      </c>
      <c r="AA183" s="383">
        <f>'West Center'!AA50</f>
        <v>0</v>
      </c>
      <c r="AB183" s="383">
        <f>'West Center'!AB50</f>
        <v>0</v>
      </c>
      <c r="AC183" s="383">
        <f>'West Center'!AC50</f>
        <v>0</v>
      </c>
      <c r="AD183" s="383">
        <f>'West Center'!AD50</f>
        <v>0</v>
      </c>
      <c r="AE183" s="383">
        <f>'West Center'!AE50</f>
        <v>0</v>
      </c>
      <c r="AF183" s="383">
        <f>'West Center'!AF50</f>
        <v>0</v>
      </c>
      <c r="AG183" s="383">
        <f>'West Center'!AG50</f>
        <v>0</v>
      </c>
      <c r="AH183" s="383">
        <f>'West Center'!AH50</f>
        <v>0</v>
      </c>
      <c r="AI183" s="383">
        <f>'West Center'!AI50</f>
        <v>0</v>
      </c>
      <c r="AJ183" s="383">
        <f>'West Center'!AJ50</f>
        <v>0</v>
      </c>
      <c r="AK183" s="383">
        <f>'West Center'!AK50</f>
        <v>0</v>
      </c>
      <c r="AL183" s="383">
        <f>'West Center'!AL50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691.80183778780577</v>
      </c>
      <c r="E185" s="383">
        <f t="shared" ref="E185:AK187" si="80">E181*$C163</f>
        <v>719.75987132834894</v>
      </c>
      <c r="F185" s="383">
        <f t="shared" si="80"/>
        <v>748.84778281479942</v>
      </c>
      <c r="G185" s="383">
        <f t="shared" si="80"/>
        <v>779.11123440614892</v>
      </c>
      <c r="H185" s="383">
        <f t="shared" si="80"/>
        <v>607.94830021683754</v>
      </c>
      <c r="I185" s="383">
        <f t="shared" si="80"/>
        <v>632.51753094153526</v>
      </c>
      <c r="J185" s="383">
        <f t="shared" si="80"/>
        <v>658.07968671954507</v>
      </c>
      <c r="K185" s="383">
        <f t="shared" si="80"/>
        <v>684.6748949839365</v>
      </c>
      <c r="L185" s="383">
        <f t="shared" si="80"/>
        <v>712.3449048519941</v>
      </c>
      <c r="M185" s="383">
        <f t="shared" si="80"/>
        <v>741.13315266291715</v>
      </c>
      <c r="N185" s="383">
        <f t="shared" si="80"/>
        <v>771.08483016411822</v>
      </c>
      <c r="O185" s="383">
        <f t="shared" si="80"/>
        <v>802.24695545316001</v>
      </c>
      <c r="P185" s="383">
        <f t="shared" si="80"/>
        <v>834.66844678669122</v>
      </c>
      <c r="Q185" s="383">
        <f t="shared" si="80"/>
        <v>868.40019937225372</v>
      </c>
      <c r="R185" s="383">
        <f t="shared" si="80"/>
        <v>903.49516526349908</v>
      </c>
      <c r="S185" s="383">
        <f t="shared" si="80"/>
        <v>940.00843648424416</v>
      </c>
      <c r="T185" s="383">
        <f t="shared" si="80"/>
        <v>977.99733151184239</v>
      </c>
      <c r="U185" s="383">
        <f t="shared" si="80"/>
        <v>1017.5214852556442</v>
      </c>
      <c r="V185" s="383">
        <f t="shared" si="80"/>
        <v>1058.6429426717878</v>
      </c>
      <c r="W185" s="383">
        <f t="shared" si="80"/>
        <v>1101.4262561612725</v>
      </c>
      <c r="X185" s="383">
        <f t="shared" si="80"/>
        <v>1145.9385869042237</v>
      </c>
      <c r="Y185" s="383">
        <f t="shared" si="80"/>
        <v>1192.2498102894072</v>
      </c>
      <c r="Z185" s="383">
        <f t="shared" si="80"/>
        <v>1240.4326256045088</v>
      </c>
      <c r="AA185" s="383">
        <f t="shared" si="80"/>
        <v>1290.5626701593671</v>
      </c>
      <c r="AB185" s="383">
        <f t="shared" si="80"/>
        <v>1342.7186380213029</v>
      </c>
      <c r="AC185" s="383">
        <f t="shared" si="80"/>
        <v>1396.9824035489496</v>
      </c>
      <c r="AD185" s="383">
        <f t="shared" si="80"/>
        <v>1453.4391499184933</v>
      </c>
      <c r="AE185" s="383">
        <f t="shared" si="80"/>
        <v>1512.1775028440954</v>
      </c>
      <c r="AF185" s="383">
        <f t="shared" si="80"/>
        <v>1573.2896697024012</v>
      </c>
      <c r="AG185" s="383">
        <f t="shared" si="80"/>
        <v>1636.8715842795373</v>
      </c>
      <c r="AH185" s="383">
        <f t="shared" si="80"/>
        <v>1703.0230573678277</v>
      </c>
      <c r="AI185" s="383">
        <f t="shared" si="80"/>
        <v>1771.847933448619</v>
      </c>
      <c r="AJ185" s="383">
        <f t="shared" si="80"/>
        <v>1843.4542537071857</v>
      </c>
      <c r="AK185" s="383">
        <f t="shared" si="80"/>
        <v>1917.9544256356264</v>
      </c>
      <c r="AL185" s="383">
        <f t="shared" ref="AL185" si="81">AL181*$C163</f>
        <v>1995.4653994899668</v>
      </c>
    </row>
    <row r="186" spans="1:38">
      <c r="B186" s="385" t="s">
        <v>501</v>
      </c>
      <c r="C186" s="386" t="s">
        <v>479</v>
      </c>
      <c r="D186" s="383">
        <f>D182*$C164</f>
        <v>76.866870865311753</v>
      </c>
      <c r="E186" s="383">
        <f t="shared" si="80"/>
        <v>79.973319036483218</v>
      </c>
      <c r="F186" s="383">
        <f t="shared" si="80"/>
        <v>83.205309201644368</v>
      </c>
      <c r="G186" s="383">
        <f t="shared" si="80"/>
        <v>86.567914934016542</v>
      </c>
      <c r="H186" s="383">
        <f t="shared" si="80"/>
        <v>67.54981113520418</v>
      </c>
      <c r="I186" s="383">
        <f t="shared" si="80"/>
        <v>70.279725660170598</v>
      </c>
      <c r="J186" s="383">
        <f t="shared" si="80"/>
        <v>73.119965191060572</v>
      </c>
      <c r="K186" s="383">
        <f t="shared" si="80"/>
        <v>76.074988331548496</v>
      </c>
      <c r="L186" s="383">
        <f t="shared" si="80"/>
        <v>79.149433872443794</v>
      </c>
      <c r="M186" s="383">
        <f t="shared" si="80"/>
        <v>82.348128073657477</v>
      </c>
      <c r="N186" s="383">
        <f t="shared" si="80"/>
        <v>85.676092240457592</v>
      </c>
      <c r="O186" s="383">
        <f t="shared" si="80"/>
        <v>89.138550605906659</v>
      </c>
      <c r="P186" s="383">
        <f t="shared" si="80"/>
        <v>92.740938531854582</v>
      </c>
      <c r="Q186" s="383">
        <f t="shared" si="80"/>
        <v>96.488911041361533</v>
      </c>
      <c r="R186" s="383">
        <f t="shared" si="80"/>
        <v>100.38835169594435</v>
      </c>
      <c r="S186" s="383">
        <f t="shared" si="80"/>
        <v>104.44538183158269</v>
      </c>
      <c r="T186" s="383">
        <f t="shared" si="80"/>
        <v>108.66637016798251</v>
      </c>
      <c r="U186" s="383">
        <f t="shared" si="80"/>
        <v>113.05794280618268</v>
      </c>
      <c r="V186" s="383">
        <f t="shared" si="80"/>
        <v>117.62699363019865</v>
      </c>
      <c r="W186" s="383">
        <f t="shared" si="80"/>
        <v>122.38069512903029</v>
      </c>
      <c r="X186" s="383">
        <f t="shared" si="80"/>
        <v>127.32650965602487</v>
      </c>
      <c r="Y186" s="383">
        <f t="shared" si="80"/>
        <v>132.47220114326745</v>
      </c>
      <c r="Z186" s="383">
        <f t="shared" si="80"/>
        <v>137.82584728938988</v>
      </c>
      <c r="AA186" s="383">
        <f t="shared" si="80"/>
        <v>143.39585223992967</v>
      </c>
      <c r="AB186" s="383">
        <f t="shared" si="80"/>
        <v>149.19095978014474</v>
      </c>
      <c r="AC186" s="383">
        <f t="shared" si="80"/>
        <v>155.22026706099439</v>
      </c>
      <c r="AD186" s="383">
        <f t="shared" si="80"/>
        <v>161.4932388798326</v>
      </c>
      <c r="AE186" s="383">
        <f t="shared" si="80"/>
        <v>168.01972253823286</v>
      </c>
      <c r="AF186" s="383">
        <f t="shared" si="80"/>
        <v>174.80996330026679</v>
      </c>
      <c r="AG186" s="383">
        <f t="shared" si="80"/>
        <v>181.87462047550417</v>
      </c>
      <c r="AH186" s="383">
        <f t="shared" si="80"/>
        <v>189.22478415198088</v>
      </c>
      <c r="AI186" s="383">
        <f t="shared" si="80"/>
        <v>196.87199260540208</v>
      </c>
      <c r="AJ186" s="383">
        <f t="shared" si="80"/>
        <v>204.82825041190955</v>
      </c>
      <c r="AK186" s="383">
        <f t="shared" si="80"/>
        <v>213.10604729284739</v>
      </c>
      <c r="AL186" s="383">
        <f t="shared" ref="AL186" si="82">AL182*$C164</f>
        <v>221.71837772110743</v>
      </c>
    </row>
    <row r="187" spans="1:38">
      <c r="B187" s="385" t="s">
        <v>768</v>
      </c>
      <c r="C187" s="386" t="s">
        <v>479</v>
      </c>
      <c r="D187" s="383">
        <f>D183*$C165</f>
        <v>0</v>
      </c>
      <c r="E187" s="383">
        <f t="shared" si="80"/>
        <v>0</v>
      </c>
      <c r="F187" s="383">
        <f t="shared" si="80"/>
        <v>0</v>
      </c>
      <c r="G187" s="383">
        <f t="shared" si="80"/>
        <v>0</v>
      </c>
      <c r="H187" s="383">
        <f t="shared" si="80"/>
        <v>0</v>
      </c>
      <c r="I187" s="383">
        <f t="shared" si="80"/>
        <v>0</v>
      </c>
      <c r="J187" s="383">
        <f t="shared" si="80"/>
        <v>0</v>
      </c>
      <c r="K187" s="383">
        <f t="shared" si="80"/>
        <v>0</v>
      </c>
      <c r="L187" s="383">
        <f t="shared" si="80"/>
        <v>0</v>
      </c>
      <c r="M187" s="383">
        <f t="shared" si="80"/>
        <v>0</v>
      </c>
      <c r="N187" s="383">
        <f t="shared" si="80"/>
        <v>0</v>
      </c>
      <c r="O187" s="383">
        <f t="shared" si="80"/>
        <v>0</v>
      </c>
      <c r="P187" s="383">
        <f t="shared" si="80"/>
        <v>0</v>
      </c>
      <c r="Q187" s="383">
        <f t="shared" si="80"/>
        <v>0</v>
      </c>
      <c r="R187" s="383">
        <f t="shared" si="80"/>
        <v>0</v>
      </c>
      <c r="S187" s="383">
        <f t="shared" si="80"/>
        <v>0</v>
      </c>
      <c r="T187" s="383">
        <f t="shared" si="80"/>
        <v>0</v>
      </c>
      <c r="U187" s="383">
        <f t="shared" si="80"/>
        <v>0</v>
      </c>
      <c r="V187" s="383">
        <f t="shared" si="80"/>
        <v>0</v>
      </c>
      <c r="W187" s="383">
        <f t="shared" si="80"/>
        <v>0</v>
      </c>
      <c r="X187" s="383">
        <f t="shared" si="80"/>
        <v>0</v>
      </c>
      <c r="Y187" s="383">
        <f t="shared" si="80"/>
        <v>0</v>
      </c>
      <c r="Z187" s="383">
        <f t="shared" si="80"/>
        <v>0</v>
      </c>
      <c r="AA187" s="383">
        <f t="shared" si="80"/>
        <v>0</v>
      </c>
      <c r="AB187" s="383">
        <f t="shared" si="80"/>
        <v>0</v>
      </c>
      <c r="AC187" s="383">
        <f t="shared" si="80"/>
        <v>0</v>
      </c>
      <c r="AD187" s="383">
        <f t="shared" si="80"/>
        <v>0</v>
      </c>
      <c r="AE187" s="383">
        <f t="shared" si="80"/>
        <v>0</v>
      </c>
      <c r="AF187" s="383">
        <f t="shared" si="80"/>
        <v>0</v>
      </c>
      <c r="AG187" s="383">
        <f t="shared" si="80"/>
        <v>0</v>
      </c>
      <c r="AH187" s="383">
        <f t="shared" si="80"/>
        <v>0</v>
      </c>
      <c r="AI187" s="383">
        <f t="shared" si="80"/>
        <v>0</v>
      </c>
      <c r="AJ187" s="383">
        <f t="shared" si="80"/>
        <v>0</v>
      </c>
      <c r="AK187" s="383">
        <f t="shared" si="80"/>
        <v>0</v>
      </c>
      <c r="AL187" s="383">
        <f t="shared" ref="AL187" si="83">AL183*$C165</f>
        <v>0</v>
      </c>
    </row>
    <row r="188" spans="1:38">
      <c r="D188" s="358"/>
      <c r="F188" s="464"/>
      <c r="G188" s="465"/>
      <c r="H188" s="465"/>
    </row>
    <row r="189" spans="1:38">
      <c r="B189" s="358" t="s">
        <v>459</v>
      </c>
      <c r="C189" s="362" t="s">
        <v>292</v>
      </c>
      <c r="D189" s="485">
        <f>SUMPRODUCT($C$153:$C$155,D185:D187)</f>
        <v>7742.286233124044</v>
      </c>
      <c r="E189" s="485">
        <f t="shared" ref="E189:AK189" si="84">SUMPRODUCT($C$153:$C$155,E185:E187)</f>
        <v>8055.177998312678</v>
      </c>
      <c r="F189" s="485">
        <f t="shared" si="84"/>
        <v>8380.7147696112734</v>
      </c>
      <c r="G189" s="485">
        <f t="shared" si="84"/>
        <v>8719.4075741458419</v>
      </c>
      <c r="H189" s="485">
        <f t="shared" si="84"/>
        <v>6803.841068522459</v>
      </c>
      <c r="I189" s="485">
        <f t="shared" si="84"/>
        <v>7078.8071157456834</v>
      </c>
      <c r="J189" s="485">
        <f t="shared" si="84"/>
        <v>7364.8854635597309</v>
      </c>
      <c r="K189" s="485">
        <f t="shared" si="84"/>
        <v>7662.525197317741</v>
      </c>
      <c r="L189" s="485">
        <f t="shared" si="84"/>
        <v>7972.1935514188453</v>
      </c>
      <c r="M189" s="485">
        <f t="shared" si="84"/>
        <v>8294.3766427720057</v>
      </c>
      <c r="N189" s="485">
        <f t="shared" si="84"/>
        <v>8629.5802339015936</v>
      </c>
      <c r="O189" s="485">
        <f t="shared" si="84"/>
        <v>8978.3305268926288</v>
      </c>
      <c r="P189" s="485">
        <f t="shared" si="84"/>
        <v>9341.1749894220011</v>
      </c>
      <c r="Q189" s="485">
        <f t="shared" si="84"/>
        <v>9718.6832141724153</v>
      </c>
      <c r="R189" s="485">
        <f t="shared" si="84"/>
        <v>10111.447812978076</v>
      </c>
      <c r="S189" s="485">
        <f t="shared" si="84"/>
        <v>10520.085347105891</v>
      </c>
      <c r="T189" s="485">
        <f t="shared" si="84"/>
        <v>10945.237295132345</v>
      </c>
      <c r="U189" s="485">
        <f t="shared" si="84"/>
        <v>11387.571059935635</v>
      </c>
      <c r="V189" s="485">
        <f t="shared" si="84"/>
        <v>11847.781016383682</v>
      </c>
      <c r="W189" s="485">
        <f t="shared" si="84"/>
        <v>12326.589601362706</v>
      </c>
      <c r="X189" s="485">
        <f t="shared" si="84"/>
        <v>12824.748447857593</v>
      </c>
      <c r="Y189" s="485">
        <f t="shared" si="84"/>
        <v>13343.039564864161</v>
      </c>
      <c r="Z189" s="485">
        <f t="shared" si="84"/>
        <v>13882.276564985708</v>
      </c>
      <c r="AA189" s="485">
        <f t="shared" si="84"/>
        <v>14443.305941640851</v>
      </c>
      <c r="AB189" s="485">
        <f t="shared" si="84"/>
        <v>15027.008397887554</v>
      </c>
      <c r="AC189" s="485">
        <f t="shared" si="84"/>
        <v>15634.300228949491</v>
      </c>
      <c r="AD189" s="485">
        <f t="shared" si="84"/>
        <v>16266.134760614852</v>
      </c>
      <c r="AE189" s="485">
        <f t="shared" si="84"/>
        <v>16923.503845765736</v>
      </c>
      <c r="AF189" s="485">
        <f t="shared" si="84"/>
        <v>17607.439421387277</v>
      </c>
      <c r="AG189" s="485">
        <f t="shared" si="84"/>
        <v>18319.015128500709</v>
      </c>
      <c r="AH189" s="485">
        <f t="shared" si="84"/>
        <v>19059.34799756348</v>
      </c>
      <c r="AI189" s="485">
        <f t="shared" si="84"/>
        <v>19829.60020198191</v>
      </c>
      <c r="AJ189" s="485">
        <f t="shared" si="84"/>
        <v>20630.980882489184</v>
      </c>
      <c r="AK189" s="485">
        <f t="shared" si="84"/>
        <v>21464.748045252723</v>
      </c>
      <c r="AL189" s="485">
        <f t="shared" ref="AL189" si="85">SUMPRODUCT($C$153:$C$155,AL185:AL187)</f>
        <v>22332.210536690287</v>
      </c>
    </row>
    <row r="190" spans="1:38">
      <c r="D190" s="358"/>
      <c r="F190" s="464"/>
      <c r="G190" s="465"/>
      <c r="H190" s="465"/>
    </row>
    <row r="191" spans="1:38">
      <c r="B191" s="1177" t="s">
        <v>715</v>
      </c>
      <c r="C191" s="358" t="s">
        <v>295</v>
      </c>
      <c r="D191" s="383">
        <f>'West Center'!D52</f>
        <v>7168.6712176562487</v>
      </c>
      <c r="E191" s="383">
        <f>'West Center'!E52</f>
        <v>7458.3812753589791</v>
      </c>
      <c r="F191" s="383">
        <f>'West Center'!F52</f>
        <v>7759.7994885881399</v>
      </c>
      <c r="G191" s="383">
        <f>'West Center'!G52</f>
        <v>8073.3990231941525</v>
      </c>
      <c r="H191" s="383">
        <f>'West Center'!H52</f>
        <v>0</v>
      </c>
      <c r="I191" s="383">
        <f>'West Center'!I52</f>
        <v>0</v>
      </c>
      <c r="J191" s="383">
        <f>'West Center'!J52</f>
        <v>0</v>
      </c>
      <c r="K191" s="383">
        <f>'West Center'!K52</f>
        <v>0</v>
      </c>
      <c r="L191" s="383">
        <f>'West Center'!L52</f>
        <v>0</v>
      </c>
      <c r="M191" s="383">
        <f>'West Center'!M52</f>
        <v>0</v>
      </c>
      <c r="N191" s="383">
        <f>'West Center'!N52</f>
        <v>0</v>
      </c>
      <c r="O191" s="383">
        <f>'West Center'!O52</f>
        <v>0</v>
      </c>
      <c r="P191" s="383">
        <f>'West Center'!P52</f>
        <v>0</v>
      </c>
      <c r="Q191" s="383">
        <f>'West Center'!Q52</f>
        <v>0</v>
      </c>
      <c r="R191" s="383">
        <f>'West Center'!R52</f>
        <v>0</v>
      </c>
      <c r="S191" s="383">
        <f>'West Center'!S52</f>
        <v>0</v>
      </c>
      <c r="T191" s="383">
        <f>'West Center'!T52</f>
        <v>0</v>
      </c>
      <c r="U191" s="383">
        <f>'West Center'!U52</f>
        <v>0</v>
      </c>
      <c r="V191" s="383">
        <f>'West Center'!V52</f>
        <v>0</v>
      </c>
      <c r="W191" s="383">
        <f>'West Center'!W52</f>
        <v>0</v>
      </c>
      <c r="X191" s="383">
        <f>'West Center'!X52</f>
        <v>0</v>
      </c>
      <c r="Y191" s="383">
        <f>'West Center'!Y52</f>
        <v>0</v>
      </c>
      <c r="Z191" s="383">
        <f>'West Center'!Z52</f>
        <v>0</v>
      </c>
      <c r="AA191" s="383">
        <f>'West Center'!AA52</f>
        <v>0</v>
      </c>
      <c r="AB191" s="383">
        <f>'West Center'!AB52</f>
        <v>0</v>
      </c>
      <c r="AC191" s="383">
        <f>'West Center'!AC52</f>
        <v>0</v>
      </c>
      <c r="AD191" s="383">
        <f>'West Center'!AD52</f>
        <v>0</v>
      </c>
      <c r="AE191" s="383">
        <f>'West Center'!AE52</f>
        <v>0</v>
      </c>
      <c r="AF191" s="383">
        <f>'West Center'!AF52</f>
        <v>0</v>
      </c>
      <c r="AG191" s="383">
        <f>'West Center'!AG52</f>
        <v>0</v>
      </c>
      <c r="AH191" s="383">
        <f>'West Center'!AH52</f>
        <v>0</v>
      </c>
      <c r="AI191" s="383">
        <f>'West Center'!AI52</f>
        <v>0</v>
      </c>
      <c r="AJ191" s="383">
        <f>'West Center'!AJ52</f>
        <v>0</v>
      </c>
      <c r="AK191" s="383">
        <f>'West Center'!AK52</f>
        <v>0</v>
      </c>
      <c r="AL191" s="383">
        <f>'West Center'!AL52</f>
        <v>0</v>
      </c>
    </row>
    <row r="192" spans="1:38">
      <c r="B192" s="1177" t="s">
        <v>716</v>
      </c>
      <c r="C192" s="358" t="s">
        <v>295</v>
      </c>
      <c r="D192" s="383">
        <f>'West Center'!D53</f>
        <v>1871.5412036771559</v>
      </c>
      <c r="E192" s="383">
        <f>'West Center'!E53</f>
        <v>1947.1764634969829</v>
      </c>
      <c r="F192" s="383">
        <f>'West Center'!F53</f>
        <v>2025.8683979530806</v>
      </c>
      <c r="G192" s="383">
        <f>'West Center'!G53</f>
        <v>2107.7405375238809</v>
      </c>
      <c r="H192" s="383">
        <f>'West Center'!H53</f>
        <v>0</v>
      </c>
      <c r="I192" s="383">
        <f>'West Center'!I53</f>
        <v>0</v>
      </c>
      <c r="J192" s="383">
        <f>'West Center'!J53</f>
        <v>0</v>
      </c>
      <c r="K192" s="383">
        <f>'West Center'!K53</f>
        <v>0</v>
      </c>
      <c r="L192" s="383">
        <f>'West Center'!L53</f>
        <v>0</v>
      </c>
      <c r="M192" s="383">
        <f>'West Center'!M53</f>
        <v>0</v>
      </c>
      <c r="N192" s="383">
        <f>'West Center'!N53</f>
        <v>0</v>
      </c>
      <c r="O192" s="383">
        <f>'West Center'!O53</f>
        <v>0</v>
      </c>
      <c r="P192" s="383">
        <f>'West Center'!P53</f>
        <v>0</v>
      </c>
      <c r="Q192" s="383">
        <f>'West Center'!Q53</f>
        <v>0</v>
      </c>
      <c r="R192" s="383">
        <f>'West Center'!R53</f>
        <v>0</v>
      </c>
      <c r="S192" s="383">
        <f>'West Center'!S53</f>
        <v>0</v>
      </c>
      <c r="T192" s="383">
        <f>'West Center'!T53</f>
        <v>0</v>
      </c>
      <c r="U192" s="383">
        <f>'West Center'!U53</f>
        <v>0</v>
      </c>
      <c r="V192" s="383">
        <f>'West Center'!V53</f>
        <v>0</v>
      </c>
      <c r="W192" s="383">
        <f>'West Center'!W53</f>
        <v>0</v>
      </c>
      <c r="X192" s="383">
        <f>'West Center'!X53</f>
        <v>0</v>
      </c>
      <c r="Y192" s="383">
        <f>'West Center'!Y53</f>
        <v>0</v>
      </c>
      <c r="Z192" s="383">
        <f>'West Center'!Z53</f>
        <v>0</v>
      </c>
      <c r="AA192" s="383">
        <f>'West Center'!AA53</f>
        <v>0</v>
      </c>
      <c r="AB192" s="383">
        <f>'West Center'!AB53</f>
        <v>0</v>
      </c>
      <c r="AC192" s="383">
        <f>'West Center'!AC53</f>
        <v>0</v>
      </c>
      <c r="AD192" s="383">
        <f>'West Center'!AD53</f>
        <v>0</v>
      </c>
      <c r="AE192" s="383">
        <f>'West Center'!AE53</f>
        <v>0</v>
      </c>
      <c r="AF192" s="383">
        <f>'West Center'!AF53</f>
        <v>0</v>
      </c>
      <c r="AG192" s="383">
        <f>'West Center'!AG53</f>
        <v>0</v>
      </c>
      <c r="AH192" s="383">
        <f>'West Center'!AH53</f>
        <v>0</v>
      </c>
      <c r="AI192" s="383">
        <f>'West Center'!AI53</f>
        <v>0</v>
      </c>
      <c r="AJ192" s="383">
        <f>'West Center'!AJ53</f>
        <v>0</v>
      </c>
      <c r="AK192" s="383">
        <f>'West Center'!AK53</f>
        <v>0</v>
      </c>
      <c r="AL192" s="383">
        <f>'West Center'!AL53</f>
        <v>0</v>
      </c>
    </row>
    <row r="193" spans="1:38">
      <c r="D193" s="358"/>
      <c r="F193" s="464"/>
      <c r="G193" s="465"/>
      <c r="H193" s="465"/>
    </row>
    <row r="194" spans="1:38">
      <c r="B194" s="358" t="s">
        <v>208</v>
      </c>
      <c r="C194" s="362" t="s">
        <v>292</v>
      </c>
      <c r="D194" s="485">
        <f>SUMPRODUCT(D191:D192,D$150:D$151)</f>
        <v>19548.108225355762</v>
      </c>
      <c r="E194" s="485">
        <f t="shared" ref="E194:AK194" si="86">SUMPRODUCT(E191:E192,E$150:E$151)</f>
        <v>20472.280126634963</v>
      </c>
      <c r="F194" s="485">
        <f t="shared" si="86"/>
        <v>21299.613129343448</v>
      </c>
      <c r="G194" s="485">
        <f t="shared" si="86"/>
        <v>22040.505251998038</v>
      </c>
      <c r="H194" s="485">
        <f t="shared" si="86"/>
        <v>0</v>
      </c>
      <c r="I194" s="485">
        <f t="shared" si="86"/>
        <v>0</v>
      </c>
      <c r="J194" s="485">
        <f t="shared" si="86"/>
        <v>0</v>
      </c>
      <c r="K194" s="485">
        <f t="shared" si="86"/>
        <v>0</v>
      </c>
      <c r="L194" s="485">
        <f t="shared" si="86"/>
        <v>0</v>
      </c>
      <c r="M194" s="485">
        <f t="shared" si="86"/>
        <v>0</v>
      </c>
      <c r="N194" s="485">
        <f t="shared" si="86"/>
        <v>0</v>
      </c>
      <c r="O194" s="485">
        <f t="shared" si="86"/>
        <v>0</v>
      </c>
      <c r="P194" s="485">
        <f t="shared" si="86"/>
        <v>0</v>
      </c>
      <c r="Q194" s="485">
        <f t="shared" si="86"/>
        <v>0</v>
      </c>
      <c r="R194" s="485">
        <f t="shared" si="86"/>
        <v>0</v>
      </c>
      <c r="S194" s="485">
        <f t="shared" si="86"/>
        <v>0</v>
      </c>
      <c r="T194" s="485">
        <f t="shared" si="86"/>
        <v>0</v>
      </c>
      <c r="U194" s="485">
        <f t="shared" si="86"/>
        <v>0</v>
      </c>
      <c r="V194" s="485">
        <f t="shared" si="86"/>
        <v>0</v>
      </c>
      <c r="W194" s="485">
        <f t="shared" si="86"/>
        <v>0</v>
      </c>
      <c r="X194" s="485">
        <f t="shared" si="86"/>
        <v>0</v>
      </c>
      <c r="Y194" s="485">
        <f t="shared" si="86"/>
        <v>0</v>
      </c>
      <c r="Z194" s="485">
        <f t="shared" si="86"/>
        <v>0</v>
      </c>
      <c r="AA194" s="485">
        <f t="shared" si="86"/>
        <v>0</v>
      </c>
      <c r="AB194" s="485">
        <f t="shared" si="86"/>
        <v>0</v>
      </c>
      <c r="AC194" s="485">
        <f t="shared" si="86"/>
        <v>0</v>
      </c>
      <c r="AD194" s="485">
        <f t="shared" si="86"/>
        <v>0</v>
      </c>
      <c r="AE194" s="485">
        <f t="shared" si="86"/>
        <v>0</v>
      </c>
      <c r="AF194" s="485">
        <f t="shared" si="86"/>
        <v>0</v>
      </c>
      <c r="AG194" s="485">
        <f t="shared" si="86"/>
        <v>0</v>
      </c>
      <c r="AH194" s="485">
        <f t="shared" si="86"/>
        <v>0</v>
      </c>
      <c r="AI194" s="485">
        <f t="shared" si="86"/>
        <v>0</v>
      </c>
      <c r="AJ194" s="485">
        <f t="shared" si="86"/>
        <v>0</v>
      </c>
      <c r="AK194" s="485">
        <f t="shared" si="86"/>
        <v>0</v>
      </c>
      <c r="AL194" s="485">
        <f t="shared" ref="AL194" si="87">SUMPRODUCT(AL191:AL192,AL$150:AL$151)</f>
        <v>0</v>
      </c>
    </row>
    <row r="196" spans="1:38" ht="13">
      <c r="B196" s="364" t="s">
        <v>520</v>
      </c>
      <c r="C196" s="387" t="s">
        <v>292</v>
      </c>
      <c r="D196" s="488">
        <f>D189+D194</f>
        <v>27290.394458479805</v>
      </c>
      <c r="E196" s="488">
        <f t="shared" ref="E196:AK196" si="88">E189+E194</f>
        <v>28527.45812494764</v>
      </c>
      <c r="F196" s="488">
        <f t="shared" si="88"/>
        <v>29680.327898954722</v>
      </c>
      <c r="G196" s="488">
        <f t="shared" si="88"/>
        <v>30759.912826143882</v>
      </c>
      <c r="H196" s="488">
        <f t="shared" si="88"/>
        <v>6803.841068522459</v>
      </c>
      <c r="I196" s="488">
        <f t="shared" si="88"/>
        <v>7078.8071157456834</v>
      </c>
      <c r="J196" s="488">
        <f t="shared" si="88"/>
        <v>7364.8854635597309</v>
      </c>
      <c r="K196" s="488">
        <f t="shared" si="88"/>
        <v>7662.525197317741</v>
      </c>
      <c r="L196" s="488">
        <f t="shared" si="88"/>
        <v>7972.1935514188453</v>
      </c>
      <c r="M196" s="488">
        <f t="shared" si="88"/>
        <v>8294.3766427720057</v>
      </c>
      <c r="N196" s="488">
        <f t="shared" si="88"/>
        <v>8629.5802339015936</v>
      </c>
      <c r="O196" s="488">
        <f t="shared" si="88"/>
        <v>8978.3305268926288</v>
      </c>
      <c r="P196" s="488">
        <f t="shared" si="88"/>
        <v>9341.1749894220011</v>
      </c>
      <c r="Q196" s="488">
        <f t="shared" si="88"/>
        <v>9718.6832141724153</v>
      </c>
      <c r="R196" s="488">
        <f t="shared" si="88"/>
        <v>10111.447812978076</v>
      </c>
      <c r="S196" s="488">
        <f t="shared" si="88"/>
        <v>10520.085347105891</v>
      </c>
      <c r="T196" s="488">
        <f t="shared" si="88"/>
        <v>10945.237295132345</v>
      </c>
      <c r="U196" s="488">
        <f t="shared" si="88"/>
        <v>11387.571059935635</v>
      </c>
      <c r="V196" s="488">
        <f t="shared" si="88"/>
        <v>11847.781016383682</v>
      </c>
      <c r="W196" s="488">
        <f t="shared" si="88"/>
        <v>12326.589601362706</v>
      </c>
      <c r="X196" s="488">
        <f t="shared" si="88"/>
        <v>12824.748447857593</v>
      </c>
      <c r="Y196" s="488">
        <f t="shared" si="88"/>
        <v>13343.039564864161</v>
      </c>
      <c r="Z196" s="488">
        <f t="shared" si="88"/>
        <v>13882.276564985708</v>
      </c>
      <c r="AA196" s="488">
        <f t="shared" si="88"/>
        <v>14443.305941640851</v>
      </c>
      <c r="AB196" s="488">
        <f t="shared" si="88"/>
        <v>15027.008397887554</v>
      </c>
      <c r="AC196" s="488">
        <f t="shared" si="88"/>
        <v>15634.300228949491</v>
      </c>
      <c r="AD196" s="488">
        <f t="shared" si="88"/>
        <v>16266.134760614852</v>
      </c>
      <c r="AE196" s="488">
        <f t="shared" si="88"/>
        <v>16923.503845765736</v>
      </c>
      <c r="AF196" s="488">
        <f t="shared" si="88"/>
        <v>17607.439421387277</v>
      </c>
      <c r="AG196" s="488">
        <f t="shared" si="88"/>
        <v>18319.015128500709</v>
      </c>
      <c r="AH196" s="488">
        <f t="shared" si="88"/>
        <v>19059.34799756348</v>
      </c>
      <c r="AI196" s="488">
        <f t="shared" si="88"/>
        <v>19829.60020198191</v>
      </c>
      <c r="AJ196" s="488">
        <f t="shared" si="88"/>
        <v>20630.980882489184</v>
      </c>
      <c r="AK196" s="488">
        <f t="shared" si="88"/>
        <v>21464.748045252723</v>
      </c>
      <c r="AL196" s="488">
        <f t="shared" ref="AL196" si="89">AL189+AL194</f>
        <v>22332.210536690287</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0">E172-E191</f>
        <v>0</v>
      </c>
      <c r="F200" s="383">
        <f t="shared" si="90"/>
        <v>0</v>
      </c>
      <c r="G200" s="383">
        <f t="shared" si="90"/>
        <v>0</v>
      </c>
      <c r="H200" s="383">
        <f t="shared" si="90"/>
        <v>8399.6721672471267</v>
      </c>
      <c r="I200" s="383">
        <f t="shared" si="90"/>
        <v>8739.1311038299118</v>
      </c>
      <c r="J200" s="383">
        <f t="shared" si="90"/>
        <v>9092.3087150623123</v>
      </c>
      <c r="K200" s="383">
        <f t="shared" si="90"/>
        <v>9459.7594186186379</v>
      </c>
      <c r="L200" s="383">
        <f t="shared" si="90"/>
        <v>9842.0600380517062</v>
      </c>
      <c r="M200" s="383">
        <f t="shared" si="90"/>
        <v>10239.810708289584</v>
      </c>
      <c r="N200" s="383">
        <f t="shared" si="90"/>
        <v>10653.635817726468</v>
      </c>
      <c r="O200" s="383">
        <f t="shared" si="90"/>
        <v>11084.184988386651</v>
      </c>
      <c r="P200" s="383">
        <f t="shared" si="90"/>
        <v>11532.134095700176</v>
      </c>
      <c r="Q200" s="383">
        <f t="shared" si="90"/>
        <v>11998.186329491042</v>
      </c>
      <c r="R200" s="383">
        <f t="shared" si="90"/>
        <v>12483.073297843515</v>
      </c>
      <c r="S200" s="383">
        <f t="shared" si="90"/>
        <v>12987.556175579412</v>
      </c>
      <c r="T200" s="383">
        <f t="shared" si="90"/>
        <v>13512.426899149126</v>
      </c>
      <c r="U200" s="383">
        <f t="shared" si="90"/>
        <v>14058.509409812283</v>
      </c>
      <c r="V200" s="383">
        <f t="shared" si="90"/>
        <v>14626.660947059485</v>
      </c>
      <c r="W200" s="383">
        <f t="shared" si="90"/>
        <v>15217.773394305512</v>
      </c>
      <c r="X200" s="383">
        <f t="shared" si="90"/>
        <v>15832.774678966573</v>
      </c>
      <c r="Y200" s="383">
        <f t="shared" si="90"/>
        <v>16472.630229119342</v>
      </c>
      <c r="Z200" s="383">
        <f t="shared" si="90"/>
        <v>17138.344489028477</v>
      </c>
      <c r="AA200" s="383">
        <f t="shared" si="90"/>
        <v>17830.962495921693</v>
      </c>
      <c r="AB200" s="383">
        <f t="shared" si="90"/>
        <v>18551.571520487571</v>
      </c>
      <c r="AC200" s="383">
        <f t="shared" si="90"/>
        <v>19301.302773671472</v>
      </c>
      <c r="AD200" s="383">
        <f t="shared" si="90"/>
        <v>20081.33318244875</v>
      </c>
      <c r="AE200" s="383">
        <f t="shared" si="90"/>
        <v>20892.887237362869</v>
      </c>
      <c r="AF200" s="383">
        <f t="shared" si="90"/>
        <v>21737.238914728827</v>
      </c>
      <c r="AG200" s="383">
        <f t="shared" si="90"/>
        <v>22615.713676519223</v>
      </c>
      <c r="AH200" s="383">
        <f t="shared" si="90"/>
        <v>23529.69055107241</v>
      </c>
      <c r="AI200" s="383">
        <f t="shared" si="90"/>
        <v>24480.604297889131</v>
      </c>
      <c r="AJ200" s="383">
        <f t="shared" si="90"/>
        <v>25469.947659915713</v>
      </c>
      <c r="AK200" s="383">
        <f t="shared" si="90"/>
        <v>26499.273706849726</v>
      </c>
      <c r="AL200" s="383">
        <f t="shared" ref="AL200" si="91">AL172-AL191</f>
        <v>27570.198273146394</v>
      </c>
    </row>
    <row r="201" spans="1:38" ht="13">
      <c r="B201" s="364" t="s">
        <v>820</v>
      </c>
      <c r="C201" s="387" t="s">
        <v>295</v>
      </c>
      <c r="D201" s="383">
        <f>D173-D192</f>
        <v>0</v>
      </c>
      <c r="E201" s="383">
        <f t="shared" si="90"/>
        <v>0</v>
      </c>
      <c r="F201" s="383">
        <f t="shared" si="90"/>
        <v>0</v>
      </c>
      <c r="G201" s="383">
        <f t="shared" si="90"/>
        <v>0</v>
      </c>
      <c r="H201" s="383">
        <f t="shared" si="90"/>
        <v>2192.9214049689467</v>
      </c>
      <c r="I201" s="383">
        <f t="shared" si="90"/>
        <v>2281.5447170837997</v>
      </c>
      <c r="J201" s="383">
        <f t="shared" si="90"/>
        <v>2373.7495946083427</v>
      </c>
      <c r="K201" s="383">
        <f t="shared" si="90"/>
        <v>2469.6807806183856</v>
      </c>
      <c r="L201" s="383">
        <f t="shared" si="90"/>
        <v>2569.4888677431031</v>
      </c>
      <c r="M201" s="383">
        <f t="shared" si="90"/>
        <v>2673.3305345651129</v>
      </c>
      <c r="N201" s="383">
        <f t="shared" si="90"/>
        <v>2781.3687915742762</v>
      </c>
      <c r="O201" s="383">
        <f t="shared" si="90"/>
        <v>2893.7732370613166</v>
      </c>
      <c r="P201" s="383">
        <f t="shared" si="90"/>
        <v>3010.7203233529594</v>
      </c>
      <c r="Q201" s="383">
        <f t="shared" si="90"/>
        <v>3132.3936338065191</v>
      </c>
      <c r="R201" s="383">
        <f t="shared" si="90"/>
        <v>3258.9841709987736</v>
      </c>
      <c r="S201" s="383">
        <f t="shared" si="90"/>
        <v>3390.690656561525</v>
      </c>
      <c r="T201" s="383">
        <f t="shared" si="90"/>
        <v>3527.7198431345032</v>
      </c>
      <c r="U201" s="383">
        <f t="shared" si="90"/>
        <v>3670.2868389253513</v>
      </c>
      <c r="V201" s="383">
        <f t="shared" si="90"/>
        <v>3818.6154453861591</v>
      </c>
      <c r="W201" s="383">
        <f t="shared" si="90"/>
        <v>3972.9385085366366</v>
      </c>
      <c r="X201" s="383">
        <f t="shared" si="90"/>
        <v>4133.4982844854458</v>
      </c>
      <c r="Y201" s="383">
        <f t="shared" si="90"/>
        <v>4300.546819723465</v>
      </c>
      <c r="Z201" s="383">
        <f t="shared" si="90"/>
        <v>4474.3463467859892</v>
      </c>
      <c r="AA201" s="383">
        <f t="shared" si="90"/>
        <v>4655.1696959049641</v>
      </c>
      <c r="AB201" s="383">
        <f t="shared" si="90"/>
        <v>4843.3007232974542</v>
      </c>
      <c r="AC201" s="383">
        <f t="shared" si="90"/>
        <v>5039.034756762715</v>
      </c>
      <c r="AD201" s="383">
        <f t="shared" si="90"/>
        <v>5242.6790592873203</v>
      </c>
      <c r="AE201" s="383">
        <f t="shared" si="90"/>
        <v>5454.5533113861102</v>
      </c>
      <c r="AF201" s="383">
        <f t="shared" si="90"/>
        <v>5674.9901129361979</v>
      </c>
      <c r="AG201" s="383">
        <f t="shared" si="90"/>
        <v>5904.3355052917314</v>
      </c>
      <c r="AH201" s="383">
        <f t="shared" si="90"/>
        <v>6142.9495144990906</v>
      </c>
      <c r="AI201" s="383">
        <f t="shared" si="90"/>
        <v>6391.2067164652271</v>
      </c>
      <c r="AJ201" s="383">
        <f t="shared" si="90"/>
        <v>6649.4968249663398</v>
      </c>
      <c r="AK201" s="383">
        <f t="shared" si="90"/>
        <v>6918.2253034199748</v>
      </c>
      <c r="AL201" s="383">
        <f t="shared" ref="AL201" si="92">AL173-AL192</f>
        <v>7197.814001380877</v>
      </c>
    </row>
    <row r="202" spans="1:38" ht="13">
      <c r="B202" s="364" t="s">
        <v>821</v>
      </c>
      <c r="C202" s="387" t="s">
        <v>479</v>
      </c>
      <c r="D202" s="383">
        <f>SUM(D166:D168)-SUM(D185:D187)</f>
        <v>0</v>
      </c>
      <c r="E202" s="383">
        <f t="shared" ref="E202:AE202" si="93">SUM(E166:E168)-SUM(E185:E187)</f>
        <v>0</v>
      </c>
      <c r="F202" s="383">
        <f t="shared" si="93"/>
        <v>0</v>
      </c>
      <c r="G202" s="383">
        <f t="shared" si="93"/>
        <v>0</v>
      </c>
      <c r="H202" s="383">
        <f t="shared" si="93"/>
        <v>225.16603711734695</v>
      </c>
      <c r="I202" s="383">
        <f t="shared" si="93"/>
        <v>234.26575220056895</v>
      </c>
      <c r="J202" s="383">
        <f t="shared" si="93"/>
        <v>243.73321730353507</v>
      </c>
      <c r="K202" s="383">
        <f t="shared" si="93"/>
        <v>253.58329443849482</v>
      </c>
      <c r="L202" s="383">
        <f t="shared" si="93"/>
        <v>263.83144624147928</v>
      </c>
      <c r="M202" s="383">
        <f t="shared" si="93"/>
        <v>274.49376024552532</v>
      </c>
      <c r="N202" s="383">
        <f t="shared" si="93"/>
        <v>285.58697413485891</v>
      </c>
      <c r="O202" s="383">
        <f t="shared" si="93"/>
        <v>297.12850201968843</v>
      </c>
      <c r="P202" s="383">
        <f t="shared" si="93"/>
        <v>309.13646177284829</v>
      </c>
      <c r="Q202" s="383">
        <f t="shared" si="93"/>
        <v>321.62970347120495</v>
      </c>
      <c r="R202" s="383">
        <f t="shared" si="93"/>
        <v>334.62783898648115</v>
      </c>
      <c r="S202" s="383">
        <f t="shared" si="93"/>
        <v>348.15127277194233</v>
      </c>
      <c r="T202" s="383">
        <f t="shared" si="93"/>
        <v>362.22123389327453</v>
      </c>
      <c r="U202" s="383">
        <f t="shared" si="93"/>
        <v>376.85980935394241</v>
      </c>
      <c r="V202" s="383">
        <f t="shared" si="93"/>
        <v>392.08997876732883</v>
      </c>
      <c r="W202" s="383">
        <f t="shared" si="93"/>
        <v>407.93565043010153</v>
      </c>
      <c r="X202" s="383">
        <f t="shared" si="93"/>
        <v>424.4216988534165</v>
      </c>
      <c r="Y202" s="383">
        <f t="shared" si="93"/>
        <v>441.5740038108911</v>
      </c>
      <c r="Z202" s="383">
        <f t="shared" si="93"/>
        <v>459.41949096463259</v>
      </c>
      <c r="AA202" s="383">
        <f t="shared" si="93"/>
        <v>477.98617413309898</v>
      </c>
      <c r="AB202" s="383">
        <f t="shared" si="93"/>
        <v>497.30319926714924</v>
      </c>
      <c r="AC202" s="383">
        <f t="shared" si="93"/>
        <v>517.40089020331379</v>
      </c>
      <c r="AD202" s="383">
        <f t="shared" si="93"/>
        <v>538.31079626610881</v>
      </c>
      <c r="AE202" s="383">
        <f t="shared" si="93"/>
        <v>560.06574179410973</v>
      </c>
      <c r="AF202" s="383">
        <f t="shared" ref="AF202:AJ202" si="94">SUM(AF166:AF168)-SUM(AF185:AF187)</f>
        <v>582.69987766755571</v>
      </c>
      <c r="AG202" s="383">
        <f t="shared" si="94"/>
        <v>606.24873491834819</v>
      </c>
      <c r="AH202" s="383">
        <f t="shared" si="94"/>
        <v>630.74928050660378</v>
      </c>
      <c r="AI202" s="383">
        <f t="shared" si="94"/>
        <v>656.23997535134004</v>
      </c>
      <c r="AJ202" s="383">
        <f t="shared" si="94"/>
        <v>682.76083470636559</v>
      </c>
      <c r="AK202" s="383">
        <f t="shared" ref="AK202:AL202" si="95">SUM(AK166:AK168)-SUM(AK185:AK187)</f>
        <v>710.35349097615881</v>
      </c>
      <c r="AL202" s="383">
        <f t="shared" si="95"/>
        <v>739.06125907035675</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96">D177-D196</f>
        <v>0</v>
      </c>
      <c r="E204" s="488">
        <f t="shared" si="96"/>
        <v>0</v>
      </c>
      <c r="F204" s="488">
        <f t="shared" si="96"/>
        <v>0</v>
      </c>
      <c r="G204" s="488">
        <f t="shared" si="96"/>
        <v>0</v>
      </c>
      <c r="H204" s="488">
        <f t="shared" si="96"/>
        <v>25528.12207999063</v>
      </c>
      <c r="I204" s="488">
        <f t="shared" si="96"/>
        <v>26923.810606096104</v>
      </c>
      <c r="J204" s="488">
        <f t="shared" si="96"/>
        <v>28365.271578114029</v>
      </c>
      <c r="K204" s="488">
        <f t="shared" si="96"/>
        <v>29800.265058401721</v>
      </c>
      <c r="L204" s="488">
        <f t="shared" si="96"/>
        <v>31472.136189229357</v>
      </c>
      <c r="M204" s="488">
        <f t="shared" si="96"/>
        <v>33828.464242781418</v>
      </c>
      <c r="N204" s="488">
        <f t="shared" si="96"/>
        <v>35549.066798218148</v>
      </c>
      <c r="O204" s="488">
        <f t="shared" si="96"/>
        <v>37374.143346391997</v>
      </c>
      <c r="P204" s="488">
        <f t="shared" si="96"/>
        <v>39672.515596778932</v>
      </c>
      <c r="Q204" s="488">
        <f t="shared" si="96"/>
        <v>41959.016942066715</v>
      </c>
      <c r="R204" s="488">
        <f t="shared" si="96"/>
        <v>44181.109354125816</v>
      </c>
      <c r="S204" s="488">
        <f t="shared" si="96"/>
        <v>46587.46909543364</v>
      </c>
      <c r="T204" s="488">
        <f t="shared" si="96"/>
        <v>48726.22007935663</v>
      </c>
      <c r="U204" s="488">
        <f t="shared" si="96"/>
        <v>51310.126907691418</v>
      </c>
      <c r="V204" s="488">
        <f t="shared" si="96"/>
        <v>54142.767937613477</v>
      </c>
      <c r="W204" s="488">
        <f t="shared" si="96"/>
        <v>56543.00934317449</v>
      </c>
      <c r="X204" s="488">
        <f t="shared" si="96"/>
        <v>59321.72122973502</v>
      </c>
      <c r="Y204" s="488">
        <f t="shared" si="96"/>
        <v>62785.581022599828</v>
      </c>
      <c r="Z204" s="488">
        <f t="shared" si="96"/>
        <v>65917.541683002069</v>
      </c>
      <c r="AA204" s="488">
        <f t="shared" si="96"/>
        <v>69210.069225562285</v>
      </c>
      <c r="AB204" s="488">
        <f t="shared" si="96"/>
        <v>73074.026029473811</v>
      </c>
      <c r="AC204" s="488">
        <f t="shared" si="96"/>
        <v>76288.523120602476</v>
      </c>
      <c r="AD204" s="488">
        <f t="shared" si="96"/>
        <v>80754.322715677772</v>
      </c>
      <c r="AE204" s="488">
        <f t="shared" si="96"/>
        <v>85053.234478072322</v>
      </c>
      <c r="AF204" s="488">
        <f t="shared" si="96"/>
        <v>89316.840066151228</v>
      </c>
      <c r="AG204" s="488">
        <f t="shared" si="96"/>
        <v>93674.430389699992</v>
      </c>
      <c r="AH204" s="488">
        <f t="shared" si="96"/>
        <v>98392.023871519501</v>
      </c>
      <c r="AI204" s="488">
        <f t="shared" si="96"/>
        <v>103344.40412744308</v>
      </c>
      <c r="AJ204" s="488">
        <f t="shared" si="96"/>
        <v>108543.16849392305</v>
      </c>
      <c r="AK204" s="488">
        <f t="shared" si="96"/>
        <v>114000.48440831809</v>
      </c>
      <c r="AL204" s="488">
        <f t="shared" ref="AL204" si="97">AL177-AL196</f>
        <v>119729.11734777744</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theme="4" tint="-0.249977111117893"/>
  </sheetPr>
  <dimension ref="A1:AL135"/>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21"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Inputs'!F50</f>
        <v>254733W</v>
      </c>
      <c r="E4" s="410"/>
    </row>
    <row r="5" spans="1:38">
      <c r="B5" s="358" t="s">
        <v>628</v>
      </c>
      <c r="C5" s="399" t="s">
        <v>629</v>
      </c>
      <c r="D5" s="439" t="str">
        <f>'Crossing Inputs'!F52</f>
        <v>Urban</v>
      </c>
      <c r="E5" s="398">
        <f>SUMIFS('Accidents Methodology'!$C$22:$C$23,'Accidents Methodology'!$B$22:$B$23,$D5)</f>
        <v>1</v>
      </c>
    </row>
    <row r="6" spans="1:38">
      <c r="B6" s="358" t="s">
        <v>615</v>
      </c>
      <c r="C6" s="399" t="s">
        <v>150</v>
      </c>
      <c r="D6" s="439" t="str">
        <f>'Crossing Inputs'!F53</f>
        <v>Flashing Lights</v>
      </c>
      <c r="E6" s="398">
        <f>SUMIFS('Accidents Methodology'!$C$3:$C$5,'Accidents Methodology'!$B$3:$B$5,$D6)</f>
        <v>3.6459999999999999E-3</v>
      </c>
    </row>
    <row r="7" spans="1:38">
      <c r="B7" s="358" t="s">
        <v>630</v>
      </c>
      <c r="C7" s="399" t="s">
        <v>631</v>
      </c>
      <c r="D7" s="439" t="str">
        <f>'Crossing Inputs'!F55</f>
        <v>Yes</v>
      </c>
      <c r="E7" s="398">
        <f>SUMIFS('Accidents Methodology'!$C$26:$C$27,'Accidents Methodology'!$B$26:$B$27,$D7)</f>
        <v>1</v>
      </c>
    </row>
    <row r="8" spans="1:38">
      <c r="B8" s="358" t="s">
        <v>632</v>
      </c>
      <c r="C8" s="399" t="s">
        <v>633</v>
      </c>
      <c r="D8" s="439" t="str">
        <f>'Crossing Inputs'!$F$52&amp;" - "&amp;'Crossing Inputs'!$F$54</f>
        <v>Urban - Local</v>
      </c>
      <c r="E8" s="398">
        <f>SUMIFS('Accidents Methodology'!$C$8:$C$19,'Accidents Methodology'!$B$8:$B$19,$D8)</f>
        <v>6</v>
      </c>
    </row>
    <row r="9" spans="1:38">
      <c r="B9" s="358" t="s">
        <v>607</v>
      </c>
      <c r="C9" s="399" t="s">
        <v>635</v>
      </c>
      <c r="D9" s="439">
        <f>'Crossing Inputs'!F56</f>
        <v>2</v>
      </c>
    </row>
    <row r="10" spans="1:38">
      <c r="B10" s="358" t="s">
        <v>636</v>
      </c>
      <c r="C10" s="399" t="s">
        <v>637</v>
      </c>
      <c r="D10" s="439">
        <f>'Crossing Inputs'!F61</f>
        <v>2</v>
      </c>
    </row>
    <row r="11" spans="1:38">
      <c r="B11" s="358" t="s">
        <v>610</v>
      </c>
      <c r="C11" s="399" t="s">
        <v>638</v>
      </c>
      <c r="D11" s="439">
        <f>'Crossing Inputs'!F57</f>
        <v>2</v>
      </c>
    </row>
    <row r="12" spans="1:38">
      <c r="C12" s="399"/>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3">
      <c r="C14" s="399"/>
      <c r="D14" s="440">
        <f>D$1</f>
        <v>2021</v>
      </c>
      <c r="E14" s="440">
        <f t="shared" ref="E14:AL14" si="0">E$1</f>
        <v>2022</v>
      </c>
      <c r="F14" s="440">
        <f t="shared" si="0"/>
        <v>2023</v>
      </c>
      <c r="G14" s="440">
        <f t="shared" si="0"/>
        <v>2024</v>
      </c>
      <c r="H14" s="440">
        <f t="shared" si="0"/>
        <v>2025</v>
      </c>
      <c r="I14" s="440">
        <f t="shared" si="0"/>
        <v>2026</v>
      </c>
      <c r="J14" s="440">
        <f t="shared" si="0"/>
        <v>2027</v>
      </c>
      <c r="K14" s="440">
        <f t="shared" si="0"/>
        <v>2028</v>
      </c>
      <c r="L14" s="440">
        <f t="shared" si="0"/>
        <v>2029</v>
      </c>
      <c r="M14" s="440">
        <f t="shared" si="0"/>
        <v>2030</v>
      </c>
      <c r="N14" s="440">
        <f t="shared" si="0"/>
        <v>2031</v>
      </c>
      <c r="O14" s="440">
        <f t="shared" si="0"/>
        <v>2032</v>
      </c>
      <c r="P14" s="440">
        <f t="shared" si="0"/>
        <v>2033</v>
      </c>
      <c r="Q14" s="440">
        <f t="shared" si="0"/>
        <v>2034</v>
      </c>
      <c r="R14" s="440">
        <f t="shared" si="0"/>
        <v>2035</v>
      </c>
      <c r="S14" s="440">
        <f t="shared" si="0"/>
        <v>2036</v>
      </c>
      <c r="T14" s="440">
        <f t="shared" si="0"/>
        <v>2037</v>
      </c>
      <c r="U14" s="440">
        <f t="shared" si="0"/>
        <v>2038</v>
      </c>
      <c r="V14" s="440">
        <f t="shared" si="0"/>
        <v>2039</v>
      </c>
      <c r="W14" s="440">
        <f t="shared" si="0"/>
        <v>2040</v>
      </c>
      <c r="X14" s="440">
        <f t="shared" si="0"/>
        <v>2041</v>
      </c>
      <c r="Y14" s="440">
        <f t="shared" si="0"/>
        <v>2042</v>
      </c>
      <c r="Z14" s="440">
        <f t="shared" si="0"/>
        <v>2043</v>
      </c>
      <c r="AA14" s="440">
        <f t="shared" si="0"/>
        <v>2044</v>
      </c>
      <c r="AB14" s="440">
        <f t="shared" si="0"/>
        <v>2045</v>
      </c>
      <c r="AC14" s="440">
        <f t="shared" si="0"/>
        <v>2046</v>
      </c>
      <c r="AD14" s="440">
        <f t="shared" si="0"/>
        <v>2047</v>
      </c>
      <c r="AE14" s="440">
        <f t="shared" si="0"/>
        <v>2048</v>
      </c>
      <c r="AF14" s="440">
        <f t="shared" si="0"/>
        <v>2049</v>
      </c>
      <c r="AG14" s="440">
        <f t="shared" si="0"/>
        <v>2050</v>
      </c>
      <c r="AH14" s="440">
        <f t="shared" si="0"/>
        <v>2051</v>
      </c>
      <c r="AI14" s="440">
        <f t="shared" si="0"/>
        <v>2052</v>
      </c>
      <c r="AJ14" s="440">
        <f t="shared" si="0"/>
        <v>2053</v>
      </c>
      <c r="AK14" s="440">
        <f t="shared" si="0"/>
        <v>2054</v>
      </c>
      <c r="AL14" s="440">
        <f t="shared" si="0"/>
        <v>2055</v>
      </c>
    </row>
    <row r="15" spans="1:38" ht="13">
      <c r="B15" s="400" t="s">
        <v>639</v>
      </c>
      <c r="C15" s="401" t="s">
        <v>640</v>
      </c>
      <c r="D15" s="441">
        <f>'West Center'!D6</f>
        <v>14456.119216728972</v>
      </c>
      <c r="E15" s="441">
        <f>'West Center'!E6</f>
        <v>14882.489254606689</v>
      </c>
      <c r="F15" s="441">
        <f>'West Center'!F6</f>
        <v>15321.434687476274</v>
      </c>
      <c r="G15" s="441">
        <f>'West Center'!G6</f>
        <v>15773.326415131689</v>
      </c>
      <c r="H15" s="441">
        <f>'West Center'!H6</f>
        <v>16238.546276717689</v>
      </c>
      <c r="I15" s="441">
        <f>'West Center'!I6</f>
        <v>16717.487373375981</v>
      </c>
      <c r="J15" s="441">
        <f>'West Center'!J6</f>
        <v>17210.55440040756</v>
      </c>
      <c r="K15" s="441">
        <f>'West Center'!K6</f>
        <v>17718.163989231824</v>
      </c>
      <c r="L15" s="441">
        <f>'West Center'!L6</f>
        <v>18240.745059431509</v>
      </c>
      <c r="M15" s="441">
        <f>'West Center'!M6</f>
        <v>18778.739181180834</v>
      </c>
      <c r="N15" s="441">
        <f>'West Center'!N6</f>
        <v>19332.600948363161</v>
      </c>
      <c r="O15" s="441">
        <f>'West Center'!O6</f>
        <v>19902.798362693393</v>
      </c>
      <c r="P15" s="441">
        <f>'West Center'!P6</f>
        <v>20489.813229169733</v>
      </c>
      <c r="Q15" s="441">
        <f>'West Center'!Q6</f>
        <v>21094.141563188918</v>
      </c>
      <c r="R15" s="441">
        <f>'West Center'!R6</f>
        <v>21716.294009668942</v>
      </c>
      <c r="S15" s="441">
        <f>'West Center'!S6</f>
        <v>22356.796274533452</v>
      </c>
      <c r="T15" s="441">
        <f>'West Center'!T6</f>
        <v>23016.189568922335</v>
      </c>
      <c r="U15" s="441">
        <f>'West Center'!U6</f>
        <v>23695.031066503911</v>
      </c>
      <c r="V15" s="441">
        <f>'West Center'!V6</f>
        <v>24393.894374275184</v>
      </c>
      <c r="W15" s="441">
        <f>'West Center'!W6</f>
        <v>25113.370017247795</v>
      </c>
      <c r="X15" s="441">
        <f>'West Center'!X6</f>
        <v>25854.065937429481</v>
      </c>
      <c r="Y15" s="441">
        <f>'West Center'!Y6</f>
        <v>26616.608007522424</v>
      </c>
      <c r="Z15" s="441">
        <f>'West Center'!Z6</f>
        <v>27401.64055977275</v>
      </c>
      <c r="AA15" s="441">
        <f>'West Center'!AA6</f>
        <v>28209.826930417916</v>
      </c>
      <c r="AB15" s="441">
        <f>'West Center'!AB6</f>
        <v>29041.850020192058</v>
      </c>
      <c r="AC15" s="441">
        <f>'West Center'!AC6</f>
        <v>29898.412871362994</v>
      </c>
      <c r="AD15" s="441">
        <f>'West Center'!AD6</f>
        <v>30780.239261788352</v>
      </c>
      <c r="AE15" s="441">
        <f>'West Center'!AE6</f>
        <v>31688.074316492861</v>
      </c>
      <c r="AF15" s="441">
        <f>'West Center'!AF6</f>
        <v>32622.685137283544</v>
      </c>
      <c r="AG15" s="441">
        <f>'West Center'!AG6</f>
        <v>33584.861450934884</v>
      </c>
      <c r="AH15" s="441">
        <f>'West Center'!AH6</f>
        <v>34575.416276491531</v>
      </c>
      <c r="AI15" s="441">
        <f>'West Center'!AI6</f>
        <v>35595.186612252597</v>
      </c>
      <c r="AJ15" s="441">
        <f>'West Center'!AJ6</f>
        <v>36645.034143017823</v>
      </c>
      <c r="AK15" s="441">
        <f>'West Center'!AK6</f>
        <v>37725.845968193411</v>
      </c>
      <c r="AL15" s="441">
        <f>'West Center'!AL6</f>
        <v>38838.535351372644</v>
      </c>
    </row>
    <row r="16" spans="1:38" ht="13">
      <c r="B16" s="400" t="s">
        <v>641</v>
      </c>
      <c r="C16" s="401" t="s">
        <v>642</v>
      </c>
      <c r="D16" s="442">
        <f>'West Center'!D10</f>
        <v>8.0848515288584082</v>
      </c>
      <c r="E16" s="442">
        <f>'West Center'!E10</f>
        <v>8.1706030304605175</v>
      </c>
      <c r="F16" s="442">
        <f>'West Center'!F10</f>
        <v>8.2572640503142321</v>
      </c>
      <c r="G16" s="442">
        <f>'West Center'!G10</f>
        <v>8.3448442351713243</v>
      </c>
      <c r="H16" s="442">
        <f>'West Center'!H10</f>
        <v>8.4333533341012696</v>
      </c>
      <c r="I16" s="442">
        <f>'West Center'!I10</f>
        <v>8.5228011995764756</v>
      </c>
      <c r="J16" s="442">
        <f>'West Center'!J10</f>
        <v>8.6131977885690176</v>
      </c>
      <c r="K16" s="442">
        <f>'West Center'!K10</f>
        <v>8.7045531636590106</v>
      </c>
      <c r="L16" s="442">
        <f>'West Center'!L10</f>
        <v>8.7968774941547299</v>
      </c>
      <c r="M16" s="442">
        <f>'West Center'!M10</f>
        <v>8.8901810572246251</v>
      </c>
      <c r="N16" s="442">
        <f>'West Center'!N10</f>
        <v>8.9844742390413206</v>
      </c>
      <c r="O16" s="442">
        <f>'West Center'!O10</f>
        <v>9.0797675359377763</v>
      </c>
      <c r="P16" s="442">
        <f>'West Center'!P10</f>
        <v>9.1760715555756835</v>
      </c>
      <c r="Q16" s="442">
        <f>'West Center'!Q10</f>
        <v>9.2733970181262784</v>
      </c>
      <c r="R16" s="442">
        <f>'West Center'!R10</f>
        <v>9.3717547574636537</v>
      </c>
      <c r="S16" s="442">
        <f>'West Center'!S10</f>
        <v>9.4711557223707619</v>
      </c>
      <c r="T16" s="442">
        <f>'West Center'!T10</f>
        <v>9.5716109777581639</v>
      </c>
      <c r="U16" s="442">
        <f>'West Center'!U10</f>
        <v>9.6731317058957522</v>
      </c>
      <c r="V16" s="442">
        <f>'West Center'!V10</f>
        <v>9.775729207657502</v>
      </c>
      <c r="W16" s="442">
        <f>'West Center'!W10</f>
        <v>9.8794149037794448</v>
      </c>
      <c r="X16" s="442">
        <f>'West Center'!X10</f>
        <v>9.9842003361309732</v>
      </c>
      <c r="Y16" s="442">
        <f>'West Center'!Y10</f>
        <v>10.090097168999641</v>
      </c>
      <c r="Z16" s="442">
        <f>'West Center'!Z10</f>
        <v>10.19711719038958</v>
      </c>
      <c r="AA16" s="442">
        <f>'West Center'!AA10</f>
        <v>10.305272313333695</v>
      </c>
      <c r="AB16" s="442">
        <f>'West Center'!AB10</f>
        <v>10.414574577219767</v>
      </c>
      <c r="AC16" s="442">
        <f>'West Center'!AC10</f>
        <v>10.525036149130644</v>
      </c>
      <c r="AD16" s="442">
        <f>'West Center'!AD10</f>
        <v>10.636669325198612</v>
      </c>
      <c r="AE16" s="442">
        <f>'West Center'!AE10</f>
        <v>10.749486531974167</v>
      </c>
      <c r="AF16" s="442">
        <f>'West Center'!AF10</f>
        <v>10.863500327809277</v>
      </c>
      <c r="AG16" s="442">
        <f>'West Center'!AG10</f>
        <v>10.978723404255332</v>
      </c>
      <c r="AH16" s="442">
        <f>'West Center'!AH10</f>
        <v>11.095168587475913</v>
      </c>
      <c r="AI16" s="442">
        <f>'West Center'!AI10</f>
        <v>11.212848839674553</v>
      </c>
      <c r="AJ16" s="442">
        <f>'West Center'!AJ10</f>
        <v>11.331777260537629</v>
      </c>
      <c r="AK16" s="442">
        <f>'West Center'!AK10</f>
        <v>11.451967088692575</v>
      </c>
      <c r="AL16" s="442">
        <f>'West Center'!AL10</f>
        <v>11.573431703181543</v>
      </c>
    </row>
    <row r="17" spans="2:38" ht="13">
      <c r="B17" s="400" t="s">
        <v>643</v>
      </c>
      <c r="C17" s="401" t="s">
        <v>644</v>
      </c>
      <c r="D17" s="442">
        <f>'West Center'!D10</f>
        <v>8.0848515288584082</v>
      </c>
      <c r="E17" s="442">
        <f>'West Center'!E10</f>
        <v>8.1706030304605175</v>
      </c>
      <c r="F17" s="442">
        <f>'West Center'!F10</f>
        <v>8.2572640503142321</v>
      </c>
      <c r="G17" s="442">
        <f>'West Center'!G10</f>
        <v>8.3448442351713243</v>
      </c>
      <c r="H17" s="442">
        <f>'West Center'!H10</f>
        <v>8.4333533341012696</v>
      </c>
      <c r="I17" s="442">
        <f>'West Center'!I10</f>
        <v>8.5228011995764756</v>
      </c>
      <c r="J17" s="442">
        <f>'West Center'!J10</f>
        <v>8.6131977885690176</v>
      </c>
      <c r="K17" s="442">
        <f>'West Center'!K10</f>
        <v>8.7045531636590106</v>
      </c>
      <c r="L17" s="442">
        <f>'West Center'!L10</f>
        <v>8.7968774941547299</v>
      </c>
      <c r="M17" s="442">
        <f>'West Center'!M10</f>
        <v>8.8901810572246251</v>
      </c>
      <c r="N17" s="442">
        <f>'West Center'!N10</f>
        <v>8.9844742390413206</v>
      </c>
      <c r="O17" s="442">
        <f>'West Center'!O10</f>
        <v>9.0797675359377763</v>
      </c>
      <c r="P17" s="442">
        <f>'West Center'!P10</f>
        <v>9.1760715555756835</v>
      </c>
      <c r="Q17" s="442">
        <f>'West Center'!Q10</f>
        <v>9.2733970181262784</v>
      </c>
      <c r="R17" s="442">
        <f>'West Center'!R10</f>
        <v>9.3717547574636537</v>
      </c>
      <c r="S17" s="442">
        <f>'West Center'!S10</f>
        <v>9.4711557223707619</v>
      </c>
      <c r="T17" s="442">
        <f>'West Center'!T10</f>
        <v>9.5716109777581639</v>
      </c>
      <c r="U17" s="442">
        <f>'West Center'!U10</f>
        <v>9.6731317058957522</v>
      </c>
      <c r="V17" s="442">
        <f>'West Center'!V10</f>
        <v>9.775729207657502</v>
      </c>
      <c r="W17" s="442">
        <f>'West Center'!W10</f>
        <v>9.8794149037794448</v>
      </c>
      <c r="X17" s="442">
        <f>'West Center'!X10</f>
        <v>9.9842003361309732</v>
      </c>
      <c r="Y17" s="442">
        <f>'West Center'!Y10</f>
        <v>10.090097168999641</v>
      </c>
      <c r="Z17" s="442">
        <f>'West Center'!Z10</f>
        <v>10.19711719038958</v>
      </c>
      <c r="AA17" s="442">
        <f>'West Center'!AA10</f>
        <v>10.305272313333695</v>
      </c>
      <c r="AB17" s="442">
        <f>'West Center'!AB10</f>
        <v>10.414574577219767</v>
      </c>
      <c r="AC17" s="442">
        <f>'West Center'!AC10</f>
        <v>10.525036149130644</v>
      </c>
      <c r="AD17" s="442">
        <f>'West Center'!AD10</f>
        <v>10.636669325198612</v>
      </c>
      <c r="AE17" s="442">
        <f>'West Center'!AE10</f>
        <v>10.749486531974167</v>
      </c>
      <c r="AF17" s="442">
        <f>'West Center'!AF10</f>
        <v>10.863500327809277</v>
      </c>
      <c r="AG17" s="442">
        <f>'West Center'!AG10</f>
        <v>10.978723404255332</v>
      </c>
      <c r="AH17" s="442">
        <f>'West Center'!AH10</f>
        <v>11.095168587475913</v>
      </c>
      <c r="AI17" s="442">
        <f>'West Center'!AI10</f>
        <v>11.212848839674553</v>
      </c>
      <c r="AJ17" s="442">
        <f>'West Center'!AJ10</f>
        <v>11.331777260537629</v>
      </c>
      <c r="AK17" s="442">
        <f>'West Center'!AK10</f>
        <v>11.451967088692575</v>
      </c>
      <c r="AL17" s="442">
        <f>'West Center'!AL10</f>
        <v>11.573431703181543</v>
      </c>
    </row>
    <row r="18" spans="2:38" ht="13">
      <c r="B18" s="400" t="s">
        <v>645</v>
      </c>
      <c r="C18" s="401" t="s">
        <v>646</v>
      </c>
      <c r="D18" s="442">
        <f>'West Center'!D11</f>
        <v>4.0424257644292041</v>
      </c>
      <c r="E18" s="442">
        <f>'West Center'!E11</f>
        <v>4.0853015152302588</v>
      </c>
      <c r="F18" s="442">
        <f>'West Center'!F11</f>
        <v>4.128632025157116</v>
      </c>
      <c r="G18" s="442">
        <f>'West Center'!G11</f>
        <v>4.1724221175856622</v>
      </c>
      <c r="H18" s="442">
        <f>'West Center'!H11</f>
        <v>4.2166766670506348</v>
      </c>
      <c r="I18" s="442">
        <f>'West Center'!I11</f>
        <v>4.2614005997882378</v>
      </c>
      <c r="J18" s="442">
        <f>'West Center'!J11</f>
        <v>4.3065988942845088</v>
      </c>
      <c r="K18" s="442">
        <f>'West Center'!K11</f>
        <v>4.3522765818295053</v>
      </c>
      <c r="L18" s="442">
        <f>'West Center'!L11</f>
        <v>4.3984387470773649</v>
      </c>
      <c r="M18" s="442">
        <f>'West Center'!M11</f>
        <v>4.4450905286123126</v>
      </c>
      <c r="N18" s="442">
        <f>'West Center'!N11</f>
        <v>4.4922371195206603</v>
      </c>
      <c r="O18" s="442">
        <f>'West Center'!O11</f>
        <v>4.5398837679688882</v>
      </c>
      <c r="P18" s="442">
        <f>'West Center'!P11</f>
        <v>4.5880357777878418</v>
      </c>
      <c r="Q18" s="442">
        <f>'West Center'!Q11</f>
        <v>4.6366985090631392</v>
      </c>
      <c r="R18" s="442">
        <f>'West Center'!R11</f>
        <v>4.6858773787318269</v>
      </c>
      <c r="S18" s="442">
        <f>'West Center'!S11</f>
        <v>4.7355778611853809</v>
      </c>
      <c r="T18" s="442">
        <f>'West Center'!T11</f>
        <v>4.785805488879082</v>
      </c>
      <c r="U18" s="442">
        <f>'West Center'!U11</f>
        <v>4.8365658529478761</v>
      </c>
      <c r="V18" s="442">
        <f>'West Center'!V11</f>
        <v>4.887864603828751</v>
      </c>
      <c r="W18" s="442">
        <f>'West Center'!W11</f>
        <v>4.9397074518897224</v>
      </c>
      <c r="X18" s="442">
        <f>'West Center'!X11</f>
        <v>4.9921001680654866</v>
      </c>
      <c r="Y18" s="442">
        <f>'West Center'!Y11</f>
        <v>5.0450485844998205</v>
      </c>
      <c r="Z18" s="442">
        <f>'West Center'!Z11</f>
        <v>5.09855859519479</v>
      </c>
      <c r="AA18" s="442">
        <f>'West Center'!AA11</f>
        <v>5.1526361566668477</v>
      </c>
      <c r="AB18" s="442">
        <f>'West Center'!AB11</f>
        <v>5.2072872886098835</v>
      </c>
      <c r="AC18" s="442">
        <f>'West Center'!AC11</f>
        <v>5.2625180745653219</v>
      </c>
      <c r="AD18" s="442">
        <f>'West Center'!AD11</f>
        <v>5.3183346625993062</v>
      </c>
      <c r="AE18" s="442">
        <f>'West Center'!AE11</f>
        <v>5.3747432659870835</v>
      </c>
      <c r="AF18" s="442">
        <f>'West Center'!AF11</f>
        <v>5.4317501639046384</v>
      </c>
      <c r="AG18" s="442">
        <f>'West Center'!AG11</f>
        <v>5.4893617021276659</v>
      </c>
      <c r="AH18" s="442">
        <f>'West Center'!AH11</f>
        <v>5.5475842937379563</v>
      </c>
      <c r="AI18" s="442">
        <f>'West Center'!AI11</f>
        <v>5.6064244198372766</v>
      </c>
      <c r="AJ18" s="442">
        <f>'West Center'!AJ11</f>
        <v>5.6658886302688147</v>
      </c>
      <c r="AK18" s="442">
        <f>'West Center'!AK11</f>
        <v>5.7259835443462874</v>
      </c>
      <c r="AL18" s="442">
        <f>'West Center'!AL11</f>
        <v>5.7867158515907713</v>
      </c>
    </row>
    <row r="19" spans="2:38" ht="13">
      <c r="B19" s="400" t="s">
        <v>1048</v>
      </c>
      <c r="C19" s="401" t="s">
        <v>647</v>
      </c>
      <c r="D19" s="442">
        <v>0</v>
      </c>
      <c r="E19" s="442">
        <v>0</v>
      </c>
      <c r="F19" s="442">
        <v>0</v>
      </c>
      <c r="G19" s="442">
        <v>0</v>
      </c>
      <c r="H19" s="442">
        <v>0</v>
      </c>
      <c r="I19" s="442">
        <v>0</v>
      </c>
      <c r="J19" s="442">
        <v>0</v>
      </c>
      <c r="K19" s="442">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442">
        <v>0</v>
      </c>
      <c r="AC19" s="442">
        <v>0</v>
      </c>
      <c r="AD19" s="442">
        <v>0</v>
      </c>
      <c r="AE19" s="442">
        <v>0</v>
      </c>
      <c r="AF19" s="442">
        <v>0</v>
      </c>
      <c r="AG19" s="442">
        <v>0</v>
      </c>
      <c r="AH19" s="442">
        <v>0</v>
      </c>
      <c r="AI19" s="442">
        <v>0</v>
      </c>
      <c r="AJ19" s="442">
        <v>0</v>
      </c>
      <c r="AK19" s="442">
        <v>0</v>
      </c>
      <c r="AL19" s="442">
        <v>0</v>
      </c>
    </row>
    <row r="20" spans="2:38" ht="13">
      <c r="B20" s="400" t="s">
        <v>648</v>
      </c>
      <c r="C20" s="401" t="s">
        <v>649</v>
      </c>
      <c r="D20" s="441">
        <f>'Crossing Inputs'!$E60</f>
        <v>7.5</v>
      </c>
      <c r="E20" s="441">
        <f>'Crossing Inputs'!$E60</f>
        <v>7.5</v>
      </c>
      <c r="F20" s="441">
        <f>'Crossing Inputs'!$E60</f>
        <v>7.5</v>
      </c>
      <c r="G20" s="441">
        <f>'Crossing Inputs'!$E60</f>
        <v>7.5</v>
      </c>
      <c r="H20" s="441">
        <f>'Crossing Inputs'!$E60</f>
        <v>7.5</v>
      </c>
      <c r="I20" s="441">
        <f>'Crossing Inputs'!$E60</f>
        <v>7.5</v>
      </c>
      <c r="J20" s="441">
        <f>'Crossing Inputs'!$E60</f>
        <v>7.5</v>
      </c>
      <c r="K20" s="441">
        <f>'Crossing Inputs'!$E60</f>
        <v>7.5</v>
      </c>
      <c r="L20" s="441">
        <f>'Crossing Inputs'!$E60</f>
        <v>7.5</v>
      </c>
      <c r="M20" s="441">
        <f>'Crossing Inputs'!$E60</f>
        <v>7.5</v>
      </c>
      <c r="N20" s="441">
        <f>'Crossing Inputs'!$E60</f>
        <v>7.5</v>
      </c>
      <c r="O20" s="441">
        <f>'Crossing Inputs'!$E60</f>
        <v>7.5</v>
      </c>
      <c r="P20" s="441">
        <f>'Crossing Inputs'!$E60</f>
        <v>7.5</v>
      </c>
      <c r="Q20" s="441">
        <f>'Crossing Inputs'!$E60</f>
        <v>7.5</v>
      </c>
      <c r="R20" s="441">
        <f>'Crossing Inputs'!$E60</f>
        <v>7.5</v>
      </c>
      <c r="S20" s="441">
        <f>'Crossing Inputs'!$E60</f>
        <v>7.5</v>
      </c>
      <c r="T20" s="441">
        <f>'Crossing Inputs'!$E60</f>
        <v>7.5</v>
      </c>
      <c r="U20" s="441">
        <f>'Crossing Inputs'!$E60</f>
        <v>7.5</v>
      </c>
      <c r="V20" s="441">
        <f>'Crossing Inputs'!$E60</f>
        <v>7.5</v>
      </c>
      <c r="W20" s="441">
        <f>'Crossing Inputs'!$E60</f>
        <v>7.5</v>
      </c>
      <c r="X20" s="441">
        <f>'Crossing Inputs'!$E60</f>
        <v>7.5</v>
      </c>
      <c r="Y20" s="441">
        <f>'Crossing Inputs'!$E60</f>
        <v>7.5</v>
      </c>
      <c r="Z20" s="441">
        <f>'Crossing Inputs'!$E60</f>
        <v>7.5</v>
      </c>
      <c r="AA20" s="441">
        <f>'Crossing Inputs'!$E60</f>
        <v>7.5</v>
      </c>
      <c r="AB20" s="441">
        <f>'Crossing Inputs'!$E60</f>
        <v>7.5</v>
      </c>
      <c r="AC20" s="441">
        <f>'Crossing Inputs'!$E60</f>
        <v>7.5</v>
      </c>
      <c r="AD20" s="441">
        <f>'Crossing Inputs'!$E60</f>
        <v>7.5</v>
      </c>
      <c r="AE20" s="441">
        <f>'Crossing Inputs'!$E60</f>
        <v>7.5</v>
      </c>
      <c r="AF20" s="441">
        <f>'Crossing Inputs'!$E60</f>
        <v>7.5</v>
      </c>
      <c r="AG20" s="441">
        <f>'Crossing Inputs'!$E60</f>
        <v>7.5</v>
      </c>
      <c r="AH20" s="441">
        <f>'Crossing Inputs'!$E60</f>
        <v>7.5</v>
      </c>
      <c r="AI20" s="441">
        <f>'Crossing Inputs'!$E60</f>
        <v>7.5</v>
      </c>
      <c r="AJ20" s="441">
        <f>'Crossing Inputs'!$E60</f>
        <v>7.5</v>
      </c>
      <c r="AK20" s="441">
        <f>'Crossing Inputs'!$E60</f>
        <v>7.5</v>
      </c>
      <c r="AL20" s="441">
        <f>'Crossing Inputs'!$E60</f>
        <v>7.5</v>
      </c>
    </row>
    <row r="21" spans="2:38" ht="13">
      <c r="B21" s="400"/>
      <c r="C21" s="403"/>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2:38" ht="13">
      <c r="B22" s="400"/>
      <c r="C22" s="404"/>
      <c r="D22" s="440">
        <f t="shared" ref="D22:AL22" si="1">D$1</f>
        <v>2021</v>
      </c>
      <c r="E22" s="440">
        <f t="shared" si="1"/>
        <v>2022</v>
      </c>
      <c r="F22" s="440">
        <f t="shared" si="1"/>
        <v>2023</v>
      </c>
      <c r="G22" s="440">
        <f t="shared" si="1"/>
        <v>2024</v>
      </c>
      <c r="H22" s="1229">
        <f t="shared" si="1"/>
        <v>2025</v>
      </c>
      <c r="I22" s="440">
        <f t="shared" si="1"/>
        <v>2026</v>
      </c>
      <c r="J22" s="440">
        <f t="shared" si="1"/>
        <v>2027</v>
      </c>
      <c r="K22" s="440">
        <f t="shared" si="1"/>
        <v>2028</v>
      </c>
      <c r="L22" s="440">
        <f t="shared" si="1"/>
        <v>2029</v>
      </c>
      <c r="M22" s="440">
        <f t="shared" si="1"/>
        <v>2030</v>
      </c>
      <c r="N22" s="440">
        <f t="shared" si="1"/>
        <v>2031</v>
      </c>
      <c r="O22" s="440">
        <f t="shared" si="1"/>
        <v>2032</v>
      </c>
      <c r="P22" s="440">
        <f t="shared" si="1"/>
        <v>2033</v>
      </c>
      <c r="Q22" s="440">
        <f t="shared" si="1"/>
        <v>2034</v>
      </c>
      <c r="R22" s="440">
        <f t="shared" si="1"/>
        <v>2035</v>
      </c>
      <c r="S22" s="440">
        <f t="shared" si="1"/>
        <v>2036</v>
      </c>
      <c r="T22" s="440">
        <f t="shared" si="1"/>
        <v>2037</v>
      </c>
      <c r="U22" s="440">
        <f t="shared" si="1"/>
        <v>2038</v>
      </c>
      <c r="V22" s="440">
        <f t="shared" si="1"/>
        <v>2039</v>
      </c>
      <c r="W22" s="440">
        <f t="shared" si="1"/>
        <v>2040</v>
      </c>
      <c r="X22" s="440">
        <f t="shared" si="1"/>
        <v>2041</v>
      </c>
      <c r="Y22" s="440">
        <f t="shared" si="1"/>
        <v>2042</v>
      </c>
      <c r="Z22" s="440">
        <f t="shared" si="1"/>
        <v>2043</v>
      </c>
      <c r="AA22" s="440">
        <f t="shared" si="1"/>
        <v>2044</v>
      </c>
      <c r="AB22" s="440">
        <f t="shared" si="1"/>
        <v>2045</v>
      </c>
      <c r="AC22" s="440">
        <f t="shared" si="1"/>
        <v>2046</v>
      </c>
      <c r="AD22" s="440">
        <f t="shared" si="1"/>
        <v>2047</v>
      </c>
      <c r="AE22" s="440">
        <f t="shared" si="1"/>
        <v>2048</v>
      </c>
      <c r="AF22" s="440">
        <f t="shared" si="1"/>
        <v>2049</v>
      </c>
      <c r="AG22" s="440">
        <f t="shared" si="1"/>
        <v>2050</v>
      </c>
      <c r="AH22" s="440">
        <f t="shared" si="1"/>
        <v>2051</v>
      </c>
      <c r="AI22" s="440">
        <f t="shared" si="1"/>
        <v>2052</v>
      </c>
      <c r="AJ22" s="440">
        <f t="shared" si="1"/>
        <v>2053</v>
      </c>
      <c r="AK22" s="440">
        <f t="shared" si="1"/>
        <v>2054</v>
      </c>
      <c r="AL22" s="440">
        <f t="shared" si="1"/>
        <v>2055</v>
      </c>
    </row>
    <row r="23" spans="2:38" ht="13">
      <c r="B23" s="400" t="s">
        <v>354</v>
      </c>
      <c r="C23" s="404"/>
      <c r="D23" s="405">
        <f t="shared" ref="D23:AL23" si="2">D$56</f>
        <v>0.30304430935698168</v>
      </c>
      <c r="E23" s="405">
        <f t="shared" si="2"/>
        <v>0.30675545011441341</v>
      </c>
      <c r="F23" s="405">
        <f t="shared" si="2"/>
        <v>0.31051211075581803</v>
      </c>
      <c r="G23" s="405">
        <f t="shared" si="2"/>
        <v>0.31431484979669427</v>
      </c>
      <c r="H23" s="1240">
        <f t="shared" si="2"/>
        <v>0.3181642326053376</v>
      </c>
      <c r="I23" s="405">
        <f t="shared" si="2"/>
        <v>0.32206083148691983</v>
      </c>
      <c r="J23" s="405">
        <f t="shared" si="2"/>
        <v>0.32600522576860019</v>
      </c>
      <c r="K23" s="405">
        <f t="shared" si="2"/>
        <v>0.32999800188567996</v>
      </c>
      <c r="L23" s="405">
        <f t="shared" si="2"/>
        <v>0.33403975346881604</v>
      </c>
      <c r="M23" s="405">
        <f t="shared" si="2"/>
        <v>0.33813108143230347</v>
      </c>
      <c r="N23" s="405">
        <f t="shared" si="2"/>
        <v>0.34227259406344107</v>
      </c>
      <c r="O23" s="405">
        <f t="shared" si="2"/>
        <v>0.34646490711299405</v>
      </c>
      <c r="P23" s="405">
        <f t="shared" si="2"/>
        <v>0.35070864388676742</v>
      </c>
      <c r="Q23" s="405">
        <f t="shared" si="2"/>
        <v>0.35500443533830195</v>
      </c>
      <c r="R23" s="405">
        <f t="shared" si="2"/>
        <v>0.35935292016270731</v>
      </c>
      <c r="S23" s="405">
        <f t="shared" si="2"/>
        <v>0.36375474489164811</v>
      </c>
      <c r="T23" s="405">
        <f t="shared" si="2"/>
        <v>0.36821056398949481</v>
      </c>
      <c r="U23" s="405">
        <f t="shared" si="2"/>
        <v>0.37272103995065242</v>
      </c>
      <c r="V23" s="405">
        <f t="shared" si="2"/>
        <v>0.37728684339808838</v>
      </c>
      <c r="W23" s="405">
        <f t="shared" si="2"/>
        <v>0.38190865318306294</v>
      </c>
      <c r="X23" s="405">
        <f t="shared" si="2"/>
        <v>0.38658715648608971</v>
      </c>
      <c r="Y23" s="405">
        <f t="shared" si="2"/>
        <v>0.39132304891912922</v>
      </c>
      <c r="Z23" s="405">
        <f t="shared" si="2"/>
        <v>0.39611703462904113</v>
      </c>
      <c r="AA23" s="405">
        <f t="shared" si="2"/>
        <v>0.40096982640230394</v>
      </c>
      <c r="AB23" s="405">
        <f t="shared" si="2"/>
        <v>0.40588214577101783</v>
      </c>
      <c r="AC23" s="405">
        <f t="shared" si="2"/>
        <v>0.41085472312021243</v>
      </c>
      <c r="AD23" s="405">
        <f t="shared" si="2"/>
        <v>0.41588829779646674</v>
      </c>
      <c r="AE23" s="405">
        <f t="shared" si="2"/>
        <v>0.42098361821786484</v>
      </c>
      <c r="AF23" s="405">
        <f t="shared" si="2"/>
        <v>0.42614144198530052</v>
      </c>
      <c r="AG23" s="405">
        <f t="shared" si="2"/>
        <v>0.43136253599514573</v>
      </c>
      <c r="AH23" s="405">
        <f t="shared" si="2"/>
        <v>0.43664767655330294</v>
      </c>
      <c r="AI23" s="405">
        <f t="shared" si="2"/>
        <v>0.44199764949065856</v>
      </c>
      <c r="AJ23" s="405">
        <f t="shared" si="2"/>
        <v>0.44741325027994872</v>
      </c>
      <c r="AK23" s="405">
        <f t="shared" si="2"/>
        <v>0.45289528415406283</v>
      </c>
      <c r="AL23" s="405">
        <f t="shared" si="2"/>
        <v>0.45844456622579755</v>
      </c>
    </row>
    <row r="24" spans="2:38" ht="13">
      <c r="B24" s="400" t="s">
        <v>650</v>
      </c>
      <c r="C24" s="404"/>
      <c r="D24" s="405">
        <f t="shared" ref="D24:AL24" si="3">D$64*D$23</f>
        <v>3.8931567334583245E-3</v>
      </c>
      <c r="E24" s="405">
        <f t="shared" si="3"/>
        <v>3.9445809558329402E-3</v>
      </c>
      <c r="F24" s="405">
        <f t="shared" si="3"/>
        <v>3.9966896940259091E-3</v>
      </c>
      <c r="G24" s="405">
        <f t="shared" si="3"/>
        <v>4.0494920829314274E-3</v>
      </c>
      <c r="H24" s="1240">
        <f t="shared" si="3"/>
        <v>4.1029973793590881E-3</v>
      </c>
      <c r="I24" s="405">
        <f t="shared" si="3"/>
        <v>4.1572149636607469E-3</v>
      </c>
      <c r="J24" s="405">
        <f t="shared" si="3"/>
        <v>4.2121543413791091E-3</v>
      </c>
      <c r="K24" s="405">
        <f t="shared" si="3"/>
        <v>4.2678251449182938E-3</v>
      </c>
      <c r="L24" s="405">
        <f t="shared" si="3"/>
        <v>4.3242371352367401E-3</v>
      </c>
      <c r="M24" s="405">
        <f t="shared" si="3"/>
        <v>4.3814002035626716E-3</v>
      </c>
      <c r="N24" s="405">
        <f t="shared" si="3"/>
        <v>4.4393243731324613E-3</v>
      </c>
      <c r="O24" s="405">
        <f t="shared" si="3"/>
        <v>4.4980198009522028E-3</v>
      </c>
      <c r="P24" s="405">
        <f t="shared" si="3"/>
        <v>4.5574967795828031E-3</v>
      </c>
      <c r="Q24" s="405">
        <f t="shared" si="3"/>
        <v>4.6177657389488789E-3</v>
      </c>
      <c r="R24" s="405">
        <f t="shared" si="3"/>
        <v>4.6788372481718007E-3</v>
      </c>
      <c r="S24" s="405">
        <f t="shared" si="3"/>
        <v>4.74072201742721E-3</v>
      </c>
      <c r="T24" s="405">
        <f t="shared" si="3"/>
        <v>4.8034308998273247E-3</v>
      </c>
      <c r="U24" s="405">
        <f t="shared" si="3"/>
        <v>4.8669748933283406E-3</v>
      </c>
      <c r="V24" s="405">
        <f t="shared" si="3"/>
        <v>4.9313651426633499E-3</v>
      </c>
      <c r="W24" s="405">
        <f t="shared" si="3"/>
        <v>4.9966129413009652E-3</v>
      </c>
      <c r="X24" s="405">
        <f t="shared" si="3"/>
        <v>5.0627297334301831E-3</v>
      </c>
      <c r="Y24" s="405">
        <f t="shared" si="3"/>
        <v>5.1297271159716452E-3</v>
      </c>
      <c r="Z24" s="405">
        <f t="shared" si="3"/>
        <v>5.1976168406158048E-3</v>
      </c>
      <c r="AA24" s="405">
        <f t="shared" si="3"/>
        <v>5.2664108158882788E-3</v>
      </c>
      <c r="AB24" s="405">
        <f t="shared" si="3"/>
        <v>5.3361211092427356E-3</v>
      </c>
      <c r="AC24" s="405">
        <f t="shared" si="3"/>
        <v>5.406759949181752E-3</v>
      </c>
      <c r="AD24" s="405">
        <f t="shared" si="3"/>
        <v>5.478339727405945E-3</v>
      </c>
      <c r="AE24" s="405">
        <f t="shared" si="3"/>
        <v>5.5508730009917939E-3</v>
      </c>
      <c r="AF24" s="405">
        <f t="shared" si="3"/>
        <v>5.6243724945985391E-3</v>
      </c>
      <c r="AG24" s="405">
        <f t="shared" si="3"/>
        <v>5.6988511027045111E-3</v>
      </c>
      <c r="AH24" s="405">
        <f t="shared" si="3"/>
        <v>5.7743218918733042E-3</v>
      </c>
      <c r="AI24" s="405">
        <f t="shared" si="3"/>
        <v>5.8507981030502323E-3</v>
      </c>
      <c r="AJ24" s="405">
        <f t="shared" si="3"/>
        <v>5.9282931538893625E-3</v>
      </c>
      <c r="AK24" s="405">
        <f t="shared" si="3"/>
        <v>6.0068206411116607E-3</v>
      </c>
      <c r="AL24" s="405">
        <f t="shared" si="3"/>
        <v>6.0863943428945896E-3</v>
      </c>
    </row>
    <row r="25" spans="2:38" ht="13">
      <c r="B25" s="400" t="s">
        <v>651</v>
      </c>
      <c r="C25" s="404"/>
      <c r="D25" s="405">
        <f t="shared" ref="D25:AK25" si="4">D$73*D23</f>
        <v>5.9021621655857073E-2</v>
      </c>
      <c r="E25" s="405">
        <f t="shared" si="4"/>
        <v>5.9743672708662682E-2</v>
      </c>
      <c r="F25" s="405">
        <f t="shared" si="4"/>
        <v>6.0474569644603987E-2</v>
      </c>
      <c r="G25" s="405">
        <f t="shared" si="4"/>
        <v>6.1214420854820061E-2</v>
      </c>
      <c r="H25" s="1240">
        <f t="shared" si="4"/>
        <v>6.19633360584326E-2</v>
      </c>
      <c r="I25" s="405">
        <f t="shared" si="4"/>
        <v>6.2721426318813556E-2</v>
      </c>
      <c r="J25" s="405">
        <f t="shared" si="4"/>
        <v>6.3488804060052167E-2</v>
      </c>
      <c r="K25" s="405">
        <f t="shared" si="4"/>
        <v>6.4265583083623221E-2</v>
      </c>
      <c r="L25" s="405">
        <f t="shared" si="4"/>
        <v>6.5051878585260181E-2</v>
      </c>
      <c r="M25" s="405">
        <f t="shared" si="4"/>
        <v>6.5847807172034561E-2</v>
      </c>
      <c r="N25" s="405">
        <f t="shared" si="4"/>
        <v>6.6653486879644425E-2</v>
      </c>
      <c r="O25" s="405">
        <f t="shared" si="4"/>
        <v>6.7469037189915038E-2</v>
      </c>
      <c r="P25" s="405">
        <f t="shared" si="4"/>
        <v>6.8294579048513618E-2</v>
      </c>
      <c r="Q25" s="405">
        <f t="shared" si="4"/>
        <v>6.9130234882881211E-2</v>
      </c>
      <c r="R25" s="405">
        <f t="shared" si="4"/>
        <v>6.9976128620384007E-2</v>
      </c>
      <c r="S25" s="405">
        <f t="shared" si="4"/>
        <v>7.083238570668729E-2</v>
      </c>
      <c r="T25" s="405">
        <f t="shared" si="4"/>
        <v>7.1699133124354372E-2</v>
      </c>
      <c r="U25" s="405">
        <f t="shared" si="4"/>
        <v>7.2576499411672921E-2</v>
      </c>
      <c r="V25" s="405">
        <f t="shared" si="4"/>
        <v>7.346461468171285E-2</v>
      </c>
      <c r="W25" s="405">
        <f t="shared" si="4"/>
        <v>7.4363610641616396E-2</v>
      </c>
      <c r="X25" s="405">
        <f t="shared" si="4"/>
        <v>7.5273620612125752E-2</v>
      </c>
      <c r="Y25" s="405">
        <f t="shared" si="4"/>
        <v>7.6194779547348698E-2</v>
      </c>
      <c r="Z25" s="405">
        <f t="shared" si="4"/>
        <v>7.7127224054767268E-2</v>
      </c>
      <c r="AA25" s="405">
        <f t="shared" si="4"/>
        <v>7.8071092415491192E-2</v>
      </c>
      <c r="AB25" s="405">
        <f t="shared" si="4"/>
        <v>7.9026524604759021E-2</v>
      </c>
      <c r="AC25" s="405">
        <f t="shared" si="4"/>
        <v>7.9993662312691102E-2</v>
      </c>
      <c r="AD25" s="405">
        <f t="shared" si="4"/>
        <v>8.0972648965296101E-2</v>
      </c>
      <c r="AE25" s="405">
        <f t="shared" si="4"/>
        <v>8.1963629745735067E-2</v>
      </c>
      <c r="AF25" s="405">
        <f t="shared" si="4"/>
        <v>8.2966751615846226E-2</v>
      </c>
      <c r="AG25" s="405">
        <f t="shared" si="4"/>
        <v>8.3982163337932889E-2</v>
      </c>
      <c r="AH25" s="405">
        <f t="shared" si="4"/>
        <v>8.5010015496818442E-2</v>
      </c>
      <c r="AI25" s="405">
        <f t="shared" si="4"/>
        <v>8.6050460522171981E-2</v>
      </c>
      <c r="AJ25" s="405">
        <f t="shared" si="4"/>
        <v>8.7103652711106372E-2</v>
      </c>
      <c r="AK25" s="405">
        <f t="shared" si="4"/>
        <v>8.8169748251054031E-2</v>
      </c>
      <c r="AL25" s="405">
        <f t="shared" ref="AL25" si="5">AL$73*AL23</f>
        <v>8.9248905242922436E-2</v>
      </c>
    </row>
    <row r="26" spans="2:38">
      <c r="H26" s="1228"/>
    </row>
    <row r="27" spans="2:38" ht="13">
      <c r="B27" s="364" t="s">
        <v>652</v>
      </c>
      <c r="H27" s="1228"/>
    </row>
    <row r="28" spans="2:38" ht="13">
      <c r="B28" s="407" t="s">
        <v>615</v>
      </c>
      <c r="C28" s="396" t="s">
        <v>627</v>
      </c>
      <c r="D28" s="440">
        <f t="shared" ref="D28:AL28" si="6">D$1</f>
        <v>2021</v>
      </c>
      <c r="E28" s="440">
        <f t="shared" si="6"/>
        <v>2022</v>
      </c>
      <c r="F28" s="440">
        <f t="shared" si="6"/>
        <v>2023</v>
      </c>
      <c r="G28" s="440">
        <f t="shared" si="6"/>
        <v>2024</v>
      </c>
      <c r="H28" s="1229">
        <f t="shared" si="6"/>
        <v>2025</v>
      </c>
      <c r="I28" s="440">
        <f t="shared" si="6"/>
        <v>2026</v>
      </c>
      <c r="J28" s="440">
        <f t="shared" si="6"/>
        <v>2027</v>
      </c>
      <c r="K28" s="440">
        <f t="shared" si="6"/>
        <v>2028</v>
      </c>
      <c r="L28" s="440">
        <f t="shared" si="6"/>
        <v>2029</v>
      </c>
      <c r="M28" s="440">
        <f t="shared" si="6"/>
        <v>2030</v>
      </c>
      <c r="N28" s="440">
        <f t="shared" si="6"/>
        <v>2031</v>
      </c>
      <c r="O28" s="440">
        <f t="shared" si="6"/>
        <v>2032</v>
      </c>
      <c r="P28" s="440">
        <f t="shared" si="6"/>
        <v>2033</v>
      </c>
      <c r="Q28" s="440">
        <f t="shared" si="6"/>
        <v>2034</v>
      </c>
      <c r="R28" s="440">
        <f t="shared" si="6"/>
        <v>2035</v>
      </c>
      <c r="S28" s="440">
        <f t="shared" si="6"/>
        <v>2036</v>
      </c>
      <c r="T28" s="440">
        <f t="shared" si="6"/>
        <v>2037</v>
      </c>
      <c r="U28" s="440">
        <f t="shared" si="6"/>
        <v>2038</v>
      </c>
      <c r="V28" s="440">
        <f t="shared" si="6"/>
        <v>2039</v>
      </c>
      <c r="W28" s="440">
        <f t="shared" si="6"/>
        <v>2040</v>
      </c>
      <c r="X28" s="440">
        <f t="shared" si="6"/>
        <v>2041</v>
      </c>
      <c r="Y28" s="440">
        <f t="shared" si="6"/>
        <v>2042</v>
      </c>
      <c r="Z28" s="440">
        <f t="shared" si="6"/>
        <v>2043</v>
      </c>
      <c r="AA28" s="440">
        <f t="shared" si="6"/>
        <v>2044</v>
      </c>
      <c r="AB28" s="440">
        <f t="shared" si="6"/>
        <v>2045</v>
      </c>
      <c r="AC28" s="440">
        <f t="shared" si="6"/>
        <v>2046</v>
      </c>
      <c r="AD28" s="440">
        <f t="shared" si="6"/>
        <v>2047</v>
      </c>
      <c r="AE28" s="440">
        <f t="shared" si="6"/>
        <v>2048</v>
      </c>
      <c r="AF28" s="440">
        <f t="shared" si="6"/>
        <v>2049</v>
      </c>
      <c r="AG28" s="440">
        <f t="shared" si="6"/>
        <v>2050</v>
      </c>
      <c r="AH28" s="440">
        <f t="shared" si="6"/>
        <v>2051</v>
      </c>
      <c r="AI28" s="440">
        <f t="shared" si="6"/>
        <v>2052</v>
      </c>
      <c r="AJ28" s="440">
        <f t="shared" si="6"/>
        <v>2053</v>
      </c>
      <c r="AK28" s="440">
        <f t="shared" si="6"/>
        <v>2054</v>
      </c>
      <c r="AL28" s="440">
        <f t="shared" si="6"/>
        <v>2055</v>
      </c>
    </row>
    <row r="29" spans="2:38" ht="13">
      <c r="B29" s="364" t="s">
        <v>624</v>
      </c>
      <c r="C29" s="408"/>
      <c r="D29" s="358"/>
      <c r="E29" s="409"/>
      <c r="F29" s="410"/>
      <c r="G29" s="410"/>
      <c r="H29" s="1234"/>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row>
    <row r="30" spans="2:38">
      <c r="B30" s="411" t="s">
        <v>653</v>
      </c>
      <c r="C30" s="412" t="s">
        <v>654</v>
      </c>
      <c r="D30" s="413">
        <f t="shared" ref="D30:AL30" si="7">((D$15*D$16+0.2)/0.2)^(0.3334)</f>
        <v>83.678897993536978</v>
      </c>
      <c r="E30" s="413">
        <f t="shared" si="7"/>
        <v>84.791515134689959</v>
      </c>
      <c r="F30" s="413">
        <f t="shared" si="7"/>
        <v>85.918926006656363</v>
      </c>
      <c r="G30" s="413">
        <f t="shared" si="7"/>
        <v>87.061327309917061</v>
      </c>
      <c r="H30" s="413">
        <f t="shared" si="7"/>
        <v>88.218918360372996</v>
      </c>
      <c r="I30" s="413">
        <f t="shared" si="7"/>
        <v>89.391901124119968</v>
      </c>
      <c r="J30" s="413">
        <f t="shared" si="7"/>
        <v>90.580480252685334</v>
      </c>
      <c r="K30" s="413">
        <f t="shared" si="7"/>
        <v>91.784863118733497</v>
      </c>
      <c r="L30" s="413">
        <f t="shared" si="7"/>
        <v>93.005259852246326</v>
      </c>
      <c r="M30" s="413">
        <f t="shared" si="7"/>
        <v>94.241883377184223</v>
      </c>
      <c r="N30" s="413">
        <f t="shared" si="7"/>
        <v>95.494949448635154</v>
      </c>
      <c r="O30" s="413">
        <f t="shared" si="7"/>
        <v>96.764676690457108</v>
      </c>
      <c r="P30" s="413">
        <f t="shared" si="7"/>
        <v>98.051286633421682</v>
      </c>
      <c r="Q30" s="413">
        <f t="shared" si="7"/>
        <v>99.355003753864395</v>
      </c>
      <c r="R30" s="413">
        <f t="shared" si="7"/>
        <v>100.67605551284906</v>
      </c>
      <c r="S30" s="413">
        <f t="shared" si="7"/>
        <v>102.01467239585307</v>
      </c>
      <c r="T30" s="413">
        <f t="shared" si="7"/>
        <v>103.37108795298015</v>
      </c>
      <c r="U30" s="413">
        <f t="shared" si="7"/>
        <v>104.74553883970762</v>
      </c>
      <c r="V30" s="413">
        <f t="shared" si="7"/>
        <v>106.13826485817637</v>
      </c>
      <c r="W30" s="413">
        <f t="shared" si="7"/>
        <v>107.5495089990286</v>
      </c>
      <c r="X30" s="413">
        <f t="shared" si="7"/>
        <v>108.97951748380301</v>
      </c>
      <c r="Y30" s="413">
        <f t="shared" si="7"/>
        <v>110.42853980789236</v>
      </c>
      <c r="Z30" s="413">
        <f t="shared" si="7"/>
        <v>111.89682878407415</v>
      </c>
      <c r="AA30" s="413">
        <f t="shared" si="7"/>
        <v>113.38464058661806</v>
      </c>
      <c r="AB30" s="413">
        <f t="shared" si="7"/>
        <v>114.89223479598111</v>
      </c>
      <c r="AC30" s="413">
        <f t="shared" si="7"/>
        <v>116.41987444409726</v>
      </c>
      <c r="AD30" s="413">
        <f t="shared" si="7"/>
        <v>117.9678260602678</v>
      </c>
      <c r="AE30" s="413">
        <f t="shared" si="7"/>
        <v>119.53635971766384</v>
      </c>
      <c r="AF30" s="413">
        <f t="shared" si="7"/>
        <v>121.12574908044564</v>
      </c>
      <c r="AG30" s="413">
        <f t="shared" si="7"/>
        <v>122.73627145150888</v>
      </c>
      <c r="AH30" s="413">
        <f t="shared" si="7"/>
        <v>124.36820782086643</v>
      </c>
      <c r="AI30" s="413">
        <f t="shared" si="7"/>
        <v>126.0218429146725</v>
      </c>
      <c r="AJ30" s="413">
        <f t="shared" si="7"/>
        <v>127.69746524489913</v>
      </c>
      <c r="AK30" s="413">
        <f t="shared" si="7"/>
        <v>129.39536715967279</v>
      </c>
      <c r="AL30" s="413">
        <f t="shared" si="7"/>
        <v>131.11584489428157</v>
      </c>
    </row>
    <row r="31" spans="2:38">
      <c r="B31" s="411" t="s">
        <v>655</v>
      </c>
      <c r="C31" s="412" t="s">
        <v>656</v>
      </c>
      <c r="D31" s="414">
        <f t="shared" ref="D31:AL31" si="8">EXP(0.2094*$D$9)</f>
        <v>1.5201362971260179</v>
      </c>
      <c r="E31" s="415">
        <f t="shared" si="8"/>
        <v>1.5201362971260179</v>
      </c>
      <c r="F31" s="415">
        <f t="shared" si="8"/>
        <v>1.5201362971260179</v>
      </c>
      <c r="G31" s="415">
        <f t="shared" si="8"/>
        <v>1.5201362971260179</v>
      </c>
      <c r="H31" s="1235">
        <f t="shared" si="8"/>
        <v>1.5201362971260179</v>
      </c>
      <c r="I31" s="415">
        <f t="shared" si="8"/>
        <v>1.5201362971260179</v>
      </c>
      <c r="J31" s="415">
        <f t="shared" si="8"/>
        <v>1.5201362971260179</v>
      </c>
      <c r="K31" s="415">
        <f t="shared" si="8"/>
        <v>1.5201362971260179</v>
      </c>
      <c r="L31" s="415">
        <f t="shared" si="8"/>
        <v>1.5201362971260179</v>
      </c>
      <c r="M31" s="415">
        <f t="shared" si="8"/>
        <v>1.5201362971260179</v>
      </c>
      <c r="N31" s="415">
        <f t="shared" si="8"/>
        <v>1.5201362971260179</v>
      </c>
      <c r="O31" s="415">
        <f t="shared" si="8"/>
        <v>1.5201362971260179</v>
      </c>
      <c r="P31" s="415">
        <f t="shared" si="8"/>
        <v>1.5201362971260179</v>
      </c>
      <c r="Q31" s="415">
        <f t="shared" si="8"/>
        <v>1.5201362971260179</v>
      </c>
      <c r="R31" s="415">
        <f t="shared" si="8"/>
        <v>1.5201362971260179</v>
      </c>
      <c r="S31" s="415">
        <f t="shared" si="8"/>
        <v>1.5201362971260179</v>
      </c>
      <c r="T31" s="415">
        <f t="shared" si="8"/>
        <v>1.5201362971260179</v>
      </c>
      <c r="U31" s="415">
        <f t="shared" si="8"/>
        <v>1.5201362971260179</v>
      </c>
      <c r="V31" s="415">
        <f t="shared" si="8"/>
        <v>1.5201362971260179</v>
      </c>
      <c r="W31" s="415">
        <f t="shared" si="8"/>
        <v>1.5201362971260179</v>
      </c>
      <c r="X31" s="415">
        <f t="shared" si="8"/>
        <v>1.5201362971260179</v>
      </c>
      <c r="Y31" s="415">
        <f t="shared" si="8"/>
        <v>1.5201362971260179</v>
      </c>
      <c r="Z31" s="415">
        <f t="shared" si="8"/>
        <v>1.5201362971260179</v>
      </c>
      <c r="AA31" s="415">
        <f t="shared" si="8"/>
        <v>1.5201362971260179</v>
      </c>
      <c r="AB31" s="415">
        <f t="shared" si="8"/>
        <v>1.5201362971260179</v>
      </c>
      <c r="AC31" s="415">
        <f t="shared" si="8"/>
        <v>1.5201362971260179</v>
      </c>
      <c r="AD31" s="415">
        <f t="shared" si="8"/>
        <v>1.5201362971260179</v>
      </c>
      <c r="AE31" s="415">
        <f t="shared" si="8"/>
        <v>1.5201362971260179</v>
      </c>
      <c r="AF31" s="415">
        <f t="shared" si="8"/>
        <v>1.5201362971260179</v>
      </c>
      <c r="AG31" s="415">
        <f t="shared" si="8"/>
        <v>1.5201362971260179</v>
      </c>
      <c r="AH31" s="415">
        <f t="shared" si="8"/>
        <v>1.5201362971260179</v>
      </c>
      <c r="AI31" s="415">
        <f t="shared" si="8"/>
        <v>1.5201362971260179</v>
      </c>
      <c r="AJ31" s="415">
        <f t="shared" si="8"/>
        <v>1.5201362971260179</v>
      </c>
      <c r="AK31" s="415">
        <f t="shared" si="8"/>
        <v>1.5201362971260179</v>
      </c>
      <c r="AL31" s="415">
        <f t="shared" si="8"/>
        <v>1.5201362971260179</v>
      </c>
    </row>
    <row r="32" spans="2:38">
      <c r="B32" s="411" t="s">
        <v>657</v>
      </c>
      <c r="C32" s="416" t="s">
        <v>658</v>
      </c>
      <c r="D32" s="417">
        <f t="shared" ref="D32:AL32" si="9">((D$18+0.2)/0.2)^(0.1336)</f>
        <v>1.5039439694520227</v>
      </c>
      <c r="E32" s="417">
        <f t="shared" si="9"/>
        <v>1.5059657870025993</v>
      </c>
      <c r="F32" s="417">
        <f t="shared" si="9"/>
        <v>1.5079913203920043</v>
      </c>
      <c r="G32" s="417">
        <f t="shared" si="9"/>
        <v>1.5100205677833436</v>
      </c>
      <c r="H32" s="417">
        <f t="shared" si="9"/>
        <v>1.5120535273873423</v>
      </c>
      <c r="I32" s="417">
        <f t="shared" si="9"/>
        <v>1.5140901974622014</v>
      </c>
      <c r="J32" s="417">
        <f t="shared" si="9"/>
        <v>1.5161305763134527</v>
      </c>
      <c r="K32" s="417">
        <f t="shared" si="9"/>
        <v>1.5181746622938119</v>
      </c>
      <c r="L32" s="417">
        <f t="shared" si="9"/>
        <v>1.520222453803028</v>
      </c>
      <c r="M32" s="417">
        <f t="shared" si="9"/>
        <v>1.5222739492877324</v>
      </c>
      <c r="N32" s="417">
        <f t="shared" si="9"/>
        <v>1.5243291472412857</v>
      </c>
      <c r="O32" s="417">
        <f t="shared" si="9"/>
        <v>1.5263880462036212</v>
      </c>
      <c r="P32" s="417">
        <f t="shared" si="9"/>
        <v>1.5284506447610882</v>
      </c>
      <c r="Q32" s="417">
        <f t="shared" si="9"/>
        <v>1.530516941546292</v>
      </c>
      <c r="R32" s="417">
        <f t="shared" si="9"/>
        <v>1.5325869352379347</v>
      </c>
      <c r="S32" s="417">
        <f t="shared" si="9"/>
        <v>1.5346606245606504</v>
      </c>
      <c r="T32" s="417">
        <f t="shared" si="9"/>
        <v>1.5367380082848423</v>
      </c>
      <c r="U32" s="417">
        <f t="shared" si="9"/>
        <v>1.5388190852265171</v>
      </c>
      <c r="V32" s="417">
        <f t="shared" si="9"/>
        <v>1.5409038542471161</v>
      </c>
      <c r="W32" s="417">
        <f t="shared" si="9"/>
        <v>1.5429923142533486</v>
      </c>
      <c r="X32" s="417">
        <f t="shared" si="9"/>
        <v>1.5450844641970205</v>
      </c>
      <c r="Y32" s="417">
        <f t="shared" si="9"/>
        <v>1.5471803030748632</v>
      </c>
      <c r="Z32" s="417">
        <f t="shared" si="9"/>
        <v>1.549279829928361</v>
      </c>
      <c r="AA32" s="417">
        <f t="shared" si="9"/>
        <v>1.5513830438435772</v>
      </c>
      <c r="AB32" s="417">
        <f t="shared" si="9"/>
        <v>1.5534899439509793</v>
      </c>
      <c r="AC32" s="417">
        <f t="shared" si="9"/>
        <v>1.5556005294252619</v>
      </c>
      <c r="AD32" s="417">
        <f t="shared" si="9"/>
        <v>1.5577147994851714</v>
      </c>
      <c r="AE32" s="417">
        <f t="shared" si="9"/>
        <v>1.5598327533933254</v>
      </c>
      <c r="AF32" s="417">
        <f t="shared" si="9"/>
        <v>1.5619543904560358</v>
      </c>
      <c r="AG32" s="417">
        <f t="shared" si="9"/>
        <v>1.5640797100231272</v>
      </c>
      <c r="AH32" s="417">
        <f t="shared" si="9"/>
        <v>1.5662087114877568</v>
      </c>
      <c r="AI32" s="417">
        <f t="shared" si="9"/>
        <v>1.5683413942862328</v>
      </c>
      <c r="AJ32" s="417">
        <f t="shared" si="9"/>
        <v>1.5704777578978313</v>
      </c>
      <c r="AK32" s="417">
        <f t="shared" si="9"/>
        <v>1.5726178018446135</v>
      </c>
      <c r="AL32" s="417">
        <f t="shared" si="9"/>
        <v>1.5747615256912424</v>
      </c>
    </row>
    <row r="33" spans="2:38">
      <c r="B33" s="411" t="s">
        <v>659</v>
      </c>
      <c r="C33" s="412" t="s">
        <v>660</v>
      </c>
      <c r="D33" s="414">
        <f t="shared" ref="D33:AL33" si="10">EXP(-0.616*($E$7-1))</f>
        <v>1</v>
      </c>
      <c r="E33" s="415">
        <f t="shared" si="10"/>
        <v>1</v>
      </c>
      <c r="F33" s="415">
        <f t="shared" si="10"/>
        <v>1</v>
      </c>
      <c r="G33" s="415">
        <f t="shared" si="10"/>
        <v>1</v>
      </c>
      <c r="H33" s="1235">
        <f t="shared" si="10"/>
        <v>1</v>
      </c>
      <c r="I33" s="415">
        <f t="shared" si="10"/>
        <v>1</v>
      </c>
      <c r="J33" s="415">
        <f t="shared" si="10"/>
        <v>1</v>
      </c>
      <c r="K33" s="415">
        <f t="shared" si="10"/>
        <v>1</v>
      </c>
      <c r="L33" s="415">
        <f t="shared" si="10"/>
        <v>1</v>
      </c>
      <c r="M33" s="415">
        <f t="shared" si="10"/>
        <v>1</v>
      </c>
      <c r="N33" s="415">
        <f t="shared" si="10"/>
        <v>1</v>
      </c>
      <c r="O33" s="415">
        <f t="shared" si="10"/>
        <v>1</v>
      </c>
      <c r="P33" s="415">
        <f t="shared" si="10"/>
        <v>1</v>
      </c>
      <c r="Q33" s="415">
        <f t="shared" si="10"/>
        <v>1</v>
      </c>
      <c r="R33" s="415">
        <f t="shared" si="10"/>
        <v>1</v>
      </c>
      <c r="S33" s="415">
        <f t="shared" si="10"/>
        <v>1</v>
      </c>
      <c r="T33" s="415">
        <f t="shared" si="10"/>
        <v>1</v>
      </c>
      <c r="U33" s="415">
        <f t="shared" si="10"/>
        <v>1</v>
      </c>
      <c r="V33" s="415">
        <f t="shared" si="10"/>
        <v>1</v>
      </c>
      <c r="W33" s="415">
        <f t="shared" si="10"/>
        <v>1</v>
      </c>
      <c r="X33" s="415">
        <f t="shared" si="10"/>
        <v>1</v>
      </c>
      <c r="Y33" s="415">
        <f t="shared" si="10"/>
        <v>1</v>
      </c>
      <c r="Z33" s="415">
        <f t="shared" si="10"/>
        <v>1</v>
      </c>
      <c r="AA33" s="415">
        <f t="shared" si="10"/>
        <v>1</v>
      </c>
      <c r="AB33" s="415">
        <f t="shared" si="10"/>
        <v>1</v>
      </c>
      <c r="AC33" s="415">
        <f t="shared" si="10"/>
        <v>1</v>
      </c>
      <c r="AD33" s="415">
        <f t="shared" si="10"/>
        <v>1</v>
      </c>
      <c r="AE33" s="415">
        <f t="shared" si="10"/>
        <v>1</v>
      </c>
      <c r="AF33" s="415">
        <f t="shared" si="10"/>
        <v>1</v>
      </c>
      <c r="AG33" s="415">
        <f t="shared" si="10"/>
        <v>1</v>
      </c>
      <c r="AH33" s="415">
        <f t="shared" si="10"/>
        <v>1</v>
      </c>
      <c r="AI33" s="415">
        <f t="shared" si="10"/>
        <v>1</v>
      </c>
      <c r="AJ33" s="415">
        <f t="shared" si="10"/>
        <v>1</v>
      </c>
      <c r="AK33" s="415">
        <f t="shared" si="10"/>
        <v>1</v>
      </c>
      <c r="AL33" s="415">
        <f t="shared" si="10"/>
        <v>1</v>
      </c>
    </row>
    <row r="34" spans="2:38">
      <c r="B34" s="411" t="s">
        <v>661</v>
      </c>
      <c r="C34" s="412" t="s">
        <v>662</v>
      </c>
      <c r="D34" s="414">
        <f t="shared" ref="D34:AL34" si="11">EXP(0.0077*D$20)</f>
        <v>1.0594501000746941</v>
      </c>
      <c r="E34" s="415">
        <f t="shared" si="11"/>
        <v>1.0594501000746941</v>
      </c>
      <c r="F34" s="415">
        <f t="shared" si="11"/>
        <v>1.0594501000746941</v>
      </c>
      <c r="G34" s="415">
        <f t="shared" si="11"/>
        <v>1.0594501000746941</v>
      </c>
      <c r="H34" s="1235">
        <f t="shared" si="11"/>
        <v>1.0594501000746941</v>
      </c>
      <c r="I34" s="415">
        <f t="shared" si="11"/>
        <v>1.0594501000746941</v>
      </c>
      <c r="J34" s="415">
        <f t="shared" si="11"/>
        <v>1.0594501000746941</v>
      </c>
      <c r="K34" s="415">
        <f t="shared" si="11"/>
        <v>1.0594501000746941</v>
      </c>
      <c r="L34" s="415">
        <f t="shared" si="11"/>
        <v>1.0594501000746941</v>
      </c>
      <c r="M34" s="415">
        <f t="shared" si="11"/>
        <v>1.0594501000746941</v>
      </c>
      <c r="N34" s="415">
        <f t="shared" si="11"/>
        <v>1.0594501000746941</v>
      </c>
      <c r="O34" s="415">
        <f t="shared" si="11"/>
        <v>1.0594501000746941</v>
      </c>
      <c r="P34" s="415">
        <f t="shared" si="11"/>
        <v>1.0594501000746941</v>
      </c>
      <c r="Q34" s="415">
        <f t="shared" si="11"/>
        <v>1.0594501000746941</v>
      </c>
      <c r="R34" s="415">
        <f t="shared" si="11"/>
        <v>1.0594501000746941</v>
      </c>
      <c r="S34" s="415">
        <f t="shared" si="11"/>
        <v>1.0594501000746941</v>
      </c>
      <c r="T34" s="415">
        <f t="shared" si="11"/>
        <v>1.0594501000746941</v>
      </c>
      <c r="U34" s="415">
        <f t="shared" si="11"/>
        <v>1.0594501000746941</v>
      </c>
      <c r="V34" s="415">
        <f t="shared" si="11"/>
        <v>1.0594501000746941</v>
      </c>
      <c r="W34" s="415">
        <f t="shared" si="11"/>
        <v>1.0594501000746941</v>
      </c>
      <c r="X34" s="415">
        <f t="shared" si="11"/>
        <v>1.0594501000746941</v>
      </c>
      <c r="Y34" s="415">
        <f t="shared" si="11"/>
        <v>1.0594501000746941</v>
      </c>
      <c r="Z34" s="415">
        <f t="shared" si="11"/>
        <v>1.0594501000746941</v>
      </c>
      <c r="AA34" s="415">
        <f t="shared" si="11"/>
        <v>1.0594501000746941</v>
      </c>
      <c r="AB34" s="415">
        <f t="shared" si="11"/>
        <v>1.0594501000746941</v>
      </c>
      <c r="AC34" s="415">
        <f t="shared" si="11"/>
        <v>1.0594501000746941</v>
      </c>
      <c r="AD34" s="415">
        <f t="shared" si="11"/>
        <v>1.0594501000746941</v>
      </c>
      <c r="AE34" s="415">
        <f t="shared" si="11"/>
        <v>1.0594501000746941</v>
      </c>
      <c r="AF34" s="415">
        <f t="shared" si="11"/>
        <v>1.0594501000746941</v>
      </c>
      <c r="AG34" s="415">
        <f t="shared" si="11"/>
        <v>1.0594501000746941</v>
      </c>
      <c r="AH34" s="415">
        <f t="shared" si="11"/>
        <v>1.0594501000746941</v>
      </c>
      <c r="AI34" s="415">
        <f t="shared" si="11"/>
        <v>1.0594501000746941</v>
      </c>
      <c r="AJ34" s="415">
        <f t="shared" si="11"/>
        <v>1.0594501000746941</v>
      </c>
      <c r="AK34" s="415">
        <f t="shared" si="11"/>
        <v>1.0594501000746941</v>
      </c>
      <c r="AL34" s="415">
        <f t="shared" si="11"/>
        <v>1.0594501000746941</v>
      </c>
    </row>
    <row r="35" spans="2:38">
      <c r="B35" s="411" t="s">
        <v>663</v>
      </c>
      <c r="C35" s="412" t="s">
        <v>664</v>
      </c>
      <c r="D35" s="414">
        <f t="shared" ref="D35:AL35" si="12">EXP(-0.1*($E$8-1))</f>
        <v>0.60653065971263342</v>
      </c>
      <c r="E35" s="415">
        <f t="shared" si="12"/>
        <v>0.60653065971263342</v>
      </c>
      <c r="F35" s="415">
        <f t="shared" si="12"/>
        <v>0.60653065971263342</v>
      </c>
      <c r="G35" s="415">
        <f t="shared" si="12"/>
        <v>0.60653065971263342</v>
      </c>
      <c r="H35" s="1235">
        <f t="shared" si="12"/>
        <v>0.60653065971263342</v>
      </c>
      <c r="I35" s="415">
        <f t="shared" si="12"/>
        <v>0.60653065971263342</v>
      </c>
      <c r="J35" s="415">
        <f t="shared" si="12"/>
        <v>0.60653065971263342</v>
      </c>
      <c r="K35" s="415">
        <f t="shared" si="12"/>
        <v>0.60653065971263342</v>
      </c>
      <c r="L35" s="415">
        <f t="shared" si="12"/>
        <v>0.60653065971263342</v>
      </c>
      <c r="M35" s="415">
        <f t="shared" si="12"/>
        <v>0.60653065971263342</v>
      </c>
      <c r="N35" s="415">
        <f t="shared" si="12"/>
        <v>0.60653065971263342</v>
      </c>
      <c r="O35" s="415">
        <f t="shared" si="12"/>
        <v>0.60653065971263342</v>
      </c>
      <c r="P35" s="415">
        <f t="shared" si="12"/>
        <v>0.60653065971263342</v>
      </c>
      <c r="Q35" s="415">
        <f t="shared" si="12"/>
        <v>0.60653065971263342</v>
      </c>
      <c r="R35" s="415">
        <f t="shared" si="12"/>
        <v>0.60653065971263342</v>
      </c>
      <c r="S35" s="415">
        <f t="shared" si="12"/>
        <v>0.60653065971263342</v>
      </c>
      <c r="T35" s="415">
        <f t="shared" si="12"/>
        <v>0.60653065971263342</v>
      </c>
      <c r="U35" s="415">
        <f t="shared" si="12"/>
        <v>0.60653065971263342</v>
      </c>
      <c r="V35" s="415">
        <f t="shared" si="12"/>
        <v>0.60653065971263342</v>
      </c>
      <c r="W35" s="415">
        <f t="shared" si="12"/>
        <v>0.60653065971263342</v>
      </c>
      <c r="X35" s="415">
        <f t="shared" si="12"/>
        <v>0.60653065971263342</v>
      </c>
      <c r="Y35" s="415">
        <f t="shared" si="12"/>
        <v>0.60653065971263342</v>
      </c>
      <c r="Z35" s="415">
        <f t="shared" si="12"/>
        <v>0.60653065971263342</v>
      </c>
      <c r="AA35" s="415">
        <f t="shared" si="12"/>
        <v>0.60653065971263342</v>
      </c>
      <c r="AB35" s="415">
        <f t="shared" si="12"/>
        <v>0.60653065971263342</v>
      </c>
      <c r="AC35" s="415">
        <f t="shared" si="12"/>
        <v>0.60653065971263342</v>
      </c>
      <c r="AD35" s="415">
        <f t="shared" si="12"/>
        <v>0.60653065971263342</v>
      </c>
      <c r="AE35" s="415">
        <f t="shared" si="12"/>
        <v>0.60653065971263342</v>
      </c>
      <c r="AF35" s="415">
        <f t="shared" si="12"/>
        <v>0.60653065971263342</v>
      </c>
      <c r="AG35" s="415">
        <f t="shared" si="12"/>
        <v>0.60653065971263342</v>
      </c>
      <c r="AH35" s="415">
        <f t="shared" si="12"/>
        <v>0.60653065971263342</v>
      </c>
      <c r="AI35" s="415">
        <f t="shared" si="12"/>
        <v>0.60653065971263342</v>
      </c>
      <c r="AJ35" s="415">
        <f t="shared" si="12"/>
        <v>0.60653065971263342</v>
      </c>
      <c r="AK35" s="415">
        <f t="shared" si="12"/>
        <v>0.60653065971263342</v>
      </c>
      <c r="AL35" s="415">
        <f t="shared" si="12"/>
        <v>0.60653065971263342</v>
      </c>
    </row>
    <row r="36" spans="2:38">
      <c r="B36" s="411" t="s">
        <v>665</v>
      </c>
      <c r="C36" s="412" t="s">
        <v>666</v>
      </c>
      <c r="D36" s="414">
        <v>1</v>
      </c>
      <c r="E36" s="414">
        <v>1</v>
      </c>
      <c r="F36" s="414">
        <v>1</v>
      </c>
      <c r="G36" s="414">
        <v>1</v>
      </c>
      <c r="H36" s="417">
        <v>1</v>
      </c>
      <c r="I36" s="414">
        <v>1</v>
      </c>
      <c r="J36" s="414">
        <v>1</v>
      </c>
      <c r="K36" s="414">
        <v>1</v>
      </c>
      <c r="L36" s="414">
        <v>1</v>
      </c>
      <c r="M36" s="414">
        <v>1</v>
      </c>
      <c r="N36" s="414">
        <v>1</v>
      </c>
      <c r="O36" s="414">
        <v>1</v>
      </c>
      <c r="P36" s="414">
        <v>1</v>
      </c>
      <c r="Q36" s="414">
        <v>1</v>
      </c>
      <c r="R36" s="414">
        <v>1</v>
      </c>
      <c r="S36" s="414">
        <v>1</v>
      </c>
      <c r="T36" s="414">
        <v>1</v>
      </c>
      <c r="U36" s="414">
        <v>1</v>
      </c>
      <c r="V36" s="414">
        <v>1</v>
      </c>
      <c r="W36" s="414">
        <v>1</v>
      </c>
      <c r="X36" s="414">
        <v>1</v>
      </c>
      <c r="Y36" s="414">
        <v>1</v>
      </c>
      <c r="Z36" s="414">
        <v>1</v>
      </c>
      <c r="AA36" s="414">
        <v>1</v>
      </c>
      <c r="AB36" s="414">
        <v>1</v>
      </c>
      <c r="AC36" s="414">
        <v>1</v>
      </c>
      <c r="AD36" s="414">
        <v>1</v>
      </c>
      <c r="AE36" s="414">
        <v>1</v>
      </c>
      <c r="AF36" s="414">
        <v>1</v>
      </c>
      <c r="AG36" s="414">
        <v>1</v>
      </c>
      <c r="AH36" s="414">
        <v>1</v>
      </c>
      <c r="AI36" s="414">
        <v>1</v>
      </c>
      <c r="AJ36" s="414">
        <v>1</v>
      </c>
      <c r="AK36" s="414">
        <v>1</v>
      </c>
      <c r="AL36" s="414">
        <v>1</v>
      </c>
    </row>
    <row r="37" spans="2:38" s="421" customFormat="1" ht="13">
      <c r="B37" s="418"/>
      <c r="C37" s="419"/>
      <c r="D37" s="420"/>
      <c r="E37" s="420"/>
      <c r="F37" s="420"/>
      <c r="G37" s="420"/>
      <c r="H37" s="1236"/>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ht="13">
      <c r="B38" s="422" t="s">
        <v>667</v>
      </c>
      <c r="C38" s="408"/>
      <c r="D38" s="420"/>
      <c r="E38" s="420"/>
      <c r="F38" s="420"/>
      <c r="G38" s="420"/>
      <c r="H38" s="1236"/>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row>
    <row r="39" spans="2:38" s="421" customFormat="1">
      <c r="B39" s="411" t="s">
        <v>653</v>
      </c>
      <c r="C39" s="412" t="s">
        <v>654</v>
      </c>
      <c r="D39" s="423">
        <f t="shared" ref="D39:AL39" si="13">((D$15*D$16+0.2)/0.2)^(0.2953)</f>
        <v>50.455079059357359</v>
      </c>
      <c r="E39" s="423">
        <f t="shared" si="13"/>
        <v>51.048829690509649</v>
      </c>
      <c r="F39" s="423">
        <f t="shared" si="13"/>
        <v>51.649567562698408</v>
      </c>
      <c r="G39" s="423">
        <f t="shared" si="13"/>
        <v>52.257374900499023</v>
      </c>
      <c r="H39" s="423">
        <f t="shared" si="13"/>
        <v>52.872334896120549</v>
      </c>
      <c r="I39" s="423">
        <f t="shared" si="13"/>
        <v>53.494531720792061</v>
      </c>
      <c r="J39" s="423">
        <f t="shared" si="13"/>
        <v>54.124050536283285</v>
      </c>
      <c r="K39" s="423">
        <f t="shared" si="13"/>
        <v>54.760977506560515</v>
      </c>
      <c r="L39" s="423">
        <f t="shared" si="13"/>
        <v>55.405399809579897</v>
      </c>
      <c r="M39" s="423">
        <f t="shared" si="13"/>
        <v>56.057405649219618</v>
      </c>
      <c r="N39" s="423">
        <f t="shared" si="13"/>
        <v>56.717084267352149</v>
      </c>
      <c r="O39" s="423">
        <f t="shared" si="13"/>
        <v>57.384525956058908</v>
      </c>
      <c r="P39" s="423">
        <f t="shared" si="13"/>
        <v>58.059822069988634</v>
      </c>
      <c r="Q39" s="423">
        <f t="shared" si="13"/>
        <v>58.743065038861026</v>
      </c>
      <c r="R39" s="423">
        <f t="shared" si="13"/>
        <v>59.43434838011769</v>
      </c>
      <c r="S39" s="423">
        <f t="shared" si="13"/>
        <v>60.133766711721933</v>
      </c>
      <c r="T39" s="423">
        <f t="shared" si="13"/>
        <v>60.841415765109318</v>
      </c>
      <c r="U39" s="423">
        <f t="shared" si="13"/>
        <v>61.557392398290148</v>
      </c>
      <c r="V39" s="423">
        <f t="shared" si="13"/>
        <v>62.281794609107081</v>
      </c>
      <c r="W39" s="423">
        <f t="shared" si="13"/>
        <v>63.014721548647621</v>
      </c>
      <c r="X39" s="423">
        <f t="shared" si="13"/>
        <v>63.756273534815527</v>
      </c>
      <c r="Y39" s="423">
        <f t="shared" si="13"/>
        <v>64.506552066061033</v>
      </c>
      <c r="Z39" s="423">
        <f t="shared" si="13"/>
        <v>65.265659835273325</v>
      </c>
      <c r="AA39" s="423">
        <f t="shared" si="13"/>
        <v>66.033700743836334</v>
      </c>
      <c r="AB39" s="423">
        <f t="shared" si="13"/>
        <v>66.810779915849523</v>
      </c>
      <c r="AC39" s="423">
        <f t="shared" si="13"/>
        <v>67.597003712516823</v>
      </c>
      <c r="AD39" s="423">
        <f t="shared" si="13"/>
        <v>68.39247974670414</v>
      </c>
      <c r="AE39" s="423">
        <f t="shared" si="13"/>
        <v>69.197316897668571</v>
      </c>
      <c r="AF39" s="423">
        <f t="shared" si="13"/>
        <v>70.011625325961106</v>
      </c>
      <c r="AG39" s="423">
        <f t="shared" si="13"/>
        <v>70.835516488504211</v>
      </c>
      <c r="AH39" s="423">
        <f t="shared" si="13"/>
        <v>71.669103153847246</v>
      </c>
      <c r="AI39" s="423">
        <f t="shared" si="13"/>
        <v>72.512499417601546</v>
      </c>
      <c r="AJ39" s="423">
        <f t="shared" si="13"/>
        <v>73.365820718056554</v>
      </c>
      <c r="AK39" s="423">
        <f t="shared" si="13"/>
        <v>74.229183851980224</v>
      </c>
      <c r="AL39" s="423">
        <f t="shared" si="13"/>
        <v>75.102706990605441</v>
      </c>
    </row>
    <row r="40" spans="2:38" s="421" customFormat="1">
      <c r="B40" s="411" t="s">
        <v>655</v>
      </c>
      <c r="C40" s="412" t="s">
        <v>656</v>
      </c>
      <c r="D40" s="414">
        <f t="shared" ref="D40:AL40" si="14">EXP(0.1088*$D$9)</f>
        <v>1.2430897322657162</v>
      </c>
      <c r="E40" s="414">
        <f t="shared" si="14"/>
        <v>1.2430897322657162</v>
      </c>
      <c r="F40" s="414">
        <f t="shared" si="14"/>
        <v>1.2430897322657162</v>
      </c>
      <c r="G40" s="414">
        <f t="shared" si="14"/>
        <v>1.2430897322657162</v>
      </c>
      <c r="H40" s="417">
        <f t="shared" si="14"/>
        <v>1.2430897322657162</v>
      </c>
      <c r="I40" s="414">
        <f t="shared" si="14"/>
        <v>1.2430897322657162</v>
      </c>
      <c r="J40" s="414">
        <f t="shared" si="14"/>
        <v>1.2430897322657162</v>
      </c>
      <c r="K40" s="414">
        <f t="shared" si="14"/>
        <v>1.2430897322657162</v>
      </c>
      <c r="L40" s="414">
        <f t="shared" si="14"/>
        <v>1.2430897322657162</v>
      </c>
      <c r="M40" s="414">
        <f t="shared" si="14"/>
        <v>1.2430897322657162</v>
      </c>
      <c r="N40" s="414">
        <f t="shared" si="14"/>
        <v>1.2430897322657162</v>
      </c>
      <c r="O40" s="414">
        <f t="shared" si="14"/>
        <v>1.2430897322657162</v>
      </c>
      <c r="P40" s="414">
        <f t="shared" si="14"/>
        <v>1.2430897322657162</v>
      </c>
      <c r="Q40" s="414">
        <f t="shared" si="14"/>
        <v>1.2430897322657162</v>
      </c>
      <c r="R40" s="414">
        <f t="shared" si="14"/>
        <v>1.2430897322657162</v>
      </c>
      <c r="S40" s="414">
        <f t="shared" si="14"/>
        <v>1.2430897322657162</v>
      </c>
      <c r="T40" s="414">
        <f t="shared" si="14"/>
        <v>1.2430897322657162</v>
      </c>
      <c r="U40" s="414">
        <f t="shared" si="14"/>
        <v>1.2430897322657162</v>
      </c>
      <c r="V40" s="414">
        <f t="shared" si="14"/>
        <v>1.2430897322657162</v>
      </c>
      <c r="W40" s="414">
        <f t="shared" si="14"/>
        <v>1.2430897322657162</v>
      </c>
      <c r="X40" s="414">
        <f t="shared" si="14"/>
        <v>1.2430897322657162</v>
      </c>
      <c r="Y40" s="414">
        <f t="shared" si="14"/>
        <v>1.2430897322657162</v>
      </c>
      <c r="Z40" s="414">
        <f t="shared" si="14"/>
        <v>1.2430897322657162</v>
      </c>
      <c r="AA40" s="414">
        <f t="shared" si="14"/>
        <v>1.2430897322657162</v>
      </c>
      <c r="AB40" s="414">
        <f t="shared" si="14"/>
        <v>1.2430897322657162</v>
      </c>
      <c r="AC40" s="414">
        <f t="shared" si="14"/>
        <v>1.2430897322657162</v>
      </c>
      <c r="AD40" s="414">
        <f t="shared" si="14"/>
        <v>1.2430897322657162</v>
      </c>
      <c r="AE40" s="414">
        <f t="shared" si="14"/>
        <v>1.2430897322657162</v>
      </c>
      <c r="AF40" s="414">
        <f t="shared" si="14"/>
        <v>1.2430897322657162</v>
      </c>
      <c r="AG40" s="414">
        <f t="shared" si="14"/>
        <v>1.2430897322657162</v>
      </c>
      <c r="AH40" s="414">
        <f t="shared" si="14"/>
        <v>1.2430897322657162</v>
      </c>
      <c r="AI40" s="414">
        <f t="shared" si="14"/>
        <v>1.2430897322657162</v>
      </c>
      <c r="AJ40" s="414">
        <f t="shared" si="14"/>
        <v>1.2430897322657162</v>
      </c>
      <c r="AK40" s="414">
        <f t="shared" si="14"/>
        <v>1.2430897322657162</v>
      </c>
      <c r="AL40" s="414">
        <f t="shared" si="14"/>
        <v>1.2430897322657162</v>
      </c>
    </row>
    <row r="41" spans="2:38" s="421" customFormat="1">
      <c r="B41" s="411" t="s">
        <v>657</v>
      </c>
      <c r="C41" s="416" t="s">
        <v>658</v>
      </c>
      <c r="D41" s="417">
        <f t="shared" ref="D41:AL41" si="15">((D$18+0.2)/0.2)^(0.047)</f>
        <v>1.1543817707159612</v>
      </c>
      <c r="E41" s="417">
        <f t="shared" si="15"/>
        <v>1.1549274808764554</v>
      </c>
      <c r="F41" s="417">
        <f t="shared" si="15"/>
        <v>1.1554737179811641</v>
      </c>
      <c r="G41" s="417">
        <f t="shared" si="15"/>
        <v>1.1560204799705083</v>
      </c>
      <c r="H41" s="417">
        <f t="shared" si="15"/>
        <v>1.1565677648024966</v>
      </c>
      <c r="I41" s="417">
        <f t="shared" si="15"/>
        <v>1.1571155704526312</v>
      </c>
      <c r="J41" s="417">
        <f t="shared" si="15"/>
        <v>1.1576638949138149</v>
      </c>
      <c r="K41" s="417">
        <f t="shared" si="15"/>
        <v>1.158212736196256</v>
      </c>
      <c r="L41" s="417">
        <f t="shared" si="15"/>
        <v>1.1587620923273747</v>
      </c>
      <c r="M41" s="417">
        <f t="shared" si="15"/>
        <v>1.1593119613517071</v>
      </c>
      <c r="N41" s="417">
        <f t="shared" si="15"/>
        <v>1.1598623413308109</v>
      </c>
      <c r="O41" s="417">
        <f t="shared" si="15"/>
        <v>1.1604132303431685</v>
      </c>
      <c r="P41" s="417">
        <f t="shared" si="15"/>
        <v>1.1609646264840923</v>
      </c>
      <c r="Q41" s="417">
        <f t="shared" si="15"/>
        <v>1.1615165278656274</v>
      </c>
      <c r="R41" s="417">
        <f t="shared" si="15"/>
        <v>1.1620689326164555</v>
      </c>
      <c r="S41" s="417">
        <f t="shared" si="15"/>
        <v>1.1626218388817977</v>
      </c>
      <c r="T41" s="417">
        <f t="shared" si="15"/>
        <v>1.1631752448233177</v>
      </c>
      <c r="U41" s="417">
        <f t="shared" si="15"/>
        <v>1.1637291486190251</v>
      </c>
      <c r="V41" s="417">
        <f t="shared" si="15"/>
        <v>1.1642835484631764</v>
      </c>
      <c r="W41" s="417">
        <f t="shared" si="15"/>
        <v>1.1648384425661791</v>
      </c>
      <c r="X41" s="417">
        <f t="shared" si="15"/>
        <v>1.165393829154493</v>
      </c>
      <c r="Y41" s="417">
        <f t="shared" si="15"/>
        <v>1.165949706470532</v>
      </c>
      <c r="Z41" s="417">
        <f t="shared" si="15"/>
        <v>1.1665060727725671</v>
      </c>
      <c r="AA41" s="417">
        <f t="shared" si="15"/>
        <v>1.1670629263346277</v>
      </c>
      <c r="AB41" s="417">
        <f t="shared" si="15"/>
        <v>1.1676202654464036</v>
      </c>
      <c r="AC41" s="417">
        <f t="shared" si="15"/>
        <v>1.1681780884131465</v>
      </c>
      <c r="AD41" s="417">
        <f t="shared" si="15"/>
        <v>1.1687363935555717</v>
      </c>
      <c r="AE41" s="417">
        <f t="shared" si="15"/>
        <v>1.1692951792097608</v>
      </c>
      <c r="AF41" s="417">
        <f t="shared" si="15"/>
        <v>1.1698544437270619</v>
      </c>
      <c r="AG41" s="417">
        <f t="shared" si="15"/>
        <v>1.1704141854739927</v>
      </c>
      <c r="AH41" s="417">
        <f t="shared" si="15"/>
        <v>1.1709744028321412</v>
      </c>
      <c r="AI41" s="417">
        <f t="shared" si="15"/>
        <v>1.1715350941980682</v>
      </c>
      <c r="AJ41" s="417">
        <f t="shared" si="15"/>
        <v>1.172096257983209</v>
      </c>
      <c r="AK41" s="417">
        <f t="shared" si="15"/>
        <v>1.1726578926137752</v>
      </c>
      <c r="AL41" s="417">
        <f t="shared" si="15"/>
        <v>1.1732199965306565</v>
      </c>
    </row>
    <row r="42" spans="2:38" s="421" customFormat="1">
      <c r="B42" s="411" t="s">
        <v>659</v>
      </c>
      <c r="C42" s="412" t="s">
        <v>660</v>
      </c>
      <c r="D42" s="414">
        <v>1</v>
      </c>
      <c r="E42" s="414">
        <v>1</v>
      </c>
      <c r="F42" s="414">
        <v>1</v>
      </c>
      <c r="G42" s="414">
        <v>1</v>
      </c>
      <c r="H42" s="417">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661</v>
      </c>
      <c r="C43" s="412" t="s">
        <v>662</v>
      </c>
      <c r="D43" s="414">
        <v>1</v>
      </c>
      <c r="E43" s="414">
        <v>1</v>
      </c>
      <c r="F43" s="414">
        <v>1</v>
      </c>
      <c r="G43" s="414">
        <v>1</v>
      </c>
      <c r="H43" s="417">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663</v>
      </c>
      <c r="C44" s="412" t="s">
        <v>664</v>
      </c>
      <c r="D44" s="414">
        <v>1</v>
      </c>
      <c r="E44" s="414">
        <v>1</v>
      </c>
      <c r="F44" s="414">
        <v>1</v>
      </c>
      <c r="G44" s="414">
        <v>1</v>
      </c>
      <c r="H44" s="417">
        <v>1</v>
      </c>
      <c r="I44" s="414">
        <v>1</v>
      </c>
      <c r="J44" s="414">
        <v>1</v>
      </c>
      <c r="K44" s="414">
        <v>1</v>
      </c>
      <c r="L44" s="414">
        <v>1</v>
      </c>
      <c r="M44" s="414">
        <v>1</v>
      </c>
      <c r="N44" s="414">
        <v>1</v>
      </c>
      <c r="O44" s="414">
        <v>1</v>
      </c>
      <c r="P44" s="414">
        <v>1</v>
      </c>
      <c r="Q44" s="414">
        <v>1</v>
      </c>
      <c r="R44" s="414">
        <v>1</v>
      </c>
      <c r="S44" s="414">
        <v>1</v>
      </c>
      <c r="T44" s="414">
        <v>1</v>
      </c>
      <c r="U44" s="414">
        <v>1</v>
      </c>
      <c r="V44" s="414">
        <v>1</v>
      </c>
      <c r="W44" s="414">
        <v>1</v>
      </c>
      <c r="X44" s="414">
        <v>1</v>
      </c>
      <c r="Y44" s="414">
        <v>1</v>
      </c>
      <c r="Z44" s="414">
        <v>1</v>
      </c>
      <c r="AA44" s="414">
        <v>1</v>
      </c>
      <c r="AB44" s="414">
        <v>1</v>
      </c>
      <c r="AC44" s="414">
        <v>1</v>
      </c>
      <c r="AD44" s="414">
        <v>1</v>
      </c>
      <c r="AE44" s="414">
        <v>1</v>
      </c>
      <c r="AF44" s="414">
        <v>1</v>
      </c>
      <c r="AG44" s="414">
        <v>1</v>
      </c>
      <c r="AH44" s="414">
        <v>1</v>
      </c>
      <c r="AI44" s="414">
        <v>1</v>
      </c>
      <c r="AJ44" s="414">
        <v>1</v>
      </c>
      <c r="AK44" s="414">
        <v>1</v>
      </c>
      <c r="AL44" s="414">
        <v>1</v>
      </c>
    </row>
    <row r="45" spans="2:38" s="421" customFormat="1">
      <c r="B45" s="411" t="s">
        <v>665</v>
      </c>
      <c r="C45" s="412" t="s">
        <v>666</v>
      </c>
      <c r="D45" s="414">
        <f t="shared" ref="D45:AL45" si="16">EXP(0.138*($D$10-1))</f>
        <v>1.1479755502741786</v>
      </c>
      <c r="E45" s="414">
        <f t="shared" si="16"/>
        <v>1.1479755502741786</v>
      </c>
      <c r="F45" s="414">
        <f t="shared" si="16"/>
        <v>1.1479755502741786</v>
      </c>
      <c r="G45" s="414">
        <f t="shared" si="16"/>
        <v>1.1479755502741786</v>
      </c>
      <c r="H45" s="417">
        <f t="shared" si="16"/>
        <v>1.1479755502741786</v>
      </c>
      <c r="I45" s="414">
        <f t="shared" si="16"/>
        <v>1.1479755502741786</v>
      </c>
      <c r="J45" s="414">
        <f t="shared" si="16"/>
        <v>1.1479755502741786</v>
      </c>
      <c r="K45" s="414">
        <f t="shared" si="16"/>
        <v>1.1479755502741786</v>
      </c>
      <c r="L45" s="414">
        <f t="shared" si="16"/>
        <v>1.1479755502741786</v>
      </c>
      <c r="M45" s="414">
        <f t="shared" si="16"/>
        <v>1.1479755502741786</v>
      </c>
      <c r="N45" s="414">
        <f t="shared" si="16"/>
        <v>1.1479755502741786</v>
      </c>
      <c r="O45" s="414">
        <f t="shared" si="16"/>
        <v>1.1479755502741786</v>
      </c>
      <c r="P45" s="414">
        <f t="shared" si="16"/>
        <v>1.1479755502741786</v>
      </c>
      <c r="Q45" s="414">
        <f t="shared" si="16"/>
        <v>1.1479755502741786</v>
      </c>
      <c r="R45" s="414">
        <f t="shared" si="16"/>
        <v>1.1479755502741786</v>
      </c>
      <c r="S45" s="414">
        <f t="shared" si="16"/>
        <v>1.1479755502741786</v>
      </c>
      <c r="T45" s="414">
        <f t="shared" si="16"/>
        <v>1.1479755502741786</v>
      </c>
      <c r="U45" s="414">
        <f t="shared" si="16"/>
        <v>1.1479755502741786</v>
      </c>
      <c r="V45" s="414">
        <f t="shared" si="16"/>
        <v>1.1479755502741786</v>
      </c>
      <c r="W45" s="414">
        <f t="shared" si="16"/>
        <v>1.1479755502741786</v>
      </c>
      <c r="X45" s="414">
        <f t="shared" si="16"/>
        <v>1.1479755502741786</v>
      </c>
      <c r="Y45" s="414">
        <f t="shared" si="16"/>
        <v>1.1479755502741786</v>
      </c>
      <c r="Z45" s="414">
        <f t="shared" si="16"/>
        <v>1.1479755502741786</v>
      </c>
      <c r="AA45" s="414">
        <f t="shared" si="16"/>
        <v>1.1479755502741786</v>
      </c>
      <c r="AB45" s="414">
        <f t="shared" si="16"/>
        <v>1.1479755502741786</v>
      </c>
      <c r="AC45" s="414">
        <f t="shared" si="16"/>
        <v>1.1479755502741786</v>
      </c>
      <c r="AD45" s="414">
        <f t="shared" si="16"/>
        <v>1.1479755502741786</v>
      </c>
      <c r="AE45" s="414">
        <f t="shared" si="16"/>
        <v>1.1479755502741786</v>
      </c>
      <c r="AF45" s="414">
        <f t="shared" si="16"/>
        <v>1.1479755502741786</v>
      </c>
      <c r="AG45" s="414">
        <f t="shared" si="16"/>
        <v>1.1479755502741786</v>
      </c>
      <c r="AH45" s="414">
        <f t="shared" si="16"/>
        <v>1.1479755502741786</v>
      </c>
      <c r="AI45" s="414">
        <f t="shared" si="16"/>
        <v>1.1479755502741786</v>
      </c>
      <c r="AJ45" s="414">
        <f t="shared" si="16"/>
        <v>1.1479755502741786</v>
      </c>
      <c r="AK45" s="414">
        <f t="shared" si="16"/>
        <v>1.1479755502741786</v>
      </c>
      <c r="AL45" s="414">
        <f t="shared" si="16"/>
        <v>1.1479755502741786</v>
      </c>
    </row>
    <row r="46" spans="2:38" s="421" customFormat="1" ht="13">
      <c r="B46" s="418"/>
      <c r="C46" s="419"/>
      <c r="D46" s="420"/>
      <c r="E46" s="420"/>
      <c r="F46" s="420"/>
      <c r="G46" s="420"/>
      <c r="H46" s="1236"/>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ht="13">
      <c r="B47" s="422" t="s">
        <v>668</v>
      </c>
      <c r="C47" s="408"/>
      <c r="D47" s="420"/>
      <c r="E47" s="420"/>
      <c r="F47" s="420"/>
      <c r="G47" s="420"/>
      <c r="H47" s="1236"/>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row>
    <row r="48" spans="2:38" s="421" customFormat="1">
      <c r="B48" s="411" t="s">
        <v>653</v>
      </c>
      <c r="C48" s="412" t="s">
        <v>654</v>
      </c>
      <c r="D48" s="423">
        <f t="shared" ref="D48:AL48" si="17">((D$15*D$16+0.2)/0.2)^(0.3116)</f>
        <v>62.647249992267319</v>
      </c>
      <c r="E48" s="423">
        <f t="shared" si="17"/>
        <v>63.425422199864521</v>
      </c>
      <c r="F48" s="423">
        <f t="shared" si="17"/>
        <v>64.213260517645068</v>
      </c>
      <c r="G48" s="423">
        <f t="shared" si="17"/>
        <v>65.010885012354663</v>
      </c>
      <c r="H48" s="423">
        <f t="shared" si="17"/>
        <v>65.818417242174817</v>
      </c>
      <c r="I48" s="423">
        <f t="shared" si="17"/>
        <v>66.635980275248414</v>
      </c>
      <c r="J48" s="423">
        <f t="shared" si="17"/>
        <v>67.463698708434833</v>
      </c>
      <c r="K48" s="423">
        <f t="shared" si="17"/>
        <v>68.301698686298337</v>
      </c>
      <c r="L48" s="423">
        <f t="shared" si="17"/>
        <v>69.150107920332132</v>
      </c>
      <c r="M48" s="423">
        <f t="shared" si="17"/>
        <v>70.009055708421727</v>
      </c>
      <c r="N48" s="423">
        <f t="shared" si="17"/>
        <v>70.878672954549373</v>
      </c>
      <c r="O48" s="423">
        <f t="shared" si="17"/>
        <v>71.759092188743566</v>
      </c>
      <c r="P48" s="423">
        <f t="shared" si="17"/>
        <v>72.650447587276901</v>
      </c>
      <c r="Q48" s="423">
        <f t="shared" si="17"/>
        <v>73.552874993114017</v>
      </c>
      <c r="R48" s="423">
        <f t="shared" si="17"/>
        <v>74.466511936613784</v>
      </c>
      <c r="S48" s="423">
        <f t="shared" si="17"/>
        <v>75.391497656489022</v>
      </c>
      <c r="T48" s="423">
        <f t="shared" si="17"/>
        <v>76.327973121026275</v>
      </c>
      <c r="U48" s="423">
        <f t="shared" si="17"/>
        <v>77.276081049569129</v>
      </c>
      <c r="V48" s="423">
        <f t="shared" si="17"/>
        <v>78.235965934268648</v>
      </c>
      <c r="W48" s="423">
        <f t="shared" si="17"/>
        <v>79.207774062103539</v>
      </c>
      <c r="X48" s="423">
        <f t="shared" si="17"/>
        <v>80.191653537174773</v>
      </c>
      <c r="Y48" s="423">
        <f t="shared" si="17"/>
        <v>81.187754303275909</v>
      </c>
      <c r="Z48" s="423">
        <f t="shared" si="17"/>
        <v>82.196228166744746</v>
      </c>
      <c r="AA48" s="423">
        <f t="shared" si="17"/>
        <v>83.217228819598432</v>
      </c>
      <c r="AB48" s="423">
        <f t="shared" si="17"/>
        <v>84.250911862956045</v>
      </c>
      <c r="AC48" s="423">
        <f t="shared" si="17"/>
        <v>85.29743483075228</v>
      </c>
      <c r="AD48" s="423">
        <f t="shared" si="17"/>
        <v>86.356957213745204</v>
      </c>
      <c r="AE48" s="423">
        <f t="shared" si="17"/>
        <v>87.429640483823022</v>
      </c>
      <c r="AF48" s="423">
        <f t="shared" si="17"/>
        <v>88.515648118612006</v>
      </c>
      <c r="AG48" s="423">
        <f t="shared" si="17"/>
        <v>89.615145626390486</v>
      </c>
      <c r="AH48" s="423">
        <f t="shared" si="17"/>
        <v>90.72830057131236</v>
      </c>
      <c r="AI48" s="423">
        <f t="shared" si="17"/>
        <v>91.855282598943845</v>
      </c>
      <c r="AJ48" s="423">
        <f t="shared" si="17"/>
        <v>92.996263462117454</v>
      </c>
      <c r="AK48" s="423">
        <f t="shared" si="17"/>
        <v>94.151417047106762</v>
      </c>
      <c r="AL48" s="423">
        <f t="shared" si="17"/>
        <v>95.320919400127309</v>
      </c>
    </row>
    <row r="49" spans="2:38" s="421" customFormat="1">
      <c r="B49" s="411" t="s">
        <v>655</v>
      </c>
      <c r="C49" s="412" t="s">
        <v>656</v>
      </c>
      <c r="D49" s="414">
        <f t="shared" ref="D49:AL49" si="18">EXP(0.2912*$D$9)</f>
        <v>1.7903300708920569</v>
      </c>
      <c r="E49" s="414">
        <f t="shared" si="18"/>
        <v>1.7903300708920569</v>
      </c>
      <c r="F49" s="414">
        <f t="shared" si="18"/>
        <v>1.7903300708920569</v>
      </c>
      <c r="G49" s="414">
        <f t="shared" si="18"/>
        <v>1.7903300708920569</v>
      </c>
      <c r="H49" s="417">
        <f t="shared" si="18"/>
        <v>1.7903300708920569</v>
      </c>
      <c r="I49" s="414">
        <f t="shared" si="18"/>
        <v>1.7903300708920569</v>
      </c>
      <c r="J49" s="414">
        <f t="shared" si="18"/>
        <v>1.7903300708920569</v>
      </c>
      <c r="K49" s="414">
        <f t="shared" si="18"/>
        <v>1.7903300708920569</v>
      </c>
      <c r="L49" s="414">
        <f t="shared" si="18"/>
        <v>1.7903300708920569</v>
      </c>
      <c r="M49" s="414">
        <f t="shared" si="18"/>
        <v>1.7903300708920569</v>
      </c>
      <c r="N49" s="414">
        <f t="shared" si="18"/>
        <v>1.7903300708920569</v>
      </c>
      <c r="O49" s="414">
        <f t="shared" si="18"/>
        <v>1.7903300708920569</v>
      </c>
      <c r="P49" s="414">
        <f t="shared" si="18"/>
        <v>1.7903300708920569</v>
      </c>
      <c r="Q49" s="414">
        <f t="shared" si="18"/>
        <v>1.7903300708920569</v>
      </c>
      <c r="R49" s="414">
        <f t="shared" si="18"/>
        <v>1.7903300708920569</v>
      </c>
      <c r="S49" s="414">
        <f t="shared" si="18"/>
        <v>1.7903300708920569</v>
      </c>
      <c r="T49" s="414">
        <f t="shared" si="18"/>
        <v>1.7903300708920569</v>
      </c>
      <c r="U49" s="414">
        <f t="shared" si="18"/>
        <v>1.7903300708920569</v>
      </c>
      <c r="V49" s="414">
        <f t="shared" si="18"/>
        <v>1.7903300708920569</v>
      </c>
      <c r="W49" s="414">
        <f t="shared" si="18"/>
        <v>1.7903300708920569</v>
      </c>
      <c r="X49" s="414">
        <f t="shared" si="18"/>
        <v>1.7903300708920569</v>
      </c>
      <c r="Y49" s="414">
        <f t="shared" si="18"/>
        <v>1.7903300708920569</v>
      </c>
      <c r="Z49" s="414">
        <f t="shared" si="18"/>
        <v>1.7903300708920569</v>
      </c>
      <c r="AA49" s="414">
        <f t="shared" si="18"/>
        <v>1.7903300708920569</v>
      </c>
      <c r="AB49" s="414">
        <f t="shared" si="18"/>
        <v>1.7903300708920569</v>
      </c>
      <c r="AC49" s="414">
        <f t="shared" si="18"/>
        <v>1.7903300708920569</v>
      </c>
      <c r="AD49" s="414">
        <f t="shared" si="18"/>
        <v>1.7903300708920569</v>
      </c>
      <c r="AE49" s="414">
        <f t="shared" si="18"/>
        <v>1.7903300708920569</v>
      </c>
      <c r="AF49" s="414">
        <f t="shared" si="18"/>
        <v>1.7903300708920569</v>
      </c>
      <c r="AG49" s="414">
        <f t="shared" si="18"/>
        <v>1.7903300708920569</v>
      </c>
      <c r="AH49" s="414">
        <f t="shared" si="18"/>
        <v>1.7903300708920569</v>
      </c>
      <c r="AI49" s="414">
        <f t="shared" si="18"/>
        <v>1.7903300708920569</v>
      </c>
      <c r="AJ49" s="414">
        <f t="shared" si="18"/>
        <v>1.7903300708920569</v>
      </c>
      <c r="AK49" s="414">
        <f t="shared" si="18"/>
        <v>1.7903300708920569</v>
      </c>
      <c r="AL49" s="414">
        <f t="shared" si="18"/>
        <v>1.7903300708920569</v>
      </c>
    </row>
    <row r="50" spans="2:38" s="421" customFormat="1">
      <c r="B50" s="411" t="s">
        <v>657</v>
      </c>
      <c r="C50" s="416" t="s">
        <v>658</v>
      </c>
      <c r="D50" s="414">
        <v>1</v>
      </c>
      <c r="E50" s="414">
        <v>1</v>
      </c>
      <c r="F50" s="414">
        <v>1</v>
      </c>
      <c r="G50" s="414">
        <v>1</v>
      </c>
      <c r="H50" s="417">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659</v>
      </c>
      <c r="C51" s="412" t="s">
        <v>660</v>
      </c>
      <c r="D51" s="414">
        <v>1</v>
      </c>
      <c r="E51" s="414">
        <v>1</v>
      </c>
      <c r="F51" s="414">
        <v>1</v>
      </c>
      <c r="G51" s="414">
        <v>1</v>
      </c>
      <c r="H51" s="417">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661</v>
      </c>
      <c r="C52" s="412" t="s">
        <v>662</v>
      </c>
      <c r="D52" s="414">
        <v>1</v>
      </c>
      <c r="E52" s="414">
        <v>1</v>
      </c>
      <c r="F52" s="414">
        <v>1</v>
      </c>
      <c r="G52" s="414">
        <v>1</v>
      </c>
      <c r="H52" s="417">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11" t="s">
        <v>663</v>
      </c>
      <c r="C53" s="412" t="s">
        <v>664</v>
      </c>
      <c r="D53" s="414">
        <v>1</v>
      </c>
      <c r="E53" s="414">
        <v>1</v>
      </c>
      <c r="F53" s="414">
        <v>1</v>
      </c>
      <c r="G53" s="414">
        <v>1</v>
      </c>
      <c r="H53" s="417">
        <v>1</v>
      </c>
      <c r="I53" s="414">
        <v>1</v>
      </c>
      <c r="J53" s="414">
        <v>1</v>
      </c>
      <c r="K53" s="414">
        <v>1</v>
      </c>
      <c r="L53" s="414">
        <v>1</v>
      </c>
      <c r="M53" s="414">
        <v>1</v>
      </c>
      <c r="N53" s="414">
        <v>1</v>
      </c>
      <c r="O53" s="414">
        <v>1</v>
      </c>
      <c r="P53" s="414">
        <v>1</v>
      </c>
      <c r="Q53" s="414">
        <v>1</v>
      </c>
      <c r="R53" s="414">
        <v>1</v>
      </c>
      <c r="S53" s="414">
        <v>1</v>
      </c>
      <c r="T53" s="414">
        <v>1</v>
      </c>
      <c r="U53" s="414">
        <v>1</v>
      </c>
      <c r="V53" s="414">
        <v>1</v>
      </c>
      <c r="W53" s="414">
        <v>1</v>
      </c>
      <c r="X53" s="414">
        <v>1</v>
      </c>
      <c r="Y53" s="414">
        <v>1</v>
      </c>
      <c r="Z53" s="414">
        <v>1</v>
      </c>
      <c r="AA53" s="414">
        <v>1</v>
      </c>
      <c r="AB53" s="414">
        <v>1</v>
      </c>
      <c r="AC53" s="414">
        <v>1</v>
      </c>
      <c r="AD53" s="414">
        <v>1</v>
      </c>
      <c r="AE53" s="414">
        <v>1</v>
      </c>
      <c r="AF53" s="414">
        <v>1</v>
      </c>
      <c r="AG53" s="414">
        <v>1</v>
      </c>
      <c r="AH53" s="414">
        <v>1</v>
      </c>
      <c r="AI53" s="414">
        <v>1</v>
      </c>
      <c r="AJ53" s="414">
        <v>1</v>
      </c>
      <c r="AK53" s="414">
        <v>1</v>
      </c>
      <c r="AL53" s="414">
        <v>1</v>
      </c>
    </row>
    <row r="54" spans="2:38" s="421" customFormat="1">
      <c r="B54" s="424" t="s">
        <v>665</v>
      </c>
      <c r="C54" s="425" t="s">
        <v>666</v>
      </c>
      <c r="D54" s="426">
        <f t="shared" ref="D54:AL54" si="19">EXP(0.1036*($D$10-1))</f>
        <v>1.1091567034898182</v>
      </c>
      <c r="E54" s="426">
        <f t="shared" si="19"/>
        <v>1.1091567034898182</v>
      </c>
      <c r="F54" s="426">
        <f t="shared" si="19"/>
        <v>1.1091567034898182</v>
      </c>
      <c r="G54" s="426">
        <f t="shared" si="19"/>
        <v>1.1091567034898182</v>
      </c>
      <c r="H54" s="1237">
        <f t="shared" si="19"/>
        <v>1.1091567034898182</v>
      </c>
      <c r="I54" s="426">
        <f t="shared" si="19"/>
        <v>1.1091567034898182</v>
      </c>
      <c r="J54" s="426">
        <f t="shared" si="19"/>
        <v>1.1091567034898182</v>
      </c>
      <c r="K54" s="426">
        <f t="shared" si="19"/>
        <v>1.1091567034898182</v>
      </c>
      <c r="L54" s="426">
        <f t="shared" si="19"/>
        <v>1.1091567034898182</v>
      </c>
      <c r="M54" s="426">
        <f t="shared" si="19"/>
        <v>1.1091567034898182</v>
      </c>
      <c r="N54" s="426">
        <f t="shared" si="19"/>
        <v>1.1091567034898182</v>
      </c>
      <c r="O54" s="426">
        <f t="shared" si="19"/>
        <v>1.1091567034898182</v>
      </c>
      <c r="P54" s="426">
        <f t="shared" si="19"/>
        <v>1.1091567034898182</v>
      </c>
      <c r="Q54" s="426">
        <f t="shared" si="19"/>
        <v>1.1091567034898182</v>
      </c>
      <c r="R54" s="426">
        <f t="shared" si="19"/>
        <v>1.1091567034898182</v>
      </c>
      <c r="S54" s="426">
        <f t="shared" si="19"/>
        <v>1.1091567034898182</v>
      </c>
      <c r="T54" s="426">
        <f t="shared" si="19"/>
        <v>1.1091567034898182</v>
      </c>
      <c r="U54" s="426">
        <f t="shared" si="19"/>
        <v>1.1091567034898182</v>
      </c>
      <c r="V54" s="426">
        <f t="shared" si="19"/>
        <v>1.1091567034898182</v>
      </c>
      <c r="W54" s="426">
        <f t="shared" si="19"/>
        <v>1.1091567034898182</v>
      </c>
      <c r="X54" s="426">
        <f t="shared" si="19"/>
        <v>1.1091567034898182</v>
      </c>
      <c r="Y54" s="426">
        <f t="shared" si="19"/>
        <v>1.1091567034898182</v>
      </c>
      <c r="Z54" s="426">
        <f t="shared" si="19"/>
        <v>1.1091567034898182</v>
      </c>
      <c r="AA54" s="426">
        <f t="shared" si="19"/>
        <v>1.1091567034898182</v>
      </c>
      <c r="AB54" s="426">
        <f t="shared" si="19"/>
        <v>1.1091567034898182</v>
      </c>
      <c r="AC54" s="426">
        <f t="shared" si="19"/>
        <v>1.1091567034898182</v>
      </c>
      <c r="AD54" s="426">
        <f t="shared" si="19"/>
        <v>1.1091567034898182</v>
      </c>
      <c r="AE54" s="426">
        <f t="shared" si="19"/>
        <v>1.1091567034898182</v>
      </c>
      <c r="AF54" s="426">
        <f t="shared" si="19"/>
        <v>1.1091567034898182</v>
      </c>
      <c r="AG54" s="426">
        <f t="shared" si="19"/>
        <v>1.1091567034898182</v>
      </c>
      <c r="AH54" s="426">
        <f t="shared" si="19"/>
        <v>1.1091567034898182</v>
      </c>
      <c r="AI54" s="426">
        <f t="shared" si="19"/>
        <v>1.1091567034898182</v>
      </c>
      <c r="AJ54" s="426">
        <f t="shared" si="19"/>
        <v>1.1091567034898182</v>
      </c>
      <c r="AK54" s="426">
        <f t="shared" si="19"/>
        <v>1.1091567034898182</v>
      </c>
      <c r="AL54" s="426">
        <f t="shared" si="19"/>
        <v>1.1091567034898182</v>
      </c>
    </row>
    <row r="55" spans="2:38">
      <c r="B55" s="362"/>
      <c r="C55" s="427" t="s">
        <v>290</v>
      </c>
      <c r="D55" s="415"/>
      <c r="E55" s="415"/>
      <c r="F55" s="415"/>
      <c r="G55" s="415"/>
      <c r="H55" s="123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row>
    <row r="56" spans="2:38">
      <c r="B56" s="362" t="s">
        <v>669</v>
      </c>
      <c r="C56" s="428">
        <f>$E$6</f>
        <v>3.6459999999999999E-3</v>
      </c>
      <c r="D56" s="429">
        <f t="shared" ref="D56:AK56" si="20">IF($D$6=$B29,$C$56*PRODUCT(D$30:D$36),IF($D$6=$B38,$C$56*PRODUCT(D$39:D$45), $C$56*PRODUCT(D$48:D$54)))</f>
        <v>0.30304430935698168</v>
      </c>
      <c r="E56" s="429">
        <f t="shared" si="20"/>
        <v>0.30675545011441341</v>
      </c>
      <c r="F56" s="429">
        <f t="shared" si="20"/>
        <v>0.31051211075581803</v>
      </c>
      <c r="G56" s="429">
        <f t="shared" si="20"/>
        <v>0.31431484979669427</v>
      </c>
      <c r="H56" s="429">
        <f t="shared" si="20"/>
        <v>0.3181642326053376</v>
      </c>
      <c r="I56" s="429">
        <f t="shared" si="20"/>
        <v>0.32206083148691983</v>
      </c>
      <c r="J56" s="429">
        <f t="shared" si="20"/>
        <v>0.32600522576860019</v>
      </c>
      <c r="K56" s="429">
        <f t="shared" si="20"/>
        <v>0.32999800188567996</v>
      </c>
      <c r="L56" s="429">
        <f t="shared" si="20"/>
        <v>0.33403975346881604</v>
      </c>
      <c r="M56" s="429">
        <f t="shared" si="20"/>
        <v>0.33813108143230347</v>
      </c>
      <c r="N56" s="429">
        <f t="shared" si="20"/>
        <v>0.34227259406344107</v>
      </c>
      <c r="O56" s="429">
        <f t="shared" si="20"/>
        <v>0.34646490711299405</v>
      </c>
      <c r="P56" s="429">
        <f t="shared" si="20"/>
        <v>0.35070864388676742</v>
      </c>
      <c r="Q56" s="429">
        <f t="shared" si="20"/>
        <v>0.35500443533830195</v>
      </c>
      <c r="R56" s="429">
        <f t="shared" si="20"/>
        <v>0.35935292016270731</v>
      </c>
      <c r="S56" s="429">
        <f t="shared" si="20"/>
        <v>0.36375474489164811</v>
      </c>
      <c r="T56" s="429">
        <f t="shared" si="20"/>
        <v>0.36821056398949481</v>
      </c>
      <c r="U56" s="429">
        <f t="shared" si="20"/>
        <v>0.37272103995065242</v>
      </c>
      <c r="V56" s="429">
        <f t="shared" si="20"/>
        <v>0.37728684339808838</v>
      </c>
      <c r="W56" s="429">
        <f t="shared" si="20"/>
        <v>0.38190865318306294</v>
      </c>
      <c r="X56" s="429">
        <f t="shared" si="20"/>
        <v>0.38658715648608971</v>
      </c>
      <c r="Y56" s="429">
        <f t="shared" si="20"/>
        <v>0.39132304891912922</v>
      </c>
      <c r="Z56" s="429">
        <f t="shared" si="20"/>
        <v>0.39611703462904113</v>
      </c>
      <c r="AA56" s="429">
        <f t="shared" si="20"/>
        <v>0.40096982640230394</v>
      </c>
      <c r="AB56" s="429">
        <f t="shared" si="20"/>
        <v>0.40588214577101783</v>
      </c>
      <c r="AC56" s="429">
        <f t="shared" si="20"/>
        <v>0.41085472312021243</v>
      </c>
      <c r="AD56" s="429">
        <f t="shared" si="20"/>
        <v>0.41588829779646674</v>
      </c>
      <c r="AE56" s="429">
        <f t="shared" si="20"/>
        <v>0.42098361821786484</v>
      </c>
      <c r="AF56" s="429">
        <f t="shared" si="20"/>
        <v>0.42614144198530052</v>
      </c>
      <c r="AG56" s="429">
        <f t="shared" si="20"/>
        <v>0.43136253599514573</v>
      </c>
      <c r="AH56" s="429">
        <f t="shared" si="20"/>
        <v>0.43664767655330294</v>
      </c>
      <c r="AI56" s="429">
        <f t="shared" si="20"/>
        <v>0.44199764949065856</v>
      </c>
      <c r="AJ56" s="429">
        <f t="shared" si="20"/>
        <v>0.44741325027994872</v>
      </c>
      <c r="AK56" s="429">
        <f t="shared" si="20"/>
        <v>0.45289528415406283</v>
      </c>
      <c r="AL56" s="429">
        <f t="shared" ref="AL56" si="21">IF($D$6=$B29,$C$56*PRODUCT(AL$30:AL$36),IF($D$6=$B38,$C$56*PRODUCT(AL$39:AL$45), $C$56*PRODUCT(AL$48:AL$54)))</f>
        <v>0.45844456622579755</v>
      </c>
    </row>
    <row r="57" spans="2:38">
      <c r="H57" s="1228"/>
    </row>
    <row r="58" spans="2:38" ht="13">
      <c r="B58" s="407" t="s">
        <v>670</v>
      </c>
      <c r="C58" s="396" t="s">
        <v>627</v>
      </c>
      <c r="D58" s="397">
        <v>2018</v>
      </c>
      <c r="E58" s="397">
        <v>2020</v>
      </c>
      <c r="F58" s="397">
        <v>2021</v>
      </c>
      <c r="G58" s="397">
        <v>2022</v>
      </c>
      <c r="H58" s="1238">
        <v>2023</v>
      </c>
      <c r="I58" s="397">
        <v>2024</v>
      </c>
      <c r="J58" s="397">
        <v>2025</v>
      </c>
      <c r="K58" s="397">
        <v>2026</v>
      </c>
      <c r="L58" s="397">
        <v>2027</v>
      </c>
      <c r="M58" s="397">
        <v>2028</v>
      </c>
      <c r="N58" s="397">
        <v>2029</v>
      </c>
      <c r="O58" s="397">
        <v>2030</v>
      </c>
      <c r="P58" s="397">
        <v>2031</v>
      </c>
      <c r="Q58" s="397">
        <v>2032</v>
      </c>
      <c r="R58" s="397">
        <v>2033</v>
      </c>
      <c r="S58" s="397">
        <v>2034</v>
      </c>
      <c r="T58" s="397">
        <v>2035</v>
      </c>
      <c r="U58" s="397">
        <v>2036</v>
      </c>
      <c r="V58" s="397">
        <v>2037</v>
      </c>
      <c r="W58" s="397">
        <v>2038</v>
      </c>
      <c r="X58" s="397">
        <v>2039</v>
      </c>
      <c r="Y58" s="397">
        <v>2040</v>
      </c>
      <c r="Z58" s="397">
        <v>2041</v>
      </c>
      <c r="AA58" s="397">
        <v>2042</v>
      </c>
      <c r="AB58" s="397">
        <v>2043</v>
      </c>
      <c r="AC58" s="397">
        <v>2044</v>
      </c>
      <c r="AD58" s="397">
        <v>2044</v>
      </c>
      <c r="AE58" s="397">
        <v>2044</v>
      </c>
      <c r="AF58" s="397">
        <v>2044</v>
      </c>
      <c r="AG58" s="397">
        <v>2044</v>
      </c>
      <c r="AH58" s="397">
        <v>2044</v>
      </c>
      <c r="AI58" s="397">
        <v>2044</v>
      </c>
      <c r="AJ58" s="397">
        <v>2044</v>
      </c>
      <c r="AK58" s="397">
        <v>2044</v>
      </c>
      <c r="AL58" s="397">
        <v>2044</v>
      </c>
    </row>
    <row r="59" spans="2:38" s="366" customFormat="1">
      <c r="B59" s="366" t="s">
        <v>671</v>
      </c>
      <c r="C59" s="430" t="s">
        <v>662</v>
      </c>
      <c r="D59" s="431">
        <f t="shared" ref="D59:AK59" si="22">D20^(-1.074)</f>
        <v>0.11486407065121609</v>
      </c>
      <c r="E59" s="432">
        <f t="shared" si="22"/>
        <v>0.11486407065121609</v>
      </c>
      <c r="F59" s="432">
        <f t="shared" si="22"/>
        <v>0.11486407065121609</v>
      </c>
      <c r="G59" s="432">
        <f t="shared" si="22"/>
        <v>0.11486407065121609</v>
      </c>
      <c r="H59" s="1239">
        <f t="shared" si="22"/>
        <v>0.11486407065121609</v>
      </c>
      <c r="I59" s="432">
        <f t="shared" si="22"/>
        <v>0.11486407065121609</v>
      </c>
      <c r="J59" s="432">
        <f t="shared" si="22"/>
        <v>0.11486407065121609</v>
      </c>
      <c r="K59" s="432">
        <f t="shared" si="22"/>
        <v>0.11486407065121609</v>
      </c>
      <c r="L59" s="432">
        <f t="shared" si="22"/>
        <v>0.11486407065121609</v>
      </c>
      <c r="M59" s="432">
        <f t="shared" si="22"/>
        <v>0.11486407065121609</v>
      </c>
      <c r="N59" s="432">
        <f t="shared" si="22"/>
        <v>0.11486407065121609</v>
      </c>
      <c r="O59" s="432">
        <f t="shared" si="22"/>
        <v>0.11486407065121609</v>
      </c>
      <c r="P59" s="432">
        <f t="shared" si="22"/>
        <v>0.11486407065121609</v>
      </c>
      <c r="Q59" s="432">
        <f t="shared" si="22"/>
        <v>0.11486407065121609</v>
      </c>
      <c r="R59" s="432">
        <f t="shared" si="22"/>
        <v>0.11486407065121609</v>
      </c>
      <c r="S59" s="432">
        <f t="shared" si="22"/>
        <v>0.11486407065121609</v>
      </c>
      <c r="T59" s="432">
        <f t="shared" si="22"/>
        <v>0.11486407065121609</v>
      </c>
      <c r="U59" s="432">
        <f t="shared" si="22"/>
        <v>0.11486407065121609</v>
      </c>
      <c r="V59" s="432">
        <f t="shared" si="22"/>
        <v>0.11486407065121609</v>
      </c>
      <c r="W59" s="432">
        <f t="shared" si="22"/>
        <v>0.11486407065121609</v>
      </c>
      <c r="X59" s="432">
        <f t="shared" si="22"/>
        <v>0.11486407065121609</v>
      </c>
      <c r="Y59" s="432">
        <f t="shared" si="22"/>
        <v>0.11486407065121609</v>
      </c>
      <c r="Z59" s="432">
        <f t="shared" si="22"/>
        <v>0.11486407065121609</v>
      </c>
      <c r="AA59" s="432">
        <f t="shared" si="22"/>
        <v>0.11486407065121609</v>
      </c>
      <c r="AB59" s="432">
        <f t="shared" si="22"/>
        <v>0.11486407065121609</v>
      </c>
      <c r="AC59" s="432">
        <f t="shared" si="22"/>
        <v>0.11486407065121609</v>
      </c>
      <c r="AD59" s="432">
        <f t="shared" si="22"/>
        <v>0.11486407065121609</v>
      </c>
      <c r="AE59" s="432">
        <f t="shared" si="22"/>
        <v>0.11486407065121609</v>
      </c>
      <c r="AF59" s="432">
        <f t="shared" si="22"/>
        <v>0.11486407065121609</v>
      </c>
      <c r="AG59" s="432">
        <f t="shared" si="22"/>
        <v>0.11486407065121609</v>
      </c>
      <c r="AH59" s="432">
        <f t="shared" si="22"/>
        <v>0.11486407065121609</v>
      </c>
      <c r="AI59" s="432">
        <f t="shared" si="22"/>
        <v>0.11486407065121609</v>
      </c>
      <c r="AJ59" s="432">
        <f t="shared" si="22"/>
        <v>0.11486407065121609</v>
      </c>
      <c r="AK59" s="432">
        <f t="shared" si="22"/>
        <v>0.11486407065121609</v>
      </c>
      <c r="AL59" s="432">
        <f t="shared" ref="AL59" si="23">AL20^(-1.074)</f>
        <v>0.11486407065121609</v>
      </c>
    </row>
    <row r="60" spans="2:38">
      <c r="B60" s="358" t="s">
        <v>606</v>
      </c>
      <c r="C60" s="419" t="s">
        <v>672</v>
      </c>
      <c r="D60" s="417">
        <f t="shared" ref="D60:AL60" si="24">(D$17+1)^(-0.1025)</f>
        <v>0.79757663346161678</v>
      </c>
      <c r="E60" s="417">
        <f t="shared" si="24"/>
        <v>0.79680897246870619</v>
      </c>
      <c r="F60" s="417">
        <f t="shared" si="24"/>
        <v>0.79604116792816049</v>
      </c>
      <c r="G60" s="417">
        <f t="shared" si="24"/>
        <v>0.79527322893175478</v>
      </c>
      <c r="H60" s="417">
        <f t="shared" si="24"/>
        <v>0.79450516450092767</v>
      </c>
      <c r="I60" s="417">
        <f t="shared" si="24"/>
        <v>0.79373698358684053</v>
      </c>
      <c r="J60" s="417">
        <f t="shared" si="24"/>
        <v>0.79296869507044476</v>
      </c>
      <c r="K60" s="417">
        <f t="shared" si="24"/>
        <v>0.79220030776256189</v>
      </c>
      <c r="L60" s="417">
        <f t="shared" si="24"/>
        <v>0.79143183040396969</v>
      </c>
      <c r="M60" s="417">
        <f t="shared" si="24"/>
        <v>0.79066327166550054</v>
      </c>
      <c r="N60" s="417">
        <f t="shared" si="24"/>
        <v>0.78989464014814825</v>
      </c>
      <c r="O60" s="417">
        <f t="shared" si="24"/>
        <v>0.78912594438318295</v>
      </c>
      <c r="P60" s="417">
        <f t="shared" si="24"/>
        <v>0.78835719283227634</v>
      </c>
      <c r="Q60" s="417">
        <f t="shared" si="24"/>
        <v>0.78758839388763435</v>
      </c>
      <c r="R60" s="417">
        <f t="shared" si="24"/>
        <v>0.78681955587213903</v>
      </c>
      <c r="S60" s="417">
        <f t="shared" si="24"/>
        <v>0.78605068703949843</v>
      </c>
      <c r="T60" s="417">
        <f t="shared" si="24"/>
        <v>0.78528179557440425</v>
      </c>
      <c r="U60" s="417">
        <f t="shared" si="24"/>
        <v>0.78451288959269794</v>
      </c>
      <c r="V60" s="417">
        <f t="shared" si="24"/>
        <v>0.78374397714154387</v>
      </c>
      <c r="W60" s="417">
        <f t="shared" si="24"/>
        <v>0.78297506619961088</v>
      </c>
      <c r="X60" s="417">
        <f t="shared" si="24"/>
        <v>0.78220616467725967</v>
      </c>
      <c r="Y60" s="417">
        <f t="shared" si="24"/>
        <v>0.7814372804167391</v>
      </c>
      <c r="Z60" s="417">
        <f t="shared" si="24"/>
        <v>0.78066842119238811</v>
      </c>
      <c r="AA60" s="417">
        <f t="shared" si="24"/>
        <v>0.77989959471084491</v>
      </c>
      <c r="AB60" s="417">
        <f t="shared" si="24"/>
        <v>0.77913080861126272</v>
      </c>
      <c r="AC60" s="417">
        <f t="shared" si="24"/>
        <v>0.77836207046553207</v>
      </c>
      <c r="AD60" s="417">
        <f t="shared" si="24"/>
        <v>0.77759338777850873</v>
      </c>
      <c r="AE60" s="417">
        <f t="shared" si="24"/>
        <v>0.77682476798824884</v>
      </c>
      <c r="AF60" s="417">
        <f t="shared" si="24"/>
        <v>0.77605621846624906</v>
      </c>
      <c r="AG60" s="417">
        <f t="shared" si="24"/>
        <v>0.77528774651769194</v>
      </c>
      <c r="AH60" s="417">
        <f t="shared" si="24"/>
        <v>0.77451935938169869</v>
      </c>
      <c r="AI60" s="417">
        <f t="shared" si="24"/>
        <v>0.77375106423158546</v>
      </c>
      <c r="AJ60" s="417">
        <f t="shared" si="24"/>
        <v>0.77298286817512585</v>
      </c>
      <c r="AK60" s="417">
        <f t="shared" si="24"/>
        <v>0.77221477825481855</v>
      </c>
      <c r="AL60" s="417">
        <f t="shared" si="24"/>
        <v>0.77144680144815947</v>
      </c>
    </row>
    <row r="61" spans="2:38">
      <c r="B61" s="358" t="s">
        <v>673</v>
      </c>
      <c r="C61" s="419" t="s">
        <v>674</v>
      </c>
      <c r="D61" s="414">
        <f t="shared" ref="D61:AL61" si="25">(D$19+1)^(0.1025)</f>
        <v>1</v>
      </c>
      <c r="E61" s="415">
        <f t="shared" si="25"/>
        <v>1</v>
      </c>
      <c r="F61" s="415">
        <f t="shared" si="25"/>
        <v>1</v>
      </c>
      <c r="G61" s="415">
        <f t="shared" si="25"/>
        <v>1</v>
      </c>
      <c r="H61" s="1235">
        <f t="shared" si="25"/>
        <v>1</v>
      </c>
      <c r="I61" s="415">
        <f t="shared" si="25"/>
        <v>1</v>
      </c>
      <c r="J61" s="415">
        <f t="shared" si="25"/>
        <v>1</v>
      </c>
      <c r="K61" s="415">
        <f t="shared" si="25"/>
        <v>1</v>
      </c>
      <c r="L61" s="415">
        <f t="shared" si="25"/>
        <v>1</v>
      </c>
      <c r="M61" s="415">
        <f t="shared" si="25"/>
        <v>1</v>
      </c>
      <c r="N61" s="415">
        <f t="shared" si="25"/>
        <v>1</v>
      </c>
      <c r="O61" s="415">
        <f t="shared" si="25"/>
        <v>1</v>
      </c>
      <c r="P61" s="415">
        <f t="shared" si="25"/>
        <v>1</v>
      </c>
      <c r="Q61" s="415">
        <f t="shared" si="25"/>
        <v>1</v>
      </c>
      <c r="R61" s="415">
        <f t="shared" si="25"/>
        <v>1</v>
      </c>
      <c r="S61" s="415">
        <f t="shared" si="25"/>
        <v>1</v>
      </c>
      <c r="T61" s="415">
        <f t="shared" si="25"/>
        <v>1</v>
      </c>
      <c r="U61" s="415">
        <f t="shared" si="25"/>
        <v>1</v>
      </c>
      <c r="V61" s="415">
        <f t="shared" si="25"/>
        <v>1</v>
      </c>
      <c r="W61" s="415">
        <f t="shared" si="25"/>
        <v>1</v>
      </c>
      <c r="X61" s="415">
        <f t="shared" si="25"/>
        <v>1</v>
      </c>
      <c r="Y61" s="415">
        <f t="shared" si="25"/>
        <v>1</v>
      </c>
      <c r="Z61" s="415">
        <f t="shared" si="25"/>
        <v>1</v>
      </c>
      <c r="AA61" s="415">
        <f t="shared" si="25"/>
        <v>1</v>
      </c>
      <c r="AB61" s="415">
        <f t="shared" si="25"/>
        <v>1</v>
      </c>
      <c r="AC61" s="415">
        <f t="shared" si="25"/>
        <v>1</v>
      </c>
      <c r="AD61" s="415">
        <f t="shared" si="25"/>
        <v>1</v>
      </c>
      <c r="AE61" s="415">
        <f t="shared" si="25"/>
        <v>1</v>
      </c>
      <c r="AF61" s="415">
        <f t="shared" si="25"/>
        <v>1</v>
      </c>
      <c r="AG61" s="415">
        <f t="shared" si="25"/>
        <v>1</v>
      </c>
      <c r="AH61" s="415">
        <f t="shared" si="25"/>
        <v>1</v>
      </c>
      <c r="AI61" s="415">
        <f t="shared" si="25"/>
        <v>1</v>
      </c>
      <c r="AJ61" s="415">
        <f t="shared" si="25"/>
        <v>1</v>
      </c>
      <c r="AK61" s="415">
        <f t="shared" si="25"/>
        <v>1</v>
      </c>
      <c r="AL61" s="415">
        <f t="shared" si="25"/>
        <v>1</v>
      </c>
    </row>
    <row r="62" spans="2:38">
      <c r="B62" s="433" t="s">
        <v>675</v>
      </c>
      <c r="C62" s="434" t="s">
        <v>676</v>
      </c>
      <c r="D62" s="426">
        <f t="shared" ref="D62:AL62" si="26">EXP(0.188*$E$5)</f>
        <v>1.2068335153496053</v>
      </c>
      <c r="E62" s="426">
        <f t="shared" si="26"/>
        <v>1.2068335153496053</v>
      </c>
      <c r="F62" s="426">
        <f t="shared" si="26"/>
        <v>1.2068335153496053</v>
      </c>
      <c r="G62" s="426">
        <f t="shared" si="26"/>
        <v>1.2068335153496053</v>
      </c>
      <c r="H62" s="1237">
        <f t="shared" si="26"/>
        <v>1.2068335153496053</v>
      </c>
      <c r="I62" s="426">
        <f t="shared" si="26"/>
        <v>1.2068335153496053</v>
      </c>
      <c r="J62" s="426">
        <f t="shared" si="26"/>
        <v>1.2068335153496053</v>
      </c>
      <c r="K62" s="426">
        <f t="shared" si="26"/>
        <v>1.2068335153496053</v>
      </c>
      <c r="L62" s="426">
        <f t="shared" si="26"/>
        <v>1.2068335153496053</v>
      </c>
      <c r="M62" s="426">
        <f t="shared" si="26"/>
        <v>1.2068335153496053</v>
      </c>
      <c r="N62" s="426">
        <f t="shared" si="26"/>
        <v>1.2068335153496053</v>
      </c>
      <c r="O62" s="426">
        <f t="shared" si="26"/>
        <v>1.2068335153496053</v>
      </c>
      <c r="P62" s="426">
        <f t="shared" si="26"/>
        <v>1.2068335153496053</v>
      </c>
      <c r="Q62" s="426">
        <f t="shared" si="26"/>
        <v>1.2068335153496053</v>
      </c>
      <c r="R62" s="426">
        <f t="shared" si="26"/>
        <v>1.2068335153496053</v>
      </c>
      <c r="S62" s="426">
        <f t="shared" si="26"/>
        <v>1.2068335153496053</v>
      </c>
      <c r="T62" s="426">
        <f t="shared" si="26"/>
        <v>1.2068335153496053</v>
      </c>
      <c r="U62" s="426">
        <f t="shared" si="26"/>
        <v>1.2068335153496053</v>
      </c>
      <c r="V62" s="426">
        <f t="shared" si="26"/>
        <v>1.2068335153496053</v>
      </c>
      <c r="W62" s="426">
        <f t="shared" si="26"/>
        <v>1.2068335153496053</v>
      </c>
      <c r="X62" s="426">
        <f t="shared" si="26"/>
        <v>1.2068335153496053</v>
      </c>
      <c r="Y62" s="426">
        <f t="shared" si="26"/>
        <v>1.2068335153496053</v>
      </c>
      <c r="Z62" s="426">
        <f t="shared" si="26"/>
        <v>1.2068335153496053</v>
      </c>
      <c r="AA62" s="426">
        <f t="shared" si="26"/>
        <v>1.2068335153496053</v>
      </c>
      <c r="AB62" s="426">
        <f t="shared" si="26"/>
        <v>1.2068335153496053</v>
      </c>
      <c r="AC62" s="426">
        <f t="shared" si="26"/>
        <v>1.2068335153496053</v>
      </c>
      <c r="AD62" s="426">
        <f t="shared" si="26"/>
        <v>1.2068335153496053</v>
      </c>
      <c r="AE62" s="426">
        <f t="shared" si="26"/>
        <v>1.2068335153496053</v>
      </c>
      <c r="AF62" s="426">
        <f t="shared" si="26"/>
        <v>1.2068335153496053</v>
      </c>
      <c r="AG62" s="426">
        <f t="shared" si="26"/>
        <v>1.2068335153496053</v>
      </c>
      <c r="AH62" s="426">
        <f t="shared" si="26"/>
        <v>1.2068335153496053</v>
      </c>
      <c r="AI62" s="426">
        <f t="shared" si="26"/>
        <v>1.2068335153496053</v>
      </c>
      <c r="AJ62" s="426">
        <f t="shared" si="26"/>
        <v>1.2068335153496053</v>
      </c>
      <c r="AK62" s="426">
        <f t="shared" si="26"/>
        <v>1.2068335153496053</v>
      </c>
      <c r="AL62" s="426">
        <f t="shared" si="26"/>
        <v>1.2068335153496053</v>
      </c>
    </row>
    <row r="63" spans="2:38">
      <c r="B63" s="362"/>
      <c r="C63" s="427" t="s">
        <v>290</v>
      </c>
      <c r="H63" s="1228"/>
    </row>
    <row r="64" spans="2:38">
      <c r="B64" s="362" t="s">
        <v>677</v>
      </c>
      <c r="C64" s="406">
        <v>695</v>
      </c>
      <c r="D64" s="435">
        <f t="shared" ref="D64:AL64" si="27">1/(1+$C$64*PRODUCT(D$59:D$62))</f>
        <v>1.2846823428953566E-2</v>
      </c>
      <c r="E64" s="435">
        <f t="shared" si="27"/>
        <v>1.2859041149429273E-2</v>
      </c>
      <c r="F64" s="435">
        <f t="shared" si="27"/>
        <v>1.2871284422039322E-2</v>
      </c>
      <c r="G64" s="435">
        <f t="shared" si="27"/>
        <v>1.2883553180992649E-2</v>
      </c>
      <c r="H64" s="435">
        <f t="shared" si="27"/>
        <v>1.289584736084585E-2</v>
      </c>
      <c r="I64" s="435">
        <f t="shared" si="27"/>
        <v>1.2908166896506283E-2</v>
      </c>
      <c r="J64" s="435">
        <f t="shared" si="27"/>
        <v>1.2920511723235115E-2</v>
      </c>
      <c r="K64" s="435">
        <f t="shared" si="27"/>
        <v>1.2932881776650215E-2</v>
      </c>
      <c r="L64" s="435">
        <f t="shared" si="27"/>
        <v>1.2945276992729026E-2</v>
      </c>
      <c r="M64" s="435">
        <f t="shared" si="27"/>
        <v>1.2957697307811268E-2</v>
      </c>
      <c r="N64" s="435">
        <f t="shared" si="27"/>
        <v>1.2970142658601587E-2</v>
      </c>
      <c r="O64" s="435">
        <f t="shared" si="27"/>
        <v>1.2982612982172088E-2</v>
      </c>
      <c r="P64" s="435">
        <f t="shared" si="27"/>
        <v>1.2995108215964795E-2</v>
      </c>
      <c r="Q64" s="435">
        <f t="shared" si="27"/>
        <v>1.3007628297794007E-2</v>
      </c>
      <c r="R64" s="435">
        <f t="shared" si="27"/>
        <v>1.3020173165848558E-2</v>
      </c>
      <c r="S64" s="435">
        <f t="shared" si="27"/>
        <v>1.3032742758694E-2</v>
      </c>
      <c r="T64" s="435">
        <f t="shared" si="27"/>
        <v>1.3045337015274685E-2</v>
      </c>
      <c r="U64" s="435">
        <f t="shared" si="27"/>
        <v>1.3057955874915778E-2</v>
      </c>
      <c r="V64" s="435">
        <f t="shared" si="27"/>
        <v>1.3070599277325174E-2</v>
      </c>
      <c r="W64" s="435">
        <f t="shared" si="27"/>
        <v>1.3083267162595303E-2</v>
      </c>
      <c r="X64" s="435">
        <f t="shared" si="27"/>
        <v>1.3095959471204914E-2</v>
      </c>
      <c r="Y64" s="435">
        <f t="shared" si="27"/>
        <v>1.3108676144020727E-2</v>
      </c>
      <c r="Z64" s="435">
        <f t="shared" si="27"/>
        <v>1.3121417122298995E-2</v>
      </c>
      <c r="AA64" s="435">
        <f t="shared" si="27"/>
        <v>1.3134182347687044E-2</v>
      </c>
      <c r="AB64" s="435">
        <f t="shared" si="27"/>
        <v>1.3146971762224686E-2</v>
      </c>
      <c r="AC64" s="435">
        <f t="shared" si="27"/>
        <v>1.3159785308345554E-2</v>
      </c>
      <c r="AD64" s="435">
        <f t="shared" si="27"/>
        <v>1.3172622928878398E-2</v>
      </c>
      <c r="AE64" s="435">
        <f t="shared" si="27"/>
        <v>1.318548456704826E-2</v>
      </c>
      <c r="AF64" s="435">
        <f t="shared" si="27"/>
        <v>1.3198370166477609E-2</v>
      </c>
      <c r="AG64" s="435">
        <f t="shared" si="27"/>
        <v>1.3211279671187398E-2</v>
      </c>
      <c r="AH64" s="435">
        <f t="shared" si="27"/>
        <v>1.3224213025598029E-2</v>
      </c>
      <c r="AI64" s="435">
        <f t="shared" si="27"/>
        <v>1.3237170174530275E-2</v>
      </c>
      <c r="AJ64" s="435">
        <f t="shared" si="27"/>
        <v>1.3250151063206107E-2</v>
      </c>
      <c r="AK64" s="435">
        <f t="shared" si="27"/>
        <v>1.3263155637249474E-2</v>
      </c>
      <c r="AL64" s="435">
        <f t="shared" si="27"/>
        <v>1.3276183842687013E-2</v>
      </c>
    </row>
    <row r="65" spans="1:38">
      <c r="H65" s="1228"/>
    </row>
    <row r="66" spans="1:38" ht="13">
      <c r="B66" s="407" t="s">
        <v>678</v>
      </c>
      <c r="C66" s="396" t="s">
        <v>627</v>
      </c>
      <c r="D66" s="397">
        <v>2018</v>
      </c>
      <c r="E66" s="397">
        <v>2020</v>
      </c>
      <c r="F66" s="397">
        <v>2021</v>
      </c>
      <c r="G66" s="397">
        <v>2022</v>
      </c>
      <c r="H66" s="1238">
        <v>2023</v>
      </c>
      <c r="I66" s="397">
        <v>2024</v>
      </c>
      <c r="J66" s="397">
        <v>2025</v>
      </c>
      <c r="K66" s="397">
        <v>2026</v>
      </c>
      <c r="L66" s="397">
        <v>2027</v>
      </c>
      <c r="M66" s="397">
        <v>2028</v>
      </c>
      <c r="N66" s="397">
        <v>2029</v>
      </c>
      <c r="O66" s="397">
        <v>2030</v>
      </c>
      <c r="P66" s="397">
        <v>2031</v>
      </c>
      <c r="Q66" s="397">
        <v>2032</v>
      </c>
      <c r="R66" s="397">
        <v>2033</v>
      </c>
      <c r="S66" s="397">
        <v>2034</v>
      </c>
      <c r="T66" s="397">
        <v>2035</v>
      </c>
      <c r="U66" s="397">
        <v>2036</v>
      </c>
      <c r="V66" s="397">
        <v>2037</v>
      </c>
      <c r="W66" s="397">
        <v>2038</v>
      </c>
      <c r="X66" s="397">
        <v>2039</v>
      </c>
      <c r="Y66" s="397">
        <v>2040</v>
      </c>
      <c r="Z66" s="397">
        <v>2041</v>
      </c>
      <c r="AA66" s="397">
        <v>2042</v>
      </c>
      <c r="AB66" s="397">
        <v>2043</v>
      </c>
      <c r="AC66" s="397">
        <v>2044</v>
      </c>
      <c r="AD66" s="397">
        <v>2044</v>
      </c>
      <c r="AE66" s="397">
        <v>2044</v>
      </c>
      <c r="AF66" s="397">
        <v>2044</v>
      </c>
      <c r="AG66" s="397">
        <v>2044</v>
      </c>
      <c r="AH66" s="397">
        <v>2044</v>
      </c>
      <c r="AI66" s="397">
        <v>2044</v>
      </c>
      <c r="AJ66" s="397">
        <v>2044</v>
      </c>
      <c r="AK66" s="397">
        <v>2044</v>
      </c>
      <c r="AL66" s="397">
        <v>2044</v>
      </c>
    </row>
    <row r="67" spans="1:38">
      <c r="B67" s="358" t="s">
        <v>679</v>
      </c>
      <c r="C67" s="436" t="s">
        <v>680</v>
      </c>
      <c r="D67" s="437">
        <f t="shared" ref="D67:AL67" si="28">D$64</f>
        <v>1.2846823428953566E-2</v>
      </c>
      <c r="E67" s="415">
        <f t="shared" si="28"/>
        <v>1.2859041149429273E-2</v>
      </c>
      <c r="F67" s="415">
        <f t="shared" si="28"/>
        <v>1.2871284422039322E-2</v>
      </c>
      <c r="G67" s="415">
        <f t="shared" si="28"/>
        <v>1.2883553180992649E-2</v>
      </c>
      <c r="H67" s="1235">
        <f t="shared" si="28"/>
        <v>1.289584736084585E-2</v>
      </c>
      <c r="I67" s="415">
        <f t="shared" si="28"/>
        <v>1.2908166896506283E-2</v>
      </c>
      <c r="J67" s="415">
        <f t="shared" si="28"/>
        <v>1.2920511723235115E-2</v>
      </c>
      <c r="K67" s="415">
        <f t="shared" si="28"/>
        <v>1.2932881776650215E-2</v>
      </c>
      <c r="L67" s="415">
        <f t="shared" si="28"/>
        <v>1.2945276992729026E-2</v>
      </c>
      <c r="M67" s="415">
        <f t="shared" si="28"/>
        <v>1.2957697307811268E-2</v>
      </c>
      <c r="N67" s="415">
        <f t="shared" si="28"/>
        <v>1.2970142658601587E-2</v>
      </c>
      <c r="O67" s="415">
        <f t="shared" si="28"/>
        <v>1.2982612982172088E-2</v>
      </c>
      <c r="P67" s="415">
        <f t="shared" si="28"/>
        <v>1.2995108215964795E-2</v>
      </c>
      <c r="Q67" s="415">
        <f t="shared" si="28"/>
        <v>1.3007628297794007E-2</v>
      </c>
      <c r="R67" s="415">
        <f t="shared" si="28"/>
        <v>1.3020173165848558E-2</v>
      </c>
      <c r="S67" s="415">
        <f t="shared" si="28"/>
        <v>1.3032742758694E-2</v>
      </c>
      <c r="T67" s="415">
        <f t="shared" si="28"/>
        <v>1.3045337015274685E-2</v>
      </c>
      <c r="U67" s="415">
        <f t="shared" si="28"/>
        <v>1.3057955874915778E-2</v>
      </c>
      <c r="V67" s="415">
        <f t="shared" si="28"/>
        <v>1.3070599277325174E-2</v>
      </c>
      <c r="W67" s="415">
        <f t="shared" si="28"/>
        <v>1.3083267162595303E-2</v>
      </c>
      <c r="X67" s="415">
        <f t="shared" si="28"/>
        <v>1.3095959471204914E-2</v>
      </c>
      <c r="Y67" s="415">
        <f t="shared" si="28"/>
        <v>1.3108676144020727E-2</v>
      </c>
      <c r="Z67" s="415">
        <f t="shared" si="28"/>
        <v>1.3121417122298995E-2</v>
      </c>
      <c r="AA67" s="415">
        <f t="shared" si="28"/>
        <v>1.3134182347687044E-2</v>
      </c>
      <c r="AB67" s="415">
        <f t="shared" si="28"/>
        <v>1.3146971762224686E-2</v>
      </c>
      <c r="AC67" s="415">
        <f t="shared" si="28"/>
        <v>1.3159785308345554E-2</v>
      </c>
      <c r="AD67" s="415">
        <f t="shared" si="28"/>
        <v>1.3172622928878398E-2</v>
      </c>
      <c r="AE67" s="415">
        <f t="shared" si="28"/>
        <v>1.318548456704826E-2</v>
      </c>
      <c r="AF67" s="415">
        <f t="shared" si="28"/>
        <v>1.3198370166477609E-2</v>
      </c>
      <c r="AG67" s="415">
        <f t="shared" si="28"/>
        <v>1.3211279671187398E-2</v>
      </c>
      <c r="AH67" s="415">
        <f t="shared" si="28"/>
        <v>1.3224213025598029E-2</v>
      </c>
      <c r="AI67" s="415">
        <f t="shared" si="28"/>
        <v>1.3237170174530275E-2</v>
      </c>
      <c r="AJ67" s="415">
        <f t="shared" si="28"/>
        <v>1.3250151063206107E-2</v>
      </c>
      <c r="AK67" s="415">
        <f t="shared" si="28"/>
        <v>1.3263155637249474E-2</v>
      </c>
      <c r="AL67" s="415">
        <f t="shared" si="28"/>
        <v>1.3276183842687013E-2</v>
      </c>
    </row>
    <row r="68" spans="1:38">
      <c r="B68" s="358" t="s">
        <v>681</v>
      </c>
      <c r="C68" s="419" t="s">
        <v>682</v>
      </c>
      <c r="D68" s="414">
        <f t="shared" ref="D68:AK68" si="29">1-D67</f>
        <v>0.9871531765710464</v>
      </c>
      <c r="E68" s="414">
        <f t="shared" si="29"/>
        <v>0.98714095885057074</v>
      </c>
      <c r="F68" s="414">
        <f t="shared" si="29"/>
        <v>0.98712871557796067</v>
      </c>
      <c r="G68" s="414">
        <f t="shared" si="29"/>
        <v>0.98711644681900734</v>
      </c>
      <c r="H68" s="417">
        <f t="shared" si="29"/>
        <v>0.98710415263915419</v>
      </c>
      <c r="I68" s="414">
        <f t="shared" si="29"/>
        <v>0.98709183310349369</v>
      </c>
      <c r="J68" s="414">
        <f t="shared" si="29"/>
        <v>0.98707948827676484</v>
      </c>
      <c r="K68" s="414">
        <f t="shared" si="29"/>
        <v>0.9870671182233498</v>
      </c>
      <c r="L68" s="414">
        <f t="shared" si="29"/>
        <v>0.98705472300727093</v>
      </c>
      <c r="M68" s="414">
        <f t="shared" si="29"/>
        <v>0.98704230269218873</v>
      </c>
      <c r="N68" s="414">
        <f t="shared" si="29"/>
        <v>0.98702985734139836</v>
      </c>
      <c r="O68" s="414">
        <f t="shared" si="29"/>
        <v>0.98701738701782793</v>
      </c>
      <c r="P68" s="414">
        <f t="shared" si="29"/>
        <v>0.98700489178403517</v>
      </c>
      <c r="Q68" s="414">
        <f t="shared" si="29"/>
        <v>0.986992371702206</v>
      </c>
      <c r="R68" s="414">
        <f t="shared" si="29"/>
        <v>0.98697982683415142</v>
      </c>
      <c r="S68" s="414">
        <f t="shared" si="29"/>
        <v>0.98696725724130596</v>
      </c>
      <c r="T68" s="414">
        <f t="shared" si="29"/>
        <v>0.98695466298472534</v>
      </c>
      <c r="U68" s="414">
        <f t="shared" si="29"/>
        <v>0.98694204412508424</v>
      </c>
      <c r="V68" s="414">
        <f t="shared" si="29"/>
        <v>0.98692940072267488</v>
      </c>
      <c r="W68" s="414">
        <f t="shared" si="29"/>
        <v>0.98691673283740466</v>
      </c>
      <c r="X68" s="414">
        <f t="shared" si="29"/>
        <v>0.9869040405287951</v>
      </c>
      <c r="Y68" s="414">
        <f t="shared" si="29"/>
        <v>0.98689132385597922</v>
      </c>
      <c r="Z68" s="414">
        <f t="shared" si="29"/>
        <v>0.98687858287770103</v>
      </c>
      <c r="AA68" s="414">
        <f t="shared" si="29"/>
        <v>0.98686581765231296</v>
      </c>
      <c r="AB68" s="414">
        <f t="shared" si="29"/>
        <v>0.98685302823777532</v>
      </c>
      <c r="AC68" s="414">
        <f t="shared" si="29"/>
        <v>0.98684021469165439</v>
      </c>
      <c r="AD68" s="414">
        <f t="shared" si="29"/>
        <v>0.98682737707112156</v>
      </c>
      <c r="AE68" s="414">
        <f t="shared" si="29"/>
        <v>0.98681451543295173</v>
      </c>
      <c r="AF68" s="414">
        <f t="shared" si="29"/>
        <v>0.98680162983352238</v>
      </c>
      <c r="AG68" s="414">
        <f t="shared" si="29"/>
        <v>0.9867887203288126</v>
      </c>
      <c r="AH68" s="414">
        <f t="shared" si="29"/>
        <v>0.98677578697440194</v>
      </c>
      <c r="AI68" s="414">
        <f t="shared" si="29"/>
        <v>0.9867628298254697</v>
      </c>
      <c r="AJ68" s="414">
        <f t="shared" si="29"/>
        <v>0.98674984893679385</v>
      </c>
      <c r="AK68" s="414">
        <f t="shared" si="29"/>
        <v>0.98673684436275055</v>
      </c>
      <c r="AL68" s="414">
        <f t="shared" ref="AL68" si="30">1-AL67</f>
        <v>0.98672381615731297</v>
      </c>
    </row>
    <row r="69" spans="1:38">
      <c r="B69" s="358" t="s">
        <v>671</v>
      </c>
      <c r="C69" s="419" t="s">
        <v>662</v>
      </c>
      <c r="D69" s="414">
        <f t="shared" ref="D69:AL69" si="31">D$20^(-0.2334)</f>
        <v>0.62482831374223813</v>
      </c>
      <c r="E69" s="414">
        <f t="shared" si="31"/>
        <v>0.62482831374223813</v>
      </c>
      <c r="F69" s="414">
        <f t="shared" si="31"/>
        <v>0.62482831374223813</v>
      </c>
      <c r="G69" s="414">
        <f t="shared" si="31"/>
        <v>0.62482831374223813</v>
      </c>
      <c r="H69" s="417">
        <f t="shared" si="31"/>
        <v>0.62482831374223813</v>
      </c>
      <c r="I69" s="414">
        <f t="shared" si="31"/>
        <v>0.62482831374223813</v>
      </c>
      <c r="J69" s="414">
        <f t="shared" si="31"/>
        <v>0.62482831374223813</v>
      </c>
      <c r="K69" s="414">
        <f t="shared" si="31"/>
        <v>0.62482831374223813</v>
      </c>
      <c r="L69" s="414">
        <f t="shared" si="31"/>
        <v>0.62482831374223813</v>
      </c>
      <c r="M69" s="414">
        <f t="shared" si="31"/>
        <v>0.62482831374223813</v>
      </c>
      <c r="N69" s="414">
        <f t="shared" si="31"/>
        <v>0.62482831374223813</v>
      </c>
      <c r="O69" s="414">
        <f t="shared" si="31"/>
        <v>0.62482831374223813</v>
      </c>
      <c r="P69" s="414">
        <f t="shared" si="31"/>
        <v>0.62482831374223813</v>
      </c>
      <c r="Q69" s="414">
        <f t="shared" si="31"/>
        <v>0.62482831374223813</v>
      </c>
      <c r="R69" s="414">
        <f t="shared" si="31"/>
        <v>0.62482831374223813</v>
      </c>
      <c r="S69" s="414">
        <f t="shared" si="31"/>
        <v>0.62482831374223813</v>
      </c>
      <c r="T69" s="414">
        <f t="shared" si="31"/>
        <v>0.62482831374223813</v>
      </c>
      <c r="U69" s="414">
        <f t="shared" si="31"/>
        <v>0.62482831374223813</v>
      </c>
      <c r="V69" s="414">
        <f t="shared" si="31"/>
        <v>0.62482831374223813</v>
      </c>
      <c r="W69" s="414">
        <f t="shared" si="31"/>
        <v>0.62482831374223813</v>
      </c>
      <c r="X69" s="414">
        <f t="shared" si="31"/>
        <v>0.62482831374223813</v>
      </c>
      <c r="Y69" s="414">
        <f t="shared" si="31"/>
        <v>0.62482831374223813</v>
      </c>
      <c r="Z69" s="414">
        <f t="shared" si="31"/>
        <v>0.62482831374223813</v>
      </c>
      <c r="AA69" s="414">
        <f t="shared" si="31"/>
        <v>0.62482831374223813</v>
      </c>
      <c r="AB69" s="414">
        <f t="shared" si="31"/>
        <v>0.62482831374223813</v>
      </c>
      <c r="AC69" s="414">
        <f t="shared" si="31"/>
        <v>0.62482831374223813</v>
      </c>
      <c r="AD69" s="414">
        <f t="shared" si="31"/>
        <v>0.62482831374223813</v>
      </c>
      <c r="AE69" s="414">
        <f t="shared" si="31"/>
        <v>0.62482831374223813</v>
      </c>
      <c r="AF69" s="414">
        <f t="shared" si="31"/>
        <v>0.62482831374223813</v>
      </c>
      <c r="AG69" s="414">
        <f t="shared" si="31"/>
        <v>0.62482831374223813</v>
      </c>
      <c r="AH69" s="414">
        <f t="shared" si="31"/>
        <v>0.62482831374223813</v>
      </c>
      <c r="AI69" s="414">
        <f t="shared" si="31"/>
        <v>0.62482831374223813</v>
      </c>
      <c r="AJ69" s="414">
        <f t="shared" si="31"/>
        <v>0.62482831374223813</v>
      </c>
      <c r="AK69" s="414">
        <f t="shared" si="31"/>
        <v>0.62482831374223813</v>
      </c>
      <c r="AL69" s="414">
        <f t="shared" si="31"/>
        <v>0.62482831374223813</v>
      </c>
    </row>
    <row r="70" spans="1:38">
      <c r="B70" s="358" t="s">
        <v>683</v>
      </c>
      <c r="C70" s="419" t="s">
        <v>684</v>
      </c>
      <c r="D70" s="414">
        <f t="shared" ref="D70:AL70" si="32">EXP(0.1176*$D$11)</f>
        <v>1.2651617757865004</v>
      </c>
      <c r="E70" s="415">
        <f t="shared" si="32"/>
        <v>1.2651617757865004</v>
      </c>
      <c r="F70" s="415">
        <f t="shared" si="32"/>
        <v>1.2651617757865004</v>
      </c>
      <c r="G70" s="415">
        <f t="shared" si="32"/>
        <v>1.2651617757865004</v>
      </c>
      <c r="H70" s="1235">
        <f t="shared" si="32"/>
        <v>1.2651617757865004</v>
      </c>
      <c r="I70" s="415">
        <f t="shared" si="32"/>
        <v>1.2651617757865004</v>
      </c>
      <c r="J70" s="415">
        <f t="shared" si="32"/>
        <v>1.2651617757865004</v>
      </c>
      <c r="K70" s="415">
        <f t="shared" si="32"/>
        <v>1.2651617757865004</v>
      </c>
      <c r="L70" s="415">
        <f t="shared" si="32"/>
        <v>1.2651617757865004</v>
      </c>
      <c r="M70" s="415">
        <f t="shared" si="32"/>
        <v>1.2651617757865004</v>
      </c>
      <c r="N70" s="415">
        <f t="shared" si="32"/>
        <v>1.2651617757865004</v>
      </c>
      <c r="O70" s="415">
        <f t="shared" si="32"/>
        <v>1.2651617757865004</v>
      </c>
      <c r="P70" s="415">
        <f t="shared" si="32"/>
        <v>1.2651617757865004</v>
      </c>
      <c r="Q70" s="415">
        <f t="shared" si="32"/>
        <v>1.2651617757865004</v>
      </c>
      <c r="R70" s="415">
        <f t="shared" si="32"/>
        <v>1.2651617757865004</v>
      </c>
      <c r="S70" s="415">
        <f t="shared" si="32"/>
        <v>1.2651617757865004</v>
      </c>
      <c r="T70" s="415">
        <f t="shared" si="32"/>
        <v>1.2651617757865004</v>
      </c>
      <c r="U70" s="415">
        <f t="shared" si="32"/>
        <v>1.2651617757865004</v>
      </c>
      <c r="V70" s="415">
        <f t="shared" si="32"/>
        <v>1.2651617757865004</v>
      </c>
      <c r="W70" s="415">
        <f t="shared" si="32"/>
        <v>1.2651617757865004</v>
      </c>
      <c r="X70" s="415">
        <f t="shared" si="32"/>
        <v>1.2651617757865004</v>
      </c>
      <c r="Y70" s="415">
        <f t="shared" si="32"/>
        <v>1.2651617757865004</v>
      </c>
      <c r="Z70" s="415">
        <f t="shared" si="32"/>
        <v>1.2651617757865004</v>
      </c>
      <c r="AA70" s="415">
        <f t="shared" si="32"/>
        <v>1.2651617757865004</v>
      </c>
      <c r="AB70" s="415">
        <f t="shared" si="32"/>
        <v>1.2651617757865004</v>
      </c>
      <c r="AC70" s="415">
        <f t="shared" si="32"/>
        <v>1.2651617757865004</v>
      </c>
      <c r="AD70" s="415">
        <f t="shared" si="32"/>
        <v>1.2651617757865004</v>
      </c>
      <c r="AE70" s="415">
        <f t="shared" si="32"/>
        <v>1.2651617757865004</v>
      </c>
      <c r="AF70" s="415">
        <f t="shared" si="32"/>
        <v>1.2651617757865004</v>
      </c>
      <c r="AG70" s="415">
        <f t="shared" si="32"/>
        <v>1.2651617757865004</v>
      </c>
      <c r="AH70" s="415">
        <f t="shared" si="32"/>
        <v>1.2651617757865004</v>
      </c>
      <c r="AI70" s="415">
        <f t="shared" si="32"/>
        <v>1.2651617757865004</v>
      </c>
      <c r="AJ70" s="415">
        <f t="shared" si="32"/>
        <v>1.2651617757865004</v>
      </c>
      <c r="AK70" s="415">
        <f t="shared" si="32"/>
        <v>1.2651617757865004</v>
      </c>
      <c r="AL70" s="415">
        <f t="shared" si="32"/>
        <v>1.2651617757865004</v>
      </c>
    </row>
    <row r="71" spans="1:38">
      <c r="B71" s="433" t="s">
        <v>675</v>
      </c>
      <c r="C71" s="434" t="s">
        <v>676</v>
      </c>
      <c r="D71" s="426">
        <f t="shared" ref="D71:AL71" si="33">EXP(0.1844*$E$5)</f>
        <v>1.2024967255996286</v>
      </c>
      <c r="E71" s="426">
        <f t="shared" si="33"/>
        <v>1.2024967255996286</v>
      </c>
      <c r="F71" s="426">
        <f t="shared" si="33"/>
        <v>1.2024967255996286</v>
      </c>
      <c r="G71" s="426">
        <f t="shared" si="33"/>
        <v>1.2024967255996286</v>
      </c>
      <c r="H71" s="1237">
        <f t="shared" si="33"/>
        <v>1.2024967255996286</v>
      </c>
      <c r="I71" s="426">
        <f t="shared" si="33"/>
        <v>1.2024967255996286</v>
      </c>
      <c r="J71" s="426">
        <f t="shared" si="33"/>
        <v>1.2024967255996286</v>
      </c>
      <c r="K71" s="426">
        <f t="shared" si="33"/>
        <v>1.2024967255996286</v>
      </c>
      <c r="L71" s="426">
        <f t="shared" si="33"/>
        <v>1.2024967255996286</v>
      </c>
      <c r="M71" s="426">
        <f t="shared" si="33"/>
        <v>1.2024967255996286</v>
      </c>
      <c r="N71" s="426">
        <f t="shared" si="33"/>
        <v>1.2024967255996286</v>
      </c>
      <c r="O71" s="426">
        <f t="shared" si="33"/>
        <v>1.2024967255996286</v>
      </c>
      <c r="P71" s="426">
        <f t="shared" si="33"/>
        <v>1.2024967255996286</v>
      </c>
      <c r="Q71" s="426">
        <f t="shared" si="33"/>
        <v>1.2024967255996286</v>
      </c>
      <c r="R71" s="426">
        <f t="shared" si="33"/>
        <v>1.2024967255996286</v>
      </c>
      <c r="S71" s="426">
        <f t="shared" si="33"/>
        <v>1.2024967255996286</v>
      </c>
      <c r="T71" s="426">
        <f t="shared" si="33"/>
        <v>1.2024967255996286</v>
      </c>
      <c r="U71" s="426">
        <f t="shared" si="33"/>
        <v>1.2024967255996286</v>
      </c>
      <c r="V71" s="426">
        <f t="shared" si="33"/>
        <v>1.2024967255996286</v>
      </c>
      <c r="W71" s="426">
        <f t="shared" si="33"/>
        <v>1.2024967255996286</v>
      </c>
      <c r="X71" s="426">
        <f t="shared" si="33"/>
        <v>1.2024967255996286</v>
      </c>
      <c r="Y71" s="426">
        <f t="shared" si="33"/>
        <v>1.2024967255996286</v>
      </c>
      <c r="Z71" s="426">
        <f t="shared" si="33"/>
        <v>1.2024967255996286</v>
      </c>
      <c r="AA71" s="426">
        <f t="shared" si="33"/>
        <v>1.2024967255996286</v>
      </c>
      <c r="AB71" s="426">
        <f t="shared" si="33"/>
        <v>1.2024967255996286</v>
      </c>
      <c r="AC71" s="426">
        <f t="shared" si="33"/>
        <v>1.2024967255996286</v>
      </c>
      <c r="AD71" s="426">
        <f t="shared" si="33"/>
        <v>1.2024967255996286</v>
      </c>
      <c r="AE71" s="426">
        <f t="shared" si="33"/>
        <v>1.2024967255996286</v>
      </c>
      <c r="AF71" s="426">
        <f t="shared" si="33"/>
        <v>1.2024967255996286</v>
      </c>
      <c r="AG71" s="426">
        <f t="shared" si="33"/>
        <v>1.2024967255996286</v>
      </c>
      <c r="AH71" s="426">
        <f t="shared" si="33"/>
        <v>1.2024967255996286</v>
      </c>
      <c r="AI71" s="426">
        <f t="shared" si="33"/>
        <v>1.2024967255996286</v>
      </c>
      <c r="AJ71" s="426">
        <f t="shared" si="33"/>
        <v>1.2024967255996286</v>
      </c>
      <c r="AK71" s="426">
        <f t="shared" si="33"/>
        <v>1.2024967255996286</v>
      </c>
      <c r="AL71" s="426">
        <f t="shared" si="33"/>
        <v>1.2024967255996286</v>
      </c>
    </row>
    <row r="72" spans="1:38">
      <c r="B72" s="362"/>
      <c r="C72" s="427" t="s">
        <v>290</v>
      </c>
      <c r="H72" s="1228"/>
    </row>
    <row r="73" spans="1:38">
      <c r="B73" s="362" t="s">
        <v>685</v>
      </c>
      <c r="C73" s="438">
        <v>4.28</v>
      </c>
      <c r="D73" s="435">
        <f t="shared" ref="D73:AL73" si="34">D$68/(1+$C$73*PRODUCT(D$69:D$71))</f>
        <v>0.19476234937753106</v>
      </c>
      <c r="E73" s="435">
        <f t="shared" si="34"/>
        <v>0.1947599388580693</v>
      </c>
      <c r="F73" s="435">
        <f t="shared" si="34"/>
        <v>0.19475752329724835</v>
      </c>
      <c r="G73" s="435">
        <f t="shared" si="34"/>
        <v>0.19475510270804861</v>
      </c>
      <c r="H73" s="435">
        <f t="shared" si="34"/>
        <v>0.19475267710338187</v>
      </c>
      <c r="I73" s="435">
        <f t="shared" si="34"/>
        <v>0.19475024649609068</v>
      </c>
      <c r="J73" s="435">
        <f t="shared" si="34"/>
        <v>0.19474781089894788</v>
      </c>
      <c r="K73" s="435">
        <f t="shared" si="34"/>
        <v>0.19474537032465586</v>
      </c>
      <c r="L73" s="435">
        <f t="shared" si="34"/>
        <v>0.19474292478584601</v>
      </c>
      <c r="M73" s="435">
        <f t="shared" si="34"/>
        <v>0.1947404742950784</v>
      </c>
      <c r="N73" s="435">
        <f t="shared" si="34"/>
        <v>0.19473801886484093</v>
      </c>
      <c r="O73" s="435">
        <f t="shared" si="34"/>
        <v>0.19473555850754914</v>
      </c>
      <c r="P73" s="435">
        <f t="shared" si="34"/>
        <v>0.19473309323554552</v>
      </c>
      <c r="Q73" s="435">
        <f t="shared" si="34"/>
        <v>0.19473062306109912</v>
      </c>
      <c r="R73" s="435">
        <f t="shared" si="34"/>
        <v>0.19472814799640509</v>
      </c>
      <c r="S73" s="435">
        <f t="shared" si="34"/>
        <v>0.19472566805358424</v>
      </c>
      <c r="T73" s="435">
        <f t="shared" si="34"/>
        <v>0.19472318324468271</v>
      </c>
      <c r="U73" s="435">
        <f t="shared" si="34"/>
        <v>0.19472069358167146</v>
      </c>
      <c r="V73" s="435">
        <f t="shared" si="34"/>
        <v>0.19471819907644591</v>
      </c>
      <c r="W73" s="435">
        <f t="shared" si="34"/>
        <v>0.19471569974082564</v>
      </c>
      <c r="X73" s="435">
        <f t="shared" si="34"/>
        <v>0.19471319558655403</v>
      </c>
      <c r="Y73" s="435">
        <f t="shared" si="34"/>
        <v>0.19471068662529792</v>
      </c>
      <c r="Z73" s="435">
        <f t="shared" si="34"/>
        <v>0.19470817286864725</v>
      </c>
      <c r="AA73" s="435">
        <f t="shared" si="34"/>
        <v>0.19470565432811482</v>
      </c>
      <c r="AB73" s="435">
        <f t="shared" si="34"/>
        <v>0.19470313101513601</v>
      </c>
      <c r="AC73" s="435">
        <f t="shared" si="34"/>
        <v>0.19470060294106847</v>
      </c>
      <c r="AD73" s="435">
        <f t="shared" si="34"/>
        <v>0.19469807011719198</v>
      </c>
      <c r="AE73" s="435">
        <f t="shared" si="34"/>
        <v>0.19469553255470801</v>
      </c>
      <c r="AF73" s="435">
        <f t="shared" si="34"/>
        <v>0.19469299026473966</v>
      </c>
      <c r="AG73" s="435">
        <f t="shared" si="34"/>
        <v>0.19469044325833149</v>
      </c>
      <c r="AH73" s="435">
        <f t="shared" si="34"/>
        <v>0.19468789154644914</v>
      </c>
      <c r="AI73" s="435">
        <f t="shared" si="34"/>
        <v>0.19468533513997935</v>
      </c>
      <c r="AJ73" s="435">
        <f t="shared" si="34"/>
        <v>0.19468277404972958</v>
      </c>
      <c r="AK73" s="435">
        <f t="shared" si="34"/>
        <v>0.19468020828642818</v>
      </c>
      <c r="AL73" s="435">
        <f t="shared" si="34"/>
        <v>0.19467763786072381</v>
      </c>
    </row>
    <row r="74" spans="1:38">
      <c r="H74" s="1228"/>
    </row>
    <row r="75" spans="1:38" ht="13">
      <c r="A75" s="452"/>
      <c r="B75" s="495" t="s">
        <v>625</v>
      </c>
      <c r="C75" s="453"/>
      <c r="D75" s="454"/>
      <c r="E75" s="379"/>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row>
    <row r="76" spans="1:38" ht="13">
      <c r="C76" s="399"/>
      <c r="D76" s="440">
        <f>D$1</f>
        <v>2021</v>
      </c>
      <c r="E76" s="440">
        <f t="shared" ref="E76:AL76" si="35">E$1</f>
        <v>2022</v>
      </c>
      <c r="F76" s="440">
        <f t="shared" si="35"/>
        <v>2023</v>
      </c>
      <c r="G76" s="440">
        <f t="shared" si="35"/>
        <v>2024</v>
      </c>
      <c r="H76" s="440">
        <f t="shared" si="35"/>
        <v>2025</v>
      </c>
      <c r="I76" s="440">
        <f t="shared" si="35"/>
        <v>2026</v>
      </c>
      <c r="J76" s="440">
        <f t="shared" si="35"/>
        <v>2027</v>
      </c>
      <c r="K76" s="440">
        <f t="shared" si="35"/>
        <v>2028</v>
      </c>
      <c r="L76" s="440">
        <f t="shared" si="35"/>
        <v>2029</v>
      </c>
      <c r="M76" s="440">
        <f t="shared" si="35"/>
        <v>2030</v>
      </c>
      <c r="N76" s="440">
        <f t="shared" si="35"/>
        <v>2031</v>
      </c>
      <c r="O76" s="440">
        <f t="shared" si="35"/>
        <v>2032</v>
      </c>
      <c r="P76" s="440">
        <f t="shared" si="35"/>
        <v>2033</v>
      </c>
      <c r="Q76" s="440">
        <f t="shared" si="35"/>
        <v>2034</v>
      </c>
      <c r="R76" s="440">
        <f t="shared" si="35"/>
        <v>2035</v>
      </c>
      <c r="S76" s="440">
        <f t="shared" si="35"/>
        <v>2036</v>
      </c>
      <c r="T76" s="440">
        <f t="shared" si="35"/>
        <v>2037</v>
      </c>
      <c r="U76" s="440">
        <f t="shared" si="35"/>
        <v>2038</v>
      </c>
      <c r="V76" s="440">
        <f t="shared" si="35"/>
        <v>2039</v>
      </c>
      <c r="W76" s="440">
        <f t="shared" si="35"/>
        <v>2040</v>
      </c>
      <c r="X76" s="440">
        <f t="shared" si="35"/>
        <v>2041</v>
      </c>
      <c r="Y76" s="440">
        <f t="shared" si="35"/>
        <v>2042</v>
      </c>
      <c r="Z76" s="440">
        <f t="shared" si="35"/>
        <v>2043</v>
      </c>
      <c r="AA76" s="440">
        <f t="shared" si="35"/>
        <v>2044</v>
      </c>
      <c r="AB76" s="440">
        <f t="shared" si="35"/>
        <v>2045</v>
      </c>
      <c r="AC76" s="440">
        <f t="shared" si="35"/>
        <v>2046</v>
      </c>
      <c r="AD76" s="440">
        <f t="shared" si="35"/>
        <v>2047</v>
      </c>
      <c r="AE76" s="440">
        <f t="shared" si="35"/>
        <v>2048</v>
      </c>
      <c r="AF76" s="440">
        <f t="shared" si="35"/>
        <v>2049</v>
      </c>
      <c r="AG76" s="440">
        <f t="shared" si="35"/>
        <v>2050</v>
      </c>
      <c r="AH76" s="440">
        <f t="shared" si="35"/>
        <v>2051</v>
      </c>
      <c r="AI76" s="440">
        <f t="shared" si="35"/>
        <v>2052</v>
      </c>
      <c r="AJ76" s="440">
        <f t="shared" si="35"/>
        <v>2053</v>
      </c>
      <c r="AK76" s="440">
        <f t="shared" si="35"/>
        <v>2054</v>
      </c>
      <c r="AL76" s="440">
        <f t="shared" si="35"/>
        <v>2055</v>
      </c>
    </row>
    <row r="77" spans="1:38" ht="13">
      <c r="B77" s="400" t="s">
        <v>639</v>
      </c>
      <c r="C77" s="401" t="s">
        <v>640</v>
      </c>
      <c r="D77" s="441">
        <f>'West Center'!D6</f>
        <v>14456.119216728972</v>
      </c>
      <c r="E77" s="441">
        <f>'West Center'!E6</f>
        <v>14882.489254606689</v>
      </c>
      <c r="F77" s="441">
        <f>'West Center'!F6</f>
        <v>15321.434687476274</v>
      </c>
      <c r="G77" s="441">
        <f>'West Center'!G6</f>
        <v>15773.326415131689</v>
      </c>
      <c r="H77" s="441">
        <f>'West Center'!H6</f>
        <v>16238.546276717689</v>
      </c>
      <c r="I77" s="441">
        <f>'West Center'!I6</f>
        <v>16717.487373375981</v>
      </c>
      <c r="J77" s="441">
        <f>'West Center'!J6</f>
        <v>17210.55440040756</v>
      </c>
      <c r="K77" s="441">
        <f>'West Center'!K6</f>
        <v>17718.163989231824</v>
      </c>
      <c r="L77" s="441">
        <f>'West Center'!L6</f>
        <v>18240.745059431509</v>
      </c>
      <c r="M77" s="441">
        <f>'West Center'!M6</f>
        <v>18778.739181180834</v>
      </c>
      <c r="N77" s="441">
        <f>'West Center'!N6</f>
        <v>19332.600948363161</v>
      </c>
      <c r="O77" s="441">
        <f>'West Center'!O6</f>
        <v>19902.798362693393</v>
      </c>
      <c r="P77" s="441">
        <f>'West Center'!P6</f>
        <v>20489.813229169733</v>
      </c>
      <c r="Q77" s="441">
        <f>'West Center'!Q6</f>
        <v>21094.141563188918</v>
      </c>
      <c r="R77" s="441">
        <f>'West Center'!R6</f>
        <v>21716.294009668942</v>
      </c>
      <c r="S77" s="441">
        <f>'West Center'!S6</f>
        <v>22356.796274533452</v>
      </c>
      <c r="T77" s="441">
        <f>'West Center'!T6</f>
        <v>23016.189568922335</v>
      </c>
      <c r="U77" s="441">
        <f>'West Center'!U6</f>
        <v>23695.031066503911</v>
      </c>
      <c r="V77" s="441">
        <f>'West Center'!V6</f>
        <v>24393.894374275184</v>
      </c>
      <c r="W77" s="441">
        <f>'West Center'!W6</f>
        <v>25113.370017247795</v>
      </c>
      <c r="X77" s="441">
        <f>'West Center'!X6</f>
        <v>25854.065937429481</v>
      </c>
      <c r="Y77" s="441">
        <f>'West Center'!Y6</f>
        <v>26616.608007522424</v>
      </c>
      <c r="Z77" s="441">
        <f>'West Center'!Z6</f>
        <v>27401.64055977275</v>
      </c>
      <c r="AA77" s="441">
        <f>'West Center'!AA6</f>
        <v>28209.826930417916</v>
      </c>
      <c r="AB77" s="441">
        <f>'West Center'!AB6</f>
        <v>29041.850020192058</v>
      </c>
      <c r="AC77" s="441">
        <f>'West Center'!AC6</f>
        <v>29898.412871362994</v>
      </c>
      <c r="AD77" s="441">
        <f>'West Center'!AD6</f>
        <v>30780.239261788352</v>
      </c>
      <c r="AE77" s="441">
        <f>'West Center'!AE6</f>
        <v>31688.074316492861</v>
      </c>
      <c r="AF77" s="441">
        <f>'West Center'!AF6</f>
        <v>32622.685137283544</v>
      </c>
      <c r="AG77" s="441">
        <f>'West Center'!AG6</f>
        <v>33584.861450934884</v>
      </c>
      <c r="AH77" s="441">
        <f>'West Center'!AH6</f>
        <v>34575.416276491531</v>
      </c>
      <c r="AI77" s="441">
        <f>'West Center'!AI6</f>
        <v>35595.186612252597</v>
      </c>
      <c r="AJ77" s="441">
        <f>'West Center'!AJ6</f>
        <v>36645.034143017823</v>
      </c>
      <c r="AK77" s="441">
        <f>'West Center'!AK6</f>
        <v>37725.845968193411</v>
      </c>
      <c r="AL77" s="441">
        <f>'West Center'!AL6</f>
        <v>38838.535351372644</v>
      </c>
    </row>
    <row r="78" spans="1:38" ht="13">
      <c r="B78" s="400" t="s">
        <v>641</v>
      </c>
      <c r="C78" s="401" t="s">
        <v>642</v>
      </c>
      <c r="D78" s="442">
        <f>'West Center'!D37</f>
        <v>8.0848515288584082</v>
      </c>
      <c r="E78" s="442">
        <f>'West Center'!E37</f>
        <v>8.1706030304605175</v>
      </c>
      <c r="F78" s="442">
        <f>'West Center'!F37</f>
        <v>8.2572640503142321</v>
      </c>
      <c r="G78" s="442">
        <f>'West Center'!G37</f>
        <v>8.3448442351713243</v>
      </c>
      <c r="H78" s="442">
        <f>'West Center'!H37</f>
        <v>6.3250150005759522</v>
      </c>
      <c r="I78" s="442">
        <f>'West Center'!I37</f>
        <v>6.3921008996823563</v>
      </c>
      <c r="J78" s="442">
        <f>'West Center'!J37</f>
        <v>6.4598983414267632</v>
      </c>
      <c r="K78" s="442">
        <f>'West Center'!K37</f>
        <v>6.5284148727442579</v>
      </c>
      <c r="L78" s="442">
        <f>'West Center'!L37</f>
        <v>6.5976581206160478</v>
      </c>
      <c r="M78" s="442">
        <f>'West Center'!M37</f>
        <v>6.6676357929184693</v>
      </c>
      <c r="N78" s="442">
        <f>'West Center'!N37</f>
        <v>6.7383556792809909</v>
      </c>
      <c r="O78" s="442">
        <f>'West Center'!O37</f>
        <v>6.8098256519533322</v>
      </c>
      <c r="P78" s="442">
        <f>'West Center'!P37</f>
        <v>6.8820536666817631</v>
      </c>
      <c r="Q78" s="442">
        <f>'West Center'!Q37</f>
        <v>6.9550477635947088</v>
      </c>
      <c r="R78" s="442">
        <f>'West Center'!R37</f>
        <v>7.0288160680977398</v>
      </c>
      <c r="S78" s="442">
        <f>'West Center'!S37</f>
        <v>7.1033667917780718</v>
      </c>
      <c r="T78" s="442">
        <f>'West Center'!T37</f>
        <v>7.1787082333186234</v>
      </c>
      <c r="U78" s="442">
        <f>'West Center'!U37</f>
        <v>7.2548487794218142</v>
      </c>
      <c r="V78" s="442">
        <f>'West Center'!V37</f>
        <v>7.3317969057431265</v>
      </c>
      <c r="W78" s="442">
        <f>'West Center'!W37</f>
        <v>7.4095611778345836</v>
      </c>
      <c r="X78" s="442">
        <f>'West Center'!X37</f>
        <v>7.4881502520982295</v>
      </c>
      <c r="Y78" s="442">
        <f>'West Center'!Y37</f>
        <v>7.5675728767497308</v>
      </c>
      <c r="Z78" s="442">
        <f>'West Center'!Z37</f>
        <v>7.6478378927921851</v>
      </c>
      <c r="AA78" s="442">
        <f>'West Center'!AA37</f>
        <v>7.7289542350002716</v>
      </c>
      <c r="AB78" s="442">
        <f>'West Center'!AB37</f>
        <v>7.8109309329148253</v>
      </c>
      <c r="AC78" s="442">
        <f>'West Center'!AC37</f>
        <v>7.8937771118479834</v>
      </c>
      <c r="AD78" s="442">
        <f>'West Center'!AD37</f>
        <v>7.9775019938989598</v>
      </c>
      <c r="AE78" s="442">
        <f>'West Center'!AE37</f>
        <v>8.0621148989806244</v>
      </c>
      <c r="AF78" s="442">
        <f>'West Center'!AF37</f>
        <v>8.1476252458569576</v>
      </c>
      <c r="AG78" s="442">
        <f>'West Center'!AG37</f>
        <v>8.2340425531914985</v>
      </c>
      <c r="AH78" s="442">
        <f>'West Center'!AH37</f>
        <v>8.3213764406069348</v>
      </c>
      <c r="AI78" s="442">
        <f>'West Center'!AI37</f>
        <v>8.4096366297559157</v>
      </c>
      <c r="AJ78" s="442">
        <f>'West Center'!AJ37</f>
        <v>8.4988329454032225</v>
      </c>
      <c r="AK78" s="442">
        <f>'West Center'!AK37</f>
        <v>8.5889753165194307</v>
      </c>
      <c r="AL78" s="442">
        <f>'West Center'!AL37</f>
        <v>8.6800737773861574</v>
      </c>
    </row>
    <row r="79" spans="1:38" ht="13">
      <c r="B79" s="400" t="s">
        <v>643</v>
      </c>
      <c r="C79" s="401" t="s">
        <v>644</v>
      </c>
      <c r="D79" s="442">
        <f>'West Center'!D37</f>
        <v>8.0848515288584082</v>
      </c>
      <c r="E79" s="442">
        <f>'West Center'!E37</f>
        <v>8.1706030304605175</v>
      </c>
      <c r="F79" s="442">
        <f>'West Center'!F37</f>
        <v>8.2572640503142321</v>
      </c>
      <c r="G79" s="442">
        <f>'West Center'!G37</f>
        <v>8.3448442351713243</v>
      </c>
      <c r="H79" s="442">
        <f>'West Center'!H37</f>
        <v>6.3250150005759522</v>
      </c>
      <c r="I79" s="442">
        <f>'West Center'!I37</f>
        <v>6.3921008996823563</v>
      </c>
      <c r="J79" s="442">
        <f>'West Center'!J37</f>
        <v>6.4598983414267632</v>
      </c>
      <c r="K79" s="442">
        <f>'West Center'!K37</f>
        <v>6.5284148727442579</v>
      </c>
      <c r="L79" s="442">
        <f>'West Center'!L37</f>
        <v>6.5976581206160478</v>
      </c>
      <c r="M79" s="442">
        <f>'West Center'!M37</f>
        <v>6.6676357929184693</v>
      </c>
      <c r="N79" s="442">
        <f>'West Center'!N37</f>
        <v>6.7383556792809909</v>
      </c>
      <c r="O79" s="442">
        <f>'West Center'!O37</f>
        <v>6.8098256519533322</v>
      </c>
      <c r="P79" s="442">
        <f>'West Center'!P37</f>
        <v>6.8820536666817631</v>
      </c>
      <c r="Q79" s="442">
        <f>'West Center'!Q37</f>
        <v>6.9550477635947088</v>
      </c>
      <c r="R79" s="442">
        <f>'West Center'!R37</f>
        <v>7.0288160680977398</v>
      </c>
      <c r="S79" s="442">
        <f>'West Center'!S37</f>
        <v>7.1033667917780718</v>
      </c>
      <c r="T79" s="442">
        <f>'West Center'!T37</f>
        <v>7.1787082333186234</v>
      </c>
      <c r="U79" s="442">
        <f>'West Center'!U37</f>
        <v>7.2548487794218142</v>
      </c>
      <c r="V79" s="442">
        <f>'West Center'!V37</f>
        <v>7.3317969057431265</v>
      </c>
      <c r="W79" s="442">
        <f>'West Center'!W37</f>
        <v>7.4095611778345836</v>
      </c>
      <c r="X79" s="442">
        <f>'West Center'!X37</f>
        <v>7.4881502520982295</v>
      </c>
      <c r="Y79" s="442">
        <f>'West Center'!Y37</f>
        <v>7.5675728767497308</v>
      </c>
      <c r="Z79" s="442">
        <f>'West Center'!Z37</f>
        <v>7.6478378927921851</v>
      </c>
      <c r="AA79" s="442">
        <f>'West Center'!AA37</f>
        <v>7.7289542350002716</v>
      </c>
      <c r="AB79" s="442">
        <f>'West Center'!AB37</f>
        <v>7.8109309329148253</v>
      </c>
      <c r="AC79" s="442">
        <f>'West Center'!AC37</f>
        <v>7.8937771118479834</v>
      </c>
      <c r="AD79" s="442">
        <f>'West Center'!AD37</f>
        <v>7.9775019938989598</v>
      </c>
      <c r="AE79" s="442">
        <f>'West Center'!AE37</f>
        <v>8.0621148989806244</v>
      </c>
      <c r="AF79" s="442">
        <f>'West Center'!AF37</f>
        <v>8.1476252458569576</v>
      </c>
      <c r="AG79" s="442">
        <f>'West Center'!AG37</f>
        <v>8.2340425531914985</v>
      </c>
      <c r="AH79" s="442">
        <f>'West Center'!AH37</f>
        <v>8.3213764406069348</v>
      </c>
      <c r="AI79" s="442">
        <f>'West Center'!AI37</f>
        <v>8.4096366297559157</v>
      </c>
      <c r="AJ79" s="442">
        <f>'West Center'!AJ37</f>
        <v>8.4988329454032225</v>
      </c>
      <c r="AK79" s="442">
        <f>'West Center'!AK37</f>
        <v>8.5889753165194307</v>
      </c>
      <c r="AL79" s="442">
        <f>'West Center'!AL37</f>
        <v>8.6800737773861574</v>
      </c>
    </row>
    <row r="80" spans="1:38" ht="13">
      <c r="B80" s="400" t="s">
        <v>645</v>
      </c>
      <c r="C80" s="401" t="s">
        <v>646</v>
      </c>
      <c r="D80" s="442">
        <f>'West Center'!D38</f>
        <v>4.0424257644292041</v>
      </c>
      <c r="E80" s="442">
        <f>'West Center'!E38</f>
        <v>4.0853015152302588</v>
      </c>
      <c r="F80" s="442">
        <f>'West Center'!F38</f>
        <v>4.128632025157116</v>
      </c>
      <c r="G80" s="442">
        <f>'West Center'!G38</f>
        <v>4.1724221175856622</v>
      </c>
      <c r="H80" s="442">
        <f>'West Center'!H38</f>
        <v>3.1625075002879761</v>
      </c>
      <c r="I80" s="442">
        <f>'West Center'!I38</f>
        <v>3.1960504498411781</v>
      </c>
      <c r="J80" s="442">
        <f>'West Center'!J38</f>
        <v>3.2299491707133816</v>
      </c>
      <c r="K80" s="442">
        <f>'West Center'!K38</f>
        <v>3.264207436372129</v>
      </c>
      <c r="L80" s="442">
        <f>'West Center'!L38</f>
        <v>3.2988290603080239</v>
      </c>
      <c r="M80" s="442">
        <f>'West Center'!M38</f>
        <v>3.3338178964592347</v>
      </c>
      <c r="N80" s="442">
        <f>'West Center'!N38</f>
        <v>3.3691778396404954</v>
      </c>
      <c r="O80" s="442">
        <f>'West Center'!O38</f>
        <v>3.4049128259766661</v>
      </c>
      <c r="P80" s="442">
        <f>'West Center'!P38</f>
        <v>3.4410268333408816</v>
      </c>
      <c r="Q80" s="442">
        <f>'West Center'!Q38</f>
        <v>3.4775238817973544</v>
      </c>
      <c r="R80" s="442">
        <f>'West Center'!R38</f>
        <v>3.5144080340488699</v>
      </c>
      <c r="S80" s="442">
        <f>'West Center'!S38</f>
        <v>3.5516833958890359</v>
      </c>
      <c r="T80" s="442">
        <f>'West Center'!T38</f>
        <v>3.5893541166593117</v>
      </c>
      <c r="U80" s="442">
        <f>'West Center'!U38</f>
        <v>3.6274243897109071</v>
      </c>
      <c r="V80" s="442">
        <f>'West Center'!V38</f>
        <v>3.6658984528715632</v>
      </c>
      <c r="W80" s="442">
        <f>'West Center'!W38</f>
        <v>3.7047805889172918</v>
      </c>
      <c r="X80" s="442">
        <f>'West Center'!X38</f>
        <v>3.7440751260491147</v>
      </c>
      <c r="Y80" s="442">
        <f>'West Center'!Y38</f>
        <v>3.7837864383748654</v>
      </c>
      <c r="Z80" s="442">
        <f>'West Center'!Z38</f>
        <v>3.8239189463960925</v>
      </c>
      <c r="AA80" s="442">
        <f>'West Center'!AA38</f>
        <v>3.8644771175001358</v>
      </c>
      <c r="AB80" s="442">
        <f>'West Center'!AB38</f>
        <v>3.9054654664574127</v>
      </c>
      <c r="AC80" s="442">
        <f>'West Center'!AC38</f>
        <v>3.9468885559239917</v>
      </c>
      <c r="AD80" s="442">
        <f>'West Center'!AD38</f>
        <v>3.9887509969494799</v>
      </c>
      <c r="AE80" s="442">
        <f>'West Center'!AE38</f>
        <v>4.0310574494903122</v>
      </c>
      <c r="AF80" s="442">
        <f>'West Center'!AF38</f>
        <v>4.0738126229284788</v>
      </c>
      <c r="AG80" s="442">
        <f>'West Center'!AG38</f>
        <v>4.1170212765957492</v>
      </c>
      <c r="AH80" s="442">
        <f>'West Center'!AH38</f>
        <v>4.1606882203034674</v>
      </c>
      <c r="AI80" s="442">
        <f>'West Center'!AI38</f>
        <v>4.2048183148779579</v>
      </c>
      <c r="AJ80" s="442">
        <f>'West Center'!AJ38</f>
        <v>4.2494164727016113</v>
      </c>
      <c r="AK80" s="442">
        <f>'West Center'!AK38</f>
        <v>4.2944876582597153</v>
      </c>
      <c r="AL80" s="442">
        <f>'West Center'!AL38</f>
        <v>4.3400368886930787</v>
      </c>
    </row>
    <row r="81" spans="2:38" ht="13">
      <c r="B81" s="400" t="s">
        <v>1048</v>
      </c>
      <c r="C81" s="401" t="s">
        <v>647</v>
      </c>
      <c r="D81" s="442">
        <v>0</v>
      </c>
      <c r="E81" s="442">
        <v>1</v>
      </c>
      <c r="F81" s="442">
        <v>2</v>
      </c>
      <c r="G81" s="442">
        <v>3</v>
      </c>
      <c r="H81" s="442">
        <v>4</v>
      </c>
      <c r="I81" s="442">
        <v>5</v>
      </c>
      <c r="J81" s="442">
        <v>6</v>
      </c>
      <c r="K81" s="442">
        <v>7</v>
      </c>
      <c r="L81" s="442">
        <v>8</v>
      </c>
      <c r="M81" s="442">
        <v>9</v>
      </c>
      <c r="N81" s="442">
        <v>10</v>
      </c>
      <c r="O81" s="442">
        <v>11</v>
      </c>
      <c r="P81" s="442">
        <v>12</v>
      </c>
      <c r="Q81" s="442">
        <v>13</v>
      </c>
      <c r="R81" s="442">
        <v>14</v>
      </c>
      <c r="S81" s="442">
        <v>15</v>
      </c>
      <c r="T81" s="442">
        <v>16</v>
      </c>
      <c r="U81" s="442">
        <v>17</v>
      </c>
      <c r="V81" s="442">
        <v>18</v>
      </c>
      <c r="W81" s="442">
        <v>19</v>
      </c>
      <c r="X81" s="442">
        <v>20</v>
      </c>
      <c r="Y81" s="442">
        <v>21</v>
      </c>
      <c r="Z81" s="442">
        <v>22</v>
      </c>
      <c r="AA81" s="442">
        <v>23</v>
      </c>
      <c r="AB81" s="442">
        <v>24</v>
      </c>
      <c r="AC81" s="442">
        <v>25</v>
      </c>
      <c r="AD81" s="442">
        <v>26</v>
      </c>
      <c r="AE81" s="442">
        <v>27</v>
      </c>
      <c r="AF81" s="442">
        <v>28</v>
      </c>
      <c r="AG81" s="442">
        <v>29</v>
      </c>
      <c r="AH81" s="442">
        <v>30</v>
      </c>
      <c r="AI81" s="442">
        <v>31</v>
      </c>
      <c r="AJ81" s="442">
        <v>32</v>
      </c>
      <c r="AK81" s="442">
        <v>33</v>
      </c>
      <c r="AL81" s="442">
        <v>33</v>
      </c>
    </row>
    <row r="82" spans="2:38" ht="13">
      <c r="B82" s="400" t="s">
        <v>648</v>
      </c>
      <c r="C82" s="401" t="s">
        <v>649</v>
      </c>
      <c r="D82" s="441">
        <f>'Crossing Inputs'!$H34</f>
        <v>7.5</v>
      </c>
      <c r="E82" s="441">
        <f>'Crossing Inputs'!$H34</f>
        <v>7.5</v>
      </c>
      <c r="F82" s="441">
        <f>'Crossing Inputs'!$H34</f>
        <v>7.5</v>
      </c>
      <c r="G82" s="441">
        <f>'Crossing Inputs'!$H34</f>
        <v>7.5</v>
      </c>
      <c r="H82" s="441">
        <f>'Crossing Inputs'!$H34</f>
        <v>7.5</v>
      </c>
      <c r="I82" s="441">
        <f>'Crossing Inputs'!$H34</f>
        <v>7.5</v>
      </c>
      <c r="J82" s="441">
        <f>'Crossing Inputs'!$H34</f>
        <v>7.5</v>
      </c>
      <c r="K82" s="441">
        <f>'Crossing Inputs'!$H34</f>
        <v>7.5</v>
      </c>
      <c r="L82" s="441">
        <f>'Crossing Inputs'!$H34</f>
        <v>7.5</v>
      </c>
      <c r="M82" s="441">
        <f>'Crossing Inputs'!$H34</f>
        <v>7.5</v>
      </c>
      <c r="N82" s="441">
        <f>'Crossing Inputs'!$H34</f>
        <v>7.5</v>
      </c>
      <c r="O82" s="441">
        <f>'Crossing Inputs'!$H34</f>
        <v>7.5</v>
      </c>
      <c r="P82" s="441">
        <f>'Crossing Inputs'!$H34</f>
        <v>7.5</v>
      </c>
      <c r="Q82" s="441">
        <f>'Crossing Inputs'!$H34</f>
        <v>7.5</v>
      </c>
      <c r="R82" s="441">
        <f>'Crossing Inputs'!$H34</f>
        <v>7.5</v>
      </c>
      <c r="S82" s="441">
        <f>'Crossing Inputs'!$H34</f>
        <v>7.5</v>
      </c>
      <c r="T82" s="441">
        <f>'Crossing Inputs'!$H34</f>
        <v>7.5</v>
      </c>
      <c r="U82" s="441">
        <f>'Crossing Inputs'!$H34</f>
        <v>7.5</v>
      </c>
      <c r="V82" s="441">
        <f>'Crossing Inputs'!$H34</f>
        <v>7.5</v>
      </c>
      <c r="W82" s="441">
        <f>'Crossing Inputs'!$H34</f>
        <v>7.5</v>
      </c>
      <c r="X82" s="441">
        <f>'Crossing Inputs'!$H34</f>
        <v>7.5</v>
      </c>
      <c r="Y82" s="441">
        <f>'Crossing Inputs'!$H34</f>
        <v>7.5</v>
      </c>
      <c r="Z82" s="441">
        <f>'Crossing Inputs'!$H34</f>
        <v>7.5</v>
      </c>
      <c r="AA82" s="441">
        <f>'Crossing Inputs'!$H34</f>
        <v>7.5</v>
      </c>
      <c r="AB82" s="441">
        <f>'Crossing Inputs'!$H34</f>
        <v>7.5</v>
      </c>
      <c r="AC82" s="441">
        <f>'Crossing Inputs'!$H34</f>
        <v>7.5</v>
      </c>
      <c r="AD82" s="441">
        <f>'Crossing Inputs'!$H34</f>
        <v>7.5</v>
      </c>
      <c r="AE82" s="441">
        <f>'Crossing Inputs'!$H34</f>
        <v>7.5</v>
      </c>
      <c r="AF82" s="441">
        <f>'Crossing Inputs'!$H34</f>
        <v>7.5</v>
      </c>
      <c r="AG82" s="441">
        <f>'Crossing Inputs'!$H34</f>
        <v>7.5</v>
      </c>
      <c r="AH82" s="441">
        <f>'Crossing Inputs'!$H34</f>
        <v>7.5</v>
      </c>
      <c r="AI82" s="441">
        <f>'Crossing Inputs'!$H34</f>
        <v>7.5</v>
      </c>
      <c r="AJ82" s="441">
        <f>'Crossing Inputs'!$H34</f>
        <v>7.5</v>
      </c>
      <c r="AK82" s="441">
        <f>'Crossing Inputs'!$H34</f>
        <v>7.5</v>
      </c>
      <c r="AL82" s="441">
        <f>'Crossing Inputs'!$H34</f>
        <v>7.5</v>
      </c>
    </row>
    <row r="83" spans="2:38" ht="13">
      <c r="B83" s="400"/>
      <c r="C83" s="403"/>
      <c r="D83" s="402"/>
      <c r="E83" s="402"/>
      <c r="F83" s="402"/>
      <c r="G83" s="402"/>
      <c r="H83" s="123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row>
    <row r="84" spans="2:38" ht="13">
      <c r="B84" s="400"/>
      <c r="C84" s="404"/>
      <c r="D84" s="440">
        <f>D$1</f>
        <v>2021</v>
      </c>
      <c r="E84" s="440">
        <f t="shared" ref="E84:AL84" si="36">E$1</f>
        <v>2022</v>
      </c>
      <c r="F84" s="440">
        <f t="shared" si="36"/>
        <v>2023</v>
      </c>
      <c r="G84" s="440">
        <f t="shared" si="36"/>
        <v>2024</v>
      </c>
      <c r="H84" s="440">
        <f t="shared" si="36"/>
        <v>2025</v>
      </c>
      <c r="I84" s="440">
        <f t="shared" si="36"/>
        <v>2026</v>
      </c>
      <c r="J84" s="440">
        <f t="shared" si="36"/>
        <v>2027</v>
      </c>
      <c r="K84" s="440">
        <f t="shared" si="36"/>
        <v>2028</v>
      </c>
      <c r="L84" s="440">
        <f t="shared" si="36"/>
        <v>2029</v>
      </c>
      <c r="M84" s="440">
        <f t="shared" si="36"/>
        <v>2030</v>
      </c>
      <c r="N84" s="440">
        <f t="shared" si="36"/>
        <v>2031</v>
      </c>
      <c r="O84" s="440">
        <f t="shared" si="36"/>
        <v>2032</v>
      </c>
      <c r="P84" s="440">
        <f t="shared" si="36"/>
        <v>2033</v>
      </c>
      <c r="Q84" s="440">
        <f t="shared" si="36"/>
        <v>2034</v>
      </c>
      <c r="R84" s="440">
        <f t="shared" si="36"/>
        <v>2035</v>
      </c>
      <c r="S84" s="440">
        <f t="shared" si="36"/>
        <v>2036</v>
      </c>
      <c r="T84" s="440">
        <f t="shared" si="36"/>
        <v>2037</v>
      </c>
      <c r="U84" s="440">
        <f t="shared" si="36"/>
        <v>2038</v>
      </c>
      <c r="V84" s="440">
        <f t="shared" si="36"/>
        <v>2039</v>
      </c>
      <c r="W84" s="440">
        <f t="shared" si="36"/>
        <v>2040</v>
      </c>
      <c r="X84" s="440">
        <f t="shared" si="36"/>
        <v>2041</v>
      </c>
      <c r="Y84" s="440">
        <f t="shared" si="36"/>
        <v>2042</v>
      </c>
      <c r="Z84" s="440">
        <f t="shared" si="36"/>
        <v>2043</v>
      </c>
      <c r="AA84" s="440">
        <f t="shared" si="36"/>
        <v>2044</v>
      </c>
      <c r="AB84" s="440">
        <f t="shared" si="36"/>
        <v>2045</v>
      </c>
      <c r="AC84" s="440">
        <f t="shared" si="36"/>
        <v>2046</v>
      </c>
      <c r="AD84" s="440">
        <f t="shared" si="36"/>
        <v>2047</v>
      </c>
      <c r="AE84" s="440">
        <f t="shared" si="36"/>
        <v>2048</v>
      </c>
      <c r="AF84" s="440">
        <f t="shared" si="36"/>
        <v>2049</v>
      </c>
      <c r="AG84" s="440">
        <f t="shared" si="36"/>
        <v>2050</v>
      </c>
      <c r="AH84" s="440">
        <f t="shared" si="36"/>
        <v>2051</v>
      </c>
      <c r="AI84" s="440">
        <f t="shared" si="36"/>
        <v>2052</v>
      </c>
      <c r="AJ84" s="440">
        <f t="shared" si="36"/>
        <v>2053</v>
      </c>
      <c r="AK84" s="440">
        <f t="shared" si="36"/>
        <v>2054</v>
      </c>
      <c r="AL84" s="440">
        <f t="shared" si="36"/>
        <v>2055</v>
      </c>
    </row>
    <row r="85" spans="2:38" ht="13">
      <c r="B85" s="400" t="s">
        <v>354</v>
      </c>
      <c r="C85" s="404"/>
      <c r="D85" s="405">
        <f t="shared" ref="D85:AL85" si="37">D$118</f>
        <v>0.30304430935698168</v>
      </c>
      <c r="E85" s="405">
        <f t="shared" si="37"/>
        <v>0.30675545011441341</v>
      </c>
      <c r="F85" s="405">
        <f t="shared" si="37"/>
        <v>0.31051211075581803</v>
      </c>
      <c r="G85" s="405">
        <f t="shared" si="37"/>
        <v>0.31431484979669427</v>
      </c>
      <c r="H85" s="1240">
        <f t="shared" si="37"/>
        <v>0.28852980937191053</v>
      </c>
      <c r="I85" s="405">
        <f t="shared" si="37"/>
        <v>0.29206142361632403</v>
      </c>
      <c r="J85" s="405">
        <f t="shared" si="37"/>
        <v>0.29563635091526042</v>
      </c>
      <c r="K85" s="405">
        <f t="shared" si="37"/>
        <v>0.29925512271227078</v>
      </c>
      <c r="L85" s="405">
        <f t="shared" si="37"/>
        <v>0.30291827697149598</v>
      </c>
      <c r="M85" s="405">
        <f t="shared" si="37"/>
        <v>0.30662635825766854</v>
      </c>
      <c r="N85" s="405">
        <f t="shared" si="37"/>
        <v>0.31037991781709717</v>
      </c>
      <c r="O85" s="405">
        <f t="shared" si="37"/>
        <v>0.31417951365964547</v>
      </c>
      <c r="P85" s="405">
        <f t="shared" si="37"/>
        <v>0.31802571064171464</v>
      </c>
      <c r="Q85" s="405">
        <f t="shared" si="37"/>
        <v>0.32191908055024748</v>
      </c>
      <c r="R85" s="405">
        <f t="shared" si="37"/>
        <v>0.32586020218775974</v>
      </c>
      <c r="S85" s="405">
        <f t="shared" si="37"/>
        <v>0.32984966145841821</v>
      </c>
      <c r="T85" s="405">
        <f t="shared" si="37"/>
        <v>0.33388805145517214</v>
      </c>
      <c r="U85" s="405">
        <f t="shared" si="37"/>
        <v>0.33797597254795703</v>
      </c>
      <c r="V85" s="405">
        <f t="shared" si="37"/>
        <v>0.34211403247297678</v>
      </c>
      <c r="W85" s="405">
        <f t="shared" si="37"/>
        <v>0.34630284642308518</v>
      </c>
      <c r="X85" s="405">
        <f t="shared" si="37"/>
        <v>0.3505430371392747</v>
      </c>
      <c r="Y85" s="405">
        <f t="shared" si="37"/>
        <v>0.35483523500328701</v>
      </c>
      <c r="Z85" s="405">
        <f t="shared" si="37"/>
        <v>0.35918007813136243</v>
      </c>
      <c r="AA85" s="405">
        <f t="shared" si="37"/>
        <v>0.36357821246913724</v>
      </c>
      <c r="AB85" s="405">
        <f t="shared" si="37"/>
        <v>0.36803029188770575</v>
      </c>
      <c r="AC85" s="405">
        <f t="shared" si="37"/>
        <v>0.37253697828086485</v>
      </c>
      <c r="AD85" s="405">
        <f t="shared" si="37"/>
        <v>0.37709894166354518</v>
      </c>
      <c r="AE85" s="405">
        <f t="shared" si="37"/>
        <v>0.38171686027145568</v>
      </c>
      <c r="AF85" s="405">
        <f t="shared" si="37"/>
        <v>0.38639142066194848</v>
      </c>
      <c r="AG85" s="405">
        <f t="shared" si="37"/>
        <v>0.39112331781612197</v>
      </c>
      <c r="AH85" s="405">
        <f t="shared" si="37"/>
        <v>0.39591325524217674</v>
      </c>
      <c r="AI85" s="405">
        <f t="shared" si="37"/>
        <v>0.40076194508003754</v>
      </c>
      <c r="AJ85" s="405">
        <f t="shared" si="37"/>
        <v>0.40567010820726496</v>
      </c>
      <c r="AK85" s="405">
        <f t="shared" si="37"/>
        <v>0.41063847434625922</v>
      </c>
      <c r="AL85" s="405">
        <f t="shared" si="37"/>
        <v>0.41566778217278488</v>
      </c>
    </row>
    <row r="86" spans="2:38" ht="13">
      <c r="B86" s="400" t="s">
        <v>650</v>
      </c>
      <c r="C86" s="404"/>
      <c r="D86" s="405">
        <f t="shared" ref="D86:AL86" si="38">D$85*D$126</f>
        <v>3.8931567334583245E-3</v>
      </c>
      <c r="E86" s="405">
        <f t="shared" si="38"/>
        <v>3.9445809558329402E-3</v>
      </c>
      <c r="F86" s="405">
        <f t="shared" si="38"/>
        <v>3.9966896940259091E-3</v>
      </c>
      <c r="G86" s="405">
        <f t="shared" si="38"/>
        <v>4.0494920829314274E-3</v>
      </c>
      <c r="H86" s="1240">
        <f t="shared" si="38"/>
        <v>3.7208363807141086E-3</v>
      </c>
      <c r="I86" s="405">
        <f t="shared" si="38"/>
        <v>3.7699776000707321E-3</v>
      </c>
      <c r="J86" s="405">
        <f t="shared" si="38"/>
        <v>3.8197729378150725E-3</v>
      </c>
      <c r="K86" s="405">
        <f t="shared" si="38"/>
        <v>3.8702311230947506E-3</v>
      </c>
      <c r="L86" s="405">
        <f t="shared" si="38"/>
        <v>3.9213610015562256E-3</v>
      </c>
      <c r="M86" s="405">
        <f t="shared" si="38"/>
        <v>3.9731715368993654E-3</v>
      </c>
      <c r="N86" s="405">
        <f t="shared" si="38"/>
        <v>4.0256718124527871E-3</v>
      </c>
      <c r="O86" s="405">
        <f t="shared" si="38"/>
        <v>4.0788710327702262E-3</v>
      </c>
      <c r="P86" s="405">
        <f t="shared" si="38"/>
        <v>4.132778525248188E-3</v>
      </c>
      <c r="Q86" s="405">
        <f t="shared" si="38"/>
        <v>4.1874037417652275E-3</v>
      </c>
      <c r="R86" s="405">
        <f t="shared" si="38"/>
        <v>4.2427562603430547E-3</v>
      </c>
      <c r="S86" s="405">
        <f t="shared" si="38"/>
        <v>4.2988457868298677E-3</v>
      </c>
      <c r="T86" s="405">
        <f t="shared" si="38"/>
        <v>4.3556821566060958E-3</v>
      </c>
      <c r="U86" s="405">
        <f t="shared" si="38"/>
        <v>4.4132753363129692E-3</v>
      </c>
      <c r="V86" s="405">
        <f t="shared" si="38"/>
        <v>4.4716354256040917E-3</v>
      </c>
      <c r="W86" s="405">
        <f t="shared" si="38"/>
        <v>4.5307726589204345E-3</v>
      </c>
      <c r="X86" s="405">
        <f t="shared" si="38"/>
        <v>4.5906974072890206E-3</v>
      </c>
      <c r="Y86" s="405">
        <f t="shared" si="38"/>
        <v>4.6514201801455771E-3</v>
      </c>
      <c r="Z86" s="405">
        <f t="shared" si="38"/>
        <v>4.7129516271815497E-3</v>
      </c>
      <c r="AA86" s="405">
        <f t="shared" si="38"/>
        <v>4.7753025402157518E-3</v>
      </c>
      <c r="AB86" s="405">
        <f t="shared" si="38"/>
        <v>4.8384838550909765E-3</v>
      </c>
      <c r="AC86" s="405">
        <f t="shared" si="38"/>
        <v>4.9025066535959717E-3</v>
      </c>
      <c r="AD86" s="405">
        <f t="shared" si="38"/>
        <v>4.9673821654129926E-3</v>
      </c>
      <c r="AE86" s="405">
        <f t="shared" si="38"/>
        <v>5.0331217700913958E-3</v>
      </c>
      <c r="AF86" s="405">
        <f t="shared" si="38"/>
        <v>5.0997369990475605E-3</v>
      </c>
      <c r="AG86" s="405">
        <f t="shared" si="38"/>
        <v>5.1672395375915005E-3</v>
      </c>
      <c r="AH86" s="405">
        <f t="shared" si="38"/>
        <v>5.2356412269805109E-3</v>
      </c>
      <c r="AI86" s="405">
        <f t="shared" si="38"/>
        <v>5.3049540665002131E-3</v>
      </c>
      <c r="AJ86" s="405">
        <f t="shared" si="38"/>
        <v>5.3751902155734282E-3</v>
      </c>
      <c r="AK86" s="405">
        <f t="shared" si="38"/>
        <v>5.4463619958971116E-3</v>
      </c>
      <c r="AL86" s="405">
        <f t="shared" si="38"/>
        <v>5.5184818936078713E-3</v>
      </c>
    </row>
    <row r="87" spans="2:38" ht="13">
      <c r="B87" s="400" t="s">
        <v>651</v>
      </c>
      <c r="C87" s="404"/>
      <c r="D87" s="405">
        <f t="shared" ref="D87:AL87" si="39">D$85*D$135</f>
        <v>5.9021621655857073E-2</v>
      </c>
      <c r="E87" s="405">
        <f t="shared" si="39"/>
        <v>5.9743672708662682E-2</v>
      </c>
      <c r="F87" s="405">
        <f t="shared" si="39"/>
        <v>6.0474569644603987E-2</v>
      </c>
      <c r="G87" s="405">
        <f t="shared" si="39"/>
        <v>6.1214420854820061E-2</v>
      </c>
      <c r="H87" s="1240">
        <f t="shared" si="39"/>
        <v>5.6191952799308019E-2</v>
      </c>
      <c r="I87" s="405">
        <f t="shared" si="39"/>
        <v>5.687903424127827E-2</v>
      </c>
      <c r="J87" s="405">
        <f t="shared" si="39"/>
        <v>5.7574532162900136E-2</v>
      </c>
      <c r="K87" s="405">
        <f t="shared" si="39"/>
        <v>5.8278549694151506E-2</v>
      </c>
      <c r="L87" s="405">
        <f t="shared" si="39"/>
        <v>5.8991191228518113E-2</v>
      </c>
      <c r="M87" s="405">
        <f t="shared" si="39"/>
        <v>5.9712562438470999E-2</v>
      </c>
      <c r="N87" s="405">
        <f t="shared" si="39"/>
        <v>6.0442770291133645E-2</v>
      </c>
      <c r="O87" s="405">
        <f t="shared" si="39"/>
        <v>6.1181923064141226E-2</v>
      </c>
      <c r="P87" s="405">
        <f t="shared" si="39"/>
        <v>6.193013036169364E-2</v>
      </c>
      <c r="Q87" s="405">
        <f t="shared" si="39"/>
        <v>6.2687503130805844E-2</v>
      </c>
      <c r="R87" s="405">
        <f t="shared" si="39"/>
        <v>6.3454153677756558E-2</v>
      </c>
      <c r="S87" s="405">
        <f t="shared" si="39"/>
        <v>6.4230195684739089E-2</v>
      </c>
      <c r="T87" s="405">
        <f t="shared" si="39"/>
        <v>6.5015744226715536E-2</v>
      </c>
      <c r="U87" s="405">
        <f t="shared" si="39"/>
        <v>6.5810915788478141E-2</v>
      </c>
      <c r="V87" s="405">
        <f t="shared" si="39"/>
        <v>6.6615828281918768E-2</v>
      </c>
      <c r="W87" s="405">
        <f t="shared" si="39"/>
        <v>6.7430601063510703E-2</v>
      </c>
      <c r="X87" s="405">
        <f t="shared" si="39"/>
        <v>6.8255354952004271E-2</v>
      </c>
      <c r="Y87" s="405">
        <f t="shared" si="39"/>
        <v>6.9090212246338961E-2</v>
      </c>
      <c r="Z87" s="405">
        <f t="shared" si="39"/>
        <v>6.9935296743775549E-2</v>
      </c>
      <c r="AA87" s="405">
        <f t="shared" si="39"/>
        <v>7.0790733758249721E-2</v>
      </c>
      <c r="AB87" s="405">
        <f t="shared" si="39"/>
        <v>7.1656650138950714E-2</v>
      </c>
      <c r="AC87" s="405">
        <f t="shared" si="39"/>
        <v>7.2533174289128116E-2</v>
      </c>
      <c r="AD87" s="405">
        <f t="shared" si="39"/>
        <v>7.3420436185127808E-2</v>
      </c>
      <c r="AE87" s="405">
        <f t="shared" si="39"/>
        <v>7.431856739566213E-2</v>
      </c>
      <c r="AF87" s="405">
        <f t="shared" si="39"/>
        <v>7.5227701101315658E-2</v>
      </c>
      <c r="AG87" s="405">
        <f t="shared" si="39"/>
        <v>7.6147972114290044E-2</v>
      </c>
      <c r="AH87" s="405">
        <f t="shared" si="39"/>
        <v>7.7079516898390543E-2</v>
      </c>
      <c r="AI87" s="405">
        <f t="shared" si="39"/>
        <v>7.802247358925711E-2</v>
      </c>
      <c r="AJ87" s="405">
        <f t="shared" si="39"/>
        <v>7.8976982014844321E-2</v>
      </c>
      <c r="AK87" s="405">
        <f t="shared" si="39"/>
        <v>7.9943183716150834E-2</v>
      </c>
      <c r="AL87" s="405">
        <f t="shared" si="39"/>
        <v>8.0921221968203644E-2</v>
      </c>
    </row>
    <row r="88" spans="2:38">
      <c r="H88" s="1228"/>
    </row>
    <row r="89" spans="2:38" ht="13">
      <c r="B89" s="364" t="s">
        <v>652</v>
      </c>
      <c r="H89" s="1228"/>
    </row>
    <row r="90" spans="2:38" ht="13">
      <c r="B90" s="407" t="s">
        <v>615</v>
      </c>
      <c r="C90" s="396" t="s">
        <v>627</v>
      </c>
      <c r="D90" s="440">
        <f>D$1</f>
        <v>2021</v>
      </c>
      <c r="E90" s="440">
        <f t="shared" ref="E90:AL90" si="40">E$1</f>
        <v>2022</v>
      </c>
      <c r="F90" s="440">
        <f t="shared" si="40"/>
        <v>2023</v>
      </c>
      <c r="G90" s="440">
        <f t="shared" si="40"/>
        <v>2024</v>
      </c>
      <c r="H90" s="440">
        <f t="shared" si="40"/>
        <v>2025</v>
      </c>
      <c r="I90" s="440">
        <f t="shared" si="40"/>
        <v>2026</v>
      </c>
      <c r="J90" s="440">
        <f t="shared" si="40"/>
        <v>2027</v>
      </c>
      <c r="K90" s="440">
        <f t="shared" si="40"/>
        <v>2028</v>
      </c>
      <c r="L90" s="440">
        <f t="shared" si="40"/>
        <v>2029</v>
      </c>
      <c r="M90" s="440">
        <f t="shared" si="40"/>
        <v>2030</v>
      </c>
      <c r="N90" s="440">
        <f t="shared" si="40"/>
        <v>2031</v>
      </c>
      <c r="O90" s="440">
        <f t="shared" si="40"/>
        <v>2032</v>
      </c>
      <c r="P90" s="440">
        <f t="shared" si="40"/>
        <v>2033</v>
      </c>
      <c r="Q90" s="440">
        <f t="shared" si="40"/>
        <v>2034</v>
      </c>
      <c r="R90" s="440">
        <f t="shared" si="40"/>
        <v>2035</v>
      </c>
      <c r="S90" s="440">
        <f t="shared" si="40"/>
        <v>2036</v>
      </c>
      <c r="T90" s="440">
        <f t="shared" si="40"/>
        <v>2037</v>
      </c>
      <c r="U90" s="440">
        <f t="shared" si="40"/>
        <v>2038</v>
      </c>
      <c r="V90" s="440">
        <f t="shared" si="40"/>
        <v>2039</v>
      </c>
      <c r="W90" s="440">
        <f t="shared" si="40"/>
        <v>2040</v>
      </c>
      <c r="X90" s="440">
        <f t="shared" si="40"/>
        <v>2041</v>
      </c>
      <c r="Y90" s="440">
        <f t="shared" si="40"/>
        <v>2042</v>
      </c>
      <c r="Z90" s="440">
        <f t="shared" si="40"/>
        <v>2043</v>
      </c>
      <c r="AA90" s="440">
        <f t="shared" si="40"/>
        <v>2044</v>
      </c>
      <c r="AB90" s="440">
        <f t="shared" si="40"/>
        <v>2045</v>
      </c>
      <c r="AC90" s="440">
        <f t="shared" si="40"/>
        <v>2046</v>
      </c>
      <c r="AD90" s="440">
        <f t="shared" si="40"/>
        <v>2047</v>
      </c>
      <c r="AE90" s="440">
        <f t="shared" si="40"/>
        <v>2048</v>
      </c>
      <c r="AF90" s="440">
        <f t="shared" si="40"/>
        <v>2049</v>
      </c>
      <c r="AG90" s="440">
        <f t="shared" si="40"/>
        <v>2050</v>
      </c>
      <c r="AH90" s="440">
        <f t="shared" si="40"/>
        <v>2051</v>
      </c>
      <c r="AI90" s="440">
        <f t="shared" si="40"/>
        <v>2052</v>
      </c>
      <c r="AJ90" s="440">
        <f t="shared" si="40"/>
        <v>2053</v>
      </c>
      <c r="AK90" s="440">
        <f t="shared" si="40"/>
        <v>2054</v>
      </c>
      <c r="AL90" s="440">
        <f t="shared" si="40"/>
        <v>2055</v>
      </c>
    </row>
    <row r="91" spans="2:38" ht="13">
      <c r="B91" s="364" t="s">
        <v>624</v>
      </c>
      <c r="C91" s="408"/>
      <c r="D91" s="358"/>
      <c r="E91" s="409"/>
      <c r="F91" s="410"/>
      <c r="G91" s="410"/>
      <c r="H91" s="1234"/>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row>
    <row r="92" spans="2:38">
      <c r="B92" s="411" t="s">
        <v>653</v>
      </c>
      <c r="C92" s="412" t="s">
        <v>654</v>
      </c>
      <c r="D92" s="413">
        <f>((D$77*D$78+0.2)/0.2)^(0.3334)</f>
        <v>83.678897993536978</v>
      </c>
      <c r="E92" s="413">
        <f t="shared" ref="E92:AL92" si="41">((E$77*E$78+0.2)/0.2)^(0.3334)</f>
        <v>84.791515134689959</v>
      </c>
      <c r="F92" s="413">
        <f t="shared" si="41"/>
        <v>85.918926006656363</v>
      </c>
      <c r="G92" s="413">
        <f t="shared" si="41"/>
        <v>87.061327309917061</v>
      </c>
      <c r="H92" s="413">
        <f t="shared" si="41"/>
        <v>80.150682414902462</v>
      </c>
      <c r="I92" s="413">
        <f t="shared" si="41"/>
        <v>81.216387204222315</v>
      </c>
      <c r="J92" s="413">
        <f t="shared" si="41"/>
        <v>82.296261968455894</v>
      </c>
      <c r="K92" s="413">
        <f t="shared" si="41"/>
        <v>83.390495114328914</v>
      </c>
      <c r="L92" s="413">
        <f t="shared" si="41"/>
        <v>84.499277553714279</v>
      </c>
      <c r="M92" s="413">
        <f t="shared" si="41"/>
        <v>85.622802736939747</v>
      </c>
      <c r="N92" s="413">
        <f t="shared" si="41"/>
        <v>86.761266686539756</v>
      </c>
      <c r="O92" s="413">
        <f t="shared" si="41"/>
        <v>87.914868031454702</v>
      </c>
      <c r="P92" s="413">
        <f t="shared" si="41"/>
        <v>89.083808041686211</v>
      </c>
      <c r="Q92" s="413">
        <f t="shared" si="41"/>
        <v>90.268290663412216</v>
      </c>
      <c r="R92" s="413">
        <f t="shared" si="41"/>
        <v>91.468522554569205</v>
      </c>
      <c r="S92" s="413">
        <f t="shared" si="41"/>
        <v>92.684713120908185</v>
      </c>
      <c r="T92" s="413">
        <f t="shared" si="41"/>
        <v>93.917074552529371</v>
      </c>
      <c r="U92" s="413">
        <f t="shared" si="41"/>
        <v>95.16582186090308</v>
      </c>
      <c r="V92" s="413">
        <f t="shared" si="41"/>
        <v>96.431172916382579</v>
      </c>
      <c r="W92" s="413">
        <f t="shared" si="41"/>
        <v>97.713348486215821</v>
      </c>
      <c r="X92" s="413">
        <f t="shared" si="41"/>
        <v>99.012572273063242</v>
      </c>
      <c r="Y92" s="413">
        <f t="shared" si="41"/>
        <v>100.32907095402632</v>
      </c>
      <c r="Z92" s="413">
        <f t="shared" si="41"/>
        <v>101.66307422019682</v>
      </c>
      <c r="AA92" s="413">
        <f t="shared" si="41"/>
        <v>103.01481481673045</v>
      </c>
      <c r="AB92" s="413">
        <f t="shared" si="41"/>
        <v>104.38452858345399</v>
      </c>
      <c r="AC92" s="413">
        <f t="shared" si="41"/>
        <v>105.77245449601274</v>
      </c>
      <c r="AD92" s="413">
        <f t="shared" si="41"/>
        <v>107.17883470756411</v>
      </c>
      <c r="AE92" s="413">
        <f t="shared" si="41"/>
        <v>108.60391459102664</v>
      </c>
      <c r="AF92" s="413">
        <f t="shared" si="41"/>
        <v>110.04794278188974</v>
      </c>
      <c r="AG92" s="413">
        <f t="shared" si="41"/>
        <v>111.51117122159427</v>
      </c>
      <c r="AH92" s="413">
        <f t="shared" si="41"/>
        <v>112.99385520148746</v>
      </c>
      <c r="AI92" s="413">
        <f t="shared" si="41"/>
        <v>114.49625340736502</v>
      </c>
      <c r="AJ92" s="413">
        <f t="shared" si="41"/>
        <v>116.01862796460321</v>
      </c>
      <c r="AK92" s="413">
        <f t="shared" si="41"/>
        <v>117.56124448389284</v>
      </c>
      <c r="AL92" s="413">
        <f t="shared" si="41"/>
        <v>119.12437210758007</v>
      </c>
    </row>
    <row r="93" spans="2:38">
      <c r="B93" s="411" t="s">
        <v>655</v>
      </c>
      <c r="C93" s="412" t="s">
        <v>656</v>
      </c>
      <c r="D93" s="414">
        <f>EXP(0.2094*$D$9)</f>
        <v>1.5201362971260179</v>
      </c>
      <c r="E93" s="414">
        <f t="shared" ref="E93:AL93" si="42">EXP(0.2094*$D$9)</f>
        <v>1.5201362971260179</v>
      </c>
      <c r="F93" s="414">
        <f t="shared" si="42"/>
        <v>1.5201362971260179</v>
      </c>
      <c r="G93" s="414">
        <f t="shared" si="42"/>
        <v>1.5201362971260179</v>
      </c>
      <c r="H93" s="414">
        <f t="shared" si="42"/>
        <v>1.5201362971260179</v>
      </c>
      <c r="I93" s="414">
        <f t="shared" si="42"/>
        <v>1.5201362971260179</v>
      </c>
      <c r="J93" s="414">
        <f t="shared" si="42"/>
        <v>1.5201362971260179</v>
      </c>
      <c r="K93" s="414">
        <f t="shared" si="42"/>
        <v>1.5201362971260179</v>
      </c>
      <c r="L93" s="414">
        <f t="shared" si="42"/>
        <v>1.5201362971260179</v>
      </c>
      <c r="M93" s="414">
        <f t="shared" si="42"/>
        <v>1.5201362971260179</v>
      </c>
      <c r="N93" s="414">
        <f t="shared" si="42"/>
        <v>1.5201362971260179</v>
      </c>
      <c r="O93" s="414">
        <f t="shared" si="42"/>
        <v>1.5201362971260179</v>
      </c>
      <c r="P93" s="414">
        <f t="shared" si="42"/>
        <v>1.5201362971260179</v>
      </c>
      <c r="Q93" s="414">
        <f t="shared" si="42"/>
        <v>1.5201362971260179</v>
      </c>
      <c r="R93" s="414">
        <f t="shared" si="42"/>
        <v>1.5201362971260179</v>
      </c>
      <c r="S93" s="414">
        <f t="shared" si="42"/>
        <v>1.5201362971260179</v>
      </c>
      <c r="T93" s="414">
        <f t="shared" si="42"/>
        <v>1.5201362971260179</v>
      </c>
      <c r="U93" s="414">
        <f t="shared" si="42"/>
        <v>1.5201362971260179</v>
      </c>
      <c r="V93" s="414">
        <f t="shared" si="42"/>
        <v>1.5201362971260179</v>
      </c>
      <c r="W93" s="414">
        <f t="shared" si="42"/>
        <v>1.5201362971260179</v>
      </c>
      <c r="X93" s="414">
        <f t="shared" si="42"/>
        <v>1.5201362971260179</v>
      </c>
      <c r="Y93" s="414">
        <f t="shared" si="42"/>
        <v>1.5201362971260179</v>
      </c>
      <c r="Z93" s="414">
        <f t="shared" si="42"/>
        <v>1.5201362971260179</v>
      </c>
      <c r="AA93" s="414">
        <f t="shared" si="42"/>
        <v>1.5201362971260179</v>
      </c>
      <c r="AB93" s="414">
        <f t="shared" si="42"/>
        <v>1.5201362971260179</v>
      </c>
      <c r="AC93" s="414">
        <f t="shared" si="42"/>
        <v>1.5201362971260179</v>
      </c>
      <c r="AD93" s="414">
        <f t="shared" si="42"/>
        <v>1.5201362971260179</v>
      </c>
      <c r="AE93" s="414">
        <f t="shared" si="42"/>
        <v>1.5201362971260179</v>
      </c>
      <c r="AF93" s="414">
        <f t="shared" si="42"/>
        <v>1.5201362971260179</v>
      </c>
      <c r="AG93" s="414">
        <f t="shared" si="42"/>
        <v>1.5201362971260179</v>
      </c>
      <c r="AH93" s="414">
        <f t="shared" si="42"/>
        <v>1.5201362971260179</v>
      </c>
      <c r="AI93" s="414">
        <f t="shared" si="42"/>
        <v>1.5201362971260179</v>
      </c>
      <c r="AJ93" s="414">
        <f t="shared" si="42"/>
        <v>1.5201362971260179</v>
      </c>
      <c r="AK93" s="414">
        <f t="shared" si="42"/>
        <v>1.5201362971260179</v>
      </c>
      <c r="AL93" s="414">
        <f t="shared" si="42"/>
        <v>1.5201362971260179</v>
      </c>
    </row>
    <row r="94" spans="2:38">
      <c r="B94" s="411" t="s">
        <v>657</v>
      </c>
      <c r="C94" s="416" t="s">
        <v>658</v>
      </c>
      <c r="D94" s="417">
        <f>((D$80+0.2)/0.2)^(0.1336)</f>
        <v>1.5039439694520227</v>
      </c>
      <c r="E94" s="417">
        <f t="shared" ref="E94:AL94" si="43">((E$80+0.2)/0.2)^(0.1336)</f>
        <v>1.5059657870025993</v>
      </c>
      <c r="F94" s="417">
        <f t="shared" si="43"/>
        <v>1.5079913203920043</v>
      </c>
      <c r="G94" s="417">
        <f t="shared" si="43"/>
        <v>1.5100205677833436</v>
      </c>
      <c r="H94" s="417">
        <f t="shared" si="43"/>
        <v>1.4579566272457978</v>
      </c>
      <c r="I94" s="417">
        <f t="shared" si="43"/>
        <v>1.4598913548546146</v>
      </c>
      <c r="J94" s="417">
        <f t="shared" si="43"/>
        <v>1.4618298547819031</v>
      </c>
      <c r="K94" s="417">
        <f t="shared" si="43"/>
        <v>1.4637721240491282</v>
      </c>
      <c r="L94" s="417">
        <f t="shared" si="43"/>
        <v>1.4657181597278657</v>
      </c>
      <c r="M94" s="417">
        <f t="shared" si="43"/>
        <v>1.4676679589397352</v>
      </c>
      <c r="N94" s="417">
        <f t="shared" si="43"/>
        <v>1.4696215188563289</v>
      </c>
      <c r="O94" s="417">
        <f t="shared" si="43"/>
        <v>1.4715788366991369</v>
      </c>
      <c r="P94" s="417">
        <f t="shared" si="43"/>
        <v>1.4735399097394672</v>
      </c>
      <c r="Q94" s="417">
        <f t="shared" si="43"/>
        <v>1.475504735298363</v>
      </c>
      <c r="R94" s="417">
        <f t="shared" si="43"/>
        <v>1.4774733107465152</v>
      </c>
      <c r="S94" s="417">
        <f t="shared" si="43"/>
        <v>1.4794456335041717</v>
      </c>
      <c r="T94" s="417">
        <f t="shared" si="43"/>
        <v>1.481421701041042</v>
      </c>
      <c r="U94" s="417">
        <f t="shared" si="43"/>
        <v>1.4834015108761993</v>
      </c>
      <c r="V94" s="417">
        <f t="shared" si="43"/>
        <v>1.4853850605779795</v>
      </c>
      <c r="W94" s="417">
        <f t="shared" si="43"/>
        <v>1.4873723477638745</v>
      </c>
      <c r="X94" s="417">
        <f t="shared" si="43"/>
        <v>1.4893633701004245</v>
      </c>
      <c r="Y94" s="417">
        <f t="shared" si="43"/>
        <v>1.4913581253031054</v>
      </c>
      <c r="Z94" s="417">
        <f t="shared" si="43"/>
        <v>1.4933566111362149</v>
      </c>
      <c r="AA94" s="417">
        <f t="shared" si="43"/>
        <v>1.4953588254127532</v>
      </c>
      <c r="AB94" s="417">
        <f t="shared" si="43"/>
        <v>1.4973647659943026</v>
      </c>
      <c r="AC94" s="417">
        <f t="shared" si="43"/>
        <v>1.4993744307909029</v>
      </c>
      <c r="AD94" s="417">
        <f t="shared" si="43"/>
        <v>1.5013878177609252</v>
      </c>
      <c r="AE94" s="417">
        <f t="shared" si="43"/>
        <v>1.5034049249109414</v>
      </c>
      <c r="AF94" s="417">
        <f t="shared" si="43"/>
        <v>1.5054257502955928</v>
      </c>
      <c r="AG94" s="417">
        <f t="shared" si="43"/>
        <v>1.5074502920174546</v>
      </c>
      <c r="AH94" s="417">
        <f t="shared" si="43"/>
        <v>1.5094785482268982</v>
      </c>
      <c r="AI94" s="417">
        <f t="shared" si="43"/>
        <v>1.5115105171219521</v>
      </c>
      <c r="AJ94" s="417">
        <f t="shared" si="43"/>
        <v>1.5135461969481585</v>
      </c>
      <c r="AK94" s="417">
        <f t="shared" si="43"/>
        <v>1.5155855859984304</v>
      </c>
      <c r="AL94" s="417">
        <f t="shared" si="43"/>
        <v>1.5176286826129031</v>
      </c>
    </row>
    <row r="95" spans="2:38">
      <c r="B95" s="411" t="s">
        <v>659</v>
      </c>
      <c r="C95" s="412" t="s">
        <v>660</v>
      </c>
      <c r="D95" s="414">
        <f>EXP(-0.616*($E$7-1))</f>
        <v>1</v>
      </c>
      <c r="E95" s="414">
        <f t="shared" ref="E95:AL95" si="44">EXP(-0.616*($E$7-1))</f>
        <v>1</v>
      </c>
      <c r="F95" s="414">
        <f t="shared" si="44"/>
        <v>1</v>
      </c>
      <c r="G95" s="414">
        <f t="shared" si="44"/>
        <v>1</v>
      </c>
      <c r="H95" s="414">
        <f t="shared" si="44"/>
        <v>1</v>
      </c>
      <c r="I95" s="414">
        <f t="shared" si="44"/>
        <v>1</v>
      </c>
      <c r="J95" s="414">
        <f t="shared" si="44"/>
        <v>1</v>
      </c>
      <c r="K95" s="414">
        <f t="shared" si="44"/>
        <v>1</v>
      </c>
      <c r="L95" s="414">
        <f t="shared" si="44"/>
        <v>1</v>
      </c>
      <c r="M95" s="414">
        <f t="shared" si="44"/>
        <v>1</v>
      </c>
      <c r="N95" s="414">
        <f t="shared" si="44"/>
        <v>1</v>
      </c>
      <c r="O95" s="414">
        <f t="shared" si="44"/>
        <v>1</v>
      </c>
      <c r="P95" s="414">
        <f t="shared" si="44"/>
        <v>1</v>
      </c>
      <c r="Q95" s="414">
        <f t="shared" si="44"/>
        <v>1</v>
      </c>
      <c r="R95" s="414">
        <f t="shared" si="44"/>
        <v>1</v>
      </c>
      <c r="S95" s="414">
        <f t="shared" si="44"/>
        <v>1</v>
      </c>
      <c r="T95" s="414">
        <f t="shared" si="44"/>
        <v>1</v>
      </c>
      <c r="U95" s="414">
        <f t="shared" si="44"/>
        <v>1</v>
      </c>
      <c r="V95" s="414">
        <f t="shared" si="44"/>
        <v>1</v>
      </c>
      <c r="W95" s="414">
        <f t="shared" si="44"/>
        <v>1</v>
      </c>
      <c r="X95" s="414">
        <f t="shared" si="44"/>
        <v>1</v>
      </c>
      <c r="Y95" s="414">
        <f t="shared" si="44"/>
        <v>1</v>
      </c>
      <c r="Z95" s="414">
        <f t="shared" si="44"/>
        <v>1</v>
      </c>
      <c r="AA95" s="414">
        <f t="shared" si="44"/>
        <v>1</v>
      </c>
      <c r="AB95" s="414">
        <f t="shared" si="44"/>
        <v>1</v>
      </c>
      <c r="AC95" s="414">
        <f t="shared" si="44"/>
        <v>1</v>
      </c>
      <c r="AD95" s="414">
        <f t="shared" si="44"/>
        <v>1</v>
      </c>
      <c r="AE95" s="414">
        <f t="shared" si="44"/>
        <v>1</v>
      </c>
      <c r="AF95" s="414">
        <f t="shared" si="44"/>
        <v>1</v>
      </c>
      <c r="AG95" s="414">
        <f t="shared" si="44"/>
        <v>1</v>
      </c>
      <c r="AH95" s="414">
        <f t="shared" si="44"/>
        <v>1</v>
      </c>
      <c r="AI95" s="414">
        <f t="shared" si="44"/>
        <v>1</v>
      </c>
      <c r="AJ95" s="414">
        <f t="shared" si="44"/>
        <v>1</v>
      </c>
      <c r="AK95" s="414">
        <f t="shared" si="44"/>
        <v>1</v>
      </c>
      <c r="AL95" s="414">
        <f t="shared" si="44"/>
        <v>1</v>
      </c>
    </row>
    <row r="96" spans="2:38">
      <c r="B96" s="411" t="s">
        <v>661</v>
      </c>
      <c r="C96" s="412" t="s">
        <v>662</v>
      </c>
      <c r="D96" s="414">
        <f>EXP(0.0077*D$82)</f>
        <v>1.0594501000746941</v>
      </c>
      <c r="E96" s="414">
        <f t="shared" ref="E96:AL96" si="45">EXP(0.0077*E$82)</f>
        <v>1.0594501000746941</v>
      </c>
      <c r="F96" s="414">
        <f t="shared" si="45"/>
        <v>1.0594501000746941</v>
      </c>
      <c r="G96" s="414">
        <f t="shared" si="45"/>
        <v>1.0594501000746941</v>
      </c>
      <c r="H96" s="414">
        <f t="shared" si="45"/>
        <v>1.0594501000746941</v>
      </c>
      <c r="I96" s="414">
        <f t="shared" si="45"/>
        <v>1.0594501000746941</v>
      </c>
      <c r="J96" s="414">
        <f t="shared" si="45"/>
        <v>1.0594501000746941</v>
      </c>
      <c r="K96" s="414">
        <f t="shared" si="45"/>
        <v>1.0594501000746941</v>
      </c>
      <c r="L96" s="414">
        <f t="shared" si="45"/>
        <v>1.0594501000746941</v>
      </c>
      <c r="M96" s="414">
        <f t="shared" si="45"/>
        <v>1.0594501000746941</v>
      </c>
      <c r="N96" s="414">
        <f t="shared" si="45"/>
        <v>1.0594501000746941</v>
      </c>
      <c r="O96" s="414">
        <f t="shared" si="45"/>
        <v>1.0594501000746941</v>
      </c>
      <c r="P96" s="414">
        <f t="shared" si="45"/>
        <v>1.0594501000746941</v>
      </c>
      <c r="Q96" s="414">
        <f t="shared" si="45"/>
        <v>1.0594501000746941</v>
      </c>
      <c r="R96" s="414">
        <f t="shared" si="45"/>
        <v>1.0594501000746941</v>
      </c>
      <c r="S96" s="414">
        <f t="shared" si="45"/>
        <v>1.0594501000746941</v>
      </c>
      <c r="T96" s="414">
        <f t="shared" si="45"/>
        <v>1.0594501000746941</v>
      </c>
      <c r="U96" s="414">
        <f t="shared" si="45"/>
        <v>1.0594501000746941</v>
      </c>
      <c r="V96" s="414">
        <f t="shared" si="45"/>
        <v>1.0594501000746941</v>
      </c>
      <c r="W96" s="414">
        <f t="shared" si="45"/>
        <v>1.0594501000746941</v>
      </c>
      <c r="X96" s="414">
        <f t="shared" si="45"/>
        <v>1.0594501000746941</v>
      </c>
      <c r="Y96" s="414">
        <f t="shared" si="45"/>
        <v>1.0594501000746941</v>
      </c>
      <c r="Z96" s="414">
        <f t="shared" si="45"/>
        <v>1.0594501000746941</v>
      </c>
      <c r="AA96" s="414">
        <f t="shared" si="45"/>
        <v>1.0594501000746941</v>
      </c>
      <c r="AB96" s="414">
        <f t="shared" si="45"/>
        <v>1.0594501000746941</v>
      </c>
      <c r="AC96" s="414">
        <f t="shared" si="45"/>
        <v>1.0594501000746941</v>
      </c>
      <c r="AD96" s="414">
        <f t="shared" si="45"/>
        <v>1.0594501000746941</v>
      </c>
      <c r="AE96" s="414">
        <f t="shared" si="45"/>
        <v>1.0594501000746941</v>
      </c>
      <c r="AF96" s="414">
        <f t="shared" si="45"/>
        <v>1.0594501000746941</v>
      </c>
      <c r="AG96" s="414">
        <f t="shared" si="45"/>
        <v>1.0594501000746941</v>
      </c>
      <c r="AH96" s="414">
        <f t="shared" si="45"/>
        <v>1.0594501000746941</v>
      </c>
      <c r="AI96" s="414">
        <f t="shared" si="45"/>
        <v>1.0594501000746941</v>
      </c>
      <c r="AJ96" s="414">
        <f t="shared" si="45"/>
        <v>1.0594501000746941</v>
      </c>
      <c r="AK96" s="414">
        <f t="shared" si="45"/>
        <v>1.0594501000746941</v>
      </c>
      <c r="AL96" s="414">
        <f t="shared" si="45"/>
        <v>1.0594501000746941</v>
      </c>
    </row>
    <row r="97" spans="1:38">
      <c r="B97" s="411" t="s">
        <v>663</v>
      </c>
      <c r="C97" s="412" t="s">
        <v>664</v>
      </c>
      <c r="D97" s="414">
        <f>EXP(-0.1*($E$8-1))</f>
        <v>0.60653065971263342</v>
      </c>
      <c r="E97" s="414">
        <f t="shared" ref="E97:AL97" si="46">EXP(-0.1*($E$8-1))</f>
        <v>0.60653065971263342</v>
      </c>
      <c r="F97" s="414">
        <f t="shared" si="46"/>
        <v>0.60653065971263342</v>
      </c>
      <c r="G97" s="414">
        <f t="shared" si="46"/>
        <v>0.60653065971263342</v>
      </c>
      <c r="H97" s="414">
        <f t="shared" si="46"/>
        <v>0.60653065971263342</v>
      </c>
      <c r="I97" s="414">
        <f t="shared" si="46"/>
        <v>0.60653065971263342</v>
      </c>
      <c r="J97" s="414">
        <f t="shared" si="46"/>
        <v>0.60653065971263342</v>
      </c>
      <c r="K97" s="414">
        <f t="shared" si="46"/>
        <v>0.60653065971263342</v>
      </c>
      <c r="L97" s="414">
        <f t="shared" si="46"/>
        <v>0.60653065971263342</v>
      </c>
      <c r="M97" s="414">
        <f t="shared" si="46"/>
        <v>0.60653065971263342</v>
      </c>
      <c r="N97" s="414">
        <f t="shared" si="46"/>
        <v>0.60653065971263342</v>
      </c>
      <c r="O97" s="414">
        <f t="shared" si="46"/>
        <v>0.60653065971263342</v>
      </c>
      <c r="P97" s="414">
        <f t="shared" si="46"/>
        <v>0.60653065971263342</v>
      </c>
      <c r="Q97" s="414">
        <f t="shared" si="46"/>
        <v>0.60653065971263342</v>
      </c>
      <c r="R97" s="414">
        <f t="shared" si="46"/>
        <v>0.60653065971263342</v>
      </c>
      <c r="S97" s="414">
        <f t="shared" si="46"/>
        <v>0.60653065971263342</v>
      </c>
      <c r="T97" s="414">
        <f t="shared" si="46"/>
        <v>0.60653065971263342</v>
      </c>
      <c r="U97" s="414">
        <f t="shared" si="46"/>
        <v>0.60653065971263342</v>
      </c>
      <c r="V97" s="414">
        <f t="shared" si="46"/>
        <v>0.60653065971263342</v>
      </c>
      <c r="W97" s="414">
        <f t="shared" si="46"/>
        <v>0.60653065971263342</v>
      </c>
      <c r="X97" s="414">
        <f t="shared" si="46"/>
        <v>0.60653065971263342</v>
      </c>
      <c r="Y97" s="414">
        <f t="shared" si="46"/>
        <v>0.60653065971263342</v>
      </c>
      <c r="Z97" s="414">
        <f t="shared" si="46"/>
        <v>0.60653065971263342</v>
      </c>
      <c r="AA97" s="414">
        <f t="shared" si="46"/>
        <v>0.60653065971263342</v>
      </c>
      <c r="AB97" s="414">
        <f t="shared" si="46"/>
        <v>0.60653065971263342</v>
      </c>
      <c r="AC97" s="414">
        <f t="shared" si="46"/>
        <v>0.60653065971263342</v>
      </c>
      <c r="AD97" s="414">
        <f t="shared" si="46"/>
        <v>0.60653065971263342</v>
      </c>
      <c r="AE97" s="414">
        <f t="shared" si="46"/>
        <v>0.60653065971263342</v>
      </c>
      <c r="AF97" s="414">
        <f t="shared" si="46"/>
        <v>0.60653065971263342</v>
      </c>
      <c r="AG97" s="414">
        <f t="shared" si="46"/>
        <v>0.60653065971263342</v>
      </c>
      <c r="AH97" s="414">
        <f t="shared" si="46"/>
        <v>0.60653065971263342</v>
      </c>
      <c r="AI97" s="414">
        <f t="shared" si="46"/>
        <v>0.60653065971263342</v>
      </c>
      <c r="AJ97" s="414">
        <f t="shared" si="46"/>
        <v>0.60653065971263342</v>
      </c>
      <c r="AK97" s="414">
        <f t="shared" si="46"/>
        <v>0.60653065971263342</v>
      </c>
      <c r="AL97" s="414">
        <f t="shared" si="46"/>
        <v>0.60653065971263342</v>
      </c>
    </row>
    <row r="98" spans="1:38">
      <c r="B98" s="411" t="s">
        <v>665</v>
      </c>
      <c r="C98" s="412" t="s">
        <v>666</v>
      </c>
      <c r="D98" s="414">
        <v>1</v>
      </c>
      <c r="E98" s="414">
        <v>1</v>
      </c>
      <c r="F98" s="414">
        <v>1</v>
      </c>
      <c r="G98" s="414">
        <v>1</v>
      </c>
      <c r="H98" s="414">
        <v>1</v>
      </c>
      <c r="I98" s="414">
        <v>1</v>
      </c>
      <c r="J98" s="414">
        <v>1</v>
      </c>
      <c r="K98" s="414">
        <v>1</v>
      </c>
      <c r="L98" s="414">
        <v>1</v>
      </c>
      <c r="M98" s="414">
        <v>1</v>
      </c>
      <c r="N98" s="414">
        <v>1</v>
      </c>
      <c r="O98" s="414">
        <v>1</v>
      </c>
      <c r="P98" s="414">
        <v>1</v>
      </c>
      <c r="Q98" s="414">
        <v>1</v>
      </c>
      <c r="R98" s="414">
        <v>1</v>
      </c>
      <c r="S98" s="414">
        <v>1</v>
      </c>
      <c r="T98" s="414">
        <v>1</v>
      </c>
      <c r="U98" s="414">
        <v>1</v>
      </c>
      <c r="V98" s="414">
        <v>1</v>
      </c>
      <c r="W98" s="414">
        <v>1</v>
      </c>
      <c r="X98" s="414">
        <v>1</v>
      </c>
      <c r="Y98" s="414">
        <v>1</v>
      </c>
      <c r="Z98" s="414">
        <v>1</v>
      </c>
      <c r="AA98" s="414">
        <v>1</v>
      </c>
      <c r="AB98" s="414">
        <v>1</v>
      </c>
      <c r="AC98" s="414">
        <v>1</v>
      </c>
      <c r="AD98" s="414">
        <v>1</v>
      </c>
      <c r="AE98" s="414">
        <v>1</v>
      </c>
      <c r="AF98" s="414">
        <v>1</v>
      </c>
      <c r="AG98" s="414">
        <v>1</v>
      </c>
      <c r="AH98" s="414">
        <v>1</v>
      </c>
      <c r="AI98" s="414">
        <v>1</v>
      </c>
      <c r="AJ98" s="414">
        <v>1</v>
      </c>
      <c r="AK98" s="414">
        <v>1</v>
      </c>
      <c r="AL98" s="414">
        <v>1</v>
      </c>
    </row>
    <row r="99" spans="1:38" ht="13">
      <c r="A99" s="421"/>
      <c r="B99" s="418"/>
      <c r="C99" s="419"/>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row>
    <row r="100" spans="1:38" ht="13">
      <c r="A100" s="421"/>
      <c r="B100" s="422" t="s">
        <v>667</v>
      </c>
      <c r="C100" s="408"/>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row>
    <row r="101" spans="1:38">
      <c r="A101" s="421"/>
      <c r="B101" s="411" t="s">
        <v>653</v>
      </c>
      <c r="C101" s="412" t="s">
        <v>654</v>
      </c>
      <c r="D101" s="423">
        <f>((D$77*D$78+0.2)/0.2)^(0.2953)</f>
        <v>50.455079059357359</v>
      </c>
      <c r="E101" s="423">
        <f t="shared" ref="E101:AL101" si="47">((E$77*E$78+0.2)/0.2)^(0.2953)</f>
        <v>51.048829690509649</v>
      </c>
      <c r="F101" s="423">
        <f t="shared" si="47"/>
        <v>51.649567562698408</v>
      </c>
      <c r="G101" s="423">
        <f t="shared" si="47"/>
        <v>52.257374900499023</v>
      </c>
      <c r="H101" s="423">
        <f t="shared" si="47"/>
        <v>48.566202151428037</v>
      </c>
      <c r="I101" s="423">
        <f t="shared" si="47"/>
        <v>49.137724523516752</v>
      </c>
      <c r="J101" s="423">
        <f t="shared" si="47"/>
        <v>49.715972558765635</v>
      </c>
      <c r="K101" s="423">
        <f t="shared" si="47"/>
        <v>50.301025403448598</v>
      </c>
      <c r="L101" s="423">
        <f t="shared" si="47"/>
        <v>50.892963135249985</v>
      </c>
      <c r="M101" s="423">
        <f t="shared" si="47"/>
        <v>51.49186677422464</v>
      </c>
      <c r="N101" s="423">
        <f t="shared" si="47"/>
        <v>52.097818293887016</v>
      </c>
      <c r="O101" s="423">
        <f t="shared" si="47"/>
        <v>52.710900632431013</v>
      </c>
      <c r="P101" s="423">
        <f t="shared" si="47"/>
        <v>53.331197704081418</v>
      </c>
      <c r="Q101" s="423">
        <f t="shared" si="47"/>
        <v>53.958794410579408</v>
      </c>
      <c r="R101" s="423">
        <f t="shared" si="47"/>
        <v>54.593776652802852</v>
      </c>
      <c r="S101" s="423">
        <f t="shared" si="47"/>
        <v>55.23623134252373</v>
      </c>
      <c r="T101" s="423">
        <f t="shared" si="47"/>
        <v>55.886246414303493</v>
      </c>
      <c r="U101" s="423">
        <f t="shared" si="47"/>
        <v>56.543910837529005</v>
      </c>
      <c r="V101" s="423">
        <f t="shared" si="47"/>
        <v>57.209314628589439</v>
      </c>
      <c r="W101" s="423">
        <f t="shared" si="47"/>
        <v>57.882548863197094</v>
      </c>
      <c r="X101" s="423">
        <f t="shared" si="47"/>
        <v>58.563705688852906</v>
      </c>
      <c r="Y101" s="423">
        <f t="shared" si="47"/>
        <v>59.25287833745864</v>
      </c>
      <c r="Z101" s="423">
        <f t="shared" si="47"/>
        <v>59.950161138077789</v>
      </c>
      <c r="AA101" s="423">
        <f t="shared" si="47"/>
        <v>60.655649529846301</v>
      </c>
      <c r="AB101" s="423">
        <f t="shared" si="47"/>
        <v>61.369440075035278</v>
      </c>
      <c r="AC101" s="423">
        <f t="shared" si="47"/>
        <v>62.091630472268079</v>
      </c>
      <c r="AD101" s="423">
        <f t="shared" si="47"/>
        <v>62.822319569891796</v>
      </c>
      <c r="AE101" s="423">
        <f t="shared" si="47"/>
        <v>63.561607379507123</v>
      </c>
      <c r="AF101" s="423">
        <f t="shared" si="47"/>
        <v>64.309595089656995</v>
      </c>
      <c r="AG101" s="423">
        <f t="shared" si="47"/>
        <v>65.066385079676309</v>
      </c>
      <c r="AH101" s="423">
        <f t="shared" si="47"/>
        <v>65.832080933704916</v>
      </c>
      <c r="AI101" s="423">
        <f t="shared" si="47"/>
        <v>66.606787454864929</v>
      </c>
      <c r="AJ101" s="423">
        <f t="shared" si="47"/>
        <v>67.390610679605857</v>
      </c>
      <c r="AK101" s="423">
        <f t="shared" si="47"/>
        <v>68.183657892217568</v>
      </c>
      <c r="AL101" s="423">
        <f t="shared" si="47"/>
        <v>68.98603763951462</v>
      </c>
    </row>
    <row r="102" spans="1:38">
      <c r="A102" s="421"/>
      <c r="B102" s="411" t="s">
        <v>655</v>
      </c>
      <c r="C102" s="412" t="s">
        <v>656</v>
      </c>
      <c r="D102" s="414">
        <f>EXP(0.1088*$D$9)</f>
        <v>1.2430897322657162</v>
      </c>
      <c r="E102" s="414">
        <f t="shared" ref="E102:AL102" si="48">EXP(0.1088*$D$9)</f>
        <v>1.2430897322657162</v>
      </c>
      <c r="F102" s="414">
        <f t="shared" si="48"/>
        <v>1.2430897322657162</v>
      </c>
      <c r="G102" s="414">
        <f t="shared" si="48"/>
        <v>1.2430897322657162</v>
      </c>
      <c r="H102" s="414">
        <f t="shared" si="48"/>
        <v>1.2430897322657162</v>
      </c>
      <c r="I102" s="414">
        <f t="shared" si="48"/>
        <v>1.2430897322657162</v>
      </c>
      <c r="J102" s="414">
        <f t="shared" si="48"/>
        <v>1.2430897322657162</v>
      </c>
      <c r="K102" s="414">
        <f t="shared" si="48"/>
        <v>1.2430897322657162</v>
      </c>
      <c r="L102" s="414">
        <f t="shared" si="48"/>
        <v>1.2430897322657162</v>
      </c>
      <c r="M102" s="414">
        <f t="shared" si="48"/>
        <v>1.2430897322657162</v>
      </c>
      <c r="N102" s="414">
        <f t="shared" si="48"/>
        <v>1.2430897322657162</v>
      </c>
      <c r="O102" s="414">
        <f t="shared" si="48"/>
        <v>1.2430897322657162</v>
      </c>
      <c r="P102" s="414">
        <f t="shared" si="48"/>
        <v>1.2430897322657162</v>
      </c>
      <c r="Q102" s="414">
        <f t="shared" si="48"/>
        <v>1.2430897322657162</v>
      </c>
      <c r="R102" s="414">
        <f t="shared" si="48"/>
        <v>1.2430897322657162</v>
      </c>
      <c r="S102" s="414">
        <f t="shared" si="48"/>
        <v>1.2430897322657162</v>
      </c>
      <c r="T102" s="414">
        <f t="shared" si="48"/>
        <v>1.2430897322657162</v>
      </c>
      <c r="U102" s="414">
        <f t="shared" si="48"/>
        <v>1.2430897322657162</v>
      </c>
      <c r="V102" s="414">
        <f t="shared" si="48"/>
        <v>1.2430897322657162</v>
      </c>
      <c r="W102" s="414">
        <f t="shared" si="48"/>
        <v>1.2430897322657162</v>
      </c>
      <c r="X102" s="414">
        <f t="shared" si="48"/>
        <v>1.2430897322657162</v>
      </c>
      <c r="Y102" s="414">
        <f t="shared" si="48"/>
        <v>1.2430897322657162</v>
      </c>
      <c r="Z102" s="414">
        <f t="shared" si="48"/>
        <v>1.2430897322657162</v>
      </c>
      <c r="AA102" s="414">
        <f t="shared" si="48"/>
        <v>1.2430897322657162</v>
      </c>
      <c r="AB102" s="414">
        <f t="shared" si="48"/>
        <v>1.2430897322657162</v>
      </c>
      <c r="AC102" s="414">
        <f t="shared" si="48"/>
        <v>1.2430897322657162</v>
      </c>
      <c r="AD102" s="414">
        <f t="shared" si="48"/>
        <v>1.2430897322657162</v>
      </c>
      <c r="AE102" s="414">
        <f t="shared" si="48"/>
        <v>1.2430897322657162</v>
      </c>
      <c r="AF102" s="414">
        <f t="shared" si="48"/>
        <v>1.2430897322657162</v>
      </c>
      <c r="AG102" s="414">
        <f t="shared" si="48"/>
        <v>1.2430897322657162</v>
      </c>
      <c r="AH102" s="414">
        <f t="shared" si="48"/>
        <v>1.2430897322657162</v>
      </c>
      <c r="AI102" s="414">
        <f t="shared" si="48"/>
        <v>1.2430897322657162</v>
      </c>
      <c r="AJ102" s="414">
        <f t="shared" si="48"/>
        <v>1.2430897322657162</v>
      </c>
      <c r="AK102" s="414">
        <f t="shared" si="48"/>
        <v>1.2430897322657162</v>
      </c>
      <c r="AL102" s="414">
        <f t="shared" si="48"/>
        <v>1.2430897322657162</v>
      </c>
    </row>
    <row r="103" spans="1:38">
      <c r="A103" s="421"/>
      <c r="B103" s="411" t="s">
        <v>657</v>
      </c>
      <c r="C103" s="416" t="s">
        <v>658</v>
      </c>
      <c r="D103" s="417">
        <f>((D$80+0.2)/0.2)^(0.047)</f>
        <v>1.1543817707159612</v>
      </c>
      <c r="E103" s="417">
        <f t="shared" ref="E103:AL103" si="49">((E$80+0.2)/0.2)^(0.047)</f>
        <v>1.1549274808764554</v>
      </c>
      <c r="F103" s="417">
        <f t="shared" si="49"/>
        <v>1.1554737179811641</v>
      </c>
      <c r="G103" s="417">
        <f t="shared" si="49"/>
        <v>1.1560204799705083</v>
      </c>
      <c r="H103" s="417">
        <f t="shared" si="49"/>
        <v>1.1418387135960879</v>
      </c>
      <c r="I103" s="417">
        <f t="shared" si="49"/>
        <v>1.1423715387259614</v>
      </c>
      <c r="J103" s="417">
        <f t="shared" si="49"/>
        <v>1.1429049438973249</v>
      </c>
      <c r="K103" s="417">
        <f t="shared" si="49"/>
        <v>1.143438926616609</v>
      </c>
      <c r="L103" s="417">
        <f t="shared" si="49"/>
        <v>1.1439734844098017</v>
      </c>
      <c r="M103" s="417">
        <f t="shared" si="49"/>
        <v>1.1445086148223753</v>
      </c>
      <c r="N103" s="417">
        <f t="shared" si="49"/>
        <v>1.1450443154192105</v>
      </c>
      <c r="O103" s="417">
        <f t="shared" si="49"/>
        <v>1.1455805837845203</v>
      </c>
      <c r="P103" s="417">
        <f t="shared" si="49"/>
        <v>1.1461174175217719</v>
      </c>
      <c r="Q103" s="417">
        <f t="shared" si="49"/>
        <v>1.146654814253609</v>
      </c>
      <c r="R103" s="417">
        <f t="shared" si="49"/>
        <v>1.1471927716217718</v>
      </c>
      <c r="S103" s="417">
        <f t="shared" si="49"/>
        <v>1.1477312872870153</v>
      </c>
      <c r="T103" s="417">
        <f t="shared" si="49"/>
        <v>1.1482703589290293</v>
      </c>
      <c r="U103" s="417">
        <f t="shared" si="49"/>
        <v>1.1488099842463546</v>
      </c>
      <c r="V103" s="417">
        <f t="shared" si="49"/>
        <v>1.149350160956299</v>
      </c>
      <c r="W103" s="417">
        <f t="shared" si="49"/>
        <v>1.1498908867948547</v>
      </c>
      <c r="X103" s="417">
        <f t="shared" si="49"/>
        <v>1.1504321595166109</v>
      </c>
      <c r="Y103" s="417">
        <f t="shared" si="49"/>
        <v>1.150973976894669</v>
      </c>
      <c r="Z103" s="417">
        <f t="shared" si="49"/>
        <v>1.1515163367205548</v>
      </c>
      <c r="AA103" s="417">
        <f t="shared" si="49"/>
        <v>1.1520592368041316</v>
      </c>
      <c r="AB103" s="417">
        <f t="shared" si="49"/>
        <v>1.1526026749735114</v>
      </c>
      <c r="AC103" s="417">
        <f t="shared" si="49"/>
        <v>1.1531466490749658</v>
      </c>
      <c r="AD103" s="417">
        <f t="shared" si="49"/>
        <v>1.1536911569728363</v>
      </c>
      <c r="AE103" s="417">
        <f t="shared" si="49"/>
        <v>1.1542361965494436</v>
      </c>
      <c r="AF103" s="417">
        <f t="shared" si="49"/>
        <v>1.1547817657049975</v>
      </c>
      <c r="AG103" s="417">
        <f t="shared" si="49"/>
        <v>1.1553278623575041</v>
      </c>
      <c r="AH103" s="417">
        <f t="shared" si="49"/>
        <v>1.155874484442674</v>
      </c>
      <c r="AI103" s="417">
        <f t="shared" si="49"/>
        <v>1.1564216299138308</v>
      </c>
      <c r="AJ103" s="417">
        <f t="shared" si="49"/>
        <v>1.1569692967418161</v>
      </c>
      <c r="AK103" s="417">
        <f t="shared" si="49"/>
        <v>1.1575174829148973</v>
      </c>
      <c r="AL103" s="417">
        <f t="shared" si="49"/>
        <v>1.1580661864386725</v>
      </c>
    </row>
    <row r="104" spans="1:38">
      <c r="A104" s="421"/>
      <c r="B104" s="411" t="s">
        <v>659</v>
      </c>
      <c r="C104" s="412" t="s">
        <v>660</v>
      </c>
      <c r="D104" s="414">
        <v>1</v>
      </c>
      <c r="E104" s="414">
        <v>1</v>
      </c>
      <c r="F104" s="414">
        <v>1</v>
      </c>
      <c r="G104" s="414">
        <v>1</v>
      </c>
      <c r="H104" s="414">
        <v>1</v>
      </c>
      <c r="I104" s="414">
        <v>1</v>
      </c>
      <c r="J104" s="414">
        <v>1</v>
      </c>
      <c r="K104" s="414">
        <v>1</v>
      </c>
      <c r="L104" s="414">
        <v>1</v>
      </c>
      <c r="M104" s="414">
        <v>1</v>
      </c>
      <c r="N104" s="414">
        <v>1</v>
      </c>
      <c r="O104" s="414">
        <v>1</v>
      </c>
      <c r="P104" s="414">
        <v>1</v>
      </c>
      <c r="Q104" s="414">
        <v>1</v>
      </c>
      <c r="R104" s="414">
        <v>1</v>
      </c>
      <c r="S104" s="414">
        <v>1</v>
      </c>
      <c r="T104" s="414">
        <v>1</v>
      </c>
      <c r="U104" s="414">
        <v>1</v>
      </c>
      <c r="V104" s="414">
        <v>1</v>
      </c>
      <c r="W104" s="414">
        <v>1</v>
      </c>
      <c r="X104" s="414">
        <v>1</v>
      </c>
      <c r="Y104" s="414">
        <v>1</v>
      </c>
      <c r="Z104" s="414">
        <v>1</v>
      </c>
      <c r="AA104" s="414">
        <v>1</v>
      </c>
      <c r="AB104" s="414">
        <v>1</v>
      </c>
      <c r="AC104" s="414">
        <v>1</v>
      </c>
      <c r="AD104" s="414">
        <v>1</v>
      </c>
      <c r="AE104" s="414">
        <v>1</v>
      </c>
      <c r="AF104" s="414">
        <v>1</v>
      </c>
      <c r="AG104" s="414">
        <v>1</v>
      </c>
      <c r="AH104" s="414">
        <v>1</v>
      </c>
      <c r="AI104" s="414">
        <v>1</v>
      </c>
      <c r="AJ104" s="414">
        <v>1</v>
      </c>
      <c r="AK104" s="414">
        <v>1</v>
      </c>
      <c r="AL104" s="414">
        <v>1</v>
      </c>
    </row>
    <row r="105" spans="1:38">
      <c r="A105" s="421"/>
      <c r="B105" s="411" t="s">
        <v>661</v>
      </c>
      <c r="C105" s="412" t="s">
        <v>662</v>
      </c>
      <c r="D105" s="414">
        <v>1</v>
      </c>
      <c r="E105" s="414">
        <v>1</v>
      </c>
      <c r="F105" s="414">
        <v>1</v>
      </c>
      <c r="G105" s="414">
        <v>1</v>
      </c>
      <c r="H105" s="414">
        <v>1</v>
      </c>
      <c r="I105" s="414">
        <v>1</v>
      </c>
      <c r="J105" s="414">
        <v>1</v>
      </c>
      <c r="K105" s="414">
        <v>1</v>
      </c>
      <c r="L105" s="414">
        <v>1</v>
      </c>
      <c r="M105" s="414">
        <v>1</v>
      </c>
      <c r="N105" s="414">
        <v>1</v>
      </c>
      <c r="O105" s="414">
        <v>1</v>
      </c>
      <c r="P105" s="414">
        <v>1</v>
      </c>
      <c r="Q105" s="414">
        <v>1</v>
      </c>
      <c r="R105" s="414">
        <v>1</v>
      </c>
      <c r="S105" s="414">
        <v>1</v>
      </c>
      <c r="T105" s="414">
        <v>1</v>
      </c>
      <c r="U105" s="414">
        <v>1</v>
      </c>
      <c r="V105" s="414">
        <v>1</v>
      </c>
      <c r="W105" s="414">
        <v>1</v>
      </c>
      <c r="X105" s="414">
        <v>1</v>
      </c>
      <c r="Y105" s="414">
        <v>1</v>
      </c>
      <c r="Z105" s="414">
        <v>1</v>
      </c>
      <c r="AA105" s="414">
        <v>1</v>
      </c>
      <c r="AB105" s="414">
        <v>1</v>
      </c>
      <c r="AC105" s="414">
        <v>1</v>
      </c>
      <c r="AD105" s="414">
        <v>1</v>
      </c>
      <c r="AE105" s="414">
        <v>1</v>
      </c>
      <c r="AF105" s="414">
        <v>1</v>
      </c>
      <c r="AG105" s="414">
        <v>1</v>
      </c>
      <c r="AH105" s="414">
        <v>1</v>
      </c>
      <c r="AI105" s="414">
        <v>1</v>
      </c>
      <c r="AJ105" s="414">
        <v>1</v>
      </c>
      <c r="AK105" s="414">
        <v>1</v>
      </c>
      <c r="AL105" s="414">
        <v>1</v>
      </c>
    </row>
    <row r="106" spans="1:38">
      <c r="A106" s="421"/>
      <c r="B106" s="411" t="s">
        <v>663</v>
      </c>
      <c r="C106" s="412" t="s">
        <v>664</v>
      </c>
      <c r="D106" s="414">
        <v>1</v>
      </c>
      <c r="E106" s="414">
        <v>1</v>
      </c>
      <c r="F106" s="414">
        <v>1</v>
      </c>
      <c r="G106" s="414">
        <v>1</v>
      </c>
      <c r="H106" s="414">
        <v>1</v>
      </c>
      <c r="I106" s="414">
        <v>1</v>
      </c>
      <c r="J106" s="414">
        <v>1</v>
      </c>
      <c r="K106" s="414">
        <v>1</v>
      </c>
      <c r="L106" s="414">
        <v>1</v>
      </c>
      <c r="M106" s="414">
        <v>1</v>
      </c>
      <c r="N106" s="414">
        <v>1</v>
      </c>
      <c r="O106" s="414">
        <v>1</v>
      </c>
      <c r="P106" s="414">
        <v>1</v>
      </c>
      <c r="Q106" s="414">
        <v>1</v>
      </c>
      <c r="R106" s="414">
        <v>1</v>
      </c>
      <c r="S106" s="414">
        <v>1</v>
      </c>
      <c r="T106" s="414">
        <v>1</v>
      </c>
      <c r="U106" s="414">
        <v>1</v>
      </c>
      <c r="V106" s="414">
        <v>1</v>
      </c>
      <c r="W106" s="414">
        <v>1</v>
      </c>
      <c r="X106" s="414">
        <v>1</v>
      </c>
      <c r="Y106" s="414">
        <v>1</v>
      </c>
      <c r="Z106" s="414">
        <v>1</v>
      </c>
      <c r="AA106" s="414">
        <v>1</v>
      </c>
      <c r="AB106" s="414">
        <v>1</v>
      </c>
      <c r="AC106" s="414">
        <v>1</v>
      </c>
      <c r="AD106" s="414">
        <v>1</v>
      </c>
      <c r="AE106" s="414">
        <v>1</v>
      </c>
      <c r="AF106" s="414">
        <v>1</v>
      </c>
      <c r="AG106" s="414">
        <v>1</v>
      </c>
      <c r="AH106" s="414">
        <v>1</v>
      </c>
      <c r="AI106" s="414">
        <v>1</v>
      </c>
      <c r="AJ106" s="414">
        <v>1</v>
      </c>
      <c r="AK106" s="414">
        <v>1</v>
      </c>
      <c r="AL106" s="414">
        <v>1</v>
      </c>
    </row>
    <row r="107" spans="1:38">
      <c r="A107" s="421"/>
      <c r="B107" s="411" t="s">
        <v>665</v>
      </c>
      <c r="C107" s="412" t="s">
        <v>666</v>
      </c>
      <c r="D107" s="414">
        <f>EXP(0.138*($D$10-1))</f>
        <v>1.1479755502741786</v>
      </c>
      <c r="E107" s="414">
        <f t="shared" ref="E107:AL107" si="50">EXP(0.138*($D$10-1))</f>
        <v>1.1479755502741786</v>
      </c>
      <c r="F107" s="414">
        <f t="shared" si="50"/>
        <v>1.1479755502741786</v>
      </c>
      <c r="G107" s="414">
        <f t="shared" si="50"/>
        <v>1.1479755502741786</v>
      </c>
      <c r="H107" s="414">
        <f t="shared" si="50"/>
        <v>1.1479755502741786</v>
      </c>
      <c r="I107" s="414">
        <f t="shared" si="50"/>
        <v>1.1479755502741786</v>
      </c>
      <c r="J107" s="414">
        <f t="shared" si="50"/>
        <v>1.1479755502741786</v>
      </c>
      <c r="K107" s="414">
        <f t="shared" si="50"/>
        <v>1.1479755502741786</v>
      </c>
      <c r="L107" s="414">
        <f t="shared" si="50"/>
        <v>1.1479755502741786</v>
      </c>
      <c r="M107" s="414">
        <f t="shared" si="50"/>
        <v>1.1479755502741786</v>
      </c>
      <c r="N107" s="414">
        <f t="shared" si="50"/>
        <v>1.1479755502741786</v>
      </c>
      <c r="O107" s="414">
        <f t="shared" si="50"/>
        <v>1.1479755502741786</v>
      </c>
      <c r="P107" s="414">
        <f t="shared" si="50"/>
        <v>1.1479755502741786</v>
      </c>
      <c r="Q107" s="414">
        <f t="shared" si="50"/>
        <v>1.1479755502741786</v>
      </c>
      <c r="R107" s="414">
        <f t="shared" si="50"/>
        <v>1.1479755502741786</v>
      </c>
      <c r="S107" s="414">
        <f t="shared" si="50"/>
        <v>1.1479755502741786</v>
      </c>
      <c r="T107" s="414">
        <f t="shared" si="50"/>
        <v>1.1479755502741786</v>
      </c>
      <c r="U107" s="414">
        <f t="shared" si="50"/>
        <v>1.1479755502741786</v>
      </c>
      <c r="V107" s="414">
        <f t="shared" si="50"/>
        <v>1.1479755502741786</v>
      </c>
      <c r="W107" s="414">
        <f t="shared" si="50"/>
        <v>1.1479755502741786</v>
      </c>
      <c r="X107" s="414">
        <f t="shared" si="50"/>
        <v>1.1479755502741786</v>
      </c>
      <c r="Y107" s="414">
        <f t="shared" si="50"/>
        <v>1.1479755502741786</v>
      </c>
      <c r="Z107" s="414">
        <f t="shared" si="50"/>
        <v>1.1479755502741786</v>
      </c>
      <c r="AA107" s="414">
        <f t="shared" si="50"/>
        <v>1.1479755502741786</v>
      </c>
      <c r="AB107" s="414">
        <f t="shared" si="50"/>
        <v>1.1479755502741786</v>
      </c>
      <c r="AC107" s="414">
        <f t="shared" si="50"/>
        <v>1.1479755502741786</v>
      </c>
      <c r="AD107" s="414">
        <f t="shared" si="50"/>
        <v>1.1479755502741786</v>
      </c>
      <c r="AE107" s="414">
        <f t="shared" si="50"/>
        <v>1.1479755502741786</v>
      </c>
      <c r="AF107" s="414">
        <f t="shared" si="50"/>
        <v>1.1479755502741786</v>
      </c>
      <c r="AG107" s="414">
        <f t="shared" si="50"/>
        <v>1.1479755502741786</v>
      </c>
      <c r="AH107" s="414">
        <f t="shared" si="50"/>
        <v>1.1479755502741786</v>
      </c>
      <c r="AI107" s="414">
        <f t="shared" si="50"/>
        <v>1.1479755502741786</v>
      </c>
      <c r="AJ107" s="414">
        <f t="shared" si="50"/>
        <v>1.1479755502741786</v>
      </c>
      <c r="AK107" s="414">
        <f t="shared" si="50"/>
        <v>1.1479755502741786</v>
      </c>
      <c r="AL107" s="414">
        <f t="shared" si="50"/>
        <v>1.1479755502741786</v>
      </c>
    </row>
    <row r="108" spans="1:38" ht="13">
      <c r="A108" s="421"/>
      <c r="B108" s="418"/>
      <c r="C108" s="419"/>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row>
    <row r="109" spans="1:38" ht="13">
      <c r="A109" s="421"/>
      <c r="B109" s="422" t="s">
        <v>668</v>
      </c>
      <c r="C109" s="408"/>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row>
    <row r="110" spans="1:38">
      <c r="A110" s="421"/>
      <c r="B110" s="411" t="s">
        <v>653</v>
      </c>
      <c r="C110" s="412" t="s">
        <v>654</v>
      </c>
      <c r="D110" s="423">
        <f>((D$77*D$78+0.2)/0.2)^(0.3116)</f>
        <v>62.647249992267319</v>
      </c>
      <c r="E110" s="423">
        <f t="shared" ref="E110:AL110" si="51">((E$77*E$78+0.2)/0.2)^(0.3116)</f>
        <v>63.425422199864521</v>
      </c>
      <c r="F110" s="423">
        <f t="shared" si="51"/>
        <v>64.213260517645068</v>
      </c>
      <c r="G110" s="423">
        <f t="shared" si="51"/>
        <v>65.010885012354663</v>
      </c>
      <c r="H110" s="423">
        <f t="shared" si="51"/>
        <v>60.175068040517417</v>
      </c>
      <c r="I110" s="423">
        <f t="shared" si="51"/>
        <v>60.92253188995906</v>
      </c>
      <c r="J110" s="423">
        <f t="shared" si="51"/>
        <v>61.679280408655259</v>
      </c>
      <c r="K110" s="423">
        <f t="shared" si="51"/>
        <v>62.445428925190299</v>
      </c>
      <c r="L110" s="423">
        <f t="shared" si="51"/>
        <v>63.221094200731855</v>
      </c>
      <c r="M110" s="423">
        <f t="shared" si="51"/>
        <v>64.006394446824899</v>
      </c>
      <c r="N110" s="423">
        <f t="shared" si="51"/>
        <v>64.801449343406972</v>
      </c>
      <c r="O110" s="423">
        <f t="shared" si="51"/>
        <v>65.606380057046991</v>
      </c>
      <c r="P110" s="423">
        <f t="shared" si="51"/>
        <v>66.421309259410876</v>
      </c>
      <c r="Q110" s="423">
        <f t="shared" si="51"/>
        <v>67.246361145956485</v>
      </c>
      <c r="R110" s="423">
        <f t="shared" si="51"/>
        <v>68.081661454860665</v>
      </c>
      <c r="S110" s="423">
        <f t="shared" si="51"/>
        <v>68.927337486181486</v>
      </c>
      <c r="T110" s="423">
        <f t="shared" si="51"/>
        <v>69.783518121258709</v>
      </c>
      <c r="U110" s="423">
        <f t="shared" si="51"/>
        <v>70.650333842354883</v>
      </c>
      <c r="V110" s="423">
        <f t="shared" si="51"/>
        <v>71.527916752540818</v>
      </c>
      <c r="W110" s="423">
        <f t="shared" si="51"/>
        <v>72.416400595827753</v>
      </c>
      <c r="X110" s="423">
        <f t="shared" si="51"/>
        <v>73.315920777549934</v>
      </c>
      <c r="Y110" s="423">
        <f t="shared" si="51"/>
        <v>74.226614384999962</v>
      </c>
      <c r="Z110" s="423">
        <f t="shared" si="51"/>
        <v>75.148620208320921</v>
      </c>
      <c r="AA110" s="423">
        <f t="shared" si="51"/>
        <v>76.082078761657954</v>
      </c>
      <c r="AB110" s="423">
        <f t="shared" si="51"/>
        <v>77.027132304572007</v>
      </c>
      <c r="AC110" s="423">
        <f t="shared" si="51"/>
        <v>77.983924863720745</v>
      </c>
      <c r="AD110" s="423">
        <f t="shared" si="51"/>
        <v>78.952602254807317</v>
      </c>
      <c r="AE110" s="423">
        <f t="shared" si="51"/>
        <v>79.933312104803107</v>
      </c>
      <c r="AF110" s="423">
        <f t="shared" si="51"/>
        <v>80.926203874445818</v>
      </c>
      <c r="AG110" s="423">
        <f t="shared" si="51"/>
        <v>81.931428881017169</v>
      </c>
      <c r="AH110" s="423">
        <f t="shared" si="51"/>
        <v>82.949140321403434</v>
      </c>
      <c r="AI110" s="423">
        <f t="shared" si="51"/>
        <v>83.97949329544268</v>
      </c>
      <c r="AJ110" s="423">
        <f t="shared" si="51"/>
        <v>85.022644829562068</v>
      </c>
      <c r="AK110" s="423">
        <f t="shared" si="51"/>
        <v>86.078753900708207</v>
      </c>
      <c r="AL110" s="423">
        <f t="shared" si="51"/>
        <v>87.14798146057548</v>
      </c>
    </row>
    <row r="111" spans="1:38">
      <c r="A111" s="421"/>
      <c r="B111" s="411" t="s">
        <v>655</v>
      </c>
      <c r="C111" s="412" t="s">
        <v>656</v>
      </c>
      <c r="D111" s="414">
        <f>EXP(0.2912*$D$9)</f>
        <v>1.7903300708920569</v>
      </c>
      <c r="E111" s="414">
        <f t="shared" ref="E111:AL111" si="52">EXP(0.2912*$D$9)</f>
        <v>1.7903300708920569</v>
      </c>
      <c r="F111" s="414">
        <f t="shared" si="52"/>
        <v>1.7903300708920569</v>
      </c>
      <c r="G111" s="414">
        <f t="shared" si="52"/>
        <v>1.7903300708920569</v>
      </c>
      <c r="H111" s="414">
        <f t="shared" si="52"/>
        <v>1.7903300708920569</v>
      </c>
      <c r="I111" s="414">
        <f t="shared" si="52"/>
        <v>1.7903300708920569</v>
      </c>
      <c r="J111" s="414">
        <f t="shared" si="52"/>
        <v>1.7903300708920569</v>
      </c>
      <c r="K111" s="414">
        <f t="shared" si="52"/>
        <v>1.7903300708920569</v>
      </c>
      <c r="L111" s="414">
        <f t="shared" si="52"/>
        <v>1.7903300708920569</v>
      </c>
      <c r="M111" s="414">
        <f t="shared" si="52"/>
        <v>1.7903300708920569</v>
      </c>
      <c r="N111" s="414">
        <f t="shared" si="52"/>
        <v>1.7903300708920569</v>
      </c>
      <c r="O111" s="414">
        <f t="shared" si="52"/>
        <v>1.7903300708920569</v>
      </c>
      <c r="P111" s="414">
        <f t="shared" si="52"/>
        <v>1.7903300708920569</v>
      </c>
      <c r="Q111" s="414">
        <f t="shared" si="52"/>
        <v>1.7903300708920569</v>
      </c>
      <c r="R111" s="414">
        <f t="shared" si="52"/>
        <v>1.7903300708920569</v>
      </c>
      <c r="S111" s="414">
        <f t="shared" si="52"/>
        <v>1.7903300708920569</v>
      </c>
      <c r="T111" s="414">
        <f t="shared" si="52"/>
        <v>1.7903300708920569</v>
      </c>
      <c r="U111" s="414">
        <f t="shared" si="52"/>
        <v>1.7903300708920569</v>
      </c>
      <c r="V111" s="414">
        <f t="shared" si="52"/>
        <v>1.7903300708920569</v>
      </c>
      <c r="W111" s="414">
        <f t="shared" si="52"/>
        <v>1.7903300708920569</v>
      </c>
      <c r="X111" s="414">
        <f t="shared" si="52"/>
        <v>1.7903300708920569</v>
      </c>
      <c r="Y111" s="414">
        <f t="shared" si="52"/>
        <v>1.7903300708920569</v>
      </c>
      <c r="Z111" s="414">
        <f t="shared" si="52"/>
        <v>1.7903300708920569</v>
      </c>
      <c r="AA111" s="414">
        <f t="shared" si="52"/>
        <v>1.7903300708920569</v>
      </c>
      <c r="AB111" s="414">
        <f t="shared" si="52"/>
        <v>1.7903300708920569</v>
      </c>
      <c r="AC111" s="414">
        <f t="shared" si="52"/>
        <v>1.7903300708920569</v>
      </c>
      <c r="AD111" s="414">
        <f t="shared" si="52"/>
        <v>1.7903300708920569</v>
      </c>
      <c r="AE111" s="414">
        <f t="shared" si="52"/>
        <v>1.7903300708920569</v>
      </c>
      <c r="AF111" s="414">
        <f t="shared" si="52"/>
        <v>1.7903300708920569</v>
      </c>
      <c r="AG111" s="414">
        <f t="shared" si="52"/>
        <v>1.7903300708920569</v>
      </c>
      <c r="AH111" s="414">
        <f t="shared" si="52"/>
        <v>1.7903300708920569</v>
      </c>
      <c r="AI111" s="414">
        <f t="shared" si="52"/>
        <v>1.7903300708920569</v>
      </c>
      <c r="AJ111" s="414">
        <f t="shared" si="52"/>
        <v>1.7903300708920569</v>
      </c>
      <c r="AK111" s="414">
        <f t="shared" si="52"/>
        <v>1.7903300708920569</v>
      </c>
      <c r="AL111" s="414">
        <f t="shared" si="52"/>
        <v>1.7903300708920569</v>
      </c>
    </row>
    <row r="112" spans="1:38">
      <c r="A112" s="421"/>
      <c r="B112" s="411" t="s">
        <v>657</v>
      </c>
      <c r="C112" s="416" t="s">
        <v>658</v>
      </c>
      <c r="D112" s="414">
        <v>1</v>
      </c>
      <c r="E112" s="414">
        <v>1</v>
      </c>
      <c r="F112" s="414">
        <v>1</v>
      </c>
      <c r="G112" s="414">
        <v>1</v>
      </c>
      <c r="H112" s="414">
        <v>1</v>
      </c>
      <c r="I112" s="414">
        <v>1</v>
      </c>
      <c r="J112" s="414">
        <v>1</v>
      </c>
      <c r="K112" s="414">
        <v>1</v>
      </c>
      <c r="L112" s="414">
        <v>1</v>
      </c>
      <c r="M112" s="414">
        <v>1</v>
      </c>
      <c r="N112" s="414">
        <v>1</v>
      </c>
      <c r="O112" s="414">
        <v>1</v>
      </c>
      <c r="P112" s="414">
        <v>1</v>
      </c>
      <c r="Q112" s="414">
        <v>1</v>
      </c>
      <c r="R112" s="414">
        <v>1</v>
      </c>
      <c r="S112" s="414">
        <v>1</v>
      </c>
      <c r="T112" s="414">
        <v>1</v>
      </c>
      <c r="U112" s="414">
        <v>1</v>
      </c>
      <c r="V112" s="414">
        <v>1</v>
      </c>
      <c r="W112" s="414">
        <v>1</v>
      </c>
      <c r="X112" s="414">
        <v>1</v>
      </c>
      <c r="Y112" s="414">
        <v>1</v>
      </c>
      <c r="Z112" s="414">
        <v>1</v>
      </c>
      <c r="AA112" s="414">
        <v>1</v>
      </c>
      <c r="AB112" s="414">
        <v>1</v>
      </c>
      <c r="AC112" s="414">
        <v>1</v>
      </c>
      <c r="AD112" s="414">
        <v>1</v>
      </c>
      <c r="AE112" s="414">
        <v>1</v>
      </c>
      <c r="AF112" s="414">
        <v>1</v>
      </c>
      <c r="AG112" s="414">
        <v>1</v>
      </c>
      <c r="AH112" s="414">
        <v>1</v>
      </c>
      <c r="AI112" s="414">
        <v>1</v>
      </c>
      <c r="AJ112" s="414">
        <v>1</v>
      </c>
      <c r="AK112" s="414">
        <v>1</v>
      </c>
      <c r="AL112" s="414">
        <v>1</v>
      </c>
    </row>
    <row r="113" spans="1:38">
      <c r="A113" s="421"/>
      <c r="B113" s="411" t="s">
        <v>659</v>
      </c>
      <c r="C113" s="412" t="s">
        <v>660</v>
      </c>
      <c r="D113" s="414">
        <v>1</v>
      </c>
      <c r="E113" s="414">
        <v>1</v>
      </c>
      <c r="F113" s="414">
        <v>1</v>
      </c>
      <c r="G113" s="414">
        <v>1</v>
      </c>
      <c r="H113" s="414">
        <v>1</v>
      </c>
      <c r="I113" s="414">
        <v>1</v>
      </c>
      <c r="J113" s="414">
        <v>1</v>
      </c>
      <c r="K113" s="414">
        <v>1</v>
      </c>
      <c r="L113" s="414">
        <v>1</v>
      </c>
      <c r="M113" s="414">
        <v>1</v>
      </c>
      <c r="N113" s="414">
        <v>1</v>
      </c>
      <c r="O113" s="414">
        <v>1</v>
      </c>
      <c r="P113" s="414">
        <v>1</v>
      </c>
      <c r="Q113" s="414">
        <v>1</v>
      </c>
      <c r="R113" s="414">
        <v>1</v>
      </c>
      <c r="S113" s="414">
        <v>1</v>
      </c>
      <c r="T113" s="414">
        <v>1</v>
      </c>
      <c r="U113" s="414">
        <v>1</v>
      </c>
      <c r="V113" s="414">
        <v>1</v>
      </c>
      <c r="W113" s="414">
        <v>1</v>
      </c>
      <c r="X113" s="414">
        <v>1</v>
      </c>
      <c r="Y113" s="414">
        <v>1</v>
      </c>
      <c r="Z113" s="414">
        <v>1</v>
      </c>
      <c r="AA113" s="414">
        <v>1</v>
      </c>
      <c r="AB113" s="414">
        <v>1</v>
      </c>
      <c r="AC113" s="414">
        <v>1</v>
      </c>
      <c r="AD113" s="414">
        <v>1</v>
      </c>
      <c r="AE113" s="414">
        <v>1</v>
      </c>
      <c r="AF113" s="414">
        <v>1</v>
      </c>
      <c r="AG113" s="414">
        <v>1</v>
      </c>
      <c r="AH113" s="414">
        <v>1</v>
      </c>
      <c r="AI113" s="414">
        <v>1</v>
      </c>
      <c r="AJ113" s="414">
        <v>1</v>
      </c>
      <c r="AK113" s="414">
        <v>1</v>
      </c>
      <c r="AL113" s="414">
        <v>1</v>
      </c>
    </row>
    <row r="114" spans="1:38">
      <c r="A114" s="421"/>
      <c r="B114" s="411" t="s">
        <v>661</v>
      </c>
      <c r="C114" s="412" t="s">
        <v>662</v>
      </c>
      <c r="D114" s="414">
        <v>1</v>
      </c>
      <c r="E114" s="414">
        <v>1</v>
      </c>
      <c r="F114" s="414">
        <v>1</v>
      </c>
      <c r="G114" s="414">
        <v>1</v>
      </c>
      <c r="H114" s="414">
        <v>1</v>
      </c>
      <c r="I114" s="414">
        <v>1</v>
      </c>
      <c r="J114" s="414">
        <v>1</v>
      </c>
      <c r="K114" s="414">
        <v>1</v>
      </c>
      <c r="L114" s="414">
        <v>1</v>
      </c>
      <c r="M114" s="414">
        <v>1</v>
      </c>
      <c r="N114" s="414">
        <v>1</v>
      </c>
      <c r="O114" s="414">
        <v>1</v>
      </c>
      <c r="P114" s="414">
        <v>1</v>
      </c>
      <c r="Q114" s="414">
        <v>1</v>
      </c>
      <c r="R114" s="414">
        <v>1</v>
      </c>
      <c r="S114" s="414">
        <v>1</v>
      </c>
      <c r="T114" s="414">
        <v>1</v>
      </c>
      <c r="U114" s="414">
        <v>1</v>
      </c>
      <c r="V114" s="414">
        <v>1</v>
      </c>
      <c r="W114" s="414">
        <v>1</v>
      </c>
      <c r="X114" s="414">
        <v>1</v>
      </c>
      <c r="Y114" s="414">
        <v>1</v>
      </c>
      <c r="Z114" s="414">
        <v>1</v>
      </c>
      <c r="AA114" s="414">
        <v>1</v>
      </c>
      <c r="AB114" s="414">
        <v>1</v>
      </c>
      <c r="AC114" s="414">
        <v>1</v>
      </c>
      <c r="AD114" s="414">
        <v>1</v>
      </c>
      <c r="AE114" s="414">
        <v>1</v>
      </c>
      <c r="AF114" s="414">
        <v>1</v>
      </c>
      <c r="AG114" s="414">
        <v>1</v>
      </c>
      <c r="AH114" s="414">
        <v>1</v>
      </c>
      <c r="AI114" s="414">
        <v>1</v>
      </c>
      <c r="AJ114" s="414">
        <v>1</v>
      </c>
      <c r="AK114" s="414">
        <v>1</v>
      </c>
      <c r="AL114" s="414">
        <v>1</v>
      </c>
    </row>
    <row r="115" spans="1:38">
      <c r="A115" s="421"/>
      <c r="B115" s="411" t="s">
        <v>663</v>
      </c>
      <c r="C115" s="412" t="s">
        <v>664</v>
      </c>
      <c r="D115" s="414">
        <v>1</v>
      </c>
      <c r="E115" s="414">
        <v>1</v>
      </c>
      <c r="F115" s="414">
        <v>1</v>
      </c>
      <c r="G115" s="414">
        <v>1</v>
      </c>
      <c r="H115" s="414">
        <v>1</v>
      </c>
      <c r="I115" s="414">
        <v>1</v>
      </c>
      <c r="J115" s="414">
        <v>1</v>
      </c>
      <c r="K115" s="414">
        <v>1</v>
      </c>
      <c r="L115" s="414">
        <v>1</v>
      </c>
      <c r="M115" s="414">
        <v>1</v>
      </c>
      <c r="N115" s="414">
        <v>1</v>
      </c>
      <c r="O115" s="414">
        <v>1</v>
      </c>
      <c r="P115" s="414">
        <v>1</v>
      </c>
      <c r="Q115" s="414">
        <v>1</v>
      </c>
      <c r="R115" s="414">
        <v>1</v>
      </c>
      <c r="S115" s="414">
        <v>1</v>
      </c>
      <c r="T115" s="414">
        <v>1</v>
      </c>
      <c r="U115" s="414">
        <v>1</v>
      </c>
      <c r="V115" s="414">
        <v>1</v>
      </c>
      <c r="W115" s="414">
        <v>1</v>
      </c>
      <c r="X115" s="414">
        <v>1</v>
      </c>
      <c r="Y115" s="414">
        <v>1</v>
      </c>
      <c r="Z115" s="414">
        <v>1</v>
      </c>
      <c r="AA115" s="414">
        <v>1</v>
      </c>
      <c r="AB115" s="414">
        <v>1</v>
      </c>
      <c r="AC115" s="414">
        <v>1</v>
      </c>
      <c r="AD115" s="414">
        <v>1</v>
      </c>
      <c r="AE115" s="414">
        <v>1</v>
      </c>
      <c r="AF115" s="414">
        <v>1</v>
      </c>
      <c r="AG115" s="414">
        <v>1</v>
      </c>
      <c r="AH115" s="414">
        <v>1</v>
      </c>
      <c r="AI115" s="414">
        <v>1</v>
      </c>
      <c r="AJ115" s="414">
        <v>1</v>
      </c>
      <c r="AK115" s="414">
        <v>1</v>
      </c>
      <c r="AL115" s="414">
        <v>1</v>
      </c>
    </row>
    <row r="116" spans="1:38">
      <c r="A116" s="421"/>
      <c r="B116" s="424" t="s">
        <v>665</v>
      </c>
      <c r="C116" s="425" t="s">
        <v>666</v>
      </c>
      <c r="D116" s="426">
        <f>EXP(0.1036*($D$10-1))</f>
        <v>1.1091567034898182</v>
      </c>
      <c r="E116" s="426">
        <f t="shared" ref="E116:AL116" si="53">EXP(0.1036*($D$10-1))</f>
        <v>1.1091567034898182</v>
      </c>
      <c r="F116" s="426">
        <f t="shared" si="53"/>
        <v>1.1091567034898182</v>
      </c>
      <c r="G116" s="426">
        <f t="shared" si="53"/>
        <v>1.1091567034898182</v>
      </c>
      <c r="H116" s="426">
        <f t="shared" si="53"/>
        <v>1.1091567034898182</v>
      </c>
      <c r="I116" s="426">
        <f t="shared" si="53"/>
        <v>1.1091567034898182</v>
      </c>
      <c r="J116" s="426">
        <f t="shared" si="53"/>
        <v>1.1091567034898182</v>
      </c>
      <c r="K116" s="426">
        <f t="shared" si="53"/>
        <v>1.1091567034898182</v>
      </c>
      <c r="L116" s="426">
        <f t="shared" si="53"/>
        <v>1.1091567034898182</v>
      </c>
      <c r="M116" s="426">
        <f t="shared" si="53"/>
        <v>1.1091567034898182</v>
      </c>
      <c r="N116" s="426">
        <f t="shared" si="53"/>
        <v>1.1091567034898182</v>
      </c>
      <c r="O116" s="426">
        <f t="shared" si="53"/>
        <v>1.1091567034898182</v>
      </c>
      <c r="P116" s="426">
        <f t="shared" si="53"/>
        <v>1.1091567034898182</v>
      </c>
      <c r="Q116" s="426">
        <f t="shared" si="53"/>
        <v>1.1091567034898182</v>
      </c>
      <c r="R116" s="426">
        <f t="shared" si="53"/>
        <v>1.1091567034898182</v>
      </c>
      <c r="S116" s="426">
        <f t="shared" si="53"/>
        <v>1.1091567034898182</v>
      </c>
      <c r="T116" s="426">
        <f t="shared" si="53"/>
        <v>1.1091567034898182</v>
      </c>
      <c r="U116" s="426">
        <f t="shared" si="53"/>
        <v>1.1091567034898182</v>
      </c>
      <c r="V116" s="426">
        <f t="shared" si="53"/>
        <v>1.1091567034898182</v>
      </c>
      <c r="W116" s="426">
        <f t="shared" si="53"/>
        <v>1.1091567034898182</v>
      </c>
      <c r="X116" s="426">
        <f t="shared" si="53"/>
        <v>1.1091567034898182</v>
      </c>
      <c r="Y116" s="426">
        <f t="shared" si="53"/>
        <v>1.1091567034898182</v>
      </c>
      <c r="Z116" s="426">
        <f t="shared" si="53"/>
        <v>1.1091567034898182</v>
      </c>
      <c r="AA116" s="426">
        <f t="shared" si="53"/>
        <v>1.1091567034898182</v>
      </c>
      <c r="AB116" s="426">
        <f t="shared" si="53"/>
        <v>1.1091567034898182</v>
      </c>
      <c r="AC116" s="426">
        <f t="shared" si="53"/>
        <v>1.1091567034898182</v>
      </c>
      <c r="AD116" s="426">
        <f t="shared" si="53"/>
        <v>1.1091567034898182</v>
      </c>
      <c r="AE116" s="426">
        <f t="shared" si="53"/>
        <v>1.1091567034898182</v>
      </c>
      <c r="AF116" s="426">
        <f t="shared" si="53"/>
        <v>1.1091567034898182</v>
      </c>
      <c r="AG116" s="426">
        <f t="shared" si="53"/>
        <v>1.1091567034898182</v>
      </c>
      <c r="AH116" s="426">
        <f t="shared" si="53"/>
        <v>1.1091567034898182</v>
      </c>
      <c r="AI116" s="426">
        <f t="shared" si="53"/>
        <v>1.1091567034898182</v>
      </c>
      <c r="AJ116" s="426">
        <f t="shared" si="53"/>
        <v>1.1091567034898182</v>
      </c>
      <c r="AK116" s="426">
        <f t="shared" si="53"/>
        <v>1.1091567034898182</v>
      </c>
      <c r="AL116" s="426">
        <f t="shared" si="53"/>
        <v>1.1091567034898182</v>
      </c>
    </row>
    <row r="117" spans="1:38">
      <c r="B117" s="362"/>
      <c r="C117" s="427" t="s">
        <v>290</v>
      </c>
      <c r="D117" s="415"/>
      <c r="E117" s="415"/>
      <c r="F117" s="415"/>
      <c r="G117" s="415"/>
      <c r="H117" s="1235"/>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row>
    <row r="118" spans="1:38">
      <c r="B118" s="362" t="s">
        <v>669</v>
      </c>
      <c r="C118" s="428">
        <f>$E$6</f>
        <v>3.6459999999999999E-3</v>
      </c>
      <c r="D118" s="429">
        <f>IF($D$6=$B91,$C$118*PRODUCT(D$92:D$98),IF($D$6=$B100,$C$118*PRODUCT(D$101:D$107), $C$118*PRODUCT(D$110:D$116)))</f>
        <v>0.30304430935698168</v>
      </c>
      <c r="E118" s="429">
        <f t="shared" ref="E118:AK118" si="54">IF($D$6=$B91,$C$118*PRODUCT(E$92:E$98),IF($D$6=$B100,$C$118*PRODUCT(E$101:E$107), $C$118*PRODUCT(E$110:E$116)))</f>
        <v>0.30675545011441341</v>
      </c>
      <c r="F118" s="429">
        <f t="shared" si="54"/>
        <v>0.31051211075581803</v>
      </c>
      <c r="G118" s="429">
        <f t="shared" si="54"/>
        <v>0.31431484979669427</v>
      </c>
      <c r="H118" s="429">
        <f>IF($D$6=$B91,$C$118*PRODUCT(H$92:H$98),IF($D$6=$B100,$C$118*PRODUCT(H$101:H$107), $C$118*PRODUCT(H$110:H$116)))</f>
        <v>0.28852980937191053</v>
      </c>
      <c r="I118" s="429">
        <f t="shared" si="54"/>
        <v>0.29206142361632403</v>
      </c>
      <c r="J118" s="429">
        <f t="shared" si="54"/>
        <v>0.29563635091526042</v>
      </c>
      <c r="K118" s="429">
        <f t="shared" si="54"/>
        <v>0.29925512271227078</v>
      </c>
      <c r="L118" s="429">
        <f t="shared" si="54"/>
        <v>0.30291827697149598</v>
      </c>
      <c r="M118" s="429">
        <f t="shared" si="54"/>
        <v>0.30662635825766854</v>
      </c>
      <c r="N118" s="429">
        <f t="shared" si="54"/>
        <v>0.31037991781709717</v>
      </c>
      <c r="O118" s="429">
        <f t="shared" si="54"/>
        <v>0.31417951365964547</v>
      </c>
      <c r="P118" s="429">
        <f t="shared" si="54"/>
        <v>0.31802571064171464</v>
      </c>
      <c r="Q118" s="429">
        <f t="shared" si="54"/>
        <v>0.32191908055024748</v>
      </c>
      <c r="R118" s="429">
        <f t="shared" si="54"/>
        <v>0.32586020218775974</v>
      </c>
      <c r="S118" s="429">
        <f t="shared" si="54"/>
        <v>0.32984966145841821</v>
      </c>
      <c r="T118" s="429">
        <f t="shared" si="54"/>
        <v>0.33388805145517214</v>
      </c>
      <c r="U118" s="429">
        <f t="shared" si="54"/>
        <v>0.33797597254795703</v>
      </c>
      <c r="V118" s="429">
        <f t="shared" si="54"/>
        <v>0.34211403247297678</v>
      </c>
      <c r="W118" s="429">
        <f t="shared" si="54"/>
        <v>0.34630284642308518</v>
      </c>
      <c r="X118" s="429">
        <f t="shared" si="54"/>
        <v>0.3505430371392747</v>
      </c>
      <c r="Y118" s="429">
        <f t="shared" si="54"/>
        <v>0.35483523500328701</v>
      </c>
      <c r="Z118" s="429">
        <f t="shared" si="54"/>
        <v>0.35918007813136243</v>
      </c>
      <c r="AA118" s="429">
        <f t="shared" si="54"/>
        <v>0.36357821246913724</v>
      </c>
      <c r="AB118" s="429">
        <f t="shared" si="54"/>
        <v>0.36803029188770575</v>
      </c>
      <c r="AC118" s="429">
        <f t="shared" si="54"/>
        <v>0.37253697828086485</v>
      </c>
      <c r="AD118" s="429">
        <f t="shared" si="54"/>
        <v>0.37709894166354518</v>
      </c>
      <c r="AE118" s="429">
        <f t="shared" si="54"/>
        <v>0.38171686027145568</v>
      </c>
      <c r="AF118" s="429">
        <f t="shared" si="54"/>
        <v>0.38639142066194848</v>
      </c>
      <c r="AG118" s="429">
        <f t="shared" si="54"/>
        <v>0.39112331781612197</v>
      </c>
      <c r="AH118" s="429">
        <f t="shared" si="54"/>
        <v>0.39591325524217674</v>
      </c>
      <c r="AI118" s="429">
        <f t="shared" si="54"/>
        <v>0.40076194508003754</v>
      </c>
      <c r="AJ118" s="429">
        <f t="shared" si="54"/>
        <v>0.40567010820726496</v>
      </c>
      <c r="AK118" s="429">
        <f t="shared" si="54"/>
        <v>0.41063847434625922</v>
      </c>
      <c r="AL118" s="429">
        <f t="shared" ref="AL118" si="55">IF($D$6=$B91,$C$118*PRODUCT(AL$92:AL$98),IF($D$6=$B100,$C$118*PRODUCT(AL$101:AL$107), $C$118*PRODUCT(AL$110:AL$116)))</f>
        <v>0.41566778217278488</v>
      </c>
    </row>
    <row r="119" spans="1:38">
      <c r="H119" s="1228"/>
    </row>
    <row r="120" spans="1:38" ht="13">
      <c r="B120" s="407" t="s">
        <v>670</v>
      </c>
      <c r="C120" s="396" t="s">
        <v>627</v>
      </c>
      <c r="D120" s="397">
        <v>2018</v>
      </c>
      <c r="E120" s="397">
        <v>2020</v>
      </c>
      <c r="F120" s="397">
        <v>2021</v>
      </c>
      <c r="G120" s="397">
        <v>2022</v>
      </c>
      <c r="H120" s="1238">
        <v>2023</v>
      </c>
      <c r="I120" s="397">
        <v>2024</v>
      </c>
      <c r="J120" s="397">
        <v>2025</v>
      </c>
      <c r="K120" s="397">
        <v>2026</v>
      </c>
      <c r="L120" s="397">
        <v>2027</v>
      </c>
      <c r="M120" s="397">
        <v>2028</v>
      </c>
      <c r="N120" s="397">
        <v>2029</v>
      </c>
      <c r="O120" s="397">
        <v>2030</v>
      </c>
      <c r="P120" s="397">
        <v>2031</v>
      </c>
      <c r="Q120" s="397">
        <v>2032</v>
      </c>
      <c r="R120" s="397">
        <v>2033</v>
      </c>
      <c r="S120" s="397">
        <v>2034</v>
      </c>
      <c r="T120" s="397">
        <v>2035</v>
      </c>
      <c r="U120" s="397">
        <v>2036</v>
      </c>
      <c r="V120" s="397">
        <v>2037</v>
      </c>
      <c r="W120" s="397">
        <v>2038</v>
      </c>
      <c r="X120" s="397">
        <v>2039</v>
      </c>
      <c r="Y120" s="397">
        <v>2040</v>
      </c>
      <c r="Z120" s="397">
        <v>2041</v>
      </c>
      <c r="AA120" s="397">
        <v>2042</v>
      </c>
      <c r="AB120" s="397">
        <v>2043</v>
      </c>
      <c r="AC120" s="397">
        <v>2044</v>
      </c>
      <c r="AD120" s="397">
        <v>2044</v>
      </c>
      <c r="AE120" s="397">
        <v>2044</v>
      </c>
      <c r="AF120" s="397">
        <v>2044</v>
      </c>
      <c r="AG120" s="397">
        <v>2044</v>
      </c>
      <c r="AH120" s="397">
        <v>2044</v>
      </c>
      <c r="AI120" s="397">
        <v>2044</v>
      </c>
      <c r="AJ120" s="397">
        <v>2044</v>
      </c>
      <c r="AK120" s="397">
        <v>2044</v>
      </c>
      <c r="AL120" s="397">
        <v>2044</v>
      </c>
    </row>
    <row r="121" spans="1:38">
      <c r="A121" s="366"/>
      <c r="B121" s="366" t="s">
        <v>671</v>
      </c>
      <c r="C121" s="430" t="s">
        <v>662</v>
      </c>
      <c r="D121" s="431">
        <f>D82^(-1.074)</f>
        <v>0.11486407065121609</v>
      </c>
      <c r="E121" s="431">
        <f t="shared" ref="E121:AK121" si="56">E82^(-1.074)</f>
        <v>0.11486407065121609</v>
      </c>
      <c r="F121" s="431">
        <f t="shared" si="56"/>
        <v>0.11486407065121609</v>
      </c>
      <c r="G121" s="431">
        <f t="shared" si="56"/>
        <v>0.11486407065121609</v>
      </c>
      <c r="H121" s="431">
        <f t="shared" si="56"/>
        <v>0.11486407065121609</v>
      </c>
      <c r="I121" s="431">
        <f t="shared" si="56"/>
        <v>0.11486407065121609</v>
      </c>
      <c r="J121" s="431">
        <f t="shared" si="56"/>
        <v>0.11486407065121609</v>
      </c>
      <c r="K121" s="431">
        <f t="shared" si="56"/>
        <v>0.11486407065121609</v>
      </c>
      <c r="L121" s="431">
        <f t="shared" si="56"/>
        <v>0.11486407065121609</v>
      </c>
      <c r="M121" s="431">
        <f t="shared" si="56"/>
        <v>0.11486407065121609</v>
      </c>
      <c r="N121" s="431">
        <f t="shared" si="56"/>
        <v>0.11486407065121609</v>
      </c>
      <c r="O121" s="431">
        <f t="shared" si="56"/>
        <v>0.11486407065121609</v>
      </c>
      <c r="P121" s="431">
        <f t="shared" si="56"/>
        <v>0.11486407065121609</v>
      </c>
      <c r="Q121" s="431">
        <f t="shared" si="56"/>
        <v>0.11486407065121609</v>
      </c>
      <c r="R121" s="431">
        <f t="shared" si="56"/>
        <v>0.11486407065121609</v>
      </c>
      <c r="S121" s="431">
        <f t="shared" si="56"/>
        <v>0.11486407065121609</v>
      </c>
      <c r="T121" s="431">
        <f t="shared" si="56"/>
        <v>0.11486407065121609</v>
      </c>
      <c r="U121" s="431">
        <f t="shared" si="56"/>
        <v>0.11486407065121609</v>
      </c>
      <c r="V121" s="431">
        <f t="shared" si="56"/>
        <v>0.11486407065121609</v>
      </c>
      <c r="W121" s="431">
        <f t="shared" si="56"/>
        <v>0.11486407065121609</v>
      </c>
      <c r="X121" s="431">
        <f t="shared" si="56"/>
        <v>0.11486407065121609</v>
      </c>
      <c r="Y121" s="431">
        <f t="shared" si="56"/>
        <v>0.11486407065121609</v>
      </c>
      <c r="Z121" s="431">
        <f t="shared" si="56"/>
        <v>0.11486407065121609</v>
      </c>
      <c r="AA121" s="431">
        <f t="shared" si="56"/>
        <v>0.11486407065121609</v>
      </c>
      <c r="AB121" s="431">
        <f t="shared" si="56"/>
        <v>0.11486407065121609</v>
      </c>
      <c r="AC121" s="431">
        <f t="shared" si="56"/>
        <v>0.11486407065121609</v>
      </c>
      <c r="AD121" s="431">
        <f t="shared" si="56"/>
        <v>0.11486407065121609</v>
      </c>
      <c r="AE121" s="431">
        <f t="shared" si="56"/>
        <v>0.11486407065121609</v>
      </c>
      <c r="AF121" s="431">
        <f t="shared" si="56"/>
        <v>0.11486407065121609</v>
      </c>
      <c r="AG121" s="431">
        <f t="shared" si="56"/>
        <v>0.11486407065121609</v>
      </c>
      <c r="AH121" s="431">
        <f t="shared" si="56"/>
        <v>0.11486407065121609</v>
      </c>
      <c r="AI121" s="431">
        <f t="shared" si="56"/>
        <v>0.11486407065121609</v>
      </c>
      <c r="AJ121" s="431">
        <f t="shared" si="56"/>
        <v>0.11486407065121609</v>
      </c>
      <c r="AK121" s="431">
        <f t="shared" si="56"/>
        <v>0.11486407065121609</v>
      </c>
      <c r="AL121" s="431">
        <f t="shared" ref="AL121" si="57">AL82^(-1.074)</f>
        <v>0.11486407065121609</v>
      </c>
    </row>
    <row r="122" spans="1:38">
      <c r="B122" s="358" t="s">
        <v>606</v>
      </c>
      <c r="C122" s="419" t="s">
        <v>672</v>
      </c>
      <c r="D122" s="417">
        <f>(D$17+1)^(-0.1025)</f>
        <v>0.79757663346161678</v>
      </c>
      <c r="E122" s="417">
        <f t="shared" ref="E122:AL122" si="58">(E$17+1)^(-0.1025)</f>
        <v>0.79680897246870619</v>
      </c>
      <c r="F122" s="417">
        <f t="shared" si="58"/>
        <v>0.79604116792816049</v>
      </c>
      <c r="G122" s="417">
        <f t="shared" si="58"/>
        <v>0.79527322893175478</v>
      </c>
      <c r="H122" s="417">
        <f t="shared" si="58"/>
        <v>0.79450516450092767</v>
      </c>
      <c r="I122" s="417">
        <f t="shared" si="58"/>
        <v>0.79373698358684053</v>
      </c>
      <c r="J122" s="417">
        <f t="shared" si="58"/>
        <v>0.79296869507044476</v>
      </c>
      <c r="K122" s="417">
        <f t="shared" si="58"/>
        <v>0.79220030776256189</v>
      </c>
      <c r="L122" s="417">
        <f t="shared" si="58"/>
        <v>0.79143183040396969</v>
      </c>
      <c r="M122" s="417">
        <f t="shared" si="58"/>
        <v>0.79066327166550054</v>
      </c>
      <c r="N122" s="417">
        <f t="shared" si="58"/>
        <v>0.78989464014814825</v>
      </c>
      <c r="O122" s="417">
        <f t="shared" si="58"/>
        <v>0.78912594438318295</v>
      </c>
      <c r="P122" s="417">
        <f t="shared" si="58"/>
        <v>0.78835719283227634</v>
      </c>
      <c r="Q122" s="417">
        <f t="shared" si="58"/>
        <v>0.78758839388763435</v>
      </c>
      <c r="R122" s="417">
        <f t="shared" si="58"/>
        <v>0.78681955587213903</v>
      </c>
      <c r="S122" s="417">
        <f t="shared" si="58"/>
        <v>0.78605068703949843</v>
      </c>
      <c r="T122" s="417">
        <f t="shared" si="58"/>
        <v>0.78528179557440425</v>
      </c>
      <c r="U122" s="417">
        <f t="shared" si="58"/>
        <v>0.78451288959269794</v>
      </c>
      <c r="V122" s="417">
        <f t="shared" si="58"/>
        <v>0.78374397714154387</v>
      </c>
      <c r="W122" s="417">
        <f t="shared" si="58"/>
        <v>0.78297506619961088</v>
      </c>
      <c r="X122" s="417">
        <f t="shared" si="58"/>
        <v>0.78220616467725967</v>
      </c>
      <c r="Y122" s="417">
        <f t="shared" si="58"/>
        <v>0.7814372804167391</v>
      </c>
      <c r="Z122" s="417">
        <f t="shared" si="58"/>
        <v>0.78066842119238811</v>
      </c>
      <c r="AA122" s="417">
        <f t="shared" si="58"/>
        <v>0.77989959471084491</v>
      </c>
      <c r="AB122" s="417">
        <f t="shared" si="58"/>
        <v>0.77913080861126272</v>
      </c>
      <c r="AC122" s="417">
        <f t="shared" si="58"/>
        <v>0.77836207046553207</v>
      </c>
      <c r="AD122" s="417">
        <f t="shared" si="58"/>
        <v>0.77759338777850873</v>
      </c>
      <c r="AE122" s="417">
        <f t="shared" si="58"/>
        <v>0.77682476798824884</v>
      </c>
      <c r="AF122" s="417">
        <f t="shared" si="58"/>
        <v>0.77605621846624906</v>
      </c>
      <c r="AG122" s="417">
        <f t="shared" si="58"/>
        <v>0.77528774651769194</v>
      </c>
      <c r="AH122" s="417">
        <f t="shared" si="58"/>
        <v>0.77451935938169869</v>
      </c>
      <c r="AI122" s="417">
        <f t="shared" si="58"/>
        <v>0.77375106423158546</v>
      </c>
      <c r="AJ122" s="417">
        <f t="shared" si="58"/>
        <v>0.77298286817512585</v>
      </c>
      <c r="AK122" s="417">
        <f t="shared" si="58"/>
        <v>0.77221477825481855</v>
      </c>
      <c r="AL122" s="417">
        <f t="shared" si="58"/>
        <v>0.77144680144815947</v>
      </c>
    </row>
    <row r="123" spans="1:38">
      <c r="B123" s="358" t="s">
        <v>673</v>
      </c>
      <c r="C123" s="419" t="s">
        <v>674</v>
      </c>
      <c r="D123" s="414">
        <f>(D$19+1)^(0.1025)</f>
        <v>1</v>
      </c>
      <c r="E123" s="414">
        <f t="shared" ref="E123:AL123" si="59">(E$19+1)^(0.1025)</f>
        <v>1</v>
      </c>
      <c r="F123" s="414">
        <f t="shared" si="59"/>
        <v>1</v>
      </c>
      <c r="G123" s="414">
        <f t="shared" si="59"/>
        <v>1</v>
      </c>
      <c r="H123" s="414">
        <f t="shared" si="59"/>
        <v>1</v>
      </c>
      <c r="I123" s="414">
        <f t="shared" si="59"/>
        <v>1</v>
      </c>
      <c r="J123" s="414">
        <f t="shared" si="59"/>
        <v>1</v>
      </c>
      <c r="K123" s="414">
        <f t="shared" si="59"/>
        <v>1</v>
      </c>
      <c r="L123" s="414">
        <f t="shared" si="59"/>
        <v>1</v>
      </c>
      <c r="M123" s="414">
        <f t="shared" si="59"/>
        <v>1</v>
      </c>
      <c r="N123" s="414">
        <f t="shared" si="59"/>
        <v>1</v>
      </c>
      <c r="O123" s="414">
        <f t="shared" si="59"/>
        <v>1</v>
      </c>
      <c r="P123" s="414">
        <f t="shared" si="59"/>
        <v>1</v>
      </c>
      <c r="Q123" s="414">
        <f t="shared" si="59"/>
        <v>1</v>
      </c>
      <c r="R123" s="414">
        <f t="shared" si="59"/>
        <v>1</v>
      </c>
      <c r="S123" s="414">
        <f t="shared" si="59"/>
        <v>1</v>
      </c>
      <c r="T123" s="414">
        <f t="shared" si="59"/>
        <v>1</v>
      </c>
      <c r="U123" s="414">
        <f t="shared" si="59"/>
        <v>1</v>
      </c>
      <c r="V123" s="414">
        <f t="shared" si="59"/>
        <v>1</v>
      </c>
      <c r="W123" s="414">
        <f t="shared" si="59"/>
        <v>1</v>
      </c>
      <c r="X123" s="414">
        <f t="shared" si="59"/>
        <v>1</v>
      </c>
      <c r="Y123" s="414">
        <f t="shared" si="59"/>
        <v>1</v>
      </c>
      <c r="Z123" s="414">
        <f t="shared" si="59"/>
        <v>1</v>
      </c>
      <c r="AA123" s="414">
        <f t="shared" si="59"/>
        <v>1</v>
      </c>
      <c r="AB123" s="414">
        <f t="shared" si="59"/>
        <v>1</v>
      </c>
      <c r="AC123" s="414">
        <f t="shared" si="59"/>
        <v>1</v>
      </c>
      <c r="AD123" s="414">
        <f t="shared" si="59"/>
        <v>1</v>
      </c>
      <c r="AE123" s="414">
        <f t="shared" si="59"/>
        <v>1</v>
      </c>
      <c r="AF123" s="414">
        <f t="shared" si="59"/>
        <v>1</v>
      </c>
      <c r="AG123" s="414">
        <f t="shared" si="59"/>
        <v>1</v>
      </c>
      <c r="AH123" s="414">
        <f t="shared" si="59"/>
        <v>1</v>
      </c>
      <c r="AI123" s="414">
        <f t="shared" si="59"/>
        <v>1</v>
      </c>
      <c r="AJ123" s="414">
        <f t="shared" si="59"/>
        <v>1</v>
      </c>
      <c r="AK123" s="414">
        <f t="shared" si="59"/>
        <v>1</v>
      </c>
      <c r="AL123" s="414">
        <f t="shared" si="59"/>
        <v>1</v>
      </c>
    </row>
    <row r="124" spans="1:38">
      <c r="B124" s="433" t="s">
        <v>675</v>
      </c>
      <c r="C124" s="434" t="s">
        <v>676</v>
      </c>
      <c r="D124" s="426">
        <f>EXP(0.188*$E$5)</f>
        <v>1.2068335153496053</v>
      </c>
      <c r="E124" s="426">
        <f t="shared" ref="E124:AL124" si="60">EXP(0.188*$E$5)</f>
        <v>1.2068335153496053</v>
      </c>
      <c r="F124" s="426">
        <f t="shared" si="60"/>
        <v>1.2068335153496053</v>
      </c>
      <c r="G124" s="426">
        <f t="shared" si="60"/>
        <v>1.2068335153496053</v>
      </c>
      <c r="H124" s="426">
        <f t="shared" si="60"/>
        <v>1.2068335153496053</v>
      </c>
      <c r="I124" s="426">
        <f t="shared" si="60"/>
        <v>1.2068335153496053</v>
      </c>
      <c r="J124" s="426">
        <f t="shared" si="60"/>
        <v>1.2068335153496053</v>
      </c>
      <c r="K124" s="426">
        <f t="shared" si="60"/>
        <v>1.2068335153496053</v>
      </c>
      <c r="L124" s="426">
        <f t="shared" si="60"/>
        <v>1.2068335153496053</v>
      </c>
      <c r="M124" s="426">
        <f t="shared" si="60"/>
        <v>1.2068335153496053</v>
      </c>
      <c r="N124" s="426">
        <f t="shared" si="60"/>
        <v>1.2068335153496053</v>
      </c>
      <c r="O124" s="426">
        <f t="shared" si="60"/>
        <v>1.2068335153496053</v>
      </c>
      <c r="P124" s="426">
        <f t="shared" si="60"/>
        <v>1.2068335153496053</v>
      </c>
      <c r="Q124" s="426">
        <f t="shared" si="60"/>
        <v>1.2068335153496053</v>
      </c>
      <c r="R124" s="426">
        <f t="shared" si="60"/>
        <v>1.2068335153496053</v>
      </c>
      <c r="S124" s="426">
        <f t="shared" si="60"/>
        <v>1.2068335153496053</v>
      </c>
      <c r="T124" s="426">
        <f t="shared" si="60"/>
        <v>1.2068335153496053</v>
      </c>
      <c r="U124" s="426">
        <f t="shared" si="60"/>
        <v>1.2068335153496053</v>
      </c>
      <c r="V124" s="426">
        <f t="shared" si="60"/>
        <v>1.2068335153496053</v>
      </c>
      <c r="W124" s="426">
        <f t="shared" si="60"/>
        <v>1.2068335153496053</v>
      </c>
      <c r="X124" s="426">
        <f t="shared" si="60"/>
        <v>1.2068335153496053</v>
      </c>
      <c r="Y124" s="426">
        <f t="shared" si="60"/>
        <v>1.2068335153496053</v>
      </c>
      <c r="Z124" s="426">
        <f t="shared" si="60"/>
        <v>1.2068335153496053</v>
      </c>
      <c r="AA124" s="426">
        <f t="shared" si="60"/>
        <v>1.2068335153496053</v>
      </c>
      <c r="AB124" s="426">
        <f t="shared" si="60"/>
        <v>1.2068335153496053</v>
      </c>
      <c r="AC124" s="426">
        <f t="shared" si="60"/>
        <v>1.2068335153496053</v>
      </c>
      <c r="AD124" s="426">
        <f t="shared" si="60"/>
        <v>1.2068335153496053</v>
      </c>
      <c r="AE124" s="426">
        <f t="shared" si="60"/>
        <v>1.2068335153496053</v>
      </c>
      <c r="AF124" s="426">
        <f t="shared" si="60"/>
        <v>1.2068335153496053</v>
      </c>
      <c r="AG124" s="426">
        <f t="shared" si="60"/>
        <v>1.2068335153496053</v>
      </c>
      <c r="AH124" s="426">
        <f t="shared" si="60"/>
        <v>1.2068335153496053</v>
      </c>
      <c r="AI124" s="426">
        <f t="shared" si="60"/>
        <v>1.2068335153496053</v>
      </c>
      <c r="AJ124" s="426">
        <f t="shared" si="60"/>
        <v>1.2068335153496053</v>
      </c>
      <c r="AK124" s="426">
        <f t="shared" si="60"/>
        <v>1.2068335153496053</v>
      </c>
      <c r="AL124" s="426">
        <f t="shared" si="60"/>
        <v>1.2068335153496053</v>
      </c>
    </row>
    <row r="125" spans="1:38">
      <c r="B125" s="362"/>
      <c r="C125" s="427" t="s">
        <v>290</v>
      </c>
    </row>
    <row r="126" spans="1:38">
      <c r="B126" s="362" t="s">
        <v>677</v>
      </c>
      <c r="C126" s="406">
        <v>695</v>
      </c>
      <c r="D126" s="435">
        <f>1/(1+$C$64*PRODUCT(D$59:D$62))</f>
        <v>1.2846823428953566E-2</v>
      </c>
      <c r="E126" s="435">
        <f t="shared" ref="E126:AL126" si="61">1/(1+$C$64*PRODUCT(E$59:E$62))</f>
        <v>1.2859041149429273E-2</v>
      </c>
      <c r="F126" s="435">
        <f t="shared" si="61"/>
        <v>1.2871284422039322E-2</v>
      </c>
      <c r="G126" s="435">
        <f t="shared" si="61"/>
        <v>1.2883553180992649E-2</v>
      </c>
      <c r="H126" s="435">
        <f t="shared" si="61"/>
        <v>1.289584736084585E-2</v>
      </c>
      <c r="I126" s="435">
        <f t="shared" si="61"/>
        <v>1.2908166896506283E-2</v>
      </c>
      <c r="J126" s="435">
        <f t="shared" si="61"/>
        <v>1.2920511723235115E-2</v>
      </c>
      <c r="K126" s="435">
        <f t="shared" si="61"/>
        <v>1.2932881776650215E-2</v>
      </c>
      <c r="L126" s="435">
        <f t="shared" si="61"/>
        <v>1.2945276992729026E-2</v>
      </c>
      <c r="M126" s="435">
        <f t="shared" si="61"/>
        <v>1.2957697307811268E-2</v>
      </c>
      <c r="N126" s="435">
        <f t="shared" si="61"/>
        <v>1.2970142658601587E-2</v>
      </c>
      <c r="O126" s="435">
        <f t="shared" si="61"/>
        <v>1.2982612982172088E-2</v>
      </c>
      <c r="P126" s="435">
        <f t="shared" si="61"/>
        <v>1.2995108215964795E-2</v>
      </c>
      <c r="Q126" s="435">
        <f t="shared" si="61"/>
        <v>1.3007628297794007E-2</v>
      </c>
      <c r="R126" s="435">
        <f t="shared" si="61"/>
        <v>1.3020173165848558E-2</v>
      </c>
      <c r="S126" s="435">
        <f t="shared" si="61"/>
        <v>1.3032742758694E-2</v>
      </c>
      <c r="T126" s="435">
        <f t="shared" si="61"/>
        <v>1.3045337015274685E-2</v>
      </c>
      <c r="U126" s="435">
        <f t="shared" si="61"/>
        <v>1.3057955874915778E-2</v>
      </c>
      <c r="V126" s="435">
        <f t="shared" si="61"/>
        <v>1.3070599277325174E-2</v>
      </c>
      <c r="W126" s="435">
        <f t="shared" si="61"/>
        <v>1.3083267162595303E-2</v>
      </c>
      <c r="X126" s="435">
        <f t="shared" si="61"/>
        <v>1.3095959471204914E-2</v>
      </c>
      <c r="Y126" s="435">
        <f t="shared" si="61"/>
        <v>1.3108676144020727E-2</v>
      </c>
      <c r="Z126" s="435">
        <f t="shared" si="61"/>
        <v>1.3121417122298995E-2</v>
      </c>
      <c r="AA126" s="435">
        <f t="shared" si="61"/>
        <v>1.3134182347687044E-2</v>
      </c>
      <c r="AB126" s="435">
        <f t="shared" si="61"/>
        <v>1.3146971762224686E-2</v>
      </c>
      <c r="AC126" s="435">
        <f t="shared" si="61"/>
        <v>1.3159785308345554E-2</v>
      </c>
      <c r="AD126" s="435">
        <f t="shared" si="61"/>
        <v>1.3172622928878398E-2</v>
      </c>
      <c r="AE126" s="435">
        <f t="shared" si="61"/>
        <v>1.318548456704826E-2</v>
      </c>
      <c r="AF126" s="435">
        <f t="shared" si="61"/>
        <v>1.3198370166477609E-2</v>
      </c>
      <c r="AG126" s="435">
        <f t="shared" si="61"/>
        <v>1.3211279671187398E-2</v>
      </c>
      <c r="AH126" s="435">
        <f t="shared" si="61"/>
        <v>1.3224213025598029E-2</v>
      </c>
      <c r="AI126" s="435">
        <f t="shared" si="61"/>
        <v>1.3237170174530275E-2</v>
      </c>
      <c r="AJ126" s="435">
        <f t="shared" si="61"/>
        <v>1.3250151063206107E-2</v>
      </c>
      <c r="AK126" s="435">
        <f t="shared" si="61"/>
        <v>1.3263155637249474E-2</v>
      </c>
      <c r="AL126" s="435">
        <f t="shared" si="61"/>
        <v>1.3276183842687013E-2</v>
      </c>
    </row>
    <row r="127" spans="1:38">
      <c r="H127" s="1228"/>
    </row>
    <row r="128" spans="1:38" ht="13">
      <c r="B128" s="407" t="s">
        <v>678</v>
      </c>
      <c r="C128" s="396" t="s">
        <v>627</v>
      </c>
      <c r="D128" s="397">
        <v>2018</v>
      </c>
      <c r="E128" s="397">
        <v>2020</v>
      </c>
      <c r="F128" s="397">
        <v>2021</v>
      </c>
      <c r="G128" s="397">
        <v>2022</v>
      </c>
      <c r="H128" s="1238">
        <v>2023</v>
      </c>
      <c r="I128" s="397">
        <v>2024</v>
      </c>
      <c r="J128" s="397">
        <v>2025</v>
      </c>
      <c r="K128" s="397">
        <v>2026</v>
      </c>
      <c r="L128" s="397">
        <v>2027</v>
      </c>
      <c r="M128" s="397">
        <v>2028</v>
      </c>
      <c r="N128" s="397">
        <v>2029</v>
      </c>
      <c r="O128" s="397">
        <v>2030</v>
      </c>
      <c r="P128" s="397">
        <v>2031</v>
      </c>
      <c r="Q128" s="397">
        <v>2032</v>
      </c>
      <c r="R128" s="397">
        <v>2033</v>
      </c>
      <c r="S128" s="397">
        <v>2034</v>
      </c>
      <c r="T128" s="397">
        <v>2035</v>
      </c>
      <c r="U128" s="397">
        <v>2036</v>
      </c>
      <c r="V128" s="397">
        <v>2037</v>
      </c>
      <c r="W128" s="397">
        <v>2038</v>
      </c>
      <c r="X128" s="397">
        <v>2039</v>
      </c>
      <c r="Y128" s="397">
        <v>2040</v>
      </c>
      <c r="Z128" s="397">
        <v>2041</v>
      </c>
      <c r="AA128" s="397">
        <v>2042</v>
      </c>
      <c r="AB128" s="397">
        <v>2043</v>
      </c>
      <c r="AC128" s="397">
        <v>2044</v>
      </c>
      <c r="AD128" s="397">
        <v>2044</v>
      </c>
      <c r="AE128" s="397">
        <v>2044</v>
      </c>
      <c r="AF128" s="397">
        <v>2044</v>
      </c>
      <c r="AG128" s="397">
        <v>2044</v>
      </c>
      <c r="AH128" s="397">
        <v>2044</v>
      </c>
      <c r="AI128" s="397">
        <v>2044</v>
      </c>
      <c r="AJ128" s="397">
        <v>2044</v>
      </c>
      <c r="AK128" s="397">
        <v>2044</v>
      </c>
      <c r="AL128" s="397">
        <v>2044</v>
      </c>
    </row>
    <row r="129" spans="2:38">
      <c r="B129" s="358" t="s">
        <v>679</v>
      </c>
      <c r="C129" s="436" t="s">
        <v>680</v>
      </c>
      <c r="D129" s="437">
        <f>D$64</f>
        <v>1.2846823428953566E-2</v>
      </c>
      <c r="E129" s="437">
        <f t="shared" ref="E129:AL129" si="62">E$64</f>
        <v>1.2859041149429273E-2</v>
      </c>
      <c r="F129" s="437">
        <f t="shared" si="62"/>
        <v>1.2871284422039322E-2</v>
      </c>
      <c r="G129" s="437">
        <f t="shared" si="62"/>
        <v>1.2883553180992649E-2</v>
      </c>
      <c r="H129" s="437">
        <f t="shared" si="62"/>
        <v>1.289584736084585E-2</v>
      </c>
      <c r="I129" s="437">
        <f t="shared" si="62"/>
        <v>1.2908166896506283E-2</v>
      </c>
      <c r="J129" s="437">
        <f t="shared" si="62"/>
        <v>1.2920511723235115E-2</v>
      </c>
      <c r="K129" s="437">
        <f t="shared" si="62"/>
        <v>1.2932881776650215E-2</v>
      </c>
      <c r="L129" s="437">
        <f t="shared" si="62"/>
        <v>1.2945276992729026E-2</v>
      </c>
      <c r="M129" s="437">
        <f t="shared" si="62"/>
        <v>1.2957697307811268E-2</v>
      </c>
      <c r="N129" s="437">
        <f t="shared" si="62"/>
        <v>1.2970142658601587E-2</v>
      </c>
      <c r="O129" s="437">
        <f t="shared" si="62"/>
        <v>1.2982612982172088E-2</v>
      </c>
      <c r="P129" s="437">
        <f t="shared" si="62"/>
        <v>1.2995108215964795E-2</v>
      </c>
      <c r="Q129" s="437">
        <f t="shared" si="62"/>
        <v>1.3007628297794007E-2</v>
      </c>
      <c r="R129" s="437">
        <f t="shared" si="62"/>
        <v>1.3020173165848558E-2</v>
      </c>
      <c r="S129" s="437">
        <f t="shared" si="62"/>
        <v>1.3032742758694E-2</v>
      </c>
      <c r="T129" s="437">
        <f t="shared" si="62"/>
        <v>1.3045337015274685E-2</v>
      </c>
      <c r="U129" s="437">
        <f t="shared" si="62"/>
        <v>1.3057955874915778E-2</v>
      </c>
      <c r="V129" s="437">
        <f t="shared" si="62"/>
        <v>1.3070599277325174E-2</v>
      </c>
      <c r="W129" s="437">
        <f t="shared" si="62"/>
        <v>1.3083267162595303E-2</v>
      </c>
      <c r="X129" s="437">
        <f t="shared" si="62"/>
        <v>1.3095959471204914E-2</v>
      </c>
      <c r="Y129" s="437">
        <f t="shared" si="62"/>
        <v>1.3108676144020727E-2</v>
      </c>
      <c r="Z129" s="437">
        <f t="shared" si="62"/>
        <v>1.3121417122298995E-2</v>
      </c>
      <c r="AA129" s="437">
        <f t="shared" si="62"/>
        <v>1.3134182347687044E-2</v>
      </c>
      <c r="AB129" s="437">
        <f t="shared" si="62"/>
        <v>1.3146971762224686E-2</v>
      </c>
      <c r="AC129" s="437">
        <f t="shared" si="62"/>
        <v>1.3159785308345554E-2</v>
      </c>
      <c r="AD129" s="437">
        <f t="shared" si="62"/>
        <v>1.3172622928878398E-2</v>
      </c>
      <c r="AE129" s="437">
        <f t="shared" si="62"/>
        <v>1.318548456704826E-2</v>
      </c>
      <c r="AF129" s="437">
        <f t="shared" si="62"/>
        <v>1.3198370166477609E-2</v>
      </c>
      <c r="AG129" s="437">
        <f t="shared" si="62"/>
        <v>1.3211279671187398E-2</v>
      </c>
      <c r="AH129" s="437">
        <f t="shared" si="62"/>
        <v>1.3224213025598029E-2</v>
      </c>
      <c r="AI129" s="437">
        <f t="shared" si="62"/>
        <v>1.3237170174530275E-2</v>
      </c>
      <c r="AJ129" s="437">
        <f t="shared" si="62"/>
        <v>1.3250151063206107E-2</v>
      </c>
      <c r="AK129" s="437">
        <f t="shared" si="62"/>
        <v>1.3263155637249474E-2</v>
      </c>
      <c r="AL129" s="437">
        <f t="shared" si="62"/>
        <v>1.3276183842687013E-2</v>
      </c>
    </row>
    <row r="130" spans="2:38">
      <c r="B130" s="358" t="s">
        <v>681</v>
      </c>
      <c r="C130" s="419" t="s">
        <v>682</v>
      </c>
      <c r="D130" s="414">
        <f>1-D129</f>
        <v>0.9871531765710464</v>
      </c>
      <c r="E130" s="414">
        <f t="shared" ref="E130:AK130" si="63">1-E129</f>
        <v>0.98714095885057074</v>
      </c>
      <c r="F130" s="414">
        <f t="shared" si="63"/>
        <v>0.98712871557796067</v>
      </c>
      <c r="G130" s="414">
        <f t="shared" si="63"/>
        <v>0.98711644681900734</v>
      </c>
      <c r="H130" s="414">
        <f t="shared" si="63"/>
        <v>0.98710415263915419</v>
      </c>
      <c r="I130" s="414">
        <f t="shared" si="63"/>
        <v>0.98709183310349369</v>
      </c>
      <c r="J130" s="414">
        <f t="shared" si="63"/>
        <v>0.98707948827676484</v>
      </c>
      <c r="K130" s="414">
        <f t="shared" si="63"/>
        <v>0.9870671182233498</v>
      </c>
      <c r="L130" s="414">
        <f t="shared" si="63"/>
        <v>0.98705472300727093</v>
      </c>
      <c r="M130" s="414">
        <f t="shared" si="63"/>
        <v>0.98704230269218873</v>
      </c>
      <c r="N130" s="414">
        <f t="shared" si="63"/>
        <v>0.98702985734139836</v>
      </c>
      <c r="O130" s="414">
        <f t="shared" si="63"/>
        <v>0.98701738701782793</v>
      </c>
      <c r="P130" s="414">
        <f t="shared" si="63"/>
        <v>0.98700489178403517</v>
      </c>
      <c r="Q130" s="414">
        <f t="shared" si="63"/>
        <v>0.986992371702206</v>
      </c>
      <c r="R130" s="414">
        <f t="shared" si="63"/>
        <v>0.98697982683415142</v>
      </c>
      <c r="S130" s="414">
        <f t="shared" si="63"/>
        <v>0.98696725724130596</v>
      </c>
      <c r="T130" s="414">
        <f t="shared" si="63"/>
        <v>0.98695466298472534</v>
      </c>
      <c r="U130" s="414">
        <f t="shared" si="63"/>
        <v>0.98694204412508424</v>
      </c>
      <c r="V130" s="414">
        <f t="shared" si="63"/>
        <v>0.98692940072267488</v>
      </c>
      <c r="W130" s="414">
        <f t="shared" si="63"/>
        <v>0.98691673283740466</v>
      </c>
      <c r="X130" s="414">
        <f t="shared" si="63"/>
        <v>0.9869040405287951</v>
      </c>
      <c r="Y130" s="414">
        <f t="shared" si="63"/>
        <v>0.98689132385597922</v>
      </c>
      <c r="Z130" s="414">
        <f t="shared" si="63"/>
        <v>0.98687858287770103</v>
      </c>
      <c r="AA130" s="414">
        <f t="shared" si="63"/>
        <v>0.98686581765231296</v>
      </c>
      <c r="AB130" s="414">
        <f t="shared" si="63"/>
        <v>0.98685302823777532</v>
      </c>
      <c r="AC130" s="414">
        <f t="shared" si="63"/>
        <v>0.98684021469165439</v>
      </c>
      <c r="AD130" s="414">
        <f t="shared" si="63"/>
        <v>0.98682737707112156</v>
      </c>
      <c r="AE130" s="414">
        <f t="shared" si="63"/>
        <v>0.98681451543295173</v>
      </c>
      <c r="AF130" s="414">
        <f t="shared" si="63"/>
        <v>0.98680162983352238</v>
      </c>
      <c r="AG130" s="414">
        <f t="shared" si="63"/>
        <v>0.9867887203288126</v>
      </c>
      <c r="AH130" s="414">
        <f t="shared" si="63"/>
        <v>0.98677578697440194</v>
      </c>
      <c r="AI130" s="414">
        <f t="shared" si="63"/>
        <v>0.9867628298254697</v>
      </c>
      <c r="AJ130" s="414">
        <f t="shared" si="63"/>
        <v>0.98674984893679385</v>
      </c>
      <c r="AK130" s="414">
        <f t="shared" si="63"/>
        <v>0.98673684436275055</v>
      </c>
      <c r="AL130" s="414">
        <f t="shared" ref="AL130" si="64">1-AL129</f>
        <v>0.98672381615731297</v>
      </c>
    </row>
    <row r="131" spans="2:38">
      <c r="B131" s="358" t="s">
        <v>671</v>
      </c>
      <c r="C131" s="419" t="s">
        <v>662</v>
      </c>
      <c r="D131" s="414">
        <f>D$20^(-0.2334)</f>
        <v>0.62482831374223813</v>
      </c>
      <c r="E131" s="414">
        <f t="shared" ref="E131:AL131" si="65">E$20^(-0.2334)</f>
        <v>0.62482831374223813</v>
      </c>
      <c r="F131" s="414">
        <f t="shared" si="65"/>
        <v>0.62482831374223813</v>
      </c>
      <c r="G131" s="414">
        <f t="shared" si="65"/>
        <v>0.62482831374223813</v>
      </c>
      <c r="H131" s="414">
        <f t="shared" si="65"/>
        <v>0.62482831374223813</v>
      </c>
      <c r="I131" s="414">
        <f t="shared" si="65"/>
        <v>0.62482831374223813</v>
      </c>
      <c r="J131" s="414">
        <f t="shared" si="65"/>
        <v>0.62482831374223813</v>
      </c>
      <c r="K131" s="414">
        <f t="shared" si="65"/>
        <v>0.62482831374223813</v>
      </c>
      <c r="L131" s="414">
        <f t="shared" si="65"/>
        <v>0.62482831374223813</v>
      </c>
      <c r="M131" s="414">
        <f t="shared" si="65"/>
        <v>0.62482831374223813</v>
      </c>
      <c r="N131" s="414">
        <f t="shared" si="65"/>
        <v>0.62482831374223813</v>
      </c>
      <c r="O131" s="414">
        <f t="shared" si="65"/>
        <v>0.62482831374223813</v>
      </c>
      <c r="P131" s="414">
        <f t="shared" si="65"/>
        <v>0.62482831374223813</v>
      </c>
      <c r="Q131" s="414">
        <f t="shared" si="65"/>
        <v>0.62482831374223813</v>
      </c>
      <c r="R131" s="414">
        <f t="shared" si="65"/>
        <v>0.62482831374223813</v>
      </c>
      <c r="S131" s="414">
        <f t="shared" si="65"/>
        <v>0.62482831374223813</v>
      </c>
      <c r="T131" s="414">
        <f t="shared" si="65"/>
        <v>0.62482831374223813</v>
      </c>
      <c r="U131" s="414">
        <f t="shared" si="65"/>
        <v>0.62482831374223813</v>
      </c>
      <c r="V131" s="414">
        <f t="shared" si="65"/>
        <v>0.62482831374223813</v>
      </c>
      <c r="W131" s="414">
        <f t="shared" si="65"/>
        <v>0.62482831374223813</v>
      </c>
      <c r="X131" s="414">
        <f t="shared" si="65"/>
        <v>0.62482831374223813</v>
      </c>
      <c r="Y131" s="414">
        <f t="shared" si="65"/>
        <v>0.62482831374223813</v>
      </c>
      <c r="Z131" s="414">
        <f t="shared" si="65"/>
        <v>0.62482831374223813</v>
      </c>
      <c r="AA131" s="414">
        <f t="shared" si="65"/>
        <v>0.62482831374223813</v>
      </c>
      <c r="AB131" s="414">
        <f t="shared" si="65"/>
        <v>0.62482831374223813</v>
      </c>
      <c r="AC131" s="414">
        <f t="shared" si="65"/>
        <v>0.62482831374223813</v>
      </c>
      <c r="AD131" s="414">
        <f t="shared" si="65"/>
        <v>0.62482831374223813</v>
      </c>
      <c r="AE131" s="414">
        <f t="shared" si="65"/>
        <v>0.62482831374223813</v>
      </c>
      <c r="AF131" s="414">
        <f t="shared" si="65"/>
        <v>0.62482831374223813</v>
      </c>
      <c r="AG131" s="414">
        <f t="shared" si="65"/>
        <v>0.62482831374223813</v>
      </c>
      <c r="AH131" s="414">
        <f t="shared" si="65"/>
        <v>0.62482831374223813</v>
      </c>
      <c r="AI131" s="414">
        <f t="shared" si="65"/>
        <v>0.62482831374223813</v>
      </c>
      <c r="AJ131" s="414">
        <f t="shared" si="65"/>
        <v>0.62482831374223813</v>
      </c>
      <c r="AK131" s="414">
        <f t="shared" si="65"/>
        <v>0.62482831374223813</v>
      </c>
      <c r="AL131" s="414">
        <f t="shared" si="65"/>
        <v>0.62482831374223813</v>
      </c>
    </row>
    <row r="132" spans="2:38">
      <c r="B132" s="358" t="s">
        <v>683</v>
      </c>
      <c r="C132" s="419" t="s">
        <v>684</v>
      </c>
      <c r="D132" s="414">
        <f>EXP(0.1176*$D$11)</f>
        <v>1.2651617757865004</v>
      </c>
      <c r="E132" s="414">
        <f t="shared" ref="E132:AL132" si="66">EXP(0.1176*$D$11)</f>
        <v>1.2651617757865004</v>
      </c>
      <c r="F132" s="414">
        <f t="shared" si="66"/>
        <v>1.2651617757865004</v>
      </c>
      <c r="G132" s="414">
        <f t="shared" si="66"/>
        <v>1.2651617757865004</v>
      </c>
      <c r="H132" s="414">
        <f t="shared" si="66"/>
        <v>1.2651617757865004</v>
      </c>
      <c r="I132" s="414">
        <f t="shared" si="66"/>
        <v>1.2651617757865004</v>
      </c>
      <c r="J132" s="414">
        <f t="shared" si="66"/>
        <v>1.2651617757865004</v>
      </c>
      <c r="K132" s="414">
        <f t="shared" si="66"/>
        <v>1.2651617757865004</v>
      </c>
      <c r="L132" s="414">
        <f t="shared" si="66"/>
        <v>1.2651617757865004</v>
      </c>
      <c r="M132" s="414">
        <f t="shared" si="66"/>
        <v>1.2651617757865004</v>
      </c>
      <c r="N132" s="414">
        <f t="shared" si="66"/>
        <v>1.2651617757865004</v>
      </c>
      <c r="O132" s="414">
        <f t="shared" si="66"/>
        <v>1.2651617757865004</v>
      </c>
      <c r="P132" s="414">
        <f t="shared" si="66"/>
        <v>1.2651617757865004</v>
      </c>
      <c r="Q132" s="414">
        <f t="shared" si="66"/>
        <v>1.2651617757865004</v>
      </c>
      <c r="R132" s="414">
        <f t="shared" si="66"/>
        <v>1.2651617757865004</v>
      </c>
      <c r="S132" s="414">
        <f t="shared" si="66"/>
        <v>1.2651617757865004</v>
      </c>
      <c r="T132" s="414">
        <f t="shared" si="66"/>
        <v>1.2651617757865004</v>
      </c>
      <c r="U132" s="414">
        <f t="shared" si="66"/>
        <v>1.2651617757865004</v>
      </c>
      <c r="V132" s="414">
        <f t="shared" si="66"/>
        <v>1.2651617757865004</v>
      </c>
      <c r="W132" s="414">
        <f t="shared" si="66"/>
        <v>1.2651617757865004</v>
      </c>
      <c r="X132" s="414">
        <f t="shared" si="66"/>
        <v>1.2651617757865004</v>
      </c>
      <c r="Y132" s="414">
        <f t="shared" si="66"/>
        <v>1.2651617757865004</v>
      </c>
      <c r="Z132" s="414">
        <f t="shared" si="66"/>
        <v>1.2651617757865004</v>
      </c>
      <c r="AA132" s="414">
        <f t="shared" si="66"/>
        <v>1.2651617757865004</v>
      </c>
      <c r="AB132" s="414">
        <f t="shared" si="66"/>
        <v>1.2651617757865004</v>
      </c>
      <c r="AC132" s="414">
        <f t="shared" si="66"/>
        <v>1.2651617757865004</v>
      </c>
      <c r="AD132" s="414">
        <f t="shared" si="66"/>
        <v>1.2651617757865004</v>
      </c>
      <c r="AE132" s="414">
        <f t="shared" si="66"/>
        <v>1.2651617757865004</v>
      </c>
      <c r="AF132" s="414">
        <f t="shared" si="66"/>
        <v>1.2651617757865004</v>
      </c>
      <c r="AG132" s="414">
        <f t="shared" si="66"/>
        <v>1.2651617757865004</v>
      </c>
      <c r="AH132" s="414">
        <f t="shared" si="66"/>
        <v>1.2651617757865004</v>
      </c>
      <c r="AI132" s="414">
        <f t="shared" si="66"/>
        <v>1.2651617757865004</v>
      </c>
      <c r="AJ132" s="414">
        <f t="shared" si="66"/>
        <v>1.2651617757865004</v>
      </c>
      <c r="AK132" s="414">
        <f t="shared" si="66"/>
        <v>1.2651617757865004</v>
      </c>
      <c r="AL132" s="414">
        <f t="shared" si="66"/>
        <v>1.2651617757865004</v>
      </c>
    </row>
    <row r="133" spans="2:38">
      <c r="B133" s="433" t="s">
        <v>675</v>
      </c>
      <c r="C133" s="434" t="s">
        <v>676</v>
      </c>
      <c r="D133" s="426">
        <f>EXP(0.1844*$E$5)</f>
        <v>1.2024967255996286</v>
      </c>
      <c r="E133" s="426">
        <f t="shared" ref="E133:AL133" si="67">EXP(0.1844*$E$5)</f>
        <v>1.2024967255996286</v>
      </c>
      <c r="F133" s="426">
        <f t="shared" si="67"/>
        <v>1.2024967255996286</v>
      </c>
      <c r="G133" s="426">
        <f t="shared" si="67"/>
        <v>1.2024967255996286</v>
      </c>
      <c r="H133" s="426">
        <f t="shared" si="67"/>
        <v>1.2024967255996286</v>
      </c>
      <c r="I133" s="426">
        <f t="shared" si="67"/>
        <v>1.2024967255996286</v>
      </c>
      <c r="J133" s="426">
        <f t="shared" si="67"/>
        <v>1.2024967255996286</v>
      </c>
      <c r="K133" s="426">
        <f t="shared" si="67"/>
        <v>1.2024967255996286</v>
      </c>
      <c r="L133" s="426">
        <f t="shared" si="67"/>
        <v>1.2024967255996286</v>
      </c>
      <c r="M133" s="426">
        <f t="shared" si="67"/>
        <v>1.2024967255996286</v>
      </c>
      <c r="N133" s="426">
        <f t="shared" si="67"/>
        <v>1.2024967255996286</v>
      </c>
      <c r="O133" s="426">
        <f t="shared" si="67"/>
        <v>1.2024967255996286</v>
      </c>
      <c r="P133" s="426">
        <f t="shared" si="67"/>
        <v>1.2024967255996286</v>
      </c>
      <c r="Q133" s="426">
        <f t="shared" si="67"/>
        <v>1.2024967255996286</v>
      </c>
      <c r="R133" s="426">
        <f t="shared" si="67"/>
        <v>1.2024967255996286</v>
      </c>
      <c r="S133" s="426">
        <f t="shared" si="67"/>
        <v>1.2024967255996286</v>
      </c>
      <c r="T133" s="426">
        <f t="shared" si="67"/>
        <v>1.2024967255996286</v>
      </c>
      <c r="U133" s="426">
        <f t="shared" si="67"/>
        <v>1.2024967255996286</v>
      </c>
      <c r="V133" s="426">
        <f t="shared" si="67"/>
        <v>1.2024967255996286</v>
      </c>
      <c r="W133" s="426">
        <f t="shared" si="67"/>
        <v>1.2024967255996286</v>
      </c>
      <c r="X133" s="426">
        <f t="shared" si="67"/>
        <v>1.2024967255996286</v>
      </c>
      <c r="Y133" s="426">
        <f t="shared" si="67"/>
        <v>1.2024967255996286</v>
      </c>
      <c r="Z133" s="426">
        <f t="shared" si="67"/>
        <v>1.2024967255996286</v>
      </c>
      <c r="AA133" s="426">
        <f t="shared" si="67"/>
        <v>1.2024967255996286</v>
      </c>
      <c r="AB133" s="426">
        <f t="shared" si="67"/>
        <v>1.2024967255996286</v>
      </c>
      <c r="AC133" s="426">
        <f t="shared" si="67"/>
        <v>1.2024967255996286</v>
      </c>
      <c r="AD133" s="426">
        <f t="shared" si="67"/>
        <v>1.2024967255996286</v>
      </c>
      <c r="AE133" s="426">
        <f t="shared" si="67"/>
        <v>1.2024967255996286</v>
      </c>
      <c r="AF133" s="426">
        <f t="shared" si="67"/>
        <v>1.2024967255996286</v>
      </c>
      <c r="AG133" s="426">
        <f t="shared" si="67"/>
        <v>1.2024967255996286</v>
      </c>
      <c r="AH133" s="426">
        <f t="shared" si="67"/>
        <v>1.2024967255996286</v>
      </c>
      <c r="AI133" s="426">
        <f t="shared" si="67"/>
        <v>1.2024967255996286</v>
      </c>
      <c r="AJ133" s="426">
        <f t="shared" si="67"/>
        <v>1.2024967255996286</v>
      </c>
      <c r="AK133" s="426">
        <f t="shared" si="67"/>
        <v>1.2024967255996286</v>
      </c>
      <c r="AL133" s="426">
        <f t="shared" si="67"/>
        <v>1.2024967255996286</v>
      </c>
    </row>
    <row r="134" spans="2:38">
      <c r="B134" s="362"/>
      <c r="C134" s="427" t="s">
        <v>290</v>
      </c>
    </row>
    <row r="135" spans="2:38">
      <c r="B135" s="362" t="s">
        <v>685</v>
      </c>
      <c r="C135" s="438">
        <v>4.28</v>
      </c>
      <c r="D135" s="435">
        <f>D$130/(1+$C$135*PRODUCT(D$131:D$133))</f>
        <v>0.19476234937753106</v>
      </c>
      <c r="E135" s="435">
        <f t="shared" ref="E135:AL135" si="68">E$130/(1+$C$135*PRODUCT(E$131:E$133))</f>
        <v>0.1947599388580693</v>
      </c>
      <c r="F135" s="435">
        <f t="shared" si="68"/>
        <v>0.19475752329724835</v>
      </c>
      <c r="G135" s="435">
        <f t="shared" si="68"/>
        <v>0.19475510270804861</v>
      </c>
      <c r="H135" s="435">
        <f t="shared" si="68"/>
        <v>0.19475267710338187</v>
      </c>
      <c r="I135" s="435">
        <f t="shared" si="68"/>
        <v>0.19475024649609068</v>
      </c>
      <c r="J135" s="435">
        <f t="shared" si="68"/>
        <v>0.19474781089894788</v>
      </c>
      <c r="K135" s="435">
        <f t="shared" si="68"/>
        <v>0.19474537032465586</v>
      </c>
      <c r="L135" s="435">
        <f t="shared" si="68"/>
        <v>0.19474292478584601</v>
      </c>
      <c r="M135" s="435">
        <f t="shared" si="68"/>
        <v>0.1947404742950784</v>
      </c>
      <c r="N135" s="435">
        <f t="shared" si="68"/>
        <v>0.19473801886484093</v>
      </c>
      <c r="O135" s="435">
        <f t="shared" si="68"/>
        <v>0.19473555850754914</v>
      </c>
      <c r="P135" s="435">
        <f t="shared" si="68"/>
        <v>0.19473309323554552</v>
      </c>
      <c r="Q135" s="435">
        <f t="shared" si="68"/>
        <v>0.19473062306109912</v>
      </c>
      <c r="R135" s="435">
        <f t="shared" si="68"/>
        <v>0.19472814799640509</v>
      </c>
      <c r="S135" s="435">
        <f t="shared" si="68"/>
        <v>0.19472566805358424</v>
      </c>
      <c r="T135" s="435">
        <f t="shared" si="68"/>
        <v>0.19472318324468271</v>
      </c>
      <c r="U135" s="435">
        <f t="shared" si="68"/>
        <v>0.19472069358167146</v>
      </c>
      <c r="V135" s="435">
        <f t="shared" si="68"/>
        <v>0.19471819907644591</v>
      </c>
      <c r="W135" s="435">
        <f t="shared" si="68"/>
        <v>0.19471569974082564</v>
      </c>
      <c r="X135" s="435">
        <f t="shared" si="68"/>
        <v>0.19471319558655403</v>
      </c>
      <c r="Y135" s="435">
        <f t="shared" si="68"/>
        <v>0.19471068662529792</v>
      </c>
      <c r="Z135" s="435">
        <f t="shared" si="68"/>
        <v>0.19470817286864725</v>
      </c>
      <c r="AA135" s="435">
        <f t="shared" si="68"/>
        <v>0.19470565432811482</v>
      </c>
      <c r="AB135" s="435">
        <f t="shared" si="68"/>
        <v>0.19470313101513601</v>
      </c>
      <c r="AC135" s="435">
        <f t="shared" si="68"/>
        <v>0.19470060294106847</v>
      </c>
      <c r="AD135" s="435">
        <f t="shared" si="68"/>
        <v>0.19469807011719198</v>
      </c>
      <c r="AE135" s="435">
        <f t="shared" si="68"/>
        <v>0.19469553255470801</v>
      </c>
      <c r="AF135" s="435">
        <f t="shared" si="68"/>
        <v>0.19469299026473966</v>
      </c>
      <c r="AG135" s="435">
        <f t="shared" si="68"/>
        <v>0.19469044325833149</v>
      </c>
      <c r="AH135" s="435">
        <f t="shared" si="68"/>
        <v>0.19468789154644914</v>
      </c>
      <c r="AI135" s="435">
        <f t="shared" si="68"/>
        <v>0.19468533513997935</v>
      </c>
      <c r="AJ135" s="435">
        <f t="shared" si="68"/>
        <v>0.19468277404972958</v>
      </c>
      <c r="AK135" s="435">
        <f t="shared" si="68"/>
        <v>0.19468020828642818</v>
      </c>
      <c r="AL135" s="435">
        <f t="shared" si="68"/>
        <v>0.19467763786072381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tabColor theme="4" tint="0.39997558519241921"/>
  </sheetPr>
  <dimension ref="A1:AL53"/>
  <sheetViews>
    <sheetView showGridLines="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Inputs'!$G$49</f>
        <v>2000 South</v>
      </c>
      <c r="B1" s="1177"/>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Demand!F21</f>
        <v>1170.2572699256787</v>
      </c>
      <c r="E6" s="383">
        <f>Demand!G21</f>
        <v>1204.7729396586369</v>
      </c>
      <c r="F6" s="383">
        <f>Demand!H21</f>
        <v>1240.3066175576032</v>
      </c>
      <c r="G6" s="383">
        <f>Demand!I21</f>
        <v>1276.8883288439938</v>
      </c>
      <c r="H6" s="383">
        <f>Demand!J21</f>
        <v>1314.5489843057178</v>
      </c>
      <c r="I6" s="383">
        <f>Demand!K21</f>
        <v>1353.3204064161509</v>
      </c>
      <c r="J6" s="383">
        <f>Demand!L21</f>
        <v>1393.2353562234694</v>
      </c>
      <c r="K6" s="383">
        <f>Demand!M21</f>
        <v>1434.3275610330525</v>
      </c>
      <c r="L6" s="383">
        <f>Demand!N21</f>
        <v>1476.6317429063604</v>
      </c>
      <c r="M6" s="383">
        <f>Demand!O21</f>
        <v>1520.1836480003531</v>
      </c>
      <c r="N6" s="383">
        <f>Demand!P21</f>
        <v>1565.0200767722558</v>
      </c>
      <c r="O6" s="383">
        <f>Demand!Q21</f>
        <v>1611.1789150751795</v>
      </c>
      <c r="P6" s="383">
        <f>Demand!R21</f>
        <v>1658.6991661708832</v>
      </c>
      <c r="Q6" s="383">
        <f>Demand!S21</f>
        <v>1707.620983686722</v>
      </c>
      <c r="R6" s="383">
        <f>Demand!T21</f>
        <v>1757.9857055446284</v>
      </c>
      <c r="S6" s="383">
        <f>Demand!U21</f>
        <v>1809.8358888908033</v>
      </c>
      <c r="T6" s="383">
        <f>Demand!V21</f>
        <v>1863.2153460556174</v>
      </c>
      <c r="U6" s="383">
        <f>Demand!W21</f>
        <v>1918.1691815741262</v>
      </c>
      <c r="V6" s="383">
        <f>Demand!X21</f>
        <v>1974.7438302984672</v>
      </c>
      <c r="W6" s="383">
        <f>Demand!Y21</f>
        <v>2032.9870966343453</v>
      </c>
      <c r="X6" s="383">
        <f>Demand!Z21</f>
        <v>2092.9481949347673</v>
      </c>
      <c r="Y6" s="383">
        <f>Demand!AA21</f>
        <v>2154.6777910851483</v>
      </c>
      <c r="Z6" s="383">
        <f>Demand!AB21</f>
        <v>2218.2280453149369</v>
      </c>
      <c r="AA6" s="383">
        <f>Demand!AC21</f>
        <v>2283.6526562719264</v>
      </c>
      <c r="AB6" s="383">
        <f>Demand!AD21</f>
        <v>2351.0069063965002</v>
      </c>
      <c r="AC6" s="383">
        <f>Demand!AE21</f>
        <v>2420.3477086341472</v>
      </c>
      <c r="AD6" s="383">
        <f>Demand!AF21</f>
        <v>2491.7336545257235</v>
      </c>
      <c r="AE6" s="383">
        <f>Demand!AG21</f>
        <v>2565.2250637160887</v>
      </c>
      <c r="AF6" s="383">
        <f>Demand!AH21</f>
        <v>2640.8840349229536</v>
      </c>
      <c r="AG6" s="383">
        <f>Demand!AI21</f>
        <v>2718.7744984090141</v>
      </c>
      <c r="AH6" s="383">
        <f>Demand!AJ21</f>
        <v>2798.9622700016953</v>
      </c>
      <c r="AI6" s="383">
        <f>Demand!AK21</f>
        <v>2881.5151067061624</v>
      </c>
      <c r="AJ6" s="383">
        <f>Demand!AL21</f>
        <v>2966.5027639585855</v>
      </c>
      <c r="AK6" s="383">
        <f>Demand!AM21</f>
        <v>3053.997054568038</v>
      </c>
      <c r="AL6" s="383">
        <f>Demand!AN21</f>
        <v>3144.0719093968332</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Demand!F44</f>
        <v>8.0848515288584082</v>
      </c>
      <c r="E10" s="383">
        <f>Demand!G44</f>
        <v>8.1706030304605175</v>
      </c>
      <c r="F10" s="383">
        <f>Demand!H44</f>
        <v>8.2572640503142321</v>
      </c>
      <c r="G10" s="383">
        <f>Demand!I44</f>
        <v>8.3448442351713243</v>
      </c>
      <c r="H10" s="383">
        <f>Demand!J44</f>
        <v>8.4333533341012696</v>
      </c>
      <c r="I10" s="383">
        <f>Demand!K44</f>
        <v>8.5228011995764756</v>
      </c>
      <c r="J10" s="383">
        <f>Demand!L44</f>
        <v>8.6131977885690176</v>
      </c>
      <c r="K10" s="383">
        <f>Demand!M44</f>
        <v>8.7045531636590106</v>
      </c>
      <c r="L10" s="383">
        <f>Demand!N44</f>
        <v>8.7968774941547299</v>
      </c>
      <c r="M10" s="383">
        <f>Demand!O44</f>
        <v>8.8901810572246251</v>
      </c>
      <c r="N10" s="383">
        <f>Demand!P44</f>
        <v>8.9844742390413206</v>
      </c>
      <c r="O10" s="383">
        <f>Demand!Q44</f>
        <v>9.0797675359377763</v>
      </c>
      <c r="P10" s="383">
        <f>Demand!R44</f>
        <v>9.1760715555756835</v>
      </c>
      <c r="Q10" s="383">
        <f>Demand!S44</f>
        <v>9.2733970181262784</v>
      </c>
      <c r="R10" s="383">
        <f>Demand!T44</f>
        <v>9.3717547574636537</v>
      </c>
      <c r="S10" s="383">
        <f>Demand!U44</f>
        <v>9.4711557223707619</v>
      </c>
      <c r="T10" s="383">
        <f>Demand!V44</f>
        <v>9.5716109777581639</v>
      </c>
      <c r="U10" s="383">
        <f>Demand!W44</f>
        <v>9.6731317058957522</v>
      </c>
      <c r="V10" s="383">
        <f>Demand!X44</f>
        <v>9.775729207657502</v>
      </c>
      <c r="W10" s="383">
        <f>Demand!Y44</f>
        <v>9.8794149037794448</v>
      </c>
      <c r="X10" s="383">
        <f>Demand!Z44</f>
        <v>9.9842003361309732</v>
      </c>
      <c r="Y10" s="383">
        <f>Demand!AA44</f>
        <v>10.090097168999641</v>
      </c>
      <c r="Z10" s="383">
        <f>Demand!AB44</f>
        <v>10.19711719038958</v>
      </c>
      <c r="AA10" s="383">
        <f>Demand!AC44</f>
        <v>10.305272313333695</v>
      </c>
      <c r="AB10" s="383">
        <f>Demand!AD44</f>
        <v>10.414574577219767</v>
      </c>
      <c r="AC10" s="383">
        <f>Demand!AE44</f>
        <v>10.525036149130644</v>
      </c>
      <c r="AD10" s="383">
        <f>Demand!AF44</f>
        <v>10.636669325198612</v>
      </c>
      <c r="AE10" s="383">
        <f>Demand!AG44</f>
        <v>10.749486531974167</v>
      </c>
      <c r="AF10" s="383">
        <f>Demand!AH44</f>
        <v>10.863500327809277</v>
      </c>
      <c r="AG10" s="383">
        <f>Demand!AI44</f>
        <v>10.978723404255332</v>
      </c>
      <c r="AH10" s="383">
        <f>Demand!AJ44</f>
        <v>11.095168587475913</v>
      </c>
      <c r="AI10" s="383">
        <f>Demand!AK44</f>
        <v>11.212848839674553</v>
      </c>
      <c r="AJ10" s="383">
        <f>Demand!AL44</f>
        <v>11.331777260537629</v>
      </c>
      <c r="AK10" s="383">
        <f>Demand!AM44</f>
        <v>11.451967088692575</v>
      </c>
      <c r="AL10" s="383">
        <f>Demand!AN44</f>
        <v>11.573431703181543</v>
      </c>
    </row>
    <row r="11" spans="1:38">
      <c r="B11" s="363" t="s">
        <v>645</v>
      </c>
      <c r="C11" s="358" t="s">
        <v>1054</v>
      </c>
      <c r="D11" s="383">
        <f>Demand!F45</f>
        <v>4.0424257644292041</v>
      </c>
      <c r="E11" s="383">
        <f>Demand!G45</f>
        <v>4.0853015152302588</v>
      </c>
      <c r="F11" s="383">
        <f>Demand!H45</f>
        <v>4.128632025157116</v>
      </c>
      <c r="G11" s="383">
        <f>Demand!I45</f>
        <v>4.1724221175856622</v>
      </c>
      <c r="H11" s="383">
        <f>Demand!J45</f>
        <v>4.2166766670506348</v>
      </c>
      <c r="I11" s="383">
        <f>Demand!K45</f>
        <v>4.2614005997882378</v>
      </c>
      <c r="J11" s="383">
        <f>Demand!L45</f>
        <v>4.3065988942845088</v>
      </c>
      <c r="K11" s="383">
        <f>Demand!M45</f>
        <v>4.3522765818295053</v>
      </c>
      <c r="L11" s="383">
        <f>Demand!N45</f>
        <v>4.3984387470773649</v>
      </c>
      <c r="M11" s="383">
        <f>Demand!O45</f>
        <v>4.4450905286123126</v>
      </c>
      <c r="N11" s="383">
        <f>Demand!P45</f>
        <v>4.4922371195206603</v>
      </c>
      <c r="O11" s="383">
        <f>Demand!Q45</f>
        <v>4.5398837679688882</v>
      </c>
      <c r="P11" s="383">
        <f>Demand!R45</f>
        <v>4.5880357777878418</v>
      </c>
      <c r="Q11" s="383">
        <f>Demand!S45</f>
        <v>4.6366985090631392</v>
      </c>
      <c r="R11" s="383">
        <f>Demand!T45</f>
        <v>4.6858773787318269</v>
      </c>
      <c r="S11" s="383">
        <f>Demand!U45</f>
        <v>4.7355778611853809</v>
      </c>
      <c r="T11" s="383">
        <f>Demand!V45</f>
        <v>4.785805488879082</v>
      </c>
      <c r="U11" s="383">
        <f>Demand!W45</f>
        <v>4.8365658529478761</v>
      </c>
      <c r="V11" s="383">
        <f>Demand!X45</f>
        <v>4.887864603828751</v>
      </c>
      <c r="W11" s="383">
        <f>Demand!Y45</f>
        <v>4.9397074518897224</v>
      </c>
      <c r="X11" s="383">
        <f>Demand!Z45</f>
        <v>4.9921001680654866</v>
      </c>
      <c r="Y11" s="383">
        <f>Demand!AA45</f>
        <v>5.0450485844998205</v>
      </c>
      <c r="Z11" s="383">
        <f>Demand!AB45</f>
        <v>5.09855859519479</v>
      </c>
      <c r="AA11" s="383">
        <f>Demand!AC45</f>
        <v>5.1526361566668477</v>
      </c>
      <c r="AB11" s="383">
        <f>Demand!AD45</f>
        <v>5.2072872886098835</v>
      </c>
      <c r="AC11" s="383">
        <f>Demand!AE45</f>
        <v>5.2625180745653219</v>
      </c>
      <c r="AD11" s="383">
        <f>Demand!AF45</f>
        <v>5.3183346625993062</v>
      </c>
      <c r="AE11" s="383">
        <f>Demand!AG45</f>
        <v>5.3747432659870835</v>
      </c>
      <c r="AF11" s="383">
        <f>Demand!AH45</f>
        <v>5.4317501639046384</v>
      </c>
      <c r="AG11" s="383">
        <f>Demand!AI45</f>
        <v>5.4893617021276659</v>
      </c>
      <c r="AH11" s="383">
        <f>Demand!AJ45</f>
        <v>5.5475842937379563</v>
      </c>
      <c r="AI11" s="383">
        <f>Demand!AK45</f>
        <v>5.6064244198372766</v>
      </c>
      <c r="AJ11" s="383">
        <f>Demand!AL45</f>
        <v>5.6658886302688147</v>
      </c>
      <c r="AK11" s="383">
        <f>Demand!AM45</f>
        <v>5.7259835443462874</v>
      </c>
      <c r="AL11" s="383">
        <f>Demand!AN45</f>
        <v>5.7867158515907713</v>
      </c>
    </row>
    <row r="13" spans="1:38" ht="13">
      <c r="B13" s="502" t="s">
        <v>1059</v>
      </c>
      <c r="C13" s="497">
        <f>IF('Crossing Inputs'!$C$11&gt;0, 'Crossing Inputs'!$C$20/Feet.Per.Mile/'Crossing Inputs'!$G$59*60+IF('Crossing Inputs'!$G$53="Passive",0,'Crossing Inputs'!$C$21),0)</f>
        <v>9.5</v>
      </c>
    </row>
    <row r="14" spans="1:38">
      <c r="B14" s="571" t="s">
        <v>1058</v>
      </c>
      <c r="C14" s="572" t="s">
        <v>15</v>
      </c>
      <c r="D14" s="570">
        <f t="shared" ref="D14:AL14" si="2">(D$10*$C$13)/Minutes.Per.Day</f>
        <v>5.3337562169552002E-2</v>
      </c>
      <c r="E14" s="570">
        <f t="shared" si="2"/>
        <v>5.3903283881510361E-2</v>
      </c>
      <c r="F14" s="570">
        <f t="shared" si="2"/>
        <v>5.4475005887489727E-2</v>
      </c>
      <c r="G14" s="570">
        <f t="shared" si="2"/>
        <v>5.5052791829255265E-2</v>
      </c>
      <c r="H14" s="570">
        <f t="shared" si="2"/>
        <v>5.5636706023584767E-2</v>
      </c>
      <c r="I14" s="570">
        <f t="shared" si="2"/>
        <v>5.6226813469428136E-2</v>
      </c>
      <c r="J14" s="570">
        <f t="shared" si="2"/>
        <v>5.6823179855142826E-2</v>
      </c>
      <c r="K14" s="570">
        <f t="shared" si="2"/>
        <v>5.7425871565805968E-2</v>
      </c>
      <c r="L14" s="570">
        <f t="shared" si="2"/>
        <v>5.8034955690604122E-2</v>
      </c>
      <c r="M14" s="570">
        <f t="shared" si="2"/>
        <v>5.8650500030301346E-2</v>
      </c>
      <c r="N14" s="570">
        <f t="shared" si="2"/>
        <v>5.9272573104786494E-2</v>
      </c>
      <c r="O14" s="570">
        <f t="shared" si="2"/>
        <v>5.9901244160700605E-2</v>
      </c>
      <c r="P14" s="570">
        <f t="shared" si="2"/>
        <v>6.0536583179145134E-2</v>
      </c>
      <c r="Q14" s="570">
        <f t="shared" si="2"/>
        <v>6.1178660883471972E-2</v>
      </c>
      <c r="R14" s="570">
        <f t="shared" si="2"/>
        <v>6.1827548747156048E-2</v>
      </c>
      <c r="S14" s="570">
        <f t="shared" si="2"/>
        <v>6.2483319001751553E-2</v>
      </c>
      <c r="T14" s="570">
        <f t="shared" si="2"/>
        <v>6.3146044644932328E-2</v>
      </c>
      <c r="U14" s="570">
        <f t="shared" si="2"/>
        <v>6.3815799448617802E-2</v>
      </c>
      <c r="V14" s="570">
        <f t="shared" si="2"/>
        <v>6.449265796718491E-2</v>
      </c>
      <c r="W14" s="570">
        <f t="shared" si="2"/>
        <v>6.5176695545767174E-2</v>
      </c>
      <c r="X14" s="570">
        <f t="shared" si="2"/>
        <v>6.5867988328641838E-2</v>
      </c>
      <c r="Y14" s="570">
        <f t="shared" si="2"/>
        <v>6.6566613267705965E-2</v>
      </c>
      <c r="Z14" s="570">
        <f t="shared" si="2"/>
        <v>6.7272648131042362E-2</v>
      </c>
      <c r="AA14" s="570">
        <f t="shared" si="2"/>
        <v>6.798617151157646E-2</v>
      </c>
      <c r="AB14" s="570">
        <f t="shared" si="2"/>
        <v>6.8707262835824859E-2</v>
      </c>
      <c r="AC14" s="570">
        <f t="shared" si="2"/>
        <v>6.943600237273688E-2</v>
      </c>
      <c r="AD14" s="570">
        <f t="shared" si="2"/>
        <v>7.0172471242629736E-2</v>
      </c>
      <c r="AE14" s="570">
        <f t="shared" si="2"/>
        <v>7.0916751426218463E-2</v>
      </c>
      <c r="AF14" s="570">
        <f t="shared" si="2"/>
        <v>7.166892577374176E-2</v>
      </c>
      <c r="AG14" s="570">
        <f t="shared" si="2"/>
        <v>7.2429078014184481E-2</v>
      </c>
      <c r="AH14" s="570">
        <f t="shared" si="2"/>
        <v>7.3197292764598035E-2</v>
      </c>
      <c r="AI14" s="570">
        <f t="shared" si="2"/>
        <v>7.3973655539519623E-2</v>
      </c>
      <c r="AJ14" s="570">
        <f t="shared" si="2"/>
        <v>7.4758252760491306E-2</v>
      </c>
      <c r="AK14" s="570">
        <f t="shared" si="2"/>
        <v>7.5551171765680186E-2</v>
      </c>
      <c r="AL14" s="570">
        <f t="shared" si="2"/>
        <v>7.6352500819600447E-2</v>
      </c>
    </row>
    <row r="16" spans="1:38">
      <c r="B16" s="573" t="s">
        <v>1055</v>
      </c>
      <c r="C16" s="574" t="s">
        <v>505</v>
      </c>
      <c r="D16" s="383">
        <f t="shared" ref="D16:AK16" si="3">D6*D14</f>
        <v>62.418669889031086</v>
      </c>
      <c r="E16" s="383">
        <f t="shared" si="3"/>
        <v>64.941217779181258</v>
      </c>
      <c r="F16" s="383">
        <f t="shared" si="3"/>
        <v>67.56571029374291</v>
      </c>
      <c r="G16" s="383">
        <f t="shared" si="3"/>
        <v>70.296267357054035</v>
      </c>
      <c r="H16" s="383">
        <f t="shared" si="3"/>
        <v>73.13717539341917</v>
      </c>
      <c r="I16" s="383">
        <f t="shared" si="3"/>
        <v>76.092894055931595</v>
      </c>
      <c r="J16" s="383">
        <f t="shared" si="3"/>
        <v>79.168063227230178</v>
      </c>
      <c r="K16" s="383">
        <f t="shared" si="3"/>
        <v>82.367510303179785</v>
      </c>
      <c r="L16" s="383">
        <f t="shared" si="3"/>
        <v>85.696257770910165</v>
      </c>
      <c r="M16" s="383">
        <f t="shared" si="3"/>
        <v>89.159531093108313</v>
      </c>
      <c r="N16" s="383">
        <f t="shared" si="3"/>
        <v>92.762766910942105</v>
      </c>
      <c r="O16" s="383">
        <f t="shared" si="3"/>
        <v>96.511621578491031</v>
      </c>
      <c r="P16" s="383">
        <f t="shared" si="3"/>
        <v>100.41198004208235</v>
      </c>
      <c r="Q16" s="383">
        <f t="shared" si="3"/>
        <v>104.46996507847079</v>
      </c>
      <c r="R16" s="383">
        <f t="shared" si="3"/>
        <v>108.69194690636404</v>
      </c>
      <c r="S16" s="383">
        <f t="shared" si="3"/>
        <v>113.08455318638264</v>
      </c>
      <c r="T16" s="383">
        <f t="shared" si="3"/>
        <v>117.65467942515106</v>
      </c>
      <c r="U16" s="383">
        <f t="shared" si="3"/>
        <v>122.40949979985379</v>
      </c>
      <c r="V16" s="383">
        <f t="shared" si="3"/>
        <v>127.35647842024768</v>
      </c>
      <c r="W16" s="383">
        <f t="shared" si="3"/>
        <v>132.50338104580987</v>
      </c>
      <c r="X16" s="383">
        <f t="shared" si="3"/>
        <v>137.85828727641527</v>
      </c>
      <c r="Y16" s="383">
        <f t="shared" si="3"/>
        <v>143.42960323568002</v>
      </c>
      <c r="Z16" s="383">
        <f t="shared" si="3"/>
        <v>149.22607476688165</v>
      </c>
      <c r="AA16" s="383">
        <f t="shared" si="3"/>
        <v>155.25680116217035</v>
      </c>
      <c r="AB16" s="383">
        <f t="shared" si="3"/>
        <v>161.53124944662383</v>
      </c>
      <c r="AC16" s="383">
        <f t="shared" si="3"/>
        <v>168.05926923956892</v>
      </c>
      <c r="AD16" s="383">
        <f t="shared" si="3"/>
        <v>174.85110821649903</v>
      </c>
      <c r="AE16" s="383">
        <f t="shared" si="3"/>
        <v>181.91742819585929</v>
      </c>
      <c r="AF16" s="383">
        <f t="shared" si="3"/>
        <v>189.26932187595281</v>
      </c>
      <c r="AG16" s="383">
        <f t="shared" si="3"/>
        <v>196.91833024824177</v>
      </c>
      <c r="AH16" s="383">
        <f t="shared" si="3"/>
        <v>204.87646071437797</v>
      </c>
      <c r="AI16" s="383">
        <f t="shared" si="3"/>
        <v>213.15620593540379</v>
      </c>
      <c r="AJ16" s="383">
        <f t="shared" si="3"/>
        <v>221.77056344271202</v>
      </c>
      <c r="AK16" s="383">
        <f t="shared" si="3"/>
        <v>230.73305604155121</v>
      </c>
      <c r="AL16" s="383">
        <f t="shared" ref="AL16" si="4">AL6*AL14</f>
        <v>240.05775303910445</v>
      </c>
    </row>
    <row r="17" spans="2:38">
      <c r="B17" s="573" t="s">
        <v>1056</v>
      </c>
      <c r="C17" s="574" t="s">
        <v>490</v>
      </c>
      <c r="D17" s="383">
        <f>D16*$C13/2</f>
        <v>296.48868197289767</v>
      </c>
      <c r="E17" s="383">
        <f t="shared" ref="E17:AK17" si="5">E16*$C13/2</f>
        <v>308.470784451111</v>
      </c>
      <c r="F17" s="383">
        <f t="shared" si="5"/>
        <v>320.93712389527883</v>
      </c>
      <c r="G17" s="383">
        <f t="shared" si="5"/>
        <v>333.90726994600664</v>
      </c>
      <c r="H17" s="383">
        <f t="shared" si="5"/>
        <v>347.40158311874109</v>
      </c>
      <c r="I17" s="383">
        <f t="shared" si="5"/>
        <v>361.44124676567509</v>
      </c>
      <c r="J17" s="383">
        <f t="shared" si="5"/>
        <v>376.04830032934336</v>
      </c>
      <c r="K17" s="383">
        <f t="shared" si="5"/>
        <v>391.24567394010398</v>
      </c>
      <c r="L17" s="383">
        <f t="shared" si="5"/>
        <v>407.05722441182331</v>
      </c>
      <c r="M17" s="383">
        <f t="shared" si="5"/>
        <v>423.5077726922645</v>
      </c>
      <c r="N17" s="383">
        <f t="shared" si="5"/>
        <v>440.62314282697503</v>
      </c>
      <c r="O17" s="383">
        <f t="shared" si="5"/>
        <v>458.4302024978324</v>
      </c>
      <c r="P17" s="383">
        <f t="shared" si="5"/>
        <v>476.95690519989114</v>
      </c>
      <c r="Q17" s="383">
        <f t="shared" si="5"/>
        <v>496.23233412273629</v>
      </c>
      <c r="R17" s="383">
        <f t="shared" si="5"/>
        <v>516.2867478052292</v>
      </c>
      <c r="S17" s="383">
        <f t="shared" si="5"/>
        <v>537.15162763531748</v>
      </c>
      <c r="T17" s="383">
        <f t="shared" si="5"/>
        <v>558.8597272694675</v>
      </c>
      <c r="U17" s="383">
        <f t="shared" si="5"/>
        <v>581.44512404930549</v>
      </c>
      <c r="V17" s="383">
        <f t="shared" si="5"/>
        <v>604.94327249617652</v>
      </c>
      <c r="W17" s="383">
        <f t="shared" si="5"/>
        <v>629.3910599675969</v>
      </c>
      <c r="X17" s="383">
        <f t="shared" si="5"/>
        <v>654.82686456297256</v>
      </c>
      <c r="Y17" s="383">
        <f t="shared" si="5"/>
        <v>681.29061536948007</v>
      </c>
      <c r="Z17" s="383">
        <f t="shared" si="5"/>
        <v>708.82385514268788</v>
      </c>
      <c r="AA17" s="383">
        <f t="shared" si="5"/>
        <v>737.46980552030914</v>
      </c>
      <c r="AB17" s="383">
        <f t="shared" si="5"/>
        <v>767.27343487146322</v>
      </c>
      <c r="AC17" s="383">
        <f t="shared" si="5"/>
        <v>798.28152888795239</v>
      </c>
      <c r="AD17" s="383">
        <f t="shared" si="5"/>
        <v>830.54276402837036</v>
      </c>
      <c r="AE17" s="383">
        <f t="shared" si="5"/>
        <v>864.10778393033161</v>
      </c>
      <c r="AF17" s="383">
        <f t="shared" si="5"/>
        <v>899.02927891077582</v>
      </c>
      <c r="AG17" s="383">
        <f t="shared" si="5"/>
        <v>935.36206867914848</v>
      </c>
      <c r="AH17" s="383">
        <f t="shared" si="5"/>
        <v>973.1631883932954</v>
      </c>
      <c r="AI17" s="383">
        <f t="shared" si="5"/>
        <v>1012.4919781931681</v>
      </c>
      <c r="AJ17" s="383">
        <f t="shared" si="5"/>
        <v>1053.410176352882</v>
      </c>
      <c r="AK17" s="383">
        <f t="shared" si="5"/>
        <v>1095.9820161973682</v>
      </c>
      <c r="AL17" s="383">
        <f t="shared" ref="AL17" si="6">AL16*$C13/2</f>
        <v>1140.2743269357461</v>
      </c>
    </row>
    <row r="18" spans="2:38">
      <c r="B18" s="575" t="s">
        <v>1057</v>
      </c>
      <c r="C18" s="574" t="s">
        <v>443</v>
      </c>
      <c r="D18" s="383">
        <f>D17/Minutes.per.Hour*Days.Per.Year</f>
        <v>1803.6394820017942</v>
      </c>
      <c r="E18" s="383">
        <f t="shared" ref="E18:AK18" si="7">E17/Minutes.per.Hour*Days.Per.Year</f>
        <v>1876.5306054109253</v>
      </c>
      <c r="F18" s="383">
        <f t="shared" si="7"/>
        <v>1952.3675036962798</v>
      </c>
      <c r="G18" s="383">
        <f t="shared" si="7"/>
        <v>2031.2692255048739</v>
      </c>
      <c r="H18" s="383">
        <f t="shared" si="7"/>
        <v>2113.3596306390082</v>
      </c>
      <c r="I18" s="383">
        <f t="shared" si="7"/>
        <v>2198.7675844911901</v>
      </c>
      <c r="J18" s="383">
        <f t="shared" si="7"/>
        <v>2287.6271603368386</v>
      </c>
      <c r="K18" s="383">
        <f t="shared" si="7"/>
        <v>2380.0778498022992</v>
      </c>
      <c r="L18" s="383">
        <f t="shared" si="7"/>
        <v>2476.2647818385917</v>
      </c>
      <c r="M18" s="383">
        <f t="shared" si="7"/>
        <v>2576.3389505446089</v>
      </c>
      <c r="N18" s="383">
        <f t="shared" si="7"/>
        <v>2680.4574521974314</v>
      </c>
      <c r="O18" s="383">
        <f t="shared" si="7"/>
        <v>2788.7837318618135</v>
      </c>
      <c r="P18" s="383">
        <f t="shared" si="7"/>
        <v>2901.4878399660042</v>
      </c>
      <c r="Q18" s="383">
        <f t="shared" si="7"/>
        <v>3018.7466992466457</v>
      </c>
      <c r="R18" s="383">
        <f t="shared" si="7"/>
        <v>3140.744382481811</v>
      </c>
      <c r="S18" s="383">
        <f t="shared" si="7"/>
        <v>3267.6724014481811</v>
      </c>
      <c r="T18" s="383">
        <f t="shared" si="7"/>
        <v>3399.7300075559269</v>
      </c>
      <c r="U18" s="383">
        <f t="shared" si="7"/>
        <v>3537.1245046332751</v>
      </c>
      <c r="V18" s="383">
        <f t="shared" si="7"/>
        <v>3680.0715743517403</v>
      </c>
      <c r="W18" s="383">
        <f t="shared" si="7"/>
        <v>3828.7956148028811</v>
      </c>
      <c r="X18" s="383">
        <f t="shared" si="7"/>
        <v>3983.5300927580829</v>
      </c>
      <c r="Y18" s="383">
        <f t="shared" si="7"/>
        <v>4144.5179101643371</v>
      </c>
      <c r="Z18" s="383">
        <f t="shared" si="7"/>
        <v>4312.011785451351</v>
      </c>
      <c r="AA18" s="383">
        <f t="shared" si="7"/>
        <v>4486.274650248547</v>
      </c>
      <c r="AB18" s="383">
        <f t="shared" si="7"/>
        <v>4667.5800621347344</v>
      </c>
      <c r="AC18" s="383">
        <f t="shared" si="7"/>
        <v>4856.2126340683772</v>
      </c>
      <c r="AD18" s="383">
        <f t="shared" si="7"/>
        <v>5052.4684811725865</v>
      </c>
      <c r="AE18" s="383">
        <f t="shared" si="7"/>
        <v>5256.6556855761837</v>
      </c>
      <c r="AF18" s="383">
        <f t="shared" si="7"/>
        <v>5469.0947800405529</v>
      </c>
      <c r="AG18" s="383">
        <f t="shared" si="7"/>
        <v>5690.1192511314866</v>
      </c>
      <c r="AH18" s="383">
        <f t="shared" si="7"/>
        <v>5920.0760627258805</v>
      </c>
      <c r="AI18" s="383">
        <f t="shared" si="7"/>
        <v>6159.3262006751056</v>
      </c>
      <c r="AJ18" s="383">
        <f t="shared" si="7"/>
        <v>6408.2452394800321</v>
      </c>
      <c r="AK18" s="383">
        <f t="shared" si="7"/>
        <v>6667.2239318673237</v>
      </c>
      <c r="AL18" s="383">
        <f t="shared" ref="AL18" si="8">AL17/Minutes.per.Hour*Days.Per.Year</f>
        <v>6936.6688221924551</v>
      </c>
    </row>
    <row r="20" spans="2:38">
      <c r="B20" s="575" t="s">
        <v>745</v>
      </c>
      <c r="C20" s="574" t="s">
        <v>443</v>
      </c>
      <c r="D20" s="383">
        <f>D18</f>
        <v>1803.6394820017942</v>
      </c>
      <c r="E20" s="383">
        <f t="shared" ref="E20:AK20" si="9">E18</f>
        <v>1876.5306054109253</v>
      </c>
      <c r="F20" s="383">
        <f t="shared" si="9"/>
        <v>1952.3675036962798</v>
      </c>
      <c r="G20" s="383">
        <f t="shared" si="9"/>
        <v>2031.2692255048739</v>
      </c>
      <c r="H20" s="383">
        <f t="shared" si="9"/>
        <v>2113.3596306390082</v>
      </c>
      <c r="I20" s="383">
        <f t="shared" si="9"/>
        <v>2198.7675844911901</v>
      </c>
      <c r="J20" s="383">
        <f t="shared" si="9"/>
        <v>2287.6271603368386</v>
      </c>
      <c r="K20" s="383">
        <f t="shared" si="9"/>
        <v>2380.0778498022992</v>
      </c>
      <c r="L20" s="383">
        <f t="shared" si="9"/>
        <v>2476.2647818385917</v>
      </c>
      <c r="M20" s="383">
        <f t="shared" si="9"/>
        <v>2576.3389505446089</v>
      </c>
      <c r="N20" s="383">
        <f t="shared" si="9"/>
        <v>2680.4574521974314</v>
      </c>
      <c r="O20" s="383">
        <f t="shared" si="9"/>
        <v>2788.7837318618135</v>
      </c>
      <c r="P20" s="383">
        <f t="shared" si="9"/>
        <v>2901.4878399660042</v>
      </c>
      <c r="Q20" s="383">
        <f t="shared" si="9"/>
        <v>3018.7466992466457</v>
      </c>
      <c r="R20" s="383">
        <f t="shared" si="9"/>
        <v>3140.744382481811</v>
      </c>
      <c r="S20" s="383">
        <f t="shared" si="9"/>
        <v>3267.6724014481811</v>
      </c>
      <c r="T20" s="383">
        <f t="shared" si="9"/>
        <v>3399.7300075559269</v>
      </c>
      <c r="U20" s="383">
        <f t="shared" si="9"/>
        <v>3537.1245046332751</v>
      </c>
      <c r="V20" s="383">
        <f t="shared" si="9"/>
        <v>3680.0715743517403</v>
      </c>
      <c r="W20" s="383">
        <f t="shared" si="9"/>
        <v>3828.7956148028811</v>
      </c>
      <c r="X20" s="383">
        <f t="shared" si="9"/>
        <v>3983.5300927580829</v>
      </c>
      <c r="Y20" s="383">
        <f t="shared" si="9"/>
        <v>4144.5179101643371</v>
      </c>
      <c r="Z20" s="383">
        <f t="shared" si="9"/>
        <v>4312.011785451351</v>
      </c>
      <c r="AA20" s="383">
        <f t="shared" si="9"/>
        <v>4486.274650248547</v>
      </c>
      <c r="AB20" s="383">
        <f t="shared" si="9"/>
        <v>4667.5800621347344</v>
      </c>
      <c r="AC20" s="383">
        <f t="shared" si="9"/>
        <v>4856.2126340683772</v>
      </c>
      <c r="AD20" s="383">
        <f t="shared" si="9"/>
        <v>5052.4684811725865</v>
      </c>
      <c r="AE20" s="383">
        <f t="shared" si="9"/>
        <v>5256.6556855761837</v>
      </c>
      <c r="AF20" s="383">
        <f t="shared" si="9"/>
        <v>5469.0947800405529</v>
      </c>
      <c r="AG20" s="383">
        <f t="shared" si="9"/>
        <v>5690.1192511314866</v>
      </c>
      <c r="AH20" s="383">
        <f t="shared" si="9"/>
        <v>5920.0760627258805</v>
      </c>
      <c r="AI20" s="383">
        <f t="shared" si="9"/>
        <v>6159.3262006751056</v>
      </c>
      <c r="AJ20" s="383">
        <f t="shared" si="9"/>
        <v>6408.2452394800321</v>
      </c>
      <c r="AK20" s="383">
        <f t="shared" si="9"/>
        <v>6667.2239318673237</v>
      </c>
      <c r="AL20" s="383">
        <f t="shared" ref="AL20" si="10">AL18</f>
        <v>6936.6688221924551</v>
      </c>
    </row>
    <row r="22" spans="2:38" ht="13">
      <c r="B22" s="502" t="s">
        <v>506</v>
      </c>
      <c r="C22" s="542">
        <f>SUMIFS('Crossing Inputs'!$C$67:$H$67,'Crossing Inputs'!$C$49:$H$49,$A$1)</f>
        <v>0.8</v>
      </c>
    </row>
    <row r="23" spans="2:38" ht="13">
      <c r="B23" s="502" t="s">
        <v>507</v>
      </c>
      <c r="C23" s="542">
        <f>SUMIFS('Crossing Inputs'!$C$68:$H$68,'Crossing Inputs'!$C$49:$H$49,$A$1)</f>
        <v>0.2</v>
      </c>
    </row>
    <row r="24" spans="2:38" ht="13">
      <c r="B24" s="502" t="s">
        <v>746</v>
      </c>
      <c r="C24" s="542">
        <f>SUMIFS('Crossing Inputs'!$C$69:$H$69,'Crossing Inputs'!$C$49:$H$49,$A$1)</f>
        <v>0</v>
      </c>
    </row>
    <row r="25" spans="2:38">
      <c r="B25" s="358" t="s">
        <v>508</v>
      </c>
      <c r="C25" s="358" t="s">
        <v>443</v>
      </c>
      <c r="D25" s="576">
        <f>D$20*$C22</f>
        <v>1442.9115856014355</v>
      </c>
      <c r="E25" s="576">
        <f t="shared" ref="E25:AK27" si="11">E$20*$C22</f>
        <v>1501.2244843287403</v>
      </c>
      <c r="F25" s="576">
        <f t="shared" si="11"/>
        <v>1561.894002957024</v>
      </c>
      <c r="G25" s="576">
        <f t="shared" si="11"/>
        <v>1625.0153804038991</v>
      </c>
      <c r="H25" s="576">
        <f t="shared" si="11"/>
        <v>1690.6877045112067</v>
      </c>
      <c r="I25" s="576">
        <f t="shared" si="11"/>
        <v>1759.0140675929522</v>
      </c>
      <c r="J25" s="576">
        <f t="shared" si="11"/>
        <v>1830.1017282694711</v>
      </c>
      <c r="K25" s="576">
        <f t="shared" si="11"/>
        <v>1904.0622798418394</v>
      </c>
      <c r="L25" s="576">
        <f t="shared" si="11"/>
        <v>1981.0118254708734</v>
      </c>
      <c r="M25" s="576">
        <f t="shared" si="11"/>
        <v>2061.071160435687</v>
      </c>
      <c r="N25" s="576">
        <f t="shared" si="11"/>
        <v>2144.3659617579451</v>
      </c>
      <c r="O25" s="576">
        <f>O$20*$C22</f>
        <v>2231.0269854894509</v>
      </c>
      <c r="P25" s="576">
        <f t="shared" si="11"/>
        <v>2321.1902719728037</v>
      </c>
      <c r="Q25" s="576">
        <f t="shared" si="11"/>
        <v>2414.9973593973168</v>
      </c>
      <c r="R25" s="576">
        <f t="shared" si="11"/>
        <v>2512.5955059854491</v>
      </c>
      <c r="S25" s="576">
        <f t="shared" si="11"/>
        <v>2614.1379211585449</v>
      </c>
      <c r="T25" s="576">
        <f t="shared" si="11"/>
        <v>2719.7840060447415</v>
      </c>
      <c r="U25" s="576">
        <f t="shared" si="11"/>
        <v>2829.6996037066201</v>
      </c>
      <c r="V25" s="576">
        <f t="shared" si="11"/>
        <v>2944.0572594813925</v>
      </c>
      <c r="W25" s="576">
        <f t="shared" si="11"/>
        <v>3063.0364918423052</v>
      </c>
      <c r="X25" s="576">
        <f t="shared" si="11"/>
        <v>3186.8240742064663</v>
      </c>
      <c r="Y25" s="576">
        <f t="shared" si="11"/>
        <v>3315.6143281314698</v>
      </c>
      <c r="Z25" s="576">
        <f t="shared" si="11"/>
        <v>3449.609428361081</v>
      </c>
      <c r="AA25" s="576">
        <f t="shared" si="11"/>
        <v>3589.0197201988376</v>
      </c>
      <c r="AB25" s="576">
        <f t="shared" si="11"/>
        <v>3734.0640497077875</v>
      </c>
      <c r="AC25" s="576">
        <f t="shared" si="11"/>
        <v>3884.9701072547018</v>
      </c>
      <c r="AD25" s="576">
        <f t="shared" si="11"/>
        <v>4041.9747849380692</v>
      </c>
      <c r="AE25" s="576">
        <f t="shared" si="11"/>
        <v>4205.324548460947</v>
      </c>
      <c r="AF25" s="576">
        <f t="shared" si="11"/>
        <v>4375.2758240324429</v>
      </c>
      <c r="AG25" s="576">
        <f t="shared" si="11"/>
        <v>4552.0954009051893</v>
      </c>
      <c r="AH25" s="576">
        <f t="shared" si="11"/>
        <v>4736.0608501807046</v>
      </c>
      <c r="AI25" s="576">
        <f t="shared" si="11"/>
        <v>4927.4609605400847</v>
      </c>
      <c r="AJ25" s="576">
        <f t="shared" si="11"/>
        <v>5126.5961915840262</v>
      </c>
      <c r="AK25" s="576">
        <f t="shared" si="11"/>
        <v>5333.7791454938597</v>
      </c>
      <c r="AL25" s="576">
        <f t="shared" ref="AL25" si="12">AL$20*$C22</f>
        <v>5549.3350577539641</v>
      </c>
    </row>
    <row r="26" spans="2:38">
      <c r="B26" s="358" t="s">
        <v>509</v>
      </c>
      <c r="C26" s="358" t="s">
        <v>443</v>
      </c>
      <c r="D26" s="576">
        <f t="shared" ref="D26:S27" si="13">D$20*$C23</f>
        <v>360.72789640035887</v>
      </c>
      <c r="E26" s="576">
        <f t="shared" si="13"/>
        <v>375.30612108218509</v>
      </c>
      <c r="F26" s="576">
        <f t="shared" si="13"/>
        <v>390.473500739256</v>
      </c>
      <c r="G26" s="576">
        <f t="shared" si="13"/>
        <v>406.25384510097479</v>
      </c>
      <c r="H26" s="576">
        <f t="shared" si="13"/>
        <v>422.67192612780167</v>
      </c>
      <c r="I26" s="576">
        <f t="shared" si="13"/>
        <v>439.75351689823805</v>
      </c>
      <c r="J26" s="576">
        <f t="shared" si="13"/>
        <v>457.52543206736777</v>
      </c>
      <c r="K26" s="576">
        <f t="shared" si="13"/>
        <v>476.01556996045986</v>
      </c>
      <c r="L26" s="576">
        <f t="shared" si="13"/>
        <v>495.25295636771835</v>
      </c>
      <c r="M26" s="576">
        <f t="shared" si="13"/>
        <v>515.26779010892176</v>
      </c>
      <c r="N26" s="576">
        <f t="shared" si="13"/>
        <v>536.09149043948628</v>
      </c>
      <c r="O26" s="576">
        <f t="shared" si="13"/>
        <v>557.75674637236273</v>
      </c>
      <c r="P26" s="576">
        <f t="shared" si="13"/>
        <v>580.29756799320091</v>
      </c>
      <c r="Q26" s="576">
        <f t="shared" si="13"/>
        <v>603.7493398493292</v>
      </c>
      <c r="R26" s="576">
        <f t="shared" si="13"/>
        <v>628.14887649636228</v>
      </c>
      <c r="S26" s="576">
        <f t="shared" si="13"/>
        <v>653.53448028963624</v>
      </c>
      <c r="T26" s="576">
        <f t="shared" si="11"/>
        <v>679.94600151118539</v>
      </c>
      <c r="U26" s="576">
        <f t="shared" si="11"/>
        <v>707.42490092665503</v>
      </c>
      <c r="V26" s="576">
        <f t="shared" si="11"/>
        <v>736.01431487034813</v>
      </c>
      <c r="W26" s="576">
        <f t="shared" si="11"/>
        <v>765.75912296057629</v>
      </c>
      <c r="X26" s="576">
        <f t="shared" si="11"/>
        <v>796.70601855161658</v>
      </c>
      <c r="Y26" s="576">
        <f t="shared" si="11"/>
        <v>828.90358203286746</v>
      </c>
      <c r="Z26" s="576">
        <f t="shared" si="11"/>
        <v>862.40235709027024</v>
      </c>
      <c r="AA26" s="576">
        <f t="shared" si="11"/>
        <v>897.2549300497094</v>
      </c>
      <c r="AB26" s="576">
        <f t="shared" si="11"/>
        <v>933.51601242694687</v>
      </c>
      <c r="AC26" s="576">
        <f t="shared" si="11"/>
        <v>971.24252681367545</v>
      </c>
      <c r="AD26" s="576">
        <f t="shared" si="11"/>
        <v>1010.4936962345173</v>
      </c>
      <c r="AE26" s="576">
        <f t="shared" si="11"/>
        <v>1051.3311371152367</v>
      </c>
      <c r="AF26" s="576">
        <f t="shared" si="11"/>
        <v>1093.8189560081107</v>
      </c>
      <c r="AG26" s="576">
        <f t="shared" si="11"/>
        <v>1138.0238502262973</v>
      </c>
      <c r="AH26" s="576">
        <f t="shared" si="11"/>
        <v>1184.0152125451762</v>
      </c>
      <c r="AI26" s="576">
        <f t="shared" si="11"/>
        <v>1231.8652401350212</v>
      </c>
      <c r="AJ26" s="576">
        <f t="shared" si="11"/>
        <v>1281.6490478960066</v>
      </c>
      <c r="AK26" s="576">
        <f t="shared" si="11"/>
        <v>1333.4447863734649</v>
      </c>
      <c r="AL26" s="576">
        <f t="shared" ref="AL26" si="14">AL$20*$C23</f>
        <v>1387.333764438491</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1177" t="s">
        <v>788</v>
      </c>
      <c r="C32" s="358" t="s">
        <v>295</v>
      </c>
      <c r="D32" s="383">
        <f>D25*$C29</f>
        <v>515.84089185251321</v>
      </c>
      <c r="E32" s="383">
        <f t="shared" ref="E32:AK32" si="16">E25*$C29</f>
        <v>536.68775314752463</v>
      </c>
      <c r="F32" s="383">
        <f t="shared" si="16"/>
        <v>558.37710605713607</v>
      </c>
      <c r="G32" s="383">
        <f t="shared" si="16"/>
        <v>580.94299849439392</v>
      </c>
      <c r="H32" s="383">
        <f t="shared" si="16"/>
        <v>604.42085436275636</v>
      </c>
      <c r="I32" s="383">
        <f t="shared" si="16"/>
        <v>628.84752916448042</v>
      </c>
      <c r="J32" s="383">
        <f t="shared" si="16"/>
        <v>654.26136785633594</v>
      </c>
      <c r="K32" s="383">
        <f t="shared" si="16"/>
        <v>680.7022650434576</v>
      </c>
      <c r="L32" s="383">
        <f t="shared" si="16"/>
        <v>708.21172760583727</v>
      </c>
      <c r="M32" s="383">
        <f t="shared" si="16"/>
        <v>736.83293985575813</v>
      </c>
      <c r="N32" s="383">
        <f t="shared" si="16"/>
        <v>766.61083132846534</v>
      </c>
      <c r="O32" s="383">
        <f t="shared" si="16"/>
        <v>797.59214731247869</v>
      </c>
      <c r="P32" s="383">
        <f t="shared" si="16"/>
        <v>829.82552223027722</v>
      </c>
      <c r="Q32" s="383">
        <f t="shared" si="16"/>
        <v>863.3615559845407</v>
      </c>
      <c r="R32" s="383">
        <f t="shared" si="16"/>
        <v>898.25289338979803</v>
      </c>
      <c r="S32" s="383">
        <f t="shared" si="16"/>
        <v>934.55430681417977</v>
      </c>
      <c r="T32" s="383">
        <f t="shared" si="16"/>
        <v>972.32278216099508</v>
      </c>
      <c r="U32" s="383">
        <f t="shared" si="16"/>
        <v>1011.6176083251166</v>
      </c>
      <c r="V32" s="383">
        <f t="shared" si="16"/>
        <v>1052.5004702645979</v>
      </c>
      <c r="W32" s="383">
        <f t="shared" si="16"/>
        <v>1095.0355458336242</v>
      </c>
      <c r="X32" s="383">
        <f t="shared" si="16"/>
        <v>1139.2896065288116</v>
      </c>
      <c r="Y32" s="383">
        <f t="shared" si="16"/>
        <v>1185.3321223070004</v>
      </c>
      <c r="Z32" s="383">
        <f t="shared" si="16"/>
        <v>1233.2353706390863</v>
      </c>
      <c r="AA32" s="383">
        <f t="shared" si="16"/>
        <v>1283.0745499710845</v>
      </c>
      <c r="AB32" s="383">
        <f t="shared" si="16"/>
        <v>1334.9278977705339</v>
      </c>
      <c r="AC32" s="383">
        <f t="shared" si="16"/>
        <v>1388.8768133435558</v>
      </c>
      <c r="AD32" s="383">
        <f t="shared" si="16"/>
        <v>1445.0059856153596</v>
      </c>
      <c r="AE32" s="383">
        <f t="shared" si="16"/>
        <v>1503.4035260747885</v>
      </c>
      <c r="AF32" s="383">
        <f t="shared" si="16"/>
        <v>1564.1611070915983</v>
      </c>
      <c r="AG32" s="383">
        <f t="shared" si="16"/>
        <v>1627.3741058236051</v>
      </c>
      <c r="AH32" s="383">
        <f t="shared" si="16"/>
        <v>1693.1417539396018</v>
      </c>
      <c r="AI32" s="383">
        <f t="shared" si="16"/>
        <v>1761.5672933930803</v>
      </c>
      <c r="AJ32" s="383">
        <f t="shared" si="16"/>
        <v>1832.7581384912892</v>
      </c>
      <c r="AK32" s="383">
        <f t="shared" si="16"/>
        <v>1906.8260445140547</v>
      </c>
      <c r="AL32" s="383">
        <f t="shared" ref="AL32" si="17">AL25*$C29</f>
        <v>1983.8872831470421</v>
      </c>
    </row>
    <row r="33" spans="1:38">
      <c r="B33" s="1177" t="s">
        <v>789</v>
      </c>
      <c r="C33" s="358" t="s">
        <v>295</v>
      </c>
      <c r="D33" s="383">
        <f>D26*$C30+D27*$C31</f>
        <v>303.01143297630142</v>
      </c>
      <c r="E33" s="383">
        <f t="shared" ref="E33:AK33" si="18">E26*$C30+E27*$C31</f>
        <v>315.25714170903547</v>
      </c>
      <c r="F33" s="383">
        <f t="shared" si="18"/>
        <v>327.99774062097504</v>
      </c>
      <c r="G33" s="383">
        <f t="shared" si="18"/>
        <v>341.25322988481878</v>
      </c>
      <c r="H33" s="383">
        <f t="shared" si="18"/>
        <v>355.04441794735339</v>
      </c>
      <c r="I33" s="383">
        <f t="shared" si="18"/>
        <v>369.39295419451997</v>
      </c>
      <c r="J33" s="383">
        <f t="shared" si="18"/>
        <v>384.32136293658891</v>
      </c>
      <c r="K33" s="383">
        <f t="shared" si="18"/>
        <v>399.85307876678627</v>
      </c>
      <c r="L33" s="383">
        <f t="shared" si="18"/>
        <v>416.01248334888339</v>
      </c>
      <c r="M33" s="383">
        <f t="shared" si="18"/>
        <v>432.82494369149424</v>
      </c>
      <c r="N33" s="383">
        <f t="shared" si="18"/>
        <v>450.31685196916845</v>
      </c>
      <c r="O33" s="383">
        <f t="shared" si="18"/>
        <v>468.51566695278467</v>
      </c>
      <c r="P33" s="383">
        <f t="shared" si="18"/>
        <v>487.44995711428874</v>
      </c>
      <c r="Q33" s="383">
        <f t="shared" si="18"/>
        <v>507.14944547343651</v>
      </c>
      <c r="R33" s="383">
        <f t="shared" si="18"/>
        <v>527.64505625694426</v>
      </c>
      <c r="S33" s="383">
        <f t="shared" si="18"/>
        <v>548.96896344329446</v>
      </c>
      <c r="T33" s="383">
        <f t="shared" si="18"/>
        <v>571.15464126939571</v>
      </c>
      <c r="U33" s="383">
        <f t="shared" si="18"/>
        <v>594.2369167783902</v>
      </c>
      <c r="V33" s="383">
        <f t="shared" si="18"/>
        <v>618.25202449109236</v>
      </c>
      <c r="W33" s="383">
        <f t="shared" si="18"/>
        <v>643.23766328688407</v>
      </c>
      <c r="X33" s="383">
        <f t="shared" si="18"/>
        <v>669.2330555833579</v>
      </c>
      <c r="Y33" s="383">
        <f t="shared" si="18"/>
        <v>696.27900890760861</v>
      </c>
      <c r="Z33" s="383">
        <f t="shared" si="18"/>
        <v>724.41797995582692</v>
      </c>
      <c r="AA33" s="383">
        <f t="shared" si="18"/>
        <v>753.69414124175591</v>
      </c>
      <c r="AB33" s="383">
        <f t="shared" si="18"/>
        <v>784.15345043863533</v>
      </c>
      <c r="AC33" s="383">
        <f t="shared" si="18"/>
        <v>815.84372252348737</v>
      </c>
      <c r="AD33" s="383">
        <f t="shared" si="18"/>
        <v>848.81470483699445</v>
      </c>
      <c r="AE33" s="383">
        <f t="shared" si="18"/>
        <v>883.11815517679884</v>
      </c>
      <c r="AF33" s="383">
        <f t="shared" si="18"/>
        <v>918.80792304681302</v>
      </c>
      <c r="AG33" s="383">
        <f t="shared" si="18"/>
        <v>955.9400341900897</v>
      </c>
      <c r="AH33" s="383">
        <f t="shared" si="18"/>
        <v>994.5727785379479</v>
      </c>
      <c r="AI33" s="383">
        <f t="shared" si="18"/>
        <v>1034.7668017134176</v>
      </c>
      <c r="AJ33" s="383">
        <f t="shared" si="18"/>
        <v>1076.5852002326455</v>
      </c>
      <c r="AK33" s="383">
        <f t="shared" si="18"/>
        <v>1120.0936205537105</v>
      </c>
      <c r="AL33" s="383">
        <f t="shared" ref="AL33" si="19">AL26*$C30+AL27*$C31</f>
        <v>1165.3603621283323</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Demand!F66</f>
        <v>8.0848515288584082</v>
      </c>
      <c r="E37" s="383">
        <f>Demand!G66</f>
        <v>8.1706030304605175</v>
      </c>
      <c r="F37" s="383">
        <f>Demand!H66</f>
        <v>8.2572640503142321</v>
      </c>
      <c r="G37" s="383">
        <f>Demand!I66</f>
        <v>8.3448442351713243</v>
      </c>
      <c r="H37" s="383">
        <f>Demand!J66</f>
        <v>6.3250150005759522</v>
      </c>
      <c r="I37" s="383">
        <f>Demand!K66</f>
        <v>6.3921008996823563</v>
      </c>
      <c r="J37" s="383">
        <f>Demand!L66</f>
        <v>6.4598983414267632</v>
      </c>
      <c r="K37" s="383">
        <f>Demand!M66</f>
        <v>6.5284148727442579</v>
      </c>
      <c r="L37" s="383">
        <f>Demand!N66</f>
        <v>6.5976581206160478</v>
      </c>
      <c r="M37" s="383">
        <f>Demand!O66</f>
        <v>6.6676357929184693</v>
      </c>
      <c r="N37" s="383">
        <f>Demand!P66</f>
        <v>6.7383556792809909</v>
      </c>
      <c r="O37" s="383">
        <f>Demand!Q66</f>
        <v>6.8098256519533322</v>
      </c>
      <c r="P37" s="383">
        <f>Demand!R66</f>
        <v>6.8820536666817631</v>
      </c>
      <c r="Q37" s="383">
        <f>Demand!S66</f>
        <v>6.9550477635947088</v>
      </c>
      <c r="R37" s="383">
        <f>Demand!T66</f>
        <v>7.0288160680977398</v>
      </c>
      <c r="S37" s="383">
        <f>Demand!U66</f>
        <v>7.1033667917780718</v>
      </c>
      <c r="T37" s="383">
        <f>Demand!V66</f>
        <v>7.1787082333186234</v>
      </c>
      <c r="U37" s="383">
        <f>Demand!W66</f>
        <v>7.2548487794218142</v>
      </c>
      <c r="V37" s="383">
        <f>Demand!X66</f>
        <v>7.3317969057431265</v>
      </c>
      <c r="W37" s="383">
        <f>Demand!Y66</f>
        <v>7.4095611778345836</v>
      </c>
      <c r="X37" s="383">
        <f>Demand!Z66</f>
        <v>7.4881502520982295</v>
      </c>
      <c r="Y37" s="383">
        <f>Demand!AA66</f>
        <v>7.5675728767497308</v>
      </c>
      <c r="Z37" s="383">
        <f>Demand!AB66</f>
        <v>7.6478378927921851</v>
      </c>
      <c r="AA37" s="383">
        <f>Demand!AC66</f>
        <v>7.7289542350002716</v>
      </c>
      <c r="AB37" s="383">
        <f>Demand!AD66</f>
        <v>7.8109309329148253</v>
      </c>
      <c r="AC37" s="383">
        <f>Demand!AE66</f>
        <v>7.8937771118479834</v>
      </c>
      <c r="AD37" s="383">
        <f>Demand!AF66</f>
        <v>7.9775019938989598</v>
      </c>
      <c r="AE37" s="383">
        <f>Demand!AG66</f>
        <v>8.0621148989806244</v>
      </c>
      <c r="AF37" s="383">
        <f>Demand!AH66</f>
        <v>8.1476252458569576</v>
      </c>
      <c r="AG37" s="383">
        <f>Demand!AI66</f>
        <v>8.2340425531914985</v>
      </c>
      <c r="AH37" s="383">
        <f>Demand!AJ66</f>
        <v>8.3213764406069348</v>
      </c>
      <c r="AI37" s="383">
        <f>Demand!AK66</f>
        <v>8.4096366297559157</v>
      </c>
      <c r="AJ37" s="383">
        <f>Demand!AL66</f>
        <v>8.4988329454032225</v>
      </c>
      <c r="AK37" s="383">
        <f>Demand!AM66</f>
        <v>8.5889753165194307</v>
      </c>
      <c r="AL37" s="383">
        <f>Demand!AN66</f>
        <v>8.6800737773861574</v>
      </c>
    </row>
    <row r="38" spans="1:38">
      <c r="B38" s="363" t="s">
        <v>645</v>
      </c>
      <c r="C38" s="358" t="s">
        <v>1054</v>
      </c>
      <c r="D38" s="383">
        <f>Demand!F67</f>
        <v>4.0424257644292041</v>
      </c>
      <c r="E38" s="383">
        <f>Demand!G67</f>
        <v>4.0853015152302588</v>
      </c>
      <c r="F38" s="383">
        <f>Demand!H67</f>
        <v>4.128632025157116</v>
      </c>
      <c r="G38" s="383">
        <f>Demand!I67</f>
        <v>4.1724221175856622</v>
      </c>
      <c r="H38" s="383">
        <f>Demand!J67</f>
        <v>3.1625075002879761</v>
      </c>
      <c r="I38" s="383">
        <f>Demand!K67</f>
        <v>3.1960504498411781</v>
      </c>
      <c r="J38" s="383">
        <f>Demand!L67</f>
        <v>3.2299491707133816</v>
      </c>
      <c r="K38" s="383">
        <f>Demand!M67</f>
        <v>3.264207436372129</v>
      </c>
      <c r="L38" s="383">
        <f>Demand!N67</f>
        <v>3.2988290603080239</v>
      </c>
      <c r="M38" s="383">
        <f>Demand!O67</f>
        <v>3.3338178964592347</v>
      </c>
      <c r="N38" s="383">
        <f>Demand!P67</f>
        <v>3.3691778396404954</v>
      </c>
      <c r="O38" s="383">
        <f>Demand!Q67</f>
        <v>3.4049128259766661</v>
      </c>
      <c r="P38" s="383">
        <f>Demand!R67</f>
        <v>3.4410268333408816</v>
      </c>
      <c r="Q38" s="383">
        <f>Demand!S67</f>
        <v>3.4775238817973544</v>
      </c>
      <c r="R38" s="383">
        <f>Demand!T67</f>
        <v>3.5144080340488699</v>
      </c>
      <c r="S38" s="383">
        <f>Demand!U67</f>
        <v>3.5516833958890359</v>
      </c>
      <c r="T38" s="383">
        <f>Demand!V67</f>
        <v>3.5893541166593117</v>
      </c>
      <c r="U38" s="383">
        <f>Demand!W67</f>
        <v>3.6274243897109071</v>
      </c>
      <c r="V38" s="383">
        <f>Demand!X67</f>
        <v>3.6658984528715632</v>
      </c>
      <c r="W38" s="383">
        <f>Demand!Y67</f>
        <v>3.7047805889172918</v>
      </c>
      <c r="X38" s="383">
        <f>Demand!Z67</f>
        <v>3.7440751260491147</v>
      </c>
      <c r="Y38" s="383">
        <f>Demand!AA67</f>
        <v>3.7837864383748654</v>
      </c>
      <c r="Z38" s="383">
        <f>Demand!AB67</f>
        <v>3.8239189463960925</v>
      </c>
      <c r="AA38" s="383">
        <f>Demand!AC67</f>
        <v>3.8644771175001358</v>
      </c>
      <c r="AB38" s="383">
        <f>Demand!AD67</f>
        <v>3.9054654664574127</v>
      </c>
      <c r="AC38" s="383">
        <f>Demand!AE67</f>
        <v>3.9468885559239917</v>
      </c>
      <c r="AD38" s="383">
        <f>Demand!AF67</f>
        <v>3.9887509969494799</v>
      </c>
      <c r="AE38" s="383">
        <f>Demand!AG67</f>
        <v>4.0310574494903122</v>
      </c>
      <c r="AF38" s="383">
        <f>Demand!AH67</f>
        <v>4.0738126229284788</v>
      </c>
      <c r="AG38" s="383">
        <f>Demand!AI67</f>
        <v>4.1170212765957492</v>
      </c>
      <c r="AH38" s="383">
        <f>Demand!AJ67</f>
        <v>4.1606882203034674</v>
      </c>
      <c r="AI38" s="383">
        <f>Demand!AK67</f>
        <v>4.2048183148779579</v>
      </c>
      <c r="AJ38" s="383">
        <f>Demand!AL67</f>
        <v>4.2494164727016113</v>
      </c>
      <c r="AK38" s="383">
        <f>Demand!AM67</f>
        <v>4.2944876582597153</v>
      </c>
      <c r="AL38" s="383">
        <f>Demand!AN67</f>
        <v>4.3400368886930787</v>
      </c>
    </row>
    <row r="40" spans="1:38">
      <c r="B40" s="571" t="s">
        <v>1058</v>
      </c>
      <c r="C40" s="572" t="s">
        <v>15</v>
      </c>
      <c r="D40" s="570">
        <f t="shared" ref="D40:AL40" si="20">(D$37*$C$13)/Minutes.Per.Day</f>
        <v>5.3337562169552002E-2</v>
      </c>
      <c r="E40" s="570">
        <f t="shared" si="20"/>
        <v>5.3903283881510361E-2</v>
      </c>
      <c r="F40" s="570">
        <f t="shared" si="20"/>
        <v>5.4475005887489727E-2</v>
      </c>
      <c r="G40" s="570">
        <f t="shared" si="20"/>
        <v>5.5052791829255265E-2</v>
      </c>
      <c r="H40" s="570">
        <f t="shared" si="20"/>
        <v>4.1727529517688579E-2</v>
      </c>
      <c r="I40" s="570">
        <f t="shared" si="20"/>
        <v>4.2170110102071098E-2</v>
      </c>
      <c r="J40" s="570">
        <f t="shared" si="20"/>
        <v>4.2617384891357121E-2</v>
      </c>
      <c r="K40" s="570">
        <f t="shared" si="20"/>
        <v>4.3069403674354481E-2</v>
      </c>
      <c r="L40" s="570">
        <f t="shared" si="20"/>
        <v>4.352621676795309E-2</v>
      </c>
      <c r="M40" s="570">
        <f t="shared" si="20"/>
        <v>4.3987875022726011E-2</v>
      </c>
      <c r="N40" s="570">
        <f t="shared" si="20"/>
        <v>4.4454429828589867E-2</v>
      </c>
      <c r="O40" s="570">
        <f t="shared" si="20"/>
        <v>4.4925933120525459E-2</v>
      </c>
      <c r="P40" s="570">
        <f t="shared" si="20"/>
        <v>4.5402437384358854E-2</v>
      </c>
      <c r="Q40" s="570">
        <f t="shared" si="20"/>
        <v>4.5883995662603982E-2</v>
      </c>
      <c r="R40" s="570">
        <f t="shared" si="20"/>
        <v>4.6370661560367031E-2</v>
      </c>
      <c r="S40" s="570">
        <f t="shared" si="20"/>
        <v>4.6862489251313671E-2</v>
      </c>
      <c r="T40" s="570">
        <f t="shared" si="20"/>
        <v>4.7359533483699257E-2</v>
      </c>
      <c r="U40" s="570">
        <f t="shared" si="20"/>
        <v>4.7861849586463362E-2</v>
      </c>
      <c r="V40" s="570">
        <f t="shared" si="20"/>
        <v>4.8369493475388679E-2</v>
      </c>
      <c r="W40" s="570">
        <f t="shared" si="20"/>
        <v>4.8882521659325377E-2</v>
      </c>
      <c r="X40" s="570">
        <f t="shared" si="20"/>
        <v>4.9400991246481375E-2</v>
      </c>
      <c r="Y40" s="570">
        <f t="shared" si="20"/>
        <v>4.9924959950779474E-2</v>
      </c>
      <c r="Z40" s="570">
        <f t="shared" si="20"/>
        <v>5.0454486098281778E-2</v>
      </c>
      <c r="AA40" s="570">
        <f t="shared" si="20"/>
        <v>5.0989628633682345E-2</v>
      </c>
      <c r="AB40" s="570">
        <f t="shared" si="20"/>
        <v>5.1530447126868641E-2</v>
      </c>
      <c r="AC40" s="570">
        <f t="shared" si="20"/>
        <v>5.2077001779552663E-2</v>
      </c>
      <c r="AD40" s="570">
        <f t="shared" si="20"/>
        <v>5.2629353431972309E-2</v>
      </c>
      <c r="AE40" s="570">
        <f t="shared" si="20"/>
        <v>5.3187563569663844E-2</v>
      </c>
      <c r="AF40" s="570">
        <f t="shared" si="20"/>
        <v>5.375169433030632E-2</v>
      </c>
      <c r="AG40" s="570">
        <f t="shared" si="20"/>
        <v>5.4321808510638357E-2</v>
      </c>
      <c r="AH40" s="570">
        <f t="shared" si="20"/>
        <v>5.4897969573448523E-2</v>
      </c>
      <c r="AI40" s="570">
        <f t="shared" si="20"/>
        <v>5.5480241654639724E-2</v>
      </c>
      <c r="AJ40" s="570">
        <f t="shared" si="20"/>
        <v>5.606868957036848E-2</v>
      </c>
      <c r="AK40" s="570">
        <f t="shared" si="20"/>
        <v>5.6663378824260133E-2</v>
      </c>
      <c r="AL40" s="570">
        <f t="shared" si="20"/>
        <v>5.7264375614700339E-2</v>
      </c>
    </row>
    <row r="42" spans="1:38">
      <c r="B42" s="573" t="s">
        <v>1055</v>
      </c>
      <c r="C42" s="574" t="s">
        <v>505</v>
      </c>
      <c r="D42" s="383">
        <f t="shared" ref="D42:AK42" si="21">D6*D40</f>
        <v>62.418669889031086</v>
      </c>
      <c r="E42" s="383">
        <f t="shared" si="21"/>
        <v>64.941217779181258</v>
      </c>
      <c r="F42" s="383">
        <f t="shared" si="21"/>
        <v>67.56571029374291</v>
      </c>
      <c r="G42" s="383">
        <f t="shared" si="21"/>
        <v>70.296267357054035</v>
      </c>
      <c r="H42" s="383">
        <f t="shared" si="21"/>
        <v>54.852881545064378</v>
      </c>
      <c r="I42" s="383">
        <f t="shared" si="21"/>
        <v>57.069670541948689</v>
      </c>
      <c r="J42" s="383">
        <f t="shared" si="21"/>
        <v>59.376047420422637</v>
      </c>
      <c r="K42" s="383">
        <f t="shared" si="21"/>
        <v>61.775632727384853</v>
      </c>
      <c r="L42" s="383">
        <f t="shared" si="21"/>
        <v>64.272193328182624</v>
      </c>
      <c r="M42" s="383">
        <f t="shared" si="21"/>
        <v>66.869648319831242</v>
      </c>
      <c r="N42" s="383">
        <f t="shared" si="21"/>
        <v>69.572075183206579</v>
      </c>
      <c r="O42" s="383">
        <f t="shared" si="21"/>
        <v>72.383716183868287</v>
      </c>
      <c r="P42" s="383">
        <f t="shared" si="21"/>
        <v>75.308985031561775</v>
      </c>
      <c r="Q42" s="383">
        <f t="shared" si="21"/>
        <v>78.352473808853091</v>
      </c>
      <c r="R42" s="383">
        <f t="shared" si="21"/>
        <v>81.518960179773018</v>
      </c>
      <c r="S42" s="383">
        <f t="shared" si="21"/>
        <v>84.813414889786998</v>
      </c>
      <c r="T42" s="383">
        <f t="shared" si="21"/>
        <v>88.241009568863305</v>
      </c>
      <c r="U42" s="383">
        <f t="shared" si="21"/>
        <v>91.807124849890357</v>
      </c>
      <c r="V42" s="383">
        <f t="shared" si="21"/>
        <v>95.517358815185759</v>
      </c>
      <c r="W42" s="383">
        <f t="shared" si="21"/>
        <v>99.377535784357406</v>
      </c>
      <c r="X42" s="383">
        <f t="shared" si="21"/>
        <v>103.39371545731143</v>
      </c>
      <c r="Y42" s="383">
        <f t="shared" si="21"/>
        <v>107.57220242676001</v>
      </c>
      <c r="Z42" s="383">
        <f t="shared" si="21"/>
        <v>111.91955607516125</v>
      </c>
      <c r="AA42" s="383">
        <f t="shared" si="21"/>
        <v>116.44260087162776</v>
      </c>
      <c r="AB42" s="383">
        <f t="shared" si="21"/>
        <v>121.14843708496787</v>
      </c>
      <c r="AC42" s="383">
        <f t="shared" si="21"/>
        <v>126.0444519296767</v>
      </c>
      <c r="AD42" s="383">
        <f t="shared" si="21"/>
        <v>131.1383311623743</v>
      </c>
      <c r="AE42" s="383">
        <f t="shared" si="21"/>
        <v>136.43807114689446</v>
      </c>
      <c r="AF42" s="383">
        <f t="shared" si="21"/>
        <v>141.95199140696459</v>
      </c>
      <c r="AG42" s="383">
        <f t="shared" si="21"/>
        <v>147.6887476861813</v>
      </c>
      <c r="AH42" s="383">
        <f t="shared" si="21"/>
        <v>153.65734553578346</v>
      </c>
      <c r="AI42" s="383">
        <f t="shared" si="21"/>
        <v>159.86715445155286</v>
      </c>
      <c r="AJ42" s="383">
        <f t="shared" si="21"/>
        <v>166.32792258203401</v>
      </c>
      <c r="AK42" s="383">
        <f t="shared" si="21"/>
        <v>173.04979203116338</v>
      </c>
      <c r="AL42" s="383">
        <f t="shared" ref="AL42" si="22">AL6*AL40</f>
        <v>180.04331477932834</v>
      </c>
    </row>
    <row r="43" spans="1:38">
      <c r="B43" s="573" t="s">
        <v>1056</v>
      </c>
      <c r="C43" s="574" t="s">
        <v>490</v>
      </c>
      <c r="D43" s="383">
        <f t="shared" ref="D43:AK43" si="23">D42*$C$13/2</f>
        <v>296.48868197289767</v>
      </c>
      <c r="E43" s="383">
        <f t="shared" si="23"/>
        <v>308.470784451111</v>
      </c>
      <c r="F43" s="383">
        <f t="shared" si="23"/>
        <v>320.93712389527883</v>
      </c>
      <c r="G43" s="383">
        <f t="shared" si="23"/>
        <v>333.90726994600664</v>
      </c>
      <c r="H43" s="383">
        <f t="shared" si="23"/>
        <v>260.55118733905579</v>
      </c>
      <c r="I43" s="383">
        <f t="shared" si="23"/>
        <v>271.08093507425627</v>
      </c>
      <c r="J43" s="383">
        <f t="shared" si="23"/>
        <v>282.03622524700751</v>
      </c>
      <c r="K43" s="383">
        <f t="shared" si="23"/>
        <v>293.43425545507807</v>
      </c>
      <c r="L43" s="383">
        <f t="shared" si="23"/>
        <v>305.29291830886746</v>
      </c>
      <c r="M43" s="383">
        <f t="shared" si="23"/>
        <v>317.63082951919841</v>
      </c>
      <c r="N43" s="383">
        <f t="shared" si="23"/>
        <v>330.46735712023127</v>
      </c>
      <c r="O43" s="383">
        <f t="shared" si="23"/>
        <v>343.82265187337435</v>
      </c>
      <c r="P43" s="383">
        <f t="shared" si="23"/>
        <v>357.71767889991844</v>
      </c>
      <c r="Q43" s="383">
        <f t="shared" si="23"/>
        <v>372.1742505920522</v>
      </c>
      <c r="R43" s="383">
        <f t="shared" si="23"/>
        <v>387.21506085392184</v>
      </c>
      <c r="S43" s="383">
        <f t="shared" si="23"/>
        <v>402.86372072648822</v>
      </c>
      <c r="T43" s="383">
        <f t="shared" si="23"/>
        <v>419.14479545210071</v>
      </c>
      <c r="U43" s="383">
        <f t="shared" si="23"/>
        <v>436.0838430369792</v>
      </c>
      <c r="V43" s="383">
        <f t="shared" si="23"/>
        <v>453.70745437213236</v>
      </c>
      <c r="W43" s="383">
        <f t="shared" si="23"/>
        <v>472.04329497569768</v>
      </c>
      <c r="X43" s="383">
        <f t="shared" si="23"/>
        <v>491.12014842222931</v>
      </c>
      <c r="Y43" s="383">
        <f t="shared" si="23"/>
        <v>510.96796152711005</v>
      </c>
      <c r="Z43" s="383">
        <f t="shared" si="23"/>
        <v>531.61789135701599</v>
      </c>
      <c r="AA43" s="383">
        <f t="shared" si="23"/>
        <v>553.10235414023191</v>
      </c>
      <c r="AB43" s="383">
        <f t="shared" si="23"/>
        <v>575.45507615359736</v>
      </c>
      <c r="AC43" s="383">
        <f t="shared" si="23"/>
        <v>598.71114666596429</v>
      </c>
      <c r="AD43" s="383">
        <f t="shared" si="23"/>
        <v>622.90707302127794</v>
      </c>
      <c r="AE43" s="383">
        <f t="shared" si="23"/>
        <v>648.08083794774871</v>
      </c>
      <c r="AF43" s="383">
        <f t="shared" si="23"/>
        <v>674.27195918308178</v>
      </c>
      <c r="AG43" s="383">
        <f t="shared" si="23"/>
        <v>701.52155150936119</v>
      </c>
      <c r="AH43" s="383">
        <f t="shared" si="23"/>
        <v>729.87239129497141</v>
      </c>
      <c r="AI43" s="383">
        <f t="shared" si="23"/>
        <v>759.36898364487615</v>
      </c>
      <c r="AJ43" s="383">
        <f t="shared" si="23"/>
        <v>790.05763226466149</v>
      </c>
      <c r="AK43" s="383">
        <f t="shared" si="23"/>
        <v>821.98651214802601</v>
      </c>
      <c r="AL43" s="383">
        <f t="shared" ref="AL43" si="24">AL42*$C$13/2</f>
        <v>855.20574520180958</v>
      </c>
    </row>
    <row r="44" spans="1:38">
      <c r="B44" s="575" t="s">
        <v>1057</v>
      </c>
      <c r="C44" s="574" t="s">
        <v>443</v>
      </c>
      <c r="D44" s="383">
        <f t="shared" ref="D44:AK44" si="25">D43/Minutes.per.Hour*Days.Per.Year</f>
        <v>1803.6394820017942</v>
      </c>
      <c r="E44" s="383">
        <f t="shared" si="25"/>
        <v>1876.5306054109253</v>
      </c>
      <c r="F44" s="383">
        <f t="shared" si="25"/>
        <v>1952.3675036962798</v>
      </c>
      <c r="G44" s="383">
        <f t="shared" si="25"/>
        <v>2031.2692255048739</v>
      </c>
      <c r="H44" s="383">
        <f t="shared" si="25"/>
        <v>1585.0197229792559</v>
      </c>
      <c r="I44" s="383">
        <f t="shared" si="25"/>
        <v>1649.0756883683921</v>
      </c>
      <c r="J44" s="383">
        <f t="shared" si="25"/>
        <v>1715.7203702526292</v>
      </c>
      <c r="K44" s="383">
        <f t="shared" si="25"/>
        <v>1785.0583873517251</v>
      </c>
      <c r="L44" s="383">
        <f t="shared" si="25"/>
        <v>1857.1985863789434</v>
      </c>
      <c r="M44" s="383">
        <f t="shared" si="25"/>
        <v>1932.254212908457</v>
      </c>
      <c r="N44" s="383">
        <f t="shared" si="25"/>
        <v>2010.3430891480734</v>
      </c>
      <c r="O44" s="383">
        <f t="shared" si="25"/>
        <v>2091.5877988963607</v>
      </c>
      <c r="P44" s="383">
        <f t="shared" si="25"/>
        <v>2176.115879974504</v>
      </c>
      <c r="Q44" s="383">
        <f t="shared" si="25"/>
        <v>2264.0600244349844</v>
      </c>
      <c r="R44" s="383">
        <f t="shared" si="25"/>
        <v>2355.5582868613578</v>
      </c>
      <c r="S44" s="383">
        <f t="shared" si="25"/>
        <v>2450.7543010861368</v>
      </c>
      <c r="T44" s="383">
        <f t="shared" si="25"/>
        <v>2549.7975056669461</v>
      </c>
      <c r="U44" s="383">
        <f t="shared" si="25"/>
        <v>2652.8433784749568</v>
      </c>
      <c r="V44" s="383">
        <f t="shared" si="25"/>
        <v>2760.053680763805</v>
      </c>
      <c r="W44" s="383">
        <f t="shared" si="25"/>
        <v>2871.596711102161</v>
      </c>
      <c r="X44" s="383">
        <f t="shared" si="25"/>
        <v>2987.6475695685617</v>
      </c>
      <c r="Y44" s="383">
        <f t="shared" si="25"/>
        <v>3108.3884326232524</v>
      </c>
      <c r="Z44" s="383">
        <f t="shared" si="25"/>
        <v>3234.0088390885144</v>
      </c>
      <c r="AA44" s="383">
        <f t="shared" si="25"/>
        <v>3364.7059876864105</v>
      </c>
      <c r="AB44" s="383">
        <f t="shared" si="25"/>
        <v>3500.6850466010505</v>
      </c>
      <c r="AC44" s="383">
        <f t="shared" si="25"/>
        <v>3642.1594755512829</v>
      </c>
      <c r="AD44" s="383">
        <f t="shared" si="25"/>
        <v>3789.351360879441</v>
      </c>
      <c r="AE44" s="383">
        <f t="shared" si="25"/>
        <v>3942.4917641821376</v>
      </c>
      <c r="AF44" s="383">
        <f t="shared" si="25"/>
        <v>4101.821085030414</v>
      </c>
      <c r="AG44" s="383">
        <f t="shared" si="25"/>
        <v>4267.5894383486138</v>
      </c>
      <c r="AH44" s="383">
        <f t="shared" si="25"/>
        <v>4440.05704704441</v>
      </c>
      <c r="AI44" s="383">
        <f t="shared" si="25"/>
        <v>4619.4946505063299</v>
      </c>
      <c r="AJ44" s="383">
        <f t="shared" si="25"/>
        <v>4806.1839296100243</v>
      </c>
      <c r="AK44" s="383">
        <f t="shared" si="25"/>
        <v>5000.4179489004919</v>
      </c>
      <c r="AL44" s="383">
        <f t="shared" ref="AL44" si="26">AL43/Minutes.per.Hour*Days.Per.Year</f>
        <v>5202.501616644342</v>
      </c>
    </row>
    <row r="46" spans="1:38">
      <c r="B46" s="575" t="s">
        <v>745</v>
      </c>
      <c r="C46" s="574" t="s">
        <v>443</v>
      </c>
      <c r="D46" s="383">
        <f>D44</f>
        <v>1803.6394820017942</v>
      </c>
      <c r="E46" s="383">
        <f t="shared" ref="E46:AK46" si="27">E44</f>
        <v>1876.5306054109253</v>
      </c>
      <c r="F46" s="383">
        <f t="shared" si="27"/>
        <v>1952.3675036962798</v>
      </c>
      <c r="G46" s="383">
        <f t="shared" si="27"/>
        <v>2031.2692255048739</v>
      </c>
      <c r="H46" s="383">
        <f t="shared" si="27"/>
        <v>1585.0197229792559</v>
      </c>
      <c r="I46" s="383">
        <f t="shared" si="27"/>
        <v>1649.0756883683921</v>
      </c>
      <c r="J46" s="383">
        <f t="shared" si="27"/>
        <v>1715.7203702526292</v>
      </c>
      <c r="K46" s="383">
        <f t="shared" si="27"/>
        <v>1785.0583873517251</v>
      </c>
      <c r="L46" s="383">
        <f t="shared" si="27"/>
        <v>1857.1985863789434</v>
      </c>
      <c r="M46" s="383">
        <f t="shared" si="27"/>
        <v>1932.254212908457</v>
      </c>
      <c r="N46" s="383">
        <f t="shared" si="27"/>
        <v>2010.3430891480734</v>
      </c>
      <c r="O46" s="383">
        <f t="shared" si="27"/>
        <v>2091.5877988963607</v>
      </c>
      <c r="P46" s="383">
        <f t="shared" si="27"/>
        <v>2176.115879974504</v>
      </c>
      <c r="Q46" s="383">
        <f t="shared" si="27"/>
        <v>2264.0600244349844</v>
      </c>
      <c r="R46" s="383">
        <f t="shared" si="27"/>
        <v>2355.5582868613578</v>
      </c>
      <c r="S46" s="383">
        <f t="shared" si="27"/>
        <v>2450.7543010861368</v>
      </c>
      <c r="T46" s="383">
        <f t="shared" si="27"/>
        <v>2549.7975056669461</v>
      </c>
      <c r="U46" s="383">
        <f t="shared" si="27"/>
        <v>2652.8433784749568</v>
      </c>
      <c r="V46" s="383">
        <f t="shared" si="27"/>
        <v>2760.053680763805</v>
      </c>
      <c r="W46" s="383">
        <f t="shared" si="27"/>
        <v>2871.596711102161</v>
      </c>
      <c r="X46" s="383">
        <f t="shared" si="27"/>
        <v>2987.6475695685617</v>
      </c>
      <c r="Y46" s="383">
        <f t="shared" si="27"/>
        <v>3108.3884326232524</v>
      </c>
      <c r="Z46" s="383">
        <f t="shared" si="27"/>
        <v>3234.0088390885144</v>
      </c>
      <c r="AA46" s="383">
        <f t="shared" si="27"/>
        <v>3364.7059876864105</v>
      </c>
      <c r="AB46" s="383">
        <f t="shared" si="27"/>
        <v>3500.6850466010505</v>
      </c>
      <c r="AC46" s="383">
        <f t="shared" si="27"/>
        <v>3642.1594755512829</v>
      </c>
      <c r="AD46" s="383">
        <f t="shared" si="27"/>
        <v>3789.351360879441</v>
      </c>
      <c r="AE46" s="383">
        <f t="shared" si="27"/>
        <v>3942.4917641821376</v>
      </c>
      <c r="AF46" s="383">
        <f t="shared" si="27"/>
        <v>4101.821085030414</v>
      </c>
      <c r="AG46" s="383">
        <f t="shared" si="27"/>
        <v>4267.5894383486138</v>
      </c>
      <c r="AH46" s="383">
        <f t="shared" si="27"/>
        <v>4440.05704704441</v>
      </c>
      <c r="AI46" s="383">
        <f t="shared" si="27"/>
        <v>4619.4946505063299</v>
      </c>
      <c r="AJ46" s="383">
        <f t="shared" si="27"/>
        <v>4806.1839296100243</v>
      </c>
      <c r="AK46" s="383">
        <f t="shared" si="27"/>
        <v>5000.4179489004919</v>
      </c>
      <c r="AL46" s="383">
        <f t="shared" ref="AL46" si="28">AL44</f>
        <v>5202.501616644342</v>
      </c>
    </row>
    <row r="48" spans="1:38">
      <c r="B48" s="358" t="s">
        <v>508</v>
      </c>
      <c r="C48" s="358" t="s">
        <v>443</v>
      </c>
      <c r="D48" s="383">
        <f t="shared" ref="D48:AK48" si="29">D$46*$C22</f>
        <v>1442.9115856014355</v>
      </c>
      <c r="E48" s="383">
        <f t="shared" si="29"/>
        <v>1501.2244843287403</v>
      </c>
      <c r="F48" s="383">
        <f t="shared" si="29"/>
        <v>1561.894002957024</v>
      </c>
      <c r="G48" s="383">
        <f t="shared" si="29"/>
        <v>1625.0153804038991</v>
      </c>
      <c r="H48" s="383">
        <f t="shared" si="29"/>
        <v>1268.0157783834047</v>
      </c>
      <c r="I48" s="383">
        <f t="shared" si="29"/>
        <v>1319.2605506947139</v>
      </c>
      <c r="J48" s="383">
        <f t="shared" si="29"/>
        <v>1372.5762962021035</v>
      </c>
      <c r="K48" s="383">
        <f t="shared" si="29"/>
        <v>1428.0467098813801</v>
      </c>
      <c r="L48" s="383">
        <f t="shared" si="29"/>
        <v>1485.7588691031549</v>
      </c>
      <c r="M48" s="383">
        <f t="shared" si="29"/>
        <v>1545.8033703267656</v>
      </c>
      <c r="N48" s="383">
        <f t="shared" si="29"/>
        <v>1608.2744713184588</v>
      </c>
      <c r="O48" s="383">
        <f t="shared" si="29"/>
        <v>1673.2702391170887</v>
      </c>
      <c r="P48" s="383">
        <f t="shared" si="29"/>
        <v>1740.8927039796033</v>
      </c>
      <c r="Q48" s="383">
        <f t="shared" si="29"/>
        <v>1811.2480195479875</v>
      </c>
      <c r="R48" s="383">
        <f t="shared" si="29"/>
        <v>1884.4466294890863</v>
      </c>
      <c r="S48" s="383">
        <f t="shared" si="29"/>
        <v>1960.6034408689095</v>
      </c>
      <c r="T48" s="383">
        <f t="shared" si="29"/>
        <v>2039.8380045335571</v>
      </c>
      <c r="U48" s="383">
        <f t="shared" si="29"/>
        <v>2122.2747027799655</v>
      </c>
      <c r="V48" s="383">
        <f t="shared" si="29"/>
        <v>2208.0429446110443</v>
      </c>
      <c r="W48" s="383">
        <f t="shared" si="29"/>
        <v>2297.2773688817288</v>
      </c>
      <c r="X48" s="383">
        <f t="shared" si="29"/>
        <v>2390.1180556548493</v>
      </c>
      <c r="Y48" s="383">
        <f t="shared" si="29"/>
        <v>2486.7107460986022</v>
      </c>
      <c r="Z48" s="383">
        <f t="shared" si="29"/>
        <v>2587.2070712708119</v>
      </c>
      <c r="AA48" s="383">
        <f t="shared" si="29"/>
        <v>2691.7647901491287</v>
      </c>
      <c r="AB48" s="383">
        <f t="shared" si="29"/>
        <v>2800.5480372808406</v>
      </c>
      <c r="AC48" s="383">
        <f t="shared" si="29"/>
        <v>2913.7275804410265</v>
      </c>
      <c r="AD48" s="383">
        <f t="shared" si="29"/>
        <v>3031.4810887035528</v>
      </c>
      <c r="AE48" s="383">
        <f t="shared" si="29"/>
        <v>3153.9934113457102</v>
      </c>
      <c r="AF48" s="383">
        <f t="shared" si="29"/>
        <v>3281.4568680243315</v>
      </c>
      <c r="AG48" s="383">
        <f t="shared" si="29"/>
        <v>3414.0715506788911</v>
      </c>
      <c r="AH48" s="383">
        <f t="shared" si="29"/>
        <v>3552.0456376355282</v>
      </c>
      <c r="AI48" s="383">
        <f t="shared" si="29"/>
        <v>3695.5957204050642</v>
      </c>
      <c r="AJ48" s="383">
        <f t="shared" si="29"/>
        <v>3844.9471436880194</v>
      </c>
      <c r="AK48" s="383">
        <f t="shared" si="29"/>
        <v>4000.3343591203939</v>
      </c>
      <c r="AL48" s="383">
        <f t="shared" ref="AL48" si="30">AL$46*$C22</f>
        <v>4162.001293315474</v>
      </c>
    </row>
    <row r="49" spans="2:38">
      <c r="B49" s="358" t="s">
        <v>509</v>
      </c>
      <c r="C49" s="358" t="s">
        <v>443</v>
      </c>
      <c r="D49" s="383">
        <f t="shared" ref="D49:AK49" si="31">D$46*$C23</f>
        <v>360.72789640035887</v>
      </c>
      <c r="E49" s="383">
        <f t="shared" si="31"/>
        <v>375.30612108218509</v>
      </c>
      <c r="F49" s="383">
        <f t="shared" si="31"/>
        <v>390.473500739256</v>
      </c>
      <c r="G49" s="383">
        <f t="shared" si="31"/>
        <v>406.25384510097479</v>
      </c>
      <c r="H49" s="383">
        <f t="shared" si="31"/>
        <v>317.00394459585118</v>
      </c>
      <c r="I49" s="383">
        <f t="shared" si="31"/>
        <v>329.81513767367846</v>
      </c>
      <c r="J49" s="383">
        <f t="shared" si="31"/>
        <v>343.14407405052589</v>
      </c>
      <c r="K49" s="383">
        <f t="shared" si="31"/>
        <v>357.01167747034503</v>
      </c>
      <c r="L49" s="383">
        <f t="shared" si="31"/>
        <v>371.43971727578872</v>
      </c>
      <c r="M49" s="383">
        <f t="shared" si="31"/>
        <v>386.4508425816914</v>
      </c>
      <c r="N49" s="383">
        <f t="shared" si="31"/>
        <v>402.06861782961471</v>
      </c>
      <c r="O49" s="383">
        <f t="shared" si="31"/>
        <v>418.31755977927219</v>
      </c>
      <c r="P49" s="383">
        <f t="shared" si="31"/>
        <v>435.22317599490083</v>
      </c>
      <c r="Q49" s="383">
        <f t="shared" si="31"/>
        <v>452.81200488699687</v>
      </c>
      <c r="R49" s="383">
        <f t="shared" si="31"/>
        <v>471.11165737227157</v>
      </c>
      <c r="S49" s="383">
        <f t="shared" si="31"/>
        <v>490.15086021722738</v>
      </c>
      <c r="T49" s="383">
        <f t="shared" si="31"/>
        <v>509.95950113338927</v>
      </c>
      <c r="U49" s="383">
        <f t="shared" si="31"/>
        <v>530.56867569499138</v>
      </c>
      <c r="V49" s="383">
        <f t="shared" si="31"/>
        <v>552.01073615276107</v>
      </c>
      <c r="W49" s="383">
        <f t="shared" si="31"/>
        <v>574.31934222043219</v>
      </c>
      <c r="X49" s="383">
        <f t="shared" si="31"/>
        <v>597.52951391371232</v>
      </c>
      <c r="Y49" s="383">
        <f t="shared" si="31"/>
        <v>621.67768652465054</v>
      </c>
      <c r="Z49" s="383">
        <f t="shared" si="31"/>
        <v>646.80176781770297</v>
      </c>
      <c r="AA49" s="383">
        <f t="shared" si="31"/>
        <v>672.94119753728216</v>
      </c>
      <c r="AB49" s="383">
        <f t="shared" si="31"/>
        <v>700.13700932021015</v>
      </c>
      <c r="AC49" s="383">
        <f t="shared" si="31"/>
        <v>728.43189511025662</v>
      </c>
      <c r="AD49" s="383">
        <f t="shared" si="31"/>
        <v>757.8702721758882</v>
      </c>
      <c r="AE49" s="383">
        <f t="shared" si="31"/>
        <v>788.49835283642756</v>
      </c>
      <c r="AF49" s="383">
        <f t="shared" si="31"/>
        <v>820.36421700608287</v>
      </c>
      <c r="AG49" s="383">
        <f t="shared" si="31"/>
        <v>853.51788766972277</v>
      </c>
      <c r="AH49" s="383">
        <f t="shared" si="31"/>
        <v>888.01140940888206</v>
      </c>
      <c r="AI49" s="383">
        <f t="shared" si="31"/>
        <v>923.89893010126605</v>
      </c>
      <c r="AJ49" s="383">
        <f t="shared" si="31"/>
        <v>961.23678592200486</v>
      </c>
      <c r="AK49" s="383">
        <f t="shared" si="31"/>
        <v>1000.0835897800985</v>
      </c>
      <c r="AL49" s="383">
        <f t="shared" ref="AL49" si="32">AL$46*$C23</f>
        <v>1040.5003233288685</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1177" t="s">
        <v>788</v>
      </c>
      <c r="C52" s="358" t="s">
        <v>295</v>
      </c>
      <c r="D52" s="383">
        <f t="shared" ref="D52:AK53" si="35">IF(D$2&gt;VRCConstEnd,0,D32)</f>
        <v>515.84089185251321</v>
      </c>
      <c r="E52" s="383">
        <f t="shared" si="35"/>
        <v>536.68775314752463</v>
      </c>
      <c r="F52" s="383">
        <f t="shared" si="35"/>
        <v>558.37710605713607</v>
      </c>
      <c r="G52" s="383">
        <f t="shared" si="35"/>
        <v>580.94299849439392</v>
      </c>
      <c r="H52" s="383">
        <f t="shared" si="35"/>
        <v>0</v>
      </c>
      <c r="I52" s="383">
        <f t="shared" si="35"/>
        <v>0</v>
      </c>
      <c r="J52" s="383">
        <f t="shared" si="35"/>
        <v>0</v>
      </c>
      <c r="K52" s="383">
        <f t="shared" si="35"/>
        <v>0</v>
      </c>
      <c r="L52" s="383">
        <f t="shared" si="35"/>
        <v>0</v>
      </c>
      <c r="M52" s="383">
        <f t="shared" si="35"/>
        <v>0</v>
      </c>
      <c r="N52" s="383">
        <f t="shared" si="35"/>
        <v>0</v>
      </c>
      <c r="O52" s="383">
        <f t="shared" si="35"/>
        <v>0</v>
      </c>
      <c r="P52" s="383">
        <f t="shared" si="35"/>
        <v>0</v>
      </c>
      <c r="Q52" s="383">
        <f t="shared" si="35"/>
        <v>0</v>
      </c>
      <c r="R52" s="383">
        <f t="shared" si="35"/>
        <v>0</v>
      </c>
      <c r="S52" s="383">
        <f t="shared" si="35"/>
        <v>0</v>
      </c>
      <c r="T52" s="383">
        <f t="shared" si="35"/>
        <v>0</v>
      </c>
      <c r="U52" s="383">
        <f t="shared" si="35"/>
        <v>0</v>
      </c>
      <c r="V52" s="383">
        <f t="shared" si="35"/>
        <v>0</v>
      </c>
      <c r="W52" s="383">
        <f t="shared" si="35"/>
        <v>0</v>
      </c>
      <c r="X52" s="383">
        <f t="shared" si="35"/>
        <v>0</v>
      </c>
      <c r="Y52" s="383">
        <f t="shared" si="35"/>
        <v>0</v>
      </c>
      <c r="Z52" s="383">
        <f t="shared" si="35"/>
        <v>0</v>
      </c>
      <c r="AA52" s="383">
        <f t="shared" si="35"/>
        <v>0</v>
      </c>
      <c r="AB52" s="383">
        <f t="shared" si="35"/>
        <v>0</v>
      </c>
      <c r="AC52" s="383">
        <f t="shared" si="35"/>
        <v>0</v>
      </c>
      <c r="AD52" s="383">
        <f t="shared" si="35"/>
        <v>0</v>
      </c>
      <c r="AE52" s="383">
        <f t="shared" si="35"/>
        <v>0</v>
      </c>
      <c r="AF52" s="383">
        <f t="shared" si="35"/>
        <v>0</v>
      </c>
      <c r="AG52" s="383">
        <f t="shared" si="35"/>
        <v>0</v>
      </c>
      <c r="AH52" s="383">
        <f t="shared" si="35"/>
        <v>0</v>
      </c>
      <c r="AI52" s="383">
        <f t="shared" si="35"/>
        <v>0</v>
      </c>
      <c r="AJ52" s="383">
        <f t="shared" si="35"/>
        <v>0</v>
      </c>
      <c r="AK52" s="383">
        <f t="shared" si="35"/>
        <v>0</v>
      </c>
      <c r="AL52" s="383">
        <f t="shared" ref="AL52" si="36">IF(AL$2&gt;VRCConstEnd,0,AL32)</f>
        <v>0</v>
      </c>
    </row>
    <row r="53" spans="2:38">
      <c r="B53" s="1177" t="s">
        <v>789</v>
      </c>
      <c r="C53" s="358" t="s">
        <v>295</v>
      </c>
      <c r="D53" s="383">
        <f t="shared" si="35"/>
        <v>303.01143297630142</v>
      </c>
      <c r="E53" s="383">
        <f t="shared" si="35"/>
        <v>315.25714170903547</v>
      </c>
      <c r="F53" s="383">
        <f t="shared" si="35"/>
        <v>327.99774062097504</v>
      </c>
      <c r="G53" s="383">
        <f t="shared" si="35"/>
        <v>341.25322988481878</v>
      </c>
      <c r="H53" s="383">
        <f t="shared" si="35"/>
        <v>0</v>
      </c>
      <c r="I53" s="383">
        <f t="shared" si="35"/>
        <v>0</v>
      </c>
      <c r="J53" s="383">
        <f t="shared" si="35"/>
        <v>0</v>
      </c>
      <c r="K53" s="383">
        <f t="shared" si="35"/>
        <v>0</v>
      </c>
      <c r="L53" s="383">
        <f t="shared" si="35"/>
        <v>0</v>
      </c>
      <c r="M53" s="383">
        <f t="shared" si="35"/>
        <v>0</v>
      </c>
      <c r="N53" s="383">
        <f t="shared" si="35"/>
        <v>0</v>
      </c>
      <c r="O53" s="383">
        <f t="shared" si="35"/>
        <v>0</v>
      </c>
      <c r="P53" s="383">
        <f t="shared" si="35"/>
        <v>0</v>
      </c>
      <c r="Q53" s="383">
        <f t="shared" si="35"/>
        <v>0</v>
      </c>
      <c r="R53" s="383">
        <f t="shared" si="35"/>
        <v>0</v>
      </c>
      <c r="S53" s="383">
        <f t="shared" si="35"/>
        <v>0</v>
      </c>
      <c r="T53" s="383">
        <f t="shared" si="35"/>
        <v>0</v>
      </c>
      <c r="U53" s="383">
        <f t="shared" si="35"/>
        <v>0</v>
      </c>
      <c r="V53" s="383">
        <f t="shared" si="35"/>
        <v>0</v>
      </c>
      <c r="W53" s="383">
        <f t="shared" si="35"/>
        <v>0</v>
      </c>
      <c r="X53" s="383">
        <f t="shared" si="35"/>
        <v>0</v>
      </c>
      <c r="Y53" s="383">
        <f t="shared" si="35"/>
        <v>0</v>
      </c>
      <c r="Z53" s="383">
        <f t="shared" si="35"/>
        <v>0</v>
      </c>
      <c r="AA53" s="383">
        <f t="shared" si="35"/>
        <v>0</v>
      </c>
      <c r="AB53" s="383">
        <f t="shared" si="35"/>
        <v>0</v>
      </c>
      <c r="AC53" s="383">
        <f t="shared" si="35"/>
        <v>0</v>
      </c>
      <c r="AD53" s="383">
        <f t="shared" si="35"/>
        <v>0</v>
      </c>
      <c r="AE53" s="383">
        <f t="shared" si="35"/>
        <v>0</v>
      </c>
      <c r="AF53" s="383">
        <f t="shared" si="35"/>
        <v>0</v>
      </c>
      <c r="AG53" s="383">
        <f t="shared" si="35"/>
        <v>0</v>
      </c>
      <c r="AH53" s="383">
        <f t="shared" si="35"/>
        <v>0</v>
      </c>
      <c r="AI53" s="383">
        <f t="shared" si="35"/>
        <v>0</v>
      </c>
      <c r="AJ53" s="383">
        <f t="shared" si="35"/>
        <v>0</v>
      </c>
      <c r="AK53" s="383">
        <f t="shared" si="35"/>
        <v>0</v>
      </c>
      <c r="AL53" s="383">
        <f t="shared" ref="AL53" si="37">IF(AL$2&gt;VRCConstEnd,0,AL33)</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theme="4" tint="0.39997558519241921"/>
  </sheetPr>
  <dimension ref="A1:AL205"/>
  <sheetViews>
    <sheetView showGridLines="0" workbookViewId="0">
      <pane ySplit="4" topLeftCell="A84" activePane="bottomLeft" state="frozen"/>
      <selection activeCell="C105" sqref="C105:C108"/>
      <selection pane="bottomLeft"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V9:AL9"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si="1"/>
        <v>12071000</v>
      </c>
      <c r="AG9" s="498">
        <f t="shared" si="1"/>
        <v>12071000</v>
      </c>
      <c r="AH9" s="498">
        <f t="shared" si="1"/>
        <v>12071000</v>
      </c>
      <c r="AI9" s="498">
        <f t="shared" si="1"/>
        <v>12071000</v>
      </c>
      <c r="AJ9" s="498">
        <f t="shared" si="1"/>
        <v>12071000</v>
      </c>
      <c r="AK9" s="498">
        <f t="shared" si="1"/>
        <v>12071000</v>
      </c>
      <c r="AL9" s="498">
        <f t="shared" si="1"/>
        <v>12071000</v>
      </c>
    </row>
    <row r="10" spans="1:38">
      <c r="B10" s="476" t="s">
        <v>973</v>
      </c>
      <c r="C10" s="384" t="s">
        <v>1075</v>
      </c>
      <c r="D10" s="498">
        <f>'General Inputs'!D24</f>
        <v>284100</v>
      </c>
      <c r="E10" s="498">
        <f t="shared" ref="E10:T11" si="2">D10*(1+$C$8)</f>
        <v>284100</v>
      </c>
      <c r="F10" s="498">
        <f t="shared" si="2"/>
        <v>284100</v>
      </c>
      <c r="G10" s="498">
        <f t="shared" si="2"/>
        <v>284100</v>
      </c>
      <c r="H10" s="498">
        <f t="shared" si="2"/>
        <v>284100</v>
      </c>
      <c r="I10" s="498">
        <f t="shared" si="2"/>
        <v>284100</v>
      </c>
      <c r="J10" s="498">
        <f t="shared" si="2"/>
        <v>284100</v>
      </c>
      <c r="K10" s="498">
        <f t="shared" si="2"/>
        <v>284100</v>
      </c>
      <c r="L10" s="498">
        <f t="shared" si="2"/>
        <v>284100</v>
      </c>
      <c r="M10" s="498">
        <f t="shared" si="2"/>
        <v>284100</v>
      </c>
      <c r="N10" s="498">
        <f t="shared" si="2"/>
        <v>284100</v>
      </c>
      <c r="O10" s="498">
        <f t="shared" si="2"/>
        <v>284100</v>
      </c>
      <c r="P10" s="498">
        <f t="shared" si="2"/>
        <v>284100</v>
      </c>
      <c r="Q10" s="498">
        <f t="shared" si="2"/>
        <v>284100</v>
      </c>
      <c r="R10" s="498">
        <f t="shared" si="2"/>
        <v>284100</v>
      </c>
      <c r="S10" s="498">
        <f t="shared" si="2"/>
        <v>284100</v>
      </c>
      <c r="T10" s="498">
        <f t="shared" si="2"/>
        <v>284100</v>
      </c>
      <c r="U10" s="498">
        <f t="shared" ref="U10:AL11" si="3">T10*(1+$C$8)</f>
        <v>284100</v>
      </c>
      <c r="V10" s="498">
        <f t="shared" si="3"/>
        <v>284100</v>
      </c>
      <c r="W10" s="498">
        <f t="shared" si="3"/>
        <v>284100</v>
      </c>
      <c r="X10" s="498">
        <f t="shared" si="3"/>
        <v>284100</v>
      </c>
      <c r="Y10" s="498">
        <f t="shared" si="3"/>
        <v>284100</v>
      </c>
      <c r="Z10" s="498">
        <f t="shared" si="3"/>
        <v>284100</v>
      </c>
      <c r="AA10" s="498">
        <f t="shared" si="3"/>
        <v>284100</v>
      </c>
      <c r="AB10" s="498">
        <f t="shared" si="3"/>
        <v>284100</v>
      </c>
      <c r="AC10" s="498">
        <f t="shared" si="3"/>
        <v>284100</v>
      </c>
      <c r="AD10" s="498">
        <f t="shared" si="3"/>
        <v>284100</v>
      </c>
      <c r="AE10" s="498">
        <f t="shared" si="3"/>
        <v>284100</v>
      </c>
      <c r="AF10" s="498">
        <f t="shared" si="3"/>
        <v>284100</v>
      </c>
      <c r="AG10" s="498">
        <f t="shared" si="3"/>
        <v>284100</v>
      </c>
      <c r="AH10" s="498">
        <f t="shared" si="3"/>
        <v>284100</v>
      </c>
      <c r="AI10" s="498">
        <f t="shared" si="3"/>
        <v>284100</v>
      </c>
      <c r="AJ10" s="498">
        <f t="shared" si="3"/>
        <v>284100</v>
      </c>
      <c r="AK10" s="498">
        <f t="shared" si="3"/>
        <v>284100</v>
      </c>
      <c r="AL10" s="498">
        <f t="shared" si="3"/>
        <v>284100</v>
      </c>
    </row>
    <row r="11" spans="1:38">
      <c r="B11" s="476" t="s">
        <v>451</v>
      </c>
      <c r="C11" s="473" t="s">
        <v>453</v>
      </c>
      <c r="D11" s="498">
        <f>'General Inputs'!D25</f>
        <v>4500</v>
      </c>
      <c r="E11" s="498">
        <f t="shared" si="2"/>
        <v>4500</v>
      </c>
      <c r="F11" s="498">
        <f t="shared" si="2"/>
        <v>4500</v>
      </c>
      <c r="G11" s="498">
        <f t="shared" si="2"/>
        <v>4500</v>
      </c>
      <c r="H11" s="498">
        <f t="shared" si="2"/>
        <v>4500</v>
      </c>
      <c r="I11" s="498">
        <f t="shared" si="2"/>
        <v>4500</v>
      </c>
      <c r="J11" s="498">
        <f t="shared" si="2"/>
        <v>4500</v>
      </c>
      <c r="K11" s="498">
        <f t="shared" si="2"/>
        <v>4500</v>
      </c>
      <c r="L11" s="498">
        <f t="shared" si="2"/>
        <v>4500</v>
      </c>
      <c r="M11" s="498">
        <f t="shared" si="2"/>
        <v>4500</v>
      </c>
      <c r="N11" s="498">
        <f t="shared" si="2"/>
        <v>4500</v>
      </c>
      <c r="O11" s="498">
        <f t="shared" si="2"/>
        <v>4500</v>
      </c>
      <c r="P11" s="498">
        <f t="shared" si="2"/>
        <v>4500</v>
      </c>
      <c r="Q11" s="498">
        <f t="shared" si="2"/>
        <v>4500</v>
      </c>
      <c r="R11" s="498">
        <f t="shared" si="2"/>
        <v>4500</v>
      </c>
      <c r="S11" s="498">
        <f t="shared" si="2"/>
        <v>4500</v>
      </c>
      <c r="T11" s="498">
        <f t="shared" si="2"/>
        <v>4500</v>
      </c>
      <c r="U11" s="498">
        <f t="shared" si="3"/>
        <v>4500</v>
      </c>
      <c r="V11" s="498">
        <f t="shared" si="3"/>
        <v>4500</v>
      </c>
      <c r="W11" s="498">
        <f t="shared" si="3"/>
        <v>4500</v>
      </c>
      <c r="X11" s="498">
        <f t="shared" si="3"/>
        <v>4500</v>
      </c>
      <c r="Y11" s="498">
        <f t="shared" si="3"/>
        <v>4500</v>
      </c>
      <c r="Z11" s="498">
        <f t="shared" si="3"/>
        <v>4500</v>
      </c>
      <c r="AA11" s="498">
        <f t="shared" si="3"/>
        <v>4500</v>
      </c>
      <c r="AB11" s="498">
        <f t="shared" si="3"/>
        <v>4500</v>
      </c>
      <c r="AC11" s="498">
        <f t="shared" si="3"/>
        <v>4500</v>
      </c>
      <c r="AD11" s="498">
        <f t="shared" si="3"/>
        <v>4500</v>
      </c>
      <c r="AE11" s="498">
        <f t="shared" si="3"/>
        <v>4500</v>
      </c>
      <c r="AF11" s="498">
        <f t="shared" si="3"/>
        <v>4500</v>
      </c>
      <c r="AG11" s="498">
        <f t="shared" si="3"/>
        <v>4500</v>
      </c>
      <c r="AH11" s="498">
        <f t="shared" si="3"/>
        <v>4500</v>
      </c>
      <c r="AI11" s="498">
        <f t="shared" si="3"/>
        <v>4500</v>
      </c>
      <c r="AJ11" s="498">
        <f t="shared" si="3"/>
        <v>4500</v>
      </c>
      <c r="AK11" s="498">
        <f t="shared" si="3"/>
        <v>4500</v>
      </c>
      <c r="AL11" s="498">
        <f t="shared" si="3"/>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'A1.11'!D24</f>
        <v>1.8531244597511448E-3</v>
      </c>
      <c r="E15" s="388">
        <f>'A1.11'!E24</f>
        <v>1.877601731522261E-3</v>
      </c>
      <c r="F15" s="388">
        <f>'A1.11'!F24</f>
        <v>1.9024048350447574E-3</v>
      </c>
      <c r="G15" s="388">
        <f>'A1.11'!G24</f>
        <v>1.9275381182695612E-3</v>
      </c>
      <c r="H15" s="388">
        <f>'A1.11'!H24</f>
        <v>1.9530059871834709E-3</v>
      </c>
      <c r="I15" s="388">
        <f>'A1.11'!I24</f>
        <v>1.9788129065833843E-3</v>
      </c>
      <c r="J15" s="388">
        <f>'A1.11'!J24</f>
        <v>2.0049634008608907E-3</v>
      </c>
      <c r="K15" s="388">
        <f>'A1.11'!K24</f>
        <v>2.0314620547973263E-3</v>
      </c>
      <c r="L15" s="388">
        <f>'A1.11'!L24</f>
        <v>2.0583135143694502E-3</v>
      </c>
      <c r="M15" s="388">
        <f>'A1.11'!M24</f>
        <v>2.0855224875658833E-3</v>
      </c>
      <c r="N15" s="388">
        <f>'A1.11'!N24</f>
        <v>2.1130937452144348E-3</v>
      </c>
      <c r="O15" s="388">
        <f>'A1.11'!O24</f>
        <v>2.1410321218204905E-3</v>
      </c>
      <c r="P15" s="388">
        <f>'A1.11'!P24</f>
        <v>2.1693425164165869E-3</v>
      </c>
      <c r="Q15" s="388">
        <f>'A1.11'!Q24</f>
        <v>2.1980298934233256E-3</v>
      </c>
      <c r="R15" s="388">
        <f>'A1.11'!R24</f>
        <v>2.22709928352179E-3</v>
      </c>
      <c r="S15" s="388">
        <f>'A1.11'!S24</f>
        <v>2.2565557845376058E-3</v>
      </c>
      <c r="T15" s="388">
        <f>'A1.11'!T24</f>
        <v>2.286404562336797E-3</v>
      </c>
      <c r="U15" s="388">
        <f>'A1.11'!U24</f>
        <v>2.3166508517336133E-3</v>
      </c>
      <c r="V15" s="388">
        <f>'A1.11'!V24</f>
        <v>2.3472999574104775E-3</v>
      </c>
      <c r="W15" s="388">
        <f>'A1.11'!W24</f>
        <v>2.3783572548501954E-3</v>
      </c>
      <c r="X15" s="388">
        <f>'A1.11'!X24</f>
        <v>2.409828191280636E-3</v>
      </c>
      <c r="Y15" s="388">
        <f>'A1.11'!Y24</f>
        <v>2.4417182866320066E-3</v>
      </c>
      <c r="Z15" s="388">
        <f>'A1.11'!Z24</f>
        <v>2.4740331345069061E-3</v>
      </c>
      <c r="AA15" s="388">
        <f>'A1.11'!AA24</f>
        <v>2.5067784031633333E-3</v>
      </c>
      <c r="AB15" s="388">
        <f>'A1.11'!AB24</f>
        <v>2.5399598365108281E-3</v>
      </c>
      <c r="AC15" s="388">
        <f>'A1.11'!AC24</f>
        <v>2.5735832551198753E-3</v>
      </c>
      <c r="AD15" s="388">
        <f>'A1.11'!AD24</f>
        <v>2.6076545572448263E-3</v>
      </c>
      <c r="AE15" s="388">
        <f>'A1.11'!AE24</f>
        <v>2.6421797198604392E-3</v>
      </c>
      <c r="AF15" s="388">
        <f>'A1.11'!AF24</f>
        <v>2.6771647997122744E-3</v>
      </c>
      <c r="AG15" s="388">
        <f>'A1.11'!AG24</f>
        <v>2.7126159343811023E-3</v>
      </c>
      <c r="AH15" s="388">
        <f>'A1.11'!AH24</f>
        <v>2.7485393433615271E-3</v>
      </c>
      <c r="AI15" s="388">
        <f>'A1.11'!AI24</f>
        <v>2.7849413291549971E-3</v>
      </c>
      <c r="AJ15" s="388">
        <f>'A1.11'!AJ24</f>
        <v>2.8218282783774085E-3</v>
      </c>
      <c r="AK15" s="388">
        <f>'A1.11'!AK24</f>
        <v>2.8592066628814962E-3</v>
      </c>
      <c r="AL15" s="388">
        <f>'A1.11'!AL24</f>
        <v>2.897083040894199E-3</v>
      </c>
    </row>
    <row r="16" spans="1:38">
      <c r="B16" s="367" t="s">
        <v>516</v>
      </c>
      <c r="C16" s="367" t="s">
        <v>329</v>
      </c>
      <c r="D16" s="388">
        <f>'A1.11'!D25</f>
        <v>2.5536008391599339E-2</v>
      </c>
      <c r="E16" s="388">
        <f>'A1.11'!E25</f>
        <v>2.5848401735985637E-2</v>
      </c>
      <c r="F16" s="388">
        <f>'A1.11'!F25</f>
        <v>2.6164622382777926E-2</v>
      </c>
      <c r="G16" s="388">
        <f>'A1.11'!G25</f>
        <v>2.648471722477817E-2</v>
      </c>
      <c r="H16" s="388">
        <f>'A1.11'!H25</f>
        <v>2.6808733729422666E-2</v>
      </c>
      <c r="I16" s="388">
        <f>'A1.11'!I25</f>
        <v>2.7136719945817921E-2</v>
      </c>
      <c r="J16" s="388">
        <f>'A1.11'!J25</f>
        <v>2.7468724511863139E-2</v>
      </c>
      <c r="K16" s="388">
        <f>'A1.11'!K25</f>
        <v>2.7804796661459887E-2</v>
      </c>
      <c r="L16" s="388">
        <f>'A1.11'!L25</f>
        <v>2.8144986231810096E-2</v>
      </c>
      <c r="M16" s="388">
        <f>'A1.11'!M25</f>
        <v>2.8489343670803757E-2</v>
      </c>
      <c r="N16" s="388">
        <f>'A1.11'!N25</f>
        <v>2.8837920044496892E-2</v>
      </c>
      <c r="O16" s="388">
        <f>'A1.11'!O25</f>
        <v>2.9190767044681491E-2</v>
      </c>
      <c r="P16" s="388">
        <f>'A1.11'!P25</f>
        <v>2.9547936996548039E-2</v>
      </c>
      <c r="Q16" s="388">
        <f>'A1.11'!Q25</f>
        <v>2.9909482866442044E-2</v>
      </c>
      <c r="R16" s="388">
        <f>'A1.11'!R25</f>
        <v>3.0275458269715658E-2</v>
      </c>
      <c r="S16" s="388">
        <f>'A1.11'!S25</f>
        <v>3.0645917478675577E-2</v>
      </c>
      <c r="T16" s="388">
        <f>'A1.11'!T25</f>
        <v>3.1020915430628217E-2</v>
      </c>
      <c r="U16" s="388">
        <f>'A1.11'!U25</f>
        <v>3.1400507736023604E-2</v>
      </c>
      <c r="V16" s="388">
        <f>'A1.11'!V25</f>
        <v>3.1784750686699191E-2</v>
      </c>
      <c r="W16" s="388">
        <f>'A1.11'!W25</f>
        <v>3.2173701264224412E-2</v>
      </c>
      <c r="X16" s="388">
        <f>'A1.11'!X25</f>
        <v>3.2567417148347808E-2</v>
      </c>
      <c r="Y16" s="388">
        <f>'A1.11'!Y25</f>
        <v>3.2965956725547467E-2</v>
      </c>
      <c r="Z16" s="388">
        <f>'A1.11'!Z25</f>
        <v>3.3369379097686419E-2</v>
      </c>
      <c r="AA16" s="388">
        <f>'A1.11'!AA25</f>
        <v>3.3777744090773852E-2</v>
      </c>
      <c r="AB16" s="388">
        <f>'A1.11'!AB25</f>
        <v>3.4191112263834117E-2</v>
      </c>
      <c r="AC16" s="388">
        <f>'A1.11'!AC25</f>
        <v>3.4609544917883851E-2</v>
      </c>
      <c r="AD16" s="388">
        <f>'A1.11'!AD25</f>
        <v>3.5033104105019683E-2</v>
      </c>
      <c r="AE16" s="388">
        <f>'A1.11'!AE25</f>
        <v>3.5461852637616857E-2</v>
      </c>
      <c r="AF16" s="388">
        <f>'A1.11'!AF25</f>
        <v>3.5895854097640775E-2</v>
      </c>
      <c r="AG16" s="388">
        <f>'A1.11'!AG25</f>
        <v>3.6335172846072593E-2</v>
      </c>
      <c r="AH16" s="388">
        <f>'A1.11'!AH25</f>
        <v>3.6779874032450401E-2</v>
      </c>
      <c r="AI16" s="388">
        <f>'A1.11'!AI25</f>
        <v>3.7230023604527124E-2</v>
      </c>
      <c r="AJ16" s="388">
        <f>'A1.11'!AJ25</f>
        <v>3.7685688318046889E-2</v>
      </c>
      <c r="AK16" s="388">
        <f>'A1.11'!AK25</f>
        <v>3.8146935746641193E-2</v>
      </c>
      <c r="AL16" s="388">
        <f>'A1.11'!AL25</f>
        <v>3.8613834291846193E-2</v>
      </c>
    </row>
    <row r="17" spans="1:38">
      <c r="B17" s="367" t="s">
        <v>517</v>
      </c>
      <c r="C17" s="367" t="s">
        <v>518</v>
      </c>
      <c r="D17" s="388">
        <f>'A1.11'!D23</f>
        <v>0.14424767881332129</v>
      </c>
      <c r="E17" s="388">
        <f>'A1.11'!E23</f>
        <v>0.14601413197947463</v>
      </c>
      <c r="F17" s="388">
        <f>'A1.11'!F23</f>
        <v>0.14780225288062906</v>
      </c>
      <c r="G17" s="388">
        <f>'A1.11'!G23</f>
        <v>0.14961230734959785</v>
      </c>
      <c r="H17" s="388">
        <f>'A1.11'!H23</f>
        <v>0.15144456448152094</v>
      </c>
      <c r="I17" s="388">
        <f>'A1.11'!I23</f>
        <v>0.1532992966738731</v>
      </c>
      <c r="J17" s="388">
        <f>'A1.11'!J23</f>
        <v>0.15517677966696478</v>
      </c>
      <c r="K17" s="388">
        <f>'A1.11'!K23</f>
        <v>0.15707729258494013</v>
      </c>
      <c r="L17" s="388">
        <f>'A1.11'!L23</f>
        <v>0.15900111797727798</v>
      </c>
      <c r="M17" s="388">
        <f>'A1.11'!M23</f>
        <v>0.16094854186080354</v>
      </c>
      <c r="N17" s="388">
        <f>'A1.11'!N23</f>
        <v>0.16291985376221482</v>
      </c>
      <c r="O17" s="388">
        <f>'A1.11'!O23</f>
        <v>0.16491534676113251</v>
      </c>
      <c r="P17" s="388">
        <f>'A1.11'!P23</f>
        <v>0.16693531753367769</v>
      </c>
      <c r="Q17" s="388">
        <f>'A1.11'!Q23</f>
        <v>0.16898006639658472</v>
      </c>
      <c r="R17" s="388">
        <f>'A1.11'!R23</f>
        <v>0.17104989735185633</v>
      </c>
      <c r="S17" s="388">
        <f>'A1.11'!S23</f>
        <v>0.17314511813196667</v>
      </c>
      <c r="T17" s="388">
        <f>'A1.11'!T23</f>
        <v>0.17526604024561906</v>
      </c>
      <c r="U17" s="388">
        <f>'A1.11'!U23</f>
        <v>0.17741297902406608</v>
      </c>
      <c r="V17" s="388">
        <f>'A1.11'!V23</f>
        <v>0.17958625366799857</v>
      </c>
      <c r="W17" s="388">
        <f>'A1.11'!W23</f>
        <v>0.18178618729500937</v>
      </c>
      <c r="X17" s="388">
        <f>'A1.11'!X23</f>
        <v>0.18401310698764067</v>
      </c>
      <c r="Y17" s="388">
        <f>'A1.11'!Y23</f>
        <v>0.18626734384202098</v>
      </c>
      <c r="Z17" s="388">
        <f>'A1.11'!Z23</f>
        <v>0.188549233017099</v>
      </c>
      <c r="AA17" s="388">
        <f>'A1.11'!AA23</f>
        <v>0.19085911378448175</v>
      </c>
      <c r="AB17" s="388">
        <f>'A1.11'!AB23</f>
        <v>0.19319732957888583</v>
      </c>
      <c r="AC17" s="388">
        <f>'A1.11'!AC23</f>
        <v>0.19556422804920559</v>
      </c>
      <c r="AD17" s="388">
        <f>'A1.11'!AD23</f>
        <v>0.19796016111021092</v>
      </c>
      <c r="AE17" s="388">
        <f>'A1.11'!AE23</f>
        <v>0.2003854849948776</v>
      </c>
      <c r="AF17" s="388">
        <f>'A1.11'!AF23</f>
        <v>0.20284056030736092</v>
      </c>
      <c r="AG17" s="388">
        <f>'A1.11'!AG23</f>
        <v>0.20532575207661916</v>
      </c>
      <c r="AH17" s="388">
        <f>'A1.11'!AH23</f>
        <v>0.2078414298106962</v>
      </c>
      <c r="AI17" s="388">
        <f>'A1.11'!AI23</f>
        <v>0.21038796755166908</v>
      </c>
      <c r="AJ17" s="388">
        <f>'A1.11'!AJ23</f>
        <v>0.21296574393127091</v>
      </c>
      <c r="AK17" s="388">
        <f>'A1.11'!AK23</f>
        <v>0.21557514222719634</v>
      </c>
      <c r="AL17" s="388">
        <f>'A1.11'!AL23</f>
        <v>0.21821655042009785</v>
      </c>
    </row>
    <row r="18" spans="1:38">
      <c r="D18" s="358"/>
      <c r="F18" s="464"/>
      <c r="G18" s="465"/>
      <c r="H18" s="465"/>
    </row>
    <row r="19" spans="1:38">
      <c r="B19" s="366" t="s">
        <v>719</v>
      </c>
      <c r="C19" s="484" t="s">
        <v>292</v>
      </c>
      <c r="D19" s="485">
        <f t="shared" ref="D19:AK19" si="4">D15*D9</f>
        <v>22369.065353656068</v>
      </c>
      <c r="E19" s="485">
        <f t="shared" si="4"/>
        <v>22664.530501205212</v>
      </c>
      <c r="F19" s="485">
        <f t="shared" si="4"/>
        <v>22963.928763825268</v>
      </c>
      <c r="G19" s="485">
        <f t="shared" si="4"/>
        <v>23267.312625631872</v>
      </c>
      <c r="H19" s="485">
        <f t="shared" si="4"/>
        <v>23574.735271291676</v>
      </c>
      <c r="I19" s="485">
        <f t="shared" si="4"/>
        <v>23886.25059536803</v>
      </c>
      <c r="J19" s="485">
        <f t="shared" si="4"/>
        <v>24201.913211791813</v>
      </c>
      <c r="K19" s="485">
        <f t="shared" si="4"/>
        <v>24521.778463458526</v>
      </c>
      <c r="L19" s="485">
        <f t="shared" si="4"/>
        <v>24845.902431953633</v>
      </c>
      <c r="M19" s="485">
        <f t="shared" si="4"/>
        <v>25174.341947407778</v>
      </c>
      <c r="N19" s="485">
        <f t="shared" si="4"/>
        <v>25507.154598483441</v>
      </c>
      <c r="O19" s="485">
        <f t="shared" si="4"/>
        <v>25844.398742495141</v>
      </c>
      <c r="P19" s="485">
        <f t="shared" si="4"/>
        <v>26186.13351566462</v>
      </c>
      <c r="Q19" s="485">
        <f t="shared" si="4"/>
        <v>26532.418843512962</v>
      </c>
      <c r="R19" s="485">
        <f t="shared" si="4"/>
        <v>26883.315451391529</v>
      </c>
      <c r="S19" s="485">
        <f t="shared" si="4"/>
        <v>27238.884875153439</v>
      </c>
      <c r="T19" s="485">
        <f t="shared" si="4"/>
        <v>27599.189471967478</v>
      </c>
      <c r="U19" s="485">
        <f t="shared" si="4"/>
        <v>27964.292431276444</v>
      </c>
      <c r="V19" s="485">
        <f t="shared" si="4"/>
        <v>28334.257785901875</v>
      </c>
      <c r="W19" s="485">
        <f t="shared" si="4"/>
        <v>28709.150423296709</v>
      </c>
      <c r="X19" s="485">
        <f t="shared" si="4"/>
        <v>29089.036096948555</v>
      </c>
      <c r="Y19" s="485">
        <f t="shared" si="4"/>
        <v>29473.981437934952</v>
      </c>
      <c r="Z19" s="485">
        <f t="shared" si="4"/>
        <v>29864.053966632862</v>
      </c>
      <c r="AA19" s="485">
        <f t="shared" si="4"/>
        <v>30259.322104584597</v>
      </c>
      <c r="AB19" s="485">
        <f t="shared" si="4"/>
        <v>30659.855186522207</v>
      </c>
      <c r="AC19" s="485">
        <f t="shared" si="4"/>
        <v>31065.723472552014</v>
      </c>
      <c r="AD19" s="485">
        <f t="shared" si="4"/>
        <v>31476.998160502299</v>
      </c>
      <c r="AE19" s="485">
        <f t="shared" si="4"/>
        <v>31893.751398435361</v>
      </c>
      <c r="AF19" s="485">
        <f t="shared" si="4"/>
        <v>32316.056297326864</v>
      </c>
      <c r="AG19" s="485">
        <f t="shared" si="4"/>
        <v>32743.986943914286</v>
      </c>
      <c r="AH19" s="485">
        <f t="shared" si="4"/>
        <v>33177.618413716991</v>
      </c>
      <c r="AI19" s="485">
        <f t="shared" si="4"/>
        <v>33617.026784229973</v>
      </c>
      <c r="AJ19" s="485">
        <f t="shared" si="4"/>
        <v>34062.289148293698</v>
      </c>
      <c r="AK19" s="485">
        <f t="shared" si="4"/>
        <v>34513.483627642541</v>
      </c>
      <c r="AL19" s="485">
        <f t="shared" ref="AL19" si="5">AL15*AL9</f>
        <v>34970.68938663388</v>
      </c>
    </row>
    <row r="20" spans="1:38">
      <c r="B20" s="366" t="s">
        <v>720</v>
      </c>
      <c r="C20" s="484" t="s">
        <v>292</v>
      </c>
      <c r="D20" s="485">
        <f t="shared" ref="D20:AK20" si="6">D16*D10</f>
        <v>7254.7799840533726</v>
      </c>
      <c r="E20" s="485">
        <f t="shared" si="6"/>
        <v>7343.5309331935196</v>
      </c>
      <c r="F20" s="485">
        <f t="shared" si="6"/>
        <v>7433.3692189472085</v>
      </c>
      <c r="G20" s="485">
        <f t="shared" si="6"/>
        <v>7524.3081635594781</v>
      </c>
      <c r="H20" s="485">
        <f t="shared" si="6"/>
        <v>7616.3612525289791</v>
      </c>
      <c r="I20" s="485">
        <f t="shared" si="6"/>
        <v>7709.5421366068713</v>
      </c>
      <c r="J20" s="485">
        <f t="shared" si="6"/>
        <v>7803.864633820318</v>
      </c>
      <c r="K20" s="485">
        <f t="shared" si="6"/>
        <v>7899.3427315207537</v>
      </c>
      <c r="L20" s="485">
        <f t="shared" si="6"/>
        <v>7995.9905884572481</v>
      </c>
      <c r="M20" s="485">
        <f t="shared" si="6"/>
        <v>8093.8225368753474</v>
      </c>
      <c r="N20" s="485">
        <f t="shared" si="6"/>
        <v>8192.853084641567</v>
      </c>
      <c r="O20" s="485">
        <f t="shared" si="6"/>
        <v>8293.0969173940121</v>
      </c>
      <c r="P20" s="485">
        <f t="shared" si="6"/>
        <v>8394.5689007192977</v>
      </c>
      <c r="Q20" s="485">
        <f t="shared" si="6"/>
        <v>8497.2840823561855</v>
      </c>
      <c r="R20" s="485">
        <f t="shared" si="6"/>
        <v>8601.2576944262182</v>
      </c>
      <c r="S20" s="485">
        <f t="shared" si="6"/>
        <v>8706.5051556917315</v>
      </c>
      <c r="T20" s="485">
        <f t="shared" si="6"/>
        <v>8813.0420738414759</v>
      </c>
      <c r="U20" s="485">
        <f t="shared" si="6"/>
        <v>8920.8842478043061</v>
      </c>
      <c r="V20" s="485">
        <f t="shared" si="6"/>
        <v>9030.0476700912404</v>
      </c>
      <c r="W20" s="485">
        <f t="shared" si="6"/>
        <v>9140.5485291661553</v>
      </c>
      <c r="X20" s="485">
        <f t="shared" si="6"/>
        <v>9252.4032118456125</v>
      </c>
      <c r="Y20" s="485">
        <f t="shared" si="6"/>
        <v>9365.6283057280361</v>
      </c>
      <c r="Z20" s="485">
        <f t="shared" si="6"/>
        <v>9480.2406016527111</v>
      </c>
      <c r="AA20" s="485">
        <f t="shared" si="6"/>
        <v>9596.2570961888523</v>
      </c>
      <c r="AB20" s="485">
        <f t="shared" si="6"/>
        <v>9713.6949941552721</v>
      </c>
      <c r="AC20" s="485">
        <f t="shared" si="6"/>
        <v>9832.5717111708018</v>
      </c>
      <c r="AD20" s="485">
        <f t="shared" si="6"/>
        <v>9952.9048762360926</v>
      </c>
      <c r="AE20" s="485">
        <f t="shared" si="6"/>
        <v>10074.712334346948</v>
      </c>
      <c r="AF20" s="485">
        <f t="shared" si="6"/>
        <v>10198.012149139744</v>
      </c>
      <c r="AG20" s="485">
        <f t="shared" si="6"/>
        <v>10322.822605569223</v>
      </c>
      <c r="AH20" s="485">
        <f t="shared" si="6"/>
        <v>10449.16221261916</v>
      </c>
      <c r="AI20" s="485">
        <f t="shared" si="6"/>
        <v>10577.049706046157</v>
      </c>
      <c r="AJ20" s="485">
        <f t="shared" si="6"/>
        <v>10706.504051157121</v>
      </c>
      <c r="AK20" s="485">
        <f t="shared" si="6"/>
        <v>10837.544445620762</v>
      </c>
      <c r="AL20" s="485">
        <f t="shared" ref="AL20" si="7">AL16*AL10</f>
        <v>10970.190322313503</v>
      </c>
    </row>
    <row r="21" spans="1:38">
      <c r="B21" s="366" t="s">
        <v>721</v>
      </c>
      <c r="C21" s="484" t="s">
        <v>292</v>
      </c>
      <c r="D21" s="485">
        <f t="shared" ref="D21:AK21" si="8">D17*D11</f>
        <v>649.11455465994584</v>
      </c>
      <c r="E21" s="485">
        <f t="shared" si="8"/>
        <v>657.06359390763589</v>
      </c>
      <c r="F21" s="485">
        <f t="shared" si="8"/>
        <v>665.11013796283078</v>
      </c>
      <c r="G21" s="485">
        <f t="shared" si="8"/>
        <v>673.25538307319027</v>
      </c>
      <c r="H21" s="485">
        <f t="shared" si="8"/>
        <v>681.50054016684419</v>
      </c>
      <c r="I21" s="485">
        <f t="shared" si="8"/>
        <v>689.84683503242888</v>
      </c>
      <c r="J21" s="485">
        <f t="shared" si="8"/>
        <v>698.29550850134149</v>
      </c>
      <c r="K21" s="485">
        <f t="shared" si="8"/>
        <v>706.84781663223055</v>
      </c>
      <c r="L21" s="485">
        <f t="shared" si="8"/>
        <v>715.50503089775088</v>
      </c>
      <c r="M21" s="485">
        <f t="shared" si="8"/>
        <v>724.26843837361594</v>
      </c>
      <c r="N21" s="485">
        <f t="shared" si="8"/>
        <v>733.13934192996669</v>
      </c>
      <c r="O21" s="485">
        <f t="shared" si="8"/>
        <v>742.11906042509634</v>
      </c>
      <c r="P21" s="485">
        <f t="shared" si="8"/>
        <v>751.2089289015496</v>
      </c>
      <c r="Q21" s="485">
        <f t="shared" si="8"/>
        <v>760.41029878463121</v>
      </c>
      <c r="R21" s="485">
        <f t="shared" si="8"/>
        <v>769.72453808335342</v>
      </c>
      <c r="S21" s="485">
        <f t="shared" si="8"/>
        <v>779.15303159385007</v>
      </c>
      <c r="T21" s="485">
        <f t="shared" si="8"/>
        <v>788.69718110528584</v>
      </c>
      <c r="U21" s="485">
        <f t="shared" si="8"/>
        <v>798.3584056082974</v>
      </c>
      <c r="V21" s="485">
        <f t="shared" si="8"/>
        <v>808.13814150599353</v>
      </c>
      <c r="W21" s="485">
        <f t="shared" si="8"/>
        <v>818.03784282754214</v>
      </c>
      <c r="X21" s="485">
        <f t="shared" si="8"/>
        <v>828.05898144438299</v>
      </c>
      <c r="Y21" s="485">
        <f t="shared" si="8"/>
        <v>838.20304728909446</v>
      </c>
      <c r="Z21" s="485">
        <f t="shared" si="8"/>
        <v>848.47154857694545</v>
      </c>
      <c r="AA21" s="485">
        <f t="shared" si="8"/>
        <v>858.86601203016789</v>
      </c>
      <c r="AB21" s="485">
        <f t="shared" si="8"/>
        <v>869.38798310498623</v>
      </c>
      <c r="AC21" s="485">
        <f t="shared" si="8"/>
        <v>880.03902622142516</v>
      </c>
      <c r="AD21" s="485">
        <f t="shared" si="8"/>
        <v>890.82072499594915</v>
      </c>
      <c r="AE21" s="485">
        <f t="shared" si="8"/>
        <v>901.73468247694916</v>
      </c>
      <c r="AF21" s="485">
        <f t="shared" si="8"/>
        <v>912.78252138312416</v>
      </c>
      <c r="AG21" s="485">
        <f t="shared" si="8"/>
        <v>923.96588434478622</v>
      </c>
      <c r="AH21" s="485">
        <f t="shared" si="8"/>
        <v>935.28643414813291</v>
      </c>
      <c r="AI21" s="485">
        <f t="shared" si="8"/>
        <v>946.74585398251088</v>
      </c>
      <c r="AJ21" s="485">
        <f t="shared" si="8"/>
        <v>958.3458476907191</v>
      </c>
      <c r="AK21" s="485">
        <f t="shared" si="8"/>
        <v>970.08814002238353</v>
      </c>
      <c r="AL21" s="485">
        <f t="shared" ref="AL21" si="9">AL17*AL11</f>
        <v>981.97447689044031</v>
      </c>
    </row>
    <row r="22" spans="1:38">
      <c r="D22" s="358"/>
      <c r="F22" s="464"/>
      <c r="G22" s="465"/>
      <c r="H22" s="465"/>
    </row>
    <row r="23" spans="1:38" ht="13">
      <c r="B23" s="486" t="s">
        <v>461</v>
      </c>
      <c r="C23" s="487" t="s">
        <v>292</v>
      </c>
      <c r="D23" s="488">
        <f>SUM(D19:D21)</f>
        <v>30272.959892369388</v>
      </c>
      <c r="E23" s="488">
        <f t="shared" ref="E23:AK23" si="10">SUM(E19:E21)</f>
        <v>30665.125028306367</v>
      </c>
      <c r="F23" s="488">
        <f t="shared" si="10"/>
        <v>31062.408120735308</v>
      </c>
      <c r="G23" s="488">
        <f t="shared" si="10"/>
        <v>31464.876172264539</v>
      </c>
      <c r="H23" s="488">
        <f t="shared" si="10"/>
        <v>31872.597063987501</v>
      </c>
      <c r="I23" s="488">
        <f t="shared" si="10"/>
        <v>32285.639567007329</v>
      </c>
      <c r="J23" s="488">
        <f t="shared" si="10"/>
        <v>32704.073354113472</v>
      </c>
      <c r="K23" s="488">
        <f t="shared" si="10"/>
        <v>33127.969011611509</v>
      </c>
      <c r="L23" s="488">
        <f t="shared" si="10"/>
        <v>33557.398051308635</v>
      </c>
      <c r="M23" s="488">
        <f t="shared" si="10"/>
        <v>33992.432922656735</v>
      </c>
      <c r="N23" s="488">
        <f t="shared" si="10"/>
        <v>34433.147025054968</v>
      </c>
      <c r="O23" s="488">
        <f t="shared" si="10"/>
        <v>34879.614720314246</v>
      </c>
      <c r="P23" s="488">
        <f t="shared" si="10"/>
        <v>35331.911345285465</v>
      </c>
      <c r="Q23" s="488">
        <f t="shared" si="10"/>
        <v>35790.113224653782</v>
      </c>
      <c r="R23" s="488">
        <f t="shared" si="10"/>
        <v>36254.297683901103</v>
      </c>
      <c r="S23" s="488">
        <f t="shared" si="10"/>
        <v>36724.543062439021</v>
      </c>
      <c r="T23" s="488">
        <f t="shared" si="10"/>
        <v>37200.928726914244</v>
      </c>
      <c r="U23" s="488">
        <f t="shared" si="10"/>
        <v>37683.535084689051</v>
      </c>
      <c r="V23" s="488">
        <f t="shared" si="10"/>
        <v>38172.443597499114</v>
      </c>
      <c r="W23" s="488">
        <f t="shared" si="10"/>
        <v>38667.73679529041</v>
      </c>
      <c r="X23" s="488">
        <f t="shared" si="10"/>
        <v>39169.498290238553</v>
      </c>
      <c r="Y23" s="488">
        <f t="shared" si="10"/>
        <v>39677.812790952077</v>
      </c>
      <c r="Z23" s="488">
        <f t="shared" si="10"/>
        <v>40192.76611686252</v>
      </c>
      <c r="AA23" s="488">
        <f t="shared" si="10"/>
        <v>40714.445212803614</v>
      </c>
      <c r="AB23" s="488">
        <f t="shared" si="10"/>
        <v>41242.938163782463</v>
      </c>
      <c r="AC23" s="488">
        <f t="shared" si="10"/>
        <v>41778.334209944245</v>
      </c>
      <c r="AD23" s="488">
        <f t="shared" si="10"/>
        <v>42320.723761734342</v>
      </c>
      <c r="AE23" s="488">
        <f t="shared" si="10"/>
        <v>42870.198415259256</v>
      </c>
      <c r="AF23" s="488">
        <f t="shared" si="10"/>
        <v>43426.850967849736</v>
      </c>
      <c r="AG23" s="488">
        <f t="shared" si="10"/>
        <v>43990.77543382829</v>
      </c>
      <c r="AH23" s="488">
        <f t="shared" si="10"/>
        <v>44562.067060484282</v>
      </c>
      <c r="AI23" s="488">
        <f t="shared" si="10"/>
        <v>45140.822344258639</v>
      </c>
      <c r="AJ23" s="488">
        <f t="shared" si="10"/>
        <v>45727.139047141536</v>
      </c>
      <c r="AK23" s="488">
        <f t="shared" si="10"/>
        <v>46321.116213285684</v>
      </c>
      <c r="AL23" s="488">
        <f t="shared" ref="AL23" si="11">SUM(AL19:AL21)</f>
        <v>46922.854185837823</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'A1.11'!D86</f>
        <v>1.8531244597511448E-3</v>
      </c>
      <c r="E27" s="388">
        <f>'A1.11'!E86</f>
        <v>1.877601731522261E-3</v>
      </c>
      <c r="F27" s="388">
        <f>'A1.11'!F86</f>
        <v>1.9024048350447574E-3</v>
      </c>
      <c r="G27" s="388">
        <f>'A1.11'!G86</f>
        <v>1.9275381182695612E-3</v>
      </c>
      <c r="H27" s="388">
        <f>'A1.11'!H86</f>
        <v>1.7711021764136149E-3</v>
      </c>
      <c r="I27" s="388">
        <f>'A1.11'!I86</f>
        <v>1.7944927312636666E-3</v>
      </c>
      <c r="J27" s="388">
        <f>'A1.11'!J86</f>
        <v>1.8181946495516184E-3</v>
      </c>
      <c r="K27" s="388">
        <f>'A1.11'!K86</f>
        <v>1.8422120860792342E-3</v>
      </c>
      <c r="L27" s="388">
        <f>'A1.11'!L86</f>
        <v>1.8665492511063368E-3</v>
      </c>
      <c r="M27" s="388">
        <f>'A1.11'!M86</f>
        <v>1.8912104110906354E-3</v>
      </c>
      <c r="N27" s="388">
        <f>'A1.11'!N86</f>
        <v>1.9161998894374299E-3</v>
      </c>
      <c r="O27" s="388">
        <f>'A1.11'!O86</f>
        <v>1.9415220672593383E-3</v>
      </c>
      <c r="P27" s="388">
        <f>'A1.11'!P86</f>
        <v>1.9671813841461495E-3</v>
      </c>
      <c r="Q27" s="388">
        <f>'A1.11'!Q86</f>
        <v>1.9931823389449758E-3</v>
      </c>
      <c r="R27" s="388">
        <f>'A1.11'!R86</f>
        <v>2.0195294905508091E-3</v>
      </c>
      <c r="S27" s="388">
        <f>'A1.11'!S86</f>
        <v>2.0462274587076429E-3</v>
      </c>
      <c r="T27" s="388">
        <f>'A1.11'!T86</f>
        <v>2.0732809248202814E-3</v>
      </c>
      <c r="U27" s="388">
        <f>'A1.11'!U86</f>
        <v>2.1006946327769985E-3</v>
      </c>
      <c r="V27" s="388">
        <f>'A1.11'!V86</f>
        <v>2.1284733897831711E-3</v>
      </c>
      <c r="W27" s="388">
        <f>'A1.11'!W86</f>
        <v>2.1566220672060462E-3</v>
      </c>
      <c r="X27" s="388">
        <f>'A1.11'!X86</f>
        <v>2.1851456014307905E-3</v>
      </c>
      <c r="Y27" s="388">
        <f>'A1.11'!Y86</f>
        <v>2.2140489947279664E-3</v>
      </c>
      <c r="Z27" s="388">
        <f>'A1.11'!Z86</f>
        <v>2.2433373161325799E-3</v>
      </c>
      <c r="AA27" s="388">
        <f>'A1.11'!AA86</f>
        <v>2.273015702334881E-3</v>
      </c>
      <c r="AB27" s="388">
        <f>'A1.11'!AB86</f>
        <v>2.3030893585830482E-3</v>
      </c>
      <c r="AC27" s="388">
        <f>'A1.11'!AC86</f>
        <v>2.3335635595979174E-3</v>
      </c>
      <c r="AD27" s="388">
        <f>'A1.11'!AD86</f>
        <v>2.3644436504999338E-3</v>
      </c>
      <c r="AE27" s="388">
        <f>'A1.11'!AE86</f>
        <v>2.3957350477484675E-3</v>
      </c>
      <c r="AF27" s="388">
        <f>'A1.11'!AF86</f>
        <v>2.4274432400936763E-3</v>
      </c>
      <c r="AG27" s="388">
        <f>'A1.11'!AG86</f>
        <v>2.4595737895410732E-3</v>
      </c>
      <c r="AH27" s="388">
        <f>'A1.11'!AH86</f>
        <v>2.4921323323289614E-3</v>
      </c>
      <c r="AI27" s="388">
        <f>'A1.11'!AI86</f>
        <v>2.5251245799189329E-3</v>
      </c>
      <c r="AJ27" s="388">
        <f>'A1.11'!AJ86</f>
        <v>2.5585563199995646E-3</v>
      </c>
      <c r="AK27" s="388">
        <f>'A1.11'!AK86</f>
        <v>2.5924334175035468E-3</v>
      </c>
      <c r="AL27" s="388">
        <f>'A1.11'!AL86</f>
        <v>2.6267618156383503E-3</v>
      </c>
    </row>
    <row r="28" spans="1:38">
      <c r="B28" s="367" t="s">
        <v>516</v>
      </c>
      <c r="C28" s="367" t="s">
        <v>329</v>
      </c>
      <c r="D28" s="388">
        <f>'A1.11'!D87</f>
        <v>2.5536008391599339E-2</v>
      </c>
      <c r="E28" s="388">
        <f>'A1.11'!E87</f>
        <v>2.5848401735985637E-2</v>
      </c>
      <c r="F28" s="388">
        <f>'A1.11'!F87</f>
        <v>2.6164622382777926E-2</v>
      </c>
      <c r="G28" s="388">
        <f>'A1.11'!G87</f>
        <v>2.648471722477817E-2</v>
      </c>
      <c r="H28" s="388">
        <f>'A1.11'!H87</f>
        <v>2.4311756833653306E-2</v>
      </c>
      <c r="I28" s="388">
        <f>'A1.11'!I87</f>
        <v>2.4609020150968986E-2</v>
      </c>
      <c r="J28" s="388">
        <f>'A1.11'!J87</f>
        <v>2.4909924997150685E-2</v>
      </c>
      <c r="K28" s="388">
        <f>'A1.11'!K87</f>
        <v>2.5214515988499362E-2</v>
      </c>
      <c r="L28" s="388">
        <f>'A1.11'!L87</f>
        <v>2.5522838288061629E-2</v>
      </c>
      <c r="M28" s="388">
        <f>'A1.11'!M87</f>
        <v>2.5834937612323909E-2</v>
      </c>
      <c r="N28" s="388">
        <f>'A1.11'!N87</f>
        <v>2.6150860237988512E-2</v>
      </c>
      <c r="O28" s="388">
        <f>'A1.11'!O87</f>
        <v>2.6470653008833049E-2</v>
      </c>
      <c r="P28" s="388">
        <f>'A1.11'!P87</f>
        <v>2.6794363342653636E-2</v>
      </c>
      <c r="Q28" s="388">
        <f>'A1.11'!Q87</f>
        <v>2.7122039238293552E-2</v>
      </c>
      <c r="R28" s="388">
        <f>'A1.11'!R87</f>
        <v>2.7453729282757827E-2</v>
      </c>
      <c r="S28" s="388">
        <f>'A1.11'!S87</f>
        <v>2.7789482658415271E-2</v>
      </c>
      <c r="T28" s="388">
        <f>'A1.11'!T87</f>
        <v>2.8129349150288623E-2</v>
      </c>
      <c r="U28" s="388">
        <f>'A1.11'!U87</f>
        <v>2.8473379153434182E-2</v>
      </c>
      <c r="V28" s="388">
        <f>'A1.11'!V87</f>
        <v>2.8821623680411877E-2</v>
      </c>
      <c r="W28" s="388">
        <f>'A1.11'!W87</f>
        <v>2.9174134368846895E-2</v>
      </c>
      <c r="X28" s="388">
        <f>'A1.11'!X87</f>
        <v>2.9530963489084048E-2</v>
      </c>
      <c r="Y28" s="388">
        <f>'A1.11'!Y87</f>
        <v>2.9892163951935922E-2</v>
      </c>
      <c r="Z28" s="388">
        <f>'A1.11'!Z87</f>
        <v>3.0257789316526028E-2</v>
      </c>
      <c r="AA28" s="388">
        <f>'A1.11'!AA87</f>
        <v>3.0627893798228025E-2</v>
      </c>
      <c r="AB28" s="388">
        <f>'A1.11'!AB87</f>
        <v>3.10025322767024E-2</v>
      </c>
      <c r="AC28" s="388">
        <f>'A1.11'!AC87</f>
        <v>3.1381760304031489E-2</v>
      </c>
      <c r="AD28" s="388">
        <f>'A1.11'!AD87</f>
        <v>3.1765634112954286E-2</v>
      </c>
      <c r="AE28" s="388">
        <f>'A1.11'!AE87</f>
        <v>3.2154210625202136E-2</v>
      </c>
      <c r="AF28" s="388">
        <f>'A1.11'!AF87</f>
        <v>3.2547547459936627E-2</v>
      </c>
      <c r="AG28" s="388">
        <f>'A1.11'!AG87</f>
        <v>3.2945702942290905E-2</v>
      </c>
      <c r="AH28" s="388">
        <f>'A1.11'!AH87</f>
        <v>3.3348736112015526E-2</v>
      </c>
      <c r="AI28" s="388">
        <f>'A1.11'!AI87</f>
        <v>3.3756706732230517E-2</v>
      </c>
      <c r="AJ28" s="388">
        <f>'A1.11'!AJ87</f>
        <v>3.416967529828429E-2</v>
      </c>
      <c r="AK28" s="388">
        <f>'A1.11'!AK87</f>
        <v>3.4587703046721673E-2</v>
      </c>
      <c r="AL28" s="388">
        <f>'A1.11'!AL87</f>
        <v>3.5010851964361239E-2</v>
      </c>
    </row>
    <row r="29" spans="1:38">
      <c r="B29" s="367" t="s">
        <v>517</v>
      </c>
      <c r="C29" s="367" t="s">
        <v>518</v>
      </c>
      <c r="D29" s="388">
        <f>'A1.11'!D85</f>
        <v>0.14424767881332129</v>
      </c>
      <c r="E29" s="388">
        <f>'A1.11'!E85</f>
        <v>0.14601413197947463</v>
      </c>
      <c r="F29" s="388">
        <f>'A1.11'!F85</f>
        <v>0.14780225288062906</v>
      </c>
      <c r="G29" s="388">
        <f>'A1.11'!G85</f>
        <v>0.14961230734959785</v>
      </c>
      <c r="H29" s="388">
        <f>'A1.11'!H85</f>
        <v>0.13733895314169156</v>
      </c>
      <c r="I29" s="388">
        <f>'A1.11'!I85</f>
        <v>0.13901995114034069</v>
      </c>
      <c r="J29" s="388">
        <f>'A1.11'!J85</f>
        <v>0.14072156649043061</v>
      </c>
      <c r="K29" s="388">
        <f>'A1.11'!K85</f>
        <v>0.14244405213734129</v>
      </c>
      <c r="L29" s="388">
        <f>'A1.11'!L85</f>
        <v>0.14418766413068809</v>
      </c>
      <c r="M29" s="388">
        <f>'A1.11'!M85</f>
        <v>0.14595266166238965</v>
      </c>
      <c r="N29" s="388">
        <f>'A1.11'!N85</f>
        <v>0.14773930710520269</v>
      </c>
      <c r="O29" s="388">
        <f>'A1.11'!O85</f>
        <v>0.14954786605173123</v>
      </c>
      <c r="P29" s="388">
        <f>'A1.11'!P85</f>
        <v>0.15137860735391345</v>
      </c>
      <c r="Q29" s="388">
        <f>'A1.11'!Q85</f>
        <v>0.15323180316299506</v>
      </c>
      <c r="R29" s="388">
        <f>'A1.11'!R85</f>
        <v>0.15510772896999264</v>
      </c>
      <c r="S29" s="388">
        <f>'A1.11'!S85</f>
        <v>0.15700666364665467</v>
      </c>
      <c r="T29" s="388">
        <f>'A1.11'!T85</f>
        <v>0.15892888948692493</v>
      </c>
      <c r="U29" s="388">
        <f>'A1.11'!U85</f>
        <v>0.16087469224891585</v>
      </c>
      <c r="V29" s="388">
        <f>'A1.11'!V85</f>
        <v>0.16284436119739656</v>
      </c>
      <c r="W29" s="388">
        <f>'A1.11'!W85</f>
        <v>0.1648381891468034</v>
      </c>
      <c r="X29" s="388">
        <f>'A1.11'!X85</f>
        <v>0.16685647250477806</v>
      </c>
      <c r="Y29" s="388">
        <f>'A1.11'!Y85</f>
        <v>0.16889951131624092</v>
      </c>
      <c r="Z29" s="388">
        <f>'A1.11'!Z85</f>
        <v>0.17096760930800484</v>
      </c>
      <c r="AA29" s="388">
        <f>'A1.11'!AA85</f>
        <v>0.17306107393393724</v>
      </c>
      <c r="AB29" s="388">
        <f>'A1.11'!AB85</f>
        <v>0.17518021642067685</v>
      </c>
      <c r="AC29" s="388">
        <f>'A1.11'!AC85</f>
        <v>0.17732535181391135</v>
      </c>
      <c r="AD29" s="388">
        <f>'A1.11'!AD85</f>
        <v>0.17949679902522328</v>
      </c>
      <c r="AE29" s="388">
        <f>'A1.11'!AE85</f>
        <v>0.18169488087951124</v>
      </c>
      <c r="AF29" s="388">
        <f>'A1.11'!AF85</f>
        <v>0.18391992416299338</v>
      </c>
      <c r="AG29" s="388">
        <f>'A1.11'!AG85</f>
        <v>0.18617225967180004</v>
      </c>
      <c r="AH29" s="388">
        <f>'A1.11'!AH85</f>
        <v>0.18845222226116259</v>
      </c>
      <c r="AI29" s="388">
        <f>'A1.11'!AI85</f>
        <v>0.19076015089520731</v>
      </c>
      <c r="AJ29" s="388">
        <f>'A1.11'!AJ85</f>
        <v>0.19309638869735851</v>
      </c>
      <c r="AK29" s="388">
        <f>'A1.11'!AK85</f>
        <v>0.19546128300136331</v>
      </c>
      <c r="AL29" s="388">
        <f>'A1.11'!AL85</f>
        <v>0.19785518540293962</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2">D27*D9</f>
        <v>22369.065353656068</v>
      </c>
      <c r="E31" s="485">
        <f t="shared" si="12"/>
        <v>22664.530501205212</v>
      </c>
      <c r="F31" s="485">
        <f t="shared" si="12"/>
        <v>22963.928763825268</v>
      </c>
      <c r="G31" s="485">
        <f t="shared" si="12"/>
        <v>23267.312625631872</v>
      </c>
      <c r="H31" s="485">
        <f t="shared" si="12"/>
        <v>21378.974371488745</v>
      </c>
      <c r="I31" s="485">
        <f t="shared" si="12"/>
        <v>21661.321759083719</v>
      </c>
      <c r="J31" s="485">
        <f t="shared" si="12"/>
        <v>21947.427614737586</v>
      </c>
      <c r="K31" s="485">
        <f t="shared" si="12"/>
        <v>22237.342091062437</v>
      </c>
      <c r="L31" s="485">
        <f t="shared" si="12"/>
        <v>22531.11601010459</v>
      </c>
      <c r="M31" s="485">
        <f t="shared" si="12"/>
        <v>22828.80087227506</v>
      </c>
      <c r="N31" s="485">
        <f t="shared" si="12"/>
        <v>23130.448865399216</v>
      </c>
      <c r="O31" s="485">
        <f t="shared" si="12"/>
        <v>23436.112873887472</v>
      </c>
      <c r="P31" s="485">
        <f t="shared" si="12"/>
        <v>23745.846488028172</v>
      </c>
      <c r="Q31" s="485">
        <f t="shared" si="12"/>
        <v>24059.704013404804</v>
      </c>
      <c r="R31" s="485">
        <f t="shared" si="12"/>
        <v>24377.740480438817</v>
      </c>
      <c r="S31" s="485">
        <f t="shared" si="12"/>
        <v>24700.011654059959</v>
      </c>
      <c r="T31" s="485">
        <f t="shared" si="12"/>
        <v>25026.574043505618</v>
      </c>
      <c r="U31" s="485">
        <f t="shared" si="12"/>
        <v>25357.484912251148</v>
      </c>
      <c r="V31" s="485">
        <f t="shared" si="12"/>
        <v>25692.802288072657</v>
      </c>
      <c r="W31" s="485">
        <f t="shared" si="12"/>
        <v>26032.584973244186</v>
      </c>
      <c r="X31" s="485">
        <f t="shared" si="12"/>
        <v>26376.892554871072</v>
      </c>
      <c r="Y31" s="485">
        <f t="shared" si="12"/>
        <v>26725.785415361283</v>
      </c>
      <c r="Z31" s="485">
        <f t="shared" si="12"/>
        <v>27079.324743036374</v>
      </c>
      <c r="AA31" s="485">
        <f t="shared" si="12"/>
        <v>27437.572542884347</v>
      </c>
      <c r="AB31" s="485">
        <f t="shared" si="12"/>
        <v>27800.591647455974</v>
      </c>
      <c r="AC31" s="485">
        <f t="shared" si="12"/>
        <v>28168.445727906459</v>
      </c>
      <c r="AD31" s="485">
        <f t="shared" si="12"/>
        <v>28541.199305184702</v>
      </c>
      <c r="AE31" s="485">
        <f t="shared" si="12"/>
        <v>28918.917761371751</v>
      </c>
      <c r="AF31" s="485">
        <f t="shared" si="12"/>
        <v>29301.667351170767</v>
      </c>
      <c r="AG31" s="485">
        <f t="shared" si="12"/>
        <v>29689.515213550294</v>
      </c>
      <c r="AH31" s="485">
        <f t="shared" si="12"/>
        <v>30082.529383542893</v>
      </c>
      <c r="AI31" s="485">
        <f t="shared" si="12"/>
        <v>30480.77880420144</v>
      </c>
      <c r="AJ31" s="485">
        <f t="shared" si="12"/>
        <v>30884.333338714743</v>
      </c>
      <c r="AK31" s="485">
        <f t="shared" si="12"/>
        <v>31293.263782685313</v>
      </c>
      <c r="AL31" s="485">
        <f t="shared" ref="AL31" si="13">AL27*AL9</f>
        <v>31707.641876570528</v>
      </c>
    </row>
    <row r="32" spans="1:38">
      <c r="B32" s="366" t="s">
        <v>720</v>
      </c>
      <c r="C32" s="484" t="s">
        <v>292</v>
      </c>
      <c r="D32" s="485">
        <f t="shared" ref="D32:AK32" si="14">D28*D10</f>
        <v>7254.7799840533726</v>
      </c>
      <c r="E32" s="485">
        <f t="shared" si="14"/>
        <v>7343.5309331935196</v>
      </c>
      <c r="F32" s="485">
        <f t="shared" si="14"/>
        <v>7433.3692189472085</v>
      </c>
      <c r="G32" s="485">
        <f t="shared" si="14"/>
        <v>7524.3081635594781</v>
      </c>
      <c r="H32" s="485">
        <f t="shared" si="14"/>
        <v>6906.9701164409043</v>
      </c>
      <c r="I32" s="485">
        <f t="shared" si="14"/>
        <v>6991.4226248902887</v>
      </c>
      <c r="J32" s="485">
        <f t="shared" si="14"/>
        <v>7076.9096916905091</v>
      </c>
      <c r="K32" s="485">
        <f t="shared" si="14"/>
        <v>7163.443992332669</v>
      </c>
      <c r="L32" s="485">
        <f t="shared" si="14"/>
        <v>7251.0383576383092</v>
      </c>
      <c r="M32" s="485">
        <f t="shared" si="14"/>
        <v>7339.705775661223</v>
      </c>
      <c r="N32" s="485">
        <f t="shared" si="14"/>
        <v>7429.4593936125366</v>
      </c>
      <c r="O32" s="485">
        <f t="shared" si="14"/>
        <v>7520.3125198094694</v>
      </c>
      <c r="P32" s="485">
        <f t="shared" si="14"/>
        <v>7612.2786256478985</v>
      </c>
      <c r="Q32" s="485">
        <f t="shared" si="14"/>
        <v>7705.3713475991981</v>
      </c>
      <c r="R32" s="485">
        <f t="shared" si="14"/>
        <v>7799.6044892314985</v>
      </c>
      <c r="S32" s="485">
        <f t="shared" si="14"/>
        <v>7894.9920232557788</v>
      </c>
      <c r="T32" s="485">
        <f t="shared" si="14"/>
        <v>7991.5480935969981</v>
      </c>
      <c r="U32" s="485">
        <f t="shared" si="14"/>
        <v>8089.2870174906511</v>
      </c>
      <c r="V32" s="485">
        <f t="shared" si="14"/>
        <v>8188.2232876050139</v>
      </c>
      <c r="W32" s="485">
        <f t="shared" si="14"/>
        <v>8288.371574189403</v>
      </c>
      <c r="X32" s="485">
        <f t="shared" si="14"/>
        <v>8389.7467272487775</v>
      </c>
      <c r="Y32" s="485">
        <f t="shared" si="14"/>
        <v>8492.3637787449952</v>
      </c>
      <c r="Z32" s="485">
        <f t="shared" si="14"/>
        <v>8596.2379448250449</v>
      </c>
      <c r="AA32" s="485">
        <f t="shared" si="14"/>
        <v>8701.3846280765811</v>
      </c>
      <c r="AB32" s="485">
        <f t="shared" si="14"/>
        <v>8807.8194198111523</v>
      </c>
      <c r="AC32" s="485">
        <f t="shared" si="14"/>
        <v>8915.5581023753457</v>
      </c>
      <c r="AD32" s="485">
        <f t="shared" si="14"/>
        <v>9024.6166514903125</v>
      </c>
      <c r="AE32" s="485">
        <f t="shared" si="14"/>
        <v>9135.0112386199271</v>
      </c>
      <c r="AF32" s="485">
        <f t="shared" si="14"/>
        <v>9246.7582333679948</v>
      </c>
      <c r="AG32" s="485">
        <f t="shared" si="14"/>
        <v>9359.8742059048454</v>
      </c>
      <c r="AH32" s="485">
        <f t="shared" si="14"/>
        <v>9474.3759294236115</v>
      </c>
      <c r="AI32" s="485">
        <f t="shared" si="14"/>
        <v>9590.28038262669</v>
      </c>
      <c r="AJ32" s="485">
        <f t="shared" si="14"/>
        <v>9707.604752242567</v>
      </c>
      <c r="AK32" s="485">
        <f t="shared" si="14"/>
        <v>9826.3664355736273</v>
      </c>
      <c r="AL32" s="485">
        <f t="shared" ref="AL32" si="15">AL28*AL10</f>
        <v>9946.5830430750284</v>
      </c>
    </row>
    <row r="33" spans="1:38">
      <c r="B33" s="366" t="s">
        <v>721</v>
      </c>
      <c r="C33" s="484" t="s">
        <v>292</v>
      </c>
      <c r="D33" s="485">
        <f t="shared" ref="D33:AK33" si="16">D29*D11</f>
        <v>649.11455465994584</v>
      </c>
      <c r="E33" s="485">
        <f t="shared" si="16"/>
        <v>657.06359390763589</v>
      </c>
      <c r="F33" s="485">
        <f t="shared" si="16"/>
        <v>665.11013796283078</v>
      </c>
      <c r="G33" s="485">
        <f t="shared" si="16"/>
        <v>673.25538307319027</v>
      </c>
      <c r="H33" s="485">
        <f t="shared" si="16"/>
        <v>618.02528913761205</v>
      </c>
      <c r="I33" s="485">
        <f t="shared" si="16"/>
        <v>625.58978013153308</v>
      </c>
      <c r="J33" s="485">
        <f t="shared" si="16"/>
        <v>633.24704920693773</v>
      </c>
      <c r="K33" s="485">
        <f t="shared" si="16"/>
        <v>640.99823461803578</v>
      </c>
      <c r="L33" s="485">
        <f t="shared" si="16"/>
        <v>648.8444885880964</v>
      </c>
      <c r="M33" s="485">
        <f t="shared" si="16"/>
        <v>656.78697748075342</v>
      </c>
      <c r="N33" s="485">
        <f t="shared" si="16"/>
        <v>664.82688197341213</v>
      </c>
      <c r="O33" s="485">
        <f t="shared" si="16"/>
        <v>672.96539723279056</v>
      </c>
      <c r="P33" s="485">
        <f t="shared" si="16"/>
        <v>681.20373309261049</v>
      </c>
      <c r="Q33" s="485">
        <f t="shared" si="16"/>
        <v>689.54311423347781</v>
      </c>
      <c r="R33" s="485">
        <f t="shared" si="16"/>
        <v>697.98478036496692</v>
      </c>
      <c r="S33" s="485">
        <f t="shared" si="16"/>
        <v>706.52998640994599</v>
      </c>
      <c r="T33" s="485">
        <f t="shared" si="16"/>
        <v>715.18000269116226</v>
      </c>
      <c r="U33" s="485">
        <f t="shared" si="16"/>
        <v>723.93611512012126</v>
      </c>
      <c r="V33" s="485">
        <f t="shared" si="16"/>
        <v>732.79962538828454</v>
      </c>
      <c r="W33" s="485">
        <f t="shared" si="16"/>
        <v>741.77185116061526</v>
      </c>
      <c r="X33" s="485">
        <f t="shared" si="16"/>
        <v>750.85412627150129</v>
      </c>
      <c r="Y33" s="485">
        <f t="shared" si="16"/>
        <v>760.0478009230842</v>
      </c>
      <c r="Z33" s="485">
        <f t="shared" si="16"/>
        <v>769.35424188602178</v>
      </c>
      <c r="AA33" s="485">
        <f t="shared" si="16"/>
        <v>778.77483270271762</v>
      </c>
      <c r="AB33" s="485">
        <f t="shared" si="16"/>
        <v>788.3109738930458</v>
      </c>
      <c r="AC33" s="485">
        <f t="shared" si="16"/>
        <v>797.96408316260101</v>
      </c>
      <c r="AD33" s="485">
        <f t="shared" si="16"/>
        <v>807.73559561350476</v>
      </c>
      <c r="AE33" s="485">
        <f t="shared" si="16"/>
        <v>817.62696395780063</v>
      </c>
      <c r="AF33" s="485">
        <f t="shared" si="16"/>
        <v>827.63965873347024</v>
      </c>
      <c r="AG33" s="485">
        <f t="shared" si="16"/>
        <v>837.77516852310021</v>
      </c>
      <c r="AH33" s="485">
        <f t="shared" si="16"/>
        <v>848.03500017523163</v>
      </c>
      <c r="AI33" s="485">
        <f t="shared" si="16"/>
        <v>858.42067902843291</v>
      </c>
      <c r="AJ33" s="485">
        <f t="shared" si="16"/>
        <v>868.93374913811328</v>
      </c>
      <c r="AK33" s="485">
        <f t="shared" si="16"/>
        <v>879.57577350613485</v>
      </c>
      <c r="AL33" s="485">
        <f t="shared" ref="AL33" si="17">AL29*AL11</f>
        <v>890.34833431322829</v>
      </c>
    </row>
    <row r="34" spans="1:38">
      <c r="D34" s="358"/>
      <c r="F34" s="464"/>
      <c r="G34" s="465"/>
      <c r="H34" s="465"/>
    </row>
    <row r="35" spans="1:38" ht="13">
      <c r="B35" s="486" t="s">
        <v>462</v>
      </c>
      <c r="C35" s="487" t="s">
        <v>292</v>
      </c>
      <c r="D35" s="488">
        <f>SUM(D31:D33)</f>
        <v>30272.959892369388</v>
      </c>
      <c r="E35" s="488">
        <f t="shared" ref="E35:AK35" si="18">SUM(E31:E33)</f>
        <v>30665.125028306367</v>
      </c>
      <c r="F35" s="488">
        <f t="shared" si="18"/>
        <v>31062.408120735308</v>
      </c>
      <c r="G35" s="488">
        <f t="shared" si="18"/>
        <v>31464.876172264539</v>
      </c>
      <c r="H35" s="488">
        <f t="shared" si="18"/>
        <v>28903.969777067261</v>
      </c>
      <c r="I35" s="488">
        <f t="shared" si="18"/>
        <v>29278.334164105541</v>
      </c>
      <c r="J35" s="488">
        <f t="shared" si="18"/>
        <v>29657.584355635034</v>
      </c>
      <c r="K35" s="488">
        <f t="shared" si="18"/>
        <v>30041.784318013142</v>
      </c>
      <c r="L35" s="488">
        <f t="shared" si="18"/>
        <v>30430.998856330996</v>
      </c>
      <c r="M35" s="488">
        <f t="shared" si="18"/>
        <v>30825.293625417038</v>
      </c>
      <c r="N35" s="488">
        <f t="shared" si="18"/>
        <v>31224.735140985165</v>
      </c>
      <c r="O35" s="488">
        <f t="shared" si="18"/>
        <v>31629.39079092973</v>
      </c>
      <c r="P35" s="488">
        <f t="shared" si="18"/>
        <v>32039.32884676868</v>
      </c>
      <c r="Q35" s="488">
        <f t="shared" si="18"/>
        <v>32454.618475237479</v>
      </c>
      <c r="R35" s="488">
        <f t="shared" si="18"/>
        <v>32875.329750035286</v>
      </c>
      <c r="S35" s="488">
        <f t="shared" si="18"/>
        <v>33301.533663725684</v>
      </c>
      <c r="T35" s="488">
        <f t="shared" si="18"/>
        <v>33733.302139793777</v>
      </c>
      <c r="U35" s="488">
        <f t="shared" si="18"/>
        <v>34170.708044861924</v>
      </c>
      <c r="V35" s="488">
        <f t="shared" si="18"/>
        <v>34613.825201065949</v>
      </c>
      <c r="W35" s="488">
        <f t="shared" si="18"/>
        <v>35062.728398594205</v>
      </c>
      <c r="X35" s="488">
        <f t="shared" si="18"/>
        <v>35517.493408391354</v>
      </c>
      <c r="Y35" s="488">
        <f t="shared" si="18"/>
        <v>35978.196995029364</v>
      </c>
      <c r="Z35" s="488">
        <f t="shared" si="18"/>
        <v>36444.916929747444</v>
      </c>
      <c r="AA35" s="488">
        <f t="shared" si="18"/>
        <v>36917.732003663645</v>
      </c>
      <c r="AB35" s="488">
        <f t="shared" si="18"/>
        <v>37396.722041160167</v>
      </c>
      <c r="AC35" s="488">
        <f t="shared" si="18"/>
        <v>37881.967913444409</v>
      </c>
      <c r="AD35" s="488">
        <f t="shared" si="18"/>
        <v>38373.551552288518</v>
      </c>
      <c r="AE35" s="488">
        <f t="shared" si="18"/>
        <v>38871.555963949482</v>
      </c>
      <c r="AF35" s="488">
        <f t="shared" si="18"/>
        <v>39376.065243272227</v>
      </c>
      <c r="AG35" s="488">
        <f t="shared" si="18"/>
        <v>39887.164587978237</v>
      </c>
      <c r="AH35" s="488">
        <f t="shared" si="18"/>
        <v>40404.940313141735</v>
      </c>
      <c r="AI35" s="488">
        <f t="shared" si="18"/>
        <v>40929.479865856563</v>
      </c>
      <c r="AJ35" s="488">
        <f t="shared" si="18"/>
        <v>41460.871840095424</v>
      </c>
      <c r="AK35" s="488">
        <f t="shared" si="18"/>
        <v>41999.205991765077</v>
      </c>
      <c r="AL35" s="488">
        <f t="shared" ref="AL35" si="19">SUM(AL31:AL33)</f>
        <v>42544.573253958777</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 t="shared" ref="D39:AK39" si="20">D15-D27</f>
        <v>0</v>
      </c>
      <c r="E39" s="388">
        <f t="shared" si="20"/>
        <v>0</v>
      </c>
      <c r="F39" s="388">
        <f t="shared" si="20"/>
        <v>0</v>
      </c>
      <c r="G39" s="388">
        <f t="shared" si="20"/>
        <v>0</v>
      </c>
      <c r="H39" s="388">
        <f t="shared" si="20"/>
        <v>1.8190381076985595E-4</v>
      </c>
      <c r="I39" s="388">
        <f t="shared" si="20"/>
        <v>1.843201753197177E-4</v>
      </c>
      <c r="J39" s="388">
        <f t="shared" si="20"/>
        <v>1.8676875130927231E-4</v>
      </c>
      <c r="K39" s="388">
        <f t="shared" si="20"/>
        <v>1.8924996871809213E-4</v>
      </c>
      <c r="L39" s="388">
        <f t="shared" si="20"/>
        <v>1.9176426326311343E-4</v>
      </c>
      <c r="M39" s="388">
        <f t="shared" si="20"/>
        <v>1.9431207647524788E-4</v>
      </c>
      <c r="N39" s="388">
        <f t="shared" si="20"/>
        <v>1.9689385577700488E-4</v>
      </c>
      <c r="O39" s="388">
        <f t="shared" si="20"/>
        <v>1.9951005456115222E-4</v>
      </c>
      <c r="P39" s="388">
        <f t="shared" si="20"/>
        <v>2.0216113227043741E-4</v>
      </c>
      <c r="Q39" s="388">
        <f t="shared" si="20"/>
        <v>2.0484755447834971E-4</v>
      </c>
      <c r="R39" s="388">
        <f t="shared" si="20"/>
        <v>2.0756979297098088E-4</v>
      </c>
      <c r="S39" s="388">
        <f t="shared" si="20"/>
        <v>2.1032832582996291E-4</v>
      </c>
      <c r="T39" s="388">
        <f t="shared" si="20"/>
        <v>2.1312363751651566E-4</v>
      </c>
      <c r="U39" s="388">
        <f t="shared" si="20"/>
        <v>2.1595621895661478E-4</v>
      </c>
      <c r="V39" s="388">
        <f t="shared" si="20"/>
        <v>2.1882656762730636E-4</v>
      </c>
      <c r="W39" s="388">
        <f t="shared" si="20"/>
        <v>2.2173518764414916E-4</v>
      </c>
      <c r="X39" s="388">
        <f t="shared" si="20"/>
        <v>2.2468258984984554E-4</v>
      </c>
      <c r="Y39" s="388">
        <f t="shared" si="20"/>
        <v>2.2766929190404022E-4</v>
      </c>
      <c r="Z39" s="388">
        <f t="shared" si="20"/>
        <v>2.3069581837432615E-4</v>
      </c>
      <c r="AA39" s="388">
        <f t="shared" si="20"/>
        <v>2.3376270082845233E-4</v>
      </c>
      <c r="AB39" s="388">
        <f t="shared" si="20"/>
        <v>2.3687047792777995E-4</v>
      </c>
      <c r="AC39" s="388">
        <f t="shared" si="20"/>
        <v>2.4001969552195791E-4</v>
      </c>
      <c r="AD39" s="388">
        <f t="shared" si="20"/>
        <v>2.4321090674489249E-4</v>
      </c>
      <c r="AE39" s="388">
        <f t="shared" si="20"/>
        <v>2.4644467211197172E-4</v>
      </c>
      <c r="AF39" s="388">
        <f t="shared" si="20"/>
        <v>2.4972155961859805E-4</v>
      </c>
      <c r="AG39" s="388">
        <f t="shared" si="20"/>
        <v>2.5304214484002906E-4</v>
      </c>
      <c r="AH39" s="388">
        <f t="shared" si="20"/>
        <v>2.5640701103256565E-4</v>
      </c>
      <c r="AI39" s="388">
        <f t="shared" si="20"/>
        <v>2.598167492360642E-4</v>
      </c>
      <c r="AJ39" s="388">
        <f t="shared" si="20"/>
        <v>2.6327195837784392E-4</v>
      </c>
      <c r="AK39" s="388">
        <f t="shared" si="20"/>
        <v>2.6677324537794939E-4</v>
      </c>
      <c r="AL39" s="388">
        <f t="shared" ref="AL39" si="21">AL15-AL27</f>
        <v>2.7032122525584871E-4</v>
      </c>
    </row>
    <row r="40" spans="1:38" ht="13">
      <c r="B40" s="581" t="s">
        <v>782</v>
      </c>
      <c r="C40" s="581" t="s">
        <v>329</v>
      </c>
      <c r="D40" s="388">
        <f t="shared" ref="D40:AK40" si="22">D16-D28</f>
        <v>0</v>
      </c>
      <c r="E40" s="388">
        <f t="shared" si="22"/>
        <v>0</v>
      </c>
      <c r="F40" s="388">
        <f t="shared" si="22"/>
        <v>0</v>
      </c>
      <c r="G40" s="388">
        <f t="shared" si="22"/>
        <v>0</v>
      </c>
      <c r="H40" s="388">
        <f t="shared" si="22"/>
        <v>2.4969768957693594E-3</v>
      </c>
      <c r="I40" s="388">
        <f t="shared" si="22"/>
        <v>2.5276997948489345E-3</v>
      </c>
      <c r="J40" s="388">
        <f t="shared" si="22"/>
        <v>2.5587995147124537E-3</v>
      </c>
      <c r="K40" s="388">
        <f t="shared" si="22"/>
        <v>2.5902806729605245E-3</v>
      </c>
      <c r="L40" s="388">
        <f t="shared" si="22"/>
        <v>2.6221479437484665E-3</v>
      </c>
      <c r="M40" s="388">
        <f t="shared" si="22"/>
        <v>2.6544060584798475E-3</v>
      </c>
      <c r="N40" s="388">
        <f t="shared" si="22"/>
        <v>2.6870598065083795E-3</v>
      </c>
      <c r="O40" s="388">
        <f t="shared" si="22"/>
        <v>2.7201140358484414E-3</v>
      </c>
      <c r="P40" s="388">
        <f t="shared" si="22"/>
        <v>2.7535736538944026E-3</v>
      </c>
      <c r="Q40" s="388">
        <f t="shared" si="22"/>
        <v>2.7874436281484921E-3</v>
      </c>
      <c r="R40" s="388">
        <f t="shared" si="22"/>
        <v>2.8217289869578305E-3</v>
      </c>
      <c r="S40" s="388">
        <f t="shared" si="22"/>
        <v>2.8564348202603056E-3</v>
      </c>
      <c r="T40" s="388">
        <f t="shared" si="22"/>
        <v>2.8915662803395935E-3</v>
      </c>
      <c r="U40" s="388">
        <f t="shared" si="22"/>
        <v>2.9271285825894222E-3</v>
      </c>
      <c r="V40" s="388">
        <f t="shared" si="22"/>
        <v>2.9631270062873138E-3</v>
      </c>
      <c r="W40" s="388">
        <f t="shared" si="22"/>
        <v>2.9995668953775173E-3</v>
      </c>
      <c r="X40" s="388">
        <f t="shared" si="22"/>
        <v>3.0364536592637596E-3</v>
      </c>
      <c r="Y40" s="388">
        <f t="shared" si="22"/>
        <v>3.0737927736115452E-3</v>
      </c>
      <c r="Z40" s="388">
        <f t="shared" si="22"/>
        <v>3.1115897811603913E-3</v>
      </c>
      <c r="AA40" s="388">
        <f t="shared" si="22"/>
        <v>3.149850292545827E-3</v>
      </c>
      <c r="AB40" s="388">
        <f t="shared" si="22"/>
        <v>3.1885799871317171E-3</v>
      </c>
      <c r="AC40" s="388">
        <f t="shared" si="22"/>
        <v>3.2277846138523622E-3</v>
      </c>
      <c r="AD40" s="388">
        <f t="shared" si="22"/>
        <v>3.2674699920653971E-3</v>
      </c>
      <c r="AE40" s="388">
        <f t="shared" si="22"/>
        <v>3.3076420124147216E-3</v>
      </c>
      <c r="AF40" s="388">
        <f t="shared" si="22"/>
        <v>3.3483066377041487E-3</v>
      </c>
      <c r="AG40" s="388">
        <f t="shared" si="22"/>
        <v>3.3894699037816875E-3</v>
      </c>
      <c r="AH40" s="388">
        <f t="shared" si="22"/>
        <v>3.4311379204348749E-3</v>
      </c>
      <c r="AI40" s="388">
        <f t="shared" si="22"/>
        <v>3.4733168722966071E-3</v>
      </c>
      <c r="AJ40" s="388">
        <f t="shared" si="22"/>
        <v>3.5160130197625997E-3</v>
      </c>
      <c r="AK40" s="388">
        <f t="shared" si="22"/>
        <v>3.5592326999195206E-3</v>
      </c>
      <c r="AL40" s="388">
        <f t="shared" ref="AL40" si="23">AL16-AL28</f>
        <v>3.6029823274849535E-3</v>
      </c>
    </row>
    <row r="41" spans="1:38" ht="13">
      <c r="B41" s="581" t="s">
        <v>783</v>
      </c>
      <c r="C41" s="581" t="s">
        <v>518</v>
      </c>
      <c r="D41" s="388">
        <f t="shared" ref="D41:AK41" si="24">D17-D29</f>
        <v>0</v>
      </c>
      <c r="E41" s="388">
        <f t="shared" si="24"/>
        <v>0</v>
      </c>
      <c r="F41" s="388">
        <f t="shared" si="24"/>
        <v>0</v>
      </c>
      <c r="G41" s="388">
        <f t="shared" si="24"/>
        <v>0</v>
      </c>
      <c r="H41" s="388">
        <f t="shared" si="24"/>
        <v>1.4105611339829377E-2</v>
      </c>
      <c r="I41" s="388">
        <f t="shared" si="24"/>
        <v>1.4279345533532412E-2</v>
      </c>
      <c r="J41" s="388">
        <f t="shared" si="24"/>
        <v>1.4455213176534171E-2</v>
      </c>
      <c r="K41" s="388">
        <f t="shared" si="24"/>
        <v>1.4633240447598839E-2</v>
      </c>
      <c r="L41" s="388">
        <f t="shared" si="24"/>
        <v>1.4813453846589886E-2</v>
      </c>
      <c r="M41" s="388">
        <f t="shared" si="24"/>
        <v>1.4995880198413886E-2</v>
      </c>
      <c r="N41" s="388">
        <f t="shared" si="24"/>
        <v>1.5180546657012128E-2</v>
      </c>
      <c r="O41" s="388">
        <f t="shared" si="24"/>
        <v>1.5367480709401277E-2</v>
      </c>
      <c r="P41" s="388">
        <f t="shared" si="24"/>
        <v>1.5556710179764233E-2</v>
      </c>
      <c r="Q41" s="388">
        <f t="shared" si="24"/>
        <v>1.574826323358966E-2</v>
      </c>
      <c r="R41" s="388">
        <f t="shared" si="24"/>
        <v>1.5942168381863686E-2</v>
      </c>
      <c r="S41" s="388">
        <f t="shared" si="24"/>
        <v>1.6138454485312009E-2</v>
      </c>
      <c r="T41" s="388">
        <f t="shared" si="24"/>
        <v>1.633715075869413E-2</v>
      </c>
      <c r="U41" s="388">
        <f t="shared" si="24"/>
        <v>1.6538286775150235E-2</v>
      </c>
      <c r="V41" s="388">
        <f t="shared" si="24"/>
        <v>1.674189247060201E-2</v>
      </c>
      <c r="W41" s="388">
        <f t="shared" si="24"/>
        <v>1.6947998148205967E-2</v>
      </c>
      <c r="X41" s="388">
        <f t="shared" si="24"/>
        <v>1.7156634482862615E-2</v>
      </c>
      <c r="Y41" s="388">
        <f t="shared" si="24"/>
        <v>1.7367832525780058E-2</v>
      </c>
      <c r="Z41" s="388">
        <f t="shared" si="24"/>
        <v>1.7581623709094163E-2</v>
      </c>
      <c r="AA41" s="388">
        <f t="shared" si="24"/>
        <v>1.7798039850544511E-2</v>
      </c>
      <c r="AB41" s="388">
        <f t="shared" si="24"/>
        <v>1.8017113158208975E-2</v>
      </c>
      <c r="AC41" s="388">
        <f t="shared" si="24"/>
        <v>1.8238876235294244E-2</v>
      </c>
      <c r="AD41" s="388">
        <f t="shared" si="24"/>
        <v>1.8463362084987639E-2</v>
      </c>
      <c r="AE41" s="388">
        <f t="shared" si="24"/>
        <v>1.8690604115366355E-2</v>
      </c>
      <c r="AF41" s="388">
        <f t="shared" si="24"/>
        <v>1.8920636144367536E-2</v>
      </c>
      <c r="AG41" s="388">
        <f t="shared" si="24"/>
        <v>1.9153492404819117E-2</v>
      </c>
      <c r="AH41" s="388">
        <f t="shared" si="24"/>
        <v>1.9389207549533605E-2</v>
      </c>
      <c r="AI41" s="388">
        <f t="shared" si="24"/>
        <v>1.9627816656461766E-2</v>
      </c>
      <c r="AJ41" s="388">
        <f t="shared" si="24"/>
        <v>1.9869355233912395E-2</v>
      </c>
      <c r="AK41" s="388">
        <f t="shared" si="24"/>
        <v>2.0113859225833031E-2</v>
      </c>
      <c r="AL41" s="388">
        <f t="shared" ref="AL41" si="25">AL17-AL29</f>
        <v>2.0361365017158239E-2</v>
      </c>
    </row>
    <row r="42" spans="1:38">
      <c r="D42" s="358"/>
      <c r="F42" s="464"/>
      <c r="G42" s="465"/>
      <c r="H42" s="465"/>
    </row>
    <row r="43" spans="1:38" ht="13">
      <c r="B43" s="492" t="s">
        <v>284</v>
      </c>
      <c r="C43" s="487" t="s">
        <v>292</v>
      </c>
      <c r="D43" s="488">
        <f t="shared" ref="D43:AK43" si="26">D23-D35</f>
        <v>0</v>
      </c>
      <c r="E43" s="488">
        <f t="shared" si="26"/>
        <v>0</v>
      </c>
      <c r="F43" s="488">
        <f t="shared" si="26"/>
        <v>0</v>
      </c>
      <c r="G43" s="488">
        <f t="shared" si="26"/>
        <v>0</v>
      </c>
      <c r="H43" s="488">
        <f t="shared" si="26"/>
        <v>2968.6272869202403</v>
      </c>
      <c r="I43" s="488">
        <f t="shared" si="26"/>
        <v>3007.3054029017876</v>
      </c>
      <c r="J43" s="488">
        <f t="shared" si="26"/>
        <v>3046.4889984784386</v>
      </c>
      <c r="K43" s="488">
        <f t="shared" si="26"/>
        <v>3086.1846935983667</v>
      </c>
      <c r="L43" s="488">
        <f t="shared" si="26"/>
        <v>3126.3991949776391</v>
      </c>
      <c r="M43" s="488">
        <f t="shared" si="26"/>
        <v>3167.139297239697</v>
      </c>
      <c r="N43" s="488">
        <f t="shared" si="26"/>
        <v>3208.4118840698029</v>
      </c>
      <c r="O43" s="488">
        <f t="shared" si="26"/>
        <v>3250.2239293845159</v>
      </c>
      <c r="P43" s="488">
        <f t="shared" si="26"/>
        <v>3292.5824985167856</v>
      </c>
      <c r="Q43" s="488">
        <f t="shared" si="26"/>
        <v>3335.4947494163025</v>
      </c>
      <c r="R43" s="488">
        <f t="shared" si="26"/>
        <v>3378.967933865817</v>
      </c>
      <c r="S43" s="488">
        <f t="shared" si="26"/>
        <v>3423.0093987133369</v>
      </c>
      <c r="T43" s="488">
        <f t="shared" si="26"/>
        <v>3467.6265871204669</v>
      </c>
      <c r="U43" s="488">
        <f t="shared" si="26"/>
        <v>3512.827039827127</v>
      </c>
      <c r="V43" s="488">
        <f t="shared" si="26"/>
        <v>3558.6183964331649</v>
      </c>
      <c r="W43" s="488">
        <f t="shared" si="26"/>
        <v>3605.0083966962047</v>
      </c>
      <c r="X43" s="488">
        <f t="shared" si="26"/>
        <v>3652.0048818471987</v>
      </c>
      <c r="Y43" s="488">
        <f t="shared" si="26"/>
        <v>3699.615795922713</v>
      </c>
      <c r="Z43" s="488">
        <f t="shared" si="26"/>
        <v>3747.8491871150763</v>
      </c>
      <c r="AA43" s="488">
        <f t="shared" si="26"/>
        <v>3796.713209139969</v>
      </c>
      <c r="AB43" s="488">
        <f t="shared" si="26"/>
        <v>3846.2161226222961</v>
      </c>
      <c r="AC43" s="488">
        <f t="shared" si="26"/>
        <v>3896.3662964998366</v>
      </c>
      <c r="AD43" s="488">
        <f t="shared" si="26"/>
        <v>3947.1722094458237</v>
      </c>
      <c r="AE43" s="488">
        <f t="shared" si="26"/>
        <v>3998.6424513097736</v>
      </c>
      <c r="AF43" s="488">
        <f t="shared" si="26"/>
        <v>4050.7857245775085</v>
      </c>
      <c r="AG43" s="488">
        <f t="shared" si="26"/>
        <v>4103.610845850053</v>
      </c>
      <c r="AH43" s="488">
        <f t="shared" si="26"/>
        <v>4157.1267473425469</v>
      </c>
      <c r="AI43" s="488">
        <f t="shared" si="26"/>
        <v>4211.3424784020754</v>
      </c>
      <c r="AJ43" s="488">
        <f t="shared" si="26"/>
        <v>4266.2672070461122</v>
      </c>
      <c r="AK43" s="488">
        <f t="shared" si="26"/>
        <v>4321.9102215206076</v>
      </c>
      <c r="AL43" s="488">
        <f t="shared" ref="AL43" si="27">AL23-AL35</f>
        <v>4378.280931879046</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1177" t="s">
        <v>493</v>
      </c>
      <c r="C49" s="384" t="s">
        <v>450</v>
      </c>
      <c r="D49" s="496">
        <f>'General Inputs'!D15</f>
        <v>17.899999999999999</v>
      </c>
      <c r="E49" s="496">
        <f t="shared" ref="E49:T51" si="28">D49*(1+$C$48)</f>
        <v>17.899999999999999</v>
      </c>
      <c r="F49" s="496">
        <f t="shared" si="28"/>
        <v>17.899999999999999</v>
      </c>
      <c r="G49" s="496">
        <f t="shared" si="28"/>
        <v>17.899999999999999</v>
      </c>
      <c r="H49" s="496">
        <f t="shared" si="28"/>
        <v>17.899999999999999</v>
      </c>
      <c r="I49" s="496">
        <f t="shared" si="28"/>
        <v>17.899999999999999</v>
      </c>
      <c r="J49" s="496">
        <f t="shared" si="28"/>
        <v>17.899999999999999</v>
      </c>
      <c r="K49" s="496">
        <f t="shared" si="28"/>
        <v>17.899999999999999</v>
      </c>
      <c r="L49" s="496">
        <f t="shared" si="28"/>
        <v>17.899999999999999</v>
      </c>
      <c r="M49" s="496">
        <f t="shared" si="28"/>
        <v>17.899999999999999</v>
      </c>
      <c r="N49" s="496">
        <f t="shared" si="28"/>
        <v>17.899999999999999</v>
      </c>
      <c r="O49" s="496">
        <f t="shared" si="28"/>
        <v>17.899999999999999</v>
      </c>
      <c r="P49" s="496">
        <f t="shared" si="28"/>
        <v>17.899999999999999</v>
      </c>
      <c r="Q49" s="496">
        <f t="shared" si="28"/>
        <v>17.899999999999999</v>
      </c>
      <c r="R49" s="496">
        <f t="shared" si="28"/>
        <v>17.899999999999999</v>
      </c>
      <c r="S49" s="496">
        <f t="shared" si="28"/>
        <v>17.899999999999999</v>
      </c>
      <c r="T49" s="496">
        <f t="shared" si="28"/>
        <v>17.899999999999999</v>
      </c>
      <c r="U49" s="496">
        <f t="shared" ref="U49:AJ51" si="29">T49*(1+$C$48)</f>
        <v>17.899999999999999</v>
      </c>
      <c r="V49" s="496">
        <f t="shared" si="29"/>
        <v>17.899999999999999</v>
      </c>
      <c r="W49" s="496">
        <f t="shared" si="29"/>
        <v>17.899999999999999</v>
      </c>
      <c r="X49" s="496">
        <f t="shared" si="29"/>
        <v>17.899999999999999</v>
      </c>
      <c r="Y49" s="496">
        <f t="shared" si="29"/>
        <v>17.899999999999999</v>
      </c>
      <c r="Z49" s="496">
        <f t="shared" si="29"/>
        <v>17.899999999999999</v>
      </c>
      <c r="AA49" s="496">
        <f t="shared" si="29"/>
        <v>17.899999999999999</v>
      </c>
      <c r="AB49" s="496">
        <f t="shared" si="29"/>
        <v>17.899999999999999</v>
      </c>
      <c r="AC49" s="496">
        <f t="shared" si="29"/>
        <v>17.899999999999999</v>
      </c>
      <c r="AD49" s="496">
        <f t="shared" si="29"/>
        <v>17.899999999999999</v>
      </c>
      <c r="AE49" s="496">
        <f t="shared" si="29"/>
        <v>17.899999999999999</v>
      </c>
      <c r="AF49" s="496">
        <f t="shared" si="29"/>
        <v>17.899999999999999</v>
      </c>
      <c r="AG49" s="496">
        <f t="shared" si="29"/>
        <v>17.899999999999999</v>
      </c>
      <c r="AH49" s="496">
        <f t="shared" si="29"/>
        <v>17.899999999999999</v>
      </c>
      <c r="AI49" s="496">
        <f t="shared" si="29"/>
        <v>17.899999999999999</v>
      </c>
      <c r="AJ49" s="496">
        <f t="shared" si="29"/>
        <v>17.899999999999999</v>
      </c>
      <c r="AK49" s="496">
        <f t="shared" ref="AJ49:AL51" si="30">AJ49*(1+$C$48)</f>
        <v>17.899999999999999</v>
      </c>
      <c r="AL49" s="496">
        <f t="shared" si="30"/>
        <v>17.899999999999999</v>
      </c>
    </row>
    <row r="50" spans="1:38">
      <c r="B50" s="754" t="s">
        <v>494</v>
      </c>
      <c r="C50" s="384" t="s">
        <v>450</v>
      </c>
      <c r="D50" s="496">
        <f>'General Inputs'!D16</f>
        <v>30.8</v>
      </c>
      <c r="E50" s="496">
        <f t="shared" si="28"/>
        <v>30.8</v>
      </c>
      <c r="F50" s="496">
        <f t="shared" si="28"/>
        <v>30.8</v>
      </c>
      <c r="G50" s="496">
        <f t="shared" si="28"/>
        <v>30.8</v>
      </c>
      <c r="H50" s="496">
        <f t="shared" si="28"/>
        <v>30.8</v>
      </c>
      <c r="I50" s="496">
        <f t="shared" si="28"/>
        <v>30.8</v>
      </c>
      <c r="J50" s="496">
        <f t="shared" si="28"/>
        <v>30.8</v>
      </c>
      <c r="K50" s="496">
        <f t="shared" si="28"/>
        <v>30.8</v>
      </c>
      <c r="L50" s="496">
        <f t="shared" si="28"/>
        <v>30.8</v>
      </c>
      <c r="M50" s="496">
        <f t="shared" si="28"/>
        <v>30.8</v>
      </c>
      <c r="N50" s="496">
        <f t="shared" si="28"/>
        <v>30.8</v>
      </c>
      <c r="O50" s="496">
        <f t="shared" si="28"/>
        <v>30.8</v>
      </c>
      <c r="P50" s="496">
        <f t="shared" si="28"/>
        <v>30.8</v>
      </c>
      <c r="Q50" s="496">
        <f t="shared" si="28"/>
        <v>30.8</v>
      </c>
      <c r="R50" s="496">
        <f t="shared" si="28"/>
        <v>30.8</v>
      </c>
      <c r="S50" s="496">
        <f t="shared" si="28"/>
        <v>30.8</v>
      </c>
      <c r="T50" s="496">
        <f t="shared" si="28"/>
        <v>30.8</v>
      </c>
      <c r="U50" s="496">
        <f t="shared" si="29"/>
        <v>30.8</v>
      </c>
      <c r="V50" s="496">
        <f t="shared" si="29"/>
        <v>30.8</v>
      </c>
      <c r="W50" s="496">
        <f t="shared" si="29"/>
        <v>30.8</v>
      </c>
      <c r="X50" s="496">
        <f t="shared" si="29"/>
        <v>30.8</v>
      </c>
      <c r="Y50" s="496">
        <f t="shared" si="29"/>
        <v>30.8</v>
      </c>
      <c r="Z50" s="496">
        <f t="shared" si="29"/>
        <v>30.8</v>
      </c>
      <c r="AA50" s="496">
        <f t="shared" si="29"/>
        <v>30.8</v>
      </c>
      <c r="AB50" s="496">
        <f t="shared" si="29"/>
        <v>30.8</v>
      </c>
      <c r="AC50" s="496">
        <f t="shared" si="29"/>
        <v>30.8</v>
      </c>
      <c r="AD50" s="496">
        <f t="shared" si="29"/>
        <v>30.8</v>
      </c>
      <c r="AE50" s="496">
        <f t="shared" si="29"/>
        <v>30.8</v>
      </c>
      <c r="AF50" s="496">
        <f t="shared" si="29"/>
        <v>30.8</v>
      </c>
      <c r="AG50" s="496">
        <f t="shared" si="29"/>
        <v>30.8</v>
      </c>
      <c r="AH50" s="496">
        <f t="shared" si="29"/>
        <v>30.8</v>
      </c>
      <c r="AI50" s="496">
        <f t="shared" si="29"/>
        <v>30.8</v>
      </c>
      <c r="AJ50" s="496">
        <f t="shared" si="30"/>
        <v>30.8</v>
      </c>
      <c r="AK50" s="496">
        <f t="shared" si="30"/>
        <v>30.8</v>
      </c>
      <c r="AL50" s="496">
        <f t="shared" si="30"/>
        <v>30.8</v>
      </c>
    </row>
    <row r="51" spans="1:38">
      <c r="B51" s="754" t="s">
        <v>773</v>
      </c>
      <c r="C51" s="384" t="s">
        <v>450</v>
      </c>
      <c r="D51" s="496">
        <f>'General Inputs'!D17</f>
        <v>31.7</v>
      </c>
      <c r="E51" s="496">
        <f t="shared" si="28"/>
        <v>31.7</v>
      </c>
      <c r="F51" s="496">
        <f t="shared" si="28"/>
        <v>31.7</v>
      </c>
      <c r="G51" s="496">
        <f t="shared" si="28"/>
        <v>31.7</v>
      </c>
      <c r="H51" s="496">
        <f t="shared" si="28"/>
        <v>31.7</v>
      </c>
      <c r="I51" s="496">
        <f t="shared" si="28"/>
        <v>31.7</v>
      </c>
      <c r="J51" s="496">
        <f t="shared" si="28"/>
        <v>31.7</v>
      </c>
      <c r="K51" s="496">
        <f t="shared" si="28"/>
        <v>31.7</v>
      </c>
      <c r="L51" s="496">
        <f t="shared" si="28"/>
        <v>31.7</v>
      </c>
      <c r="M51" s="496">
        <f t="shared" si="28"/>
        <v>31.7</v>
      </c>
      <c r="N51" s="496">
        <f t="shared" si="28"/>
        <v>31.7</v>
      </c>
      <c r="O51" s="496">
        <f t="shared" si="28"/>
        <v>31.7</v>
      </c>
      <c r="P51" s="496">
        <f t="shared" si="28"/>
        <v>31.7</v>
      </c>
      <c r="Q51" s="496">
        <f t="shared" si="28"/>
        <v>31.7</v>
      </c>
      <c r="R51" s="496">
        <f t="shared" si="28"/>
        <v>31.7</v>
      </c>
      <c r="S51" s="496">
        <f t="shared" si="28"/>
        <v>31.7</v>
      </c>
      <c r="T51" s="496">
        <f t="shared" si="28"/>
        <v>31.7</v>
      </c>
      <c r="U51" s="496">
        <f t="shared" si="29"/>
        <v>31.7</v>
      </c>
      <c r="V51" s="496">
        <f t="shared" si="29"/>
        <v>31.7</v>
      </c>
      <c r="W51" s="496">
        <f t="shared" si="29"/>
        <v>31.7</v>
      </c>
      <c r="X51" s="496">
        <f t="shared" si="29"/>
        <v>31.7</v>
      </c>
      <c r="Y51" s="496">
        <f t="shared" si="29"/>
        <v>31.7</v>
      </c>
      <c r="Z51" s="496">
        <f t="shared" si="29"/>
        <v>31.7</v>
      </c>
      <c r="AA51" s="496">
        <f t="shared" si="29"/>
        <v>31.7</v>
      </c>
      <c r="AB51" s="496">
        <f t="shared" si="29"/>
        <v>31.7</v>
      </c>
      <c r="AC51" s="496">
        <f t="shared" si="29"/>
        <v>31.7</v>
      </c>
      <c r="AD51" s="496">
        <f t="shared" si="29"/>
        <v>31.7</v>
      </c>
      <c r="AE51" s="496">
        <f t="shared" si="29"/>
        <v>31.7</v>
      </c>
      <c r="AF51" s="496">
        <f t="shared" si="29"/>
        <v>31.7</v>
      </c>
      <c r="AG51" s="496">
        <f t="shared" si="29"/>
        <v>31.7</v>
      </c>
      <c r="AH51" s="496">
        <f t="shared" si="29"/>
        <v>31.7</v>
      </c>
      <c r="AI51" s="496">
        <f t="shared" si="29"/>
        <v>31.7</v>
      </c>
      <c r="AJ51" s="496">
        <f t="shared" si="30"/>
        <v>31.7</v>
      </c>
      <c r="AK51" s="496">
        <f t="shared" si="30"/>
        <v>31.7</v>
      </c>
      <c r="AL51" s="496">
        <f t="shared" si="30"/>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'2000 South'!D25</f>
        <v>1442.9115856014355</v>
      </c>
      <c r="E55" s="383">
        <f>'2000 South'!E25</f>
        <v>1501.2244843287403</v>
      </c>
      <c r="F55" s="383">
        <f>'2000 South'!F25</f>
        <v>1561.894002957024</v>
      </c>
      <c r="G55" s="383">
        <f>'2000 South'!G25</f>
        <v>1625.0153804038991</v>
      </c>
      <c r="H55" s="383">
        <f>'2000 South'!H25</f>
        <v>1690.6877045112067</v>
      </c>
      <c r="I55" s="383">
        <f>'2000 South'!I25</f>
        <v>1759.0140675929522</v>
      </c>
      <c r="J55" s="383">
        <f>'2000 South'!J25</f>
        <v>1830.1017282694711</v>
      </c>
      <c r="K55" s="383">
        <f>'2000 South'!K25</f>
        <v>1904.0622798418394</v>
      </c>
      <c r="L55" s="383">
        <f>'2000 South'!L25</f>
        <v>1981.0118254708734</v>
      </c>
      <c r="M55" s="383">
        <f>'2000 South'!M25</f>
        <v>2061.071160435687</v>
      </c>
      <c r="N55" s="383">
        <f>'2000 South'!N25</f>
        <v>2144.3659617579451</v>
      </c>
      <c r="O55" s="383">
        <f>'2000 South'!O25</f>
        <v>2231.0269854894509</v>
      </c>
      <c r="P55" s="383">
        <f>'2000 South'!P25</f>
        <v>2321.1902719728037</v>
      </c>
      <c r="Q55" s="383">
        <f>'2000 South'!Q25</f>
        <v>2414.9973593973168</v>
      </c>
      <c r="R55" s="383">
        <f>'2000 South'!R25</f>
        <v>2512.5955059854491</v>
      </c>
      <c r="S55" s="383">
        <f>'2000 South'!S25</f>
        <v>2614.1379211585449</v>
      </c>
      <c r="T55" s="383">
        <f>'2000 South'!T25</f>
        <v>2719.7840060447415</v>
      </c>
      <c r="U55" s="383">
        <f>'2000 South'!U25</f>
        <v>2829.6996037066201</v>
      </c>
      <c r="V55" s="383">
        <f>'2000 South'!V25</f>
        <v>2944.0572594813925</v>
      </c>
      <c r="W55" s="383">
        <f>'2000 South'!W25</f>
        <v>3063.0364918423052</v>
      </c>
      <c r="X55" s="383">
        <f>'2000 South'!X25</f>
        <v>3186.8240742064663</v>
      </c>
      <c r="Y55" s="383">
        <f>'2000 South'!Y25</f>
        <v>3315.6143281314698</v>
      </c>
      <c r="Z55" s="383">
        <f>'2000 South'!Z25</f>
        <v>3449.609428361081</v>
      </c>
      <c r="AA55" s="383">
        <f>'2000 South'!AA25</f>
        <v>3589.0197201988376</v>
      </c>
      <c r="AB55" s="383">
        <f>'2000 South'!AB25</f>
        <v>3734.0640497077875</v>
      </c>
      <c r="AC55" s="383">
        <f>'2000 South'!AC25</f>
        <v>3884.9701072547018</v>
      </c>
      <c r="AD55" s="383">
        <f>'2000 South'!AD25</f>
        <v>4041.9747849380692</v>
      </c>
      <c r="AE55" s="383">
        <f>'2000 South'!AE25</f>
        <v>4205.324548460947</v>
      </c>
      <c r="AF55" s="383">
        <f>'2000 South'!AF25</f>
        <v>4375.2758240324429</v>
      </c>
      <c r="AG55" s="383">
        <f>'2000 South'!AG25</f>
        <v>4552.0954009051893</v>
      </c>
      <c r="AH55" s="383">
        <f>'2000 South'!AH25</f>
        <v>4736.0608501807046</v>
      </c>
      <c r="AI55" s="383">
        <f>'2000 South'!AI25</f>
        <v>4927.4609605400847</v>
      </c>
      <c r="AJ55" s="383">
        <f>'2000 South'!AJ25</f>
        <v>5126.5961915840262</v>
      </c>
      <c r="AK55" s="383">
        <f>'2000 South'!AK25</f>
        <v>5333.7791454938597</v>
      </c>
      <c r="AL55" s="383">
        <f>'2000 South'!AL25</f>
        <v>5549.3350577539641</v>
      </c>
    </row>
    <row r="56" spans="1:38">
      <c r="B56" s="385" t="s">
        <v>509</v>
      </c>
      <c r="C56" s="386" t="s">
        <v>443</v>
      </c>
      <c r="D56" s="383">
        <f>'2000 South'!D26</f>
        <v>360.72789640035887</v>
      </c>
      <c r="E56" s="383">
        <f>'2000 South'!E26</f>
        <v>375.30612108218509</v>
      </c>
      <c r="F56" s="383">
        <f>'2000 South'!F26</f>
        <v>390.473500739256</v>
      </c>
      <c r="G56" s="383">
        <f>'2000 South'!G26</f>
        <v>406.25384510097479</v>
      </c>
      <c r="H56" s="383">
        <f>'2000 South'!H26</f>
        <v>422.67192612780167</v>
      </c>
      <c r="I56" s="383">
        <f>'2000 South'!I26</f>
        <v>439.75351689823805</v>
      </c>
      <c r="J56" s="383">
        <f>'2000 South'!J26</f>
        <v>457.52543206736777</v>
      </c>
      <c r="K56" s="383">
        <f>'2000 South'!K26</f>
        <v>476.01556996045986</v>
      </c>
      <c r="L56" s="383">
        <f>'2000 South'!L26</f>
        <v>495.25295636771835</v>
      </c>
      <c r="M56" s="383">
        <f>'2000 South'!M26</f>
        <v>515.26779010892176</v>
      </c>
      <c r="N56" s="383">
        <f>'2000 South'!N26</f>
        <v>536.09149043948628</v>
      </c>
      <c r="O56" s="383">
        <f>'2000 South'!O26</f>
        <v>557.75674637236273</v>
      </c>
      <c r="P56" s="383">
        <f>'2000 South'!P26</f>
        <v>580.29756799320091</v>
      </c>
      <c r="Q56" s="383">
        <f>'2000 South'!Q26</f>
        <v>603.7493398493292</v>
      </c>
      <c r="R56" s="383">
        <f>'2000 South'!R26</f>
        <v>628.14887649636228</v>
      </c>
      <c r="S56" s="383">
        <f>'2000 South'!S26</f>
        <v>653.53448028963624</v>
      </c>
      <c r="T56" s="383">
        <f>'2000 South'!T26</f>
        <v>679.94600151118539</v>
      </c>
      <c r="U56" s="383">
        <f>'2000 South'!U26</f>
        <v>707.42490092665503</v>
      </c>
      <c r="V56" s="383">
        <f>'2000 South'!V26</f>
        <v>736.01431487034813</v>
      </c>
      <c r="W56" s="383">
        <f>'2000 South'!W26</f>
        <v>765.75912296057629</v>
      </c>
      <c r="X56" s="383">
        <f>'2000 South'!X26</f>
        <v>796.70601855161658</v>
      </c>
      <c r="Y56" s="383">
        <f>'2000 South'!Y26</f>
        <v>828.90358203286746</v>
      </c>
      <c r="Z56" s="383">
        <f>'2000 South'!Z26</f>
        <v>862.40235709027024</v>
      </c>
      <c r="AA56" s="383">
        <f>'2000 South'!AA26</f>
        <v>897.2549300497094</v>
      </c>
      <c r="AB56" s="383">
        <f>'2000 South'!AB26</f>
        <v>933.51601242694687</v>
      </c>
      <c r="AC56" s="383">
        <f>'2000 South'!AC26</f>
        <v>971.24252681367545</v>
      </c>
      <c r="AD56" s="383">
        <f>'2000 South'!AD26</f>
        <v>1010.4936962345173</v>
      </c>
      <c r="AE56" s="383">
        <f>'2000 South'!AE26</f>
        <v>1051.3311371152367</v>
      </c>
      <c r="AF56" s="383">
        <f>'2000 South'!AF26</f>
        <v>1093.8189560081107</v>
      </c>
      <c r="AG56" s="383">
        <f>'2000 South'!AG26</f>
        <v>1138.0238502262973</v>
      </c>
      <c r="AH56" s="383">
        <f>'2000 South'!AH26</f>
        <v>1184.0152125451762</v>
      </c>
      <c r="AI56" s="383">
        <f>'2000 South'!AI26</f>
        <v>1231.8652401350212</v>
      </c>
      <c r="AJ56" s="383">
        <f>'2000 South'!AJ26</f>
        <v>1281.6490478960066</v>
      </c>
      <c r="AK56" s="383">
        <f>'2000 South'!AK26</f>
        <v>1333.4447863734649</v>
      </c>
      <c r="AL56" s="383">
        <f>'2000 South'!AL26</f>
        <v>1387.333764438491</v>
      </c>
    </row>
    <row r="57" spans="1:38">
      <c r="B57" s="358" t="s">
        <v>769</v>
      </c>
      <c r="C57" s="358" t="s">
        <v>443</v>
      </c>
      <c r="D57" s="383">
        <f>'2000 South'!D27</f>
        <v>0</v>
      </c>
      <c r="E57" s="383">
        <f>'2000 South'!E27</f>
        <v>0</v>
      </c>
      <c r="F57" s="383">
        <f>'2000 South'!F27</f>
        <v>0</v>
      </c>
      <c r="G57" s="383">
        <f>'2000 South'!G27</f>
        <v>0</v>
      </c>
      <c r="H57" s="383">
        <f>'2000 South'!H27</f>
        <v>0</v>
      </c>
      <c r="I57" s="383">
        <f>'2000 South'!I27</f>
        <v>0</v>
      </c>
      <c r="J57" s="383">
        <f>'2000 South'!J27</f>
        <v>0</v>
      </c>
      <c r="K57" s="383">
        <f>'2000 South'!K27</f>
        <v>0</v>
      </c>
      <c r="L57" s="383">
        <f>'2000 South'!L27</f>
        <v>0</v>
      </c>
      <c r="M57" s="383">
        <f>'2000 South'!M27</f>
        <v>0</v>
      </c>
      <c r="N57" s="383">
        <f>'2000 South'!N27</f>
        <v>0</v>
      </c>
      <c r="O57" s="383">
        <f>'2000 South'!O27</f>
        <v>0</v>
      </c>
      <c r="P57" s="383">
        <f>'2000 South'!P27</f>
        <v>0</v>
      </c>
      <c r="Q57" s="383">
        <f>'2000 South'!Q27</f>
        <v>0</v>
      </c>
      <c r="R57" s="383">
        <f>'2000 South'!R27</f>
        <v>0</v>
      </c>
      <c r="S57" s="383">
        <f>'2000 South'!S27</f>
        <v>0</v>
      </c>
      <c r="T57" s="383">
        <f>'2000 South'!T27</f>
        <v>0</v>
      </c>
      <c r="U57" s="383">
        <f>'2000 South'!U27</f>
        <v>0</v>
      </c>
      <c r="V57" s="383">
        <f>'2000 South'!V27</f>
        <v>0</v>
      </c>
      <c r="W57" s="383">
        <f>'2000 South'!W27</f>
        <v>0</v>
      </c>
      <c r="X57" s="383">
        <f>'2000 South'!X27</f>
        <v>0</v>
      </c>
      <c r="Y57" s="383">
        <f>'2000 South'!Y27</f>
        <v>0</v>
      </c>
      <c r="Z57" s="383">
        <f>'2000 South'!Z27</f>
        <v>0</v>
      </c>
      <c r="AA57" s="383">
        <f>'2000 South'!AA27</f>
        <v>0</v>
      </c>
      <c r="AB57" s="383">
        <f>'2000 South'!AB27</f>
        <v>0</v>
      </c>
      <c r="AC57" s="383">
        <f>'2000 South'!AC27</f>
        <v>0</v>
      </c>
      <c r="AD57" s="383">
        <f>'2000 South'!AD27</f>
        <v>0</v>
      </c>
      <c r="AE57" s="383">
        <f>'2000 South'!AE27</f>
        <v>0</v>
      </c>
      <c r="AF57" s="383">
        <f>'2000 South'!AF27</f>
        <v>0</v>
      </c>
      <c r="AG57" s="383">
        <f>'2000 South'!AG27</f>
        <v>0</v>
      </c>
      <c r="AH57" s="383">
        <f>'2000 South'!AH27</f>
        <v>0</v>
      </c>
      <c r="AI57" s="383">
        <f>'2000 South'!AI27</f>
        <v>0</v>
      </c>
      <c r="AJ57" s="383">
        <f>'2000 South'!AJ27</f>
        <v>0</v>
      </c>
      <c r="AK57" s="383">
        <f>'2000 South'!AK27</f>
        <v>0</v>
      </c>
      <c r="AL57" s="383">
        <f>'2000 South'!AL27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2409.6623479543973</v>
      </c>
      <c r="E62" s="383">
        <f t="shared" ref="D62:AK64" si="31">E55*$C59</f>
        <v>2507.0448888289961</v>
      </c>
      <c r="F62" s="383">
        <f t="shared" si="31"/>
        <v>2608.3629849382301</v>
      </c>
      <c r="G62" s="383">
        <f t="shared" si="31"/>
        <v>2713.7756852745115</v>
      </c>
      <c r="H62" s="383">
        <f t="shared" si="31"/>
        <v>2823.448466533715</v>
      </c>
      <c r="I62" s="383">
        <f t="shared" si="31"/>
        <v>2937.5534928802299</v>
      </c>
      <c r="J62" s="383">
        <f t="shared" si="31"/>
        <v>3056.2698862100165</v>
      </c>
      <c r="K62" s="383">
        <f t="shared" si="31"/>
        <v>3179.7840073358716</v>
      </c>
      <c r="L62" s="383">
        <f t="shared" si="31"/>
        <v>3308.2897485363583</v>
      </c>
      <c r="M62" s="383">
        <f t="shared" si="31"/>
        <v>3441.9888379275972</v>
      </c>
      <c r="N62" s="383">
        <f t="shared" si="31"/>
        <v>3581.0911561357684</v>
      </c>
      <c r="O62" s="383">
        <f t="shared" si="31"/>
        <v>3725.8150657673827</v>
      </c>
      <c r="P62" s="383">
        <f t="shared" si="31"/>
        <v>3876.3877541945822</v>
      </c>
      <c r="Q62" s="383">
        <f t="shared" si="31"/>
        <v>4033.0455901935188</v>
      </c>
      <c r="R62" s="383">
        <f t="shared" si="31"/>
        <v>4196.0344949956998</v>
      </c>
      <c r="S62" s="383">
        <f t="shared" si="31"/>
        <v>4365.6103283347702</v>
      </c>
      <c r="T62" s="383">
        <f t="shared" si="31"/>
        <v>4542.0392900947181</v>
      </c>
      <c r="U62" s="383">
        <f t="shared" si="31"/>
        <v>4725.5983381900551</v>
      </c>
      <c r="V62" s="383">
        <f t="shared" si="31"/>
        <v>4916.5756233339253</v>
      </c>
      <c r="W62" s="383">
        <f t="shared" si="31"/>
        <v>5115.2709413766497</v>
      </c>
      <c r="X62" s="383">
        <f t="shared" si="31"/>
        <v>5321.9962039247985</v>
      </c>
      <c r="Y62" s="383">
        <f t="shared" si="31"/>
        <v>5537.0759279795548</v>
      </c>
      <c r="Z62" s="383">
        <f t="shared" si="31"/>
        <v>5760.8477453630048</v>
      </c>
      <c r="AA62" s="383">
        <f t="shared" si="31"/>
        <v>5993.6629327320588</v>
      </c>
      <c r="AB62" s="383">
        <f t="shared" si="31"/>
        <v>6235.8869630120053</v>
      </c>
      <c r="AC62" s="383">
        <f t="shared" si="31"/>
        <v>6487.9000791153521</v>
      </c>
      <c r="AD62" s="383">
        <f t="shared" si="31"/>
        <v>6750.097890846575</v>
      </c>
      <c r="AE62" s="383">
        <f t="shared" si="31"/>
        <v>7022.8919959297809</v>
      </c>
      <c r="AF62" s="383">
        <f t="shared" si="31"/>
        <v>7306.7106261341796</v>
      </c>
      <c r="AG62" s="383">
        <f t="shared" si="31"/>
        <v>7601.9993195116658</v>
      </c>
      <c r="AH62" s="383">
        <f t="shared" si="31"/>
        <v>7909.2216198017768</v>
      </c>
      <c r="AI62" s="383">
        <f t="shared" si="31"/>
        <v>8228.8598041019413</v>
      </c>
      <c r="AJ62" s="383">
        <f t="shared" si="31"/>
        <v>8561.4156399453241</v>
      </c>
      <c r="AK62" s="383">
        <f t="shared" si="31"/>
        <v>8907.4111729747456</v>
      </c>
      <c r="AL62" s="383">
        <f t="shared" ref="AL62" si="32">AL55*$C59</f>
        <v>9267.3895464491197</v>
      </c>
    </row>
    <row r="63" spans="1:38">
      <c r="B63" s="472" t="s">
        <v>513</v>
      </c>
      <c r="C63" s="386" t="s">
        <v>443</v>
      </c>
      <c r="D63" s="383">
        <f t="shared" si="31"/>
        <v>360.72789640035887</v>
      </c>
      <c r="E63" s="383">
        <f t="shared" si="31"/>
        <v>375.30612108218509</v>
      </c>
      <c r="F63" s="383">
        <f t="shared" si="31"/>
        <v>390.473500739256</v>
      </c>
      <c r="G63" s="383">
        <f t="shared" si="31"/>
        <v>406.25384510097479</v>
      </c>
      <c r="H63" s="383">
        <f t="shared" si="31"/>
        <v>422.67192612780167</v>
      </c>
      <c r="I63" s="383">
        <f t="shared" si="31"/>
        <v>439.75351689823805</v>
      </c>
      <c r="J63" s="383">
        <f t="shared" si="31"/>
        <v>457.52543206736777</v>
      </c>
      <c r="K63" s="383">
        <f t="shared" si="31"/>
        <v>476.01556996045986</v>
      </c>
      <c r="L63" s="383">
        <f t="shared" si="31"/>
        <v>495.25295636771835</v>
      </c>
      <c r="M63" s="383">
        <f t="shared" si="31"/>
        <v>515.26779010892176</v>
      </c>
      <c r="N63" s="383">
        <f t="shared" si="31"/>
        <v>536.09149043948628</v>
      </c>
      <c r="O63" s="383">
        <f t="shared" si="31"/>
        <v>557.75674637236273</v>
      </c>
      <c r="P63" s="383">
        <f t="shared" si="31"/>
        <v>580.29756799320091</v>
      </c>
      <c r="Q63" s="383">
        <f t="shared" si="31"/>
        <v>603.7493398493292</v>
      </c>
      <c r="R63" s="383">
        <f t="shared" si="31"/>
        <v>628.14887649636228</v>
      </c>
      <c r="S63" s="383">
        <f t="shared" si="31"/>
        <v>653.53448028963624</v>
      </c>
      <c r="T63" s="383">
        <f t="shared" si="31"/>
        <v>679.94600151118539</v>
      </c>
      <c r="U63" s="383">
        <f t="shared" si="31"/>
        <v>707.42490092665503</v>
      </c>
      <c r="V63" s="383">
        <f t="shared" si="31"/>
        <v>736.01431487034813</v>
      </c>
      <c r="W63" s="383">
        <f t="shared" si="31"/>
        <v>765.75912296057629</v>
      </c>
      <c r="X63" s="383">
        <f t="shared" si="31"/>
        <v>796.70601855161658</v>
      </c>
      <c r="Y63" s="383">
        <f t="shared" si="31"/>
        <v>828.90358203286746</v>
      </c>
      <c r="Z63" s="383">
        <f t="shared" si="31"/>
        <v>862.40235709027024</v>
      </c>
      <c r="AA63" s="383">
        <f t="shared" si="31"/>
        <v>897.2549300497094</v>
      </c>
      <c r="AB63" s="383">
        <f t="shared" si="31"/>
        <v>933.51601242694687</v>
      </c>
      <c r="AC63" s="383">
        <f t="shared" si="31"/>
        <v>971.24252681367545</v>
      </c>
      <c r="AD63" s="383">
        <f t="shared" si="31"/>
        <v>1010.4936962345173</v>
      </c>
      <c r="AE63" s="383">
        <f t="shared" si="31"/>
        <v>1051.3311371152367</v>
      </c>
      <c r="AF63" s="383">
        <f t="shared" si="31"/>
        <v>1093.8189560081107</v>
      </c>
      <c r="AG63" s="383">
        <f t="shared" si="31"/>
        <v>1138.0238502262973</v>
      </c>
      <c r="AH63" s="383">
        <f t="shared" si="31"/>
        <v>1184.0152125451762</v>
      </c>
      <c r="AI63" s="383">
        <f t="shared" si="31"/>
        <v>1231.8652401350212</v>
      </c>
      <c r="AJ63" s="383">
        <f t="shared" si="31"/>
        <v>1281.6490478960066</v>
      </c>
      <c r="AK63" s="383">
        <f t="shared" si="31"/>
        <v>1333.4447863734649</v>
      </c>
      <c r="AL63" s="383">
        <f t="shared" ref="AL63" si="33">AL56*$C60</f>
        <v>1387.333764438491</v>
      </c>
    </row>
    <row r="64" spans="1:38">
      <c r="B64" s="472" t="s">
        <v>752</v>
      </c>
      <c r="C64" s="386" t="s">
        <v>443</v>
      </c>
      <c r="D64" s="383">
        <f t="shared" si="31"/>
        <v>0</v>
      </c>
      <c r="E64" s="383">
        <f t="shared" si="31"/>
        <v>0</v>
      </c>
      <c r="F64" s="383">
        <f t="shared" si="31"/>
        <v>0</v>
      </c>
      <c r="G64" s="383">
        <f t="shared" si="31"/>
        <v>0</v>
      </c>
      <c r="H64" s="383">
        <f t="shared" si="31"/>
        <v>0</v>
      </c>
      <c r="I64" s="383">
        <f t="shared" si="31"/>
        <v>0</v>
      </c>
      <c r="J64" s="383">
        <f t="shared" si="31"/>
        <v>0</v>
      </c>
      <c r="K64" s="383">
        <f t="shared" si="31"/>
        <v>0</v>
      </c>
      <c r="L64" s="383">
        <f t="shared" si="31"/>
        <v>0</v>
      </c>
      <c r="M64" s="383">
        <f t="shared" si="31"/>
        <v>0</v>
      </c>
      <c r="N64" s="383">
        <f t="shared" si="31"/>
        <v>0</v>
      </c>
      <c r="O64" s="383">
        <f t="shared" si="31"/>
        <v>0</v>
      </c>
      <c r="P64" s="383">
        <f t="shared" si="31"/>
        <v>0</v>
      </c>
      <c r="Q64" s="383">
        <f t="shared" si="31"/>
        <v>0</v>
      </c>
      <c r="R64" s="383">
        <f t="shared" si="31"/>
        <v>0</v>
      </c>
      <c r="S64" s="383">
        <f t="shared" si="31"/>
        <v>0</v>
      </c>
      <c r="T64" s="383">
        <f t="shared" si="31"/>
        <v>0</v>
      </c>
      <c r="U64" s="383">
        <f t="shared" si="31"/>
        <v>0</v>
      </c>
      <c r="V64" s="383">
        <f t="shared" si="31"/>
        <v>0</v>
      </c>
      <c r="W64" s="383">
        <f t="shared" si="31"/>
        <v>0</v>
      </c>
      <c r="X64" s="383">
        <f t="shared" si="31"/>
        <v>0</v>
      </c>
      <c r="Y64" s="383">
        <f t="shared" si="31"/>
        <v>0</v>
      </c>
      <c r="Z64" s="383">
        <f t="shared" si="31"/>
        <v>0</v>
      </c>
      <c r="AA64" s="383">
        <f t="shared" si="31"/>
        <v>0</v>
      </c>
      <c r="AB64" s="383">
        <f t="shared" si="31"/>
        <v>0</v>
      </c>
      <c r="AC64" s="383">
        <f t="shared" si="31"/>
        <v>0</v>
      </c>
      <c r="AD64" s="383">
        <f t="shared" si="31"/>
        <v>0</v>
      </c>
      <c r="AE64" s="383">
        <f t="shared" si="31"/>
        <v>0</v>
      </c>
      <c r="AF64" s="383">
        <f t="shared" si="31"/>
        <v>0</v>
      </c>
      <c r="AG64" s="383">
        <f t="shared" si="31"/>
        <v>0</v>
      </c>
      <c r="AH64" s="383">
        <f t="shared" si="31"/>
        <v>0</v>
      </c>
      <c r="AI64" s="383">
        <f t="shared" si="31"/>
        <v>0</v>
      </c>
      <c r="AJ64" s="383">
        <f t="shared" si="31"/>
        <v>0</v>
      </c>
      <c r="AK64" s="383">
        <f t="shared" si="31"/>
        <v>0</v>
      </c>
      <c r="AL64" s="383">
        <f t="shared" ref="AL64" si="34">AL57*$C61</f>
        <v>0</v>
      </c>
    </row>
    <row r="65" spans="1:38">
      <c r="D65" s="358"/>
      <c r="F65" s="464"/>
      <c r="G65" s="465"/>
      <c r="H65" s="465"/>
    </row>
    <row r="66" spans="1:38" ht="13">
      <c r="B66" s="364" t="s">
        <v>526</v>
      </c>
      <c r="C66" s="487" t="s">
        <v>292</v>
      </c>
      <c r="D66" s="488">
        <f>SUMPRODUCT(D62:D64,D49:D51)</f>
        <v>54243.37523751476</v>
      </c>
      <c r="E66" s="488">
        <f t="shared" ref="E66:AK66" si="35">SUMPRODUCT(E62:E64,E49:E51)</f>
        <v>56435.53203937033</v>
      </c>
      <c r="F66" s="488">
        <f t="shared" si="35"/>
        <v>58716.281253163397</v>
      </c>
      <c r="G66" s="488">
        <f t="shared" si="35"/>
        <v>61089.203195523776</v>
      </c>
      <c r="H66" s="488">
        <f t="shared" si="35"/>
        <v>63558.022875689785</v>
      </c>
      <c r="I66" s="488">
        <f t="shared" si="35"/>
        <v>66126.615843021849</v>
      </c>
      <c r="J66" s="488">
        <f t="shared" si="35"/>
        <v>68799.014270834217</v>
      </c>
      <c r="K66" s="488">
        <f t="shared" si="35"/>
        <v>71579.413286094263</v>
      </c>
      <c r="L66" s="488">
        <f t="shared" si="35"/>
        <v>74472.177554926529</v>
      </c>
      <c r="M66" s="488">
        <f t="shared" si="35"/>
        <v>77481.848134258777</v>
      </c>
      <c r="N66" s="488">
        <f t="shared" si="35"/>
        <v>80613.149600366422</v>
      </c>
      <c r="O66" s="488">
        <f t="shared" si="35"/>
        <v>83870.997465504915</v>
      </c>
      <c r="P66" s="488">
        <f t="shared" si="35"/>
        <v>87260.505894273607</v>
      </c>
      <c r="Q66" s="488">
        <f t="shared" si="35"/>
        <v>90786.995731823321</v>
      </c>
      <c r="R66" s="488">
        <f t="shared" si="35"/>
        <v>94456.002856510982</v>
      </c>
      <c r="S66" s="488">
        <f t="shared" si="35"/>
        <v>98273.286870113167</v>
      </c>
      <c r="T66" s="488">
        <f t="shared" si="35"/>
        <v>102244.84013923995</v>
      </c>
      <c r="U66" s="488">
        <f t="shared" si="35"/>
        <v>106376.89720214295</v>
      </c>
      <c r="V66" s="488">
        <f t="shared" si="35"/>
        <v>110675.94455568398</v>
      </c>
      <c r="W66" s="488">
        <f t="shared" si="35"/>
        <v>115148.73083782778</v>
      </c>
      <c r="X66" s="488">
        <f t="shared" si="35"/>
        <v>119802.27742164367</v>
      </c>
      <c r="Y66" s="488">
        <f t="shared" si="35"/>
        <v>124643.88943744634</v>
      </c>
      <c r="Z66" s="488">
        <f t="shared" si="35"/>
        <v>129681.1672403781</v>
      </c>
      <c r="AA66" s="488">
        <f t="shared" si="35"/>
        <v>134922.01834143489</v>
      </c>
      <c r="AB66" s="488">
        <f t="shared" si="35"/>
        <v>140374.66982066486</v>
      </c>
      <c r="AC66" s="488">
        <f t="shared" si="35"/>
        <v>146047.68124202598</v>
      </c>
      <c r="AD66" s="488">
        <f t="shared" si="35"/>
        <v>151949.95809017681</v>
      </c>
      <c r="AE66" s="488">
        <f t="shared" si="35"/>
        <v>158090.76575029237</v>
      </c>
      <c r="AF66" s="488">
        <f t="shared" si="35"/>
        <v>164479.74405285163</v>
      </c>
      <c r="AG66" s="488">
        <f t="shared" si="35"/>
        <v>171126.92240622878</v>
      </c>
      <c r="AH66" s="488">
        <f t="shared" si="35"/>
        <v>178042.73554084322</v>
      </c>
      <c r="AI66" s="488">
        <f t="shared" si="35"/>
        <v>185238.03988958339</v>
      </c>
      <c r="AJ66" s="488">
        <f t="shared" si="35"/>
        <v>192724.13063021828</v>
      </c>
      <c r="AK66" s="488">
        <f t="shared" si="35"/>
        <v>200512.75941655066</v>
      </c>
      <c r="AL66" s="488">
        <f t="shared" ref="AL66" si="36">SUMPRODUCT(AL62:AL64,AL49:AL51)</f>
        <v>208616.15282614474</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'2000 South'!D48</f>
        <v>1442.9115856014355</v>
      </c>
      <c r="E70" s="383">
        <f>'2000 South'!E48</f>
        <v>1501.2244843287403</v>
      </c>
      <c r="F70" s="383">
        <f>'2000 South'!F48</f>
        <v>1561.894002957024</v>
      </c>
      <c r="G70" s="383">
        <f>'2000 South'!G48</f>
        <v>1625.0153804038991</v>
      </c>
      <c r="H70" s="383">
        <f>'2000 South'!H48</f>
        <v>1268.0157783834047</v>
      </c>
      <c r="I70" s="383">
        <f>'2000 South'!I48</f>
        <v>1319.2605506947139</v>
      </c>
      <c r="J70" s="383">
        <f>'2000 South'!J48</f>
        <v>1372.5762962021035</v>
      </c>
      <c r="K70" s="383">
        <f>'2000 South'!K48</f>
        <v>1428.0467098813801</v>
      </c>
      <c r="L70" s="383">
        <f>'2000 South'!L48</f>
        <v>1485.7588691031549</v>
      </c>
      <c r="M70" s="383">
        <f>'2000 South'!M48</f>
        <v>1545.8033703267656</v>
      </c>
      <c r="N70" s="383">
        <f>'2000 South'!N48</f>
        <v>1608.2744713184588</v>
      </c>
      <c r="O70" s="383">
        <f>'2000 South'!O48</f>
        <v>1673.2702391170887</v>
      </c>
      <c r="P70" s="383">
        <f>'2000 South'!P48</f>
        <v>1740.8927039796033</v>
      </c>
      <c r="Q70" s="383">
        <f>'2000 South'!Q48</f>
        <v>1811.2480195479875</v>
      </c>
      <c r="R70" s="383">
        <f>'2000 South'!R48</f>
        <v>1884.4466294890863</v>
      </c>
      <c r="S70" s="383">
        <f>'2000 South'!S48</f>
        <v>1960.6034408689095</v>
      </c>
      <c r="T70" s="383">
        <f>'2000 South'!T48</f>
        <v>2039.8380045335571</v>
      </c>
      <c r="U70" s="383">
        <f>'2000 South'!U48</f>
        <v>2122.2747027799655</v>
      </c>
      <c r="V70" s="383">
        <f>'2000 South'!V48</f>
        <v>2208.0429446110443</v>
      </c>
      <c r="W70" s="383">
        <f>'2000 South'!W48</f>
        <v>2297.2773688817288</v>
      </c>
      <c r="X70" s="383">
        <f>'2000 South'!X48</f>
        <v>2390.1180556548493</v>
      </c>
      <c r="Y70" s="383">
        <f>'2000 South'!Y48</f>
        <v>2486.7107460986022</v>
      </c>
      <c r="Z70" s="383">
        <f>'2000 South'!Z48</f>
        <v>2587.2070712708119</v>
      </c>
      <c r="AA70" s="383">
        <f>'2000 South'!AA48</f>
        <v>2691.7647901491287</v>
      </c>
      <c r="AB70" s="383">
        <f>'2000 South'!AB48</f>
        <v>2800.5480372808406</v>
      </c>
      <c r="AC70" s="383">
        <f>'2000 South'!AC48</f>
        <v>2913.7275804410265</v>
      </c>
      <c r="AD70" s="383">
        <f>'2000 South'!AD48</f>
        <v>3031.4810887035528</v>
      </c>
      <c r="AE70" s="383">
        <f>'2000 South'!AE48</f>
        <v>3153.9934113457102</v>
      </c>
      <c r="AF70" s="383">
        <f>'2000 South'!AF48</f>
        <v>3281.4568680243315</v>
      </c>
      <c r="AG70" s="383">
        <f>'2000 South'!AG48</f>
        <v>3414.0715506788911</v>
      </c>
      <c r="AH70" s="383">
        <f>'2000 South'!AH48</f>
        <v>3552.0456376355282</v>
      </c>
      <c r="AI70" s="383">
        <f>'2000 South'!AI48</f>
        <v>3695.5957204050642</v>
      </c>
      <c r="AJ70" s="383">
        <f>'2000 South'!AJ48</f>
        <v>3844.9471436880194</v>
      </c>
      <c r="AK70" s="383">
        <f>'2000 South'!AK48</f>
        <v>4000.3343591203939</v>
      </c>
      <c r="AL70" s="383">
        <f>'2000 South'!AL48</f>
        <v>4162.001293315474</v>
      </c>
    </row>
    <row r="71" spans="1:38">
      <c r="B71" s="385" t="s">
        <v>509</v>
      </c>
      <c r="C71" s="386" t="s">
        <v>443</v>
      </c>
      <c r="D71" s="383">
        <f>'2000 South'!D49</f>
        <v>360.72789640035887</v>
      </c>
      <c r="E71" s="383">
        <f>'2000 South'!E49</f>
        <v>375.30612108218509</v>
      </c>
      <c r="F71" s="383">
        <f>'2000 South'!F49</f>
        <v>390.473500739256</v>
      </c>
      <c r="G71" s="383">
        <f>'2000 South'!G49</f>
        <v>406.25384510097479</v>
      </c>
      <c r="H71" s="383">
        <f>'2000 South'!H49</f>
        <v>317.00394459585118</v>
      </c>
      <c r="I71" s="383">
        <f>'2000 South'!I49</f>
        <v>329.81513767367846</v>
      </c>
      <c r="J71" s="383">
        <f>'2000 South'!J49</f>
        <v>343.14407405052589</v>
      </c>
      <c r="K71" s="383">
        <f>'2000 South'!K49</f>
        <v>357.01167747034503</v>
      </c>
      <c r="L71" s="383">
        <f>'2000 South'!L49</f>
        <v>371.43971727578872</v>
      </c>
      <c r="M71" s="383">
        <f>'2000 South'!M49</f>
        <v>386.4508425816914</v>
      </c>
      <c r="N71" s="383">
        <f>'2000 South'!N49</f>
        <v>402.06861782961471</v>
      </c>
      <c r="O71" s="383">
        <f>'2000 South'!O49</f>
        <v>418.31755977927219</v>
      </c>
      <c r="P71" s="383">
        <f>'2000 South'!P49</f>
        <v>435.22317599490083</v>
      </c>
      <c r="Q71" s="383">
        <f>'2000 South'!Q49</f>
        <v>452.81200488699687</v>
      </c>
      <c r="R71" s="383">
        <f>'2000 South'!R49</f>
        <v>471.11165737227157</v>
      </c>
      <c r="S71" s="383">
        <f>'2000 South'!S49</f>
        <v>490.15086021722738</v>
      </c>
      <c r="T71" s="383">
        <f>'2000 South'!T49</f>
        <v>509.95950113338927</v>
      </c>
      <c r="U71" s="383">
        <f>'2000 South'!U49</f>
        <v>530.56867569499138</v>
      </c>
      <c r="V71" s="383">
        <f>'2000 South'!V49</f>
        <v>552.01073615276107</v>
      </c>
      <c r="W71" s="383">
        <f>'2000 South'!W49</f>
        <v>574.31934222043219</v>
      </c>
      <c r="X71" s="383">
        <f>'2000 South'!X49</f>
        <v>597.52951391371232</v>
      </c>
      <c r="Y71" s="383">
        <f>'2000 South'!Y49</f>
        <v>621.67768652465054</v>
      </c>
      <c r="Z71" s="383">
        <f>'2000 South'!Z49</f>
        <v>646.80176781770297</v>
      </c>
      <c r="AA71" s="383">
        <f>'2000 South'!AA49</f>
        <v>672.94119753728216</v>
      </c>
      <c r="AB71" s="383">
        <f>'2000 South'!AB49</f>
        <v>700.13700932021015</v>
      </c>
      <c r="AC71" s="383">
        <f>'2000 South'!AC49</f>
        <v>728.43189511025662</v>
      </c>
      <c r="AD71" s="383">
        <f>'2000 South'!AD49</f>
        <v>757.8702721758882</v>
      </c>
      <c r="AE71" s="383">
        <f>'2000 South'!AE49</f>
        <v>788.49835283642756</v>
      </c>
      <c r="AF71" s="383">
        <f>'2000 South'!AF49</f>
        <v>820.36421700608287</v>
      </c>
      <c r="AG71" s="383">
        <f>'2000 South'!AG49</f>
        <v>853.51788766972277</v>
      </c>
      <c r="AH71" s="383">
        <f>'2000 South'!AH49</f>
        <v>888.01140940888206</v>
      </c>
      <c r="AI71" s="383">
        <f>'2000 South'!AI49</f>
        <v>923.89893010126605</v>
      </c>
      <c r="AJ71" s="383">
        <f>'2000 South'!AJ49</f>
        <v>961.23678592200486</v>
      </c>
      <c r="AK71" s="383">
        <f>'2000 South'!AK49</f>
        <v>1000.0835897800985</v>
      </c>
      <c r="AL71" s="383">
        <f>'2000 South'!AL49</f>
        <v>1040.5003233288685</v>
      </c>
    </row>
    <row r="72" spans="1:38">
      <c r="B72" s="358" t="s">
        <v>769</v>
      </c>
      <c r="C72" s="358" t="s">
        <v>443</v>
      </c>
      <c r="D72" s="383">
        <f>'2000 South'!D50</f>
        <v>0</v>
      </c>
      <c r="E72" s="383">
        <f>'2000 South'!E50</f>
        <v>0</v>
      </c>
      <c r="F72" s="383">
        <f>'2000 South'!F50</f>
        <v>0</v>
      </c>
      <c r="G72" s="383">
        <f>'2000 South'!G50</f>
        <v>0</v>
      </c>
      <c r="H72" s="383">
        <f>'2000 South'!H50</f>
        <v>0</v>
      </c>
      <c r="I72" s="383">
        <f>'2000 South'!I50</f>
        <v>0</v>
      </c>
      <c r="J72" s="383">
        <f>'2000 South'!J50</f>
        <v>0</v>
      </c>
      <c r="K72" s="383">
        <f>'2000 South'!K50</f>
        <v>0</v>
      </c>
      <c r="L72" s="383">
        <f>'2000 South'!L50</f>
        <v>0</v>
      </c>
      <c r="M72" s="383">
        <f>'2000 South'!M50</f>
        <v>0</v>
      </c>
      <c r="N72" s="383">
        <f>'2000 South'!N50</f>
        <v>0</v>
      </c>
      <c r="O72" s="383">
        <f>'2000 South'!O50</f>
        <v>0</v>
      </c>
      <c r="P72" s="383">
        <f>'2000 South'!P50</f>
        <v>0</v>
      </c>
      <c r="Q72" s="383">
        <f>'2000 South'!Q50</f>
        <v>0</v>
      </c>
      <c r="R72" s="383">
        <f>'2000 South'!R50</f>
        <v>0</v>
      </c>
      <c r="S72" s="383">
        <f>'2000 South'!S50</f>
        <v>0</v>
      </c>
      <c r="T72" s="383">
        <f>'2000 South'!T50</f>
        <v>0</v>
      </c>
      <c r="U72" s="383">
        <f>'2000 South'!U50</f>
        <v>0</v>
      </c>
      <c r="V72" s="383">
        <f>'2000 South'!V50</f>
        <v>0</v>
      </c>
      <c r="W72" s="383">
        <f>'2000 South'!W50</f>
        <v>0</v>
      </c>
      <c r="X72" s="383">
        <f>'2000 South'!X50</f>
        <v>0</v>
      </c>
      <c r="Y72" s="383">
        <f>'2000 South'!Y50</f>
        <v>0</v>
      </c>
      <c r="Z72" s="383">
        <f>'2000 South'!Z50</f>
        <v>0</v>
      </c>
      <c r="AA72" s="383">
        <f>'2000 South'!AA50</f>
        <v>0</v>
      </c>
      <c r="AB72" s="383">
        <f>'2000 South'!AB50</f>
        <v>0</v>
      </c>
      <c r="AC72" s="383">
        <f>'2000 South'!AC50</f>
        <v>0</v>
      </c>
      <c r="AD72" s="383">
        <f>'2000 South'!AD50</f>
        <v>0</v>
      </c>
      <c r="AE72" s="383">
        <f>'2000 South'!AE50</f>
        <v>0</v>
      </c>
      <c r="AF72" s="383">
        <f>'2000 South'!AF50</f>
        <v>0</v>
      </c>
      <c r="AG72" s="383">
        <f>'2000 South'!AG50</f>
        <v>0</v>
      </c>
      <c r="AH72" s="383">
        <f>'2000 South'!AH50</f>
        <v>0</v>
      </c>
      <c r="AI72" s="383">
        <f>'2000 South'!AI50</f>
        <v>0</v>
      </c>
      <c r="AJ72" s="383">
        <f>'2000 South'!AJ50</f>
        <v>0</v>
      </c>
      <c r="AK72" s="383">
        <f>'2000 South'!AK50</f>
        <v>0</v>
      </c>
      <c r="AL72" s="383">
        <f>'2000 South'!AL50</f>
        <v>0</v>
      </c>
    </row>
    <row r="73" spans="1:38">
      <c r="D73" s="358"/>
      <c r="F73" s="464"/>
      <c r="G73" s="465"/>
      <c r="H73" s="465"/>
    </row>
    <row r="74" spans="1:38">
      <c r="B74" s="472" t="s">
        <v>512</v>
      </c>
      <c r="C74" s="386" t="s">
        <v>443</v>
      </c>
      <c r="D74" s="383">
        <f>D70*$C59</f>
        <v>2409.6623479543973</v>
      </c>
      <c r="E74" s="383">
        <f t="shared" ref="E74:AK76" si="37">E70*$C59</f>
        <v>2507.0448888289961</v>
      </c>
      <c r="F74" s="383">
        <f t="shared" si="37"/>
        <v>2608.3629849382301</v>
      </c>
      <c r="G74" s="383">
        <f t="shared" si="37"/>
        <v>2713.7756852745115</v>
      </c>
      <c r="H74" s="383">
        <f t="shared" si="37"/>
        <v>2117.5863499002858</v>
      </c>
      <c r="I74" s="383">
        <f t="shared" si="37"/>
        <v>2203.165119660172</v>
      </c>
      <c r="J74" s="383">
        <f t="shared" si="37"/>
        <v>2292.2024146575127</v>
      </c>
      <c r="K74" s="383">
        <f t="shared" si="37"/>
        <v>2384.8380055019047</v>
      </c>
      <c r="L74" s="383">
        <f t="shared" si="37"/>
        <v>2481.2173114022685</v>
      </c>
      <c r="M74" s="383">
        <f t="shared" si="37"/>
        <v>2581.4916284456986</v>
      </c>
      <c r="N74" s="383">
        <f t="shared" si="37"/>
        <v>2685.818367101826</v>
      </c>
      <c r="O74" s="383">
        <f t="shared" si="37"/>
        <v>2794.3612993255383</v>
      </c>
      <c r="P74" s="383">
        <f t="shared" si="37"/>
        <v>2907.2908156459375</v>
      </c>
      <c r="Q74" s="383">
        <f t="shared" si="37"/>
        <v>3024.7841926451388</v>
      </c>
      <c r="R74" s="383">
        <f t="shared" si="37"/>
        <v>3147.0258712467739</v>
      </c>
      <c r="S74" s="383">
        <f t="shared" si="37"/>
        <v>3274.2077462510788</v>
      </c>
      <c r="T74" s="383">
        <f t="shared" si="37"/>
        <v>3406.5294675710402</v>
      </c>
      <c r="U74" s="383">
        <f t="shared" si="37"/>
        <v>3544.1987536425422</v>
      </c>
      <c r="V74" s="383">
        <f t="shared" si="37"/>
        <v>3687.4317175004439</v>
      </c>
      <c r="W74" s="383">
        <f t="shared" si="37"/>
        <v>3836.4532060324868</v>
      </c>
      <c r="X74" s="383">
        <f t="shared" si="37"/>
        <v>3991.4971529435979</v>
      </c>
      <c r="Y74" s="383">
        <f t="shared" si="37"/>
        <v>4152.8069459846656</v>
      </c>
      <c r="Z74" s="383">
        <f t="shared" si="37"/>
        <v>4320.6358090222557</v>
      </c>
      <c r="AA74" s="383">
        <f t="shared" si="37"/>
        <v>4495.247199549045</v>
      </c>
      <c r="AB74" s="383">
        <f t="shared" si="37"/>
        <v>4676.9152222590037</v>
      </c>
      <c r="AC74" s="383">
        <f t="shared" si="37"/>
        <v>4865.9250593365141</v>
      </c>
      <c r="AD74" s="383">
        <f t="shared" si="37"/>
        <v>5062.5734181349326</v>
      </c>
      <c r="AE74" s="383">
        <f t="shared" si="37"/>
        <v>5267.1689969473355</v>
      </c>
      <c r="AF74" s="383">
        <f t="shared" si="37"/>
        <v>5480.0329696006329</v>
      </c>
      <c r="AG74" s="383">
        <f t="shared" si="37"/>
        <v>5701.4994896337475</v>
      </c>
      <c r="AH74" s="383">
        <f t="shared" si="37"/>
        <v>5931.9162148513315</v>
      </c>
      <c r="AI74" s="383">
        <f t="shared" si="37"/>
        <v>6171.6448530764574</v>
      </c>
      <c r="AJ74" s="383">
        <f t="shared" si="37"/>
        <v>6421.0617299589921</v>
      </c>
      <c r="AK74" s="383">
        <f t="shared" si="37"/>
        <v>6680.5583797310574</v>
      </c>
      <c r="AL74" s="383">
        <f t="shared" ref="AL74" si="38">AL70*$C59</f>
        <v>6950.5421598368412</v>
      </c>
    </row>
    <row r="75" spans="1:38">
      <c r="B75" s="472" t="s">
        <v>513</v>
      </c>
      <c r="C75" s="386" t="s">
        <v>443</v>
      </c>
      <c r="D75" s="383">
        <f t="shared" ref="D75:S76" si="39">D71*$C60</f>
        <v>360.72789640035887</v>
      </c>
      <c r="E75" s="383">
        <f t="shared" si="39"/>
        <v>375.30612108218509</v>
      </c>
      <c r="F75" s="383">
        <f t="shared" si="39"/>
        <v>390.473500739256</v>
      </c>
      <c r="G75" s="383">
        <f t="shared" si="39"/>
        <v>406.25384510097479</v>
      </c>
      <c r="H75" s="383">
        <f t="shared" si="39"/>
        <v>317.00394459585118</v>
      </c>
      <c r="I75" s="383">
        <f t="shared" si="39"/>
        <v>329.81513767367846</v>
      </c>
      <c r="J75" s="383">
        <f t="shared" si="39"/>
        <v>343.14407405052589</v>
      </c>
      <c r="K75" s="383">
        <f t="shared" si="39"/>
        <v>357.01167747034503</v>
      </c>
      <c r="L75" s="383">
        <f t="shared" si="39"/>
        <v>371.43971727578872</v>
      </c>
      <c r="M75" s="383">
        <f t="shared" si="39"/>
        <v>386.4508425816914</v>
      </c>
      <c r="N75" s="383">
        <f t="shared" si="39"/>
        <v>402.06861782961471</v>
      </c>
      <c r="O75" s="383">
        <f t="shared" si="39"/>
        <v>418.31755977927219</v>
      </c>
      <c r="P75" s="383">
        <f t="shared" si="39"/>
        <v>435.22317599490083</v>
      </c>
      <c r="Q75" s="383">
        <f t="shared" si="39"/>
        <v>452.81200488699687</v>
      </c>
      <c r="R75" s="383">
        <f t="shared" si="39"/>
        <v>471.11165737227157</v>
      </c>
      <c r="S75" s="383">
        <f t="shared" si="39"/>
        <v>490.15086021722738</v>
      </c>
      <c r="T75" s="383">
        <f t="shared" si="37"/>
        <v>509.95950113338927</v>
      </c>
      <c r="U75" s="383">
        <f t="shared" si="37"/>
        <v>530.56867569499138</v>
      </c>
      <c r="V75" s="383">
        <f t="shared" si="37"/>
        <v>552.01073615276107</v>
      </c>
      <c r="W75" s="383">
        <f t="shared" si="37"/>
        <v>574.31934222043219</v>
      </c>
      <c r="X75" s="383">
        <f t="shared" si="37"/>
        <v>597.52951391371232</v>
      </c>
      <c r="Y75" s="383">
        <f t="shared" si="37"/>
        <v>621.67768652465054</v>
      </c>
      <c r="Z75" s="383">
        <f t="shared" si="37"/>
        <v>646.80176781770297</v>
      </c>
      <c r="AA75" s="383">
        <f t="shared" si="37"/>
        <v>672.94119753728216</v>
      </c>
      <c r="AB75" s="383">
        <f t="shared" si="37"/>
        <v>700.13700932021015</v>
      </c>
      <c r="AC75" s="383">
        <f t="shared" si="37"/>
        <v>728.43189511025662</v>
      </c>
      <c r="AD75" s="383">
        <f t="shared" si="37"/>
        <v>757.8702721758882</v>
      </c>
      <c r="AE75" s="383">
        <f t="shared" si="37"/>
        <v>788.49835283642756</v>
      </c>
      <c r="AF75" s="383">
        <f t="shared" si="37"/>
        <v>820.36421700608287</v>
      </c>
      <c r="AG75" s="383">
        <f t="shared" si="37"/>
        <v>853.51788766972277</v>
      </c>
      <c r="AH75" s="383">
        <f t="shared" si="37"/>
        <v>888.01140940888206</v>
      </c>
      <c r="AI75" s="383">
        <f t="shared" si="37"/>
        <v>923.89893010126605</v>
      </c>
      <c r="AJ75" s="383">
        <f t="shared" si="37"/>
        <v>961.23678592200486</v>
      </c>
      <c r="AK75" s="383">
        <f t="shared" si="37"/>
        <v>1000.0835897800985</v>
      </c>
      <c r="AL75" s="383">
        <f t="shared" ref="AL75" si="40">AL71*$C60</f>
        <v>1040.5003233288685</v>
      </c>
    </row>
    <row r="76" spans="1:38">
      <c r="B76" s="472" t="s">
        <v>752</v>
      </c>
      <c r="C76" s="386" t="s">
        <v>443</v>
      </c>
      <c r="D76" s="383">
        <f t="shared" si="39"/>
        <v>0</v>
      </c>
      <c r="E76" s="383">
        <f t="shared" si="37"/>
        <v>0</v>
      </c>
      <c r="F76" s="383">
        <f t="shared" si="37"/>
        <v>0</v>
      </c>
      <c r="G76" s="383">
        <f t="shared" si="37"/>
        <v>0</v>
      </c>
      <c r="H76" s="383">
        <f t="shared" si="37"/>
        <v>0</v>
      </c>
      <c r="I76" s="383">
        <f t="shared" si="37"/>
        <v>0</v>
      </c>
      <c r="J76" s="383">
        <f t="shared" si="37"/>
        <v>0</v>
      </c>
      <c r="K76" s="383">
        <f t="shared" si="37"/>
        <v>0</v>
      </c>
      <c r="L76" s="383">
        <f t="shared" si="37"/>
        <v>0</v>
      </c>
      <c r="M76" s="383">
        <f t="shared" si="37"/>
        <v>0</v>
      </c>
      <c r="N76" s="383">
        <f t="shared" si="37"/>
        <v>0</v>
      </c>
      <c r="O76" s="383">
        <f t="shared" si="37"/>
        <v>0</v>
      </c>
      <c r="P76" s="383">
        <f t="shared" si="37"/>
        <v>0</v>
      </c>
      <c r="Q76" s="383">
        <f t="shared" si="37"/>
        <v>0</v>
      </c>
      <c r="R76" s="383">
        <f t="shared" si="37"/>
        <v>0</v>
      </c>
      <c r="S76" s="383">
        <f t="shared" si="37"/>
        <v>0</v>
      </c>
      <c r="T76" s="383">
        <f t="shared" si="37"/>
        <v>0</v>
      </c>
      <c r="U76" s="383">
        <f t="shared" si="37"/>
        <v>0</v>
      </c>
      <c r="V76" s="383">
        <f t="shared" si="37"/>
        <v>0</v>
      </c>
      <c r="W76" s="383">
        <f t="shared" si="37"/>
        <v>0</v>
      </c>
      <c r="X76" s="383">
        <f t="shared" si="37"/>
        <v>0</v>
      </c>
      <c r="Y76" s="383">
        <f t="shared" si="37"/>
        <v>0</v>
      </c>
      <c r="Z76" s="383">
        <f t="shared" si="37"/>
        <v>0</v>
      </c>
      <c r="AA76" s="383">
        <f t="shared" si="37"/>
        <v>0</v>
      </c>
      <c r="AB76" s="383">
        <f t="shared" si="37"/>
        <v>0</v>
      </c>
      <c r="AC76" s="383">
        <f t="shared" si="37"/>
        <v>0</v>
      </c>
      <c r="AD76" s="383">
        <f t="shared" si="37"/>
        <v>0</v>
      </c>
      <c r="AE76" s="383">
        <f t="shared" si="37"/>
        <v>0</v>
      </c>
      <c r="AF76" s="383">
        <f t="shared" si="37"/>
        <v>0</v>
      </c>
      <c r="AG76" s="383">
        <f t="shared" si="37"/>
        <v>0</v>
      </c>
      <c r="AH76" s="383">
        <f t="shared" si="37"/>
        <v>0</v>
      </c>
      <c r="AI76" s="383">
        <f t="shared" si="37"/>
        <v>0</v>
      </c>
      <c r="AJ76" s="383">
        <f t="shared" si="37"/>
        <v>0</v>
      </c>
      <c r="AK76" s="383">
        <f t="shared" si="37"/>
        <v>0</v>
      </c>
      <c r="AL76" s="383">
        <f t="shared" ref="AL76" si="41">AL72*$C61</f>
        <v>0</v>
      </c>
    </row>
    <row r="77" spans="1:38">
      <c r="D77" s="358"/>
      <c r="F77" s="464"/>
      <c r="G77" s="465"/>
      <c r="H77" s="465"/>
    </row>
    <row r="78" spans="1:38" ht="13">
      <c r="B78" s="364" t="s">
        <v>514</v>
      </c>
      <c r="C78" s="487" t="s">
        <v>292</v>
      </c>
      <c r="D78" s="488">
        <f t="shared" ref="D78:AK78" si="42">D74*D49+D75*D50+D76*D51</f>
        <v>54243.37523751476</v>
      </c>
      <c r="E78" s="488">
        <f t="shared" si="42"/>
        <v>56435.53203937033</v>
      </c>
      <c r="F78" s="488">
        <f t="shared" si="42"/>
        <v>58716.281253163397</v>
      </c>
      <c r="G78" s="488">
        <f t="shared" si="42"/>
        <v>61089.203195523776</v>
      </c>
      <c r="H78" s="488">
        <f t="shared" si="42"/>
        <v>47668.517156767324</v>
      </c>
      <c r="I78" s="488">
        <f t="shared" si="42"/>
        <v>49594.961882266369</v>
      </c>
      <c r="J78" s="488">
        <f t="shared" si="42"/>
        <v>51599.26070312567</v>
      </c>
      <c r="K78" s="488">
        <f t="shared" si="42"/>
        <v>53684.559964570719</v>
      </c>
      <c r="L78" s="488">
        <f t="shared" si="42"/>
        <v>55854.133166194893</v>
      </c>
      <c r="M78" s="488">
        <f t="shared" si="42"/>
        <v>58111.386100694101</v>
      </c>
      <c r="N78" s="488">
        <f t="shared" si="42"/>
        <v>60459.862200274816</v>
      </c>
      <c r="O78" s="488">
        <f t="shared" si="42"/>
        <v>62903.248099128716</v>
      </c>
      <c r="P78" s="488">
        <f t="shared" si="42"/>
        <v>65445.379420705227</v>
      </c>
      <c r="Q78" s="488">
        <f t="shared" si="42"/>
        <v>68090.246798867476</v>
      </c>
      <c r="R78" s="488">
        <f t="shared" si="42"/>
        <v>70842.002142383208</v>
      </c>
      <c r="S78" s="488">
        <f t="shared" si="42"/>
        <v>73704.965152584904</v>
      </c>
      <c r="T78" s="488">
        <f t="shared" si="42"/>
        <v>76683.630104430005</v>
      </c>
      <c r="U78" s="488">
        <f t="shared" si="42"/>
        <v>79782.672901607235</v>
      </c>
      <c r="V78" s="488">
        <f t="shared" si="42"/>
        <v>83006.958416762995</v>
      </c>
      <c r="W78" s="488">
        <f t="shared" si="42"/>
        <v>86361.548128370821</v>
      </c>
      <c r="X78" s="488">
        <f t="shared" si="42"/>
        <v>89851.708066232735</v>
      </c>
      <c r="Y78" s="488">
        <f t="shared" si="42"/>
        <v>93482.917078084749</v>
      </c>
      <c r="Z78" s="488">
        <f t="shared" si="42"/>
        <v>97260.875430283617</v>
      </c>
      <c r="AA78" s="488">
        <f t="shared" si="42"/>
        <v>101191.51375607619</v>
      </c>
      <c r="AB78" s="488">
        <f t="shared" si="42"/>
        <v>105281.00236549863</v>
      </c>
      <c r="AC78" s="488">
        <f t="shared" si="42"/>
        <v>109535.7609315195</v>
      </c>
      <c r="AD78" s="488">
        <f t="shared" si="42"/>
        <v>113962.46856763265</v>
      </c>
      <c r="AE78" s="488">
        <f t="shared" si="42"/>
        <v>118568.07431271927</v>
      </c>
      <c r="AF78" s="488">
        <f t="shared" si="42"/>
        <v>123359.80803963866</v>
      </c>
      <c r="AG78" s="488">
        <f t="shared" si="42"/>
        <v>128345.19180467154</v>
      </c>
      <c r="AH78" s="488">
        <f t="shared" si="42"/>
        <v>133532.05165563239</v>
      </c>
      <c r="AI78" s="488">
        <f t="shared" si="42"/>
        <v>138928.52991718758</v>
      </c>
      <c r="AJ78" s="488">
        <f t="shared" si="42"/>
        <v>144543.0979726637</v>
      </c>
      <c r="AK78" s="488">
        <f t="shared" si="42"/>
        <v>150384.56956241294</v>
      </c>
      <c r="AL78" s="488">
        <f t="shared" ref="AL78" si="43">AL74*AL49+AL75*AL50+AL76*AL51</f>
        <v>156462.11461960859</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4">SUM(E62:E64)-SUM(E74:E76)</f>
        <v>0</v>
      </c>
      <c r="F82" s="383">
        <f t="shared" si="44"/>
        <v>0</v>
      </c>
      <c r="G82" s="383">
        <f t="shared" si="44"/>
        <v>0</v>
      </c>
      <c r="H82" s="383">
        <f t="shared" si="44"/>
        <v>811.53009816537951</v>
      </c>
      <c r="I82" s="383">
        <f t="shared" si="44"/>
        <v>844.3267524446178</v>
      </c>
      <c r="J82" s="383">
        <f t="shared" si="44"/>
        <v>878.44882956934589</v>
      </c>
      <c r="K82" s="383">
        <f t="shared" si="44"/>
        <v>913.94989432408147</v>
      </c>
      <c r="L82" s="383">
        <f t="shared" si="44"/>
        <v>950.88567622601977</v>
      </c>
      <c r="M82" s="383">
        <f t="shared" si="44"/>
        <v>989.3141570091293</v>
      </c>
      <c r="N82" s="383">
        <f t="shared" si="44"/>
        <v>1029.2956616438141</v>
      </c>
      <c r="O82" s="383">
        <f t="shared" si="44"/>
        <v>1070.8929530349351</v>
      </c>
      <c r="P82" s="383">
        <f t="shared" si="44"/>
        <v>1114.1713305469443</v>
      </c>
      <c r="Q82" s="383">
        <f t="shared" si="44"/>
        <v>1159.1987325107125</v>
      </c>
      <c r="R82" s="383">
        <f t="shared" si="44"/>
        <v>1206.0458428730167</v>
      </c>
      <c r="S82" s="383">
        <f t="shared" si="44"/>
        <v>1254.7862021561</v>
      </c>
      <c r="T82" s="383">
        <f t="shared" si="44"/>
        <v>1305.4963229014738</v>
      </c>
      <c r="U82" s="383">
        <f t="shared" si="44"/>
        <v>1358.2558097791766</v>
      </c>
      <c r="V82" s="383">
        <f t="shared" si="44"/>
        <v>1413.1474845510684</v>
      </c>
      <c r="W82" s="383">
        <f t="shared" si="44"/>
        <v>1470.2575160843071</v>
      </c>
      <c r="X82" s="383">
        <f t="shared" si="44"/>
        <v>1529.6755556191047</v>
      </c>
      <c r="Y82" s="383">
        <f t="shared" si="44"/>
        <v>1591.4948775031062</v>
      </c>
      <c r="Z82" s="383">
        <f t="shared" si="44"/>
        <v>1655.8125256133162</v>
      </c>
      <c r="AA82" s="383">
        <f t="shared" si="44"/>
        <v>1722.7294656954409</v>
      </c>
      <c r="AB82" s="383">
        <f t="shared" si="44"/>
        <v>1792.350743859738</v>
      </c>
      <c r="AC82" s="383">
        <f t="shared" si="44"/>
        <v>1864.785651482257</v>
      </c>
      <c r="AD82" s="383">
        <f t="shared" si="44"/>
        <v>1940.1478967702715</v>
      </c>
      <c r="AE82" s="383">
        <f t="shared" si="44"/>
        <v>2018.5557832612549</v>
      </c>
      <c r="AF82" s="383">
        <f t="shared" ref="AF82:AJ82" si="45">SUM(AF62:AF64)-SUM(AF74:AF76)</f>
        <v>2100.1323955355738</v>
      </c>
      <c r="AG82" s="383">
        <f t="shared" si="45"/>
        <v>2185.0057924344937</v>
      </c>
      <c r="AH82" s="383">
        <f t="shared" si="45"/>
        <v>2273.3092080867391</v>
      </c>
      <c r="AI82" s="383">
        <f t="shared" si="45"/>
        <v>2365.1812610592388</v>
      </c>
      <c r="AJ82" s="383">
        <f t="shared" si="45"/>
        <v>2460.7661719603329</v>
      </c>
      <c r="AK82" s="383">
        <f t="shared" ref="AK82:AL82" si="46">SUM(AK62:AK64)-SUM(AK74:AK76)</f>
        <v>2560.2139898370533</v>
      </c>
      <c r="AL82" s="383">
        <f t="shared" si="46"/>
        <v>2663.6808277219006</v>
      </c>
    </row>
    <row r="83" spans="1:38" ht="13">
      <c r="B83" s="364" t="s">
        <v>813</v>
      </c>
      <c r="C83" s="590" t="s">
        <v>443</v>
      </c>
      <c r="D83" s="383">
        <f>SUM(D55:D57)-SUM(D70:D72)</f>
        <v>0</v>
      </c>
      <c r="E83" s="383">
        <f t="shared" ref="E83:AE83" si="47">SUM(E55:E57)-SUM(E70:E72)</f>
        <v>0</v>
      </c>
      <c r="F83" s="383">
        <f t="shared" si="47"/>
        <v>0</v>
      </c>
      <c r="G83" s="383">
        <f t="shared" si="47"/>
        <v>0</v>
      </c>
      <c r="H83" s="383">
        <f t="shared" si="47"/>
        <v>528.33990765975227</v>
      </c>
      <c r="I83" s="383">
        <f t="shared" si="47"/>
        <v>549.69189612279774</v>
      </c>
      <c r="J83" s="383">
        <f t="shared" si="47"/>
        <v>571.90679008420921</v>
      </c>
      <c r="K83" s="383">
        <f t="shared" si="47"/>
        <v>595.01946245057388</v>
      </c>
      <c r="L83" s="383">
        <f t="shared" si="47"/>
        <v>619.06619545964804</v>
      </c>
      <c r="M83" s="383">
        <f t="shared" si="47"/>
        <v>644.08473763615189</v>
      </c>
      <c r="N83" s="383">
        <f t="shared" si="47"/>
        <v>670.11436304935796</v>
      </c>
      <c r="O83" s="383">
        <f t="shared" si="47"/>
        <v>697.19593296545236</v>
      </c>
      <c r="P83" s="383">
        <f t="shared" si="47"/>
        <v>725.37195999150072</v>
      </c>
      <c r="Q83" s="383">
        <f t="shared" si="47"/>
        <v>754.68667481166176</v>
      </c>
      <c r="R83" s="383">
        <f t="shared" si="47"/>
        <v>785.18609562045367</v>
      </c>
      <c r="S83" s="383">
        <f t="shared" si="47"/>
        <v>816.91810036204424</v>
      </c>
      <c r="T83" s="383">
        <f t="shared" si="47"/>
        <v>849.93250188898037</v>
      </c>
      <c r="U83" s="383">
        <f t="shared" si="47"/>
        <v>884.28112615831833</v>
      </c>
      <c r="V83" s="383">
        <f t="shared" si="47"/>
        <v>920.0178935879353</v>
      </c>
      <c r="W83" s="383">
        <f t="shared" si="47"/>
        <v>957.19890370072062</v>
      </c>
      <c r="X83" s="383">
        <f t="shared" si="47"/>
        <v>995.88252318952118</v>
      </c>
      <c r="Y83" s="383">
        <f t="shared" si="47"/>
        <v>1036.1294775410843</v>
      </c>
      <c r="Z83" s="383">
        <f t="shared" si="47"/>
        <v>1078.0029463628362</v>
      </c>
      <c r="AA83" s="383">
        <f t="shared" si="47"/>
        <v>1121.5686625621361</v>
      </c>
      <c r="AB83" s="383">
        <f t="shared" si="47"/>
        <v>1166.8950155336834</v>
      </c>
      <c r="AC83" s="383">
        <f t="shared" si="47"/>
        <v>1214.0531585170938</v>
      </c>
      <c r="AD83" s="383">
        <f t="shared" si="47"/>
        <v>1263.1171202931455</v>
      </c>
      <c r="AE83" s="383">
        <f t="shared" si="47"/>
        <v>1314.1639213940462</v>
      </c>
      <c r="AF83" s="383">
        <f t="shared" ref="AF83:AJ83" si="48">SUM(AF55:AF57)-SUM(AF70:AF72)</f>
        <v>1367.2736950101398</v>
      </c>
      <c r="AG83" s="383">
        <f t="shared" si="48"/>
        <v>1422.5298127828728</v>
      </c>
      <c r="AH83" s="383">
        <f t="shared" si="48"/>
        <v>1480.0190156814706</v>
      </c>
      <c r="AI83" s="383">
        <f t="shared" si="48"/>
        <v>1539.8315501687757</v>
      </c>
      <c r="AJ83" s="383">
        <f t="shared" si="48"/>
        <v>1602.0613098700087</v>
      </c>
      <c r="AK83" s="383">
        <f t="shared" ref="AK83:AL83" si="49">SUM(AK55:AK57)-SUM(AK70:AK72)</f>
        <v>1666.8059829668318</v>
      </c>
      <c r="AL83" s="383">
        <f t="shared" si="49"/>
        <v>1734.1672055481131</v>
      </c>
    </row>
    <row r="84" spans="1:38">
      <c r="D84" s="358"/>
      <c r="F84" s="464"/>
      <c r="G84" s="465"/>
      <c r="H84" s="465"/>
    </row>
    <row r="85" spans="1:38" ht="13">
      <c r="B85" s="492" t="s">
        <v>284</v>
      </c>
      <c r="C85" s="487" t="s">
        <v>292</v>
      </c>
      <c r="D85" s="488">
        <f>D66-D78</f>
        <v>0</v>
      </c>
      <c r="E85" s="488">
        <f t="shared" ref="E85:AK85" si="50">E66-E78</f>
        <v>0</v>
      </c>
      <c r="F85" s="488">
        <f t="shared" si="50"/>
        <v>0</v>
      </c>
      <c r="G85" s="488">
        <f t="shared" si="50"/>
        <v>0</v>
      </c>
      <c r="H85" s="488">
        <f t="shared" si="50"/>
        <v>15889.505718922461</v>
      </c>
      <c r="I85" s="488">
        <f t="shared" si="50"/>
        <v>16531.653960755481</v>
      </c>
      <c r="J85" s="488">
        <f t="shared" si="50"/>
        <v>17199.753567708547</v>
      </c>
      <c r="K85" s="488">
        <f t="shared" si="50"/>
        <v>17894.853321523544</v>
      </c>
      <c r="L85" s="488">
        <f t="shared" si="50"/>
        <v>18618.044388731636</v>
      </c>
      <c r="M85" s="488">
        <f t="shared" si="50"/>
        <v>19370.462033564676</v>
      </c>
      <c r="N85" s="488">
        <f t="shared" si="50"/>
        <v>20153.287400091605</v>
      </c>
      <c r="O85" s="488">
        <f t="shared" si="50"/>
        <v>20967.7493663762</v>
      </c>
      <c r="P85" s="488">
        <f t="shared" si="50"/>
        <v>21815.12647356838</v>
      </c>
      <c r="Q85" s="488">
        <f t="shared" si="50"/>
        <v>22696.748932955845</v>
      </c>
      <c r="R85" s="488">
        <f t="shared" si="50"/>
        <v>23614.000714127775</v>
      </c>
      <c r="S85" s="488">
        <f t="shared" si="50"/>
        <v>24568.321717528263</v>
      </c>
      <c r="T85" s="488">
        <f t="shared" si="50"/>
        <v>25561.210034809948</v>
      </c>
      <c r="U85" s="488">
        <f t="shared" si="50"/>
        <v>26594.224300535716</v>
      </c>
      <c r="V85" s="488">
        <f t="shared" si="50"/>
        <v>27668.986138920984</v>
      </c>
      <c r="W85" s="488">
        <f t="shared" si="50"/>
        <v>28787.18270945696</v>
      </c>
      <c r="X85" s="488">
        <f t="shared" si="50"/>
        <v>29950.569355410931</v>
      </c>
      <c r="Y85" s="488">
        <f t="shared" si="50"/>
        <v>31160.972359361593</v>
      </c>
      <c r="Z85" s="488">
        <f t="shared" si="50"/>
        <v>32420.291810094481</v>
      </c>
      <c r="AA85" s="488">
        <f t="shared" si="50"/>
        <v>33730.504585358693</v>
      </c>
      <c r="AB85" s="488">
        <f t="shared" si="50"/>
        <v>35093.667455166229</v>
      </c>
      <c r="AC85" s="488">
        <f t="shared" si="50"/>
        <v>36511.920310506481</v>
      </c>
      <c r="AD85" s="488">
        <f t="shared" si="50"/>
        <v>37987.489522544158</v>
      </c>
      <c r="AE85" s="488">
        <f t="shared" si="50"/>
        <v>39522.691437573099</v>
      </c>
      <c r="AF85" s="488">
        <f t="shared" si="50"/>
        <v>41119.936013212966</v>
      </c>
      <c r="AG85" s="488">
        <f t="shared" si="50"/>
        <v>42781.730601557239</v>
      </c>
      <c r="AH85" s="488">
        <f t="shared" si="50"/>
        <v>44510.683885210834</v>
      </c>
      <c r="AI85" s="488">
        <f t="shared" si="50"/>
        <v>46309.509972395812</v>
      </c>
      <c r="AJ85" s="488">
        <f t="shared" si="50"/>
        <v>48181.032657554577</v>
      </c>
      <c r="AK85" s="488">
        <f t="shared" si="50"/>
        <v>50128.189854137716</v>
      </c>
      <c r="AL85" s="488">
        <f t="shared" ref="AL85" si="51">AL66-AL78</f>
        <v>52154.038206536148</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'2000 South'!D25</f>
        <v>1442.9115856014355</v>
      </c>
      <c r="E112" s="383">
        <f>'2000 South'!E25</f>
        <v>1501.2244843287403</v>
      </c>
      <c r="F112" s="383">
        <f>'2000 South'!F25</f>
        <v>1561.894002957024</v>
      </c>
      <c r="G112" s="383">
        <f>'2000 South'!G25</f>
        <v>1625.0153804038991</v>
      </c>
      <c r="H112" s="383">
        <f>'2000 South'!H25</f>
        <v>1690.6877045112067</v>
      </c>
      <c r="I112" s="383">
        <f>'2000 South'!I25</f>
        <v>1759.0140675929522</v>
      </c>
      <c r="J112" s="383">
        <f>'2000 South'!J25</f>
        <v>1830.1017282694711</v>
      </c>
      <c r="K112" s="383">
        <f>'2000 South'!K25</f>
        <v>1904.0622798418394</v>
      </c>
      <c r="L112" s="383">
        <f>'2000 South'!L25</f>
        <v>1981.0118254708734</v>
      </c>
      <c r="M112" s="383">
        <f>'2000 South'!M25</f>
        <v>2061.071160435687</v>
      </c>
      <c r="N112" s="383">
        <f>'2000 South'!N25</f>
        <v>2144.3659617579451</v>
      </c>
      <c r="O112" s="383">
        <f>'2000 South'!O25</f>
        <v>2231.0269854894509</v>
      </c>
      <c r="P112" s="383">
        <f>'2000 South'!P25</f>
        <v>2321.1902719728037</v>
      </c>
      <c r="Q112" s="383">
        <f>'2000 South'!Q25</f>
        <v>2414.9973593973168</v>
      </c>
      <c r="R112" s="383">
        <f>'2000 South'!R25</f>
        <v>2512.5955059854491</v>
      </c>
      <c r="S112" s="383">
        <f>'2000 South'!S25</f>
        <v>2614.1379211585449</v>
      </c>
      <c r="T112" s="383">
        <f>'2000 South'!T25</f>
        <v>2719.7840060447415</v>
      </c>
      <c r="U112" s="383">
        <f>'2000 South'!U25</f>
        <v>2829.6996037066201</v>
      </c>
      <c r="V112" s="383">
        <f>'2000 South'!V25</f>
        <v>2944.0572594813925</v>
      </c>
      <c r="W112" s="383">
        <f>'2000 South'!W25</f>
        <v>3063.0364918423052</v>
      </c>
      <c r="X112" s="383">
        <f>'2000 South'!X25</f>
        <v>3186.8240742064663</v>
      </c>
      <c r="Y112" s="383">
        <f>'2000 South'!Y25</f>
        <v>3315.6143281314698</v>
      </c>
      <c r="Z112" s="383">
        <f>'2000 South'!Z25</f>
        <v>3449.609428361081</v>
      </c>
      <c r="AA112" s="383">
        <f>'2000 South'!AA25</f>
        <v>3589.0197201988376</v>
      </c>
      <c r="AB112" s="383">
        <f>'2000 South'!AB25</f>
        <v>3734.0640497077875</v>
      </c>
      <c r="AC112" s="383">
        <f>'2000 South'!AC25</f>
        <v>3884.9701072547018</v>
      </c>
      <c r="AD112" s="383">
        <f>'2000 South'!AD25</f>
        <v>4041.9747849380692</v>
      </c>
      <c r="AE112" s="383">
        <f>'2000 South'!AE25</f>
        <v>4205.324548460947</v>
      </c>
      <c r="AF112" s="383">
        <f>'2000 South'!AF25</f>
        <v>4375.2758240324429</v>
      </c>
      <c r="AG112" s="383">
        <f>'2000 South'!AG25</f>
        <v>4552.0954009051893</v>
      </c>
      <c r="AH112" s="383">
        <f>'2000 South'!AH25</f>
        <v>4736.0608501807046</v>
      </c>
      <c r="AI112" s="383">
        <f>'2000 South'!AI25</f>
        <v>4927.4609605400847</v>
      </c>
      <c r="AJ112" s="383">
        <f>'2000 South'!AJ25</f>
        <v>5126.5961915840262</v>
      </c>
      <c r="AK112" s="383">
        <f>'2000 South'!AK25</f>
        <v>5333.7791454938597</v>
      </c>
      <c r="AL112" s="383">
        <f>'2000 South'!AL25</f>
        <v>5549.3350577539641</v>
      </c>
    </row>
    <row r="113" spans="1:38">
      <c r="B113" s="385" t="s">
        <v>509</v>
      </c>
      <c r="C113" s="386" t="s">
        <v>443</v>
      </c>
      <c r="D113" s="383">
        <f>'2000 South'!D26</f>
        <v>360.72789640035887</v>
      </c>
      <c r="E113" s="383">
        <f>'2000 South'!E26</f>
        <v>375.30612108218509</v>
      </c>
      <c r="F113" s="383">
        <f>'2000 South'!F26</f>
        <v>390.473500739256</v>
      </c>
      <c r="G113" s="383">
        <f>'2000 South'!G26</f>
        <v>406.25384510097479</v>
      </c>
      <c r="H113" s="383">
        <f>'2000 South'!H26</f>
        <v>422.67192612780167</v>
      </c>
      <c r="I113" s="383">
        <f>'2000 South'!I26</f>
        <v>439.75351689823805</v>
      </c>
      <c r="J113" s="383">
        <f>'2000 South'!J26</f>
        <v>457.52543206736777</v>
      </c>
      <c r="K113" s="383">
        <f>'2000 South'!K26</f>
        <v>476.01556996045986</v>
      </c>
      <c r="L113" s="383">
        <f>'2000 South'!L26</f>
        <v>495.25295636771835</v>
      </c>
      <c r="M113" s="383">
        <f>'2000 South'!M26</f>
        <v>515.26779010892176</v>
      </c>
      <c r="N113" s="383">
        <f>'2000 South'!N26</f>
        <v>536.09149043948628</v>
      </c>
      <c r="O113" s="383">
        <f>'2000 South'!O26</f>
        <v>557.75674637236273</v>
      </c>
      <c r="P113" s="383">
        <f>'2000 South'!P26</f>
        <v>580.29756799320091</v>
      </c>
      <c r="Q113" s="383">
        <f>'2000 South'!Q26</f>
        <v>603.7493398493292</v>
      </c>
      <c r="R113" s="383">
        <f>'2000 South'!R26</f>
        <v>628.14887649636228</v>
      </c>
      <c r="S113" s="383">
        <f>'2000 South'!S26</f>
        <v>653.53448028963624</v>
      </c>
      <c r="T113" s="383">
        <f>'2000 South'!T26</f>
        <v>679.94600151118539</v>
      </c>
      <c r="U113" s="383">
        <f>'2000 South'!U26</f>
        <v>707.42490092665503</v>
      </c>
      <c r="V113" s="383">
        <f>'2000 South'!V26</f>
        <v>736.01431487034813</v>
      </c>
      <c r="W113" s="383">
        <f>'2000 South'!W26</f>
        <v>765.75912296057629</v>
      </c>
      <c r="X113" s="383">
        <f>'2000 South'!X26</f>
        <v>796.70601855161658</v>
      </c>
      <c r="Y113" s="383">
        <f>'2000 South'!Y26</f>
        <v>828.90358203286746</v>
      </c>
      <c r="Z113" s="383">
        <f>'2000 South'!Z26</f>
        <v>862.40235709027024</v>
      </c>
      <c r="AA113" s="383">
        <f>'2000 South'!AA26</f>
        <v>897.2549300497094</v>
      </c>
      <c r="AB113" s="383">
        <f>'2000 South'!AB26</f>
        <v>933.51601242694687</v>
      </c>
      <c r="AC113" s="383">
        <f>'2000 South'!AC26</f>
        <v>971.24252681367545</v>
      </c>
      <c r="AD113" s="383">
        <f>'2000 South'!AD26</f>
        <v>1010.4936962345173</v>
      </c>
      <c r="AE113" s="383">
        <f>'2000 South'!AE26</f>
        <v>1051.3311371152367</v>
      </c>
      <c r="AF113" s="383">
        <f>'2000 South'!AF26</f>
        <v>1093.8189560081107</v>
      </c>
      <c r="AG113" s="383">
        <f>'2000 South'!AG26</f>
        <v>1138.0238502262973</v>
      </c>
      <c r="AH113" s="383">
        <f>'2000 South'!AH26</f>
        <v>1184.0152125451762</v>
      </c>
      <c r="AI113" s="383">
        <f>'2000 South'!AI26</f>
        <v>1231.8652401350212</v>
      </c>
      <c r="AJ113" s="383">
        <f>'2000 South'!AJ26</f>
        <v>1281.6490478960066</v>
      </c>
      <c r="AK113" s="383">
        <f>'2000 South'!AK26</f>
        <v>1333.4447863734649</v>
      </c>
      <c r="AL113" s="383">
        <f>'2000 South'!AL26</f>
        <v>1387.333764438491</v>
      </c>
    </row>
    <row r="114" spans="1:38">
      <c r="B114" s="358" t="s">
        <v>769</v>
      </c>
      <c r="C114" s="358" t="s">
        <v>443</v>
      </c>
      <c r="D114" s="383">
        <f>'2000 South'!D27</f>
        <v>0</v>
      </c>
      <c r="E114" s="383">
        <f>'2000 South'!E27</f>
        <v>0</v>
      </c>
      <c r="F114" s="383">
        <f>'2000 South'!F27</f>
        <v>0</v>
      </c>
      <c r="G114" s="383">
        <f>'2000 South'!G27</f>
        <v>0</v>
      </c>
      <c r="H114" s="383">
        <f>'2000 South'!H27</f>
        <v>0</v>
      </c>
      <c r="I114" s="383">
        <f>'2000 South'!I27</f>
        <v>0</v>
      </c>
      <c r="J114" s="383">
        <f>'2000 South'!J27</f>
        <v>0</v>
      </c>
      <c r="K114" s="383">
        <f>'2000 South'!K27</f>
        <v>0</v>
      </c>
      <c r="L114" s="383">
        <f>'2000 South'!L27</f>
        <v>0</v>
      </c>
      <c r="M114" s="383">
        <f>'2000 South'!M27</f>
        <v>0</v>
      </c>
      <c r="N114" s="383">
        <f>'2000 South'!N27</f>
        <v>0</v>
      </c>
      <c r="O114" s="383">
        <f>'2000 South'!O27</f>
        <v>0</v>
      </c>
      <c r="P114" s="383">
        <f>'2000 South'!P27</f>
        <v>0</v>
      </c>
      <c r="Q114" s="383">
        <f>'2000 South'!Q27</f>
        <v>0</v>
      </c>
      <c r="R114" s="383">
        <f>'2000 South'!R27</f>
        <v>0</v>
      </c>
      <c r="S114" s="383">
        <f>'2000 South'!S27</f>
        <v>0</v>
      </c>
      <c r="T114" s="383">
        <f>'2000 South'!T27</f>
        <v>0</v>
      </c>
      <c r="U114" s="383">
        <f>'2000 South'!U27</f>
        <v>0</v>
      </c>
      <c r="V114" s="383">
        <f>'2000 South'!V27</f>
        <v>0</v>
      </c>
      <c r="W114" s="383">
        <f>'2000 South'!W27</f>
        <v>0</v>
      </c>
      <c r="X114" s="383">
        <f>'2000 South'!X27</f>
        <v>0</v>
      </c>
      <c r="Y114" s="383">
        <f>'2000 South'!Y27</f>
        <v>0</v>
      </c>
      <c r="Z114" s="383">
        <f>'2000 South'!Z27</f>
        <v>0</v>
      </c>
      <c r="AA114" s="383">
        <f>'2000 South'!AA27</f>
        <v>0</v>
      </c>
      <c r="AB114" s="383">
        <f>'2000 South'!AB27</f>
        <v>0</v>
      </c>
      <c r="AC114" s="383">
        <f>'2000 South'!AC27</f>
        <v>0</v>
      </c>
      <c r="AD114" s="383">
        <f>'2000 South'!AD27</f>
        <v>0</v>
      </c>
      <c r="AE114" s="383">
        <f>'2000 South'!AE27</f>
        <v>0</v>
      </c>
      <c r="AF114" s="383">
        <f>'2000 South'!AF27</f>
        <v>0</v>
      </c>
      <c r="AG114" s="383">
        <f>'2000 South'!AG27</f>
        <v>0</v>
      </c>
      <c r="AH114" s="383">
        <f>'2000 South'!AH27</f>
        <v>0</v>
      </c>
      <c r="AI114" s="383">
        <f>'2000 South'!AI27</f>
        <v>0</v>
      </c>
      <c r="AJ114" s="383">
        <f>'2000 South'!AJ27</f>
        <v>0</v>
      </c>
      <c r="AK114" s="383">
        <f>'2000 South'!AK27</f>
        <v>0</v>
      </c>
      <c r="AL114" s="383">
        <f>'2000 South'!AL27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2">(D$112*D90+D$113*D95+D$114*D100)/Grams.Per.Metric.Ton*D105</f>
        <v>356.02451187569307</v>
      </c>
      <c r="E116" s="582">
        <f t="shared" si="52"/>
        <v>374.34224484656465</v>
      </c>
      <c r="F116" s="582">
        <f t="shared" si="52"/>
        <v>393.43367794794381</v>
      </c>
      <c r="G116" s="582">
        <f t="shared" si="52"/>
        <v>413.32636219504025</v>
      </c>
      <c r="H116" s="582">
        <f t="shared" si="52"/>
        <v>434.04860703371202</v>
      </c>
      <c r="I116" s="582">
        <f t="shared" si="52"/>
        <v>455.62948836826683</v>
      </c>
      <c r="J116" s="582">
        <f t="shared" si="52"/>
        <v>478.09885566497422</v>
      </c>
      <c r="K116" s="582">
        <f t="shared" si="52"/>
        <v>501.48733802991364</v>
      </c>
      <c r="L116" s="582">
        <f t="shared" si="52"/>
        <v>525.82634915262395</v>
      </c>
      <c r="M116" s="582">
        <f t="shared" si="52"/>
        <v>551.14809099930619</v>
      </c>
      <c r="N116" s="582">
        <f t="shared" si="52"/>
        <v>576.77153074330749</v>
      </c>
      <c r="O116" s="582">
        <f t="shared" si="52"/>
        <v>603.36280149494053</v>
      </c>
      <c r="P116" s="582">
        <f t="shared" si="52"/>
        <v>630.95007387709472</v>
      </c>
      <c r="Q116" s="582">
        <f t="shared" si="52"/>
        <v>669.70898898255803</v>
      </c>
      <c r="R116" s="582">
        <f t="shared" si="52"/>
        <v>699.66993379289192</v>
      </c>
      <c r="S116" s="582">
        <f t="shared" si="52"/>
        <v>730.72078636568585</v>
      </c>
      <c r="T116" s="582">
        <f t="shared" si="52"/>
        <v>762.89109094064941</v>
      </c>
      <c r="U116" s="582">
        <f t="shared" si="52"/>
        <v>796.21061102510316</v>
      </c>
      <c r="V116" s="582">
        <f t="shared" si="52"/>
        <v>830.7092831585511</v>
      </c>
      <c r="W116" s="582">
        <f t="shared" si="52"/>
        <v>866.41716594740592</v>
      </c>
      <c r="X116" s="582">
        <f t="shared" si="52"/>
        <v>907.04056176201209</v>
      </c>
      <c r="Y116" s="582">
        <f t="shared" si="52"/>
        <v>962.16419897832861</v>
      </c>
      <c r="Z116" s="582">
        <f t="shared" si="52"/>
        <v>1006.6071234968092</v>
      </c>
      <c r="AA116" s="582">
        <f t="shared" si="52"/>
        <v>1052.8575306580005</v>
      </c>
      <c r="AB116" s="582">
        <f t="shared" si="52"/>
        <v>1100.9803093252015</v>
      </c>
      <c r="AC116" s="582">
        <f t="shared" si="52"/>
        <v>1151.0422927777788</v>
      </c>
      <c r="AD116" s="582">
        <f t="shared" si="52"/>
        <v>1203.1122958174831</v>
      </c>
      <c r="AE116" s="582">
        <f t="shared" si="52"/>
        <v>1257.2611511294326</v>
      </c>
      <c r="AF116" s="582">
        <f t="shared" si="52"/>
        <v>1329.5807904216249</v>
      </c>
      <c r="AG116" s="582">
        <f t="shared" si="52"/>
        <v>1388.6202438934017</v>
      </c>
      <c r="AH116" s="582">
        <f t="shared" si="52"/>
        <v>1444.7390473328303</v>
      </c>
      <c r="AI116" s="582">
        <f t="shared" si="52"/>
        <v>1503.1257999205764</v>
      </c>
      <c r="AJ116" s="582">
        <f t="shared" si="52"/>
        <v>1563.87215709161</v>
      </c>
      <c r="AK116" s="582">
        <f t="shared" si="52"/>
        <v>1627.0734783845728</v>
      </c>
      <c r="AL116" s="582">
        <f t="shared" si="52"/>
        <v>1692.8289771370314</v>
      </c>
    </row>
    <row r="117" spans="1:38">
      <c r="B117" s="478" t="s">
        <v>709</v>
      </c>
      <c r="C117" s="484" t="s">
        <v>292</v>
      </c>
      <c r="D117" s="582">
        <f t="shared" ref="D117:AL117" si="53">(D$112*D91+D$113*D96+D$114*D101)/Grams.Per.Metric.Ton*D106</f>
        <v>466.43374884583881</v>
      </c>
      <c r="E117" s="582">
        <f t="shared" si="53"/>
        <v>458.08508448985725</v>
      </c>
      <c r="F117" s="582">
        <f t="shared" si="53"/>
        <v>450.18400924045807</v>
      </c>
      <c r="G117" s="582">
        <f t="shared" si="53"/>
        <v>436.92065358558995</v>
      </c>
      <c r="H117" s="582">
        <f t="shared" si="53"/>
        <v>420.91817895576315</v>
      </c>
      <c r="I117" s="582">
        <f t="shared" si="53"/>
        <v>401.93919533754092</v>
      </c>
      <c r="J117" s="582">
        <f t="shared" si="53"/>
        <v>381.93781000901754</v>
      </c>
      <c r="K117" s="582">
        <f t="shared" si="53"/>
        <v>356.05457400678944</v>
      </c>
      <c r="L117" s="582">
        <f t="shared" si="53"/>
        <v>326.36364501756776</v>
      </c>
      <c r="M117" s="582">
        <f t="shared" si="53"/>
        <v>294.18979608482454</v>
      </c>
      <c r="N117" s="582">
        <f t="shared" si="53"/>
        <v>285.41811079870911</v>
      </c>
      <c r="O117" s="582">
        <f t="shared" si="53"/>
        <v>275.45695670747494</v>
      </c>
      <c r="P117" s="582">
        <f t="shared" si="53"/>
        <v>264.22451922107604</v>
      </c>
      <c r="Q117" s="582">
        <f t="shared" si="53"/>
        <v>251.63431363245905</v>
      </c>
      <c r="R117" s="582">
        <f t="shared" si="53"/>
        <v>237.59494127015105</v>
      </c>
      <c r="S117" s="582">
        <f t="shared" si="53"/>
        <v>222.00983356894011</v>
      </c>
      <c r="T117" s="582">
        <f t="shared" si="53"/>
        <v>204.77698348020971</v>
      </c>
      <c r="U117" s="582">
        <f t="shared" si="53"/>
        <v>185.78866361682915</v>
      </c>
      <c r="V117" s="582">
        <f t="shared" si="53"/>
        <v>164.9311304989065</v>
      </c>
      <c r="W117" s="582">
        <f t="shared" si="53"/>
        <v>142.08431423744636</v>
      </c>
      <c r="X117" s="582">
        <f t="shared" si="53"/>
        <v>147.10628590917673</v>
      </c>
      <c r="Y117" s="582">
        <f t="shared" si="53"/>
        <v>152.30210934768323</v>
      </c>
      <c r="Z117" s="582">
        <f t="shared" si="53"/>
        <v>157.67763433797148</v>
      </c>
      <c r="AA117" s="582">
        <f t="shared" si="53"/>
        <v>163.23889954238965</v>
      </c>
      <c r="AB117" s="582">
        <f t="shared" si="53"/>
        <v>168.99213821286472</v>
      </c>
      <c r="AC117" s="582">
        <f t="shared" si="53"/>
        <v>174.94378405635848</v>
      </c>
      <c r="AD117" s="582">
        <f t="shared" si="53"/>
        <v>181.10047725659717</v>
      </c>
      <c r="AE117" s="582">
        <f t="shared" si="53"/>
        <v>187.4690706551238</v>
      </c>
      <c r="AF117" s="582">
        <f t="shared" si="53"/>
        <v>194.05663609472398</v>
      </c>
      <c r="AG117" s="582">
        <f t="shared" si="53"/>
        <v>200.87047092824429</v>
      </c>
      <c r="AH117" s="582">
        <f t="shared" si="53"/>
        <v>208.98832066029311</v>
      </c>
      <c r="AI117" s="582">
        <f t="shared" si="53"/>
        <v>217.43423993868996</v>
      </c>
      <c r="AJ117" s="582">
        <f t="shared" si="53"/>
        <v>226.22148715460881</v>
      </c>
      <c r="AK117" s="582">
        <f t="shared" si="53"/>
        <v>235.36385651529869</v>
      </c>
      <c r="AL117" s="582">
        <f t="shared" si="53"/>
        <v>244.87569969820839</v>
      </c>
    </row>
    <row r="118" spans="1:38">
      <c r="B118" s="478" t="s">
        <v>710</v>
      </c>
      <c r="C118" s="484" t="s">
        <v>292</v>
      </c>
      <c r="D118" s="582">
        <f t="shared" ref="D118:AL118" si="54">(D$112*D92+D$113*D97+D$114*D102)/Grams.Per.Metric.Ton*D107</f>
        <v>778.80284911020465</v>
      </c>
      <c r="E118" s="582">
        <f t="shared" si="54"/>
        <v>769.50081056627391</v>
      </c>
      <c r="F118" s="582">
        <f t="shared" si="54"/>
        <v>756.46375870221073</v>
      </c>
      <c r="G118" s="582">
        <f t="shared" si="54"/>
        <v>739.17024307997031</v>
      </c>
      <c r="H118" s="582">
        <f t="shared" si="54"/>
        <v>717.16952061531344</v>
      </c>
      <c r="I118" s="582">
        <f t="shared" si="54"/>
        <v>687.25072997373763</v>
      </c>
      <c r="J118" s="582">
        <f t="shared" si="54"/>
        <v>651.96047278492892</v>
      </c>
      <c r="K118" s="582">
        <f t="shared" si="54"/>
        <v>610.71225785225204</v>
      </c>
      <c r="L118" s="582">
        <f t="shared" si="54"/>
        <v>563.04003233821118</v>
      </c>
      <c r="M118" s="582">
        <f t="shared" si="54"/>
        <v>508.2903057387673</v>
      </c>
      <c r="N118" s="582">
        <f t="shared" si="54"/>
        <v>486.0694618939666</v>
      </c>
      <c r="O118" s="582">
        <f t="shared" si="54"/>
        <v>461.22242062909686</v>
      </c>
      <c r="P118" s="582">
        <f t="shared" si="54"/>
        <v>433.57320700007966</v>
      </c>
      <c r="Q118" s="582">
        <f t="shared" si="54"/>
        <v>402.93591179578647</v>
      </c>
      <c r="R118" s="582">
        <f t="shared" si="54"/>
        <v>369.11417599300296</v>
      </c>
      <c r="S118" s="582">
        <f t="shared" si="54"/>
        <v>331.90064976683442</v>
      </c>
      <c r="T118" s="582">
        <f t="shared" si="54"/>
        <v>291.07642484151074</v>
      </c>
      <c r="U118" s="582">
        <f t="shared" si="54"/>
        <v>246.41043891080989</v>
      </c>
      <c r="V118" s="582">
        <f t="shared" si="54"/>
        <v>197.6588507973066</v>
      </c>
      <c r="W118" s="582">
        <f t="shared" si="54"/>
        <v>144.56438495822275</v>
      </c>
      <c r="X118" s="582">
        <f t="shared" si="54"/>
        <v>147.86193845439155</v>
      </c>
      <c r="Y118" s="582">
        <f t="shared" si="54"/>
        <v>151.18991411918475</v>
      </c>
      <c r="Z118" s="582">
        <f t="shared" si="54"/>
        <v>154.54538518248486</v>
      </c>
      <c r="AA118" s="582">
        <f t="shared" si="54"/>
        <v>157.92513862628729</v>
      </c>
      <c r="AB118" s="582">
        <f t="shared" si="54"/>
        <v>161.3256568283451</v>
      </c>
      <c r="AC118" s="582">
        <f t="shared" si="54"/>
        <v>164.74309818963519</v>
      </c>
      <c r="AD118" s="582">
        <f t="shared" si="54"/>
        <v>168.17327669350516</v>
      </c>
      <c r="AE118" s="582">
        <f t="shared" si="54"/>
        <v>171.61164034177318</v>
      </c>
      <c r="AF118" s="582">
        <f t="shared" si="54"/>
        <v>175.05324841041752</v>
      </c>
      <c r="AG118" s="582">
        <f t="shared" si="54"/>
        <v>178.49274746464522</v>
      </c>
      <c r="AH118" s="582">
        <f t="shared" si="54"/>
        <v>185.70623830519853</v>
      </c>
      <c r="AI118" s="582">
        <f t="shared" si="54"/>
        <v>193.21125051480394</v>
      </c>
      <c r="AJ118" s="582">
        <f t="shared" si="54"/>
        <v>201.01956545015699</v>
      </c>
      <c r="AK118" s="582">
        <f t="shared" si="54"/>
        <v>209.14344059210887</v>
      </c>
      <c r="AL118" s="582">
        <f t="shared" si="54"/>
        <v>217.59562878744049</v>
      </c>
    </row>
    <row r="119" spans="1:38">
      <c r="B119" s="478" t="s">
        <v>711</v>
      </c>
      <c r="C119" s="484" t="s">
        <v>292</v>
      </c>
      <c r="D119" s="582">
        <f t="shared" ref="D119:AL119" si="55">(D$112*D93+D$113*D98+D$114*D103)/Grams.Per.Metric.Ton*D108</f>
        <v>2.1777874597404181</v>
      </c>
      <c r="E119" s="582">
        <f t="shared" si="55"/>
        <v>2.2890570706931421</v>
      </c>
      <c r="F119" s="582">
        <f t="shared" si="55"/>
        <v>2.410553539482537</v>
      </c>
      <c r="G119" s="582">
        <f t="shared" si="55"/>
        <v>2.5371767374918686</v>
      </c>
      <c r="H119" s="582">
        <f t="shared" si="55"/>
        <v>2.6750618412424725</v>
      </c>
      <c r="I119" s="582">
        <f t="shared" si="55"/>
        <v>2.7942347929730804</v>
      </c>
      <c r="J119" s="582">
        <f t="shared" si="55"/>
        <v>2.9242837977582803</v>
      </c>
      <c r="K119" s="582">
        <f t="shared" si="55"/>
        <v>3.0594103887175206</v>
      </c>
      <c r="L119" s="582">
        <f t="shared" si="55"/>
        <v>3.1997774018736633</v>
      </c>
      <c r="M119" s="582">
        <f t="shared" si="55"/>
        <v>3.338624513727984</v>
      </c>
      <c r="N119" s="582">
        <f t="shared" si="55"/>
        <v>3.4377318677925315</v>
      </c>
      <c r="O119" s="582">
        <f t="shared" si="55"/>
        <v>3.5393969705558055</v>
      </c>
      <c r="P119" s="582">
        <f t="shared" si="55"/>
        <v>3.6436646904071135</v>
      </c>
      <c r="Q119" s="582">
        <f t="shared" si="55"/>
        <v>3.7505793448844007</v>
      </c>
      <c r="R119" s="582">
        <f t="shared" si="55"/>
        <v>3.8601845828699415</v>
      </c>
      <c r="S119" s="582">
        <f t="shared" si="55"/>
        <v>3.9725232581639616</v>
      </c>
      <c r="T119" s="582">
        <f t="shared" si="55"/>
        <v>4.0876372939316754</v>
      </c>
      <c r="U119" s="582">
        <f t="shared" si="55"/>
        <v>4.2055675374926356</v>
      </c>
      <c r="V119" s="582">
        <f t="shared" si="55"/>
        <v>4.3263536048930975</v>
      </c>
      <c r="W119" s="582">
        <f t="shared" si="55"/>
        <v>4.4500337146727986</v>
      </c>
      <c r="X119" s="582">
        <f t="shared" si="55"/>
        <v>4.5978556809298796</v>
      </c>
      <c r="Y119" s="582">
        <f t="shared" si="55"/>
        <v>4.7503576405777066</v>
      </c>
      <c r="Z119" s="582">
        <f t="shared" si="55"/>
        <v>4.9076764334446707</v>
      </c>
      <c r="AA119" s="582">
        <f t="shared" si="55"/>
        <v>5.0699523161233246</v>
      </c>
      <c r="AB119" s="582">
        <f t="shared" si="55"/>
        <v>5.2373290146439819</v>
      </c>
      <c r="AC119" s="582">
        <f t="shared" si="55"/>
        <v>5.4099537758253353</v>
      </c>
      <c r="AD119" s="582">
        <f t="shared" si="55"/>
        <v>5.5879774171092951</v>
      </c>
      <c r="AE119" s="582">
        <f t="shared" si="55"/>
        <v>5.7715543746733227</v>
      </c>
      <c r="AF119" s="582">
        <f t="shared" si="55"/>
        <v>5.9608427496000287</v>
      </c>
      <c r="AG119" s="582">
        <f t="shared" si="55"/>
        <v>6.1560043518681491</v>
      </c>
      <c r="AH119" s="582">
        <f t="shared" si="55"/>
        <v>6.4047891436166378</v>
      </c>
      <c r="AI119" s="582">
        <f t="shared" si="55"/>
        <v>6.6636281635734891</v>
      </c>
      <c r="AJ119" s="582">
        <f t="shared" si="55"/>
        <v>6.9329277368366062</v>
      </c>
      <c r="AK119" s="582">
        <f t="shared" si="55"/>
        <v>7.2131106094644997</v>
      </c>
      <c r="AL119" s="582">
        <f t="shared" si="55"/>
        <v>7.5046166121023701</v>
      </c>
    </row>
    <row r="120" spans="1:38">
      <c r="D120" s="358"/>
      <c r="F120" s="464"/>
      <c r="G120" s="465"/>
      <c r="H120" s="465"/>
    </row>
    <row r="121" spans="1:38" ht="13">
      <c r="B121" s="493" t="s">
        <v>463</v>
      </c>
      <c r="C121" s="487" t="s">
        <v>292</v>
      </c>
      <c r="D121" s="488">
        <f t="shared" ref="D121:AL121" si="56">D116</f>
        <v>356.02451187569307</v>
      </c>
      <c r="E121" s="488">
        <f t="shared" si="56"/>
        <v>374.34224484656465</v>
      </c>
      <c r="F121" s="488">
        <f t="shared" si="56"/>
        <v>393.43367794794381</v>
      </c>
      <c r="G121" s="488">
        <f t="shared" si="56"/>
        <v>413.32636219504025</v>
      </c>
      <c r="H121" s="488">
        <f t="shared" si="56"/>
        <v>434.04860703371202</v>
      </c>
      <c r="I121" s="488">
        <f t="shared" si="56"/>
        <v>455.62948836826683</v>
      </c>
      <c r="J121" s="488">
        <f t="shared" si="56"/>
        <v>478.09885566497422</v>
      </c>
      <c r="K121" s="488">
        <f t="shared" si="56"/>
        <v>501.48733802991364</v>
      </c>
      <c r="L121" s="488">
        <f t="shared" si="56"/>
        <v>525.82634915262395</v>
      </c>
      <c r="M121" s="488">
        <f t="shared" si="56"/>
        <v>551.14809099930619</v>
      </c>
      <c r="N121" s="488">
        <f t="shared" si="56"/>
        <v>576.77153074330749</v>
      </c>
      <c r="O121" s="488">
        <f t="shared" si="56"/>
        <v>603.36280149494053</v>
      </c>
      <c r="P121" s="488">
        <f t="shared" si="56"/>
        <v>630.95007387709472</v>
      </c>
      <c r="Q121" s="488">
        <f t="shared" si="56"/>
        <v>669.70898898255803</v>
      </c>
      <c r="R121" s="488">
        <f t="shared" si="56"/>
        <v>699.66993379289192</v>
      </c>
      <c r="S121" s="488">
        <f t="shared" si="56"/>
        <v>730.72078636568585</v>
      </c>
      <c r="T121" s="488">
        <f t="shared" si="56"/>
        <v>762.89109094064941</v>
      </c>
      <c r="U121" s="488">
        <f t="shared" si="56"/>
        <v>796.21061102510316</v>
      </c>
      <c r="V121" s="488">
        <f t="shared" si="56"/>
        <v>830.7092831585511</v>
      </c>
      <c r="W121" s="488">
        <f t="shared" si="56"/>
        <v>866.41716594740592</v>
      </c>
      <c r="X121" s="488">
        <f t="shared" si="56"/>
        <v>907.04056176201209</v>
      </c>
      <c r="Y121" s="488">
        <f t="shared" si="56"/>
        <v>962.16419897832861</v>
      </c>
      <c r="Z121" s="488">
        <f t="shared" si="56"/>
        <v>1006.6071234968092</v>
      </c>
      <c r="AA121" s="488">
        <f t="shared" si="56"/>
        <v>1052.8575306580005</v>
      </c>
      <c r="AB121" s="488">
        <f t="shared" si="56"/>
        <v>1100.9803093252015</v>
      </c>
      <c r="AC121" s="488">
        <f t="shared" si="56"/>
        <v>1151.0422927777788</v>
      </c>
      <c r="AD121" s="488">
        <f t="shared" si="56"/>
        <v>1203.1122958174831</v>
      </c>
      <c r="AE121" s="488">
        <f t="shared" si="56"/>
        <v>1257.2611511294326</v>
      </c>
      <c r="AF121" s="488">
        <f t="shared" si="56"/>
        <v>1329.5807904216249</v>
      </c>
      <c r="AG121" s="488">
        <f t="shared" si="56"/>
        <v>1388.6202438934017</v>
      </c>
      <c r="AH121" s="488">
        <f t="shared" si="56"/>
        <v>1444.7390473328303</v>
      </c>
      <c r="AI121" s="488">
        <f t="shared" si="56"/>
        <v>1503.1257999205764</v>
      </c>
      <c r="AJ121" s="488">
        <f t="shared" si="56"/>
        <v>1563.87215709161</v>
      </c>
      <c r="AK121" s="488">
        <f t="shared" si="56"/>
        <v>1627.0734783845728</v>
      </c>
      <c r="AL121" s="488">
        <f t="shared" si="56"/>
        <v>1692.8289771370314</v>
      </c>
    </row>
    <row r="122" spans="1:38" ht="13">
      <c r="B122" s="494" t="s">
        <v>464</v>
      </c>
      <c r="C122" s="487" t="s">
        <v>292</v>
      </c>
      <c r="D122" s="488">
        <f t="shared" ref="D122:AL122" si="57">SUM(D116:D119)</f>
        <v>1603.4388972914769</v>
      </c>
      <c r="E122" s="488">
        <f t="shared" si="57"/>
        <v>1604.217196973389</v>
      </c>
      <c r="F122" s="488">
        <f t="shared" si="57"/>
        <v>1602.4919994300951</v>
      </c>
      <c r="G122" s="488">
        <f t="shared" si="57"/>
        <v>1591.9544355980922</v>
      </c>
      <c r="H122" s="488">
        <f t="shared" si="57"/>
        <v>1574.8113684460311</v>
      </c>
      <c r="I122" s="488">
        <f t="shared" si="57"/>
        <v>1547.6136484725187</v>
      </c>
      <c r="J122" s="488">
        <f t="shared" si="57"/>
        <v>1514.9214222566791</v>
      </c>
      <c r="K122" s="488">
        <f t="shared" si="57"/>
        <v>1471.3135802776724</v>
      </c>
      <c r="L122" s="488">
        <f t="shared" si="57"/>
        <v>1418.4298039102766</v>
      </c>
      <c r="M122" s="488">
        <f t="shared" si="57"/>
        <v>1356.966817336626</v>
      </c>
      <c r="N122" s="488">
        <f t="shared" si="57"/>
        <v>1351.6968353037757</v>
      </c>
      <c r="O122" s="488">
        <f t="shared" si="57"/>
        <v>1343.5815758020681</v>
      </c>
      <c r="P122" s="488">
        <f t="shared" si="57"/>
        <v>1332.3914647886577</v>
      </c>
      <c r="Q122" s="488">
        <f t="shared" si="57"/>
        <v>1328.0297937556882</v>
      </c>
      <c r="R122" s="488">
        <f t="shared" si="57"/>
        <v>1310.2392356389159</v>
      </c>
      <c r="S122" s="488">
        <f t="shared" si="57"/>
        <v>1288.6037929596246</v>
      </c>
      <c r="T122" s="488">
        <f t="shared" si="57"/>
        <v>1262.8321365563015</v>
      </c>
      <c r="U122" s="488">
        <f t="shared" si="57"/>
        <v>1232.6152810902349</v>
      </c>
      <c r="V122" s="488">
        <f t="shared" si="57"/>
        <v>1197.6256180596572</v>
      </c>
      <c r="W122" s="488">
        <f t="shared" si="57"/>
        <v>1157.515898857748</v>
      </c>
      <c r="X122" s="488">
        <f t="shared" si="57"/>
        <v>1206.6066418065102</v>
      </c>
      <c r="Y122" s="488">
        <f t="shared" si="57"/>
        <v>1270.4065800857743</v>
      </c>
      <c r="Z122" s="488">
        <f t="shared" si="57"/>
        <v>1323.7378194507103</v>
      </c>
      <c r="AA122" s="488">
        <f t="shared" si="57"/>
        <v>1379.0915211428007</v>
      </c>
      <c r="AB122" s="488">
        <f t="shared" si="57"/>
        <v>1436.5354333810553</v>
      </c>
      <c r="AC122" s="488">
        <f t="shared" si="57"/>
        <v>1496.139128799598</v>
      </c>
      <c r="AD122" s="488">
        <f t="shared" si="57"/>
        <v>1557.9740271846947</v>
      </c>
      <c r="AE122" s="488">
        <f t="shared" si="57"/>
        <v>1622.1134165010028</v>
      </c>
      <c r="AF122" s="488">
        <f t="shared" si="57"/>
        <v>1704.6515176763664</v>
      </c>
      <c r="AG122" s="488">
        <f t="shared" si="57"/>
        <v>1774.1394666381593</v>
      </c>
      <c r="AH122" s="488">
        <f t="shared" si="57"/>
        <v>1845.8383954419385</v>
      </c>
      <c r="AI122" s="488">
        <f t="shared" si="57"/>
        <v>1920.4349185376436</v>
      </c>
      <c r="AJ122" s="488">
        <f t="shared" si="57"/>
        <v>1998.0461374332124</v>
      </c>
      <c r="AK122" s="488">
        <f t="shared" si="57"/>
        <v>2078.793886101445</v>
      </c>
      <c r="AL122" s="488">
        <f t="shared" si="57"/>
        <v>2162.8049222347827</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'2000 South'!D48</f>
        <v>1442.9115856014355</v>
      </c>
      <c r="E126" s="383">
        <f>'2000 South'!E48</f>
        <v>1501.2244843287403</v>
      </c>
      <c r="F126" s="383">
        <f>'2000 South'!F48</f>
        <v>1561.894002957024</v>
      </c>
      <c r="G126" s="383">
        <f>'2000 South'!G48</f>
        <v>1625.0153804038991</v>
      </c>
      <c r="H126" s="383">
        <f>'2000 South'!H48</f>
        <v>1268.0157783834047</v>
      </c>
      <c r="I126" s="383">
        <f>'2000 South'!I48</f>
        <v>1319.2605506947139</v>
      </c>
      <c r="J126" s="383">
        <f>'2000 South'!J48</f>
        <v>1372.5762962021035</v>
      </c>
      <c r="K126" s="383">
        <f>'2000 South'!K48</f>
        <v>1428.0467098813801</v>
      </c>
      <c r="L126" s="383">
        <f>'2000 South'!L48</f>
        <v>1485.7588691031549</v>
      </c>
      <c r="M126" s="383">
        <f>'2000 South'!M48</f>
        <v>1545.8033703267656</v>
      </c>
      <c r="N126" s="383">
        <f>'2000 South'!N48</f>
        <v>1608.2744713184588</v>
      </c>
      <c r="O126" s="383">
        <f>'2000 South'!O48</f>
        <v>1673.2702391170887</v>
      </c>
      <c r="P126" s="383">
        <f>'2000 South'!P48</f>
        <v>1740.8927039796033</v>
      </c>
      <c r="Q126" s="383">
        <f>'2000 South'!Q48</f>
        <v>1811.2480195479875</v>
      </c>
      <c r="R126" s="383">
        <f>'2000 South'!R48</f>
        <v>1884.4466294890863</v>
      </c>
      <c r="S126" s="383">
        <f>'2000 South'!S48</f>
        <v>1960.6034408689095</v>
      </c>
      <c r="T126" s="383">
        <f>'2000 South'!T48</f>
        <v>2039.8380045335571</v>
      </c>
      <c r="U126" s="383">
        <f>'2000 South'!U48</f>
        <v>2122.2747027799655</v>
      </c>
      <c r="V126" s="383">
        <f>'2000 South'!V48</f>
        <v>2208.0429446110443</v>
      </c>
      <c r="W126" s="383">
        <f>'2000 South'!W48</f>
        <v>2297.2773688817288</v>
      </c>
      <c r="X126" s="383">
        <f>'2000 South'!X48</f>
        <v>2390.1180556548493</v>
      </c>
      <c r="Y126" s="383">
        <f>'2000 South'!Y48</f>
        <v>2486.7107460986022</v>
      </c>
      <c r="Z126" s="383">
        <f>'2000 South'!Z48</f>
        <v>2587.2070712708119</v>
      </c>
      <c r="AA126" s="383">
        <f>'2000 South'!AA48</f>
        <v>2691.7647901491287</v>
      </c>
      <c r="AB126" s="383">
        <f>'2000 South'!AB48</f>
        <v>2800.5480372808406</v>
      </c>
      <c r="AC126" s="383">
        <f>'2000 South'!AC48</f>
        <v>2913.7275804410265</v>
      </c>
      <c r="AD126" s="383">
        <f>'2000 South'!AD48</f>
        <v>3031.4810887035528</v>
      </c>
      <c r="AE126" s="383">
        <f>'2000 South'!AE48</f>
        <v>3153.9934113457102</v>
      </c>
      <c r="AF126" s="383">
        <f>'2000 South'!AF48</f>
        <v>3281.4568680243315</v>
      </c>
      <c r="AG126" s="383">
        <f>'2000 South'!AG48</f>
        <v>3414.0715506788911</v>
      </c>
      <c r="AH126" s="383">
        <f>'2000 South'!AH48</f>
        <v>3552.0456376355282</v>
      </c>
      <c r="AI126" s="383">
        <f>'2000 South'!AI48</f>
        <v>3695.5957204050642</v>
      </c>
      <c r="AJ126" s="383">
        <f>'2000 South'!AJ48</f>
        <v>3844.9471436880194</v>
      </c>
      <c r="AK126" s="383">
        <f>'2000 South'!AK48</f>
        <v>4000.3343591203939</v>
      </c>
      <c r="AL126" s="383">
        <f>'2000 South'!AL48</f>
        <v>4162.001293315474</v>
      </c>
    </row>
    <row r="127" spans="1:38">
      <c r="B127" s="385" t="s">
        <v>509</v>
      </c>
      <c r="C127" s="386" t="s">
        <v>443</v>
      </c>
      <c r="D127" s="383">
        <f>'2000 South'!D49</f>
        <v>360.72789640035887</v>
      </c>
      <c r="E127" s="383">
        <f>'2000 South'!E49</f>
        <v>375.30612108218509</v>
      </c>
      <c r="F127" s="383">
        <f>'2000 South'!F49</f>
        <v>390.473500739256</v>
      </c>
      <c r="G127" s="383">
        <f>'2000 South'!G49</f>
        <v>406.25384510097479</v>
      </c>
      <c r="H127" s="383">
        <f>'2000 South'!H49</f>
        <v>317.00394459585118</v>
      </c>
      <c r="I127" s="383">
        <f>'2000 South'!I49</f>
        <v>329.81513767367846</v>
      </c>
      <c r="J127" s="383">
        <f>'2000 South'!J49</f>
        <v>343.14407405052589</v>
      </c>
      <c r="K127" s="383">
        <f>'2000 South'!K49</f>
        <v>357.01167747034503</v>
      </c>
      <c r="L127" s="383">
        <f>'2000 South'!L49</f>
        <v>371.43971727578872</v>
      </c>
      <c r="M127" s="383">
        <f>'2000 South'!M49</f>
        <v>386.4508425816914</v>
      </c>
      <c r="N127" s="383">
        <f>'2000 South'!N49</f>
        <v>402.06861782961471</v>
      </c>
      <c r="O127" s="383">
        <f>'2000 South'!O49</f>
        <v>418.31755977927219</v>
      </c>
      <c r="P127" s="383">
        <f>'2000 South'!P49</f>
        <v>435.22317599490083</v>
      </c>
      <c r="Q127" s="383">
        <f>'2000 South'!Q49</f>
        <v>452.81200488699687</v>
      </c>
      <c r="R127" s="383">
        <f>'2000 South'!R49</f>
        <v>471.11165737227157</v>
      </c>
      <c r="S127" s="383">
        <f>'2000 South'!S49</f>
        <v>490.15086021722738</v>
      </c>
      <c r="T127" s="383">
        <f>'2000 South'!T49</f>
        <v>509.95950113338927</v>
      </c>
      <c r="U127" s="383">
        <f>'2000 South'!U49</f>
        <v>530.56867569499138</v>
      </c>
      <c r="V127" s="383">
        <f>'2000 South'!V49</f>
        <v>552.01073615276107</v>
      </c>
      <c r="W127" s="383">
        <f>'2000 South'!W49</f>
        <v>574.31934222043219</v>
      </c>
      <c r="X127" s="383">
        <f>'2000 South'!X49</f>
        <v>597.52951391371232</v>
      </c>
      <c r="Y127" s="383">
        <f>'2000 South'!Y49</f>
        <v>621.67768652465054</v>
      </c>
      <c r="Z127" s="383">
        <f>'2000 South'!Z49</f>
        <v>646.80176781770297</v>
      </c>
      <c r="AA127" s="383">
        <f>'2000 South'!AA49</f>
        <v>672.94119753728216</v>
      </c>
      <c r="AB127" s="383">
        <f>'2000 South'!AB49</f>
        <v>700.13700932021015</v>
      </c>
      <c r="AC127" s="383">
        <f>'2000 South'!AC49</f>
        <v>728.43189511025662</v>
      </c>
      <c r="AD127" s="383">
        <f>'2000 South'!AD49</f>
        <v>757.8702721758882</v>
      </c>
      <c r="AE127" s="383">
        <f>'2000 South'!AE49</f>
        <v>788.49835283642756</v>
      </c>
      <c r="AF127" s="383">
        <f>'2000 South'!AF49</f>
        <v>820.36421700608287</v>
      </c>
      <c r="AG127" s="383">
        <f>'2000 South'!AG49</f>
        <v>853.51788766972277</v>
      </c>
      <c r="AH127" s="383">
        <f>'2000 South'!AH49</f>
        <v>888.01140940888206</v>
      </c>
      <c r="AI127" s="383">
        <f>'2000 South'!AI49</f>
        <v>923.89893010126605</v>
      </c>
      <c r="AJ127" s="383">
        <f>'2000 South'!AJ49</f>
        <v>961.23678592200486</v>
      </c>
      <c r="AK127" s="383">
        <f>'2000 South'!AK49</f>
        <v>1000.0835897800985</v>
      </c>
      <c r="AL127" s="383">
        <f>'2000 South'!AL49</f>
        <v>1040.5003233288685</v>
      </c>
    </row>
    <row r="128" spans="1:38">
      <c r="B128" s="358" t="s">
        <v>769</v>
      </c>
      <c r="C128" s="358" t="s">
        <v>443</v>
      </c>
      <c r="D128" s="383">
        <f>'2000 South'!D50</f>
        <v>0</v>
      </c>
      <c r="E128" s="383">
        <f>'2000 South'!E50</f>
        <v>0</v>
      </c>
      <c r="F128" s="383">
        <f>'2000 South'!F50</f>
        <v>0</v>
      </c>
      <c r="G128" s="383">
        <f>'2000 South'!G50</f>
        <v>0</v>
      </c>
      <c r="H128" s="383">
        <f>'2000 South'!H50</f>
        <v>0</v>
      </c>
      <c r="I128" s="383">
        <f>'2000 South'!I50</f>
        <v>0</v>
      </c>
      <c r="J128" s="383">
        <f>'2000 South'!J50</f>
        <v>0</v>
      </c>
      <c r="K128" s="383">
        <f>'2000 South'!K50</f>
        <v>0</v>
      </c>
      <c r="L128" s="383">
        <f>'2000 South'!L50</f>
        <v>0</v>
      </c>
      <c r="M128" s="383">
        <f>'2000 South'!M50</f>
        <v>0</v>
      </c>
      <c r="N128" s="383">
        <f>'2000 South'!N50</f>
        <v>0</v>
      </c>
      <c r="O128" s="383">
        <f>'2000 South'!O50</f>
        <v>0</v>
      </c>
      <c r="P128" s="383">
        <f>'2000 South'!P50</f>
        <v>0</v>
      </c>
      <c r="Q128" s="383">
        <f>'2000 South'!Q50</f>
        <v>0</v>
      </c>
      <c r="R128" s="383">
        <f>'2000 South'!R50</f>
        <v>0</v>
      </c>
      <c r="S128" s="383">
        <f>'2000 South'!S50</f>
        <v>0</v>
      </c>
      <c r="T128" s="383">
        <f>'2000 South'!T50</f>
        <v>0</v>
      </c>
      <c r="U128" s="383">
        <f>'2000 South'!U50</f>
        <v>0</v>
      </c>
      <c r="V128" s="383">
        <f>'2000 South'!V50</f>
        <v>0</v>
      </c>
      <c r="W128" s="383">
        <f>'2000 South'!W50</f>
        <v>0</v>
      </c>
      <c r="X128" s="383">
        <f>'2000 South'!X50</f>
        <v>0</v>
      </c>
      <c r="Y128" s="383">
        <f>'2000 South'!Y50</f>
        <v>0</v>
      </c>
      <c r="Z128" s="383">
        <f>'2000 South'!Z50</f>
        <v>0</v>
      </c>
      <c r="AA128" s="383">
        <f>'2000 South'!AA50</f>
        <v>0</v>
      </c>
      <c r="AB128" s="383">
        <f>'2000 South'!AB50</f>
        <v>0</v>
      </c>
      <c r="AC128" s="383">
        <f>'2000 South'!AC50</f>
        <v>0</v>
      </c>
      <c r="AD128" s="383">
        <f>'2000 South'!AD50</f>
        <v>0</v>
      </c>
      <c r="AE128" s="383">
        <f>'2000 South'!AE50</f>
        <v>0</v>
      </c>
      <c r="AF128" s="383">
        <f>'2000 South'!AF50</f>
        <v>0</v>
      </c>
      <c r="AG128" s="383">
        <f>'2000 South'!AG50</f>
        <v>0</v>
      </c>
      <c r="AH128" s="383">
        <f>'2000 South'!AH50</f>
        <v>0</v>
      </c>
      <c r="AI128" s="383">
        <f>'2000 South'!AI50</f>
        <v>0</v>
      </c>
      <c r="AJ128" s="383">
        <f>'2000 South'!AJ50</f>
        <v>0</v>
      </c>
      <c r="AK128" s="383">
        <f>'2000 South'!AK50</f>
        <v>0</v>
      </c>
      <c r="AL128" s="383">
        <f>'2000 South'!AL50</f>
        <v>0</v>
      </c>
    </row>
    <row r="129" spans="1:38">
      <c r="D129" s="358"/>
      <c r="F129" s="464"/>
      <c r="G129" s="465"/>
      <c r="H129" s="465"/>
    </row>
    <row r="130" spans="1:38">
      <c r="B130" s="476" t="s">
        <v>708</v>
      </c>
      <c r="C130" s="484" t="s">
        <v>292</v>
      </c>
      <c r="D130" s="582">
        <f t="shared" ref="D130:AL130" si="58">(D$126*D90+D$127*D95+D$128*D100)/Grams.Per.Metric.Ton*D105</f>
        <v>356.02451187569307</v>
      </c>
      <c r="E130" s="582">
        <f t="shared" si="58"/>
        <v>374.34224484656465</v>
      </c>
      <c r="F130" s="582">
        <f t="shared" si="58"/>
        <v>393.43367794794381</v>
      </c>
      <c r="G130" s="582">
        <f t="shared" si="58"/>
        <v>413.32636219504025</v>
      </c>
      <c r="H130" s="582">
        <f t="shared" si="58"/>
        <v>325.53645527528391</v>
      </c>
      <c r="I130" s="582">
        <f t="shared" si="58"/>
        <v>341.72211627619998</v>
      </c>
      <c r="J130" s="582">
        <f t="shared" si="58"/>
        <v>358.57414174873071</v>
      </c>
      <c r="K130" s="582">
        <f t="shared" si="58"/>
        <v>376.11550352243535</v>
      </c>
      <c r="L130" s="582">
        <f t="shared" si="58"/>
        <v>394.36976186446805</v>
      </c>
      <c r="M130" s="582">
        <f t="shared" si="58"/>
        <v>413.36106824947973</v>
      </c>
      <c r="N130" s="582">
        <f t="shared" si="58"/>
        <v>432.57864805748062</v>
      </c>
      <c r="O130" s="582">
        <f t="shared" si="58"/>
        <v>452.52210112120559</v>
      </c>
      <c r="P130" s="582">
        <f t="shared" si="58"/>
        <v>473.21255540782118</v>
      </c>
      <c r="Q130" s="582">
        <f t="shared" si="58"/>
        <v>502.28174173691849</v>
      </c>
      <c r="R130" s="582">
        <f t="shared" si="58"/>
        <v>524.75245034466877</v>
      </c>
      <c r="S130" s="582">
        <f t="shared" si="58"/>
        <v>548.04058977426462</v>
      </c>
      <c r="T130" s="582">
        <f t="shared" si="58"/>
        <v>572.16831820548725</v>
      </c>
      <c r="U130" s="582">
        <f t="shared" si="58"/>
        <v>597.15795826882743</v>
      </c>
      <c r="V130" s="582">
        <f t="shared" si="58"/>
        <v>623.03196236891347</v>
      </c>
      <c r="W130" s="582">
        <f t="shared" si="58"/>
        <v>649.81287446055433</v>
      </c>
      <c r="X130" s="582">
        <f t="shared" si="58"/>
        <v>680.28042132150892</v>
      </c>
      <c r="Y130" s="582">
        <f t="shared" si="58"/>
        <v>721.6231492337464</v>
      </c>
      <c r="Z130" s="582">
        <f t="shared" si="58"/>
        <v>754.95534262260719</v>
      </c>
      <c r="AA130" s="582">
        <f t="shared" si="58"/>
        <v>789.64314799350052</v>
      </c>
      <c r="AB130" s="582">
        <f t="shared" si="58"/>
        <v>825.73523199390104</v>
      </c>
      <c r="AC130" s="582">
        <f t="shared" si="58"/>
        <v>863.28171958333417</v>
      </c>
      <c r="AD130" s="582">
        <f t="shared" si="58"/>
        <v>902.33422186311259</v>
      </c>
      <c r="AE130" s="582">
        <f t="shared" si="58"/>
        <v>942.94586334707446</v>
      </c>
      <c r="AF130" s="582">
        <f t="shared" si="58"/>
        <v>997.18559281621856</v>
      </c>
      <c r="AG130" s="582">
        <f t="shared" si="58"/>
        <v>1041.4651829200511</v>
      </c>
      <c r="AH130" s="582">
        <f t="shared" si="58"/>
        <v>1083.5542854996227</v>
      </c>
      <c r="AI130" s="582">
        <f t="shared" si="58"/>
        <v>1127.3443499404325</v>
      </c>
      <c r="AJ130" s="582">
        <f t="shared" si="58"/>
        <v>1172.9041178187074</v>
      </c>
      <c r="AK130" s="582">
        <f t="shared" si="58"/>
        <v>1220.3051087884296</v>
      </c>
      <c r="AL130" s="582">
        <f t="shared" si="58"/>
        <v>1269.6217328527737</v>
      </c>
    </row>
    <row r="131" spans="1:38">
      <c r="B131" s="478" t="s">
        <v>709</v>
      </c>
      <c r="C131" s="484" t="s">
        <v>292</v>
      </c>
      <c r="D131" s="582">
        <f t="shared" ref="D131:AL131" si="59">(D$126*D91+D$127*D96+D$128*D101)/Grams.Per.Metric.Ton*D106</f>
        <v>466.43374884583881</v>
      </c>
      <c r="E131" s="582">
        <f t="shared" si="59"/>
        <v>458.08508448985725</v>
      </c>
      <c r="F131" s="582">
        <f t="shared" si="59"/>
        <v>450.18400924045807</v>
      </c>
      <c r="G131" s="582">
        <f t="shared" si="59"/>
        <v>436.92065358558995</v>
      </c>
      <c r="H131" s="582">
        <f t="shared" si="59"/>
        <v>315.68863421682232</v>
      </c>
      <c r="I131" s="582">
        <f t="shared" si="59"/>
        <v>301.45439650315564</v>
      </c>
      <c r="J131" s="582">
        <f t="shared" si="59"/>
        <v>286.45335750676321</v>
      </c>
      <c r="K131" s="582">
        <f t="shared" si="59"/>
        <v>267.04093050509221</v>
      </c>
      <c r="L131" s="582">
        <f t="shared" si="59"/>
        <v>244.77273376317581</v>
      </c>
      <c r="M131" s="582">
        <f t="shared" si="59"/>
        <v>220.64234706361847</v>
      </c>
      <c r="N131" s="582">
        <f t="shared" si="59"/>
        <v>214.06358309903186</v>
      </c>
      <c r="O131" s="582">
        <f t="shared" si="59"/>
        <v>206.59271753060625</v>
      </c>
      <c r="P131" s="582">
        <f t="shared" si="59"/>
        <v>198.1683894158071</v>
      </c>
      <c r="Q131" s="582">
        <f t="shared" si="59"/>
        <v>188.72573522434428</v>
      </c>
      <c r="R131" s="582">
        <f t="shared" si="59"/>
        <v>178.19620595261321</v>
      </c>
      <c r="S131" s="582">
        <f t="shared" si="59"/>
        <v>166.50737517670512</v>
      </c>
      <c r="T131" s="582">
        <f t="shared" si="59"/>
        <v>153.58273761015738</v>
      </c>
      <c r="U131" s="582">
        <f t="shared" si="59"/>
        <v>139.3414977126219</v>
      </c>
      <c r="V131" s="582">
        <f t="shared" si="59"/>
        <v>123.69834787417985</v>
      </c>
      <c r="W131" s="582">
        <f t="shared" si="59"/>
        <v>106.56323567808477</v>
      </c>
      <c r="X131" s="582">
        <f t="shared" si="59"/>
        <v>110.32971443188254</v>
      </c>
      <c r="Y131" s="582">
        <f t="shared" si="59"/>
        <v>114.22658201076239</v>
      </c>
      <c r="Z131" s="582">
        <f t="shared" si="59"/>
        <v>118.25822575347864</v>
      </c>
      <c r="AA131" s="582">
        <f t="shared" si="59"/>
        <v>122.42917465679226</v>
      </c>
      <c r="AB131" s="582">
        <f t="shared" si="59"/>
        <v>126.74410365964853</v>
      </c>
      <c r="AC131" s="582">
        <f t="shared" si="59"/>
        <v>131.20783804226889</v>
      </c>
      <c r="AD131" s="582">
        <f t="shared" si="59"/>
        <v>135.82535794244791</v>
      </c>
      <c r="AE131" s="582">
        <f t="shared" si="59"/>
        <v>140.60180299134285</v>
      </c>
      <c r="AF131" s="582">
        <f t="shared" si="59"/>
        <v>145.54247707104298</v>
      </c>
      <c r="AG131" s="582">
        <f t="shared" si="59"/>
        <v>150.6528531961832</v>
      </c>
      <c r="AH131" s="582">
        <f t="shared" si="59"/>
        <v>156.74124049521984</v>
      </c>
      <c r="AI131" s="582">
        <f t="shared" si="59"/>
        <v>163.07567995401746</v>
      </c>
      <c r="AJ131" s="582">
        <f t="shared" si="59"/>
        <v>169.66611536595661</v>
      </c>
      <c r="AK131" s="582">
        <f t="shared" si="59"/>
        <v>176.52289238647398</v>
      </c>
      <c r="AL131" s="582">
        <f t="shared" si="59"/>
        <v>183.65677477365634</v>
      </c>
    </row>
    <row r="132" spans="1:38">
      <c r="B132" s="478" t="s">
        <v>710</v>
      </c>
      <c r="C132" s="484" t="s">
        <v>292</v>
      </c>
      <c r="D132" s="582">
        <f t="shared" ref="D132:AL132" si="60">(D$126*D92+D$127*D97+D$128*D102)/Grams.Per.Metric.Ton*D107</f>
        <v>778.80284911020465</v>
      </c>
      <c r="E132" s="582">
        <f t="shared" si="60"/>
        <v>769.50081056627391</v>
      </c>
      <c r="F132" s="582">
        <f t="shared" si="60"/>
        <v>756.46375870221073</v>
      </c>
      <c r="G132" s="582">
        <f t="shared" si="60"/>
        <v>739.17024307997031</v>
      </c>
      <c r="H132" s="582">
        <f t="shared" si="60"/>
        <v>537.87714046148506</v>
      </c>
      <c r="I132" s="582">
        <f t="shared" si="60"/>
        <v>515.43804748030311</v>
      </c>
      <c r="J132" s="582">
        <f t="shared" si="60"/>
        <v>488.97035458869664</v>
      </c>
      <c r="K132" s="582">
        <f t="shared" si="60"/>
        <v>458.03419338918911</v>
      </c>
      <c r="L132" s="582">
        <f t="shared" si="60"/>
        <v>422.28002425365838</v>
      </c>
      <c r="M132" s="582">
        <f t="shared" si="60"/>
        <v>381.21772930407559</v>
      </c>
      <c r="N132" s="582">
        <f t="shared" si="60"/>
        <v>364.55209642047498</v>
      </c>
      <c r="O132" s="582">
        <f t="shared" si="60"/>
        <v>345.91681547182276</v>
      </c>
      <c r="P132" s="582">
        <f t="shared" si="60"/>
        <v>325.1799052500599</v>
      </c>
      <c r="Q132" s="582">
        <f t="shared" si="60"/>
        <v>302.20193384683989</v>
      </c>
      <c r="R132" s="582">
        <f t="shared" si="60"/>
        <v>276.83563199475208</v>
      </c>
      <c r="S132" s="582">
        <f t="shared" si="60"/>
        <v>248.92548732512597</v>
      </c>
      <c r="T132" s="582">
        <f t="shared" si="60"/>
        <v>218.3073186311332</v>
      </c>
      <c r="U132" s="582">
        <f t="shared" si="60"/>
        <v>184.80782918310749</v>
      </c>
      <c r="V132" s="582">
        <f t="shared" si="60"/>
        <v>148.24413809797997</v>
      </c>
      <c r="W132" s="582">
        <f t="shared" si="60"/>
        <v>108.42328871866705</v>
      </c>
      <c r="X132" s="582">
        <f t="shared" si="60"/>
        <v>110.89645384079364</v>
      </c>
      <c r="Y132" s="582">
        <f t="shared" si="60"/>
        <v>113.39243558938857</v>
      </c>
      <c r="Z132" s="582">
        <f t="shared" si="60"/>
        <v>115.9090388868637</v>
      </c>
      <c r="AA132" s="582">
        <f t="shared" si="60"/>
        <v>118.44385396971546</v>
      </c>
      <c r="AB132" s="582">
        <f t="shared" si="60"/>
        <v>120.99424262125883</v>
      </c>
      <c r="AC132" s="582">
        <f t="shared" si="60"/>
        <v>123.55732364222641</v>
      </c>
      <c r="AD132" s="582">
        <f t="shared" si="60"/>
        <v>126.1299575201289</v>
      </c>
      <c r="AE132" s="582">
        <f t="shared" si="60"/>
        <v>128.70873025632989</v>
      </c>
      <c r="AF132" s="582">
        <f t="shared" si="60"/>
        <v>131.28993630781312</v>
      </c>
      <c r="AG132" s="582">
        <f t="shared" si="60"/>
        <v>133.86956059848387</v>
      </c>
      <c r="AH132" s="582">
        <f t="shared" si="60"/>
        <v>139.27967872889889</v>
      </c>
      <c r="AI132" s="582">
        <f t="shared" si="60"/>
        <v>144.90843788610297</v>
      </c>
      <c r="AJ132" s="582">
        <f t="shared" si="60"/>
        <v>150.76467408761772</v>
      </c>
      <c r="AK132" s="582">
        <f t="shared" si="60"/>
        <v>156.85758044408163</v>
      </c>
      <c r="AL132" s="582">
        <f t="shared" si="60"/>
        <v>163.19672159058041</v>
      </c>
    </row>
    <row r="133" spans="1:38">
      <c r="B133" s="478" t="s">
        <v>711</v>
      </c>
      <c r="C133" s="484" t="s">
        <v>292</v>
      </c>
      <c r="D133" s="582">
        <f t="shared" ref="D133:AL133" si="61">(D$126*D93+D$127*D98+D$128*D103)/Grams.Per.Metric.Ton*D108</f>
        <v>2.1777874597404181</v>
      </c>
      <c r="E133" s="582">
        <f t="shared" si="61"/>
        <v>2.2890570706931421</v>
      </c>
      <c r="F133" s="582">
        <f t="shared" si="61"/>
        <v>2.410553539482537</v>
      </c>
      <c r="G133" s="582">
        <f t="shared" si="61"/>
        <v>2.5371767374918686</v>
      </c>
      <c r="H133" s="582">
        <f t="shared" si="61"/>
        <v>2.0062963809318539</v>
      </c>
      <c r="I133" s="582">
        <f t="shared" si="61"/>
        <v>2.0956760947298099</v>
      </c>
      <c r="J133" s="582">
        <f t="shared" si="61"/>
        <v>2.1932128483187108</v>
      </c>
      <c r="K133" s="582">
        <f t="shared" si="61"/>
        <v>2.2945577915381414</v>
      </c>
      <c r="L133" s="582">
        <f t="shared" si="61"/>
        <v>2.3998330514052477</v>
      </c>
      <c r="M133" s="582">
        <f t="shared" si="61"/>
        <v>2.5039683852959884</v>
      </c>
      <c r="N133" s="582">
        <f t="shared" si="61"/>
        <v>2.5782989008443984</v>
      </c>
      <c r="O133" s="582">
        <f t="shared" si="61"/>
        <v>2.6545477279168548</v>
      </c>
      <c r="P133" s="582">
        <f t="shared" si="61"/>
        <v>2.7327485178053363</v>
      </c>
      <c r="Q133" s="582">
        <f t="shared" si="61"/>
        <v>2.8129345086633006</v>
      </c>
      <c r="R133" s="582">
        <f t="shared" si="61"/>
        <v>2.8951384371524558</v>
      </c>
      <c r="S133" s="582">
        <f t="shared" si="61"/>
        <v>2.9793924436229728</v>
      </c>
      <c r="T133" s="582">
        <f t="shared" si="61"/>
        <v>3.0657279704487577</v>
      </c>
      <c r="U133" s="582">
        <f t="shared" si="61"/>
        <v>3.1541756531194776</v>
      </c>
      <c r="V133" s="582">
        <f t="shared" si="61"/>
        <v>3.2447652036698229</v>
      </c>
      <c r="W133" s="582">
        <f t="shared" si="61"/>
        <v>3.337525286004599</v>
      </c>
      <c r="X133" s="582">
        <f t="shared" si="61"/>
        <v>3.4483917606974099</v>
      </c>
      <c r="Y133" s="582">
        <f t="shared" si="61"/>
        <v>3.5627682304332797</v>
      </c>
      <c r="Z133" s="582">
        <f t="shared" si="61"/>
        <v>3.6807573250835044</v>
      </c>
      <c r="AA133" s="582">
        <f t="shared" si="61"/>
        <v>3.8024642370924937</v>
      </c>
      <c r="AB133" s="582">
        <f t="shared" si="61"/>
        <v>3.9279967609829862</v>
      </c>
      <c r="AC133" s="582">
        <f t="shared" si="61"/>
        <v>4.0574653318690013</v>
      </c>
      <c r="AD133" s="582">
        <f t="shared" si="61"/>
        <v>4.1909830628319726</v>
      </c>
      <c r="AE133" s="582">
        <f t="shared" si="61"/>
        <v>4.3286657810049913</v>
      </c>
      <c r="AF133" s="582">
        <f t="shared" si="61"/>
        <v>4.4706320622000213</v>
      </c>
      <c r="AG133" s="582">
        <f t="shared" si="61"/>
        <v>4.6170032639011103</v>
      </c>
      <c r="AH133" s="582">
        <f t="shared" si="61"/>
        <v>4.8035918577124779</v>
      </c>
      <c r="AI133" s="582">
        <f t="shared" si="61"/>
        <v>4.9977211226801179</v>
      </c>
      <c r="AJ133" s="582">
        <f t="shared" si="61"/>
        <v>5.1996958026274545</v>
      </c>
      <c r="AK133" s="582">
        <f t="shared" si="61"/>
        <v>5.4098329570983745</v>
      </c>
      <c r="AL133" s="582">
        <f t="shared" si="61"/>
        <v>5.6284624590767791</v>
      </c>
    </row>
    <row r="134" spans="1:38">
      <c r="D134" s="358"/>
      <c r="F134" s="464"/>
      <c r="G134" s="465"/>
      <c r="H134" s="465"/>
    </row>
    <row r="135" spans="1:38" ht="13">
      <c r="B135" s="493" t="s">
        <v>465</v>
      </c>
      <c r="C135" s="487" t="s">
        <v>292</v>
      </c>
      <c r="D135" s="488">
        <f t="shared" ref="D135:AL135" si="62">D130</f>
        <v>356.02451187569307</v>
      </c>
      <c r="E135" s="488">
        <f t="shared" si="62"/>
        <v>374.34224484656465</v>
      </c>
      <c r="F135" s="488">
        <f t="shared" si="62"/>
        <v>393.43367794794381</v>
      </c>
      <c r="G135" s="488">
        <f t="shared" si="62"/>
        <v>413.32636219504025</v>
      </c>
      <c r="H135" s="488">
        <f t="shared" si="62"/>
        <v>325.53645527528391</v>
      </c>
      <c r="I135" s="488">
        <f t="shared" si="62"/>
        <v>341.72211627619998</v>
      </c>
      <c r="J135" s="488">
        <f t="shared" si="62"/>
        <v>358.57414174873071</v>
      </c>
      <c r="K135" s="488">
        <f t="shared" si="62"/>
        <v>376.11550352243535</v>
      </c>
      <c r="L135" s="488">
        <f t="shared" si="62"/>
        <v>394.36976186446805</v>
      </c>
      <c r="M135" s="488">
        <f t="shared" si="62"/>
        <v>413.36106824947973</v>
      </c>
      <c r="N135" s="488">
        <f t="shared" si="62"/>
        <v>432.57864805748062</v>
      </c>
      <c r="O135" s="488">
        <f t="shared" si="62"/>
        <v>452.52210112120559</v>
      </c>
      <c r="P135" s="488">
        <f t="shared" si="62"/>
        <v>473.21255540782118</v>
      </c>
      <c r="Q135" s="488">
        <f t="shared" si="62"/>
        <v>502.28174173691849</v>
      </c>
      <c r="R135" s="488">
        <f t="shared" si="62"/>
        <v>524.75245034466877</v>
      </c>
      <c r="S135" s="488">
        <f t="shared" si="62"/>
        <v>548.04058977426462</v>
      </c>
      <c r="T135" s="488">
        <f t="shared" si="62"/>
        <v>572.16831820548725</v>
      </c>
      <c r="U135" s="488">
        <f t="shared" si="62"/>
        <v>597.15795826882743</v>
      </c>
      <c r="V135" s="488">
        <f t="shared" si="62"/>
        <v>623.03196236891347</v>
      </c>
      <c r="W135" s="488">
        <f t="shared" si="62"/>
        <v>649.81287446055433</v>
      </c>
      <c r="X135" s="488">
        <f t="shared" si="62"/>
        <v>680.28042132150892</v>
      </c>
      <c r="Y135" s="488">
        <f t="shared" si="62"/>
        <v>721.6231492337464</v>
      </c>
      <c r="Z135" s="488">
        <f t="shared" si="62"/>
        <v>754.95534262260719</v>
      </c>
      <c r="AA135" s="488">
        <f t="shared" si="62"/>
        <v>789.64314799350052</v>
      </c>
      <c r="AB135" s="488">
        <f t="shared" si="62"/>
        <v>825.73523199390104</v>
      </c>
      <c r="AC135" s="488">
        <f t="shared" si="62"/>
        <v>863.28171958333417</v>
      </c>
      <c r="AD135" s="488">
        <f t="shared" si="62"/>
        <v>902.33422186311259</v>
      </c>
      <c r="AE135" s="488">
        <f t="shared" si="62"/>
        <v>942.94586334707446</v>
      </c>
      <c r="AF135" s="488">
        <f t="shared" si="62"/>
        <v>997.18559281621856</v>
      </c>
      <c r="AG135" s="488">
        <f t="shared" si="62"/>
        <v>1041.4651829200511</v>
      </c>
      <c r="AH135" s="488">
        <f t="shared" si="62"/>
        <v>1083.5542854996227</v>
      </c>
      <c r="AI135" s="488">
        <f t="shared" si="62"/>
        <v>1127.3443499404325</v>
      </c>
      <c r="AJ135" s="488">
        <f t="shared" si="62"/>
        <v>1172.9041178187074</v>
      </c>
      <c r="AK135" s="488">
        <f t="shared" si="62"/>
        <v>1220.3051087884296</v>
      </c>
      <c r="AL135" s="488">
        <f t="shared" si="62"/>
        <v>1269.6217328527737</v>
      </c>
    </row>
    <row r="136" spans="1:38" ht="13">
      <c r="B136" s="494" t="s">
        <v>466</v>
      </c>
      <c r="C136" s="487" t="s">
        <v>292</v>
      </c>
      <c r="D136" s="488">
        <f t="shared" ref="D136:AL136" si="63">SUM(D130:D133)</f>
        <v>1603.4388972914769</v>
      </c>
      <c r="E136" s="488">
        <f t="shared" si="63"/>
        <v>1604.217196973389</v>
      </c>
      <c r="F136" s="488">
        <f t="shared" si="63"/>
        <v>1602.4919994300951</v>
      </c>
      <c r="G136" s="488">
        <f t="shared" si="63"/>
        <v>1591.9544355980922</v>
      </c>
      <c r="H136" s="488">
        <f t="shared" si="63"/>
        <v>1181.108526334523</v>
      </c>
      <c r="I136" s="488">
        <f t="shared" si="63"/>
        <v>1160.7102363543884</v>
      </c>
      <c r="J136" s="488">
        <f t="shared" si="63"/>
        <v>1136.1910666925094</v>
      </c>
      <c r="K136" s="488">
        <f t="shared" si="63"/>
        <v>1103.485185208255</v>
      </c>
      <c r="L136" s="488">
        <f t="shared" si="63"/>
        <v>1063.8223529327074</v>
      </c>
      <c r="M136" s="488">
        <f t="shared" si="63"/>
        <v>1017.7251130024698</v>
      </c>
      <c r="N136" s="488">
        <f t="shared" si="63"/>
        <v>1013.7726264778319</v>
      </c>
      <c r="O136" s="488">
        <f t="shared" si="63"/>
        <v>1007.6861818515515</v>
      </c>
      <c r="P136" s="488">
        <f t="shared" si="63"/>
        <v>999.29359859149361</v>
      </c>
      <c r="Q136" s="488">
        <f t="shared" si="63"/>
        <v>996.02234531676595</v>
      </c>
      <c r="R136" s="488">
        <f t="shared" si="63"/>
        <v>982.6794267291865</v>
      </c>
      <c r="S136" s="488">
        <f t="shared" si="63"/>
        <v>966.45284471971866</v>
      </c>
      <c r="T136" s="488">
        <f t="shared" si="63"/>
        <v>947.12410241722648</v>
      </c>
      <c r="U136" s="488">
        <f t="shared" si="63"/>
        <v>924.46146081767631</v>
      </c>
      <c r="V136" s="488">
        <f t="shared" si="63"/>
        <v>898.21921354474307</v>
      </c>
      <c r="W136" s="488">
        <f t="shared" si="63"/>
        <v>868.13692414331081</v>
      </c>
      <c r="X136" s="488">
        <f t="shared" si="63"/>
        <v>904.95498135488242</v>
      </c>
      <c r="Y136" s="488">
        <f t="shared" si="63"/>
        <v>952.80493506433072</v>
      </c>
      <c r="Z136" s="488">
        <f t="shared" si="63"/>
        <v>992.80336458803299</v>
      </c>
      <c r="AA136" s="488">
        <f t="shared" si="63"/>
        <v>1034.3186408571007</v>
      </c>
      <c r="AB136" s="488">
        <f t="shared" si="63"/>
        <v>1077.4015750357914</v>
      </c>
      <c r="AC136" s="488">
        <f t="shared" si="63"/>
        <v>1122.1043465996986</v>
      </c>
      <c r="AD136" s="488">
        <f t="shared" si="63"/>
        <v>1168.4805203885214</v>
      </c>
      <c r="AE136" s="488">
        <f t="shared" si="63"/>
        <v>1216.5850623757519</v>
      </c>
      <c r="AF136" s="488">
        <f t="shared" si="63"/>
        <v>1278.4886382572745</v>
      </c>
      <c r="AG136" s="488">
        <f t="shared" si="63"/>
        <v>1330.6045999786193</v>
      </c>
      <c r="AH136" s="488">
        <f t="shared" si="63"/>
        <v>1384.378796581454</v>
      </c>
      <c r="AI136" s="488">
        <f t="shared" si="63"/>
        <v>1440.3261889032331</v>
      </c>
      <c r="AJ136" s="488">
        <f t="shared" si="63"/>
        <v>1498.5346030749092</v>
      </c>
      <c r="AK136" s="488">
        <f t="shared" si="63"/>
        <v>1559.0954145760836</v>
      </c>
      <c r="AL136" s="488">
        <f t="shared" si="63"/>
        <v>1622.103691676087</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4">((D$112*D90+D$113*D95+D$114*D100)-(D$126*D90+D$127*D95+D$128*D100))/Grams.Per.Metric.Ton</f>
        <v>0</v>
      </c>
      <c r="E140" s="474">
        <f t="shared" si="64"/>
        <v>0</v>
      </c>
      <c r="F140" s="474">
        <f t="shared" si="64"/>
        <v>0</v>
      </c>
      <c r="G140" s="474">
        <f t="shared" si="64"/>
        <v>0</v>
      </c>
      <c r="H140" s="474">
        <f t="shared" si="64"/>
        <v>1.9377169956862164</v>
      </c>
      <c r="I140" s="474">
        <f t="shared" si="64"/>
        <v>1.9983749489836282</v>
      </c>
      <c r="J140" s="474">
        <f t="shared" si="64"/>
        <v>2.0607709295904058</v>
      </c>
      <c r="K140" s="474">
        <f t="shared" si="64"/>
        <v>2.1249463475843782</v>
      </c>
      <c r="L140" s="474">
        <f t="shared" si="64"/>
        <v>2.1909431214692665</v>
      </c>
      <c r="M140" s="474">
        <f t="shared" si="64"/>
        <v>2.2588036516364998</v>
      </c>
      <c r="N140" s="474">
        <f t="shared" si="64"/>
        <v>2.3256916562230141</v>
      </c>
      <c r="O140" s="474">
        <f t="shared" si="64"/>
        <v>2.3942968313291266</v>
      </c>
      <c r="P140" s="474">
        <f t="shared" si="64"/>
        <v>2.4646487260823995</v>
      </c>
      <c r="Q140" s="474">
        <f t="shared" si="64"/>
        <v>2.5367764734187799</v>
      </c>
      <c r="R140" s="474">
        <f t="shared" si="64"/>
        <v>2.6107087081824356</v>
      </c>
      <c r="S140" s="474">
        <f t="shared" si="64"/>
        <v>2.6864734792856062</v>
      </c>
      <c r="T140" s="474">
        <f t="shared" si="64"/>
        <v>2.7640981555820603</v>
      </c>
      <c r="U140" s="474">
        <f t="shared" si="64"/>
        <v>2.8436093250896519</v>
      </c>
      <c r="V140" s="474">
        <f t="shared" si="64"/>
        <v>2.925032687177997</v>
      </c>
      <c r="W140" s="474">
        <f t="shared" si="64"/>
        <v>3.0083929373173826</v>
      </c>
      <c r="X140" s="474">
        <f t="shared" si="64"/>
        <v>3.1063032937055213</v>
      </c>
      <c r="Y140" s="474">
        <f t="shared" si="64"/>
        <v>3.2072139965944291</v>
      </c>
      <c r="Z140" s="474">
        <f t="shared" si="64"/>
        <v>3.3112076430816053</v>
      </c>
      <c r="AA140" s="474">
        <f t="shared" si="64"/>
        <v>3.4183686060324683</v>
      </c>
      <c r="AB140" s="474">
        <f t="shared" si="64"/>
        <v>3.5287830427089801</v>
      </c>
      <c r="AC140" s="474">
        <f t="shared" si="64"/>
        <v>3.6425389011955018</v>
      </c>
      <c r="AD140" s="474">
        <f t="shared" si="64"/>
        <v>3.759725924429631</v>
      </c>
      <c r="AE140" s="474">
        <f t="shared" si="64"/>
        <v>3.8804356516340524</v>
      </c>
      <c r="AF140" s="474">
        <f t="shared" si="64"/>
        <v>4.0047614169326069</v>
      </c>
      <c r="AG140" s="474">
        <f t="shared" si="64"/>
        <v>4.1327983449208423</v>
      </c>
      <c r="AH140" s="474">
        <f t="shared" si="64"/>
        <v>4.2998185932524722</v>
      </c>
      <c r="AI140" s="474">
        <f t="shared" si="64"/>
        <v>4.4735886902398079</v>
      </c>
      <c r="AJ140" s="474">
        <f t="shared" si="64"/>
        <v>4.6543814199155049</v>
      </c>
      <c r="AK140" s="474">
        <f t="shared" si="64"/>
        <v>4.8424805904302781</v>
      </c>
      <c r="AL140" s="474">
        <f t="shared" si="64"/>
        <v>5.0381814795744964</v>
      </c>
    </row>
    <row r="141" spans="1:38" ht="13">
      <c r="B141" s="494" t="s">
        <v>815</v>
      </c>
      <c r="C141" s="387" t="s">
        <v>818</v>
      </c>
      <c r="D141" s="541">
        <f t="shared" ref="D141:AL141" si="65">((D$112*D91+D$113*D96+D$114*D101)-(D$126*D91+D$127*D96+D$128*D101))/Grams.Per.Metric.Ton</f>
        <v>0</v>
      </c>
      <c r="E141" s="541">
        <f t="shared" si="65"/>
        <v>0</v>
      </c>
      <c r="F141" s="541">
        <f t="shared" si="65"/>
        <v>0</v>
      </c>
      <c r="G141" s="541">
        <f t="shared" si="65"/>
        <v>0</v>
      </c>
      <c r="H141" s="541">
        <f t="shared" si="65"/>
        <v>6.2636633773179096E-3</v>
      </c>
      <c r="I141" s="541">
        <f t="shared" si="65"/>
        <v>5.9108705196697225E-3</v>
      </c>
      <c r="J141" s="541">
        <f t="shared" si="65"/>
        <v>5.519332514581172E-3</v>
      </c>
      <c r="K141" s="541">
        <f t="shared" si="65"/>
        <v>5.0864939143826999E-3</v>
      </c>
      <c r="L141" s="541">
        <f t="shared" si="65"/>
        <v>4.6096560030729908E-3</v>
      </c>
      <c r="M141" s="541">
        <f t="shared" si="65"/>
        <v>4.0859693900670048E-3</v>
      </c>
      <c r="N141" s="541">
        <f t="shared" si="65"/>
        <v>3.9641404277598489E-3</v>
      </c>
      <c r="O141" s="541">
        <f t="shared" si="65"/>
        <v>3.8257910653815923E-3</v>
      </c>
      <c r="P141" s="541">
        <f t="shared" si="65"/>
        <v>3.6697849891816096E-3</v>
      </c>
      <c r="Q141" s="541">
        <f t="shared" si="65"/>
        <v>3.4949210226730429E-3</v>
      </c>
      <c r="R141" s="541">
        <f t="shared" si="65"/>
        <v>3.2999297398632116E-3</v>
      </c>
      <c r="S141" s="541">
        <f t="shared" si="65"/>
        <v>3.0834699106797197E-3</v>
      </c>
      <c r="T141" s="541">
        <f t="shared" si="65"/>
        <v>2.8441247705584629E-3</v>
      </c>
      <c r="U141" s="541">
        <f t="shared" si="65"/>
        <v>2.5803981057892916E-3</v>
      </c>
      <c r="V141" s="541">
        <f t="shared" si="65"/>
        <v>2.290710145818148E-3</v>
      </c>
      <c r="W141" s="541">
        <f t="shared" si="65"/>
        <v>1.9733932532978661E-3</v>
      </c>
      <c r="X141" s="541">
        <f t="shared" si="65"/>
        <v>2.0431428598496775E-3</v>
      </c>
      <c r="Y141" s="541">
        <f t="shared" si="65"/>
        <v>2.1153070742733798E-3</v>
      </c>
      <c r="Z141" s="541">
        <f t="shared" si="65"/>
        <v>2.1899671435829352E-3</v>
      </c>
      <c r="AA141" s="541">
        <f t="shared" si="65"/>
        <v>2.2672069380887442E-3</v>
      </c>
      <c r="AB141" s="541">
        <f t="shared" si="65"/>
        <v>2.3471130307342321E-3</v>
      </c>
      <c r="AC141" s="541">
        <f t="shared" si="65"/>
        <v>2.4297747785605333E-3</v>
      </c>
      <c r="AD141" s="541">
        <f t="shared" si="65"/>
        <v>2.5152844063416262E-3</v>
      </c>
      <c r="AE141" s="541">
        <f t="shared" si="65"/>
        <v>2.6037370924322741E-3</v>
      </c>
      <c r="AF141" s="541">
        <f t="shared" si="65"/>
        <v>2.6952310568711673E-3</v>
      </c>
      <c r="AG141" s="541">
        <f t="shared" si="65"/>
        <v>2.7898676517811726E-3</v>
      </c>
      <c r="AH141" s="541">
        <f t="shared" si="65"/>
        <v>2.9026155647262947E-3</v>
      </c>
      <c r="AI141" s="541">
        <f t="shared" si="65"/>
        <v>3.0199199991484712E-3</v>
      </c>
      <c r="AJ141" s="541">
        <f t="shared" si="65"/>
        <v>3.1419650993695669E-3</v>
      </c>
      <c r="AK141" s="541">
        <f t="shared" si="65"/>
        <v>3.2689424516013734E-3</v>
      </c>
      <c r="AL141" s="541">
        <f t="shared" si="65"/>
        <v>3.4010513846973352E-3</v>
      </c>
    </row>
    <row r="142" spans="1:38" ht="13">
      <c r="B142" s="494" t="s">
        <v>816</v>
      </c>
      <c r="C142" s="387" t="s">
        <v>818</v>
      </c>
      <c r="D142" s="541">
        <f t="shared" ref="D142:AL142" si="66">((D$112*D92+D$113*D97+D$114*D102)-(D$126*D92+D$127*D97+D$128*D102))/Grams.Per.Metric.Ton</f>
        <v>0</v>
      </c>
      <c r="E142" s="541">
        <f t="shared" si="66"/>
        <v>0</v>
      </c>
      <c r="F142" s="541">
        <f t="shared" si="66"/>
        <v>0</v>
      </c>
      <c r="G142" s="541">
        <f t="shared" si="66"/>
        <v>0</v>
      </c>
      <c r="H142" s="541">
        <f t="shared" si="66"/>
        <v>2.2507203132541859E-4</v>
      </c>
      <c r="I142" s="541">
        <f t="shared" si="66"/>
        <v>2.1277112383087866E-4</v>
      </c>
      <c r="J142" s="541">
        <f t="shared" si="66"/>
        <v>1.9910837795777207E-4</v>
      </c>
      <c r="K142" s="541">
        <f t="shared" si="66"/>
        <v>1.8399381111480217E-4</v>
      </c>
      <c r="L142" s="541">
        <f t="shared" si="66"/>
        <v>1.6733239192172231E-4</v>
      </c>
      <c r="M142" s="541">
        <f t="shared" si="66"/>
        <v>1.4902377909545175E-4</v>
      </c>
      <c r="N142" s="541">
        <f t="shared" si="66"/>
        <v>1.4250893101148312E-4</v>
      </c>
      <c r="O142" s="541">
        <f t="shared" si="66"/>
        <v>1.3522411769353125E-4</v>
      </c>
      <c r="P142" s="541">
        <f t="shared" si="66"/>
        <v>1.2711774569018389E-4</v>
      </c>
      <c r="Q142" s="541">
        <f t="shared" si="66"/>
        <v>1.1813530895853949E-4</v>
      </c>
      <c r="R142" s="541">
        <f t="shared" si="66"/>
        <v>1.0821923771344064E-4</v>
      </c>
      <c r="S142" s="541">
        <f t="shared" si="66"/>
        <v>9.7308739816709817E-5</v>
      </c>
      <c r="T142" s="541">
        <f t="shared" si="66"/>
        <v>8.5339634350155443E-5</v>
      </c>
      <c r="U142" s="541">
        <f t="shared" si="66"/>
        <v>7.2244176999768312E-5</v>
      </c>
      <c r="V142" s="541">
        <f t="shared" si="66"/>
        <v>5.795087686094365E-5</v>
      </c>
      <c r="W142" s="541">
        <f t="shared" si="66"/>
        <v>4.2384304256544722E-5</v>
      </c>
      <c r="X142" s="541">
        <f t="shared" si="66"/>
        <v>4.3351101927521882E-5</v>
      </c>
      <c r="Y142" s="541">
        <f t="shared" si="66"/>
        <v>4.4326818963054052E-5</v>
      </c>
      <c r="Z142" s="541">
        <f t="shared" si="66"/>
        <v>4.5310597274095442E-5</v>
      </c>
      <c r="AA142" s="541">
        <f t="shared" si="66"/>
        <v>4.6301494847627341E-5</v>
      </c>
      <c r="AB142" s="541">
        <f t="shared" si="66"/>
        <v>4.7298480364824998E-5</v>
      </c>
      <c r="AC142" s="541">
        <f t="shared" si="66"/>
        <v>4.8300427521295663E-5</v>
      </c>
      <c r="AD142" s="541">
        <f t="shared" si="66"/>
        <v>4.9306109034099022E-5</v>
      </c>
      <c r="AE142" s="541">
        <f t="shared" si="66"/>
        <v>5.0314190319506621E-5</v>
      </c>
      <c r="AF142" s="541">
        <f t="shared" si="66"/>
        <v>5.1323222824679731E-5</v>
      </c>
      <c r="AG142" s="541">
        <f t="shared" si="66"/>
        <v>5.2331636995615527E-5</v>
      </c>
      <c r="AH142" s="541">
        <f t="shared" si="66"/>
        <v>5.4446534040459282E-5</v>
      </c>
      <c r="AI142" s="541">
        <f t="shared" si="66"/>
        <v>5.6646901171221941E-5</v>
      </c>
      <c r="AJ142" s="541">
        <f t="shared" si="66"/>
        <v>5.8936192520862275E-5</v>
      </c>
      <c r="AK142" s="541">
        <f t="shared" si="66"/>
        <v>6.1318001815441851E-5</v>
      </c>
      <c r="AL142" s="541">
        <f t="shared" si="66"/>
        <v>6.3796068015550708E-5</v>
      </c>
    </row>
    <row r="143" spans="1:38" ht="13">
      <c r="B143" s="494" t="s">
        <v>817</v>
      </c>
      <c r="C143" s="387" t="s">
        <v>818</v>
      </c>
      <c r="D143" s="541">
        <f t="shared" ref="D143:AL143" si="67">((D$112*D93+D$113*D98+D$114*D103)-(D$126*D93+D$127*D98+D$128*D103))/Grams.Per.Metric.Ton</f>
        <v>0</v>
      </c>
      <c r="E143" s="541">
        <f t="shared" si="67"/>
        <v>0</v>
      </c>
      <c r="F143" s="541">
        <f t="shared" si="67"/>
        <v>0</v>
      </c>
      <c r="G143" s="541">
        <f t="shared" si="67"/>
        <v>0</v>
      </c>
      <c r="H143" s="541">
        <f t="shared" si="67"/>
        <v>1.4894553681750971E-5</v>
      </c>
      <c r="I143" s="541">
        <f t="shared" si="67"/>
        <v>1.5352938422929023E-5</v>
      </c>
      <c r="J143" s="541">
        <f t="shared" si="67"/>
        <v>1.5824046524666016E-5</v>
      </c>
      <c r="K143" s="541">
        <f t="shared" si="67"/>
        <v>1.630815772237483E-5</v>
      </c>
      <c r="L143" s="541">
        <f t="shared" si="67"/>
        <v>1.6805553581269237E-5</v>
      </c>
      <c r="M143" s="541">
        <f t="shared" si="67"/>
        <v>1.7316517187385798E-5</v>
      </c>
      <c r="N143" s="541">
        <f t="shared" si="67"/>
        <v>1.7830559480251723E-5</v>
      </c>
      <c r="O143" s="541">
        <f t="shared" si="67"/>
        <v>1.8357868104542546E-5</v>
      </c>
      <c r="P143" s="541">
        <f t="shared" si="67"/>
        <v>1.8898675780119859E-5</v>
      </c>
      <c r="Q143" s="541">
        <f t="shared" si="67"/>
        <v>1.945321236973237E-5</v>
      </c>
      <c r="R143" s="541">
        <f t="shared" si="67"/>
        <v>2.0021704267997636E-5</v>
      </c>
      <c r="S143" s="541">
        <f t="shared" si="67"/>
        <v>2.0604373745663671E-5</v>
      </c>
      <c r="T143" s="541">
        <f t="shared" si="67"/>
        <v>2.1201438246533555E-5</v>
      </c>
      <c r="U143" s="541">
        <f t="shared" si="67"/>
        <v>2.1813109634297889E-5</v>
      </c>
      <c r="V143" s="541">
        <f t="shared" si="67"/>
        <v>2.2439593386374996E-5</v>
      </c>
      <c r="W143" s="541">
        <f t="shared" si="67"/>
        <v>2.3081087731705396E-5</v>
      </c>
      <c r="X143" s="541">
        <f t="shared" si="67"/>
        <v>2.3847799174947509E-5</v>
      </c>
      <c r="Y143" s="541">
        <f t="shared" si="67"/>
        <v>2.4638784442830429E-5</v>
      </c>
      <c r="Z143" s="541">
        <f t="shared" si="67"/>
        <v>2.5454753285501383E-5</v>
      </c>
      <c r="AA143" s="541">
        <f t="shared" si="67"/>
        <v>2.6296433174913501E-5</v>
      </c>
      <c r="AB143" s="541">
        <f t="shared" si="67"/>
        <v>2.7164569578028947E-5</v>
      </c>
      <c r="AC143" s="541">
        <f t="shared" si="67"/>
        <v>2.8059926223160459E-5</v>
      </c>
      <c r="AD143" s="541">
        <f t="shared" si="67"/>
        <v>2.8983285358450672E-5</v>
      </c>
      <c r="AE143" s="541">
        <f t="shared" si="67"/>
        <v>2.9935448001417655E-5</v>
      </c>
      <c r="AF143" s="541">
        <f t="shared" si="67"/>
        <v>3.09172341784234E-5</v>
      </c>
      <c r="AG143" s="541">
        <f t="shared" si="67"/>
        <v>3.1929483152843118E-5</v>
      </c>
      <c r="AH143" s="541">
        <f t="shared" si="67"/>
        <v>3.3219860703405813E-5</v>
      </c>
      <c r="AI143" s="541">
        <f t="shared" si="67"/>
        <v>3.4562386740526362E-5</v>
      </c>
      <c r="AJ143" s="541">
        <f t="shared" si="67"/>
        <v>3.5959168759525965E-5</v>
      </c>
      <c r="AK143" s="541">
        <f t="shared" si="67"/>
        <v>3.7412399426683095E-5</v>
      </c>
      <c r="AL143" s="541">
        <f t="shared" si="67"/>
        <v>3.8924360021277834E-5</v>
      </c>
    </row>
    <row r="144" spans="1:38">
      <c r="D144" s="358"/>
      <c r="F144" s="464"/>
      <c r="G144" s="465"/>
      <c r="H144" s="465"/>
    </row>
    <row r="145" spans="1:38" ht="13">
      <c r="B145" s="492" t="s">
        <v>284</v>
      </c>
      <c r="C145" s="487" t="s">
        <v>292</v>
      </c>
      <c r="D145" s="583">
        <f t="shared" ref="D145:AL145" si="68">D122-D136</f>
        <v>0</v>
      </c>
      <c r="E145" s="583">
        <f t="shared" si="68"/>
        <v>0</v>
      </c>
      <c r="F145" s="583">
        <f t="shared" si="68"/>
        <v>0</v>
      </c>
      <c r="G145" s="583">
        <f t="shared" si="68"/>
        <v>0</v>
      </c>
      <c r="H145" s="583">
        <f t="shared" si="68"/>
        <v>393.70284211150806</v>
      </c>
      <c r="I145" s="583">
        <f t="shared" si="68"/>
        <v>386.90341211813029</v>
      </c>
      <c r="J145" s="583">
        <f t="shared" si="68"/>
        <v>378.73035556416971</v>
      </c>
      <c r="K145" s="583">
        <f t="shared" si="68"/>
        <v>367.82839506941741</v>
      </c>
      <c r="L145" s="583">
        <f t="shared" si="68"/>
        <v>354.60745097756921</v>
      </c>
      <c r="M145" s="583">
        <f t="shared" si="68"/>
        <v>339.24170433415622</v>
      </c>
      <c r="N145" s="583">
        <f t="shared" si="68"/>
        <v>337.92420882594388</v>
      </c>
      <c r="O145" s="583">
        <f t="shared" si="68"/>
        <v>335.89539395051656</v>
      </c>
      <c r="P145" s="583">
        <f t="shared" si="68"/>
        <v>333.09786619716408</v>
      </c>
      <c r="Q145" s="583">
        <f t="shared" si="68"/>
        <v>332.00744843892221</v>
      </c>
      <c r="R145" s="583">
        <f t="shared" si="68"/>
        <v>327.55980890972944</v>
      </c>
      <c r="S145" s="583">
        <f t="shared" si="68"/>
        <v>322.15094823990592</v>
      </c>
      <c r="T145" s="583">
        <f t="shared" si="68"/>
        <v>315.70803413907504</v>
      </c>
      <c r="U145" s="583">
        <f t="shared" si="68"/>
        <v>308.15382027255862</v>
      </c>
      <c r="V145" s="583">
        <f t="shared" si="68"/>
        <v>299.40640451491413</v>
      </c>
      <c r="W145" s="583">
        <f t="shared" si="68"/>
        <v>289.37897471443716</v>
      </c>
      <c r="X145" s="583">
        <f t="shared" si="68"/>
        <v>301.65166045162778</v>
      </c>
      <c r="Y145" s="583">
        <f t="shared" si="68"/>
        <v>317.60164502144357</v>
      </c>
      <c r="Z145" s="583">
        <f t="shared" si="68"/>
        <v>330.93445486267728</v>
      </c>
      <c r="AA145" s="583">
        <f t="shared" si="68"/>
        <v>344.77288028570001</v>
      </c>
      <c r="AB145" s="583">
        <f t="shared" si="68"/>
        <v>359.13385834526389</v>
      </c>
      <c r="AC145" s="583">
        <f t="shared" si="68"/>
        <v>374.03478219989938</v>
      </c>
      <c r="AD145" s="583">
        <f t="shared" si="68"/>
        <v>389.49350679617328</v>
      </c>
      <c r="AE145" s="583">
        <f t="shared" si="68"/>
        <v>405.52835412525087</v>
      </c>
      <c r="AF145" s="583">
        <f t="shared" si="68"/>
        <v>426.16287941909195</v>
      </c>
      <c r="AG145" s="583">
        <f t="shared" si="68"/>
        <v>443.53486665954006</v>
      </c>
      <c r="AH145" s="583">
        <f t="shared" si="68"/>
        <v>461.45959886048445</v>
      </c>
      <c r="AI145" s="583">
        <f t="shared" si="68"/>
        <v>480.10872963441057</v>
      </c>
      <c r="AJ145" s="583">
        <f t="shared" si="68"/>
        <v>499.51153435830315</v>
      </c>
      <c r="AK145" s="583">
        <f t="shared" si="68"/>
        <v>519.69847152536136</v>
      </c>
      <c r="AL145" s="583">
        <f t="shared" si="68"/>
        <v>540.70123055869567</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IF(D$3&gt;'Fuel Costs'!$B$96,C150,SUMIFS('Fuel Costs'!$C$58:$C$96,'Fuel Costs'!$B$58:$B$96,D$3))</f>
        <v>2.1089990000000003</v>
      </c>
      <c r="E150" s="483">
        <f>IF(E$3&gt;'Fuel Costs'!$B$96,D150,SUMIFS('Fuel Costs'!$C$58:$C$96,'Fuel Costs'!$B$58:$B$96,E$3))</f>
        <v>2.1141540000000001</v>
      </c>
      <c r="F150" s="483">
        <f>IF(F$3&gt;'Fuel Costs'!$B$96,E150,SUMIFS('Fuel Costs'!$C$58:$C$96,'Fuel Costs'!$B$58:$B$96,F$3))</f>
        <v>2.1080949999999996</v>
      </c>
      <c r="G150" s="483">
        <f>IF(G$3&gt;'Fuel Costs'!$B$96,F150,SUMIFS('Fuel Costs'!$C$58:$C$96,'Fuel Costs'!$B$58:$B$96,G$3))</f>
        <v>2.0777429999999999</v>
      </c>
      <c r="H150" s="483">
        <f>IF(H$3&gt;'Fuel Costs'!$B$96,G150,SUMIFS('Fuel Costs'!$C$58:$C$96,'Fuel Costs'!$B$58:$B$96,H$3))</f>
        <v>2.110881</v>
      </c>
      <c r="I150" s="483">
        <f>IF(I$3&gt;'Fuel Costs'!$B$96,H150,SUMIFS('Fuel Costs'!$C$58:$C$96,'Fuel Costs'!$B$58:$B$96,I$3))</f>
        <v>2.136511</v>
      </c>
      <c r="J150" s="483">
        <f>IF(J$3&gt;'Fuel Costs'!$B$96,I150,SUMIFS('Fuel Costs'!$C$58:$C$96,'Fuel Costs'!$B$58:$B$96,J$3))</f>
        <v>2.1720520000000003</v>
      </c>
      <c r="K150" s="483">
        <f>IF(K$3&gt;'Fuel Costs'!$B$96,J150,SUMIFS('Fuel Costs'!$C$58:$C$96,'Fuel Costs'!$B$58:$B$96,K$3))</f>
        <v>2.188831</v>
      </c>
      <c r="L150" s="483">
        <f>IF(L$3&gt;'Fuel Costs'!$B$96,K150,SUMIFS('Fuel Costs'!$C$58:$C$96,'Fuel Costs'!$B$58:$B$96,L$3))</f>
        <v>2.2274219999999998</v>
      </c>
      <c r="M150" s="483">
        <f>IF(M$3&gt;'Fuel Costs'!$B$96,L150,SUMIFS('Fuel Costs'!$C$58:$C$96,'Fuel Costs'!$B$58:$B$96,M$3))</f>
        <v>2.314724</v>
      </c>
      <c r="N150" s="483">
        <f>IF(N$3&gt;'Fuel Costs'!$B$96,M150,SUMIFS('Fuel Costs'!$C$58:$C$96,'Fuel Costs'!$B$58:$B$96,N$3))</f>
        <v>2.3371370000000002</v>
      </c>
      <c r="O150" s="483">
        <f>IF(O$3&gt;'Fuel Costs'!$B$96,N150,SUMIFS('Fuel Costs'!$C$58:$C$96,'Fuel Costs'!$B$58:$B$96,O$3))</f>
        <v>2.3648720000000001</v>
      </c>
      <c r="P150" s="483">
        <f>IF(P$3&gt;'Fuel Costs'!$B$96,O150,SUMIFS('Fuel Costs'!$C$58:$C$96,'Fuel Costs'!$B$58:$B$96,P$3))</f>
        <v>2.4180700000000002</v>
      </c>
      <c r="Q150" s="483">
        <f>IF(Q$3&gt;'Fuel Costs'!$B$96,P150,SUMIFS('Fuel Costs'!$C$58:$C$96,'Fuel Costs'!$B$58:$B$96,Q$3))</f>
        <v>2.4668809999999999</v>
      </c>
      <c r="R150" s="483">
        <f>IF(R$3&gt;'Fuel Costs'!$B$96,Q150,SUMIFS('Fuel Costs'!$C$58:$C$96,'Fuel Costs'!$B$58:$B$96,R$3))</f>
        <v>2.5000450000000001</v>
      </c>
      <c r="S150" s="483">
        <f>IF(S$3&gt;'Fuel Costs'!$B$96,R150,SUMIFS('Fuel Costs'!$C$58:$C$96,'Fuel Costs'!$B$58:$B$96,S$3))</f>
        <v>2.5377999999999998</v>
      </c>
      <c r="T150" s="483">
        <f>IF(T$3&gt;'Fuel Costs'!$B$96,S150,SUMIFS('Fuel Costs'!$C$58:$C$96,'Fuel Costs'!$B$58:$B$96,T$3))</f>
        <v>2.5494319999999999</v>
      </c>
      <c r="U150" s="483">
        <f>IF(U$3&gt;'Fuel Costs'!$B$96,T150,SUMIFS('Fuel Costs'!$C$58:$C$96,'Fuel Costs'!$B$58:$B$96,U$3))</f>
        <v>2.5846549999999997</v>
      </c>
      <c r="V150" s="483">
        <f>IF(V$3&gt;'Fuel Costs'!$B$96,U150,SUMIFS('Fuel Costs'!$C$58:$C$96,'Fuel Costs'!$B$58:$B$96,V$3))</f>
        <v>2.6275680000000001</v>
      </c>
      <c r="W150" s="483">
        <f>IF(W$3&gt;'Fuel Costs'!$B$96,V150,SUMIFS('Fuel Costs'!$C$58:$C$96,'Fuel Costs'!$B$58:$B$96,W$3))</f>
        <v>2.6407669999999999</v>
      </c>
      <c r="X150" s="483">
        <f>IF(X$3&gt;'Fuel Costs'!$B$96,W150,SUMIFS('Fuel Costs'!$C$58:$C$96,'Fuel Costs'!$B$58:$B$96,X$3))</f>
        <v>2.6650519999999998</v>
      </c>
      <c r="Y150" s="483">
        <f>IF(Y$3&gt;'Fuel Costs'!$B$96,X150,SUMIFS('Fuel Costs'!$C$58:$C$96,'Fuel Costs'!$B$58:$B$96,Y$3))</f>
        <v>2.715147</v>
      </c>
      <c r="Z150" s="483">
        <f>IF(Z$3&gt;'Fuel Costs'!$B$96,Y150,SUMIFS('Fuel Costs'!$C$58:$C$96,'Fuel Costs'!$B$58:$B$96,Z$3))</f>
        <v>2.7429259999999998</v>
      </c>
      <c r="AA150" s="483">
        <f>IF(AA$3&gt;'Fuel Costs'!$B$96,Z150,SUMIFS('Fuel Costs'!$C$58:$C$96,'Fuel Costs'!$B$58:$B$96,AA$3))</f>
        <v>2.770124</v>
      </c>
      <c r="AB150" s="483">
        <f>IF(AB$3&gt;'Fuel Costs'!$B$96,AA150,SUMIFS('Fuel Costs'!$C$58:$C$96,'Fuel Costs'!$B$58:$B$96,AB$3))</f>
        <v>2.8135499999999998</v>
      </c>
      <c r="AC150" s="483">
        <f>IF(AC$3&gt;'Fuel Costs'!$B$96,AB150,SUMIFS('Fuel Costs'!$C$58:$C$96,'Fuel Costs'!$B$58:$B$96,AC$3))</f>
        <v>2.825739</v>
      </c>
      <c r="AD150" s="483">
        <f>IF(AD$3&gt;'Fuel Costs'!$B$96,AC150,SUMIFS('Fuel Costs'!$C$58:$C$96,'Fuel Costs'!$B$58:$B$96,AD$3))</f>
        <v>2.884363</v>
      </c>
      <c r="AE150" s="483">
        <f>IF(AE$3&gt;'Fuel Costs'!$B$96,AD150,SUMIFS('Fuel Costs'!$C$58:$C$96,'Fuel Costs'!$B$58:$B$96,AE$3))</f>
        <v>2.9245799999999997</v>
      </c>
      <c r="AF150" s="483">
        <f>IF(AF$3&gt;'Fuel Costs'!$B$96,AE150,SUMIFS('Fuel Costs'!$C$58:$C$96,'Fuel Costs'!$B$58:$B$96,AF$3))</f>
        <v>2.9556740000000001</v>
      </c>
      <c r="AG150" s="483">
        <f>IF(AG$3&gt;'Fuel Costs'!$B$96,AF150,SUMIFS('Fuel Costs'!$C$58:$C$96,'Fuel Costs'!$B$58:$B$96,AG$3))</f>
        <v>2.9824709999999999</v>
      </c>
      <c r="AH150" s="483">
        <f>IF(AH$3&gt;'Fuel Costs'!$B$96,AG150,SUMIFS('Fuel Costs'!$C$58:$C$96,'Fuel Costs'!$B$58:$B$96,AH$3))</f>
        <v>3.0131836545560371</v>
      </c>
      <c r="AI150" s="483">
        <f>IF(AI$3&gt;'Fuel Costs'!$B$96,AH150,SUMIFS('Fuel Costs'!$C$58:$C$96,'Fuel Costs'!$B$58:$B$96,AI$3))</f>
        <v>3.0441036388293234</v>
      </c>
      <c r="AJ150" s="483">
        <f>IF(AJ$3&gt;'Fuel Costs'!$B$96,AI150,SUMIFS('Fuel Costs'!$C$58:$C$96,'Fuel Costs'!$B$58:$B$96,AJ$3))</f>
        <v>3.0752329080548346</v>
      </c>
      <c r="AK150" s="483">
        <f>IF(AK$3&gt;'Fuel Costs'!$B$96,AJ150,SUMIFS('Fuel Costs'!$C$58:$C$96,'Fuel Costs'!$B$58:$B$96,AK$3))</f>
        <v>3.1065734315835933</v>
      </c>
      <c r="AL150" s="483">
        <f>IF(AL$3&gt;'Fuel Costs'!$B$96,AK150,SUMIFS('Fuel Costs'!$C$58:$C$96,'Fuel Costs'!$B$58:$B$96,AL$3))</f>
        <v>3.1381271930086481</v>
      </c>
    </row>
    <row r="151" spans="1:38">
      <c r="B151" s="478" t="s">
        <v>18</v>
      </c>
      <c r="C151" s="482" t="s">
        <v>293</v>
      </c>
      <c r="D151" s="483">
        <f>IF(D$3&gt;'Fuel Costs'!$B$96,C151,SUMIFS('Fuel Costs'!$D$58:$D$96,'Fuel Costs'!$B$58:$B$96,D$3))</f>
        <v>2.3667060000000002</v>
      </c>
      <c r="E151" s="483">
        <f>IF(E$3&gt;'Fuel Costs'!$B$96,D151,SUMIFS('Fuel Costs'!$D$58:$D$96,'Fuel Costs'!$B$58:$B$96,E$3))</f>
        <v>2.415864</v>
      </c>
      <c r="F151" s="483">
        <f>IF(F$3&gt;'Fuel Costs'!$B$96,E151,SUMIFS('Fuel Costs'!$D$58:$D$96,'Fuel Costs'!$B$58:$B$96,F$3))</f>
        <v>2.4390620000000003</v>
      </c>
      <c r="G151" s="483">
        <f>IF(G$3&gt;'Fuel Costs'!$B$96,F151,SUMIFS('Fuel Costs'!$D$58:$D$96,'Fuel Costs'!$B$58:$B$96,G$3))</f>
        <v>2.498437</v>
      </c>
      <c r="H151" s="483">
        <f>IF(H$3&gt;'Fuel Costs'!$B$96,G151,SUMIFS('Fuel Costs'!$D$58:$D$96,'Fuel Costs'!$B$58:$B$96,H$3))</f>
        <v>2.5215069999999997</v>
      </c>
      <c r="I151" s="483">
        <f>IF(I$3&gt;'Fuel Costs'!$B$96,H151,SUMIFS('Fuel Costs'!$D$58:$D$96,'Fuel Costs'!$B$58:$B$96,I$3))</f>
        <v>2.5828810000000004</v>
      </c>
      <c r="J151" s="483">
        <f>IF(J$3&gt;'Fuel Costs'!$B$96,I151,SUMIFS('Fuel Costs'!$D$58:$D$96,'Fuel Costs'!$B$58:$B$96,J$3))</f>
        <v>2.5956159999999997</v>
      </c>
      <c r="K151" s="483">
        <f>IF(K$3&gt;'Fuel Costs'!$B$96,J151,SUMIFS('Fuel Costs'!$D$58:$D$96,'Fuel Costs'!$B$58:$B$96,K$3))</f>
        <v>2.6482269999999999</v>
      </c>
      <c r="L151" s="483">
        <f>IF(L$3&gt;'Fuel Costs'!$B$96,K151,SUMIFS('Fuel Costs'!$D$58:$D$96,'Fuel Costs'!$B$58:$B$96,L$3))</f>
        <v>2.682369</v>
      </c>
      <c r="M151" s="483">
        <f>IF(M$3&gt;'Fuel Costs'!$B$96,L151,SUMIFS('Fuel Costs'!$D$58:$D$96,'Fuel Costs'!$B$58:$B$96,M$3))</f>
        <v>2.7536199999999997</v>
      </c>
      <c r="N151" s="483">
        <f>IF(N$3&gt;'Fuel Costs'!$B$96,M151,SUMIFS('Fuel Costs'!$D$58:$D$96,'Fuel Costs'!$B$58:$B$96,N$3))</f>
        <v>2.7948589999999998</v>
      </c>
      <c r="O151" s="483">
        <f>IF(O$3&gt;'Fuel Costs'!$B$96,N151,SUMIFS('Fuel Costs'!$D$58:$D$96,'Fuel Costs'!$B$58:$B$96,O$3))</f>
        <v>2.8228499999999999</v>
      </c>
      <c r="P151" s="483">
        <f>IF(P$3&gt;'Fuel Costs'!$B$96,O151,SUMIFS('Fuel Costs'!$D$58:$D$96,'Fuel Costs'!$B$58:$B$96,P$3))</f>
        <v>2.8807999999999998</v>
      </c>
      <c r="Q151" s="483">
        <f>IF(Q$3&gt;'Fuel Costs'!$B$96,P151,SUMIFS('Fuel Costs'!$D$58:$D$96,'Fuel Costs'!$B$58:$B$96,Q$3))</f>
        <v>2.9119450000000002</v>
      </c>
      <c r="R151" s="483">
        <f>IF(R$3&gt;'Fuel Costs'!$B$96,Q151,SUMIFS('Fuel Costs'!$D$58:$D$96,'Fuel Costs'!$B$58:$B$96,R$3))</f>
        <v>2.946434</v>
      </c>
      <c r="S151" s="483">
        <f>IF(S$3&gt;'Fuel Costs'!$B$96,R151,SUMIFS('Fuel Costs'!$D$58:$D$96,'Fuel Costs'!$B$58:$B$96,S$3))</f>
        <v>2.9849239999999999</v>
      </c>
      <c r="T151" s="483">
        <f>IF(T$3&gt;'Fuel Costs'!$B$96,S151,SUMIFS('Fuel Costs'!$D$58:$D$96,'Fuel Costs'!$B$58:$B$96,T$3))</f>
        <v>3.0129359999999998</v>
      </c>
      <c r="U151" s="483">
        <f>IF(U$3&gt;'Fuel Costs'!$B$96,T151,SUMIFS('Fuel Costs'!$D$58:$D$96,'Fuel Costs'!$B$58:$B$96,U$3))</f>
        <v>3.0455040000000002</v>
      </c>
      <c r="V151" s="483">
        <f>IF(V$3&gt;'Fuel Costs'!$B$96,U151,SUMIFS('Fuel Costs'!$D$58:$D$96,'Fuel Costs'!$B$58:$B$96,V$3))</f>
        <v>3.0799020000000001</v>
      </c>
      <c r="W151" s="483">
        <f>IF(W$3&gt;'Fuel Costs'!$B$96,V151,SUMIFS('Fuel Costs'!$D$58:$D$96,'Fuel Costs'!$B$58:$B$96,W$3))</f>
        <v>3.0827439999999999</v>
      </c>
      <c r="X151" s="483">
        <f>IF(X$3&gt;'Fuel Costs'!$B$96,W151,SUMIFS('Fuel Costs'!$D$58:$D$96,'Fuel Costs'!$B$58:$B$96,X$3))</f>
        <v>3.109143</v>
      </c>
      <c r="Y151" s="483">
        <f>IF(Y$3&gt;'Fuel Costs'!$B$96,X151,SUMIFS('Fuel Costs'!$D$58:$D$96,'Fuel Costs'!$B$58:$B$96,Y$3))</f>
        <v>3.1652459999999998</v>
      </c>
      <c r="Z151" s="483">
        <f>IF(Z$3&gt;'Fuel Costs'!$B$96,Y151,SUMIFS('Fuel Costs'!$D$58:$D$96,'Fuel Costs'!$B$58:$B$96,Z$3))</f>
        <v>3.1917300000000002</v>
      </c>
      <c r="AA151" s="483">
        <f>IF(AA$3&gt;'Fuel Costs'!$B$96,Z151,SUMIFS('Fuel Costs'!$D$58:$D$96,'Fuel Costs'!$B$58:$B$96,AA$3))</f>
        <v>3.2225800000000002</v>
      </c>
      <c r="AB151" s="483">
        <f>IF(AB$3&gt;'Fuel Costs'!$B$96,AA151,SUMIFS('Fuel Costs'!$D$58:$D$96,'Fuel Costs'!$B$58:$B$96,AB$3))</f>
        <v>3.2765360000000001</v>
      </c>
      <c r="AC151" s="483">
        <f>IF(AC$3&gt;'Fuel Costs'!$B$96,AB151,SUMIFS('Fuel Costs'!$D$58:$D$96,'Fuel Costs'!$B$58:$B$96,AC$3))</f>
        <v>3.2817090000000002</v>
      </c>
      <c r="AD151" s="483">
        <f>IF(AD$3&gt;'Fuel Costs'!$B$96,AC151,SUMIFS('Fuel Costs'!$D$58:$D$96,'Fuel Costs'!$B$58:$B$96,AD$3))</f>
        <v>3.3209020000000002</v>
      </c>
      <c r="AE151" s="483">
        <f>IF(AE$3&gt;'Fuel Costs'!$B$96,AD151,SUMIFS('Fuel Costs'!$D$58:$D$96,'Fuel Costs'!$B$58:$B$96,AE$3))</f>
        <v>3.3566719999999997</v>
      </c>
      <c r="AF151" s="483">
        <f>IF(AF$3&gt;'Fuel Costs'!$B$96,AE151,SUMIFS('Fuel Costs'!$D$58:$D$96,'Fuel Costs'!$B$58:$B$96,AF$3))</f>
        <v>3.383178</v>
      </c>
      <c r="AG151" s="483">
        <f>IF(AG$3&gt;'Fuel Costs'!$B$96,AF151,SUMIFS('Fuel Costs'!$D$58:$D$96,'Fuel Costs'!$B$58:$B$96,AG$3))</f>
        <v>3.407222</v>
      </c>
      <c r="AH151" s="483">
        <f>IF(AH$3&gt;'Fuel Costs'!$B$96,AG151,SUMIFS('Fuel Costs'!$D$58:$D$96,'Fuel Costs'!$B$58:$B$96,AH$3))</f>
        <v>3.4412831909464936</v>
      </c>
      <c r="AI151" s="483">
        <f>IF(AI$3&gt;'Fuel Costs'!$B$96,AH151,SUMIFS('Fuel Costs'!$D$58:$D$96,'Fuel Costs'!$B$58:$B$96,AI$3))</f>
        <v>3.4755628717622482</v>
      </c>
      <c r="AJ151" s="483">
        <f>IF(AJ$3&gt;'Fuel Costs'!$B$96,AI151,SUMIFS('Fuel Costs'!$D$58:$D$96,'Fuel Costs'!$B$58:$B$96,AJ$3))</f>
        <v>3.510063132684897</v>
      </c>
      <c r="AK151" s="483">
        <f>IF(AK$3&gt;'Fuel Costs'!$B$96,AJ151,SUMIFS('Fuel Costs'!$D$58:$D$96,'Fuel Costs'!$B$58:$B$96,AK$3))</f>
        <v>3.5447860778904832</v>
      </c>
      <c r="AL151" s="483">
        <f>IF(AL$3&gt;'Fuel Costs'!$B$96,AK151,SUMIFS('Fuel Costs'!$D$58:$D$96,'Fuel Costs'!$B$58:$B$96,AL$3))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'2000 South'!D25</f>
        <v>1442.9115856014355</v>
      </c>
      <c r="E159" s="383">
        <f>'2000 South'!E25</f>
        <v>1501.2244843287403</v>
      </c>
      <c r="F159" s="383">
        <f>'2000 South'!F25</f>
        <v>1561.894002957024</v>
      </c>
      <c r="G159" s="383">
        <f>'2000 South'!G25</f>
        <v>1625.0153804038991</v>
      </c>
      <c r="H159" s="383">
        <f>'2000 South'!H25</f>
        <v>1690.6877045112067</v>
      </c>
      <c r="I159" s="383">
        <f>'2000 South'!I25</f>
        <v>1759.0140675929522</v>
      </c>
      <c r="J159" s="383">
        <f>'2000 South'!J25</f>
        <v>1830.1017282694711</v>
      </c>
      <c r="K159" s="383">
        <f>'2000 South'!K25</f>
        <v>1904.0622798418394</v>
      </c>
      <c r="L159" s="383">
        <f>'2000 South'!L25</f>
        <v>1981.0118254708734</v>
      </c>
      <c r="M159" s="383">
        <f>'2000 South'!M25</f>
        <v>2061.071160435687</v>
      </c>
      <c r="N159" s="383">
        <f>'2000 South'!N25</f>
        <v>2144.3659617579451</v>
      </c>
      <c r="O159" s="383">
        <f>'2000 South'!O25</f>
        <v>2231.0269854894509</v>
      </c>
      <c r="P159" s="383">
        <f>'2000 South'!P25</f>
        <v>2321.1902719728037</v>
      </c>
      <c r="Q159" s="383">
        <f>'2000 South'!Q25</f>
        <v>2414.9973593973168</v>
      </c>
      <c r="R159" s="383">
        <f>'2000 South'!R25</f>
        <v>2512.5955059854491</v>
      </c>
      <c r="S159" s="383">
        <f>'2000 South'!S25</f>
        <v>2614.1379211585449</v>
      </c>
      <c r="T159" s="383">
        <f>'2000 South'!T25</f>
        <v>2719.7840060447415</v>
      </c>
      <c r="U159" s="383">
        <f>'2000 South'!U25</f>
        <v>2829.6996037066201</v>
      </c>
      <c r="V159" s="383">
        <f>'2000 South'!V25</f>
        <v>2944.0572594813925</v>
      </c>
      <c r="W159" s="383">
        <f>'2000 South'!W25</f>
        <v>3063.0364918423052</v>
      </c>
      <c r="X159" s="383">
        <f>'2000 South'!X25</f>
        <v>3186.8240742064663</v>
      </c>
      <c r="Y159" s="383">
        <f>'2000 South'!Y25</f>
        <v>3315.6143281314698</v>
      </c>
      <c r="Z159" s="383">
        <f>'2000 South'!Z25</f>
        <v>3449.609428361081</v>
      </c>
      <c r="AA159" s="383">
        <f>'2000 South'!AA25</f>
        <v>3589.0197201988376</v>
      </c>
      <c r="AB159" s="383">
        <f>'2000 South'!AB25</f>
        <v>3734.0640497077875</v>
      </c>
      <c r="AC159" s="383">
        <f>'2000 South'!AC25</f>
        <v>3884.9701072547018</v>
      </c>
      <c r="AD159" s="383">
        <f>'2000 South'!AD25</f>
        <v>4041.9747849380692</v>
      </c>
      <c r="AE159" s="383">
        <f>'2000 South'!AE25</f>
        <v>4205.324548460947</v>
      </c>
      <c r="AF159" s="383">
        <f>'2000 South'!AF25</f>
        <v>4375.2758240324429</v>
      </c>
      <c r="AG159" s="383">
        <f>'2000 South'!AG25</f>
        <v>4552.0954009051893</v>
      </c>
      <c r="AH159" s="383">
        <f>'2000 South'!AH25</f>
        <v>4736.0608501807046</v>
      </c>
      <c r="AI159" s="383">
        <f>'2000 South'!AI25</f>
        <v>4927.4609605400847</v>
      </c>
      <c r="AJ159" s="383">
        <f>'2000 South'!AJ25</f>
        <v>5126.5961915840262</v>
      </c>
      <c r="AK159" s="383">
        <f>'2000 South'!AK25</f>
        <v>5333.7791454938597</v>
      </c>
      <c r="AL159" s="383">
        <f>'2000 South'!AL25</f>
        <v>5549.3350577539641</v>
      </c>
    </row>
    <row r="160" spans="1:38">
      <c r="B160" s="385" t="s">
        <v>509</v>
      </c>
      <c r="C160" s="386" t="s">
        <v>443</v>
      </c>
      <c r="D160" s="383">
        <f>'2000 South'!D26</f>
        <v>360.72789640035887</v>
      </c>
      <c r="E160" s="383">
        <f>'2000 South'!E26</f>
        <v>375.30612108218509</v>
      </c>
      <c r="F160" s="383">
        <f>'2000 South'!F26</f>
        <v>390.473500739256</v>
      </c>
      <c r="G160" s="383">
        <f>'2000 South'!G26</f>
        <v>406.25384510097479</v>
      </c>
      <c r="H160" s="383">
        <f>'2000 South'!H26</f>
        <v>422.67192612780167</v>
      </c>
      <c r="I160" s="383">
        <f>'2000 South'!I26</f>
        <v>439.75351689823805</v>
      </c>
      <c r="J160" s="383">
        <f>'2000 South'!J26</f>
        <v>457.52543206736777</v>
      </c>
      <c r="K160" s="383">
        <f>'2000 South'!K26</f>
        <v>476.01556996045986</v>
      </c>
      <c r="L160" s="383">
        <f>'2000 South'!L26</f>
        <v>495.25295636771835</v>
      </c>
      <c r="M160" s="383">
        <f>'2000 South'!M26</f>
        <v>515.26779010892176</v>
      </c>
      <c r="N160" s="383">
        <f>'2000 South'!N26</f>
        <v>536.09149043948628</v>
      </c>
      <c r="O160" s="383">
        <f>'2000 South'!O26</f>
        <v>557.75674637236273</v>
      </c>
      <c r="P160" s="383">
        <f>'2000 South'!P26</f>
        <v>580.29756799320091</v>
      </c>
      <c r="Q160" s="383">
        <f>'2000 South'!Q26</f>
        <v>603.7493398493292</v>
      </c>
      <c r="R160" s="383">
        <f>'2000 South'!R26</f>
        <v>628.14887649636228</v>
      </c>
      <c r="S160" s="383">
        <f>'2000 South'!S26</f>
        <v>653.53448028963624</v>
      </c>
      <c r="T160" s="383">
        <f>'2000 South'!T26</f>
        <v>679.94600151118539</v>
      </c>
      <c r="U160" s="383">
        <f>'2000 South'!U26</f>
        <v>707.42490092665503</v>
      </c>
      <c r="V160" s="383">
        <f>'2000 South'!V26</f>
        <v>736.01431487034813</v>
      </c>
      <c r="W160" s="383">
        <f>'2000 South'!W26</f>
        <v>765.75912296057629</v>
      </c>
      <c r="X160" s="383">
        <f>'2000 South'!X26</f>
        <v>796.70601855161658</v>
      </c>
      <c r="Y160" s="383">
        <f>'2000 South'!Y26</f>
        <v>828.90358203286746</v>
      </c>
      <c r="Z160" s="383">
        <f>'2000 South'!Z26</f>
        <v>862.40235709027024</v>
      </c>
      <c r="AA160" s="383">
        <f>'2000 South'!AA26</f>
        <v>897.2549300497094</v>
      </c>
      <c r="AB160" s="383">
        <f>'2000 South'!AB26</f>
        <v>933.51601242694687</v>
      </c>
      <c r="AC160" s="383">
        <f>'2000 South'!AC26</f>
        <v>971.24252681367545</v>
      </c>
      <c r="AD160" s="383">
        <f>'2000 South'!AD26</f>
        <v>1010.4936962345173</v>
      </c>
      <c r="AE160" s="383">
        <f>'2000 South'!AE26</f>
        <v>1051.3311371152367</v>
      </c>
      <c r="AF160" s="383">
        <f>'2000 South'!AF26</f>
        <v>1093.8189560081107</v>
      </c>
      <c r="AG160" s="383">
        <f>'2000 South'!AG26</f>
        <v>1138.0238502262973</v>
      </c>
      <c r="AH160" s="383">
        <f>'2000 South'!AH26</f>
        <v>1184.0152125451762</v>
      </c>
      <c r="AI160" s="383">
        <f>'2000 South'!AI26</f>
        <v>1231.8652401350212</v>
      </c>
      <c r="AJ160" s="383">
        <f>'2000 South'!AJ26</f>
        <v>1281.6490478960066</v>
      </c>
      <c r="AK160" s="383">
        <f>'2000 South'!AK26</f>
        <v>1333.4447863734649</v>
      </c>
      <c r="AL160" s="383">
        <f>'2000 South'!AL26</f>
        <v>1387.333764438491</v>
      </c>
    </row>
    <row r="161" spans="2:38">
      <c r="B161" s="358" t="s">
        <v>769</v>
      </c>
      <c r="C161" s="358" t="s">
        <v>443</v>
      </c>
      <c r="D161" s="383">
        <f>'2000 South'!D27</f>
        <v>0</v>
      </c>
      <c r="E161" s="383">
        <f>'2000 South'!E27</f>
        <v>0</v>
      </c>
      <c r="F161" s="383">
        <f>'2000 South'!F27</f>
        <v>0</v>
      </c>
      <c r="G161" s="383">
        <f>'2000 South'!G27</f>
        <v>0</v>
      </c>
      <c r="H161" s="383">
        <f>'2000 South'!H27</f>
        <v>0</v>
      </c>
      <c r="I161" s="383">
        <f>'2000 South'!I27</f>
        <v>0</v>
      </c>
      <c r="J161" s="383">
        <f>'2000 South'!J27</f>
        <v>0</v>
      </c>
      <c r="K161" s="383">
        <f>'2000 South'!K27</f>
        <v>0</v>
      </c>
      <c r="L161" s="383">
        <f>'2000 South'!L27</f>
        <v>0</v>
      </c>
      <c r="M161" s="383">
        <f>'2000 South'!M27</f>
        <v>0</v>
      </c>
      <c r="N161" s="383">
        <f>'2000 South'!N27</f>
        <v>0</v>
      </c>
      <c r="O161" s="383">
        <f>'2000 South'!O27</f>
        <v>0</v>
      </c>
      <c r="P161" s="383">
        <f>'2000 South'!P27</f>
        <v>0</v>
      </c>
      <c r="Q161" s="383">
        <f>'2000 South'!Q27</f>
        <v>0</v>
      </c>
      <c r="R161" s="383">
        <f>'2000 South'!R27</f>
        <v>0</v>
      </c>
      <c r="S161" s="383">
        <f>'2000 South'!S27</f>
        <v>0</v>
      </c>
      <c r="T161" s="383">
        <f>'2000 South'!T27</f>
        <v>0</v>
      </c>
      <c r="U161" s="383">
        <f>'2000 South'!U27</f>
        <v>0</v>
      </c>
      <c r="V161" s="383">
        <f>'2000 South'!V27</f>
        <v>0</v>
      </c>
      <c r="W161" s="383">
        <f>'2000 South'!W27</f>
        <v>0</v>
      </c>
      <c r="X161" s="383">
        <f>'2000 South'!X27</f>
        <v>0</v>
      </c>
      <c r="Y161" s="383">
        <f>'2000 South'!Y27</f>
        <v>0</v>
      </c>
      <c r="Z161" s="383">
        <f>'2000 South'!Z27</f>
        <v>0</v>
      </c>
      <c r="AA161" s="383">
        <f>'2000 South'!AA27</f>
        <v>0</v>
      </c>
      <c r="AB161" s="383">
        <f>'2000 South'!AB27</f>
        <v>0</v>
      </c>
      <c r="AC161" s="383">
        <f>'2000 South'!AC27</f>
        <v>0</v>
      </c>
      <c r="AD161" s="383">
        <f>'2000 South'!AD27</f>
        <v>0</v>
      </c>
      <c r="AE161" s="383">
        <f>'2000 South'!AE27</f>
        <v>0</v>
      </c>
      <c r="AF161" s="383">
        <f>'2000 South'!AF27</f>
        <v>0</v>
      </c>
      <c r="AG161" s="383">
        <f>'2000 South'!AG27</f>
        <v>0</v>
      </c>
      <c r="AH161" s="383">
        <f>'2000 South'!AH27</f>
        <v>0</v>
      </c>
      <c r="AI161" s="383">
        <f>'2000 South'!AI27</f>
        <v>0</v>
      </c>
      <c r="AJ161" s="383">
        <f>'2000 South'!AJ27</f>
        <v>0</v>
      </c>
      <c r="AK161" s="383">
        <f>'2000 South'!AK27</f>
        <v>0</v>
      </c>
      <c r="AL161" s="383">
        <f>'2000 South'!AL27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49.780449703249516</v>
      </c>
      <c r="E166" s="383">
        <f t="shared" ref="E166:AK168" si="69">E159*$C163</f>
        <v>51.792244709341539</v>
      </c>
      <c r="F166" s="383">
        <f t="shared" si="69"/>
        <v>53.885343102017323</v>
      </c>
      <c r="G166" s="383">
        <f t="shared" si="69"/>
        <v>56.063030623934516</v>
      </c>
      <c r="H166" s="383">
        <f t="shared" si="69"/>
        <v>58.328725805636623</v>
      </c>
      <c r="I166" s="383">
        <f t="shared" si="69"/>
        <v>60.685985331956843</v>
      </c>
      <c r="J166" s="383">
        <f t="shared" si="69"/>
        <v>63.138509625296749</v>
      </c>
      <c r="K166" s="383">
        <f t="shared" si="69"/>
        <v>65.690148654543449</v>
      </c>
      <c r="L166" s="383">
        <f t="shared" si="69"/>
        <v>68.344907978745127</v>
      </c>
      <c r="M166" s="383">
        <f t="shared" si="69"/>
        <v>71.106955035031191</v>
      </c>
      <c r="N166" s="383">
        <f t="shared" si="69"/>
        <v>73.980625680649098</v>
      </c>
      <c r="O166" s="383">
        <f t="shared" si="69"/>
        <v>76.970430999386053</v>
      </c>
      <c r="P166" s="383">
        <f t="shared" si="69"/>
        <v>80.081064383061715</v>
      </c>
      <c r="Q166" s="383">
        <f t="shared" si="69"/>
        <v>83.317408899207422</v>
      </c>
      <c r="R166" s="383">
        <f t="shared" si="69"/>
        <v>86.684544956497987</v>
      </c>
      <c r="S166" s="383">
        <f t="shared" si="69"/>
        <v>90.187758279969785</v>
      </c>
      <c r="T166" s="383">
        <f t="shared" si="69"/>
        <v>93.832548208543571</v>
      </c>
      <c r="U166" s="383">
        <f t="shared" si="69"/>
        <v>97.624636327878378</v>
      </c>
      <c r="V166" s="383">
        <f t="shared" si="69"/>
        <v>101.56997545210803</v>
      </c>
      <c r="W166" s="383">
        <f t="shared" si="69"/>
        <v>105.67475896855952</v>
      </c>
      <c r="X166" s="383">
        <f t="shared" si="69"/>
        <v>109.94543056012307</v>
      </c>
      <c r="Y166" s="383">
        <f t="shared" si="69"/>
        <v>114.38869432053569</v>
      </c>
      <c r="Z166" s="383">
        <f t="shared" si="69"/>
        <v>119.01152527845728</v>
      </c>
      <c r="AA166" s="383">
        <f t="shared" si="69"/>
        <v>123.82118034685988</v>
      </c>
      <c r="AB166" s="383">
        <f t="shared" si="69"/>
        <v>128.82520971491866</v>
      </c>
      <c r="AC166" s="383">
        <f t="shared" si="69"/>
        <v>134.03146870028721</v>
      </c>
      <c r="AD166" s="383">
        <f t="shared" si="69"/>
        <v>139.44813008036337</v>
      </c>
      <c r="AE166" s="383">
        <f t="shared" si="69"/>
        <v>145.08369692190266</v>
      </c>
      <c r="AF166" s="383">
        <f t="shared" si="69"/>
        <v>150.94701592911926</v>
      </c>
      <c r="AG166" s="383">
        <f t="shared" si="69"/>
        <v>157.04729133122902</v>
      </c>
      <c r="AH166" s="383">
        <f t="shared" si="69"/>
        <v>163.39409933123429</v>
      </c>
      <c r="AI166" s="383">
        <f t="shared" si="69"/>
        <v>169.9974031386329</v>
      </c>
      <c r="AJ166" s="383">
        <f t="shared" si="69"/>
        <v>176.86756860964888</v>
      </c>
      <c r="AK166" s="383">
        <f t="shared" si="69"/>
        <v>184.01538051953813</v>
      </c>
      <c r="AL166" s="383">
        <f t="shared" ref="AL166" si="70">AL159*$C163</f>
        <v>191.45205949251175</v>
      </c>
    </row>
    <row r="167" spans="2:38">
      <c r="B167" s="385" t="s">
        <v>501</v>
      </c>
      <c r="C167" s="386" t="s">
        <v>479</v>
      </c>
      <c r="D167" s="383">
        <f t="shared" ref="D167:S168" si="71">D160*$C164</f>
        <v>12.445112425812379</v>
      </c>
      <c r="E167" s="383">
        <f t="shared" si="71"/>
        <v>12.948061177335385</v>
      </c>
      <c r="F167" s="383">
        <f t="shared" si="71"/>
        <v>13.471335775504331</v>
      </c>
      <c r="G167" s="383">
        <f t="shared" si="71"/>
        <v>14.015757655983629</v>
      </c>
      <c r="H167" s="383">
        <f t="shared" si="71"/>
        <v>14.582181451409156</v>
      </c>
      <c r="I167" s="383">
        <f t="shared" si="71"/>
        <v>15.171496332989211</v>
      </c>
      <c r="J167" s="383">
        <f t="shared" si="71"/>
        <v>15.784627406324187</v>
      </c>
      <c r="K167" s="383">
        <f t="shared" si="71"/>
        <v>16.422537163635862</v>
      </c>
      <c r="L167" s="383">
        <f t="shared" si="71"/>
        <v>17.086226994686282</v>
      </c>
      <c r="M167" s="383">
        <f t="shared" si="71"/>
        <v>17.776738758757798</v>
      </c>
      <c r="N167" s="383">
        <f t="shared" si="71"/>
        <v>18.495156420162274</v>
      </c>
      <c r="O167" s="383">
        <f t="shared" si="71"/>
        <v>19.242607749846513</v>
      </c>
      <c r="P167" s="383">
        <f t="shared" si="71"/>
        <v>20.020266095765429</v>
      </c>
      <c r="Q167" s="383">
        <f t="shared" si="71"/>
        <v>20.829352224801855</v>
      </c>
      <c r="R167" s="383">
        <f t="shared" si="71"/>
        <v>21.671136239124497</v>
      </c>
      <c r="S167" s="383">
        <f t="shared" si="71"/>
        <v>22.546939569992446</v>
      </c>
      <c r="T167" s="383">
        <f t="shared" si="69"/>
        <v>23.458137052135893</v>
      </c>
      <c r="U167" s="383">
        <f t="shared" si="69"/>
        <v>24.406159081969594</v>
      </c>
      <c r="V167" s="383">
        <f t="shared" si="69"/>
        <v>25.392493863027006</v>
      </c>
      <c r="W167" s="383">
        <f t="shared" si="69"/>
        <v>26.418689742139879</v>
      </c>
      <c r="X167" s="383">
        <f t="shared" si="69"/>
        <v>27.486357640030768</v>
      </c>
      <c r="Y167" s="383">
        <f t="shared" si="69"/>
        <v>28.597173580133923</v>
      </c>
      <c r="Z167" s="383">
        <f t="shared" si="69"/>
        <v>29.752881319614321</v>
      </c>
      <c r="AA167" s="383">
        <f t="shared" si="69"/>
        <v>30.955295086714969</v>
      </c>
      <c r="AB167" s="383">
        <f t="shared" si="69"/>
        <v>32.206302428729664</v>
      </c>
      <c r="AC167" s="383">
        <f t="shared" si="69"/>
        <v>33.507867175071802</v>
      </c>
      <c r="AD167" s="383">
        <f t="shared" si="69"/>
        <v>34.862032520090843</v>
      </c>
      <c r="AE167" s="383">
        <f t="shared" si="69"/>
        <v>36.270924230475664</v>
      </c>
      <c r="AF167" s="383">
        <f t="shared" si="69"/>
        <v>37.736753982279815</v>
      </c>
      <c r="AG167" s="383">
        <f t="shared" si="69"/>
        <v>39.261822832807255</v>
      </c>
      <c r="AH167" s="383">
        <f t="shared" si="69"/>
        <v>40.848524832808572</v>
      </c>
      <c r="AI167" s="383">
        <f t="shared" si="69"/>
        <v>42.499350784658226</v>
      </c>
      <c r="AJ167" s="383">
        <f t="shared" si="69"/>
        <v>44.216892152412221</v>
      </c>
      <c r="AK167" s="383">
        <f t="shared" si="69"/>
        <v>46.003845129884532</v>
      </c>
      <c r="AL167" s="383">
        <f t="shared" ref="AL167" si="72">AL160*$C164</f>
        <v>47.863014873127938</v>
      </c>
    </row>
    <row r="168" spans="2:38">
      <c r="B168" s="385" t="s">
        <v>768</v>
      </c>
      <c r="C168" s="386" t="s">
        <v>479</v>
      </c>
      <c r="D168" s="383">
        <f t="shared" si="71"/>
        <v>0</v>
      </c>
      <c r="E168" s="383">
        <f t="shared" si="69"/>
        <v>0</v>
      </c>
      <c r="F168" s="383">
        <f t="shared" si="69"/>
        <v>0</v>
      </c>
      <c r="G168" s="383">
        <f t="shared" si="69"/>
        <v>0</v>
      </c>
      <c r="H168" s="383">
        <f t="shared" si="69"/>
        <v>0</v>
      </c>
      <c r="I168" s="383">
        <f t="shared" si="69"/>
        <v>0</v>
      </c>
      <c r="J168" s="383">
        <f t="shared" si="69"/>
        <v>0</v>
      </c>
      <c r="K168" s="383">
        <f t="shared" si="69"/>
        <v>0</v>
      </c>
      <c r="L168" s="383">
        <f t="shared" si="69"/>
        <v>0</v>
      </c>
      <c r="M168" s="383">
        <f t="shared" si="69"/>
        <v>0</v>
      </c>
      <c r="N168" s="383">
        <f t="shared" si="69"/>
        <v>0</v>
      </c>
      <c r="O168" s="383">
        <f t="shared" si="69"/>
        <v>0</v>
      </c>
      <c r="P168" s="383">
        <f t="shared" si="69"/>
        <v>0</v>
      </c>
      <c r="Q168" s="383">
        <f t="shared" si="69"/>
        <v>0</v>
      </c>
      <c r="R168" s="383">
        <f t="shared" si="69"/>
        <v>0</v>
      </c>
      <c r="S168" s="383">
        <f t="shared" si="69"/>
        <v>0</v>
      </c>
      <c r="T168" s="383">
        <f t="shared" si="69"/>
        <v>0</v>
      </c>
      <c r="U168" s="383">
        <f t="shared" si="69"/>
        <v>0</v>
      </c>
      <c r="V168" s="383">
        <f t="shared" si="69"/>
        <v>0</v>
      </c>
      <c r="W168" s="383">
        <f t="shared" si="69"/>
        <v>0</v>
      </c>
      <c r="X168" s="383">
        <f t="shared" si="69"/>
        <v>0</v>
      </c>
      <c r="Y168" s="383">
        <f t="shared" si="69"/>
        <v>0</v>
      </c>
      <c r="Z168" s="383">
        <f t="shared" si="69"/>
        <v>0</v>
      </c>
      <c r="AA168" s="383">
        <f t="shared" si="69"/>
        <v>0</v>
      </c>
      <c r="AB168" s="383">
        <f t="shared" si="69"/>
        <v>0</v>
      </c>
      <c r="AC168" s="383">
        <f t="shared" si="69"/>
        <v>0</v>
      </c>
      <c r="AD168" s="383">
        <f t="shared" si="69"/>
        <v>0</v>
      </c>
      <c r="AE168" s="383">
        <f t="shared" si="69"/>
        <v>0</v>
      </c>
      <c r="AF168" s="383">
        <f t="shared" si="69"/>
        <v>0</v>
      </c>
      <c r="AG168" s="383">
        <f t="shared" si="69"/>
        <v>0</v>
      </c>
      <c r="AH168" s="383">
        <f t="shared" si="69"/>
        <v>0</v>
      </c>
      <c r="AI168" s="383">
        <f t="shared" si="69"/>
        <v>0</v>
      </c>
      <c r="AJ168" s="383">
        <f t="shared" si="69"/>
        <v>0</v>
      </c>
      <c r="AK168" s="383">
        <f t="shared" si="69"/>
        <v>0</v>
      </c>
      <c r="AL168" s="383">
        <f t="shared" ref="AL168" si="73">AL161*$C165</f>
        <v>0</v>
      </c>
    </row>
    <row r="169" spans="2:38">
      <c r="D169" s="358"/>
      <c r="F169" s="464"/>
      <c r="G169" s="465"/>
      <c r="H169" s="465"/>
    </row>
    <row r="170" spans="2:38">
      <c r="B170" s="358" t="s">
        <v>459</v>
      </c>
      <c r="C170" s="362" t="s">
        <v>292</v>
      </c>
      <c r="D170" s="485">
        <f>SUMPRODUCT($C$153:$C$155,D166:D168)</f>
        <v>586.74679977372455</v>
      </c>
      <c r="E170" s="485">
        <f t="shared" ref="E170:AK170" si="74">SUMPRODUCT($C$153:$C$155,E166:E168)</f>
        <v>610.45920672588989</v>
      </c>
      <c r="F170" s="485">
        <f t="shared" si="74"/>
        <v>635.12991160772788</v>
      </c>
      <c r="G170" s="485">
        <f t="shared" si="74"/>
        <v>660.79764245405397</v>
      </c>
      <c r="H170" s="485">
        <f t="shared" si="74"/>
        <v>687.50269242952015</v>
      </c>
      <c r="I170" s="485">
        <f t="shared" si="74"/>
        <v>715.28698308076014</v>
      </c>
      <c r="J170" s="485">
        <f t="shared" si="74"/>
        <v>744.19413014477254</v>
      </c>
      <c r="K170" s="485">
        <f t="shared" si="74"/>
        <v>774.26951201683505</v>
      </c>
      <c r="L170" s="485">
        <f t="shared" si="74"/>
        <v>805.56034098544342</v>
      </c>
      <c r="M170" s="485">
        <f t="shared" si="74"/>
        <v>838.11573734608521</v>
      </c>
      <c r="N170" s="485">
        <f t="shared" si="74"/>
        <v>871.98680651021004</v>
      </c>
      <c r="O170" s="485">
        <f t="shared" si="74"/>
        <v>907.22671923042117</v>
      </c>
      <c r="P170" s="485">
        <f t="shared" si="74"/>
        <v>943.89079506784503</v>
      </c>
      <c r="Q170" s="485">
        <f t="shared" si="74"/>
        <v>982.03658923269313</v>
      </c>
      <c r="R170" s="485">
        <f t="shared" si="74"/>
        <v>1021.7239829343413</v>
      </c>
      <c r="S170" s="485">
        <f t="shared" si="74"/>
        <v>1063.0152773827635</v>
      </c>
      <c r="T170" s="485">
        <f t="shared" si="74"/>
        <v>1105.9752915888741</v>
      </c>
      <c r="U170" s="485">
        <f t="shared" si="74"/>
        <v>1150.6714641173119</v>
      </c>
      <c r="V170" s="485">
        <f t="shared" si="74"/>
        <v>1197.1739589513975</v>
      </c>
      <c r="W170" s="485">
        <f t="shared" si="74"/>
        <v>1245.5557756364449</v>
      </c>
      <c r="X170" s="485">
        <f t="shared" si="74"/>
        <v>1295.8928638743382</v>
      </c>
      <c r="Y170" s="485">
        <f t="shared" si="74"/>
        <v>1348.264242749256</v>
      </c>
      <c r="Z170" s="485">
        <f t="shared" si="74"/>
        <v>1402.7521247717107</v>
      </c>
      <c r="AA170" s="485">
        <f t="shared" si="74"/>
        <v>1459.4420449356196</v>
      </c>
      <c r="AB170" s="485">
        <f t="shared" si="74"/>
        <v>1518.4229949910095</v>
      </c>
      <c r="AC170" s="485">
        <f t="shared" si="74"/>
        <v>1579.7875631431289</v>
      </c>
      <c r="AD170" s="485">
        <f t="shared" si="74"/>
        <v>1643.6320793972709</v>
      </c>
      <c r="AE170" s="485">
        <f t="shared" si="74"/>
        <v>1710.0567667774703</v>
      </c>
      <c r="AF170" s="485">
        <f t="shared" si="74"/>
        <v>1779.1658986564503</v>
      </c>
      <c r="AG170" s="485">
        <f t="shared" si="74"/>
        <v>1851.0679624438055</v>
      </c>
      <c r="AH170" s="485">
        <f t="shared" si="74"/>
        <v>1925.8758298893715</v>
      </c>
      <c r="AI170" s="485">
        <f t="shared" si="74"/>
        <v>2003.706934269127</v>
      </c>
      <c r="AJ170" s="485">
        <f t="shared" si="74"/>
        <v>2084.6834547317662</v>
      </c>
      <c r="AK170" s="485">
        <f t="shared" si="74"/>
        <v>2168.9325080953454</v>
      </c>
      <c r="AL170" s="485">
        <f t="shared" ref="AL170" si="75">SUMPRODUCT($C$153:$C$155,AL166:AL168)</f>
        <v>2256.5863483950643</v>
      </c>
    </row>
    <row r="171" spans="2:38">
      <c r="D171" s="358"/>
      <c r="F171" s="464"/>
      <c r="G171" s="465"/>
      <c r="H171" s="465"/>
    </row>
    <row r="172" spans="2:38">
      <c r="B172" s="1177" t="s">
        <v>715</v>
      </c>
      <c r="C172" s="358" t="s">
        <v>295</v>
      </c>
      <c r="D172" s="383">
        <f>'2000 South'!D32</f>
        <v>515.84089185251321</v>
      </c>
      <c r="E172" s="383">
        <f>'2000 South'!E32</f>
        <v>536.68775314752463</v>
      </c>
      <c r="F172" s="383">
        <f>'2000 South'!F32</f>
        <v>558.37710605713607</v>
      </c>
      <c r="G172" s="383">
        <f>'2000 South'!G32</f>
        <v>580.94299849439392</v>
      </c>
      <c r="H172" s="383">
        <f>'2000 South'!H32</f>
        <v>604.42085436275636</v>
      </c>
      <c r="I172" s="383">
        <f>'2000 South'!I32</f>
        <v>628.84752916448042</v>
      </c>
      <c r="J172" s="383">
        <f>'2000 South'!J32</f>
        <v>654.26136785633594</v>
      </c>
      <c r="K172" s="383">
        <f>'2000 South'!K32</f>
        <v>680.7022650434576</v>
      </c>
      <c r="L172" s="383">
        <f>'2000 South'!L32</f>
        <v>708.21172760583727</v>
      </c>
      <c r="M172" s="383">
        <f>'2000 South'!M32</f>
        <v>736.83293985575813</v>
      </c>
      <c r="N172" s="383">
        <f>'2000 South'!N32</f>
        <v>766.61083132846534</v>
      </c>
      <c r="O172" s="383">
        <f>'2000 South'!O32</f>
        <v>797.59214731247869</v>
      </c>
      <c r="P172" s="383">
        <f>'2000 South'!P32</f>
        <v>829.82552223027722</v>
      </c>
      <c r="Q172" s="383">
        <f>'2000 South'!Q32</f>
        <v>863.3615559845407</v>
      </c>
      <c r="R172" s="383">
        <f>'2000 South'!R32</f>
        <v>898.25289338979803</v>
      </c>
      <c r="S172" s="383">
        <f>'2000 South'!S32</f>
        <v>934.55430681417977</v>
      </c>
      <c r="T172" s="383">
        <f>'2000 South'!T32</f>
        <v>972.32278216099508</v>
      </c>
      <c r="U172" s="383">
        <f>'2000 South'!U32</f>
        <v>1011.6176083251166</v>
      </c>
      <c r="V172" s="383">
        <f>'2000 South'!V32</f>
        <v>1052.5004702645979</v>
      </c>
      <c r="W172" s="383">
        <f>'2000 South'!W32</f>
        <v>1095.0355458336242</v>
      </c>
      <c r="X172" s="383">
        <f>'2000 South'!X32</f>
        <v>1139.2896065288116</v>
      </c>
      <c r="Y172" s="383">
        <f>'2000 South'!Y32</f>
        <v>1185.3321223070004</v>
      </c>
      <c r="Z172" s="383">
        <f>'2000 South'!Z32</f>
        <v>1233.2353706390863</v>
      </c>
      <c r="AA172" s="383">
        <f>'2000 South'!AA32</f>
        <v>1283.0745499710845</v>
      </c>
      <c r="AB172" s="383">
        <f>'2000 South'!AB32</f>
        <v>1334.9278977705339</v>
      </c>
      <c r="AC172" s="383">
        <f>'2000 South'!AC32</f>
        <v>1388.8768133435558</v>
      </c>
      <c r="AD172" s="383">
        <f>'2000 South'!AD32</f>
        <v>1445.0059856153596</v>
      </c>
      <c r="AE172" s="383">
        <f>'2000 South'!AE32</f>
        <v>1503.4035260747885</v>
      </c>
      <c r="AF172" s="383">
        <f>'2000 South'!AF32</f>
        <v>1564.1611070915983</v>
      </c>
      <c r="AG172" s="383">
        <f>'2000 South'!AG32</f>
        <v>1627.3741058236051</v>
      </c>
      <c r="AH172" s="383">
        <f>'2000 South'!AH32</f>
        <v>1693.1417539396018</v>
      </c>
      <c r="AI172" s="383">
        <f>'2000 South'!AI32</f>
        <v>1761.5672933930803</v>
      </c>
      <c r="AJ172" s="383">
        <f>'2000 South'!AJ32</f>
        <v>1832.7581384912892</v>
      </c>
      <c r="AK172" s="383">
        <f>'2000 South'!AK32</f>
        <v>1906.8260445140547</v>
      </c>
      <c r="AL172" s="383">
        <f>'2000 South'!AL32</f>
        <v>1983.8872831470421</v>
      </c>
    </row>
    <row r="173" spans="2:38">
      <c r="B173" s="1177" t="s">
        <v>716</v>
      </c>
      <c r="C173" s="358" t="s">
        <v>295</v>
      </c>
      <c r="D173" s="383">
        <f>'2000 South'!D33</f>
        <v>303.01143297630142</v>
      </c>
      <c r="E173" s="383">
        <f>'2000 South'!E33</f>
        <v>315.25714170903547</v>
      </c>
      <c r="F173" s="383">
        <f>'2000 South'!F33</f>
        <v>327.99774062097504</v>
      </c>
      <c r="G173" s="383">
        <f>'2000 South'!G33</f>
        <v>341.25322988481878</v>
      </c>
      <c r="H173" s="383">
        <f>'2000 South'!H33</f>
        <v>355.04441794735339</v>
      </c>
      <c r="I173" s="383">
        <f>'2000 South'!I33</f>
        <v>369.39295419451997</v>
      </c>
      <c r="J173" s="383">
        <f>'2000 South'!J33</f>
        <v>384.32136293658891</v>
      </c>
      <c r="K173" s="383">
        <f>'2000 South'!K33</f>
        <v>399.85307876678627</v>
      </c>
      <c r="L173" s="383">
        <f>'2000 South'!L33</f>
        <v>416.01248334888339</v>
      </c>
      <c r="M173" s="383">
        <f>'2000 South'!M33</f>
        <v>432.82494369149424</v>
      </c>
      <c r="N173" s="383">
        <f>'2000 South'!N33</f>
        <v>450.31685196916845</v>
      </c>
      <c r="O173" s="383">
        <f>'2000 South'!O33</f>
        <v>468.51566695278467</v>
      </c>
      <c r="P173" s="383">
        <f>'2000 South'!P33</f>
        <v>487.44995711428874</v>
      </c>
      <c r="Q173" s="383">
        <f>'2000 South'!Q33</f>
        <v>507.14944547343651</v>
      </c>
      <c r="R173" s="383">
        <f>'2000 South'!R33</f>
        <v>527.64505625694426</v>
      </c>
      <c r="S173" s="383">
        <f>'2000 South'!S33</f>
        <v>548.96896344329446</v>
      </c>
      <c r="T173" s="383">
        <f>'2000 South'!T33</f>
        <v>571.15464126939571</v>
      </c>
      <c r="U173" s="383">
        <f>'2000 South'!U33</f>
        <v>594.2369167783902</v>
      </c>
      <c r="V173" s="383">
        <f>'2000 South'!V33</f>
        <v>618.25202449109236</v>
      </c>
      <c r="W173" s="383">
        <f>'2000 South'!W33</f>
        <v>643.23766328688407</v>
      </c>
      <c r="X173" s="383">
        <f>'2000 South'!X33</f>
        <v>669.2330555833579</v>
      </c>
      <c r="Y173" s="383">
        <f>'2000 South'!Y33</f>
        <v>696.27900890760861</v>
      </c>
      <c r="Z173" s="383">
        <f>'2000 South'!Z33</f>
        <v>724.41797995582692</v>
      </c>
      <c r="AA173" s="383">
        <f>'2000 South'!AA33</f>
        <v>753.69414124175591</v>
      </c>
      <c r="AB173" s="383">
        <f>'2000 South'!AB33</f>
        <v>784.15345043863533</v>
      </c>
      <c r="AC173" s="383">
        <f>'2000 South'!AC33</f>
        <v>815.84372252348737</v>
      </c>
      <c r="AD173" s="383">
        <f>'2000 South'!AD33</f>
        <v>848.81470483699445</v>
      </c>
      <c r="AE173" s="383">
        <f>'2000 South'!AE33</f>
        <v>883.11815517679884</v>
      </c>
      <c r="AF173" s="383">
        <f>'2000 South'!AF33</f>
        <v>918.80792304681302</v>
      </c>
      <c r="AG173" s="383">
        <f>'2000 South'!AG33</f>
        <v>955.9400341900897</v>
      </c>
      <c r="AH173" s="383">
        <f>'2000 South'!AH33</f>
        <v>994.5727785379479</v>
      </c>
      <c r="AI173" s="383">
        <f>'2000 South'!AI33</f>
        <v>1034.7668017134176</v>
      </c>
      <c r="AJ173" s="383">
        <f>'2000 South'!AJ33</f>
        <v>1076.5852002326455</v>
      </c>
      <c r="AK173" s="383">
        <f>'2000 South'!AK33</f>
        <v>1120.0936205537105</v>
      </c>
      <c r="AL173" s="383">
        <f>'2000 South'!AL33</f>
        <v>1165.3603621283323</v>
      </c>
    </row>
    <row r="174" spans="2:38">
      <c r="D174" s="358"/>
      <c r="F174" s="464"/>
      <c r="G174" s="465"/>
      <c r="H174" s="465"/>
    </row>
    <row r="175" spans="2:38">
      <c r="B175" s="358" t="s">
        <v>208</v>
      </c>
      <c r="C175" s="362" t="s">
        <v>292</v>
      </c>
      <c r="D175" s="485">
        <f>SUMPRODUCT(D172:D173,D$150:D$151)</f>
        <v>1805.0469015696692</v>
      </c>
      <c r="E175" s="485">
        <f t="shared" ref="E175:AK175" si="76">SUMPRODUCT(E172:E173,E$150:E$151)</f>
        <v>1896.258939465609</v>
      </c>
      <c r="F175" s="485">
        <f t="shared" si="76"/>
        <v>1977.1188106279949</v>
      </c>
      <c r="G175" s="485">
        <f t="shared" si="76"/>
        <v>2059.6499444344745</v>
      </c>
      <c r="H175" s="485">
        <f t="shared" si="76"/>
        <v>2171.1074826432864</v>
      </c>
      <c r="I175" s="485">
        <f t="shared" si="76"/>
        <v>2297.6377063056293</v>
      </c>
      <c r="J175" s="485">
        <f t="shared" si="76"/>
        <v>2418.6403913551076</v>
      </c>
      <c r="K175" s="485">
        <f t="shared" si="76"/>
        <v>2548.8439387206663</v>
      </c>
      <c r="L175" s="485">
        <f t="shared" si="76"/>
        <v>2693.3853716753101</v>
      </c>
      <c r="M175" s="485">
        <f t="shared" si="76"/>
        <v>2897.4003113224521</v>
      </c>
      <c r="N175" s="485">
        <f t="shared" si="76"/>
        <v>3050.246645076214</v>
      </c>
      <c r="O175" s="485">
        <f t="shared" si="76"/>
        <v>3208.7527870568247</v>
      </c>
      <c r="P175" s="485">
        <f t="shared" si="76"/>
        <v>3410.8220369942092</v>
      </c>
      <c r="Q175" s="485">
        <f t="shared" si="76"/>
        <v>3606.601510587846</v>
      </c>
      <c r="R175" s="485">
        <f t="shared" si="76"/>
        <v>3800.3439885420712</v>
      </c>
      <c r="S175" s="485">
        <f t="shared" si="76"/>
        <v>4010.3425540700373</v>
      </c>
      <c r="T175" s="485">
        <f t="shared" si="76"/>
        <v>4199.7231954179179</v>
      </c>
      <c r="U175" s="485">
        <f t="shared" si="76"/>
        <v>4424.4334164418087</v>
      </c>
      <c r="V175" s="485">
        <f t="shared" si="76"/>
        <v>4669.672202386374</v>
      </c>
      <c r="W175" s="485">
        <f t="shared" si="76"/>
        <v>4874.6707803360841</v>
      </c>
      <c r="X175" s="485">
        <f t="shared" si="76"/>
        <v>5117.0073145944298</v>
      </c>
      <c r="Y175" s="485">
        <f t="shared" si="76"/>
        <v>5422.2453037142577</v>
      </c>
      <c r="Z175" s="485">
        <f t="shared" si="76"/>
        <v>5694.8199614099976</v>
      </c>
      <c r="AA175" s="485">
        <f t="shared" si="76"/>
        <v>5983.1152703469588</v>
      </c>
      <c r="AB175" s="485">
        <f t="shared" si="76"/>
        <v>6325.1933966586894</v>
      </c>
      <c r="AC175" s="485">
        <f t="shared" si="76"/>
        <v>6601.9650644594367</v>
      </c>
      <c r="AD175" s="485">
        <f t="shared" si="76"/>
        <v>6986.7522506100595</v>
      </c>
      <c r="AE175" s="485">
        <f t="shared" si="76"/>
        <v>7361.1618684614205</v>
      </c>
      <c r="AF175" s="485">
        <f t="shared" si="76"/>
        <v>7731.6410675195239</v>
      </c>
      <c r="AG175" s="485">
        <f t="shared" si="76"/>
        <v>8110.6959919430592</v>
      </c>
      <c r="AH175" s="485">
        <f t="shared" si="76"/>
        <v>8524.3536427727377</v>
      </c>
      <c r="AI175" s="485">
        <f t="shared" si="76"/>
        <v>8958.7904848279213</v>
      </c>
      <c r="AJ175" s="485">
        <f t="shared" si="76"/>
        <v>9415.0401605245297</v>
      </c>
      <c r="AK175" s="485">
        <f t="shared" si="76"/>
        <v>9894.1874006117359</v>
      </c>
      <c r="AL175" s="485">
        <f t="shared" ref="AL175" si="77">SUMPRODUCT(AL172:AL173,AL$150:AL$151)</f>
        <v>10397.370538457859</v>
      </c>
    </row>
    <row r="177" spans="1:38" ht="13">
      <c r="B177" s="364" t="s">
        <v>527</v>
      </c>
      <c r="C177" s="387" t="s">
        <v>292</v>
      </c>
      <c r="D177" s="488">
        <f>D170+D175</f>
        <v>2391.7937013433939</v>
      </c>
      <c r="E177" s="488">
        <f t="shared" ref="E177:AK177" si="78">E170+E175</f>
        <v>2506.7181461914988</v>
      </c>
      <c r="F177" s="488">
        <f t="shared" si="78"/>
        <v>2612.2487222357227</v>
      </c>
      <c r="G177" s="488">
        <f t="shared" si="78"/>
        <v>2720.4475868885283</v>
      </c>
      <c r="H177" s="488">
        <f t="shared" si="78"/>
        <v>2858.6101750728067</v>
      </c>
      <c r="I177" s="488">
        <f t="shared" si="78"/>
        <v>3012.9246893863892</v>
      </c>
      <c r="J177" s="488">
        <f t="shared" si="78"/>
        <v>3162.8345214998799</v>
      </c>
      <c r="K177" s="488">
        <f t="shared" si="78"/>
        <v>3323.1134507375014</v>
      </c>
      <c r="L177" s="488">
        <f t="shared" si="78"/>
        <v>3498.9457126607535</v>
      </c>
      <c r="M177" s="488">
        <f t="shared" si="78"/>
        <v>3735.5160486685372</v>
      </c>
      <c r="N177" s="488">
        <f t="shared" si="78"/>
        <v>3922.2334515864241</v>
      </c>
      <c r="O177" s="488">
        <f t="shared" si="78"/>
        <v>4115.9795062872454</v>
      </c>
      <c r="P177" s="488">
        <f t="shared" si="78"/>
        <v>4354.7128320620541</v>
      </c>
      <c r="Q177" s="488">
        <f t="shared" si="78"/>
        <v>4588.6380998205386</v>
      </c>
      <c r="R177" s="488">
        <f t="shared" si="78"/>
        <v>4822.0679714764128</v>
      </c>
      <c r="S177" s="488">
        <f t="shared" si="78"/>
        <v>5073.3578314528004</v>
      </c>
      <c r="T177" s="488">
        <f t="shared" si="78"/>
        <v>5305.6984870067918</v>
      </c>
      <c r="U177" s="488">
        <f t="shared" si="78"/>
        <v>5575.1048805591208</v>
      </c>
      <c r="V177" s="488">
        <f t="shared" si="78"/>
        <v>5866.8461613377713</v>
      </c>
      <c r="W177" s="488">
        <f t="shared" si="78"/>
        <v>6120.2265559725292</v>
      </c>
      <c r="X177" s="488">
        <f t="shared" si="78"/>
        <v>6412.900178468768</v>
      </c>
      <c r="Y177" s="488">
        <f t="shared" si="78"/>
        <v>6770.5095464635142</v>
      </c>
      <c r="Z177" s="488">
        <f t="shared" si="78"/>
        <v>7097.5720861817081</v>
      </c>
      <c r="AA177" s="488">
        <f t="shared" si="78"/>
        <v>7442.5573152825782</v>
      </c>
      <c r="AB177" s="488">
        <f t="shared" si="78"/>
        <v>7843.6163916496989</v>
      </c>
      <c r="AC177" s="488">
        <f t="shared" si="78"/>
        <v>8181.7526276025656</v>
      </c>
      <c r="AD177" s="488">
        <f t="shared" si="78"/>
        <v>8630.3843300073313</v>
      </c>
      <c r="AE177" s="488">
        <f t="shared" si="78"/>
        <v>9071.2186352388908</v>
      </c>
      <c r="AF177" s="488">
        <f t="shared" si="78"/>
        <v>9510.8069661759746</v>
      </c>
      <c r="AG177" s="488">
        <f t="shared" si="78"/>
        <v>9961.7639543868645</v>
      </c>
      <c r="AH177" s="488">
        <f t="shared" si="78"/>
        <v>10450.229472662109</v>
      </c>
      <c r="AI177" s="488">
        <f t="shared" si="78"/>
        <v>10962.497419097048</v>
      </c>
      <c r="AJ177" s="488">
        <f t="shared" si="78"/>
        <v>11499.723615256296</v>
      </c>
      <c r="AK177" s="488">
        <f t="shared" si="78"/>
        <v>12063.119908707082</v>
      </c>
      <c r="AL177" s="488">
        <f t="shared" ref="AL177" si="79">AL170+AL175</f>
        <v>12653.956886852924</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'2000 South'!D48</f>
        <v>1442.9115856014355</v>
      </c>
      <c r="E181" s="383">
        <f>'2000 South'!E48</f>
        <v>1501.2244843287403</v>
      </c>
      <c r="F181" s="383">
        <f>'2000 South'!F48</f>
        <v>1561.894002957024</v>
      </c>
      <c r="G181" s="383">
        <f>'2000 South'!G48</f>
        <v>1625.0153804038991</v>
      </c>
      <c r="H181" s="383">
        <f>'2000 South'!H48</f>
        <v>1268.0157783834047</v>
      </c>
      <c r="I181" s="383">
        <f>'2000 South'!I48</f>
        <v>1319.2605506947139</v>
      </c>
      <c r="J181" s="383">
        <f>'2000 South'!J48</f>
        <v>1372.5762962021035</v>
      </c>
      <c r="K181" s="383">
        <f>'2000 South'!K48</f>
        <v>1428.0467098813801</v>
      </c>
      <c r="L181" s="383">
        <f>'2000 South'!L48</f>
        <v>1485.7588691031549</v>
      </c>
      <c r="M181" s="383">
        <f>'2000 South'!M48</f>
        <v>1545.8033703267656</v>
      </c>
      <c r="N181" s="383">
        <f>'2000 South'!N48</f>
        <v>1608.2744713184588</v>
      </c>
      <c r="O181" s="383">
        <f>'2000 South'!O48</f>
        <v>1673.2702391170887</v>
      </c>
      <c r="P181" s="383">
        <f>'2000 South'!P48</f>
        <v>1740.8927039796033</v>
      </c>
      <c r="Q181" s="383">
        <f>'2000 South'!Q48</f>
        <v>1811.2480195479875</v>
      </c>
      <c r="R181" s="383">
        <f>'2000 South'!R48</f>
        <v>1884.4466294890863</v>
      </c>
      <c r="S181" s="383">
        <f>'2000 South'!S48</f>
        <v>1960.6034408689095</v>
      </c>
      <c r="T181" s="383">
        <f>'2000 South'!T48</f>
        <v>2039.8380045335571</v>
      </c>
      <c r="U181" s="383">
        <f>'2000 South'!U48</f>
        <v>2122.2747027799655</v>
      </c>
      <c r="V181" s="383">
        <f>'2000 South'!V48</f>
        <v>2208.0429446110443</v>
      </c>
      <c r="W181" s="383">
        <f>'2000 South'!W48</f>
        <v>2297.2773688817288</v>
      </c>
      <c r="X181" s="383">
        <f>'2000 South'!X48</f>
        <v>2390.1180556548493</v>
      </c>
      <c r="Y181" s="383">
        <f>'2000 South'!Y48</f>
        <v>2486.7107460986022</v>
      </c>
      <c r="Z181" s="383">
        <f>'2000 South'!Z48</f>
        <v>2587.2070712708119</v>
      </c>
      <c r="AA181" s="383">
        <f>'2000 South'!AA48</f>
        <v>2691.7647901491287</v>
      </c>
      <c r="AB181" s="383">
        <f>'2000 South'!AB48</f>
        <v>2800.5480372808406</v>
      </c>
      <c r="AC181" s="383">
        <f>'2000 South'!AC48</f>
        <v>2913.7275804410265</v>
      </c>
      <c r="AD181" s="383">
        <f>'2000 South'!AD48</f>
        <v>3031.4810887035528</v>
      </c>
      <c r="AE181" s="383">
        <f>'2000 South'!AE48</f>
        <v>3153.9934113457102</v>
      </c>
      <c r="AF181" s="383">
        <f>'2000 South'!AF48</f>
        <v>3281.4568680243315</v>
      </c>
      <c r="AG181" s="383">
        <f>'2000 South'!AG48</f>
        <v>3414.0715506788911</v>
      </c>
      <c r="AH181" s="383">
        <f>'2000 South'!AH48</f>
        <v>3552.0456376355282</v>
      </c>
      <c r="AI181" s="383">
        <f>'2000 South'!AI48</f>
        <v>3695.5957204050642</v>
      </c>
      <c r="AJ181" s="383">
        <f>'2000 South'!AJ48</f>
        <v>3844.9471436880194</v>
      </c>
      <c r="AK181" s="383">
        <f>'2000 South'!AK48</f>
        <v>4000.3343591203939</v>
      </c>
      <c r="AL181" s="383">
        <f>'2000 South'!AL48</f>
        <v>4162.001293315474</v>
      </c>
    </row>
    <row r="182" spans="1:38">
      <c r="B182" s="385" t="s">
        <v>509</v>
      </c>
      <c r="C182" s="386" t="s">
        <v>443</v>
      </c>
      <c r="D182" s="383">
        <f>'2000 South'!D49</f>
        <v>360.72789640035887</v>
      </c>
      <c r="E182" s="383">
        <f>'2000 South'!E49</f>
        <v>375.30612108218509</v>
      </c>
      <c r="F182" s="383">
        <f>'2000 South'!F49</f>
        <v>390.473500739256</v>
      </c>
      <c r="G182" s="383">
        <f>'2000 South'!G49</f>
        <v>406.25384510097479</v>
      </c>
      <c r="H182" s="383">
        <f>'2000 South'!H49</f>
        <v>317.00394459585118</v>
      </c>
      <c r="I182" s="383">
        <f>'2000 South'!I49</f>
        <v>329.81513767367846</v>
      </c>
      <c r="J182" s="383">
        <f>'2000 South'!J49</f>
        <v>343.14407405052589</v>
      </c>
      <c r="K182" s="383">
        <f>'2000 South'!K49</f>
        <v>357.01167747034503</v>
      </c>
      <c r="L182" s="383">
        <f>'2000 South'!L49</f>
        <v>371.43971727578872</v>
      </c>
      <c r="M182" s="383">
        <f>'2000 South'!M49</f>
        <v>386.4508425816914</v>
      </c>
      <c r="N182" s="383">
        <f>'2000 South'!N49</f>
        <v>402.06861782961471</v>
      </c>
      <c r="O182" s="383">
        <f>'2000 South'!O49</f>
        <v>418.31755977927219</v>
      </c>
      <c r="P182" s="383">
        <f>'2000 South'!P49</f>
        <v>435.22317599490083</v>
      </c>
      <c r="Q182" s="383">
        <f>'2000 South'!Q49</f>
        <v>452.81200488699687</v>
      </c>
      <c r="R182" s="383">
        <f>'2000 South'!R49</f>
        <v>471.11165737227157</v>
      </c>
      <c r="S182" s="383">
        <f>'2000 South'!S49</f>
        <v>490.15086021722738</v>
      </c>
      <c r="T182" s="383">
        <f>'2000 South'!T49</f>
        <v>509.95950113338927</v>
      </c>
      <c r="U182" s="383">
        <f>'2000 South'!U49</f>
        <v>530.56867569499138</v>
      </c>
      <c r="V182" s="383">
        <f>'2000 South'!V49</f>
        <v>552.01073615276107</v>
      </c>
      <c r="W182" s="383">
        <f>'2000 South'!W49</f>
        <v>574.31934222043219</v>
      </c>
      <c r="X182" s="383">
        <f>'2000 South'!X49</f>
        <v>597.52951391371232</v>
      </c>
      <c r="Y182" s="383">
        <f>'2000 South'!Y49</f>
        <v>621.67768652465054</v>
      </c>
      <c r="Z182" s="383">
        <f>'2000 South'!Z49</f>
        <v>646.80176781770297</v>
      </c>
      <c r="AA182" s="383">
        <f>'2000 South'!AA49</f>
        <v>672.94119753728216</v>
      </c>
      <c r="AB182" s="383">
        <f>'2000 South'!AB49</f>
        <v>700.13700932021015</v>
      </c>
      <c r="AC182" s="383">
        <f>'2000 South'!AC49</f>
        <v>728.43189511025662</v>
      </c>
      <c r="AD182" s="383">
        <f>'2000 South'!AD49</f>
        <v>757.8702721758882</v>
      </c>
      <c r="AE182" s="383">
        <f>'2000 South'!AE49</f>
        <v>788.49835283642756</v>
      </c>
      <c r="AF182" s="383">
        <f>'2000 South'!AF49</f>
        <v>820.36421700608287</v>
      </c>
      <c r="AG182" s="383">
        <f>'2000 South'!AG49</f>
        <v>853.51788766972277</v>
      </c>
      <c r="AH182" s="383">
        <f>'2000 South'!AH49</f>
        <v>888.01140940888206</v>
      </c>
      <c r="AI182" s="383">
        <f>'2000 South'!AI49</f>
        <v>923.89893010126605</v>
      </c>
      <c r="AJ182" s="383">
        <f>'2000 South'!AJ49</f>
        <v>961.23678592200486</v>
      </c>
      <c r="AK182" s="383">
        <f>'2000 South'!AK49</f>
        <v>1000.0835897800985</v>
      </c>
      <c r="AL182" s="383">
        <f>'2000 South'!AL49</f>
        <v>1040.5003233288685</v>
      </c>
    </row>
    <row r="183" spans="1:38">
      <c r="B183" s="358" t="s">
        <v>769</v>
      </c>
      <c r="C183" s="358" t="s">
        <v>443</v>
      </c>
      <c r="D183" s="383">
        <f>'2000 South'!D50</f>
        <v>0</v>
      </c>
      <c r="E183" s="383">
        <f>'2000 South'!E50</f>
        <v>0</v>
      </c>
      <c r="F183" s="383">
        <f>'2000 South'!F50</f>
        <v>0</v>
      </c>
      <c r="G183" s="383">
        <f>'2000 South'!G50</f>
        <v>0</v>
      </c>
      <c r="H183" s="383">
        <f>'2000 South'!H50</f>
        <v>0</v>
      </c>
      <c r="I183" s="383">
        <f>'2000 South'!I50</f>
        <v>0</v>
      </c>
      <c r="J183" s="383">
        <f>'2000 South'!J50</f>
        <v>0</v>
      </c>
      <c r="K183" s="383">
        <f>'2000 South'!K50</f>
        <v>0</v>
      </c>
      <c r="L183" s="383">
        <f>'2000 South'!L50</f>
        <v>0</v>
      </c>
      <c r="M183" s="383">
        <f>'2000 South'!M50</f>
        <v>0</v>
      </c>
      <c r="N183" s="383">
        <f>'2000 South'!N50</f>
        <v>0</v>
      </c>
      <c r="O183" s="383">
        <f>'2000 South'!O50</f>
        <v>0</v>
      </c>
      <c r="P183" s="383">
        <f>'2000 South'!P50</f>
        <v>0</v>
      </c>
      <c r="Q183" s="383">
        <f>'2000 South'!Q50</f>
        <v>0</v>
      </c>
      <c r="R183" s="383">
        <f>'2000 South'!R50</f>
        <v>0</v>
      </c>
      <c r="S183" s="383">
        <f>'2000 South'!S50</f>
        <v>0</v>
      </c>
      <c r="T183" s="383">
        <f>'2000 South'!T50</f>
        <v>0</v>
      </c>
      <c r="U183" s="383">
        <f>'2000 South'!U50</f>
        <v>0</v>
      </c>
      <c r="V183" s="383">
        <f>'2000 South'!V50</f>
        <v>0</v>
      </c>
      <c r="W183" s="383">
        <f>'2000 South'!W50</f>
        <v>0</v>
      </c>
      <c r="X183" s="383">
        <f>'2000 South'!X50</f>
        <v>0</v>
      </c>
      <c r="Y183" s="383">
        <f>'2000 South'!Y50</f>
        <v>0</v>
      </c>
      <c r="Z183" s="383">
        <f>'2000 South'!Z50</f>
        <v>0</v>
      </c>
      <c r="AA183" s="383">
        <f>'2000 South'!AA50</f>
        <v>0</v>
      </c>
      <c r="AB183" s="383">
        <f>'2000 South'!AB50</f>
        <v>0</v>
      </c>
      <c r="AC183" s="383">
        <f>'2000 South'!AC50</f>
        <v>0</v>
      </c>
      <c r="AD183" s="383">
        <f>'2000 South'!AD50</f>
        <v>0</v>
      </c>
      <c r="AE183" s="383">
        <f>'2000 South'!AE50</f>
        <v>0</v>
      </c>
      <c r="AF183" s="383">
        <f>'2000 South'!AF50</f>
        <v>0</v>
      </c>
      <c r="AG183" s="383">
        <f>'2000 South'!AG50</f>
        <v>0</v>
      </c>
      <c r="AH183" s="383">
        <f>'2000 South'!AH50</f>
        <v>0</v>
      </c>
      <c r="AI183" s="383">
        <f>'2000 South'!AI50</f>
        <v>0</v>
      </c>
      <c r="AJ183" s="383">
        <f>'2000 South'!AJ50</f>
        <v>0</v>
      </c>
      <c r="AK183" s="383">
        <f>'2000 South'!AK50</f>
        <v>0</v>
      </c>
      <c r="AL183" s="383">
        <f>'2000 South'!AL50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49.780449703249516</v>
      </c>
      <c r="E185" s="383">
        <f t="shared" ref="E185:AK187" si="80">E181*$C163</f>
        <v>51.792244709341539</v>
      </c>
      <c r="F185" s="383">
        <f t="shared" si="80"/>
        <v>53.885343102017323</v>
      </c>
      <c r="G185" s="383">
        <f t="shared" si="80"/>
        <v>56.063030623934516</v>
      </c>
      <c r="H185" s="383">
        <f t="shared" si="80"/>
        <v>43.74654435422746</v>
      </c>
      <c r="I185" s="383">
        <f t="shared" si="80"/>
        <v>45.514488998967622</v>
      </c>
      <c r="J185" s="383">
        <f t="shared" si="80"/>
        <v>47.353882218972565</v>
      </c>
      <c r="K185" s="383">
        <f t="shared" si="80"/>
        <v>49.267611490907612</v>
      </c>
      <c r="L185" s="383">
        <f t="shared" si="80"/>
        <v>51.258680984058834</v>
      </c>
      <c r="M185" s="383">
        <f t="shared" si="80"/>
        <v>53.330216276273404</v>
      </c>
      <c r="N185" s="383">
        <f t="shared" si="80"/>
        <v>55.485469260486823</v>
      </c>
      <c r="O185" s="383">
        <f t="shared" si="80"/>
        <v>57.727823249539554</v>
      </c>
      <c r="P185" s="383">
        <f t="shared" si="80"/>
        <v>60.060798287296308</v>
      </c>
      <c r="Q185" s="383">
        <f t="shared" si="80"/>
        <v>62.488056674405563</v>
      </c>
      <c r="R185" s="383">
        <f t="shared" si="80"/>
        <v>65.013408717373466</v>
      </c>
      <c r="S185" s="383">
        <f t="shared" si="80"/>
        <v>67.640818709977367</v>
      </c>
      <c r="T185" s="383">
        <f t="shared" si="80"/>
        <v>70.374411156407717</v>
      </c>
      <c r="U185" s="383">
        <f t="shared" si="80"/>
        <v>73.218477245908801</v>
      </c>
      <c r="V185" s="383">
        <f t="shared" si="80"/>
        <v>76.177481589081012</v>
      </c>
      <c r="W185" s="383">
        <f t="shared" si="80"/>
        <v>79.256069226419626</v>
      </c>
      <c r="X185" s="383">
        <f t="shared" si="80"/>
        <v>82.459072920092296</v>
      </c>
      <c r="Y185" s="383">
        <f t="shared" si="80"/>
        <v>85.791520740401765</v>
      </c>
      <c r="Z185" s="383">
        <f t="shared" si="80"/>
        <v>89.258643958842995</v>
      </c>
      <c r="AA185" s="383">
        <f t="shared" si="80"/>
        <v>92.865885260144921</v>
      </c>
      <c r="AB185" s="383">
        <f t="shared" si="80"/>
        <v>96.618907286188985</v>
      </c>
      <c r="AC185" s="383">
        <f t="shared" si="80"/>
        <v>100.5236015252154</v>
      </c>
      <c r="AD185" s="383">
        <f t="shared" si="80"/>
        <v>104.58609756027256</v>
      </c>
      <c r="AE185" s="383">
        <f t="shared" si="80"/>
        <v>108.81277269142699</v>
      </c>
      <c r="AF185" s="383">
        <f t="shared" si="80"/>
        <v>113.21026194683942</v>
      </c>
      <c r="AG185" s="383">
        <f t="shared" si="80"/>
        <v>117.78546849842172</v>
      </c>
      <c r="AH185" s="383">
        <f t="shared" si="80"/>
        <v>122.54557449842571</v>
      </c>
      <c r="AI185" s="383">
        <f t="shared" si="80"/>
        <v>127.4980523539747</v>
      </c>
      <c r="AJ185" s="383">
        <f t="shared" si="80"/>
        <v>132.65067645723664</v>
      </c>
      <c r="AK185" s="383">
        <f t="shared" si="80"/>
        <v>138.01153538965357</v>
      </c>
      <c r="AL185" s="383">
        <f t="shared" ref="AL185" si="81">AL181*$C163</f>
        <v>143.58904461938383</v>
      </c>
    </row>
    <row r="186" spans="1:38">
      <c r="B186" s="385" t="s">
        <v>501</v>
      </c>
      <c r="C186" s="386" t="s">
        <v>479</v>
      </c>
      <c r="D186" s="383">
        <f>D182*$C164</f>
        <v>12.445112425812379</v>
      </c>
      <c r="E186" s="383">
        <f t="shared" si="80"/>
        <v>12.948061177335385</v>
      </c>
      <c r="F186" s="383">
        <f t="shared" si="80"/>
        <v>13.471335775504331</v>
      </c>
      <c r="G186" s="383">
        <f t="shared" si="80"/>
        <v>14.015757655983629</v>
      </c>
      <c r="H186" s="383">
        <f t="shared" si="80"/>
        <v>10.936636088556865</v>
      </c>
      <c r="I186" s="383">
        <f t="shared" si="80"/>
        <v>11.378622249741905</v>
      </c>
      <c r="J186" s="383">
        <f t="shared" si="80"/>
        <v>11.838470554743141</v>
      </c>
      <c r="K186" s="383">
        <f t="shared" si="80"/>
        <v>12.316902872726903</v>
      </c>
      <c r="L186" s="383">
        <f t="shared" si="80"/>
        <v>12.814670246014709</v>
      </c>
      <c r="M186" s="383">
        <f t="shared" si="80"/>
        <v>13.332554069068351</v>
      </c>
      <c r="N186" s="383">
        <f t="shared" si="80"/>
        <v>13.871367315121706</v>
      </c>
      <c r="O186" s="383">
        <f t="shared" si="80"/>
        <v>14.431955812384889</v>
      </c>
      <c r="P186" s="383">
        <f t="shared" si="80"/>
        <v>15.015199571824077</v>
      </c>
      <c r="Q186" s="383">
        <f t="shared" si="80"/>
        <v>15.622014168601391</v>
      </c>
      <c r="R186" s="383">
        <f t="shared" si="80"/>
        <v>16.253352179343366</v>
      </c>
      <c r="S186" s="383">
        <f t="shared" si="80"/>
        <v>16.910204677494342</v>
      </c>
      <c r="T186" s="383">
        <f t="shared" si="80"/>
        <v>17.593602789101929</v>
      </c>
      <c r="U186" s="383">
        <f t="shared" si="80"/>
        <v>18.3046193114772</v>
      </c>
      <c r="V186" s="383">
        <f t="shared" si="80"/>
        <v>19.044370397270253</v>
      </c>
      <c r="W186" s="383">
        <f t="shared" si="80"/>
        <v>19.814017306604907</v>
      </c>
      <c r="X186" s="383">
        <f t="shared" si="80"/>
        <v>20.614768230023074</v>
      </c>
      <c r="Y186" s="383">
        <f t="shared" si="80"/>
        <v>21.447880185100441</v>
      </c>
      <c r="Z186" s="383">
        <f t="shared" si="80"/>
        <v>22.314660989710749</v>
      </c>
      <c r="AA186" s="383">
        <f t="shared" si="80"/>
        <v>23.21647131503623</v>
      </c>
      <c r="AB186" s="383">
        <f t="shared" si="80"/>
        <v>24.154726821547246</v>
      </c>
      <c r="AC186" s="383">
        <f t="shared" si="80"/>
        <v>25.130900381303849</v>
      </c>
      <c r="AD186" s="383">
        <f t="shared" si="80"/>
        <v>26.146524390068141</v>
      </c>
      <c r="AE186" s="383">
        <f t="shared" si="80"/>
        <v>27.203193172856746</v>
      </c>
      <c r="AF186" s="383">
        <f t="shared" si="80"/>
        <v>28.302565486709856</v>
      </c>
      <c r="AG186" s="383">
        <f t="shared" si="80"/>
        <v>29.44636712460543</v>
      </c>
      <c r="AH186" s="383">
        <f t="shared" si="80"/>
        <v>30.636393624606427</v>
      </c>
      <c r="AI186" s="383">
        <f t="shared" si="80"/>
        <v>31.874513088493675</v>
      </c>
      <c r="AJ186" s="383">
        <f t="shared" si="80"/>
        <v>33.162669114309161</v>
      </c>
      <c r="AK186" s="383">
        <f t="shared" si="80"/>
        <v>34.502883847413393</v>
      </c>
      <c r="AL186" s="383">
        <f t="shared" ref="AL186" si="82">AL182*$C164</f>
        <v>35.897261154845957</v>
      </c>
    </row>
    <row r="187" spans="1:38">
      <c r="B187" s="385" t="s">
        <v>768</v>
      </c>
      <c r="C187" s="386" t="s">
        <v>479</v>
      </c>
      <c r="D187" s="383">
        <f>D183*$C165</f>
        <v>0</v>
      </c>
      <c r="E187" s="383">
        <f t="shared" si="80"/>
        <v>0</v>
      </c>
      <c r="F187" s="383">
        <f t="shared" si="80"/>
        <v>0</v>
      </c>
      <c r="G187" s="383">
        <f t="shared" si="80"/>
        <v>0</v>
      </c>
      <c r="H187" s="383">
        <f t="shared" si="80"/>
        <v>0</v>
      </c>
      <c r="I187" s="383">
        <f t="shared" si="80"/>
        <v>0</v>
      </c>
      <c r="J187" s="383">
        <f t="shared" si="80"/>
        <v>0</v>
      </c>
      <c r="K187" s="383">
        <f t="shared" si="80"/>
        <v>0</v>
      </c>
      <c r="L187" s="383">
        <f t="shared" si="80"/>
        <v>0</v>
      </c>
      <c r="M187" s="383">
        <f t="shared" si="80"/>
        <v>0</v>
      </c>
      <c r="N187" s="383">
        <f t="shared" si="80"/>
        <v>0</v>
      </c>
      <c r="O187" s="383">
        <f t="shared" si="80"/>
        <v>0</v>
      </c>
      <c r="P187" s="383">
        <f t="shared" si="80"/>
        <v>0</v>
      </c>
      <c r="Q187" s="383">
        <f t="shared" si="80"/>
        <v>0</v>
      </c>
      <c r="R187" s="383">
        <f t="shared" si="80"/>
        <v>0</v>
      </c>
      <c r="S187" s="383">
        <f t="shared" si="80"/>
        <v>0</v>
      </c>
      <c r="T187" s="383">
        <f t="shared" si="80"/>
        <v>0</v>
      </c>
      <c r="U187" s="383">
        <f t="shared" si="80"/>
        <v>0</v>
      </c>
      <c r="V187" s="383">
        <f t="shared" si="80"/>
        <v>0</v>
      </c>
      <c r="W187" s="383">
        <f t="shared" si="80"/>
        <v>0</v>
      </c>
      <c r="X187" s="383">
        <f t="shared" si="80"/>
        <v>0</v>
      </c>
      <c r="Y187" s="383">
        <f t="shared" si="80"/>
        <v>0</v>
      </c>
      <c r="Z187" s="383">
        <f t="shared" si="80"/>
        <v>0</v>
      </c>
      <c r="AA187" s="383">
        <f t="shared" si="80"/>
        <v>0</v>
      </c>
      <c r="AB187" s="383">
        <f t="shared" si="80"/>
        <v>0</v>
      </c>
      <c r="AC187" s="383">
        <f t="shared" si="80"/>
        <v>0</v>
      </c>
      <c r="AD187" s="383">
        <f t="shared" si="80"/>
        <v>0</v>
      </c>
      <c r="AE187" s="383">
        <f t="shared" si="80"/>
        <v>0</v>
      </c>
      <c r="AF187" s="383">
        <f t="shared" si="80"/>
        <v>0</v>
      </c>
      <c r="AG187" s="383">
        <f t="shared" si="80"/>
        <v>0</v>
      </c>
      <c r="AH187" s="383">
        <f t="shared" si="80"/>
        <v>0</v>
      </c>
      <c r="AI187" s="383">
        <f t="shared" si="80"/>
        <v>0</v>
      </c>
      <c r="AJ187" s="383">
        <f t="shared" si="80"/>
        <v>0</v>
      </c>
      <c r="AK187" s="383">
        <f t="shared" si="80"/>
        <v>0</v>
      </c>
      <c r="AL187" s="383">
        <f t="shared" ref="AL187" si="83">AL183*$C165</f>
        <v>0</v>
      </c>
    </row>
    <row r="188" spans="1:38">
      <c r="D188" s="358"/>
      <c r="F188" s="464"/>
      <c r="G188" s="465"/>
      <c r="H188" s="465"/>
    </row>
    <row r="189" spans="1:38">
      <c r="B189" s="358" t="s">
        <v>459</v>
      </c>
      <c r="C189" s="362" t="s">
        <v>292</v>
      </c>
      <c r="D189" s="485">
        <f>SUMPRODUCT($C$153:$C$155,D185:D187)</f>
        <v>586.74679977372455</v>
      </c>
      <c r="E189" s="485">
        <f t="shared" ref="E189:AK189" si="84">SUMPRODUCT($C$153:$C$155,E185:E187)</f>
        <v>610.45920672588989</v>
      </c>
      <c r="F189" s="485">
        <f t="shared" si="84"/>
        <v>635.12991160772788</v>
      </c>
      <c r="G189" s="485">
        <f t="shared" si="84"/>
        <v>660.79764245405397</v>
      </c>
      <c r="H189" s="485">
        <f t="shared" si="84"/>
        <v>515.62701932214009</v>
      </c>
      <c r="I189" s="485">
        <f t="shared" si="84"/>
        <v>536.46523731056993</v>
      </c>
      <c r="J189" s="485">
        <f t="shared" si="84"/>
        <v>558.14559760857946</v>
      </c>
      <c r="K189" s="485">
        <f t="shared" si="84"/>
        <v>580.70213401262663</v>
      </c>
      <c r="L189" s="485">
        <f t="shared" si="84"/>
        <v>604.17025573908245</v>
      </c>
      <c r="M189" s="485">
        <f t="shared" si="84"/>
        <v>628.58680300956405</v>
      </c>
      <c r="N189" s="485">
        <f t="shared" si="84"/>
        <v>653.99010488265753</v>
      </c>
      <c r="O189" s="485">
        <f t="shared" si="84"/>
        <v>680.42003942281599</v>
      </c>
      <c r="P189" s="485">
        <f t="shared" si="84"/>
        <v>707.91809630088403</v>
      </c>
      <c r="Q189" s="485">
        <f t="shared" si="84"/>
        <v>736.52744192451985</v>
      </c>
      <c r="R189" s="485">
        <f t="shared" si="84"/>
        <v>766.29298720075576</v>
      </c>
      <c r="S189" s="485">
        <f t="shared" si="84"/>
        <v>797.26145803707311</v>
      </c>
      <c r="T189" s="485">
        <f t="shared" si="84"/>
        <v>829.48146869165612</v>
      </c>
      <c r="U189" s="485">
        <f t="shared" si="84"/>
        <v>863.00359808798407</v>
      </c>
      <c r="V189" s="485">
        <f t="shared" si="84"/>
        <v>897.88046921354805</v>
      </c>
      <c r="W189" s="485">
        <f t="shared" si="84"/>
        <v>934.1668317273336</v>
      </c>
      <c r="X189" s="485">
        <f t="shared" si="84"/>
        <v>971.91964790575355</v>
      </c>
      <c r="Y189" s="485">
        <f t="shared" si="84"/>
        <v>1011.1981820619419</v>
      </c>
      <c r="Z189" s="485">
        <f t="shared" si="84"/>
        <v>1052.0640935787833</v>
      </c>
      <c r="AA189" s="485">
        <f t="shared" si="84"/>
        <v>1094.5815337017148</v>
      </c>
      <c r="AB189" s="485">
        <f t="shared" si="84"/>
        <v>1138.8172462432572</v>
      </c>
      <c r="AC189" s="485">
        <f t="shared" si="84"/>
        <v>1184.8406723573464</v>
      </c>
      <c r="AD189" s="485">
        <f t="shared" si="84"/>
        <v>1232.7240595479536</v>
      </c>
      <c r="AE189" s="485">
        <f t="shared" si="84"/>
        <v>1282.5425750831027</v>
      </c>
      <c r="AF189" s="485">
        <f t="shared" si="84"/>
        <v>1334.3744239923374</v>
      </c>
      <c r="AG189" s="485">
        <f t="shared" si="84"/>
        <v>1388.3009718328535</v>
      </c>
      <c r="AH189" s="485">
        <f t="shared" si="84"/>
        <v>1444.4068724170286</v>
      </c>
      <c r="AI189" s="485">
        <f t="shared" si="84"/>
        <v>1502.7802007018456</v>
      </c>
      <c r="AJ189" s="485">
        <f t="shared" si="84"/>
        <v>1563.5125910488246</v>
      </c>
      <c r="AK189" s="485">
        <f t="shared" si="84"/>
        <v>1626.6993810715087</v>
      </c>
      <c r="AL189" s="485">
        <f t="shared" ref="AL189" si="85">SUMPRODUCT($C$153:$C$155,AL185:AL187)</f>
        <v>1692.4397612962985</v>
      </c>
    </row>
    <row r="190" spans="1:38">
      <c r="D190" s="358"/>
      <c r="F190" s="464"/>
      <c r="G190" s="465"/>
      <c r="H190" s="465"/>
    </row>
    <row r="191" spans="1:38">
      <c r="B191" s="1177" t="s">
        <v>715</v>
      </c>
      <c r="C191" s="358" t="s">
        <v>295</v>
      </c>
      <c r="D191" s="383">
        <f>'2000 South'!D52</f>
        <v>515.84089185251321</v>
      </c>
      <c r="E191" s="383">
        <f>'2000 South'!E52</f>
        <v>536.68775314752463</v>
      </c>
      <c r="F191" s="383">
        <f>'2000 South'!F52</f>
        <v>558.37710605713607</v>
      </c>
      <c r="G191" s="383">
        <f>'2000 South'!G52</f>
        <v>580.94299849439392</v>
      </c>
      <c r="H191" s="383">
        <f>'2000 South'!H52</f>
        <v>0</v>
      </c>
      <c r="I191" s="383">
        <f>'2000 South'!I52</f>
        <v>0</v>
      </c>
      <c r="J191" s="383">
        <f>'2000 South'!J52</f>
        <v>0</v>
      </c>
      <c r="K191" s="383">
        <f>'2000 South'!K52</f>
        <v>0</v>
      </c>
      <c r="L191" s="383">
        <f>'2000 South'!L52</f>
        <v>0</v>
      </c>
      <c r="M191" s="383">
        <f>'2000 South'!M52</f>
        <v>0</v>
      </c>
      <c r="N191" s="383">
        <f>'2000 South'!N52</f>
        <v>0</v>
      </c>
      <c r="O191" s="383">
        <f>'2000 South'!O52</f>
        <v>0</v>
      </c>
      <c r="P191" s="383">
        <f>'2000 South'!P52</f>
        <v>0</v>
      </c>
      <c r="Q191" s="383">
        <f>'2000 South'!Q52</f>
        <v>0</v>
      </c>
      <c r="R191" s="383">
        <f>'2000 South'!R52</f>
        <v>0</v>
      </c>
      <c r="S191" s="383">
        <f>'2000 South'!S52</f>
        <v>0</v>
      </c>
      <c r="T191" s="383">
        <f>'2000 South'!T52</f>
        <v>0</v>
      </c>
      <c r="U191" s="383">
        <f>'2000 South'!U52</f>
        <v>0</v>
      </c>
      <c r="V191" s="383">
        <f>'2000 South'!V52</f>
        <v>0</v>
      </c>
      <c r="W191" s="383">
        <f>'2000 South'!W52</f>
        <v>0</v>
      </c>
      <c r="X191" s="383">
        <f>'2000 South'!X52</f>
        <v>0</v>
      </c>
      <c r="Y191" s="383">
        <f>'2000 South'!Y52</f>
        <v>0</v>
      </c>
      <c r="Z191" s="383">
        <f>'2000 South'!Z52</f>
        <v>0</v>
      </c>
      <c r="AA191" s="383">
        <f>'2000 South'!AA52</f>
        <v>0</v>
      </c>
      <c r="AB191" s="383">
        <f>'2000 South'!AB52</f>
        <v>0</v>
      </c>
      <c r="AC191" s="383">
        <f>'2000 South'!AC52</f>
        <v>0</v>
      </c>
      <c r="AD191" s="383">
        <f>'2000 South'!AD52</f>
        <v>0</v>
      </c>
      <c r="AE191" s="383">
        <f>'2000 South'!AE52</f>
        <v>0</v>
      </c>
      <c r="AF191" s="383">
        <f>'2000 South'!AF52</f>
        <v>0</v>
      </c>
      <c r="AG191" s="383">
        <f>'2000 South'!AG52</f>
        <v>0</v>
      </c>
      <c r="AH191" s="383">
        <f>'2000 South'!AH52</f>
        <v>0</v>
      </c>
      <c r="AI191" s="383">
        <f>'2000 South'!AI52</f>
        <v>0</v>
      </c>
      <c r="AJ191" s="383">
        <f>'2000 South'!AJ52</f>
        <v>0</v>
      </c>
      <c r="AK191" s="383">
        <f>'2000 South'!AK52</f>
        <v>0</v>
      </c>
      <c r="AL191" s="383">
        <f>'2000 South'!AL52</f>
        <v>0</v>
      </c>
    </row>
    <row r="192" spans="1:38">
      <c r="B192" s="1177" t="s">
        <v>716</v>
      </c>
      <c r="C192" s="358" t="s">
        <v>295</v>
      </c>
      <c r="D192" s="383">
        <f>'2000 South'!D53</f>
        <v>303.01143297630142</v>
      </c>
      <c r="E192" s="383">
        <f>'2000 South'!E53</f>
        <v>315.25714170903547</v>
      </c>
      <c r="F192" s="383">
        <f>'2000 South'!F53</f>
        <v>327.99774062097504</v>
      </c>
      <c r="G192" s="383">
        <f>'2000 South'!G53</f>
        <v>341.25322988481878</v>
      </c>
      <c r="H192" s="383">
        <f>'2000 South'!H53</f>
        <v>0</v>
      </c>
      <c r="I192" s="383">
        <f>'2000 South'!I53</f>
        <v>0</v>
      </c>
      <c r="J192" s="383">
        <f>'2000 South'!J53</f>
        <v>0</v>
      </c>
      <c r="K192" s="383">
        <f>'2000 South'!K53</f>
        <v>0</v>
      </c>
      <c r="L192" s="383">
        <f>'2000 South'!L53</f>
        <v>0</v>
      </c>
      <c r="M192" s="383">
        <f>'2000 South'!M53</f>
        <v>0</v>
      </c>
      <c r="N192" s="383">
        <f>'2000 South'!N53</f>
        <v>0</v>
      </c>
      <c r="O192" s="383">
        <f>'2000 South'!O53</f>
        <v>0</v>
      </c>
      <c r="P192" s="383">
        <f>'2000 South'!P53</f>
        <v>0</v>
      </c>
      <c r="Q192" s="383">
        <f>'2000 South'!Q53</f>
        <v>0</v>
      </c>
      <c r="R192" s="383">
        <f>'2000 South'!R53</f>
        <v>0</v>
      </c>
      <c r="S192" s="383">
        <f>'2000 South'!S53</f>
        <v>0</v>
      </c>
      <c r="T192" s="383">
        <f>'2000 South'!T53</f>
        <v>0</v>
      </c>
      <c r="U192" s="383">
        <f>'2000 South'!U53</f>
        <v>0</v>
      </c>
      <c r="V192" s="383">
        <f>'2000 South'!V53</f>
        <v>0</v>
      </c>
      <c r="W192" s="383">
        <f>'2000 South'!W53</f>
        <v>0</v>
      </c>
      <c r="X192" s="383">
        <f>'2000 South'!X53</f>
        <v>0</v>
      </c>
      <c r="Y192" s="383">
        <f>'2000 South'!Y53</f>
        <v>0</v>
      </c>
      <c r="Z192" s="383">
        <f>'2000 South'!Z53</f>
        <v>0</v>
      </c>
      <c r="AA192" s="383">
        <f>'2000 South'!AA53</f>
        <v>0</v>
      </c>
      <c r="AB192" s="383">
        <f>'2000 South'!AB53</f>
        <v>0</v>
      </c>
      <c r="AC192" s="383">
        <f>'2000 South'!AC53</f>
        <v>0</v>
      </c>
      <c r="AD192" s="383">
        <f>'2000 South'!AD53</f>
        <v>0</v>
      </c>
      <c r="AE192" s="383">
        <f>'2000 South'!AE53</f>
        <v>0</v>
      </c>
      <c r="AF192" s="383">
        <f>'2000 South'!AF53</f>
        <v>0</v>
      </c>
      <c r="AG192" s="383">
        <f>'2000 South'!AG53</f>
        <v>0</v>
      </c>
      <c r="AH192" s="383">
        <f>'2000 South'!AH53</f>
        <v>0</v>
      </c>
      <c r="AI192" s="383">
        <f>'2000 South'!AI53</f>
        <v>0</v>
      </c>
      <c r="AJ192" s="383">
        <f>'2000 South'!AJ53</f>
        <v>0</v>
      </c>
      <c r="AK192" s="383">
        <f>'2000 South'!AK53</f>
        <v>0</v>
      </c>
      <c r="AL192" s="383">
        <f>'2000 South'!AL53</f>
        <v>0</v>
      </c>
    </row>
    <row r="193" spans="1:38">
      <c r="D193" s="358"/>
      <c r="F193" s="464"/>
      <c r="G193" s="465"/>
      <c r="H193" s="465"/>
    </row>
    <row r="194" spans="1:38">
      <c r="B194" s="358" t="s">
        <v>208</v>
      </c>
      <c r="C194" s="362" t="s">
        <v>292</v>
      </c>
      <c r="D194" s="485">
        <f>SUMPRODUCT(D191:D192,D$150:D$151)</f>
        <v>1805.0469015696692</v>
      </c>
      <c r="E194" s="485">
        <f t="shared" ref="E194:AK194" si="86">SUMPRODUCT(E191:E192,E$150:E$151)</f>
        <v>1896.258939465609</v>
      </c>
      <c r="F194" s="485">
        <f t="shared" si="86"/>
        <v>1977.1188106279949</v>
      </c>
      <c r="G194" s="485">
        <f t="shared" si="86"/>
        <v>2059.6499444344745</v>
      </c>
      <c r="H194" s="485">
        <f t="shared" si="86"/>
        <v>0</v>
      </c>
      <c r="I194" s="485">
        <f t="shared" si="86"/>
        <v>0</v>
      </c>
      <c r="J194" s="485">
        <f t="shared" si="86"/>
        <v>0</v>
      </c>
      <c r="K194" s="485">
        <f t="shared" si="86"/>
        <v>0</v>
      </c>
      <c r="L194" s="485">
        <f t="shared" si="86"/>
        <v>0</v>
      </c>
      <c r="M194" s="485">
        <f t="shared" si="86"/>
        <v>0</v>
      </c>
      <c r="N194" s="485">
        <f t="shared" si="86"/>
        <v>0</v>
      </c>
      <c r="O194" s="485">
        <f t="shared" si="86"/>
        <v>0</v>
      </c>
      <c r="P194" s="485">
        <f t="shared" si="86"/>
        <v>0</v>
      </c>
      <c r="Q194" s="485">
        <f t="shared" si="86"/>
        <v>0</v>
      </c>
      <c r="R194" s="485">
        <f t="shared" si="86"/>
        <v>0</v>
      </c>
      <c r="S194" s="485">
        <f t="shared" si="86"/>
        <v>0</v>
      </c>
      <c r="T194" s="485">
        <f t="shared" si="86"/>
        <v>0</v>
      </c>
      <c r="U194" s="485">
        <f t="shared" si="86"/>
        <v>0</v>
      </c>
      <c r="V194" s="485">
        <f t="shared" si="86"/>
        <v>0</v>
      </c>
      <c r="W194" s="485">
        <f t="shared" si="86"/>
        <v>0</v>
      </c>
      <c r="X194" s="485">
        <f t="shared" si="86"/>
        <v>0</v>
      </c>
      <c r="Y194" s="485">
        <f t="shared" si="86"/>
        <v>0</v>
      </c>
      <c r="Z194" s="485">
        <f t="shared" si="86"/>
        <v>0</v>
      </c>
      <c r="AA194" s="485">
        <f t="shared" si="86"/>
        <v>0</v>
      </c>
      <c r="AB194" s="485">
        <f t="shared" si="86"/>
        <v>0</v>
      </c>
      <c r="AC194" s="485">
        <f t="shared" si="86"/>
        <v>0</v>
      </c>
      <c r="AD194" s="485">
        <f t="shared" si="86"/>
        <v>0</v>
      </c>
      <c r="AE194" s="485">
        <f t="shared" si="86"/>
        <v>0</v>
      </c>
      <c r="AF194" s="485">
        <f t="shared" si="86"/>
        <v>0</v>
      </c>
      <c r="AG194" s="485">
        <f t="shared" si="86"/>
        <v>0</v>
      </c>
      <c r="AH194" s="485">
        <f t="shared" si="86"/>
        <v>0</v>
      </c>
      <c r="AI194" s="485">
        <f t="shared" si="86"/>
        <v>0</v>
      </c>
      <c r="AJ194" s="485">
        <f t="shared" si="86"/>
        <v>0</v>
      </c>
      <c r="AK194" s="485">
        <f t="shared" si="86"/>
        <v>0</v>
      </c>
      <c r="AL194" s="485">
        <f t="shared" ref="AL194" si="87">SUMPRODUCT(AL191:AL192,AL$150:AL$151)</f>
        <v>0</v>
      </c>
    </row>
    <row r="196" spans="1:38" ht="13">
      <c r="B196" s="364" t="s">
        <v>520</v>
      </c>
      <c r="C196" s="387" t="s">
        <v>292</v>
      </c>
      <c r="D196" s="488">
        <f>D189+D194</f>
        <v>2391.7937013433939</v>
      </c>
      <c r="E196" s="488">
        <f t="shared" ref="E196:AK196" si="88">E189+E194</f>
        <v>2506.7181461914988</v>
      </c>
      <c r="F196" s="488">
        <f t="shared" si="88"/>
        <v>2612.2487222357227</v>
      </c>
      <c r="G196" s="488">
        <f t="shared" si="88"/>
        <v>2720.4475868885283</v>
      </c>
      <c r="H196" s="488">
        <f t="shared" si="88"/>
        <v>515.62701932214009</v>
      </c>
      <c r="I196" s="488">
        <f t="shared" si="88"/>
        <v>536.46523731056993</v>
      </c>
      <c r="J196" s="488">
        <f t="shared" si="88"/>
        <v>558.14559760857946</v>
      </c>
      <c r="K196" s="488">
        <f t="shared" si="88"/>
        <v>580.70213401262663</v>
      </c>
      <c r="L196" s="488">
        <f t="shared" si="88"/>
        <v>604.17025573908245</v>
      </c>
      <c r="M196" s="488">
        <f t="shared" si="88"/>
        <v>628.58680300956405</v>
      </c>
      <c r="N196" s="488">
        <f t="shared" si="88"/>
        <v>653.99010488265753</v>
      </c>
      <c r="O196" s="488">
        <f t="shared" si="88"/>
        <v>680.42003942281599</v>
      </c>
      <c r="P196" s="488">
        <f t="shared" si="88"/>
        <v>707.91809630088403</v>
      </c>
      <c r="Q196" s="488">
        <f t="shared" si="88"/>
        <v>736.52744192451985</v>
      </c>
      <c r="R196" s="488">
        <f t="shared" si="88"/>
        <v>766.29298720075576</v>
      </c>
      <c r="S196" s="488">
        <f t="shared" si="88"/>
        <v>797.26145803707311</v>
      </c>
      <c r="T196" s="488">
        <f t="shared" si="88"/>
        <v>829.48146869165612</v>
      </c>
      <c r="U196" s="488">
        <f t="shared" si="88"/>
        <v>863.00359808798407</v>
      </c>
      <c r="V196" s="488">
        <f t="shared" si="88"/>
        <v>897.88046921354805</v>
      </c>
      <c r="W196" s="488">
        <f t="shared" si="88"/>
        <v>934.1668317273336</v>
      </c>
      <c r="X196" s="488">
        <f t="shared" si="88"/>
        <v>971.91964790575355</v>
      </c>
      <c r="Y196" s="488">
        <f t="shared" si="88"/>
        <v>1011.1981820619419</v>
      </c>
      <c r="Z196" s="488">
        <f t="shared" si="88"/>
        <v>1052.0640935787833</v>
      </c>
      <c r="AA196" s="488">
        <f t="shared" si="88"/>
        <v>1094.5815337017148</v>
      </c>
      <c r="AB196" s="488">
        <f t="shared" si="88"/>
        <v>1138.8172462432572</v>
      </c>
      <c r="AC196" s="488">
        <f t="shared" si="88"/>
        <v>1184.8406723573464</v>
      </c>
      <c r="AD196" s="488">
        <f t="shared" si="88"/>
        <v>1232.7240595479536</v>
      </c>
      <c r="AE196" s="488">
        <f t="shared" si="88"/>
        <v>1282.5425750831027</v>
      </c>
      <c r="AF196" s="488">
        <f t="shared" si="88"/>
        <v>1334.3744239923374</v>
      </c>
      <c r="AG196" s="488">
        <f t="shared" si="88"/>
        <v>1388.3009718328535</v>
      </c>
      <c r="AH196" s="488">
        <f t="shared" si="88"/>
        <v>1444.4068724170286</v>
      </c>
      <c r="AI196" s="488">
        <f t="shared" si="88"/>
        <v>1502.7802007018456</v>
      </c>
      <c r="AJ196" s="488">
        <f t="shared" si="88"/>
        <v>1563.5125910488246</v>
      </c>
      <c r="AK196" s="488">
        <f t="shared" si="88"/>
        <v>1626.6993810715087</v>
      </c>
      <c r="AL196" s="488">
        <f t="shared" ref="AL196" si="89">AL189+AL194</f>
        <v>1692.4397612962985</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0">E172-E191</f>
        <v>0</v>
      </c>
      <c r="F200" s="383">
        <f t="shared" si="90"/>
        <v>0</v>
      </c>
      <c r="G200" s="383">
        <f t="shared" si="90"/>
        <v>0</v>
      </c>
      <c r="H200" s="383">
        <f t="shared" si="90"/>
        <v>604.42085436275636</v>
      </c>
      <c r="I200" s="383">
        <f t="shared" si="90"/>
        <v>628.84752916448042</v>
      </c>
      <c r="J200" s="383">
        <f t="shared" si="90"/>
        <v>654.26136785633594</v>
      </c>
      <c r="K200" s="383">
        <f t="shared" si="90"/>
        <v>680.7022650434576</v>
      </c>
      <c r="L200" s="383">
        <f t="shared" si="90"/>
        <v>708.21172760583727</v>
      </c>
      <c r="M200" s="383">
        <f t="shared" si="90"/>
        <v>736.83293985575813</v>
      </c>
      <c r="N200" s="383">
        <f t="shared" si="90"/>
        <v>766.61083132846534</v>
      </c>
      <c r="O200" s="383">
        <f t="shared" si="90"/>
        <v>797.59214731247869</v>
      </c>
      <c r="P200" s="383">
        <f t="shared" si="90"/>
        <v>829.82552223027722</v>
      </c>
      <c r="Q200" s="383">
        <f t="shared" si="90"/>
        <v>863.3615559845407</v>
      </c>
      <c r="R200" s="383">
        <f t="shared" si="90"/>
        <v>898.25289338979803</v>
      </c>
      <c r="S200" s="383">
        <f t="shared" si="90"/>
        <v>934.55430681417977</v>
      </c>
      <c r="T200" s="383">
        <f t="shared" si="90"/>
        <v>972.32278216099508</v>
      </c>
      <c r="U200" s="383">
        <f t="shared" si="90"/>
        <v>1011.6176083251166</v>
      </c>
      <c r="V200" s="383">
        <f t="shared" si="90"/>
        <v>1052.5004702645979</v>
      </c>
      <c r="W200" s="383">
        <f t="shared" si="90"/>
        <v>1095.0355458336242</v>
      </c>
      <c r="X200" s="383">
        <f t="shared" si="90"/>
        <v>1139.2896065288116</v>
      </c>
      <c r="Y200" s="383">
        <f t="shared" si="90"/>
        <v>1185.3321223070004</v>
      </c>
      <c r="Z200" s="383">
        <f t="shared" si="90"/>
        <v>1233.2353706390863</v>
      </c>
      <c r="AA200" s="383">
        <f t="shared" si="90"/>
        <v>1283.0745499710845</v>
      </c>
      <c r="AB200" s="383">
        <f t="shared" si="90"/>
        <v>1334.9278977705339</v>
      </c>
      <c r="AC200" s="383">
        <f t="shared" si="90"/>
        <v>1388.8768133435558</v>
      </c>
      <c r="AD200" s="383">
        <f t="shared" si="90"/>
        <v>1445.0059856153596</v>
      </c>
      <c r="AE200" s="383">
        <f t="shared" si="90"/>
        <v>1503.4035260747885</v>
      </c>
      <c r="AF200" s="383">
        <f t="shared" si="90"/>
        <v>1564.1611070915983</v>
      </c>
      <c r="AG200" s="383">
        <f t="shared" si="90"/>
        <v>1627.3741058236051</v>
      </c>
      <c r="AH200" s="383">
        <f t="shared" si="90"/>
        <v>1693.1417539396018</v>
      </c>
      <c r="AI200" s="383">
        <f t="shared" si="90"/>
        <v>1761.5672933930803</v>
      </c>
      <c r="AJ200" s="383">
        <f t="shared" si="90"/>
        <v>1832.7581384912892</v>
      </c>
      <c r="AK200" s="383">
        <f t="shared" si="90"/>
        <v>1906.8260445140547</v>
      </c>
      <c r="AL200" s="383">
        <f t="shared" ref="AL200" si="91">AL172-AL191</f>
        <v>1983.8872831470421</v>
      </c>
    </row>
    <row r="201" spans="1:38" ht="13">
      <c r="B201" s="364" t="s">
        <v>820</v>
      </c>
      <c r="C201" s="387" t="s">
        <v>295</v>
      </c>
      <c r="D201" s="383">
        <f>D173-D192</f>
        <v>0</v>
      </c>
      <c r="E201" s="383">
        <f t="shared" si="90"/>
        <v>0</v>
      </c>
      <c r="F201" s="383">
        <f t="shared" si="90"/>
        <v>0</v>
      </c>
      <c r="G201" s="383">
        <f t="shared" si="90"/>
        <v>0</v>
      </c>
      <c r="H201" s="383">
        <f t="shared" si="90"/>
        <v>355.04441794735339</v>
      </c>
      <c r="I201" s="383">
        <f t="shared" si="90"/>
        <v>369.39295419451997</v>
      </c>
      <c r="J201" s="383">
        <f t="shared" si="90"/>
        <v>384.32136293658891</v>
      </c>
      <c r="K201" s="383">
        <f t="shared" si="90"/>
        <v>399.85307876678627</v>
      </c>
      <c r="L201" s="383">
        <f t="shared" si="90"/>
        <v>416.01248334888339</v>
      </c>
      <c r="M201" s="383">
        <f t="shared" si="90"/>
        <v>432.82494369149424</v>
      </c>
      <c r="N201" s="383">
        <f t="shared" si="90"/>
        <v>450.31685196916845</v>
      </c>
      <c r="O201" s="383">
        <f t="shared" si="90"/>
        <v>468.51566695278467</v>
      </c>
      <c r="P201" s="383">
        <f t="shared" si="90"/>
        <v>487.44995711428874</v>
      </c>
      <c r="Q201" s="383">
        <f t="shared" si="90"/>
        <v>507.14944547343651</v>
      </c>
      <c r="R201" s="383">
        <f t="shared" si="90"/>
        <v>527.64505625694426</v>
      </c>
      <c r="S201" s="383">
        <f t="shared" si="90"/>
        <v>548.96896344329446</v>
      </c>
      <c r="T201" s="383">
        <f t="shared" si="90"/>
        <v>571.15464126939571</v>
      </c>
      <c r="U201" s="383">
        <f t="shared" si="90"/>
        <v>594.2369167783902</v>
      </c>
      <c r="V201" s="383">
        <f t="shared" si="90"/>
        <v>618.25202449109236</v>
      </c>
      <c r="W201" s="383">
        <f t="shared" si="90"/>
        <v>643.23766328688407</v>
      </c>
      <c r="X201" s="383">
        <f t="shared" si="90"/>
        <v>669.2330555833579</v>
      </c>
      <c r="Y201" s="383">
        <f t="shared" si="90"/>
        <v>696.27900890760861</v>
      </c>
      <c r="Z201" s="383">
        <f t="shared" si="90"/>
        <v>724.41797995582692</v>
      </c>
      <c r="AA201" s="383">
        <f t="shared" si="90"/>
        <v>753.69414124175591</v>
      </c>
      <c r="AB201" s="383">
        <f t="shared" si="90"/>
        <v>784.15345043863533</v>
      </c>
      <c r="AC201" s="383">
        <f t="shared" si="90"/>
        <v>815.84372252348737</v>
      </c>
      <c r="AD201" s="383">
        <f t="shared" si="90"/>
        <v>848.81470483699445</v>
      </c>
      <c r="AE201" s="383">
        <f t="shared" si="90"/>
        <v>883.11815517679884</v>
      </c>
      <c r="AF201" s="383">
        <f t="shared" si="90"/>
        <v>918.80792304681302</v>
      </c>
      <c r="AG201" s="383">
        <f t="shared" si="90"/>
        <v>955.9400341900897</v>
      </c>
      <c r="AH201" s="383">
        <f t="shared" si="90"/>
        <v>994.5727785379479</v>
      </c>
      <c r="AI201" s="383">
        <f t="shared" si="90"/>
        <v>1034.7668017134176</v>
      </c>
      <c r="AJ201" s="383">
        <f t="shared" si="90"/>
        <v>1076.5852002326455</v>
      </c>
      <c r="AK201" s="383">
        <f t="shared" si="90"/>
        <v>1120.0936205537105</v>
      </c>
      <c r="AL201" s="383">
        <f t="shared" ref="AL201" si="92">AL173-AL192</f>
        <v>1165.3603621283323</v>
      </c>
    </row>
    <row r="202" spans="1:38" ht="13">
      <c r="B202" s="364" t="s">
        <v>821</v>
      </c>
      <c r="C202" s="387" t="s">
        <v>479</v>
      </c>
      <c r="D202" s="383">
        <f>SUM(D166:D168)-SUM(D185:D187)</f>
        <v>0</v>
      </c>
      <c r="E202" s="383">
        <f t="shared" ref="E202:AE202" si="93">SUM(E166:E168)-SUM(E185:E187)</f>
        <v>0</v>
      </c>
      <c r="F202" s="383">
        <f t="shared" si="93"/>
        <v>0</v>
      </c>
      <c r="G202" s="383">
        <f t="shared" si="93"/>
        <v>0</v>
      </c>
      <c r="H202" s="383">
        <f t="shared" si="93"/>
        <v>18.227726814261452</v>
      </c>
      <c r="I202" s="383">
        <f t="shared" si="93"/>
        <v>18.96437041623652</v>
      </c>
      <c r="J202" s="383">
        <f t="shared" si="93"/>
        <v>19.730784257905235</v>
      </c>
      <c r="K202" s="383">
        <f t="shared" si="93"/>
        <v>20.528171454544804</v>
      </c>
      <c r="L202" s="383">
        <f t="shared" si="93"/>
        <v>21.357783743357871</v>
      </c>
      <c r="M202" s="383">
        <f t="shared" si="93"/>
        <v>22.220923448447238</v>
      </c>
      <c r="N202" s="383">
        <f t="shared" si="93"/>
        <v>23.118945525202847</v>
      </c>
      <c r="O202" s="383">
        <f t="shared" si="93"/>
        <v>24.053259687308127</v>
      </c>
      <c r="P202" s="383">
        <f t="shared" si="93"/>
        <v>25.025332619706774</v>
      </c>
      <c r="Q202" s="383">
        <f t="shared" si="93"/>
        <v>26.036690281002322</v>
      </c>
      <c r="R202" s="383">
        <f t="shared" si="93"/>
        <v>27.088920298905649</v>
      </c>
      <c r="S202" s="383">
        <f t="shared" si="93"/>
        <v>28.183674462490529</v>
      </c>
      <c r="T202" s="383">
        <f t="shared" si="93"/>
        <v>29.322671315169814</v>
      </c>
      <c r="U202" s="383">
        <f t="shared" si="93"/>
        <v>30.507698852461971</v>
      </c>
      <c r="V202" s="383">
        <f t="shared" si="93"/>
        <v>31.740617328783756</v>
      </c>
      <c r="W202" s="383">
        <f t="shared" si="93"/>
        <v>33.023362177674855</v>
      </c>
      <c r="X202" s="383">
        <f t="shared" si="93"/>
        <v>34.357947050038476</v>
      </c>
      <c r="Y202" s="383">
        <f t="shared" si="93"/>
        <v>35.746466975167394</v>
      </c>
      <c r="Z202" s="383">
        <f t="shared" si="93"/>
        <v>37.191101649517876</v>
      </c>
      <c r="AA202" s="383">
        <f t="shared" si="93"/>
        <v>38.694118858393679</v>
      </c>
      <c r="AB202" s="383">
        <f t="shared" si="93"/>
        <v>40.257878035912086</v>
      </c>
      <c r="AC202" s="383">
        <f t="shared" si="93"/>
        <v>41.884833968839757</v>
      </c>
      <c r="AD202" s="383">
        <f t="shared" si="93"/>
        <v>43.577540650113519</v>
      </c>
      <c r="AE202" s="383">
        <f t="shared" si="93"/>
        <v>45.338655288094571</v>
      </c>
      <c r="AF202" s="383">
        <f t="shared" ref="AF202:AJ202" si="94">SUM(AF166:AF168)-SUM(AF185:AF187)</f>
        <v>47.170942477849792</v>
      </c>
      <c r="AG202" s="383">
        <f t="shared" si="94"/>
        <v>49.077278541009093</v>
      </c>
      <c r="AH202" s="383">
        <f t="shared" si="94"/>
        <v>51.060656041010731</v>
      </c>
      <c r="AI202" s="383">
        <f t="shared" si="94"/>
        <v>53.124188480822738</v>
      </c>
      <c r="AJ202" s="383">
        <f t="shared" si="94"/>
        <v>55.271115190515303</v>
      </c>
      <c r="AK202" s="383">
        <f t="shared" ref="AK202:AL202" si="95">SUM(AK166:AK168)-SUM(AK185:AK187)</f>
        <v>57.504806412355691</v>
      </c>
      <c r="AL202" s="383">
        <f t="shared" si="95"/>
        <v>59.828768591409926</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96">D177-D196</f>
        <v>0</v>
      </c>
      <c r="E204" s="488">
        <f t="shared" si="96"/>
        <v>0</v>
      </c>
      <c r="F204" s="488">
        <f t="shared" si="96"/>
        <v>0</v>
      </c>
      <c r="G204" s="488">
        <f t="shared" si="96"/>
        <v>0</v>
      </c>
      <c r="H204" s="488">
        <f t="shared" si="96"/>
        <v>2342.9831557506668</v>
      </c>
      <c r="I204" s="488">
        <f t="shared" si="96"/>
        <v>2476.4594520758192</v>
      </c>
      <c r="J204" s="488">
        <f t="shared" si="96"/>
        <v>2604.6889238913004</v>
      </c>
      <c r="K204" s="488">
        <f t="shared" si="96"/>
        <v>2742.4113167248747</v>
      </c>
      <c r="L204" s="488">
        <f t="shared" si="96"/>
        <v>2894.7754569216713</v>
      </c>
      <c r="M204" s="488">
        <f t="shared" si="96"/>
        <v>3106.9292456589733</v>
      </c>
      <c r="N204" s="488">
        <f t="shared" si="96"/>
        <v>3268.2433467037663</v>
      </c>
      <c r="O204" s="488">
        <f t="shared" si="96"/>
        <v>3435.5594668644294</v>
      </c>
      <c r="P204" s="488">
        <f t="shared" si="96"/>
        <v>3646.7947357611702</v>
      </c>
      <c r="Q204" s="488">
        <f t="shared" si="96"/>
        <v>3852.1106578960189</v>
      </c>
      <c r="R204" s="488">
        <f t="shared" si="96"/>
        <v>4055.7749842756571</v>
      </c>
      <c r="S204" s="488">
        <f t="shared" si="96"/>
        <v>4276.0963734157276</v>
      </c>
      <c r="T204" s="488">
        <f t="shared" si="96"/>
        <v>4476.2170183151356</v>
      </c>
      <c r="U204" s="488">
        <f t="shared" si="96"/>
        <v>4712.101282471137</v>
      </c>
      <c r="V204" s="488">
        <f t="shared" si="96"/>
        <v>4968.9656921242231</v>
      </c>
      <c r="W204" s="488">
        <f t="shared" si="96"/>
        <v>5186.0597242451959</v>
      </c>
      <c r="X204" s="488">
        <f t="shared" si="96"/>
        <v>5440.9805305630143</v>
      </c>
      <c r="Y204" s="488">
        <f t="shared" si="96"/>
        <v>5759.3113644015721</v>
      </c>
      <c r="Z204" s="488">
        <f t="shared" si="96"/>
        <v>6045.5079926029248</v>
      </c>
      <c r="AA204" s="488">
        <f t="shared" si="96"/>
        <v>6347.9757815808634</v>
      </c>
      <c r="AB204" s="488">
        <f t="shared" si="96"/>
        <v>6704.7991454064413</v>
      </c>
      <c r="AC204" s="488">
        <f t="shared" si="96"/>
        <v>6996.9119552452194</v>
      </c>
      <c r="AD204" s="488">
        <f t="shared" si="96"/>
        <v>7397.6602704593779</v>
      </c>
      <c r="AE204" s="488">
        <f t="shared" si="96"/>
        <v>7788.676060155788</v>
      </c>
      <c r="AF204" s="488">
        <f t="shared" si="96"/>
        <v>8176.4325421836375</v>
      </c>
      <c r="AG204" s="488">
        <f t="shared" si="96"/>
        <v>8573.4629825540105</v>
      </c>
      <c r="AH204" s="488">
        <f t="shared" si="96"/>
        <v>9005.822600245081</v>
      </c>
      <c r="AI204" s="488">
        <f t="shared" si="96"/>
        <v>9459.7172183952025</v>
      </c>
      <c r="AJ204" s="488">
        <f t="shared" si="96"/>
        <v>9936.2110242074723</v>
      </c>
      <c r="AK204" s="488">
        <f t="shared" si="96"/>
        <v>10436.420527635573</v>
      </c>
      <c r="AL204" s="488">
        <f t="shared" ref="AL204" si="97">AL177-AL196</f>
        <v>10961.517125556626</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theme="4" tint="0.39997558519241921"/>
  </sheetPr>
  <dimension ref="A1:AL135"/>
  <sheetViews>
    <sheetView showGridLines="0" topLeftCell="L1"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13.5" style="398" customWidth="1"/>
    <col min="5" max="5" width="8.75" style="398"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Inputs'!G50</f>
        <v>254729G</v>
      </c>
      <c r="E4" s="410"/>
    </row>
    <row r="5" spans="1:38">
      <c r="B5" s="358" t="s">
        <v>628</v>
      </c>
      <c r="C5" s="399" t="s">
        <v>629</v>
      </c>
      <c r="D5" s="439" t="str">
        <f>'Crossing Inputs'!G52</f>
        <v>Urban</v>
      </c>
      <c r="E5" s="398">
        <f>SUMIFS('Accidents Methodology'!$C$22:$C$23,'Accidents Methodology'!$B$22:$B$23,$D5)</f>
        <v>1</v>
      </c>
    </row>
    <row r="6" spans="1:38">
      <c r="B6" s="358" t="s">
        <v>615</v>
      </c>
      <c r="C6" s="399" t="s">
        <v>150</v>
      </c>
      <c r="D6" s="439" t="str">
        <f>'Crossing Inputs'!G53</f>
        <v>Flashing Lights</v>
      </c>
      <c r="E6" s="398">
        <f>SUMIFS('Accidents Methodology'!$C$3:$C$5,'Accidents Methodology'!$B$3:$B$5,$D6)</f>
        <v>3.6459999999999999E-3</v>
      </c>
    </row>
    <row r="7" spans="1:38">
      <c r="B7" s="358" t="s">
        <v>630</v>
      </c>
      <c r="C7" s="399" t="s">
        <v>631</v>
      </c>
      <c r="D7" s="439" t="str">
        <f>'Crossing Inputs'!G55</f>
        <v>Yes</v>
      </c>
      <c r="E7" s="398">
        <f>SUMIFS('Accidents Methodology'!$C$26:$C$27,'Accidents Methodology'!$B$26:$B$27,$D7)</f>
        <v>1</v>
      </c>
    </row>
    <row r="8" spans="1:38">
      <c r="B8" s="358" t="s">
        <v>632</v>
      </c>
      <c r="C8" s="399" t="s">
        <v>633</v>
      </c>
      <c r="D8" s="439" t="str">
        <f>'Crossing Inputs'!$G$52&amp;" - "&amp;'Crossing Inputs'!$G$54</f>
        <v>Urban - Local</v>
      </c>
      <c r="E8" s="398">
        <f>SUMIFS('Accidents Methodology'!$C$8:$C$19,'Accidents Methodology'!$B$8:$B$19,$D8)</f>
        <v>6</v>
      </c>
    </row>
    <row r="9" spans="1:38">
      <c r="B9" s="358" t="s">
        <v>607</v>
      </c>
      <c r="C9" s="399" t="s">
        <v>635</v>
      </c>
      <c r="D9" s="439">
        <f>'Crossing Inputs'!G56</f>
        <v>2</v>
      </c>
    </row>
    <row r="10" spans="1:38">
      <c r="B10" s="358" t="s">
        <v>636</v>
      </c>
      <c r="C10" s="399" t="s">
        <v>637</v>
      </c>
      <c r="D10" s="439">
        <f>'Crossing Inputs'!G61</f>
        <v>2</v>
      </c>
    </row>
    <row r="11" spans="1:38">
      <c r="B11" s="358" t="s">
        <v>610</v>
      </c>
      <c r="C11" s="399" t="s">
        <v>638</v>
      </c>
      <c r="D11" s="439">
        <f>'Crossing Inputs'!G57</f>
        <v>3</v>
      </c>
    </row>
    <row r="12" spans="1:38">
      <c r="C12" s="399"/>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3">
      <c r="C14" s="399"/>
      <c r="D14" s="440">
        <f>D$1</f>
        <v>2021</v>
      </c>
      <c r="E14" s="440">
        <f t="shared" ref="E14:AL14" si="0">E$1</f>
        <v>2022</v>
      </c>
      <c r="F14" s="440">
        <f t="shared" si="0"/>
        <v>2023</v>
      </c>
      <c r="G14" s="440">
        <f t="shared" si="0"/>
        <v>2024</v>
      </c>
      <c r="H14" s="440">
        <f t="shared" si="0"/>
        <v>2025</v>
      </c>
      <c r="I14" s="440">
        <f t="shared" si="0"/>
        <v>2026</v>
      </c>
      <c r="J14" s="440">
        <f t="shared" si="0"/>
        <v>2027</v>
      </c>
      <c r="K14" s="440">
        <f t="shared" si="0"/>
        <v>2028</v>
      </c>
      <c r="L14" s="440">
        <f t="shared" si="0"/>
        <v>2029</v>
      </c>
      <c r="M14" s="440">
        <f t="shared" si="0"/>
        <v>2030</v>
      </c>
      <c r="N14" s="440">
        <f t="shared" si="0"/>
        <v>2031</v>
      </c>
      <c r="O14" s="440">
        <f t="shared" si="0"/>
        <v>2032</v>
      </c>
      <c r="P14" s="440">
        <f t="shared" si="0"/>
        <v>2033</v>
      </c>
      <c r="Q14" s="440">
        <f t="shared" si="0"/>
        <v>2034</v>
      </c>
      <c r="R14" s="440">
        <f t="shared" si="0"/>
        <v>2035</v>
      </c>
      <c r="S14" s="440">
        <f t="shared" si="0"/>
        <v>2036</v>
      </c>
      <c r="T14" s="440">
        <f t="shared" si="0"/>
        <v>2037</v>
      </c>
      <c r="U14" s="440">
        <f t="shared" si="0"/>
        <v>2038</v>
      </c>
      <c r="V14" s="440">
        <f t="shared" si="0"/>
        <v>2039</v>
      </c>
      <c r="W14" s="440">
        <f t="shared" si="0"/>
        <v>2040</v>
      </c>
      <c r="X14" s="440">
        <f t="shared" si="0"/>
        <v>2041</v>
      </c>
      <c r="Y14" s="440">
        <f t="shared" si="0"/>
        <v>2042</v>
      </c>
      <c r="Z14" s="440">
        <f t="shared" si="0"/>
        <v>2043</v>
      </c>
      <c r="AA14" s="440">
        <f t="shared" si="0"/>
        <v>2044</v>
      </c>
      <c r="AB14" s="440">
        <f t="shared" si="0"/>
        <v>2045</v>
      </c>
      <c r="AC14" s="440">
        <f t="shared" si="0"/>
        <v>2046</v>
      </c>
      <c r="AD14" s="440">
        <f t="shared" si="0"/>
        <v>2047</v>
      </c>
      <c r="AE14" s="440">
        <f t="shared" si="0"/>
        <v>2048</v>
      </c>
      <c r="AF14" s="440">
        <f t="shared" si="0"/>
        <v>2049</v>
      </c>
      <c r="AG14" s="440">
        <f t="shared" si="0"/>
        <v>2050</v>
      </c>
      <c r="AH14" s="440">
        <f t="shared" si="0"/>
        <v>2051</v>
      </c>
      <c r="AI14" s="440">
        <f t="shared" si="0"/>
        <v>2052</v>
      </c>
      <c r="AJ14" s="440">
        <f t="shared" si="0"/>
        <v>2053</v>
      </c>
      <c r="AK14" s="440">
        <f t="shared" si="0"/>
        <v>2054</v>
      </c>
      <c r="AL14" s="440">
        <f t="shared" si="0"/>
        <v>2055</v>
      </c>
    </row>
    <row r="15" spans="1:38" ht="13">
      <c r="B15" s="400" t="s">
        <v>639</v>
      </c>
      <c r="C15" s="401" t="s">
        <v>640</v>
      </c>
      <c r="D15" s="441">
        <f>'2000 South'!D6</f>
        <v>1170.2572699256787</v>
      </c>
      <c r="E15" s="441">
        <f>'2000 South'!E6</f>
        <v>1204.7729396586369</v>
      </c>
      <c r="F15" s="441">
        <f>'2000 South'!F6</f>
        <v>1240.3066175576032</v>
      </c>
      <c r="G15" s="441">
        <f>'2000 South'!G6</f>
        <v>1276.8883288439938</v>
      </c>
      <c r="H15" s="441">
        <f>'2000 South'!H6</f>
        <v>1314.5489843057178</v>
      </c>
      <c r="I15" s="441">
        <f>'2000 South'!I6</f>
        <v>1353.3204064161509</v>
      </c>
      <c r="J15" s="441">
        <f>'2000 South'!J6</f>
        <v>1393.2353562234694</v>
      </c>
      <c r="K15" s="441">
        <f>'2000 South'!K6</f>
        <v>1434.3275610330525</v>
      </c>
      <c r="L15" s="441">
        <f>'2000 South'!L6</f>
        <v>1476.6317429063604</v>
      </c>
      <c r="M15" s="441">
        <f>'2000 South'!M6</f>
        <v>1520.1836480003531</v>
      </c>
      <c r="N15" s="441">
        <f>'2000 South'!N6</f>
        <v>1565.0200767722558</v>
      </c>
      <c r="O15" s="441">
        <f>'2000 South'!O6</f>
        <v>1611.1789150751795</v>
      </c>
      <c r="P15" s="441">
        <f>'2000 South'!P6</f>
        <v>1658.6991661708832</v>
      </c>
      <c r="Q15" s="441">
        <f>'2000 South'!Q6</f>
        <v>1707.620983686722</v>
      </c>
      <c r="R15" s="441">
        <f>'2000 South'!R6</f>
        <v>1757.9857055446284</v>
      </c>
      <c r="S15" s="441">
        <f>'2000 South'!S6</f>
        <v>1809.8358888908033</v>
      </c>
      <c r="T15" s="441">
        <f>'2000 South'!T6</f>
        <v>1863.2153460556174</v>
      </c>
      <c r="U15" s="441">
        <f>'2000 South'!U6</f>
        <v>1918.1691815741262</v>
      </c>
      <c r="V15" s="441">
        <f>'2000 South'!V6</f>
        <v>1974.7438302984672</v>
      </c>
      <c r="W15" s="441">
        <f>'2000 South'!W6</f>
        <v>2032.9870966343453</v>
      </c>
      <c r="X15" s="441">
        <f>'2000 South'!X6</f>
        <v>2092.9481949347673</v>
      </c>
      <c r="Y15" s="441">
        <f>'2000 South'!Y6</f>
        <v>2154.6777910851483</v>
      </c>
      <c r="Z15" s="441">
        <f>'2000 South'!Z6</f>
        <v>2218.2280453149369</v>
      </c>
      <c r="AA15" s="441">
        <f>'2000 South'!AA6</f>
        <v>2283.6526562719264</v>
      </c>
      <c r="AB15" s="441">
        <f>'2000 South'!AB6</f>
        <v>2351.0069063965002</v>
      </c>
      <c r="AC15" s="441">
        <f>'2000 South'!AC6</f>
        <v>2420.3477086341472</v>
      </c>
      <c r="AD15" s="441">
        <f>'2000 South'!AD6</f>
        <v>2491.7336545257235</v>
      </c>
      <c r="AE15" s="441">
        <f>'2000 South'!AE6</f>
        <v>2565.2250637160887</v>
      </c>
      <c r="AF15" s="441">
        <f>'2000 South'!AF6</f>
        <v>2640.8840349229536</v>
      </c>
      <c r="AG15" s="441">
        <f>'2000 South'!AG6</f>
        <v>2718.7744984090141</v>
      </c>
      <c r="AH15" s="441">
        <f>'2000 South'!AH6</f>
        <v>2798.9622700016953</v>
      </c>
      <c r="AI15" s="441">
        <f>'2000 South'!AI6</f>
        <v>2881.5151067061624</v>
      </c>
      <c r="AJ15" s="441">
        <f>'2000 South'!AJ6</f>
        <v>2966.5027639585855</v>
      </c>
      <c r="AK15" s="441">
        <f>'2000 South'!AK6</f>
        <v>3053.997054568038</v>
      </c>
      <c r="AL15" s="441">
        <f>'2000 South'!AL6</f>
        <v>3144.0719093968332</v>
      </c>
    </row>
    <row r="16" spans="1:38" ht="13">
      <c r="B16" s="400" t="s">
        <v>641</v>
      </c>
      <c r="C16" s="401" t="s">
        <v>642</v>
      </c>
      <c r="D16" s="442">
        <f>'2000 South'!D10</f>
        <v>8.0848515288584082</v>
      </c>
      <c r="E16" s="442">
        <f>'2000 South'!E10</f>
        <v>8.1706030304605175</v>
      </c>
      <c r="F16" s="442">
        <f>'2000 South'!F10</f>
        <v>8.2572640503142321</v>
      </c>
      <c r="G16" s="442">
        <f>'2000 South'!G10</f>
        <v>8.3448442351713243</v>
      </c>
      <c r="H16" s="442">
        <f>'2000 South'!H10</f>
        <v>8.4333533341012696</v>
      </c>
      <c r="I16" s="442">
        <f>'2000 South'!I10</f>
        <v>8.5228011995764756</v>
      </c>
      <c r="J16" s="442">
        <f>'2000 South'!J10</f>
        <v>8.6131977885690176</v>
      </c>
      <c r="K16" s="442">
        <f>'2000 South'!K10</f>
        <v>8.7045531636590106</v>
      </c>
      <c r="L16" s="442">
        <f>'2000 South'!L10</f>
        <v>8.7968774941547299</v>
      </c>
      <c r="M16" s="442">
        <f>'2000 South'!M10</f>
        <v>8.8901810572246251</v>
      </c>
      <c r="N16" s="442">
        <f>'2000 South'!N10</f>
        <v>8.9844742390413206</v>
      </c>
      <c r="O16" s="442">
        <f>'2000 South'!O10</f>
        <v>9.0797675359377763</v>
      </c>
      <c r="P16" s="442">
        <f>'2000 South'!P10</f>
        <v>9.1760715555756835</v>
      </c>
      <c r="Q16" s="442">
        <f>'2000 South'!Q10</f>
        <v>9.2733970181262784</v>
      </c>
      <c r="R16" s="442">
        <f>'2000 South'!R10</f>
        <v>9.3717547574636537</v>
      </c>
      <c r="S16" s="442">
        <f>'2000 South'!S10</f>
        <v>9.4711557223707619</v>
      </c>
      <c r="T16" s="442">
        <f>'2000 South'!T10</f>
        <v>9.5716109777581639</v>
      </c>
      <c r="U16" s="442">
        <f>'2000 South'!U10</f>
        <v>9.6731317058957522</v>
      </c>
      <c r="V16" s="442">
        <f>'2000 South'!V10</f>
        <v>9.775729207657502</v>
      </c>
      <c r="W16" s="442">
        <f>'2000 South'!W10</f>
        <v>9.8794149037794448</v>
      </c>
      <c r="X16" s="442">
        <f>'2000 South'!X10</f>
        <v>9.9842003361309732</v>
      </c>
      <c r="Y16" s="442">
        <f>'2000 South'!Y10</f>
        <v>10.090097168999641</v>
      </c>
      <c r="Z16" s="442">
        <f>'2000 South'!Z10</f>
        <v>10.19711719038958</v>
      </c>
      <c r="AA16" s="442">
        <f>'2000 South'!AA10</f>
        <v>10.305272313333695</v>
      </c>
      <c r="AB16" s="442">
        <f>'2000 South'!AB10</f>
        <v>10.414574577219767</v>
      </c>
      <c r="AC16" s="442">
        <f>'2000 South'!AC10</f>
        <v>10.525036149130644</v>
      </c>
      <c r="AD16" s="442">
        <f>'2000 South'!AD10</f>
        <v>10.636669325198612</v>
      </c>
      <c r="AE16" s="442">
        <f>'2000 South'!AE10</f>
        <v>10.749486531974167</v>
      </c>
      <c r="AF16" s="442">
        <f>'2000 South'!AF10</f>
        <v>10.863500327809277</v>
      </c>
      <c r="AG16" s="442">
        <f>'2000 South'!AG10</f>
        <v>10.978723404255332</v>
      </c>
      <c r="AH16" s="442">
        <f>'2000 South'!AH10</f>
        <v>11.095168587475913</v>
      </c>
      <c r="AI16" s="442">
        <f>'2000 South'!AI10</f>
        <v>11.212848839674553</v>
      </c>
      <c r="AJ16" s="442">
        <f>'2000 South'!AJ10</f>
        <v>11.331777260537629</v>
      </c>
      <c r="AK16" s="442">
        <f>'2000 South'!AK10</f>
        <v>11.451967088692575</v>
      </c>
      <c r="AL16" s="442">
        <f>'2000 South'!AL10</f>
        <v>11.573431703181543</v>
      </c>
    </row>
    <row r="17" spans="2:38" ht="13">
      <c r="B17" s="400" t="s">
        <v>643</v>
      </c>
      <c r="C17" s="401" t="s">
        <v>644</v>
      </c>
      <c r="D17" s="442">
        <f>'2000 South'!D10</f>
        <v>8.0848515288584082</v>
      </c>
      <c r="E17" s="442">
        <f>'2000 South'!E10</f>
        <v>8.1706030304605175</v>
      </c>
      <c r="F17" s="442">
        <f>'2000 South'!F10</f>
        <v>8.2572640503142321</v>
      </c>
      <c r="G17" s="442">
        <f>'2000 South'!G10</f>
        <v>8.3448442351713243</v>
      </c>
      <c r="H17" s="442">
        <f>'2000 South'!H10</f>
        <v>8.4333533341012696</v>
      </c>
      <c r="I17" s="442">
        <f>'2000 South'!I10</f>
        <v>8.5228011995764756</v>
      </c>
      <c r="J17" s="442">
        <f>'2000 South'!J10</f>
        <v>8.6131977885690176</v>
      </c>
      <c r="K17" s="442">
        <f>'2000 South'!K10</f>
        <v>8.7045531636590106</v>
      </c>
      <c r="L17" s="442">
        <f>'2000 South'!L10</f>
        <v>8.7968774941547299</v>
      </c>
      <c r="M17" s="442">
        <f>'2000 South'!M10</f>
        <v>8.8901810572246251</v>
      </c>
      <c r="N17" s="442">
        <f>'2000 South'!N10</f>
        <v>8.9844742390413206</v>
      </c>
      <c r="O17" s="442">
        <f>'2000 South'!O10</f>
        <v>9.0797675359377763</v>
      </c>
      <c r="P17" s="442">
        <f>'2000 South'!P10</f>
        <v>9.1760715555756835</v>
      </c>
      <c r="Q17" s="442">
        <f>'2000 South'!Q10</f>
        <v>9.2733970181262784</v>
      </c>
      <c r="R17" s="442">
        <f>'2000 South'!R10</f>
        <v>9.3717547574636537</v>
      </c>
      <c r="S17" s="442">
        <f>'2000 South'!S10</f>
        <v>9.4711557223707619</v>
      </c>
      <c r="T17" s="442">
        <f>'2000 South'!T10</f>
        <v>9.5716109777581639</v>
      </c>
      <c r="U17" s="442">
        <f>'2000 South'!U10</f>
        <v>9.6731317058957522</v>
      </c>
      <c r="V17" s="442">
        <f>'2000 South'!V10</f>
        <v>9.775729207657502</v>
      </c>
      <c r="W17" s="442">
        <f>'2000 South'!W10</f>
        <v>9.8794149037794448</v>
      </c>
      <c r="X17" s="442">
        <f>'2000 South'!X10</f>
        <v>9.9842003361309732</v>
      </c>
      <c r="Y17" s="442">
        <f>'2000 South'!Y10</f>
        <v>10.090097168999641</v>
      </c>
      <c r="Z17" s="442">
        <f>'2000 South'!Z10</f>
        <v>10.19711719038958</v>
      </c>
      <c r="AA17" s="442">
        <f>'2000 South'!AA10</f>
        <v>10.305272313333695</v>
      </c>
      <c r="AB17" s="442">
        <f>'2000 South'!AB10</f>
        <v>10.414574577219767</v>
      </c>
      <c r="AC17" s="442">
        <f>'2000 South'!AC10</f>
        <v>10.525036149130644</v>
      </c>
      <c r="AD17" s="442">
        <f>'2000 South'!AD10</f>
        <v>10.636669325198612</v>
      </c>
      <c r="AE17" s="442">
        <f>'2000 South'!AE10</f>
        <v>10.749486531974167</v>
      </c>
      <c r="AF17" s="442">
        <f>'2000 South'!AF10</f>
        <v>10.863500327809277</v>
      </c>
      <c r="AG17" s="442">
        <f>'2000 South'!AG10</f>
        <v>10.978723404255332</v>
      </c>
      <c r="AH17" s="442">
        <f>'2000 South'!AH10</f>
        <v>11.095168587475913</v>
      </c>
      <c r="AI17" s="442">
        <f>'2000 South'!AI10</f>
        <v>11.212848839674553</v>
      </c>
      <c r="AJ17" s="442">
        <f>'2000 South'!AJ10</f>
        <v>11.331777260537629</v>
      </c>
      <c r="AK17" s="442">
        <f>'2000 South'!AK10</f>
        <v>11.451967088692575</v>
      </c>
      <c r="AL17" s="442">
        <f>'2000 South'!AL10</f>
        <v>11.573431703181543</v>
      </c>
    </row>
    <row r="18" spans="2:38" ht="13">
      <c r="B18" s="400" t="s">
        <v>645</v>
      </c>
      <c r="C18" s="401" t="s">
        <v>646</v>
      </c>
      <c r="D18" s="442">
        <f>'2000 South'!D11</f>
        <v>4.0424257644292041</v>
      </c>
      <c r="E18" s="442">
        <f>'2000 South'!E11</f>
        <v>4.0853015152302588</v>
      </c>
      <c r="F18" s="442">
        <f>'2000 South'!F11</f>
        <v>4.128632025157116</v>
      </c>
      <c r="G18" s="442">
        <f>'2000 South'!G11</f>
        <v>4.1724221175856622</v>
      </c>
      <c r="H18" s="442">
        <f>'2000 South'!H11</f>
        <v>4.2166766670506348</v>
      </c>
      <c r="I18" s="442">
        <f>'2000 South'!I11</f>
        <v>4.2614005997882378</v>
      </c>
      <c r="J18" s="442">
        <f>'2000 South'!J11</f>
        <v>4.3065988942845088</v>
      </c>
      <c r="K18" s="442">
        <f>'2000 South'!K11</f>
        <v>4.3522765818295053</v>
      </c>
      <c r="L18" s="442">
        <f>'2000 South'!L11</f>
        <v>4.3984387470773649</v>
      </c>
      <c r="M18" s="442">
        <f>'2000 South'!M11</f>
        <v>4.4450905286123126</v>
      </c>
      <c r="N18" s="442">
        <f>'2000 South'!N11</f>
        <v>4.4922371195206603</v>
      </c>
      <c r="O18" s="442">
        <f>'2000 South'!O11</f>
        <v>4.5398837679688882</v>
      </c>
      <c r="P18" s="442">
        <f>'2000 South'!P11</f>
        <v>4.5880357777878418</v>
      </c>
      <c r="Q18" s="442">
        <f>'2000 South'!Q11</f>
        <v>4.6366985090631392</v>
      </c>
      <c r="R18" s="442">
        <f>'2000 South'!R11</f>
        <v>4.6858773787318269</v>
      </c>
      <c r="S18" s="442">
        <f>'2000 South'!S11</f>
        <v>4.7355778611853809</v>
      </c>
      <c r="T18" s="442">
        <f>'2000 South'!T11</f>
        <v>4.785805488879082</v>
      </c>
      <c r="U18" s="442">
        <f>'2000 South'!U11</f>
        <v>4.8365658529478761</v>
      </c>
      <c r="V18" s="442">
        <f>'2000 South'!V11</f>
        <v>4.887864603828751</v>
      </c>
      <c r="W18" s="442">
        <f>'2000 South'!W11</f>
        <v>4.9397074518897224</v>
      </c>
      <c r="X18" s="442">
        <f>'2000 South'!X11</f>
        <v>4.9921001680654866</v>
      </c>
      <c r="Y18" s="442">
        <f>'2000 South'!Y11</f>
        <v>5.0450485844998205</v>
      </c>
      <c r="Z18" s="442">
        <f>'2000 South'!Z11</f>
        <v>5.09855859519479</v>
      </c>
      <c r="AA18" s="442">
        <f>'2000 South'!AA11</f>
        <v>5.1526361566668477</v>
      </c>
      <c r="AB18" s="442">
        <f>'2000 South'!AB11</f>
        <v>5.2072872886098835</v>
      </c>
      <c r="AC18" s="442">
        <f>'2000 South'!AC11</f>
        <v>5.2625180745653219</v>
      </c>
      <c r="AD18" s="442">
        <f>'2000 South'!AD11</f>
        <v>5.3183346625993062</v>
      </c>
      <c r="AE18" s="442">
        <f>'2000 South'!AE11</f>
        <v>5.3747432659870835</v>
      </c>
      <c r="AF18" s="442">
        <f>'2000 South'!AF11</f>
        <v>5.4317501639046384</v>
      </c>
      <c r="AG18" s="442">
        <f>'2000 South'!AG11</f>
        <v>5.4893617021276659</v>
      </c>
      <c r="AH18" s="442">
        <f>'2000 South'!AH11</f>
        <v>5.5475842937379563</v>
      </c>
      <c r="AI18" s="442">
        <f>'2000 South'!AI11</f>
        <v>5.6064244198372766</v>
      </c>
      <c r="AJ18" s="442">
        <f>'2000 South'!AJ11</f>
        <v>5.6658886302688147</v>
      </c>
      <c r="AK18" s="442">
        <f>'2000 South'!AK11</f>
        <v>5.7259835443462874</v>
      </c>
      <c r="AL18" s="442">
        <f>'2000 South'!AL11</f>
        <v>5.7867158515907713</v>
      </c>
    </row>
    <row r="19" spans="2:38" ht="13">
      <c r="B19" s="400" t="s">
        <v>1048</v>
      </c>
      <c r="C19" s="401" t="s">
        <v>647</v>
      </c>
      <c r="D19" s="442">
        <v>0</v>
      </c>
      <c r="E19" s="442">
        <v>0</v>
      </c>
      <c r="F19" s="442">
        <v>0</v>
      </c>
      <c r="G19" s="442">
        <v>0</v>
      </c>
      <c r="H19" s="442">
        <v>0</v>
      </c>
      <c r="I19" s="442">
        <v>0</v>
      </c>
      <c r="J19" s="442">
        <v>0</v>
      </c>
      <c r="K19" s="442">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442">
        <v>0</v>
      </c>
      <c r="AC19" s="442">
        <v>0</v>
      </c>
      <c r="AD19" s="442">
        <v>0</v>
      </c>
      <c r="AE19" s="442">
        <v>0</v>
      </c>
      <c r="AF19" s="442">
        <v>0</v>
      </c>
      <c r="AG19" s="442">
        <v>0</v>
      </c>
      <c r="AH19" s="442">
        <v>0</v>
      </c>
      <c r="AI19" s="442">
        <v>0</v>
      </c>
      <c r="AJ19" s="442">
        <v>0</v>
      </c>
      <c r="AK19" s="442">
        <v>0</v>
      </c>
      <c r="AL19" s="442">
        <v>0</v>
      </c>
    </row>
    <row r="20" spans="2:38" ht="13">
      <c r="B20" s="400" t="s">
        <v>648</v>
      </c>
      <c r="C20" s="401" t="s">
        <v>649</v>
      </c>
      <c r="D20" s="441">
        <f>'Crossing Inputs'!$H34</f>
        <v>7.5</v>
      </c>
      <c r="E20" s="441">
        <f>'Crossing Inputs'!$H34</f>
        <v>7.5</v>
      </c>
      <c r="F20" s="441">
        <f>'Crossing Inputs'!$H34</f>
        <v>7.5</v>
      </c>
      <c r="G20" s="441">
        <f>'Crossing Inputs'!$H34</f>
        <v>7.5</v>
      </c>
      <c r="H20" s="441">
        <f>'Crossing Inputs'!$H34</f>
        <v>7.5</v>
      </c>
      <c r="I20" s="441">
        <f>'Crossing Inputs'!$H34</f>
        <v>7.5</v>
      </c>
      <c r="J20" s="441">
        <f>'Crossing Inputs'!$H34</f>
        <v>7.5</v>
      </c>
      <c r="K20" s="441">
        <f>'Crossing Inputs'!$H34</f>
        <v>7.5</v>
      </c>
      <c r="L20" s="441">
        <f>'Crossing Inputs'!$H34</f>
        <v>7.5</v>
      </c>
      <c r="M20" s="441">
        <f>'Crossing Inputs'!$H34</f>
        <v>7.5</v>
      </c>
      <c r="N20" s="441">
        <f>'Crossing Inputs'!$H34</f>
        <v>7.5</v>
      </c>
      <c r="O20" s="441">
        <f>'Crossing Inputs'!$H34</f>
        <v>7.5</v>
      </c>
      <c r="P20" s="441">
        <f>'Crossing Inputs'!$H34</f>
        <v>7.5</v>
      </c>
      <c r="Q20" s="441">
        <f>'Crossing Inputs'!$H34</f>
        <v>7.5</v>
      </c>
      <c r="R20" s="441">
        <f>'Crossing Inputs'!$H34</f>
        <v>7.5</v>
      </c>
      <c r="S20" s="441">
        <f>'Crossing Inputs'!$H34</f>
        <v>7.5</v>
      </c>
      <c r="T20" s="441">
        <f>'Crossing Inputs'!$H34</f>
        <v>7.5</v>
      </c>
      <c r="U20" s="441">
        <f>'Crossing Inputs'!$H34</f>
        <v>7.5</v>
      </c>
      <c r="V20" s="441">
        <f>'Crossing Inputs'!$H34</f>
        <v>7.5</v>
      </c>
      <c r="W20" s="441">
        <f>'Crossing Inputs'!$H34</f>
        <v>7.5</v>
      </c>
      <c r="X20" s="441">
        <f>'Crossing Inputs'!$H34</f>
        <v>7.5</v>
      </c>
      <c r="Y20" s="441">
        <f>'Crossing Inputs'!$H34</f>
        <v>7.5</v>
      </c>
      <c r="Z20" s="441">
        <f>'Crossing Inputs'!$H34</f>
        <v>7.5</v>
      </c>
      <c r="AA20" s="441">
        <f>'Crossing Inputs'!$H34</f>
        <v>7.5</v>
      </c>
      <c r="AB20" s="441">
        <f>'Crossing Inputs'!$H34</f>
        <v>7.5</v>
      </c>
      <c r="AC20" s="441">
        <f>'Crossing Inputs'!$H34</f>
        <v>7.5</v>
      </c>
      <c r="AD20" s="441">
        <f>'Crossing Inputs'!$H34</f>
        <v>7.5</v>
      </c>
      <c r="AE20" s="441">
        <f>'Crossing Inputs'!$H34</f>
        <v>7.5</v>
      </c>
      <c r="AF20" s="441">
        <f>'Crossing Inputs'!$H34</f>
        <v>7.5</v>
      </c>
      <c r="AG20" s="441">
        <f>'Crossing Inputs'!$H34</f>
        <v>7.5</v>
      </c>
      <c r="AH20" s="441">
        <f>'Crossing Inputs'!$H34</f>
        <v>7.5</v>
      </c>
      <c r="AI20" s="441">
        <f>'Crossing Inputs'!$H34</f>
        <v>7.5</v>
      </c>
      <c r="AJ20" s="441">
        <f>'Crossing Inputs'!$H34</f>
        <v>7.5</v>
      </c>
      <c r="AK20" s="441">
        <f>'Crossing Inputs'!$H34</f>
        <v>7.5</v>
      </c>
      <c r="AL20" s="441">
        <f>'Crossing Inputs'!$H34</f>
        <v>7.5</v>
      </c>
    </row>
    <row r="21" spans="2:38" ht="13">
      <c r="B21" s="400"/>
      <c r="C21" s="403"/>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2:38" ht="13">
      <c r="B22" s="400"/>
      <c r="C22" s="404"/>
      <c r="D22" s="440">
        <f t="shared" ref="D22:AL22" si="1">D$1</f>
        <v>2021</v>
      </c>
      <c r="E22" s="440">
        <f t="shared" si="1"/>
        <v>2022</v>
      </c>
      <c r="F22" s="440">
        <f t="shared" si="1"/>
        <v>2023</v>
      </c>
      <c r="G22" s="440">
        <f t="shared" si="1"/>
        <v>2024</v>
      </c>
      <c r="H22" s="1229">
        <f t="shared" si="1"/>
        <v>2025</v>
      </c>
      <c r="I22" s="440">
        <f t="shared" si="1"/>
        <v>2026</v>
      </c>
      <c r="J22" s="440">
        <f t="shared" si="1"/>
        <v>2027</v>
      </c>
      <c r="K22" s="440">
        <f t="shared" si="1"/>
        <v>2028</v>
      </c>
      <c r="L22" s="440">
        <f t="shared" si="1"/>
        <v>2029</v>
      </c>
      <c r="M22" s="440">
        <f t="shared" si="1"/>
        <v>2030</v>
      </c>
      <c r="N22" s="440">
        <f t="shared" si="1"/>
        <v>2031</v>
      </c>
      <c r="O22" s="440">
        <f t="shared" si="1"/>
        <v>2032</v>
      </c>
      <c r="P22" s="440">
        <f t="shared" si="1"/>
        <v>2033</v>
      </c>
      <c r="Q22" s="440">
        <f t="shared" si="1"/>
        <v>2034</v>
      </c>
      <c r="R22" s="440">
        <f t="shared" si="1"/>
        <v>2035</v>
      </c>
      <c r="S22" s="440">
        <f t="shared" si="1"/>
        <v>2036</v>
      </c>
      <c r="T22" s="440">
        <f t="shared" si="1"/>
        <v>2037</v>
      </c>
      <c r="U22" s="440">
        <f t="shared" si="1"/>
        <v>2038</v>
      </c>
      <c r="V22" s="440">
        <f t="shared" si="1"/>
        <v>2039</v>
      </c>
      <c r="W22" s="440">
        <f t="shared" si="1"/>
        <v>2040</v>
      </c>
      <c r="X22" s="440">
        <f t="shared" si="1"/>
        <v>2041</v>
      </c>
      <c r="Y22" s="440">
        <f t="shared" si="1"/>
        <v>2042</v>
      </c>
      <c r="Z22" s="440">
        <f t="shared" si="1"/>
        <v>2043</v>
      </c>
      <c r="AA22" s="440">
        <f t="shared" si="1"/>
        <v>2044</v>
      </c>
      <c r="AB22" s="440">
        <f t="shared" si="1"/>
        <v>2045</v>
      </c>
      <c r="AC22" s="440">
        <f t="shared" si="1"/>
        <v>2046</v>
      </c>
      <c r="AD22" s="440">
        <f t="shared" si="1"/>
        <v>2047</v>
      </c>
      <c r="AE22" s="440">
        <f t="shared" si="1"/>
        <v>2048</v>
      </c>
      <c r="AF22" s="440">
        <f t="shared" si="1"/>
        <v>2049</v>
      </c>
      <c r="AG22" s="440">
        <f t="shared" si="1"/>
        <v>2050</v>
      </c>
      <c r="AH22" s="440">
        <f t="shared" si="1"/>
        <v>2051</v>
      </c>
      <c r="AI22" s="440">
        <f t="shared" si="1"/>
        <v>2052</v>
      </c>
      <c r="AJ22" s="440">
        <f t="shared" si="1"/>
        <v>2053</v>
      </c>
      <c r="AK22" s="440">
        <f t="shared" si="1"/>
        <v>2054</v>
      </c>
      <c r="AL22" s="440">
        <f t="shared" si="1"/>
        <v>2055</v>
      </c>
    </row>
    <row r="23" spans="2:38" ht="13">
      <c r="B23" s="400" t="s">
        <v>354</v>
      </c>
      <c r="C23" s="404"/>
      <c r="D23" s="405">
        <f t="shared" ref="D23:AL23" si="2">D$56</f>
        <v>0.14424767881332129</v>
      </c>
      <c r="E23" s="405">
        <f t="shared" si="2"/>
        <v>0.14601413197947463</v>
      </c>
      <c r="F23" s="405">
        <f t="shared" si="2"/>
        <v>0.14780225288062906</v>
      </c>
      <c r="G23" s="405">
        <f t="shared" si="2"/>
        <v>0.14961230734959785</v>
      </c>
      <c r="H23" s="1240">
        <f t="shared" si="2"/>
        <v>0.15144456448152094</v>
      </c>
      <c r="I23" s="405">
        <f t="shared" si="2"/>
        <v>0.1532992966738731</v>
      </c>
      <c r="J23" s="405">
        <f t="shared" si="2"/>
        <v>0.15517677966696478</v>
      </c>
      <c r="K23" s="405">
        <f t="shared" si="2"/>
        <v>0.15707729258494013</v>
      </c>
      <c r="L23" s="405">
        <f t="shared" si="2"/>
        <v>0.15900111797727798</v>
      </c>
      <c r="M23" s="405">
        <f t="shared" si="2"/>
        <v>0.16094854186080354</v>
      </c>
      <c r="N23" s="405">
        <f t="shared" si="2"/>
        <v>0.16291985376221482</v>
      </c>
      <c r="O23" s="405">
        <f t="shared" si="2"/>
        <v>0.16491534676113251</v>
      </c>
      <c r="P23" s="405">
        <f t="shared" si="2"/>
        <v>0.16693531753367769</v>
      </c>
      <c r="Q23" s="405">
        <f t="shared" si="2"/>
        <v>0.16898006639658472</v>
      </c>
      <c r="R23" s="405">
        <f t="shared" si="2"/>
        <v>0.17104989735185633</v>
      </c>
      <c r="S23" s="405">
        <f t="shared" si="2"/>
        <v>0.17314511813196667</v>
      </c>
      <c r="T23" s="405">
        <f t="shared" si="2"/>
        <v>0.17526604024561906</v>
      </c>
      <c r="U23" s="405">
        <f t="shared" si="2"/>
        <v>0.17741297902406608</v>
      </c>
      <c r="V23" s="405">
        <f t="shared" si="2"/>
        <v>0.17958625366799857</v>
      </c>
      <c r="W23" s="405">
        <f t="shared" si="2"/>
        <v>0.18178618729500937</v>
      </c>
      <c r="X23" s="405">
        <f t="shared" si="2"/>
        <v>0.18401310698764067</v>
      </c>
      <c r="Y23" s="405">
        <f t="shared" si="2"/>
        <v>0.18626734384202098</v>
      </c>
      <c r="Z23" s="405">
        <f t="shared" si="2"/>
        <v>0.188549233017099</v>
      </c>
      <c r="AA23" s="405">
        <f t="shared" si="2"/>
        <v>0.19085911378448175</v>
      </c>
      <c r="AB23" s="405">
        <f t="shared" si="2"/>
        <v>0.19319732957888583</v>
      </c>
      <c r="AC23" s="405">
        <f t="shared" si="2"/>
        <v>0.19556422804920559</v>
      </c>
      <c r="AD23" s="405">
        <f t="shared" si="2"/>
        <v>0.19796016111021092</v>
      </c>
      <c r="AE23" s="405">
        <f t="shared" si="2"/>
        <v>0.2003854849948776</v>
      </c>
      <c r="AF23" s="405">
        <f t="shared" si="2"/>
        <v>0.20284056030736092</v>
      </c>
      <c r="AG23" s="405">
        <f t="shared" si="2"/>
        <v>0.20532575207661916</v>
      </c>
      <c r="AH23" s="405">
        <f t="shared" si="2"/>
        <v>0.2078414298106962</v>
      </c>
      <c r="AI23" s="405">
        <f t="shared" si="2"/>
        <v>0.21038796755166908</v>
      </c>
      <c r="AJ23" s="405">
        <f t="shared" si="2"/>
        <v>0.21296574393127091</v>
      </c>
      <c r="AK23" s="405">
        <f t="shared" si="2"/>
        <v>0.21557514222719634</v>
      </c>
      <c r="AL23" s="405">
        <f t="shared" si="2"/>
        <v>0.21821655042009785</v>
      </c>
    </row>
    <row r="24" spans="2:38" ht="13">
      <c r="B24" s="400" t="s">
        <v>650</v>
      </c>
      <c r="C24" s="404"/>
      <c r="D24" s="405">
        <f t="shared" ref="D24:AL24" si="3">D$64*D$23</f>
        <v>1.8531244597511448E-3</v>
      </c>
      <c r="E24" s="405">
        <f t="shared" si="3"/>
        <v>1.877601731522261E-3</v>
      </c>
      <c r="F24" s="405">
        <f t="shared" si="3"/>
        <v>1.9024048350447574E-3</v>
      </c>
      <c r="G24" s="405">
        <f t="shared" si="3"/>
        <v>1.9275381182695612E-3</v>
      </c>
      <c r="H24" s="1240">
        <f t="shared" si="3"/>
        <v>1.9530059871834709E-3</v>
      </c>
      <c r="I24" s="405">
        <f t="shared" si="3"/>
        <v>1.9788129065833843E-3</v>
      </c>
      <c r="J24" s="405">
        <f t="shared" si="3"/>
        <v>2.0049634008608907E-3</v>
      </c>
      <c r="K24" s="405">
        <f t="shared" si="3"/>
        <v>2.0314620547973263E-3</v>
      </c>
      <c r="L24" s="405">
        <f t="shared" si="3"/>
        <v>2.0583135143694502E-3</v>
      </c>
      <c r="M24" s="405">
        <f t="shared" si="3"/>
        <v>2.0855224875658833E-3</v>
      </c>
      <c r="N24" s="405">
        <f t="shared" si="3"/>
        <v>2.1130937452144348E-3</v>
      </c>
      <c r="O24" s="405">
        <f t="shared" si="3"/>
        <v>2.1410321218204905E-3</v>
      </c>
      <c r="P24" s="405">
        <f t="shared" si="3"/>
        <v>2.1693425164165869E-3</v>
      </c>
      <c r="Q24" s="405">
        <f t="shared" si="3"/>
        <v>2.1980298934233256E-3</v>
      </c>
      <c r="R24" s="405">
        <f t="shared" si="3"/>
        <v>2.22709928352179E-3</v>
      </c>
      <c r="S24" s="405">
        <f t="shared" si="3"/>
        <v>2.2565557845376058E-3</v>
      </c>
      <c r="T24" s="405">
        <f t="shared" si="3"/>
        <v>2.286404562336797E-3</v>
      </c>
      <c r="U24" s="405">
        <f t="shared" si="3"/>
        <v>2.3166508517336133E-3</v>
      </c>
      <c r="V24" s="405">
        <f t="shared" si="3"/>
        <v>2.3472999574104775E-3</v>
      </c>
      <c r="W24" s="405">
        <f t="shared" si="3"/>
        <v>2.3783572548501954E-3</v>
      </c>
      <c r="X24" s="405">
        <f t="shared" si="3"/>
        <v>2.409828191280636E-3</v>
      </c>
      <c r="Y24" s="405">
        <f t="shared" si="3"/>
        <v>2.4417182866320066E-3</v>
      </c>
      <c r="Z24" s="405">
        <f t="shared" si="3"/>
        <v>2.4740331345069061E-3</v>
      </c>
      <c r="AA24" s="405">
        <f t="shared" si="3"/>
        <v>2.5067784031633333E-3</v>
      </c>
      <c r="AB24" s="405">
        <f t="shared" si="3"/>
        <v>2.5399598365108281E-3</v>
      </c>
      <c r="AC24" s="405">
        <f t="shared" si="3"/>
        <v>2.5735832551198753E-3</v>
      </c>
      <c r="AD24" s="405">
        <f t="shared" si="3"/>
        <v>2.6076545572448263E-3</v>
      </c>
      <c r="AE24" s="405">
        <f t="shared" si="3"/>
        <v>2.6421797198604392E-3</v>
      </c>
      <c r="AF24" s="405">
        <f t="shared" si="3"/>
        <v>2.6771647997122744E-3</v>
      </c>
      <c r="AG24" s="405">
        <f t="shared" si="3"/>
        <v>2.7126159343811023E-3</v>
      </c>
      <c r="AH24" s="405">
        <f t="shared" si="3"/>
        <v>2.7485393433615271E-3</v>
      </c>
      <c r="AI24" s="405">
        <f t="shared" si="3"/>
        <v>2.7849413291549971E-3</v>
      </c>
      <c r="AJ24" s="405">
        <f t="shared" si="3"/>
        <v>2.8218282783774085E-3</v>
      </c>
      <c r="AK24" s="405">
        <f t="shared" si="3"/>
        <v>2.8592066628814962E-3</v>
      </c>
      <c r="AL24" s="405">
        <f t="shared" si="3"/>
        <v>2.897083040894199E-3</v>
      </c>
    </row>
    <row r="25" spans="2:38" ht="13">
      <c r="B25" s="400" t="s">
        <v>651</v>
      </c>
      <c r="C25" s="404"/>
      <c r="D25" s="405">
        <f t="shared" ref="D25:AK25" si="4">D$73*D23</f>
        <v>2.5536008391599339E-2</v>
      </c>
      <c r="E25" s="405">
        <f t="shared" si="4"/>
        <v>2.5848401735985637E-2</v>
      </c>
      <c r="F25" s="405">
        <f t="shared" si="4"/>
        <v>2.6164622382777926E-2</v>
      </c>
      <c r="G25" s="405">
        <f t="shared" si="4"/>
        <v>2.648471722477817E-2</v>
      </c>
      <c r="H25" s="1240">
        <f t="shared" si="4"/>
        <v>2.6808733729422666E-2</v>
      </c>
      <c r="I25" s="405">
        <f t="shared" si="4"/>
        <v>2.7136719945817921E-2</v>
      </c>
      <c r="J25" s="405">
        <f t="shared" si="4"/>
        <v>2.7468724511863139E-2</v>
      </c>
      <c r="K25" s="405">
        <f t="shared" si="4"/>
        <v>2.7804796661459887E-2</v>
      </c>
      <c r="L25" s="405">
        <f t="shared" si="4"/>
        <v>2.8144986231810096E-2</v>
      </c>
      <c r="M25" s="405">
        <f t="shared" si="4"/>
        <v>2.8489343670803757E-2</v>
      </c>
      <c r="N25" s="405">
        <f t="shared" si="4"/>
        <v>2.8837920044496892E-2</v>
      </c>
      <c r="O25" s="405">
        <f t="shared" si="4"/>
        <v>2.9190767044681491E-2</v>
      </c>
      <c r="P25" s="405">
        <f t="shared" si="4"/>
        <v>2.9547936996548039E-2</v>
      </c>
      <c r="Q25" s="405">
        <f t="shared" si="4"/>
        <v>2.9909482866442044E-2</v>
      </c>
      <c r="R25" s="405">
        <f t="shared" si="4"/>
        <v>3.0275458269715658E-2</v>
      </c>
      <c r="S25" s="405">
        <f t="shared" si="4"/>
        <v>3.0645917478675577E-2</v>
      </c>
      <c r="T25" s="405">
        <f t="shared" si="4"/>
        <v>3.1020915430628217E-2</v>
      </c>
      <c r="U25" s="405">
        <f t="shared" si="4"/>
        <v>3.1400507736023604E-2</v>
      </c>
      <c r="V25" s="405">
        <f t="shared" si="4"/>
        <v>3.1784750686699191E-2</v>
      </c>
      <c r="W25" s="405">
        <f t="shared" si="4"/>
        <v>3.2173701264224412E-2</v>
      </c>
      <c r="X25" s="405">
        <f t="shared" si="4"/>
        <v>3.2567417148347808E-2</v>
      </c>
      <c r="Y25" s="405">
        <f t="shared" si="4"/>
        <v>3.2965956725547467E-2</v>
      </c>
      <c r="Z25" s="405">
        <f t="shared" si="4"/>
        <v>3.3369379097686419E-2</v>
      </c>
      <c r="AA25" s="405">
        <f t="shared" si="4"/>
        <v>3.3777744090773852E-2</v>
      </c>
      <c r="AB25" s="405">
        <f t="shared" si="4"/>
        <v>3.4191112263834117E-2</v>
      </c>
      <c r="AC25" s="405">
        <f t="shared" si="4"/>
        <v>3.4609544917883851E-2</v>
      </c>
      <c r="AD25" s="405">
        <f t="shared" si="4"/>
        <v>3.5033104105019683E-2</v>
      </c>
      <c r="AE25" s="405">
        <f t="shared" si="4"/>
        <v>3.5461852637616857E-2</v>
      </c>
      <c r="AF25" s="405">
        <f t="shared" si="4"/>
        <v>3.5895854097640775E-2</v>
      </c>
      <c r="AG25" s="405">
        <f t="shared" si="4"/>
        <v>3.6335172846072593E-2</v>
      </c>
      <c r="AH25" s="405">
        <f t="shared" si="4"/>
        <v>3.6779874032450401E-2</v>
      </c>
      <c r="AI25" s="405">
        <f t="shared" si="4"/>
        <v>3.7230023604527124E-2</v>
      </c>
      <c r="AJ25" s="405">
        <f t="shared" si="4"/>
        <v>3.7685688318046889E-2</v>
      </c>
      <c r="AK25" s="405">
        <f t="shared" si="4"/>
        <v>3.8146935746641193E-2</v>
      </c>
      <c r="AL25" s="405">
        <f t="shared" ref="AL25" si="5">AL$73*AL23</f>
        <v>3.8613834291846193E-2</v>
      </c>
    </row>
    <row r="26" spans="2:38">
      <c r="H26" s="1228"/>
    </row>
    <row r="27" spans="2:38" ht="13">
      <c r="B27" s="364" t="s">
        <v>652</v>
      </c>
      <c r="H27" s="1228"/>
    </row>
    <row r="28" spans="2:38" ht="13">
      <c r="B28" s="407" t="s">
        <v>615</v>
      </c>
      <c r="C28" s="396" t="s">
        <v>627</v>
      </c>
      <c r="D28" s="440">
        <f t="shared" ref="D28:AL28" si="6">D$1</f>
        <v>2021</v>
      </c>
      <c r="E28" s="440">
        <f t="shared" si="6"/>
        <v>2022</v>
      </c>
      <c r="F28" s="440">
        <f t="shared" si="6"/>
        <v>2023</v>
      </c>
      <c r="G28" s="440">
        <f t="shared" si="6"/>
        <v>2024</v>
      </c>
      <c r="H28" s="1229">
        <f t="shared" si="6"/>
        <v>2025</v>
      </c>
      <c r="I28" s="440">
        <f t="shared" si="6"/>
        <v>2026</v>
      </c>
      <c r="J28" s="440">
        <f t="shared" si="6"/>
        <v>2027</v>
      </c>
      <c r="K28" s="440">
        <f t="shared" si="6"/>
        <v>2028</v>
      </c>
      <c r="L28" s="440">
        <f t="shared" si="6"/>
        <v>2029</v>
      </c>
      <c r="M28" s="440">
        <f t="shared" si="6"/>
        <v>2030</v>
      </c>
      <c r="N28" s="440">
        <f t="shared" si="6"/>
        <v>2031</v>
      </c>
      <c r="O28" s="440">
        <f t="shared" si="6"/>
        <v>2032</v>
      </c>
      <c r="P28" s="440">
        <f t="shared" si="6"/>
        <v>2033</v>
      </c>
      <c r="Q28" s="440">
        <f t="shared" si="6"/>
        <v>2034</v>
      </c>
      <c r="R28" s="440">
        <f t="shared" si="6"/>
        <v>2035</v>
      </c>
      <c r="S28" s="440">
        <f t="shared" si="6"/>
        <v>2036</v>
      </c>
      <c r="T28" s="440">
        <f t="shared" si="6"/>
        <v>2037</v>
      </c>
      <c r="U28" s="440">
        <f t="shared" si="6"/>
        <v>2038</v>
      </c>
      <c r="V28" s="440">
        <f t="shared" si="6"/>
        <v>2039</v>
      </c>
      <c r="W28" s="440">
        <f t="shared" si="6"/>
        <v>2040</v>
      </c>
      <c r="X28" s="440">
        <f t="shared" si="6"/>
        <v>2041</v>
      </c>
      <c r="Y28" s="440">
        <f t="shared" si="6"/>
        <v>2042</v>
      </c>
      <c r="Z28" s="440">
        <f t="shared" si="6"/>
        <v>2043</v>
      </c>
      <c r="AA28" s="440">
        <f t="shared" si="6"/>
        <v>2044</v>
      </c>
      <c r="AB28" s="440">
        <f t="shared" si="6"/>
        <v>2045</v>
      </c>
      <c r="AC28" s="440">
        <f t="shared" si="6"/>
        <v>2046</v>
      </c>
      <c r="AD28" s="440">
        <f t="shared" si="6"/>
        <v>2047</v>
      </c>
      <c r="AE28" s="440">
        <f t="shared" si="6"/>
        <v>2048</v>
      </c>
      <c r="AF28" s="440">
        <f t="shared" si="6"/>
        <v>2049</v>
      </c>
      <c r="AG28" s="440">
        <f t="shared" si="6"/>
        <v>2050</v>
      </c>
      <c r="AH28" s="440">
        <f t="shared" si="6"/>
        <v>2051</v>
      </c>
      <c r="AI28" s="440">
        <f t="shared" si="6"/>
        <v>2052</v>
      </c>
      <c r="AJ28" s="440">
        <f t="shared" si="6"/>
        <v>2053</v>
      </c>
      <c r="AK28" s="440">
        <f t="shared" si="6"/>
        <v>2054</v>
      </c>
      <c r="AL28" s="440">
        <f t="shared" si="6"/>
        <v>2055</v>
      </c>
    </row>
    <row r="29" spans="2:38" ht="13">
      <c r="B29" s="364" t="s">
        <v>624</v>
      </c>
      <c r="C29" s="408"/>
      <c r="D29" s="358"/>
      <c r="E29" s="409"/>
      <c r="F29" s="410"/>
      <c r="G29" s="410"/>
      <c r="H29" s="1234"/>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row>
    <row r="30" spans="2:38">
      <c r="B30" s="411" t="s">
        <v>653</v>
      </c>
      <c r="C30" s="412" t="s">
        <v>654</v>
      </c>
      <c r="D30" s="413">
        <f t="shared" ref="D30:AL30" si="7">((D$15*D$16+0.2)/0.2)^(0.3334)</f>
        <v>36.192828306472741</v>
      </c>
      <c r="E30" s="413">
        <f t="shared" si="7"/>
        <v>36.67404866241106</v>
      </c>
      <c r="F30" s="413">
        <f t="shared" si="7"/>
        <v>37.161667726139349</v>
      </c>
      <c r="G30" s="413">
        <f t="shared" si="7"/>
        <v>37.655770569922048</v>
      </c>
      <c r="H30" s="413">
        <f t="shared" si="7"/>
        <v>38.156443397347012</v>
      </c>
      <c r="I30" s="413">
        <f t="shared" si="7"/>
        <v>38.663773558363161</v>
      </c>
      <c r="J30" s="413">
        <f t="shared" si="7"/>
        <v>39.177849564518397</v>
      </c>
      <c r="K30" s="413">
        <f t="shared" si="7"/>
        <v>39.698761104400198</v>
      </c>
      <c r="L30" s="413">
        <f t="shared" si="7"/>
        <v>40.226599059281483</v>
      </c>
      <c r="M30" s="413">
        <f t="shared" si="7"/>
        <v>40.761455518974863</v>
      </c>
      <c r="N30" s="413">
        <f t="shared" si="7"/>
        <v>41.303423797897587</v>
      </c>
      <c r="O30" s="413">
        <f t="shared" si="7"/>
        <v>41.852598451350346</v>
      </c>
      <c r="P30" s="413">
        <f t="shared" si="7"/>
        <v>42.409075292012602</v>
      </c>
      <c r="Q30" s="413">
        <f t="shared" si="7"/>
        <v>42.972951406657153</v>
      </c>
      <c r="R30" s="413">
        <f t="shared" si="7"/>
        <v>43.544325173087408</v>
      </c>
      <c r="S30" s="413">
        <f t="shared" si="7"/>
        <v>44.123296277299637</v>
      </c>
      <c r="T30" s="413">
        <f t="shared" si="7"/>
        <v>44.709965730873627</v>
      </c>
      <c r="U30" s="413">
        <f t="shared" si="7"/>
        <v>45.304435888594611</v>
      </c>
      <c r="V30" s="413">
        <f t="shared" si="7"/>
        <v>45.906810466309778</v>
      </c>
      <c r="W30" s="413">
        <f t="shared" si="7"/>
        <v>46.517194559021995</v>
      </c>
      <c r="X30" s="413">
        <f t="shared" si="7"/>
        <v>47.135694659224384</v>
      </c>
      <c r="Y30" s="413">
        <f t="shared" si="7"/>
        <v>47.762418675478806</v>
      </c>
      <c r="Z30" s="413">
        <f t="shared" si="7"/>
        <v>48.397475951241319</v>
      </c>
      <c r="AA30" s="413">
        <f t="shared" si="7"/>
        <v>49.04097728393797</v>
      </c>
      <c r="AB30" s="413">
        <f t="shared" si="7"/>
        <v>49.693034944294617</v>
      </c>
      <c r="AC30" s="413">
        <f t="shared" si="7"/>
        <v>50.353762695923315</v>
      </c>
      <c r="AD30" s="413">
        <f t="shared" si="7"/>
        <v>51.023275815169889</v>
      </c>
      <c r="AE30" s="413">
        <f t="shared" si="7"/>
        <v>51.701691111224747</v>
      </c>
      <c r="AF30" s="413">
        <f t="shared" si="7"/>
        <v>52.389126946501705</v>
      </c>
      <c r="AG30" s="413">
        <f t="shared" si="7"/>
        <v>53.085703257287577</v>
      </c>
      <c r="AH30" s="413">
        <f t="shared" si="7"/>
        <v>53.79154157466639</v>
      </c>
      <c r="AI30" s="413">
        <f t="shared" si="7"/>
        <v>54.506765045722133</v>
      </c>
      <c r="AJ30" s="413">
        <f t="shared" si="7"/>
        <v>55.231498455023086</v>
      </c>
      <c r="AK30" s="413">
        <f t="shared" si="7"/>
        <v>55.965868246392176</v>
      </c>
      <c r="AL30" s="413">
        <f t="shared" si="7"/>
        <v>56.710002544966748</v>
      </c>
    </row>
    <row r="31" spans="2:38">
      <c r="B31" s="411" t="s">
        <v>655</v>
      </c>
      <c r="C31" s="412" t="s">
        <v>656</v>
      </c>
      <c r="D31" s="414">
        <f t="shared" ref="D31:AL31" si="8">EXP(0.2094*$D$9)</f>
        <v>1.5201362971260179</v>
      </c>
      <c r="E31" s="415">
        <f t="shared" si="8"/>
        <v>1.5201362971260179</v>
      </c>
      <c r="F31" s="415">
        <f t="shared" si="8"/>
        <v>1.5201362971260179</v>
      </c>
      <c r="G31" s="415">
        <f t="shared" si="8"/>
        <v>1.5201362971260179</v>
      </c>
      <c r="H31" s="1235">
        <f t="shared" si="8"/>
        <v>1.5201362971260179</v>
      </c>
      <c r="I31" s="415">
        <f t="shared" si="8"/>
        <v>1.5201362971260179</v>
      </c>
      <c r="J31" s="415">
        <f t="shared" si="8"/>
        <v>1.5201362971260179</v>
      </c>
      <c r="K31" s="415">
        <f t="shared" si="8"/>
        <v>1.5201362971260179</v>
      </c>
      <c r="L31" s="415">
        <f t="shared" si="8"/>
        <v>1.5201362971260179</v>
      </c>
      <c r="M31" s="415">
        <f t="shared" si="8"/>
        <v>1.5201362971260179</v>
      </c>
      <c r="N31" s="415">
        <f t="shared" si="8"/>
        <v>1.5201362971260179</v>
      </c>
      <c r="O31" s="415">
        <f t="shared" si="8"/>
        <v>1.5201362971260179</v>
      </c>
      <c r="P31" s="415">
        <f t="shared" si="8"/>
        <v>1.5201362971260179</v>
      </c>
      <c r="Q31" s="415">
        <f t="shared" si="8"/>
        <v>1.5201362971260179</v>
      </c>
      <c r="R31" s="415">
        <f t="shared" si="8"/>
        <v>1.5201362971260179</v>
      </c>
      <c r="S31" s="415">
        <f t="shared" si="8"/>
        <v>1.5201362971260179</v>
      </c>
      <c r="T31" s="415">
        <f t="shared" si="8"/>
        <v>1.5201362971260179</v>
      </c>
      <c r="U31" s="415">
        <f t="shared" si="8"/>
        <v>1.5201362971260179</v>
      </c>
      <c r="V31" s="415">
        <f t="shared" si="8"/>
        <v>1.5201362971260179</v>
      </c>
      <c r="W31" s="415">
        <f t="shared" si="8"/>
        <v>1.5201362971260179</v>
      </c>
      <c r="X31" s="415">
        <f t="shared" si="8"/>
        <v>1.5201362971260179</v>
      </c>
      <c r="Y31" s="415">
        <f t="shared" si="8"/>
        <v>1.5201362971260179</v>
      </c>
      <c r="Z31" s="415">
        <f t="shared" si="8"/>
        <v>1.5201362971260179</v>
      </c>
      <c r="AA31" s="415">
        <f t="shared" si="8"/>
        <v>1.5201362971260179</v>
      </c>
      <c r="AB31" s="415">
        <f t="shared" si="8"/>
        <v>1.5201362971260179</v>
      </c>
      <c r="AC31" s="415">
        <f t="shared" si="8"/>
        <v>1.5201362971260179</v>
      </c>
      <c r="AD31" s="415">
        <f t="shared" si="8"/>
        <v>1.5201362971260179</v>
      </c>
      <c r="AE31" s="415">
        <f t="shared" si="8"/>
        <v>1.5201362971260179</v>
      </c>
      <c r="AF31" s="415">
        <f t="shared" si="8"/>
        <v>1.5201362971260179</v>
      </c>
      <c r="AG31" s="415">
        <f t="shared" si="8"/>
        <v>1.5201362971260179</v>
      </c>
      <c r="AH31" s="415">
        <f t="shared" si="8"/>
        <v>1.5201362971260179</v>
      </c>
      <c r="AI31" s="415">
        <f t="shared" si="8"/>
        <v>1.5201362971260179</v>
      </c>
      <c r="AJ31" s="415">
        <f t="shared" si="8"/>
        <v>1.5201362971260179</v>
      </c>
      <c r="AK31" s="415">
        <f t="shared" si="8"/>
        <v>1.5201362971260179</v>
      </c>
      <c r="AL31" s="415">
        <f t="shared" si="8"/>
        <v>1.5201362971260179</v>
      </c>
    </row>
    <row r="32" spans="2:38">
      <c r="B32" s="411" t="s">
        <v>657</v>
      </c>
      <c r="C32" s="416" t="s">
        <v>658</v>
      </c>
      <c r="D32" s="417">
        <f t="shared" ref="D32:AL32" si="9">((D$18+0.2)/0.2)^(0.1336)</f>
        <v>1.5039439694520227</v>
      </c>
      <c r="E32" s="417">
        <f t="shared" si="9"/>
        <v>1.5059657870025993</v>
      </c>
      <c r="F32" s="417">
        <f t="shared" si="9"/>
        <v>1.5079913203920043</v>
      </c>
      <c r="G32" s="417">
        <f t="shared" si="9"/>
        <v>1.5100205677833436</v>
      </c>
      <c r="H32" s="417">
        <f t="shared" si="9"/>
        <v>1.5120535273873423</v>
      </c>
      <c r="I32" s="417">
        <f t="shared" si="9"/>
        <v>1.5140901974622014</v>
      </c>
      <c r="J32" s="417">
        <f t="shared" si="9"/>
        <v>1.5161305763134527</v>
      </c>
      <c r="K32" s="417">
        <f t="shared" si="9"/>
        <v>1.5181746622938119</v>
      </c>
      <c r="L32" s="417">
        <f t="shared" si="9"/>
        <v>1.520222453803028</v>
      </c>
      <c r="M32" s="417">
        <f t="shared" si="9"/>
        <v>1.5222739492877324</v>
      </c>
      <c r="N32" s="417">
        <f t="shared" si="9"/>
        <v>1.5243291472412857</v>
      </c>
      <c r="O32" s="417">
        <f t="shared" si="9"/>
        <v>1.5263880462036212</v>
      </c>
      <c r="P32" s="417">
        <f t="shared" si="9"/>
        <v>1.5284506447610882</v>
      </c>
      <c r="Q32" s="417">
        <f t="shared" si="9"/>
        <v>1.530516941546292</v>
      </c>
      <c r="R32" s="417">
        <f t="shared" si="9"/>
        <v>1.5325869352379347</v>
      </c>
      <c r="S32" s="417">
        <f t="shared" si="9"/>
        <v>1.5346606245606504</v>
      </c>
      <c r="T32" s="417">
        <f t="shared" si="9"/>
        <v>1.5367380082848423</v>
      </c>
      <c r="U32" s="417">
        <f t="shared" si="9"/>
        <v>1.5388190852265171</v>
      </c>
      <c r="V32" s="417">
        <f t="shared" si="9"/>
        <v>1.5409038542471161</v>
      </c>
      <c r="W32" s="417">
        <f t="shared" si="9"/>
        <v>1.5429923142533486</v>
      </c>
      <c r="X32" s="417">
        <f t="shared" si="9"/>
        <v>1.5450844641970205</v>
      </c>
      <c r="Y32" s="417">
        <f t="shared" si="9"/>
        <v>1.5471803030748632</v>
      </c>
      <c r="Z32" s="417">
        <f t="shared" si="9"/>
        <v>1.549279829928361</v>
      </c>
      <c r="AA32" s="417">
        <f t="shared" si="9"/>
        <v>1.5513830438435772</v>
      </c>
      <c r="AB32" s="417">
        <f t="shared" si="9"/>
        <v>1.5534899439509793</v>
      </c>
      <c r="AC32" s="417">
        <f t="shared" si="9"/>
        <v>1.5556005294252619</v>
      </c>
      <c r="AD32" s="417">
        <f t="shared" si="9"/>
        <v>1.5577147994851714</v>
      </c>
      <c r="AE32" s="417">
        <f t="shared" si="9"/>
        <v>1.5598327533933254</v>
      </c>
      <c r="AF32" s="417">
        <f t="shared" si="9"/>
        <v>1.5619543904560358</v>
      </c>
      <c r="AG32" s="417">
        <f t="shared" si="9"/>
        <v>1.5640797100231272</v>
      </c>
      <c r="AH32" s="417">
        <f t="shared" si="9"/>
        <v>1.5662087114877568</v>
      </c>
      <c r="AI32" s="417">
        <f t="shared" si="9"/>
        <v>1.5683413942862328</v>
      </c>
      <c r="AJ32" s="417">
        <f t="shared" si="9"/>
        <v>1.5704777578978313</v>
      </c>
      <c r="AK32" s="417">
        <f t="shared" si="9"/>
        <v>1.5726178018446135</v>
      </c>
      <c r="AL32" s="417">
        <f t="shared" si="9"/>
        <v>1.5747615256912424</v>
      </c>
    </row>
    <row r="33" spans="2:38">
      <c r="B33" s="411" t="s">
        <v>659</v>
      </c>
      <c r="C33" s="412" t="s">
        <v>660</v>
      </c>
      <c r="D33" s="414">
        <f t="shared" ref="D33:AL33" si="10">EXP(-0.616*($E$7-1))</f>
        <v>1</v>
      </c>
      <c r="E33" s="415">
        <f t="shared" si="10"/>
        <v>1</v>
      </c>
      <c r="F33" s="415">
        <f t="shared" si="10"/>
        <v>1</v>
      </c>
      <c r="G33" s="415">
        <f t="shared" si="10"/>
        <v>1</v>
      </c>
      <c r="H33" s="1235">
        <f t="shared" si="10"/>
        <v>1</v>
      </c>
      <c r="I33" s="415">
        <f t="shared" si="10"/>
        <v>1</v>
      </c>
      <c r="J33" s="415">
        <f t="shared" si="10"/>
        <v>1</v>
      </c>
      <c r="K33" s="415">
        <f t="shared" si="10"/>
        <v>1</v>
      </c>
      <c r="L33" s="415">
        <f t="shared" si="10"/>
        <v>1</v>
      </c>
      <c r="M33" s="415">
        <f t="shared" si="10"/>
        <v>1</v>
      </c>
      <c r="N33" s="415">
        <f t="shared" si="10"/>
        <v>1</v>
      </c>
      <c r="O33" s="415">
        <f t="shared" si="10"/>
        <v>1</v>
      </c>
      <c r="P33" s="415">
        <f t="shared" si="10"/>
        <v>1</v>
      </c>
      <c r="Q33" s="415">
        <f t="shared" si="10"/>
        <v>1</v>
      </c>
      <c r="R33" s="415">
        <f t="shared" si="10"/>
        <v>1</v>
      </c>
      <c r="S33" s="415">
        <f t="shared" si="10"/>
        <v>1</v>
      </c>
      <c r="T33" s="415">
        <f t="shared" si="10"/>
        <v>1</v>
      </c>
      <c r="U33" s="415">
        <f t="shared" si="10"/>
        <v>1</v>
      </c>
      <c r="V33" s="415">
        <f t="shared" si="10"/>
        <v>1</v>
      </c>
      <c r="W33" s="415">
        <f t="shared" si="10"/>
        <v>1</v>
      </c>
      <c r="X33" s="415">
        <f t="shared" si="10"/>
        <v>1</v>
      </c>
      <c r="Y33" s="415">
        <f t="shared" si="10"/>
        <v>1</v>
      </c>
      <c r="Z33" s="415">
        <f t="shared" si="10"/>
        <v>1</v>
      </c>
      <c r="AA33" s="415">
        <f t="shared" si="10"/>
        <v>1</v>
      </c>
      <c r="AB33" s="415">
        <f t="shared" si="10"/>
        <v>1</v>
      </c>
      <c r="AC33" s="415">
        <f t="shared" si="10"/>
        <v>1</v>
      </c>
      <c r="AD33" s="415">
        <f t="shared" si="10"/>
        <v>1</v>
      </c>
      <c r="AE33" s="415">
        <f t="shared" si="10"/>
        <v>1</v>
      </c>
      <c r="AF33" s="415">
        <f t="shared" si="10"/>
        <v>1</v>
      </c>
      <c r="AG33" s="415">
        <f t="shared" si="10"/>
        <v>1</v>
      </c>
      <c r="AH33" s="415">
        <f t="shared" si="10"/>
        <v>1</v>
      </c>
      <c r="AI33" s="415">
        <f t="shared" si="10"/>
        <v>1</v>
      </c>
      <c r="AJ33" s="415">
        <f t="shared" si="10"/>
        <v>1</v>
      </c>
      <c r="AK33" s="415">
        <f t="shared" si="10"/>
        <v>1</v>
      </c>
      <c r="AL33" s="415">
        <f t="shared" si="10"/>
        <v>1</v>
      </c>
    </row>
    <row r="34" spans="2:38">
      <c r="B34" s="411" t="s">
        <v>661</v>
      </c>
      <c r="C34" s="412" t="s">
        <v>662</v>
      </c>
      <c r="D34" s="414">
        <f t="shared" ref="D34:AL34" si="11">EXP(0.0077*D$20)</f>
        <v>1.0594501000746941</v>
      </c>
      <c r="E34" s="415">
        <f t="shared" si="11"/>
        <v>1.0594501000746941</v>
      </c>
      <c r="F34" s="415">
        <f t="shared" si="11"/>
        <v>1.0594501000746941</v>
      </c>
      <c r="G34" s="415">
        <f t="shared" si="11"/>
        <v>1.0594501000746941</v>
      </c>
      <c r="H34" s="1235">
        <f t="shared" si="11"/>
        <v>1.0594501000746941</v>
      </c>
      <c r="I34" s="415">
        <f t="shared" si="11"/>
        <v>1.0594501000746941</v>
      </c>
      <c r="J34" s="415">
        <f t="shared" si="11"/>
        <v>1.0594501000746941</v>
      </c>
      <c r="K34" s="415">
        <f t="shared" si="11"/>
        <v>1.0594501000746941</v>
      </c>
      <c r="L34" s="415">
        <f t="shared" si="11"/>
        <v>1.0594501000746941</v>
      </c>
      <c r="M34" s="415">
        <f t="shared" si="11"/>
        <v>1.0594501000746941</v>
      </c>
      <c r="N34" s="415">
        <f t="shared" si="11"/>
        <v>1.0594501000746941</v>
      </c>
      <c r="O34" s="415">
        <f t="shared" si="11"/>
        <v>1.0594501000746941</v>
      </c>
      <c r="P34" s="415">
        <f t="shared" si="11"/>
        <v>1.0594501000746941</v>
      </c>
      <c r="Q34" s="415">
        <f t="shared" si="11"/>
        <v>1.0594501000746941</v>
      </c>
      <c r="R34" s="415">
        <f t="shared" si="11"/>
        <v>1.0594501000746941</v>
      </c>
      <c r="S34" s="415">
        <f t="shared" si="11"/>
        <v>1.0594501000746941</v>
      </c>
      <c r="T34" s="415">
        <f t="shared" si="11"/>
        <v>1.0594501000746941</v>
      </c>
      <c r="U34" s="415">
        <f t="shared" si="11"/>
        <v>1.0594501000746941</v>
      </c>
      <c r="V34" s="415">
        <f t="shared" si="11"/>
        <v>1.0594501000746941</v>
      </c>
      <c r="W34" s="415">
        <f t="shared" si="11"/>
        <v>1.0594501000746941</v>
      </c>
      <c r="X34" s="415">
        <f t="shared" si="11"/>
        <v>1.0594501000746941</v>
      </c>
      <c r="Y34" s="415">
        <f t="shared" si="11"/>
        <v>1.0594501000746941</v>
      </c>
      <c r="Z34" s="415">
        <f t="shared" si="11"/>
        <v>1.0594501000746941</v>
      </c>
      <c r="AA34" s="415">
        <f t="shared" si="11"/>
        <v>1.0594501000746941</v>
      </c>
      <c r="AB34" s="415">
        <f t="shared" si="11"/>
        <v>1.0594501000746941</v>
      </c>
      <c r="AC34" s="415">
        <f t="shared" si="11"/>
        <v>1.0594501000746941</v>
      </c>
      <c r="AD34" s="415">
        <f t="shared" si="11"/>
        <v>1.0594501000746941</v>
      </c>
      <c r="AE34" s="415">
        <f t="shared" si="11"/>
        <v>1.0594501000746941</v>
      </c>
      <c r="AF34" s="415">
        <f t="shared" si="11"/>
        <v>1.0594501000746941</v>
      </c>
      <c r="AG34" s="415">
        <f t="shared" si="11"/>
        <v>1.0594501000746941</v>
      </c>
      <c r="AH34" s="415">
        <f t="shared" si="11"/>
        <v>1.0594501000746941</v>
      </c>
      <c r="AI34" s="415">
        <f t="shared" si="11"/>
        <v>1.0594501000746941</v>
      </c>
      <c r="AJ34" s="415">
        <f t="shared" si="11"/>
        <v>1.0594501000746941</v>
      </c>
      <c r="AK34" s="415">
        <f t="shared" si="11"/>
        <v>1.0594501000746941</v>
      </c>
      <c r="AL34" s="415">
        <f t="shared" si="11"/>
        <v>1.0594501000746941</v>
      </c>
    </row>
    <row r="35" spans="2:38">
      <c r="B35" s="411" t="s">
        <v>663</v>
      </c>
      <c r="C35" s="412" t="s">
        <v>664</v>
      </c>
      <c r="D35" s="414">
        <f t="shared" ref="D35:AL35" si="12">EXP(-0.1*($E$8-1))</f>
        <v>0.60653065971263342</v>
      </c>
      <c r="E35" s="415">
        <f t="shared" si="12"/>
        <v>0.60653065971263342</v>
      </c>
      <c r="F35" s="415">
        <f t="shared" si="12"/>
        <v>0.60653065971263342</v>
      </c>
      <c r="G35" s="415">
        <f t="shared" si="12"/>
        <v>0.60653065971263342</v>
      </c>
      <c r="H35" s="1235">
        <f t="shared" si="12"/>
        <v>0.60653065971263342</v>
      </c>
      <c r="I35" s="415">
        <f t="shared" si="12"/>
        <v>0.60653065971263342</v>
      </c>
      <c r="J35" s="415">
        <f t="shared" si="12"/>
        <v>0.60653065971263342</v>
      </c>
      <c r="K35" s="415">
        <f t="shared" si="12"/>
        <v>0.60653065971263342</v>
      </c>
      <c r="L35" s="415">
        <f t="shared" si="12"/>
        <v>0.60653065971263342</v>
      </c>
      <c r="M35" s="415">
        <f t="shared" si="12"/>
        <v>0.60653065971263342</v>
      </c>
      <c r="N35" s="415">
        <f t="shared" si="12"/>
        <v>0.60653065971263342</v>
      </c>
      <c r="O35" s="415">
        <f t="shared" si="12"/>
        <v>0.60653065971263342</v>
      </c>
      <c r="P35" s="415">
        <f t="shared" si="12"/>
        <v>0.60653065971263342</v>
      </c>
      <c r="Q35" s="415">
        <f t="shared" si="12"/>
        <v>0.60653065971263342</v>
      </c>
      <c r="R35" s="415">
        <f t="shared" si="12"/>
        <v>0.60653065971263342</v>
      </c>
      <c r="S35" s="415">
        <f t="shared" si="12"/>
        <v>0.60653065971263342</v>
      </c>
      <c r="T35" s="415">
        <f t="shared" si="12"/>
        <v>0.60653065971263342</v>
      </c>
      <c r="U35" s="415">
        <f t="shared" si="12"/>
        <v>0.60653065971263342</v>
      </c>
      <c r="V35" s="415">
        <f t="shared" si="12"/>
        <v>0.60653065971263342</v>
      </c>
      <c r="W35" s="415">
        <f t="shared" si="12"/>
        <v>0.60653065971263342</v>
      </c>
      <c r="X35" s="415">
        <f t="shared" si="12"/>
        <v>0.60653065971263342</v>
      </c>
      <c r="Y35" s="415">
        <f t="shared" si="12"/>
        <v>0.60653065971263342</v>
      </c>
      <c r="Z35" s="415">
        <f t="shared" si="12"/>
        <v>0.60653065971263342</v>
      </c>
      <c r="AA35" s="415">
        <f t="shared" si="12"/>
        <v>0.60653065971263342</v>
      </c>
      <c r="AB35" s="415">
        <f t="shared" si="12"/>
        <v>0.60653065971263342</v>
      </c>
      <c r="AC35" s="415">
        <f t="shared" si="12"/>
        <v>0.60653065971263342</v>
      </c>
      <c r="AD35" s="415">
        <f t="shared" si="12"/>
        <v>0.60653065971263342</v>
      </c>
      <c r="AE35" s="415">
        <f t="shared" si="12"/>
        <v>0.60653065971263342</v>
      </c>
      <c r="AF35" s="415">
        <f t="shared" si="12"/>
        <v>0.60653065971263342</v>
      </c>
      <c r="AG35" s="415">
        <f t="shared" si="12"/>
        <v>0.60653065971263342</v>
      </c>
      <c r="AH35" s="415">
        <f t="shared" si="12"/>
        <v>0.60653065971263342</v>
      </c>
      <c r="AI35" s="415">
        <f t="shared" si="12"/>
        <v>0.60653065971263342</v>
      </c>
      <c r="AJ35" s="415">
        <f t="shared" si="12"/>
        <v>0.60653065971263342</v>
      </c>
      <c r="AK35" s="415">
        <f t="shared" si="12"/>
        <v>0.60653065971263342</v>
      </c>
      <c r="AL35" s="415">
        <f t="shared" si="12"/>
        <v>0.60653065971263342</v>
      </c>
    </row>
    <row r="36" spans="2:38">
      <c r="B36" s="411" t="s">
        <v>665</v>
      </c>
      <c r="C36" s="412" t="s">
        <v>666</v>
      </c>
      <c r="D36" s="414">
        <v>1</v>
      </c>
      <c r="E36" s="414">
        <v>1</v>
      </c>
      <c r="F36" s="414">
        <v>1</v>
      </c>
      <c r="G36" s="414">
        <v>1</v>
      </c>
      <c r="H36" s="417">
        <v>1</v>
      </c>
      <c r="I36" s="414">
        <v>1</v>
      </c>
      <c r="J36" s="414">
        <v>1</v>
      </c>
      <c r="K36" s="414">
        <v>1</v>
      </c>
      <c r="L36" s="414">
        <v>1</v>
      </c>
      <c r="M36" s="414">
        <v>1</v>
      </c>
      <c r="N36" s="414">
        <v>1</v>
      </c>
      <c r="O36" s="414">
        <v>1</v>
      </c>
      <c r="P36" s="414">
        <v>1</v>
      </c>
      <c r="Q36" s="414">
        <v>1</v>
      </c>
      <c r="R36" s="414">
        <v>1</v>
      </c>
      <c r="S36" s="414">
        <v>1</v>
      </c>
      <c r="T36" s="414">
        <v>1</v>
      </c>
      <c r="U36" s="414">
        <v>1</v>
      </c>
      <c r="V36" s="414">
        <v>1</v>
      </c>
      <c r="W36" s="414">
        <v>1</v>
      </c>
      <c r="X36" s="414">
        <v>1</v>
      </c>
      <c r="Y36" s="414">
        <v>1</v>
      </c>
      <c r="Z36" s="414">
        <v>1</v>
      </c>
      <c r="AA36" s="414">
        <v>1</v>
      </c>
      <c r="AB36" s="414">
        <v>1</v>
      </c>
      <c r="AC36" s="414">
        <v>1</v>
      </c>
      <c r="AD36" s="414">
        <v>1</v>
      </c>
      <c r="AE36" s="414">
        <v>1</v>
      </c>
      <c r="AF36" s="414">
        <v>1</v>
      </c>
      <c r="AG36" s="414">
        <v>1</v>
      </c>
      <c r="AH36" s="414">
        <v>1</v>
      </c>
      <c r="AI36" s="414">
        <v>1</v>
      </c>
      <c r="AJ36" s="414">
        <v>1</v>
      </c>
      <c r="AK36" s="414">
        <v>1</v>
      </c>
      <c r="AL36" s="414">
        <v>1</v>
      </c>
    </row>
    <row r="37" spans="2:38" s="421" customFormat="1" ht="13">
      <c r="B37" s="418"/>
      <c r="C37" s="419"/>
      <c r="D37" s="420"/>
      <c r="E37" s="420"/>
      <c r="F37" s="420"/>
      <c r="G37" s="420"/>
      <c r="H37" s="1236"/>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ht="13">
      <c r="B38" s="422" t="s">
        <v>667</v>
      </c>
      <c r="C38" s="408"/>
      <c r="D38" s="420"/>
      <c r="E38" s="420"/>
      <c r="F38" s="420"/>
      <c r="G38" s="420"/>
      <c r="H38" s="1236"/>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row>
    <row r="39" spans="2:38" s="421" customFormat="1">
      <c r="B39" s="411" t="s">
        <v>653</v>
      </c>
      <c r="C39" s="412" t="s">
        <v>654</v>
      </c>
      <c r="D39" s="423">
        <f t="shared" ref="D39:AL39" si="13">((D$15*D$16+0.2)/0.2)^(0.2953)</f>
        <v>24.016382469276152</v>
      </c>
      <c r="E39" s="423">
        <f t="shared" si="13"/>
        <v>24.298999587611789</v>
      </c>
      <c r="F39" s="423">
        <f t="shared" si="13"/>
        <v>24.584942685473173</v>
      </c>
      <c r="G39" s="423">
        <f t="shared" si="13"/>
        <v>24.874250898275086</v>
      </c>
      <c r="H39" s="423">
        <f t="shared" si="13"/>
        <v>25.166963822097976</v>
      </c>
      <c r="I39" s="423">
        <f t="shared" si="13"/>
        <v>25.463121519105556</v>
      </c>
      <c r="J39" s="423">
        <f t="shared" si="13"/>
        <v>25.762764523026384</v>
      </c>
      <c r="K39" s="423">
        <f t="shared" si="13"/>
        <v>26.065933844700037</v>
      </c>
      <c r="L39" s="423">
        <f t="shared" si="13"/>
        <v>26.372670977688507</v>
      </c>
      <c r="M39" s="423">
        <f t="shared" si="13"/>
        <v>26.683017903953957</v>
      </c>
      <c r="N39" s="423">
        <f t="shared" si="13"/>
        <v>26.997017099603092</v>
      </c>
      <c r="O39" s="423">
        <f t="shared" si="13"/>
        <v>27.314711540699456</v>
      </c>
      <c r="P39" s="423">
        <f t="shared" si="13"/>
        <v>27.636144709144073</v>
      </c>
      <c r="Q39" s="423">
        <f t="shared" si="13"/>
        <v>27.961360598625337</v>
      </c>
      <c r="R39" s="423">
        <f t="shared" si="13"/>
        <v>28.290403720639155</v>
      </c>
      <c r="S39" s="423">
        <f t="shared" si="13"/>
        <v>28.623319110579882</v>
      </c>
      <c r="T39" s="423">
        <f t="shared" si="13"/>
        <v>28.960152333902951</v>
      </c>
      <c r="U39" s="423">
        <f t="shared" si="13"/>
        <v>29.300949492360242</v>
      </c>
      <c r="V39" s="423">
        <f t="shared" si="13"/>
        <v>29.64575723030887</v>
      </c>
      <c r="W39" s="423">
        <f t="shared" si="13"/>
        <v>29.994622741094101</v>
      </c>
      <c r="X39" s="423">
        <f t="shared" si="13"/>
        <v>30.347593773507676</v>
      </c>
      <c r="Y39" s="423">
        <f t="shared" si="13"/>
        <v>30.704718638322106</v>
      </c>
      <c r="Z39" s="423">
        <f t="shared" si="13"/>
        <v>31.066046214901849</v>
      </c>
      <c r="AA39" s="423">
        <f t="shared" si="13"/>
        <v>31.431625957892425</v>
      </c>
      <c r="AB39" s="423">
        <f t="shared" si="13"/>
        <v>31.801507903988384</v>
      </c>
      <c r="AC39" s="423">
        <f t="shared" si="13"/>
        <v>32.175742678780679</v>
      </c>
      <c r="AD39" s="423">
        <f t="shared" si="13"/>
        <v>32.554381503685129</v>
      </c>
      <c r="AE39" s="423">
        <f t="shared" si="13"/>
        <v>32.937476202952006</v>
      </c>
      <c r="AF39" s="423">
        <f t="shared" si="13"/>
        <v>33.325079210758453</v>
      </c>
      <c r="AG39" s="423">
        <f t="shared" si="13"/>
        <v>33.717243578384277</v>
      </c>
      <c r="AH39" s="423">
        <f t="shared" si="13"/>
        <v>34.114022981472367</v>
      </c>
      <c r="AI39" s="423">
        <f t="shared" si="13"/>
        <v>34.515471727374425</v>
      </c>
      <c r="AJ39" s="423">
        <f t="shared" si="13"/>
        <v>34.921644762583341</v>
      </c>
      <c r="AK39" s="423">
        <f t="shared" si="13"/>
        <v>35.33259768025296</v>
      </c>
      <c r="AL39" s="423">
        <f t="shared" si="13"/>
        <v>35.748386727806455</v>
      </c>
    </row>
    <row r="40" spans="2:38" s="421" customFormat="1">
      <c r="B40" s="411" t="s">
        <v>655</v>
      </c>
      <c r="C40" s="412" t="s">
        <v>656</v>
      </c>
      <c r="D40" s="414">
        <f t="shared" ref="D40:AL40" si="14">EXP(0.1088*$D$9)</f>
        <v>1.2430897322657162</v>
      </c>
      <c r="E40" s="414">
        <f t="shared" si="14"/>
        <v>1.2430897322657162</v>
      </c>
      <c r="F40" s="414">
        <f t="shared" si="14"/>
        <v>1.2430897322657162</v>
      </c>
      <c r="G40" s="414">
        <f t="shared" si="14"/>
        <v>1.2430897322657162</v>
      </c>
      <c r="H40" s="417">
        <f t="shared" si="14"/>
        <v>1.2430897322657162</v>
      </c>
      <c r="I40" s="414">
        <f t="shared" si="14"/>
        <v>1.2430897322657162</v>
      </c>
      <c r="J40" s="414">
        <f t="shared" si="14"/>
        <v>1.2430897322657162</v>
      </c>
      <c r="K40" s="414">
        <f t="shared" si="14"/>
        <v>1.2430897322657162</v>
      </c>
      <c r="L40" s="414">
        <f t="shared" si="14"/>
        <v>1.2430897322657162</v>
      </c>
      <c r="M40" s="414">
        <f t="shared" si="14"/>
        <v>1.2430897322657162</v>
      </c>
      <c r="N40" s="414">
        <f t="shared" si="14"/>
        <v>1.2430897322657162</v>
      </c>
      <c r="O40" s="414">
        <f t="shared" si="14"/>
        <v>1.2430897322657162</v>
      </c>
      <c r="P40" s="414">
        <f t="shared" si="14"/>
        <v>1.2430897322657162</v>
      </c>
      <c r="Q40" s="414">
        <f t="shared" si="14"/>
        <v>1.2430897322657162</v>
      </c>
      <c r="R40" s="414">
        <f t="shared" si="14"/>
        <v>1.2430897322657162</v>
      </c>
      <c r="S40" s="414">
        <f t="shared" si="14"/>
        <v>1.2430897322657162</v>
      </c>
      <c r="T40" s="414">
        <f t="shared" si="14"/>
        <v>1.2430897322657162</v>
      </c>
      <c r="U40" s="414">
        <f t="shared" si="14"/>
        <v>1.2430897322657162</v>
      </c>
      <c r="V40" s="414">
        <f t="shared" si="14"/>
        <v>1.2430897322657162</v>
      </c>
      <c r="W40" s="414">
        <f t="shared" si="14"/>
        <v>1.2430897322657162</v>
      </c>
      <c r="X40" s="414">
        <f t="shared" si="14"/>
        <v>1.2430897322657162</v>
      </c>
      <c r="Y40" s="414">
        <f t="shared" si="14"/>
        <v>1.2430897322657162</v>
      </c>
      <c r="Z40" s="414">
        <f t="shared" si="14"/>
        <v>1.2430897322657162</v>
      </c>
      <c r="AA40" s="414">
        <f t="shared" si="14"/>
        <v>1.2430897322657162</v>
      </c>
      <c r="AB40" s="414">
        <f t="shared" si="14"/>
        <v>1.2430897322657162</v>
      </c>
      <c r="AC40" s="414">
        <f t="shared" si="14"/>
        <v>1.2430897322657162</v>
      </c>
      <c r="AD40" s="414">
        <f t="shared" si="14"/>
        <v>1.2430897322657162</v>
      </c>
      <c r="AE40" s="414">
        <f t="shared" si="14"/>
        <v>1.2430897322657162</v>
      </c>
      <c r="AF40" s="414">
        <f t="shared" si="14"/>
        <v>1.2430897322657162</v>
      </c>
      <c r="AG40" s="414">
        <f t="shared" si="14"/>
        <v>1.2430897322657162</v>
      </c>
      <c r="AH40" s="414">
        <f t="shared" si="14"/>
        <v>1.2430897322657162</v>
      </c>
      <c r="AI40" s="414">
        <f t="shared" si="14"/>
        <v>1.2430897322657162</v>
      </c>
      <c r="AJ40" s="414">
        <f t="shared" si="14"/>
        <v>1.2430897322657162</v>
      </c>
      <c r="AK40" s="414">
        <f t="shared" si="14"/>
        <v>1.2430897322657162</v>
      </c>
      <c r="AL40" s="414">
        <f t="shared" si="14"/>
        <v>1.2430897322657162</v>
      </c>
    </row>
    <row r="41" spans="2:38" s="421" customFormat="1">
      <c r="B41" s="411" t="s">
        <v>657</v>
      </c>
      <c r="C41" s="416" t="s">
        <v>658</v>
      </c>
      <c r="D41" s="417">
        <f t="shared" ref="D41:AL41" si="15">((D$18+0.2)/0.2)^(0.047)</f>
        <v>1.1543817707159612</v>
      </c>
      <c r="E41" s="417">
        <f t="shared" si="15"/>
        <v>1.1549274808764554</v>
      </c>
      <c r="F41" s="417">
        <f t="shared" si="15"/>
        <v>1.1554737179811641</v>
      </c>
      <c r="G41" s="417">
        <f t="shared" si="15"/>
        <v>1.1560204799705083</v>
      </c>
      <c r="H41" s="417">
        <f t="shared" si="15"/>
        <v>1.1565677648024966</v>
      </c>
      <c r="I41" s="417">
        <f t="shared" si="15"/>
        <v>1.1571155704526312</v>
      </c>
      <c r="J41" s="417">
        <f t="shared" si="15"/>
        <v>1.1576638949138149</v>
      </c>
      <c r="K41" s="417">
        <f t="shared" si="15"/>
        <v>1.158212736196256</v>
      </c>
      <c r="L41" s="417">
        <f t="shared" si="15"/>
        <v>1.1587620923273747</v>
      </c>
      <c r="M41" s="417">
        <f t="shared" si="15"/>
        <v>1.1593119613517071</v>
      </c>
      <c r="N41" s="417">
        <f t="shared" si="15"/>
        <v>1.1598623413308109</v>
      </c>
      <c r="O41" s="417">
        <f t="shared" si="15"/>
        <v>1.1604132303431685</v>
      </c>
      <c r="P41" s="417">
        <f t="shared" si="15"/>
        <v>1.1609646264840923</v>
      </c>
      <c r="Q41" s="417">
        <f t="shared" si="15"/>
        <v>1.1615165278656274</v>
      </c>
      <c r="R41" s="417">
        <f t="shared" si="15"/>
        <v>1.1620689326164555</v>
      </c>
      <c r="S41" s="417">
        <f t="shared" si="15"/>
        <v>1.1626218388817977</v>
      </c>
      <c r="T41" s="417">
        <f t="shared" si="15"/>
        <v>1.1631752448233177</v>
      </c>
      <c r="U41" s="417">
        <f t="shared" si="15"/>
        <v>1.1637291486190251</v>
      </c>
      <c r="V41" s="417">
        <f t="shared" si="15"/>
        <v>1.1642835484631764</v>
      </c>
      <c r="W41" s="417">
        <f t="shared" si="15"/>
        <v>1.1648384425661791</v>
      </c>
      <c r="X41" s="417">
        <f t="shared" si="15"/>
        <v>1.165393829154493</v>
      </c>
      <c r="Y41" s="417">
        <f t="shared" si="15"/>
        <v>1.165949706470532</v>
      </c>
      <c r="Z41" s="417">
        <f t="shared" si="15"/>
        <v>1.1665060727725671</v>
      </c>
      <c r="AA41" s="417">
        <f t="shared" si="15"/>
        <v>1.1670629263346277</v>
      </c>
      <c r="AB41" s="417">
        <f t="shared" si="15"/>
        <v>1.1676202654464036</v>
      </c>
      <c r="AC41" s="417">
        <f t="shared" si="15"/>
        <v>1.1681780884131465</v>
      </c>
      <c r="AD41" s="417">
        <f t="shared" si="15"/>
        <v>1.1687363935555717</v>
      </c>
      <c r="AE41" s="417">
        <f t="shared" si="15"/>
        <v>1.1692951792097608</v>
      </c>
      <c r="AF41" s="417">
        <f t="shared" si="15"/>
        <v>1.1698544437270619</v>
      </c>
      <c r="AG41" s="417">
        <f t="shared" si="15"/>
        <v>1.1704141854739927</v>
      </c>
      <c r="AH41" s="417">
        <f t="shared" si="15"/>
        <v>1.1709744028321412</v>
      </c>
      <c r="AI41" s="417">
        <f t="shared" si="15"/>
        <v>1.1715350941980682</v>
      </c>
      <c r="AJ41" s="417">
        <f t="shared" si="15"/>
        <v>1.172096257983209</v>
      </c>
      <c r="AK41" s="417">
        <f t="shared" si="15"/>
        <v>1.1726578926137752</v>
      </c>
      <c r="AL41" s="417">
        <f t="shared" si="15"/>
        <v>1.1732199965306565</v>
      </c>
    </row>
    <row r="42" spans="2:38" s="421" customFormat="1">
      <c r="B42" s="411" t="s">
        <v>659</v>
      </c>
      <c r="C42" s="412" t="s">
        <v>660</v>
      </c>
      <c r="D42" s="414">
        <v>1</v>
      </c>
      <c r="E42" s="414">
        <v>1</v>
      </c>
      <c r="F42" s="414">
        <v>1</v>
      </c>
      <c r="G42" s="414">
        <v>1</v>
      </c>
      <c r="H42" s="417">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661</v>
      </c>
      <c r="C43" s="412" t="s">
        <v>662</v>
      </c>
      <c r="D43" s="414">
        <v>1</v>
      </c>
      <c r="E43" s="414">
        <v>1</v>
      </c>
      <c r="F43" s="414">
        <v>1</v>
      </c>
      <c r="G43" s="414">
        <v>1</v>
      </c>
      <c r="H43" s="417">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663</v>
      </c>
      <c r="C44" s="412" t="s">
        <v>664</v>
      </c>
      <c r="D44" s="414">
        <v>1</v>
      </c>
      <c r="E44" s="414">
        <v>1</v>
      </c>
      <c r="F44" s="414">
        <v>1</v>
      </c>
      <c r="G44" s="414">
        <v>1</v>
      </c>
      <c r="H44" s="417">
        <v>1</v>
      </c>
      <c r="I44" s="414">
        <v>1</v>
      </c>
      <c r="J44" s="414">
        <v>1</v>
      </c>
      <c r="K44" s="414">
        <v>1</v>
      </c>
      <c r="L44" s="414">
        <v>1</v>
      </c>
      <c r="M44" s="414">
        <v>1</v>
      </c>
      <c r="N44" s="414">
        <v>1</v>
      </c>
      <c r="O44" s="414">
        <v>1</v>
      </c>
      <c r="P44" s="414">
        <v>1</v>
      </c>
      <c r="Q44" s="414">
        <v>1</v>
      </c>
      <c r="R44" s="414">
        <v>1</v>
      </c>
      <c r="S44" s="414">
        <v>1</v>
      </c>
      <c r="T44" s="414">
        <v>1</v>
      </c>
      <c r="U44" s="414">
        <v>1</v>
      </c>
      <c r="V44" s="414">
        <v>1</v>
      </c>
      <c r="W44" s="414">
        <v>1</v>
      </c>
      <c r="X44" s="414">
        <v>1</v>
      </c>
      <c r="Y44" s="414">
        <v>1</v>
      </c>
      <c r="Z44" s="414">
        <v>1</v>
      </c>
      <c r="AA44" s="414">
        <v>1</v>
      </c>
      <c r="AB44" s="414">
        <v>1</v>
      </c>
      <c r="AC44" s="414">
        <v>1</v>
      </c>
      <c r="AD44" s="414">
        <v>1</v>
      </c>
      <c r="AE44" s="414">
        <v>1</v>
      </c>
      <c r="AF44" s="414">
        <v>1</v>
      </c>
      <c r="AG44" s="414">
        <v>1</v>
      </c>
      <c r="AH44" s="414">
        <v>1</v>
      </c>
      <c r="AI44" s="414">
        <v>1</v>
      </c>
      <c r="AJ44" s="414">
        <v>1</v>
      </c>
      <c r="AK44" s="414">
        <v>1</v>
      </c>
      <c r="AL44" s="414">
        <v>1</v>
      </c>
    </row>
    <row r="45" spans="2:38" s="421" customFormat="1">
      <c r="B45" s="411" t="s">
        <v>665</v>
      </c>
      <c r="C45" s="412" t="s">
        <v>666</v>
      </c>
      <c r="D45" s="414">
        <f t="shared" ref="D45:AL45" si="16">EXP(0.138*($D$10-1))</f>
        <v>1.1479755502741786</v>
      </c>
      <c r="E45" s="414">
        <f t="shared" si="16"/>
        <v>1.1479755502741786</v>
      </c>
      <c r="F45" s="414">
        <f t="shared" si="16"/>
        <v>1.1479755502741786</v>
      </c>
      <c r="G45" s="414">
        <f t="shared" si="16"/>
        <v>1.1479755502741786</v>
      </c>
      <c r="H45" s="417">
        <f t="shared" si="16"/>
        <v>1.1479755502741786</v>
      </c>
      <c r="I45" s="414">
        <f t="shared" si="16"/>
        <v>1.1479755502741786</v>
      </c>
      <c r="J45" s="414">
        <f t="shared" si="16"/>
        <v>1.1479755502741786</v>
      </c>
      <c r="K45" s="414">
        <f t="shared" si="16"/>
        <v>1.1479755502741786</v>
      </c>
      <c r="L45" s="414">
        <f t="shared" si="16"/>
        <v>1.1479755502741786</v>
      </c>
      <c r="M45" s="414">
        <f t="shared" si="16"/>
        <v>1.1479755502741786</v>
      </c>
      <c r="N45" s="414">
        <f t="shared" si="16"/>
        <v>1.1479755502741786</v>
      </c>
      <c r="O45" s="414">
        <f t="shared" si="16"/>
        <v>1.1479755502741786</v>
      </c>
      <c r="P45" s="414">
        <f t="shared" si="16"/>
        <v>1.1479755502741786</v>
      </c>
      <c r="Q45" s="414">
        <f t="shared" si="16"/>
        <v>1.1479755502741786</v>
      </c>
      <c r="R45" s="414">
        <f t="shared" si="16"/>
        <v>1.1479755502741786</v>
      </c>
      <c r="S45" s="414">
        <f t="shared" si="16"/>
        <v>1.1479755502741786</v>
      </c>
      <c r="T45" s="414">
        <f t="shared" si="16"/>
        <v>1.1479755502741786</v>
      </c>
      <c r="U45" s="414">
        <f t="shared" si="16"/>
        <v>1.1479755502741786</v>
      </c>
      <c r="V45" s="414">
        <f t="shared" si="16"/>
        <v>1.1479755502741786</v>
      </c>
      <c r="W45" s="414">
        <f t="shared" si="16"/>
        <v>1.1479755502741786</v>
      </c>
      <c r="X45" s="414">
        <f t="shared" si="16"/>
        <v>1.1479755502741786</v>
      </c>
      <c r="Y45" s="414">
        <f t="shared" si="16"/>
        <v>1.1479755502741786</v>
      </c>
      <c r="Z45" s="414">
        <f t="shared" si="16"/>
        <v>1.1479755502741786</v>
      </c>
      <c r="AA45" s="414">
        <f t="shared" si="16"/>
        <v>1.1479755502741786</v>
      </c>
      <c r="AB45" s="414">
        <f t="shared" si="16"/>
        <v>1.1479755502741786</v>
      </c>
      <c r="AC45" s="414">
        <f t="shared" si="16"/>
        <v>1.1479755502741786</v>
      </c>
      <c r="AD45" s="414">
        <f t="shared" si="16"/>
        <v>1.1479755502741786</v>
      </c>
      <c r="AE45" s="414">
        <f t="shared" si="16"/>
        <v>1.1479755502741786</v>
      </c>
      <c r="AF45" s="414">
        <f t="shared" si="16"/>
        <v>1.1479755502741786</v>
      </c>
      <c r="AG45" s="414">
        <f t="shared" si="16"/>
        <v>1.1479755502741786</v>
      </c>
      <c r="AH45" s="414">
        <f t="shared" si="16"/>
        <v>1.1479755502741786</v>
      </c>
      <c r="AI45" s="414">
        <f t="shared" si="16"/>
        <v>1.1479755502741786</v>
      </c>
      <c r="AJ45" s="414">
        <f t="shared" si="16"/>
        <v>1.1479755502741786</v>
      </c>
      <c r="AK45" s="414">
        <f t="shared" si="16"/>
        <v>1.1479755502741786</v>
      </c>
      <c r="AL45" s="414">
        <f t="shared" si="16"/>
        <v>1.1479755502741786</v>
      </c>
    </row>
    <row r="46" spans="2:38" s="421" customFormat="1" ht="13">
      <c r="B46" s="418"/>
      <c r="C46" s="419"/>
      <c r="D46" s="420"/>
      <c r="E46" s="420"/>
      <c r="F46" s="420"/>
      <c r="G46" s="420"/>
      <c r="H46" s="1236"/>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ht="13">
      <c r="B47" s="422" t="s">
        <v>668</v>
      </c>
      <c r="C47" s="408"/>
      <c r="D47" s="420"/>
      <c r="E47" s="420"/>
      <c r="F47" s="420"/>
      <c r="G47" s="420"/>
      <c r="H47" s="1236"/>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row>
    <row r="48" spans="2:38" s="421" customFormat="1">
      <c r="B48" s="411" t="s">
        <v>653</v>
      </c>
      <c r="C48" s="412" t="s">
        <v>654</v>
      </c>
      <c r="D48" s="423">
        <f t="shared" ref="D48:AL48" si="17">((D$15*D$16+0.2)/0.2)^(0.3116)</f>
        <v>28.622594131848018</v>
      </c>
      <c r="E48" s="423">
        <f t="shared" si="17"/>
        <v>28.978122593152463</v>
      </c>
      <c r="F48" s="423">
        <f t="shared" si="17"/>
        <v>29.338067454709787</v>
      </c>
      <c r="G48" s="423">
        <f t="shared" si="17"/>
        <v>29.702483569519121</v>
      </c>
      <c r="H48" s="423">
        <f t="shared" si="17"/>
        <v>30.071426472081143</v>
      </c>
      <c r="I48" s="423">
        <f t="shared" si="17"/>
        <v>30.444952386859452</v>
      </c>
      <c r="J48" s="423">
        <f t="shared" si="17"/>
        <v>30.823118236847105</v>
      </c>
      <c r="K48" s="423">
        <f t="shared" si="17"/>
        <v>31.205981652239842</v>
      </c>
      <c r="L48" s="423">
        <f t="shared" si="17"/>
        <v>31.593600979216887</v>
      </c>
      <c r="M48" s="423">
        <f t="shared" si="17"/>
        <v>31.986035288831239</v>
      </c>
      <c r="N48" s="423">
        <f t="shared" si="17"/>
        <v>32.38334438601018</v>
      </c>
      <c r="O48" s="423">
        <f t="shared" si="17"/>
        <v>32.78558881866784</v>
      </c>
      <c r="P48" s="423">
        <f t="shared" si="17"/>
        <v>33.192829886931044</v>
      </c>
      <c r="Q48" s="423">
        <f t="shared" si="17"/>
        <v>33.605129652479746</v>
      </c>
      <c r="R48" s="423">
        <f t="shared" si="17"/>
        <v>34.022550948003705</v>
      </c>
      <c r="S48" s="423">
        <f t="shared" si="17"/>
        <v>34.44515738677655</v>
      </c>
      <c r="T48" s="423">
        <f t="shared" si="17"/>
        <v>34.873013372349057</v>
      </c>
      <c r="U48" s="423">
        <f t="shared" si="17"/>
        <v>35.306184108362572</v>
      </c>
      <c r="V48" s="423">
        <f t="shared" si="17"/>
        <v>35.744735608484909</v>
      </c>
      <c r="W48" s="423">
        <f t="shared" si="17"/>
        <v>36.188734706469234</v>
      </c>
      <c r="X48" s="423">
        <f t="shared" si="17"/>
        <v>36.638249066338211</v>
      </c>
      <c r="Y48" s="423">
        <f t="shared" si="17"/>
        <v>37.093347192694822</v>
      </c>
      <c r="Z48" s="423">
        <f t="shared" si="17"/>
        <v>37.554098441161038</v>
      </c>
      <c r="AA48" s="423">
        <f t="shared" si="17"/>
        <v>38.020573028946494</v>
      </c>
      <c r="AB48" s="423">
        <f t="shared" si="17"/>
        <v>38.492842045548386</v>
      </c>
      <c r="AC48" s="423">
        <f t="shared" si="17"/>
        <v>38.970977463584227</v>
      </c>
      <c r="AD48" s="423">
        <f t="shared" si="17"/>
        <v>39.455052149759581</v>
      </c>
      <c r="AE48" s="423">
        <f t="shared" si="17"/>
        <v>39.945139875971648</v>
      </c>
      <c r="AF48" s="423">
        <f t="shared" si="17"/>
        <v>40.441315330551106</v>
      </c>
      <c r="AG48" s="423">
        <f t="shared" si="17"/>
        <v>40.943654129643591</v>
      </c>
      <c r="AH48" s="423">
        <f t="shared" si="17"/>
        <v>41.452232828732591</v>
      </c>
      <c r="AI48" s="423">
        <f t="shared" si="17"/>
        <v>41.967128934305528</v>
      </c>
      <c r="AJ48" s="423">
        <f t="shared" si="17"/>
        <v>42.48842091566484</v>
      </c>
      <c r="AK48" s="423">
        <f t="shared" si="17"/>
        <v>43.016188216885709</v>
      </c>
      <c r="AL48" s="423">
        <f t="shared" si="17"/>
        <v>43.550511268922513</v>
      </c>
    </row>
    <row r="49" spans="2:38" s="421" customFormat="1">
      <c r="B49" s="411" t="s">
        <v>655</v>
      </c>
      <c r="C49" s="412" t="s">
        <v>656</v>
      </c>
      <c r="D49" s="414">
        <f t="shared" ref="D49:AL49" si="18">EXP(0.2912*$D$9)</f>
        <v>1.7903300708920569</v>
      </c>
      <c r="E49" s="414">
        <f t="shared" si="18"/>
        <v>1.7903300708920569</v>
      </c>
      <c r="F49" s="414">
        <f t="shared" si="18"/>
        <v>1.7903300708920569</v>
      </c>
      <c r="G49" s="414">
        <f t="shared" si="18"/>
        <v>1.7903300708920569</v>
      </c>
      <c r="H49" s="417">
        <f t="shared" si="18"/>
        <v>1.7903300708920569</v>
      </c>
      <c r="I49" s="414">
        <f t="shared" si="18"/>
        <v>1.7903300708920569</v>
      </c>
      <c r="J49" s="414">
        <f t="shared" si="18"/>
        <v>1.7903300708920569</v>
      </c>
      <c r="K49" s="414">
        <f t="shared" si="18"/>
        <v>1.7903300708920569</v>
      </c>
      <c r="L49" s="414">
        <f t="shared" si="18"/>
        <v>1.7903300708920569</v>
      </c>
      <c r="M49" s="414">
        <f t="shared" si="18"/>
        <v>1.7903300708920569</v>
      </c>
      <c r="N49" s="414">
        <f t="shared" si="18"/>
        <v>1.7903300708920569</v>
      </c>
      <c r="O49" s="414">
        <f t="shared" si="18"/>
        <v>1.7903300708920569</v>
      </c>
      <c r="P49" s="414">
        <f t="shared" si="18"/>
        <v>1.7903300708920569</v>
      </c>
      <c r="Q49" s="414">
        <f t="shared" si="18"/>
        <v>1.7903300708920569</v>
      </c>
      <c r="R49" s="414">
        <f t="shared" si="18"/>
        <v>1.7903300708920569</v>
      </c>
      <c r="S49" s="414">
        <f t="shared" si="18"/>
        <v>1.7903300708920569</v>
      </c>
      <c r="T49" s="414">
        <f t="shared" si="18"/>
        <v>1.7903300708920569</v>
      </c>
      <c r="U49" s="414">
        <f t="shared" si="18"/>
        <v>1.7903300708920569</v>
      </c>
      <c r="V49" s="414">
        <f t="shared" si="18"/>
        <v>1.7903300708920569</v>
      </c>
      <c r="W49" s="414">
        <f t="shared" si="18"/>
        <v>1.7903300708920569</v>
      </c>
      <c r="X49" s="414">
        <f t="shared" si="18"/>
        <v>1.7903300708920569</v>
      </c>
      <c r="Y49" s="414">
        <f t="shared" si="18"/>
        <v>1.7903300708920569</v>
      </c>
      <c r="Z49" s="414">
        <f t="shared" si="18"/>
        <v>1.7903300708920569</v>
      </c>
      <c r="AA49" s="414">
        <f t="shared" si="18"/>
        <v>1.7903300708920569</v>
      </c>
      <c r="AB49" s="414">
        <f t="shared" si="18"/>
        <v>1.7903300708920569</v>
      </c>
      <c r="AC49" s="414">
        <f t="shared" si="18"/>
        <v>1.7903300708920569</v>
      </c>
      <c r="AD49" s="414">
        <f t="shared" si="18"/>
        <v>1.7903300708920569</v>
      </c>
      <c r="AE49" s="414">
        <f t="shared" si="18"/>
        <v>1.7903300708920569</v>
      </c>
      <c r="AF49" s="414">
        <f t="shared" si="18"/>
        <v>1.7903300708920569</v>
      </c>
      <c r="AG49" s="414">
        <f t="shared" si="18"/>
        <v>1.7903300708920569</v>
      </c>
      <c r="AH49" s="414">
        <f t="shared" si="18"/>
        <v>1.7903300708920569</v>
      </c>
      <c r="AI49" s="414">
        <f t="shared" si="18"/>
        <v>1.7903300708920569</v>
      </c>
      <c r="AJ49" s="414">
        <f t="shared" si="18"/>
        <v>1.7903300708920569</v>
      </c>
      <c r="AK49" s="414">
        <f t="shared" si="18"/>
        <v>1.7903300708920569</v>
      </c>
      <c r="AL49" s="414">
        <f t="shared" si="18"/>
        <v>1.7903300708920569</v>
      </c>
    </row>
    <row r="50" spans="2:38" s="421" customFormat="1">
      <c r="B50" s="411" t="s">
        <v>657</v>
      </c>
      <c r="C50" s="416" t="s">
        <v>658</v>
      </c>
      <c r="D50" s="414">
        <v>1</v>
      </c>
      <c r="E50" s="414">
        <v>1</v>
      </c>
      <c r="F50" s="414">
        <v>1</v>
      </c>
      <c r="G50" s="414">
        <v>1</v>
      </c>
      <c r="H50" s="417">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659</v>
      </c>
      <c r="C51" s="412" t="s">
        <v>660</v>
      </c>
      <c r="D51" s="414">
        <v>1</v>
      </c>
      <c r="E51" s="414">
        <v>1</v>
      </c>
      <c r="F51" s="414">
        <v>1</v>
      </c>
      <c r="G51" s="414">
        <v>1</v>
      </c>
      <c r="H51" s="417">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661</v>
      </c>
      <c r="C52" s="412" t="s">
        <v>662</v>
      </c>
      <c r="D52" s="414">
        <v>1</v>
      </c>
      <c r="E52" s="414">
        <v>1</v>
      </c>
      <c r="F52" s="414">
        <v>1</v>
      </c>
      <c r="G52" s="414">
        <v>1</v>
      </c>
      <c r="H52" s="417">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11" t="s">
        <v>663</v>
      </c>
      <c r="C53" s="412" t="s">
        <v>664</v>
      </c>
      <c r="D53" s="414">
        <v>1</v>
      </c>
      <c r="E53" s="414">
        <v>1</v>
      </c>
      <c r="F53" s="414">
        <v>1</v>
      </c>
      <c r="G53" s="414">
        <v>1</v>
      </c>
      <c r="H53" s="417">
        <v>1</v>
      </c>
      <c r="I53" s="414">
        <v>1</v>
      </c>
      <c r="J53" s="414">
        <v>1</v>
      </c>
      <c r="K53" s="414">
        <v>1</v>
      </c>
      <c r="L53" s="414">
        <v>1</v>
      </c>
      <c r="M53" s="414">
        <v>1</v>
      </c>
      <c r="N53" s="414">
        <v>1</v>
      </c>
      <c r="O53" s="414">
        <v>1</v>
      </c>
      <c r="P53" s="414">
        <v>1</v>
      </c>
      <c r="Q53" s="414">
        <v>1</v>
      </c>
      <c r="R53" s="414">
        <v>1</v>
      </c>
      <c r="S53" s="414">
        <v>1</v>
      </c>
      <c r="T53" s="414">
        <v>1</v>
      </c>
      <c r="U53" s="414">
        <v>1</v>
      </c>
      <c r="V53" s="414">
        <v>1</v>
      </c>
      <c r="W53" s="414">
        <v>1</v>
      </c>
      <c r="X53" s="414">
        <v>1</v>
      </c>
      <c r="Y53" s="414">
        <v>1</v>
      </c>
      <c r="Z53" s="414">
        <v>1</v>
      </c>
      <c r="AA53" s="414">
        <v>1</v>
      </c>
      <c r="AB53" s="414">
        <v>1</v>
      </c>
      <c r="AC53" s="414">
        <v>1</v>
      </c>
      <c r="AD53" s="414">
        <v>1</v>
      </c>
      <c r="AE53" s="414">
        <v>1</v>
      </c>
      <c r="AF53" s="414">
        <v>1</v>
      </c>
      <c r="AG53" s="414">
        <v>1</v>
      </c>
      <c r="AH53" s="414">
        <v>1</v>
      </c>
      <c r="AI53" s="414">
        <v>1</v>
      </c>
      <c r="AJ53" s="414">
        <v>1</v>
      </c>
      <c r="AK53" s="414">
        <v>1</v>
      </c>
      <c r="AL53" s="414">
        <v>1</v>
      </c>
    </row>
    <row r="54" spans="2:38" s="421" customFormat="1">
      <c r="B54" s="424" t="s">
        <v>665</v>
      </c>
      <c r="C54" s="425" t="s">
        <v>666</v>
      </c>
      <c r="D54" s="426">
        <f t="shared" ref="D54:AL54" si="19">EXP(0.1036*($D$10-1))</f>
        <v>1.1091567034898182</v>
      </c>
      <c r="E54" s="426">
        <f t="shared" si="19"/>
        <v>1.1091567034898182</v>
      </c>
      <c r="F54" s="426">
        <f t="shared" si="19"/>
        <v>1.1091567034898182</v>
      </c>
      <c r="G54" s="426">
        <f t="shared" si="19"/>
        <v>1.1091567034898182</v>
      </c>
      <c r="H54" s="1237">
        <f t="shared" si="19"/>
        <v>1.1091567034898182</v>
      </c>
      <c r="I54" s="426">
        <f t="shared" si="19"/>
        <v>1.1091567034898182</v>
      </c>
      <c r="J54" s="426">
        <f t="shared" si="19"/>
        <v>1.1091567034898182</v>
      </c>
      <c r="K54" s="426">
        <f t="shared" si="19"/>
        <v>1.1091567034898182</v>
      </c>
      <c r="L54" s="426">
        <f t="shared" si="19"/>
        <v>1.1091567034898182</v>
      </c>
      <c r="M54" s="426">
        <f t="shared" si="19"/>
        <v>1.1091567034898182</v>
      </c>
      <c r="N54" s="426">
        <f t="shared" si="19"/>
        <v>1.1091567034898182</v>
      </c>
      <c r="O54" s="426">
        <f t="shared" si="19"/>
        <v>1.1091567034898182</v>
      </c>
      <c r="P54" s="426">
        <f t="shared" si="19"/>
        <v>1.1091567034898182</v>
      </c>
      <c r="Q54" s="426">
        <f t="shared" si="19"/>
        <v>1.1091567034898182</v>
      </c>
      <c r="R54" s="426">
        <f t="shared" si="19"/>
        <v>1.1091567034898182</v>
      </c>
      <c r="S54" s="426">
        <f t="shared" si="19"/>
        <v>1.1091567034898182</v>
      </c>
      <c r="T54" s="426">
        <f t="shared" si="19"/>
        <v>1.1091567034898182</v>
      </c>
      <c r="U54" s="426">
        <f t="shared" si="19"/>
        <v>1.1091567034898182</v>
      </c>
      <c r="V54" s="426">
        <f t="shared" si="19"/>
        <v>1.1091567034898182</v>
      </c>
      <c r="W54" s="426">
        <f t="shared" si="19"/>
        <v>1.1091567034898182</v>
      </c>
      <c r="X54" s="426">
        <f t="shared" si="19"/>
        <v>1.1091567034898182</v>
      </c>
      <c r="Y54" s="426">
        <f t="shared" si="19"/>
        <v>1.1091567034898182</v>
      </c>
      <c r="Z54" s="426">
        <f t="shared" si="19"/>
        <v>1.1091567034898182</v>
      </c>
      <c r="AA54" s="426">
        <f t="shared" si="19"/>
        <v>1.1091567034898182</v>
      </c>
      <c r="AB54" s="426">
        <f t="shared" si="19"/>
        <v>1.1091567034898182</v>
      </c>
      <c r="AC54" s="426">
        <f t="shared" si="19"/>
        <v>1.1091567034898182</v>
      </c>
      <c r="AD54" s="426">
        <f t="shared" si="19"/>
        <v>1.1091567034898182</v>
      </c>
      <c r="AE54" s="426">
        <f t="shared" si="19"/>
        <v>1.1091567034898182</v>
      </c>
      <c r="AF54" s="426">
        <f t="shared" si="19"/>
        <v>1.1091567034898182</v>
      </c>
      <c r="AG54" s="426">
        <f t="shared" si="19"/>
        <v>1.1091567034898182</v>
      </c>
      <c r="AH54" s="426">
        <f t="shared" si="19"/>
        <v>1.1091567034898182</v>
      </c>
      <c r="AI54" s="426">
        <f t="shared" si="19"/>
        <v>1.1091567034898182</v>
      </c>
      <c r="AJ54" s="426">
        <f t="shared" si="19"/>
        <v>1.1091567034898182</v>
      </c>
      <c r="AK54" s="426">
        <f t="shared" si="19"/>
        <v>1.1091567034898182</v>
      </c>
      <c r="AL54" s="426">
        <f t="shared" si="19"/>
        <v>1.1091567034898182</v>
      </c>
    </row>
    <row r="55" spans="2:38">
      <c r="B55" s="362"/>
      <c r="C55" s="427" t="s">
        <v>290</v>
      </c>
      <c r="D55" s="415"/>
      <c r="E55" s="415"/>
      <c r="F55" s="415"/>
      <c r="G55" s="415"/>
      <c r="H55" s="123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row>
    <row r="56" spans="2:38">
      <c r="B56" s="362" t="s">
        <v>669</v>
      </c>
      <c r="C56" s="428">
        <f>$E$6</f>
        <v>3.6459999999999999E-3</v>
      </c>
      <c r="D56" s="429">
        <f t="shared" ref="D56:AK56" si="20">IF($D$6=$B29,$C$56*PRODUCT(D$30:D$36),IF($D$6=$B38,$C$56*PRODUCT(D$39:D$45), $C$56*PRODUCT(D$48:D$54)))</f>
        <v>0.14424767881332129</v>
      </c>
      <c r="E56" s="429">
        <f t="shared" si="20"/>
        <v>0.14601413197947463</v>
      </c>
      <c r="F56" s="429">
        <f t="shared" si="20"/>
        <v>0.14780225288062906</v>
      </c>
      <c r="G56" s="429">
        <f t="shared" si="20"/>
        <v>0.14961230734959785</v>
      </c>
      <c r="H56" s="429">
        <f t="shared" si="20"/>
        <v>0.15144456448152094</v>
      </c>
      <c r="I56" s="429">
        <f t="shared" si="20"/>
        <v>0.1532992966738731</v>
      </c>
      <c r="J56" s="429">
        <f t="shared" si="20"/>
        <v>0.15517677966696478</v>
      </c>
      <c r="K56" s="429">
        <f t="shared" si="20"/>
        <v>0.15707729258494013</v>
      </c>
      <c r="L56" s="429">
        <f t="shared" si="20"/>
        <v>0.15900111797727798</v>
      </c>
      <c r="M56" s="429">
        <f t="shared" si="20"/>
        <v>0.16094854186080354</v>
      </c>
      <c r="N56" s="429">
        <f t="shared" si="20"/>
        <v>0.16291985376221482</v>
      </c>
      <c r="O56" s="429">
        <f t="shared" si="20"/>
        <v>0.16491534676113251</v>
      </c>
      <c r="P56" s="429">
        <f t="shared" si="20"/>
        <v>0.16693531753367769</v>
      </c>
      <c r="Q56" s="429">
        <f t="shared" si="20"/>
        <v>0.16898006639658472</v>
      </c>
      <c r="R56" s="429">
        <f t="shared" si="20"/>
        <v>0.17104989735185633</v>
      </c>
      <c r="S56" s="429">
        <f t="shared" si="20"/>
        <v>0.17314511813196667</v>
      </c>
      <c r="T56" s="429">
        <f t="shared" si="20"/>
        <v>0.17526604024561906</v>
      </c>
      <c r="U56" s="429">
        <f t="shared" si="20"/>
        <v>0.17741297902406608</v>
      </c>
      <c r="V56" s="429">
        <f t="shared" si="20"/>
        <v>0.17958625366799857</v>
      </c>
      <c r="W56" s="429">
        <f t="shared" si="20"/>
        <v>0.18178618729500937</v>
      </c>
      <c r="X56" s="429">
        <f t="shared" si="20"/>
        <v>0.18401310698764067</v>
      </c>
      <c r="Y56" s="429">
        <f t="shared" si="20"/>
        <v>0.18626734384202098</v>
      </c>
      <c r="Z56" s="429">
        <f t="shared" si="20"/>
        <v>0.188549233017099</v>
      </c>
      <c r="AA56" s="429">
        <f t="shared" si="20"/>
        <v>0.19085911378448175</v>
      </c>
      <c r="AB56" s="429">
        <f t="shared" si="20"/>
        <v>0.19319732957888583</v>
      </c>
      <c r="AC56" s="429">
        <f t="shared" si="20"/>
        <v>0.19556422804920559</v>
      </c>
      <c r="AD56" s="429">
        <f t="shared" si="20"/>
        <v>0.19796016111021092</v>
      </c>
      <c r="AE56" s="429">
        <f t="shared" si="20"/>
        <v>0.2003854849948776</v>
      </c>
      <c r="AF56" s="429">
        <f t="shared" si="20"/>
        <v>0.20284056030736092</v>
      </c>
      <c r="AG56" s="429">
        <f t="shared" si="20"/>
        <v>0.20532575207661916</v>
      </c>
      <c r="AH56" s="429">
        <f t="shared" si="20"/>
        <v>0.2078414298106962</v>
      </c>
      <c r="AI56" s="429">
        <f t="shared" si="20"/>
        <v>0.21038796755166908</v>
      </c>
      <c r="AJ56" s="429">
        <f t="shared" si="20"/>
        <v>0.21296574393127091</v>
      </c>
      <c r="AK56" s="429">
        <f t="shared" si="20"/>
        <v>0.21557514222719634</v>
      </c>
      <c r="AL56" s="429">
        <f t="shared" ref="AL56" si="21">IF($D$6=$B29,$C$56*PRODUCT(AL$30:AL$36),IF($D$6=$B38,$C$56*PRODUCT(AL$39:AL$45), $C$56*PRODUCT(AL$48:AL$54)))</f>
        <v>0.21821655042009785</v>
      </c>
    </row>
    <row r="57" spans="2:38">
      <c r="H57" s="1228"/>
    </row>
    <row r="58" spans="2:38" ht="13">
      <c r="B58" s="407" t="s">
        <v>670</v>
      </c>
      <c r="C58" s="396" t="s">
        <v>627</v>
      </c>
      <c r="D58" s="397">
        <v>2018</v>
      </c>
      <c r="E58" s="397">
        <v>2020</v>
      </c>
      <c r="F58" s="397">
        <v>2021</v>
      </c>
      <c r="G58" s="397">
        <v>2022</v>
      </c>
      <c r="H58" s="1238">
        <v>2023</v>
      </c>
      <c r="I58" s="397">
        <v>2024</v>
      </c>
      <c r="J58" s="397">
        <v>2025</v>
      </c>
      <c r="K58" s="397">
        <v>2026</v>
      </c>
      <c r="L58" s="397">
        <v>2027</v>
      </c>
      <c r="M58" s="397">
        <v>2028</v>
      </c>
      <c r="N58" s="397">
        <v>2029</v>
      </c>
      <c r="O58" s="397">
        <v>2030</v>
      </c>
      <c r="P58" s="397">
        <v>2031</v>
      </c>
      <c r="Q58" s="397">
        <v>2032</v>
      </c>
      <c r="R58" s="397">
        <v>2033</v>
      </c>
      <c r="S58" s="397">
        <v>2034</v>
      </c>
      <c r="T58" s="397">
        <v>2035</v>
      </c>
      <c r="U58" s="397">
        <v>2036</v>
      </c>
      <c r="V58" s="397">
        <v>2037</v>
      </c>
      <c r="W58" s="397">
        <v>2038</v>
      </c>
      <c r="X58" s="397">
        <v>2039</v>
      </c>
      <c r="Y58" s="397">
        <v>2040</v>
      </c>
      <c r="Z58" s="397">
        <v>2041</v>
      </c>
      <c r="AA58" s="397">
        <v>2042</v>
      </c>
      <c r="AB58" s="397">
        <v>2043</v>
      </c>
      <c r="AC58" s="397">
        <v>2044</v>
      </c>
      <c r="AD58" s="397">
        <v>2044</v>
      </c>
      <c r="AE58" s="397">
        <v>2044</v>
      </c>
      <c r="AF58" s="397">
        <v>2044</v>
      </c>
      <c r="AG58" s="397">
        <v>2044</v>
      </c>
      <c r="AH58" s="397">
        <v>2044</v>
      </c>
      <c r="AI58" s="397">
        <v>2044</v>
      </c>
      <c r="AJ58" s="397">
        <v>2044</v>
      </c>
      <c r="AK58" s="397">
        <v>2044</v>
      </c>
      <c r="AL58" s="397">
        <v>2044</v>
      </c>
    </row>
    <row r="59" spans="2:38" s="366" customFormat="1">
      <c r="B59" s="366" t="s">
        <v>671</v>
      </c>
      <c r="C59" s="430" t="s">
        <v>662</v>
      </c>
      <c r="D59" s="431">
        <f t="shared" ref="D59:AK59" si="22">D20^(-1.074)</f>
        <v>0.11486407065121609</v>
      </c>
      <c r="E59" s="432">
        <f t="shared" si="22"/>
        <v>0.11486407065121609</v>
      </c>
      <c r="F59" s="432">
        <f t="shared" si="22"/>
        <v>0.11486407065121609</v>
      </c>
      <c r="G59" s="432">
        <f t="shared" si="22"/>
        <v>0.11486407065121609</v>
      </c>
      <c r="H59" s="1239">
        <f t="shared" si="22"/>
        <v>0.11486407065121609</v>
      </c>
      <c r="I59" s="432">
        <f t="shared" si="22"/>
        <v>0.11486407065121609</v>
      </c>
      <c r="J59" s="432">
        <f t="shared" si="22"/>
        <v>0.11486407065121609</v>
      </c>
      <c r="K59" s="432">
        <f t="shared" si="22"/>
        <v>0.11486407065121609</v>
      </c>
      <c r="L59" s="432">
        <f t="shared" si="22"/>
        <v>0.11486407065121609</v>
      </c>
      <c r="M59" s="432">
        <f t="shared" si="22"/>
        <v>0.11486407065121609</v>
      </c>
      <c r="N59" s="432">
        <f t="shared" si="22"/>
        <v>0.11486407065121609</v>
      </c>
      <c r="O59" s="432">
        <f t="shared" si="22"/>
        <v>0.11486407065121609</v>
      </c>
      <c r="P59" s="432">
        <f t="shared" si="22"/>
        <v>0.11486407065121609</v>
      </c>
      <c r="Q59" s="432">
        <f t="shared" si="22"/>
        <v>0.11486407065121609</v>
      </c>
      <c r="R59" s="432">
        <f t="shared" si="22"/>
        <v>0.11486407065121609</v>
      </c>
      <c r="S59" s="432">
        <f t="shared" si="22"/>
        <v>0.11486407065121609</v>
      </c>
      <c r="T59" s="432">
        <f t="shared" si="22"/>
        <v>0.11486407065121609</v>
      </c>
      <c r="U59" s="432">
        <f t="shared" si="22"/>
        <v>0.11486407065121609</v>
      </c>
      <c r="V59" s="432">
        <f t="shared" si="22"/>
        <v>0.11486407065121609</v>
      </c>
      <c r="W59" s="432">
        <f t="shared" si="22"/>
        <v>0.11486407065121609</v>
      </c>
      <c r="X59" s="432">
        <f t="shared" si="22"/>
        <v>0.11486407065121609</v>
      </c>
      <c r="Y59" s="432">
        <f t="shared" si="22"/>
        <v>0.11486407065121609</v>
      </c>
      <c r="Z59" s="432">
        <f t="shared" si="22"/>
        <v>0.11486407065121609</v>
      </c>
      <c r="AA59" s="432">
        <f t="shared" si="22"/>
        <v>0.11486407065121609</v>
      </c>
      <c r="AB59" s="432">
        <f t="shared" si="22"/>
        <v>0.11486407065121609</v>
      </c>
      <c r="AC59" s="432">
        <f t="shared" si="22"/>
        <v>0.11486407065121609</v>
      </c>
      <c r="AD59" s="432">
        <f t="shared" si="22"/>
        <v>0.11486407065121609</v>
      </c>
      <c r="AE59" s="432">
        <f t="shared" si="22"/>
        <v>0.11486407065121609</v>
      </c>
      <c r="AF59" s="432">
        <f t="shared" si="22"/>
        <v>0.11486407065121609</v>
      </c>
      <c r="AG59" s="432">
        <f t="shared" si="22"/>
        <v>0.11486407065121609</v>
      </c>
      <c r="AH59" s="432">
        <f t="shared" si="22"/>
        <v>0.11486407065121609</v>
      </c>
      <c r="AI59" s="432">
        <f t="shared" si="22"/>
        <v>0.11486407065121609</v>
      </c>
      <c r="AJ59" s="432">
        <f t="shared" si="22"/>
        <v>0.11486407065121609</v>
      </c>
      <c r="AK59" s="432">
        <f t="shared" si="22"/>
        <v>0.11486407065121609</v>
      </c>
      <c r="AL59" s="432">
        <f t="shared" ref="AL59" si="23">AL20^(-1.074)</f>
        <v>0.11486407065121609</v>
      </c>
    </row>
    <row r="60" spans="2:38">
      <c r="B60" s="358" t="s">
        <v>606</v>
      </c>
      <c r="C60" s="419" t="s">
        <v>672</v>
      </c>
      <c r="D60" s="417">
        <f t="shared" ref="D60:AL60" si="24">(D$17+1)^(-0.1025)</f>
        <v>0.79757663346161678</v>
      </c>
      <c r="E60" s="417">
        <f t="shared" si="24"/>
        <v>0.79680897246870619</v>
      </c>
      <c r="F60" s="417">
        <f t="shared" si="24"/>
        <v>0.79604116792816049</v>
      </c>
      <c r="G60" s="417">
        <f t="shared" si="24"/>
        <v>0.79527322893175478</v>
      </c>
      <c r="H60" s="417">
        <f t="shared" si="24"/>
        <v>0.79450516450092767</v>
      </c>
      <c r="I60" s="417">
        <f t="shared" si="24"/>
        <v>0.79373698358684053</v>
      </c>
      <c r="J60" s="417">
        <f t="shared" si="24"/>
        <v>0.79296869507044476</v>
      </c>
      <c r="K60" s="417">
        <f t="shared" si="24"/>
        <v>0.79220030776256189</v>
      </c>
      <c r="L60" s="417">
        <f t="shared" si="24"/>
        <v>0.79143183040396969</v>
      </c>
      <c r="M60" s="417">
        <f t="shared" si="24"/>
        <v>0.79066327166550054</v>
      </c>
      <c r="N60" s="417">
        <f t="shared" si="24"/>
        <v>0.78989464014814825</v>
      </c>
      <c r="O60" s="417">
        <f t="shared" si="24"/>
        <v>0.78912594438318295</v>
      </c>
      <c r="P60" s="417">
        <f t="shared" si="24"/>
        <v>0.78835719283227634</v>
      </c>
      <c r="Q60" s="417">
        <f t="shared" si="24"/>
        <v>0.78758839388763435</v>
      </c>
      <c r="R60" s="417">
        <f t="shared" si="24"/>
        <v>0.78681955587213903</v>
      </c>
      <c r="S60" s="417">
        <f t="shared" si="24"/>
        <v>0.78605068703949843</v>
      </c>
      <c r="T60" s="417">
        <f t="shared" si="24"/>
        <v>0.78528179557440425</v>
      </c>
      <c r="U60" s="417">
        <f t="shared" si="24"/>
        <v>0.78451288959269794</v>
      </c>
      <c r="V60" s="417">
        <f t="shared" si="24"/>
        <v>0.78374397714154387</v>
      </c>
      <c r="W60" s="417">
        <f t="shared" si="24"/>
        <v>0.78297506619961088</v>
      </c>
      <c r="X60" s="417">
        <f t="shared" si="24"/>
        <v>0.78220616467725967</v>
      </c>
      <c r="Y60" s="417">
        <f t="shared" si="24"/>
        <v>0.7814372804167391</v>
      </c>
      <c r="Z60" s="417">
        <f t="shared" si="24"/>
        <v>0.78066842119238811</v>
      </c>
      <c r="AA60" s="417">
        <f t="shared" si="24"/>
        <v>0.77989959471084491</v>
      </c>
      <c r="AB60" s="417">
        <f t="shared" si="24"/>
        <v>0.77913080861126272</v>
      </c>
      <c r="AC60" s="417">
        <f t="shared" si="24"/>
        <v>0.77836207046553207</v>
      </c>
      <c r="AD60" s="417">
        <f t="shared" si="24"/>
        <v>0.77759338777850873</v>
      </c>
      <c r="AE60" s="417">
        <f t="shared" si="24"/>
        <v>0.77682476798824884</v>
      </c>
      <c r="AF60" s="417">
        <f t="shared" si="24"/>
        <v>0.77605621846624906</v>
      </c>
      <c r="AG60" s="417">
        <f t="shared" si="24"/>
        <v>0.77528774651769194</v>
      </c>
      <c r="AH60" s="417">
        <f t="shared" si="24"/>
        <v>0.77451935938169869</v>
      </c>
      <c r="AI60" s="417">
        <f t="shared" si="24"/>
        <v>0.77375106423158546</v>
      </c>
      <c r="AJ60" s="417">
        <f t="shared" si="24"/>
        <v>0.77298286817512585</v>
      </c>
      <c r="AK60" s="417">
        <f t="shared" si="24"/>
        <v>0.77221477825481855</v>
      </c>
      <c r="AL60" s="417">
        <f t="shared" si="24"/>
        <v>0.77144680144815947</v>
      </c>
    </row>
    <row r="61" spans="2:38">
      <c r="B61" s="358" t="s">
        <v>673</v>
      </c>
      <c r="C61" s="419" t="s">
        <v>674</v>
      </c>
      <c r="D61" s="414">
        <f t="shared" ref="D61:AL61" si="25">(D$19+1)^(0.1025)</f>
        <v>1</v>
      </c>
      <c r="E61" s="415">
        <f t="shared" si="25"/>
        <v>1</v>
      </c>
      <c r="F61" s="415">
        <f t="shared" si="25"/>
        <v>1</v>
      </c>
      <c r="G61" s="415">
        <f t="shared" si="25"/>
        <v>1</v>
      </c>
      <c r="H61" s="1235">
        <f t="shared" si="25"/>
        <v>1</v>
      </c>
      <c r="I61" s="415">
        <f t="shared" si="25"/>
        <v>1</v>
      </c>
      <c r="J61" s="415">
        <f t="shared" si="25"/>
        <v>1</v>
      </c>
      <c r="K61" s="415">
        <f t="shared" si="25"/>
        <v>1</v>
      </c>
      <c r="L61" s="415">
        <f t="shared" si="25"/>
        <v>1</v>
      </c>
      <c r="M61" s="415">
        <f t="shared" si="25"/>
        <v>1</v>
      </c>
      <c r="N61" s="415">
        <f t="shared" si="25"/>
        <v>1</v>
      </c>
      <c r="O61" s="415">
        <f t="shared" si="25"/>
        <v>1</v>
      </c>
      <c r="P61" s="415">
        <f t="shared" si="25"/>
        <v>1</v>
      </c>
      <c r="Q61" s="415">
        <f t="shared" si="25"/>
        <v>1</v>
      </c>
      <c r="R61" s="415">
        <f t="shared" si="25"/>
        <v>1</v>
      </c>
      <c r="S61" s="415">
        <f t="shared" si="25"/>
        <v>1</v>
      </c>
      <c r="T61" s="415">
        <f t="shared" si="25"/>
        <v>1</v>
      </c>
      <c r="U61" s="415">
        <f t="shared" si="25"/>
        <v>1</v>
      </c>
      <c r="V61" s="415">
        <f t="shared" si="25"/>
        <v>1</v>
      </c>
      <c r="W61" s="415">
        <f t="shared" si="25"/>
        <v>1</v>
      </c>
      <c r="X61" s="415">
        <f t="shared" si="25"/>
        <v>1</v>
      </c>
      <c r="Y61" s="415">
        <f t="shared" si="25"/>
        <v>1</v>
      </c>
      <c r="Z61" s="415">
        <f t="shared" si="25"/>
        <v>1</v>
      </c>
      <c r="AA61" s="415">
        <f t="shared" si="25"/>
        <v>1</v>
      </c>
      <c r="AB61" s="415">
        <f t="shared" si="25"/>
        <v>1</v>
      </c>
      <c r="AC61" s="415">
        <f t="shared" si="25"/>
        <v>1</v>
      </c>
      <c r="AD61" s="415">
        <f t="shared" si="25"/>
        <v>1</v>
      </c>
      <c r="AE61" s="415">
        <f t="shared" si="25"/>
        <v>1</v>
      </c>
      <c r="AF61" s="415">
        <f t="shared" si="25"/>
        <v>1</v>
      </c>
      <c r="AG61" s="415">
        <f t="shared" si="25"/>
        <v>1</v>
      </c>
      <c r="AH61" s="415">
        <f t="shared" si="25"/>
        <v>1</v>
      </c>
      <c r="AI61" s="415">
        <f t="shared" si="25"/>
        <v>1</v>
      </c>
      <c r="AJ61" s="415">
        <f t="shared" si="25"/>
        <v>1</v>
      </c>
      <c r="AK61" s="415">
        <f t="shared" si="25"/>
        <v>1</v>
      </c>
      <c r="AL61" s="415">
        <f t="shared" si="25"/>
        <v>1</v>
      </c>
    </row>
    <row r="62" spans="2:38">
      <c r="B62" s="433" t="s">
        <v>675</v>
      </c>
      <c r="C62" s="434" t="s">
        <v>676</v>
      </c>
      <c r="D62" s="426">
        <f t="shared" ref="D62:AL62" si="26">EXP(0.188*$E$5)</f>
        <v>1.2068335153496053</v>
      </c>
      <c r="E62" s="426">
        <f t="shared" si="26"/>
        <v>1.2068335153496053</v>
      </c>
      <c r="F62" s="426">
        <f t="shared" si="26"/>
        <v>1.2068335153496053</v>
      </c>
      <c r="G62" s="426">
        <f t="shared" si="26"/>
        <v>1.2068335153496053</v>
      </c>
      <c r="H62" s="1237">
        <f t="shared" si="26"/>
        <v>1.2068335153496053</v>
      </c>
      <c r="I62" s="426">
        <f t="shared" si="26"/>
        <v>1.2068335153496053</v>
      </c>
      <c r="J62" s="426">
        <f t="shared" si="26"/>
        <v>1.2068335153496053</v>
      </c>
      <c r="K62" s="426">
        <f t="shared" si="26"/>
        <v>1.2068335153496053</v>
      </c>
      <c r="L62" s="426">
        <f t="shared" si="26"/>
        <v>1.2068335153496053</v>
      </c>
      <c r="M62" s="426">
        <f t="shared" si="26"/>
        <v>1.2068335153496053</v>
      </c>
      <c r="N62" s="426">
        <f t="shared" si="26"/>
        <v>1.2068335153496053</v>
      </c>
      <c r="O62" s="426">
        <f t="shared" si="26"/>
        <v>1.2068335153496053</v>
      </c>
      <c r="P62" s="426">
        <f t="shared" si="26"/>
        <v>1.2068335153496053</v>
      </c>
      <c r="Q62" s="426">
        <f t="shared" si="26"/>
        <v>1.2068335153496053</v>
      </c>
      <c r="R62" s="426">
        <f t="shared" si="26"/>
        <v>1.2068335153496053</v>
      </c>
      <c r="S62" s="426">
        <f t="shared" si="26"/>
        <v>1.2068335153496053</v>
      </c>
      <c r="T62" s="426">
        <f t="shared" si="26"/>
        <v>1.2068335153496053</v>
      </c>
      <c r="U62" s="426">
        <f t="shared" si="26"/>
        <v>1.2068335153496053</v>
      </c>
      <c r="V62" s="426">
        <f t="shared" si="26"/>
        <v>1.2068335153496053</v>
      </c>
      <c r="W62" s="426">
        <f t="shared" si="26"/>
        <v>1.2068335153496053</v>
      </c>
      <c r="X62" s="426">
        <f t="shared" si="26"/>
        <v>1.2068335153496053</v>
      </c>
      <c r="Y62" s="426">
        <f t="shared" si="26"/>
        <v>1.2068335153496053</v>
      </c>
      <c r="Z62" s="426">
        <f t="shared" si="26"/>
        <v>1.2068335153496053</v>
      </c>
      <c r="AA62" s="426">
        <f t="shared" si="26"/>
        <v>1.2068335153496053</v>
      </c>
      <c r="AB62" s="426">
        <f t="shared" si="26"/>
        <v>1.2068335153496053</v>
      </c>
      <c r="AC62" s="426">
        <f t="shared" si="26"/>
        <v>1.2068335153496053</v>
      </c>
      <c r="AD62" s="426">
        <f t="shared" si="26"/>
        <v>1.2068335153496053</v>
      </c>
      <c r="AE62" s="426">
        <f t="shared" si="26"/>
        <v>1.2068335153496053</v>
      </c>
      <c r="AF62" s="426">
        <f t="shared" si="26"/>
        <v>1.2068335153496053</v>
      </c>
      <c r="AG62" s="426">
        <f t="shared" si="26"/>
        <v>1.2068335153496053</v>
      </c>
      <c r="AH62" s="426">
        <f t="shared" si="26"/>
        <v>1.2068335153496053</v>
      </c>
      <c r="AI62" s="426">
        <f t="shared" si="26"/>
        <v>1.2068335153496053</v>
      </c>
      <c r="AJ62" s="426">
        <f t="shared" si="26"/>
        <v>1.2068335153496053</v>
      </c>
      <c r="AK62" s="426">
        <f t="shared" si="26"/>
        <v>1.2068335153496053</v>
      </c>
      <c r="AL62" s="426">
        <f t="shared" si="26"/>
        <v>1.2068335153496053</v>
      </c>
    </row>
    <row r="63" spans="2:38">
      <c r="B63" s="362"/>
      <c r="C63" s="427" t="s">
        <v>290</v>
      </c>
      <c r="H63" s="1228"/>
    </row>
    <row r="64" spans="2:38">
      <c r="B64" s="362" t="s">
        <v>677</v>
      </c>
      <c r="C64" s="406">
        <v>695</v>
      </c>
      <c r="D64" s="435">
        <f t="shared" ref="D64:AL64" si="27">1/(1+$C$64*PRODUCT(D$59:D$62))</f>
        <v>1.2846823428953566E-2</v>
      </c>
      <c r="E64" s="435">
        <f t="shared" si="27"/>
        <v>1.2859041149429273E-2</v>
      </c>
      <c r="F64" s="435">
        <f t="shared" si="27"/>
        <v>1.2871284422039322E-2</v>
      </c>
      <c r="G64" s="435">
        <f t="shared" si="27"/>
        <v>1.2883553180992649E-2</v>
      </c>
      <c r="H64" s="435">
        <f t="shared" si="27"/>
        <v>1.289584736084585E-2</v>
      </c>
      <c r="I64" s="435">
        <f t="shared" si="27"/>
        <v>1.2908166896506283E-2</v>
      </c>
      <c r="J64" s="435">
        <f t="shared" si="27"/>
        <v>1.2920511723235115E-2</v>
      </c>
      <c r="K64" s="435">
        <f t="shared" si="27"/>
        <v>1.2932881776650215E-2</v>
      </c>
      <c r="L64" s="435">
        <f t="shared" si="27"/>
        <v>1.2945276992729026E-2</v>
      </c>
      <c r="M64" s="435">
        <f t="shared" si="27"/>
        <v>1.2957697307811268E-2</v>
      </c>
      <c r="N64" s="435">
        <f t="shared" si="27"/>
        <v>1.2970142658601587E-2</v>
      </c>
      <c r="O64" s="435">
        <f t="shared" si="27"/>
        <v>1.2982612982172088E-2</v>
      </c>
      <c r="P64" s="435">
        <f t="shared" si="27"/>
        <v>1.2995108215964795E-2</v>
      </c>
      <c r="Q64" s="435">
        <f t="shared" si="27"/>
        <v>1.3007628297794007E-2</v>
      </c>
      <c r="R64" s="435">
        <f t="shared" si="27"/>
        <v>1.3020173165848558E-2</v>
      </c>
      <c r="S64" s="435">
        <f t="shared" si="27"/>
        <v>1.3032742758694E-2</v>
      </c>
      <c r="T64" s="435">
        <f t="shared" si="27"/>
        <v>1.3045337015274685E-2</v>
      </c>
      <c r="U64" s="435">
        <f t="shared" si="27"/>
        <v>1.3057955874915778E-2</v>
      </c>
      <c r="V64" s="435">
        <f t="shared" si="27"/>
        <v>1.3070599277325174E-2</v>
      </c>
      <c r="W64" s="435">
        <f t="shared" si="27"/>
        <v>1.3083267162595303E-2</v>
      </c>
      <c r="X64" s="435">
        <f t="shared" si="27"/>
        <v>1.3095959471204914E-2</v>
      </c>
      <c r="Y64" s="435">
        <f t="shared" si="27"/>
        <v>1.3108676144020727E-2</v>
      </c>
      <c r="Z64" s="435">
        <f t="shared" si="27"/>
        <v>1.3121417122298995E-2</v>
      </c>
      <c r="AA64" s="435">
        <f t="shared" si="27"/>
        <v>1.3134182347687044E-2</v>
      </c>
      <c r="AB64" s="435">
        <f t="shared" si="27"/>
        <v>1.3146971762224686E-2</v>
      </c>
      <c r="AC64" s="435">
        <f t="shared" si="27"/>
        <v>1.3159785308345554E-2</v>
      </c>
      <c r="AD64" s="435">
        <f t="shared" si="27"/>
        <v>1.3172622928878398E-2</v>
      </c>
      <c r="AE64" s="435">
        <f t="shared" si="27"/>
        <v>1.318548456704826E-2</v>
      </c>
      <c r="AF64" s="435">
        <f t="shared" si="27"/>
        <v>1.3198370166477609E-2</v>
      </c>
      <c r="AG64" s="435">
        <f t="shared" si="27"/>
        <v>1.3211279671187398E-2</v>
      </c>
      <c r="AH64" s="435">
        <f t="shared" si="27"/>
        <v>1.3224213025598029E-2</v>
      </c>
      <c r="AI64" s="435">
        <f t="shared" si="27"/>
        <v>1.3237170174530275E-2</v>
      </c>
      <c r="AJ64" s="435">
        <f t="shared" si="27"/>
        <v>1.3250151063206107E-2</v>
      </c>
      <c r="AK64" s="435">
        <f t="shared" si="27"/>
        <v>1.3263155637249474E-2</v>
      </c>
      <c r="AL64" s="435">
        <f t="shared" si="27"/>
        <v>1.3276183842687013E-2</v>
      </c>
    </row>
    <row r="65" spans="1:38">
      <c r="H65" s="1228"/>
    </row>
    <row r="66" spans="1:38" ht="13">
      <c r="B66" s="407" t="s">
        <v>678</v>
      </c>
      <c r="C66" s="396" t="s">
        <v>627</v>
      </c>
      <c r="D66" s="397">
        <v>2018</v>
      </c>
      <c r="E66" s="397">
        <v>2020</v>
      </c>
      <c r="F66" s="397">
        <v>2021</v>
      </c>
      <c r="G66" s="397">
        <v>2022</v>
      </c>
      <c r="H66" s="1238">
        <v>2023</v>
      </c>
      <c r="I66" s="397">
        <v>2024</v>
      </c>
      <c r="J66" s="397">
        <v>2025</v>
      </c>
      <c r="K66" s="397">
        <v>2026</v>
      </c>
      <c r="L66" s="397">
        <v>2027</v>
      </c>
      <c r="M66" s="397">
        <v>2028</v>
      </c>
      <c r="N66" s="397">
        <v>2029</v>
      </c>
      <c r="O66" s="397">
        <v>2030</v>
      </c>
      <c r="P66" s="397">
        <v>2031</v>
      </c>
      <c r="Q66" s="397">
        <v>2032</v>
      </c>
      <c r="R66" s="397">
        <v>2033</v>
      </c>
      <c r="S66" s="397">
        <v>2034</v>
      </c>
      <c r="T66" s="397">
        <v>2035</v>
      </c>
      <c r="U66" s="397">
        <v>2036</v>
      </c>
      <c r="V66" s="397">
        <v>2037</v>
      </c>
      <c r="W66" s="397">
        <v>2038</v>
      </c>
      <c r="X66" s="397">
        <v>2039</v>
      </c>
      <c r="Y66" s="397">
        <v>2040</v>
      </c>
      <c r="Z66" s="397">
        <v>2041</v>
      </c>
      <c r="AA66" s="397">
        <v>2042</v>
      </c>
      <c r="AB66" s="397">
        <v>2043</v>
      </c>
      <c r="AC66" s="397">
        <v>2044</v>
      </c>
      <c r="AD66" s="397">
        <v>2044</v>
      </c>
      <c r="AE66" s="397">
        <v>2044</v>
      </c>
      <c r="AF66" s="397">
        <v>2044</v>
      </c>
      <c r="AG66" s="397">
        <v>2044</v>
      </c>
      <c r="AH66" s="397">
        <v>2044</v>
      </c>
      <c r="AI66" s="397">
        <v>2044</v>
      </c>
      <c r="AJ66" s="397">
        <v>2044</v>
      </c>
      <c r="AK66" s="397">
        <v>2044</v>
      </c>
      <c r="AL66" s="397">
        <v>2044</v>
      </c>
    </row>
    <row r="67" spans="1:38">
      <c r="B67" s="358" t="s">
        <v>679</v>
      </c>
      <c r="C67" s="436" t="s">
        <v>680</v>
      </c>
      <c r="D67" s="437">
        <f t="shared" ref="D67:AL67" si="28">D$64</f>
        <v>1.2846823428953566E-2</v>
      </c>
      <c r="E67" s="415">
        <f t="shared" si="28"/>
        <v>1.2859041149429273E-2</v>
      </c>
      <c r="F67" s="415">
        <f t="shared" si="28"/>
        <v>1.2871284422039322E-2</v>
      </c>
      <c r="G67" s="415">
        <f t="shared" si="28"/>
        <v>1.2883553180992649E-2</v>
      </c>
      <c r="H67" s="1235">
        <f t="shared" si="28"/>
        <v>1.289584736084585E-2</v>
      </c>
      <c r="I67" s="415">
        <f t="shared" si="28"/>
        <v>1.2908166896506283E-2</v>
      </c>
      <c r="J67" s="415">
        <f t="shared" si="28"/>
        <v>1.2920511723235115E-2</v>
      </c>
      <c r="K67" s="415">
        <f t="shared" si="28"/>
        <v>1.2932881776650215E-2</v>
      </c>
      <c r="L67" s="415">
        <f t="shared" si="28"/>
        <v>1.2945276992729026E-2</v>
      </c>
      <c r="M67" s="415">
        <f t="shared" si="28"/>
        <v>1.2957697307811268E-2</v>
      </c>
      <c r="N67" s="415">
        <f t="shared" si="28"/>
        <v>1.2970142658601587E-2</v>
      </c>
      <c r="O67" s="415">
        <f t="shared" si="28"/>
        <v>1.2982612982172088E-2</v>
      </c>
      <c r="P67" s="415">
        <f t="shared" si="28"/>
        <v>1.2995108215964795E-2</v>
      </c>
      <c r="Q67" s="415">
        <f t="shared" si="28"/>
        <v>1.3007628297794007E-2</v>
      </c>
      <c r="R67" s="415">
        <f t="shared" si="28"/>
        <v>1.3020173165848558E-2</v>
      </c>
      <c r="S67" s="415">
        <f t="shared" si="28"/>
        <v>1.3032742758694E-2</v>
      </c>
      <c r="T67" s="415">
        <f t="shared" si="28"/>
        <v>1.3045337015274685E-2</v>
      </c>
      <c r="U67" s="415">
        <f t="shared" si="28"/>
        <v>1.3057955874915778E-2</v>
      </c>
      <c r="V67" s="415">
        <f t="shared" si="28"/>
        <v>1.3070599277325174E-2</v>
      </c>
      <c r="W67" s="415">
        <f t="shared" si="28"/>
        <v>1.3083267162595303E-2</v>
      </c>
      <c r="X67" s="415">
        <f t="shared" si="28"/>
        <v>1.3095959471204914E-2</v>
      </c>
      <c r="Y67" s="415">
        <f t="shared" si="28"/>
        <v>1.3108676144020727E-2</v>
      </c>
      <c r="Z67" s="415">
        <f t="shared" si="28"/>
        <v>1.3121417122298995E-2</v>
      </c>
      <c r="AA67" s="415">
        <f t="shared" si="28"/>
        <v>1.3134182347687044E-2</v>
      </c>
      <c r="AB67" s="415">
        <f t="shared" si="28"/>
        <v>1.3146971762224686E-2</v>
      </c>
      <c r="AC67" s="415">
        <f t="shared" si="28"/>
        <v>1.3159785308345554E-2</v>
      </c>
      <c r="AD67" s="415">
        <f t="shared" si="28"/>
        <v>1.3172622928878398E-2</v>
      </c>
      <c r="AE67" s="415">
        <f t="shared" si="28"/>
        <v>1.318548456704826E-2</v>
      </c>
      <c r="AF67" s="415">
        <f t="shared" si="28"/>
        <v>1.3198370166477609E-2</v>
      </c>
      <c r="AG67" s="415">
        <f t="shared" si="28"/>
        <v>1.3211279671187398E-2</v>
      </c>
      <c r="AH67" s="415">
        <f t="shared" si="28"/>
        <v>1.3224213025598029E-2</v>
      </c>
      <c r="AI67" s="415">
        <f t="shared" si="28"/>
        <v>1.3237170174530275E-2</v>
      </c>
      <c r="AJ67" s="415">
        <f t="shared" si="28"/>
        <v>1.3250151063206107E-2</v>
      </c>
      <c r="AK67" s="415">
        <f t="shared" si="28"/>
        <v>1.3263155637249474E-2</v>
      </c>
      <c r="AL67" s="415">
        <f t="shared" si="28"/>
        <v>1.3276183842687013E-2</v>
      </c>
    </row>
    <row r="68" spans="1:38">
      <c r="B68" s="358" t="s">
        <v>681</v>
      </c>
      <c r="C68" s="419" t="s">
        <v>682</v>
      </c>
      <c r="D68" s="414">
        <f t="shared" ref="D68:AK68" si="29">1-D67</f>
        <v>0.9871531765710464</v>
      </c>
      <c r="E68" s="414">
        <f t="shared" si="29"/>
        <v>0.98714095885057074</v>
      </c>
      <c r="F68" s="414">
        <f t="shared" si="29"/>
        <v>0.98712871557796067</v>
      </c>
      <c r="G68" s="414">
        <f t="shared" si="29"/>
        <v>0.98711644681900734</v>
      </c>
      <c r="H68" s="417">
        <f t="shared" si="29"/>
        <v>0.98710415263915419</v>
      </c>
      <c r="I68" s="414">
        <f t="shared" si="29"/>
        <v>0.98709183310349369</v>
      </c>
      <c r="J68" s="414">
        <f t="shared" si="29"/>
        <v>0.98707948827676484</v>
      </c>
      <c r="K68" s="414">
        <f t="shared" si="29"/>
        <v>0.9870671182233498</v>
      </c>
      <c r="L68" s="414">
        <f t="shared" si="29"/>
        <v>0.98705472300727093</v>
      </c>
      <c r="M68" s="414">
        <f t="shared" si="29"/>
        <v>0.98704230269218873</v>
      </c>
      <c r="N68" s="414">
        <f t="shared" si="29"/>
        <v>0.98702985734139836</v>
      </c>
      <c r="O68" s="414">
        <f t="shared" si="29"/>
        <v>0.98701738701782793</v>
      </c>
      <c r="P68" s="414">
        <f t="shared" si="29"/>
        <v>0.98700489178403517</v>
      </c>
      <c r="Q68" s="414">
        <f t="shared" si="29"/>
        <v>0.986992371702206</v>
      </c>
      <c r="R68" s="414">
        <f t="shared" si="29"/>
        <v>0.98697982683415142</v>
      </c>
      <c r="S68" s="414">
        <f t="shared" si="29"/>
        <v>0.98696725724130596</v>
      </c>
      <c r="T68" s="414">
        <f t="shared" si="29"/>
        <v>0.98695466298472534</v>
      </c>
      <c r="U68" s="414">
        <f t="shared" si="29"/>
        <v>0.98694204412508424</v>
      </c>
      <c r="V68" s="414">
        <f t="shared" si="29"/>
        <v>0.98692940072267488</v>
      </c>
      <c r="W68" s="414">
        <f t="shared" si="29"/>
        <v>0.98691673283740466</v>
      </c>
      <c r="X68" s="414">
        <f t="shared" si="29"/>
        <v>0.9869040405287951</v>
      </c>
      <c r="Y68" s="414">
        <f t="shared" si="29"/>
        <v>0.98689132385597922</v>
      </c>
      <c r="Z68" s="414">
        <f t="shared" si="29"/>
        <v>0.98687858287770103</v>
      </c>
      <c r="AA68" s="414">
        <f t="shared" si="29"/>
        <v>0.98686581765231296</v>
      </c>
      <c r="AB68" s="414">
        <f t="shared" si="29"/>
        <v>0.98685302823777532</v>
      </c>
      <c r="AC68" s="414">
        <f t="shared" si="29"/>
        <v>0.98684021469165439</v>
      </c>
      <c r="AD68" s="414">
        <f t="shared" si="29"/>
        <v>0.98682737707112156</v>
      </c>
      <c r="AE68" s="414">
        <f t="shared" si="29"/>
        <v>0.98681451543295173</v>
      </c>
      <c r="AF68" s="414">
        <f t="shared" si="29"/>
        <v>0.98680162983352238</v>
      </c>
      <c r="AG68" s="414">
        <f t="shared" si="29"/>
        <v>0.9867887203288126</v>
      </c>
      <c r="AH68" s="414">
        <f t="shared" si="29"/>
        <v>0.98677578697440194</v>
      </c>
      <c r="AI68" s="414">
        <f t="shared" si="29"/>
        <v>0.9867628298254697</v>
      </c>
      <c r="AJ68" s="414">
        <f t="shared" si="29"/>
        <v>0.98674984893679385</v>
      </c>
      <c r="AK68" s="414">
        <f t="shared" si="29"/>
        <v>0.98673684436275055</v>
      </c>
      <c r="AL68" s="414">
        <f t="shared" ref="AL68" si="30">1-AL67</f>
        <v>0.98672381615731297</v>
      </c>
    </row>
    <row r="69" spans="1:38">
      <c r="B69" s="358" t="s">
        <v>671</v>
      </c>
      <c r="C69" s="419" t="s">
        <v>662</v>
      </c>
      <c r="D69" s="414">
        <f t="shared" ref="D69:AL69" si="31">D$20^(-0.2334)</f>
        <v>0.62482831374223813</v>
      </c>
      <c r="E69" s="414">
        <f t="shared" si="31"/>
        <v>0.62482831374223813</v>
      </c>
      <c r="F69" s="414">
        <f t="shared" si="31"/>
        <v>0.62482831374223813</v>
      </c>
      <c r="G69" s="414">
        <f t="shared" si="31"/>
        <v>0.62482831374223813</v>
      </c>
      <c r="H69" s="417">
        <f t="shared" si="31"/>
        <v>0.62482831374223813</v>
      </c>
      <c r="I69" s="414">
        <f t="shared" si="31"/>
        <v>0.62482831374223813</v>
      </c>
      <c r="J69" s="414">
        <f t="shared" si="31"/>
        <v>0.62482831374223813</v>
      </c>
      <c r="K69" s="414">
        <f t="shared" si="31"/>
        <v>0.62482831374223813</v>
      </c>
      <c r="L69" s="414">
        <f t="shared" si="31"/>
        <v>0.62482831374223813</v>
      </c>
      <c r="M69" s="414">
        <f t="shared" si="31"/>
        <v>0.62482831374223813</v>
      </c>
      <c r="N69" s="414">
        <f t="shared" si="31"/>
        <v>0.62482831374223813</v>
      </c>
      <c r="O69" s="414">
        <f t="shared" si="31"/>
        <v>0.62482831374223813</v>
      </c>
      <c r="P69" s="414">
        <f t="shared" si="31"/>
        <v>0.62482831374223813</v>
      </c>
      <c r="Q69" s="414">
        <f t="shared" si="31"/>
        <v>0.62482831374223813</v>
      </c>
      <c r="R69" s="414">
        <f t="shared" si="31"/>
        <v>0.62482831374223813</v>
      </c>
      <c r="S69" s="414">
        <f t="shared" si="31"/>
        <v>0.62482831374223813</v>
      </c>
      <c r="T69" s="414">
        <f t="shared" si="31"/>
        <v>0.62482831374223813</v>
      </c>
      <c r="U69" s="414">
        <f t="shared" si="31"/>
        <v>0.62482831374223813</v>
      </c>
      <c r="V69" s="414">
        <f t="shared" si="31"/>
        <v>0.62482831374223813</v>
      </c>
      <c r="W69" s="414">
        <f t="shared" si="31"/>
        <v>0.62482831374223813</v>
      </c>
      <c r="X69" s="414">
        <f t="shared" si="31"/>
        <v>0.62482831374223813</v>
      </c>
      <c r="Y69" s="414">
        <f t="shared" si="31"/>
        <v>0.62482831374223813</v>
      </c>
      <c r="Z69" s="414">
        <f t="shared" si="31"/>
        <v>0.62482831374223813</v>
      </c>
      <c r="AA69" s="414">
        <f t="shared" si="31"/>
        <v>0.62482831374223813</v>
      </c>
      <c r="AB69" s="414">
        <f t="shared" si="31"/>
        <v>0.62482831374223813</v>
      </c>
      <c r="AC69" s="414">
        <f t="shared" si="31"/>
        <v>0.62482831374223813</v>
      </c>
      <c r="AD69" s="414">
        <f t="shared" si="31"/>
        <v>0.62482831374223813</v>
      </c>
      <c r="AE69" s="414">
        <f t="shared" si="31"/>
        <v>0.62482831374223813</v>
      </c>
      <c r="AF69" s="414">
        <f t="shared" si="31"/>
        <v>0.62482831374223813</v>
      </c>
      <c r="AG69" s="414">
        <f t="shared" si="31"/>
        <v>0.62482831374223813</v>
      </c>
      <c r="AH69" s="414">
        <f t="shared" si="31"/>
        <v>0.62482831374223813</v>
      </c>
      <c r="AI69" s="414">
        <f t="shared" si="31"/>
        <v>0.62482831374223813</v>
      </c>
      <c r="AJ69" s="414">
        <f t="shared" si="31"/>
        <v>0.62482831374223813</v>
      </c>
      <c r="AK69" s="414">
        <f t="shared" si="31"/>
        <v>0.62482831374223813</v>
      </c>
      <c r="AL69" s="414">
        <f t="shared" si="31"/>
        <v>0.62482831374223813</v>
      </c>
    </row>
    <row r="70" spans="1:38">
      <c r="B70" s="358" t="s">
        <v>683</v>
      </c>
      <c r="C70" s="419" t="s">
        <v>684</v>
      </c>
      <c r="D70" s="414">
        <f t="shared" ref="D70:AL70" si="32">EXP(0.1176*$D$11)</f>
        <v>1.4230465056696404</v>
      </c>
      <c r="E70" s="415">
        <f t="shared" si="32"/>
        <v>1.4230465056696404</v>
      </c>
      <c r="F70" s="415">
        <f t="shared" si="32"/>
        <v>1.4230465056696404</v>
      </c>
      <c r="G70" s="415">
        <f t="shared" si="32"/>
        <v>1.4230465056696404</v>
      </c>
      <c r="H70" s="1235">
        <f t="shared" si="32"/>
        <v>1.4230465056696404</v>
      </c>
      <c r="I70" s="415">
        <f t="shared" si="32"/>
        <v>1.4230465056696404</v>
      </c>
      <c r="J70" s="415">
        <f t="shared" si="32"/>
        <v>1.4230465056696404</v>
      </c>
      <c r="K70" s="415">
        <f t="shared" si="32"/>
        <v>1.4230465056696404</v>
      </c>
      <c r="L70" s="415">
        <f t="shared" si="32"/>
        <v>1.4230465056696404</v>
      </c>
      <c r="M70" s="415">
        <f t="shared" si="32"/>
        <v>1.4230465056696404</v>
      </c>
      <c r="N70" s="415">
        <f t="shared" si="32"/>
        <v>1.4230465056696404</v>
      </c>
      <c r="O70" s="415">
        <f t="shared" si="32"/>
        <v>1.4230465056696404</v>
      </c>
      <c r="P70" s="415">
        <f t="shared" si="32"/>
        <v>1.4230465056696404</v>
      </c>
      <c r="Q70" s="415">
        <f t="shared" si="32"/>
        <v>1.4230465056696404</v>
      </c>
      <c r="R70" s="415">
        <f t="shared" si="32"/>
        <v>1.4230465056696404</v>
      </c>
      <c r="S70" s="415">
        <f t="shared" si="32"/>
        <v>1.4230465056696404</v>
      </c>
      <c r="T70" s="415">
        <f t="shared" si="32"/>
        <v>1.4230465056696404</v>
      </c>
      <c r="U70" s="415">
        <f t="shared" si="32"/>
        <v>1.4230465056696404</v>
      </c>
      <c r="V70" s="415">
        <f t="shared" si="32"/>
        <v>1.4230465056696404</v>
      </c>
      <c r="W70" s="415">
        <f t="shared" si="32"/>
        <v>1.4230465056696404</v>
      </c>
      <c r="X70" s="415">
        <f t="shared" si="32"/>
        <v>1.4230465056696404</v>
      </c>
      <c r="Y70" s="415">
        <f t="shared" si="32"/>
        <v>1.4230465056696404</v>
      </c>
      <c r="Z70" s="415">
        <f t="shared" si="32"/>
        <v>1.4230465056696404</v>
      </c>
      <c r="AA70" s="415">
        <f t="shared" si="32"/>
        <v>1.4230465056696404</v>
      </c>
      <c r="AB70" s="415">
        <f t="shared" si="32"/>
        <v>1.4230465056696404</v>
      </c>
      <c r="AC70" s="415">
        <f t="shared" si="32"/>
        <v>1.4230465056696404</v>
      </c>
      <c r="AD70" s="415">
        <f t="shared" si="32"/>
        <v>1.4230465056696404</v>
      </c>
      <c r="AE70" s="415">
        <f t="shared" si="32"/>
        <v>1.4230465056696404</v>
      </c>
      <c r="AF70" s="415">
        <f t="shared" si="32"/>
        <v>1.4230465056696404</v>
      </c>
      <c r="AG70" s="415">
        <f t="shared" si="32"/>
        <v>1.4230465056696404</v>
      </c>
      <c r="AH70" s="415">
        <f t="shared" si="32"/>
        <v>1.4230465056696404</v>
      </c>
      <c r="AI70" s="415">
        <f t="shared" si="32"/>
        <v>1.4230465056696404</v>
      </c>
      <c r="AJ70" s="415">
        <f t="shared" si="32"/>
        <v>1.4230465056696404</v>
      </c>
      <c r="AK70" s="415">
        <f t="shared" si="32"/>
        <v>1.4230465056696404</v>
      </c>
      <c r="AL70" s="415">
        <f t="shared" si="32"/>
        <v>1.4230465056696404</v>
      </c>
    </row>
    <row r="71" spans="1:38">
      <c r="B71" s="433" t="s">
        <v>675</v>
      </c>
      <c r="C71" s="434" t="s">
        <v>676</v>
      </c>
      <c r="D71" s="426">
        <f t="shared" ref="D71:AL71" si="33">EXP(0.1844*$E$5)</f>
        <v>1.2024967255996286</v>
      </c>
      <c r="E71" s="426">
        <f t="shared" si="33"/>
        <v>1.2024967255996286</v>
      </c>
      <c r="F71" s="426">
        <f t="shared" si="33"/>
        <v>1.2024967255996286</v>
      </c>
      <c r="G71" s="426">
        <f t="shared" si="33"/>
        <v>1.2024967255996286</v>
      </c>
      <c r="H71" s="1237">
        <f t="shared" si="33"/>
        <v>1.2024967255996286</v>
      </c>
      <c r="I71" s="426">
        <f t="shared" si="33"/>
        <v>1.2024967255996286</v>
      </c>
      <c r="J71" s="426">
        <f t="shared" si="33"/>
        <v>1.2024967255996286</v>
      </c>
      <c r="K71" s="426">
        <f t="shared" si="33"/>
        <v>1.2024967255996286</v>
      </c>
      <c r="L71" s="426">
        <f t="shared" si="33"/>
        <v>1.2024967255996286</v>
      </c>
      <c r="M71" s="426">
        <f t="shared" si="33"/>
        <v>1.2024967255996286</v>
      </c>
      <c r="N71" s="426">
        <f t="shared" si="33"/>
        <v>1.2024967255996286</v>
      </c>
      <c r="O71" s="426">
        <f t="shared" si="33"/>
        <v>1.2024967255996286</v>
      </c>
      <c r="P71" s="426">
        <f t="shared" si="33"/>
        <v>1.2024967255996286</v>
      </c>
      <c r="Q71" s="426">
        <f t="shared" si="33"/>
        <v>1.2024967255996286</v>
      </c>
      <c r="R71" s="426">
        <f t="shared" si="33"/>
        <v>1.2024967255996286</v>
      </c>
      <c r="S71" s="426">
        <f t="shared" si="33"/>
        <v>1.2024967255996286</v>
      </c>
      <c r="T71" s="426">
        <f t="shared" si="33"/>
        <v>1.2024967255996286</v>
      </c>
      <c r="U71" s="426">
        <f t="shared" si="33"/>
        <v>1.2024967255996286</v>
      </c>
      <c r="V71" s="426">
        <f t="shared" si="33"/>
        <v>1.2024967255996286</v>
      </c>
      <c r="W71" s="426">
        <f t="shared" si="33"/>
        <v>1.2024967255996286</v>
      </c>
      <c r="X71" s="426">
        <f t="shared" si="33"/>
        <v>1.2024967255996286</v>
      </c>
      <c r="Y71" s="426">
        <f t="shared" si="33"/>
        <v>1.2024967255996286</v>
      </c>
      <c r="Z71" s="426">
        <f t="shared" si="33"/>
        <v>1.2024967255996286</v>
      </c>
      <c r="AA71" s="426">
        <f t="shared" si="33"/>
        <v>1.2024967255996286</v>
      </c>
      <c r="AB71" s="426">
        <f t="shared" si="33"/>
        <v>1.2024967255996286</v>
      </c>
      <c r="AC71" s="426">
        <f t="shared" si="33"/>
        <v>1.2024967255996286</v>
      </c>
      <c r="AD71" s="426">
        <f t="shared" si="33"/>
        <v>1.2024967255996286</v>
      </c>
      <c r="AE71" s="426">
        <f t="shared" si="33"/>
        <v>1.2024967255996286</v>
      </c>
      <c r="AF71" s="426">
        <f t="shared" si="33"/>
        <v>1.2024967255996286</v>
      </c>
      <c r="AG71" s="426">
        <f t="shared" si="33"/>
        <v>1.2024967255996286</v>
      </c>
      <c r="AH71" s="426">
        <f t="shared" si="33"/>
        <v>1.2024967255996286</v>
      </c>
      <c r="AI71" s="426">
        <f t="shared" si="33"/>
        <v>1.2024967255996286</v>
      </c>
      <c r="AJ71" s="426">
        <f t="shared" si="33"/>
        <v>1.2024967255996286</v>
      </c>
      <c r="AK71" s="426">
        <f t="shared" si="33"/>
        <v>1.2024967255996286</v>
      </c>
      <c r="AL71" s="426">
        <f t="shared" si="33"/>
        <v>1.2024967255996286</v>
      </c>
    </row>
    <row r="72" spans="1:38">
      <c r="B72" s="362"/>
      <c r="C72" s="427" t="s">
        <v>290</v>
      </c>
      <c r="H72" s="1228"/>
    </row>
    <row r="73" spans="1:38">
      <c r="B73" s="362" t="s">
        <v>685</v>
      </c>
      <c r="C73" s="438">
        <v>4.28</v>
      </c>
      <c r="D73" s="435">
        <f t="shared" ref="D73:AL73" si="34">D$68/(1+$C$73*PRODUCT(D$69:D$71))</f>
        <v>0.17702890335342494</v>
      </c>
      <c r="E73" s="435">
        <f t="shared" si="34"/>
        <v>0.1770267123158954</v>
      </c>
      <c r="F73" s="435">
        <f t="shared" si="34"/>
        <v>0.17702451669603106</v>
      </c>
      <c r="G73" s="435">
        <f t="shared" si="34"/>
        <v>0.17702231650563044</v>
      </c>
      <c r="H73" s="435">
        <f t="shared" si="34"/>
        <v>0.17702011175642973</v>
      </c>
      <c r="I73" s="435">
        <f t="shared" si="34"/>
        <v>0.1770179024601021</v>
      </c>
      <c r="J73" s="435">
        <f t="shared" si="34"/>
        <v>0.17701568862825739</v>
      </c>
      <c r="K73" s="435">
        <f t="shared" si="34"/>
        <v>0.17701347027244144</v>
      </c>
      <c r="L73" s="435">
        <f t="shared" si="34"/>
        <v>0.17701124740413554</v>
      </c>
      <c r="M73" s="435">
        <f t="shared" si="34"/>
        <v>0.1770090200347561</v>
      </c>
      <c r="N73" s="435">
        <f t="shared" si="34"/>
        <v>0.17700678817565405</v>
      </c>
      <c r="O73" s="435">
        <f t="shared" si="34"/>
        <v>0.17700455183811439</v>
      </c>
      <c r="P73" s="435">
        <f t="shared" si="34"/>
        <v>0.17700231103335584</v>
      </c>
      <c r="Q73" s="435">
        <f t="shared" si="34"/>
        <v>0.17700006577253036</v>
      </c>
      <c r="R73" s="435">
        <f t="shared" si="34"/>
        <v>0.17699781606672266</v>
      </c>
      <c r="S73" s="435">
        <f t="shared" si="34"/>
        <v>0.17699556192694998</v>
      </c>
      <c r="T73" s="435">
        <f t="shared" si="34"/>
        <v>0.17699330336416164</v>
      </c>
      <c r="U73" s="435">
        <f t="shared" si="34"/>
        <v>0.17699104038923852</v>
      </c>
      <c r="V73" s="435">
        <f t="shared" si="34"/>
        <v>0.17698877301299307</v>
      </c>
      <c r="W73" s="435">
        <f t="shared" si="34"/>
        <v>0.1769865012461686</v>
      </c>
      <c r="X73" s="435">
        <f t="shared" si="34"/>
        <v>0.17698422509943931</v>
      </c>
      <c r="Y73" s="435">
        <f t="shared" si="34"/>
        <v>0.17698194458340966</v>
      </c>
      <c r="Z73" s="435">
        <f t="shared" si="34"/>
        <v>0.17697965970861437</v>
      </c>
      <c r="AA73" s="435">
        <f t="shared" si="34"/>
        <v>0.17697737048551795</v>
      </c>
      <c r="AB73" s="435">
        <f t="shared" si="34"/>
        <v>0.17697507692451458</v>
      </c>
      <c r="AC73" s="435">
        <f t="shared" si="34"/>
        <v>0.17697277903592779</v>
      </c>
      <c r="AD73" s="435">
        <f t="shared" si="34"/>
        <v>0.17697047683001027</v>
      </c>
      <c r="AE73" s="435">
        <f t="shared" si="34"/>
        <v>0.17696817031694365</v>
      </c>
      <c r="AF73" s="435">
        <f t="shared" si="34"/>
        <v>0.17696585950683821</v>
      </c>
      <c r="AG73" s="435">
        <f t="shared" si="34"/>
        <v>0.17696354440973286</v>
      </c>
      <c r="AH73" s="435">
        <f t="shared" si="34"/>
        <v>0.17696122503559483</v>
      </c>
      <c r="AI73" s="435">
        <f t="shared" si="34"/>
        <v>0.17695890139431961</v>
      </c>
      <c r="AJ73" s="435">
        <f t="shared" si="34"/>
        <v>0.17695657349573063</v>
      </c>
      <c r="AK73" s="435">
        <f t="shared" si="34"/>
        <v>0.17695424134957935</v>
      </c>
      <c r="AL73" s="435">
        <f t="shared" si="34"/>
        <v>0.17695190496554491</v>
      </c>
    </row>
    <row r="74" spans="1:38">
      <c r="H74" s="1228"/>
    </row>
    <row r="75" spans="1:38" ht="13">
      <c r="A75" s="452"/>
      <c r="B75" s="495" t="s">
        <v>625</v>
      </c>
      <c r="C75" s="453"/>
      <c r="D75" s="454"/>
      <c r="E75" s="379"/>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row>
    <row r="76" spans="1:38" ht="13">
      <c r="C76" s="399"/>
      <c r="D76" s="440">
        <f>D$1</f>
        <v>2021</v>
      </c>
      <c r="E76" s="440">
        <f t="shared" ref="E76:AL76" si="35">E$1</f>
        <v>2022</v>
      </c>
      <c r="F76" s="440">
        <f t="shared" si="35"/>
        <v>2023</v>
      </c>
      <c r="G76" s="440">
        <f t="shared" si="35"/>
        <v>2024</v>
      </c>
      <c r="H76" s="440">
        <f t="shared" si="35"/>
        <v>2025</v>
      </c>
      <c r="I76" s="440">
        <f t="shared" si="35"/>
        <v>2026</v>
      </c>
      <c r="J76" s="440">
        <f t="shared" si="35"/>
        <v>2027</v>
      </c>
      <c r="K76" s="440">
        <f t="shared" si="35"/>
        <v>2028</v>
      </c>
      <c r="L76" s="440">
        <f t="shared" si="35"/>
        <v>2029</v>
      </c>
      <c r="M76" s="440">
        <f t="shared" si="35"/>
        <v>2030</v>
      </c>
      <c r="N76" s="440">
        <f t="shared" si="35"/>
        <v>2031</v>
      </c>
      <c r="O76" s="440">
        <f t="shared" si="35"/>
        <v>2032</v>
      </c>
      <c r="P76" s="440">
        <f t="shared" si="35"/>
        <v>2033</v>
      </c>
      <c r="Q76" s="440">
        <f t="shared" si="35"/>
        <v>2034</v>
      </c>
      <c r="R76" s="440">
        <f t="shared" si="35"/>
        <v>2035</v>
      </c>
      <c r="S76" s="440">
        <f t="shared" si="35"/>
        <v>2036</v>
      </c>
      <c r="T76" s="440">
        <f t="shared" si="35"/>
        <v>2037</v>
      </c>
      <c r="U76" s="440">
        <f t="shared" si="35"/>
        <v>2038</v>
      </c>
      <c r="V76" s="440">
        <f t="shared" si="35"/>
        <v>2039</v>
      </c>
      <c r="W76" s="440">
        <f t="shared" si="35"/>
        <v>2040</v>
      </c>
      <c r="X76" s="440">
        <f t="shared" si="35"/>
        <v>2041</v>
      </c>
      <c r="Y76" s="440">
        <f t="shared" si="35"/>
        <v>2042</v>
      </c>
      <c r="Z76" s="440">
        <f t="shared" si="35"/>
        <v>2043</v>
      </c>
      <c r="AA76" s="440">
        <f t="shared" si="35"/>
        <v>2044</v>
      </c>
      <c r="AB76" s="440">
        <f t="shared" si="35"/>
        <v>2045</v>
      </c>
      <c r="AC76" s="440">
        <f t="shared" si="35"/>
        <v>2046</v>
      </c>
      <c r="AD76" s="440">
        <f t="shared" si="35"/>
        <v>2047</v>
      </c>
      <c r="AE76" s="440">
        <f t="shared" si="35"/>
        <v>2048</v>
      </c>
      <c r="AF76" s="440">
        <f t="shared" si="35"/>
        <v>2049</v>
      </c>
      <c r="AG76" s="440">
        <f t="shared" si="35"/>
        <v>2050</v>
      </c>
      <c r="AH76" s="440">
        <f t="shared" si="35"/>
        <v>2051</v>
      </c>
      <c r="AI76" s="440">
        <f t="shared" si="35"/>
        <v>2052</v>
      </c>
      <c r="AJ76" s="440">
        <f t="shared" si="35"/>
        <v>2053</v>
      </c>
      <c r="AK76" s="440">
        <f t="shared" si="35"/>
        <v>2054</v>
      </c>
      <c r="AL76" s="440">
        <f t="shared" si="35"/>
        <v>2055</v>
      </c>
    </row>
    <row r="77" spans="1:38" ht="13">
      <c r="B77" s="400" t="s">
        <v>639</v>
      </c>
      <c r="C77" s="401" t="s">
        <v>640</v>
      </c>
      <c r="D77" s="441">
        <f>'2000 South'!D6</f>
        <v>1170.2572699256787</v>
      </c>
      <c r="E77" s="441">
        <f>'2000 South'!E6</f>
        <v>1204.7729396586369</v>
      </c>
      <c r="F77" s="441">
        <f>'2000 South'!F6</f>
        <v>1240.3066175576032</v>
      </c>
      <c r="G77" s="441">
        <f>'2000 South'!G6</f>
        <v>1276.8883288439938</v>
      </c>
      <c r="H77" s="441">
        <f>'2000 South'!H6</f>
        <v>1314.5489843057178</v>
      </c>
      <c r="I77" s="441">
        <f>'2000 South'!I6</f>
        <v>1353.3204064161509</v>
      </c>
      <c r="J77" s="441">
        <f>'2000 South'!J6</f>
        <v>1393.2353562234694</v>
      </c>
      <c r="K77" s="441">
        <f>'2000 South'!K6</f>
        <v>1434.3275610330525</v>
      </c>
      <c r="L77" s="441">
        <f>'2000 South'!L6</f>
        <v>1476.6317429063604</v>
      </c>
      <c r="M77" s="441">
        <f>'2000 South'!M6</f>
        <v>1520.1836480003531</v>
      </c>
      <c r="N77" s="441">
        <f>'2000 South'!N6</f>
        <v>1565.0200767722558</v>
      </c>
      <c r="O77" s="441">
        <f>'2000 South'!O6</f>
        <v>1611.1789150751795</v>
      </c>
      <c r="P77" s="441">
        <f>'2000 South'!P6</f>
        <v>1658.6991661708832</v>
      </c>
      <c r="Q77" s="441">
        <f>'2000 South'!Q6</f>
        <v>1707.620983686722</v>
      </c>
      <c r="R77" s="441">
        <f>'2000 South'!R6</f>
        <v>1757.9857055446284</v>
      </c>
      <c r="S77" s="441">
        <f>'2000 South'!S6</f>
        <v>1809.8358888908033</v>
      </c>
      <c r="T77" s="441">
        <f>'2000 South'!T6</f>
        <v>1863.2153460556174</v>
      </c>
      <c r="U77" s="441">
        <f>'2000 South'!U6</f>
        <v>1918.1691815741262</v>
      </c>
      <c r="V77" s="441">
        <f>'2000 South'!V6</f>
        <v>1974.7438302984672</v>
      </c>
      <c r="W77" s="441">
        <f>'2000 South'!W6</f>
        <v>2032.9870966343453</v>
      </c>
      <c r="X77" s="441">
        <f>'2000 South'!X6</f>
        <v>2092.9481949347673</v>
      </c>
      <c r="Y77" s="441">
        <f>'2000 South'!Y6</f>
        <v>2154.6777910851483</v>
      </c>
      <c r="Z77" s="441">
        <f>'2000 South'!Z6</f>
        <v>2218.2280453149369</v>
      </c>
      <c r="AA77" s="441">
        <f>'2000 South'!AA6</f>
        <v>2283.6526562719264</v>
      </c>
      <c r="AB77" s="441">
        <f>'2000 South'!AB6</f>
        <v>2351.0069063965002</v>
      </c>
      <c r="AC77" s="441">
        <f>'2000 South'!AC6</f>
        <v>2420.3477086341472</v>
      </c>
      <c r="AD77" s="441">
        <f>'2000 South'!AD6</f>
        <v>2491.7336545257235</v>
      </c>
      <c r="AE77" s="441">
        <f>'2000 South'!AE6</f>
        <v>2565.2250637160887</v>
      </c>
      <c r="AF77" s="441">
        <f>'2000 South'!AF6</f>
        <v>2640.8840349229536</v>
      </c>
      <c r="AG77" s="441">
        <f>'2000 South'!AG6</f>
        <v>2718.7744984090141</v>
      </c>
      <c r="AH77" s="441">
        <f>'2000 South'!AH6</f>
        <v>2798.9622700016953</v>
      </c>
      <c r="AI77" s="441">
        <f>'2000 South'!AI6</f>
        <v>2881.5151067061624</v>
      </c>
      <c r="AJ77" s="441">
        <f>'2000 South'!AJ6</f>
        <v>2966.5027639585855</v>
      </c>
      <c r="AK77" s="441">
        <f>'2000 South'!AK6</f>
        <v>3053.997054568038</v>
      </c>
      <c r="AL77" s="441">
        <f>'2000 South'!AL6</f>
        <v>3144.0719093968332</v>
      </c>
    </row>
    <row r="78" spans="1:38" ht="13">
      <c r="B78" s="400" t="s">
        <v>641</v>
      </c>
      <c r="C78" s="401" t="s">
        <v>642</v>
      </c>
      <c r="D78" s="442">
        <f>'2000 South'!D37</f>
        <v>8.0848515288584082</v>
      </c>
      <c r="E78" s="442">
        <f>'2000 South'!E37</f>
        <v>8.1706030304605175</v>
      </c>
      <c r="F78" s="442">
        <f>'2000 South'!F37</f>
        <v>8.2572640503142321</v>
      </c>
      <c r="G78" s="442">
        <f>'2000 South'!G37</f>
        <v>8.3448442351713243</v>
      </c>
      <c r="H78" s="442">
        <f>'2000 South'!H37</f>
        <v>6.3250150005759522</v>
      </c>
      <c r="I78" s="442">
        <f>'2000 South'!I37</f>
        <v>6.3921008996823563</v>
      </c>
      <c r="J78" s="442">
        <f>'2000 South'!J37</f>
        <v>6.4598983414267632</v>
      </c>
      <c r="K78" s="442">
        <f>'2000 South'!K37</f>
        <v>6.5284148727442579</v>
      </c>
      <c r="L78" s="442">
        <f>'2000 South'!L37</f>
        <v>6.5976581206160478</v>
      </c>
      <c r="M78" s="442">
        <f>'2000 South'!M37</f>
        <v>6.6676357929184693</v>
      </c>
      <c r="N78" s="442">
        <f>'2000 South'!N37</f>
        <v>6.7383556792809909</v>
      </c>
      <c r="O78" s="442">
        <f>'2000 South'!O37</f>
        <v>6.8098256519533322</v>
      </c>
      <c r="P78" s="442">
        <f>'2000 South'!P37</f>
        <v>6.8820536666817631</v>
      </c>
      <c r="Q78" s="442">
        <f>'2000 South'!Q37</f>
        <v>6.9550477635947088</v>
      </c>
      <c r="R78" s="442">
        <f>'2000 South'!R37</f>
        <v>7.0288160680977398</v>
      </c>
      <c r="S78" s="442">
        <f>'2000 South'!S37</f>
        <v>7.1033667917780718</v>
      </c>
      <c r="T78" s="442">
        <f>'2000 South'!T37</f>
        <v>7.1787082333186234</v>
      </c>
      <c r="U78" s="442">
        <f>'2000 South'!U37</f>
        <v>7.2548487794218142</v>
      </c>
      <c r="V78" s="442">
        <f>'2000 South'!V37</f>
        <v>7.3317969057431265</v>
      </c>
      <c r="W78" s="442">
        <f>'2000 South'!W37</f>
        <v>7.4095611778345836</v>
      </c>
      <c r="X78" s="442">
        <f>'2000 South'!X37</f>
        <v>7.4881502520982295</v>
      </c>
      <c r="Y78" s="442">
        <f>'2000 South'!Y37</f>
        <v>7.5675728767497308</v>
      </c>
      <c r="Z78" s="442">
        <f>'2000 South'!Z37</f>
        <v>7.6478378927921851</v>
      </c>
      <c r="AA78" s="442">
        <f>'2000 South'!AA37</f>
        <v>7.7289542350002716</v>
      </c>
      <c r="AB78" s="442">
        <f>'2000 South'!AB37</f>
        <v>7.8109309329148253</v>
      </c>
      <c r="AC78" s="442">
        <f>'2000 South'!AC37</f>
        <v>7.8937771118479834</v>
      </c>
      <c r="AD78" s="442">
        <f>'2000 South'!AD37</f>
        <v>7.9775019938989598</v>
      </c>
      <c r="AE78" s="442">
        <f>'2000 South'!AE37</f>
        <v>8.0621148989806244</v>
      </c>
      <c r="AF78" s="442">
        <f>'2000 South'!AF37</f>
        <v>8.1476252458569576</v>
      </c>
      <c r="AG78" s="442">
        <f>'2000 South'!AG37</f>
        <v>8.2340425531914985</v>
      </c>
      <c r="AH78" s="442">
        <f>'2000 South'!AH37</f>
        <v>8.3213764406069348</v>
      </c>
      <c r="AI78" s="442">
        <f>'2000 South'!AI37</f>
        <v>8.4096366297559157</v>
      </c>
      <c r="AJ78" s="442">
        <f>'2000 South'!AJ37</f>
        <v>8.4988329454032225</v>
      </c>
      <c r="AK78" s="442">
        <f>'2000 South'!AK37</f>
        <v>8.5889753165194307</v>
      </c>
      <c r="AL78" s="442">
        <f>'2000 South'!AL37</f>
        <v>8.6800737773861574</v>
      </c>
    </row>
    <row r="79" spans="1:38" ht="13">
      <c r="B79" s="400" t="s">
        <v>643</v>
      </c>
      <c r="C79" s="401" t="s">
        <v>644</v>
      </c>
      <c r="D79" s="442">
        <f>'2000 South'!D37</f>
        <v>8.0848515288584082</v>
      </c>
      <c r="E79" s="442">
        <f>'2000 South'!E37</f>
        <v>8.1706030304605175</v>
      </c>
      <c r="F79" s="442">
        <f>'2000 South'!F37</f>
        <v>8.2572640503142321</v>
      </c>
      <c r="G79" s="442">
        <f>'2000 South'!G37</f>
        <v>8.3448442351713243</v>
      </c>
      <c r="H79" s="442">
        <f>'2000 South'!H37</f>
        <v>6.3250150005759522</v>
      </c>
      <c r="I79" s="442">
        <f>'2000 South'!I37</f>
        <v>6.3921008996823563</v>
      </c>
      <c r="J79" s="442">
        <f>'2000 South'!J37</f>
        <v>6.4598983414267632</v>
      </c>
      <c r="K79" s="442">
        <f>'2000 South'!K37</f>
        <v>6.5284148727442579</v>
      </c>
      <c r="L79" s="442">
        <f>'2000 South'!L37</f>
        <v>6.5976581206160478</v>
      </c>
      <c r="M79" s="442">
        <f>'2000 South'!M37</f>
        <v>6.6676357929184693</v>
      </c>
      <c r="N79" s="442">
        <f>'2000 South'!N37</f>
        <v>6.7383556792809909</v>
      </c>
      <c r="O79" s="442">
        <f>'2000 South'!O37</f>
        <v>6.8098256519533322</v>
      </c>
      <c r="P79" s="442">
        <f>'2000 South'!P37</f>
        <v>6.8820536666817631</v>
      </c>
      <c r="Q79" s="442">
        <f>'2000 South'!Q37</f>
        <v>6.9550477635947088</v>
      </c>
      <c r="R79" s="442">
        <f>'2000 South'!R37</f>
        <v>7.0288160680977398</v>
      </c>
      <c r="S79" s="442">
        <f>'2000 South'!S37</f>
        <v>7.1033667917780718</v>
      </c>
      <c r="T79" s="442">
        <f>'2000 South'!T37</f>
        <v>7.1787082333186234</v>
      </c>
      <c r="U79" s="442">
        <f>'2000 South'!U37</f>
        <v>7.2548487794218142</v>
      </c>
      <c r="V79" s="442">
        <f>'2000 South'!V37</f>
        <v>7.3317969057431265</v>
      </c>
      <c r="W79" s="442">
        <f>'2000 South'!W37</f>
        <v>7.4095611778345836</v>
      </c>
      <c r="X79" s="442">
        <f>'2000 South'!X37</f>
        <v>7.4881502520982295</v>
      </c>
      <c r="Y79" s="442">
        <f>'2000 South'!Y37</f>
        <v>7.5675728767497308</v>
      </c>
      <c r="Z79" s="442">
        <f>'2000 South'!Z37</f>
        <v>7.6478378927921851</v>
      </c>
      <c r="AA79" s="442">
        <f>'2000 South'!AA37</f>
        <v>7.7289542350002716</v>
      </c>
      <c r="AB79" s="442">
        <f>'2000 South'!AB37</f>
        <v>7.8109309329148253</v>
      </c>
      <c r="AC79" s="442">
        <f>'2000 South'!AC37</f>
        <v>7.8937771118479834</v>
      </c>
      <c r="AD79" s="442">
        <f>'2000 South'!AD37</f>
        <v>7.9775019938989598</v>
      </c>
      <c r="AE79" s="442">
        <f>'2000 South'!AE37</f>
        <v>8.0621148989806244</v>
      </c>
      <c r="AF79" s="442">
        <f>'2000 South'!AF37</f>
        <v>8.1476252458569576</v>
      </c>
      <c r="AG79" s="442">
        <f>'2000 South'!AG37</f>
        <v>8.2340425531914985</v>
      </c>
      <c r="AH79" s="442">
        <f>'2000 South'!AH37</f>
        <v>8.3213764406069348</v>
      </c>
      <c r="AI79" s="442">
        <f>'2000 South'!AI37</f>
        <v>8.4096366297559157</v>
      </c>
      <c r="AJ79" s="442">
        <f>'2000 South'!AJ37</f>
        <v>8.4988329454032225</v>
      </c>
      <c r="AK79" s="442">
        <f>'2000 South'!AK37</f>
        <v>8.5889753165194307</v>
      </c>
      <c r="AL79" s="442">
        <f>'2000 South'!AL37</f>
        <v>8.6800737773861574</v>
      </c>
    </row>
    <row r="80" spans="1:38" ht="13">
      <c r="B80" s="400" t="s">
        <v>645</v>
      </c>
      <c r="C80" s="401" t="s">
        <v>646</v>
      </c>
      <c r="D80" s="442">
        <f>'2000 South'!D38</f>
        <v>4.0424257644292041</v>
      </c>
      <c r="E80" s="442">
        <f>'2000 South'!E38</f>
        <v>4.0853015152302588</v>
      </c>
      <c r="F80" s="442">
        <f>'2000 South'!F38</f>
        <v>4.128632025157116</v>
      </c>
      <c r="G80" s="442">
        <f>'2000 South'!G38</f>
        <v>4.1724221175856622</v>
      </c>
      <c r="H80" s="442">
        <f>'2000 South'!H38</f>
        <v>3.1625075002879761</v>
      </c>
      <c r="I80" s="442">
        <f>'2000 South'!I38</f>
        <v>3.1960504498411781</v>
      </c>
      <c r="J80" s="442">
        <f>'2000 South'!J38</f>
        <v>3.2299491707133816</v>
      </c>
      <c r="K80" s="442">
        <f>'2000 South'!K38</f>
        <v>3.264207436372129</v>
      </c>
      <c r="L80" s="442">
        <f>'2000 South'!L38</f>
        <v>3.2988290603080239</v>
      </c>
      <c r="M80" s="442">
        <f>'2000 South'!M38</f>
        <v>3.3338178964592347</v>
      </c>
      <c r="N80" s="442">
        <f>'2000 South'!N38</f>
        <v>3.3691778396404954</v>
      </c>
      <c r="O80" s="442">
        <f>'2000 South'!O38</f>
        <v>3.4049128259766661</v>
      </c>
      <c r="P80" s="442">
        <f>'2000 South'!P38</f>
        <v>3.4410268333408816</v>
      </c>
      <c r="Q80" s="442">
        <f>'2000 South'!Q38</f>
        <v>3.4775238817973544</v>
      </c>
      <c r="R80" s="442">
        <f>'2000 South'!R38</f>
        <v>3.5144080340488699</v>
      </c>
      <c r="S80" s="442">
        <f>'2000 South'!S38</f>
        <v>3.5516833958890359</v>
      </c>
      <c r="T80" s="442">
        <f>'2000 South'!T38</f>
        <v>3.5893541166593117</v>
      </c>
      <c r="U80" s="442">
        <f>'2000 South'!U38</f>
        <v>3.6274243897109071</v>
      </c>
      <c r="V80" s="442">
        <f>'2000 South'!V38</f>
        <v>3.6658984528715632</v>
      </c>
      <c r="W80" s="442">
        <f>'2000 South'!W38</f>
        <v>3.7047805889172918</v>
      </c>
      <c r="X80" s="442">
        <f>'2000 South'!X38</f>
        <v>3.7440751260491147</v>
      </c>
      <c r="Y80" s="442">
        <f>'2000 South'!Y38</f>
        <v>3.7837864383748654</v>
      </c>
      <c r="Z80" s="442">
        <f>'2000 South'!Z38</f>
        <v>3.8239189463960925</v>
      </c>
      <c r="AA80" s="442">
        <f>'2000 South'!AA38</f>
        <v>3.8644771175001358</v>
      </c>
      <c r="AB80" s="442">
        <f>'2000 South'!AB38</f>
        <v>3.9054654664574127</v>
      </c>
      <c r="AC80" s="442">
        <f>'2000 South'!AC38</f>
        <v>3.9468885559239917</v>
      </c>
      <c r="AD80" s="442">
        <f>'2000 South'!AD38</f>
        <v>3.9887509969494799</v>
      </c>
      <c r="AE80" s="442">
        <f>'2000 South'!AE38</f>
        <v>4.0310574494903122</v>
      </c>
      <c r="AF80" s="442">
        <f>'2000 South'!AF38</f>
        <v>4.0738126229284788</v>
      </c>
      <c r="AG80" s="442">
        <f>'2000 South'!AG38</f>
        <v>4.1170212765957492</v>
      </c>
      <c r="AH80" s="442">
        <f>'2000 South'!AH38</f>
        <v>4.1606882203034674</v>
      </c>
      <c r="AI80" s="442">
        <f>'2000 South'!AI38</f>
        <v>4.2048183148779579</v>
      </c>
      <c r="AJ80" s="442">
        <f>'2000 South'!AJ38</f>
        <v>4.2494164727016113</v>
      </c>
      <c r="AK80" s="442">
        <f>'2000 South'!AK38</f>
        <v>4.2944876582597153</v>
      </c>
      <c r="AL80" s="442">
        <f>'2000 South'!AL38</f>
        <v>4.3400368886930787</v>
      </c>
    </row>
    <row r="81" spans="2:38" ht="13">
      <c r="B81" s="400" t="s">
        <v>1048</v>
      </c>
      <c r="C81" s="401" t="s">
        <v>647</v>
      </c>
      <c r="D81" s="442">
        <v>0</v>
      </c>
      <c r="E81" s="442">
        <v>0</v>
      </c>
      <c r="F81" s="442">
        <v>0</v>
      </c>
      <c r="G81" s="442">
        <v>0</v>
      </c>
      <c r="H81" s="442">
        <v>0</v>
      </c>
      <c r="I81" s="442">
        <v>0</v>
      </c>
      <c r="J81" s="442">
        <v>0</v>
      </c>
      <c r="K81" s="442">
        <v>0</v>
      </c>
      <c r="L81" s="442">
        <v>0</v>
      </c>
      <c r="M81" s="442">
        <v>0</v>
      </c>
      <c r="N81" s="442">
        <v>0</v>
      </c>
      <c r="O81" s="442">
        <v>0</v>
      </c>
      <c r="P81" s="442">
        <v>0</v>
      </c>
      <c r="Q81" s="442">
        <v>0</v>
      </c>
      <c r="R81" s="442">
        <v>0</v>
      </c>
      <c r="S81" s="442">
        <v>0</v>
      </c>
      <c r="T81" s="442">
        <v>0</v>
      </c>
      <c r="U81" s="442">
        <v>0</v>
      </c>
      <c r="V81" s="442">
        <v>0</v>
      </c>
      <c r="W81" s="442">
        <v>0</v>
      </c>
      <c r="X81" s="442">
        <v>0</v>
      </c>
      <c r="Y81" s="442">
        <v>0</v>
      </c>
      <c r="Z81" s="442">
        <v>0</v>
      </c>
      <c r="AA81" s="442">
        <v>0</v>
      </c>
      <c r="AB81" s="442">
        <v>0</v>
      </c>
      <c r="AC81" s="442">
        <v>0</v>
      </c>
      <c r="AD81" s="442">
        <v>0</v>
      </c>
      <c r="AE81" s="442">
        <v>0</v>
      </c>
      <c r="AF81" s="442">
        <v>0</v>
      </c>
      <c r="AG81" s="442">
        <v>0</v>
      </c>
      <c r="AH81" s="442">
        <v>0</v>
      </c>
      <c r="AI81" s="442">
        <v>0</v>
      </c>
      <c r="AJ81" s="442">
        <v>0</v>
      </c>
      <c r="AK81" s="442">
        <v>0</v>
      </c>
      <c r="AL81" s="442">
        <v>0</v>
      </c>
    </row>
    <row r="82" spans="2:38" ht="13">
      <c r="B82" s="400" t="s">
        <v>648</v>
      </c>
      <c r="C82" s="401" t="s">
        <v>649</v>
      </c>
      <c r="D82" s="441">
        <f>'Crossing Inputs'!$H34</f>
        <v>7.5</v>
      </c>
      <c r="E82" s="441">
        <f>'Crossing Inputs'!$H34</f>
        <v>7.5</v>
      </c>
      <c r="F82" s="441">
        <f>'Crossing Inputs'!$H34</f>
        <v>7.5</v>
      </c>
      <c r="G82" s="441">
        <f>'Crossing Inputs'!$H34</f>
        <v>7.5</v>
      </c>
      <c r="H82" s="441">
        <f>'Crossing Inputs'!$H34</f>
        <v>7.5</v>
      </c>
      <c r="I82" s="441">
        <f>'Crossing Inputs'!$H34</f>
        <v>7.5</v>
      </c>
      <c r="J82" s="441">
        <f>'Crossing Inputs'!$H34</f>
        <v>7.5</v>
      </c>
      <c r="K82" s="441">
        <f>'Crossing Inputs'!$H34</f>
        <v>7.5</v>
      </c>
      <c r="L82" s="441">
        <f>'Crossing Inputs'!$H34</f>
        <v>7.5</v>
      </c>
      <c r="M82" s="441">
        <f>'Crossing Inputs'!$H34</f>
        <v>7.5</v>
      </c>
      <c r="N82" s="441">
        <f>'Crossing Inputs'!$H34</f>
        <v>7.5</v>
      </c>
      <c r="O82" s="441">
        <f>'Crossing Inputs'!$H34</f>
        <v>7.5</v>
      </c>
      <c r="P82" s="441">
        <f>'Crossing Inputs'!$H34</f>
        <v>7.5</v>
      </c>
      <c r="Q82" s="441">
        <f>'Crossing Inputs'!$H34</f>
        <v>7.5</v>
      </c>
      <c r="R82" s="441">
        <f>'Crossing Inputs'!$H34</f>
        <v>7.5</v>
      </c>
      <c r="S82" s="441">
        <f>'Crossing Inputs'!$H34</f>
        <v>7.5</v>
      </c>
      <c r="T82" s="441">
        <f>'Crossing Inputs'!$H34</f>
        <v>7.5</v>
      </c>
      <c r="U82" s="441">
        <f>'Crossing Inputs'!$H34</f>
        <v>7.5</v>
      </c>
      <c r="V82" s="441">
        <f>'Crossing Inputs'!$H34</f>
        <v>7.5</v>
      </c>
      <c r="W82" s="441">
        <f>'Crossing Inputs'!$H34</f>
        <v>7.5</v>
      </c>
      <c r="X82" s="441">
        <f>'Crossing Inputs'!$H34</f>
        <v>7.5</v>
      </c>
      <c r="Y82" s="441">
        <f>'Crossing Inputs'!$H34</f>
        <v>7.5</v>
      </c>
      <c r="Z82" s="441">
        <f>'Crossing Inputs'!$H34</f>
        <v>7.5</v>
      </c>
      <c r="AA82" s="441">
        <f>'Crossing Inputs'!$H34</f>
        <v>7.5</v>
      </c>
      <c r="AB82" s="441">
        <f>'Crossing Inputs'!$H34</f>
        <v>7.5</v>
      </c>
      <c r="AC82" s="441">
        <f>'Crossing Inputs'!$H34</f>
        <v>7.5</v>
      </c>
      <c r="AD82" s="441">
        <f>'Crossing Inputs'!$H34</f>
        <v>7.5</v>
      </c>
      <c r="AE82" s="441">
        <f>'Crossing Inputs'!$H34</f>
        <v>7.5</v>
      </c>
      <c r="AF82" s="441">
        <f>'Crossing Inputs'!$H34</f>
        <v>7.5</v>
      </c>
      <c r="AG82" s="441">
        <f>'Crossing Inputs'!$H34</f>
        <v>7.5</v>
      </c>
      <c r="AH82" s="441">
        <f>'Crossing Inputs'!$H34</f>
        <v>7.5</v>
      </c>
      <c r="AI82" s="441">
        <f>'Crossing Inputs'!$H34</f>
        <v>7.5</v>
      </c>
      <c r="AJ82" s="441">
        <f>'Crossing Inputs'!$H34</f>
        <v>7.5</v>
      </c>
      <c r="AK82" s="441">
        <f>'Crossing Inputs'!$H34</f>
        <v>7.5</v>
      </c>
      <c r="AL82" s="441">
        <f>'Crossing Inputs'!$H34</f>
        <v>7.5</v>
      </c>
    </row>
    <row r="83" spans="2:38" ht="13">
      <c r="B83" s="400"/>
      <c r="C83" s="403"/>
      <c r="D83" s="402"/>
      <c r="E83" s="402"/>
      <c r="F83" s="402"/>
      <c r="G83" s="402"/>
      <c r="H83" s="123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row>
    <row r="84" spans="2:38" ht="13">
      <c r="B84" s="400"/>
      <c r="C84" s="404"/>
      <c r="D84" s="440">
        <f>D$1</f>
        <v>2021</v>
      </c>
      <c r="E84" s="440">
        <f t="shared" ref="E84:AL84" si="36">E$1</f>
        <v>2022</v>
      </c>
      <c r="F84" s="440">
        <f t="shared" si="36"/>
        <v>2023</v>
      </c>
      <c r="G84" s="440">
        <f t="shared" si="36"/>
        <v>2024</v>
      </c>
      <c r="H84" s="440">
        <f t="shared" si="36"/>
        <v>2025</v>
      </c>
      <c r="I84" s="440">
        <f t="shared" si="36"/>
        <v>2026</v>
      </c>
      <c r="J84" s="440">
        <f t="shared" si="36"/>
        <v>2027</v>
      </c>
      <c r="K84" s="440">
        <f t="shared" si="36"/>
        <v>2028</v>
      </c>
      <c r="L84" s="440">
        <f t="shared" si="36"/>
        <v>2029</v>
      </c>
      <c r="M84" s="440">
        <f t="shared" si="36"/>
        <v>2030</v>
      </c>
      <c r="N84" s="440">
        <f t="shared" si="36"/>
        <v>2031</v>
      </c>
      <c r="O84" s="440">
        <f t="shared" si="36"/>
        <v>2032</v>
      </c>
      <c r="P84" s="440">
        <f t="shared" si="36"/>
        <v>2033</v>
      </c>
      <c r="Q84" s="440">
        <f t="shared" si="36"/>
        <v>2034</v>
      </c>
      <c r="R84" s="440">
        <f t="shared" si="36"/>
        <v>2035</v>
      </c>
      <c r="S84" s="440">
        <f t="shared" si="36"/>
        <v>2036</v>
      </c>
      <c r="T84" s="440">
        <f t="shared" si="36"/>
        <v>2037</v>
      </c>
      <c r="U84" s="440">
        <f t="shared" si="36"/>
        <v>2038</v>
      </c>
      <c r="V84" s="440">
        <f t="shared" si="36"/>
        <v>2039</v>
      </c>
      <c r="W84" s="440">
        <f t="shared" si="36"/>
        <v>2040</v>
      </c>
      <c r="X84" s="440">
        <f t="shared" si="36"/>
        <v>2041</v>
      </c>
      <c r="Y84" s="440">
        <f t="shared" si="36"/>
        <v>2042</v>
      </c>
      <c r="Z84" s="440">
        <f t="shared" si="36"/>
        <v>2043</v>
      </c>
      <c r="AA84" s="440">
        <f t="shared" si="36"/>
        <v>2044</v>
      </c>
      <c r="AB84" s="440">
        <f t="shared" si="36"/>
        <v>2045</v>
      </c>
      <c r="AC84" s="440">
        <f t="shared" si="36"/>
        <v>2046</v>
      </c>
      <c r="AD84" s="440">
        <f t="shared" si="36"/>
        <v>2047</v>
      </c>
      <c r="AE84" s="440">
        <f t="shared" si="36"/>
        <v>2048</v>
      </c>
      <c r="AF84" s="440">
        <f t="shared" si="36"/>
        <v>2049</v>
      </c>
      <c r="AG84" s="440">
        <f t="shared" si="36"/>
        <v>2050</v>
      </c>
      <c r="AH84" s="440">
        <f t="shared" si="36"/>
        <v>2051</v>
      </c>
      <c r="AI84" s="440">
        <f t="shared" si="36"/>
        <v>2052</v>
      </c>
      <c r="AJ84" s="440">
        <f t="shared" si="36"/>
        <v>2053</v>
      </c>
      <c r="AK84" s="440">
        <f t="shared" si="36"/>
        <v>2054</v>
      </c>
      <c r="AL84" s="440">
        <f t="shared" si="36"/>
        <v>2055</v>
      </c>
    </row>
    <row r="85" spans="2:38" ht="13">
      <c r="B85" s="400" t="s">
        <v>354</v>
      </c>
      <c r="C85" s="404"/>
      <c r="D85" s="405">
        <f t="shared" ref="D85:AL85" si="37">D$118</f>
        <v>0.14424767881332129</v>
      </c>
      <c r="E85" s="405">
        <f t="shared" si="37"/>
        <v>0.14601413197947463</v>
      </c>
      <c r="F85" s="405">
        <f t="shared" si="37"/>
        <v>0.14780225288062906</v>
      </c>
      <c r="G85" s="405">
        <f t="shared" si="37"/>
        <v>0.14961230734959785</v>
      </c>
      <c r="H85" s="1240">
        <f t="shared" si="37"/>
        <v>0.13733895314169156</v>
      </c>
      <c r="I85" s="405">
        <f t="shared" si="37"/>
        <v>0.13901995114034069</v>
      </c>
      <c r="J85" s="405">
        <f t="shared" si="37"/>
        <v>0.14072156649043061</v>
      </c>
      <c r="K85" s="405">
        <f t="shared" si="37"/>
        <v>0.14244405213734129</v>
      </c>
      <c r="L85" s="405">
        <f t="shared" si="37"/>
        <v>0.14418766413068809</v>
      </c>
      <c r="M85" s="405">
        <f t="shared" si="37"/>
        <v>0.14595266166238965</v>
      </c>
      <c r="N85" s="405">
        <f t="shared" si="37"/>
        <v>0.14773930710520269</v>
      </c>
      <c r="O85" s="405">
        <f t="shared" si="37"/>
        <v>0.14954786605173123</v>
      </c>
      <c r="P85" s="405">
        <f t="shared" si="37"/>
        <v>0.15137860735391345</v>
      </c>
      <c r="Q85" s="405">
        <f t="shared" si="37"/>
        <v>0.15323180316299506</v>
      </c>
      <c r="R85" s="405">
        <f t="shared" si="37"/>
        <v>0.15510772896999264</v>
      </c>
      <c r="S85" s="405">
        <f t="shared" si="37"/>
        <v>0.15700666364665467</v>
      </c>
      <c r="T85" s="405">
        <f t="shared" si="37"/>
        <v>0.15892888948692493</v>
      </c>
      <c r="U85" s="405">
        <f t="shared" si="37"/>
        <v>0.16087469224891585</v>
      </c>
      <c r="V85" s="405">
        <f t="shared" si="37"/>
        <v>0.16284436119739656</v>
      </c>
      <c r="W85" s="405">
        <f t="shared" si="37"/>
        <v>0.1648381891468034</v>
      </c>
      <c r="X85" s="405">
        <f t="shared" si="37"/>
        <v>0.16685647250477806</v>
      </c>
      <c r="Y85" s="405">
        <f t="shared" si="37"/>
        <v>0.16889951131624092</v>
      </c>
      <c r="Z85" s="405">
        <f t="shared" si="37"/>
        <v>0.17096760930800484</v>
      </c>
      <c r="AA85" s="405">
        <f t="shared" si="37"/>
        <v>0.17306107393393724</v>
      </c>
      <c r="AB85" s="405">
        <f t="shared" si="37"/>
        <v>0.17518021642067685</v>
      </c>
      <c r="AC85" s="405">
        <f t="shared" si="37"/>
        <v>0.17732535181391135</v>
      </c>
      <c r="AD85" s="405">
        <f t="shared" si="37"/>
        <v>0.17949679902522328</v>
      </c>
      <c r="AE85" s="405">
        <f t="shared" si="37"/>
        <v>0.18169488087951124</v>
      </c>
      <c r="AF85" s="405">
        <f t="shared" si="37"/>
        <v>0.18391992416299338</v>
      </c>
      <c r="AG85" s="405">
        <f t="shared" si="37"/>
        <v>0.18617225967180004</v>
      </c>
      <c r="AH85" s="405">
        <f t="shared" si="37"/>
        <v>0.18845222226116259</v>
      </c>
      <c r="AI85" s="405">
        <f t="shared" si="37"/>
        <v>0.19076015089520731</v>
      </c>
      <c r="AJ85" s="405">
        <f t="shared" si="37"/>
        <v>0.19309638869735851</v>
      </c>
      <c r="AK85" s="405">
        <f t="shared" si="37"/>
        <v>0.19546128300136331</v>
      </c>
      <c r="AL85" s="405">
        <f t="shared" si="37"/>
        <v>0.19785518540293962</v>
      </c>
    </row>
    <row r="86" spans="2:38" ht="13">
      <c r="B86" s="400" t="s">
        <v>650</v>
      </c>
      <c r="C86" s="404"/>
      <c r="D86" s="405">
        <f t="shared" ref="D86:AL86" si="38">D$85*D$126</f>
        <v>1.8531244597511448E-3</v>
      </c>
      <c r="E86" s="405">
        <f t="shared" si="38"/>
        <v>1.877601731522261E-3</v>
      </c>
      <c r="F86" s="405">
        <f t="shared" si="38"/>
        <v>1.9024048350447574E-3</v>
      </c>
      <c r="G86" s="405">
        <f t="shared" si="38"/>
        <v>1.9275381182695612E-3</v>
      </c>
      <c r="H86" s="1240">
        <f t="shared" si="38"/>
        <v>1.7711021764136149E-3</v>
      </c>
      <c r="I86" s="405">
        <f t="shared" si="38"/>
        <v>1.7944927312636666E-3</v>
      </c>
      <c r="J86" s="405">
        <f t="shared" si="38"/>
        <v>1.8181946495516184E-3</v>
      </c>
      <c r="K86" s="405">
        <f t="shared" si="38"/>
        <v>1.8422120860792342E-3</v>
      </c>
      <c r="L86" s="405">
        <f t="shared" si="38"/>
        <v>1.8665492511063368E-3</v>
      </c>
      <c r="M86" s="405">
        <f t="shared" si="38"/>
        <v>1.8912104110906354E-3</v>
      </c>
      <c r="N86" s="405">
        <f t="shared" si="38"/>
        <v>1.9161998894374299E-3</v>
      </c>
      <c r="O86" s="405">
        <f t="shared" si="38"/>
        <v>1.9415220672593383E-3</v>
      </c>
      <c r="P86" s="405">
        <f t="shared" si="38"/>
        <v>1.9671813841461495E-3</v>
      </c>
      <c r="Q86" s="405">
        <f t="shared" si="38"/>
        <v>1.9931823389449758E-3</v>
      </c>
      <c r="R86" s="405">
        <f t="shared" si="38"/>
        <v>2.0195294905508091E-3</v>
      </c>
      <c r="S86" s="405">
        <f t="shared" si="38"/>
        <v>2.0462274587076429E-3</v>
      </c>
      <c r="T86" s="405">
        <f t="shared" si="38"/>
        <v>2.0732809248202814E-3</v>
      </c>
      <c r="U86" s="405">
        <f t="shared" si="38"/>
        <v>2.1006946327769985E-3</v>
      </c>
      <c r="V86" s="405">
        <f t="shared" si="38"/>
        <v>2.1284733897831711E-3</v>
      </c>
      <c r="W86" s="405">
        <f t="shared" si="38"/>
        <v>2.1566220672060462E-3</v>
      </c>
      <c r="X86" s="405">
        <f t="shared" si="38"/>
        <v>2.1851456014307905E-3</v>
      </c>
      <c r="Y86" s="405">
        <f t="shared" si="38"/>
        <v>2.2140489947279664E-3</v>
      </c>
      <c r="Z86" s="405">
        <f t="shared" si="38"/>
        <v>2.2433373161325799E-3</v>
      </c>
      <c r="AA86" s="405">
        <f t="shared" si="38"/>
        <v>2.273015702334881E-3</v>
      </c>
      <c r="AB86" s="405">
        <f t="shared" si="38"/>
        <v>2.3030893585830482E-3</v>
      </c>
      <c r="AC86" s="405">
        <f t="shared" si="38"/>
        <v>2.3335635595979174E-3</v>
      </c>
      <c r="AD86" s="405">
        <f t="shared" si="38"/>
        <v>2.3644436504999338E-3</v>
      </c>
      <c r="AE86" s="405">
        <f t="shared" si="38"/>
        <v>2.3957350477484675E-3</v>
      </c>
      <c r="AF86" s="405">
        <f t="shared" si="38"/>
        <v>2.4274432400936763E-3</v>
      </c>
      <c r="AG86" s="405">
        <f t="shared" si="38"/>
        <v>2.4595737895410732E-3</v>
      </c>
      <c r="AH86" s="405">
        <f t="shared" si="38"/>
        <v>2.4921323323289614E-3</v>
      </c>
      <c r="AI86" s="405">
        <f t="shared" si="38"/>
        <v>2.5251245799189329E-3</v>
      </c>
      <c r="AJ86" s="405">
        <f t="shared" si="38"/>
        <v>2.5585563199995646E-3</v>
      </c>
      <c r="AK86" s="405">
        <f t="shared" si="38"/>
        <v>2.5924334175035468E-3</v>
      </c>
      <c r="AL86" s="405">
        <f t="shared" si="38"/>
        <v>2.6267618156383503E-3</v>
      </c>
    </row>
    <row r="87" spans="2:38" ht="13">
      <c r="B87" s="400" t="s">
        <v>651</v>
      </c>
      <c r="C87" s="404"/>
      <c r="D87" s="405">
        <f t="shared" ref="D87:AL87" si="39">D$85*D$135</f>
        <v>2.5536008391599339E-2</v>
      </c>
      <c r="E87" s="405">
        <f t="shared" si="39"/>
        <v>2.5848401735985637E-2</v>
      </c>
      <c r="F87" s="405">
        <f t="shared" si="39"/>
        <v>2.6164622382777926E-2</v>
      </c>
      <c r="G87" s="405">
        <f t="shared" si="39"/>
        <v>2.648471722477817E-2</v>
      </c>
      <c r="H87" s="1240">
        <f t="shared" si="39"/>
        <v>2.4311756833653306E-2</v>
      </c>
      <c r="I87" s="405">
        <f t="shared" si="39"/>
        <v>2.4609020150968986E-2</v>
      </c>
      <c r="J87" s="405">
        <f t="shared" si="39"/>
        <v>2.4909924997150685E-2</v>
      </c>
      <c r="K87" s="405">
        <f t="shared" si="39"/>
        <v>2.5214515988499362E-2</v>
      </c>
      <c r="L87" s="405">
        <f t="shared" si="39"/>
        <v>2.5522838288061629E-2</v>
      </c>
      <c r="M87" s="405">
        <f t="shared" si="39"/>
        <v>2.5834937612323909E-2</v>
      </c>
      <c r="N87" s="405">
        <f t="shared" si="39"/>
        <v>2.6150860237988512E-2</v>
      </c>
      <c r="O87" s="405">
        <f t="shared" si="39"/>
        <v>2.6470653008833049E-2</v>
      </c>
      <c r="P87" s="405">
        <f t="shared" si="39"/>
        <v>2.6794363342653636E-2</v>
      </c>
      <c r="Q87" s="405">
        <f t="shared" si="39"/>
        <v>2.7122039238293552E-2</v>
      </c>
      <c r="R87" s="405">
        <f t="shared" si="39"/>
        <v>2.7453729282757827E-2</v>
      </c>
      <c r="S87" s="405">
        <f t="shared" si="39"/>
        <v>2.7789482658415271E-2</v>
      </c>
      <c r="T87" s="405">
        <f t="shared" si="39"/>
        <v>2.8129349150288623E-2</v>
      </c>
      <c r="U87" s="405">
        <f t="shared" si="39"/>
        <v>2.8473379153434182E-2</v>
      </c>
      <c r="V87" s="405">
        <f t="shared" si="39"/>
        <v>2.8821623680411877E-2</v>
      </c>
      <c r="W87" s="405">
        <f t="shared" si="39"/>
        <v>2.9174134368846895E-2</v>
      </c>
      <c r="X87" s="405">
        <f t="shared" si="39"/>
        <v>2.9530963489084048E-2</v>
      </c>
      <c r="Y87" s="405">
        <f t="shared" si="39"/>
        <v>2.9892163951935922E-2</v>
      </c>
      <c r="Z87" s="405">
        <f t="shared" si="39"/>
        <v>3.0257789316526028E-2</v>
      </c>
      <c r="AA87" s="405">
        <f t="shared" si="39"/>
        <v>3.0627893798228025E-2</v>
      </c>
      <c r="AB87" s="405">
        <f t="shared" si="39"/>
        <v>3.10025322767024E-2</v>
      </c>
      <c r="AC87" s="405">
        <f t="shared" si="39"/>
        <v>3.1381760304031489E-2</v>
      </c>
      <c r="AD87" s="405">
        <f t="shared" si="39"/>
        <v>3.1765634112954286E-2</v>
      </c>
      <c r="AE87" s="405">
        <f t="shared" si="39"/>
        <v>3.2154210625202136E-2</v>
      </c>
      <c r="AF87" s="405">
        <f t="shared" si="39"/>
        <v>3.2547547459936627E-2</v>
      </c>
      <c r="AG87" s="405">
        <f t="shared" si="39"/>
        <v>3.2945702942290905E-2</v>
      </c>
      <c r="AH87" s="405">
        <f t="shared" si="39"/>
        <v>3.3348736112015526E-2</v>
      </c>
      <c r="AI87" s="405">
        <f t="shared" si="39"/>
        <v>3.3756706732230517E-2</v>
      </c>
      <c r="AJ87" s="405">
        <f t="shared" si="39"/>
        <v>3.416967529828429E-2</v>
      </c>
      <c r="AK87" s="405">
        <f t="shared" si="39"/>
        <v>3.4587703046721673E-2</v>
      </c>
      <c r="AL87" s="405">
        <f t="shared" si="39"/>
        <v>3.5010851964361239E-2</v>
      </c>
    </row>
    <row r="88" spans="2:38">
      <c r="H88" s="1228"/>
    </row>
    <row r="89" spans="2:38" ht="13">
      <c r="B89" s="364" t="s">
        <v>652</v>
      </c>
      <c r="H89" s="1228"/>
    </row>
    <row r="90" spans="2:38" ht="13">
      <c r="B90" s="407" t="s">
        <v>615</v>
      </c>
      <c r="C90" s="396" t="s">
        <v>627</v>
      </c>
      <c r="D90" s="440">
        <f>D$1</f>
        <v>2021</v>
      </c>
      <c r="E90" s="440">
        <f t="shared" ref="E90:AL90" si="40">E$1</f>
        <v>2022</v>
      </c>
      <c r="F90" s="440">
        <f t="shared" si="40"/>
        <v>2023</v>
      </c>
      <c r="G90" s="440">
        <f t="shared" si="40"/>
        <v>2024</v>
      </c>
      <c r="H90" s="440">
        <f t="shared" si="40"/>
        <v>2025</v>
      </c>
      <c r="I90" s="440">
        <f t="shared" si="40"/>
        <v>2026</v>
      </c>
      <c r="J90" s="440">
        <f t="shared" si="40"/>
        <v>2027</v>
      </c>
      <c r="K90" s="440">
        <f t="shared" si="40"/>
        <v>2028</v>
      </c>
      <c r="L90" s="440">
        <f t="shared" si="40"/>
        <v>2029</v>
      </c>
      <c r="M90" s="440">
        <f t="shared" si="40"/>
        <v>2030</v>
      </c>
      <c r="N90" s="440">
        <f t="shared" si="40"/>
        <v>2031</v>
      </c>
      <c r="O90" s="440">
        <f t="shared" si="40"/>
        <v>2032</v>
      </c>
      <c r="P90" s="440">
        <f t="shared" si="40"/>
        <v>2033</v>
      </c>
      <c r="Q90" s="440">
        <f t="shared" si="40"/>
        <v>2034</v>
      </c>
      <c r="R90" s="440">
        <f t="shared" si="40"/>
        <v>2035</v>
      </c>
      <c r="S90" s="440">
        <f t="shared" si="40"/>
        <v>2036</v>
      </c>
      <c r="T90" s="440">
        <f t="shared" si="40"/>
        <v>2037</v>
      </c>
      <c r="U90" s="440">
        <f t="shared" si="40"/>
        <v>2038</v>
      </c>
      <c r="V90" s="440">
        <f t="shared" si="40"/>
        <v>2039</v>
      </c>
      <c r="W90" s="440">
        <f t="shared" si="40"/>
        <v>2040</v>
      </c>
      <c r="X90" s="440">
        <f t="shared" si="40"/>
        <v>2041</v>
      </c>
      <c r="Y90" s="440">
        <f t="shared" si="40"/>
        <v>2042</v>
      </c>
      <c r="Z90" s="440">
        <f t="shared" si="40"/>
        <v>2043</v>
      </c>
      <c r="AA90" s="440">
        <f t="shared" si="40"/>
        <v>2044</v>
      </c>
      <c r="AB90" s="440">
        <f t="shared" si="40"/>
        <v>2045</v>
      </c>
      <c r="AC90" s="440">
        <f t="shared" si="40"/>
        <v>2046</v>
      </c>
      <c r="AD90" s="440">
        <f t="shared" si="40"/>
        <v>2047</v>
      </c>
      <c r="AE90" s="440">
        <f t="shared" si="40"/>
        <v>2048</v>
      </c>
      <c r="AF90" s="440">
        <f t="shared" si="40"/>
        <v>2049</v>
      </c>
      <c r="AG90" s="440">
        <f t="shared" si="40"/>
        <v>2050</v>
      </c>
      <c r="AH90" s="440">
        <f t="shared" si="40"/>
        <v>2051</v>
      </c>
      <c r="AI90" s="440">
        <f t="shared" si="40"/>
        <v>2052</v>
      </c>
      <c r="AJ90" s="440">
        <f t="shared" si="40"/>
        <v>2053</v>
      </c>
      <c r="AK90" s="440">
        <f t="shared" si="40"/>
        <v>2054</v>
      </c>
      <c r="AL90" s="440">
        <f t="shared" si="40"/>
        <v>2055</v>
      </c>
    </row>
    <row r="91" spans="2:38" ht="13">
      <c r="B91" s="364" t="s">
        <v>624</v>
      </c>
      <c r="C91" s="408"/>
      <c r="D91" s="358"/>
      <c r="E91" s="409"/>
      <c r="F91" s="410"/>
      <c r="G91" s="410"/>
      <c r="H91" s="1234"/>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row>
    <row r="92" spans="2:38">
      <c r="B92" s="411" t="s">
        <v>653</v>
      </c>
      <c r="C92" s="412" t="s">
        <v>654</v>
      </c>
      <c r="D92" s="413">
        <f>((D$77*D$78+0.2)/0.2)^(0.3334)</f>
        <v>36.192828306472741</v>
      </c>
      <c r="E92" s="413">
        <f t="shared" ref="E92:AL92" si="41">((E$77*E$78+0.2)/0.2)^(0.3334)</f>
        <v>36.67404866241106</v>
      </c>
      <c r="F92" s="413">
        <f t="shared" si="41"/>
        <v>37.161667726139349</v>
      </c>
      <c r="G92" s="413">
        <f t="shared" si="41"/>
        <v>37.655770569922048</v>
      </c>
      <c r="H92" s="413">
        <f t="shared" si="41"/>
        <v>34.666834152519044</v>
      </c>
      <c r="I92" s="413">
        <f t="shared" si="41"/>
        <v>35.127763542334073</v>
      </c>
      <c r="J92" s="413">
        <f t="shared" si="41"/>
        <v>35.594821868873538</v>
      </c>
      <c r="K92" s="413">
        <f t="shared" si="41"/>
        <v>36.068090616833885</v>
      </c>
      <c r="L92" s="413">
        <f t="shared" si="41"/>
        <v>36.54765235454947</v>
      </c>
      <c r="M92" s="413">
        <f t="shared" si="41"/>
        <v>37.033590748396023</v>
      </c>
      <c r="N92" s="413">
        <f t="shared" si="41"/>
        <v>37.525990577385464</v>
      </c>
      <c r="O92" s="413">
        <f t="shared" si="41"/>
        <v>38.024937747955221</v>
      </c>
      <c r="P92" s="413">
        <f t="shared" si="41"/>
        <v>38.530519308953913</v>
      </c>
      <c r="Q92" s="413">
        <f t="shared" si="41"/>
        <v>39.042823466826889</v>
      </c>
      <c r="R92" s="413">
        <f t="shared" si="41"/>
        <v>39.561939601003353</v>
      </c>
      <c r="S92" s="413">
        <f t="shared" si="41"/>
        <v>40.087958279488518</v>
      </c>
      <c r="T92" s="413">
        <f t="shared" si="41"/>
        <v>40.620971274662999</v>
      </c>
      <c r="U92" s="413">
        <f t="shared" si="41"/>
        <v>41.161071579292454</v>
      </c>
      <c r="V92" s="413">
        <f t="shared" si="41"/>
        <v>41.708353422750264</v>
      </c>
      <c r="W92" s="413">
        <f t="shared" si="41"/>
        <v>42.262912287455855</v>
      </c>
      <c r="X92" s="413">
        <f t="shared" si="41"/>
        <v>42.824844925531877</v>
      </c>
      <c r="Y92" s="413">
        <f t="shared" si="41"/>
        <v>43.394249375682783</v>
      </c>
      <c r="Z92" s="413">
        <f t="shared" si="41"/>
        <v>43.971224980298132</v>
      </c>
      <c r="AA92" s="413">
        <f t="shared" si="41"/>
        <v>44.555872402783123</v>
      </c>
      <c r="AB92" s="413">
        <f t="shared" si="41"/>
        <v>45.148293645119978</v>
      </c>
      <c r="AC92" s="413">
        <f t="shared" si="41"/>
        <v>45.748592065662621</v>
      </c>
      <c r="AD92" s="413">
        <f t="shared" si="41"/>
        <v>46.356872397168196</v>
      </c>
      <c r="AE92" s="413">
        <f t="shared" si="41"/>
        <v>46.973240765068475</v>
      </c>
      <c r="AF92" s="413">
        <f t="shared" si="41"/>
        <v>47.597804705984046</v>
      </c>
      <c r="AG92" s="413">
        <f t="shared" si="41"/>
        <v>48.230673186485078</v>
      </c>
      <c r="AH92" s="413">
        <f t="shared" si="41"/>
        <v>48.871956622101365</v>
      </c>
      <c r="AI92" s="413">
        <f t="shared" si="41"/>
        <v>49.52176689658527</v>
      </c>
      <c r="AJ92" s="413">
        <f t="shared" si="41"/>
        <v>50.180217381430943</v>
      </c>
      <c r="AK92" s="413">
        <f t="shared" si="41"/>
        <v>50.84742295565313</v>
      </c>
      <c r="AL92" s="413">
        <f t="shared" si="41"/>
        <v>51.523500025828881</v>
      </c>
    </row>
    <row r="93" spans="2:38">
      <c r="B93" s="411" t="s">
        <v>655</v>
      </c>
      <c r="C93" s="412" t="s">
        <v>656</v>
      </c>
      <c r="D93" s="414">
        <f>EXP(0.2094*$D$9)</f>
        <v>1.5201362971260179</v>
      </c>
      <c r="E93" s="414">
        <f t="shared" ref="E93:AL93" si="42">EXP(0.2094*$D$9)</f>
        <v>1.5201362971260179</v>
      </c>
      <c r="F93" s="414">
        <f t="shared" si="42"/>
        <v>1.5201362971260179</v>
      </c>
      <c r="G93" s="414">
        <f t="shared" si="42"/>
        <v>1.5201362971260179</v>
      </c>
      <c r="H93" s="414">
        <f t="shared" si="42"/>
        <v>1.5201362971260179</v>
      </c>
      <c r="I93" s="414">
        <f t="shared" si="42"/>
        <v>1.5201362971260179</v>
      </c>
      <c r="J93" s="414">
        <f t="shared" si="42"/>
        <v>1.5201362971260179</v>
      </c>
      <c r="K93" s="414">
        <f t="shared" si="42"/>
        <v>1.5201362971260179</v>
      </c>
      <c r="L93" s="414">
        <f t="shared" si="42"/>
        <v>1.5201362971260179</v>
      </c>
      <c r="M93" s="414">
        <f t="shared" si="42"/>
        <v>1.5201362971260179</v>
      </c>
      <c r="N93" s="414">
        <f t="shared" si="42"/>
        <v>1.5201362971260179</v>
      </c>
      <c r="O93" s="414">
        <f t="shared" si="42"/>
        <v>1.5201362971260179</v>
      </c>
      <c r="P93" s="414">
        <f t="shared" si="42"/>
        <v>1.5201362971260179</v>
      </c>
      <c r="Q93" s="414">
        <f t="shared" si="42"/>
        <v>1.5201362971260179</v>
      </c>
      <c r="R93" s="414">
        <f t="shared" si="42"/>
        <v>1.5201362971260179</v>
      </c>
      <c r="S93" s="414">
        <f t="shared" si="42"/>
        <v>1.5201362971260179</v>
      </c>
      <c r="T93" s="414">
        <f t="shared" si="42"/>
        <v>1.5201362971260179</v>
      </c>
      <c r="U93" s="414">
        <f t="shared" si="42"/>
        <v>1.5201362971260179</v>
      </c>
      <c r="V93" s="414">
        <f t="shared" si="42"/>
        <v>1.5201362971260179</v>
      </c>
      <c r="W93" s="414">
        <f t="shared" si="42"/>
        <v>1.5201362971260179</v>
      </c>
      <c r="X93" s="414">
        <f t="shared" si="42"/>
        <v>1.5201362971260179</v>
      </c>
      <c r="Y93" s="414">
        <f t="shared" si="42"/>
        <v>1.5201362971260179</v>
      </c>
      <c r="Z93" s="414">
        <f t="shared" si="42"/>
        <v>1.5201362971260179</v>
      </c>
      <c r="AA93" s="414">
        <f t="shared" si="42"/>
        <v>1.5201362971260179</v>
      </c>
      <c r="AB93" s="414">
        <f t="shared" si="42"/>
        <v>1.5201362971260179</v>
      </c>
      <c r="AC93" s="414">
        <f t="shared" si="42"/>
        <v>1.5201362971260179</v>
      </c>
      <c r="AD93" s="414">
        <f t="shared" si="42"/>
        <v>1.5201362971260179</v>
      </c>
      <c r="AE93" s="414">
        <f t="shared" si="42"/>
        <v>1.5201362971260179</v>
      </c>
      <c r="AF93" s="414">
        <f t="shared" si="42"/>
        <v>1.5201362971260179</v>
      </c>
      <c r="AG93" s="414">
        <f t="shared" si="42"/>
        <v>1.5201362971260179</v>
      </c>
      <c r="AH93" s="414">
        <f t="shared" si="42"/>
        <v>1.5201362971260179</v>
      </c>
      <c r="AI93" s="414">
        <f t="shared" si="42"/>
        <v>1.5201362971260179</v>
      </c>
      <c r="AJ93" s="414">
        <f t="shared" si="42"/>
        <v>1.5201362971260179</v>
      </c>
      <c r="AK93" s="414">
        <f t="shared" si="42"/>
        <v>1.5201362971260179</v>
      </c>
      <c r="AL93" s="414">
        <f t="shared" si="42"/>
        <v>1.5201362971260179</v>
      </c>
    </row>
    <row r="94" spans="2:38">
      <c r="B94" s="411" t="s">
        <v>657</v>
      </c>
      <c r="C94" s="416" t="s">
        <v>658</v>
      </c>
      <c r="D94" s="417">
        <f>((D$80+0.2)/0.2)^(0.1336)</f>
        <v>1.5039439694520227</v>
      </c>
      <c r="E94" s="417">
        <f t="shared" ref="E94:AL94" si="43">((E$80+0.2)/0.2)^(0.1336)</f>
        <v>1.5059657870025993</v>
      </c>
      <c r="F94" s="417">
        <f t="shared" si="43"/>
        <v>1.5079913203920043</v>
      </c>
      <c r="G94" s="417">
        <f t="shared" si="43"/>
        <v>1.5100205677833436</v>
      </c>
      <c r="H94" s="417">
        <f t="shared" si="43"/>
        <v>1.4579566272457978</v>
      </c>
      <c r="I94" s="417">
        <f t="shared" si="43"/>
        <v>1.4598913548546146</v>
      </c>
      <c r="J94" s="417">
        <f t="shared" si="43"/>
        <v>1.4618298547819031</v>
      </c>
      <c r="K94" s="417">
        <f t="shared" si="43"/>
        <v>1.4637721240491282</v>
      </c>
      <c r="L94" s="417">
        <f t="shared" si="43"/>
        <v>1.4657181597278657</v>
      </c>
      <c r="M94" s="417">
        <f t="shared" si="43"/>
        <v>1.4676679589397352</v>
      </c>
      <c r="N94" s="417">
        <f t="shared" si="43"/>
        <v>1.4696215188563289</v>
      </c>
      <c r="O94" s="417">
        <f t="shared" si="43"/>
        <v>1.4715788366991369</v>
      </c>
      <c r="P94" s="417">
        <f t="shared" si="43"/>
        <v>1.4735399097394672</v>
      </c>
      <c r="Q94" s="417">
        <f t="shared" si="43"/>
        <v>1.475504735298363</v>
      </c>
      <c r="R94" s="417">
        <f t="shared" si="43"/>
        <v>1.4774733107465152</v>
      </c>
      <c r="S94" s="417">
        <f t="shared" si="43"/>
        <v>1.4794456335041717</v>
      </c>
      <c r="T94" s="417">
        <f t="shared" si="43"/>
        <v>1.481421701041042</v>
      </c>
      <c r="U94" s="417">
        <f t="shared" si="43"/>
        <v>1.4834015108761993</v>
      </c>
      <c r="V94" s="417">
        <f t="shared" si="43"/>
        <v>1.4853850605779795</v>
      </c>
      <c r="W94" s="417">
        <f t="shared" si="43"/>
        <v>1.4873723477638745</v>
      </c>
      <c r="X94" s="417">
        <f t="shared" si="43"/>
        <v>1.4893633701004245</v>
      </c>
      <c r="Y94" s="417">
        <f t="shared" si="43"/>
        <v>1.4913581253031054</v>
      </c>
      <c r="Z94" s="417">
        <f t="shared" si="43"/>
        <v>1.4933566111362149</v>
      </c>
      <c r="AA94" s="417">
        <f t="shared" si="43"/>
        <v>1.4953588254127532</v>
      </c>
      <c r="AB94" s="417">
        <f t="shared" si="43"/>
        <v>1.4973647659943026</v>
      </c>
      <c r="AC94" s="417">
        <f t="shared" si="43"/>
        <v>1.4993744307909029</v>
      </c>
      <c r="AD94" s="417">
        <f t="shared" si="43"/>
        <v>1.5013878177609252</v>
      </c>
      <c r="AE94" s="417">
        <f t="shared" si="43"/>
        <v>1.5034049249109414</v>
      </c>
      <c r="AF94" s="417">
        <f t="shared" si="43"/>
        <v>1.5054257502955928</v>
      </c>
      <c r="AG94" s="417">
        <f t="shared" si="43"/>
        <v>1.5074502920174546</v>
      </c>
      <c r="AH94" s="417">
        <f t="shared" si="43"/>
        <v>1.5094785482268982</v>
      </c>
      <c r="AI94" s="417">
        <f t="shared" si="43"/>
        <v>1.5115105171219521</v>
      </c>
      <c r="AJ94" s="417">
        <f t="shared" si="43"/>
        <v>1.5135461969481585</v>
      </c>
      <c r="AK94" s="417">
        <f t="shared" si="43"/>
        <v>1.5155855859984304</v>
      </c>
      <c r="AL94" s="417">
        <f t="shared" si="43"/>
        <v>1.5176286826129031</v>
      </c>
    </row>
    <row r="95" spans="2:38">
      <c r="B95" s="411" t="s">
        <v>659</v>
      </c>
      <c r="C95" s="412" t="s">
        <v>660</v>
      </c>
      <c r="D95" s="414">
        <f>EXP(-0.616*($E$7-1))</f>
        <v>1</v>
      </c>
      <c r="E95" s="414">
        <f t="shared" ref="E95:AL95" si="44">EXP(-0.616*($E$7-1))</f>
        <v>1</v>
      </c>
      <c r="F95" s="414">
        <f t="shared" si="44"/>
        <v>1</v>
      </c>
      <c r="G95" s="414">
        <f t="shared" si="44"/>
        <v>1</v>
      </c>
      <c r="H95" s="414">
        <f t="shared" si="44"/>
        <v>1</v>
      </c>
      <c r="I95" s="414">
        <f t="shared" si="44"/>
        <v>1</v>
      </c>
      <c r="J95" s="414">
        <f t="shared" si="44"/>
        <v>1</v>
      </c>
      <c r="K95" s="414">
        <f t="shared" si="44"/>
        <v>1</v>
      </c>
      <c r="L95" s="414">
        <f t="shared" si="44"/>
        <v>1</v>
      </c>
      <c r="M95" s="414">
        <f t="shared" si="44"/>
        <v>1</v>
      </c>
      <c r="N95" s="414">
        <f t="shared" si="44"/>
        <v>1</v>
      </c>
      <c r="O95" s="414">
        <f t="shared" si="44"/>
        <v>1</v>
      </c>
      <c r="P95" s="414">
        <f t="shared" si="44"/>
        <v>1</v>
      </c>
      <c r="Q95" s="414">
        <f t="shared" si="44"/>
        <v>1</v>
      </c>
      <c r="R95" s="414">
        <f t="shared" si="44"/>
        <v>1</v>
      </c>
      <c r="S95" s="414">
        <f t="shared" si="44"/>
        <v>1</v>
      </c>
      <c r="T95" s="414">
        <f t="shared" si="44"/>
        <v>1</v>
      </c>
      <c r="U95" s="414">
        <f t="shared" si="44"/>
        <v>1</v>
      </c>
      <c r="V95" s="414">
        <f t="shared" si="44"/>
        <v>1</v>
      </c>
      <c r="W95" s="414">
        <f t="shared" si="44"/>
        <v>1</v>
      </c>
      <c r="X95" s="414">
        <f t="shared" si="44"/>
        <v>1</v>
      </c>
      <c r="Y95" s="414">
        <f t="shared" si="44"/>
        <v>1</v>
      </c>
      <c r="Z95" s="414">
        <f t="shared" si="44"/>
        <v>1</v>
      </c>
      <c r="AA95" s="414">
        <f t="shared" si="44"/>
        <v>1</v>
      </c>
      <c r="AB95" s="414">
        <f t="shared" si="44"/>
        <v>1</v>
      </c>
      <c r="AC95" s="414">
        <f t="shared" si="44"/>
        <v>1</v>
      </c>
      <c r="AD95" s="414">
        <f t="shared" si="44"/>
        <v>1</v>
      </c>
      <c r="AE95" s="414">
        <f t="shared" si="44"/>
        <v>1</v>
      </c>
      <c r="AF95" s="414">
        <f t="shared" si="44"/>
        <v>1</v>
      </c>
      <c r="AG95" s="414">
        <f t="shared" si="44"/>
        <v>1</v>
      </c>
      <c r="AH95" s="414">
        <f t="shared" si="44"/>
        <v>1</v>
      </c>
      <c r="AI95" s="414">
        <f t="shared" si="44"/>
        <v>1</v>
      </c>
      <c r="AJ95" s="414">
        <f t="shared" si="44"/>
        <v>1</v>
      </c>
      <c r="AK95" s="414">
        <f t="shared" si="44"/>
        <v>1</v>
      </c>
      <c r="AL95" s="414">
        <f t="shared" si="44"/>
        <v>1</v>
      </c>
    </row>
    <row r="96" spans="2:38">
      <c r="B96" s="411" t="s">
        <v>661</v>
      </c>
      <c r="C96" s="412" t="s">
        <v>662</v>
      </c>
      <c r="D96" s="414">
        <f>EXP(0.0077*D$82)</f>
        <v>1.0594501000746941</v>
      </c>
      <c r="E96" s="414">
        <f t="shared" ref="E96:AL96" si="45">EXP(0.0077*E$82)</f>
        <v>1.0594501000746941</v>
      </c>
      <c r="F96" s="414">
        <f t="shared" si="45"/>
        <v>1.0594501000746941</v>
      </c>
      <c r="G96" s="414">
        <f t="shared" si="45"/>
        <v>1.0594501000746941</v>
      </c>
      <c r="H96" s="414">
        <f t="shared" si="45"/>
        <v>1.0594501000746941</v>
      </c>
      <c r="I96" s="414">
        <f t="shared" si="45"/>
        <v>1.0594501000746941</v>
      </c>
      <c r="J96" s="414">
        <f t="shared" si="45"/>
        <v>1.0594501000746941</v>
      </c>
      <c r="K96" s="414">
        <f t="shared" si="45"/>
        <v>1.0594501000746941</v>
      </c>
      <c r="L96" s="414">
        <f t="shared" si="45"/>
        <v>1.0594501000746941</v>
      </c>
      <c r="M96" s="414">
        <f t="shared" si="45"/>
        <v>1.0594501000746941</v>
      </c>
      <c r="N96" s="414">
        <f t="shared" si="45"/>
        <v>1.0594501000746941</v>
      </c>
      <c r="O96" s="414">
        <f t="shared" si="45"/>
        <v>1.0594501000746941</v>
      </c>
      <c r="P96" s="414">
        <f t="shared" si="45"/>
        <v>1.0594501000746941</v>
      </c>
      <c r="Q96" s="414">
        <f t="shared" si="45"/>
        <v>1.0594501000746941</v>
      </c>
      <c r="R96" s="414">
        <f t="shared" si="45"/>
        <v>1.0594501000746941</v>
      </c>
      <c r="S96" s="414">
        <f t="shared" si="45"/>
        <v>1.0594501000746941</v>
      </c>
      <c r="T96" s="414">
        <f t="shared" si="45"/>
        <v>1.0594501000746941</v>
      </c>
      <c r="U96" s="414">
        <f t="shared" si="45"/>
        <v>1.0594501000746941</v>
      </c>
      <c r="V96" s="414">
        <f t="shared" si="45"/>
        <v>1.0594501000746941</v>
      </c>
      <c r="W96" s="414">
        <f t="shared" si="45"/>
        <v>1.0594501000746941</v>
      </c>
      <c r="X96" s="414">
        <f t="shared" si="45"/>
        <v>1.0594501000746941</v>
      </c>
      <c r="Y96" s="414">
        <f t="shared" si="45"/>
        <v>1.0594501000746941</v>
      </c>
      <c r="Z96" s="414">
        <f t="shared" si="45"/>
        <v>1.0594501000746941</v>
      </c>
      <c r="AA96" s="414">
        <f t="shared" si="45"/>
        <v>1.0594501000746941</v>
      </c>
      <c r="AB96" s="414">
        <f t="shared" si="45"/>
        <v>1.0594501000746941</v>
      </c>
      <c r="AC96" s="414">
        <f t="shared" si="45"/>
        <v>1.0594501000746941</v>
      </c>
      <c r="AD96" s="414">
        <f t="shared" si="45"/>
        <v>1.0594501000746941</v>
      </c>
      <c r="AE96" s="414">
        <f t="shared" si="45"/>
        <v>1.0594501000746941</v>
      </c>
      <c r="AF96" s="414">
        <f t="shared" si="45"/>
        <v>1.0594501000746941</v>
      </c>
      <c r="AG96" s="414">
        <f t="shared" si="45"/>
        <v>1.0594501000746941</v>
      </c>
      <c r="AH96" s="414">
        <f t="shared" si="45"/>
        <v>1.0594501000746941</v>
      </c>
      <c r="AI96" s="414">
        <f t="shared" si="45"/>
        <v>1.0594501000746941</v>
      </c>
      <c r="AJ96" s="414">
        <f t="shared" si="45"/>
        <v>1.0594501000746941</v>
      </c>
      <c r="AK96" s="414">
        <f t="shared" si="45"/>
        <v>1.0594501000746941</v>
      </c>
      <c r="AL96" s="414">
        <f t="shared" si="45"/>
        <v>1.0594501000746941</v>
      </c>
    </row>
    <row r="97" spans="1:38">
      <c r="B97" s="411" t="s">
        <v>663</v>
      </c>
      <c r="C97" s="412" t="s">
        <v>664</v>
      </c>
      <c r="D97" s="414">
        <f>EXP(-0.1*($E$8-1))</f>
        <v>0.60653065971263342</v>
      </c>
      <c r="E97" s="414">
        <f t="shared" ref="E97:AL97" si="46">EXP(-0.1*($E$8-1))</f>
        <v>0.60653065971263342</v>
      </c>
      <c r="F97" s="414">
        <f t="shared" si="46"/>
        <v>0.60653065971263342</v>
      </c>
      <c r="G97" s="414">
        <f t="shared" si="46"/>
        <v>0.60653065971263342</v>
      </c>
      <c r="H97" s="414">
        <f t="shared" si="46"/>
        <v>0.60653065971263342</v>
      </c>
      <c r="I97" s="414">
        <f t="shared" si="46"/>
        <v>0.60653065971263342</v>
      </c>
      <c r="J97" s="414">
        <f t="shared" si="46"/>
        <v>0.60653065971263342</v>
      </c>
      <c r="K97" s="414">
        <f t="shared" si="46"/>
        <v>0.60653065971263342</v>
      </c>
      <c r="L97" s="414">
        <f t="shared" si="46"/>
        <v>0.60653065971263342</v>
      </c>
      <c r="M97" s="414">
        <f t="shared" si="46"/>
        <v>0.60653065971263342</v>
      </c>
      <c r="N97" s="414">
        <f t="shared" si="46"/>
        <v>0.60653065971263342</v>
      </c>
      <c r="O97" s="414">
        <f t="shared" si="46"/>
        <v>0.60653065971263342</v>
      </c>
      <c r="P97" s="414">
        <f t="shared" si="46"/>
        <v>0.60653065971263342</v>
      </c>
      <c r="Q97" s="414">
        <f t="shared" si="46"/>
        <v>0.60653065971263342</v>
      </c>
      <c r="R97" s="414">
        <f t="shared" si="46"/>
        <v>0.60653065971263342</v>
      </c>
      <c r="S97" s="414">
        <f t="shared" si="46"/>
        <v>0.60653065971263342</v>
      </c>
      <c r="T97" s="414">
        <f t="shared" si="46"/>
        <v>0.60653065971263342</v>
      </c>
      <c r="U97" s="414">
        <f t="shared" si="46"/>
        <v>0.60653065971263342</v>
      </c>
      <c r="V97" s="414">
        <f t="shared" si="46"/>
        <v>0.60653065971263342</v>
      </c>
      <c r="W97" s="414">
        <f t="shared" si="46"/>
        <v>0.60653065971263342</v>
      </c>
      <c r="X97" s="414">
        <f t="shared" si="46"/>
        <v>0.60653065971263342</v>
      </c>
      <c r="Y97" s="414">
        <f t="shared" si="46"/>
        <v>0.60653065971263342</v>
      </c>
      <c r="Z97" s="414">
        <f t="shared" si="46"/>
        <v>0.60653065971263342</v>
      </c>
      <c r="AA97" s="414">
        <f t="shared" si="46"/>
        <v>0.60653065971263342</v>
      </c>
      <c r="AB97" s="414">
        <f t="shared" si="46"/>
        <v>0.60653065971263342</v>
      </c>
      <c r="AC97" s="414">
        <f t="shared" si="46"/>
        <v>0.60653065971263342</v>
      </c>
      <c r="AD97" s="414">
        <f t="shared" si="46"/>
        <v>0.60653065971263342</v>
      </c>
      <c r="AE97" s="414">
        <f t="shared" si="46"/>
        <v>0.60653065971263342</v>
      </c>
      <c r="AF97" s="414">
        <f t="shared" si="46"/>
        <v>0.60653065971263342</v>
      </c>
      <c r="AG97" s="414">
        <f t="shared" si="46"/>
        <v>0.60653065971263342</v>
      </c>
      <c r="AH97" s="414">
        <f t="shared" si="46"/>
        <v>0.60653065971263342</v>
      </c>
      <c r="AI97" s="414">
        <f t="shared" si="46"/>
        <v>0.60653065971263342</v>
      </c>
      <c r="AJ97" s="414">
        <f t="shared" si="46"/>
        <v>0.60653065971263342</v>
      </c>
      <c r="AK97" s="414">
        <f t="shared" si="46"/>
        <v>0.60653065971263342</v>
      </c>
      <c r="AL97" s="414">
        <f t="shared" si="46"/>
        <v>0.60653065971263342</v>
      </c>
    </row>
    <row r="98" spans="1:38">
      <c r="B98" s="411" t="s">
        <v>665</v>
      </c>
      <c r="C98" s="412" t="s">
        <v>666</v>
      </c>
      <c r="D98" s="414">
        <v>1</v>
      </c>
      <c r="E98" s="414">
        <v>1</v>
      </c>
      <c r="F98" s="414">
        <v>1</v>
      </c>
      <c r="G98" s="414">
        <v>1</v>
      </c>
      <c r="H98" s="414">
        <v>1</v>
      </c>
      <c r="I98" s="414">
        <v>1</v>
      </c>
      <c r="J98" s="414">
        <v>1</v>
      </c>
      <c r="K98" s="414">
        <v>1</v>
      </c>
      <c r="L98" s="414">
        <v>1</v>
      </c>
      <c r="M98" s="414">
        <v>1</v>
      </c>
      <c r="N98" s="414">
        <v>1</v>
      </c>
      <c r="O98" s="414">
        <v>1</v>
      </c>
      <c r="P98" s="414">
        <v>1</v>
      </c>
      <c r="Q98" s="414">
        <v>1</v>
      </c>
      <c r="R98" s="414">
        <v>1</v>
      </c>
      <c r="S98" s="414">
        <v>1</v>
      </c>
      <c r="T98" s="414">
        <v>1</v>
      </c>
      <c r="U98" s="414">
        <v>1</v>
      </c>
      <c r="V98" s="414">
        <v>1</v>
      </c>
      <c r="W98" s="414">
        <v>1</v>
      </c>
      <c r="X98" s="414">
        <v>1</v>
      </c>
      <c r="Y98" s="414">
        <v>1</v>
      </c>
      <c r="Z98" s="414">
        <v>1</v>
      </c>
      <c r="AA98" s="414">
        <v>1</v>
      </c>
      <c r="AB98" s="414">
        <v>1</v>
      </c>
      <c r="AC98" s="414">
        <v>1</v>
      </c>
      <c r="AD98" s="414">
        <v>1</v>
      </c>
      <c r="AE98" s="414">
        <v>1</v>
      </c>
      <c r="AF98" s="414">
        <v>1</v>
      </c>
      <c r="AG98" s="414">
        <v>1</v>
      </c>
      <c r="AH98" s="414">
        <v>1</v>
      </c>
      <c r="AI98" s="414">
        <v>1</v>
      </c>
      <c r="AJ98" s="414">
        <v>1</v>
      </c>
      <c r="AK98" s="414">
        <v>1</v>
      </c>
      <c r="AL98" s="414">
        <v>1</v>
      </c>
    </row>
    <row r="99" spans="1:38" ht="13">
      <c r="A99" s="421"/>
      <c r="B99" s="418"/>
      <c r="C99" s="419"/>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row>
    <row r="100" spans="1:38" ht="13">
      <c r="A100" s="421"/>
      <c r="B100" s="422" t="s">
        <v>667</v>
      </c>
      <c r="C100" s="408"/>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row>
    <row r="101" spans="1:38">
      <c r="A101" s="421"/>
      <c r="B101" s="411" t="s">
        <v>653</v>
      </c>
      <c r="C101" s="412" t="s">
        <v>654</v>
      </c>
      <c r="D101" s="423">
        <f>((D$77*D$78+0.2)/0.2)^(0.2953)</f>
        <v>24.016382469276152</v>
      </c>
      <c r="E101" s="423">
        <f t="shared" ref="E101:AL101" si="47">((E$77*E$78+0.2)/0.2)^(0.2953)</f>
        <v>24.298999587611789</v>
      </c>
      <c r="F101" s="423">
        <f t="shared" si="47"/>
        <v>24.584942685473173</v>
      </c>
      <c r="G101" s="423">
        <f t="shared" si="47"/>
        <v>24.874250898275086</v>
      </c>
      <c r="H101" s="423">
        <f t="shared" si="47"/>
        <v>23.117304156768519</v>
      </c>
      <c r="I101" s="423">
        <f t="shared" si="47"/>
        <v>23.389340426487635</v>
      </c>
      <c r="J101" s="423">
        <f t="shared" si="47"/>
        <v>23.664578176552073</v>
      </c>
      <c r="K101" s="423">
        <f t="shared" si="47"/>
        <v>23.943055076853863</v>
      </c>
      <c r="L101" s="423">
        <f t="shared" si="47"/>
        <v>24.224809240716169</v>
      </c>
      <c r="M101" s="423">
        <f t="shared" si="47"/>
        <v>24.509879230107888</v>
      </c>
      <c r="N101" s="423">
        <f t="shared" si="47"/>
        <v>24.79830406091963</v>
      </c>
      <c r="O101" s="423">
        <f t="shared" si="47"/>
        <v>25.09012320830201</v>
      </c>
      <c r="P101" s="423">
        <f t="shared" si="47"/>
        <v>25.385376612066683</v>
      </c>
      <c r="Q101" s="423">
        <f t="shared" si="47"/>
        <v>25.684104682151201</v>
      </c>
      <c r="R101" s="423">
        <f t="shared" si="47"/>
        <v>25.986348304148127</v>
      </c>
      <c r="S101" s="423">
        <f t="shared" si="47"/>
        <v>26.292148844899451</v>
      </c>
      <c r="T101" s="423">
        <f t="shared" si="47"/>
        <v>26.601548158156795</v>
      </c>
      <c r="U101" s="423">
        <f t="shared" si="47"/>
        <v>26.914588590308362</v>
      </c>
      <c r="V101" s="423">
        <f t="shared" si="47"/>
        <v>27.231312986173403</v>
      </c>
      <c r="W101" s="423">
        <f t="shared" si="47"/>
        <v>27.551764694864875</v>
      </c>
      <c r="X101" s="423">
        <f t="shared" si="47"/>
        <v>27.875987575721204</v>
      </c>
      <c r="Y101" s="423">
        <f t="shared" si="47"/>
        <v>28.204026004307988</v>
      </c>
      <c r="Z101" s="423">
        <f t="shared" si="47"/>
        <v>28.535924878490253</v>
      </c>
      <c r="AA101" s="423">
        <f t="shared" si="47"/>
        <v>28.871729624576385</v>
      </c>
      <c r="AB101" s="423">
        <f t="shared" si="47"/>
        <v>29.211486203534356</v>
      </c>
      <c r="AC101" s="423">
        <f t="shared" si="47"/>
        <v>29.555241117281213</v>
      </c>
      <c r="AD101" s="423">
        <f t="shared" si="47"/>
        <v>29.903041415046555</v>
      </c>
      <c r="AE101" s="423">
        <f t="shared" si="47"/>
        <v>30.254934699811109</v>
      </c>
      <c r="AF101" s="423">
        <f t="shared" si="47"/>
        <v>30.610969134820955</v>
      </c>
      <c r="AG101" s="423">
        <f t="shared" si="47"/>
        <v>30.971193450178681</v>
      </c>
      <c r="AH101" s="423">
        <f t="shared" si="47"/>
        <v>31.335656949511929</v>
      </c>
      <c r="AI101" s="423">
        <f t="shared" si="47"/>
        <v>31.704409516720681</v>
      </c>
      <c r="AJ101" s="423">
        <f t="shared" si="47"/>
        <v>32.077501622803794</v>
      </c>
      <c r="AK101" s="423">
        <f t="shared" si="47"/>
        <v>32.454984332766244</v>
      </c>
      <c r="AL101" s="423">
        <f t="shared" si="47"/>
        <v>32.836909312607283</v>
      </c>
    </row>
    <row r="102" spans="1:38">
      <c r="A102" s="421"/>
      <c r="B102" s="411" t="s">
        <v>655</v>
      </c>
      <c r="C102" s="412" t="s">
        <v>656</v>
      </c>
      <c r="D102" s="414">
        <f>EXP(0.1088*$D$9)</f>
        <v>1.2430897322657162</v>
      </c>
      <c r="E102" s="414">
        <f t="shared" ref="E102:AL102" si="48">EXP(0.1088*$D$9)</f>
        <v>1.2430897322657162</v>
      </c>
      <c r="F102" s="414">
        <f t="shared" si="48"/>
        <v>1.2430897322657162</v>
      </c>
      <c r="G102" s="414">
        <f t="shared" si="48"/>
        <v>1.2430897322657162</v>
      </c>
      <c r="H102" s="414">
        <f t="shared" si="48"/>
        <v>1.2430897322657162</v>
      </c>
      <c r="I102" s="414">
        <f t="shared" si="48"/>
        <v>1.2430897322657162</v>
      </c>
      <c r="J102" s="414">
        <f t="shared" si="48"/>
        <v>1.2430897322657162</v>
      </c>
      <c r="K102" s="414">
        <f t="shared" si="48"/>
        <v>1.2430897322657162</v>
      </c>
      <c r="L102" s="414">
        <f t="shared" si="48"/>
        <v>1.2430897322657162</v>
      </c>
      <c r="M102" s="414">
        <f t="shared" si="48"/>
        <v>1.2430897322657162</v>
      </c>
      <c r="N102" s="414">
        <f t="shared" si="48"/>
        <v>1.2430897322657162</v>
      </c>
      <c r="O102" s="414">
        <f t="shared" si="48"/>
        <v>1.2430897322657162</v>
      </c>
      <c r="P102" s="414">
        <f t="shared" si="48"/>
        <v>1.2430897322657162</v>
      </c>
      <c r="Q102" s="414">
        <f t="shared" si="48"/>
        <v>1.2430897322657162</v>
      </c>
      <c r="R102" s="414">
        <f t="shared" si="48"/>
        <v>1.2430897322657162</v>
      </c>
      <c r="S102" s="414">
        <f t="shared" si="48"/>
        <v>1.2430897322657162</v>
      </c>
      <c r="T102" s="414">
        <f t="shared" si="48"/>
        <v>1.2430897322657162</v>
      </c>
      <c r="U102" s="414">
        <f t="shared" si="48"/>
        <v>1.2430897322657162</v>
      </c>
      <c r="V102" s="414">
        <f t="shared" si="48"/>
        <v>1.2430897322657162</v>
      </c>
      <c r="W102" s="414">
        <f t="shared" si="48"/>
        <v>1.2430897322657162</v>
      </c>
      <c r="X102" s="414">
        <f t="shared" si="48"/>
        <v>1.2430897322657162</v>
      </c>
      <c r="Y102" s="414">
        <f t="shared" si="48"/>
        <v>1.2430897322657162</v>
      </c>
      <c r="Z102" s="414">
        <f t="shared" si="48"/>
        <v>1.2430897322657162</v>
      </c>
      <c r="AA102" s="414">
        <f t="shared" si="48"/>
        <v>1.2430897322657162</v>
      </c>
      <c r="AB102" s="414">
        <f t="shared" si="48"/>
        <v>1.2430897322657162</v>
      </c>
      <c r="AC102" s="414">
        <f t="shared" si="48"/>
        <v>1.2430897322657162</v>
      </c>
      <c r="AD102" s="414">
        <f t="shared" si="48"/>
        <v>1.2430897322657162</v>
      </c>
      <c r="AE102" s="414">
        <f t="shared" si="48"/>
        <v>1.2430897322657162</v>
      </c>
      <c r="AF102" s="414">
        <f t="shared" si="48"/>
        <v>1.2430897322657162</v>
      </c>
      <c r="AG102" s="414">
        <f t="shared" si="48"/>
        <v>1.2430897322657162</v>
      </c>
      <c r="AH102" s="414">
        <f t="shared" si="48"/>
        <v>1.2430897322657162</v>
      </c>
      <c r="AI102" s="414">
        <f t="shared" si="48"/>
        <v>1.2430897322657162</v>
      </c>
      <c r="AJ102" s="414">
        <f t="shared" si="48"/>
        <v>1.2430897322657162</v>
      </c>
      <c r="AK102" s="414">
        <f t="shared" si="48"/>
        <v>1.2430897322657162</v>
      </c>
      <c r="AL102" s="414">
        <f t="shared" si="48"/>
        <v>1.2430897322657162</v>
      </c>
    </row>
    <row r="103" spans="1:38">
      <c r="A103" s="421"/>
      <c r="B103" s="411" t="s">
        <v>657</v>
      </c>
      <c r="C103" s="416" t="s">
        <v>658</v>
      </c>
      <c r="D103" s="417">
        <f>((D$80+0.2)/0.2)^(0.047)</f>
        <v>1.1543817707159612</v>
      </c>
      <c r="E103" s="417">
        <f t="shared" ref="E103:AL103" si="49">((E$80+0.2)/0.2)^(0.047)</f>
        <v>1.1549274808764554</v>
      </c>
      <c r="F103" s="417">
        <f t="shared" si="49"/>
        <v>1.1554737179811641</v>
      </c>
      <c r="G103" s="417">
        <f t="shared" si="49"/>
        <v>1.1560204799705083</v>
      </c>
      <c r="H103" s="417">
        <f t="shared" si="49"/>
        <v>1.1418387135960879</v>
      </c>
      <c r="I103" s="417">
        <f t="shared" si="49"/>
        <v>1.1423715387259614</v>
      </c>
      <c r="J103" s="417">
        <f t="shared" si="49"/>
        <v>1.1429049438973249</v>
      </c>
      <c r="K103" s="417">
        <f t="shared" si="49"/>
        <v>1.143438926616609</v>
      </c>
      <c r="L103" s="417">
        <f t="shared" si="49"/>
        <v>1.1439734844098017</v>
      </c>
      <c r="M103" s="417">
        <f t="shared" si="49"/>
        <v>1.1445086148223753</v>
      </c>
      <c r="N103" s="417">
        <f t="shared" si="49"/>
        <v>1.1450443154192105</v>
      </c>
      <c r="O103" s="417">
        <f t="shared" si="49"/>
        <v>1.1455805837845203</v>
      </c>
      <c r="P103" s="417">
        <f t="shared" si="49"/>
        <v>1.1461174175217719</v>
      </c>
      <c r="Q103" s="417">
        <f t="shared" si="49"/>
        <v>1.146654814253609</v>
      </c>
      <c r="R103" s="417">
        <f t="shared" si="49"/>
        <v>1.1471927716217718</v>
      </c>
      <c r="S103" s="417">
        <f t="shared" si="49"/>
        <v>1.1477312872870153</v>
      </c>
      <c r="T103" s="417">
        <f t="shared" si="49"/>
        <v>1.1482703589290293</v>
      </c>
      <c r="U103" s="417">
        <f t="shared" si="49"/>
        <v>1.1488099842463546</v>
      </c>
      <c r="V103" s="417">
        <f t="shared" si="49"/>
        <v>1.149350160956299</v>
      </c>
      <c r="W103" s="417">
        <f t="shared" si="49"/>
        <v>1.1498908867948547</v>
      </c>
      <c r="X103" s="417">
        <f t="shared" si="49"/>
        <v>1.1504321595166109</v>
      </c>
      <c r="Y103" s="417">
        <f t="shared" si="49"/>
        <v>1.150973976894669</v>
      </c>
      <c r="Z103" s="417">
        <f t="shared" si="49"/>
        <v>1.1515163367205548</v>
      </c>
      <c r="AA103" s="417">
        <f t="shared" si="49"/>
        <v>1.1520592368041316</v>
      </c>
      <c r="AB103" s="417">
        <f t="shared" si="49"/>
        <v>1.1526026749735114</v>
      </c>
      <c r="AC103" s="417">
        <f t="shared" si="49"/>
        <v>1.1531466490749658</v>
      </c>
      <c r="AD103" s="417">
        <f t="shared" si="49"/>
        <v>1.1536911569728363</v>
      </c>
      <c r="AE103" s="417">
        <f t="shared" si="49"/>
        <v>1.1542361965494436</v>
      </c>
      <c r="AF103" s="417">
        <f t="shared" si="49"/>
        <v>1.1547817657049975</v>
      </c>
      <c r="AG103" s="417">
        <f t="shared" si="49"/>
        <v>1.1553278623575041</v>
      </c>
      <c r="AH103" s="417">
        <f t="shared" si="49"/>
        <v>1.155874484442674</v>
      </c>
      <c r="AI103" s="417">
        <f t="shared" si="49"/>
        <v>1.1564216299138308</v>
      </c>
      <c r="AJ103" s="417">
        <f t="shared" si="49"/>
        <v>1.1569692967418161</v>
      </c>
      <c r="AK103" s="417">
        <f t="shared" si="49"/>
        <v>1.1575174829148973</v>
      </c>
      <c r="AL103" s="417">
        <f t="shared" si="49"/>
        <v>1.1580661864386725</v>
      </c>
    </row>
    <row r="104" spans="1:38">
      <c r="A104" s="421"/>
      <c r="B104" s="411" t="s">
        <v>659</v>
      </c>
      <c r="C104" s="412" t="s">
        <v>660</v>
      </c>
      <c r="D104" s="414">
        <v>1</v>
      </c>
      <c r="E104" s="414">
        <v>1</v>
      </c>
      <c r="F104" s="414">
        <v>1</v>
      </c>
      <c r="G104" s="414">
        <v>1</v>
      </c>
      <c r="H104" s="414">
        <v>1</v>
      </c>
      <c r="I104" s="414">
        <v>1</v>
      </c>
      <c r="J104" s="414">
        <v>1</v>
      </c>
      <c r="K104" s="414">
        <v>1</v>
      </c>
      <c r="L104" s="414">
        <v>1</v>
      </c>
      <c r="M104" s="414">
        <v>1</v>
      </c>
      <c r="N104" s="414">
        <v>1</v>
      </c>
      <c r="O104" s="414">
        <v>1</v>
      </c>
      <c r="P104" s="414">
        <v>1</v>
      </c>
      <c r="Q104" s="414">
        <v>1</v>
      </c>
      <c r="R104" s="414">
        <v>1</v>
      </c>
      <c r="S104" s="414">
        <v>1</v>
      </c>
      <c r="T104" s="414">
        <v>1</v>
      </c>
      <c r="U104" s="414">
        <v>1</v>
      </c>
      <c r="V104" s="414">
        <v>1</v>
      </c>
      <c r="W104" s="414">
        <v>1</v>
      </c>
      <c r="X104" s="414">
        <v>1</v>
      </c>
      <c r="Y104" s="414">
        <v>1</v>
      </c>
      <c r="Z104" s="414">
        <v>1</v>
      </c>
      <c r="AA104" s="414">
        <v>1</v>
      </c>
      <c r="AB104" s="414">
        <v>1</v>
      </c>
      <c r="AC104" s="414">
        <v>1</v>
      </c>
      <c r="AD104" s="414">
        <v>1</v>
      </c>
      <c r="AE104" s="414">
        <v>1</v>
      </c>
      <c r="AF104" s="414">
        <v>1</v>
      </c>
      <c r="AG104" s="414">
        <v>1</v>
      </c>
      <c r="AH104" s="414">
        <v>1</v>
      </c>
      <c r="AI104" s="414">
        <v>1</v>
      </c>
      <c r="AJ104" s="414">
        <v>1</v>
      </c>
      <c r="AK104" s="414">
        <v>1</v>
      </c>
      <c r="AL104" s="414">
        <v>1</v>
      </c>
    </row>
    <row r="105" spans="1:38">
      <c r="A105" s="421"/>
      <c r="B105" s="411" t="s">
        <v>661</v>
      </c>
      <c r="C105" s="412" t="s">
        <v>662</v>
      </c>
      <c r="D105" s="414">
        <v>1</v>
      </c>
      <c r="E105" s="414">
        <v>1</v>
      </c>
      <c r="F105" s="414">
        <v>1</v>
      </c>
      <c r="G105" s="414">
        <v>1</v>
      </c>
      <c r="H105" s="414">
        <v>1</v>
      </c>
      <c r="I105" s="414">
        <v>1</v>
      </c>
      <c r="J105" s="414">
        <v>1</v>
      </c>
      <c r="K105" s="414">
        <v>1</v>
      </c>
      <c r="L105" s="414">
        <v>1</v>
      </c>
      <c r="M105" s="414">
        <v>1</v>
      </c>
      <c r="N105" s="414">
        <v>1</v>
      </c>
      <c r="O105" s="414">
        <v>1</v>
      </c>
      <c r="P105" s="414">
        <v>1</v>
      </c>
      <c r="Q105" s="414">
        <v>1</v>
      </c>
      <c r="R105" s="414">
        <v>1</v>
      </c>
      <c r="S105" s="414">
        <v>1</v>
      </c>
      <c r="T105" s="414">
        <v>1</v>
      </c>
      <c r="U105" s="414">
        <v>1</v>
      </c>
      <c r="V105" s="414">
        <v>1</v>
      </c>
      <c r="W105" s="414">
        <v>1</v>
      </c>
      <c r="X105" s="414">
        <v>1</v>
      </c>
      <c r="Y105" s="414">
        <v>1</v>
      </c>
      <c r="Z105" s="414">
        <v>1</v>
      </c>
      <c r="AA105" s="414">
        <v>1</v>
      </c>
      <c r="AB105" s="414">
        <v>1</v>
      </c>
      <c r="AC105" s="414">
        <v>1</v>
      </c>
      <c r="AD105" s="414">
        <v>1</v>
      </c>
      <c r="AE105" s="414">
        <v>1</v>
      </c>
      <c r="AF105" s="414">
        <v>1</v>
      </c>
      <c r="AG105" s="414">
        <v>1</v>
      </c>
      <c r="AH105" s="414">
        <v>1</v>
      </c>
      <c r="AI105" s="414">
        <v>1</v>
      </c>
      <c r="AJ105" s="414">
        <v>1</v>
      </c>
      <c r="AK105" s="414">
        <v>1</v>
      </c>
      <c r="AL105" s="414">
        <v>1</v>
      </c>
    </row>
    <row r="106" spans="1:38">
      <c r="A106" s="421"/>
      <c r="B106" s="411" t="s">
        <v>663</v>
      </c>
      <c r="C106" s="412" t="s">
        <v>664</v>
      </c>
      <c r="D106" s="414">
        <v>1</v>
      </c>
      <c r="E106" s="414">
        <v>1</v>
      </c>
      <c r="F106" s="414">
        <v>1</v>
      </c>
      <c r="G106" s="414">
        <v>1</v>
      </c>
      <c r="H106" s="414">
        <v>1</v>
      </c>
      <c r="I106" s="414">
        <v>1</v>
      </c>
      <c r="J106" s="414">
        <v>1</v>
      </c>
      <c r="K106" s="414">
        <v>1</v>
      </c>
      <c r="L106" s="414">
        <v>1</v>
      </c>
      <c r="M106" s="414">
        <v>1</v>
      </c>
      <c r="N106" s="414">
        <v>1</v>
      </c>
      <c r="O106" s="414">
        <v>1</v>
      </c>
      <c r="P106" s="414">
        <v>1</v>
      </c>
      <c r="Q106" s="414">
        <v>1</v>
      </c>
      <c r="R106" s="414">
        <v>1</v>
      </c>
      <c r="S106" s="414">
        <v>1</v>
      </c>
      <c r="T106" s="414">
        <v>1</v>
      </c>
      <c r="U106" s="414">
        <v>1</v>
      </c>
      <c r="V106" s="414">
        <v>1</v>
      </c>
      <c r="W106" s="414">
        <v>1</v>
      </c>
      <c r="X106" s="414">
        <v>1</v>
      </c>
      <c r="Y106" s="414">
        <v>1</v>
      </c>
      <c r="Z106" s="414">
        <v>1</v>
      </c>
      <c r="AA106" s="414">
        <v>1</v>
      </c>
      <c r="AB106" s="414">
        <v>1</v>
      </c>
      <c r="AC106" s="414">
        <v>1</v>
      </c>
      <c r="AD106" s="414">
        <v>1</v>
      </c>
      <c r="AE106" s="414">
        <v>1</v>
      </c>
      <c r="AF106" s="414">
        <v>1</v>
      </c>
      <c r="AG106" s="414">
        <v>1</v>
      </c>
      <c r="AH106" s="414">
        <v>1</v>
      </c>
      <c r="AI106" s="414">
        <v>1</v>
      </c>
      <c r="AJ106" s="414">
        <v>1</v>
      </c>
      <c r="AK106" s="414">
        <v>1</v>
      </c>
      <c r="AL106" s="414">
        <v>1</v>
      </c>
    </row>
    <row r="107" spans="1:38">
      <c r="A107" s="421"/>
      <c r="B107" s="411" t="s">
        <v>665</v>
      </c>
      <c r="C107" s="412" t="s">
        <v>666</v>
      </c>
      <c r="D107" s="414">
        <f>EXP(0.138*($D$10-1))</f>
        <v>1.1479755502741786</v>
      </c>
      <c r="E107" s="414">
        <f t="shared" ref="E107:AL107" si="50">EXP(0.138*($D$10-1))</f>
        <v>1.1479755502741786</v>
      </c>
      <c r="F107" s="414">
        <f t="shared" si="50"/>
        <v>1.1479755502741786</v>
      </c>
      <c r="G107" s="414">
        <f t="shared" si="50"/>
        <v>1.1479755502741786</v>
      </c>
      <c r="H107" s="414">
        <f t="shared" si="50"/>
        <v>1.1479755502741786</v>
      </c>
      <c r="I107" s="414">
        <f t="shared" si="50"/>
        <v>1.1479755502741786</v>
      </c>
      <c r="J107" s="414">
        <f t="shared" si="50"/>
        <v>1.1479755502741786</v>
      </c>
      <c r="K107" s="414">
        <f t="shared" si="50"/>
        <v>1.1479755502741786</v>
      </c>
      <c r="L107" s="414">
        <f t="shared" si="50"/>
        <v>1.1479755502741786</v>
      </c>
      <c r="M107" s="414">
        <f t="shared" si="50"/>
        <v>1.1479755502741786</v>
      </c>
      <c r="N107" s="414">
        <f t="shared" si="50"/>
        <v>1.1479755502741786</v>
      </c>
      <c r="O107" s="414">
        <f t="shared" si="50"/>
        <v>1.1479755502741786</v>
      </c>
      <c r="P107" s="414">
        <f t="shared" si="50"/>
        <v>1.1479755502741786</v>
      </c>
      <c r="Q107" s="414">
        <f t="shared" si="50"/>
        <v>1.1479755502741786</v>
      </c>
      <c r="R107" s="414">
        <f t="shared" si="50"/>
        <v>1.1479755502741786</v>
      </c>
      <c r="S107" s="414">
        <f t="shared" si="50"/>
        <v>1.1479755502741786</v>
      </c>
      <c r="T107" s="414">
        <f t="shared" si="50"/>
        <v>1.1479755502741786</v>
      </c>
      <c r="U107" s="414">
        <f t="shared" si="50"/>
        <v>1.1479755502741786</v>
      </c>
      <c r="V107" s="414">
        <f t="shared" si="50"/>
        <v>1.1479755502741786</v>
      </c>
      <c r="W107" s="414">
        <f t="shared" si="50"/>
        <v>1.1479755502741786</v>
      </c>
      <c r="X107" s="414">
        <f t="shared" si="50"/>
        <v>1.1479755502741786</v>
      </c>
      <c r="Y107" s="414">
        <f t="shared" si="50"/>
        <v>1.1479755502741786</v>
      </c>
      <c r="Z107" s="414">
        <f t="shared" si="50"/>
        <v>1.1479755502741786</v>
      </c>
      <c r="AA107" s="414">
        <f t="shared" si="50"/>
        <v>1.1479755502741786</v>
      </c>
      <c r="AB107" s="414">
        <f t="shared" si="50"/>
        <v>1.1479755502741786</v>
      </c>
      <c r="AC107" s="414">
        <f t="shared" si="50"/>
        <v>1.1479755502741786</v>
      </c>
      <c r="AD107" s="414">
        <f t="shared" si="50"/>
        <v>1.1479755502741786</v>
      </c>
      <c r="AE107" s="414">
        <f t="shared" si="50"/>
        <v>1.1479755502741786</v>
      </c>
      <c r="AF107" s="414">
        <f t="shared" si="50"/>
        <v>1.1479755502741786</v>
      </c>
      <c r="AG107" s="414">
        <f t="shared" si="50"/>
        <v>1.1479755502741786</v>
      </c>
      <c r="AH107" s="414">
        <f t="shared" si="50"/>
        <v>1.1479755502741786</v>
      </c>
      <c r="AI107" s="414">
        <f t="shared" si="50"/>
        <v>1.1479755502741786</v>
      </c>
      <c r="AJ107" s="414">
        <f t="shared" si="50"/>
        <v>1.1479755502741786</v>
      </c>
      <c r="AK107" s="414">
        <f t="shared" si="50"/>
        <v>1.1479755502741786</v>
      </c>
      <c r="AL107" s="414">
        <f t="shared" si="50"/>
        <v>1.1479755502741786</v>
      </c>
    </row>
    <row r="108" spans="1:38" ht="13">
      <c r="A108" s="421"/>
      <c r="B108" s="418"/>
      <c r="C108" s="419"/>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row>
    <row r="109" spans="1:38" ht="13">
      <c r="A109" s="421"/>
      <c r="B109" s="422" t="s">
        <v>668</v>
      </c>
      <c r="C109" s="408"/>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row>
    <row r="110" spans="1:38">
      <c r="A110" s="421"/>
      <c r="B110" s="411" t="s">
        <v>653</v>
      </c>
      <c r="C110" s="412" t="s">
        <v>654</v>
      </c>
      <c r="D110" s="423">
        <f>((D$77*D$78+0.2)/0.2)^(0.3116)</f>
        <v>28.622594131848018</v>
      </c>
      <c r="E110" s="423">
        <f t="shared" ref="E110:AL110" si="51">((E$77*E$78+0.2)/0.2)^(0.3116)</f>
        <v>28.978122593152463</v>
      </c>
      <c r="F110" s="423">
        <f t="shared" si="51"/>
        <v>29.338067454709787</v>
      </c>
      <c r="G110" s="423">
        <f t="shared" si="51"/>
        <v>29.702483569519121</v>
      </c>
      <c r="H110" s="423">
        <f t="shared" si="51"/>
        <v>27.493114026059601</v>
      </c>
      <c r="I110" s="423">
        <f t="shared" si="51"/>
        <v>27.834611947845541</v>
      </c>
      <c r="J110" s="423">
        <f t="shared" si="51"/>
        <v>28.180352007933855</v>
      </c>
      <c r="K110" s="423">
        <f t="shared" si="51"/>
        <v>28.530386894227824</v>
      </c>
      <c r="L110" s="423">
        <f t="shared" si="51"/>
        <v>28.884769949251826</v>
      </c>
      <c r="M110" s="423">
        <f t="shared" si="51"/>
        <v>29.24355517827864</v>
      </c>
      <c r="N110" s="423">
        <f t="shared" si="51"/>
        <v>29.606797257557492</v>
      </c>
      <c r="O110" s="423">
        <f t="shared" si="51"/>
        <v>29.974551542644686</v>
      </c>
      <c r="P110" s="423">
        <f t="shared" si="51"/>
        <v>30.346874076837661</v>
      </c>
      <c r="Q110" s="423">
        <f t="shared" si="51"/>
        <v>30.72382159971399</v>
      </c>
      <c r="R110" s="423">
        <f t="shared" si="51"/>
        <v>31.105451555776476</v>
      </c>
      <c r="S110" s="423">
        <f t="shared" si="51"/>
        <v>31.491822103205934</v>
      </c>
      <c r="T110" s="423">
        <f t="shared" si="51"/>
        <v>31.882992122722445</v>
      </c>
      <c r="U110" s="423">
        <f t="shared" si="51"/>
        <v>32.279021226557099</v>
      </c>
      <c r="V110" s="423">
        <f t="shared" si="51"/>
        <v>32.679969767535134</v>
      </c>
      <c r="W110" s="423">
        <f t="shared" si="51"/>
        <v>33.085898848271981</v>
      </c>
      <c r="X110" s="423">
        <f t="shared" si="51"/>
        <v>33.496870330483638</v>
      </c>
      <c r="Y110" s="423">
        <f t="shared" si="51"/>
        <v>33.912946844412808</v>
      </c>
      <c r="Z110" s="423">
        <f t="shared" si="51"/>
        <v>34.334191798372181</v>
      </c>
      <c r="AA110" s="423">
        <f t="shared" si="51"/>
        <v>34.760669388406328</v>
      </c>
      <c r="AB110" s="423">
        <f t="shared" si="51"/>
        <v>35.192444608073707</v>
      </c>
      <c r="AC110" s="423">
        <f t="shared" si="51"/>
        <v>35.629583258350266</v>
      </c>
      <c r="AD110" s="423">
        <f t="shared" si="51"/>
        <v>36.072151957656082</v>
      </c>
      <c r="AE110" s="423">
        <f t="shared" si="51"/>
        <v>36.52021815200672</v>
      </c>
      <c r="AF110" s="423">
        <f t="shared" si="51"/>
        <v>36.973850125290589</v>
      </c>
      <c r="AG110" s="423">
        <f t="shared" si="51"/>
        <v>37.433117009674234</v>
      </c>
      <c r="AH110" s="423">
        <f t="shared" si="51"/>
        <v>37.898088796136783</v>
      </c>
      <c r="AI110" s="423">
        <f t="shared" si="51"/>
        <v>38.368836345135328</v>
      </c>
      <c r="AJ110" s="423">
        <f t="shared" si="51"/>
        <v>38.845431397402962</v>
      </c>
      <c r="AK110" s="423">
        <f t="shared" si="51"/>
        <v>39.327946584880955</v>
      </c>
      <c r="AL110" s="423">
        <f t="shared" si="51"/>
        <v>39.816455441786673</v>
      </c>
    </row>
    <row r="111" spans="1:38">
      <c r="A111" s="421"/>
      <c r="B111" s="411" t="s">
        <v>655</v>
      </c>
      <c r="C111" s="412" t="s">
        <v>656</v>
      </c>
      <c r="D111" s="414">
        <f>EXP(0.2912*$D$9)</f>
        <v>1.7903300708920569</v>
      </c>
      <c r="E111" s="414">
        <f t="shared" ref="E111:AL111" si="52">EXP(0.2912*$D$9)</f>
        <v>1.7903300708920569</v>
      </c>
      <c r="F111" s="414">
        <f t="shared" si="52"/>
        <v>1.7903300708920569</v>
      </c>
      <c r="G111" s="414">
        <f t="shared" si="52"/>
        <v>1.7903300708920569</v>
      </c>
      <c r="H111" s="414">
        <f t="shared" si="52"/>
        <v>1.7903300708920569</v>
      </c>
      <c r="I111" s="414">
        <f t="shared" si="52"/>
        <v>1.7903300708920569</v>
      </c>
      <c r="J111" s="414">
        <f t="shared" si="52"/>
        <v>1.7903300708920569</v>
      </c>
      <c r="K111" s="414">
        <f t="shared" si="52"/>
        <v>1.7903300708920569</v>
      </c>
      <c r="L111" s="414">
        <f t="shared" si="52"/>
        <v>1.7903300708920569</v>
      </c>
      <c r="M111" s="414">
        <f t="shared" si="52"/>
        <v>1.7903300708920569</v>
      </c>
      <c r="N111" s="414">
        <f t="shared" si="52"/>
        <v>1.7903300708920569</v>
      </c>
      <c r="O111" s="414">
        <f t="shared" si="52"/>
        <v>1.7903300708920569</v>
      </c>
      <c r="P111" s="414">
        <f t="shared" si="52"/>
        <v>1.7903300708920569</v>
      </c>
      <c r="Q111" s="414">
        <f t="shared" si="52"/>
        <v>1.7903300708920569</v>
      </c>
      <c r="R111" s="414">
        <f t="shared" si="52"/>
        <v>1.7903300708920569</v>
      </c>
      <c r="S111" s="414">
        <f t="shared" si="52"/>
        <v>1.7903300708920569</v>
      </c>
      <c r="T111" s="414">
        <f t="shared" si="52"/>
        <v>1.7903300708920569</v>
      </c>
      <c r="U111" s="414">
        <f t="shared" si="52"/>
        <v>1.7903300708920569</v>
      </c>
      <c r="V111" s="414">
        <f t="shared" si="52"/>
        <v>1.7903300708920569</v>
      </c>
      <c r="W111" s="414">
        <f t="shared" si="52"/>
        <v>1.7903300708920569</v>
      </c>
      <c r="X111" s="414">
        <f t="shared" si="52"/>
        <v>1.7903300708920569</v>
      </c>
      <c r="Y111" s="414">
        <f t="shared" si="52"/>
        <v>1.7903300708920569</v>
      </c>
      <c r="Z111" s="414">
        <f t="shared" si="52"/>
        <v>1.7903300708920569</v>
      </c>
      <c r="AA111" s="414">
        <f t="shared" si="52"/>
        <v>1.7903300708920569</v>
      </c>
      <c r="AB111" s="414">
        <f t="shared" si="52"/>
        <v>1.7903300708920569</v>
      </c>
      <c r="AC111" s="414">
        <f t="shared" si="52"/>
        <v>1.7903300708920569</v>
      </c>
      <c r="AD111" s="414">
        <f t="shared" si="52"/>
        <v>1.7903300708920569</v>
      </c>
      <c r="AE111" s="414">
        <f t="shared" si="52"/>
        <v>1.7903300708920569</v>
      </c>
      <c r="AF111" s="414">
        <f t="shared" si="52"/>
        <v>1.7903300708920569</v>
      </c>
      <c r="AG111" s="414">
        <f t="shared" si="52"/>
        <v>1.7903300708920569</v>
      </c>
      <c r="AH111" s="414">
        <f t="shared" si="52"/>
        <v>1.7903300708920569</v>
      </c>
      <c r="AI111" s="414">
        <f t="shared" si="52"/>
        <v>1.7903300708920569</v>
      </c>
      <c r="AJ111" s="414">
        <f t="shared" si="52"/>
        <v>1.7903300708920569</v>
      </c>
      <c r="AK111" s="414">
        <f t="shared" si="52"/>
        <v>1.7903300708920569</v>
      </c>
      <c r="AL111" s="414">
        <f t="shared" si="52"/>
        <v>1.7903300708920569</v>
      </c>
    </row>
    <row r="112" spans="1:38">
      <c r="A112" s="421"/>
      <c r="B112" s="411" t="s">
        <v>657</v>
      </c>
      <c r="C112" s="416" t="s">
        <v>658</v>
      </c>
      <c r="D112" s="414">
        <v>1</v>
      </c>
      <c r="E112" s="414">
        <v>1</v>
      </c>
      <c r="F112" s="414">
        <v>1</v>
      </c>
      <c r="G112" s="414">
        <v>1</v>
      </c>
      <c r="H112" s="414">
        <v>1</v>
      </c>
      <c r="I112" s="414">
        <v>1</v>
      </c>
      <c r="J112" s="414">
        <v>1</v>
      </c>
      <c r="K112" s="414">
        <v>1</v>
      </c>
      <c r="L112" s="414">
        <v>1</v>
      </c>
      <c r="M112" s="414">
        <v>1</v>
      </c>
      <c r="N112" s="414">
        <v>1</v>
      </c>
      <c r="O112" s="414">
        <v>1</v>
      </c>
      <c r="P112" s="414">
        <v>1</v>
      </c>
      <c r="Q112" s="414">
        <v>1</v>
      </c>
      <c r="R112" s="414">
        <v>1</v>
      </c>
      <c r="S112" s="414">
        <v>1</v>
      </c>
      <c r="T112" s="414">
        <v>1</v>
      </c>
      <c r="U112" s="414">
        <v>1</v>
      </c>
      <c r="V112" s="414">
        <v>1</v>
      </c>
      <c r="W112" s="414">
        <v>1</v>
      </c>
      <c r="X112" s="414">
        <v>1</v>
      </c>
      <c r="Y112" s="414">
        <v>1</v>
      </c>
      <c r="Z112" s="414">
        <v>1</v>
      </c>
      <c r="AA112" s="414">
        <v>1</v>
      </c>
      <c r="AB112" s="414">
        <v>1</v>
      </c>
      <c r="AC112" s="414">
        <v>1</v>
      </c>
      <c r="AD112" s="414">
        <v>1</v>
      </c>
      <c r="AE112" s="414">
        <v>1</v>
      </c>
      <c r="AF112" s="414">
        <v>1</v>
      </c>
      <c r="AG112" s="414">
        <v>1</v>
      </c>
      <c r="AH112" s="414">
        <v>1</v>
      </c>
      <c r="AI112" s="414">
        <v>1</v>
      </c>
      <c r="AJ112" s="414">
        <v>1</v>
      </c>
      <c r="AK112" s="414">
        <v>1</v>
      </c>
      <c r="AL112" s="414">
        <v>1</v>
      </c>
    </row>
    <row r="113" spans="1:38">
      <c r="A113" s="421"/>
      <c r="B113" s="411" t="s">
        <v>659</v>
      </c>
      <c r="C113" s="412" t="s">
        <v>660</v>
      </c>
      <c r="D113" s="414">
        <v>1</v>
      </c>
      <c r="E113" s="414">
        <v>1</v>
      </c>
      <c r="F113" s="414">
        <v>1</v>
      </c>
      <c r="G113" s="414">
        <v>1</v>
      </c>
      <c r="H113" s="414">
        <v>1</v>
      </c>
      <c r="I113" s="414">
        <v>1</v>
      </c>
      <c r="J113" s="414">
        <v>1</v>
      </c>
      <c r="K113" s="414">
        <v>1</v>
      </c>
      <c r="L113" s="414">
        <v>1</v>
      </c>
      <c r="M113" s="414">
        <v>1</v>
      </c>
      <c r="N113" s="414">
        <v>1</v>
      </c>
      <c r="O113" s="414">
        <v>1</v>
      </c>
      <c r="P113" s="414">
        <v>1</v>
      </c>
      <c r="Q113" s="414">
        <v>1</v>
      </c>
      <c r="R113" s="414">
        <v>1</v>
      </c>
      <c r="S113" s="414">
        <v>1</v>
      </c>
      <c r="T113" s="414">
        <v>1</v>
      </c>
      <c r="U113" s="414">
        <v>1</v>
      </c>
      <c r="V113" s="414">
        <v>1</v>
      </c>
      <c r="W113" s="414">
        <v>1</v>
      </c>
      <c r="X113" s="414">
        <v>1</v>
      </c>
      <c r="Y113" s="414">
        <v>1</v>
      </c>
      <c r="Z113" s="414">
        <v>1</v>
      </c>
      <c r="AA113" s="414">
        <v>1</v>
      </c>
      <c r="AB113" s="414">
        <v>1</v>
      </c>
      <c r="AC113" s="414">
        <v>1</v>
      </c>
      <c r="AD113" s="414">
        <v>1</v>
      </c>
      <c r="AE113" s="414">
        <v>1</v>
      </c>
      <c r="AF113" s="414">
        <v>1</v>
      </c>
      <c r="AG113" s="414">
        <v>1</v>
      </c>
      <c r="AH113" s="414">
        <v>1</v>
      </c>
      <c r="AI113" s="414">
        <v>1</v>
      </c>
      <c r="AJ113" s="414">
        <v>1</v>
      </c>
      <c r="AK113" s="414">
        <v>1</v>
      </c>
      <c r="AL113" s="414">
        <v>1</v>
      </c>
    </row>
    <row r="114" spans="1:38">
      <c r="A114" s="421"/>
      <c r="B114" s="411" t="s">
        <v>661</v>
      </c>
      <c r="C114" s="412" t="s">
        <v>662</v>
      </c>
      <c r="D114" s="414">
        <v>1</v>
      </c>
      <c r="E114" s="414">
        <v>1</v>
      </c>
      <c r="F114" s="414">
        <v>1</v>
      </c>
      <c r="G114" s="414">
        <v>1</v>
      </c>
      <c r="H114" s="414">
        <v>1</v>
      </c>
      <c r="I114" s="414">
        <v>1</v>
      </c>
      <c r="J114" s="414">
        <v>1</v>
      </c>
      <c r="K114" s="414">
        <v>1</v>
      </c>
      <c r="L114" s="414">
        <v>1</v>
      </c>
      <c r="M114" s="414">
        <v>1</v>
      </c>
      <c r="N114" s="414">
        <v>1</v>
      </c>
      <c r="O114" s="414">
        <v>1</v>
      </c>
      <c r="P114" s="414">
        <v>1</v>
      </c>
      <c r="Q114" s="414">
        <v>1</v>
      </c>
      <c r="R114" s="414">
        <v>1</v>
      </c>
      <c r="S114" s="414">
        <v>1</v>
      </c>
      <c r="T114" s="414">
        <v>1</v>
      </c>
      <c r="U114" s="414">
        <v>1</v>
      </c>
      <c r="V114" s="414">
        <v>1</v>
      </c>
      <c r="W114" s="414">
        <v>1</v>
      </c>
      <c r="X114" s="414">
        <v>1</v>
      </c>
      <c r="Y114" s="414">
        <v>1</v>
      </c>
      <c r="Z114" s="414">
        <v>1</v>
      </c>
      <c r="AA114" s="414">
        <v>1</v>
      </c>
      <c r="AB114" s="414">
        <v>1</v>
      </c>
      <c r="AC114" s="414">
        <v>1</v>
      </c>
      <c r="AD114" s="414">
        <v>1</v>
      </c>
      <c r="AE114" s="414">
        <v>1</v>
      </c>
      <c r="AF114" s="414">
        <v>1</v>
      </c>
      <c r="AG114" s="414">
        <v>1</v>
      </c>
      <c r="AH114" s="414">
        <v>1</v>
      </c>
      <c r="AI114" s="414">
        <v>1</v>
      </c>
      <c r="AJ114" s="414">
        <v>1</v>
      </c>
      <c r="AK114" s="414">
        <v>1</v>
      </c>
      <c r="AL114" s="414">
        <v>1</v>
      </c>
    </row>
    <row r="115" spans="1:38">
      <c r="A115" s="421"/>
      <c r="B115" s="411" t="s">
        <v>663</v>
      </c>
      <c r="C115" s="412" t="s">
        <v>664</v>
      </c>
      <c r="D115" s="414">
        <v>1</v>
      </c>
      <c r="E115" s="414">
        <v>1</v>
      </c>
      <c r="F115" s="414">
        <v>1</v>
      </c>
      <c r="G115" s="414">
        <v>1</v>
      </c>
      <c r="H115" s="414">
        <v>1</v>
      </c>
      <c r="I115" s="414">
        <v>1</v>
      </c>
      <c r="J115" s="414">
        <v>1</v>
      </c>
      <c r="K115" s="414">
        <v>1</v>
      </c>
      <c r="L115" s="414">
        <v>1</v>
      </c>
      <c r="M115" s="414">
        <v>1</v>
      </c>
      <c r="N115" s="414">
        <v>1</v>
      </c>
      <c r="O115" s="414">
        <v>1</v>
      </c>
      <c r="P115" s="414">
        <v>1</v>
      </c>
      <c r="Q115" s="414">
        <v>1</v>
      </c>
      <c r="R115" s="414">
        <v>1</v>
      </c>
      <c r="S115" s="414">
        <v>1</v>
      </c>
      <c r="T115" s="414">
        <v>1</v>
      </c>
      <c r="U115" s="414">
        <v>1</v>
      </c>
      <c r="V115" s="414">
        <v>1</v>
      </c>
      <c r="W115" s="414">
        <v>1</v>
      </c>
      <c r="X115" s="414">
        <v>1</v>
      </c>
      <c r="Y115" s="414">
        <v>1</v>
      </c>
      <c r="Z115" s="414">
        <v>1</v>
      </c>
      <c r="AA115" s="414">
        <v>1</v>
      </c>
      <c r="AB115" s="414">
        <v>1</v>
      </c>
      <c r="AC115" s="414">
        <v>1</v>
      </c>
      <c r="AD115" s="414">
        <v>1</v>
      </c>
      <c r="AE115" s="414">
        <v>1</v>
      </c>
      <c r="AF115" s="414">
        <v>1</v>
      </c>
      <c r="AG115" s="414">
        <v>1</v>
      </c>
      <c r="AH115" s="414">
        <v>1</v>
      </c>
      <c r="AI115" s="414">
        <v>1</v>
      </c>
      <c r="AJ115" s="414">
        <v>1</v>
      </c>
      <c r="AK115" s="414">
        <v>1</v>
      </c>
      <c r="AL115" s="414">
        <v>1</v>
      </c>
    </row>
    <row r="116" spans="1:38">
      <c r="A116" s="421"/>
      <c r="B116" s="424" t="s">
        <v>665</v>
      </c>
      <c r="C116" s="425" t="s">
        <v>666</v>
      </c>
      <c r="D116" s="426">
        <f>EXP(0.1036*($D$10-1))</f>
        <v>1.1091567034898182</v>
      </c>
      <c r="E116" s="426">
        <f t="shared" ref="E116:AL116" si="53">EXP(0.1036*($D$10-1))</f>
        <v>1.1091567034898182</v>
      </c>
      <c r="F116" s="426">
        <f t="shared" si="53"/>
        <v>1.1091567034898182</v>
      </c>
      <c r="G116" s="426">
        <f t="shared" si="53"/>
        <v>1.1091567034898182</v>
      </c>
      <c r="H116" s="426">
        <f t="shared" si="53"/>
        <v>1.1091567034898182</v>
      </c>
      <c r="I116" s="426">
        <f t="shared" si="53"/>
        <v>1.1091567034898182</v>
      </c>
      <c r="J116" s="426">
        <f t="shared" si="53"/>
        <v>1.1091567034898182</v>
      </c>
      <c r="K116" s="426">
        <f t="shared" si="53"/>
        <v>1.1091567034898182</v>
      </c>
      <c r="L116" s="426">
        <f t="shared" si="53"/>
        <v>1.1091567034898182</v>
      </c>
      <c r="M116" s="426">
        <f t="shared" si="53"/>
        <v>1.1091567034898182</v>
      </c>
      <c r="N116" s="426">
        <f t="shared" si="53"/>
        <v>1.1091567034898182</v>
      </c>
      <c r="O116" s="426">
        <f t="shared" si="53"/>
        <v>1.1091567034898182</v>
      </c>
      <c r="P116" s="426">
        <f t="shared" si="53"/>
        <v>1.1091567034898182</v>
      </c>
      <c r="Q116" s="426">
        <f t="shared" si="53"/>
        <v>1.1091567034898182</v>
      </c>
      <c r="R116" s="426">
        <f t="shared" si="53"/>
        <v>1.1091567034898182</v>
      </c>
      <c r="S116" s="426">
        <f t="shared" si="53"/>
        <v>1.1091567034898182</v>
      </c>
      <c r="T116" s="426">
        <f t="shared" si="53"/>
        <v>1.1091567034898182</v>
      </c>
      <c r="U116" s="426">
        <f t="shared" si="53"/>
        <v>1.1091567034898182</v>
      </c>
      <c r="V116" s="426">
        <f t="shared" si="53"/>
        <v>1.1091567034898182</v>
      </c>
      <c r="W116" s="426">
        <f t="shared" si="53"/>
        <v>1.1091567034898182</v>
      </c>
      <c r="X116" s="426">
        <f t="shared" si="53"/>
        <v>1.1091567034898182</v>
      </c>
      <c r="Y116" s="426">
        <f t="shared" si="53"/>
        <v>1.1091567034898182</v>
      </c>
      <c r="Z116" s="426">
        <f t="shared" si="53"/>
        <v>1.1091567034898182</v>
      </c>
      <c r="AA116" s="426">
        <f t="shared" si="53"/>
        <v>1.1091567034898182</v>
      </c>
      <c r="AB116" s="426">
        <f t="shared" si="53"/>
        <v>1.1091567034898182</v>
      </c>
      <c r="AC116" s="426">
        <f t="shared" si="53"/>
        <v>1.1091567034898182</v>
      </c>
      <c r="AD116" s="426">
        <f t="shared" si="53"/>
        <v>1.1091567034898182</v>
      </c>
      <c r="AE116" s="426">
        <f t="shared" si="53"/>
        <v>1.1091567034898182</v>
      </c>
      <c r="AF116" s="426">
        <f t="shared" si="53"/>
        <v>1.1091567034898182</v>
      </c>
      <c r="AG116" s="426">
        <f t="shared" si="53"/>
        <v>1.1091567034898182</v>
      </c>
      <c r="AH116" s="426">
        <f t="shared" si="53"/>
        <v>1.1091567034898182</v>
      </c>
      <c r="AI116" s="426">
        <f t="shared" si="53"/>
        <v>1.1091567034898182</v>
      </c>
      <c r="AJ116" s="426">
        <f t="shared" si="53"/>
        <v>1.1091567034898182</v>
      </c>
      <c r="AK116" s="426">
        <f t="shared" si="53"/>
        <v>1.1091567034898182</v>
      </c>
      <c r="AL116" s="426">
        <f t="shared" si="53"/>
        <v>1.1091567034898182</v>
      </c>
    </row>
    <row r="117" spans="1:38">
      <c r="B117" s="362"/>
      <c r="C117" s="427" t="s">
        <v>290</v>
      </c>
      <c r="D117" s="415"/>
      <c r="E117" s="415"/>
      <c r="F117" s="415"/>
      <c r="G117" s="415"/>
      <c r="H117" s="1235"/>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row>
    <row r="118" spans="1:38">
      <c r="B118" s="362" t="s">
        <v>669</v>
      </c>
      <c r="C118" s="428">
        <f>$E$6</f>
        <v>3.6459999999999999E-3</v>
      </c>
      <c r="D118" s="429">
        <f>IF($D$6=$B91,$C$118*PRODUCT(D$92:D$98),IF($D$6=$B100,$C$118*PRODUCT(D$101:D$107), $C$118*PRODUCT(D$110:D$116)))</f>
        <v>0.14424767881332129</v>
      </c>
      <c r="E118" s="429">
        <f t="shared" ref="E118:AK118" si="54">IF($D$6=$B91,$C$118*PRODUCT(E$92:E$98),IF($D$6=$B100,$C$118*PRODUCT(E$101:E$107), $C$118*PRODUCT(E$110:E$116)))</f>
        <v>0.14601413197947463</v>
      </c>
      <c r="F118" s="429">
        <f t="shared" si="54"/>
        <v>0.14780225288062906</v>
      </c>
      <c r="G118" s="429">
        <f t="shared" si="54"/>
        <v>0.14961230734959785</v>
      </c>
      <c r="H118" s="429">
        <f>IF($D$6=$B91,$C$118*PRODUCT(H$92:H$98),IF($D$6=$B100,$C$118*PRODUCT(H$101:H$107), $C$118*PRODUCT(H$110:H$116)))</f>
        <v>0.13733895314169156</v>
      </c>
      <c r="I118" s="429">
        <f t="shared" si="54"/>
        <v>0.13901995114034069</v>
      </c>
      <c r="J118" s="429">
        <f t="shared" si="54"/>
        <v>0.14072156649043061</v>
      </c>
      <c r="K118" s="429">
        <f t="shared" si="54"/>
        <v>0.14244405213734129</v>
      </c>
      <c r="L118" s="429">
        <f t="shared" si="54"/>
        <v>0.14418766413068809</v>
      </c>
      <c r="M118" s="429">
        <f t="shared" si="54"/>
        <v>0.14595266166238965</v>
      </c>
      <c r="N118" s="429">
        <f t="shared" si="54"/>
        <v>0.14773930710520269</v>
      </c>
      <c r="O118" s="429">
        <f t="shared" si="54"/>
        <v>0.14954786605173123</v>
      </c>
      <c r="P118" s="429">
        <f t="shared" si="54"/>
        <v>0.15137860735391345</v>
      </c>
      <c r="Q118" s="429">
        <f t="shared" si="54"/>
        <v>0.15323180316299506</v>
      </c>
      <c r="R118" s="429">
        <f t="shared" si="54"/>
        <v>0.15510772896999264</v>
      </c>
      <c r="S118" s="429">
        <f t="shared" si="54"/>
        <v>0.15700666364665467</v>
      </c>
      <c r="T118" s="429">
        <f t="shared" si="54"/>
        <v>0.15892888948692493</v>
      </c>
      <c r="U118" s="429">
        <f t="shared" si="54"/>
        <v>0.16087469224891585</v>
      </c>
      <c r="V118" s="429">
        <f t="shared" si="54"/>
        <v>0.16284436119739656</v>
      </c>
      <c r="W118" s="429">
        <f t="shared" si="54"/>
        <v>0.1648381891468034</v>
      </c>
      <c r="X118" s="429">
        <f t="shared" si="54"/>
        <v>0.16685647250477806</v>
      </c>
      <c r="Y118" s="429">
        <f t="shared" si="54"/>
        <v>0.16889951131624092</v>
      </c>
      <c r="Z118" s="429">
        <f t="shared" si="54"/>
        <v>0.17096760930800484</v>
      </c>
      <c r="AA118" s="429">
        <f t="shared" si="54"/>
        <v>0.17306107393393724</v>
      </c>
      <c r="AB118" s="429">
        <f t="shared" si="54"/>
        <v>0.17518021642067685</v>
      </c>
      <c r="AC118" s="429">
        <f t="shared" si="54"/>
        <v>0.17732535181391135</v>
      </c>
      <c r="AD118" s="429">
        <f t="shared" si="54"/>
        <v>0.17949679902522328</v>
      </c>
      <c r="AE118" s="429">
        <f t="shared" si="54"/>
        <v>0.18169488087951124</v>
      </c>
      <c r="AF118" s="429">
        <f t="shared" si="54"/>
        <v>0.18391992416299338</v>
      </c>
      <c r="AG118" s="429">
        <f t="shared" si="54"/>
        <v>0.18617225967180004</v>
      </c>
      <c r="AH118" s="429">
        <f t="shared" si="54"/>
        <v>0.18845222226116259</v>
      </c>
      <c r="AI118" s="429">
        <f t="shared" si="54"/>
        <v>0.19076015089520731</v>
      </c>
      <c r="AJ118" s="429">
        <f t="shared" si="54"/>
        <v>0.19309638869735851</v>
      </c>
      <c r="AK118" s="429">
        <f t="shared" si="54"/>
        <v>0.19546128300136331</v>
      </c>
      <c r="AL118" s="429">
        <f t="shared" ref="AL118" si="55">IF($D$6=$B91,$C$118*PRODUCT(AL$92:AL$98),IF($D$6=$B100,$C$118*PRODUCT(AL$101:AL$107), $C$118*PRODUCT(AL$110:AL$116)))</f>
        <v>0.19785518540293962</v>
      </c>
    </row>
    <row r="119" spans="1:38">
      <c r="H119" s="1228"/>
    </row>
    <row r="120" spans="1:38" ht="13">
      <c r="B120" s="407" t="s">
        <v>670</v>
      </c>
      <c r="C120" s="396" t="s">
        <v>627</v>
      </c>
      <c r="D120" s="397">
        <v>2018</v>
      </c>
      <c r="E120" s="397">
        <v>2020</v>
      </c>
      <c r="F120" s="397">
        <v>2021</v>
      </c>
      <c r="G120" s="397">
        <v>2022</v>
      </c>
      <c r="H120" s="1238">
        <v>2023</v>
      </c>
      <c r="I120" s="397">
        <v>2024</v>
      </c>
      <c r="J120" s="397">
        <v>2025</v>
      </c>
      <c r="K120" s="397">
        <v>2026</v>
      </c>
      <c r="L120" s="397">
        <v>2027</v>
      </c>
      <c r="M120" s="397">
        <v>2028</v>
      </c>
      <c r="N120" s="397">
        <v>2029</v>
      </c>
      <c r="O120" s="397">
        <v>2030</v>
      </c>
      <c r="P120" s="397">
        <v>2031</v>
      </c>
      <c r="Q120" s="397">
        <v>2032</v>
      </c>
      <c r="R120" s="397">
        <v>2033</v>
      </c>
      <c r="S120" s="397">
        <v>2034</v>
      </c>
      <c r="T120" s="397">
        <v>2035</v>
      </c>
      <c r="U120" s="397">
        <v>2036</v>
      </c>
      <c r="V120" s="397">
        <v>2037</v>
      </c>
      <c r="W120" s="397">
        <v>2038</v>
      </c>
      <c r="X120" s="397">
        <v>2039</v>
      </c>
      <c r="Y120" s="397">
        <v>2040</v>
      </c>
      <c r="Z120" s="397">
        <v>2041</v>
      </c>
      <c r="AA120" s="397">
        <v>2042</v>
      </c>
      <c r="AB120" s="397">
        <v>2043</v>
      </c>
      <c r="AC120" s="397">
        <v>2044</v>
      </c>
      <c r="AD120" s="397">
        <v>2044</v>
      </c>
      <c r="AE120" s="397">
        <v>2044</v>
      </c>
      <c r="AF120" s="397">
        <v>2044</v>
      </c>
      <c r="AG120" s="397">
        <v>2044</v>
      </c>
      <c r="AH120" s="397">
        <v>2044</v>
      </c>
      <c r="AI120" s="397">
        <v>2044</v>
      </c>
      <c r="AJ120" s="397">
        <v>2044</v>
      </c>
      <c r="AK120" s="397">
        <v>2044</v>
      </c>
      <c r="AL120" s="397">
        <v>2044</v>
      </c>
    </row>
    <row r="121" spans="1:38">
      <c r="A121" s="366"/>
      <c r="B121" s="366" t="s">
        <v>671</v>
      </c>
      <c r="C121" s="430" t="s">
        <v>662</v>
      </c>
      <c r="D121" s="431">
        <f>D82^(-1.074)</f>
        <v>0.11486407065121609</v>
      </c>
      <c r="E121" s="431">
        <f t="shared" ref="E121:AK121" si="56">E82^(-1.074)</f>
        <v>0.11486407065121609</v>
      </c>
      <c r="F121" s="431">
        <f t="shared" si="56"/>
        <v>0.11486407065121609</v>
      </c>
      <c r="G121" s="431">
        <f t="shared" si="56"/>
        <v>0.11486407065121609</v>
      </c>
      <c r="H121" s="431">
        <f t="shared" si="56"/>
        <v>0.11486407065121609</v>
      </c>
      <c r="I121" s="431">
        <f t="shared" si="56"/>
        <v>0.11486407065121609</v>
      </c>
      <c r="J121" s="431">
        <f t="shared" si="56"/>
        <v>0.11486407065121609</v>
      </c>
      <c r="K121" s="431">
        <f t="shared" si="56"/>
        <v>0.11486407065121609</v>
      </c>
      <c r="L121" s="431">
        <f t="shared" si="56"/>
        <v>0.11486407065121609</v>
      </c>
      <c r="M121" s="431">
        <f t="shared" si="56"/>
        <v>0.11486407065121609</v>
      </c>
      <c r="N121" s="431">
        <f t="shared" si="56"/>
        <v>0.11486407065121609</v>
      </c>
      <c r="O121" s="431">
        <f t="shared" si="56"/>
        <v>0.11486407065121609</v>
      </c>
      <c r="P121" s="431">
        <f t="shared" si="56"/>
        <v>0.11486407065121609</v>
      </c>
      <c r="Q121" s="431">
        <f t="shared" si="56"/>
        <v>0.11486407065121609</v>
      </c>
      <c r="R121" s="431">
        <f t="shared" si="56"/>
        <v>0.11486407065121609</v>
      </c>
      <c r="S121" s="431">
        <f t="shared" si="56"/>
        <v>0.11486407065121609</v>
      </c>
      <c r="T121" s="431">
        <f t="shared" si="56"/>
        <v>0.11486407065121609</v>
      </c>
      <c r="U121" s="431">
        <f t="shared" si="56"/>
        <v>0.11486407065121609</v>
      </c>
      <c r="V121" s="431">
        <f t="shared" si="56"/>
        <v>0.11486407065121609</v>
      </c>
      <c r="W121" s="431">
        <f t="shared" si="56"/>
        <v>0.11486407065121609</v>
      </c>
      <c r="X121" s="431">
        <f t="shared" si="56"/>
        <v>0.11486407065121609</v>
      </c>
      <c r="Y121" s="431">
        <f t="shared" si="56"/>
        <v>0.11486407065121609</v>
      </c>
      <c r="Z121" s="431">
        <f t="shared" si="56"/>
        <v>0.11486407065121609</v>
      </c>
      <c r="AA121" s="431">
        <f t="shared" si="56"/>
        <v>0.11486407065121609</v>
      </c>
      <c r="AB121" s="431">
        <f t="shared" si="56"/>
        <v>0.11486407065121609</v>
      </c>
      <c r="AC121" s="431">
        <f t="shared" si="56"/>
        <v>0.11486407065121609</v>
      </c>
      <c r="AD121" s="431">
        <f t="shared" si="56"/>
        <v>0.11486407065121609</v>
      </c>
      <c r="AE121" s="431">
        <f t="shared" si="56"/>
        <v>0.11486407065121609</v>
      </c>
      <c r="AF121" s="431">
        <f t="shared" si="56"/>
        <v>0.11486407065121609</v>
      </c>
      <c r="AG121" s="431">
        <f t="shared" si="56"/>
        <v>0.11486407065121609</v>
      </c>
      <c r="AH121" s="431">
        <f t="shared" si="56"/>
        <v>0.11486407065121609</v>
      </c>
      <c r="AI121" s="431">
        <f t="shared" si="56"/>
        <v>0.11486407065121609</v>
      </c>
      <c r="AJ121" s="431">
        <f t="shared" si="56"/>
        <v>0.11486407065121609</v>
      </c>
      <c r="AK121" s="431">
        <f t="shared" si="56"/>
        <v>0.11486407065121609</v>
      </c>
      <c r="AL121" s="431">
        <f t="shared" ref="AL121" si="57">AL82^(-1.074)</f>
        <v>0.11486407065121609</v>
      </c>
    </row>
    <row r="122" spans="1:38">
      <c r="B122" s="358" t="s">
        <v>606</v>
      </c>
      <c r="C122" s="419" t="s">
        <v>672</v>
      </c>
      <c r="D122" s="417">
        <f>(D$17+1)^(-0.1025)</f>
        <v>0.79757663346161678</v>
      </c>
      <c r="E122" s="417">
        <f t="shared" ref="E122:AL122" si="58">(E$17+1)^(-0.1025)</f>
        <v>0.79680897246870619</v>
      </c>
      <c r="F122" s="417">
        <f t="shared" si="58"/>
        <v>0.79604116792816049</v>
      </c>
      <c r="G122" s="417">
        <f t="shared" si="58"/>
        <v>0.79527322893175478</v>
      </c>
      <c r="H122" s="417">
        <f t="shared" si="58"/>
        <v>0.79450516450092767</v>
      </c>
      <c r="I122" s="417">
        <f t="shared" si="58"/>
        <v>0.79373698358684053</v>
      </c>
      <c r="J122" s="417">
        <f t="shared" si="58"/>
        <v>0.79296869507044476</v>
      </c>
      <c r="K122" s="417">
        <f t="shared" si="58"/>
        <v>0.79220030776256189</v>
      </c>
      <c r="L122" s="417">
        <f t="shared" si="58"/>
        <v>0.79143183040396969</v>
      </c>
      <c r="M122" s="417">
        <f t="shared" si="58"/>
        <v>0.79066327166550054</v>
      </c>
      <c r="N122" s="417">
        <f t="shared" si="58"/>
        <v>0.78989464014814825</v>
      </c>
      <c r="O122" s="417">
        <f t="shared" si="58"/>
        <v>0.78912594438318295</v>
      </c>
      <c r="P122" s="417">
        <f t="shared" si="58"/>
        <v>0.78835719283227634</v>
      </c>
      <c r="Q122" s="417">
        <f t="shared" si="58"/>
        <v>0.78758839388763435</v>
      </c>
      <c r="R122" s="417">
        <f t="shared" si="58"/>
        <v>0.78681955587213903</v>
      </c>
      <c r="S122" s="417">
        <f t="shared" si="58"/>
        <v>0.78605068703949843</v>
      </c>
      <c r="T122" s="417">
        <f t="shared" si="58"/>
        <v>0.78528179557440425</v>
      </c>
      <c r="U122" s="417">
        <f t="shared" si="58"/>
        <v>0.78451288959269794</v>
      </c>
      <c r="V122" s="417">
        <f t="shared" si="58"/>
        <v>0.78374397714154387</v>
      </c>
      <c r="W122" s="417">
        <f t="shared" si="58"/>
        <v>0.78297506619961088</v>
      </c>
      <c r="X122" s="417">
        <f t="shared" si="58"/>
        <v>0.78220616467725967</v>
      </c>
      <c r="Y122" s="417">
        <f t="shared" si="58"/>
        <v>0.7814372804167391</v>
      </c>
      <c r="Z122" s="417">
        <f t="shared" si="58"/>
        <v>0.78066842119238811</v>
      </c>
      <c r="AA122" s="417">
        <f t="shared" si="58"/>
        <v>0.77989959471084491</v>
      </c>
      <c r="AB122" s="417">
        <f t="shared" si="58"/>
        <v>0.77913080861126272</v>
      </c>
      <c r="AC122" s="417">
        <f t="shared" si="58"/>
        <v>0.77836207046553207</v>
      </c>
      <c r="AD122" s="417">
        <f t="shared" si="58"/>
        <v>0.77759338777850873</v>
      </c>
      <c r="AE122" s="417">
        <f t="shared" si="58"/>
        <v>0.77682476798824884</v>
      </c>
      <c r="AF122" s="417">
        <f t="shared" si="58"/>
        <v>0.77605621846624906</v>
      </c>
      <c r="AG122" s="417">
        <f t="shared" si="58"/>
        <v>0.77528774651769194</v>
      </c>
      <c r="AH122" s="417">
        <f t="shared" si="58"/>
        <v>0.77451935938169869</v>
      </c>
      <c r="AI122" s="417">
        <f t="shared" si="58"/>
        <v>0.77375106423158546</v>
      </c>
      <c r="AJ122" s="417">
        <f t="shared" si="58"/>
        <v>0.77298286817512585</v>
      </c>
      <c r="AK122" s="417">
        <f t="shared" si="58"/>
        <v>0.77221477825481855</v>
      </c>
      <c r="AL122" s="417">
        <f t="shared" si="58"/>
        <v>0.77144680144815947</v>
      </c>
    </row>
    <row r="123" spans="1:38">
      <c r="B123" s="358" t="s">
        <v>673</v>
      </c>
      <c r="C123" s="419" t="s">
        <v>674</v>
      </c>
      <c r="D123" s="414">
        <f>(D$19+1)^(0.1025)</f>
        <v>1</v>
      </c>
      <c r="E123" s="414">
        <f t="shared" ref="E123:AL123" si="59">(E$19+1)^(0.1025)</f>
        <v>1</v>
      </c>
      <c r="F123" s="414">
        <f t="shared" si="59"/>
        <v>1</v>
      </c>
      <c r="G123" s="414">
        <f t="shared" si="59"/>
        <v>1</v>
      </c>
      <c r="H123" s="414">
        <f t="shared" si="59"/>
        <v>1</v>
      </c>
      <c r="I123" s="414">
        <f t="shared" si="59"/>
        <v>1</v>
      </c>
      <c r="J123" s="414">
        <f t="shared" si="59"/>
        <v>1</v>
      </c>
      <c r="K123" s="414">
        <f t="shared" si="59"/>
        <v>1</v>
      </c>
      <c r="L123" s="414">
        <f t="shared" si="59"/>
        <v>1</v>
      </c>
      <c r="M123" s="414">
        <f t="shared" si="59"/>
        <v>1</v>
      </c>
      <c r="N123" s="414">
        <f t="shared" si="59"/>
        <v>1</v>
      </c>
      <c r="O123" s="414">
        <f t="shared" si="59"/>
        <v>1</v>
      </c>
      <c r="P123" s="414">
        <f t="shared" si="59"/>
        <v>1</v>
      </c>
      <c r="Q123" s="414">
        <f t="shared" si="59"/>
        <v>1</v>
      </c>
      <c r="R123" s="414">
        <f t="shared" si="59"/>
        <v>1</v>
      </c>
      <c r="S123" s="414">
        <f t="shared" si="59"/>
        <v>1</v>
      </c>
      <c r="T123" s="414">
        <f t="shared" si="59"/>
        <v>1</v>
      </c>
      <c r="U123" s="414">
        <f t="shared" si="59"/>
        <v>1</v>
      </c>
      <c r="V123" s="414">
        <f t="shared" si="59"/>
        <v>1</v>
      </c>
      <c r="W123" s="414">
        <f t="shared" si="59"/>
        <v>1</v>
      </c>
      <c r="X123" s="414">
        <f t="shared" si="59"/>
        <v>1</v>
      </c>
      <c r="Y123" s="414">
        <f t="shared" si="59"/>
        <v>1</v>
      </c>
      <c r="Z123" s="414">
        <f t="shared" si="59"/>
        <v>1</v>
      </c>
      <c r="AA123" s="414">
        <f t="shared" si="59"/>
        <v>1</v>
      </c>
      <c r="AB123" s="414">
        <f t="shared" si="59"/>
        <v>1</v>
      </c>
      <c r="AC123" s="414">
        <f t="shared" si="59"/>
        <v>1</v>
      </c>
      <c r="AD123" s="414">
        <f t="shared" si="59"/>
        <v>1</v>
      </c>
      <c r="AE123" s="414">
        <f t="shared" si="59"/>
        <v>1</v>
      </c>
      <c r="AF123" s="414">
        <f t="shared" si="59"/>
        <v>1</v>
      </c>
      <c r="AG123" s="414">
        <f t="shared" si="59"/>
        <v>1</v>
      </c>
      <c r="AH123" s="414">
        <f t="shared" si="59"/>
        <v>1</v>
      </c>
      <c r="AI123" s="414">
        <f t="shared" si="59"/>
        <v>1</v>
      </c>
      <c r="AJ123" s="414">
        <f t="shared" si="59"/>
        <v>1</v>
      </c>
      <c r="AK123" s="414">
        <f t="shared" si="59"/>
        <v>1</v>
      </c>
      <c r="AL123" s="414">
        <f t="shared" si="59"/>
        <v>1</v>
      </c>
    </row>
    <row r="124" spans="1:38">
      <c r="B124" s="433" t="s">
        <v>675</v>
      </c>
      <c r="C124" s="434" t="s">
        <v>676</v>
      </c>
      <c r="D124" s="426">
        <f>EXP(0.188*$E$5)</f>
        <v>1.2068335153496053</v>
      </c>
      <c r="E124" s="426">
        <f t="shared" ref="E124:AL124" si="60">EXP(0.188*$E$5)</f>
        <v>1.2068335153496053</v>
      </c>
      <c r="F124" s="426">
        <f t="shared" si="60"/>
        <v>1.2068335153496053</v>
      </c>
      <c r="G124" s="426">
        <f t="shared" si="60"/>
        <v>1.2068335153496053</v>
      </c>
      <c r="H124" s="426">
        <f t="shared" si="60"/>
        <v>1.2068335153496053</v>
      </c>
      <c r="I124" s="426">
        <f t="shared" si="60"/>
        <v>1.2068335153496053</v>
      </c>
      <c r="J124" s="426">
        <f t="shared" si="60"/>
        <v>1.2068335153496053</v>
      </c>
      <c r="K124" s="426">
        <f t="shared" si="60"/>
        <v>1.2068335153496053</v>
      </c>
      <c r="L124" s="426">
        <f t="shared" si="60"/>
        <v>1.2068335153496053</v>
      </c>
      <c r="M124" s="426">
        <f t="shared" si="60"/>
        <v>1.2068335153496053</v>
      </c>
      <c r="N124" s="426">
        <f t="shared" si="60"/>
        <v>1.2068335153496053</v>
      </c>
      <c r="O124" s="426">
        <f t="shared" si="60"/>
        <v>1.2068335153496053</v>
      </c>
      <c r="P124" s="426">
        <f t="shared" si="60"/>
        <v>1.2068335153496053</v>
      </c>
      <c r="Q124" s="426">
        <f t="shared" si="60"/>
        <v>1.2068335153496053</v>
      </c>
      <c r="R124" s="426">
        <f t="shared" si="60"/>
        <v>1.2068335153496053</v>
      </c>
      <c r="S124" s="426">
        <f t="shared" si="60"/>
        <v>1.2068335153496053</v>
      </c>
      <c r="T124" s="426">
        <f t="shared" si="60"/>
        <v>1.2068335153496053</v>
      </c>
      <c r="U124" s="426">
        <f t="shared" si="60"/>
        <v>1.2068335153496053</v>
      </c>
      <c r="V124" s="426">
        <f t="shared" si="60"/>
        <v>1.2068335153496053</v>
      </c>
      <c r="W124" s="426">
        <f t="shared" si="60"/>
        <v>1.2068335153496053</v>
      </c>
      <c r="X124" s="426">
        <f t="shared" si="60"/>
        <v>1.2068335153496053</v>
      </c>
      <c r="Y124" s="426">
        <f t="shared" si="60"/>
        <v>1.2068335153496053</v>
      </c>
      <c r="Z124" s="426">
        <f t="shared" si="60"/>
        <v>1.2068335153496053</v>
      </c>
      <c r="AA124" s="426">
        <f t="shared" si="60"/>
        <v>1.2068335153496053</v>
      </c>
      <c r="AB124" s="426">
        <f t="shared" si="60"/>
        <v>1.2068335153496053</v>
      </c>
      <c r="AC124" s="426">
        <f t="shared" si="60"/>
        <v>1.2068335153496053</v>
      </c>
      <c r="AD124" s="426">
        <f t="shared" si="60"/>
        <v>1.2068335153496053</v>
      </c>
      <c r="AE124" s="426">
        <f t="shared" si="60"/>
        <v>1.2068335153496053</v>
      </c>
      <c r="AF124" s="426">
        <f t="shared" si="60"/>
        <v>1.2068335153496053</v>
      </c>
      <c r="AG124" s="426">
        <f t="shared" si="60"/>
        <v>1.2068335153496053</v>
      </c>
      <c r="AH124" s="426">
        <f t="shared" si="60"/>
        <v>1.2068335153496053</v>
      </c>
      <c r="AI124" s="426">
        <f t="shared" si="60"/>
        <v>1.2068335153496053</v>
      </c>
      <c r="AJ124" s="426">
        <f t="shared" si="60"/>
        <v>1.2068335153496053</v>
      </c>
      <c r="AK124" s="426">
        <f t="shared" si="60"/>
        <v>1.2068335153496053</v>
      </c>
      <c r="AL124" s="426">
        <f t="shared" si="60"/>
        <v>1.2068335153496053</v>
      </c>
    </row>
    <row r="125" spans="1:38">
      <c r="B125" s="362"/>
      <c r="C125" s="427" t="s">
        <v>290</v>
      </c>
    </row>
    <row r="126" spans="1:38">
      <c r="B126" s="362" t="s">
        <v>677</v>
      </c>
      <c r="C126" s="406">
        <v>695</v>
      </c>
      <c r="D126" s="435">
        <f>1/(1+$C$64*PRODUCT(D$59:D$62))</f>
        <v>1.2846823428953566E-2</v>
      </c>
      <c r="E126" s="435">
        <f t="shared" ref="E126:AL126" si="61">1/(1+$C$64*PRODUCT(E$59:E$62))</f>
        <v>1.2859041149429273E-2</v>
      </c>
      <c r="F126" s="435">
        <f t="shared" si="61"/>
        <v>1.2871284422039322E-2</v>
      </c>
      <c r="G126" s="435">
        <f t="shared" si="61"/>
        <v>1.2883553180992649E-2</v>
      </c>
      <c r="H126" s="435">
        <f t="shared" si="61"/>
        <v>1.289584736084585E-2</v>
      </c>
      <c r="I126" s="435">
        <f t="shared" si="61"/>
        <v>1.2908166896506283E-2</v>
      </c>
      <c r="J126" s="435">
        <f t="shared" si="61"/>
        <v>1.2920511723235115E-2</v>
      </c>
      <c r="K126" s="435">
        <f t="shared" si="61"/>
        <v>1.2932881776650215E-2</v>
      </c>
      <c r="L126" s="435">
        <f t="shared" si="61"/>
        <v>1.2945276992729026E-2</v>
      </c>
      <c r="M126" s="435">
        <f t="shared" si="61"/>
        <v>1.2957697307811268E-2</v>
      </c>
      <c r="N126" s="435">
        <f t="shared" si="61"/>
        <v>1.2970142658601587E-2</v>
      </c>
      <c r="O126" s="435">
        <f t="shared" si="61"/>
        <v>1.2982612982172088E-2</v>
      </c>
      <c r="P126" s="435">
        <f t="shared" si="61"/>
        <v>1.2995108215964795E-2</v>
      </c>
      <c r="Q126" s="435">
        <f t="shared" si="61"/>
        <v>1.3007628297794007E-2</v>
      </c>
      <c r="R126" s="435">
        <f t="shared" si="61"/>
        <v>1.3020173165848558E-2</v>
      </c>
      <c r="S126" s="435">
        <f t="shared" si="61"/>
        <v>1.3032742758694E-2</v>
      </c>
      <c r="T126" s="435">
        <f t="shared" si="61"/>
        <v>1.3045337015274685E-2</v>
      </c>
      <c r="U126" s="435">
        <f t="shared" si="61"/>
        <v>1.3057955874915778E-2</v>
      </c>
      <c r="V126" s="435">
        <f t="shared" si="61"/>
        <v>1.3070599277325174E-2</v>
      </c>
      <c r="W126" s="435">
        <f t="shared" si="61"/>
        <v>1.3083267162595303E-2</v>
      </c>
      <c r="X126" s="435">
        <f t="shared" si="61"/>
        <v>1.3095959471204914E-2</v>
      </c>
      <c r="Y126" s="435">
        <f t="shared" si="61"/>
        <v>1.3108676144020727E-2</v>
      </c>
      <c r="Z126" s="435">
        <f t="shared" si="61"/>
        <v>1.3121417122298995E-2</v>
      </c>
      <c r="AA126" s="435">
        <f t="shared" si="61"/>
        <v>1.3134182347687044E-2</v>
      </c>
      <c r="AB126" s="435">
        <f t="shared" si="61"/>
        <v>1.3146971762224686E-2</v>
      </c>
      <c r="AC126" s="435">
        <f t="shared" si="61"/>
        <v>1.3159785308345554E-2</v>
      </c>
      <c r="AD126" s="435">
        <f t="shared" si="61"/>
        <v>1.3172622928878398E-2</v>
      </c>
      <c r="AE126" s="435">
        <f t="shared" si="61"/>
        <v>1.318548456704826E-2</v>
      </c>
      <c r="AF126" s="435">
        <f t="shared" si="61"/>
        <v>1.3198370166477609E-2</v>
      </c>
      <c r="AG126" s="435">
        <f t="shared" si="61"/>
        <v>1.3211279671187398E-2</v>
      </c>
      <c r="AH126" s="435">
        <f t="shared" si="61"/>
        <v>1.3224213025598029E-2</v>
      </c>
      <c r="AI126" s="435">
        <f t="shared" si="61"/>
        <v>1.3237170174530275E-2</v>
      </c>
      <c r="AJ126" s="435">
        <f t="shared" si="61"/>
        <v>1.3250151063206107E-2</v>
      </c>
      <c r="AK126" s="435">
        <f t="shared" si="61"/>
        <v>1.3263155637249474E-2</v>
      </c>
      <c r="AL126" s="435">
        <f t="shared" si="61"/>
        <v>1.3276183842687013E-2</v>
      </c>
    </row>
    <row r="127" spans="1:38">
      <c r="H127" s="1228"/>
    </row>
    <row r="128" spans="1:38" ht="13">
      <c r="B128" s="407" t="s">
        <v>678</v>
      </c>
      <c r="C128" s="396" t="s">
        <v>627</v>
      </c>
      <c r="D128" s="397">
        <v>2018</v>
      </c>
      <c r="E128" s="397">
        <v>2020</v>
      </c>
      <c r="F128" s="397">
        <v>2021</v>
      </c>
      <c r="G128" s="397">
        <v>2022</v>
      </c>
      <c r="H128" s="1238">
        <v>2023</v>
      </c>
      <c r="I128" s="397">
        <v>2024</v>
      </c>
      <c r="J128" s="397">
        <v>2025</v>
      </c>
      <c r="K128" s="397">
        <v>2026</v>
      </c>
      <c r="L128" s="397">
        <v>2027</v>
      </c>
      <c r="M128" s="397">
        <v>2028</v>
      </c>
      <c r="N128" s="397">
        <v>2029</v>
      </c>
      <c r="O128" s="397">
        <v>2030</v>
      </c>
      <c r="P128" s="397">
        <v>2031</v>
      </c>
      <c r="Q128" s="397">
        <v>2032</v>
      </c>
      <c r="R128" s="397">
        <v>2033</v>
      </c>
      <c r="S128" s="397">
        <v>2034</v>
      </c>
      <c r="T128" s="397">
        <v>2035</v>
      </c>
      <c r="U128" s="397">
        <v>2036</v>
      </c>
      <c r="V128" s="397">
        <v>2037</v>
      </c>
      <c r="W128" s="397">
        <v>2038</v>
      </c>
      <c r="X128" s="397">
        <v>2039</v>
      </c>
      <c r="Y128" s="397">
        <v>2040</v>
      </c>
      <c r="Z128" s="397">
        <v>2041</v>
      </c>
      <c r="AA128" s="397">
        <v>2042</v>
      </c>
      <c r="AB128" s="397">
        <v>2043</v>
      </c>
      <c r="AC128" s="397">
        <v>2044</v>
      </c>
      <c r="AD128" s="397">
        <v>2044</v>
      </c>
      <c r="AE128" s="397">
        <v>2044</v>
      </c>
      <c r="AF128" s="397">
        <v>2044</v>
      </c>
      <c r="AG128" s="397">
        <v>2044</v>
      </c>
      <c r="AH128" s="397">
        <v>2044</v>
      </c>
      <c r="AI128" s="397">
        <v>2044</v>
      </c>
      <c r="AJ128" s="397">
        <v>2044</v>
      </c>
      <c r="AK128" s="397">
        <v>2044</v>
      </c>
      <c r="AL128" s="397">
        <v>2044</v>
      </c>
    </row>
    <row r="129" spans="2:38">
      <c r="B129" s="358" t="s">
        <v>679</v>
      </c>
      <c r="C129" s="436" t="s">
        <v>680</v>
      </c>
      <c r="D129" s="437">
        <f>D$64</f>
        <v>1.2846823428953566E-2</v>
      </c>
      <c r="E129" s="437">
        <f t="shared" ref="E129:AL129" si="62">E$64</f>
        <v>1.2859041149429273E-2</v>
      </c>
      <c r="F129" s="437">
        <f t="shared" si="62"/>
        <v>1.2871284422039322E-2</v>
      </c>
      <c r="G129" s="437">
        <f t="shared" si="62"/>
        <v>1.2883553180992649E-2</v>
      </c>
      <c r="H129" s="437">
        <f t="shared" si="62"/>
        <v>1.289584736084585E-2</v>
      </c>
      <c r="I129" s="437">
        <f t="shared" si="62"/>
        <v>1.2908166896506283E-2</v>
      </c>
      <c r="J129" s="437">
        <f t="shared" si="62"/>
        <v>1.2920511723235115E-2</v>
      </c>
      <c r="K129" s="437">
        <f t="shared" si="62"/>
        <v>1.2932881776650215E-2</v>
      </c>
      <c r="L129" s="437">
        <f t="shared" si="62"/>
        <v>1.2945276992729026E-2</v>
      </c>
      <c r="M129" s="437">
        <f t="shared" si="62"/>
        <v>1.2957697307811268E-2</v>
      </c>
      <c r="N129" s="437">
        <f t="shared" si="62"/>
        <v>1.2970142658601587E-2</v>
      </c>
      <c r="O129" s="437">
        <f t="shared" si="62"/>
        <v>1.2982612982172088E-2</v>
      </c>
      <c r="P129" s="437">
        <f t="shared" si="62"/>
        <v>1.2995108215964795E-2</v>
      </c>
      <c r="Q129" s="437">
        <f t="shared" si="62"/>
        <v>1.3007628297794007E-2</v>
      </c>
      <c r="R129" s="437">
        <f t="shared" si="62"/>
        <v>1.3020173165848558E-2</v>
      </c>
      <c r="S129" s="437">
        <f t="shared" si="62"/>
        <v>1.3032742758694E-2</v>
      </c>
      <c r="T129" s="437">
        <f t="shared" si="62"/>
        <v>1.3045337015274685E-2</v>
      </c>
      <c r="U129" s="437">
        <f t="shared" si="62"/>
        <v>1.3057955874915778E-2</v>
      </c>
      <c r="V129" s="437">
        <f t="shared" si="62"/>
        <v>1.3070599277325174E-2</v>
      </c>
      <c r="W129" s="437">
        <f t="shared" si="62"/>
        <v>1.3083267162595303E-2</v>
      </c>
      <c r="X129" s="437">
        <f t="shared" si="62"/>
        <v>1.3095959471204914E-2</v>
      </c>
      <c r="Y129" s="437">
        <f t="shared" si="62"/>
        <v>1.3108676144020727E-2</v>
      </c>
      <c r="Z129" s="437">
        <f t="shared" si="62"/>
        <v>1.3121417122298995E-2</v>
      </c>
      <c r="AA129" s="437">
        <f t="shared" si="62"/>
        <v>1.3134182347687044E-2</v>
      </c>
      <c r="AB129" s="437">
        <f t="shared" si="62"/>
        <v>1.3146971762224686E-2</v>
      </c>
      <c r="AC129" s="437">
        <f t="shared" si="62"/>
        <v>1.3159785308345554E-2</v>
      </c>
      <c r="AD129" s="437">
        <f t="shared" si="62"/>
        <v>1.3172622928878398E-2</v>
      </c>
      <c r="AE129" s="437">
        <f t="shared" si="62"/>
        <v>1.318548456704826E-2</v>
      </c>
      <c r="AF129" s="437">
        <f t="shared" si="62"/>
        <v>1.3198370166477609E-2</v>
      </c>
      <c r="AG129" s="437">
        <f t="shared" si="62"/>
        <v>1.3211279671187398E-2</v>
      </c>
      <c r="AH129" s="437">
        <f t="shared" si="62"/>
        <v>1.3224213025598029E-2</v>
      </c>
      <c r="AI129" s="437">
        <f t="shared" si="62"/>
        <v>1.3237170174530275E-2</v>
      </c>
      <c r="AJ129" s="437">
        <f t="shared" si="62"/>
        <v>1.3250151063206107E-2</v>
      </c>
      <c r="AK129" s="437">
        <f t="shared" si="62"/>
        <v>1.3263155637249474E-2</v>
      </c>
      <c r="AL129" s="437">
        <f t="shared" si="62"/>
        <v>1.3276183842687013E-2</v>
      </c>
    </row>
    <row r="130" spans="2:38">
      <c r="B130" s="358" t="s">
        <v>681</v>
      </c>
      <c r="C130" s="419" t="s">
        <v>682</v>
      </c>
      <c r="D130" s="414">
        <f>1-D129</f>
        <v>0.9871531765710464</v>
      </c>
      <c r="E130" s="414">
        <f t="shared" ref="E130:AK130" si="63">1-E129</f>
        <v>0.98714095885057074</v>
      </c>
      <c r="F130" s="414">
        <f t="shared" si="63"/>
        <v>0.98712871557796067</v>
      </c>
      <c r="G130" s="414">
        <f t="shared" si="63"/>
        <v>0.98711644681900734</v>
      </c>
      <c r="H130" s="414">
        <f t="shared" si="63"/>
        <v>0.98710415263915419</v>
      </c>
      <c r="I130" s="414">
        <f t="shared" si="63"/>
        <v>0.98709183310349369</v>
      </c>
      <c r="J130" s="414">
        <f t="shared" si="63"/>
        <v>0.98707948827676484</v>
      </c>
      <c r="K130" s="414">
        <f t="shared" si="63"/>
        <v>0.9870671182233498</v>
      </c>
      <c r="L130" s="414">
        <f t="shared" si="63"/>
        <v>0.98705472300727093</v>
      </c>
      <c r="M130" s="414">
        <f t="shared" si="63"/>
        <v>0.98704230269218873</v>
      </c>
      <c r="N130" s="414">
        <f t="shared" si="63"/>
        <v>0.98702985734139836</v>
      </c>
      <c r="O130" s="414">
        <f t="shared" si="63"/>
        <v>0.98701738701782793</v>
      </c>
      <c r="P130" s="414">
        <f t="shared" si="63"/>
        <v>0.98700489178403517</v>
      </c>
      <c r="Q130" s="414">
        <f t="shared" si="63"/>
        <v>0.986992371702206</v>
      </c>
      <c r="R130" s="414">
        <f t="shared" si="63"/>
        <v>0.98697982683415142</v>
      </c>
      <c r="S130" s="414">
        <f t="shared" si="63"/>
        <v>0.98696725724130596</v>
      </c>
      <c r="T130" s="414">
        <f t="shared" si="63"/>
        <v>0.98695466298472534</v>
      </c>
      <c r="U130" s="414">
        <f t="shared" si="63"/>
        <v>0.98694204412508424</v>
      </c>
      <c r="V130" s="414">
        <f t="shared" si="63"/>
        <v>0.98692940072267488</v>
      </c>
      <c r="W130" s="414">
        <f t="shared" si="63"/>
        <v>0.98691673283740466</v>
      </c>
      <c r="X130" s="414">
        <f t="shared" si="63"/>
        <v>0.9869040405287951</v>
      </c>
      <c r="Y130" s="414">
        <f t="shared" si="63"/>
        <v>0.98689132385597922</v>
      </c>
      <c r="Z130" s="414">
        <f t="shared" si="63"/>
        <v>0.98687858287770103</v>
      </c>
      <c r="AA130" s="414">
        <f t="shared" si="63"/>
        <v>0.98686581765231296</v>
      </c>
      <c r="AB130" s="414">
        <f t="shared" si="63"/>
        <v>0.98685302823777532</v>
      </c>
      <c r="AC130" s="414">
        <f t="shared" si="63"/>
        <v>0.98684021469165439</v>
      </c>
      <c r="AD130" s="414">
        <f t="shared" si="63"/>
        <v>0.98682737707112156</v>
      </c>
      <c r="AE130" s="414">
        <f t="shared" si="63"/>
        <v>0.98681451543295173</v>
      </c>
      <c r="AF130" s="414">
        <f t="shared" si="63"/>
        <v>0.98680162983352238</v>
      </c>
      <c r="AG130" s="414">
        <f t="shared" si="63"/>
        <v>0.9867887203288126</v>
      </c>
      <c r="AH130" s="414">
        <f t="shared" si="63"/>
        <v>0.98677578697440194</v>
      </c>
      <c r="AI130" s="414">
        <f t="shared" si="63"/>
        <v>0.9867628298254697</v>
      </c>
      <c r="AJ130" s="414">
        <f t="shared" si="63"/>
        <v>0.98674984893679385</v>
      </c>
      <c r="AK130" s="414">
        <f t="shared" si="63"/>
        <v>0.98673684436275055</v>
      </c>
      <c r="AL130" s="414">
        <f t="shared" ref="AL130" si="64">1-AL129</f>
        <v>0.98672381615731297</v>
      </c>
    </row>
    <row r="131" spans="2:38">
      <c r="B131" s="358" t="s">
        <v>671</v>
      </c>
      <c r="C131" s="419" t="s">
        <v>662</v>
      </c>
      <c r="D131" s="414">
        <f>D$20^(-0.2334)</f>
        <v>0.62482831374223813</v>
      </c>
      <c r="E131" s="414">
        <f t="shared" ref="E131:AL131" si="65">E$20^(-0.2334)</f>
        <v>0.62482831374223813</v>
      </c>
      <c r="F131" s="414">
        <f t="shared" si="65"/>
        <v>0.62482831374223813</v>
      </c>
      <c r="G131" s="414">
        <f t="shared" si="65"/>
        <v>0.62482831374223813</v>
      </c>
      <c r="H131" s="414">
        <f t="shared" si="65"/>
        <v>0.62482831374223813</v>
      </c>
      <c r="I131" s="414">
        <f t="shared" si="65"/>
        <v>0.62482831374223813</v>
      </c>
      <c r="J131" s="414">
        <f t="shared" si="65"/>
        <v>0.62482831374223813</v>
      </c>
      <c r="K131" s="414">
        <f t="shared" si="65"/>
        <v>0.62482831374223813</v>
      </c>
      <c r="L131" s="414">
        <f t="shared" si="65"/>
        <v>0.62482831374223813</v>
      </c>
      <c r="M131" s="414">
        <f t="shared" si="65"/>
        <v>0.62482831374223813</v>
      </c>
      <c r="N131" s="414">
        <f t="shared" si="65"/>
        <v>0.62482831374223813</v>
      </c>
      <c r="O131" s="414">
        <f t="shared" si="65"/>
        <v>0.62482831374223813</v>
      </c>
      <c r="P131" s="414">
        <f t="shared" si="65"/>
        <v>0.62482831374223813</v>
      </c>
      <c r="Q131" s="414">
        <f t="shared" si="65"/>
        <v>0.62482831374223813</v>
      </c>
      <c r="R131" s="414">
        <f t="shared" si="65"/>
        <v>0.62482831374223813</v>
      </c>
      <c r="S131" s="414">
        <f t="shared" si="65"/>
        <v>0.62482831374223813</v>
      </c>
      <c r="T131" s="414">
        <f t="shared" si="65"/>
        <v>0.62482831374223813</v>
      </c>
      <c r="U131" s="414">
        <f t="shared" si="65"/>
        <v>0.62482831374223813</v>
      </c>
      <c r="V131" s="414">
        <f t="shared" si="65"/>
        <v>0.62482831374223813</v>
      </c>
      <c r="W131" s="414">
        <f t="shared" si="65"/>
        <v>0.62482831374223813</v>
      </c>
      <c r="X131" s="414">
        <f t="shared" si="65"/>
        <v>0.62482831374223813</v>
      </c>
      <c r="Y131" s="414">
        <f t="shared" si="65"/>
        <v>0.62482831374223813</v>
      </c>
      <c r="Z131" s="414">
        <f t="shared" si="65"/>
        <v>0.62482831374223813</v>
      </c>
      <c r="AA131" s="414">
        <f t="shared" si="65"/>
        <v>0.62482831374223813</v>
      </c>
      <c r="AB131" s="414">
        <f t="shared" si="65"/>
        <v>0.62482831374223813</v>
      </c>
      <c r="AC131" s="414">
        <f t="shared" si="65"/>
        <v>0.62482831374223813</v>
      </c>
      <c r="AD131" s="414">
        <f t="shared" si="65"/>
        <v>0.62482831374223813</v>
      </c>
      <c r="AE131" s="414">
        <f t="shared" si="65"/>
        <v>0.62482831374223813</v>
      </c>
      <c r="AF131" s="414">
        <f t="shared" si="65"/>
        <v>0.62482831374223813</v>
      </c>
      <c r="AG131" s="414">
        <f t="shared" si="65"/>
        <v>0.62482831374223813</v>
      </c>
      <c r="AH131" s="414">
        <f t="shared" si="65"/>
        <v>0.62482831374223813</v>
      </c>
      <c r="AI131" s="414">
        <f t="shared" si="65"/>
        <v>0.62482831374223813</v>
      </c>
      <c r="AJ131" s="414">
        <f t="shared" si="65"/>
        <v>0.62482831374223813</v>
      </c>
      <c r="AK131" s="414">
        <f t="shared" si="65"/>
        <v>0.62482831374223813</v>
      </c>
      <c r="AL131" s="414">
        <f t="shared" si="65"/>
        <v>0.62482831374223813</v>
      </c>
    </row>
    <row r="132" spans="2:38">
      <c r="B132" s="358" t="s">
        <v>683</v>
      </c>
      <c r="C132" s="419" t="s">
        <v>684</v>
      </c>
      <c r="D132" s="414">
        <f>EXP(0.1176*$D$11)</f>
        <v>1.4230465056696404</v>
      </c>
      <c r="E132" s="414">
        <f t="shared" ref="E132:AL132" si="66">EXP(0.1176*$D$11)</f>
        <v>1.4230465056696404</v>
      </c>
      <c r="F132" s="414">
        <f t="shared" si="66"/>
        <v>1.4230465056696404</v>
      </c>
      <c r="G132" s="414">
        <f t="shared" si="66"/>
        <v>1.4230465056696404</v>
      </c>
      <c r="H132" s="414">
        <f t="shared" si="66"/>
        <v>1.4230465056696404</v>
      </c>
      <c r="I132" s="414">
        <f t="shared" si="66"/>
        <v>1.4230465056696404</v>
      </c>
      <c r="J132" s="414">
        <f t="shared" si="66"/>
        <v>1.4230465056696404</v>
      </c>
      <c r="K132" s="414">
        <f t="shared" si="66"/>
        <v>1.4230465056696404</v>
      </c>
      <c r="L132" s="414">
        <f t="shared" si="66"/>
        <v>1.4230465056696404</v>
      </c>
      <c r="M132" s="414">
        <f t="shared" si="66"/>
        <v>1.4230465056696404</v>
      </c>
      <c r="N132" s="414">
        <f t="shared" si="66"/>
        <v>1.4230465056696404</v>
      </c>
      <c r="O132" s="414">
        <f t="shared" si="66"/>
        <v>1.4230465056696404</v>
      </c>
      <c r="P132" s="414">
        <f t="shared" si="66"/>
        <v>1.4230465056696404</v>
      </c>
      <c r="Q132" s="414">
        <f t="shared" si="66"/>
        <v>1.4230465056696404</v>
      </c>
      <c r="R132" s="414">
        <f t="shared" si="66"/>
        <v>1.4230465056696404</v>
      </c>
      <c r="S132" s="414">
        <f t="shared" si="66"/>
        <v>1.4230465056696404</v>
      </c>
      <c r="T132" s="414">
        <f t="shared" si="66"/>
        <v>1.4230465056696404</v>
      </c>
      <c r="U132" s="414">
        <f t="shared" si="66"/>
        <v>1.4230465056696404</v>
      </c>
      <c r="V132" s="414">
        <f t="shared" si="66"/>
        <v>1.4230465056696404</v>
      </c>
      <c r="W132" s="414">
        <f t="shared" si="66"/>
        <v>1.4230465056696404</v>
      </c>
      <c r="X132" s="414">
        <f t="shared" si="66"/>
        <v>1.4230465056696404</v>
      </c>
      <c r="Y132" s="414">
        <f t="shared" si="66"/>
        <v>1.4230465056696404</v>
      </c>
      <c r="Z132" s="414">
        <f t="shared" si="66"/>
        <v>1.4230465056696404</v>
      </c>
      <c r="AA132" s="414">
        <f t="shared" si="66"/>
        <v>1.4230465056696404</v>
      </c>
      <c r="AB132" s="414">
        <f t="shared" si="66"/>
        <v>1.4230465056696404</v>
      </c>
      <c r="AC132" s="414">
        <f t="shared" si="66"/>
        <v>1.4230465056696404</v>
      </c>
      <c r="AD132" s="414">
        <f t="shared" si="66"/>
        <v>1.4230465056696404</v>
      </c>
      <c r="AE132" s="414">
        <f t="shared" si="66"/>
        <v>1.4230465056696404</v>
      </c>
      <c r="AF132" s="414">
        <f t="shared" si="66"/>
        <v>1.4230465056696404</v>
      </c>
      <c r="AG132" s="414">
        <f t="shared" si="66"/>
        <v>1.4230465056696404</v>
      </c>
      <c r="AH132" s="414">
        <f t="shared" si="66"/>
        <v>1.4230465056696404</v>
      </c>
      <c r="AI132" s="414">
        <f t="shared" si="66"/>
        <v>1.4230465056696404</v>
      </c>
      <c r="AJ132" s="414">
        <f t="shared" si="66"/>
        <v>1.4230465056696404</v>
      </c>
      <c r="AK132" s="414">
        <f t="shared" si="66"/>
        <v>1.4230465056696404</v>
      </c>
      <c r="AL132" s="414">
        <f t="shared" si="66"/>
        <v>1.4230465056696404</v>
      </c>
    </row>
    <row r="133" spans="2:38">
      <c r="B133" s="433" t="s">
        <v>675</v>
      </c>
      <c r="C133" s="434" t="s">
        <v>676</v>
      </c>
      <c r="D133" s="426">
        <f>EXP(0.1844*$E$5)</f>
        <v>1.2024967255996286</v>
      </c>
      <c r="E133" s="426">
        <f t="shared" ref="E133:AL133" si="67">EXP(0.1844*$E$5)</f>
        <v>1.2024967255996286</v>
      </c>
      <c r="F133" s="426">
        <f t="shared" si="67"/>
        <v>1.2024967255996286</v>
      </c>
      <c r="G133" s="426">
        <f t="shared" si="67"/>
        <v>1.2024967255996286</v>
      </c>
      <c r="H133" s="426">
        <f t="shared" si="67"/>
        <v>1.2024967255996286</v>
      </c>
      <c r="I133" s="426">
        <f t="shared" si="67"/>
        <v>1.2024967255996286</v>
      </c>
      <c r="J133" s="426">
        <f t="shared" si="67"/>
        <v>1.2024967255996286</v>
      </c>
      <c r="K133" s="426">
        <f t="shared" si="67"/>
        <v>1.2024967255996286</v>
      </c>
      <c r="L133" s="426">
        <f t="shared" si="67"/>
        <v>1.2024967255996286</v>
      </c>
      <c r="M133" s="426">
        <f t="shared" si="67"/>
        <v>1.2024967255996286</v>
      </c>
      <c r="N133" s="426">
        <f t="shared" si="67"/>
        <v>1.2024967255996286</v>
      </c>
      <c r="O133" s="426">
        <f t="shared" si="67"/>
        <v>1.2024967255996286</v>
      </c>
      <c r="P133" s="426">
        <f t="shared" si="67"/>
        <v>1.2024967255996286</v>
      </c>
      <c r="Q133" s="426">
        <f t="shared" si="67"/>
        <v>1.2024967255996286</v>
      </c>
      <c r="R133" s="426">
        <f t="shared" si="67"/>
        <v>1.2024967255996286</v>
      </c>
      <c r="S133" s="426">
        <f t="shared" si="67"/>
        <v>1.2024967255996286</v>
      </c>
      <c r="T133" s="426">
        <f t="shared" si="67"/>
        <v>1.2024967255996286</v>
      </c>
      <c r="U133" s="426">
        <f t="shared" si="67"/>
        <v>1.2024967255996286</v>
      </c>
      <c r="V133" s="426">
        <f t="shared" si="67"/>
        <v>1.2024967255996286</v>
      </c>
      <c r="W133" s="426">
        <f t="shared" si="67"/>
        <v>1.2024967255996286</v>
      </c>
      <c r="X133" s="426">
        <f t="shared" si="67"/>
        <v>1.2024967255996286</v>
      </c>
      <c r="Y133" s="426">
        <f t="shared" si="67"/>
        <v>1.2024967255996286</v>
      </c>
      <c r="Z133" s="426">
        <f t="shared" si="67"/>
        <v>1.2024967255996286</v>
      </c>
      <c r="AA133" s="426">
        <f t="shared" si="67"/>
        <v>1.2024967255996286</v>
      </c>
      <c r="AB133" s="426">
        <f t="shared" si="67"/>
        <v>1.2024967255996286</v>
      </c>
      <c r="AC133" s="426">
        <f t="shared" si="67"/>
        <v>1.2024967255996286</v>
      </c>
      <c r="AD133" s="426">
        <f t="shared" si="67"/>
        <v>1.2024967255996286</v>
      </c>
      <c r="AE133" s="426">
        <f t="shared" si="67"/>
        <v>1.2024967255996286</v>
      </c>
      <c r="AF133" s="426">
        <f t="shared" si="67"/>
        <v>1.2024967255996286</v>
      </c>
      <c r="AG133" s="426">
        <f t="shared" si="67"/>
        <v>1.2024967255996286</v>
      </c>
      <c r="AH133" s="426">
        <f t="shared" si="67"/>
        <v>1.2024967255996286</v>
      </c>
      <c r="AI133" s="426">
        <f t="shared" si="67"/>
        <v>1.2024967255996286</v>
      </c>
      <c r="AJ133" s="426">
        <f t="shared" si="67"/>
        <v>1.2024967255996286</v>
      </c>
      <c r="AK133" s="426">
        <f t="shared" si="67"/>
        <v>1.2024967255996286</v>
      </c>
      <c r="AL133" s="426">
        <f t="shared" si="67"/>
        <v>1.2024967255996286</v>
      </c>
    </row>
    <row r="134" spans="2:38">
      <c r="B134" s="362"/>
      <c r="C134" s="427" t="s">
        <v>290</v>
      </c>
    </row>
    <row r="135" spans="2:38">
      <c r="B135" s="362" t="s">
        <v>685</v>
      </c>
      <c r="C135" s="438">
        <v>4.28</v>
      </c>
      <c r="D135" s="435">
        <f>D$130/(1+$C$135*PRODUCT(D$131:D$133))</f>
        <v>0.17702890335342494</v>
      </c>
      <c r="E135" s="435">
        <f t="shared" ref="E135:AL135" si="68">E$130/(1+$C$135*PRODUCT(E$131:E$133))</f>
        <v>0.1770267123158954</v>
      </c>
      <c r="F135" s="435">
        <f t="shared" si="68"/>
        <v>0.17702451669603106</v>
      </c>
      <c r="G135" s="435">
        <f t="shared" si="68"/>
        <v>0.17702231650563044</v>
      </c>
      <c r="H135" s="435">
        <f t="shared" si="68"/>
        <v>0.17702011175642973</v>
      </c>
      <c r="I135" s="435">
        <f t="shared" si="68"/>
        <v>0.1770179024601021</v>
      </c>
      <c r="J135" s="435">
        <f t="shared" si="68"/>
        <v>0.17701568862825739</v>
      </c>
      <c r="K135" s="435">
        <f t="shared" si="68"/>
        <v>0.17701347027244144</v>
      </c>
      <c r="L135" s="435">
        <f t="shared" si="68"/>
        <v>0.17701124740413554</v>
      </c>
      <c r="M135" s="435">
        <f t="shared" si="68"/>
        <v>0.1770090200347561</v>
      </c>
      <c r="N135" s="435">
        <f t="shared" si="68"/>
        <v>0.17700678817565405</v>
      </c>
      <c r="O135" s="435">
        <f t="shared" si="68"/>
        <v>0.17700455183811439</v>
      </c>
      <c r="P135" s="435">
        <f t="shared" si="68"/>
        <v>0.17700231103335584</v>
      </c>
      <c r="Q135" s="435">
        <f t="shared" si="68"/>
        <v>0.17700006577253036</v>
      </c>
      <c r="R135" s="435">
        <f t="shared" si="68"/>
        <v>0.17699781606672266</v>
      </c>
      <c r="S135" s="435">
        <f t="shared" si="68"/>
        <v>0.17699556192694998</v>
      </c>
      <c r="T135" s="435">
        <f t="shared" si="68"/>
        <v>0.17699330336416164</v>
      </c>
      <c r="U135" s="435">
        <f t="shared" si="68"/>
        <v>0.17699104038923852</v>
      </c>
      <c r="V135" s="435">
        <f t="shared" si="68"/>
        <v>0.17698877301299307</v>
      </c>
      <c r="W135" s="435">
        <f t="shared" si="68"/>
        <v>0.1769865012461686</v>
      </c>
      <c r="X135" s="435">
        <f t="shared" si="68"/>
        <v>0.17698422509943931</v>
      </c>
      <c r="Y135" s="435">
        <f t="shared" si="68"/>
        <v>0.17698194458340966</v>
      </c>
      <c r="Z135" s="435">
        <f t="shared" si="68"/>
        <v>0.17697965970861437</v>
      </c>
      <c r="AA135" s="435">
        <f t="shared" si="68"/>
        <v>0.17697737048551795</v>
      </c>
      <c r="AB135" s="435">
        <f t="shared" si="68"/>
        <v>0.17697507692451458</v>
      </c>
      <c r="AC135" s="435">
        <f t="shared" si="68"/>
        <v>0.17697277903592779</v>
      </c>
      <c r="AD135" s="435">
        <f t="shared" si="68"/>
        <v>0.17697047683001027</v>
      </c>
      <c r="AE135" s="435">
        <f t="shared" si="68"/>
        <v>0.17696817031694365</v>
      </c>
      <c r="AF135" s="435">
        <f t="shared" si="68"/>
        <v>0.17696585950683821</v>
      </c>
      <c r="AG135" s="435">
        <f t="shared" si="68"/>
        <v>0.17696354440973286</v>
      </c>
      <c r="AH135" s="435">
        <f t="shared" si="68"/>
        <v>0.17696122503559483</v>
      </c>
      <c r="AI135" s="435">
        <f t="shared" si="68"/>
        <v>0.17695890139431961</v>
      </c>
      <c r="AJ135" s="435">
        <f t="shared" si="68"/>
        <v>0.17695657349573063</v>
      </c>
      <c r="AK135" s="435">
        <f t="shared" si="68"/>
        <v>0.17695424134957935</v>
      </c>
      <c r="AL135" s="435">
        <f t="shared" si="68"/>
        <v>0.17695190496554491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theme="4" tint="-0.249977111117893"/>
  </sheetPr>
  <dimension ref="A1:AL53"/>
  <sheetViews>
    <sheetView showGridLines="0" workbookViewId="0"/>
  </sheetViews>
  <sheetFormatPr defaultColWidth="8.75" defaultRowHeight="12.5"/>
  <cols>
    <col min="1" max="1" width="0.83203125" style="358" customWidth="1"/>
    <col min="2" max="2" width="39.25" style="358" customWidth="1"/>
    <col min="3" max="3" width="14.5" style="358" customWidth="1"/>
    <col min="4" max="38" width="10.58203125" style="358" customWidth="1"/>
    <col min="39" max="16384" width="8.75" style="358"/>
  </cols>
  <sheetData>
    <row r="1" spans="1:38" ht="25">
      <c r="A1" s="356" t="str">
        <f>'Crossing Inputs'!$H$49</f>
        <v xml:space="preserve">400 North </v>
      </c>
      <c r="B1" s="1177"/>
    </row>
    <row r="2" spans="1:38" ht="13">
      <c r="A2" s="524" t="s">
        <v>457</v>
      </c>
      <c r="B2" s="523"/>
      <c r="C2" s="522" t="s">
        <v>0</v>
      </c>
      <c r="D2" s="376">
        <f>VRCBY</f>
        <v>2021</v>
      </c>
      <c r="E2" s="376">
        <f>D2+1</f>
        <v>2022</v>
      </c>
      <c r="F2" s="376">
        <f t="shared" ref="F2:AK2" si="0">E2+1</f>
        <v>2023</v>
      </c>
      <c r="G2" s="376">
        <f t="shared" si="0"/>
        <v>2024</v>
      </c>
      <c r="H2" s="376">
        <f t="shared" si="0"/>
        <v>2025</v>
      </c>
      <c r="I2" s="376">
        <f t="shared" si="0"/>
        <v>2026</v>
      </c>
      <c r="J2" s="376">
        <f t="shared" si="0"/>
        <v>2027</v>
      </c>
      <c r="K2" s="376">
        <f t="shared" si="0"/>
        <v>2028</v>
      </c>
      <c r="L2" s="376">
        <f t="shared" si="0"/>
        <v>2029</v>
      </c>
      <c r="M2" s="376">
        <f t="shared" si="0"/>
        <v>2030</v>
      </c>
      <c r="N2" s="376">
        <f t="shared" si="0"/>
        <v>2031</v>
      </c>
      <c r="O2" s="376">
        <f t="shared" si="0"/>
        <v>2032</v>
      </c>
      <c r="P2" s="376">
        <f t="shared" si="0"/>
        <v>2033</v>
      </c>
      <c r="Q2" s="376">
        <f t="shared" si="0"/>
        <v>2034</v>
      </c>
      <c r="R2" s="376">
        <f t="shared" si="0"/>
        <v>2035</v>
      </c>
      <c r="S2" s="376">
        <f t="shared" si="0"/>
        <v>2036</v>
      </c>
      <c r="T2" s="376">
        <f t="shared" si="0"/>
        <v>2037</v>
      </c>
      <c r="U2" s="376">
        <f t="shared" si="0"/>
        <v>2038</v>
      </c>
      <c r="V2" s="376">
        <f t="shared" si="0"/>
        <v>2039</v>
      </c>
      <c r="W2" s="376">
        <f t="shared" si="0"/>
        <v>2040</v>
      </c>
      <c r="X2" s="376">
        <f t="shared" si="0"/>
        <v>2041</v>
      </c>
      <c r="Y2" s="376">
        <f t="shared" si="0"/>
        <v>2042</v>
      </c>
      <c r="Z2" s="376">
        <f t="shared" si="0"/>
        <v>2043</v>
      </c>
      <c r="AA2" s="376">
        <f t="shared" si="0"/>
        <v>2044</v>
      </c>
      <c r="AB2" s="376">
        <f t="shared" si="0"/>
        <v>2045</v>
      </c>
      <c r="AC2" s="376">
        <f t="shared" si="0"/>
        <v>2046</v>
      </c>
      <c r="AD2" s="376">
        <f t="shared" si="0"/>
        <v>2047</v>
      </c>
      <c r="AE2" s="376">
        <f t="shared" si="0"/>
        <v>2048</v>
      </c>
      <c r="AF2" s="376">
        <f t="shared" si="0"/>
        <v>2049</v>
      </c>
      <c r="AG2" s="376">
        <f t="shared" si="0"/>
        <v>2050</v>
      </c>
      <c r="AH2" s="376">
        <f t="shared" si="0"/>
        <v>2051</v>
      </c>
      <c r="AI2" s="376">
        <f t="shared" si="0"/>
        <v>2052</v>
      </c>
      <c r="AJ2" s="376">
        <f t="shared" si="0"/>
        <v>2053</v>
      </c>
      <c r="AK2" s="376">
        <f t="shared" si="0"/>
        <v>2054</v>
      </c>
      <c r="AL2" s="376">
        <f t="shared" ref="AL2" si="1">AK2+1</f>
        <v>2055</v>
      </c>
    </row>
    <row r="3" spans="1:38" ht="13">
      <c r="B3" s="504" t="s">
        <v>446</v>
      </c>
      <c r="C3" s="381" t="s">
        <v>449</v>
      </c>
    </row>
    <row r="4" spans="1:38" ht="13">
      <c r="A4" s="377" t="s">
        <v>478</v>
      </c>
      <c r="B4" s="503"/>
      <c r="C4" s="378"/>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6" spans="1:38">
      <c r="B6" s="384" t="s">
        <v>504</v>
      </c>
      <c r="C6" s="367" t="s">
        <v>505</v>
      </c>
      <c r="D6" s="383">
        <f>Demand!F22</f>
        <v>2202.837213977748</v>
      </c>
      <c r="E6" s="383">
        <f>Demand!G22</f>
        <v>2267.8078864162576</v>
      </c>
      <c r="F6" s="383">
        <f>Demand!H22</f>
        <v>2334.6948095201942</v>
      </c>
      <c r="G6" s="383">
        <f>Demand!I22</f>
        <v>2403.5545013534002</v>
      </c>
      <c r="H6" s="383">
        <f>Demand!J22</f>
        <v>2474.4451469284099</v>
      </c>
      <c r="I6" s="383">
        <f>Demand!K22</f>
        <v>2547.4266473715784</v>
      </c>
      <c r="J6" s="383">
        <f>Demand!L22</f>
        <v>2622.5606705382952</v>
      </c>
      <c r="K6" s="383">
        <f>Demand!M22</f>
        <v>2699.9107031210401</v>
      </c>
      <c r="L6" s="383">
        <f>Demand!N22</f>
        <v>2779.5421042943253</v>
      </c>
      <c r="M6" s="383">
        <f>Demand!O22</f>
        <v>2861.5221609418413</v>
      </c>
      <c r="N6" s="383">
        <f>Demand!P22</f>
        <v>2945.9201445124813</v>
      </c>
      <c r="O6" s="383">
        <f>Demand!Q22</f>
        <v>3032.8073695532789</v>
      </c>
      <c r="P6" s="383">
        <f>Demand!R22</f>
        <v>3122.2572539687212</v>
      </c>
      <c r="Q6" s="383">
        <f>Demand!S22</f>
        <v>3214.3453810573592</v>
      </c>
      <c r="R6" s="383">
        <f>Demand!T22</f>
        <v>3309.1495633781242</v>
      </c>
      <c r="S6" s="383">
        <f>Demand!U22</f>
        <v>3406.7499085003356</v>
      </c>
      <c r="T6" s="383">
        <f>Demand!V22</f>
        <v>3507.2288866929271</v>
      </c>
      <c r="U6" s="383">
        <f>Demand!W22</f>
        <v>3610.6714006101201</v>
      </c>
      <c r="V6" s="383">
        <f>Demand!X22</f>
        <v>3717.1648570324087</v>
      </c>
      <c r="W6" s="383">
        <f>Demand!Y22</f>
        <v>3826.7992407234738</v>
      </c>
      <c r="X6" s="383">
        <f>Demand!Z22</f>
        <v>3939.6671904654445</v>
      </c>
      <c r="Y6" s="383">
        <f>Demand!AA22</f>
        <v>4055.8640773367501</v>
      </c>
      <c r="Z6" s="383">
        <f>Demand!AB22</f>
        <v>4175.4880852987053</v>
      </c>
      <c r="AA6" s="383">
        <f>Demand!AC22</f>
        <v>4298.6402941589204</v>
      </c>
      <c r="AB6" s="383">
        <f>Demand!AD22</f>
        <v>4425.4247649816471</v>
      </c>
      <c r="AC6" s="383">
        <f>Demand!AE22</f>
        <v>4555.9486280172177</v>
      </c>
      <c r="AD6" s="383">
        <f>Demand!AF22</f>
        <v>4690.3221732248912</v>
      </c>
      <c r="AE6" s="383">
        <f>Demand!AG22</f>
        <v>4828.6589434655789</v>
      </c>
      <c r="AF6" s="383">
        <f>Demand!AH22</f>
        <v>4971.0758304432065</v>
      </c>
      <c r="AG6" s="383">
        <f>Demand!AI22</f>
        <v>5117.6931734757918</v>
      </c>
      <c r="AH6" s="383">
        <f>Demand!AJ22</f>
        <v>5268.634861179662</v>
      </c>
      <c r="AI6" s="383">
        <f>Demand!AK22</f>
        <v>5424.0284361527765</v>
      </c>
      <c r="AJ6" s="383">
        <f>Demand!AL22</f>
        <v>5584.0052027455731</v>
      </c>
      <c r="AK6" s="383">
        <f>Demand!AM22</f>
        <v>5748.7003380104252</v>
      </c>
      <c r="AL6" s="383">
        <f>Demand!AN22</f>
        <v>5918.2530059234505</v>
      </c>
    </row>
    <row r="8" spans="1:38" ht="13">
      <c r="A8" s="390" t="s">
        <v>712</v>
      </c>
      <c r="B8" s="505"/>
      <c r="C8" s="391"/>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row>
    <row r="10" spans="1:38">
      <c r="B10" s="358" t="s">
        <v>1060</v>
      </c>
      <c r="C10" s="358" t="s">
        <v>1053</v>
      </c>
      <c r="D10" s="383">
        <f>Demand!F44</f>
        <v>8.0848515288584082</v>
      </c>
      <c r="E10" s="383">
        <f>Demand!G44</f>
        <v>8.1706030304605175</v>
      </c>
      <c r="F10" s="383">
        <f>Demand!H44</f>
        <v>8.2572640503142321</v>
      </c>
      <c r="G10" s="383">
        <f>Demand!I44</f>
        <v>8.3448442351713243</v>
      </c>
      <c r="H10" s="383">
        <f>Demand!J44</f>
        <v>8.4333533341012696</v>
      </c>
      <c r="I10" s="383">
        <f>Demand!K44</f>
        <v>8.5228011995764756</v>
      </c>
      <c r="J10" s="383">
        <f>Demand!L44</f>
        <v>8.6131977885690176</v>
      </c>
      <c r="K10" s="383">
        <f>Demand!M44</f>
        <v>8.7045531636590106</v>
      </c>
      <c r="L10" s="383">
        <f>Demand!N44</f>
        <v>8.7968774941547299</v>
      </c>
      <c r="M10" s="383">
        <f>Demand!O44</f>
        <v>8.8901810572246251</v>
      </c>
      <c r="N10" s="383">
        <f>Demand!P44</f>
        <v>8.9844742390413206</v>
      </c>
      <c r="O10" s="383">
        <f>Demand!Q44</f>
        <v>9.0797675359377763</v>
      </c>
      <c r="P10" s="383">
        <f>Demand!R44</f>
        <v>9.1760715555756835</v>
      </c>
      <c r="Q10" s="383">
        <f>Demand!S44</f>
        <v>9.2733970181262784</v>
      </c>
      <c r="R10" s="383">
        <f>Demand!T44</f>
        <v>9.3717547574636537</v>
      </c>
      <c r="S10" s="383">
        <f>Demand!U44</f>
        <v>9.4711557223707619</v>
      </c>
      <c r="T10" s="383">
        <f>Demand!V44</f>
        <v>9.5716109777581639</v>
      </c>
      <c r="U10" s="383">
        <f>Demand!W44</f>
        <v>9.6731317058957522</v>
      </c>
      <c r="V10" s="383">
        <f>Demand!X44</f>
        <v>9.775729207657502</v>
      </c>
      <c r="W10" s="383">
        <f>Demand!Y44</f>
        <v>9.8794149037794448</v>
      </c>
      <c r="X10" s="383">
        <f>Demand!Z44</f>
        <v>9.9842003361309732</v>
      </c>
      <c r="Y10" s="383">
        <f>Demand!AA44</f>
        <v>10.090097168999641</v>
      </c>
      <c r="Z10" s="383">
        <f>Demand!AB44</f>
        <v>10.19711719038958</v>
      </c>
      <c r="AA10" s="383">
        <f>Demand!AC44</f>
        <v>10.305272313333695</v>
      </c>
      <c r="AB10" s="383">
        <f>Demand!AD44</f>
        <v>10.414574577219767</v>
      </c>
      <c r="AC10" s="383">
        <f>Demand!AE44</f>
        <v>10.525036149130644</v>
      </c>
      <c r="AD10" s="383">
        <f>Demand!AF44</f>
        <v>10.636669325198612</v>
      </c>
      <c r="AE10" s="383">
        <f>Demand!AG44</f>
        <v>10.749486531974167</v>
      </c>
      <c r="AF10" s="383">
        <f>Demand!AH44</f>
        <v>10.863500327809277</v>
      </c>
      <c r="AG10" s="383">
        <f>Demand!AI44</f>
        <v>10.978723404255332</v>
      </c>
      <c r="AH10" s="383">
        <f>Demand!AJ44</f>
        <v>11.095168587475913</v>
      </c>
      <c r="AI10" s="383">
        <f>Demand!AK44</f>
        <v>11.212848839674553</v>
      </c>
      <c r="AJ10" s="383">
        <f>Demand!AL44</f>
        <v>11.331777260537629</v>
      </c>
      <c r="AK10" s="383">
        <f>Demand!AM44</f>
        <v>11.451967088692575</v>
      </c>
      <c r="AL10" s="383">
        <f>Demand!AN44</f>
        <v>11.573431703181543</v>
      </c>
    </row>
    <row r="11" spans="1:38">
      <c r="B11" s="363" t="s">
        <v>645</v>
      </c>
      <c r="C11" s="358" t="s">
        <v>1054</v>
      </c>
      <c r="D11" s="383">
        <f>Demand!F45</f>
        <v>4.0424257644292041</v>
      </c>
      <c r="E11" s="383">
        <f>Demand!G45</f>
        <v>4.0853015152302588</v>
      </c>
      <c r="F11" s="383">
        <f>Demand!H45</f>
        <v>4.128632025157116</v>
      </c>
      <c r="G11" s="383">
        <f>Demand!I45</f>
        <v>4.1724221175856622</v>
      </c>
      <c r="H11" s="383">
        <f>Demand!J45</f>
        <v>4.2166766670506348</v>
      </c>
      <c r="I11" s="383">
        <f>Demand!K45</f>
        <v>4.2614005997882378</v>
      </c>
      <c r="J11" s="383">
        <f>Demand!L45</f>
        <v>4.3065988942845088</v>
      </c>
      <c r="K11" s="383">
        <f>Demand!M45</f>
        <v>4.3522765818295053</v>
      </c>
      <c r="L11" s="383">
        <f>Demand!N45</f>
        <v>4.3984387470773649</v>
      </c>
      <c r="M11" s="383">
        <f>Demand!O45</f>
        <v>4.4450905286123126</v>
      </c>
      <c r="N11" s="383">
        <f>Demand!P45</f>
        <v>4.4922371195206603</v>
      </c>
      <c r="O11" s="383">
        <f>Demand!Q45</f>
        <v>4.5398837679688882</v>
      </c>
      <c r="P11" s="383">
        <f>Demand!R45</f>
        <v>4.5880357777878418</v>
      </c>
      <c r="Q11" s="383">
        <f>Demand!S45</f>
        <v>4.6366985090631392</v>
      </c>
      <c r="R11" s="383">
        <f>Demand!T45</f>
        <v>4.6858773787318269</v>
      </c>
      <c r="S11" s="383">
        <f>Demand!U45</f>
        <v>4.7355778611853809</v>
      </c>
      <c r="T11" s="383">
        <f>Demand!V45</f>
        <v>4.785805488879082</v>
      </c>
      <c r="U11" s="383">
        <f>Demand!W45</f>
        <v>4.8365658529478761</v>
      </c>
      <c r="V11" s="383">
        <f>Demand!X45</f>
        <v>4.887864603828751</v>
      </c>
      <c r="W11" s="383">
        <f>Demand!Y45</f>
        <v>4.9397074518897224</v>
      </c>
      <c r="X11" s="383">
        <f>Demand!Z45</f>
        <v>4.9921001680654866</v>
      </c>
      <c r="Y11" s="383">
        <f>Demand!AA45</f>
        <v>5.0450485844998205</v>
      </c>
      <c r="Z11" s="383">
        <f>Demand!AB45</f>
        <v>5.09855859519479</v>
      </c>
      <c r="AA11" s="383">
        <f>Demand!AC45</f>
        <v>5.1526361566668477</v>
      </c>
      <c r="AB11" s="383">
        <f>Demand!AD45</f>
        <v>5.2072872886098835</v>
      </c>
      <c r="AC11" s="383">
        <f>Demand!AE45</f>
        <v>5.2625180745653219</v>
      </c>
      <c r="AD11" s="383">
        <f>Demand!AF45</f>
        <v>5.3183346625993062</v>
      </c>
      <c r="AE11" s="383">
        <f>Demand!AG45</f>
        <v>5.3747432659870835</v>
      </c>
      <c r="AF11" s="383">
        <f>Demand!AH45</f>
        <v>5.4317501639046384</v>
      </c>
      <c r="AG11" s="383">
        <f>Demand!AI45</f>
        <v>5.4893617021276659</v>
      </c>
      <c r="AH11" s="383">
        <f>Demand!AJ45</f>
        <v>5.5475842937379563</v>
      </c>
      <c r="AI11" s="383">
        <f>Demand!AK45</f>
        <v>5.6064244198372766</v>
      </c>
      <c r="AJ11" s="383">
        <f>Demand!AL45</f>
        <v>5.6658886302688147</v>
      </c>
      <c r="AK11" s="383">
        <f>Demand!AM45</f>
        <v>5.7259835443462874</v>
      </c>
      <c r="AL11" s="383">
        <f>Demand!AN45</f>
        <v>5.7867158515907713</v>
      </c>
    </row>
    <row r="13" spans="1:38" ht="13">
      <c r="B13" s="502" t="s">
        <v>1059</v>
      </c>
      <c r="C13" s="497">
        <f>IF('Crossing Inputs'!$C$11&gt;0, 'Crossing Inputs'!$C$20/Feet.Per.Mile/'Crossing Inputs'!$H$59*60+IF('Crossing Inputs'!$H$53="Passive",0,'Crossing Inputs'!$C$21),0)</f>
        <v>9.5</v>
      </c>
    </row>
    <row r="14" spans="1:38">
      <c r="B14" s="571" t="s">
        <v>1058</v>
      </c>
      <c r="C14" s="572" t="s">
        <v>15</v>
      </c>
      <c r="D14" s="570">
        <f t="shared" ref="D14:AL14" si="2">(D$10*$C$13)/Minutes.Per.Day</f>
        <v>5.3337562169552002E-2</v>
      </c>
      <c r="E14" s="570">
        <f t="shared" si="2"/>
        <v>5.3903283881510361E-2</v>
      </c>
      <c r="F14" s="570">
        <f t="shared" si="2"/>
        <v>5.4475005887489727E-2</v>
      </c>
      <c r="G14" s="570">
        <f t="shared" si="2"/>
        <v>5.5052791829255265E-2</v>
      </c>
      <c r="H14" s="570">
        <f t="shared" si="2"/>
        <v>5.5636706023584767E-2</v>
      </c>
      <c r="I14" s="570">
        <f t="shared" si="2"/>
        <v>5.6226813469428136E-2</v>
      </c>
      <c r="J14" s="570">
        <f t="shared" si="2"/>
        <v>5.6823179855142826E-2</v>
      </c>
      <c r="K14" s="570">
        <f t="shared" si="2"/>
        <v>5.7425871565805968E-2</v>
      </c>
      <c r="L14" s="570">
        <f t="shared" si="2"/>
        <v>5.8034955690604122E-2</v>
      </c>
      <c r="M14" s="570">
        <f t="shared" si="2"/>
        <v>5.8650500030301346E-2</v>
      </c>
      <c r="N14" s="570">
        <f t="shared" si="2"/>
        <v>5.9272573104786494E-2</v>
      </c>
      <c r="O14" s="570">
        <f t="shared" si="2"/>
        <v>5.9901244160700605E-2</v>
      </c>
      <c r="P14" s="570">
        <f t="shared" si="2"/>
        <v>6.0536583179145134E-2</v>
      </c>
      <c r="Q14" s="570">
        <f t="shared" si="2"/>
        <v>6.1178660883471972E-2</v>
      </c>
      <c r="R14" s="570">
        <f t="shared" si="2"/>
        <v>6.1827548747156048E-2</v>
      </c>
      <c r="S14" s="570">
        <f t="shared" si="2"/>
        <v>6.2483319001751553E-2</v>
      </c>
      <c r="T14" s="570">
        <f t="shared" si="2"/>
        <v>6.3146044644932328E-2</v>
      </c>
      <c r="U14" s="570">
        <f t="shared" si="2"/>
        <v>6.3815799448617802E-2</v>
      </c>
      <c r="V14" s="570">
        <f t="shared" si="2"/>
        <v>6.449265796718491E-2</v>
      </c>
      <c r="W14" s="570">
        <f t="shared" si="2"/>
        <v>6.5176695545767174E-2</v>
      </c>
      <c r="X14" s="570">
        <f t="shared" si="2"/>
        <v>6.5867988328641838E-2</v>
      </c>
      <c r="Y14" s="570">
        <f t="shared" si="2"/>
        <v>6.6566613267705965E-2</v>
      </c>
      <c r="Z14" s="570">
        <f t="shared" si="2"/>
        <v>6.7272648131042362E-2</v>
      </c>
      <c r="AA14" s="570">
        <f t="shared" si="2"/>
        <v>6.798617151157646E-2</v>
      </c>
      <c r="AB14" s="570">
        <f t="shared" si="2"/>
        <v>6.8707262835824859E-2</v>
      </c>
      <c r="AC14" s="570">
        <f t="shared" si="2"/>
        <v>6.943600237273688E-2</v>
      </c>
      <c r="AD14" s="570">
        <f t="shared" si="2"/>
        <v>7.0172471242629736E-2</v>
      </c>
      <c r="AE14" s="570">
        <f t="shared" si="2"/>
        <v>7.0916751426218463E-2</v>
      </c>
      <c r="AF14" s="570">
        <f t="shared" si="2"/>
        <v>7.166892577374176E-2</v>
      </c>
      <c r="AG14" s="570">
        <f t="shared" si="2"/>
        <v>7.2429078014184481E-2</v>
      </c>
      <c r="AH14" s="570">
        <f t="shared" si="2"/>
        <v>7.3197292764598035E-2</v>
      </c>
      <c r="AI14" s="570">
        <f t="shared" si="2"/>
        <v>7.3973655539519623E-2</v>
      </c>
      <c r="AJ14" s="570">
        <f t="shared" si="2"/>
        <v>7.4758252760491306E-2</v>
      </c>
      <c r="AK14" s="570">
        <f t="shared" si="2"/>
        <v>7.5551171765680186E-2</v>
      </c>
      <c r="AL14" s="570">
        <f t="shared" si="2"/>
        <v>7.6352500819600447E-2</v>
      </c>
    </row>
    <row r="16" spans="1:38">
      <c r="B16" s="573" t="s">
        <v>1055</v>
      </c>
      <c r="C16" s="574" t="s">
        <v>505</v>
      </c>
      <c r="D16" s="383">
        <f t="shared" ref="D16:AK16" si="3">D6*D14</f>
        <v>117.49396684994086</v>
      </c>
      <c r="E16" s="383">
        <f t="shared" si="3"/>
        <v>122.24229229022353</v>
      </c>
      <c r="F16" s="383">
        <f t="shared" si="3"/>
        <v>127.18251349410428</v>
      </c>
      <c r="G16" s="383">
        <f t="shared" si="3"/>
        <v>132.32238561327819</v>
      </c>
      <c r="H16" s="383">
        <f t="shared" si="3"/>
        <v>137.66997721114197</v>
      </c>
      <c r="I16" s="383">
        <f t="shared" si="3"/>
        <v>143.23368292881241</v>
      </c>
      <c r="J16" s="383">
        <f t="shared" si="3"/>
        <v>149.02223666302152</v>
      </c>
      <c r="K16" s="383">
        <f t="shared" si="3"/>
        <v>155.04472527657373</v>
      </c>
      <c r="L16" s="383">
        <f t="shared" si="3"/>
        <v>161.31060286288971</v>
      </c>
      <c r="M16" s="383">
        <f t="shared" si="3"/>
        <v>167.82970558702743</v>
      </c>
      <c r="N16" s="383">
        <f t="shared" si="3"/>
        <v>174.61226712647925</v>
      </c>
      <c r="O16" s="383">
        <f t="shared" si="3"/>
        <v>181.6689347359831</v>
      </c>
      <c r="P16" s="383">
        <f t="shared" si="3"/>
        <v>189.01078596156677</v>
      </c>
      <c r="Q16" s="383">
        <f t="shared" si="3"/>
        <v>196.64934603006267</v>
      </c>
      <c r="R16" s="383">
        <f t="shared" si="3"/>
        <v>204.59660594139112</v>
      </c>
      <c r="S16" s="383">
        <f t="shared" si="3"/>
        <v>212.86504129201438</v>
      </c>
      <c r="T16" s="383">
        <f t="shared" si="3"/>
        <v>221.46763185910788</v>
      </c>
      <c r="U16" s="383">
        <f t="shared" si="3"/>
        <v>230.41788197619536</v>
      </c>
      <c r="V16" s="383">
        <f t="shared" si="3"/>
        <v>239.72984173223094</v>
      </c>
      <c r="W16" s="383">
        <f t="shared" si="3"/>
        <v>249.41812902740685</v>
      </c>
      <c r="X16" s="383">
        <f t="shared" si="3"/>
        <v>259.49795252031106</v>
      </c>
      <c r="Y16" s="383">
        <f t="shared" si="3"/>
        <v>269.9851355024565</v>
      </c>
      <c r="Z16" s="383">
        <f t="shared" si="3"/>
        <v>280.89614073765961</v>
      </c>
      <c r="AA16" s="383">
        <f t="shared" si="3"/>
        <v>292.24809630526187</v>
      </c>
      <c r="AB16" s="383">
        <f t="shared" si="3"/>
        <v>304.05882248776248</v>
      </c>
      <c r="AC16" s="383">
        <f t="shared" si="3"/>
        <v>316.34685974507084</v>
      </c>
      <c r="AD16" s="383">
        <f t="shared" si="3"/>
        <v>329.13149781929229</v>
      </c>
      <c r="AE16" s="383">
        <f t="shared" si="3"/>
        <v>342.43280601573514</v>
      </c>
      <c r="AF16" s="383">
        <f t="shared" si="3"/>
        <v>356.27166470767582</v>
      </c>
      <c r="AG16" s="383">
        <f t="shared" si="3"/>
        <v>370.66979811433748</v>
      </c>
      <c r="AH16" s="383">
        <f t="shared" si="3"/>
        <v>385.64980840353508</v>
      </c>
      <c r="AI16" s="383">
        <f t="shared" si="3"/>
        <v>401.23521117252477</v>
      </c>
      <c r="AJ16" s="383">
        <f t="shared" si="3"/>
        <v>417.45047236275207</v>
      </c>
      <c r="AK16" s="383">
        <f t="shared" si="3"/>
        <v>434.32104666644938</v>
      </c>
      <c r="AL16" s="383">
        <f t="shared" ref="AL16" si="4">AL6*AL14</f>
        <v>451.87341748537307</v>
      </c>
    </row>
    <row r="17" spans="2:38">
      <c r="B17" s="573" t="s">
        <v>1056</v>
      </c>
      <c r="C17" s="574" t="s">
        <v>490</v>
      </c>
      <c r="D17" s="383">
        <f>D16*$C13/2</f>
        <v>558.09634253721913</v>
      </c>
      <c r="E17" s="383">
        <f t="shared" ref="E17:AK17" si="5">E16*$C13/2</f>
        <v>580.65088837856183</v>
      </c>
      <c r="F17" s="383">
        <f t="shared" si="5"/>
        <v>604.11693909699534</v>
      </c>
      <c r="G17" s="383">
        <f t="shared" si="5"/>
        <v>628.53133166307134</v>
      </c>
      <c r="H17" s="383">
        <f t="shared" si="5"/>
        <v>653.93239175292433</v>
      </c>
      <c r="I17" s="383">
        <f t="shared" si="5"/>
        <v>680.35999391185896</v>
      </c>
      <c r="J17" s="383">
        <f t="shared" si="5"/>
        <v>707.85562414935225</v>
      </c>
      <c r="K17" s="383">
        <f t="shared" si="5"/>
        <v>736.46244506372523</v>
      </c>
      <c r="L17" s="383">
        <f t="shared" si="5"/>
        <v>766.22536359872606</v>
      </c>
      <c r="M17" s="383">
        <f t="shared" si="5"/>
        <v>797.19110153838028</v>
      </c>
      <c r="N17" s="383">
        <f t="shared" si="5"/>
        <v>829.40826885077649</v>
      </c>
      <c r="O17" s="383">
        <f t="shared" si="5"/>
        <v>862.92743999591971</v>
      </c>
      <c r="P17" s="383">
        <f t="shared" si="5"/>
        <v>897.8012333174421</v>
      </c>
      <c r="Q17" s="383">
        <f t="shared" si="5"/>
        <v>934.08439364279775</v>
      </c>
      <c r="R17" s="383">
        <f t="shared" si="5"/>
        <v>971.83387822160785</v>
      </c>
      <c r="S17" s="383">
        <f t="shared" si="5"/>
        <v>1011.1089461370683</v>
      </c>
      <c r="T17" s="383">
        <f t="shared" si="5"/>
        <v>1051.9712513307625</v>
      </c>
      <c r="U17" s="383">
        <f t="shared" si="5"/>
        <v>1094.4849393869279</v>
      </c>
      <c r="V17" s="383">
        <f t="shared" si="5"/>
        <v>1138.716748228097</v>
      </c>
      <c r="W17" s="383">
        <f t="shared" si="5"/>
        <v>1184.7361128801826</v>
      </c>
      <c r="X17" s="383">
        <f t="shared" si="5"/>
        <v>1232.6152744714775</v>
      </c>
      <c r="Y17" s="383">
        <f t="shared" si="5"/>
        <v>1282.4293936366685</v>
      </c>
      <c r="Z17" s="383">
        <f t="shared" si="5"/>
        <v>1334.2566685038832</v>
      </c>
      <c r="AA17" s="383">
        <f t="shared" si="5"/>
        <v>1388.1784574499939</v>
      </c>
      <c r="AB17" s="383">
        <f t="shared" si="5"/>
        <v>1444.2794068168719</v>
      </c>
      <c r="AC17" s="383">
        <f t="shared" si="5"/>
        <v>1502.6475837890864</v>
      </c>
      <c r="AD17" s="383">
        <f t="shared" si="5"/>
        <v>1563.3746146416383</v>
      </c>
      <c r="AE17" s="383">
        <f t="shared" si="5"/>
        <v>1626.555828574742</v>
      </c>
      <c r="AF17" s="383">
        <f t="shared" si="5"/>
        <v>1692.2904073614602</v>
      </c>
      <c r="AG17" s="383">
        <f t="shared" si="5"/>
        <v>1760.6815410431032</v>
      </c>
      <c r="AH17" s="383">
        <f t="shared" si="5"/>
        <v>1831.8365899167916</v>
      </c>
      <c r="AI17" s="383">
        <f t="shared" si="5"/>
        <v>1905.8672530694926</v>
      </c>
      <c r="AJ17" s="383">
        <f t="shared" si="5"/>
        <v>1982.8897437230723</v>
      </c>
      <c r="AK17" s="383">
        <f t="shared" si="5"/>
        <v>2063.0249716656344</v>
      </c>
      <c r="AL17" s="383">
        <f t="shared" ref="AL17" si="6">AL16*$C13/2</f>
        <v>2146.3987330555219</v>
      </c>
    </row>
    <row r="18" spans="2:38">
      <c r="B18" s="575" t="s">
        <v>1057</v>
      </c>
      <c r="C18" s="574" t="s">
        <v>443</v>
      </c>
      <c r="D18" s="383">
        <f>D17/Minutes.per.Hour*Days.Per.Year</f>
        <v>3395.086083768083</v>
      </c>
      <c r="E18" s="383">
        <f t="shared" ref="E18:AK18" si="7">E17/Minutes.per.Hour*Days.Per.Year</f>
        <v>3532.292904302918</v>
      </c>
      <c r="F18" s="383">
        <f t="shared" si="7"/>
        <v>3675.0447128400551</v>
      </c>
      <c r="G18" s="383">
        <f t="shared" si="7"/>
        <v>3823.5656009503509</v>
      </c>
      <c r="H18" s="383">
        <f t="shared" si="7"/>
        <v>3978.0887164969563</v>
      </c>
      <c r="I18" s="383">
        <f t="shared" si="7"/>
        <v>4138.8566296304753</v>
      </c>
      <c r="J18" s="383">
        <f t="shared" si="7"/>
        <v>4306.1217135752267</v>
      </c>
      <c r="K18" s="383">
        <f t="shared" si="7"/>
        <v>4480.1465408043287</v>
      </c>
      <c r="L18" s="383">
        <f t="shared" si="7"/>
        <v>4661.2042952255833</v>
      </c>
      <c r="M18" s="383">
        <f t="shared" si="7"/>
        <v>4849.5792010251471</v>
      </c>
      <c r="N18" s="383">
        <f t="shared" si="7"/>
        <v>5045.566968842224</v>
      </c>
      <c r="O18" s="383">
        <f t="shared" si="7"/>
        <v>5249.4752599751782</v>
      </c>
      <c r="P18" s="383">
        <f t="shared" si="7"/>
        <v>5461.6241693477723</v>
      </c>
      <c r="Q18" s="383">
        <f t="shared" si="7"/>
        <v>5682.3467279936858</v>
      </c>
      <c r="R18" s="383">
        <f t="shared" si="7"/>
        <v>5911.9894258481145</v>
      </c>
      <c r="S18" s="383">
        <f t="shared" si="7"/>
        <v>6150.9127556671656</v>
      </c>
      <c r="T18" s="383">
        <f t="shared" si="7"/>
        <v>6399.4917789288047</v>
      </c>
      <c r="U18" s="383">
        <f t="shared" si="7"/>
        <v>6658.1167146038115</v>
      </c>
      <c r="V18" s="383">
        <f t="shared" si="7"/>
        <v>6927.193551720924</v>
      </c>
      <c r="W18" s="383">
        <f t="shared" si="7"/>
        <v>7207.1446866877777</v>
      </c>
      <c r="X18" s="383">
        <f t="shared" si="7"/>
        <v>7498.409586368155</v>
      </c>
      <c r="Y18" s="383">
        <f t="shared" si="7"/>
        <v>7801.4454779563994</v>
      </c>
      <c r="Z18" s="383">
        <f t="shared" si="7"/>
        <v>8116.7280667319565</v>
      </c>
      <c r="AA18" s="383">
        <f t="shared" si="7"/>
        <v>8444.7522828207966</v>
      </c>
      <c r="AB18" s="383">
        <f t="shared" si="7"/>
        <v>8786.0330581359704</v>
      </c>
      <c r="AC18" s="383">
        <f t="shared" si="7"/>
        <v>9141.1061347169434</v>
      </c>
      <c r="AD18" s="383">
        <f t="shared" si="7"/>
        <v>9510.5289057366335</v>
      </c>
      <c r="AE18" s="383">
        <f t="shared" si="7"/>
        <v>9894.881290496347</v>
      </c>
      <c r="AF18" s="383">
        <f t="shared" si="7"/>
        <v>10294.766644782216</v>
      </c>
      <c r="AG18" s="383">
        <f t="shared" si="7"/>
        <v>10710.81270801221</v>
      </c>
      <c r="AH18" s="383">
        <f t="shared" si="7"/>
        <v>11143.672588660482</v>
      </c>
      <c r="AI18" s="383">
        <f t="shared" si="7"/>
        <v>11594.02578950608</v>
      </c>
      <c r="AJ18" s="383">
        <f t="shared" si="7"/>
        <v>12062.579274315356</v>
      </c>
      <c r="AK18" s="383">
        <f t="shared" si="7"/>
        <v>12550.068577632608</v>
      </c>
      <c r="AL18" s="383">
        <f t="shared" ref="AL18" si="8">AL17/Minutes.per.Hour*Days.Per.Year</f>
        <v>13057.258959421091</v>
      </c>
    </row>
    <row r="20" spans="2:38">
      <c r="B20" s="575" t="s">
        <v>745</v>
      </c>
      <c r="C20" s="574" t="s">
        <v>443</v>
      </c>
      <c r="D20" s="383">
        <f>D18</f>
        <v>3395.086083768083</v>
      </c>
      <c r="E20" s="383">
        <f t="shared" ref="E20:AK20" si="9">E18</f>
        <v>3532.292904302918</v>
      </c>
      <c r="F20" s="383">
        <f t="shared" si="9"/>
        <v>3675.0447128400551</v>
      </c>
      <c r="G20" s="383">
        <f t="shared" si="9"/>
        <v>3823.5656009503509</v>
      </c>
      <c r="H20" s="383">
        <f t="shared" si="9"/>
        <v>3978.0887164969563</v>
      </c>
      <c r="I20" s="383">
        <f t="shared" si="9"/>
        <v>4138.8566296304753</v>
      </c>
      <c r="J20" s="383">
        <f t="shared" si="9"/>
        <v>4306.1217135752267</v>
      </c>
      <c r="K20" s="383">
        <f t="shared" si="9"/>
        <v>4480.1465408043287</v>
      </c>
      <c r="L20" s="383">
        <f t="shared" si="9"/>
        <v>4661.2042952255833</v>
      </c>
      <c r="M20" s="383">
        <f t="shared" si="9"/>
        <v>4849.5792010251471</v>
      </c>
      <c r="N20" s="383">
        <f t="shared" si="9"/>
        <v>5045.566968842224</v>
      </c>
      <c r="O20" s="383">
        <f t="shared" si="9"/>
        <v>5249.4752599751782</v>
      </c>
      <c r="P20" s="383">
        <f t="shared" si="9"/>
        <v>5461.6241693477723</v>
      </c>
      <c r="Q20" s="383">
        <f t="shared" si="9"/>
        <v>5682.3467279936858</v>
      </c>
      <c r="R20" s="383">
        <f t="shared" si="9"/>
        <v>5911.9894258481145</v>
      </c>
      <c r="S20" s="383">
        <f t="shared" si="9"/>
        <v>6150.9127556671656</v>
      </c>
      <c r="T20" s="383">
        <f t="shared" si="9"/>
        <v>6399.4917789288047</v>
      </c>
      <c r="U20" s="383">
        <f t="shared" si="9"/>
        <v>6658.1167146038115</v>
      </c>
      <c r="V20" s="383">
        <f t="shared" si="9"/>
        <v>6927.193551720924</v>
      </c>
      <c r="W20" s="383">
        <f t="shared" si="9"/>
        <v>7207.1446866877777</v>
      </c>
      <c r="X20" s="383">
        <f t="shared" si="9"/>
        <v>7498.409586368155</v>
      </c>
      <c r="Y20" s="383">
        <f t="shared" si="9"/>
        <v>7801.4454779563994</v>
      </c>
      <c r="Z20" s="383">
        <f t="shared" si="9"/>
        <v>8116.7280667319565</v>
      </c>
      <c r="AA20" s="383">
        <f t="shared" si="9"/>
        <v>8444.7522828207966</v>
      </c>
      <c r="AB20" s="383">
        <f t="shared" si="9"/>
        <v>8786.0330581359704</v>
      </c>
      <c r="AC20" s="383">
        <f t="shared" si="9"/>
        <v>9141.1061347169434</v>
      </c>
      <c r="AD20" s="383">
        <f t="shared" si="9"/>
        <v>9510.5289057366335</v>
      </c>
      <c r="AE20" s="383">
        <f t="shared" si="9"/>
        <v>9894.881290496347</v>
      </c>
      <c r="AF20" s="383">
        <f t="shared" si="9"/>
        <v>10294.766644782216</v>
      </c>
      <c r="AG20" s="383">
        <f t="shared" si="9"/>
        <v>10710.81270801221</v>
      </c>
      <c r="AH20" s="383">
        <f t="shared" si="9"/>
        <v>11143.672588660482</v>
      </c>
      <c r="AI20" s="383">
        <f t="shared" si="9"/>
        <v>11594.02578950608</v>
      </c>
      <c r="AJ20" s="383">
        <f t="shared" si="9"/>
        <v>12062.579274315356</v>
      </c>
      <c r="AK20" s="383">
        <f t="shared" si="9"/>
        <v>12550.068577632608</v>
      </c>
      <c r="AL20" s="383">
        <f t="shared" ref="AL20" si="10">AL18</f>
        <v>13057.258959421091</v>
      </c>
    </row>
    <row r="22" spans="2:38" ht="13">
      <c r="B22" s="502" t="s">
        <v>506</v>
      </c>
      <c r="C22" s="542">
        <f>SUMIFS('Crossing Inputs'!$C$67:$H$67,'Crossing Inputs'!$C$49:$H$49,$A$1)</f>
        <v>0.995</v>
      </c>
    </row>
    <row r="23" spans="2:38" ht="13">
      <c r="B23" s="502" t="s">
        <v>507</v>
      </c>
      <c r="C23" s="542">
        <f>SUMIFS('Crossing Inputs'!$C$68:$H$68,'Crossing Inputs'!$C$49:$H$49,$A$1)</f>
        <v>5.0000000000000001E-3</v>
      </c>
    </row>
    <row r="24" spans="2:38" ht="13">
      <c r="B24" s="502" t="s">
        <v>746</v>
      </c>
      <c r="C24" s="542">
        <f>SUMIFS('Crossing Inputs'!$C$69:$H$69,'Crossing Inputs'!$C$49:$H$49,$A$1)</f>
        <v>0</v>
      </c>
    </row>
    <row r="25" spans="2:38">
      <c r="B25" s="358" t="s">
        <v>508</v>
      </c>
      <c r="C25" s="358" t="s">
        <v>443</v>
      </c>
      <c r="D25" s="576">
        <f>D$20*$C22</f>
        <v>3378.1106533492425</v>
      </c>
      <c r="E25" s="576">
        <f t="shared" ref="E25:AK27" si="11">E$20*$C22</f>
        <v>3514.6314397814035</v>
      </c>
      <c r="F25" s="576">
        <f t="shared" si="11"/>
        <v>3656.6694892758546</v>
      </c>
      <c r="G25" s="576">
        <f t="shared" si="11"/>
        <v>3804.4477729455994</v>
      </c>
      <c r="H25" s="576">
        <f t="shared" si="11"/>
        <v>3958.1982729144715</v>
      </c>
      <c r="I25" s="576">
        <f t="shared" si="11"/>
        <v>4118.1623464823233</v>
      </c>
      <c r="J25" s="576">
        <f t="shared" si="11"/>
        <v>4284.591105007351</v>
      </c>
      <c r="K25" s="576">
        <f t="shared" si="11"/>
        <v>4457.7458081003069</v>
      </c>
      <c r="L25" s="576">
        <f t="shared" si="11"/>
        <v>4637.8982737494553</v>
      </c>
      <c r="M25" s="576">
        <f t="shared" si="11"/>
        <v>4825.3313050200213</v>
      </c>
      <c r="N25" s="576">
        <f t="shared" si="11"/>
        <v>5020.3391339980126</v>
      </c>
      <c r="O25" s="576">
        <f>O$20*$C22</f>
        <v>5223.2278836753021</v>
      </c>
      <c r="P25" s="576">
        <f t="shared" si="11"/>
        <v>5434.316048501033</v>
      </c>
      <c r="Q25" s="576">
        <f t="shared" si="11"/>
        <v>5653.9349943537172</v>
      </c>
      <c r="R25" s="576">
        <f t="shared" si="11"/>
        <v>5882.4294787188737</v>
      </c>
      <c r="S25" s="576">
        <f t="shared" si="11"/>
        <v>6120.1581918888296</v>
      </c>
      <c r="T25" s="576">
        <f t="shared" si="11"/>
        <v>6367.4943200341604</v>
      </c>
      <c r="U25" s="576">
        <f t="shared" si="11"/>
        <v>6624.8261310307926</v>
      </c>
      <c r="V25" s="576">
        <f t="shared" si="11"/>
        <v>6892.5575839623198</v>
      </c>
      <c r="W25" s="576">
        <f t="shared" si="11"/>
        <v>7171.108963254339</v>
      </c>
      <c r="X25" s="576">
        <f t="shared" si="11"/>
        <v>7460.9175384363143</v>
      </c>
      <c r="Y25" s="576">
        <f t="shared" si="11"/>
        <v>7762.4382505666172</v>
      </c>
      <c r="Z25" s="576">
        <f t="shared" si="11"/>
        <v>8076.1444263982967</v>
      </c>
      <c r="AA25" s="576">
        <f t="shared" si="11"/>
        <v>8402.5285214066935</v>
      </c>
      <c r="AB25" s="576">
        <f t="shared" si="11"/>
        <v>8742.1028928452906</v>
      </c>
      <c r="AC25" s="576">
        <f t="shared" si="11"/>
        <v>9095.4006040433578</v>
      </c>
      <c r="AD25" s="576">
        <f t="shared" si="11"/>
        <v>9462.9762612079503</v>
      </c>
      <c r="AE25" s="576">
        <f t="shared" si="11"/>
        <v>9845.4068840438649</v>
      </c>
      <c r="AF25" s="576">
        <f t="shared" si="11"/>
        <v>10243.292811558305</v>
      </c>
      <c r="AG25" s="576">
        <f t="shared" si="11"/>
        <v>10657.258644472149</v>
      </c>
      <c r="AH25" s="576">
        <f t="shared" si="11"/>
        <v>11087.95422571718</v>
      </c>
      <c r="AI25" s="576">
        <f t="shared" si="11"/>
        <v>11536.05566055855</v>
      </c>
      <c r="AJ25" s="576">
        <f t="shared" si="11"/>
        <v>12002.266377943779</v>
      </c>
      <c r="AK25" s="576">
        <f t="shared" si="11"/>
        <v>12487.318234744445</v>
      </c>
      <c r="AL25" s="576">
        <f t="shared" ref="AL25" si="12">AL$20*$C22</f>
        <v>12991.972664623985</v>
      </c>
    </row>
    <row r="26" spans="2:38">
      <c r="B26" s="358" t="s">
        <v>509</v>
      </c>
      <c r="C26" s="358" t="s">
        <v>443</v>
      </c>
      <c r="D26" s="576">
        <f t="shared" ref="D26:S27" si="13">D$20*$C23</f>
        <v>16.975430418840414</v>
      </c>
      <c r="E26" s="576">
        <f t="shared" si="13"/>
        <v>17.661464521514592</v>
      </c>
      <c r="F26" s="576">
        <f t="shared" si="13"/>
        <v>18.375223564200276</v>
      </c>
      <c r="G26" s="576">
        <f t="shared" si="13"/>
        <v>19.117828004751754</v>
      </c>
      <c r="H26" s="576">
        <f t="shared" si="13"/>
        <v>19.890443582484782</v>
      </c>
      <c r="I26" s="576">
        <f t="shared" si="13"/>
        <v>20.694283148152376</v>
      </c>
      <c r="J26" s="576">
        <f t="shared" si="13"/>
        <v>21.530608567876133</v>
      </c>
      <c r="K26" s="576">
        <f t="shared" si="13"/>
        <v>22.400732704021642</v>
      </c>
      <c r="L26" s="576">
        <f t="shared" si="13"/>
        <v>23.306021476127917</v>
      </c>
      <c r="M26" s="576">
        <f t="shared" si="13"/>
        <v>24.247896005125735</v>
      </c>
      <c r="N26" s="576">
        <f t="shared" si="13"/>
        <v>25.22783484421112</v>
      </c>
      <c r="O26" s="576">
        <f t="shared" si="13"/>
        <v>26.247376299875892</v>
      </c>
      <c r="P26" s="576">
        <f t="shared" si="13"/>
        <v>27.308120846738863</v>
      </c>
      <c r="Q26" s="576">
        <f t="shared" si="13"/>
        <v>28.411733639968428</v>
      </c>
      <c r="R26" s="576">
        <f t="shared" si="13"/>
        <v>29.559947129240573</v>
      </c>
      <c r="S26" s="576">
        <f t="shared" si="13"/>
        <v>30.754563778335829</v>
      </c>
      <c r="T26" s="576">
        <f t="shared" si="11"/>
        <v>31.997458894644023</v>
      </c>
      <c r="U26" s="576">
        <f t="shared" si="11"/>
        <v>33.290583573019056</v>
      </c>
      <c r="V26" s="576">
        <f t="shared" si="11"/>
        <v>34.635967758604622</v>
      </c>
      <c r="W26" s="576">
        <f t="shared" si="11"/>
        <v>36.035723433438889</v>
      </c>
      <c r="X26" s="576">
        <f t="shared" si="11"/>
        <v>37.492047931840773</v>
      </c>
      <c r="Y26" s="576">
        <f t="shared" si="11"/>
        <v>39.007227389781995</v>
      </c>
      <c r="Z26" s="576">
        <f t="shared" si="11"/>
        <v>40.58364033365978</v>
      </c>
      <c r="AA26" s="576">
        <f t="shared" si="11"/>
        <v>42.223761414103983</v>
      </c>
      <c r="AB26" s="576">
        <f t="shared" si="11"/>
        <v>43.930165290679852</v>
      </c>
      <c r="AC26" s="576">
        <f t="shared" si="11"/>
        <v>45.705530673584718</v>
      </c>
      <c r="AD26" s="576">
        <f t="shared" si="11"/>
        <v>47.552644528683167</v>
      </c>
      <c r="AE26" s="576">
        <f t="shared" si="11"/>
        <v>49.474406452481738</v>
      </c>
      <c r="AF26" s="576">
        <f t="shared" si="11"/>
        <v>51.473833223911079</v>
      </c>
      <c r="AG26" s="576">
        <f t="shared" si="11"/>
        <v>53.554063540061051</v>
      </c>
      <c r="AH26" s="576">
        <f t="shared" si="11"/>
        <v>55.718362943302409</v>
      </c>
      <c r="AI26" s="576">
        <f t="shared" si="11"/>
        <v>57.970128947530405</v>
      </c>
      <c r="AJ26" s="576">
        <f t="shared" si="11"/>
        <v>60.312896371576784</v>
      </c>
      <c r="AK26" s="576">
        <f t="shared" si="11"/>
        <v>62.75034288816304</v>
      </c>
      <c r="AL26" s="576">
        <f t="shared" ref="AL26" si="14">AL$20*$C23</f>
        <v>65.286294797105455</v>
      </c>
    </row>
    <row r="27" spans="2:38">
      <c r="B27" s="358" t="s">
        <v>747</v>
      </c>
      <c r="C27" s="358" t="s">
        <v>443</v>
      </c>
      <c r="D27" s="576">
        <f t="shared" si="13"/>
        <v>0</v>
      </c>
      <c r="E27" s="576">
        <f t="shared" si="11"/>
        <v>0</v>
      </c>
      <c r="F27" s="576">
        <f t="shared" si="11"/>
        <v>0</v>
      </c>
      <c r="G27" s="576">
        <f t="shared" si="11"/>
        <v>0</v>
      </c>
      <c r="H27" s="576">
        <f t="shared" si="11"/>
        <v>0</v>
      </c>
      <c r="I27" s="576">
        <f t="shared" si="11"/>
        <v>0</v>
      </c>
      <c r="J27" s="576">
        <f t="shared" si="11"/>
        <v>0</v>
      </c>
      <c r="K27" s="576">
        <f t="shared" si="11"/>
        <v>0</v>
      </c>
      <c r="L27" s="576">
        <f t="shared" si="11"/>
        <v>0</v>
      </c>
      <c r="M27" s="576">
        <f t="shared" si="11"/>
        <v>0</v>
      </c>
      <c r="N27" s="576">
        <f t="shared" si="11"/>
        <v>0</v>
      </c>
      <c r="O27" s="576">
        <f t="shared" si="11"/>
        <v>0</v>
      </c>
      <c r="P27" s="576">
        <f t="shared" si="11"/>
        <v>0</v>
      </c>
      <c r="Q27" s="576">
        <f t="shared" si="11"/>
        <v>0</v>
      </c>
      <c r="R27" s="576">
        <f t="shared" si="11"/>
        <v>0</v>
      </c>
      <c r="S27" s="576">
        <f t="shared" si="11"/>
        <v>0</v>
      </c>
      <c r="T27" s="576">
        <f t="shared" si="11"/>
        <v>0</v>
      </c>
      <c r="U27" s="576">
        <f t="shared" si="11"/>
        <v>0</v>
      </c>
      <c r="V27" s="576">
        <f t="shared" si="11"/>
        <v>0</v>
      </c>
      <c r="W27" s="576">
        <f t="shared" si="11"/>
        <v>0</v>
      </c>
      <c r="X27" s="576">
        <f t="shared" si="11"/>
        <v>0</v>
      </c>
      <c r="Y27" s="576">
        <f t="shared" si="11"/>
        <v>0</v>
      </c>
      <c r="Z27" s="576">
        <f t="shared" si="11"/>
        <v>0</v>
      </c>
      <c r="AA27" s="576">
        <f t="shared" si="11"/>
        <v>0</v>
      </c>
      <c r="AB27" s="576">
        <f t="shared" si="11"/>
        <v>0</v>
      </c>
      <c r="AC27" s="576">
        <f t="shared" si="11"/>
        <v>0</v>
      </c>
      <c r="AD27" s="576">
        <f t="shared" si="11"/>
        <v>0</v>
      </c>
      <c r="AE27" s="576">
        <f t="shared" si="11"/>
        <v>0</v>
      </c>
      <c r="AF27" s="576">
        <f t="shared" si="11"/>
        <v>0</v>
      </c>
      <c r="AG27" s="576">
        <f t="shared" si="11"/>
        <v>0</v>
      </c>
      <c r="AH27" s="576">
        <f t="shared" si="11"/>
        <v>0</v>
      </c>
      <c r="AI27" s="576">
        <f t="shared" si="11"/>
        <v>0</v>
      </c>
      <c r="AJ27" s="576">
        <f t="shared" si="11"/>
        <v>0</v>
      </c>
      <c r="AK27" s="576">
        <f t="shared" si="11"/>
        <v>0</v>
      </c>
      <c r="AL27" s="576">
        <f t="shared" ref="AL27" si="15">AL$20*$C24</f>
        <v>0</v>
      </c>
    </row>
    <row r="29" spans="2:38" ht="13">
      <c r="B29" s="502" t="s">
        <v>784</v>
      </c>
      <c r="C29" s="497">
        <f>'General Inputs'!D28</f>
        <v>0.35749999999999998</v>
      </c>
    </row>
    <row r="30" spans="2:38" ht="13">
      <c r="B30" s="502" t="s">
        <v>785</v>
      </c>
      <c r="C30" s="497">
        <f>'General Inputs'!D29</f>
        <v>0.84</v>
      </c>
    </row>
    <row r="31" spans="2:38" ht="13">
      <c r="B31" s="502" t="s">
        <v>787</v>
      </c>
      <c r="C31" s="497">
        <f>'General Inputs'!D30</f>
        <v>0.97</v>
      </c>
    </row>
    <row r="32" spans="2:38">
      <c r="B32" s="1177" t="s">
        <v>788</v>
      </c>
      <c r="C32" s="358" t="s">
        <v>295</v>
      </c>
      <c r="D32" s="383">
        <f>D25*$C29</f>
        <v>1207.674558572354</v>
      </c>
      <c r="E32" s="383">
        <f t="shared" ref="E32:AK32" si="16">E25*$C29</f>
        <v>1256.4807397218517</v>
      </c>
      <c r="F32" s="383">
        <f t="shared" si="16"/>
        <v>1307.259342416118</v>
      </c>
      <c r="G32" s="383">
        <f t="shared" si="16"/>
        <v>1360.0900788280517</v>
      </c>
      <c r="H32" s="383">
        <f t="shared" si="16"/>
        <v>1415.0558825669236</v>
      </c>
      <c r="I32" s="383">
        <f t="shared" si="16"/>
        <v>1472.2430388674304</v>
      </c>
      <c r="J32" s="383">
        <f t="shared" si="16"/>
        <v>1531.7413200401279</v>
      </c>
      <c r="K32" s="383">
        <f t="shared" si="16"/>
        <v>1593.6441263958598</v>
      </c>
      <c r="L32" s="383">
        <f t="shared" si="16"/>
        <v>1658.0486328654301</v>
      </c>
      <c r="M32" s="383">
        <f t="shared" si="16"/>
        <v>1725.0559415446576</v>
      </c>
      <c r="N32" s="383">
        <f t="shared" si="16"/>
        <v>1794.7712404042895</v>
      </c>
      <c r="O32" s="383">
        <f t="shared" si="16"/>
        <v>1867.3039684139205</v>
      </c>
      <c r="P32" s="383">
        <f t="shared" si="16"/>
        <v>1942.7679873391191</v>
      </c>
      <c r="Q32" s="383">
        <f t="shared" si="16"/>
        <v>2021.2817604814538</v>
      </c>
      <c r="R32" s="383">
        <f t="shared" si="16"/>
        <v>2102.9685386419974</v>
      </c>
      <c r="S32" s="383">
        <f t="shared" si="16"/>
        <v>2187.9565536002565</v>
      </c>
      <c r="T32" s="383">
        <f t="shared" si="16"/>
        <v>2276.379219412212</v>
      </c>
      <c r="U32" s="383">
        <f t="shared" si="16"/>
        <v>2368.3753418435081</v>
      </c>
      <c r="V32" s="383">
        <f t="shared" si="16"/>
        <v>2464.0893362665292</v>
      </c>
      <c r="W32" s="383">
        <f t="shared" si="16"/>
        <v>2563.6714543634262</v>
      </c>
      <c r="X32" s="383">
        <f t="shared" si="16"/>
        <v>2667.2780199909821</v>
      </c>
      <c r="Y32" s="383">
        <f t="shared" si="16"/>
        <v>2775.0716745775653</v>
      </c>
      <c r="Z32" s="383">
        <f t="shared" si="16"/>
        <v>2887.2216324373908</v>
      </c>
      <c r="AA32" s="383">
        <f t="shared" si="16"/>
        <v>3003.9039464028929</v>
      </c>
      <c r="AB32" s="383">
        <f t="shared" si="16"/>
        <v>3125.3017841921915</v>
      </c>
      <c r="AC32" s="383">
        <f t="shared" si="16"/>
        <v>3251.6057159455004</v>
      </c>
      <c r="AD32" s="383">
        <f t="shared" si="16"/>
        <v>3383.0140133818422</v>
      </c>
      <c r="AE32" s="383">
        <f t="shared" si="16"/>
        <v>3519.7329610456813</v>
      </c>
      <c r="AF32" s="383">
        <f t="shared" si="16"/>
        <v>3661.977180132094</v>
      </c>
      <c r="AG32" s="383">
        <f t="shared" si="16"/>
        <v>3809.9699653987932</v>
      </c>
      <c r="AH32" s="383">
        <f t="shared" si="16"/>
        <v>3963.9436356938918</v>
      </c>
      <c r="AI32" s="383">
        <f t="shared" si="16"/>
        <v>4124.1398986496815</v>
      </c>
      <c r="AJ32" s="383">
        <f t="shared" si="16"/>
        <v>4290.8102301149011</v>
      </c>
      <c r="AK32" s="383">
        <f t="shared" si="16"/>
        <v>4464.2162689211391</v>
      </c>
      <c r="AL32" s="383">
        <f t="shared" ref="AL32" si="17">AL25*$C29</f>
        <v>4644.6302276030747</v>
      </c>
    </row>
    <row r="33" spans="1:38">
      <c r="B33" s="1177" t="s">
        <v>789</v>
      </c>
      <c r="C33" s="358" t="s">
        <v>295</v>
      </c>
      <c r="D33" s="383">
        <f>D26*$C30+D27*$C31</f>
        <v>14.259361551825947</v>
      </c>
      <c r="E33" s="383">
        <f t="shared" ref="E33:AK33" si="18">E26*$C30+E27*$C31</f>
        <v>14.835630198072257</v>
      </c>
      <c r="F33" s="383">
        <f t="shared" si="18"/>
        <v>15.435187793928231</v>
      </c>
      <c r="G33" s="383">
        <f t="shared" si="18"/>
        <v>16.058975523991474</v>
      </c>
      <c r="H33" s="383">
        <f t="shared" si="18"/>
        <v>16.707972609287214</v>
      </c>
      <c r="I33" s="383">
        <f t="shared" si="18"/>
        <v>17.383197844447995</v>
      </c>
      <c r="J33" s="383">
        <f t="shared" si="18"/>
        <v>18.08571119701595</v>
      </c>
      <c r="K33" s="383">
        <f t="shared" si="18"/>
        <v>18.816615471378178</v>
      </c>
      <c r="L33" s="383">
        <f t="shared" si="18"/>
        <v>19.577058039947449</v>
      </c>
      <c r="M33" s="383">
        <f t="shared" si="18"/>
        <v>20.368232644305618</v>
      </c>
      <c r="N33" s="383">
        <f t="shared" si="18"/>
        <v>21.191381269137342</v>
      </c>
      <c r="O33" s="383">
        <f t="shared" si="18"/>
        <v>22.047796091895748</v>
      </c>
      <c r="P33" s="383">
        <f t="shared" si="18"/>
        <v>22.938821511260645</v>
      </c>
      <c r="Q33" s="383">
        <f t="shared" si="18"/>
        <v>23.86585625757348</v>
      </c>
      <c r="R33" s="383">
        <f t="shared" si="18"/>
        <v>24.830355588562082</v>
      </c>
      <c r="S33" s="383">
        <f t="shared" si="18"/>
        <v>25.833833573802096</v>
      </c>
      <c r="T33" s="383">
        <f t="shared" si="18"/>
        <v>26.877865471500979</v>
      </c>
      <c r="U33" s="383">
        <f t="shared" si="18"/>
        <v>27.964090201336006</v>
      </c>
      <c r="V33" s="383">
        <f t="shared" si="18"/>
        <v>29.094212917227882</v>
      </c>
      <c r="W33" s="383">
        <f t="shared" si="18"/>
        <v>30.270007684088664</v>
      </c>
      <c r="X33" s="383">
        <f t="shared" si="18"/>
        <v>31.493320262746249</v>
      </c>
      <c r="Y33" s="383">
        <f t="shared" si="18"/>
        <v>32.766071007416876</v>
      </c>
      <c r="Z33" s="383">
        <f t="shared" si="18"/>
        <v>34.090257880274216</v>
      </c>
      <c r="AA33" s="383">
        <f t="shared" si="18"/>
        <v>35.467959587847346</v>
      </c>
      <c r="AB33" s="383">
        <f t="shared" si="18"/>
        <v>36.901338844171072</v>
      </c>
      <c r="AC33" s="383">
        <f t="shared" si="18"/>
        <v>38.39264576581116</v>
      </c>
      <c r="AD33" s="383">
        <f t="shared" si="18"/>
        <v>39.944221404093859</v>
      </c>
      <c r="AE33" s="383">
        <f t="shared" si="18"/>
        <v>41.55850142008466</v>
      </c>
      <c r="AF33" s="383">
        <f t="shared" si="18"/>
        <v>43.238019908085306</v>
      </c>
      <c r="AG33" s="383">
        <f t="shared" si="18"/>
        <v>44.985413373651284</v>
      </c>
      <c r="AH33" s="383">
        <f t="shared" si="18"/>
        <v>46.803424872374023</v>
      </c>
      <c r="AI33" s="383">
        <f t="shared" si="18"/>
        <v>48.694908315925538</v>
      </c>
      <c r="AJ33" s="383">
        <f t="shared" si="18"/>
        <v>50.662832952124496</v>
      </c>
      <c r="AK33" s="383">
        <f t="shared" si="18"/>
        <v>52.710288026056951</v>
      </c>
      <c r="AL33" s="383">
        <f t="shared" ref="AL33" si="19">AL26*$C30+AL27*$C31</f>
        <v>54.840487629568578</v>
      </c>
    </row>
    <row r="35" spans="1:38" ht="13">
      <c r="A35" s="390" t="s">
        <v>748</v>
      </c>
      <c r="B35" s="505"/>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row>
    <row r="37" spans="1:38">
      <c r="B37" s="358" t="s">
        <v>1060</v>
      </c>
      <c r="C37" s="358" t="s">
        <v>1053</v>
      </c>
      <c r="D37" s="383">
        <f>Demand!F66</f>
        <v>8.0848515288584082</v>
      </c>
      <c r="E37" s="383">
        <f>Demand!G66</f>
        <v>8.1706030304605175</v>
      </c>
      <c r="F37" s="383">
        <f>Demand!H66</f>
        <v>8.2572640503142321</v>
      </c>
      <c r="G37" s="383">
        <f>Demand!I66</f>
        <v>8.3448442351713243</v>
      </c>
      <c r="H37" s="383">
        <f>Demand!J66</f>
        <v>6.3250150005759522</v>
      </c>
      <c r="I37" s="383">
        <f>Demand!K66</f>
        <v>6.3921008996823563</v>
      </c>
      <c r="J37" s="383">
        <f>Demand!L66</f>
        <v>6.4598983414267632</v>
      </c>
      <c r="K37" s="383">
        <f>Demand!M66</f>
        <v>6.5284148727442579</v>
      </c>
      <c r="L37" s="383">
        <f>Demand!N66</f>
        <v>6.5976581206160478</v>
      </c>
      <c r="M37" s="383">
        <f>Demand!O66</f>
        <v>6.6676357929184693</v>
      </c>
      <c r="N37" s="383">
        <f>Demand!P66</f>
        <v>6.7383556792809909</v>
      </c>
      <c r="O37" s="383">
        <f>Demand!Q66</f>
        <v>6.8098256519533322</v>
      </c>
      <c r="P37" s="383">
        <f>Demand!R66</f>
        <v>6.8820536666817631</v>
      </c>
      <c r="Q37" s="383">
        <f>Demand!S66</f>
        <v>6.9550477635947088</v>
      </c>
      <c r="R37" s="383">
        <f>Demand!T66</f>
        <v>7.0288160680977398</v>
      </c>
      <c r="S37" s="383">
        <f>Demand!U66</f>
        <v>7.1033667917780718</v>
      </c>
      <c r="T37" s="383">
        <f>Demand!V66</f>
        <v>7.1787082333186234</v>
      </c>
      <c r="U37" s="383">
        <f>Demand!W66</f>
        <v>7.2548487794218142</v>
      </c>
      <c r="V37" s="383">
        <f>Demand!X66</f>
        <v>7.3317969057431265</v>
      </c>
      <c r="W37" s="383">
        <f>Demand!Y66</f>
        <v>7.4095611778345836</v>
      </c>
      <c r="X37" s="383">
        <f>Demand!Z66</f>
        <v>7.4881502520982295</v>
      </c>
      <c r="Y37" s="383">
        <f>Demand!AA66</f>
        <v>7.5675728767497308</v>
      </c>
      <c r="Z37" s="383">
        <f>Demand!AB66</f>
        <v>7.6478378927921851</v>
      </c>
      <c r="AA37" s="383">
        <f>Demand!AC66</f>
        <v>7.7289542350002716</v>
      </c>
      <c r="AB37" s="383">
        <f>Demand!AD66</f>
        <v>7.8109309329148253</v>
      </c>
      <c r="AC37" s="383">
        <f>Demand!AE66</f>
        <v>7.8937771118479834</v>
      </c>
      <c r="AD37" s="383">
        <f>Demand!AF66</f>
        <v>7.9775019938989598</v>
      </c>
      <c r="AE37" s="383">
        <f>Demand!AG66</f>
        <v>8.0621148989806244</v>
      </c>
      <c r="AF37" s="383">
        <f>Demand!AH66</f>
        <v>8.1476252458569576</v>
      </c>
      <c r="AG37" s="383">
        <f>Demand!AI66</f>
        <v>8.2340425531914985</v>
      </c>
      <c r="AH37" s="383">
        <f>Demand!AJ66</f>
        <v>8.3213764406069348</v>
      </c>
      <c r="AI37" s="383">
        <f>Demand!AK66</f>
        <v>8.4096366297559157</v>
      </c>
      <c r="AJ37" s="383">
        <f>Demand!AL66</f>
        <v>8.4988329454032225</v>
      </c>
      <c r="AK37" s="383">
        <f>Demand!AM66</f>
        <v>8.5889753165194307</v>
      </c>
      <c r="AL37" s="383">
        <f>Demand!AN66</f>
        <v>8.6800737773861574</v>
      </c>
    </row>
    <row r="38" spans="1:38">
      <c r="B38" s="363" t="s">
        <v>645</v>
      </c>
      <c r="C38" s="358" t="s">
        <v>1054</v>
      </c>
      <c r="D38" s="383">
        <f>Demand!F67</f>
        <v>4.0424257644292041</v>
      </c>
      <c r="E38" s="383">
        <f>Demand!G67</f>
        <v>4.0853015152302588</v>
      </c>
      <c r="F38" s="383">
        <f>Demand!H67</f>
        <v>4.128632025157116</v>
      </c>
      <c r="G38" s="383">
        <f>Demand!I67</f>
        <v>4.1724221175856622</v>
      </c>
      <c r="H38" s="383">
        <f>Demand!J67</f>
        <v>3.1625075002879761</v>
      </c>
      <c r="I38" s="383">
        <f>Demand!K67</f>
        <v>3.1960504498411781</v>
      </c>
      <c r="J38" s="383">
        <f>Demand!L67</f>
        <v>3.2299491707133816</v>
      </c>
      <c r="K38" s="383">
        <f>Demand!M67</f>
        <v>3.264207436372129</v>
      </c>
      <c r="L38" s="383">
        <f>Demand!N67</f>
        <v>3.2988290603080239</v>
      </c>
      <c r="M38" s="383">
        <f>Demand!O67</f>
        <v>3.3338178964592347</v>
      </c>
      <c r="N38" s="383">
        <f>Demand!P67</f>
        <v>3.3691778396404954</v>
      </c>
      <c r="O38" s="383">
        <f>Demand!Q67</f>
        <v>3.4049128259766661</v>
      </c>
      <c r="P38" s="383">
        <f>Demand!R67</f>
        <v>3.4410268333408816</v>
      </c>
      <c r="Q38" s="383">
        <f>Demand!S67</f>
        <v>3.4775238817973544</v>
      </c>
      <c r="R38" s="383">
        <f>Demand!T67</f>
        <v>3.5144080340488699</v>
      </c>
      <c r="S38" s="383">
        <f>Demand!U67</f>
        <v>3.5516833958890359</v>
      </c>
      <c r="T38" s="383">
        <f>Demand!V67</f>
        <v>3.5893541166593117</v>
      </c>
      <c r="U38" s="383">
        <f>Demand!W67</f>
        <v>3.6274243897109071</v>
      </c>
      <c r="V38" s="383">
        <f>Demand!X67</f>
        <v>3.6658984528715632</v>
      </c>
      <c r="W38" s="383">
        <f>Demand!Y67</f>
        <v>3.7047805889172918</v>
      </c>
      <c r="X38" s="383">
        <f>Demand!Z67</f>
        <v>3.7440751260491147</v>
      </c>
      <c r="Y38" s="383">
        <f>Demand!AA67</f>
        <v>3.7837864383748654</v>
      </c>
      <c r="Z38" s="383">
        <f>Demand!AB67</f>
        <v>3.8239189463960925</v>
      </c>
      <c r="AA38" s="383">
        <f>Demand!AC67</f>
        <v>3.8644771175001358</v>
      </c>
      <c r="AB38" s="383">
        <f>Demand!AD67</f>
        <v>3.9054654664574127</v>
      </c>
      <c r="AC38" s="383">
        <f>Demand!AE67</f>
        <v>3.9468885559239917</v>
      </c>
      <c r="AD38" s="383">
        <f>Demand!AF67</f>
        <v>3.9887509969494799</v>
      </c>
      <c r="AE38" s="383">
        <f>Demand!AG67</f>
        <v>4.0310574494903122</v>
      </c>
      <c r="AF38" s="383">
        <f>Demand!AH67</f>
        <v>4.0738126229284788</v>
      </c>
      <c r="AG38" s="383">
        <f>Demand!AI67</f>
        <v>4.1170212765957492</v>
      </c>
      <c r="AH38" s="383">
        <f>Demand!AJ67</f>
        <v>4.1606882203034674</v>
      </c>
      <c r="AI38" s="383">
        <f>Demand!AK67</f>
        <v>4.2048183148779579</v>
      </c>
      <c r="AJ38" s="383">
        <f>Demand!AL67</f>
        <v>4.2494164727016113</v>
      </c>
      <c r="AK38" s="383">
        <f>Demand!AM67</f>
        <v>4.2944876582597153</v>
      </c>
      <c r="AL38" s="383">
        <f>Demand!AN67</f>
        <v>4.3400368886930787</v>
      </c>
    </row>
    <row r="40" spans="1:38">
      <c r="B40" s="571" t="s">
        <v>1058</v>
      </c>
      <c r="C40" s="572" t="s">
        <v>15</v>
      </c>
      <c r="D40" s="570">
        <f t="shared" ref="D40:AL40" si="20">(D$37*$C$13)/Minutes.Per.Day</f>
        <v>5.3337562169552002E-2</v>
      </c>
      <c r="E40" s="570">
        <f t="shared" si="20"/>
        <v>5.3903283881510361E-2</v>
      </c>
      <c r="F40" s="570">
        <f t="shared" si="20"/>
        <v>5.4475005887489727E-2</v>
      </c>
      <c r="G40" s="570">
        <f t="shared" si="20"/>
        <v>5.5052791829255265E-2</v>
      </c>
      <c r="H40" s="570">
        <f t="shared" si="20"/>
        <v>4.1727529517688579E-2</v>
      </c>
      <c r="I40" s="570">
        <f t="shared" si="20"/>
        <v>4.2170110102071098E-2</v>
      </c>
      <c r="J40" s="570">
        <f t="shared" si="20"/>
        <v>4.2617384891357121E-2</v>
      </c>
      <c r="K40" s="570">
        <f t="shared" si="20"/>
        <v>4.3069403674354481E-2</v>
      </c>
      <c r="L40" s="570">
        <f t="shared" si="20"/>
        <v>4.352621676795309E-2</v>
      </c>
      <c r="M40" s="570">
        <f t="shared" si="20"/>
        <v>4.3987875022726011E-2</v>
      </c>
      <c r="N40" s="570">
        <f t="shared" si="20"/>
        <v>4.4454429828589867E-2</v>
      </c>
      <c r="O40" s="570">
        <f t="shared" si="20"/>
        <v>4.4925933120525459E-2</v>
      </c>
      <c r="P40" s="570">
        <f t="shared" si="20"/>
        <v>4.5402437384358854E-2</v>
      </c>
      <c r="Q40" s="570">
        <f t="shared" si="20"/>
        <v>4.5883995662603982E-2</v>
      </c>
      <c r="R40" s="570">
        <f t="shared" si="20"/>
        <v>4.6370661560367031E-2</v>
      </c>
      <c r="S40" s="570">
        <f t="shared" si="20"/>
        <v>4.6862489251313671E-2</v>
      </c>
      <c r="T40" s="570">
        <f t="shared" si="20"/>
        <v>4.7359533483699257E-2</v>
      </c>
      <c r="U40" s="570">
        <f t="shared" si="20"/>
        <v>4.7861849586463362E-2</v>
      </c>
      <c r="V40" s="570">
        <f t="shared" si="20"/>
        <v>4.8369493475388679E-2</v>
      </c>
      <c r="W40" s="570">
        <f t="shared" si="20"/>
        <v>4.8882521659325377E-2</v>
      </c>
      <c r="X40" s="570">
        <f t="shared" si="20"/>
        <v>4.9400991246481375E-2</v>
      </c>
      <c r="Y40" s="570">
        <f t="shared" si="20"/>
        <v>4.9924959950779474E-2</v>
      </c>
      <c r="Z40" s="570">
        <f t="shared" si="20"/>
        <v>5.0454486098281778E-2</v>
      </c>
      <c r="AA40" s="570">
        <f t="shared" si="20"/>
        <v>5.0989628633682345E-2</v>
      </c>
      <c r="AB40" s="570">
        <f t="shared" si="20"/>
        <v>5.1530447126868641E-2</v>
      </c>
      <c r="AC40" s="570">
        <f t="shared" si="20"/>
        <v>5.2077001779552663E-2</v>
      </c>
      <c r="AD40" s="570">
        <f t="shared" si="20"/>
        <v>5.2629353431972309E-2</v>
      </c>
      <c r="AE40" s="570">
        <f t="shared" si="20"/>
        <v>5.3187563569663844E-2</v>
      </c>
      <c r="AF40" s="570">
        <f t="shared" si="20"/>
        <v>5.375169433030632E-2</v>
      </c>
      <c r="AG40" s="570">
        <f t="shared" si="20"/>
        <v>5.4321808510638357E-2</v>
      </c>
      <c r="AH40" s="570">
        <f t="shared" si="20"/>
        <v>5.4897969573448523E-2</v>
      </c>
      <c r="AI40" s="570">
        <f t="shared" si="20"/>
        <v>5.5480241654639724E-2</v>
      </c>
      <c r="AJ40" s="570">
        <f t="shared" si="20"/>
        <v>5.606868957036848E-2</v>
      </c>
      <c r="AK40" s="570">
        <f t="shared" si="20"/>
        <v>5.6663378824260133E-2</v>
      </c>
      <c r="AL40" s="570">
        <f t="shared" si="20"/>
        <v>5.7264375614700339E-2</v>
      </c>
    </row>
    <row r="42" spans="1:38">
      <c r="B42" s="573" t="s">
        <v>1055</v>
      </c>
      <c r="C42" s="574" t="s">
        <v>505</v>
      </c>
      <c r="D42" s="383">
        <f t="shared" ref="D42:AK42" si="21">D6*D40</f>
        <v>117.49396684994086</v>
      </c>
      <c r="E42" s="383">
        <f t="shared" si="21"/>
        <v>122.24229229022353</v>
      </c>
      <c r="F42" s="383">
        <f t="shared" si="21"/>
        <v>127.18251349410428</v>
      </c>
      <c r="G42" s="383">
        <f t="shared" si="21"/>
        <v>132.32238561327819</v>
      </c>
      <c r="H42" s="383">
        <f t="shared" si="21"/>
        <v>103.25248290835648</v>
      </c>
      <c r="I42" s="383">
        <f t="shared" si="21"/>
        <v>107.42526219660931</v>
      </c>
      <c r="J42" s="383">
        <f t="shared" si="21"/>
        <v>111.76667749726614</v>
      </c>
      <c r="K42" s="383">
        <f t="shared" si="21"/>
        <v>116.28354395743031</v>
      </c>
      <c r="L42" s="383">
        <f t="shared" si="21"/>
        <v>120.98295214716728</v>
      </c>
      <c r="M42" s="383">
        <f t="shared" si="21"/>
        <v>125.87227919027059</v>
      </c>
      <c r="N42" s="383">
        <f t="shared" si="21"/>
        <v>130.95920034485943</v>
      </c>
      <c r="O42" s="383">
        <f t="shared" si="21"/>
        <v>136.25170105198734</v>
      </c>
      <c r="P42" s="383">
        <f t="shared" si="21"/>
        <v>141.75808947117508</v>
      </c>
      <c r="Q42" s="383">
        <f t="shared" si="21"/>
        <v>147.48700952254703</v>
      </c>
      <c r="R42" s="383">
        <f t="shared" si="21"/>
        <v>153.44745445604332</v>
      </c>
      <c r="S42" s="383">
        <f t="shared" si="21"/>
        <v>159.6487809690108</v>
      </c>
      <c r="T42" s="383">
        <f t="shared" si="21"/>
        <v>166.10072389433094</v>
      </c>
      <c r="U42" s="383">
        <f t="shared" si="21"/>
        <v>172.81341148214656</v>
      </c>
      <c r="V42" s="383">
        <f t="shared" si="21"/>
        <v>179.7973812991732</v>
      </c>
      <c r="W42" s="383">
        <f t="shared" si="21"/>
        <v>187.06359677055511</v>
      </c>
      <c r="X42" s="383">
        <f t="shared" si="21"/>
        <v>194.62346439023329</v>
      </c>
      <c r="Y42" s="383">
        <f t="shared" si="21"/>
        <v>202.4888516268424</v>
      </c>
      <c r="Z42" s="383">
        <f t="shared" si="21"/>
        <v>210.67210555324473</v>
      </c>
      <c r="AA42" s="383">
        <f t="shared" si="21"/>
        <v>219.18607222894639</v>
      </c>
      <c r="AB42" s="383">
        <f t="shared" si="21"/>
        <v>228.04411686582185</v>
      </c>
      <c r="AC42" s="383">
        <f t="shared" si="21"/>
        <v>237.26014480880318</v>
      </c>
      <c r="AD42" s="383">
        <f t="shared" si="21"/>
        <v>246.84862336446923</v>
      </c>
      <c r="AE42" s="383">
        <f t="shared" si="21"/>
        <v>256.82460451180134</v>
      </c>
      <c r="AF42" s="383">
        <f t="shared" si="21"/>
        <v>267.20374853075691</v>
      </c>
      <c r="AG42" s="383">
        <f t="shared" si="21"/>
        <v>278.00234858575311</v>
      </c>
      <c r="AH42" s="383">
        <f t="shared" si="21"/>
        <v>289.23735630265128</v>
      </c>
      <c r="AI42" s="383">
        <f t="shared" si="21"/>
        <v>300.92640837939365</v>
      </c>
      <c r="AJ42" s="383">
        <f t="shared" si="21"/>
        <v>313.08785427206402</v>
      </c>
      <c r="AK42" s="383">
        <f t="shared" si="21"/>
        <v>325.74078499983699</v>
      </c>
      <c r="AL42" s="383">
        <f t="shared" ref="AL42" si="22">AL6*AL40</f>
        <v>338.90506311402982</v>
      </c>
    </row>
    <row r="43" spans="1:38">
      <c r="B43" s="573" t="s">
        <v>1056</v>
      </c>
      <c r="C43" s="574" t="s">
        <v>490</v>
      </c>
      <c r="D43" s="383">
        <f t="shared" ref="D43:AK43" si="23">D42*$C$13/2</f>
        <v>558.09634253721913</v>
      </c>
      <c r="E43" s="383">
        <f t="shared" si="23"/>
        <v>580.65088837856183</v>
      </c>
      <c r="F43" s="383">
        <f t="shared" si="23"/>
        <v>604.11693909699534</v>
      </c>
      <c r="G43" s="383">
        <f t="shared" si="23"/>
        <v>628.53133166307134</v>
      </c>
      <c r="H43" s="383">
        <f t="shared" si="23"/>
        <v>490.44929381469331</v>
      </c>
      <c r="I43" s="383">
        <f t="shared" si="23"/>
        <v>510.26999543389422</v>
      </c>
      <c r="J43" s="383">
        <f t="shared" si="23"/>
        <v>530.89171811201413</v>
      </c>
      <c r="K43" s="383">
        <f t="shared" si="23"/>
        <v>552.34683379779403</v>
      </c>
      <c r="L43" s="383">
        <f t="shared" si="23"/>
        <v>574.6690226990446</v>
      </c>
      <c r="M43" s="383">
        <f t="shared" si="23"/>
        <v>597.89332615378532</v>
      </c>
      <c r="N43" s="383">
        <f t="shared" si="23"/>
        <v>622.05620163808226</v>
      </c>
      <c r="O43" s="383">
        <f t="shared" si="23"/>
        <v>647.19557999693984</v>
      </c>
      <c r="P43" s="383">
        <f t="shared" si="23"/>
        <v>673.3509249880816</v>
      </c>
      <c r="Q43" s="383">
        <f t="shared" si="23"/>
        <v>700.56329523209843</v>
      </c>
      <c r="R43" s="383">
        <f t="shared" si="23"/>
        <v>728.87540866620577</v>
      </c>
      <c r="S43" s="383">
        <f t="shared" si="23"/>
        <v>758.33170960280131</v>
      </c>
      <c r="T43" s="383">
        <f t="shared" si="23"/>
        <v>788.97843849807191</v>
      </c>
      <c r="U43" s="383">
        <f t="shared" si="23"/>
        <v>820.86370454019618</v>
      </c>
      <c r="V43" s="383">
        <f t="shared" si="23"/>
        <v>854.03756117107264</v>
      </c>
      <c r="W43" s="383">
        <f t="shared" si="23"/>
        <v>888.55208466013676</v>
      </c>
      <c r="X43" s="383">
        <f t="shared" si="23"/>
        <v>924.46145585360819</v>
      </c>
      <c r="Y43" s="383">
        <f t="shared" si="23"/>
        <v>961.82204522750146</v>
      </c>
      <c r="Z43" s="383">
        <f t="shared" si="23"/>
        <v>1000.6925013779124</v>
      </c>
      <c r="AA43" s="383">
        <f t="shared" si="23"/>
        <v>1041.1338430874953</v>
      </c>
      <c r="AB43" s="383">
        <f t="shared" si="23"/>
        <v>1083.2095551126538</v>
      </c>
      <c r="AC43" s="383">
        <f t="shared" si="23"/>
        <v>1126.985687841815</v>
      </c>
      <c r="AD43" s="383">
        <f t="shared" si="23"/>
        <v>1172.5309609812289</v>
      </c>
      <c r="AE43" s="383">
        <f t="shared" si="23"/>
        <v>1219.9168714310563</v>
      </c>
      <c r="AF43" s="383">
        <f t="shared" si="23"/>
        <v>1269.2178055210952</v>
      </c>
      <c r="AG43" s="383">
        <f t="shared" si="23"/>
        <v>1320.5111557823273</v>
      </c>
      <c r="AH43" s="383">
        <f t="shared" si="23"/>
        <v>1373.8774424375936</v>
      </c>
      <c r="AI43" s="383">
        <f t="shared" si="23"/>
        <v>1429.4004398021198</v>
      </c>
      <c r="AJ43" s="383">
        <f t="shared" si="23"/>
        <v>1487.1673077923042</v>
      </c>
      <c r="AK43" s="383">
        <f t="shared" si="23"/>
        <v>1547.2687287492256</v>
      </c>
      <c r="AL43" s="383">
        <f t="shared" ref="AL43" si="24">AL42*$C$13/2</f>
        <v>1609.7990497916417</v>
      </c>
    </row>
    <row r="44" spans="1:38">
      <c r="B44" s="575" t="s">
        <v>1057</v>
      </c>
      <c r="C44" s="574" t="s">
        <v>443</v>
      </c>
      <c r="D44" s="383">
        <f t="shared" ref="D44:AK44" si="25">D43/Minutes.per.Hour*Days.Per.Year</f>
        <v>3395.086083768083</v>
      </c>
      <c r="E44" s="383">
        <f t="shared" si="25"/>
        <v>3532.292904302918</v>
      </c>
      <c r="F44" s="383">
        <f t="shared" si="25"/>
        <v>3675.0447128400551</v>
      </c>
      <c r="G44" s="383">
        <f t="shared" si="25"/>
        <v>3823.5656009503509</v>
      </c>
      <c r="H44" s="383">
        <f t="shared" si="25"/>
        <v>2983.5665373727174</v>
      </c>
      <c r="I44" s="383">
        <f t="shared" si="25"/>
        <v>3104.1424722228567</v>
      </c>
      <c r="J44" s="383">
        <f t="shared" si="25"/>
        <v>3229.5912851814192</v>
      </c>
      <c r="K44" s="383">
        <f t="shared" si="25"/>
        <v>3360.1099056032472</v>
      </c>
      <c r="L44" s="383">
        <f t="shared" si="25"/>
        <v>3495.903221419188</v>
      </c>
      <c r="M44" s="383">
        <f t="shared" si="25"/>
        <v>3637.184400768861</v>
      </c>
      <c r="N44" s="383">
        <f t="shared" si="25"/>
        <v>3784.1752266316676</v>
      </c>
      <c r="O44" s="383">
        <f t="shared" si="25"/>
        <v>3937.1064449813839</v>
      </c>
      <c r="P44" s="383">
        <f t="shared" si="25"/>
        <v>4096.2181270108294</v>
      </c>
      <c r="Q44" s="383">
        <f t="shared" si="25"/>
        <v>4261.7600459952655</v>
      </c>
      <c r="R44" s="383">
        <f t="shared" si="25"/>
        <v>4433.9920693860849</v>
      </c>
      <c r="S44" s="383">
        <f t="shared" si="25"/>
        <v>4613.1845667503749</v>
      </c>
      <c r="T44" s="383">
        <f t="shared" si="25"/>
        <v>4799.6188341966044</v>
      </c>
      <c r="U44" s="383">
        <f t="shared" si="25"/>
        <v>4993.58753595286</v>
      </c>
      <c r="V44" s="383">
        <f t="shared" si="25"/>
        <v>5195.3951637906921</v>
      </c>
      <c r="W44" s="383">
        <f t="shared" si="25"/>
        <v>5405.3585150158315</v>
      </c>
      <c r="X44" s="383">
        <f t="shared" si="25"/>
        <v>5623.8071897761165</v>
      </c>
      <c r="Y44" s="383">
        <f t="shared" si="25"/>
        <v>5851.0841084673002</v>
      </c>
      <c r="Z44" s="383">
        <f t="shared" si="25"/>
        <v>6087.5460500489671</v>
      </c>
      <c r="AA44" s="383">
        <f t="shared" si="25"/>
        <v>6333.5642121155961</v>
      </c>
      <c r="AB44" s="383">
        <f t="shared" si="25"/>
        <v>6589.5247936019778</v>
      </c>
      <c r="AC44" s="383">
        <f t="shared" si="25"/>
        <v>6855.8296010377071</v>
      </c>
      <c r="AD44" s="383">
        <f t="shared" si="25"/>
        <v>7132.8966793024756</v>
      </c>
      <c r="AE44" s="383">
        <f t="shared" si="25"/>
        <v>7421.1609678722589</v>
      </c>
      <c r="AF44" s="383">
        <f t="shared" si="25"/>
        <v>7721.0749835866627</v>
      </c>
      <c r="AG44" s="383">
        <f t="shared" si="25"/>
        <v>8033.1095310091578</v>
      </c>
      <c r="AH44" s="383">
        <f t="shared" si="25"/>
        <v>8357.7544414953609</v>
      </c>
      <c r="AI44" s="383">
        <f t="shared" si="25"/>
        <v>8695.5193421295608</v>
      </c>
      <c r="AJ44" s="383">
        <f t="shared" si="25"/>
        <v>9046.9344557365166</v>
      </c>
      <c r="AK44" s="383">
        <f t="shared" si="25"/>
        <v>9412.5514332244566</v>
      </c>
      <c r="AL44" s="383">
        <f t="shared" ref="AL44" si="26">AL43/Minutes.per.Hour*Days.Per.Year</f>
        <v>9792.9442195658194</v>
      </c>
    </row>
    <row r="46" spans="1:38">
      <c r="B46" s="575" t="s">
        <v>745</v>
      </c>
      <c r="C46" s="574" t="s">
        <v>443</v>
      </c>
      <c r="D46" s="383">
        <f>D44</f>
        <v>3395.086083768083</v>
      </c>
      <c r="E46" s="383">
        <f t="shared" ref="E46:AK46" si="27">E44</f>
        <v>3532.292904302918</v>
      </c>
      <c r="F46" s="383">
        <f t="shared" si="27"/>
        <v>3675.0447128400551</v>
      </c>
      <c r="G46" s="383">
        <f t="shared" si="27"/>
        <v>3823.5656009503509</v>
      </c>
      <c r="H46" s="383">
        <f t="shared" si="27"/>
        <v>2983.5665373727174</v>
      </c>
      <c r="I46" s="383">
        <f t="shared" si="27"/>
        <v>3104.1424722228567</v>
      </c>
      <c r="J46" s="383">
        <f t="shared" si="27"/>
        <v>3229.5912851814192</v>
      </c>
      <c r="K46" s="383">
        <f t="shared" si="27"/>
        <v>3360.1099056032472</v>
      </c>
      <c r="L46" s="383">
        <f t="shared" si="27"/>
        <v>3495.903221419188</v>
      </c>
      <c r="M46" s="383">
        <f t="shared" si="27"/>
        <v>3637.184400768861</v>
      </c>
      <c r="N46" s="383">
        <f t="shared" si="27"/>
        <v>3784.1752266316676</v>
      </c>
      <c r="O46" s="383">
        <f t="shared" si="27"/>
        <v>3937.1064449813839</v>
      </c>
      <c r="P46" s="383">
        <f t="shared" si="27"/>
        <v>4096.2181270108294</v>
      </c>
      <c r="Q46" s="383">
        <f t="shared" si="27"/>
        <v>4261.7600459952655</v>
      </c>
      <c r="R46" s="383">
        <f t="shared" si="27"/>
        <v>4433.9920693860849</v>
      </c>
      <c r="S46" s="383">
        <f t="shared" si="27"/>
        <v>4613.1845667503749</v>
      </c>
      <c r="T46" s="383">
        <f t="shared" si="27"/>
        <v>4799.6188341966044</v>
      </c>
      <c r="U46" s="383">
        <f t="shared" si="27"/>
        <v>4993.58753595286</v>
      </c>
      <c r="V46" s="383">
        <f t="shared" si="27"/>
        <v>5195.3951637906921</v>
      </c>
      <c r="W46" s="383">
        <f t="shared" si="27"/>
        <v>5405.3585150158315</v>
      </c>
      <c r="X46" s="383">
        <f t="shared" si="27"/>
        <v>5623.8071897761165</v>
      </c>
      <c r="Y46" s="383">
        <f t="shared" si="27"/>
        <v>5851.0841084673002</v>
      </c>
      <c r="Z46" s="383">
        <f t="shared" si="27"/>
        <v>6087.5460500489671</v>
      </c>
      <c r="AA46" s="383">
        <f t="shared" si="27"/>
        <v>6333.5642121155961</v>
      </c>
      <c r="AB46" s="383">
        <f t="shared" si="27"/>
        <v>6589.5247936019778</v>
      </c>
      <c r="AC46" s="383">
        <f t="shared" si="27"/>
        <v>6855.8296010377071</v>
      </c>
      <c r="AD46" s="383">
        <f t="shared" si="27"/>
        <v>7132.8966793024756</v>
      </c>
      <c r="AE46" s="383">
        <f t="shared" si="27"/>
        <v>7421.1609678722589</v>
      </c>
      <c r="AF46" s="383">
        <f t="shared" si="27"/>
        <v>7721.0749835866627</v>
      </c>
      <c r="AG46" s="383">
        <f t="shared" si="27"/>
        <v>8033.1095310091578</v>
      </c>
      <c r="AH46" s="383">
        <f t="shared" si="27"/>
        <v>8357.7544414953609</v>
      </c>
      <c r="AI46" s="383">
        <f t="shared" si="27"/>
        <v>8695.5193421295608</v>
      </c>
      <c r="AJ46" s="383">
        <f t="shared" si="27"/>
        <v>9046.9344557365166</v>
      </c>
      <c r="AK46" s="383">
        <f t="shared" si="27"/>
        <v>9412.5514332244566</v>
      </c>
      <c r="AL46" s="383">
        <f t="shared" ref="AL46" si="28">AL44</f>
        <v>9792.9442195658194</v>
      </c>
    </row>
    <row r="48" spans="1:38">
      <c r="B48" s="358" t="s">
        <v>508</v>
      </c>
      <c r="C48" s="358" t="s">
        <v>443</v>
      </c>
      <c r="D48" s="383">
        <f t="shared" ref="D48:AK48" si="29">D$46*$C22</f>
        <v>3378.1106533492425</v>
      </c>
      <c r="E48" s="383">
        <f t="shared" si="29"/>
        <v>3514.6314397814035</v>
      </c>
      <c r="F48" s="383">
        <f t="shared" si="29"/>
        <v>3656.6694892758546</v>
      </c>
      <c r="G48" s="383">
        <f t="shared" si="29"/>
        <v>3804.4477729455994</v>
      </c>
      <c r="H48" s="383">
        <f t="shared" si="29"/>
        <v>2968.6487046858538</v>
      </c>
      <c r="I48" s="383">
        <f t="shared" si="29"/>
        <v>3088.6217598617422</v>
      </c>
      <c r="J48" s="383">
        <f t="shared" si="29"/>
        <v>3213.4433287555121</v>
      </c>
      <c r="K48" s="383">
        <f t="shared" si="29"/>
        <v>3343.3093560752309</v>
      </c>
      <c r="L48" s="383">
        <f t="shared" si="29"/>
        <v>3478.4237053120919</v>
      </c>
      <c r="M48" s="383">
        <f t="shared" si="29"/>
        <v>3618.9984787650169</v>
      </c>
      <c r="N48" s="383">
        <f t="shared" si="29"/>
        <v>3765.2543504985092</v>
      </c>
      <c r="O48" s="383">
        <f t="shared" si="29"/>
        <v>3917.4209127564768</v>
      </c>
      <c r="P48" s="383">
        <f t="shared" si="29"/>
        <v>4075.7370363757755</v>
      </c>
      <c r="Q48" s="383">
        <f t="shared" si="29"/>
        <v>4240.4512457652891</v>
      </c>
      <c r="R48" s="383">
        <f t="shared" si="29"/>
        <v>4411.8221090391544</v>
      </c>
      <c r="S48" s="383">
        <f t="shared" si="29"/>
        <v>4590.1186439166231</v>
      </c>
      <c r="T48" s="383">
        <f t="shared" si="29"/>
        <v>4775.6207400256217</v>
      </c>
      <c r="U48" s="383">
        <f t="shared" si="29"/>
        <v>4968.619598273096</v>
      </c>
      <c r="V48" s="383">
        <f t="shared" si="29"/>
        <v>5169.4181879717389</v>
      </c>
      <c r="W48" s="383">
        <f t="shared" si="29"/>
        <v>5378.3317224407519</v>
      </c>
      <c r="X48" s="383">
        <f t="shared" si="29"/>
        <v>5595.6881538272355</v>
      </c>
      <c r="Y48" s="383">
        <f t="shared" si="29"/>
        <v>5821.8286879249636</v>
      </c>
      <c r="Z48" s="383">
        <f t="shared" si="29"/>
        <v>6057.1083197987218</v>
      </c>
      <c r="AA48" s="383">
        <f t="shared" si="29"/>
        <v>6301.8963910550183</v>
      </c>
      <c r="AB48" s="383">
        <f t="shared" si="29"/>
        <v>6556.577169633968</v>
      </c>
      <c r="AC48" s="383">
        <f t="shared" si="29"/>
        <v>6821.5504530325188</v>
      </c>
      <c r="AD48" s="383">
        <f t="shared" si="29"/>
        <v>7097.2321959059636</v>
      </c>
      <c r="AE48" s="383">
        <f t="shared" si="29"/>
        <v>7384.0551630328973</v>
      </c>
      <c r="AF48" s="383">
        <f t="shared" si="29"/>
        <v>7682.4696086687291</v>
      </c>
      <c r="AG48" s="383">
        <f t="shared" si="29"/>
        <v>7992.9439833541119</v>
      </c>
      <c r="AH48" s="383">
        <f t="shared" si="29"/>
        <v>8315.9656692878834</v>
      </c>
      <c r="AI48" s="383">
        <f t="shared" si="29"/>
        <v>8652.0417454189137</v>
      </c>
      <c r="AJ48" s="383">
        <f t="shared" si="29"/>
        <v>9001.6997834578342</v>
      </c>
      <c r="AK48" s="383">
        <f t="shared" si="29"/>
        <v>9365.488676058334</v>
      </c>
      <c r="AL48" s="383">
        <f t="shared" ref="AL48" si="30">AL$46*$C22</f>
        <v>9743.9794984679902</v>
      </c>
    </row>
    <row r="49" spans="2:38">
      <c r="B49" s="358" t="s">
        <v>509</v>
      </c>
      <c r="C49" s="358" t="s">
        <v>443</v>
      </c>
      <c r="D49" s="383">
        <f t="shared" ref="D49:AK49" si="31">D$46*$C23</f>
        <v>16.975430418840414</v>
      </c>
      <c r="E49" s="383">
        <f t="shared" si="31"/>
        <v>17.661464521514592</v>
      </c>
      <c r="F49" s="383">
        <f t="shared" si="31"/>
        <v>18.375223564200276</v>
      </c>
      <c r="G49" s="383">
        <f t="shared" si="31"/>
        <v>19.117828004751754</v>
      </c>
      <c r="H49" s="383">
        <f t="shared" si="31"/>
        <v>14.917832686863587</v>
      </c>
      <c r="I49" s="383">
        <f t="shared" si="31"/>
        <v>15.520712361114283</v>
      </c>
      <c r="J49" s="383">
        <f t="shared" si="31"/>
        <v>16.147956425907097</v>
      </c>
      <c r="K49" s="383">
        <f t="shared" si="31"/>
        <v>16.800549528016237</v>
      </c>
      <c r="L49" s="383">
        <f t="shared" si="31"/>
        <v>17.47951610709594</v>
      </c>
      <c r="M49" s="383">
        <f t="shared" si="31"/>
        <v>18.185922003844304</v>
      </c>
      <c r="N49" s="383">
        <f t="shared" si="31"/>
        <v>18.920876133158337</v>
      </c>
      <c r="O49" s="383">
        <f t="shared" si="31"/>
        <v>19.685532224906918</v>
      </c>
      <c r="P49" s="383">
        <f t="shared" si="31"/>
        <v>20.481090635054148</v>
      </c>
      <c r="Q49" s="383">
        <f t="shared" si="31"/>
        <v>21.308800229976328</v>
      </c>
      <c r="R49" s="383">
        <f t="shared" si="31"/>
        <v>22.169960346930424</v>
      </c>
      <c r="S49" s="383">
        <f t="shared" si="31"/>
        <v>23.065922833751873</v>
      </c>
      <c r="T49" s="383">
        <f t="shared" si="31"/>
        <v>23.998094170983023</v>
      </c>
      <c r="U49" s="383">
        <f t="shared" si="31"/>
        <v>24.967937679764301</v>
      </c>
      <c r="V49" s="383">
        <f t="shared" si="31"/>
        <v>25.976975818953463</v>
      </c>
      <c r="W49" s="383">
        <f t="shared" si="31"/>
        <v>27.026792575079156</v>
      </c>
      <c r="X49" s="383">
        <f t="shared" si="31"/>
        <v>28.119035948880583</v>
      </c>
      <c r="Y49" s="383">
        <f t="shared" si="31"/>
        <v>29.255420542336502</v>
      </c>
      <c r="Z49" s="383">
        <f t="shared" si="31"/>
        <v>30.437730250244837</v>
      </c>
      <c r="AA49" s="383">
        <f t="shared" si="31"/>
        <v>31.667821060577982</v>
      </c>
      <c r="AB49" s="383">
        <f t="shared" si="31"/>
        <v>32.947623968009893</v>
      </c>
      <c r="AC49" s="383">
        <f t="shared" si="31"/>
        <v>34.279148005188539</v>
      </c>
      <c r="AD49" s="383">
        <f t="shared" si="31"/>
        <v>35.664483396512381</v>
      </c>
      <c r="AE49" s="383">
        <f t="shared" si="31"/>
        <v>37.105804839361298</v>
      </c>
      <c r="AF49" s="383">
        <f t="shared" si="31"/>
        <v>38.605374917933311</v>
      </c>
      <c r="AG49" s="383">
        <f t="shared" si="31"/>
        <v>40.165547655045792</v>
      </c>
      <c r="AH49" s="383">
        <f t="shared" si="31"/>
        <v>41.788772207476804</v>
      </c>
      <c r="AI49" s="383">
        <f t="shared" si="31"/>
        <v>43.477596710647802</v>
      </c>
      <c r="AJ49" s="383">
        <f t="shared" si="31"/>
        <v>45.234672278682581</v>
      </c>
      <c r="AK49" s="383">
        <f t="shared" si="31"/>
        <v>47.062757166122282</v>
      </c>
      <c r="AL49" s="383">
        <f t="shared" ref="AL49" si="32">AL$46*$C23</f>
        <v>48.964721097829099</v>
      </c>
    </row>
    <row r="50" spans="2:38">
      <c r="B50" s="358" t="s">
        <v>747</v>
      </c>
      <c r="C50" s="358" t="s">
        <v>443</v>
      </c>
      <c r="D50" s="383">
        <f t="shared" ref="D50:AK50" si="33">D$46*$C24</f>
        <v>0</v>
      </c>
      <c r="E50" s="383">
        <f t="shared" si="33"/>
        <v>0</v>
      </c>
      <c r="F50" s="383">
        <f t="shared" si="33"/>
        <v>0</v>
      </c>
      <c r="G50" s="383">
        <f t="shared" si="33"/>
        <v>0</v>
      </c>
      <c r="H50" s="383">
        <f t="shared" si="33"/>
        <v>0</v>
      </c>
      <c r="I50" s="383">
        <f t="shared" si="33"/>
        <v>0</v>
      </c>
      <c r="J50" s="383">
        <f t="shared" si="33"/>
        <v>0</v>
      </c>
      <c r="K50" s="383">
        <f t="shared" si="33"/>
        <v>0</v>
      </c>
      <c r="L50" s="383">
        <f t="shared" si="33"/>
        <v>0</v>
      </c>
      <c r="M50" s="383">
        <f t="shared" si="33"/>
        <v>0</v>
      </c>
      <c r="N50" s="383">
        <f t="shared" si="33"/>
        <v>0</v>
      </c>
      <c r="O50" s="383">
        <f t="shared" si="33"/>
        <v>0</v>
      </c>
      <c r="P50" s="383">
        <f t="shared" si="33"/>
        <v>0</v>
      </c>
      <c r="Q50" s="383">
        <f t="shared" si="33"/>
        <v>0</v>
      </c>
      <c r="R50" s="383">
        <f t="shared" si="33"/>
        <v>0</v>
      </c>
      <c r="S50" s="383">
        <f t="shared" si="33"/>
        <v>0</v>
      </c>
      <c r="T50" s="383">
        <f t="shared" si="33"/>
        <v>0</v>
      </c>
      <c r="U50" s="383">
        <f t="shared" si="33"/>
        <v>0</v>
      </c>
      <c r="V50" s="383">
        <f t="shared" si="33"/>
        <v>0</v>
      </c>
      <c r="W50" s="383">
        <f t="shared" si="33"/>
        <v>0</v>
      </c>
      <c r="X50" s="383">
        <f t="shared" si="33"/>
        <v>0</v>
      </c>
      <c r="Y50" s="383">
        <f t="shared" si="33"/>
        <v>0</v>
      </c>
      <c r="Z50" s="383">
        <f t="shared" si="33"/>
        <v>0</v>
      </c>
      <c r="AA50" s="383">
        <f t="shared" si="33"/>
        <v>0</v>
      </c>
      <c r="AB50" s="383">
        <f t="shared" si="33"/>
        <v>0</v>
      </c>
      <c r="AC50" s="383">
        <f t="shared" si="33"/>
        <v>0</v>
      </c>
      <c r="AD50" s="383">
        <f t="shared" si="33"/>
        <v>0</v>
      </c>
      <c r="AE50" s="383">
        <f t="shared" si="33"/>
        <v>0</v>
      </c>
      <c r="AF50" s="383">
        <f t="shared" si="33"/>
        <v>0</v>
      </c>
      <c r="AG50" s="383">
        <f t="shared" si="33"/>
        <v>0</v>
      </c>
      <c r="AH50" s="383">
        <f t="shared" si="33"/>
        <v>0</v>
      </c>
      <c r="AI50" s="383">
        <f t="shared" si="33"/>
        <v>0</v>
      </c>
      <c r="AJ50" s="383">
        <f t="shared" si="33"/>
        <v>0</v>
      </c>
      <c r="AK50" s="383">
        <f t="shared" si="33"/>
        <v>0</v>
      </c>
      <c r="AL50" s="383">
        <f t="shared" ref="AL50" si="34">AL$46*$C24</f>
        <v>0</v>
      </c>
    </row>
    <row r="52" spans="2:38">
      <c r="B52" s="1177" t="s">
        <v>788</v>
      </c>
      <c r="C52" s="358" t="s">
        <v>295</v>
      </c>
      <c r="D52" s="383">
        <f>D48*$C$29</f>
        <v>1207.674558572354</v>
      </c>
      <c r="E52" s="383">
        <f t="shared" ref="E52:AK52" si="35">E48*$C$29</f>
        <v>1256.4807397218517</v>
      </c>
      <c r="F52" s="383">
        <f t="shared" si="35"/>
        <v>1307.259342416118</v>
      </c>
      <c r="G52" s="383">
        <f t="shared" si="35"/>
        <v>1360.0900788280517</v>
      </c>
      <c r="H52" s="383">
        <f t="shared" si="35"/>
        <v>1061.2919119251926</v>
      </c>
      <c r="I52" s="383">
        <f t="shared" si="35"/>
        <v>1104.1822791505729</v>
      </c>
      <c r="J52" s="383">
        <f t="shared" si="35"/>
        <v>1148.8059900300955</v>
      </c>
      <c r="K52" s="383">
        <f t="shared" si="35"/>
        <v>1195.2330947968949</v>
      </c>
      <c r="L52" s="383">
        <f t="shared" si="35"/>
        <v>1243.5364746490727</v>
      </c>
      <c r="M52" s="383">
        <f t="shared" si="35"/>
        <v>1293.7919561584936</v>
      </c>
      <c r="N52" s="383">
        <f t="shared" si="35"/>
        <v>1346.0784303032169</v>
      </c>
      <c r="O52" s="383">
        <f t="shared" si="35"/>
        <v>1400.4779763104405</v>
      </c>
      <c r="P52" s="383">
        <f t="shared" si="35"/>
        <v>1457.0759905043396</v>
      </c>
      <c r="Q52" s="383">
        <f t="shared" si="35"/>
        <v>1515.9613203610909</v>
      </c>
      <c r="R52" s="383">
        <f t="shared" si="35"/>
        <v>1577.2264039814977</v>
      </c>
      <c r="S52" s="383">
        <f t="shared" si="35"/>
        <v>1640.9674152001926</v>
      </c>
      <c r="T52" s="383">
        <f t="shared" si="35"/>
        <v>1707.2844145591596</v>
      </c>
      <c r="U52" s="383">
        <f t="shared" si="35"/>
        <v>1776.2815063826317</v>
      </c>
      <c r="V52" s="383">
        <f t="shared" si="35"/>
        <v>1848.0670021998965</v>
      </c>
      <c r="W52" s="383">
        <f t="shared" si="35"/>
        <v>1922.7535907725687</v>
      </c>
      <c r="X52" s="383">
        <f t="shared" si="35"/>
        <v>2000.4585149932366</v>
      </c>
      <c r="Y52" s="383">
        <f t="shared" si="35"/>
        <v>2081.3037559331742</v>
      </c>
      <c r="Z52" s="383">
        <f t="shared" si="35"/>
        <v>2165.416224328043</v>
      </c>
      <c r="AA52" s="383">
        <f t="shared" si="35"/>
        <v>2252.927959802169</v>
      </c>
      <c r="AB52" s="383">
        <f t="shared" si="35"/>
        <v>2343.9763381441435</v>
      </c>
      <c r="AC52" s="383">
        <f t="shared" si="35"/>
        <v>2438.7042869591255</v>
      </c>
      <c r="AD52" s="383">
        <f t="shared" si="35"/>
        <v>2537.2605100363817</v>
      </c>
      <c r="AE52" s="383">
        <f t="shared" si="35"/>
        <v>2639.7997207842609</v>
      </c>
      <c r="AF52" s="383">
        <f t="shared" si="35"/>
        <v>2746.4828850990707</v>
      </c>
      <c r="AG52" s="383">
        <f t="shared" si="35"/>
        <v>2857.4774740490948</v>
      </c>
      <c r="AH52" s="383">
        <f t="shared" si="35"/>
        <v>2972.957726770418</v>
      </c>
      <c r="AI52" s="383">
        <f t="shared" si="35"/>
        <v>3093.1049239872614</v>
      </c>
      <c r="AJ52" s="383">
        <f t="shared" si="35"/>
        <v>3218.1076725861758</v>
      </c>
      <c r="AK52" s="383">
        <f t="shared" si="35"/>
        <v>3348.1622016908541</v>
      </c>
      <c r="AL52" s="383">
        <f t="shared" ref="AL52" si="36">AL48*$C$29</f>
        <v>3483.4726707023065</v>
      </c>
    </row>
    <row r="53" spans="2:38">
      <c r="B53" s="1177" t="s">
        <v>789</v>
      </c>
      <c r="C53" s="358" t="s">
        <v>295</v>
      </c>
      <c r="D53" s="383">
        <f>D49*$C$30+D50*$C$31</f>
        <v>14.259361551825947</v>
      </c>
      <c r="E53" s="383">
        <f t="shared" ref="E53:AK53" si="37">E49*$C$30+E50*$C$31</f>
        <v>14.835630198072257</v>
      </c>
      <c r="F53" s="383">
        <f t="shared" si="37"/>
        <v>15.435187793928231</v>
      </c>
      <c r="G53" s="383">
        <f t="shared" si="37"/>
        <v>16.058975523991474</v>
      </c>
      <c r="H53" s="383">
        <f t="shared" si="37"/>
        <v>12.530979456965413</v>
      </c>
      <c r="I53" s="383">
        <f t="shared" si="37"/>
        <v>13.037398383335997</v>
      </c>
      <c r="J53" s="383">
        <f t="shared" si="37"/>
        <v>13.564283397761962</v>
      </c>
      <c r="K53" s="383">
        <f t="shared" si="37"/>
        <v>14.112461603533639</v>
      </c>
      <c r="L53" s="383">
        <f t="shared" si="37"/>
        <v>14.682793529960589</v>
      </c>
      <c r="M53" s="383">
        <f t="shared" si="37"/>
        <v>15.276174483229214</v>
      </c>
      <c r="N53" s="383">
        <f t="shared" si="37"/>
        <v>15.893535951853003</v>
      </c>
      <c r="O53" s="383">
        <f t="shared" si="37"/>
        <v>16.535847068921811</v>
      </c>
      <c r="P53" s="383">
        <f t="shared" si="37"/>
        <v>17.204116133445485</v>
      </c>
      <c r="Q53" s="383">
        <f t="shared" si="37"/>
        <v>17.899392193180116</v>
      </c>
      <c r="R53" s="383">
        <f t="shared" si="37"/>
        <v>18.622766691421557</v>
      </c>
      <c r="S53" s="383">
        <f t="shared" si="37"/>
        <v>19.375375180351572</v>
      </c>
      <c r="T53" s="383">
        <f t="shared" si="37"/>
        <v>20.15839910362574</v>
      </c>
      <c r="U53" s="383">
        <f t="shared" si="37"/>
        <v>20.973067651002012</v>
      </c>
      <c r="V53" s="383">
        <f t="shared" si="37"/>
        <v>21.820659687920909</v>
      </c>
      <c r="W53" s="383">
        <f t="shared" si="37"/>
        <v>22.70250576306649</v>
      </c>
      <c r="X53" s="383">
        <f t="shared" si="37"/>
        <v>23.619990197059689</v>
      </c>
      <c r="Y53" s="383">
        <f t="shared" si="37"/>
        <v>24.574553255562662</v>
      </c>
      <c r="Z53" s="383">
        <f t="shared" si="37"/>
        <v>25.567693410205663</v>
      </c>
      <c r="AA53" s="383">
        <f t="shared" si="37"/>
        <v>26.600969690885503</v>
      </c>
      <c r="AB53" s="383">
        <f t="shared" si="37"/>
        <v>27.676004133128309</v>
      </c>
      <c r="AC53" s="383">
        <f t="shared" si="37"/>
        <v>28.794484324358372</v>
      </c>
      <c r="AD53" s="383">
        <f t="shared" si="37"/>
        <v>29.9581660530704</v>
      </c>
      <c r="AE53" s="383">
        <f t="shared" si="37"/>
        <v>31.16887606506349</v>
      </c>
      <c r="AF53" s="383">
        <f t="shared" si="37"/>
        <v>32.42851493106398</v>
      </c>
      <c r="AG53" s="383">
        <f t="shared" si="37"/>
        <v>33.739060030238463</v>
      </c>
      <c r="AH53" s="383">
        <f t="shared" si="37"/>
        <v>35.10256865428051</v>
      </c>
      <c r="AI53" s="383">
        <f t="shared" si="37"/>
        <v>36.521181236944152</v>
      </c>
      <c r="AJ53" s="383">
        <f t="shared" si="37"/>
        <v>37.997124714093367</v>
      </c>
      <c r="AK53" s="383">
        <f t="shared" si="37"/>
        <v>39.532716019542718</v>
      </c>
      <c r="AL53" s="383">
        <f t="shared" ref="AL53" si="38">AL49*$C$30+AL50*$C$31</f>
        <v>41.130365722176442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theme="4" tint="-0.249977111117893"/>
  </sheetPr>
  <dimension ref="A1:AL205"/>
  <sheetViews>
    <sheetView showGridLines="0" topLeftCell="B70" workbookViewId="0">
      <selection activeCell="C105" sqref="C105:C108"/>
    </sheetView>
  </sheetViews>
  <sheetFormatPr defaultColWidth="9.25" defaultRowHeight="12.5"/>
  <cols>
    <col min="1" max="1" width="0.83203125" style="366" customWidth="1"/>
    <col min="2" max="2" width="46.08203125" style="358" customWidth="1"/>
    <col min="3" max="3" width="16.58203125" style="362" customWidth="1"/>
    <col min="4" max="6" width="13.08203125" style="366" customWidth="1"/>
    <col min="7" max="38" width="13.08203125" style="403" customWidth="1"/>
    <col min="39" max="16384" width="9.25" style="358"/>
  </cols>
  <sheetData>
    <row r="1" spans="1:38" s="369" customFormat="1" ht="25">
      <c r="A1" s="356" t="s">
        <v>790</v>
      </c>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row>
    <row r="2" spans="1:38" s="369" customFormat="1" ht="13">
      <c r="A2" s="38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row>
    <row r="3" spans="1:38" s="462" customFormat="1" ht="13">
      <c r="A3" s="463"/>
      <c r="B3" s="463"/>
      <c r="C3" s="507" t="s">
        <v>0</v>
      </c>
      <c r="D3" s="508">
        <f>E2</f>
        <v>2021</v>
      </c>
      <c r="E3" s="508">
        <f>Demand!G2</f>
        <v>2022</v>
      </c>
      <c r="F3" s="508">
        <f>Demand!H2</f>
        <v>2023</v>
      </c>
      <c r="G3" s="508">
        <f>Demand!I2</f>
        <v>2024</v>
      </c>
      <c r="H3" s="508">
        <f>Demand!J2</f>
        <v>2025</v>
      </c>
      <c r="I3" s="508">
        <f>Demand!K2</f>
        <v>2026</v>
      </c>
      <c r="J3" s="508">
        <f>Demand!L2</f>
        <v>2027</v>
      </c>
      <c r="K3" s="508">
        <f>Demand!M2</f>
        <v>2028</v>
      </c>
      <c r="L3" s="508">
        <f>Demand!N2</f>
        <v>2029</v>
      </c>
      <c r="M3" s="508">
        <f>Demand!O2</f>
        <v>2030</v>
      </c>
      <c r="N3" s="508">
        <f>Demand!P2</f>
        <v>2031</v>
      </c>
      <c r="O3" s="508">
        <f>Demand!Q2</f>
        <v>2032</v>
      </c>
      <c r="P3" s="508">
        <f>Demand!R2</f>
        <v>2033</v>
      </c>
      <c r="Q3" s="508">
        <f>Demand!S2</f>
        <v>2034</v>
      </c>
      <c r="R3" s="508">
        <f>Demand!T2</f>
        <v>2035</v>
      </c>
      <c r="S3" s="508">
        <f>Demand!U2</f>
        <v>2036</v>
      </c>
      <c r="T3" s="508">
        <f>Demand!V2</f>
        <v>2037</v>
      </c>
      <c r="U3" s="508">
        <f>Demand!W2</f>
        <v>2038</v>
      </c>
      <c r="V3" s="508">
        <f>Demand!X2</f>
        <v>2039</v>
      </c>
      <c r="W3" s="508">
        <f>Demand!Y2</f>
        <v>2040</v>
      </c>
      <c r="X3" s="508">
        <f>Demand!Z2</f>
        <v>2041</v>
      </c>
      <c r="Y3" s="508">
        <f>Demand!AA2</f>
        <v>2042</v>
      </c>
      <c r="Z3" s="508">
        <f>Demand!AB2</f>
        <v>2043</v>
      </c>
      <c r="AA3" s="508">
        <f>Demand!AC2</f>
        <v>2044</v>
      </c>
      <c r="AB3" s="508">
        <f>Demand!AD2</f>
        <v>2045</v>
      </c>
      <c r="AC3" s="508">
        <f>Demand!AE2</f>
        <v>2046</v>
      </c>
      <c r="AD3" s="508">
        <f>Demand!AF2</f>
        <v>2047</v>
      </c>
      <c r="AE3" s="508">
        <f>Demand!AG2</f>
        <v>2048</v>
      </c>
      <c r="AF3" s="508">
        <f>Demand!AH2</f>
        <v>2049</v>
      </c>
      <c r="AG3" s="508">
        <f>Demand!AI2</f>
        <v>2050</v>
      </c>
      <c r="AH3" s="508">
        <f>Demand!AJ2</f>
        <v>2051</v>
      </c>
      <c r="AI3" s="508">
        <f>Demand!AK2</f>
        <v>2052</v>
      </c>
      <c r="AJ3" s="508">
        <f>Demand!AL2</f>
        <v>2053</v>
      </c>
      <c r="AK3" s="508">
        <f>Demand!AM2</f>
        <v>2054</v>
      </c>
      <c r="AL3" s="508">
        <f>Demand!AN2</f>
        <v>2055</v>
      </c>
    </row>
    <row r="4" spans="1:38" ht="13">
      <c r="B4" s="504" t="s">
        <v>446</v>
      </c>
      <c r="C4" s="381" t="s">
        <v>449</v>
      </c>
      <c r="D4" s="358"/>
      <c r="F4" s="464"/>
      <c r="G4" s="465"/>
      <c r="H4" s="465"/>
    </row>
    <row r="5" spans="1:38" ht="13">
      <c r="A5" s="466" t="s">
        <v>523</v>
      </c>
      <c r="B5" s="467"/>
      <c r="C5" s="468"/>
      <c r="D5" s="468"/>
      <c r="E5" s="469"/>
      <c r="F5" s="470"/>
      <c r="G5" s="470"/>
      <c r="H5" s="470"/>
      <c r="I5" s="470"/>
      <c r="J5" s="470"/>
      <c r="K5" s="470"/>
      <c r="L5" s="470"/>
      <c r="M5" s="470"/>
      <c r="N5" s="470"/>
      <c r="O5" s="470"/>
      <c r="P5" s="470"/>
      <c r="Q5" s="470"/>
      <c r="R5" s="470"/>
      <c r="S5" s="471"/>
      <c r="T5" s="471"/>
      <c r="U5" s="471"/>
      <c r="V5" s="471"/>
      <c r="W5" s="471"/>
      <c r="X5" s="471"/>
      <c r="Y5" s="471"/>
      <c r="Z5" s="471"/>
      <c r="AA5" s="471"/>
      <c r="AB5" s="471"/>
      <c r="AC5" s="471"/>
      <c r="AD5" s="471"/>
      <c r="AE5" s="471"/>
      <c r="AF5" s="471"/>
      <c r="AG5" s="471"/>
      <c r="AH5" s="471"/>
      <c r="AI5" s="471"/>
      <c r="AJ5" s="471"/>
      <c r="AK5" s="471"/>
      <c r="AL5" s="471"/>
    </row>
    <row r="6" spans="1:38" ht="13">
      <c r="A6" s="452"/>
      <c r="B6" s="495" t="s">
        <v>601</v>
      </c>
      <c r="C6" s="453"/>
      <c r="D6" s="454"/>
      <c r="E6" s="379"/>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row>
    <row r="7" spans="1:38">
      <c r="D7" s="358"/>
      <c r="F7" s="464"/>
      <c r="G7" s="465"/>
      <c r="H7" s="465"/>
    </row>
    <row r="8" spans="1:38" ht="13">
      <c r="B8" s="364" t="s">
        <v>455</v>
      </c>
      <c r="C8" s="542">
        <f>'General Inputs'!D26</f>
        <v>0</v>
      </c>
      <c r="D8" s="358"/>
      <c r="F8" s="464"/>
      <c r="G8" s="465"/>
      <c r="H8" s="465"/>
    </row>
    <row r="9" spans="1:38">
      <c r="B9" s="476" t="s">
        <v>975</v>
      </c>
      <c r="C9" s="384" t="s">
        <v>1074</v>
      </c>
      <c r="D9" s="498">
        <f>'General Inputs'!D23</f>
        <v>12071000</v>
      </c>
      <c r="E9" s="498">
        <f>D9*(1+$C$8)</f>
        <v>12071000</v>
      </c>
      <c r="F9" s="498">
        <f t="shared" ref="F9:U9" si="0">E9*(1+$C$8)</f>
        <v>12071000</v>
      </c>
      <c r="G9" s="498">
        <f t="shared" si="0"/>
        <v>12071000</v>
      </c>
      <c r="H9" s="498">
        <f t="shared" si="0"/>
        <v>12071000</v>
      </c>
      <c r="I9" s="498">
        <f t="shared" si="0"/>
        <v>12071000</v>
      </c>
      <c r="J9" s="498">
        <f t="shared" si="0"/>
        <v>12071000</v>
      </c>
      <c r="K9" s="498">
        <f t="shared" si="0"/>
        <v>12071000</v>
      </c>
      <c r="L9" s="498">
        <f t="shared" si="0"/>
        <v>12071000</v>
      </c>
      <c r="M9" s="498">
        <f t="shared" si="0"/>
        <v>12071000</v>
      </c>
      <c r="N9" s="498">
        <f t="shared" si="0"/>
        <v>12071000</v>
      </c>
      <c r="O9" s="498">
        <f t="shared" si="0"/>
        <v>12071000</v>
      </c>
      <c r="P9" s="498">
        <f t="shared" si="0"/>
        <v>12071000</v>
      </c>
      <c r="Q9" s="498">
        <f t="shared" si="0"/>
        <v>12071000</v>
      </c>
      <c r="R9" s="498">
        <f t="shared" si="0"/>
        <v>12071000</v>
      </c>
      <c r="S9" s="498">
        <f t="shared" si="0"/>
        <v>12071000</v>
      </c>
      <c r="T9" s="498">
        <f t="shared" si="0"/>
        <v>12071000</v>
      </c>
      <c r="U9" s="498">
        <f t="shared" si="0"/>
        <v>12071000</v>
      </c>
      <c r="V9" s="498">
        <f t="shared" ref="V9:AL9" si="1">U9*(1+$C$8)</f>
        <v>12071000</v>
      </c>
      <c r="W9" s="498">
        <f t="shared" si="1"/>
        <v>12071000</v>
      </c>
      <c r="X9" s="498">
        <f t="shared" si="1"/>
        <v>12071000</v>
      </c>
      <c r="Y9" s="498">
        <f t="shared" si="1"/>
        <v>12071000</v>
      </c>
      <c r="Z9" s="498">
        <f t="shared" si="1"/>
        <v>12071000</v>
      </c>
      <c r="AA9" s="498">
        <f t="shared" si="1"/>
        <v>12071000</v>
      </c>
      <c r="AB9" s="498">
        <f t="shared" si="1"/>
        <v>12071000</v>
      </c>
      <c r="AC9" s="498">
        <f t="shared" si="1"/>
        <v>12071000</v>
      </c>
      <c r="AD9" s="498">
        <f t="shared" si="1"/>
        <v>12071000</v>
      </c>
      <c r="AE9" s="498">
        <f t="shared" si="1"/>
        <v>12071000</v>
      </c>
      <c r="AF9" s="498">
        <f t="shared" si="1"/>
        <v>12071000</v>
      </c>
      <c r="AG9" s="498">
        <f t="shared" si="1"/>
        <v>12071000</v>
      </c>
      <c r="AH9" s="498">
        <f t="shared" si="1"/>
        <v>12071000</v>
      </c>
      <c r="AI9" s="498">
        <f t="shared" si="1"/>
        <v>12071000</v>
      </c>
      <c r="AJ9" s="498">
        <f t="shared" si="1"/>
        <v>12071000</v>
      </c>
      <c r="AK9" s="498">
        <f t="shared" si="1"/>
        <v>12071000</v>
      </c>
      <c r="AL9" s="498">
        <f t="shared" si="1"/>
        <v>12071000</v>
      </c>
    </row>
    <row r="10" spans="1:38">
      <c r="B10" s="476" t="s">
        <v>973</v>
      </c>
      <c r="C10" s="384" t="s">
        <v>1075</v>
      </c>
      <c r="D10" s="498">
        <f>'General Inputs'!D24</f>
        <v>284100</v>
      </c>
      <c r="E10" s="498">
        <f t="shared" ref="E10:T11" si="2">D10*(1+$C$8)</f>
        <v>284100</v>
      </c>
      <c r="F10" s="498">
        <f t="shared" si="2"/>
        <v>284100</v>
      </c>
      <c r="G10" s="498">
        <f t="shared" si="2"/>
        <v>284100</v>
      </c>
      <c r="H10" s="498">
        <f t="shared" si="2"/>
        <v>284100</v>
      </c>
      <c r="I10" s="498">
        <f t="shared" si="2"/>
        <v>284100</v>
      </c>
      <c r="J10" s="498">
        <f t="shared" si="2"/>
        <v>284100</v>
      </c>
      <c r="K10" s="498">
        <f t="shared" si="2"/>
        <v>284100</v>
      </c>
      <c r="L10" s="498">
        <f t="shared" si="2"/>
        <v>284100</v>
      </c>
      <c r="M10" s="498">
        <f t="shared" si="2"/>
        <v>284100</v>
      </c>
      <c r="N10" s="498">
        <f t="shared" si="2"/>
        <v>284100</v>
      </c>
      <c r="O10" s="498">
        <f t="shared" si="2"/>
        <v>284100</v>
      </c>
      <c r="P10" s="498">
        <f t="shared" si="2"/>
        <v>284100</v>
      </c>
      <c r="Q10" s="498">
        <f t="shared" si="2"/>
        <v>284100</v>
      </c>
      <c r="R10" s="498">
        <f t="shared" si="2"/>
        <v>284100</v>
      </c>
      <c r="S10" s="498">
        <f t="shared" si="2"/>
        <v>284100</v>
      </c>
      <c r="T10" s="498">
        <f t="shared" si="2"/>
        <v>284100</v>
      </c>
      <c r="U10" s="498">
        <f t="shared" ref="U10:AL11" si="3">T10*(1+$C$8)</f>
        <v>284100</v>
      </c>
      <c r="V10" s="498">
        <f t="shared" si="3"/>
        <v>284100</v>
      </c>
      <c r="W10" s="498">
        <f t="shared" si="3"/>
        <v>284100</v>
      </c>
      <c r="X10" s="498">
        <f t="shared" si="3"/>
        <v>284100</v>
      </c>
      <c r="Y10" s="498">
        <f t="shared" si="3"/>
        <v>284100</v>
      </c>
      <c r="Z10" s="498">
        <f t="shared" si="3"/>
        <v>284100</v>
      </c>
      <c r="AA10" s="498">
        <f t="shared" si="3"/>
        <v>284100</v>
      </c>
      <c r="AB10" s="498">
        <f t="shared" si="3"/>
        <v>284100</v>
      </c>
      <c r="AC10" s="498">
        <f t="shared" si="3"/>
        <v>284100</v>
      </c>
      <c r="AD10" s="498">
        <f t="shared" si="3"/>
        <v>284100</v>
      </c>
      <c r="AE10" s="498">
        <f t="shared" si="3"/>
        <v>284100</v>
      </c>
      <c r="AF10" s="498">
        <f t="shared" si="3"/>
        <v>284100</v>
      </c>
      <c r="AG10" s="498">
        <f t="shared" si="3"/>
        <v>284100</v>
      </c>
      <c r="AH10" s="498">
        <f t="shared" si="3"/>
        <v>284100</v>
      </c>
      <c r="AI10" s="498">
        <f t="shared" si="3"/>
        <v>284100</v>
      </c>
      <c r="AJ10" s="498">
        <f t="shared" si="3"/>
        <v>284100</v>
      </c>
      <c r="AK10" s="498">
        <f t="shared" si="3"/>
        <v>284100</v>
      </c>
      <c r="AL10" s="498">
        <f t="shared" si="3"/>
        <v>284100</v>
      </c>
    </row>
    <row r="11" spans="1:38">
      <c r="B11" s="476" t="s">
        <v>451</v>
      </c>
      <c r="C11" s="473" t="s">
        <v>453</v>
      </c>
      <c r="D11" s="498">
        <f>'General Inputs'!D25</f>
        <v>4500</v>
      </c>
      <c r="E11" s="498">
        <f t="shared" si="2"/>
        <v>4500</v>
      </c>
      <c r="F11" s="498">
        <f t="shared" si="2"/>
        <v>4500</v>
      </c>
      <c r="G11" s="498">
        <f t="shared" si="2"/>
        <v>4500</v>
      </c>
      <c r="H11" s="498">
        <f t="shared" si="2"/>
        <v>4500</v>
      </c>
      <c r="I11" s="498">
        <f t="shared" si="2"/>
        <v>4500</v>
      </c>
      <c r="J11" s="498">
        <f t="shared" si="2"/>
        <v>4500</v>
      </c>
      <c r="K11" s="498">
        <f t="shared" si="2"/>
        <v>4500</v>
      </c>
      <c r="L11" s="498">
        <f t="shared" si="2"/>
        <v>4500</v>
      </c>
      <c r="M11" s="498">
        <f t="shared" si="2"/>
        <v>4500</v>
      </c>
      <c r="N11" s="498">
        <f t="shared" si="2"/>
        <v>4500</v>
      </c>
      <c r="O11" s="498">
        <f t="shared" si="2"/>
        <v>4500</v>
      </c>
      <c r="P11" s="498">
        <f t="shared" si="2"/>
        <v>4500</v>
      </c>
      <c r="Q11" s="498">
        <f t="shared" si="2"/>
        <v>4500</v>
      </c>
      <c r="R11" s="498">
        <f t="shared" si="2"/>
        <v>4500</v>
      </c>
      <c r="S11" s="498">
        <f t="shared" si="2"/>
        <v>4500</v>
      </c>
      <c r="T11" s="498">
        <f t="shared" si="2"/>
        <v>4500</v>
      </c>
      <c r="U11" s="498">
        <f t="shared" si="3"/>
        <v>4500</v>
      </c>
      <c r="V11" s="498">
        <f t="shared" si="3"/>
        <v>4500</v>
      </c>
      <c r="W11" s="498">
        <f t="shared" si="3"/>
        <v>4500</v>
      </c>
      <c r="X11" s="498">
        <f t="shared" si="3"/>
        <v>4500</v>
      </c>
      <c r="Y11" s="498">
        <f t="shared" si="3"/>
        <v>4500</v>
      </c>
      <c r="Z11" s="498">
        <f t="shared" si="3"/>
        <v>4500</v>
      </c>
      <c r="AA11" s="498">
        <f t="shared" si="3"/>
        <v>4500</v>
      </c>
      <c r="AB11" s="498">
        <f t="shared" si="3"/>
        <v>4500</v>
      </c>
      <c r="AC11" s="498">
        <f t="shared" si="3"/>
        <v>4500</v>
      </c>
      <c r="AD11" s="498">
        <f t="shared" si="3"/>
        <v>4500</v>
      </c>
      <c r="AE11" s="498">
        <f t="shared" si="3"/>
        <v>4500</v>
      </c>
      <c r="AF11" s="498">
        <f t="shared" si="3"/>
        <v>4500</v>
      </c>
      <c r="AG11" s="498">
        <f t="shared" si="3"/>
        <v>4500</v>
      </c>
      <c r="AH11" s="498">
        <f t="shared" si="3"/>
        <v>4500</v>
      </c>
      <c r="AI11" s="498">
        <f t="shared" si="3"/>
        <v>4500</v>
      </c>
      <c r="AJ11" s="498">
        <f t="shared" si="3"/>
        <v>4500</v>
      </c>
      <c r="AK11" s="498">
        <f t="shared" si="3"/>
        <v>4500</v>
      </c>
      <c r="AL11" s="498">
        <f t="shared" si="3"/>
        <v>4500</v>
      </c>
    </row>
    <row r="12" spans="1:38">
      <c r="D12" s="358"/>
      <c r="F12" s="464"/>
      <c r="G12" s="465"/>
      <c r="H12" s="465"/>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c r="D14" s="358"/>
      <c r="F14" s="464"/>
      <c r="G14" s="465"/>
      <c r="H14" s="465"/>
    </row>
    <row r="15" spans="1:38">
      <c r="B15" s="367" t="s">
        <v>515</v>
      </c>
      <c r="C15" s="367" t="s">
        <v>328</v>
      </c>
      <c r="D15" s="388">
        <f>'A1.12'!D24</f>
        <v>2.233688147817547E-3</v>
      </c>
      <c r="E15" s="388">
        <f>'A1.12'!E24</f>
        <v>2.2631924092407873E-3</v>
      </c>
      <c r="F15" s="388">
        <f>'A1.12'!F24</f>
        <v>2.2930894129601907E-3</v>
      </c>
      <c r="G15" s="388">
        <f>'A1.12'!G24</f>
        <v>2.3233843999689507E-3</v>
      </c>
      <c r="H15" s="388">
        <f>'A1.12'!H24</f>
        <v>2.3540826812116704E-3</v>
      </c>
      <c r="I15" s="388">
        <f>'A1.12'!I24</f>
        <v>2.3851896385176834E-3</v>
      </c>
      <c r="J15" s="388">
        <f>'A1.12'!J24</f>
        <v>2.4167107255468521E-3</v>
      </c>
      <c r="K15" s="388">
        <f>'A1.12'!K24</f>
        <v>2.4486514687479754E-3</v>
      </c>
      <c r="L15" s="388">
        <f>'A1.12'!L24</f>
        <v>2.4810174683300083E-3</v>
      </c>
      <c r="M15" s="388">
        <f>'A1.12'!M24</f>
        <v>2.5138143992462308E-3</v>
      </c>
      <c r="N15" s="388">
        <f>'A1.12'!N24</f>
        <v>2.5470480121915625E-3</v>
      </c>
      <c r="O15" s="388">
        <f>'A1.12'!O24</f>
        <v>2.5807241346131895E-3</v>
      </c>
      <c r="P15" s="388">
        <f>'A1.12'!P24</f>
        <v>2.6148486717346886E-3</v>
      </c>
      <c r="Q15" s="388">
        <f>'A1.12'!Q24</f>
        <v>2.6494276075938019E-3</v>
      </c>
      <c r="R15" s="388">
        <f>'A1.12'!R24</f>
        <v>2.6844670060940921E-3</v>
      </c>
      <c r="S15" s="388">
        <f>'A1.12'!S24</f>
        <v>2.7199730120706115E-3</v>
      </c>
      <c r="T15" s="388">
        <f>'A1.12'!T24</f>
        <v>2.7559518523698119E-3</v>
      </c>
      <c r="U15" s="388">
        <f>'A1.12'!U24</f>
        <v>2.7924098369438584E-3</v>
      </c>
      <c r="V15" s="388">
        <f>'A1.12'!V24</f>
        <v>2.8293533599595602E-3</v>
      </c>
      <c r="W15" s="388">
        <f>'A1.12'!W24</f>
        <v>2.8667889009220916E-3</v>
      </c>
      <c r="X15" s="388">
        <f>'A1.12'!X24</f>
        <v>2.9047230258137211E-3</v>
      </c>
      <c r="Y15" s="388">
        <f>'A1.12'!Y24</f>
        <v>2.9431623882477395E-3</v>
      </c>
      <c r="Z15" s="388">
        <f>'A1.12'!Z24</f>
        <v>2.9821137306377766E-3</v>
      </c>
      <c r="AA15" s="388">
        <f>'A1.12'!AA24</f>
        <v>3.0215838853827528E-3</v>
      </c>
      <c r="AB15" s="388">
        <f>'A1.12'!AB24</f>
        <v>3.0615797760676152E-3</v>
      </c>
      <c r="AC15" s="388">
        <f>'A1.12'!AC24</f>
        <v>3.1021084186801154E-3</v>
      </c>
      <c r="AD15" s="388">
        <f>'A1.12'!AD24</f>
        <v>3.1431769228438293E-3</v>
      </c>
      <c r="AE15" s="388">
        <f>'A1.12'!AE24</f>
        <v>3.1847924930676367E-3</v>
      </c>
      <c r="AF15" s="388">
        <f>'A1.12'!AF24</f>
        <v>3.2269624300118502E-3</v>
      </c>
      <c r="AG15" s="388">
        <f>'A1.12'!AG24</f>
        <v>3.2696941317712897E-3</v>
      </c>
      <c r="AH15" s="388">
        <f>'A1.12'!AH24</f>
        <v>3.3129950951754322E-3</v>
      </c>
      <c r="AI15" s="388">
        <f>'A1.12'!AI24</f>
        <v>3.356872917105951E-3</v>
      </c>
      <c r="AJ15" s="388">
        <f>'A1.12'!AJ24</f>
        <v>3.4013352958318231E-3</v>
      </c>
      <c r="AK15" s="388">
        <f>'A1.12'!AK24</f>
        <v>3.4463900323622441E-3</v>
      </c>
      <c r="AL15" s="388">
        <f>'A1.12'!AL24</f>
        <v>3.4920450318176284E-3</v>
      </c>
    </row>
    <row r="16" spans="1:38">
      <c r="B16" s="367" t="s">
        <v>516</v>
      </c>
      <c r="C16" s="367" t="s">
        <v>329</v>
      </c>
      <c r="D16" s="388">
        <f>'A1.12'!D25</f>
        <v>3.3863495816811993E-2</v>
      </c>
      <c r="E16" s="388">
        <f>'A1.12'!E25</f>
        <v>3.4277766913230971E-2</v>
      </c>
      <c r="F16" s="388">
        <f>'A1.12'!F25</f>
        <v>3.4697113366756703E-2</v>
      </c>
      <c r="G16" s="388">
        <f>'A1.12'!G25</f>
        <v>3.5121597364444417E-2</v>
      </c>
      <c r="H16" s="388">
        <f>'A1.12'!H25</f>
        <v>3.5551281855325002E-2</v>
      </c>
      <c r="I16" s="388">
        <f>'A1.12'!I25</f>
        <v>3.5986230559737029E-2</v>
      </c>
      <c r="J16" s="388">
        <f>'A1.12'!J25</f>
        <v>3.6426507978773275E-2</v>
      </c>
      <c r="K16" s="388">
        <f>'A1.12'!K25</f>
        <v>3.6872179403842881E-2</v>
      </c>
      <c r="L16" s="388">
        <f>'A1.12'!L25</f>
        <v>3.73233109263508E-2</v>
      </c>
      <c r="M16" s="388">
        <f>'A1.12'!M25</f>
        <v>3.7779969447495822E-2</v>
      </c>
      <c r="N16" s="388">
        <f>'A1.12'!N25</f>
        <v>3.8242222688188575E-2</v>
      </c>
      <c r="O16" s="388">
        <f>'A1.12'!O25</f>
        <v>3.8710139199091262E-2</v>
      </c>
      <c r="P16" s="388">
        <f>'A1.12'!P25</f>
        <v>3.9183788370780348E-2</v>
      </c>
      <c r="Q16" s="388">
        <f>'A1.12'!Q25</f>
        <v>3.9663240444033528E-2</v>
      </c>
      <c r="R16" s="388">
        <f>'A1.12'!R25</f>
        <v>4.0148566520243234E-2</v>
      </c>
      <c r="S16" s="388">
        <f>'A1.12'!S25</f>
        <v>4.0639838571957299E-2</v>
      </c>
      <c r="T16" s="388">
        <f>'A1.12'!T25</f>
        <v>4.1137129453549026E-2</v>
      </c>
      <c r="U16" s="388">
        <f>'A1.12'!U25</f>
        <v>4.1640512912017882E-2</v>
      </c>
      <c r="V16" s="388">
        <f>'A1.12'!V25</f>
        <v>4.2150063597922567E-2</v>
      </c>
      <c r="W16" s="388">
        <f>'A1.12'!W25</f>
        <v>4.2665857076448079E-2</v>
      </c>
      <c r="X16" s="388">
        <f>'A1.12'!X25</f>
        <v>4.3187969838608266E-2</v>
      </c>
      <c r="Y16" s="388">
        <f>'A1.12'!Y25</f>
        <v>4.3716479312585793E-2</v>
      </c>
      <c r="Z16" s="388">
        <f>'A1.12'!Z25</f>
        <v>4.4251463875210825E-2</v>
      </c>
      <c r="AA16" s="388">
        <f>'A1.12'!AA25</f>
        <v>4.4793002863580664E-2</v>
      </c>
      <c r="AB16" s="388">
        <f>'A1.12'!AB25</f>
        <v>4.5341176586821366E-2</v>
      </c>
      <c r="AC16" s="388">
        <f>'A1.12'!AC25</f>
        <v>4.5896066337993736E-2</v>
      </c>
      <c r="AD16" s="388">
        <f>'A1.12'!AD25</f>
        <v>4.6457754406145038E-2</v>
      </c>
      <c r="AE16" s="388">
        <f>'A1.12'!AE25</f>
        <v>4.7026324088508584E-2</v>
      </c>
      <c r="AF16" s="388">
        <f>'A1.12'!AF25</f>
        <v>4.7601859702852245E-2</v>
      </c>
      <c r="AG16" s="388">
        <f>'A1.12'!AG25</f>
        <v>4.8184446599979031E-2</v>
      </c>
      <c r="AH16" s="388">
        <f>'A1.12'!AH25</f>
        <v>4.8774171176380006E-2</v>
      </c>
      <c r="AI16" s="388">
        <f>'A1.12'!AI25</f>
        <v>4.9371120887042839E-2</v>
      </c>
      <c r="AJ16" s="388">
        <f>'A1.12'!AJ25</f>
        <v>4.9975384258416938E-2</v>
      </c>
      <c r="AK16" s="388">
        <f>'A1.12'!AK25</f>
        <v>5.0587050901537381E-2</v>
      </c>
      <c r="AL16" s="388">
        <f>'A1.12'!AL25</f>
        <v>5.1206211525309846E-2</v>
      </c>
    </row>
    <row r="17" spans="1:38">
      <c r="B17" s="367" t="s">
        <v>517</v>
      </c>
      <c r="C17" s="367" t="s">
        <v>518</v>
      </c>
      <c r="D17" s="388">
        <f>'A1.12'!D23</f>
        <v>0.17387085299104882</v>
      </c>
      <c r="E17" s="388">
        <f>'A1.12'!E23</f>
        <v>0.17600009074869749</v>
      </c>
      <c r="F17" s="388">
        <f>'A1.12'!F23</f>
        <v>0.17815544570157779</v>
      </c>
      <c r="G17" s="388">
        <f>'A1.12'!G23</f>
        <v>0.18033723828583903</v>
      </c>
      <c r="H17" s="388">
        <f>'A1.12'!H23</f>
        <v>0.1825457928696563</v>
      </c>
      <c r="I17" s="388">
        <f>'A1.12'!I23</f>
        <v>0.18478143780146331</v>
      </c>
      <c r="J17" s="388">
        <f>'A1.12'!J23</f>
        <v>0.18704450545877774</v>
      </c>
      <c r="K17" s="388">
        <f>'A1.12'!K23</f>
        <v>0.18933533229762564</v>
      </c>
      <c r="L17" s="388">
        <f>'A1.12'!L23</f>
        <v>0.19165425890257284</v>
      </c>
      <c r="M17" s="388">
        <f>'A1.12'!M23</f>
        <v>0.19400163003737031</v>
      </c>
      <c r="N17" s="388">
        <f>'A1.12'!N23</f>
        <v>0.19637779469622116</v>
      </c>
      <c r="O17" s="388">
        <f>'A1.12'!O23</f>
        <v>0.19878310615567737</v>
      </c>
      <c r="P17" s="388">
        <f>'A1.12'!P23</f>
        <v>0.20121792202717373</v>
      </c>
      <c r="Q17" s="388">
        <f>'A1.12'!Q23</f>
        <v>0.20368260431020499</v>
      </c>
      <c r="R17" s="388">
        <f>'A1.12'!R23</f>
        <v>0.20617751944615847</v>
      </c>
      <c r="S17" s="388">
        <f>'A1.12'!S23</f>
        <v>0.2087030383728051</v>
      </c>
      <c r="T17" s="388">
        <f>'A1.12'!T23</f>
        <v>0.21125953657946045</v>
      </c>
      <c r="U17" s="388">
        <f>'A1.12'!U23</f>
        <v>0.21384739416282253</v>
      </c>
      <c r="V17" s="388">
        <f>'A1.12'!V23</f>
        <v>0.21646699588349494</v>
      </c>
      <c r="W17" s="388">
        <f>'A1.12'!W23</f>
        <v>0.21911873122320405</v>
      </c>
      <c r="X17" s="388">
        <f>'A1.12'!X23</f>
        <v>0.22180299444271778</v>
      </c>
      <c r="Y17" s="388">
        <f>'A1.12'!Y23</f>
        <v>0.22452018464047621</v>
      </c>
      <c r="Z17" s="388">
        <f>'A1.12'!Z23</f>
        <v>0.2272707058119407</v>
      </c>
      <c r="AA17" s="388">
        <f>'A1.12'!AA23</f>
        <v>0.23005496690967289</v>
      </c>
      <c r="AB17" s="388">
        <f>'A1.12'!AB23</f>
        <v>0.23287338190414922</v>
      </c>
      <c r="AC17" s="388">
        <f>'A1.12'!AC23</f>
        <v>0.23572636984532325</v>
      </c>
      <c r="AD17" s="388">
        <f>'A1.12'!AD23</f>
        <v>0.23861435492494276</v>
      </c>
      <c r="AE17" s="388">
        <f>'A1.12'!AE23</f>
        <v>0.24153776653963302</v>
      </c>
      <c r="AF17" s="388">
        <f>'A1.12'!AF23</f>
        <v>0.2444970393547512</v>
      </c>
      <c r="AG17" s="388">
        <f>'A1.12'!AG23</f>
        <v>0.24749261336902859</v>
      </c>
      <c r="AH17" s="388">
        <f>'A1.12'!AH23</f>
        <v>0.25052493398000225</v>
      </c>
      <c r="AI17" s="388">
        <f>'A1.12'!AI23</f>
        <v>0.25359445205025255</v>
      </c>
      <c r="AJ17" s="388">
        <f>'A1.12'!AJ23</f>
        <v>0.25670162397445229</v>
      </c>
      <c r="AK17" s="388">
        <f>'A1.12'!AK23</f>
        <v>0.25984691174723784</v>
      </c>
      <c r="AL17" s="388">
        <f>'A1.12'!AL23</f>
        <v>0.2630307830319154</v>
      </c>
    </row>
    <row r="18" spans="1:38">
      <c r="D18" s="358"/>
      <c r="F18" s="464"/>
      <c r="G18" s="465"/>
      <c r="H18" s="465"/>
    </row>
    <row r="19" spans="1:38">
      <c r="B19" s="366" t="s">
        <v>719</v>
      </c>
      <c r="C19" s="484" t="s">
        <v>292</v>
      </c>
      <c r="D19" s="485">
        <f t="shared" ref="D19:AK19" si="4">D15*D9</f>
        <v>26962.84963230561</v>
      </c>
      <c r="E19" s="485">
        <f t="shared" si="4"/>
        <v>27318.995571945543</v>
      </c>
      <c r="F19" s="485">
        <f t="shared" si="4"/>
        <v>27679.882303842463</v>
      </c>
      <c r="G19" s="485">
        <f t="shared" si="4"/>
        <v>28045.573092025203</v>
      </c>
      <c r="H19" s="485">
        <f t="shared" si="4"/>
        <v>28416.132044906073</v>
      </c>
      <c r="I19" s="485">
        <f t="shared" si="4"/>
        <v>28791.624126546958</v>
      </c>
      <c r="J19" s="485">
        <f t="shared" si="4"/>
        <v>29172.115168076052</v>
      </c>
      <c r="K19" s="485">
        <f t="shared" si="4"/>
        <v>29557.67187925681</v>
      </c>
      <c r="L19" s="485">
        <f t="shared" si="4"/>
        <v>29948.361860211531</v>
      </c>
      <c r="M19" s="485">
        <f t="shared" si="4"/>
        <v>30344.253613301251</v>
      </c>
      <c r="N19" s="485">
        <f t="shared" si="4"/>
        <v>30745.416555164353</v>
      </c>
      <c r="O19" s="485">
        <f t="shared" si="4"/>
        <v>31151.921028915811</v>
      </c>
      <c r="P19" s="485">
        <f t="shared" si="4"/>
        <v>31563.838316509427</v>
      </c>
      <c r="Q19" s="485">
        <f t="shared" si="4"/>
        <v>31981.240651264783</v>
      </c>
      <c r="R19" s="485">
        <f t="shared" si="4"/>
        <v>32404.201230561786</v>
      </c>
      <c r="S19" s="485">
        <f t="shared" si="4"/>
        <v>32832.794228704355</v>
      </c>
      <c r="T19" s="485">
        <f t="shared" si="4"/>
        <v>33267.094809955997</v>
      </c>
      <c r="U19" s="485">
        <f t="shared" si="4"/>
        <v>33707.179141749315</v>
      </c>
      <c r="V19" s="485">
        <f t="shared" si="4"/>
        <v>34153.124408071853</v>
      </c>
      <c r="W19" s="485">
        <f t="shared" si="4"/>
        <v>34605.00882303057</v>
      </c>
      <c r="X19" s="485">
        <f t="shared" si="4"/>
        <v>35062.911644597429</v>
      </c>
      <c r="Y19" s="485">
        <f t="shared" si="4"/>
        <v>35526.913188538463</v>
      </c>
      <c r="Z19" s="485">
        <f t="shared" si="4"/>
        <v>35997.094842528604</v>
      </c>
      <c r="AA19" s="485">
        <f t="shared" si="4"/>
        <v>36473.539080455208</v>
      </c>
      <c r="AB19" s="485">
        <f t="shared" si="4"/>
        <v>36956.329476912186</v>
      </c>
      <c r="AC19" s="485">
        <f t="shared" si="4"/>
        <v>37445.550721887674</v>
      </c>
      <c r="AD19" s="485">
        <f t="shared" si="4"/>
        <v>37941.288635647863</v>
      </c>
      <c r="AE19" s="485">
        <f t="shared" si="4"/>
        <v>38443.630183819441</v>
      </c>
      <c r="AF19" s="485">
        <f t="shared" si="4"/>
        <v>38952.663492673048</v>
      </c>
      <c r="AG19" s="485">
        <f t="shared" si="4"/>
        <v>39468.477864611239</v>
      </c>
      <c r="AH19" s="485">
        <f t="shared" si="4"/>
        <v>39991.163793862645</v>
      </c>
      <c r="AI19" s="485">
        <f t="shared" si="4"/>
        <v>40520.812982385934</v>
      </c>
      <c r="AJ19" s="485">
        <f t="shared" si="4"/>
        <v>41057.518355985936</v>
      </c>
      <c r="AK19" s="485">
        <f t="shared" si="4"/>
        <v>41601.374080644651</v>
      </c>
      <c r="AL19" s="485">
        <f t="shared" ref="AL19" si="5">AL15*AL9</f>
        <v>42152.475579070589</v>
      </c>
    </row>
    <row r="20" spans="1:38">
      <c r="B20" s="366" t="s">
        <v>720</v>
      </c>
      <c r="C20" s="484" t="s">
        <v>292</v>
      </c>
      <c r="D20" s="485">
        <f t="shared" ref="D20:AK20" si="6">D16*D10</f>
        <v>9620.6191615562875</v>
      </c>
      <c r="E20" s="485">
        <f t="shared" si="6"/>
        <v>9738.3135800489181</v>
      </c>
      <c r="F20" s="485">
        <f t="shared" si="6"/>
        <v>9857.4499074955802</v>
      </c>
      <c r="G20" s="485">
        <f t="shared" si="6"/>
        <v>9978.0458112386586</v>
      </c>
      <c r="H20" s="485">
        <f t="shared" si="6"/>
        <v>10100.119175097832</v>
      </c>
      <c r="I20" s="485">
        <f t="shared" si="6"/>
        <v>10223.68810202129</v>
      </c>
      <c r="J20" s="485">
        <f t="shared" si="6"/>
        <v>10348.770916769487</v>
      </c>
      <c r="K20" s="485">
        <f t="shared" si="6"/>
        <v>10475.386168631763</v>
      </c>
      <c r="L20" s="485">
        <f t="shared" si="6"/>
        <v>10603.552634176262</v>
      </c>
      <c r="M20" s="485">
        <f t="shared" si="6"/>
        <v>10733.289320033564</v>
      </c>
      <c r="N20" s="485">
        <f t="shared" si="6"/>
        <v>10864.615465714374</v>
      </c>
      <c r="O20" s="485">
        <f t="shared" si="6"/>
        <v>10997.550546461827</v>
      </c>
      <c r="P20" s="485">
        <f t="shared" si="6"/>
        <v>11132.114276138696</v>
      </c>
      <c r="Q20" s="485">
        <f t="shared" si="6"/>
        <v>11268.326610149925</v>
      </c>
      <c r="R20" s="485">
        <f t="shared" si="6"/>
        <v>11406.207748401102</v>
      </c>
      <c r="S20" s="485">
        <f t="shared" si="6"/>
        <v>11545.778138293068</v>
      </c>
      <c r="T20" s="485">
        <f t="shared" si="6"/>
        <v>11687.058477753279</v>
      </c>
      <c r="U20" s="485">
        <f t="shared" si="6"/>
        <v>11830.069718304281</v>
      </c>
      <c r="V20" s="485">
        <f t="shared" si="6"/>
        <v>11974.833068169801</v>
      </c>
      <c r="W20" s="485">
        <f t="shared" si="6"/>
        <v>12121.3699954189</v>
      </c>
      <c r="X20" s="485">
        <f t="shared" si="6"/>
        <v>12269.702231148609</v>
      </c>
      <c r="Y20" s="485">
        <f t="shared" si="6"/>
        <v>12419.851772705624</v>
      </c>
      <c r="Z20" s="485">
        <f t="shared" si="6"/>
        <v>12571.840886947395</v>
      </c>
      <c r="AA20" s="485">
        <f t="shared" si="6"/>
        <v>12725.692113543266</v>
      </c>
      <c r="AB20" s="485">
        <f t="shared" si="6"/>
        <v>12881.428268315951</v>
      </c>
      <c r="AC20" s="485">
        <f t="shared" si="6"/>
        <v>13039.072446624021</v>
      </c>
      <c r="AD20" s="485">
        <f t="shared" si="6"/>
        <v>13198.648026785806</v>
      </c>
      <c r="AE20" s="485">
        <f t="shared" si="6"/>
        <v>13360.178673545288</v>
      </c>
      <c r="AF20" s="485">
        <f t="shared" si="6"/>
        <v>13523.688341580322</v>
      </c>
      <c r="AG20" s="485">
        <f t="shared" si="6"/>
        <v>13689.201279054043</v>
      </c>
      <c r="AH20" s="485">
        <f t="shared" si="6"/>
        <v>13856.74203120956</v>
      </c>
      <c r="AI20" s="485">
        <f t="shared" si="6"/>
        <v>14026.335444008871</v>
      </c>
      <c r="AJ20" s="485">
        <f t="shared" si="6"/>
        <v>14198.006667816253</v>
      </c>
      <c r="AK20" s="485">
        <f t="shared" si="6"/>
        <v>14371.78116112677</v>
      </c>
      <c r="AL20" s="485">
        <f t="shared" ref="AL20" si="7">AL16*AL10</f>
        <v>14547.684694340527</v>
      </c>
    </row>
    <row r="21" spans="1:38">
      <c r="B21" s="366" t="s">
        <v>721</v>
      </c>
      <c r="C21" s="484" t="s">
        <v>292</v>
      </c>
      <c r="D21" s="485">
        <f t="shared" ref="D21:AK21" si="8">D17*D11</f>
        <v>782.41883845971972</v>
      </c>
      <c r="E21" s="485">
        <f t="shared" si="8"/>
        <v>792.00040836913865</v>
      </c>
      <c r="F21" s="485">
        <f t="shared" si="8"/>
        <v>801.69950565710008</v>
      </c>
      <c r="G21" s="485">
        <f t="shared" si="8"/>
        <v>811.51757228627559</v>
      </c>
      <c r="H21" s="485">
        <f t="shared" si="8"/>
        <v>821.45606791345335</v>
      </c>
      <c r="I21" s="485">
        <f t="shared" si="8"/>
        <v>831.51647010658485</v>
      </c>
      <c r="J21" s="485">
        <f t="shared" si="8"/>
        <v>841.70027456449986</v>
      </c>
      <c r="K21" s="485">
        <f t="shared" si="8"/>
        <v>852.00899533931533</v>
      </c>
      <c r="L21" s="485">
        <f t="shared" si="8"/>
        <v>862.44416506157779</v>
      </c>
      <c r="M21" s="485">
        <f t="shared" si="8"/>
        <v>873.00733516816638</v>
      </c>
      <c r="N21" s="485">
        <f t="shared" si="8"/>
        <v>883.70007613299526</v>
      </c>
      <c r="O21" s="485">
        <f t="shared" si="8"/>
        <v>894.52397770054813</v>
      </c>
      <c r="P21" s="485">
        <f t="shared" si="8"/>
        <v>905.48064912228176</v>
      </c>
      <c r="Q21" s="485">
        <f t="shared" si="8"/>
        <v>916.5717193959224</v>
      </c>
      <c r="R21" s="485">
        <f t="shared" si="8"/>
        <v>927.79883750771319</v>
      </c>
      <c r="S21" s="485">
        <f t="shared" si="8"/>
        <v>939.16367267762291</v>
      </c>
      <c r="T21" s="485">
        <f t="shared" si="8"/>
        <v>950.66791460757202</v>
      </c>
      <c r="U21" s="485">
        <f t="shared" si="8"/>
        <v>962.31327373270142</v>
      </c>
      <c r="V21" s="485">
        <f t="shared" si="8"/>
        <v>974.10148147572727</v>
      </c>
      <c r="W21" s="485">
        <f t="shared" si="8"/>
        <v>986.03429050441821</v>
      </c>
      <c r="X21" s="485">
        <f t="shared" si="8"/>
        <v>998.11347499223007</v>
      </c>
      <c r="Y21" s="485">
        <f t="shared" si="8"/>
        <v>1010.340830882143</v>
      </c>
      <c r="Z21" s="485">
        <f t="shared" si="8"/>
        <v>1022.7181761537331</v>
      </c>
      <c r="AA21" s="485">
        <f t="shared" si="8"/>
        <v>1035.2473510935281</v>
      </c>
      <c r="AB21" s="485">
        <f t="shared" si="8"/>
        <v>1047.9302185686715</v>
      </c>
      <c r="AC21" s="485">
        <f t="shared" si="8"/>
        <v>1060.7686643039547</v>
      </c>
      <c r="AD21" s="485">
        <f t="shared" si="8"/>
        <v>1073.7645971622424</v>
      </c>
      <c r="AE21" s="485">
        <f t="shared" si="8"/>
        <v>1086.9199494283487</v>
      </c>
      <c r="AF21" s="485">
        <f t="shared" si="8"/>
        <v>1100.2366770963804</v>
      </c>
      <c r="AG21" s="485">
        <f t="shared" si="8"/>
        <v>1113.7167601606286</v>
      </c>
      <c r="AH21" s="485">
        <f t="shared" si="8"/>
        <v>1127.3622029100102</v>
      </c>
      <c r="AI21" s="485">
        <f t="shared" si="8"/>
        <v>1141.1750342261364</v>
      </c>
      <c r="AJ21" s="485">
        <f t="shared" si="8"/>
        <v>1155.1573078850354</v>
      </c>
      <c r="AK21" s="485">
        <f t="shared" si="8"/>
        <v>1169.3111028625704</v>
      </c>
      <c r="AL21" s="485">
        <f t="shared" ref="AL21" si="9">AL17*AL11</f>
        <v>1183.6385236436192</v>
      </c>
    </row>
    <row r="22" spans="1:38">
      <c r="D22" s="358"/>
      <c r="F22" s="464"/>
      <c r="G22" s="465"/>
      <c r="H22" s="465"/>
    </row>
    <row r="23" spans="1:38" ht="13">
      <c r="B23" s="486" t="s">
        <v>461</v>
      </c>
      <c r="C23" s="487" t="s">
        <v>292</v>
      </c>
      <c r="D23" s="488">
        <f>SUM(D19:D21)</f>
        <v>37365.887632321617</v>
      </c>
      <c r="E23" s="488">
        <f t="shared" ref="E23:AK23" si="10">SUM(E19:E21)</f>
        <v>37849.309560363596</v>
      </c>
      <c r="F23" s="488">
        <f t="shared" si="10"/>
        <v>38339.031716995145</v>
      </c>
      <c r="G23" s="488">
        <f t="shared" si="10"/>
        <v>38835.136475550142</v>
      </c>
      <c r="H23" s="488">
        <f t="shared" si="10"/>
        <v>39337.707287917357</v>
      </c>
      <c r="I23" s="488">
        <f t="shared" si="10"/>
        <v>39846.828698674835</v>
      </c>
      <c r="J23" s="488">
        <f t="shared" si="10"/>
        <v>40362.586359410037</v>
      </c>
      <c r="K23" s="488">
        <f t="shared" si="10"/>
        <v>40885.067043227893</v>
      </c>
      <c r="L23" s="488">
        <f t="shared" si="10"/>
        <v>41414.358659449368</v>
      </c>
      <c r="M23" s="488">
        <f t="shared" si="10"/>
        <v>41950.550268502979</v>
      </c>
      <c r="N23" s="488">
        <f t="shared" si="10"/>
        <v>42493.732097011729</v>
      </c>
      <c r="O23" s="488">
        <f t="shared" si="10"/>
        <v>43043.995553078188</v>
      </c>
      <c r="P23" s="488">
        <f t="shared" si="10"/>
        <v>43601.433241770406</v>
      </c>
      <c r="Q23" s="488">
        <f t="shared" si="10"/>
        <v>44166.138980810625</v>
      </c>
      <c r="R23" s="488">
        <f t="shared" si="10"/>
        <v>44738.207816470604</v>
      </c>
      <c r="S23" s="488">
        <f t="shared" si="10"/>
        <v>45317.736039675045</v>
      </c>
      <c r="T23" s="488">
        <f t="shared" si="10"/>
        <v>45904.821202316845</v>
      </c>
      <c r="U23" s="488">
        <f t="shared" si="10"/>
        <v>46499.562133786298</v>
      </c>
      <c r="V23" s="488">
        <f t="shared" si="10"/>
        <v>47102.058957717381</v>
      </c>
      <c r="W23" s="488">
        <f t="shared" si="10"/>
        <v>47712.413108953886</v>
      </c>
      <c r="X23" s="488">
        <f t="shared" si="10"/>
        <v>48330.727350738263</v>
      </c>
      <c r="Y23" s="488">
        <f t="shared" si="10"/>
        <v>48957.105792126233</v>
      </c>
      <c r="Z23" s="488">
        <f t="shared" si="10"/>
        <v>49591.653905629733</v>
      </c>
      <c r="AA23" s="488">
        <f t="shared" si="10"/>
        <v>50234.478545092003</v>
      </c>
      <c r="AB23" s="488">
        <f t="shared" si="10"/>
        <v>50885.687963796809</v>
      </c>
      <c r="AC23" s="488">
        <f t="shared" si="10"/>
        <v>51545.391832815651</v>
      </c>
      <c r="AD23" s="488">
        <f t="shared" si="10"/>
        <v>52213.70125959591</v>
      </c>
      <c r="AE23" s="488">
        <f t="shared" si="10"/>
        <v>52890.728806793071</v>
      </c>
      <c r="AF23" s="488">
        <f t="shared" si="10"/>
        <v>53576.58851134975</v>
      </c>
      <c r="AG23" s="488">
        <f t="shared" si="10"/>
        <v>54271.395903825913</v>
      </c>
      <c r="AH23" s="488">
        <f t="shared" si="10"/>
        <v>54975.268027982209</v>
      </c>
      <c r="AI23" s="488">
        <f t="shared" si="10"/>
        <v>55688.323460620944</v>
      </c>
      <c r="AJ23" s="488">
        <f t="shared" si="10"/>
        <v>56410.682331687225</v>
      </c>
      <c r="AK23" s="488">
        <f t="shared" si="10"/>
        <v>57142.466344633991</v>
      </c>
      <c r="AL23" s="488">
        <f t="shared" ref="AL23" si="11">SUM(AL19:AL21)</f>
        <v>57883.798797054733</v>
      </c>
    </row>
    <row r="24" spans="1:38">
      <c r="D24" s="358"/>
      <c r="F24" s="464"/>
      <c r="G24" s="465"/>
      <c r="H24" s="465"/>
    </row>
    <row r="25" spans="1:38" ht="13">
      <c r="A25" s="452"/>
      <c r="B25" s="495" t="s">
        <v>625</v>
      </c>
      <c r="C25" s="453"/>
      <c r="D25" s="454"/>
      <c r="E25" s="379"/>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row>
    <row r="26" spans="1:38">
      <c r="D26" s="358"/>
      <c r="F26" s="464"/>
      <c r="G26" s="465"/>
      <c r="H26" s="465"/>
    </row>
    <row r="27" spans="1:38">
      <c r="B27" s="367" t="s">
        <v>515</v>
      </c>
      <c r="C27" s="367" t="s">
        <v>328</v>
      </c>
      <c r="D27" s="388">
        <f>'A1.12'!D86</f>
        <v>2.233688147817547E-3</v>
      </c>
      <c r="E27" s="388">
        <f>'A1.12'!E86</f>
        <v>2.2631924092407873E-3</v>
      </c>
      <c r="F27" s="388">
        <f>'A1.12'!F86</f>
        <v>2.2930894129601907E-3</v>
      </c>
      <c r="G27" s="388">
        <f>'A1.12'!G86</f>
        <v>2.3233843999689507E-3</v>
      </c>
      <c r="H27" s="388">
        <f>'A1.12'!H86</f>
        <v>2.1348206390807444E-3</v>
      </c>
      <c r="I27" s="388">
        <f>'A1.12'!I86</f>
        <v>2.1630150229914255E-3</v>
      </c>
      <c r="J27" s="388">
        <f>'A1.12'!J86</f>
        <v>2.1915847091809647E-3</v>
      </c>
      <c r="K27" s="388">
        <f>'A1.12'!K86</f>
        <v>2.2205347058372885E-3</v>
      </c>
      <c r="L27" s="388">
        <f>'A1.12'!L86</f>
        <v>2.2498700879922616E-3</v>
      </c>
      <c r="M27" s="388">
        <f>'A1.12'!M86</f>
        <v>2.2795959984135326E-3</v>
      </c>
      <c r="N27" s="388">
        <f>'A1.12'!N86</f>
        <v>2.3097176485083024E-3</v>
      </c>
      <c r="O27" s="388">
        <f>'A1.12'!O86</f>
        <v>2.3402403192391359E-3</v>
      </c>
      <c r="P27" s="388">
        <f>'A1.12'!P86</f>
        <v>2.3711693620520192E-3</v>
      </c>
      <c r="Q27" s="388">
        <f>'A1.12'!Q86</f>
        <v>2.402510199816806E-3</v>
      </c>
      <c r="R27" s="388">
        <f>'A1.12'!R86</f>
        <v>2.4342683277801987E-3</v>
      </c>
      <c r="S27" s="388">
        <f>'A1.12'!S86</f>
        <v>2.4664493145314715E-3</v>
      </c>
      <c r="T27" s="388">
        <f>'A1.12'!T86</f>
        <v>2.4990588029810772E-3</v>
      </c>
      <c r="U27" s="388">
        <f>'A1.12'!U86</f>
        <v>2.5321025113523199E-3</v>
      </c>
      <c r="V27" s="388">
        <f>'A1.12'!V86</f>
        <v>2.5655862341862658E-3</v>
      </c>
      <c r="W27" s="388">
        <f>'A1.12'!W86</f>
        <v>2.5995158433600508E-3</v>
      </c>
      <c r="X27" s="388">
        <f>'A1.12'!X86</f>
        <v>2.6338972891188162E-3</v>
      </c>
      <c r="Y27" s="388">
        <f>'A1.12'!Y86</f>
        <v>2.6687366011213902E-3</v>
      </c>
      <c r="Z27" s="388">
        <f>'A1.12'!Z86</f>
        <v>2.704039889499936E-3</v>
      </c>
      <c r="AA27" s="388">
        <f>'A1.12'!AA86</f>
        <v>2.7398133459337402E-3</v>
      </c>
      <c r="AB27" s="388">
        <f>'A1.12'!AB86</f>
        <v>2.7760632447373463E-3</v>
      </c>
      <c r="AC27" s="388">
        <f>'A1.12'!AC86</f>
        <v>2.8127959439631979E-3</v>
      </c>
      <c r="AD27" s="388">
        <f>'A1.12'!AD86</f>
        <v>2.8500178865190073E-3</v>
      </c>
      <c r="AE27" s="388">
        <f>'A1.12'!AE86</f>
        <v>2.8877356013000343E-3</v>
      </c>
      <c r="AF27" s="388">
        <f>'A1.12'!AF86</f>
        <v>2.9259557043364807E-3</v>
      </c>
      <c r="AG27" s="388">
        <f>'A1.12'!AG86</f>
        <v>2.964684899956202E-3</v>
      </c>
      <c r="AH27" s="388">
        <f>'A1.12'!AH86</f>
        <v>3.0039299819629201E-3</v>
      </c>
      <c r="AI27" s="388">
        <f>'A1.12'!AI86</f>
        <v>3.0436978348301982E-3</v>
      </c>
      <c r="AJ27" s="388">
        <f>'A1.12'!AJ86</f>
        <v>3.0839954349113022E-3</v>
      </c>
      <c r="AK27" s="388">
        <f>'A1.12'!AK86</f>
        <v>3.1248298516652565E-3</v>
      </c>
      <c r="AL27" s="388">
        <f>'A1.12'!AL86</f>
        <v>3.1662082488992317E-3</v>
      </c>
    </row>
    <row r="28" spans="1:38">
      <c r="B28" s="367" t="s">
        <v>516</v>
      </c>
      <c r="C28" s="367" t="s">
        <v>329</v>
      </c>
      <c r="D28" s="388">
        <f>'A1.12'!D87</f>
        <v>3.3863495816811993E-2</v>
      </c>
      <c r="E28" s="388">
        <f>'A1.12'!E87</f>
        <v>3.4277766913230971E-2</v>
      </c>
      <c r="F28" s="388">
        <f>'A1.12'!F87</f>
        <v>3.4697113366756703E-2</v>
      </c>
      <c r="G28" s="388">
        <f>'A1.12'!G87</f>
        <v>3.5121597364444417E-2</v>
      </c>
      <c r="H28" s="388">
        <f>'A1.12'!H87</f>
        <v>3.2239993461682645E-2</v>
      </c>
      <c r="I28" s="388">
        <f>'A1.12'!I87</f>
        <v>3.263420067928794E-2</v>
      </c>
      <c r="J28" s="388">
        <f>'A1.12'!J87</f>
        <v>3.3033236891466859E-2</v>
      </c>
      <c r="K28" s="388">
        <f>'A1.12'!K87</f>
        <v>3.3437161266546493E-2</v>
      </c>
      <c r="L28" s="388">
        <f>'A1.12'!L87</f>
        <v>3.3846033697841726E-2</v>
      </c>
      <c r="M28" s="388">
        <f>'A1.12'!M87</f>
        <v>3.4259914812533918E-2</v>
      </c>
      <c r="N28" s="388">
        <f>'A1.12'!N87</f>
        <v>3.4678865980658474E-2</v>
      </c>
      <c r="O28" s="388">
        <f>'A1.12'!O87</f>
        <v>3.5102949324202347E-2</v>
      </c>
      <c r="P28" s="388">
        <f>'A1.12'!P87</f>
        <v>3.5532227726313211E-2</v>
      </c>
      <c r="Q28" s="388">
        <f>'A1.12'!Q87</f>
        <v>3.5966764840621619E-2</v>
      </c>
      <c r="R28" s="388">
        <f>'A1.12'!R87</f>
        <v>3.6406625100677062E-2</v>
      </c>
      <c r="S28" s="388">
        <f>'A1.12'!S87</f>
        <v>3.6851873729499919E-2</v>
      </c>
      <c r="T28" s="388">
        <f>'A1.12'!T87</f>
        <v>3.730257674925045E-2</v>
      </c>
      <c r="U28" s="388">
        <f>'A1.12'!U87</f>
        <v>3.7758800991016216E-2</v>
      </c>
      <c r="V28" s="388">
        <f>'A1.12'!V87</f>
        <v>3.8220614104719462E-2</v>
      </c>
      <c r="W28" s="388">
        <f>'A1.12'!W87</f>
        <v>3.8688084569145763E-2</v>
      </c>
      <c r="X28" s="388">
        <f>'A1.12'!X87</f>
        <v>3.9161281702095894E-2</v>
      </c>
      <c r="Y28" s="388">
        <f>'A1.12'!Y87</f>
        <v>3.9640275670661806E-2</v>
      </c>
      <c r="Z28" s="388">
        <f>'A1.12'!Z87</f>
        <v>4.0125137501628626E-2</v>
      </c>
      <c r="AA28" s="388">
        <f>'A1.12'!AA87</f>
        <v>4.0615939092003957E-2</v>
      </c>
      <c r="AB28" s="388">
        <f>'A1.12'!AB87</f>
        <v>4.1112753219676508E-2</v>
      </c>
      <c r="AC28" s="388">
        <f>'A1.12'!AC87</f>
        <v>4.161565355420508E-2</v>
      </c>
      <c r="AD28" s="388">
        <f>'A1.12'!AD87</f>
        <v>4.212471466773976E-2</v>
      </c>
      <c r="AE28" s="388">
        <f>'A1.12'!AE87</f>
        <v>4.2640012046077001E-2</v>
      </c>
      <c r="AF28" s="388">
        <f>'A1.12'!AF87</f>
        <v>4.3161622099850083E-2</v>
      </c>
      <c r="AG28" s="388">
        <f>'A1.12'!AG87</f>
        <v>4.3689622175856806E-2</v>
      </c>
      <c r="AH28" s="388">
        <f>'A1.12'!AH87</f>
        <v>4.4224090568525651E-2</v>
      </c>
      <c r="AI28" s="388">
        <f>'A1.12'!AI87</f>
        <v>4.4765106531522998E-2</v>
      </c>
      <c r="AJ28" s="388">
        <f>'A1.12'!AJ87</f>
        <v>4.5312750289501762E-2</v>
      </c>
      <c r="AK28" s="388">
        <f>'A1.12'!AK87</f>
        <v>4.5867103049994765E-2</v>
      </c>
      <c r="AL28" s="388">
        <f>'A1.12'!AL87</f>
        <v>4.6428247015453186E-2</v>
      </c>
    </row>
    <row r="29" spans="1:38">
      <c r="B29" s="367" t="s">
        <v>517</v>
      </c>
      <c r="C29" s="367" t="s">
        <v>518</v>
      </c>
      <c r="D29" s="388">
        <f>'A1.12'!D85</f>
        <v>0.17387085299104882</v>
      </c>
      <c r="E29" s="388">
        <f>'A1.12'!E85</f>
        <v>0.17600009074869749</v>
      </c>
      <c r="F29" s="388">
        <f>'A1.12'!F85</f>
        <v>0.17815544570157779</v>
      </c>
      <c r="G29" s="388">
        <f>'A1.12'!G85</f>
        <v>0.18033723828583903</v>
      </c>
      <c r="H29" s="388">
        <f>'A1.12'!H85</f>
        <v>0.16554326205522951</v>
      </c>
      <c r="I29" s="388">
        <f>'A1.12'!I85</f>
        <v>0.16756949614409355</v>
      </c>
      <c r="J29" s="388">
        <f>'A1.12'!J85</f>
        <v>0.16962058129940868</v>
      </c>
      <c r="K29" s="388">
        <f>'A1.12'!K85</f>
        <v>0.17169682242409209</v>
      </c>
      <c r="L29" s="388">
        <f>'A1.12'!L85</f>
        <v>0.1737985281625064</v>
      </c>
      <c r="M29" s="388">
        <f>'A1.12'!M85</f>
        <v>0.17592601094635288</v>
      </c>
      <c r="N29" s="388">
        <f>'A1.12'!N85</f>
        <v>0.17807958704112906</v>
      </c>
      <c r="O29" s="388">
        <f>'A1.12'!O85</f>
        <v>0.18025957659315486</v>
      </c>
      <c r="P29" s="388">
        <f>'A1.12'!P85</f>
        <v>0.1824663036771777</v>
      </c>
      <c r="Q29" s="388">
        <f>'A1.12'!Q85</f>
        <v>0.18470009634456214</v>
      </c>
      <c r="R29" s="388">
        <f>'A1.12'!R85</f>
        <v>0.18696128667206946</v>
      </c>
      <c r="S29" s="388">
        <f>'A1.12'!S85</f>
        <v>0.18925021081123775</v>
      </c>
      <c r="T29" s="388">
        <f>'A1.12'!T85</f>
        <v>0.19156720903836738</v>
      </c>
      <c r="U29" s="388">
        <f>'A1.12'!U85</f>
        <v>0.19391262580512064</v>
      </c>
      <c r="V29" s="388">
        <f>'A1.12'!V85</f>
        <v>0.19628680978974203</v>
      </c>
      <c r="W29" s="388">
        <f>'A1.12'!W85</f>
        <v>0.19869011394890676</v>
      </c>
      <c r="X29" s="388">
        <f>'A1.12'!X85</f>
        <v>0.20112289557020752</v>
      </c>
      <c r="Y29" s="388">
        <f>'A1.12'!Y85</f>
        <v>0.20358551632528379</v>
      </c>
      <c r="Z29" s="388">
        <f>'A1.12'!Z85</f>
        <v>0.20607834232360436</v>
      </c>
      <c r="AA29" s="388">
        <f>'A1.12'!AA85</f>
        <v>0.20860174416690866</v>
      </c>
      <c r="AB29" s="388">
        <f>'A1.12'!AB85</f>
        <v>0.21115609700431806</v>
      </c>
      <c r="AC29" s="388">
        <f>'A1.12'!AC85</f>
        <v>0.21374178058812282</v>
      </c>
      <c r="AD29" s="388">
        <f>'A1.12'!AD85</f>
        <v>0.21635917933025325</v>
      </c>
      <c r="AE29" s="388">
        <f>'A1.12'!AE85</f>
        <v>0.21900868235944485</v>
      </c>
      <c r="AF29" s="388">
        <f>'A1.12'!AF85</f>
        <v>0.22169068357910454</v>
      </c>
      <c r="AG29" s="388">
        <f>'A1.12'!AG85</f>
        <v>0.22440558172588768</v>
      </c>
      <c r="AH29" s="388">
        <f>'A1.12'!AH85</f>
        <v>0.2271537804289927</v>
      </c>
      <c r="AI29" s="388">
        <f>'A1.12'!AI85</f>
        <v>0.22993568827018609</v>
      </c>
      <c r="AJ29" s="388">
        <f>'A1.12'!AJ85</f>
        <v>0.2327517188445605</v>
      </c>
      <c r="AK29" s="388">
        <f>'A1.12'!AK85</f>
        <v>0.23560229082204201</v>
      </c>
      <c r="AL29" s="388">
        <f>'A1.12'!AL85</f>
        <v>0.23848782800964979</v>
      </c>
    </row>
    <row r="30" spans="1:3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row>
    <row r="31" spans="1:38">
      <c r="B31" s="366" t="s">
        <v>719</v>
      </c>
      <c r="C31" s="484" t="s">
        <v>292</v>
      </c>
      <c r="D31" s="485">
        <f t="shared" ref="D31:AK31" si="12">D27*D9</f>
        <v>26962.84963230561</v>
      </c>
      <c r="E31" s="485">
        <f t="shared" si="12"/>
        <v>27318.995571945543</v>
      </c>
      <c r="F31" s="485">
        <f t="shared" si="12"/>
        <v>27679.882303842463</v>
      </c>
      <c r="G31" s="485">
        <f t="shared" si="12"/>
        <v>28045.573092025203</v>
      </c>
      <c r="H31" s="485">
        <f t="shared" si="12"/>
        <v>25769.419934343667</v>
      </c>
      <c r="I31" s="485">
        <f t="shared" si="12"/>
        <v>26109.754342529497</v>
      </c>
      <c r="J31" s="485">
        <f t="shared" si="12"/>
        <v>26454.619024523425</v>
      </c>
      <c r="K31" s="485">
        <f t="shared" si="12"/>
        <v>26804.07443416191</v>
      </c>
      <c r="L31" s="485">
        <f t="shared" si="12"/>
        <v>27158.181832154591</v>
      </c>
      <c r="M31" s="485">
        <f t="shared" si="12"/>
        <v>27517.003296849751</v>
      </c>
      <c r="N31" s="485">
        <f t="shared" si="12"/>
        <v>27880.601735143719</v>
      </c>
      <c r="O31" s="485">
        <f t="shared" si="12"/>
        <v>28249.04089353561</v>
      </c>
      <c r="P31" s="485">
        <f t="shared" si="12"/>
        <v>28622.385369329924</v>
      </c>
      <c r="Q31" s="485">
        <f t="shared" si="12"/>
        <v>29000.700621988664</v>
      </c>
      <c r="R31" s="485">
        <f t="shared" si="12"/>
        <v>29384.052984634778</v>
      </c>
      <c r="S31" s="485">
        <f t="shared" si="12"/>
        <v>29772.509675709392</v>
      </c>
      <c r="T31" s="485">
        <f t="shared" si="12"/>
        <v>30166.138810784581</v>
      </c>
      <c r="U31" s="485">
        <f t="shared" si="12"/>
        <v>30565.009414533855</v>
      </c>
      <c r="V31" s="485">
        <f t="shared" si="12"/>
        <v>30969.191432862415</v>
      </c>
      <c r="W31" s="485">
        <f t="shared" si="12"/>
        <v>31378.755745199174</v>
      </c>
      <c r="X31" s="485">
        <f t="shared" si="12"/>
        <v>31793.774176953229</v>
      </c>
      <c r="Y31" s="485">
        <f t="shared" si="12"/>
        <v>32214.319512136302</v>
      </c>
      <c r="Z31" s="485">
        <f t="shared" si="12"/>
        <v>32640.465506153727</v>
      </c>
      <c r="AA31" s="485">
        <f t="shared" si="12"/>
        <v>33072.286898766179</v>
      </c>
      <c r="AB31" s="485">
        <f t="shared" si="12"/>
        <v>33509.85942722451</v>
      </c>
      <c r="AC31" s="485">
        <f t="shared" si="12"/>
        <v>33953.259839579761</v>
      </c>
      <c r="AD31" s="485">
        <f t="shared" si="12"/>
        <v>34402.565908170938</v>
      </c>
      <c r="AE31" s="485">
        <f t="shared" si="12"/>
        <v>34857.856443292716</v>
      </c>
      <c r="AF31" s="485">
        <f t="shared" si="12"/>
        <v>35319.211307045662</v>
      </c>
      <c r="AG31" s="485">
        <f t="shared" si="12"/>
        <v>35786.711427371316</v>
      </c>
      <c r="AH31" s="485">
        <f t="shared" si="12"/>
        <v>36260.438812274406</v>
      </c>
      <c r="AI31" s="485">
        <f t="shared" si="12"/>
        <v>36740.476564235323</v>
      </c>
      <c r="AJ31" s="485">
        <f t="shared" si="12"/>
        <v>37226.908894814333</v>
      </c>
      <c r="AK31" s="485">
        <f t="shared" si="12"/>
        <v>37719.821139451313</v>
      </c>
      <c r="AL31" s="485">
        <f t="shared" ref="AL31" si="13">AL27*AL9</f>
        <v>38219.299772462626</v>
      </c>
    </row>
    <row r="32" spans="1:38">
      <c r="B32" s="366" t="s">
        <v>720</v>
      </c>
      <c r="C32" s="484" t="s">
        <v>292</v>
      </c>
      <c r="D32" s="485">
        <f t="shared" ref="D32:AK32" si="14">D28*D10</f>
        <v>9620.6191615562875</v>
      </c>
      <c r="E32" s="485">
        <f t="shared" si="14"/>
        <v>9738.3135800489181</v>
      </c>
      <c r="F32" s="485">
        <f t="shared" si="14"/>
        <v>9857.4499074955802</v>
      </c>
      <c r="G32" s="485">
        <f t="shared" si="14"/>
        <v>9978.0458112386586</v>
      </c>
      <c r="H32" s="485">
        <f t="shared" si="14"/>
        <v>9159.3821424640391</v>
      </c>
      <c r="I32" s="485">
        <f t="shared" si="14"/>
        <v>9271.3764129857045</v>
      </c>
      <c r="J32" s="485">
        <f t="shared" si="14"/>
        <v>9384.7426008657349</v>
      </c>
      <c r="K32" s="485">
        <f t="shared" si="14"/>
        <v>9499.4975158258585</v>
      </c>
      <c r="L32" s="485">
        <f t="shared" si="14"/>
        <v>9615.6581735568343</v>
      </c>
      <c r="M32" s="485">
        <f t="shared" si="14"/>
        <v>9733.2417982408861</v>
      </c>
      <c r="N32" s="485">
        <f t="shared" si="14"/>
        <v>9852.2658251050725</v>
      </c>
      <c r="O32" s="485">
        <f t="shared" si="14"/>
        <v>9972.7479030058876</v>
      </c>
      <c r="P32" s="485">
        <f t="shared" si="14"/>
        <v>10094.705897045584</v>
      </c>
      <c r="Q32" s="485">
        <f t="shared" si="14"/>
        <v>10218.157891220602</v>
      </c>
      <c r="R32" s="485">
        <f t="shared" si="14"/>
        <v>10343.122191102353</v>
      </c>
      <c r="S32" s="485">
        <f t="shared" si="14"/>
        <v>10469.617326550928</v>
      </c>
      <c r="T32" s="485">
        <f t="shared" si="14"/>
        <v>10597.662054462053</v>
      </c>
      <c r="U32" s="485">
        <f t="shared" si="14"/>
        <v>10727.275361547707</v>
      </c>
      <c r="V32" s="485">
        <f t="shared" si="14"/>
        <v>10858.4764671508</v>
      </c>
      <c r="W32" s="485">
        <f t="shared" si="14"/>
        <v>10991.284826094312</v>
      </c>
      <c r="X32" s="485">
        <f t="shared" si="14"/>
        <v>11125.720131565444</v>
      </c>
      <c r="Y32" s="485">
        <f t="shared" si="14"/>
        <v>11261.802318035019</v>
      </c>
      <c r="Z32" s="485">
        <f t="shared" si="14"/>
        <v>11399.551564212692</v>
      </c>
      <c r="AA32" s="485">
        <f t="shared" si="14"/>
        <v>11538.988296038324</v>
      </c>
      <c r="AB32" s="485">
        <f t="shared" si="14"/>
        <v>11680.133189710095</v>
      </c>
      <c r="AC32" s="485">
        <f t="shared" si="14"/>
        <v>11823.007174749664</v>
      </c>
      <c r="AD32" s="485">
        <f t="shared" si="14"/>
        <v>11967.631437104867</v>
      </c>
      <c r="AE32" s="485">
        <f t="shared" si="14"/>
        <v>12114.027422290475</v>
      </c>
      <c r="AF32" s="485">
        <f t="shared" si="14"/>
        <v>12262.216838567409</v>
      </c>
      <c r="AG32" s="485">
        <f t="shared" si="14"/>
        <v>12412.221660160918</v>
      </c>
      <c r="AH32" s="485">
        <f t="shared" si="14"/>
        <v>12564.064130518138</v>
      </c>
      <c r="AI32" s="485">
        <f t="shared" si="14"/>
        <v>12717.766765605684</v>
      </c>
      <c r="AJ32" s="485">
        <f t="shared" si="14"/>
        <v>12873.35235724745</v>
      </c>
      <c r="AK32" s="485">
        <f t="shared" si="14"/>
        <v>13030.843976503513</v>
      </c>
      <c r="AL32" s="485">
        <f t="shared" ref="AL32" si="15">AL28*AL10</f>
        <v>13190.26497709025</v>
      </c>
    </row>
    <row r="33" spans="1:38">
      <c r="B33" s="366" t="s">
        <v>721</v>
      </c>
      <c r="C33" s="484" t="s">
        <v>292</v>
      </c>
      <c r="D33" s="485">
        <f t="shared" ref="D33:AK33" si="16">D29*D11</f>
        <v>782.41883845971972</v>
      </c>
      <c r="E33" s="485">
        <f t="shared" si="16"/>
        <v>792.00040836913865</v>
      </c>
      <c r="F33" s="485">
        <f t="shared" si="16"/>
        <v>801.69950565710008</v>
      </c>
      <c r="G33" s="485">
        <f t="shared" si="16"/>
        <v>811.51757228627559</v>
      </c>
      <c r="H33" s="485">
        <f t="shared" si="16"/>
        <v>744.94467924853279</v>
      </c>
      <c r="I33" s="485">
        <f t="shared" si="16"/>
        <v>754.06273264842105</v>
      </c>
      <c r="J33" s="485">
        <f t="shared" si="16"/>
        <v>763.29261584733911</v>
      </c>
      <c r="K33" s="485">
        <f t="shared" si="16"/>
        <v>772.63570090841438</v>
      </c>
      <c r="L33" s="485">
        <f t="shared" si="16"/>
        <v>782.09337673127879</v>
      </c>
      <c r="M33" s="485">
        <f t="shared" si="16"/>
        <v>791.66704925858801</v>
      </c>
      <c r="N33" s="485">
        <f t="shared" si="16"/>
        <v>801.3581416850808</v>
      </c>
      <c r="O33" s="485">
        <f t="shared" si="16"/>
        <v>811.16809466919688</v>
      </c>
      <c r="P33" s="485">
        <f t="shared" si="16"/>
        <v>821.09836654729963</v>
      </c>
      <c r="Q33" s="485">
        <f t="shared" si="16"/>
        <v>831.15043355052967</v>
      </c>
      <c r="R33" s="485">
        <f t="shared" si="16"/>
        <v>841.3257900243126</v>
      </c>
      <c r="S33" s="485">
        <f t="shared" si="16"/>
        <v>851.62594865056985</v>
      </c>
      <c r="T33" s="485">
        <f t="shared" si="16"/>
        <v>862.05244067265323</v>
      </c>
      <c r="U33" s="485">
        <f t="shared" si="16"/>
        <v>872.6068161230429</v>
      </c>
      <c r="V33" s="485">
        <f t="shared" si="16"/>
        <v>883.29064405383917</v>
      </c>
      <c r="W33" s="485">
        <f t="shared" si="16"/>
        <v>894.1055127700804</v>
      </c>
      <c r="X33" s="485">
        <f t="shared" si="16"/>
        <v>905.05303006593385</v>
      </c>
      <c r="Y33" s="485">
        <f t="shared" si="16"/>
        <v>916.13482346377702</v>
      </c>
      <c r="Z33" s="485">
        <f t="shared" si="16"/>
        <v>927.35254045621969</v>
      </c>
      <c r="AA33" s="485">
        <f t="shared" si="16"/>
        <v>938.70784875108893</v>
      </c>
      <c r="AB33" s="485">
        <f t="shared" si="16"/>
        <v>950.20243651943122</v>
      </c>
      <c r="AC33" s="485">
        <f t="shared" si="16"/>
        <v>961.83801264655267</v>
      </c>
      <c r="AD33" s="485">
        <f t="shared" si="16"/>
        <v>973.61630698613965</v>
      </c>
      <c r="AE33" s="485">
        <f t="shared" si="16"/>
        <v>985.53907061750181</v>
      </c>
      <c r="AF33" s="485">
        <f t="shared" si="16"/>
        <v>997.60807610597044</v>
      </c>
      <c r="AG33" s="485">
        <f t="shared" si="16"/>
        <v>1009.8251177664945</v>
      </c>
      <c r="AH33" s="485">
        <f t="shared" si="16"/>
        <v>1022.1920119304672</v>
      </c>
      <c r="AI33" s="485">
        <f t="shared" si="16"/>
        <v>1034.7105972158374</v>
      </c>
      <c r="AJ33" s="485">
        <f t="shared" si="16"/>
        <v>1047.3827348005223</v>
      </c>
      <c r="AK33" s="485">
        <f t="shared" si="16"/>
        <v>1060.210308699189</v>
      </c>
      <c r="AL33" s="485">
        <f t="shared" ref="AL33" si="17">AL29*AL11</f>
        <v>1073.1952260434241</v>
      </c>
    </row>
    <row r="34" spans="1:38">
      <c r="D34" s="358"/>
      <c r="F34" s="464"/>
      <c r="G34" s="465"/>
      <c r="H34" s="465"/>
    </row>
    <row r="35" spans="1:38" ht="13">
      <c r="B35" s="486" t="s">
        <v>462</v>
      </c>
      <c r="C35" s="487" t="s">
        <v>292</v>
      </c>
      <c r="D35" s="488">
        <f>SUM(D31:D33)</f>
        <v>37365.887632321617</v>
      </c>
      <c r="E35" s="488">
        <f t="shared" ref="E35:AK35" si="18">SUM(E31:E33)</f>
        <v>37849.309560363596</v>
      </c>
      <c r="F35" s="488">
        <f t="shared" si="18"/>
        <v>38339.031716995145</v>
      </c>
      <c r="G35" s="488">
        <f t="shared" si="18"/>
        <v>38835.136475550142</v>
      </c>
      <c r="H35" s="488">
        <f t="shared" si="18"/>
        <v>35673.746756056236</v>
      </c>
      <c r="I35" s="488">
        <f t="shared" si="18"/>
        <v>36135.193488163626</v>
      </c>
      <c r="J35" s="488">
        <f t="shared" si="18"/>
        <v>36602.654241236502</v>
      </c>
      <c r="K35" s="488">
        <f t="shared" si="18"/>
        <v>37076.207650896184</v>
      </c>
      <c r="L35" s="488">
        <f t="shared" si="18"/>
        <v>37555.933382442709</v>
      </c>
      <c r="M35" s="488">
        <f t="shared" si="18"/>
        <v>38041.912144349226</v>
      </c>
      <c r="N35" s="488">
        <f t="shared" si="18"/>
        <v>38534.225701933872</v>
      </c>
      <c r="O35" s="488">
        <f t="shared" si="18"/>
        <v>39032.956891210699</v>
      </c>
      <c r="P35" s="488">
        <f t="shared" si="18"/>
        <v>39538.189632922811</v>
      </c>
      <c r="Q35" s="488">
        <f t="shared" si="18"/>
        <v>40050.008946759801</v>
      </c>
      <c r="R35" s="488">
        <f t="shared" si="18"/>
        <v>40568.500965761443</v>
      </c>
      <c r="S35" s="488">
        <f t="shared" si="18"/>
        <v>41093.752950910894</v>
      </c>
      <c r="T35" s="488">
        <f t="shared" si="18"/>
        <v>41625.853305919292</v>
      </c>
      <c r="U35" s="488">
        <f t="shared" si="18"/>
        <v>42164.891592204607</v>
      </c>
      <c r="V35" s="488">
        <f t="shared" si="18"/>
        <v>42710.958544067056</v>
      </c>
      <c r="W35" s="488">
        <f t="shared" si="18"/>
        <v>43264.14608406357</v>
      </c>
      <c r="X35" s="488">
        <f t="shared" si="18"/>
        <v>43824.547338584613</v>
      </c>
      <c r="Y35" s="488">
        <f t="shared" si="18"/>
        <v>44392.256653635101</v>
      </c>
      <c r="Z35" s="488">
        <f t="shared" si="18"/>
        <v>44967.369610822636</v>
      </c>
      <c r="AA35" s="488">
        <f t="shared" si="18"/>
        <v>45549.983043555592</v>
      </c>
      <c r="AB35" s="488">
        <f t="shared" si="18"/>
        <v>46140.195053454037</v>
      </c>
      <c r="AC35" s="488">
        <f t="shared" si="18"/>
        <v>46738.105026975973</v>
      </c>
      <c r="AD35" s="488">
        <f t="shared" si="18"/>
        <v>47343.813652261946</v>
      </c>
      <c r="AE35" s="488">
        <f t="shared" si="18"/>
        <v>47957.422936200695</v>
      </c>
      <c r="AF35" s="488">
        <f t="shared" si="18"/>
        <v>48579.036221719041</v>
      </c>
      <c r="AG35" s="488">
        <f t="shared" si="18"/>
        <v>49208.758205298727</v>
      </c>
      <c r="AH35" s="488">
        <f t="shared" si="18"/>
        <v>49846.694954723018</v>
      </c>
      <c r="AI35" s="488">
        <f t="shared" si="18"/>
        <v>50492.953927056842</v>
      </c>
      <c r="AJ35" s="488">
        <f t="shared" si="18"/>
        <v>51147.643986862306</v>
      </c>
      <c r="AK35" s="488">
        <f t="shared" si="18"/>
        <v>51810.875424654019</v>
      </c>
      <c r="AL35" s="488">
        <f t="shared" ref="AL35" si="19">SUM(AL31:AL33)</f>
        <v>52482.759975596302</v>
      </c>
    </row>
    <row r="36" spans="1:38">
      <c r="D36" s="358"/>
      <c r="F36" s="464"/>
      <c r="G36" s="465"/>
      <c r="H36" s="465"/>
    </row>
    <row r="37" spans="1:38" ht="13">
      <c r="A37" s="490"/>
      <c r="B37" s="452" t="s">
        <v>706</v>
      </c>
      <c r="C37" s="490"/>
      <c r="D37" s="379"/>
      <c r="E37" s="379"/>
      <c r="F37" s="379"/>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row>
    <row r="38" spans="1:38">
      <c r="D38" s="358"/>
      <c r="F38" s="464"/>
      <c r="G38" s="465"/>
      <c r="H38" s="465"/>
    </row>
    <row r="39" spans="1:38" ht="13">
      <c r="B39" s="581" t="s">
        <v>781</v>
      </c>
      <c r="C39" s="581" t="s">
        <v>328</v>
      </c>
      <c r="D39" s="388">
        <f t="shared" ref="D39:AK39" si="20">D15-D27</f>
        <v>0</v>
      </c>
      <c r="E39" s="388">
        <f t="shared" si="20"/>
        <v>0</v>
      </c>
      <c r="F39" s="388">
        <f t="shared" si="20"/>
        <v>0</v>
      </c>
      <c r="G39" s="388">
        <f t="shared" si="20"/>
        <v>0</v>
      </c>
      <c r="H39" s="388">
        <f t="shared" si="20"/>
        <v>2.1926204213092593E-4</v>
      </c>
      <c r="I39" s="388">
        <f t="shared" si="20"/>
        <v>2.221746155262579E-4</v>
      </c>
      <c r="J39" s="388">
        <f t="shared" si="20"/>
        <v>2.2512601636588735E-4</v>
      </c>
      <c r="K39" s="388">
        <f t="shared" si="20"/>
        <v>2.2811676291068688E-4</v>
      </c>
      <c r="L39" s="388">
        <f t="shared" si="20"/>
        <v>2.3114738033774666E-4</v>
      </c>
      <c r="M39" s="388">
        <f t="shared" si="20"/>
        <v>2.3421840083269821E-4</v>
      </c>
      <c r="N39" s="388">
        <f t="shared" si="20"/>
        <v>2.3733036368326016E-4</v>
      </c>
      <c r="O39" s="388">
        <f t="shared" si="20"/>
        <v>2.4048381537405353E-4</v>
      </c>
      <c r="P39" s="388">
        <f t="shared" si="20"/>
        <v>2.4367930968266938E-4</v>
      </c>
      <c r="Q39" s="388">
        <f t="shared" si="20"/>
        <v>2.4691740777699591E-4</v>
      </c>
      <c r="R39" s="388">
        <f t="shared" si="20"/>
        <v>2.5019867831389342E-4</v>
      </c>
      <c r="S39" s="388">
        <f t="shared" si="20"/>
        <v>2.5352369753914002E-4</v>
      </c>
      <c r="T39" s="388">
        <f t="shared" si="20"/>
        <v>2.5689304938873465E-4</v>
      </c>
      <c r="U39" s="388">
        <f t="shared" si="20"/>
        <v>2.6030732559153853E-4</v>
      </c>
      <c r="V39" s="388">
        <f t="shared" si="20"/>
        <v>2.6376712577329438E-4</v>
      </c>
      <c r="W39" s="388">
        <f t="shared" si="20"/>
        <v>2.672730575620408E-4</v>
      </c>
      <c r="X39" s="388">
        <f t="shared" si="20"/>
        <v>2.7082573669490488E-4</v>
      </c>
      <c r="Y39" s="388">
        <f t="shared" si="20"/>
        <v>2.7442578712634936E-4</v>
      </c>
      <c r="Z39" s="388">
        <f t="shared" si="20"/>
        <v>2.7807384113784058E-4</v>
      </c>
      <c r="AA39" s="388">
        <f t="shared" si="20"/>
        <v>2.8177053944901257E-4</v>
      </c>
      <c r="AB39" s="388">
        <f t="shared" si="20"/>
        <v>2.8551653133026883E-4</v>
      </c>
      <c r="AC39" s="388">
        <f t="shared" si="20"/>
        <v>2.8931247471691759E-4</v>
      </c>
      <c r="AD39" s="388">
        <f t="shared" si="20"/>
        <v>2.9315903632482192E-4</v>
      </c>
      <c r="AE39" s="388">
        <f t="shared" si="20"/>
        <v>2.9705689176760244E-4</v>
      </c>
      <c r="AF39" s="388">
        <f t="shared" si="20"/>
        <v>3.0100672567536955E-4</v>
      </c>
      <c r="AG39" s="388">
        <f t="shared" si="20"/>
        <v>3.0500923181508771E-4</v>
      </c>
      <c r="AH39" s="388">
        <f t="shared" si="20"/>
        <v>3.0906511321251214E-4</v>
      </c>
      <c r="AI39" s="388">
        <f t="shared" si="20"/>
        <v>3.1317508227575279E-4</v>
      </c>
      <c r="AJ39" s="388">
        <f t="shared" si="20"/>
        <v>3.1733986092052089E-4</v>
      </c>
      <c r="AK39" s="388">
        <f t="shared" si="20"/>
        <v>3.2156018069698757E-4</v>
      </c>
      <c r="AL39" s="388">
        <f t="shared" ref="AL39" si="21">AL15-AL27</f>
        <v>3.258367829183967E-4</v>
      </c>
    </row>
    <row r="40" spans="1:38" ht="13">
      <c r="B40" s="581" t="s">
        <v>782</v>
      </c>
      <c r="C40" s="581" t="s">
        <v>329</v>
      </c>
      <c r="D40" s="388">
        <f t="shared" ref="D40:AK40" si="22">D16-D28</f>
        <v>0</v>
      </c>
      <c r="E40" s="388">
        <f t="shared" si="22"/>
        <v>0</v>
      </c>
      <c r="F40" s="388">
        <f t="shared" si="22"/>
        <v>0</v>
      </c>
      <c r="G40" s="388">
        <f t="shared" si="22"/>
        <v>0</v>
      </c>
      <c r="H40" s="388">
        <f t="shared" si="22"/>
        <v>3.3112883936423573E-3</v>
      </c>
      <c r="I40" s="388">
        <f t="shared" si="22"/>
        <v>3.3520298804490881E-3</v>
      </c>
      <c r="J40" s="388">
        <f t="shared" si="22"/>
        <v>3.3932710873064154E-3</v>
      </c>
      <c r="K40" s="388">
        <f t="shared" si="22"/>
        <v>3.4350181372963876E-3</v>
      </c>
      <c r="L40" s="388">
        <f t="shared" si="22"/>
        <v>3.4772772285090736E-3</v>
      </c>
      <c r="M40" s="388">
        <f t="shared" si="22"/>
        <v>3.5200546349619041E-3</v>
      </c>
      <c r="N40" s="388">
        <f t="shared" si="22"/>
        <v>3.5633567075301006E-3</v>
      </c>
      <c r="O40" s="388">
        <f t="shared" si="22"/>
        <v>3.607189874888915E-3</v>
      </c>
      <c r="P40" s="388">
        <f t="shared" si="22"/>
        <v>3.6515606444671375E-3</v>
      </c>
      <c r="Q40" s="388">
        <f t="shared" si="22"/>
        <v>3.6964756034119084E-3</v>
      </c>
      <c r="R40" s="388">
        <f t="shared" si="22"/>
        <v>3.7419414195661721E-3</v>
      </c>
      <c r="S40" s="388">
        <f t="shared" si="22"/>
        <v>3.7879648424573795E-3</v>
      </c>
      <c r="T40" s="388">
        <f t="shared" si="22"/>
        <v>3.8345527042985758E-3</v>
      </c>
      <c r="U40" s="388">
        <f t="shared" si="22"/>
        <v>3.8817119210016668E-3</v>
      </c>
      <c r="V40" s="388">
        <f t="shared" si="22"/>
        <v>3.9294494932031049E-3</v>
      </c>
      <c r="W40" s="388">
        <f t="shared" si="22"/>
        <v>3.9777725073023157E-3</v>
      </c>
      <c r="X40" s="388">
        <f t="shared" si="22"/>
        <v>4.0266881365123713E-3</v>
      </c>
      <c r="Y40" s="388">
        <f t="shared" si="22"/>
        <v>4.0762036419239867E-3</v>
      </c>
      <c r="Z40" s="388">
        <f t="shared" si="22"/>
        <v>4.1263263735821995E-3</v>
      </c>
      <c r="AA40" s="388">
        <f t="shared" si="22"/>
        <v>4.177063771576707E-3</v>
      </c>
      <c r="AB40" s="388">
        <f t="shared" si="22"/>
        <v>4.2284233671448582E-3</v>
      </c>
      <c r="AC40" s="388">
        <f t="shared" si="22"/>
        <v>4.2804127837886563E-3</v>
      </c>
      <c r="AD40" s="388">
        <f t="shared" si="22"/>
        <v>4.3330397384052782E-3</v>
      </c>
      <c r="AE40" s="388">
        <f t="shared" si="22"/>
        <v>4.3863120424315824E-3</v>
      </c>
      <c r="AF40" s="388">
        <f t="shared" si="22"/>
        <v>4.4402376030021617E-3</v>
      </c>
      <c r="AG40" s="388">
        <f t="shared" si="22"/>
        <v>4.4948244241222249E-3</v>
      </c>
      <c r="AH40" s="388">
        <f t="shared" si="22"/>
        <v>4.5500806078543551E-3</v>
      </c>
      <c r="AI40" s="388">
        <f t="shared" si="22"/>
        <v>4.6060143555198413E-3</v>
      </c>
      <c r="AJ40" s="388">
        <f t="shared" si="22"/>
        <v>4.6626339689151766E-3</v>
      </c>
      <c r="AK40" s="388">
        <f t="shared" si="22"/>
        <v>4.7199478515426163E-3</v>
      </c>
      <c r="AL40" s="388">
        <f t="shared" ref="AL40" si="23">AL16-AL28</f>
        <v>4.7779645098566595E-3</v>
      </c>
    </row>
    <row r="41" spans="1:38" ht="13">
      <c r="B41" s="581" t="s">
        <v>783</v>
      </c>
      <c r="C41" s="581" t="s">
        <v>518</v>
      </c>
      <c r="D41" s="388">
        <f t="shared" ref="D41:AK41" si="24">D17-D29</f>
        <v>0</v>
      </c>
      <c r="E41" s="388">
        <f t="shared" si="24"/>
        <v>0</v>
      </c>
      <c r="F41" s="388">
        <f t="shared" si="24"/>
        <v>0</v>
      </c>
      <c r="G41" s="388">
        <f t="shared" si="24"/>
        <v>0</v>
      </c>
      <c r="H41" s="388">
        <f t="shared" si="24"/>
        <v>1.7002530814426792E-2</v>
      </c>
      <c r="I41" s="388">
        <f t="shared" si="24"/>
        <v>1.721194165736975E-2</v>
      </c>
      <c r="J41" s="388">
        <f t="shared" si="24"/>
        <v>1.7423924159369053E-2</v>
      </c>
      <c r="K41" s="388">
        <f t="shared" si="24"/>
        <v>1.7638509873533548E-2</v>
      </c>
      <c r="L41" s="388">
        <f t="shared" si="24"/>
        <v>1.7855730740066439E-2</v>
      </c>
      <c r="M41" s="388">
        <f t="shared" si="24"/>
        <v>1.8075619091017431E-2</v>
      </c>
      <c r="N41" s="388">
        <f t="shared" si="24"/>
        <v>1.8298207655092102E-2</v>
      </c>
      <c r="O41" s="388">
        <f t="shared" si="24"/>
        <v>1.8523529562522512E-2</v>
      </c>
      <c r="P41" s="388">
        <f t="shared" si="24"/>
        <v>1.875161834999603E-2</v>
      </c>
      <c r="Q41" s="388">
        <f t="shared" si="24"/>
        <v>1.8982507965642853E-2</v>
      </c>
      <c r="R41" s="388">
        <f t="shared" si="24"/>
        <v>1.9216232774089015E-2</v>
      </c>
      <c r="S41" s="388">
        <f t="shared" si="24"/>
        <v>1.9452827561567354E-2</v>
      </c>
      <c r="T41" s="388">
        <f t="shared" si="24"/>
        <v>1.9692327541093069E-2</v>
      </c>
      <c r="U41" s="388">
        <f t="shared" si="24"/>
        <v>1.9934768357701887E-2</v>
      </c>
      <c r="V41" s="388">
        <f t="shared" si="24"/>
        <v>2.0180186093752911E-2</v>
      </c>
      <c r="W41" s="388">
        <f t="shared" si="24"/>
        <v>2.0428617274297289E-2</v>
      </c>
      <c r="X41" s="388">
        <f t="shared" si="24"/>
        <v>2.0680098872510266E-2</v>
      </c>
      <c r="Y41" s="388">
        <f t="shared" si="24"/>
        <v>2.0934668315192417E-2</v>
      </c>
      <c r="Z41" s="388">
        <f t="shared" si="24"/>
        <v>2.1192363488336335E-2</v>
      </c>
      <c r="AA41" s="388">
        <f t="shared" si="24"/>
        <v>2.1453222742764233E-2</v>
      </c>
      <c r="AB41" s="388">
        <f t="shared" si="24"/>
        <v>2.1717284899831157E-2</v>
      </c>
      <c r="AC41" s="388">
        <f t="shared" si="24"/>
        <v>2.1984589257200426E-2</v>
      </c>
      <c r="AD41" s="388">
        <f t="shared" si="24"/>
        <v>2.2255175594689508E-2</v>
      </c>
      <c r="AE41" s="388">
        <f t="shared" si="24"/>
        <v>2.2529084180188175E-2</v>
      </c>
      <c r="AF41" s="388">
        <f t="shared" si="24"/>
        <v>2.2806355775646658E-2</v>
      </c>
      <c r="AG41" s="388">
        <f t="shared" si="24"/>
        <v>2.3087031643140909E-2</v>
      </c>
      <c r="AH41" s="388">
        <f t="shared" si="24"/>
        <v>2.3371153551009549E-2</v>
      </c>
      <c r="AI41" s="388">
        <f t="shared" si="24"/>
        <v>2.3658763780066455E-2</v>
      </c>
      <c r="AJ41" s="388">
        <f t="shared" si="24"/>
        <v>2.3949905129891785E-2</v>
      </c>
      <c r="AK41" s="388">
        <f t="shared" si="24"/>
        <v>2.4244620925195831E-2</v>
      </c>
      <c r="AL41" s="388">
        <f t="shared" ref="AL41" si="25">AL17-AL29</f>
        <v>2.4542955022265611E-2</v>
      </c>
    </row>
    <row r="42" spans="1:38">
      <c r="D42" s="358"/>
      <c r="F42" s="464"/>
      <c r="G42" s="465"/>
      <c r="H42" s="465"/>
    </row>
    <row r="43" spans="1:38" ht="13">
      <c r="B43" s="492" t="s">
        <v>284</v>
      </c>
      <c r="C43" s="487" t="s">
        <v>292</v>
      </c>
      <c r="D43" s="488">
        <f t="shared" ref="D43:AK43" si="26">D23-D35</f>
        <v>0</v>
      </c>
      <c r="E43" s="488">
        <f t="shared" si="26"/>
        <v>0</v>
      </c>
      <c r="F43" s="488">
        <f t="shared" si="26"/>
        <v>0</v>
      </c>
      <c r="G43" s="488">
        <f t="shared" si="26"/>
        <v>0</v>
      </c>
      <c r="H43" s="488">
        <f t="shared" si="26"/>
        <v>3663.9605318611211</v>
      </c>
      <c r="I43" s="488">
        <f t="shared" si="26"/>
        <v>3711.6352105112092</v>
      </c>
      <c r="J43" s="488">
        <f t="shared" si="26"/>
        <v>3759.9321181735359</v>
      </c>
      <c r="K43" s="488">
        <f t="shared" si="26"/>
        <v>3808.8593923317094</v>
      </c>
      <c r="L43" s="488">
        <f t="shared" si="26"/>
        <v>3858.4252770066596</v>
      </c>
      <c r="M43" s="488">
        <f t="shared" si="26"/>
        <v>3908.6381241537529</v>
      </c>
      <c r="N43" s="488">
        <f t="shared" si="26"/>
        <v>3959.5063950778567</v>
      </c>
      <c r="O43" s="488">
        <f t="shared" si="26"/>
        <v>4011.0386618674893</v>
      </c>
      <c r="P43" s="488">
        <f t="shared" si="26"/>
        <v>4063.2436088475952</v>
      </c>
      <c r="Q43" s="488">
        <f t="shared" si="26"/>
        <v>4116.1300340508242</v>
      </c>
      <c r="R43" s="488">
        <f t="shared" si="26"/>
        <v>4169.7068507091608</v>
      </c>
      <c r="S43" s="488">
        <f t="shared" si="26"/>
        <v>4223.983088764151</v>
      </c>
      <c r="T43" s="488">
        <f t="shared" si="26"/>
        <v>4278.967896397553</v>
      </c>
      <c r="U43" s="488">
        <f t="shared" si="26"/>
        <v>4334.6705415816905</v>
      </c>
      <c r="V43" s="488">
        <f t="shared" si="26"/>
        <v>4391.1004136503252</v>
      </c>
      <c r="W43" s="488">
        <f t="shared" si="26"/>
        <v>4448.267024890316</v>
      </c>
      <c r="X43" s="488">
        <f t="shared" si="26"/>
        <v>4506.1800121536508</v>
      </c>
      <c r="Y43" s="488">
        <f t="shared" si="26"/>
        <v>4564.8491384911322</v>
      </c>
      <c r="Z43" s="488">
        <f t="shared" si="26"/>
        <v>4624.2842948070975</v>
      </c>
      <c r="AA43" s="488">
        <f t="shared" si="26"/>
        <v>4684.4955015364103</v>
      </c>
      <c r="AB43" s="488">
        <f t="shared" si="26"/>
        <v>4745.4929103427712</v>
      </c>
      <c r="AC43" s="488">
        <f t="shared" si="26"/>
        <v>4807.286805839678</v>
      </c>
      <c r="AD43" s="488">
        <f t="shared" si="26"/>
        <v>4869.8876073339634</v>
      </c>
      <c r="AE43" s="488">
        <f t="shared" si="26"/>
        <v>4933.3058705923759</v>
      </c>
      <c r="AF43" s="488">
        <f t="shared" si="26"/>
        <v>4997.5522896307084</v>
      </c>
      <c r="AG43" s="488">
        <f t="shared" si="26"/>
        <v>5062.6376985271854</v>
      </c>
      <c r="AH43" s="488">
        <f t="shared" si="26"/>
        <v>5128.573073259191</v>
      </c>
      <c r="AI43" s="488">
        <f t="shared" si="26"/>
        <v>5195.3695335641023</v>
      </c>
      <c r="AJ43" s="488">
        <f t="shared" si="26"/>
        <v>5263.0383448249195</v>
      </c>
      <c r="AK43" s="488">
        <f t="shared" si="26"/>
        <v>5331.5909199799717</v>
      </c>
      <c r="AL43" s="488">
        <f t="shared" ref="AL43" si="27">AL23-AL35</f>
        <v>5401.0388214584309</v>
      </c>
    </row>
    <row r="44" spans="1:38">
      <c r="D44" s="358"/>
      <c r="F44" s="464"/>
      <c r="G44" s="465"/>
      <c r="H44" s="465"/>
    </row>
    <row r="45" spans="1:38" ht="13">
      <c r="A45" s="466" t="s">
        <v>901</v>
      </c>
      <c r="B45" s="466"/>
      <c r="C45" s="467"/>
      <c r="D45" s="468"/>
      <c r="E45" s="468"/>
      <c r="F45" s="469"/>
      <c r="G45" s="470"/>
      <c r="H45" s="470"/>
      <c r="I45" s="470"/>
      <c r="J45" s="470"/>
      <c r="K45" s="470"/>
      <c r="L45" s="470"/>
      <c r="M45" s="470"/>
      <c r="N45" s="470"/>
      <c r="O45" s="470"/>
      <c r="P45" s="470"/>
      <c r="Q45" s="470"/>
      <c r="R45" s="470"/>
      <c r="S45" s="470"/>
      <c r="T45" s="471"/>
      <c r="U45" s="471"/>
      <c r="V45" s="471"/>
      <c r="W45" s="471"/>
      <c r="X45" s="471"/>
      <c r="Y45" s="471"/>
      <c r="Z45" s="471"/>
      <c r="AA45" s="471"/>
      <c r="AB45" s="471"/>
      <c r="AC45" s="471"/>
      <c r="AD45" s="471"/>
      <c r="AE45" s="471"/>
      <c r="AF45" s="471"/>
      <c r="AG45" s="471"/>
      <c r="AH45" s="471"/>
      <c r="AI45" s="471"/>
      <c r="AJ45" s="471"/>
      <c r="AK45" s="471"/>
      <c r="AL45" s="471"/>
    </row>
    <row r="46" spans="1:38" ht="13">
      <c r="A46" s="452"/>
      <c r="B46" s="495" t="s">
        <v>601</v>
      </c>
      <c r="C46" s="453"/>
      <c r="D46" s="454"/>
      <c r="E46" s="379"/>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row>
    <row r="47" spans="1:38">
      <c r="D47" s="358"/>
      <c r="F47" s="464"/>
      <c r="G47" s="465"/>
      <c r="H47" s="465"/>
    </row>
    <row r="48" spans="1:38" ht="13">
      <c r="B48" s="364" t="s">
        <v>456</v>
      </c>
      <c r="C48" s="542">
        <f>'General Inputs'!D14</f>
        <v>0</v>
      </c>
      <c r="D48" s="358"/>
      <c r="F48" s="464"/>
      <c r="G48" s="465"/>
      <c r="H48" s="465"/>
    </row>
    <row r="49" spans="1:38">
      <c r="B49" s="1177" t="s">
        <v>493</v>
      </c>
      <c r="C49" s="384" t="s">
        <v>450</v>
      </c>
      <c r="D49" s="496">
        <f>'General Inputs'!D15</f>
        <v>17.899999999999999</v>
      </c>
      <c r="E49" s="496">
        <f t="shared" ref="E49:T51" si="28">D49*(1+$C$48)</f>
        <v>17.899999999999999</v>
      </c>
      <c r="F49" s="496">
        <f t="shared" si="28"/>
        <v>17.899999999999999</v>
      </c>
      <c r="G49" s="496">
        <f t="shared" si="28"/>
        <v>17.899999999999999</v>
      </c>
      <c r="H49" s="496">
        <f t="shared" si="28"/>
        <v>17.899999999999999</v>
      </c>
      <c r="I49" s="496">
        <f t="shared" si="28"/>
        <v>17.899999999999999</v>
      </c>
      <c r="J49" s="496">
        <f t="shared" si="28"/>
        <v>17.899999999999999</v>
      </c>
      <c r="K49" s="496">
        <f t="shared" si="28"/>
        <v>17.899999999999999</v>
      </c>
      <c r="L49" s="496">
        <f t="shared" si="28"/>
        <v>17.899999999999999</v>
      </c>
      <c r="M49" s="496">
        <f t="shared" si="28"/>
        <v>17.899999999999999</v>
      </c>
      <c r="N49" s="496">
        <f t="shared" si="28"/>
        <v>17.899999999999999</v>
      </c>
      <c r="O49" s="496">
        <f t="shared" si="28"/>
        <v>17.899999999999999</v>
      </c>
      <c r="P49" s="496">
        <f t="shared" si="28"/>
        <v>17.899999999999999</v>
      </c>
      <c r="Q49" s="496">
        <f t="shared" si="28"/>
        <v>17.899999999999999</v>
      </c>
      <c r="R49" s="496">
        <f t="shared" si="28"/>
        <v>17.899999999999999</v>
      </c>
      <c r="S49" s="496">
        <f t="shared" si="28"/>
        <v>17.899999999999999</v>
      </c>
      <c r="T49" s="496">
        <f t="shared" si="28"/>
        <v>17.899999999999999</v>
      </c>
      <c r="U49" s="496">
        <f t="shared" ref="U49:AJ51" si="29">T49*(1+$C$48)</f>
        <v>17.899999999999999</v>
      </c>
      <c r="V49" s="496">
        <f t="shared" si="29"/>
        <v>17.899999999999999</v>
      </c>
      <c r="W49" s="496">
        <f t="shared" si="29"/>
        <v>17.899999999999999</v>
      </c>
      <c r="X49" s="496">
        <f t="shared" si="29"/>
        <v>17.899999999999999</v>
      </c>
      <c r="Y49" s="496">
        <f t="shared" si="29"/>
        <v>17.899999999999999</v>
      </c>
      <c r="Z49" s="496">
        <f t="shared" si="29"/>
        <v>17.899999999999999</v>
      </c>
      <c r="AA49" s="496">
        <f t="shared" si="29"/>
        <v>17.899999999999999</v>
      </c>
      <c r="AB49" s="496">
        <f t="shared" si="29"/>
        <v>17.899999999999999</v>
      </c>
      <c r="AC49" s="496">
        <f t="shared" si="29"/>
        <v>17.899999999999999</v>
      </c>
      <c r="AD49" s="496">
        <f t="shared" si="29"/>
        <v>17.899999999999999</v>
      </c>
      <c r="AE49" s="496">
        <f t="shared" si="29"/>
        <v>17.899999999999999</v>
      </c>
      <c r="AF49" s="496">
        <f t="shared" si="29"/>
        <v>17.899999999999999</v>
      </c>
      <c r="AG49" s="496">
        <f t="shared" si="29"/>
        <v>17.899999999999999</v>
      </c>
      <c r="AH49" s="496">
        <f t="shared" si="29"/>
        <v>17.899999999999999</v>
      </c>
      <c r="AI49" s="496">
        <f t="shared" si="29"/>
        <v>17.899999999999999</v>
      </c>
      <c r="AJ49" s="496">
        <f t="shared" si="29"/>
        <v>17.899999999999999</v>
      </c>
      <c r="AK49" s="496">
        <f t="shared" ref="AJ49:AL51" si="30">AJ49*(1+$C$48)</f>
        <v>17.899999999999999</v>
      </c>
      <c r="AL49" s="496">
        <f t="shared" si="30"/>
        <v>17.899999999999999</v>
      </c>
    </row>
    <row r="50" spans="1:38">
      <c r="B50" s="754" t="s">
        <v>494</v>
      </c>
      <c r="C50" s="384" t="s">
        <v>450</v>
      </c>
      <c r="D50" s="496">
        <f>'General Inputs'!D16</f>
        <v>30.8</v>
      </c>
      <c r="E50" s="496">
        <f t="shared" si="28"/>
        <v>30.8</v>
      </c>
      <c r="F50" s="496">
        <f t="shared" si="28"/>
        <v>30.8</v>
      </c>
      <c r="G50" s="496">
        <f t="shared" si="28"/>
        <v>30.8</v>
      </c>
      <c r="H50" s="496">
        <f t="shared" si="28"/>
        <v>30.8</v>
      </c>
      <c r="I50" s="496">
        <f t="shared" si="28"/>
        <v>30.8</v>
      </c>
      <c r="J50" s="496">
        <f t="shared" si="28"/>
        <v>30.8</v>
      </c>
      <c r="K50" s="496">
        <f t="shared" si="28"/>
        <v>30.8</v>
      </c>
      <c r="L50" s="496">
        <f t="shared" si="28"/>
        <v>30.8</v>
      </c>
      <c r="M50" s="496">
        <f t="shared" si="28"/>
        <v>30.8</v>
      </c>
      <c r="N50" s="496">
        <f t="shared" si="28"/>
        <v>30.8</v>
      </c>
      <c r="O50" s="496">
        <f t="shared" si="28"/>
        <v>30.8</v>
      </c>
      <c r="P50" s="496">
        <f t="shared" si="28"/>
        <v>30.8</v>
      </c>
      <c r="Q50" s="496">
        <f t="shared" si="28"/>
        <v>30.8</v>
      </c>
      <c r="R50" s="496">
        <f t="shared" si="28"/>
        <v>30.8</v>
      </c>
      <c r="S50" s="496">
        <f t="shared" si="28"/>
        <v>30.8</v>
      </c>
      <c r="T50" s="496">
        <f t="shared" si="28"/>
        <v>30.8</v>
      </c>
      <c r="U50" s="496">
        <f t="shared" si="29"/>
        <v>30.8</v>
      </c>
      <c r="V50" s="496">
        <f t="shared" si="29"/>
        <v>30.8</v>
      </c>
      <c r="W50" s="496">
        <f t="shared" si="29"/>
        <v>30.8</v>
      </c>
      <c r="X50" s="496">
        <f t="shared" si="29"/>
        <v>30.8</v>
      </c>
      <c r="Y50" s="496">
        <f t="shared" si="29"/>
        <v>30.8</v>
      </c>
      <c r="Z50" s="496">
        <f t="shared" si="29"/>
        <v>30.8</v>
      </c>
      <c r="AA50" s="496">
        <f t="shared" si="29"/>
        <v>30.8</v>
      </c>
      <c r="AB50" s="496">
        <f t="shared" si="29"/>
        <v>30.8</v>
      </c>
      <c r="AC50" s="496">
        <f t="shared" si="29"/>
        <v>30.8</v>
      </c>
      <c r="AD50" s="496">
        <f t="shared" si="29"/>
        <v>30.8</v>
      </c>
      <c r="AE50" s="496">
        <f t="shared" si="29"/>
        <v>30.8</v>
      </c>
      <c r="AF50" s="496">
        <f t="shared" si="29"/>
        <v>30.8</v>
      </c>
      <c r="AG50" s="496">
        <f t="shared" si="29"/>
        <v>30.8</v>
      </c>
      <c r="AH50" s="496">
        <f t="shared" si="29"/>
        <v>30.8</v>
      </c>
      <c r="AI50" s="496">
        <f t="shared" si="29"/>
        <v>30.8</v>
      </c>
      <c r="AJ50" s="496">
        <f t="shared" si="30"/>
        <v>30.8</v>
      </c>
      <c r="AK50" s="496">
        <f t="shared" si="30"/>
        <v>30.8</v>
      </c>
      <c r="AL50" s="496">
        <f t="shared" si="30"/>
        <v>30.8</v>
      </c>
    </row>
    <row r="51" spans="1:38">
      <c r="B51" s="754" t="s">
        <v>773</v>
      </c>
      <c r="C51" s="384" t="s">
        <v>450</v>
      </c>
      <c r="D51" s="496">
        <f>'General Inputs'!D17</f>
        <v>31.7</v>
      </c>
      <c r="E51" s="496">
        <f t="shared" si="28"/>
        <v>31.7</v>
      </c>
      <c r="F51" s="496">
        <f t="shared" si="28"/>
        <v>31.7</v>
      </c>
      <c r="G51" s="496">
        <f t="shared" si="28"/>
        <v>31.7</v>
      </c>
      <c r="H51" s="496">
        <f t="shared" si="28"/>
        <v>31.7</v>
      </c>
      <c r="I51" s="496">
        <f t="shared" si="28"/>
        <v>31.7</v>
      </c>
      <c r="J51" s="496">
        <f t="shared" si="28"/>
        <v>31.7</v>
      </c>
      <c r="K51" s="496">
        <f t="shared" si="28"/>
        <v>31.7</v>
      </c>
      <c r="L51" s="496">
        <f t="shared" si="28"/>
        <v>31.7</v>
      </c>
      <c r="M51" s="496">
        <f t="shared" si="28"/>
        <v>31.7</v>
      </c>
      <c r="N51" s="496">
        <f t="shared" si="28"/>
        <v>31.7</v>
      </c>
      <c r="O51" s="496">
        <f t="shared" si="28"/>
        <v>31.7</v>
      </c>
      <c r="P51" s="496">
        <f t="shared" si="28"/>
        <v>31.7</v>
      </c>
      <c r="Q51" s="496">
        <f t="shared" si="28"/>
        <v>31.7</v>
      </c>
      <c r="R51" s="496">
        <f t="shared" si="28"/>
        <v>31.7</v>
      </c>
      <c r="S51" s="496">
        <f t="shared" si="28"/>
        <v>31.7</v>
      </c>
      <c r="T51" s="496">
        <f t="shared" si="28"/>
        <v>31.7</v>
      </c>
      <c r="U51" s="496">
        <f t="shared" si="29"/>
        <v>31.7</v>
      </c>
      <c r="V51" s="496">
        <f t="shared" si="29"/>
        <v>31.7</v>
      </c>
      <c r="W51" s="496">
        <f t="shared" si="29"/>
        <v>31.7</v>
      </c>
      <c r="X51" s="496">
        <f t="shared" si="29"/>
        <v>31.7</v>
      </c>
      <c r="Y51" s="496">
        <f t="shared" si="29"/>
        <v>31.7</v>
      </c>
      <c r="Z51" s="496">
        <f t="shared" si="29"/>
        <v>31.7</v>
      </c>
      <c r="AA51" s="496">
        <f t="shared" si="29"/>
        <v>31.7</v>
      </c>
      <c r="AB51" s="496">
        <f t="shared" si="29"/>
        <v>31.7</v>
      </c>
      <c r="AC51" s="496">
        <f t="shared" si="29"/>
        <v>31.7</v>
      </c>
      <c r="AD51" s="496">
        <f t="shared" si="29"/>
        <v>31.7</v>
      </c>
      <c r="AE51" s="496">
        <f t="shared" si="29"/>
        <v>31.7</v>
      </c>
      <c r="AF51" s="496">
        <f t="shared" si="29"/>
        <v>31.7</v>
      </c>
      <c r="AG51" s="496">
        <f t="shared" si="29"/>
        <v>31.7</v>
      </c>
      <c r="AH51" s="496">
        <f t="shared" si="29"/>
        <v>31.7</v>
      </c>
      <c r="AI51" s="496">
        <f t="shared" si="29"/>
        <v>31.7</v>
      </c>
      <c r="AJ51" s="496">
        <f t="shared" si="30"/>
        <v>31.7</v>
      </c>
      <c r="AK51" s="496">
        <f t="shared" si="30"/>
        <v>31.7</v>
      </c>
      <c r="AL51" s="496">
        <f t="shared" si="30"/>
        <v>31.7</v>
      </c>
    </row>
    <row r="52" spans="1:38">
      <c r="D52" s="358"/>
      <c r="F52" s="464"/>
      <c r="G52" s="465"/>
      <c r="H52" s="465"/>
    </row>
    <row r="53" spans="1:38" ht="13">
      <c r="A53" s="452"/>
      <c r="B53" s="495" t="s">
        <v>623</v>
      </c>
      <c r="C53" s="453"/>
      <c r="D53" s="454"/>
      <c r="E53" s="379"/>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row>
    <row r="54" spans="1:3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row>
    <row r="55" spans="1:38">
      <c r="B55" s="385" t="s">
        <v>508</v>
      </c>
      <c r="C55" s="386" t="s">
        <v>443</v>
      </c>
      <c r="D55" s="383">
        <f>'400 North'!D25</f>
        <v>3378.1106533492425</v>
      </c>
      <c r="E55" s="383">
        <f>'400 North'!E25</f>
        <v>3514.6314397814035</v>
      </c>
      <c r="F55" s="383">
        <f>'400 North'!F25</f>
        <v>3656.6694892758546</v>
      </c>
      <c r="G55" s="383">
        <f>'400 North'!G25</f>
        <v>3804.4477729455994</v>
      </c>
      <c r="H55" s="383">
        <f>'400 North'!H25</f>
        <v>3958.1982729144715</v>
      </c>
      <c r="I55" s="383">
        <f>'400 North'!I25</f>
        <v>4118.1623464823233</v>
      </c>
      <c r="J55" s="383">
        <f>'400 North'!J25</f>
        <v>4284.591105007351</v>
      </c>
      <c r="K55" s="383">
        <f>'400 North'!K25</f>
        <v>4457.7458081003069</v>
      </c>
      <c r="L55" s="383">
        <f>'400 North'!L25</f>
        <v>4637.8982737494553</v>
      </c>
      <c r="M55" s="383">
        <f>'400 North'!M25</f>
        <v>4825.3313050200213</v>
      </c>
      <c r="N55" s="383">
        <f>'400 North'!N25</f>
        <v>5020.3391339980126</v>
      </c>
      <c r="O55" s="383">
        <f>'400 North'!O25</f>
        <v>5223.2278836753021</v>
      </c>
      <c r="P55" s="383">
        <f>'400 North'!P25</f>
        <v>5434.316048501033</v>
      </c>
      <c r="Q55" s="383">
        <f>'400 North'!Q25</f>
        <v>5653.9349943537172</v>
      </c>
      <c r="R55" s="383">
        <f>'400 North'!R25</f>
        <v>5882.4294787188737</v>
      </c>
      <c r="S55" s="383">
        <f>'400 North'!S25</f>
        <v>6120.1581918888296</v>
      </c>
      <c r="T55" s="383">
        <f>'400 North'!T25</f>
        <v>6367.4943200341604</v>
      </c>
      <c r="U55" s="383">
        <f>'400 North'!U25</f>
        <v>6624.8261310307926</v>
      </c>
      <c r="V55" s="383">
        <f>'400 North'!V25</f>
        <v>6892.5575839623198</v>
      </c>
      <c r="W55" s="383">
        <f>'400 North'!W25</f>
        <v>7171.108963254339</v>
      </c>
      <c r="X55" s="383">
        <f>'400 North'!X25</f>
        <v>7460.9175384363143</v>
      </c>
      <c r="Y55" s="383">
        <f>'400 North'!Y25</f>
        <v>7762.4382505666172</v>
      </c>
      <c r="Z55" s="383">
        <f>'400 North'!Z25</f>
        <v>8076.1444263982967</v>
      </c>
      <c r="AA55" s="383">
        <f>'400 North'!AA25</f>
        <v>8402.5285214066935</v>
      </c>
      <c r="AB55" s="383">
        <f>'400 North'!AB25</f>
        <v>8742.1028928452906</v>
      </c>
      <c r="AC55" s="383">
        <f>'400 North'!AC25</f>
        <v>9095.4006040433578</v>
      </c>
      <c r="AD55" s="383">
        <f>'400 North'!AD25</f>
        <v>9462.9762612079503</v>
      </c>
      <c r="AE55" s="383">
        <f>'400 North'!AE25</f>
        <v>9845.4068840438649</v>
      </c>
      <c r="AF55" s="383">
        <f>'400 North'!AF25</f>
        <v>10243.292811558305</v>
      </c>
      <c r="AG55" s="383">
        <f>'400 North'!AG25</f>
        <v>10657.258644472149</v>
      </c>
      <c r="AH55" s="383">
        <f>'400 North'!AH25</f>
        <v>11087.95422571718</v>
      </c>
      <c r="AI55" s="383">
        <f>'400 North'!AI25</f>
        <v>11536.05566055855</v>
      </c>
      <c r="AJ55" s="383">
        <f>'400 North'!AJ25</f>
        <v>12002.266377943779</v>
      </c>
      <c r="AK55" s="383">
        <f>'400 North'!AK25</f>
        <v>12487.318234744445</v>
      </c>
      <c r="AL55" s="383">
        <f>'400 North'!AL25</f>
        <v>12991.972664623985</v>
      </c>
    </row>
    <row r="56" spans="1:38">
      <c r="B56" s="385" t="s">
        <v>509</v>
      </c>
      <c r="C56" s="386" t="s">
        <v>443</v>
      </c>
      <c r="D56" s="383">
        <f>'400 North'!D26</f>
        <v>16.975430418840414</v>
      </c>
      <c r="E56" s="383">
        <f>'400 North'!E26</f>
        <v>17.661464521514592</v>
      </c>
      <c r="F56" s="383">
        <f>'400 North'!F26</f>
        <v>18.375223564200276</v>
      </c>
      <c r="G56" s="383">
        <f>'400 North'!G26</f>
        <v>19.117828004751754</v>
      </c>
      <c r="H56" s="383">
        <f>'400 North'!H26</f>
        <v>19.890443582484782</v>
      </c>
      <c r="I56" s="383">
        <f>'400 North'!I26</f>
        <v>20.694283148152376</v>
      </c>
      <c r="J56" s="383">
        <f>'400 North'!J26</f>
        <v>21.530608567876133</v>
      </c>
      <c r="K56" s="383">
        <f>'400 North'!K26</f>
        <v>22.400732704021642</v>
      </c>
      <c r="L56" s="383">
        <f>'400 North'!L26</f>
        <v>23.306021476127917</v>
      </c>
      <c r="M56" s="383">
        <f>'400 North'!M26</f>
        <v>24.247896005125735</v>
      </c>
      <c r="N56" s="383">
        <f>'400 North'!N26</f>
        <v>25.22783484421112</v>
      </c>
      <c r="O56" s="383">
        <f>'400 North'!O26</f>
        <v>26.247376299875892</v>
      </c>
      <c r="P56" s="383">
        <f>'400 North'!P26</f>
        <v>27.308120846738863</v>
      </c>
      <c r="Q56" s="383">
        <f>'400 North'!Q26</f>
        <v>28.411733639968428</v>
      </c>
      <c r="R56" s="383">
        <f>'400 North'!R26</f>
        <v>29.559947129240573</v>
      </c>
      <c r="S56" s="383">
        <f>'400 North'!S26</f>
        <v>30.754563778335829</v>
      </c>
      <c r="T56" s="383">
        <f>'400 North'!T26</f>
        <v>31.997458894644023</v>
      </c>
      <c r="U56" s="383">
        <f>'400 North'!U26</f>
        <v>33.290583573019056</v>
      </c>
      <c r="V56" s="383">
        <f>'400 North'!V26</f>
        <v>34.635967758604622</v>
      </c>
      <c r="W56" s="383">
        <f>'400 North'!W26</f>
        <v>36.035723433438889</v>
      </c>
      <c r="X56" s="383">
        <f>'400 North'!X26</f>
        <v>37.492047931840773</v>
      </c>
      <c r="Y56" s="383">
        <f>'400 North'!Y26</f>
        <v>39.007227389781995</v>
      </c>
      <c r="Z56" s="383">
        <f>'400 North'!Z26</f>
        <v>40.58364033365978</v>
      </c>
      <c r="AA56" s="383">
        <f>'400 North'!AA26</f>
        <v>42.223761414103983</v>
      </c>
      <c r="AB56" s="383">
        <f>'400 North'!AB26</f>
        <v>43.930165290679852</v>
      </c>
      <c r="AC56" s="383">
        <f>'400 North'!AC26</f>
        <v>45.705530673584718</v>
      </c>
      <c r="AD56" s="383">
        <f>'400 North'!AD26</f>
        <v>47.552644528683167</v>
      </c>
      <c r="AE56" s="383">
        <f>'400 North'!AE26</f>
        <v>49.474406452481738</v>
      </c>
      <c r="AF56" s="383">
        <f>'400 North'!AF26</f>
        <v>51.473833223911079</v>
      </c>
      <c r="AG56" s="383">
        <f>'400 North'!AG26</f>
        <v>53.554063540061051</v>
      </c>
      <c r="AH56" s="383">
        <f>'400 North'!AH26</f>
        <v>55.718362943302409</v>
      </c>
      <c r="AI56" s="383">
        <f>'400 North'!AI26</f>
        <v>57.970128947530405</v>
      </c>
      <c r="AJ56" s="383">
        <f>'400 North'!AJ26</f>
        <v>60.312896371576784</v>
      </c>
      <c r="AK56" s="383">
        <f>'400 North'!AK26</f>
        <v>62.75034288816304</v>
      </c>
      <c r="AL56" s="383">
        <f>'400 North'!AL26</f>
        <v>65.286294797105455</v>
      </c>
    </row>
    <row r="57" spans="1:38">
      <c r="B57" s="358" t="s">
        <v>769</v>
      </c>
      <c r="C57" s="358" t="s">
        <v>443</v>
      </c>
      <c r="D57" s="383">
        <f>'400 North'!D27</f>
        <v>0</v>
      </c>
      <c r="E57" s="383">
        <f>'400 North'!E27</f>
        <v>0</v>
      </c>
      <c r="F57" s="383">
        <f>'400 North'!F27</f>
        <v>0</v>
      </c>
      <c r="G57" s="383">
        <f>'400 North'!G27</f>
        <v>0</v>
      </c>
      <c r="H57" s="383">
        <f>'400 North'!H27</f>
        <v>0</v>
      </c>
      <c r="I57" s="383">
        <f>'400 North'!I27</f>
        <v>0</v>
      </c>
      <c r="J57" s="383">
        <f>'400 North'!J27</f>
        <v>0</v>
      </c>
      <c r="K57" s="383">
        <f>'400 North'!K27</f>
        <v>0</v>
      </c>
      <c r="L57" s="383">
        <f>'400 North'!L27</f>
        <v>0</v>
      </c>
      <c r="M57" s="383">
        <f>'400 North'!M27</f>
        <v>0</v>
      </c>
      <c r="N57" s="383">
        <f>'400 North'!N27</f>
        <v>0</v>
      </c>
      <c r="O57" s="383">
        <f>'400 North'!O27</f>
        <v>0</v>
      </c>
      <c r="P57" s="383">
        <f>'400 North'!P27</f>
        <v>0</v>
      </c>
      <c r="Q57" s="383">
        <f>'400 North'!Q27</f>
        <v>0</v>
      </c>
      <c r="R57" s="383">
        <f>'400 North'!R27</f>
        <v>0</v>
      </c>
      <c r="S57" s="383">
        <f>'400 North'!S27</f>
        <v>0</v>
      </c>
      <c r="T57" s="383">
        <f>'400 North'!T27</f>
        <v>0</v>
      </c>
      <c r="U57" s="383">
        <f>'400 North'!U27</f>
        <v>0</v>
      </c>
      <c r="V57" s="383">
        <f>'400 North'!V27</f>
        <v>0</v>
      </c>
      <c r="W57" s="383">
        <f>'400 North'!W27</f>
        <v>0</v>
      </c>
      <c r="X57" s="383">
        <f>'400 North'!X27</f>
        <v>0</v>
      </c>
      <c r="Y57" s="383">
        <f>'400 North'!Y27</f>
        <v>0</v>
      </c>
      <c r="Z57" s="383">
        <f>'400 North'!Z27</f>
        <v>0</v>
      </c>
      <c r="AA57" s="383">
        <f>'400 North'!AA27</f>
        <v>0</v>
      </c>
      <c r="AB57" s="383">
        <f>'400 North'!AB27</f>
        <v>0</v>
      </c>
      <c r="AC57" s="383">
        <f>'400 North'!AC27</f>
        <v>0</v>
      </c>
      <c r="AD57" s="383">
        <f>'400 North'!AD27</f>
        <v>0</v>
      </c>
      <c r="AE57" s="383">
        <f>'400 North'!AE27</f>
        <v>0</v>
      </c>
      <c r="AF57" s="383">
        <f>'400 North'!AF27</f>
        <v>0</v>
      </c>
      <c r="AG57" s="383">
        <f>'400 North'!AG27</f>
        <v>0</v>
      </c>
      <c r="AH57" s="383">
        <f>'400 North'!AH27</f>
        <v>0</v>
      </c>
      <c r="AI57" s="383">
        <f>'400 North'!AI27</f>
        <v>0</v>
      </c>
      <c r="AJ57" s="383">
        <f>'400 North'!AJ27</f>
        <v>0</v>
      </c>
      <c r="AK57" s="383">
        <f>'400 North'!AK27</f>
        <v>0</v>
      </c>
      <c r="AL57" s="383">
        <f>'400 North'!AL27</f>
        <v>0</v>
      </c>
    </row>
    <row r="58" spans="1:38">
      <c r="A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row>
    <row r="59" spans="1:38" ht="13">
      <c r="B59" s="364" t="s">
        <v>510</v>
      </c>
      <c r="C59" s="497">
        <f>'General Inputs'!D19</f>
        <v>1.67</v>
      </c>
      <c r="D59" s="358"/>
      <c r="F59" s="464"/>
      <c r="G59" s="465"/>
      <c r="H59" s="465"/>
    </row>
    <row r="60" spans="1:38" ht="13">
      <c r="B60" s="364" t="s">
        <v>511</v>
      </c>
      <c r="C60" s="497">
        <f>'General Inputs'!D20</f>
        <v>1</v>
      </c>
      <c r="D60" s="358"/>
      <c r="F60" s="464"/>
      <c r="G60" s="465"/>
      <c r="H60" s="465"/>
    </row>
    <row r="61" spans="1:38" ht="13">
      <c r="B61" s="364" t="s">
        <v>751</v>
      </c>
      <c r="C61" s="497">
        <f>'General Inputs'!D21</f>
        <v>1</v>
      </c>
      <c r="D61" s="358"/>
      <c r="F61" s="464"/>
      <c r="G61" s="465"/>
      <c r="H61" s="465"/>
    </row>
    <row r="62" spans="1:38">
      <c r="B62" s="472" t="s">
        <v>512</v>
      </c>
      <c r="C62" s="386" t="s">
        <v>443</v>
      </c>
      <c r="D62" s="383">
        <f>D55*$C59</f>
        <v>5641.4447910932349</v>
      </c>
      <c r="E62" s="383">
        <f t="shared" ref="D62:AK64" si="31">E55*$C59</f>
        <v>5869.4345044349438</v>
      </c>
      <c r="F62" s="383">
        <f t="shared" si="31"/>
        <v>6106.638047090677</v>
      </c>
      <c r="G62" s="383">
        <f t="shared" si="31"/>
        <v>6353.4277808191509</v>
      </c>
      <c r="H62" s="383">
        <f t="shared" si="31"/>
        <v>6610.1911157671675</v>
      </c>
      <c r="I62" s="383">
        <f t="shared" si="31"/>
        <v>6877.3311186254796</v>
      </c>
      <c r="J62" s="383">
        <f t="shared" si="31"/>
        <v>7155.2671453622761</v>
      </c>
      <c r="K62" s="383">
        <f t="shared" si="31"/>
        <v>7444.4354995275125</v>
      </c>
      <c r="L62" s="383">
        <f t="shared" si="31"/>
        <v>7745.2901171615904</v>
      </c>
      <c r="M62" s="383">
        <f t="shared" si="31"/>
        <v>8058.3032793834354</v>
      </c>
      <c r="N62" s="383">
        <f t="shared" si="31"/>
        <v>8383.966353776681</v>
      </c>
      <c r="O62" s="383">
        <f t="shared" si="31"/>
        <v>8722.7905657377542</v>
      </c>
      <c r="P62" s="383">
        <f t="shared" si="31"/>
        <v>9075.3078009967248</v>
      </c>
      <c r="Q62" s="383">
        <f t="shared" si="31"/>
        <v>9442.0714405707076</v>
      </c>
      <c r="R62" s="383">
        <f t="shared" si="31"/>
        <v>9823.6572294605194</v>
      </c>
      <c r="S62" s="383">
        <f t="shared" si="31"/>
        <v>10220.664180454345</v>
      </c>
      <c r="T62" s="383">
        <f t="shared" si="31"/>
        <v>10633.715514457048</v>
      </c>
      <c r="U62" s="383">
        <f t="shared" si="31"/>
        <v>11063.459638821423</v>
      </c>
      <c r="V62" s="383">
        <f t="shared" si="31"/>
        <v>11510.571165217074</v>
      </c>
      <c r="W62" s="383">
        <f t="shared" si="31"/>
        <v>11975.751968634746</v>
      </c>
      <c r="X62" s="383">
        <f t="shared" si="31"/>
        <v>12459.732289188645</v>
      </c>
      <c r="Y62" s="383">
        <f t="shared" si="31"/>
        <v>12963.27187844625</v>
      </c>
      <c r="Z62" s="383">
        <f t="shared" si="31"/>
        <v>13487.161192085156</v>
      </c>
      <c r="AA62" s="383">
        <f t="shared" si="31"/>
        <v>14032.222630749178</v>
      </c>
      <c r="AB62" s="383">
        <f t="shared" si="31"/>
        <v>14599.311831051635</v>
      </c>
      <c r="AC62" s="383">
        <f t="shared" si="31"/>
        <v>15189.319008752407</v>
      </c>
      <c r="AD62" s="383">
        <f t="shared" si="31"/>
        <v>15803.170356217277</v>
      </c>
      <c r="AE62" s="383">
        <f t="shared" si="31"/>
        <v>16441.829496353253</v>
      </c>
      <c r="AF62" s="383">
        <f t="shared" si="31"/>
        <v>17106.298995302368</v>
      </c>
      <c r="AG62" s="383">
        <f t="shared" si="31"/>
        <v>17797.62193626849</v>
      </c>
      <c r="AH62" s="383">
        <f t="shared" si="31"/>
        <v>18516.883556947691</v>
      </c>
      <c r="AI62" s="383">
        <f t="shared" si="31"/>
        <v>19265.212953132777</v>
      </c>
      <c r="AJ62" s="383">
        <f t="shared" si="31"/>
        <v>20043.78485116611</v>
      </c>
      <c r="AK62" s="383">
        <f t="shared" si="31"/>
        <v>20853.821452023221</v>
      </c>
      <c r="AL62" s="383">
        <f t="shared" ref="AL62" si="32">AL55*$C59</f>
        <v>21696.594349922056</v>
      </c>
    </row>
    <row r="63" spans="1:38">
      <c r="B63" s="472" t="s">
        <v>513</v>
      </c>
      <c r="C63" s="386" t="s">
        <v>443</v>
      </c>
      <c r="D63" s="383">
        <f t="shared" si="31"/>
        <v>16.975430418840414</v>
      </c>
      <c r="E63" s="383">
        <f t="shared" si="31"/>
        <v>17.661464521514592</v>
      </c>
      <c r="F63" s="383">
        <f t="shared" si="31"/>
        <v>18.375223564200276</v>
      </c>
      <c r="G63" s="383">
        <f t="shared" si="31"/>
        <v>19.117828004751754</v>
      </c>
      <c r="H63" s="383">
        <f t="shared" si="31"/>
        <v>19.890443582484782</v>
      </c>
      <c r="I63" s="383">
        <f t="shared" si="31"/>
        <v>20.694283148152376</v>
      </c>
      <c r="J63" s="383">
        <f t="shared" si="31"/>
        <v>21.530608567876133</v>
      </c>
      <c r="K63" s="383">
        <f t="shared" si="31"/>
        <v>22.400732704021642</v>
      </c>
      <c r="L63" s="383">
        <f t="shared" si="31"/>
        <v>23.306021476127917</v>
      </c>
      <c r="M63" s="383">
        <f t="shared" si="31"/>
        <v>24.247896005125735</v>
      </c>
      <c r="N63" s="383">
        <f t="shared" si="31"/>
        <v>25.22783484421112</v>
      </c>
      <c r="O63" s="383">
        <f t="shared" si="31"/>
        <v>26.247376299875892</v>
      </c>
      <c r="P63" s="383">
        <f t="shared" si="31"/>
        <v>27.308120846738863</v>
      </c>
      <c r="Q63" s="383">
        <f t="shared" si="31"/>
        <v>28.411733639968428</v>
      </c>
      <c r="R63" s="383">
        <f t="shared" si="31"/>
        <v>29.559947129240573</v>
      </c>
      <c r="S63" s="383">
        <f t="shared" si="31"/>
        <v>30.754563778335829</v>
      </c>
      <c r="T63" s="383">
        <f t="shared" si="31"/>
        <v>31.997458894644023</v>
      </c>
      <c r="U63" s="383">
        <f t="shared" si="31"/>
        <v>33.290583573019056</v>
      </c>
      <c r="V63" s="383">
        <f t="shared" si="31"/>
        <v>34.635967758604622</v>
      </c>
      <c r="W63" s="383">
        <f t="shared" si="31"/>
        <v>36.035723433438889</v>
      </c>
      <c r="X63" s="383">
        <f t="shared" si="31"/>
        <v>37.492047931840773</v>
      </c>
      <c r="Y63" s="383">
        <f t="shared" si="31"/>
        <v>39.007227389781995</v>
      </c>
      <c r="Z63" s="383">
        <f t="shared" si="31"/>
        <v>40.58364033365978</v>
      </c>
      <c r="AA63" s="383">
        <f t="shared" si="31"/>
        <v>42.223761414103983</v>
      </c>
      <c r="AB63" s="383">
        <f t="shared" si="31"/>
        <v>43.930165290679852</v>
      </c>
      <c r="AC63" s="383">
        <f t="shared" si="31"/>
        <v>45.705530673584718</v>
      </c>
      <c r="AD63" s="383">
        <f t="shared" si="31"/>
        <v>47.552644528683167</v>
      </c>
      <c r="AE63" s="383">
        <f t="shared" si="31"/>
        <v>49.474406452481738</v>
      </c>
      <c r="AF63" s="383">
        <f t="shared" si="31"/>
        <v>51.473833223911079</v>
      </c>
      <c r="AG63" s="383">
        <f t="shared" si="31"/>
        <v>53.554063540061051</v>
      </c>
      <c r="AH63" s="383">
        <f t="shared" si="31"/>
        <v>55.718362943302409</v>
      </c>
      <c r="AI63" s="383">
        <f t="shared" si="31"/>
        <v>57.970128947530405</v>
      </c>
      <c r="AJ63" s="383">
        <f t="shared" si="31"/>
        <v>60.312896371576784</v>
      </c>
      <c r="AK63" s="383">
        <f t="shared" si="31"/>
        <v>62.75034288816304</v>
      </c>
      <c r="AL63" s="383">
        <f t="shared" ref="AL63" si="33">AL56*$C60</f>
        <v>65.286294797105455</v>
      </c>
    </row>
    <row r="64" spans="1:38">
      <c r="B64" s="472" t="s">
        <v>752</v>
      </c>
      <c r="C64" s="386" t="s">
        <v>443</v>
      </c>
      <c r="D64" s="383">
        <f t="shared" si="31"/>
        <v>0</v>
      </c>
      <c r="E64" s="383">
        <f t="shared" si="31"/>
        <v>0</v>
      </c>
      <c r="F64" s="383">
        <f t="shared" si="31"/>
        <v>0</v>
      </c>
      <c r="G64" s="383">
        <f t="shared" si="31"/>
        <v>0</v>
      </c>
      <c r="H64" s="383">
        <f t="shared" si="31"/>
        <v>0</v>
      </c>
      <c r="I64" s="383">
        <f t="shared" si="31"/>
        <v>0</v>
      </c>
      <c r="J64" s="383">
        <f t="shared" si="31"/>
        <v>0</v>
      </c>
      <c r="K64" s="383">
        <f t="shared" si="31"/>
        <v>0</v>
      </c>
      <c r="L64" s="383">
        <f t="shared" si="31"/>
        <v>0</v>
      </c>
      <c r="M64" s="383">
        <f t="shared" si="31"/>
        <v>0</v>
      </c>
      <c r="N64" s="383">
        <f t="shared" si="31"/>
        <v>0</v>
      </c>
      <c r="O64" s="383">
        <f t="shared" si="31"/>
        <v>0</v>
      </c>
      <c r="P64" s="383">
        <f t="shared" si="31"/>
        <v>0</v>
      </c>
      <c r="Q64" s="383">
        <f t="shared" si="31"/>
        <v>0</v>
      </c>
      <c r="R64" s="383">
        <f t="shared" si="31"/>
        <v>0</v>
      </c>
      <c r="S64" s="383">
        <f t="shared" si="31"/>
        <v>0</v>
      </c>
      <c r="T64" s="383">
        <f t="shared" si="31"/>
        <v>0</v>
      </c>
      <c r="U64" s="383">
        <f t="shared" si="31"/>
        <v>0</v>
      </c>
      <c r="V64" s="383">
        <f t="shared" si="31"/>
        <v>0</v>
      </c>
      <c r="W64" s="383">
        <f t="shared" si="31"/>
        <v>0</v>
      </c>
      <c r="X64" s="383">
        <f t="shared" si="31"/>
        <v>0</v>
      </c>
      <c r="Y64" s="383">
        <f t="shared" si="31"/>
        <v>0</v>
      </c>
      <c r="Z64" s="383">
        <f t="shared" si="31"/>
        <v>0</v>
      </c>
      <c r="AA64" s="383">
        <f t="shared" si="31"/>
        <v>0</v>
      </c>
      <c r="AB64" s="383">
        <f t="shared" si="31"/>
        <v>0</v>
      </c>
      <c r="AC64" s="383">
        <f t="shared" si="31"/>
        <v>0</v>
      </c>
      <c r="AD64" s="383">
        <f t="shared" si="31"/>
        <v>0</v>
      </c>
      <c r="AE64" s="383">
        <f t="shared" si="31"/>
        <v>0</v>
      </c>
      <c r="AF64" s="383">
        <f t="shared" si="31"/>
        <v>0</v>
      </c>
      <c r="AG64" s="383">
        <f t="shared" si="31"/>
        <v>0</v>
      </c>
      <c r="AH64" s="383">
        <f t="shared" si="31"/>
        <v>0</v>
      </c>
      <c r="AI64" s="383">
        <f t="shared" si="31"/>
        <v>0</v>
      </c>
      <c r="AJ64" s="383">
        <f t="shared" si="31"/>
        <v>0</v>
      </c>
      <c r="AK64" s="383">
        <f t="shared" si="31"/>
        <v>0</v>
      </c>
      <c r="AL64" s="383">
        <f t="shared" ref="AL64" si="34">AL57*$C61</f>
        <v>0</v>
      </c>
    </row>
    <row r="65" spans="1:38">
      <c r="D65" s="358"/>
      <c r="F65" s="464"/>
      <c r="G65" s="465"/>
      <c r="H65" s="465"/>
    </row>
    <row r="66" spans="1:38" ht="13">
      <c r="B66" s="364" t="s">
        <v>526</v>
      </c>
      <c r="C66" s="487" t="s">
        <v>292</v>
      </c>
      <c r="D66" s="488">
        <f>SUMPRODUCT(D62:D64,D49:D51)</f>
        <v>101504.70501746918</v>
      </c>
      <c r="E66" s="488">
        <f t="shared" ref="E66:AK66" si="35">SUMPRODUCT(E62:E64,E49:E51)</f>
        <v>105606.85073664814</v>
      </c>
      <c r="F66" s="488">
        <f t="shared" si="35"/>
        <v>109874.77792870048</v>
      </c>
      <c r="G66" s="488">
        <f t="shared" si="35"/>
        <v>114315.18637920915</v>
      </c>
      <c r="H66" s="488">
        <f t="shared" si="35"/>
        <v>118935.04663457282</v>
      </c>
      <c r="I66" s="488">
        <f t="shared" si="35"/>
        <v>123741.61094435917</v>
      </c>
      <c r="J66" s="488">
        <f t="shared" si="35"/>
        <v>128742.42464587532</v>
      </c>
      <c r="K66" s="488">
        <f t="shared" si="35"/>
        <v>133945.33800882634</v>
      </c>
      <c r="L66" s="488">
        <f t="shared" si="35"/>
        <v>139358.51855865718</v>
      </c>
      <c r="M66" s="488">
        <f t="shared" si="35"/>
        <v>144990.46389792135</v>
      </c>
      <c r="N66" s="488">
        <f t="shared" si="35"/>
        <v>150850.01504580429</v>
      </c>
      <c r="O66" s="488">
        <f t="shared" si="35"/>
        <v>156946.37031674199</v>
      </c>
      <c r="P66" s="488">
        <f t="shared" si="35"/>
        <v>163289.09975992094</v>
      </c>
      <c r="Q66" s="488">
        <f t="shared" si="35"/>
        <v>169888.16018232668</v>
      </c>
      <c r="R66" s="488">
        <f t="shared" si="35"/>
        <v>176753.91077892389</v>
      </c>
      <c r="S66" s="488">
        <f t="shared" si="35"/>
        <v>183897.12939450549</v>
      </c>
      <c r="T66" s="488">
        <f t="shared" si="35"/>
        <v>191329.02944273618</v>
      </c>
      <c r="U66" s="488">
        <f t="shared" si="35"/>
        <v>199061.27750895245</v>
      </c>
      <c r="V66" s="488">
        <f t="shared" si="35"/>
        <v>207106.01166435063</v>
      </c>
      <c r="W66" s="488">
        <f t="shared" si="35"/>
        <v>215475.86052031186</v>
      </c>
      <c r="X66" s="488">
        <f t="shared" si="35"/>
        <v>224183.96305277743</v>
      </c>
      <c r="Y66" s="488">
        <f t="shared" si="35"/>
        <v>233243.98922779315</v>
      </c>
      <c r="Z66" s="488">
        <f t="shared" si="35"/>
        <v>242670.16146060097</v>
      </c>
      <c r="AA66" s="488">
        <f t="shared" si="35"/>
        <v>252477.27694196466</v>
      </c>
      <c r="AB66" s="488">
        <f t="shared" si="35"/>
        <v>262680.73086677719</v>
      </c>
      <c r="AC66" s="488">
        <f t="shared" si="35"/>
        <v>273296.54060141451</v>
      </c>
      <c r="AD66" s="488">
        <f t="shared" si="35"/>
        <v>284341.37082777271</v>
      </c>
      <c r="AE66" s="488">
        <f t="shared" si="35"/>
        <v>295832.55970345961</v>
      </c>
      <c r="AF66" s="488">
        <f t="shared" si="35"/>
        <v>307788.14607920882</v>
      </c>
      <c r="AG66" s="488">
        <f t="shared" si="35"/>
        <v>320226.8978162398</v>
      </c>
      <c r="AH66" s="488">
        <f t="shared" si="35"/>
        <v>333168.34124801733</v>
      </c>
      <c r="AI66" s="488">
        <f t="shared" si="35"/>
        <v>346632.79183266062</v>
      </c>
      <c r="AJ66" s="488">
        <f t="shared" si="35"/>
        <v>360641.38604411791</v>
      </c>
      <c r="AK66" s="488">
        <f t="shared" si="35"/>
        <v>375216.11455217103</v>
      </c>
      <c r="AL66" s="488">
        <f t="shared" ref="AL66" si="36">SUMPRODUCT(AL62:AL64,AL49:AL51)</f>
        <v>390379.85674335563</v>
      </c>
    </row>
    <row r="67" spans="1:38">
      <c r="D67" s="358"/>
      <c r="F67" s="464"/>
      <c r="G67" s="465"/>
      <c r="H67" s="465"/>
    </row>
    <row r="68" spans="1:38" ht="13">
      <c r="A68" s="452"/>
      <c r="B68" s="495" t="s">
        <v>625</v>
      </c>
      <c r="C68" s="453"/>
      <c r="D68" s="454"/>
      <c r="E68" s="379"/>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row>
    <row r="69" spans="1:38">
      <c r="D69" s="358"/>
      <c r="F69" s="464"/>
      <c r="G69" s="465"/>
      <c r="H69" s="465"/>
    </row>
    <row r="70" spans="1:38">
      <c r="B70" s="385" t="s">
        <v>508</v>
      </c>
      <c r="C70" s="386" t="s">
        <v>443</v>
      </c>
      <c r="D70" s="383">
        <f>'400 North'!D48</f>
        <v>3378.1106533492425</v>
      </c>
      <c r="E70" s="383">
        <f>'400 North'!E48</f>
        <v>3514.6314397814035</v>
      </c>
      <c r="F70" s="383">
        <f>'400 North'!F48</f>
        <v>3656.6694892758546</v>
      </c>
      <c r="G70" s="383">
        <f>'400 North'!G48</f>
        <v>3804.4477729455994</v>
      </c>
      <c r="H70" s="383">
        <f>'400 North'!H48</f>
        <v>2968.6487046858538</v>
      </c>
      <c r="I70" s="383">
        <f>'400 North'!I48</f>
        <v>3088.6217598617422</v>
      </c>
      <c r="J70" s="383">
        <f>'400 North'!J48</f>
        <v>3213.4433287555121</v>
      </c>
      <c r="K70" s="383">
        <f>'400 North'!K48</f>
        <v>3343.3093560752309</v>
      </c>
      <c r="L70" s="383">
        <f>'400 North'!L48</f>
        <v>3478.4237053120919</v>
      </c>
      <c r="M70" s="383">
        <f>'400 North'!M48</f>
        <v>3618.9984787650169</v>
      </c>
      <c r="N70" s="383">
        <f>'400 North'!N48</f>
        <v>3765.2543504985092</v>
      </c>
      <c r="O70" s="383">
        <f>'400 North'!O48</f>
        <v>3917.4209127564768</v>
      </c>
      <c r="P70" s="383">
        <f>'400 North'!P48</f>
        <v>4075.7370363757755</v>
      </c>
      <c r="Q70" s="383">
        <f>'400 North'!Q48</f>
        <v>4240.4512457652891</v>
      </c>
      <c r="R70" s="383">
        <f>'400 North'!R48</f>
        <v>4411.8221090391544</v>
      </c>
      <c r="S70" s="383">
        <f>'400 North'!S48</f>
        <v>4590.1186439166231</v>
      </c>
      <c r="T70" s="383">
        <f>'400 North'!T48</f>
        <v>4775.6207400256217</v>
      </c>
      <c r="U70" s="383">
        <f>'400 North'!U48</f>
        <v>4968.619598273096</v>
      </c>
      <c r="V70" s="383">
        <f>'400 North'!V48</f>
        <v>5169.4181879717389</v>
      </c>
      <c r="W70" s="383">
        <f>'400 North'!W48</f>
        <v>5378.3317224407519</v>
      </c>
      <c r="X70" s="383">
        <f>'400 North'!X48</f>
        <v>5595.6881538272355</v>
      </c>
      <c r="Y70" s="383">
        <f>'400 North'!Y48</f>
        <v>5821.8286879249636</v>
      </c>
      <c r="Z70" s="383">
        <f>'400 North'!Z48</f>
        <v>6057.1083197987218</v>
      </c>
      <c r="AA70" s="383">
        <f>'400 North'!AA48</f>
        <v>6301.8963910550183</v>
      </c>
      <c r="AB70" s="383">
        <f>'400 North'!AB48</f>
        <v>6556.577169633968</v>
      </c>
      <c r="AC70" s="383">
        <f>'400 North'!AC48</f>
        <v>6821.5504530325188</v>
      </c>
      <c r="AD70" s="383">
        <f>'400 North'!AD48</f>
        <v>7097.2321959059636</v>
      </c>
      <c r="AE70" s="383">
        <f>'400 North'!AE48</f>
        <v>7384.0551630328973</v>
      </c>
      <c r="AF70" s="383">
        <f>'400 North'!AF48</f>
        <v>7682.4696086687291</v>
      </c>
      <c r="AG70" s="383">
        <f>'400 North'!AG48</f>
        <v>7992.9439833541119</v>
      </c>
      <c r="AH70" s="383">
        <f>'400 North'!AH48</f>
        <v>8315.9656692878834</v>
      </c>
      <c r="AI70" s="383">
        <f>'400 North'!AI48</f>
        <v>8652.0417454189137</v>
      </c>
      <c r="AJ70" s="383">
        <f>'400 North'!AJ48</f>
        <v>9001.6997834578342</v>
      </c>
      <c r="AK70" s="383">
        <f>'400 North'!AK48</f>
        <v>9365.488676058334</v>
      </c>
      <c r="AL70" s="383">
        <f>'400 North'!AL48</f>
        <v>9743.9794984679902</v>
      </c>
    </row>
    <row r="71" spans="1:38">
      <c r="B71" s="385" t="s">
        <v>509</v>
      </c>
      <c r="C71" s="386" t="s">
        <v>443</v>
      </c>
      <c r="D71" s="383">
        <f>'400 North'!D49</f>
        <v>16.975430418840414</v>
      </c>
      <c r="E71" s="383">
        <f>'400 North'!E49</f>
        <v>17.661464521514592</v>
      </c>
      <c r="F71" s="383">
        <f>'400 North'!F49</f>
        <v>18.375223564200276</v>
      </c>
      <c r="G71" s="383">
        <f>'400 North'!G49</f>
        <v>19.117828004751754</v>
      </c>
      <c r="H71" s="383">
        <f>'400 North'!H49</f>
        <v>14.917832686863587</v>
      </c>
      <c r="I71" s="383">
        <f>'400 North'!I49</f>
        <v>15.520712361114283</v>
      </c>
      <c r="J71" s="383">
        <f>'400 North'!J49</f>
        <v>16.147956425907097</v>
      </c>
      <c r="K71" s="383">
        <f>'400 North'!K49</f>
        <v>16.800549528016237</v>
      </c>
      <c r="L71" s="383">
        <f>'400 North'!L49</f>
        <v>17.47951610709594</v>
      </c>
      <c r="M71" s="383">
        <f>'400 North'!M49</f>
        <v>18.185922003844304</v>
      </c>
      <c r="N71" s="383">
        <f>'400 North'!N49</f>
        <v>18.920876133158337</v>
      </c>
      <c r="O71" s="383">
        <f>'400 North'!O49</f>
        <v>19.685532224906918</v>
      </c>
      <c r="P71" s="383">
        <f>'400 North'!P49</f>
        <v>20.481090635054148</v>
      </c>
      <c r="Q71" s="383">
        <f>'400 North'!Q49</f>
        <v>21.308800229976328</v>
      </c>
      <c r="R71" s="383">
        <f>'400 North'!R49</f>
        <v>22.169960346930424</v>
      </c>
      <c r="S71" s="383">
        <f>'400 North'!S49</f>
        <v>23.065922833751873</v>
      </c>
      <c r="T71" s="383">
        <f>'400 North'!T49</f>
        <v>23.998094170983023</v>
      </c>
      <c r="U71" s="383">
        <f>'400 North'!U49</f>
        <v>24.967937679764301</v>
      </c>
      <c r="V71" s="383">
        <f>'400 North'!V49</f>
        <v>25.976975818953463</v>
      </c>
      <c r="W71" s="383">
        <f>'400 North'!W49</f>
        <v>27.026792575079156</v>
      </c>
      <c r="X71" s="383">
        <f>'400 North'!X49</f>
        <v>28.119035948880583</v>
      </c>
      <c r="Y71" s="383">
        <f>'400 North'!Y49</f>
        <v>29.255420542336502</v>
      </c>
      <c r="Z71" s="383">
        <f>'400 North'!Z49</f>
        <v>30.437730250244837</v>
      </c>
      <c r="AA71" s="383">
        <f>'400 North'!AA49</f>
        <v>31.667821060577982</v>
      </c>
      <c r="AB71" s="383">
        <f>'400 North'!AB49</f>
        <v>32.947623968009893</v>
      </c>
      <c r="AC71" s="383">
        <f>'400 North'!AC49</f>
        <v>34.279148005188539</v>
      </c>
      <c r="AD71" s="383">
        <f>'400 North'!AD49</f>
        <v>35.664483396512381</v>
      </c>
      <c r="AE71" s="383">
        <f>'400 North'!AE49</f>
        <v>37.105804839361298</v>
      </c>
      <c r="AF71" s="383">
        <f>'400 North'!AF49</f>
        <v>38.605374917933311</v>
      </c>
      <c r="AG71" s="383">
        <f>'400 North'!AG49</f>
        <v>40.165547655045792</v>
      </c>
      <c r="AH71" s="383">
        <f>'400 North'!AH49</f>
        <v>41.788772207476804</v>
      </c>
      <c r="AI71" s="383">
        <f>'400 North'!AI49</f>
        <v>43.477596710647802</v>
      </c>
      <c r="AJ71" s="383">
        <f>'400 North'!AJ49</f>
        <v>45.234672278682581</v>
      </c>
      <c r="AK71" s="383">
        <f>'400 North'!AK49</f>
        <v>47.062757166122282</v>
      </c>
      <c r="AL71" s="383">
        <f>'400 North'!AL49</f>
        <v>48.964721097829099</v>
      </c>
    </row>
    <row r="72" spans="1:38">
      <c r="B72" s="358" t="s">
        <v>769</v>
      </c>
      <c r="C72" s="358" t="s">
        <v>443</v>
      </c>
      <c r="D72" s="383">
        <f>'400 North'!D50</f>
        <v>0</v>
      </c>
      <c r="E72" s="383">
        <f>'400 North'!E50</f>
        <v>0</v>
      </c>
      <c r="F72" s="383">
        <f>'400 North'!F50</f>
        <v>0</v>
      </c>
      <c r="G72" s="383">
        <f>'400 North'!G50</f>
        <v>0</v>
      </c>
      <c r="H72" s="383">
        <f>'400 North'!H50</f>
        <v>0</v>
      </c>
      <c r="I72" s="383">
        <f>'400 North'!I50</f>
        <v>0</v>
      </c>
      <c r="J72" s="383">
        <f>'400 North'!J50</f>
        <v>0</v>
      </c>
      <c r="K72" s="383">
        <f>'400 North'!K50</f>
        <v>0</v>
      </c>
      <c r="L72" s="383">
        <f>'400 North'!L50</f>
        <v>0</v>
      </c>
      <c r="M72" s="383">
        <f>'400 North'!M50</f>
        <v>0</v>
      </c>
      <c r="N72" s="383">
        <f>'400 North'!N50</f>
        <v>0</v>
      </c>
      <c r="O72" s="383">
        <f>'400 North'!O50</f>
        <v>0</v>
      </c>
      <c r="P72" s="383">
        <f>'400 North'!P50</f>
        <v>0</v>
      </c>
      <c r="Q72" s="383">
        <f>'400 North'!Q50</f>
        <v>0</v>
      </c>
      <c r="R72" s="383">
        <f>'400 North'!R50</f>
        <v>0</v>
      </c>
      <c r="S72" s="383">
        <f>'400 North'!S50</f>
        <v>0</v>
      </c>
      <c r="T72" s="383">
        <f>'400 North'!T50</f>
        <v>0</v>
      </c>
      <c r="U72" s="383">
        <f>'400 North'!U50</f>
        <v>0</v>
      </c>
      <c r="V72" s="383">
        <f>'400 North'!V50</f>
        <v>0</v>
      </c>
      <c r="W72" s="383">
        <f>'400 North'!W50</f>
        <v>0</v>
      </c>
      <c r="X72" s="383">
        <f>'400 North'!X50</f>
        <v>0</v>
      </c>
      <c r="Y72" s="383">
        <f>'400 North'!Y50</f>
        <v>0</v>
      </c>
      <c r="Z72" s="383">
        <f>'400 North'!Z50</f>
        <v>0</v>
      </c>
      <c r="AA72" s="383">
        <f>'400 North'!AA50</f>
        <v>0</v>
      </c>
      <c r="AB72" s="383">
        <f>'400 North'!AB50</f>
        <v>0</v>
      </c>
      <c r="AC72" s="383">
        <f>'400 North'!AC50</f>
        <v>0</v>
      </c>
      <c r="AD72" s="383">
        <f>'400 North'!AD50</f>
        <v>0</v>
      </c>
      <c r="AE72" s="383">
        <f>'400 North'!AE50</f>
        <v>0</v>
      </c>
      <c r="AF72" s="383">
        <f>'400 North'!AF50</f>
        <v>0</v>
      </c>
      <c r="AG72" s="383">
        <f>'400 North'!AG50</f>
        <v>0</v>
      </c>
      <c r="AH72" s="383">
        <f>'400 North'!AH50</f>
        <v>0</v>
      </c>
      <c r="AI72" s="383">
        <f>'400 North'!AI50</f>
        <v>0</v>
      </c>
      <c r="AJ72" s="383">
        <f>'400 North'!AJ50</f>
        <v>0</v>
      </c>
      <c r="AK72" s="383">
        <f>'400 North'!AK50</f>
        <v>0</v>
      </c>
      <c r="AL72" s="383">
        <f>'400 North'!AL50</f>
        <v>0</v>
      </c>
    </row>
    <row r="73" spans="1:38">
      <c r="D73" s="358"/>
      <c r="F73" s="464"/>
      <c r="G73" s="465"/>
      <c r="H73" s="465"/>
    </row>
    <row r="74" spans="1:38">
      <c r="B74" s="472" t="s">
        <v>512</v>
      </c>
      <c r="C74" s="386" t="s">
        <v>443</v>
      </c>
      <c r="D74" s="383">
        <f>D70*$C59</f>
        <v>5641.4447910932349</v>
      </c>
      <c r="E74" s="383">
        <f t="shared" ref="E74:AK76" si="37">E70*$C59</f>
        <v>5869.4345044349438</v>
      </c>
      <c r="F74" s="383">
        <f t="shared" si="37"/>
        <v>6106.638047090677</v>
      </c>
      <c r="G74" s="383">
        <f t="shared" si="37"/>
        <v>6353.4277808191509</v>
      </c>
      <c r="H74" s="383">
        <f t="shared" si="37"/>
        <v>4957.6433368253756</v>
      </c>
      <c r="I74" s="383">
        <f t="shared" si="37"/>
        <v>5157.9983389691097</v>
      </c>
      <c r="J74" s="383">
        <f t="shared" si="37"/>
        <v>5366.4503590217046</v>
      </c>
      <c r="K74" s="383">
        <f t="shared" si="37"/>
        <v>5583.3266246456351</v>
      </c>
      <c r="L74" s="383">
        <f t="shared" si="37"/>
        <v>5808.9675878711932</v>
      </c>
      <c r="M74" s="383">
        <f t="shared" si="37"/>
        <v>6043.7274595375784</v>
      </c>
      <c r="N74" s="383">
        <f t="shared" si="37"/>
        <v>6287.9747653325103</v>
      </c>
      <c r="O74" s="383">
        <f t="shared" si="37"/>
        <v>6542.0929243033161</v>
      </c>
      <c r="P74" s="383">
        <f t="shared" si="37"/>
        <v>6806.4808507475445</v>
      </c>
      <c r="Q74" s="383">
        <f t="shared" si="37"/>
        <v>7081.5535804280325</v>
      </c>
      <c r="R74" s="383">
        <f t="shared" si="37"/>
        <v>7367.7429220953873</v>
      </c>
      <c r="S74" s="383">
        <f t="shared" si="37"/>
        <v>7665.4981353407602</v>
      </c>
      <c r="T74" s="383">
        <f t="shared" si="37"/>
        <v>7975.2866358427882</v>
      </c>
      <c r="U74" s="383">
        <f t="shared" si="37"/>
        <v>8297.5947291160701</v>
      </c>
      <c r="V74" s="383">
        <f t="shared" si="37"/>
        <v>8632.9283739128041</v>
      </c>
      <c r="W74" s="383">
        <f t="shared" si="37"/>
        <v>8981.8139764760563</v>
      </c>
      <c r="X74" s="383">
        <f t="shared" si="37"/>
        <v>9344.7992168914825</v>
      </c>
      <c r="Y74" s="383">
        <f t="shared" si="37"/>
        <v>9722.4539088346883</v>
      </c>
      <c r="Z74" s="383">
        <f t="shared" si="37"/>
        <v>10115.370894063864</v>
      </c>
      <c r="AA74" s="383">
        <f t="shared" si="37"/>
        <v>10524.16697306188</v>
      </c>
      <c r="AB74" s="383">
        <f t="shared" si="37"/>
        <v>10949.483873288726</v>
      </c>
      <c r="AC74" s="383">
        <f t="shared" si="37"/>
        <v>11391.989256564306</v>
      </c>
      <c r="AD74" s="383">
        <f t="shared" si="37"/>
        <v>11852.37776716296</v>
      </c>
      <c r="AE74" s="383">
        <f t="shared" si="37"/>
        <v>12331.372122264938</v>
      </c>
      <c r="AF74" s="383">
        <f t="shared" si="37"/>
        <v>12829.724246476777</v>
      </c>
      <c r="AG74" s="383">
        <f t="shared" si="37"/>
        <v>13348.216452201366</v>
      </c>
      <c r="AH74" s="383">
        <f t="shared" si="37"/>
        <v>13887.662667710765</v>
      </c>
      <c r="AI74" s="383">
        <f t="shared" si="37"/>
        <v>14448.909714849586</v>
      </c>
      <c r="AJ74" s="383">
        <f t="shared" si="37"/>
        <v>15032.838638374582</v>
      </c>
      <c r="AK74" s="383">
        <f t="shared" si="37"/>
        <v>15640.366089017418</v>
      </c>
      <c r="AL74" s="383">
        <f t="shared" ref="AL74" si="38">AL70*$C59</f>
        <v>16272.445762441543</v>
      </c>
    </row>
    <row r="75" spans="1:38">
      <c r="B75" s="472" t="s">
        <v>513</v>
      </c>
      <c r="C75" s="386" t="s">
        <v>443</v>
      </c>
      <c r="D75" s="383">
        <f t="shared" ref="D75:S76" si="39">D71*$C60</f>
        <v>16.975430418840414</v>
      </c>
      <c r="E75" s="383">
        <f t="shared" si="39"/>
        <v>17.661464521514592</v>
      </c>
      <c r="F75" s="383">
        <f t="shared" si="39"/>
        <v>18.375223564200276</v>
      </c>
      <c r="G75" s="383">
        <f t="shared" si="39"/>
        <v>19.117828004751754</v>
      </c>
      <c r="H75" s="383">
        <f t="shared" si="39"/>
        <v>14.917832686863587</v>
      </c>
      <c r="I75" s="383">
        <f t="shared" si="39"/>
        <v>15.520712361114283</v>
      </c>
      <c r="J75" s="383">
        <f t="shared" si="39"/>
        <v>16.147956425907097</v>
      </c>
      <c r="K75" s="383">
        <f t="shared" si="39"/>
        <v>16.800549528016237</v>
      </c>
      <c r="L75" s="383">
        <f t="shared" si="39"/>
        <v>17.47951610709594</v>
      </c>
      <c r="M75" s="383">
        <f t="shared" si="39"/>
        <v>18.185922003844304</v>
      </c>
      <c r="N75" s="383">
        <f t="shared" si="39"/>
        <v>18.920876133158337</v>
      </c>
      <c r="O75" s="383">
        <f t="shared" si="39"/>
        <v>19.685532224906918</v>
      </c>
      <c r="P75" s="383">
        <f t="shared" si="39"/>
        <v>20.481090635054148</v>
      </c>
      <c r="Q75" s="383">
        <f t="shared" si="39"/>
        <v>21.308800229976328</v>
      </c>
      <c r="R75" s="383">
        <f t="shared" si="39"/>
        <v>22.169960346930424</v>
      </c>
      <c r="S75" s="383">
        <f t="shared" si="39"/>
        <v>23.065922833751873</v>
      </c>
      <c r="T75" s="383">
        <f t="shared" si="37"/>
        <v>23.998094170983023</v>
      </c>
      <c r="U75" s="383">
        <f t="shared" si="37"/>
        <v>24.967937679764301</v>
      </c>
      <c r="V75" s="383">
        <f t="shared" si="37"/>
        <v>25.976975818953463</v>
      </c>
      <c r="W75" s="383">
        <f t="shared" si="37"/>
        <v>27.026792575079156</v>
      </c>
      <c r="X75" s="383">
        <f t="shared" si="37"/>
        <v>28.119035948880583</v>
      </c>
      <c r="Y75" s="383">
        <f t="shared" si="37"/>
        <v>29.255420542336502</v>
      </c>
      <c r="Z75" s="383">
        <f t="shared" si="37"/>
        <v>30.437730250244837</v>
      </c>
      <c r="AA75" s="383">
        <f t="shared" si="37"/>
        <v>31.667821060577982</v>
      </c>
      <c r="AB75" s="383">
        <f t="shared" si="37"/>
        <v>32.947623968009893</v>
      </c>
      <c r="AC75" s="383">
        <f t="shared" si="37"/>
        <v>34.279148005188539</v>
      </c>
      <c r="AD75" s="383">
        <f t="shared" si="37"/>
        <v>35.664483396512381</v>
      </c>
      <c r="AE75" s="383">
        <f t="shared" si="37"/>
        <v>37.105804839361298</v>
      </c>
      <c r="AF75" s="383">
        <f t="shared" si="37"/>
        <v>38.605374917933311</v>
      </c>
      <c r="AG75" s="383">
        <f t="shared" si="37"/>
        <v>40.165547655045792</v>
      </c>
      <c r="AH75" s="383">
        <f t="shared" si="37"/>
        <v>41.788772207476804</v>
      </c>
      <c r="AI75" s="383">
        <f t="shared" si="37"/>
        <v>43.477596710647802</v>
      </c>
      <c r="AJ75" s="383">
        <f t="shared" si="37"/>
        <v>45.234672278682581</v>
      </c>
      <c r="AK75" s="383">
        <f t="shared" si="37"/>
        <v>47.062757166122282</v>
      </c>
      <c r="AL75" s="383">
        <f t="shared" ref="AL75" si="40">AL71*$C60</f>
        <v>48.964721097829099</v>
      </c>
    </row>
    <row r="76" spans="1:38">
      <c r="B76" s="472" t="s">
        <v>752</v>
      </c>
      <c r="C76" s="386" t="s">
        <v>443</v>
      </c>
      <c r="D76" s="383">
        <f t="shared" si="39"/>
        <v>0</v>
      </c>
      <c r="E76" s="383">
        <f t="shared" si="37"/>
        <v>0</v>
      </c>
      <c r="F76" s="383">
        <f t="shared" si="37"/>
        <v>0</v>
      </c>
      <c r="G76" s="383">
        <f t="shared" si="37"/>
        <v>0</v>
      </c>
      <c r="H76" s="383">
        <f t="shared" si="37"/>
        <v>0</v>
      </c>
      <c r="I76" s="383">
        <f t="shared" si="37"/>
        <v>0</v>
      </c>
      <c r="J76" s="383">
        <f t="shared" si="37"/>
        <v>0</v>
      </c>
      <c r="K76" s="383">
        <f t="shared" si="37"/>
        <v>0</v>
      </c>
      <c r="L76" s="383">
        <f t="shared" si="37"/>
        <v>0</v>
      </c>
      <c r="M76" s="383">
        <f t="shared" si="37"/>
        <v>0</v>
      </c>
      <c r="N76" s="383">
        <f t="shared" si="37"/>
        <v>0</v>
      </c>
      <c r="O76" s="383">
        <f t="shared" si="37"/>
        <v>0</v>
      </c>
      <c r="P76" s="383">
        <f t="shared" si="37"/>
        <v>0</v>
      </c>
      <c r="Q76" s="383">
        <f t="shared" si="37"/>
        <v>0</v>
      </c>
      <c r="R76" s="383">
        <f t="shared" si="37"/>
        <v>0</v>
      </c>
      <c r="S76" s="383">
        <f t="shared" si="37"/>
        <v>0</v>
      </c>
      <c r="T76" s="383">
        <f t="shared" si="37"/>
        <v>0</v>
      </c>
      <c r="U76" s="383">
        <f t="shared" si="37"/>
        <v>0</v>
      </c>
      <c r="V76" s="383">
        <f t="shared" si="37"/>
        <v>0</v>
      </c>
      <c r="W76" s="383">
        <f t="shared" si="37"/>
        <v>0</v>
      </c>
      <c r="X76" s="383">
        <f t="shared" si="37"/>
        <v>0</v>
      </c>
      <c r="Y76" s="383">
        <f t="shared" si="37"/>
        <v>0</v>
      </c>
      <c r="Z76" s="383">
        <f t="shared" si="37"/>
        <v>0</v>
      </c>
      <c r="AA76" s="383">
        <f t="shared" si="37"/>
        <v>0</v>
      </c>
      <c r="AB76" s="383">
        <f t="shared" si="37"/>
        <v>0</v>
      </c>
      <c r="AC76" s="383">
        <f t="shared" si="37"/>
        <v>0</v>
      </c>
      <c r="AD76" s="383">
        <f t="shared" si="37"/>
        <v>0</v>
      </c>
      <c r="AE76" s="383">
        <f t="shared" si="37"/>
        <v>0</v>
      </c>
      <c r="AF76" s="383">
        <f t="shared" si="37"/>
        <v>0</v>
      </c>
      <c r="AG76" s="383">
        <f t="shared" si="37"/>
        <v>0</v>
      </c>
      <c r="AH76" s="383">
        <f t="shared" si="37"/>
        <v>0</v>
      </c>
      <c r="AI76" s="383">
        <f t="shared" si="37"/>
        <v>0</v>
      </c>
      <c r="AJ76" s="383">
        <f t="shared" si="37"/>
        <v>0</v>
      </c>
      <c r="AK76" s="383">
        <f t="shared" si="37"/>
        <v>0</v>
      </c>
      <c r="AL76" s="383">
        <f t="shared" ref="AL76" si="41">AL72*$C61</f>
        <v>0</v>
      </c>
    </row>
    <row r="77" spans="1:38">
      <c r="D77" s="358"/>
      <c r="F77" s="464"/>
      <c r="G77" s="465"/>
      <c r="H77" s="465"/>
    </row>
    <row r="78" spans="1:38" ht="13">
      <c r="B78" s="364" t="s">
        <v>514</v>
      </c>
      <c r="C78" s="487" t="s">
        <v>292</v>
      </c>
      <c r="D78" s="488">
        <f t="shared" ref="D78:AK78" si="42">D74*D49+D75*D50+D76*D51</f>
        <v>101504.70501746918</v>
      </c>
      <c r="E78" s="488">
        <f t="shared" si="42"/>
        <v>105606.85073664814</v>
      </c>
      <c r="F78" s="488">
        <f t="shared" si="42"/>
        <v>109874.77792870048</v>
      </c>
      <c r="G78" s="488">
        <f t="shared" si="42"/>
        <v>114315.18637920915</v>
      </c>
      <c r="H78" s="488">
        <f t="shared" si="42"/>
        <v>89201.284975929608</v>
      </c>
      <c r="I78" s="488">
        <f t="shared" si="42"/>
        <v>92806.208208269381</v>
      </c>
      <c r="J78" s="488">
        <f t="shared" si="42"/>
        <v>96556.818484406438</v>
      </c>
      <c r="K78" s="488">
        <f t="shared" si="42"/>
        <v>100459.00350661976</v>
      </c>
      <c r="L78" s="488">
        <f t="shared" si="42"/>
        <v>104518.8889189929</v>
      </c>
      <c r="M78" s="488">
        <f t="shared" si="42"/>
        <v>108742.84792344105</v>
      </c>
      <c r="N78" s="488">
        <f t="shared" si="42"/>
        <v>113137.5112843532</v>
      </c>
      <c r="O78" s="488">
        <f t="shared" si="42"/>
        <v>117709.77773755648</v>
      </c>
      <c r="P78" s="488">
        <f t="shared" si="42"/>
        <v>122466.82481994071</v>
      </c>
      <c r="Q78" s="488">
        <f t="shared" si="42"/>
        <v>127416.12013674506</v>
      </c>
      <c r="R78" s="488">
        <f t="shared" si="42"/>
        <v>132565.43308419286</v>
      </c>
      <c r="S78" s="488">
        <f t="shared" si="42"/>
        <v>137922.84704587914</v>
      </c>
      <c r="T78" s="488">
        <f t="shared" si="42"/>
        <v>143496.77208205219</v>
      </c>
      <c r="U78" s="488">
        <f t="shared" si="42"/>
        <v>149295.95813171437</v>
      </c>
      <c r="V78" s="488">
        <f t="shared" si="42"/>
        <v>155329.50874826295</v>
      </c>
      <c r="W78" s="488">
        <f t="shared" si="42"/>
        <v>161606.89539023381</v>
      </c>
      <c r="X78" s="488">
        <f t="shared" si="42"/>
        <v>168137.97228958306</v>
      </c>
      <c r="Y78" s="488">
        <f t="shared" si="42"/>
        <v>174932.99192084486</v>
      </c>
      <c r="Z78" s="488">
        <f t="shared" si="42"/>
        <v>182002.62109545068</v>
      </c>
      <c r="AA78" s="488">
        <f t="shared" si="42"/>
        <v>189357.95770647345</v>
      </c>
      <c r="AB78" s="488">
        <f t="shared" si="42"/>
        <v>197010.54815008288</v>
      </c>
      <c r="AC78" s="488">
        <f t="shared" si="42"/>
        <v>204972.40545106088</v>
      </c>
      <c r="AD78" s="488">
        <f t="shared" si="42"/>
        <v>213256.02812082955</v>
      </c>
      <c r="AE78" s="488">
        <f t="shared" si="42"/>
        <v>221874.41977759471</v>
      </c>
      <c r="AF78" s="488">
        <f t="shared" si="42"/>
        <v>230841.10955940664</v>
      </c>
      <c r="AG78" s="488">
        <f t="shared" si="42"/>
        <v>240170.17336217983</v>
      </c>
      <c r="AH78" s="488">
        <f t="shared" si="42"/>
        <v>249876.25593601298</v>
      </c>
      <c r="AI78" s="488">
        <f t="shared" si="42"/>
        <v>259974.59387449551</v>
      </c>
      <c r="AJ78" s="488">
        <f t="shared" si="42"/>
        <v>270481.03953308839</v>
      </c>
      <c r="AK78" s="488">
        <f t="shared" si="42"/>
        <v>281412.08591412834</v>
      </c>
      <c r="AL78" s="488">
        <f t="shared" ref="AL78" si="43">AL74*AL49+AL75*AL50+AL76*AL51</f>
        <v>292784.89255751675</v>
      </c>
    </row>
    <row r="79" spans="1:38">
      <c r="D79" s="358"/>
      <c r="F79" s="464"/>
      <c r="G79" s="465"/>
      <c r="H79" s="465"/>
    </row>
    <row r="80" spans="1:38" ht="13">
      <c r="A80" s="490"/>
      <c r="B80" s="452" t="s">
        <v>706</v>
      </c>
      <c r="C80" s="490"/>
      <c r="D80" s="379"/>
      <c r="E80" s="379"/>
      <c r="F80" s="379"/>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row>
    <row r="81" spans="1:38">
      <c r="D81" s="358"/>
      <c r="F81" s="464"/>
      <c r="G81" s="465"/>
      <c r="H81" s="465"/>
    </row>
    <row r="82" spans="1:38" ht="13">
      <c r="B82" s="364" t="s">
        <v>812</v>
      </c>
      <c r="C82" s="590" t="s">
        <v>443</v>
      </c>
      <c r="D82" s="383">
        <f>SUM(D62:D64)-SUM(D74:D76)</f>
        <v>0</v>
      </c>
      <c r="E82" s="383">
        <f t="shared" ref="E82:AE82" si="44">SUM(E62:E64)-SUM(E74:E76)</f>
        <v>0</v>
      </c>
      <c r="F82" s="383">
        <f t="shared" si="44"/>
        <v>0</v>
      </c>
      <c r="G82" s="383">
        <f t="shared" si="44"/>
        <v>0</v>
      </c>
      <c r="H82" s="383">
        <f t="shared" si="44"/>
        <v>1657.5203898374139</v>
      </c>
      <c r="I82" s="383">
        <f t="shared" si="44"/>
        <v>1724.5063504434074</v>
      </c>
      <c r="J82" s="383">
        <f t="shared" si="44"/>
        <v>1794.1994384825402</v>
      </c>
      <c r="K82" s="383">
        <f t="shared" si="44"/>
        <v>1866.7090580578833</v>
      </c>
      <c r="L82" s="383">
        <f t="shared" si="44"/>
        <v>1942.1490346594292</v>
      </c>
      <c r="M82" s="383">
        <f t="shared" si="44"/>
        <v>2020.6377938471387</v>
      </c>
      <c r="N82" s="383">
        <f t="shared" si="44"/>
        <v>2102.2985471552229</v>
      </c>
      <c r="O82" s="383">
        <f t="shared" si="44"/>
        <v>2187.2594855094076</v>
      </c>
      <c r="P82" s="383">
        <f t="shared" si="44"/>
        <v>2275.6539804608656</v>
      </c>
      <c r="Q82" s="383">
        <f t="shared" si="44"/>
        <v>2367.6207935526672</v>
      </c>
      <c r="R82" s="383">
        <f t="shared" si="44"/>
        <v>2463.3042941474423</v>
      </c>
      <c r="S82" s="383">
        <f t="shared" si="44"/>
        <v>2562.8546860581682</v>
      </c>
      <c r="T82" s="383">
        <f t="shared" si="44"/>
        <v>2666.4282433379212</v>
      </c>
      <c r="U82" s="383">
        <f t="shared" si="44"/>
        <v>2774.187555598608</v>
      </c>
      <c r="V82" s="383">
        <f t="shared" si="44"/>
        <v>2886.30178324392</v>
      </c>
      <c r="W82" s="383">
        <f t="shared" si="44"/>
        <v>3002.9469230170489</v>
      </c>
      <c r="X82" s="383">
        <f t="shared" si="44"/>
        <v>3124.3060842801224</v>
      </c>
      <c r="Y82" s="383">
        <f t="shared" si="44"/>
        <v>3250.5697764590077</v>
      </c>
      <c r="Z82" s="383">
        <f t="shared" si="44"/>
        <v>3381.9362081047057</v>
      </c>
      <c r="AA82" s="383">
        <f t="shared" si="44"/>
        <v>3518.6115980408231</v>
      </c>
      <c r="AB82" s="383">
        <f t="shared" si="44"/>
        <v>3660.8104990855791</v>
      </c>
      <c r="AC82" s="383">
        <f t="shared" si="44"/>
        <v>3808.7561348564977</v>
      </c>
      <c r="AD82" s="383">
        <f t="shared" si="44"/>
        <v>3962.6807501864878</v>
      </c>
      <c r="AE82" s="383">
        <f t="shared" si="44"/>
        <v>4122.8259757014366</v>
      </c>
      <c r="AF82" s="383">
        <f t="shared" ref="AF82:AJ82" si="45">SUM(AF62:AF64)-SUM(AF74:AF76)</f>
        <v>4289.4432071315678</v>
      </c>
      <c r="AG82" s="383">
        <f t="shared" si="45"/>
        <v>4462.7939999521386</v>
      </c>
      <c r="AH82" s="383">
        <f t="shared" si="45"/>
        <v>4643.15047997275</v>
      </c>
      <c r="AI82" s="383">
        <f t="shared" si="45"/>
        <v>4830.7957705200752</v>
      </c>
      <c r="AJ82" s="383">
        <f t="shared" si="45"/>
        <v>5026.0244368844214</v>
      </c>
      <c r="AK82" s="383">
        <f t="shared" ref="AK82:AL82" si="46">SUM(AK62:AK64)-SUM(AK74:AK76)</f>
        <v>5229.1429487278456</v>
      </c>
      <c r="AL82" s="383">
        <f t="shared" si="46"/>
        <v>5440.4701611797882</v>
      </c>
    </row>
    <row r="83" spans="1:38" ht="13">
      <c r="B83" s="364" t="s">
        <v>813</v>
      </c>
      <c r="C83" s="590" t="s">
        <v>443</v>
      </c>
      <c r="D83" s="383">
        <f>SUM(D55:D57)-SUM(D70:D72)</f>
        <v>0</v>
      </c>
      <c r="E83" s="383">
        <f t="shared" ref="E83:AE83" si="47">SUM(E55:E57)-SUM(E70:E72)</f>
        <v>0</v>
      </c>
      <c r="F83" s="383">
        <f t="shared" si="47"/>
        <v>0</v>
      </c>
      <c r="G83" s="383">
        <f t="shared" si="47"/>
        <v>0</v>
      </c>
      <c r="H83" s="383">
        <f t="shared" si="47"/>
        <v>994.52217912423885</v>
      </c>
      <c r="I83" s="383">
        <f t="shared" si="47"/>
        <v>1034.7141574076186</v>
      </c>
      <c r="J83" s="383">
        <f t="shared" si="47"/>
        <v>1076.5304283938076</v>
      </c>
      <c r="K83" s="383">
        <f t="shared" si="47"/>
        <v>1120.0366352010815</v>
      </c>
      <c r="L83" s="383">
        <f t="shared" si="47"/>
        <v>1165.3010738063954</v>
      </c>
      <c r="M83" s="383">
        <f t="shared" si="47"/>
        <v>1212.3948002562861</v>
      </c>
      <c r="N83" s="383">
        <f t="shared" si="47"/>
        <v>1261.3917422105565</v>
      </c>
      <c r="O83" s="383">
        <f t="shared" si="47"/>
        <v>1312.3688149937943</v>
      </c>
      <c r="P83" s="383">
        <f t="shared" si="47"/>
        <v>1365.4060423369428</v>
      </c>
      <c r="Q83" s="383">
        <f t="shared" si="47"/>
        <v>1420.5866819984203</v>
      </c>
      <c r="R83" s="383">
        <f t="shared" si="47"/>
        <v>1477.9973564620295</v>
      </c>
      <c r="S83" s="383">
        <f t="shared" si="47"/>
        <v>1537.7281889167907</v>
      </c>
      <c r="T83" s="383">
        <f t="shared" si="47"/>
        <v>1599.8729447322003</v>
      </c>
      <c r="U83" s="383">
        <f t="shared" si="47"/>
        <v>1664.5291786509515</v>
      </c>
      <c r="V83" s="383">
        <f t="shared" si="47"/>
        <v>1731.7983879302319</v>
      </c>
      <c r="W83" s="383">
        <f t="shared" si="47"/>
        <v>1801.7861716719462</v>
      </c>
      <c r="X83" s="383">
        <f t="shared" si="47"/>
        <v>1874.6023965920385</v>
      </c>
      <c r="Y83" s="383">
        <f t="shared" si="47"/>
        <v>1950.3613694890992</v>
      </c>
      <c r="Z83" s="383">
        <f t="shared" si="47"/>
        <v>2029.1820166829903</v>
      </c>
      <c r="AA83" s="383">
        <f t="shared" si="47"/>
        <v>2111.1880707052005</v>
      </c>
      <c r="AB83" s="383">
        <f t="shared" si="47"/>
        <v>2196.5082645339926</v>
      </c>
      <c r="AC83" s="383">
        <f t="shared" si="47"/>
        <v>2285.2765336792363</v>
      </c>
      <c r="AD83" s="383">
        <f t="shared" si="47"/>
        <v>2377.6322264341579</v>
      </c>
      <c r="AE83" s="383">
        <f t="shared" si="47"/>
        <v>2473.7203226240881</v>
      </c>
      <c r="AF83" s="383">
        <f t="shared" ref="AF83:AJ83" si="48">SUM(AF55:AF57)-SUM(AF70:AF72)</f>
        <v>2573.691661195553</v>
      </c>
      <c r="AG83" s="383">
        <f t="shared" si="48"/>
        <v>2677.7031770030526</v>
      </c>
      <c r="AH83" s="383">
        <f t="shared" si="48"/>
        <v>2785.9181471651209</v>
      </c>
      <c r="AI83" s="383">
        <f t="shared" si="48"/>
        <v>2898.5064473765196</v>
      </c>
      <c r="AJ83" s="383">
        <f t="shared" si="48"/>
        <v>3015.6448185788395</v>
      </c>
      <c r="AK83" s="383">
        <f t="shared" ref="AK83:AL83" si="49">SUM(AK55:AK57)-SUM(AK70:AK72)</f>
        <v>3137.5171444081516</v>
      </c>
      <c r="AL83" s="383">
        <f t="shared" si="49"/>
        <v>3264.3147398552719</v>
      </c>
    </row>
    <row r="84" spans="1:38">
      <c r="D84" s="358"/>
      <c r="F84" s="464"/>
      <c r="G84" s="465"/>
      <c r="H84" s="465"/>
    </row>
    <row r="85" spans="1:38" ht="13">
      <c r="B85" s="492" t="s">
        <v>284</v>
      </c>
      <c r="C85" s="487" t="s">
        <v>292</v>
      </c>
      <c r="D85" s="488">
        <f>D66-D78</f>
        <v>0</v>
      </c>
      <c r="E85" s="488">
        <f t="shared" ref="E85:AK85" si="50">E66-E78</f>
        <v>0</v>
      </c>
      <c r="F85" s="488">
        <f t="shared" si="50"/>
        <v>0</v>
      </c>
      <c r="G85" s="488">
        <f t="shared" si="50"/>
        <v>0</v>
      </c>
      <c r="H85" s="488">
        <f t="shared" si="50"/>
        <v>29733.761658643212</v>
      </c>
      <c r="I85" s="488">
        <f t="shared" si="50"/>
        <v>30935.402736089789</v>
      </c>
      <c r="J85" s="488">
        <f t="shared" si="50"/>
        <v>32185.606161468881</v>
      </c>
      <c r="K85" s="488">
        <f t="shared" si="50"/>
        <v>33486.334502206577</v>
      </c>
      <c r="L85" s="488">
        <f t="shared" si="50"/>
        <v>34839.629639664272</v>
      </c>
      <c r="M85" s="488">
        <f t="shared" si="50"/>
        <v>36247.615974480301</v>
      </c>
      <c r="N85" s="488">
        <f t="shared" si="50"/>
        <v>37712.503761451095</v>
      </c>
      <c r="O85" s="488">
        <f t="shared" si="50"/>
        <v>39236.592579185512</v>
      </c>
      <c r="P85" s="488">
        <f t="shared" si="50"/>
        <v>40822.274939980227</v>
      </c>
      <c r="Q85" s="488">
        <f t="shared" si="50"/>
        <v>42472.040045581627</v>
      </c>
      <c r="R85" s="488">
        <f t="shared" si="50"/>
        <v>44188.477694731031</v>
      </c>
      <c r="S85" s="488">
        <f t="shared" si="50"/>
        <v>45974.282348626351</v>
      </c>
      <c r="T85" s="488">
        <f t="shared" si="50"/>
        <v>47832.257360683987</v>
      </c>
      <c r="U85" s="488">
        <f t="shared" si="50"/>
        <v>49765.319377238076</v>
      </c>
      <c r="V85" s="488">
        <f t="shared" si="50"/>
        <v>51776.502916087687</v>
      </c>
      <c r="W85" s="488">
        <f t="shared" si="50"/>
        <v>53868.965130078053</v>
      </c>
      <c r="X85" s="488">
        <f t="shared" si="50"/>
        <v>56045.990763194364</v>
      </c>
      <c r="Y85" s="488">
        <f t="shared" si="50"/>
        <v>58310.997306948295</v>
      </c>
      <c r="Z85" s="488">
        <f t="shared" si="50"/>
        <v>60667.540365150286</v>
      </c>
      <c r="AA85" s="488">
        <f t="shared" si="50"/>
        <v>63119.319235491217</v>
      </c>
      <c r="AB85" s="488">
        <f t="shared" si="50"/>
        <v>65670.182716694311</v>
      </c>
      <c r="AC85" s="488">
        <f t="shared" si="50"/>
        <v>68324.135150353628</v>
      </c>
      <c r="AD85" s="488">
        <f t="shared" si="50"/>
        <v>71085.342706943164</v>
      </c>
      <c r="AE85" s="488">
        <f t="shared" si="50"/>
        <v>73958.139925864903</v>
      </c>
      <c r="AF85" s="488">
        <f t="shared" si="50"/>
        <v>76947.036519802175</v>
      </c>
      <c r="AG85" s="488">
        <f t="shared" si="50"/>
        <v>80056.724454059964</v>
      </c>
      <c r="AH85" s="488">
        <f t="shared" si="50"/>
        <v>83292.085312004347</v>
      </c>
      <c r="AI85" s="488">
        <f t="shared" si="50"/>
        <v>86658.19795816511</v>
      </c>
      <c r="AJ85" s="488">
        <f t="shared" si="50"/>
        <v>90160.346511029522</v>
      </c>
      <c r="AK85" s="488">
        <f t="shared" si="50"/>
        <v>93804.028638042684</v>
      </c>
      <c r="AL85" s="488">
        <f t="shared" ref="AL85" si="51">AL66-AL78</f>
        <v>97594.964185838879</v>
      </c>
    </row>
    <row r="86" spans="1:38">
      <c r="D86" s="358"/>
      <c r="F86" s="464"/>
      <c r="G86" s="465"/>
      <c r="H86" s="465"/>
    </row>
    <row r="87" spans="1:38" ht="13">
      <c r="A87" s="466" t="s">
        <v>707</v>
      </c>
      <c r="B87" s="467"/>
      <c r="C87" s="468"/>
      <c r="D87" s="468"/>
      <c r="E87" s="469"/>
      <c r="F87" s="470"/>
      <c r="G87" s="470"/>
      <c r="H87" s="470"/>
      <c r="I87" s="470"/>
      <c r="J87" s="470"/>
      <c r="K87" s="470"/>
      <c r="L87" s="470"/>
      <c r="M87" s="470"/>
      <c r="N87" s="470"/>
      <c r="O87" s="470"/>
      <c r="P87" s="470"/>
      <c r="Q87" s="470"/>
      <c r="R87" s="470"/>
      <c r="S87" s="471"/>
      <c r="T87" s="471"/>
      <c r="U87" s="471"/>
      <c r="V87" s="471"/>
      <c r="W87" s="471"/>
      <c r="X87" s="471"/>
      <c r="Y87" s="471"/>
      <c r="Z87" s="471"/>
      <c r="AA87" s="471"/>
      <c r="AB87" s="471"/>
      <c r="AC87" s="471"/>
      <c r="AD87" s="471"/>
      <c r="AE87" s="471"/>
      <c r="AF87" s="471"/>
      <c r="AG87" s="471"/>
      <c r="AH87" s="471"/>
      <c r="AI87" s="471"/>
      <c r="AJ87" s="471"/>
      <c r="AK87" s="471"/>
      <c r="AL87" s="471"/>
    </row>
    <row r="88" spans="1:38" ht="13">
      <c r="A88" s="452"/>
      <c r="B88" s="495" t="s">
        <v>601</v>
      </c>
      <c r="C88" s="453"/>
      <c r="D88" s="454"/>
      <c r="E88" s="379"/>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row>
    <row r="89" spans="1:38">
      <c r="D89" s="358"/>
      <c r="F89" s="464"/>
      <c r="G89" s="465"/>
      <c r="H89" s="465"/>
    </row>
    <row r="90" spans="1:38">
      <c r="B90" s="476" t="s">
        <v>731</v>
      </c>
      <c r="C90" s="477" t="s">
        <v>531</v>
      </c>
      <c r="D90" s="474">
        <f>SUMIFS('Auto Emissions'!$C$37:$C$75,'Auto Emissions'!$B$37:$B$75,D$3)</f>
        <v>2274.1135759045865</v>
      </c>
      <c r="E90" s="474">
        <f>SUMIFS('Auto Emissions'!$C$37:$C$75,'Auto Emissions'!$B$37:$B$75,E$3)</f>
        <v>2240.7290130122856</v>
      </c>
      <c r="F90" s="474">
        <f>SUMIFS('Auto Emissions'!$C$37:$C$75,'Auto Emissions'!$B$37:$B$75,F$3)</f>
        <v>2207.3444501199847</v>
      </c>
      <c r="G90" s="474">
        <f>SUMIFS('Auto Emissions'!$C$37:$C$75,'Auto Emissions'!$B$37:$B$75,G$3)</f>
        <v>2173.9598872276838</v>
      </c>
      <c r="H90" s="474">
        <f>SUMIFS('Auto Emissions'!$C$37:$C$75,'Auto Emissions'!$B$37:$B$75,H$3)</f>
        <v>2140.5753243353975</v>
      </c>
      <c r="I90" s="474">
        <f>SUMIFS('Auto Emissions'!$C$37:$C$75,'Auto Emissions'!$B$37:$B$75,I$3)</f>
        <v>2107.1907614430966</v>
      </c>
      <c r="J90" s="474">
        <f>SUMIFS('Auto Emissions'!$C$37:$C$75,'Auto Emissions'!$B$37:$B$75,J$3)</f>
        <v>2073.8061985507957</v>
      </c>
      <c r="K90" s="474">
        <f>SUMIFS('Auto Emissions'!$C$37:$C$75,'Auto Emissions'!$B$37:$B$75,K$3)</f>
        <v>2040.4216356584948</v>
      </c>
      <c r="L90" s="474">
        <f>SUMIFS('Auto Emissions'!$C$37:$C$75,'Auto Emissions'!$B$37:$B$75,L$3)</f>
        <v>2007.0370727661939</v>
      </c>
      <c r="M90" s="474">
        <f>SUMIFS('Auto Emissions'!$C$37:$C$75,'Auto Emissions'!$B$37:$B$75,M$3)</f>
        <v>1973.6525098739075</v>
      </c>
      <c r="N90" s="474">
        <f>SUMIFS('Auto Emissions'!$C$37:$C$75,'Auto Emissions'!$B$37:$B$75,N$3)</f>
        <v>1935.1060066223145</v>
      </c>
      <c r="O90" s="474">
        <f>SUMIFS('Auto Emissions'!$C$37:$C$75,'Auto Emissions'!$B$37:$B$75,O$3)</f>
        <v>1896.5595033707068</v>
      </c>
      <c r="P90" s="474">
        <f>SUMIFS('Auto Emissions'!$C$37:$C$75,'Auto Emissions'!$B$37:$B$75,P$3)</f>
        <v>1858.0130001191137</v>
      </c>
      <c r="Q90" s="474">
        <f>SUMIFS('Auto Emissions'!$C$37:$C$75,'Auto Emissions'!$B$37:$B$75,Q$3)</f>
        <v>1819.4664968675206</v>
      </c>
      <c r="R90" s="474">
        <f>SUMIFS('Auto Emissions'!$C$37:$C$75,'Auto Emissions'!$B$37:$B$75,R$3)</f>
        <v>1780.919993615913</v>
      </c>
      <c r="S90" s="474">
        <f>SUMIFS('Auto Emissions'!$C$37:$C$75,'Auto Emissions'!$B$37:$B$75,S$3)</f>
        <v>1742.3734903643199</v>
      </c>
      <c r="T90" s="474">
        <f>SUMIFS('Auto Emissions'!$C$37:$C$75,'Auto Emissions'!$B$37:$B$75,T$3)</f>
        <v>1703.8269871127122</v>
      </c>
      <c r="U90" s="474">
        <f>SUMIFS('Auto Emissions'!$C$37:$C$75,'Auto Emissions'!$B$37:$B$75,U$3)</f>
        <v>1665.2804838611191</v>
      </c>
      <c r="V90" s="474">
        <f>SUMIFS('Auto Emissions'!$C$37:$C$75,'Auto Emissions'!$B$37:$B$75,V$3)</f>
        <v>1626.733980609526</v>
      </c>
      <c r="W90" s="474">
        <f>SUMIFS('Auto Emissions'!$C$37:$C$75,'Auto Emissions'!$B$37:$B$75,W$3)</f>
        <v>1588.1874773579184</v>
      </c>
      <c r="X90" s="474">
        <f>SUMIFS('Auto Emissions'!$C$37:$C$75,'Auto Emissions'!$B$37:$B$75,X$3)</f>
        <v>1562.4158852484907</v>
      </c>
      <c r="Y90" s="474">
        <f>SUMIFS('Auto Emissions'!$C$37:$C$75,'Auto Emissions'!$B$37:$B$75,Y$3)</f>
        <v>1536.6442931390557</v>
      </c>
      <c r="Z90" s="474">
        <f>SUMIFS('Auto Emissions'!$C$37:$C$75,'Auto Emissions'!$B$37:$B$75,Z$3)</f>
        <v>1510.8727010296207</v>
      </c>
      <c r="AA90" s="474">
        <f>SUMIFS('Auto Emissions'!$C$37:$C$75,'Auto Emissions'!$B$37:$B$75,AA$3)</f>
        <v>1485.1011089201857</v>
      </c>
      <c r="AB90" s="474">
        <f>SUMIFS('Auto Emissions'!$C$37:$C$75,'Auto Emissions'!$B$37:$B$75,AB$3)</f>
        <v>1459.3295168107506</v>
      </c>
      <c r="AC90" s="474">
        <f>SUMIFS('Auto Emissions'!$C$37:$C$75,'Auto Emissions'!$B$37:$B$75,AC$3)</f>
        <v>1433.5579247013229</v>
      </c>
      <c r="AD90" s="474">
        <f>SUMIFS('Auto Emissions'!$C$37:$C$75,'Auto Emissions'!$B$37:$B$75,AD$3)</f>
        <v>1407.7863325918879</v>
      </c>
      <c r="AE90" s="474">
        <f>SUMIFS('Auto Emissions'!$C$37:$C$75,'Auto Emissions'!$B$37:$B$75,AE$3)</f>
        <v>1382.0147404824529</v>
      </c>
      <c r="AF90" s="474">
        <f>SUMIFS('Auto Emissions'!$C$37:$C$75,'Auto Emissions'!$B$37:$B$75,AF$3)</f>
        <v>1356.2431483730179</v>
      </c>
      <c r="AG90" s="474">
        <f>SUMIFS('Auto Emissions'!$C$37:$C$75,'Auto Emissions'!$B$37:$B$75,AG$3)</f>
        <v>1330.4715562635829</v>
      </c>
      <c r="AH90" s="474">
        <f>SUMIFS('Auto Emissions'!$C$37:$C$75,'Auto Emissions'!$B$37:$B$75,AH$3)</f>
        <v>1330.4715562635829</v>
      </c>
      <c r="AI90" s="474">
        <f>SUMIFS('Auto Emissions'!$C$37:$C$75,'Auto Emissions'!$B$37:$B$75,AI$3)</f>
        <v>1330.4715562635829</v>
      </c>
      <c r="AJ90" s="474">
        <f>SUMIFS('Auto Emissions'!$C$37:$C$75,'Auto Emissions'!$B$37:$B$75,AJ$3)</f>
        <v>1330.4715562635829</v>
      </c>
      <c r="AK90" s="474">
        <f>SUMIFS('Auto Emissions'!$C$37:$C$75,'Auto Emissions'!$B$37:$B$75,AK$3)</f>
        <v>1330.4715562635829</v>
      </c>
      <c r="AL90" s="474">
        <f>SUMIFS('Auto Emissions'!$C$37:$C$75,'Auto Emissions'!$B$37:$B$75,AL$3)</f>
        <v>1330.4715562635829</v>
      </c>
    </row>
    <row r="91" spans="1:38">
      <c r="B91" s="478" t="s">
        <v>732</v>
      </c>
      <c r="C91" s="477" t="s">
        <v>531</v>
      </c>
      <c r="D91" s="541">
        <f>SUMIFS('Auto Emissions'!$D$37:$D$75,'Auto Emissions'!$B$37:$B$75,D$3)</f>
        <v>1.9865884333581221</v>
      </c>
      <c r="E91" s="541">
        <f>SUMIFS('Auto Emissions'!$D$37:$D$75,'Auto Emissions'!$B$37:$B$75,E$3)</f>
        <v>1.7920142219208515</v>
      </c>
      <c r="F91" s="541">
        <f>SUMIFS('Auto Emissions'!$D$37:$D$75,'Auto Emissions'!$B$37:$B$75,F$3)</f>
        <v>1.5974400104835809</v>
      </c>
      <c r="G91" s="541">
        <f>SUMIFS('Auto Emissions'!$D$37:$D$75,'Auto Emissions'!$B$37:$B$75,G$3)</f>
        <v>1.4028657990462534</v>
      </c>
      <c r="H91" s="541">
        <f>SUMIFS('Auto Emissions'!$D$37:$D$75,'Auto Emissions'!$B$37:$B$75,H$3)</f>
        <v>1.2082915876089828</v>
      </c>
      <c r="I91" s="541">
        <f>SUMIFS('Auto Emissions'!$D$37:$D$75,'Auto Emissions'!$B$37:$B$75,I$3)</f>
        <v>1.0137173761717122</v>
      </c>
      <c r="J91" s="541">
        <f>SUMIFS('Auto Emissions'!$D$37:$D$75,'Auto Emissions'!$B$37:$B$75,J$3)</f>
        <v>0.8191431647344416</v>
      </c>
      <c r="K91" s="541">
        <f>SUMIFS('Auto Emissions'!$D$37:$D$75,'Auto Emissions'!$B$37:$B$75,K$3)</f>
        <v>0.62456895329711415</v>
      </c>
      <c r="L91" s="541">
        <f>SUMIFS('Auto Emissions'!$D$37:$D$75,'Auto Emissions'!$B$37:$B$75,L$3)</f>
        <v>0.42999474185984354</v>
      </c>
      <c r="M91" s="541">
        <f>SUMIFS('Auto Emissions'!$D$37:$D$75,'Auto Emissions'!$B$37:$B$75,M$3)</f>
        <v>0.23542053042257294</v>
      </c>
      <c r="N91" s="541">
        <f>SUMIFS('Auto Emissions'!$D$37:$D$75,'Auto Emissions'!$B$37:$B$75,N$3)</f>
        <v>0.21562640390460786</v>
      </c>
      <c r="O91" s="541">
        <f>SUMIFS('Auto Emissions'!$D$37:$D$75,'Auto Emissions'!$B$37:$B$75,O$3)</f>
        <v>0.1958322773866783</v>
      </c>
      <c r="P91" s="541">
        <f>SUMIFS('Auto Emissions'!$D$37:$D$75,'Auto Emissions'!$B$37:$B$75,P$3)</f>
        <v>0.17603815086875585</v>
      </c>
      <c r="Q91" s="541">
        <f>SUMIFS('Auto Emissions'!$D$37:$D$75,'Auto Emissions'!$B$37:$B$75,Q$3)</f>
        <v>0.15624402435082629</v>
      </c>
      <c r="R91" s="541">
        <f>SUMIFS('Auto Emissions'!$D$37:$D$75,'Auto Emissions'!$B$37:$B$75,R$3)</f>
        <v>0.13644989783290384</v>
      </c>
      <c r="S91" s="541">
        <f>SUMIFS('Auto Emissions'!$D$37:$D$75,'Auto Emissions'!$B$37:$B$75,S$3)</f>
        <v>0.11665577131497429</v>
      </c>
      <c r="T91" s="541">
        <f>SUMIFS('Auto Emissions'!$D$37:$D$75,'Auto Emissions'!$B$37:$B$75,T$3)</f>
        <v>9.6861644797051838E-2</v>
      </c>
      <c r="U91" s="541">
        <f>SUMIFS('Auto Emissions'!$D$37:$D$75,'Auto Emissions'!$B$37:$B$75,U$3)</f>
        <v>7.7067518279122282E-2</v>
      </c>
      <c r="V91" s="541">
        <f>SUMIFS('Auto Emissions'!$D$37:$D$75,'Auto Emissions'!$B$37:$B$75,V$3)</f>
        <v>5.7273391761199832E-2</v>
      </c>
      <c r="W91" s="541">
        <f>SUMIFS('Auto Emissions'!$D$37:$D$75,'Auto Emissions'!$B$37:$B$75,W$3)</f>
        <v>3.7479265243270277E-2</v>
      </c>
      <c r="X91" s="541">
        <f>SUMIFS('Auto Emissions'!$D$37:$D$75,'Auto Emissions'!$B$37:$B$75,X$3)</f>
        <v>3.4733312841008335E-2</v>
      </c>
      <c r="Y91" s="541">
        <f>SUMIFS('Auto Emissions'!$D$37:$D$75,'Auto Emissions'!$B$37:$B$75,Y$3)</f>
        <v>3.1987360438741064E-2</v>
      </c>
      <c r="Z91" s="541">
        <f>SUMIFS('Auto Emissions'!$D$37:$D$75,'Auto Emissions'!$B$37:$B$75,Z$3)</f>
        <v>2.9241408036472905E-2</v>
      </c>
      <c r="AA91" s="541">
        <f>SUMIFS('Auto Emissions'!$D$37:$D$75,'Auto Emissions'!$B$37:$B$75,AA$3)</f>
        <v>2.6495455634204745E-2</v>
      </c>
      <c r="AB91" s="541">
        <f>SUMIFS('Auto Emissions'!$D$37:$D$75,'Auto Emissions'!$B$37:$B$75,AB$3)</f>
        <v>2.3749503231937474E-2</v>
      </c>
      <c r="AC91" s="541">
        <f>SUMIFS('Auto Emissions'!$D$37:$D$75,'Auto Emissions'!$B$37:$B$75,AC$3)</f>
        <v>2.1003550829669315E-2</v>
      </c>
      <c r="AD91" s="541">
        <f>SUMIFS('Auto Emissions'!$D$37:$D$75,'Auto Emissions'!$B$37:$B$75,AD$3)</f>
        <v>1.8257598427402044E-2</v>
      </c>
      <c r="AE91" s="541">
        <f>SUMIFS('Auto Emissions'!$D$37:$D$75,'Auto Emissions'!$B$37:$B$75,AE$3)</f>
        <v>1.5511646025133885E-2</v>
      </c>
      <c r="AF91" s="541">
        <f>SUMIFS('Auto Emissions'!$D$37:$D$75,'Auto Emissions'!$B$37:$B$75,AF$3)</f>
        <v>1.2765693622865726E-2</v>
      </c>
      <c r="AG91" s="541">
        <f>SUMIFS('Auto Emissions'!$D$37:$D$75,'Auto Emissions'!$B$37:$B$75,AG$3)</f>
        <v>1.0019741220598455E-2</v>
      </c>
      <c r="AH91" s="541">
        <f>SUMIFS('Auto Emissions'!$D$37:$D$75,'Auto Emissions'!$B$37:$B$75,AH$3)</f>
        <v>1.0019741220598455E-2</v>
      </c>
      <c r="AI91" s="541">
        <f>SUMIFS('Auto Emissions'!$D$37:$D$75,'Auto Emissions'!$B$37:$B$75,AI$3)</f>
        <v>1.0019741220598455E-2</v>
      </c>
      <c r="AJ91" s="541">
        <f>SUMIFS('Auto Emissions'!$D$37:$D$75,'Auto Emissions'!$B$37:$B$75,AJ$3)</f>
        <v>1.0019741220598455E-2</v>
      </c>
      <c r="AK91" s="541">
        <f>SUMIFS('Auto Emissions'!$D$37:$D$75,'Auto Emissions'!$B$37:$B$75,AK$3)</f>
        <v>1.0019741220598455E-2</v>
      </c>
      <c r="AL91" s="541">
        <f>SUMIFS('Auto Emissions'!$D$37:$D$75,'Auto Emissions'!$B$37:$B$75,AL$3)</f>
        <v>1.0019741220598455E-2</v>
      </c>
    </row>
    <row r="92" spans="1:38">
      <c r="B92" s="478" t="s">
        <v>733</v>
      </c>
      <c r="C92" s="477" t="s">
        <v>531</v>
      </c>
      <c r="D92" s="541">
        <f>SUMIFS('Auto Emissions'!$F$37:$F$75,'Auto Emissions'!$B$37:$B$75,D$3)</f>
        <v>5.4727980315933067E-2</v>
      </c>
      <c r="E92" s="541">
        <f>SUMIFS('Auto Emissions'!$F$37:$F$75,'Auto Emissions'!$B$37:$B$75,E$3)</f>
        <v>5.2886240830224196E-2</v>
      </c>
      <c r="F92" s="541">
        <f>SUMIFS('Auto Emissions'!$F$37:$F$75,'Auto Emissions'!$B$37:$B$75,F$3)</f>
        <v>5.1044501344515769E-2</v>
      </c>
      <c r="G92" s="541">
        <f>SUMIFS('Auto Emissions'!$F$37:$F$75,'Auto Emissions'!$B$37:$B$75,G$3)</f>
        <v>4.9202761858806898E-2</v>
      </c>
      <c r="H92" s="541">
        <f>SUMIFS('Auto Emissions'!$F$37:$F$75,'Auto Emissions'!$B$37:$B$75,H$3)</f>
        <v>4.7361022373098027E-2</v>
      </c>
      <c r="I92" s="541">
        <f>SUMIFS('Auto Emissions'!$F$37:$F$75,'Auto Emissions'!$B$37:$B$75,I$3)</f>
        <v>4.5519282887389156E-2</v>
      </c>
      <c r="J92" s="541">
        <f>SUMIFS('Auto Emissions'!$F$37:$F$75,'Auto Emissions'!$B$37:$B$75,J$3)</f>
        <v>4.367754340168073E-2</v>
      </c>
      <c r="K92" s="541">
        <f>SUMIFS('Auto Emissions'!$F$37:$F$75,'Auto Emissions'!$B$37:$B$75,K$3)</f>
        <v>4.1835803915971859E-2</v>
      </c>
      <c r="L92" s="541">
        <f>SUMIFS('Auto Emissions'!$F$37:$F$75,'Auto Emissions'!$B$37:$B$75,L$3)</f>
        <v>3.9994064430262988E-2</v>
      </c>
      <c r="M92" s="541">
        <f>SUMIFS('Auto Emissions'!$F$37:$F$75,'Auto Emissions'!$B$37:$B$75,M$3)</f>
        <v>3.8152324944554117E-2</v>
      </c>
      <c r="N92" s="541">
        <f>SUMIFS('Auto Emissions'!$F$37:$F$75,'Auto Emissions'!$B$37:$B$75,N$3)</f>
        <v>3.688469148924467E-2</v>
      </c>
      <c r="O92" s="541">
        <f>SUMIFS('Auto Emissions'!$F$37:$F$75,'Auto Emissions'!$B$37:$B$75,O$3)</f>
        <v>3.5617058033934779E-2</v>
      </c>
      <c r="P92" s="541">
        <f>SUMIFS('Auto Emissions'!$F$37:$F$75,'Auto Emissions'!$B$37:$B$75,P$3)</f>
        <v>3.4349424578624888E-2</v>
      </c>
      <c r="Q92" s="541">
        <f>SUMIFS('Auto Emissions'!$F$37:$F$75,'Auto Emissions'!$B$37:$B$75,Q$3)</f>
        <v>3.3081791123314996E-2</v>
      </c>
      <c r="R92" s="541">
        <f>SUMIFS('Auto Emissions'!$F$37:$F$75,'Auto Emissions'!$B$37:$B$75,R$3)</f>
        <v>3.1814157668005549E-2</v>
      </c>
      <c r="S92" s="541">
        <f>SUMIFS('Auto Emissions'!$F$37:$F$75,'Auto Emissions'!$B$37:$B$75,S$3)</f>
        <v>3.0546524212695658E-2</v>
      </c>
      <c r="T92" s="541">
        <f>SUMIFS('Auto Emissions'!$F$37:$F$75,'Auto Emissions'!$B$37:$B$75,T$3)</f>
        <v>2.9278890757385767E-2</v>
      </c>
      <c r="U92" s="541">
        <f>SUMIFS('Auto Emissions'!$F$37:$F$75,'Auto Emissions'!$B$37:$B$75,U$3)</f>
        <v>2.8011257302075876E-2</v>
      </c>
      <c r="V92" s="541">
        <f>SUMIFS('Auto Emissions'!$F$37:$F$75,'Auto Emissions'!$B$37:$B$75,V$3)</f>
        <v>2.6743623846766429E-2</v>
      </c>
      <c r="W92" s="541">
        <f>SUMIFS('Auto Emissions'!$F$37:$F$75,'Auto Emissions'!$B$37:$B$75,W$3)</f>
        <v>2.5475990391456538E-2</v>
      </c>
      <c r="X92" s="541">
        <f>SUMIFS('Auto Emissions'!$F$37:$F$75,'Auto Emissions'!$B$37:$B$75,X$3)</f>
        <v>2.4577842184601462E-2</v>
      </c>
      <c r="Y92" s="541">
        <f>SUMIFS('Auto Emissions'!$F$37:$F$75,'Auto Emissions'!$B$37:$B$75,Y$3)</f>
        <v>2.3679693977746608E-2</v>
      </c>
      <c r="Z92" s="541">
        <f>SUMIFS('Auto Emissions'!$F$37:$F$75,'Auto Emissions'!$B$37:$B$75,Z$3)</f>
        <v>2.2781545770891531E-2</v>
      </c>
      <c r="AA92" s="541">
        <f>SUMIFS('Auto Emissions'!$F$37:$F$75,'Auto Emissions'!$B$37:$B$75,AA$3)</f>
        <v>2.1883397564036455E-2</v>
      </c>
      <c r="AB92" s="541">
        <f>SUMIFS('Auto Emissions'!$F$37:$F$75,'Auto Emissions'!$B$37:$B$75,AB$3)</f>
        <v>2.0985249357181601E-2</v>
      </c>
      <c r="AC92" s="541">
        <f>SUMIFS('Auto Emissions'!$F$37:$F$75,'Auto Emissions'!$B$37:$B$75,AC$3)</f>
        <v>2.0087101150326525E-2</v>
      </c>
      <c r="AD92" s="541">
        <f>SUMIFS('Auto Emissions'!$F$37:$F$75,'Auto Emissions'!$B$37:$B$75,AD$3)</f>
        <v>1.9188952943471671E-2</v>
      </c>
      <c r="AE92" s="541">
        <f>SUMIFS('Auto Emissions'!$F$37:$F$75,'Auto Emissions'!$B$37:$B$75,AE$3)</f>
        <v>1.8290804736616595E-2</v>
      </c>
      <c r="AF92" s="541">
        <f>SUMIFS('Auto Emissions'!$F$37:$F$75,'Auto Emissions'!$B$37:$B$75,AF$3)</f>
        <v>1.7392656529761519E-2</v>
      </c>
      <c r="AG92" s="541">
        <f>SUMIFS('Auto Emissions'!$F$37:$F$75,'Auto Emissions'!$B$37:$B$75,AG$3)</f>
        <v>1.6494508322906665E-2</v>
      </c>
      <c r="AH92" s="541">
        <f>SUMIFS('Auto Emissions'!$F$37:$F$75,'Auto Emissions'!$B$37:$B$75,AH$3)</f>
        <v>1.6494508322906665E-2</v>
      </c>
      <c r="AI92" s="541">
        <f>SUMIFS('Auto Emissions'!$F$37:$F$75,'Auto Emissions'!$B$37:$B$75,AI$3)</f>
        <v>1.6494508322906665E-2</v>
      </c>
      <c r="AJ92" s="541">
        <f>SUMIFS('Auto Emissions'!$F$37:$F$75,'Auto Emissions'!$B$37:$B$75,AJ$3)</f>
        <v>1.6494508322906665E-2</v>
      </c>
      <c r="AK92" s="541">
        <f>SUMIFS('Auto Emissions'!$F$37:$F$75,'Auto Emissions'!$B$37:$B$75,AK$3)</f>
        <v>1.6494508322906665E-2</v>
      </c>
      <c r="AL92" s="541">
        <f>SUMIFS('Auto Emissions'!$F$37:$F$75,'Auto Emissions'!$B$37:$B$75,AL$3)</f>
        <v>1.6494508322906665E-2</v>
      </c>
    </row>
    <row r="93" spans="1:38">
      <c r="B93" s="478" t="s">
        <v>734</v>
      </c>
      <c r="C93" s="477" t="s">
        <v>531</v>
      </c>
      <c r="D93" s="541">
        <f>SUMIFS('Auto Emissions'!$G$37:$G$75,'Auto Emissions'!$B$37:$B$75,D$3)</f>
        <v>1.5120784540833432E-2</v>
      </c>
      <c r="E93" s="541">
        <f>SUMIFS('Auto Emissions'!$G$37:$G$75,'Auto Emissions'!$B$37:$B$75,E$3)</f>
        <v>1.4902099070417119E-2</v>
      </c>
      <c r="F93" s="541">
        <f>SUMIFS('Auto Emissions'!$G$37:$G$75,'Auto Emissions'!$B$37:$B$75,F$3)</f>
        <v>1.4683413600000805E-2</v>
      </c>
      <c r="G93" s="541">
        <f>SUMIFS('Auto Emissions'!$G$37:$G$75,'Auto Emissions'!$B$37:$B$75,G$3)</f>
        <v>1.4464728129584492E-2</v>
      </c>
      <c r="H93" s="541">
        <f>SUMIFS('Auto Emissions'!$G$37:$G$75,'Auto Emissions'!$B$37:$B$75,H$3)</f>
        <v>1.4246042659168179E-2</v>
      </c>
      <c r="I93" s="541">
        <f>SUMIFS('Auto Emissions'!$G$37:$G$75,'Auto Emissions'!$B$37:$B$75,I$3)</f>
        <v>1.4027357188751921E-2</v>
      </c>
      <c r="J93" s="541">
        <f>SUMIFS('Auto Emissions'!$G$37:$G$75,'Auto Emissions'!$B$37:$B$75,J$3)</f>
        <v>1.3808671718335608E-2</v>
      </c>
      <c r="K93" s="541">
        <f>SUMIFS('Auto Emissions'!$G$37:$G$75,'Auto Emissions'!$B$37:$B$75,K$3)</f>
        <v>1.3589986247919295E-2</v>
      </c>
      <c r="L93" s="541">
        <f>SUMIFS('Auto Emissions'!$G$37:$G$75,'Auto Emissions'!$B$37:$B$75,L$3)</f>
        <v>1.3371300777502981E-2</v>
      </c>
      <c r="M93" s="541">
        <f>SUMIFS('Auto Emissions'!$G$37:$G$75,'Auto Emissions'!$B$37:$B$75,M$3)</f>
        <v>1.3152615307086724E-2</v>
      </c>
      <c r="N93" s="541">
        <f>SUMIFS('Auto Emissions'!$G$37:$G$75,'Auto Emissions'!$B$37:$B$75,N$3)</f>
        <v>1.2900233226490254E-2</v>
      </c>
      <c r="O93" s="541">
        <f>SUMIFS('Auto Emissions'!$G$37:$G$75,'Auto Emissions'!$B$37:$B$75,O$3)</f>
        <v>1.264785114589384E-2</v>
      </c>
      <c r="P93" s="541">
        <f>SUMIFS('Auto Emissions'!$G$37:$G$75,'Auto Emissions'!$B$37:$B$75,P$3)</f>
        <v>1.2395469065297426E-2</v>
      </c>
      <c r="Q93" s="541">
        <f>SUMIFS('Auto Emissions'!$G$37:$G$75,'Auto Emissions'!$B$37:$B$75,Q$3)</f>
        <v>1.2143086984701013E-2</v>
      </c>
      <c r="R93" s="541">
        <f>SUMIFS('Auto Emissions'!$G$37:$G$75,'Auto Emissions'!$B$37:$B$75,R$3)</f>
        <v>1.1890704904104599E-2</v>
      </c>
      <c r="S93" s="541">
        <f>SUMIFS('Auto Emissions'!$G$37:$G$75,'Auto Emissions'!$B$37:$B$75,S$3)</f>
        <v>1.1638322823508185E-2</v>
      </c>
      <c r="T93" s="541">
        <f>SUMIFS('Auto Emissions'!$G$37:$G$75,'Auto Emissions'!$B$37:$B$75,T$3)</f>
        <v>1.1385940742911771E-2</v>
      </c>
      <c r="U93" s="541">
        <f>SUMIFS('Auto Emissions'!$G$37:$G$75,'Auto Emissions'!$B$37:$B$75,U$3)</f>
        <v>1.1133558662315357E-2</v>
      </c>
      <c r="V93" s="541">
        <f>SUMIFS('Auto Emissions'!$G$37:$G$75,'Auto Emissions'!$B$37:$B$75,V$3)</f>
        <v>1.0881176581718943E-2</v>
      </c>
      <c r="W93" s="541">
        <f>SUMIFS('Auto Emissions'!$G$37:$G$75,'Auto Emissions'!$B$37:$B$75,W$3)</f>
        <v>1.0628794501122529E-2</v>
      </c>
      <c r="X93" s="541">
        <f>SUMIFS('Auto Emissions'!$G$37:$G$75,'Auto Emissions'!$B$37:$B$75,X$3)</f>
        <v>1.0453167233208605E-2</v>
      </c>
      <c r="Y93" s="541">
        <f>SUMIFS('Auto Emissions'!$G$37:$G$75,'Auto Emissions'!$B$37:$B$75,Y$3)</f>
        <v>1.0277539965294791E-2</v>
      </c>
      <c r="Z93" s="541">
        <f>SUMIFS('Auto Emissions'!$G$37:$G$75,'Auto Emissions'!$B$37:$B$75,Z$3)</f>
        <v>1.0101912697380921E-2</v>
      </c>
      <c r="AA93" s="541">
        <f>SUMIFS('Auto Emissions'!$G$37:$G$75,'Auto Emissions'!$B$37:$B$75,AA$3)</f>
        <v>9.9262854294670522E-3</v>
      </c>
      <c r="AB93" s="541">
        <f>SUMIFS('Auto Emissions'!$G$37:$G$75,'Auto Emissions'!$B$37:$B$75,AB$3)</f>
        <v>9.7506581615532384E-3</v>
      </c>
      <c r="AC93" s="541">
        <f>SUMIFS('Auto Emissions'!$G$37:$G$75,'Auto Emissions'!$B$37:$B$75,AC$3)</f>
        <v>9.5750308936393691E-3</v>
      </c>
      <c r="AD93" s="541">
        <f>SUMIFS('Auto Emissions'!$G$37:$G$75,'Auto Emissions'!$B$37:$B$75,AD$3)</f>
        <v>9.3994036257255553E-3</v>
      </c>
      <c r="AE93" s="541">
        <f>SUMIFS('Auto Emissions'!$G$37:$G$75,'Auto Emissions'!$B$37:$B$75,AE$3)</f>
        <v>9.223776357811686E-3</v>
      </c>
      <c r="AF93" s="541">
        <f>SUMIFS('Auto Emissions'!$G$37:$G$75,'Auto Emissions'!$B$37:$B$75,AF$3)</f>
        <v>9.0481490898978167E-3</v>
      </c>
      <c r="AG93" s="541">
        <f>SUMIFS('Auto Emissions'!$G$37:$G$75,'Auto Emissions'!$B$37:$B$75,AG$3)</f>
        <v>8.872521821984003E-3</v>
      </c>
      <c r="AH93" s="541">
        <f>SUMIFS('Auto Emissions'!$G$37:$G$75,'Auto Emissions'!$B$37:$B$75,AH$3)</f>
        <v>8.872521821984003E-3</v>
      </c>
      <c r="AI93" s="541">
        <f>SUMIFS('Auto Emissions'!$G$37:$G$75,'Auto Emissions'!$B$37:$B$75,AI$3)</f>
        <v>8.872521821984003E-3</v>
      </c>
      <c r="AJ93" s="541">
        <f>SUMIFS('Auto Emissions'!$G$37:$G$75,'Auto Emissions'!$B$37:$B$75,AJ$3)</f>
        <v>8.872521821984003E-3</v>
      </c>
      <c r="AK93" s="541">
        <f>SUMIFS('Auto Emissions'!$G$37:$G$75,'Auto Emissions'!$B$37:$B$75,AK$3)</f>
        <v>8.872521821984003E-3</v>
      </c>
      <c r="AL93" s="541">
        <f>SUMIFS('Auto Emissions'!$G$37:$G$75,'Auto Emissions'!$B$37:$B$75,AL$3)</f>
        <v>8.872521821984003E-3</v>
      </c>
    </row>
    <row r="94" spans="1:38">
      <c r="D94" s="358"/>
      <c r="F94" s="464"/>
      <c r="G94" s="465"/>
      <c r="H94" s="465"/>
    </row>
    <row r="95" spans="1:38">
      <c r="B95" s="476" t="s">
        <v>735</v>
      </c>
      <c r="C95" s="477" t="s">
        <v>531</v>
      </c>
      <c r="D95" s="474">
        <f>SUMIFS('Truck Emissions'!$C$37:$C$75,'Truck Emissions'!$B$37:$B$75,D$3)</f>
        <v>9883.5727380937024</v>
      </c>
      <c r="E95" s="474">
        <f>SUMIFS('Truck Emissions'!$C$37:$C$75,'Truck Emissions'!$B$37:$B$75,E$3)</f>
        <v>9856.5511155897475</v>
      </c>
      <c r="F95" s="474">
        <f>SUMIFS('Truck Emissions'!$C$37:$C$75,'Truck Emissions'!$B$37:$B$75,F$3)</f>
        <v>9829.5294930857926</v>
      </c>
      <c r="G95" s="474">
        <f>SUMIFS('Truck Emissions'!$C$37:$C$75,'Truck Emissions'!$B$37:$B$75,G$3)</f>
        <v>9802.5078705818305</v>
      </c>
      <c r="H95" s="474">
        <f>SUMIFS('Truck Emissions'!$C$37:$C$75,'Truck Emissions'!$B$37:$B$75,H$3)</f>
        <v>9775.4862480778756</v>
      </c>
      <c r="I95" s="474">
        <f>SUMIFS('Truck Emissions'!$C$37:$C$75,'Truck Emissions'!$B$37:$B$75,I$3)</f>
        <v>9748.4646255739135</v>
      </c>
      <c r="J95" s="474">
        <f>SUMIFS('Truck Emissions'!$C$37:$C$75,'Truck Emissions'!$B$37:$B$75,J$3)</f>
        <v>9721.4430030699586</v>
      </c>
      <c r="K95" s="474">
        <f>SUMIFS('Truck Emissions'!$C$37:$C$75,'Truck Emissions'!$B$37:$B$75,K$3)</f>
        <v>9694.4213805659965</v>
      </c>
      <c r="L95" s="474">
        <f>SUMIFS('Truck Emissions'!$C$37:$C$75,'Truck Emissions'!$B$37:$B$75,L$3)</f>
        <v>9667.3997580620417</v>
      </c>
      <c r="M95" s="474">
        <f>SUMIFS('Truck Emissions'!$C$37:$C$75,'Truck Emissions'!$B$37:$B$75,M$3)</f>
        <v>9640.3781355580868</v>
      </c>
      <c r="N95" s="474">
        <f>SUMIFS('Truck Emissions'!$C$37:$C$75,'Truck Emissions'!$B$37:$B$75,N$3)</f>
        <v>9612.521862030022</v>
      </c>
      <c r="O95" s="474">
        <f>SUMIFS('Truck Emissions'!$C$37:$C$75,'Truck Emissions'!$B$37:$B$75,O$3)</f>
        <v>9584.6655885019572</v>
      </c>
      <c r="P95" s="474">
        <f>SUMIFS('Truck Emissions'!$C$37:$C$75,'Truck Emissions'!$B$37:$B$75,P$3)</f>
        <v>9556.8093149738852</v>
      </c>
      <c r="Q95" s="474">
        <f>SUMIFS('Truck Emissions'!$C$37:$C$75,'Truck Emissions'!$B$37:$B$75,Q$3)</f>
        <v>9528.9530414458204</v>
      </c>
      <c r="R95" s="474">
        <f>SUMIFS('Truck Emissions'!$C$37:$C$75,'Truck Emissions'!$B$37:$B$75,R$3)</f>
        <v>9501.0967679177484</v>
      </c>
      <c r="S95" s="474">
        <f>SUMIFS('Truck Emissions'!$C$37:$C$75,'Truck Emissions'!$B$37:$B$75,S$3)</f>
        <v>9473.2404943896836</v>
      </c>
      <c r="T95" s="474">
        <f>SUMIFS('Truck Emissions'!$C$37:$C$75,'Truck Emissions'!$B$37:$B$75,T$3)</f>
        <v>9445.3842208616115</v>
      </c>
      <c r="U95" s="474">
        <f>SUMIFS('Truck Emissions'!$C$37:$C$75,'Truck Emissions'!$B$37:$B$75,U$3)</f>
        <v>9417.5279473335468</v>
      </c>
      <c r="V95" s="474">
        <f>SUMIFS('Truck Emissions'!$C$37:$C$75,'Truck Emissions'!$B$37:$B$75,V$3)</f>
        <v>9389.6716738054747</v>
      </c>
      <c r="W95" s="474">
        <f>SUMIFS('Truck Emissions'!$C$37:$C$75,'Truck Emissions'!$B$37:$B$75,W$3)</f>
        <v>9361.8154002774099</v>
      </c>
      <c r="X95" s="474">
        <f>SUMIFS('Truck Emissions'!$C$37:$C$75,'Truck Emissions'!$B$37:$B$75,X$3)</f>
        <v>9346.0679904568497</v>
      </c>
      <c r="Y95" s="474">
        <f>SUMIFS('Truck Emissions'!$C$37:$C$75,'Truck Emissions'!$B$37:$B$75,Y$3)</f>
        <v>9330.320580636293</v>
      </c>
      <c r="Z95" s="474">
        <f>SUMIFS('Truck Emissions'!$C$37:$C$75,'Truck Emissions'!$B$37:$B$75,Z$3)</f>
        <v>9314.5731708157364</v>
      </c>
      <c r="AA95" s="474">
        <f>SUMIFS('Truck Emissions'!$C$37:$C$75,'Truck Emissions'!$B$37:$B$75,AA$3)</f>
        <v>9298.8257609951834</v>
      </c>
      <c r="AB95" s="474">
        <f>SUMIFS('Truck Emissions'!$C$37:$C$75,'Truck Emissions'!$B$37:$B$75,AB$3)</f>
        <v>9283.0783511746267</v>
      </c>
      <c r="AC95" s="474">
        <f>SUMIFS('Truck Emissions'!$C$37:$C$75,'Truck Emissions'!$B$37:$B$75,AC$3)</f>
        <v>9267.3309413540701</v>
      </c>
      <c r="AD95" s="474">
        <f>SUMIFS('Truck Emissions'!$C$37:$C$75,'Truck Emissions'!$B$37:$B$75,AD$3)</f>
        <v>9251.5835315335135</v>
      </c>
      <c r="AE95" s="474">
        <f>SUMIFS('Truck Emissions'!$C$37:$C$75,'Truck Emissions'!$B$37:$B$75,AE$3)</f>
        <v>9235.8361217129568</v>
      </c>
      <c r="AF95" s="474">
        <f>SUMIFS('Truck Emissions'!$C$37:$C$75,'Truck Emissions'!$B$37:$B$75,AF$3)</f>
        <v>9220.0887118924002</v>
      </c>
      <c r="AG95" s="474">
        <f>SUMIFS('Truck Emissions'!$C$37:$C$75,'Truck Emissions'!$B$37:$B$75,AG$3)</f>
        <v>9204.3413020718435</v>
      </c>
      <c r="AH95" s="474">
        <f>SUMIFS('Truck Emissions'!$C$37:$C$75,'Truck Emissions'!$B$37:$B$75,AH$3)</f>
        <v>9204.3413020718435</v>
      </c>
      <c r="AI95" s="474">
        <f>SUMIFS('Truck Emissions'!$C$37:$C$75,'Truck Emissions'!$B$37:$B$75,AI$3)</f>
        <v>9204.3413020718435</v>
      </c>
      <c r="AJ95" s="474">
        <f>SUMIFS('Truck Emissions'!$C$37:$C$75,'Truck Emissions'!$B$37:$B$75,AJ$3)</f>
        <v>9204.3413020718435</v>
      </c>
      <c r="AK95" s="474">
        <f>SUMIFS('Truck Emissions'!$C$37:$C$75,'Truck Emissions'!$B$37:$B$75,AK$3)</f>
        <v>9204.3413020718435</v>
      </c>
      <c r="AL95" s="474">
        <f>SUMIFS('Truck Emissions'!$C$37:$C$75,'Truck Emissions'!$B$37:$B$75,AL$3)</f>
        <v>9204.3413020718435</v>
      </c>
    </row>
    <row r="96" spans="1:38">
      <c r="B96" s="478" t="s">
        <v>736</v>
      </c>
      <c r="C96" s="477" t="s">
        <v>531</v>
      </c>
      <c r="D96" s="541">
        <f>SUMIFS('Truck Emissions'!$D$37:$D$75,'Truck Emissions'!$B$37:$B$75,D$3)</f>
        <v>73.376594103392563</v>
      </c>
      <c r="E96" s="541">
        <f>SUMIFS('Truck Emissions'!$D$37:$D$75,'Truck Emissions'!$B$37:$B$75,E$3)</f>
        <v>68.643362435361269</v>
      </c>
      <c r="F96" s="541">
        <f>SUMIFS('Truck Emissions'!$D$37:$D$75,'Truck Emissions'!$B$37:$B$75,F$3)</f>
        <v>63.910130767331793</v>
      </c>
      <c r="G96" s="541">
        <f>SUMIFS('Truck Emissions'!$D$37:$D$75,'Truck Emissions'!$B$37:$B$75,G$3)</f>
        <v>59.176899099302318</v>
      </c>
      <c r="H96" s="541">
        <f>SUMIFS('Truck Emissions'!$D$37:$D$75,'Truck Emissions'!$B$37:$B$75,H$3)</f>
        <v>54.443667431271024</v>
      </c>
      <c r="I96" s="541">
        <f>SUMIFS('Truck Emissions'!$D$37:$D$75,'Truck Emissions'!$B$37:$B$75,I$3)</f>
        <v>49.710435763241549</v>
      </c>
      <c r="J96" s="541">
        <f>SUMIFS('Truck Emissions'!$D$37:$D$75,'Truck Emissions'!$B$37:$B$75,J$3)</f>
        <v>44.977204095212073</v>
      </c>
      <c r="K96" s="541">
        <f>SUMIFS('Truck Emissions'!$D$37:$D$75,'Truck Emissions'!$B$37:$B$75,K$3)</f>
        <v>40.243972427180779</v>
      </c>
      <c r="L96" s="541">
        <f>SUMIFS('Truck Emissions'!$D$37:$D$75,'Truck Emissions'!$B$37:$B$75,L$3)</f>
        <v>35.510740759151304</v>
      </c>
      <c r="M96" s="541">
        <f>SUMIFS('Truck Emissions'!$D$37:$D$75,'Truck Emissions'!$B$37:$B$75,M$3)</f>
        <v>30.777509091121829</v>
      </c>
      <c r="N96" s="541">
        <f>SUMIFS('Truck Emissions'!$D$37:$D$75,'Truck Emissions'!$B$37:$B$75,N$3)</f>
        <v>28.715583187918128</v>
      </c>
      <c r="O96" s="541">
        <f>SUMIFS('Truck Emissions'!$D$37:$D$75,'Truck Emissions'!$B$37:$B$75,O$3)</f>
        <v>26.653657284715337</v>
      </c>
      <c r="P96" s="541">
        <f>SUMIFS('Truck Emissions'!$D$37:$D$75,'Truck Emissions'!$B$37:$B$75,P$3)</f>
        <v>24.591731381512545</v>
      </c>
      <c r="Q96" s="541">
        <f>SUMIFS('Truck Emissions'!$D$37:$D$75,'Truck Emissions'!$B$37:$B$75,Q$3)</f>
        <v>22.529805478309754</v>
      </c>
      <c r="R96" s="541">
        <f>SUMIFS('Truck Emissions'!$D$37:$D$75,'Truck Emissions'!$B$37:$B$75,R$3)</f>
        <v>20.467879575106053</v>
      </c>
      <c r="S96" s="541">
        <f>SUMIFS('Truck Emissions'!$D$37:$D$75,'Truck Emissions'!$B$37:$B$75,S$3)</f>
        <v>18.405953671903262</v>
      </c>
      <c r="T96" s="541">
        <f>SUMIFS('Truck Emissions'!$D$37:$D$75,'Truck Emissions'!$B$37:$B$75,T$3)</f>
        <v>16.344027768700471</v>
      </c>
      <c r="U96" s="541">
        <f>SUMIFS('Truck Emissions'!$D$37:$D$75,'Truck Emissions'!$B$37:$B$75,U$3)</f>
        <v>14.28210186549768</v>
      </c>
      <c r="V96" s="541">
        <f>SUMIFS('Truck Emissions'!$D$37:$D$75,'Truck Emissions'!$B$37:$B$75,V$3)</f>
        <v>12.220175962293979</v>
      </c>
      <c r="W96" s="541">
        <f>SUMIFS('Truck Emissions'!$D$37:$D$75,'Truck Emissions'!$B$37:$B$75,W$3)</f>
        <v>10.158250059091188</v>
      </c>
      <c r="X96" s="541">
        <f>SUMIFS('Truck Emissions'!$D$37:$D$75,'Truck Emissions'!$B$37:$B$75,X$3)</f>
        <v>10.119017923971825</v>
      </c>
      <c r="Y96" s="541">
        <f>SUMIFS('Truck Emissions'!$D$37:$D$75,'Truck Emissions'!$B$37:$B$75,Y$3)</f>
        <v>10.079785788852362</v>
      </c>
      <c r="Z96" s="541">
        <f>SUMIFS('Truck Emissions'!$D$37:$D$75,'Truck Emissions'!$B$37:$B$75,Z$3)</f>
        <v>10.0405536537329</v>
      </c>
      <c r="AA96" s="541">
        <f>SUMIFS('Truck Emissions'!$D$37:$D$75,'Truck Emissions'!$B$37:$B$75,AA$3)</f>
        <v>10.001321518613452</v>
      </c>
      <c r="AB96" s="541">
        <f>SUMIFS('Truck Emissions'!$D$37:$D$75,'Truck Emissions'!$B$37:$B$75,AB$3)</f>
        <v>9.9620893834939892</v>
      </c>
      <c r="AC96" s="541">
        <f>SUMIFS('Truck Emissions'!$D$37:$D$75,'Truck Emissions'!$B$37:$B$75,AC$3)</f>
        <v>9.9228572483745268</v>
      </c>
      <c r="AD96" s="541">
        <f>SUMIFS('Truck Emissions'!$D$37:$D$75,'Truck Emissions'!$B$37:$B$75,AD$3)</f>
        <v>9.8836251132550785</v>
      </c>
      <c r="AE96" s="541">
        <f>SUMIFS('Truck Emissions'!$D$37:$D$75,'Truck Emissions'!$B$37:$B$75,AE$3)</f>
        <v>9.8443929781356161</v>
      </c>
      <c r="AF96" s="541">
        <f>SUMIFS('Truck Emissions'!$D$37:$D$75,'Truck Emissions'!$B$37:$B$75,AF$3)</f>
        <v>9.8051608430161536</v>
      </c>
      <c r="AG96" s="541">
        <f>SUMIFS('Truck Emissions'!$D$37:$D$75,'Truck Emissions'!$B$37:$B$75,AG$3)</f>
        <v>9.7659287078967054</v>
      </c>
      <c r="AH96" s="541">
        <f>SUMIFS('Truck Emissions'!$D$37:$D$75,'Truck Emissions'!$B$37:$B$75,AH$3)</f>
        <v>9.7659287078967054</v>
      </c>
      <c r="AI96" s="541">
        <f>SUMIFS('Truck Emissions'!$D$37:$D$75,'Truck Emissions'!$B$37:$B$75,AI$3)</f>
        <v>9.7659287078967054</v>
      </c>
      <c r="AJ96" s="541">
        <f>SUMIFS('Truck Emissions'!$D$37:$D$75,'Truck Emissions'!$B$37:$B$75,AJ$3)</f>
        <v>9.7659287078967054</v>
      </c>
      <c r="AK96" s="541">
        <f>SUMIFS('Truck Emissions'!$D$37:$D$75,'Truck Emissions'!$B$37:$B$75,AK$3)</f>
        <v>9.7659287078967054</v>
      </c>
      <c r="AL96" s="541">
        <f>SUMIFS('Truck Emissions'!$D$37:$D$75,'Truck Emissions'!$B$37:$B$75,AL$3)</f>
        <v>9.7659287078967054</v>
      </c>
    </row>
    <row r="97" spans="1:38">
      <c r="B97" s="478" t="s">
        <v>737</v>
      </c>
      <c r="C97" s="477" t="s">
        <v>531</v>
      </c>
      <c r="D97" s="541">
        <f>SUMIFS('Truck Emissions'!$F$37:$F$75,'Truck Emissions'!$B$37:$B$75,D$3)</f>
        <v>2.6895832150813703</v>
      </c>
      <c r="E97" s="541">
        <f>SUMIFS('Truck Emissions'!$F$37:$F$75,'Truck Emissions'!$B$37:$B$75,E$3)</f>
        <v>2.5023245687611393</v>
      </c>
      <c r="F97" s="541">
        <f>SUMIFS('Truck Emissions'!$F$37:$F$75,'Truck Emissions'!$B$37:$B$75,F$3)</f>
        <v>2.3150659224409083</v>
      </c>
      <c r="G97" s="541">
        <f>SUMIFS('Truck Emissions'!$F$37:$F$75,'Truck Emissions'!$B$37:$B$75,G$3)</f>
        <v>2.1278072761206204</v>
      </c>
      <c r="H97" s="541">
        <f>SUMIFS('Truck Emissions'!$F$37:$F$75,'Truck Emissions'!$B$37:$B$75,H$3)</f>
        <v>1.9405486298003893</v>
      </c>
      <c r="I97" s="541">
        <f>SUMIFS('Truck Emissions'!$F$37:$F$75,'Truck Emissions'!$B$37:$B$75,I$3)</f>
        <v>1.7532899834801583</v>
      </c>
      <c r="J97" s="541">
        <f>SUMIFS('Truck Emissions'!$F$37:$F$75,'Truck Emissions'!$B$37:$B$75,J$3)</f>
        <v>1.5660313371598704</v>
      </c>
      <c r="K97" s="541">
        <f>SUMIFS('Truck Emissions'!$F$37:$F$75,'Truck Emissions'!$B$37:$B$75,K$3)</f>
        <v>1.3787726908396394</v>
      </c>
      <c r="L97" s="541">
        <f>SUMIFS('Truck Emissions'!$F$37:$F$75,'Truck Emissions'!$B$37:$B$75,L$3)</f>
        <v>1.1915140445194083</v>
      </c>
      <c r="M97" s="541">
        <f>SUMIFS('Truck Emissions'!$F$37:$F$75,'Truck Emissions'!$B$37:$B$75,M$3)</f>
        <v>1.0042553981991205</v>
      </c>
      <c r="N97" s="541">
        <f>SUMIFS('Truck Emissions'!$F$37:$F$75,'Truck Emissions'!$B$37:$B$75,N$3)</f>
        <v>0.91577922026701231</v>
      </c>
      <c r="O97" s="541">
        <f>SUMIFS('Truck Emissions'!$F$37:$F$75,'Truck Emissions'!$B$37:$B$75,O$3)</f>
        <v>0.82730304233490415</v>
      </c>
      <c r="P97" s="541">
        <f>SUMIFS('Truck Emissions'!$F$37:$F$75,'Truck Emissions'!$B$37:$B$75,P$3)</f>
        <v>0.73882686440276757</v>
      </c>
      <c r="Q97" s="541">
        <f>SUMIFS('Truck Emissions'!$F$37:$F$75,'Truck Emissions'!$B$37:$B$75,Q$3)</f>
        <v>0.65035068647065941</v>
      </c>
      <c r="R97" s="541">
        <f>SUMIFS('Truck Emissions'!$F$37:$F$75,'Truck Emissions'!$B$37:$B$75,R$3)</f>
        <v>0.56187450853852283</v>
      </c>
      <c r="S97" s="541">
        <f>SUMIFS('Truck Emissions'!$F$37:$F$75,'Truck Emissions'!$B$37:$B$75,S$3)</f>
        <v>0.47339833060641467</v>
      </c>
      <c r="T97" s="541">
        <f>SUMIFS('Truck Emissions'!$F$37:$F$75,'Truck Emissions'!$B$37:$B$75,T$3)</f>
        <v>0.3849221526742781</v>
      </c>
      <c r="U97" s="541">
        <f>SUMIFS('Truck Emissions'!$F$37:$F$75,'Truck Emissions'!$B$37:$B$75,U$3)</f>
        <v>0.29644597474214152</v>
      </c>
      <c r="V97" s="541">
        <f>SUMIFS('Truck Emissions'!$F$37:$F$75,'Truck Emissions'!$B$37:$B$75,V$3)</f>
        <v>0.20796979681003336</v>
      </c>
      <c r="W97" s="541">
        <f>SUMIFS('Truck Emissions'!$F$37:$F$75,'Truck Emissions'!$B$37:$B$75,W$3)</f>
        <v>0.11949361887789678</v>
      </c>
      <c r="X97" s="541">
        <f>SUMIFS('Truck Emissions'!$F$37:$F$75,'Truck Emissions'!$B$37:$B$75,X$3)</f>
        <v>0.11934031666662032</v>
      </c>
      <c r="Y97" s="541">
        <f>SUMIFS('Truck Emissions'!$F$37:$F$75,'Truck Emissions'!$B$37:$B$75,Y$3)</f>
        <v>0.11918701445533592</v>
      </c>
      <c r="Z97" s="541">
        <f>SUMIFS('Truck Emissions'!$F$37:$F$75,'Truck Emissions'!$B$37:$B$75,Z$3)</f>
        <v>0.11903371224405151</v>
      </c>
      <c r="AA97" s="541">
        <f>SUMIFS('Truck Emissions'!$F$37:$F$75,'Truck Emissions'!$B$37:$B$75,AA$3)</f>
        <v>0.11888041003276711</v>
      </c>
      <c r="AB97" s="541">
        <f>SUMIFS('Truck Emissions'!$F$37:$F$75,'Truck Emissions'!$B$37:$B$75,AB$3)</f>
        <v>0.11872710782148271</v>
      </c>
      <c r="AC97" s="541">
        <f>SUMIFS('Truck Emissions'!$F$37:$F$75,'Truck Emissions'!$B$37:$B$75,AC$3)</f>
        <v>0.11857380561019826</v>
      </c>
      <c r="AD97" s="541">
        <f>SUMIFS('Truck Emissions'!$F$37:$F$75,'Truck Emissions'!$B$37:$B$75,AD$3)</f>
        <v>0.11842050339891386</v>
      </c>
      <c r="AE97" s="541">
        <f>SUMIFS('Truck Emissions'!$F$37:$F$75,'Truck Emissions'!$B$37:$B$75,AE$3)</f>
        <v>0.11826720118762946</v>
      </c>
      <c r="AF97" s="541">
        <f>SUMIFS('Truck Emissions'!$F$37:$F$75,'Truck Emissions'!$B$37:$B$75,AF$3)</f>
        <v>0.11811389897634506</v>
      </c>
      <c r="AG97" s="541">
        <f>SUMIFS('Truck Emissions'!$F$37:$F$75,'Truck Emissions'!$B$37:$B$75,AG$3)</f>
        <v>0.11796059676506065</v>
      </c>
      <c r="AH97" s="541">
        <f>SUMIFS('Truck Emissions'!$F$37:$F$75,'Truck Emissions'!$B$37:$B$75,AH$3)</f>
        <v>0.11796059676506065</v>
      </c>
      <c r="AI97" s="541">
        <f>SUMIFS('Truck Emissions'!$F$37:$F$75,'Truck Emissions'!$B$37:$B$75,AI$3)</f>
        <v>0.11796059676506065</v>
      </c>
      <c r="AJ97" s="541">
        <f>SUMIFS('Truck Emissions'!$F$37:$F$75,'Truck Emissions'!$B$37:$B$75,AJ$3)</f>
        <v>0.11796059676506065</v>
      </c>
      <c r="AK97" s="541">
        <f>SUMIFS('Truck Emissions'!$F$37:$F$75,'Truck Emissions'!$B$37:$B$75,AK$3)</f>
        <v>0.11796059676506065</v>
      </c>
      <c r="AL97" s="541">
        <f>SUMIFS('Truck Emissions'!$F$37:$F$75,'Truck Emissions'!$B$37:$B$75,AL$3)</f>
        <v>0.11796059676506065</v>
      </c>
    </row>
    <row r="98" spans="1:38">
      <c r="B98" s="478" t="s">
        <v>738</v>
      </c>
      <c r="C98" s="477" t="s">
        <v>531</v>
      </c>
      <c r="D98" s="541">
        <f>SUMIFS('Truck Emissions'!$G$37:$G$75,'Truck Emissions'!$B$37:$B$75,D$3)</f>
        <v>8.5696105956054813E-2</v>
      </c>
      <c r="E98" s="541">
        <f>SUMIFS('Truck Emissions'!$G$37:$G$75,'Truck Emissions'!$B$37:$B$75,E$3)</f>
        <v>8.5265078629749969E-2</v>
      </c>
      <c r="F98" s="541">
        <f>SUMIFS('Truck Emissions'!$G$37:$G$75,'Truck Emissions'!$B$37:$B$75,F$3)</f>
        <v>8.4834051303445235E-2</v>
      </c>
      <c r="G98" s="541">
        <f>SUMIFS('Truck Emissions'!$G$37:$G$75,'Truck Emissions'!$B$37:$B$75,G$3)</f>
        <v>8.4403023977140501E-2</v>
      </c>
      <c r="H98" s="541">
        <f>SUMIFS('Truck Emissions'!$G$37:$G$75,'Truck Emissions'!$B$37:$B$75,H$3)</f>
        <v>8.3971996650835767E-2</v>
      </c>
      <c r="I98" s="541">
        <f>SUMIFS('Truck Emissions'!$G$37:$G$75,'Truck Emissions'!$B$37:$B$75,I$3)</f>
        <v>8.3540969324530923E-2</v>
      </c>
      <c r="J98" s="541">
        <f>SUMIFS('Truck Emissions'!$G$37:$G$75,'Truck Emissions'!$B$37:$B$75,J$3)</f>
        <v>8.3109941998226189E-2</v>
      </c>
      <c r="K98" s="541">
        <f>SUMIFS('Truck Emissions'!$G$37:$G$75,'Truck Emissions'!$B$37:$B$75,K$3)</f>
        <v>8.2678914671921455E-2</v>
      </c>
      <c r="L98" s="541">
        <f>SUMIFS('Truck Emissions'!$G$37:$G$75,'Truck Emissions'!$B$37:$B$75,L$3)</f>
        <v>8.224788734561661E-2</v>
      </c>
      <c r="M98" s="541">
        <f>SUMIFS('Truck Emissions'!$G$37:$G$75,'Truck Emissions'!$B$37:$B$75,M$3)</f>
        <v>8.1816860019311877E-2</v>
      </c>
      <c r="N98" s="541">
        <f>SUMIFS('Truck Emissions'!$G$37:$G$75,'Truck Emissions'!$B$37:$B$75,N$3)</f>
        <v>8.1440234866609118E-2</v>
      </c>
      <c r="O98" s="541">
        <f>SUMIFS('Truck Emissions'!$G$37:$G$75,'Truck Emissions'!$B$37:$B$75,O$3)</f>
        <v>8.1063609713906248E-2</v>
      </c>
      <c r="P98" s="541">
        <f>SUMIFS('Truck Emissions'!$G$37:$G$75,'Truck Emissions'!$B$37:$B$75,P$3)</f>
        <v>8.068698456120349E-2</v>
      </c>
      <c r="Q98" s="541">
        <f>SUMIFS('Truck Emissions'!$G$37:$G$75,'Truck Emissions'!$B$37:$B$75,Q$3)</f>
        <v>8.031035940850062E-2</v>
      </c>
      <c r="R98" s="541">
        <f>SUMIFS('Truck Emissions'!$G$37:$G$75,'Truck Emissions'!$B$37:$B$75,R$3)</f>
        <v>7.993373425579775E-2</v>
      </c>
      <c r="S98" s="541">
        <f>SUMIFS('Truck Emissions'!$G$37:$G$75,'Truck Emissions'!$B$37:$B$75,S$3)</f>
        <v>7.9557109103094992E-2</v>
      </c>
      <c r="T98" s="541">
        <f>SUMIFS('Truck Emissions'!$G$37:$G$75,'Truck Emissions'!$B$37:$B$75,T$3)</f>
        <v>7.9180483950392122E-2</v>
      </c>
      <c r="U98" s="541">
        <f>SUMIFS('Truck Emissions'!$G$37:$G$75,'Truck Emissions'!$B$37:$B$75,U$3)</f>
        <v>7.8803858797689252E-2</v>
      </c>
      <c r="V98" s="541">
        <f>SUMIFS('Truck Emissions'!$G$37:$G$75,'Truck Emissions'!$B$37:$B$75,V$3)</f>
        <v>7.8427233644986383E-2</v>
      </c>
      <c r="W98" s="541">
        <f>SUMIFS('Truck Emissions'!$G$37:$G$75,'Truck Emissions'!$B$37:$B$75,W$3)</f>
        <v>7.8050608492283624E-2</v>
      </c>
      <c r="X98" s="541">
        <f>SUMIFS('Truck Emissions'!$G$37:$G$75,'Truck Emissions'!$B$37:$B$75,X$3)</f>
        <v>7.7919320632410582E-2</v>
      </c>
      <c r="Y98" s="541">
        <f>SUMIFS('Truck Emissions'!$G$37:$G$75,'Truck Emissions'!$B$37:$B$75,Y$3)</f>
        <v>7.7788032772537596E-2</v>
      </c>
      <c r="Z98" s="541">
        <f>SUMIFS('Truck Emissions'!$G$37:$G$75,'Truck Emissions'!$B$37:$B$75,Z$3)</f>
        <v>7.7656744912664666E-2</v>
      </c>
      <c r="AA98" s="541">
        <f>SUMIFS('Truck Emissions'!$G$37:$G$75,'Truck Emissions'!$B$37:$B$75,AA$3)</f>
        <v>7.7525457052791735E-2</v>
      </c>
      <c r="AB98" s="541">
        <f>SUMIFS('Truck Emissions'!$G$37:$G$75,'Truck Emissions'!$B$37:$B$75,AB$3)</f>
        <v>7.7394169192918805E-2</v>
      </c>
      <c r="AC98" s="541">
        <f>SUMIFS('Truck Emissions'!$G$37:$G$75,'Truck Emissions'!$B$37:$B$75,AC$3)</f>
        <v>7.7262881333045819E-2</v>
      </c>
      <c r="AD98" s="541">
        <f>SUMIFS('Truck Emissions'!$G$37:$G$75,'Truck Emissions'!$B$37:$B$75,AD$3)</f>
        <v>7.7131593473172888E-2</v>
      </c>
      <c r="AE98" s="541">
        <f>SUMIFS('Truck Emissions'!$G$37:$G$75,'Truck Emissions'!$B$37:$B$75,AE$3)</f>
        <v>7.7000305613299957E-2</v>
      </c>
      <c r="AF98" s="541">
        <f>SUMIFS('Truck Emissions'!$G$37:$G$75,'Truck Emissions'!$B$37:$B$75,AF$3)</f>
        <v>7.6869017753427027E-2</v>
      </c>
      <c r="AG98" s="541">
        <f>SUMIFS('Truck Emissions'!$G$37:$G$75,'Truck Emissions'!$B$37:$B$75,AG$3)</f>
        <v>7.6737729893554096E-2</v>
      </c>
      <c r="AH98" s="541">
        <f>SUMIFS('Truck Emissions'!$G$37:$G$75,'Truck Emissions'!$B$37:$B$75,AH$3)</f>
        <v>7.6737729893554096E-2</v>
      </c>
      <c r="AI98" s="541">
        <f>SUMIFS('Truck Emissions'!$G$37:$G$75,'Truck Emissions'!$B$37:$B$75,AI$3)</f>
        <v>7.6737729893554096E-2</v>
      </c>
      <c r="AJ98" s="541">
        <f>SUMIFS('Truck Emissions'!$G$37:$G$75,'Truck Emissions'!$B$37:$B$75,AJ$3)</f>
        <v>7.6737729893554096E-2</v>
      </c>
      <c r="AK98" s="541">
        <f>SUMIFS('Truck Emissions'!$G$37:$G$75,'Truck Emissions'!$B$37:$B$75,AK$3)</f>
        <v>7.6737729893554096E-2</v>
      </c>
      <c r="AL98" s="541">
        <f>SUMIFS('Truck Emissions'!$G$37:$G$75,'Truck Emissions'!$B$37:$B$75,AL$3)</f>
        <v>7.6737729893554096E-2</v>
      </c>
    </row>
    <row r="99" spans="1:38">
      <c r="D99" s="358"/>
      <c r="F99" s="464"/>
      <c r="G99" s="465"/>
      <c r="H99" s="465"/>
    </row>
    <row r="100" spans="1:38">
      <c r="B100" s="476" t="s">
        <v>775</v>
      </c>
      <c r="C100" s="477" t="s">
        <v>531</v>
      </c>
      <c r="D100" s="474">
        <f>SUMIFS('Bus Emissions'!$D$81:$D$120,'Bus Emissions'!$C$81:$C$120,D$3)</f>
        <v>3320.633050000004</v>
      </c>
      <c r="E100" s="474">
        <f>SUMIFS('Bus Emissions'!$D$81:$D$120,'Bus Emissions'!$C$81:$C$120,E$3)</f>
        <v>3299.2276200000051</v>
      </c>
      <c r="F100" s="474">
        <f>SUMIFS('Bus Emissions'!$D$81:$D$120,'Bus Emissions'!$C$81:$C$120,F$3)</f>
        <v>3277.8221900000062</v>
      </c>
      <c r="G100" s="474">
        <f>SUMIFS('Bus Emissions'!$D$81:$D$120,'Bus Emissions'!$C$81:$C$120,G$3)</f>
        <v>3256.4167600000073</v>
      </c>
      <c r="H100" s="474">
        <f>SUMIFS('Bus Emissions'!$D$81:$D$120,'Bus Emissions'!$C$81:$C$120,H$3)</f>
        <v>3235.0113300000085</v>
      </c>
      <c r="I100" s="474">
        <f>SUMIFS('Bus Emissions'!$D$81:$D$120,'Bus Emissions'!$C$81:$C$120,I$3)</f>
        <v>3213.6059000000023</v>
      </c>
      <c r="J100" s="474">
        <f>SUMIFS('Bus Emissions'!$D$81:$D$120,'Bus Emissions'!$C$81:$C$120,J$3)</f>
        <v>3192.2004700000034</v>
      </c>
      <c r="K100" s="474">
        <f>SUMIFS('Bus Emissions'!$D$81:$D$120,'Bus Emissions'!$C$81:$C$120,K$3)</f>
        <v>3170.7950400000045</v>
      </c>
      <c r="L100" s="474">
        <f>SUMIFS('Bus Emissions'!$D$81:$D$120,'Bus Emissions'!$C$81:$C$120,L$3)</f>
        <v>3149.3896100000056</v>
      </c>
      <c r="M100" s="474">
        <f>SUMIFS('Bus Emissions'!$D$81:$D$120,'Bus Emissions'!$C$81:$C$120,M$3)</f>
        <v>3127.9841800000067</v>
      </c>
      <c r="N100" s="474">
        <f>SUMIFS('Bus Emissions'!$D$81:$D$120,'Bus Emissions'!$C$81:$C$120,N$3)</f>
        <v>3106.5787500000079</v>
      </c>
      <c r="O100" s="474">
        <f>SUMIFS('Bus Emissions'!$D$81:$D$120,'Bus Emissions'!$C$81:$C$120,O$3)</f>
        <v>3085.1733200000017</v>
      </c>
      <c r="P100" s="474">
        <f>SUMIFS('Bus Emissions'!$D$81:$D$120,'Bus Emissions'!$C$81:$C$120,P$3)</f>
        <v>3063.7678900000028</v>
      </c>
      <c r="Q100" s="474">
        <f>SUMIFS('Bus Emissions'!$D$81:$D$120,'Bus Emissions'!$C$81:$C$120,Q$3)</f>
        <v>3042.3624600000039</v>
      </c>
      <c r="R100" s="474">
        <f>SUMIFS('Bus Emissions'!$D$81:$D$120,'Bus Emissions'!$C$81:$C$120,R$3)</f>
        <v>3020.957030000005</v>
      </c>
      <c r="S100" s="474">
        <f>SUMIFS('Bus Emissions'!$D$81:$D$120,'Bus Emissions'!$C$81:$C$120,S$3)</f>
        <v>2999.5516000000061</v>
      </c>
      <c r="T100" s="474">
        <f>SUMIFS('Bus Emissions'!$D$81:$D$120,'Bus Emissions'!$C$81:$C$120,T$3)</f>
        <v>2999.5516000000061</v>
      </c>
      <c r="U100" s="474">
        <f>SUMIFS('Bus Emissions'!$D$81:$D$120,'Bus Emissions'!$C$81:$C$120,U$3)</f>
        <v>2999.5516000000061</v>
      </c>
      <c r="V100" s="474">
        <f>SUMIFS('Bus Emissions'!$D$81:$D$120,'Bus Emissions'!$C$81:$C$120,V$3)</f>
        <v>2999.5516000000061</v>
      </c>
      <c r="W100" s="474">
        <f>SUMIFS('Bus Emissions'!$D$81:$D$120,'Bus Emissions'!$C$81:$C$120,W$3)</f>
        <v>2999.5516000000061</v>
      </c>
      <c r="X100" s="474">
        <f>SUMIFS('Bus Emissions'!$D$81:$D$120,'Bus Emissions'!$C$81:$C$120,X$3)</f>
        <v>2999.5516000000061</v>
      </c>
      <c r="Y100" s="474">
        <f>SUMIFS('Bus Emissions'!$D$81:$D$120,'Bus Emissions'!$C$81:$C$120,Y$3)</f>
        <v>2999.5516000000061</v>
      </c>
      <c r="Z100" s="474">
        <f>SUMIFS('Bus Emissions'!$D$81:$D$120,'Bus Emissions'!$C$81:$C$120,Z$3)</f>
        <v>2999.5516000000061</v>
      </c>
      <c r="AA100" s="474">
        <f>SUMIFS('Bus Emissions'!$D$81:$D$120,'Bus Emissions'!$C$81:$C$120,AA$3)</f>
        <v>2999.5516000000061</v>
      </c>
      <c r="AB100" s="474">
        <f>SUMIFS('Bus Emissions'!$D$81:$D$120,'Bus Emissions'!$C$81:$C$120,AB$3)</f>
        <v>2999.5516000000061</v>
      </c>
      <c r="AC100" s="474">
        <f>SUMIFS('Bus Emissions'!$D$81:$D$120,'Bus Emissions'!$C$81:$C$120,AC$3)</f>
        <v>2999.5516000000061</v>
      </c>
      <c r="AD100" s="474">
        <f>SUMIFS('Bus Emissions'!$D$81:$D$120,'Bus Emissions'!$C$81:$C$120,AD$3)</f>
        <v>2999.5516000000061</v>
      </c>
      <c r="AE100" s="474">
        <f>SUMIFS('Bus Emissions'!$D$81:$D$120,'Bus Emissions'!$C$81:$C$120,AE$3)</f>
        <v>2999.5516000000061</v>
      </c>
      <c r="AF100" s="474">
        <f>SUMIFS('Bus Emissions'!$D$81:$D$120,'Bus Emissions'!$C$81:$C$120,AF$3)</f>
        <v>2999.5516000000061</v>
      </c>
      <c r="AG100" s="474">
        <f>SUMIFS('Bus Emissions'!$D$81:$D$120,'Bus Emissions'!$C$81:$C$120,AG$3)</f>
        <v>2999.5516000000061</v>
      </c>
      <c r="AH100" s="474">
        <f>SUMIFS('Bus Emissions'!$D$81:$D$120,'Bus Emissions'!$C$81:$C$120,AH$3)</f>
        <v>2999.5516000000061</v>
      </c>
      <c r="AI100" s="474">
        <f>SUMIFS('Bus Emissions'!$D$81:$D$120,'Bus Emissions'!$C$81:$C$120,AI$3)</f>
        <v>2999.5516000000061</v>
      </c>
      <c r="AJ100" s="474">
        <f>SUMIFS('Bus Emissions'!$D$81:$D$120,'Bus Emissions'!$C$81:$C$120,AJ$3)</f>
        <v>2999.5516000000061</v>
      </c>
      <c r="AK100" s="474">
        <f>SUMIFS('Bus Emissions'!$D$81:$D$120,'Bus Emissions'!$C$81:$C$120,AK$3)</f>
        <v>2999.5516000000061</v>
      </c>
      <c r="AL100" s="474">
        <f>SUMIFS('Bus Emissions'!$D$81:$D$120,'Bus Emissions'!$C$81:$C$120,AL$3)</f>
        <v>2999.5516000000061</v>
      </c>
    </row>
    <row r="101" spans="1:38">
      <c r="B101" s="478" t="s">
        <v>776</v>
      </c>
      <c r="C101" s="477" t="s">
        <v>531</v>
      </c>
      <c r="D101" s="541">
        <f>SUMIFS('Bus Emissions'!$E$81:$E$120,'Bus Emissions'!$C$81:$C$120,D$3)</f>
        <v>17.890050000000201</v>
      </c>
      <c r="E101" s="541">
        <f>SUMIFS('Bus Emissions'!$E$81:$E$120,'Bus Emissions'!$C$81:$C$120,E$3)</f>
        <v>17.050180000000182</v>
      </c>
      <c r="F101" s="541">
        <f>SUMIFS('Bus Emissions'!$E$81:$E$120,'Bus Emissions'!$C$81:$C$120,F$3)</f>
        <v>16.210310000000163</v>
      </c>
      <c r="G101" s="541">
        <f>SUMIFS('Bus Emissions'!$E$81:$E$120,'Bus Emissions'!$C$81:$C$120,G$3)</f>
        <v>15.370440000000144</v>
      </c>
      <c r="H101" s="541">
        <f>SUMIFS('Bus Emissions'!$E$81:$E$120,'Bus Emissions'!$C$81:$C$120,H$3)</f>
        <v>14.530570000000125</v>
      </c>
      <c r="I101" s="541">
        <f>SUMIFS('Bus Emissions'!$E$81:$E$120,'Bus Emissions'!$C$81:$C$120,I$3)</f>
        <v>13.690700000000106</v>
      </c>
      <c r="J101" s="541">
        <f>SUMIFS('Bus Emissions'!$E$81:$E$120,'Bus Emissions'!$C$81:$C$120,J$3)</f>
        <v>12.850830000000087</v>
      </c>
      <c r="K101" s="541">
        <f>SUMIFS('Bus Emissions'!$E$81:$E$120,'Bus Emissions'!$C$81:$C$120,K$3)</f>
        <v>12.010960000000068</v>
      </c>
      <c r="L101" s="541">
        <f>SUMIFS('Bus Emissions'!$E$81:$E$120,'Bus Emissions'!$C$81:$C$120,L$3)</f>
        <v>11.171090000000049</v>
      </c>
      <c r="M101" s="541">
        <f>SUMIFS('Bus Emissions'!$E$81:$E$120,'Bus Emissions'!$C$81:$C$120,M$3)</f>
        <v>10.33122000000003</v>
      </c>
      <c r="N101" s="541">
        <f>SUMIFS('Bus Emissions'!$E$81:$E$120,'Bus Emissions'!$C$81:$C$120,N$3)</f>
        <v>9.4913500000002387</v>
      </c>
      <c r="O101" s="541">
        <f>SUMIFS('Bus Emissions'!$E$81:$E$120,'Bus Emissions'!$C$81:$C$120,O$3)</f>
        <v>8.6514800000002197</v>
      </c>
      <c r="P101" s="541">
        <f>SUMIFS('Bus Emissions'!$E$81:$E$120,'Bus Emissions'!$C$81:$C$120,P$3)</f>
        <v>7.8116100000002007</v>
      </c>
      <c r="Q101" s="541">
        <f>SUMIFS('Bus Emissions'!$E$81:$E$120,'Bus Emissions'!$C$81:$C$120,Q$3)</f>
        <v>6.9717400000001817</v>
      </c>
      <c r="R101" s="541">
        <f>SUMIFS('Bus Emissions'!$E$81:$E$120,'Bus Emissions'!$C$81:$C$120,R$3)</f>
        <v>6.1318700000001627</v>
      </c>
      <c r="S101" s="541">
        <f>SUMIFS('Bus Emissions'!$E$81:$E$120,'Bus Emissions'!$C$81:$C$120,S$3)</f>
        <v>5.2920000000001437</v>
      </c>
      <c r="T101" s="541">
        <f>SUMIFS('Bus Emissions'!$E$81:$E$120,'Bus Emissions'!$C$81:$C$120,T$3)</f>
        <v>5.2920000000001437</v>
      </c>
      <c r="U101" s="541">
        <f>SUMIFS('Bus Emissions'!$E$81:$E$120,'Bus Emissions'!$C$81:$C$120,U$3)</f>
        <v>5.2920000000001437</v>
      </c>
      <c r="V101" s="541">
        <f>SUMIFS('Bus Emissions'!$E$81:$E$120,'Bus Emissions'!$C$81:$C$120,V$3)</f>
        <v>5.2920000000001437</v>
      </c>
      <c r="W101" s="541">
        <f>SUMIFS('Bus Emissions'!$E$81:$E$120,'Bus Emissions'!$C$81:$C$120,W$3)</f>
        <v>5.2920000000001437</v>
      </c>
      <c r="X101" s="541">
        <f>SUMIFS('Bus Emissions'!$E$81:$E$120,'Bus Emissions'!$C$81:$C$120,X$3)</f>
        <v>5.2920000000001437</v>
      </c>
      <c r="Y101" s="541">
        <f>SUMIFS('Bus Emissions'!$E$81:$E$120,'Bus Emissions'!$C$81:$C$120,Y$3)</f>
        <v>5.2920000000001437</v>
      </c>
      <c r="Z101" s="541">
        <f>SUMIFS('Bus Emissions'!$E$81:$E$120,'Bus Emissions'!$C$81:$C$120,Z$3)</f>
        <v>5.2920000000001437</v>
      </c>
      <c r="AA101" s="541">
        <f>SUMIFS('Bus Emissions'!$E$81:$E$120,'Bus Emissions'!$C$81:$C$120,AA$3)</f>
        <v>5.2920000000001437</v>
      </c>
      <c r="AB101" s="541">
        <f>SUMIFS('Bus Emissions'!$E$81:$E$120,'Bus Emissions'!$C$81:$C$120,AB$3)</f>
        <v>5.2920000000001437</v>
      </c>
      <c r="AC101" s="541">
        <f>SUMIFS('Bus Emissions'!$E$81:$E$120,'Bus Emissions'!$C$81:$C$120,AC$3)</f>
        <v>5.2920000000001437</v>
      </c>
      <c r="AD101" s="541">
        <f>SUMIFS('Bus Emissions'!$E$81:$E$120,'Bus Emissions'!$C$81:$C$120,AD$3)</f>
        <v>5.2920000000001437</v>
      </c>
      <c r="AE101" s="541">
        <f>SUMIFS('Bus Emissions'!$E$81:$E$120,'Bus Emissions'!$C$81:$C$120,AE$3)</f>
        <v>5.2920000000001437</v>
      </c>
      <c r="AF101" s="541">
        <f>SUMIFS('Bus Emissions'!$E$81:$E$120,'Bus Emissions'!$C$81:$C$120,AF$3)</f>
        <v>5.2920000000001437</v>
      </c>
      <c r="AG101" s="541">
        <f>SUMIFS('Bus Emissions'!$E$81:$E$120,'Bus Emissions'!$C$81:$C$120,AG$3)</f>
        <v>5.2920000000001437</v>
      </c>
      <c r="AH101" s="541">
        <f>SUMIFS('Bus Emissions'!$E$81:$E$120,'Bus Emissions'!$C$81:$C$120,AH$3)</f>
        <v>5.2920000000001437</v>
      </c>
      <c r="AI101" s="541">
        <f>SUMIFS('Bus Emissions'!$E$81:$E$120,'Bus Emissions'!$C$81:$C$120,AI$3)</f>
        <v>5.2920000000001437</v>
      </c>
      <c r="AJ101" s="541">
        <f>SUMIFS('Bus Emissions'!$E$81:$E$120,'Bus Emissions'!$C$81:$C$120,AJ$3)</f>
        <v>5.2920000000001437</v>
      </c>
      <c r="AK101" s="541">
        <f>SUMIFS('Bus Emissions'!$E$81:$E$120,'Bus Emissions'!$C$81:$C$120,AK$3)</f>
        <v>5.2920000000001437</v>
      </c>
      <c r="AL101" s="541">
        <f>SUMIFS('Bus Emissions'!$E$81:$E$120,'Bus Emissions'!$C$81:$C$120,AL$3)</f>
        <v>5.2920000000001437</v>
      </c>
    </row>
    <row r="102" spans="1:38">
      <c r="B102" s="478" t="s">
        <v>777</v>
      </c>
      <c r="C102" s="477" t="s">
        <v>531</v>
      </c>
      <c r="D102" s="541">
        <f>SUMIFS('Bus Emissions'!$G$81:$G$120,'Bus Emissions'!$C$81:$C$120,D$3)</f>
        <v>2.6374999999999982E-2</v>
      </c>
      <c r="E102" s="541">
        <f>SUMIFS('Bus Emissions'!$G$81:$G$120,'Bus Emissions'!$C$81:$C$120,E$3)</f>
        <v>2.6210000000000011E-2</v>
      </c>
      <c r="F102" s="541">
        <f>SUMIFS('Bus Emissions'!$G$81:$G$120,'Bus Emissions'!$C$81:$C$120,F$3)</f>
        <v>2.6044999999999985E-2</v>
      </c>
      <c r="G102" s="541">
        <f>SUMIFS('Bus Emissions'!$G$81:$G$120,'Bus Emissions'!$C$81:$C$120,G$3)</f>
        <v>2.5880000000000014E-2</v>
      </c>
      <c r="H102" s="541">
        <f>SUMIFS('Bus Emissions'!$G$81:$G$120,'Bus Emissions'!$C$81:$C$120,H$3)</f>
        <v>2.5714999999999988E-2</v>
      </c>
      <c r="I102" s="541">
        <f>SUMIFS('Bus Emissions'!$G$81:$G$120,'Bus Emissions'!$C$81:$C$120,I$3)</f>
        <v>2.5550000000000017E-2</v>
      </c>
      <c r="J102" s="541">
        <f>SUMIFS('Bus Emissions'!$G$81:$G$120,'Bus Emissions'!$C$81:$C$120,J$3)</f>
        <v>2.5384999999999991E-2</v>
      </c>
      <c r="K102" s="541">
        <f>SUMIFS('Bus Emissions'!$G$81:$G$120,'Bus Emissions'!$C$81:$C$120,K$3)</f>
        <v>2.5219999999999965E-2</v>
      </c>
      <c r="L102" s="541">
        <f>SUMIFS('Bus Emissions'!$G$81:$G$120,'Bus Emissions'!$C$81:$C$120,L$3)</f>
        <v>2.5054999999999994E-2</v>
      </c>
      <c r="M102" s="541">
        <f>SUMIFS('Bus Emissions'!$G$81:$G$120,'Bus Emissions'!$C$81:$C$120,M$3)</f>
        <v>2.4889999999999968E-2</v>
      </c>
      <c r="N102" s="541">
        <f>SUMIFS('Bus Emissions'!$G$81:$G$120,'Bus Emissions'!$C$81:$C$120,N$3)</f>
        <v>2.4724999999999997E-2</v>
      </c>
      <c r="O102" s="541">
        <f>SUMIFS('Bus Emissions'!$G$81:$G$120,'Bus Emissions'!$C$81:$C$120,O$3)</f>
        <v>2.4559999999999971E-2</v>
      </c>
      <c r="P102" s="541">
        <f>SUMIFS('Bus Emissions'!$G$81:$G$120,'Bus Emissions'!$C$81:$C$120,P$3)</f>
        <v>2.4395E-2</v>
      </c>
      <c r="Q102" s="541">
        <f>SUMIFS('Bus Emissions'!$G$81:$G$120,'Bus Emissions'!$C$81:$C$120,Q$3)</f>
        <v>2.4229999999999974E-2</v>
      </c>
      <c r="R102" s="541">
        <f>SUMIFS('Bus Emissions'!$G$81:$G$120,'Bus Emissions'!$C$81:$C$120,R$3)</f>
        <v>2.4065000000000003E-2</v>
      </c>
      <c r="S102" s="541">
        <f>SUMIFS('Bus Emissions'!$G$81:$G$120,'Bus Emissions'!$C$81:$C$120,S$3)</f>
        <v>2.3899999999999977E-2</v>
      </c>
      <c r="T102" s="541">
        <f>SUMIFS('Bus Emissions'!$G$81:$G$120,'Bus Emissions'!$C$81:$C$120,T$3)</f>
        <v>2.3899999999999977E-2</v>
      </c>
      <c r="U102" s="541">
        <f>SUMIFS('Bus Emissions'!$G$81:$G$120,'Bus Emissions'!$C$81:$C$120,U$3)</f>
        <v>2.3899999999999977E-2</v>
      </c>
      <c r="V102" s="541">
        <f>SUMIFS('Bus Emissions'!$G$81:$G$120,'Bus Emissions'!$C$81:$C$120,V$3)</f>
        <v>2.3899999999999977E-2</v>
      </c>
      <c r="W102" s="541">
        <f>SUMIFS('Bus Emissions'!$G$81:$G$120,'Bus Emissions'!$C$81:$C$120,W$3)</f>
        <v>2.3899999999999977E-2</v>
      </c>
      <c r="X102" s="541">
        <f>SUMIFS('Bus Emissions'!$G$81:$G$120,'Bus Emissions'!$C$81:$C$120,X$3)</f>
        <v>2.3899999999999977E-2</v>
      </c>
      <c r="Y102" s="541">
        <f>SUMIFS('Bus Emissions'!$G$81:$G$120,'Bus Emissions'!$C$81:$C$120,Y$3)</f>
        <v>2.3899999999999977E-2</v>
      </c>
      <c r="Z102" s="541">
        <f>SUMIFS('Bus Emissions'!$G$81:$G$120,'Bus Emissions'!$C$81:$C$120,Z$3)</f>
        <v>2.3899999999999977E-2</v>
      </c>
      <c r="AA102" s="541">
        <f>SUMIFS('Bus Emissions'!$G$81:$G$120,'Bus Emissions'!$C$81:$C$120,AA$3)</f>
        <v>2.3899999999999977E-2</v>
      </c>
      <c r="AB102" s="541">
        <f>SUMIFS('Bus Emissions'!$G$81:$G$120,'Bus Emissions'!$C$81:$C$120,AB$3)</f>
        <v>2.3899999999999977E-2</v>
      </c>
      <c r="AC102" s="541">
        <f>SUMIFS('Bus Emissions'!$G$81:$G$120,'Bus Emissions'!$C$81:$C$120,AC$3)</f>
        <v>2.3899999999999977E-2</v>
      </c>
      <c r="AD102" s="541">
        <f>SUMIFS('Bus Emissions'!$G$81:$G$120,'Bus Emissions'!$C$81:$C$120,AD$3)</f>
        <v>2.3899999999999977E-2</v>
      </c>
      <c r="AE102" s="541">
        <f>SUMIFS('Bus Emissions'!$G$81:$G$120,'Bus Emissions'!$C$81:$C$120,AE$3)</f>
        <v>2.3899999999999977E-2</v>
      </c>
      <c r="AF102" s="541">
        <f>SUMIFS('Bus Emissions'!$G$81:$G$120,'Bus Emissions'!$C$81:$C$120,AF$3)</f>
        <v>2.3899999999999977E-2</v>
      </c>
      <c r="AG102" s="541">
        <f>SUMIFS('Bus Emissions'!$G$81:$G$120,'Bus Emissions'!$C$81:$C$120,AG$3)</f>
        <v>2.3899999999999977E-2</v>
      </c>
      <c r="AH102" s="541">
        <f>SUMIFS('Bus Emissions'!$G$81:$G$120,'Bus Emissions'!$C$81:$C$120,AH$3)</f>
        <v>2.3899999999999977E-2</v>
      </c>
      <c r="AI102" s="541">
        <f>SUMIFS('Bus Emissions'!$G$81:$G$120,'Bus Emissions'!$C$81:$C$120,AI$3)</f>
        <v>2.3899999999999977E-2</v>
      </c>
      <c r="AJ102" s="541">
        <f>SUMIFS('Bus Emissions'!$G$81:$G$120,'Bus Emissions'!$C$81:$C$120,AJ$3)</f>
        <v>2.3899999999999977E-2</v>
      </c>
      <c r="AK102" s="541">
        <f>SUMIFS('Bus Emissions'!$G$81:$G$120,'Bus Emissions'!$C$81:$C$120,AK$3)</f>
        <v>2.3899999999999977E-2</v>
      </c>
      <c r="AL102" s="541">
        <f>SUMIFS('Bus Emissions'!$G$81:$G$120,'Bus Emissions'!$C$81:$C$120,AL$3)</f>
        <v>2.3899999999999977E-2</v>
      </c>
    </row>
    <row r="103" spans="1:38">
      <c r="B103" s="478" t="s">
        <v>778</v>
      </c>
      <c r="C103" s="477" t="s">
        <v>531</v>
      </c>
      <c r="D103" s="541">
        <f>SUMIFS('Bus Emissions'!$H$81:$H$120,'Bus Emissions'!$C$81:$C$120,D$3)</f>
        <v>2.4299249999999688</v>
      </c>
      <c r="E103" s="541">
        <f>SUMIFS('Bus Emissions'!$H$81:$H$120,'Bus Emissions'!$C$81:$C$120,E$3)</f>
        <v>2.2937299999999823</v>
      </c>
      <c r="F103" s="541">
        <f>SUMIFS('Bus Emissions'!$H$81:$H$120,'Bus Emissions'!$C$81:$C$120,F$3)</f>
        <v>2.1575349999999958</v>
      </c>
      <c r="G103" s="541">
        <f>SUMIFS('Bus Emissions'!$H$81:$H$120,'Bus Emissions'!$C$81:$C$120,G$3)</f>
        <v>2.0213400000000092</v>
      </c>
      <c r="H103" s="541">
        <f>SUMIFS('Bus Emissions'!$H$81:$H$120,'Bus Emissions'!$C$81:$C$120,H$3)</f>
        <v>1.8851449999999659</v>
      </c>
      <c r="I103" s="541">
        <f>SUMIFS('Bus Emissions'!$H$81:$H$120,'Bus Emissions'!$C$81:$C$120,I$3)</f>
        <v>1.7489499999999794</v>
      </c>
      <c r="J103" s="541">
        <f>SUMIFS('Bus Emissions'!$H$81:$H$120,'Bus Emissions'!$C$81:$C$120,J$3)</f>
        <v>1.6127549999999928</v>
      </c>
      <c r="K103" s="541">
        <f>SUMIFS('Bus Emissions'!$H$81:$H$120,'Bus Emissions'!$C$81:$C$120,K$3)</f>
        <v>1.4765600000000063</v>
      </c>
      <c r="L103" s="541">
        <f>SUMIFS('Bus Emissions'!$H$81:$H$120,'Bus Emissions'!$C$81:$C$120,L$3)</f>
        <v>1.3403649999999629</v>
      </c>
      <c r="M103" s="541">
        <f>SUMIFS('Bus Emissions'!$H$81:$H$120,'Bus Emissions'!$C$81:$C$120,M$3)</f>
        <v>1.2041699999999764</v>
      </c>
      <c r="N103" s="541">
        <f>SUMIFS('Bus Emissions'!$H$81:$H$120,'Bus Emissions'!$C$81:$C$120,N$3)</f>
        <v>1.0679749999999899</v>
      </c>
      <c r="O103" s="541">
        <f>SUMIFS('Bus Emissions'!$H$81:$H$120,'Bus Emissions'!$C$81:$C$120,O$3)</f>
        <v>0.93178000000000338</v>
      </c>
      <c r="P103" s="541">
        <f>SUMIFS('Bus Emissions'!$H$81:$H$120,'Bus Emissions'!$C$81:$C$120,P$3)</f>
        <v>0.79558500000001686</v>
      </c>
      <c r="Q103" s="541">
        <f>SUMIFS('Bus Emissions'!$H$81:$H$120,'Bus Emissions'!$C$81:$C$120,Q$3)</f>
        <v>0.6593899999999735</v>
      </c>
      <c r="R103" s="541">
        <f>SUMIFS('Bus Emissions'!$H$81:$H$120,'Bus Emissions'!$C$81:$C$120,R$3)</f>
        <v>0.52319499999998698</v>
      </c>
      <c r="S103" s="541">
        <f>SUMIFS('Bus Emissions'!$H$81:$H$120,'Bus Emissions'!$C$81:$C$120,S$3)</f>
        <v>0.38700000000000045</v>
      </c>
      <c r="T103" s="541">
        <f>SUMIFS('Bus Emissions'!$H$81:$H$120,'Bus Emissions'!$C$81:$C$120,T$3)</f>
        <v>0.38700000000000045</v>
      </c>
      <c r="U103" s="541">
        <f>SUMIFS('Bus Emissions'!$H$81:$H$120,'Bus Emissions'!$C$81:$C$120,U$3)</f>
        <v>0.38700000000000045</v>
      </c>
      <c r="V103" s="541">
        <f>SUMIFS('Bus Emissions'!$H$81:$H$120,'Bus Emissions'!$C$81:$C$120,V$3)</f>
        <v>0.38700000000000045</v>
      </c>
      <c r="W103" s="541">
        <f>SUMIFS('Bus Emissions'!$H$81:$H$120,'Bus Emissions'!$C$81:$C$120,W$3)</f>
        <v>0.38700000000000045</v>
      </c>
      <c r="X103" s="541">
        <f>SUMIFS('Bus Emissions'!$H$81:$H$120,'Bus Emissions'!$C$81:$C$120,X$3)</f>
        <v>0.38700000000000045</v>
      </c>
      <c r="Y103" s="541">
        <f>SUMIFS('Bus Emissions'!$H$81:$H$120,'Bus Emissions'!$C$81:$C$120,Y$3)</f>
        <v>0.38700000000000045</v>
      </c>
      <c r="Z103" s="541">
        <f>SUMIFS('Bus Emissions'!$H$81:$H$120,'Bus Emissions'!$C$81:$C$120,Z$3)</f>
        <v>0.38700000000000045</v>
      </c>
      <c r="AA103" s="541">
        <f>SUMIFS('Bus Emissions'!$H$81:$H$120,'Bus Emissions'!$C$81:$C$120,AA$3)</f>
        <v>0.38700000000000045</v>
      </c>
      <c r="AB103" s="541">
        <f>SUMIFS('Bus Emissions'!$H$81:$H$120,'Bus Emissions'!$C$81:$C$120,AB$3)</f>
        <v>0.38700000000000045</v>
      </c>
      <c r="AC103" s="541">
        <f>SUMIFS('Bus Emissions'!$H$81:$H$120,'Bus Emissions'!$C$81:$C$120,AC$3)</f>
        <v>0.38700000000000045</v>
      </c>
      <c r="AD103" s="541">
        <f>SUMIFS('Bus Emissions'!$H$81:$H$120,'Bus Emissions'!$C$81:$C$120,AD$3)</f>
        <v>0.38700000000000045</v>
      </c>
      <c r="AE103" s="541">
        <f>SUMIFS('Bus Emissions'!$H$81:$H$120,'Bus Emissions'!$C$81:$C$120,AE$3)</f>
        <v>0.38700000000000045</v>
      </c>
      <c r="AF103" s="541">
        <f>SUMIFS('Bus Emissions'!$H$81:$H$120,'Bus Emissions'!$C$81:$C$120,AF$3)</f>
        <v>0.38700000000000045</v>
      </c>
      <c r="AG103" s="541">
        <f>SUMIFS('Bus Emissions'!$H$81:$H$120,'Bus Emissions'!$C$81:$C$120,AG$3)</f>
        <v>0.38700000000000045</v>
      </c>
      <c r="AH103" s="541">
        <f>SUMIFS('Bus Emissions'!$H$81:$H$120,'Bus Emissions'!$C$81:$C$120,AH$3)</f>
        <v>0.38700000000000045</v>
      </c>
      <c r="AI103" s="541">
        <f>SUMIFS('Bus Emissions'!$H$81:$H$120,'Bus Emissions'!$C$81:$C$120,AI$3)</f>
        <v>0.38700000000000045</v>
      </c>
      <c r="AJ103" s="541">
        <f>SUMIFS('Bus Emissions'!$H$81:$H$120,'Bus Emissions'!$C$81:$C$120,AJ$3)</f>
        <v>0.38700000000000045</v>
      </c>
      <c r="AK103" s="541">
        <f>SUMIFS('Bus Emissions'!$H$81:$H$120,'Bus Emissions'!$C$81:$C$120,AK$3)</f>
        <v>0.38700000000000045</v>
      </c>
      <c r="AL103" s="541">
        <f>SUMIFS('Bus Emissions'!$H$81:$H$120,'Bus Emissions'!$C$81:$C$120,AL$3)</f>
        <v>0.38700000000000045</v>
      </c>
    </row>
    <row r="104" spans="1:38">
      <c r="D104" s="358"/>
      <c r="F104" s="464"/>
      <c r="G104" s="465"/>
      <c r="H104" s="465"/>
    </row>
    <row r="105" spans="1:38">
      <c r="B105" s="479" t="s">
        <v>307</v>
      </c>
      <c r="C105" s="480" t="s">
        <v>1279</v>
      </c>
      <c r="D105" s="582">
        <f>VLOOKUP(D$3,'Emission Costs'!$D$83:$H$118,5,FALSE)</f>
        <v>52</v>
      </c>
      <c r="E105" s="582">
        <f>VLOOKUP(E$3,'Emission Costs'!$D$83:$H$118,5,FALSE)</f>
        <v>53</v>
      </c>
      <c r="F105" s="582">
        <f>VLOOKUP(F$3,'Emission Costs'!$D$83:$H$118,5,FALSE)</f>
        <v>54</v>
      </c>
      <c r="G105" s="582">
        <f>VLOOKUP(G$3,'Emission Costs'!$D$83:$H$118,5,FALSE)</f>
        <v>55</v>
      </c>
      <c r="H105" s="582">
        <f>VLOOKUP(H$3,'Emission Costs'!$D$83:$H$118,5,FALSE)</f>
        <v>56</v>
      </c>
      <c r="I105" s="582">
        <f>VLOOKUP(I$3,'Emission Costs'!$D$83:$H$118,5,FALSE)</f>
        <v>57</v>
      </c>
      <c r="J105" s="582">
        <f>VLOOKUP(J$3,'Emission Costs'!$D$83:$H$118,5,FALSE)</f>
        <v>58</v>
      </c>
      <c r="K105" s="582">
        <f>VLOOKUP(K$3,'Emission Costs'!$D$83:$H$118,5,FALSE)</f>
        <v>59</v>
      </c>
      <c r="L105" s="582">
        <f>VLOOKUP(L$3,'Emission Costs'!$D$83:$H$118,5,FALSE)</f>
        <v>60</v>
      </c>
      <c r="M105" s="582">
        <f>VLOOKUP(M$3,'Emission Costs'!$D$83:$H$118,5,FALSE)</f>
        <v>61</v>
      </c>
      <c r="N105" s="582">
        <f>VLOOKUP(N$3,'Emission Costs'!$D$83:$H$118,5,FALSE)</f>
        <v>62</v>
      </c>
      <c r="O105" s="582">
        <f>VLOOKUP(O$3,'Emission Costs'!$D$83:$H$118,5,FALSE)</f>
        <v>63</v>
      </c>
      <c r="P105" s="582">
        <f>VLOOKUP(P$3,'Emission Costs'!$D$83:$H$118,5,FALSE)</f>
        <v>64</v>
      </c>
      <c r="Q105" s="582">
        <f>VLOOKUP(Q$3,'Emission Costs'!$D$83:$H$118,5,FALSE)</f>
        <v>66</v>
      </c>
      <c r="R105" s="582">
        <f>VLOOKUP(R$3,'Emission Costs'!$D$83:$H$118,5,FALSE)</f>
        <v>67</v>
      </c>
      <c r="S105" s="582">
        <f>VLOOKUP(S$3,'Emission Costs'!$D$83:$H$118,5,FALSE)</f>
        <v>68</v>
      </c>
      <c r="T105" s="582">
        <f>VLOOKUP(T$3,'Emission Costs'!$D$83:$H$118,5,FALSE)</f>
        <v>69</v>
      </c>
      <c r="U105" s="582">
        <f>VLOOKUP(U$3,'Emission Costs'!$D$83:$H$118,5,FALSE)</f>
        <v>70</v>
      </c>
      <c r="V105" s="582">
        <f>VLOOKUP(V$3,'Emission Costs'!$D$83:$H$118,5,FALSE)</f>
        <v>71</v>
      </c>
      <c r="W105" s="582">
        <f>VLOOKUP(W$3,'Emission Costs'!$D$83:$H$118,5,FALSE)</f>
        <v>72</v>
      </c>
      <c r="X105" s="582">
        <f>VLOOKUP(X$3,'Emission Costs'!$D$83:$H$118,5,FALSE)</f>
        <v>73</v>
      </c>
      <c r="Y105" s="582">
        <f>VLOOKUP(Y$3,'Emission Costs'!$D$83:$H$118,5,FALSE)</f>
        <v>75</v>
      </c>
      <c r="Z105" s="582">
        <f>VLOOKUP(Z$3,'Emission Costs'!$D$83:$H$118,5,FALSE)</f>
        <v>76</v>
      </c>
      <c r="AA105" s="582">
        <f>VLOOKUP(AA$3,'Emission Costs'!$D$83:$H$118,5,FALSE)</f>
        <v>77</v>
      </c>
      <c r="AB105" s="582">
        <f>VLOOKUP(AB$3,'Emission Costs'!$D$83:$H$118,5,FALSE)</f>
        <v>78</v>
      </c>
      <c r="AC105" s="582">
        <f>VLOOKUP(AC$3,'Emission Costs'!$D$83:$H$118,5,FALSE)</f>
        <v>79</v>
      </c>
      <c r="AD105" s="582">
        <f>VLOOKUP(AD$3,'Emission Costs'!$D$83:$H$118,5,FALSE)</f>
        <v>80</v>
      </c>
      <c r="AE105" s="582">
        <f>VLOOKUP(AE$3,'Emission Costs'!$D$83:$H$118,5,FALSE)</f>
        <v>81</v>
      </c>
      <c r="AF105" s="582">
        <f>VLOOKUP(AF$3,'Emission Costs'!$D$83:$H$118,5,FALSE)</f>
        <v>83</v>
      </c>
      <c r="AG105" s="582">
        <f>VLOOKUP(AG$3,'Emission Costs'!$D$83:$H$118,5,FALSE)</f>
        <v>84</v>
      </c>
      <c r="AH105" s="582">
        <f>VLOOKUP(AH$3,'Emission Costs'!$D$83:$H$118,5,FALSE)</f>
        <v>84</v>
      </c>
      <c r="AI105" s="582">
        <f>VLOOKUP(AI$3,'Emission Costs'!$D$83:$H$118,5,FALSE)</f>
        <v>84</v>
      </c>
      <c r="AJ105" s="582">
        <f>VLOOKUP(AJ$3,'Emission Costs'!$D$83:$H$118,5,FALSE)</f>
        <v>84</v>
      </c>
      <c r="AK105" s="582">
        <f>VLOOKUP(AK$3,'Emission Costs'!$D$83:$H$118,5,FALSE)</f>
        <v>84</v>
      </c>
      <c r="AL105" s="582">
        <f>VLOOKUP(AL$3,'Emission Costs'!$D$83:$H$118,5,FALSE)</f>
        <v>84</v>
      </c>
    </row>
    <row r="106" spans="1:38">
      <c r="B106" s="481" t="s">
        <v>296</v>
      </c>
      <c r="C106" s="480" t="s">
        <v>1279</v>
      </c>
      <c r="D106" s="582">
        <f>VLOOKUP(D$3,'Emission Costs'!$D$83:$H$118,2,FALSE)</f>
        <v>15900</v>
      </c>
      <c r="E106" s="582">
        <f>VLOOKUP(E$3,'Emission Costs'!$D$83:$H$118,2,FALSE)</f>
        <v>16100</v>
      </c>
      <c r="F106" s="582">
        <f>VLOOKUP(F$3,'Emission Costs'!$D$83:$H$118,2,FALSE)</f>
        <v>16400</v>
      </c>
      <c r="G106" s="582">
        <f>VLOOKUP(G$3,'Emission Costs'!$D$83:$H$118,2,FALSE)</f>
        <v>16600</v>
      </c>
      <c r="H106" s="582">
        <f>VLOOKUP(H$3,'Emission Costs'!$D$83:$H$118,2,FALSE)</f>
        <v>16800</v>
      </c>
      <c r="I106" s="582">
        <f>VLOOKUP(I$3,'Emission Costs'!$D$83:$H$118,2,FALSE)</f>
        <v>17000</v>
      </c>
      <c r="J106" s="582">
        <f>VLOOKUP(J$3,'Emission Costs'!$D$83:$H$118,2,FALSE)</f>
        <v>17300</v>
      </c>
      <c r="K106" s="582">
        <f>VLOOKUP(K$3,'Emission Costs'!$D$83:$H$118,2,FALSE)</f>
        <v>17500</v>
      </c>
      <c r="L106" s="582">
        <f>VLOOKUP(L$3,'Emission Costs'!$D$83:$H$118,2,FALSE)</f>
        <v>17700</v>
      </c>
      <c r="M106" s="582">
        <f>VLOOKUP(M$3,'Emission Costs'!$D$83:$H$118,2,FALSE)</f>
        <v>18000</v>
      </c>
      <c r="N106" s="582">
        <f>VLOOKUP(N$3,'Emission Costs'!$D$83:$H$118,2,FALSE)</f>
        <v>18000</v>
      </c>
      <c r="O106" s="582">
        <f>VLOOKUP(O$3,'Emission Costs'!$D$83:$H$118,2,FALSE)</f>
        <v>18000</v>
      </c>
      <c r="P106" s="582">
        <f>VLOOKUP(P$3,'Emission Costs'!$D$83:$H$118,2,FALSE)</f>
        <v>18000</v>
      </c>
      <c r="Q106" s="582">
        <f>VLOOKUP(Q$3,'Emission Costs'!$D$83:$H$118,2,FALSE)</f>
        <v>18000</v>
      </c>
      <c r="R106" s="582">
        <f>VLOOKUP(R$3,'Emission Costs'!$D$83:$H$118,2,FALSE)</f>
        <v>18000</v>
      </c>
      <c r="S106" s="582">
        <f>VLOOKUP(S$3,'Emission Costs'!$D$83:$H$118,2,FALSE)</f>
        <v>18000</v>
      </c>
      <c r="T106" s="582">
        <f>VLOOKUP(T$3,'Emission Costs'!$D$83:$H$118,2,FALSE)</f>
        <v>18000</v>
      </c>
      <c r="U106" s="582">
        <f>VLOOKUP(U$3,'Emission Costs'!$D$83:$H$118,2,FALSE)</f>
        <v>18000</v>
      </c>
      <c r="V106" s="582">
        <f>VLOOKUP(V$3,'Emission Costs'!$D$83:$H$118,2,FALSE)</f>
        <v>18000</v>
      </c>
      <c r="W106" s="582">
        <f>VLOOKUP(W$3,'Emission Costs'!$D$83:$H$118,2,FALSE)</f>
        <v>18000</v>
      </c>
      <c r="X106" s="582">
        <f>VLOOKUP(X$3,'Emission Costs'!$D$83:$H$118,2,FALSE)</f>
        <v>18000</v>
      </c>
      <c r="Y106" s="582">
        <f>VLOOKUP(Y$3,'Emission Costs'!$D$83:$H$118,2,FALSE)</f>
        <v>18000</v>
      </c>
      <c r="Z106" s="582">
        <f>VLOOKUP(Z$3,'Emission Costs'!$D$83:$H$118,2,FALSE)</f>
        <v>18000</v>
      </c>
      <c r="AA106" s="582">
        <f>VLOOKUP(AA$3,'Emission Costs'!$D$83:$H$118,2,FALSE)</f>
        <v>18000</v>
      </c>
      <c r="AB106" s="582">
        <f>VLOOKUP(AB$3,'Emission Costs'!$D$83:$H$118,2,FALSE)</f>
        <v>18000</v>
      </c>
      <c r="AC106" s="582">
        <f>VLOOKUP(AC$3,'Emission Costs'!$D$83:$H$118,2,FALSE)</f>
        <v>18000</v>
      </c>
      <c r="AD106" s="582">
        <f>VLOOKUP(AD$3,'Emission Costs'!$D$83:$H$118,2,FALSE)</f>
        <v>18000</v>
      </c>
      <c r="AE106" s="582">
        <f>VLOOKUP(AE$3,'Emission Costs'!$D$83:$H$118,2,FALSE)</f>
        <v>18000</v>
      </c>
      <c r="AF106" s="582">
        <f>VLOOKUP(AF$3,'Emission Costs'!$D$83:$H$118,2,FALSE)</f>
        <v>18000</v>
      </c>
      <c r="AG106" s="582">
        <f>VLOOKUP(AG$3,'Emission Costs'!$D$83:$H$118,2,FALSE)</f>
        <v>18000</v>
      </c>
      <c r="AH106" s="582">
        <f>VLOOKUP(AH$3,'Emission Costs'!$D$83:$H$118,2,FALSE)</f>
        <v>18000</v>
      </c>
      <c r="AI106" s="582">
        <f>VLOOKUP(AI$3,'Emission Costs'!$D$83:$H$118,2,FALSE)</f>
        <v>18000</v>
      </c>
      <c r="AJ106" s="582">
        <f>VLOOKUP(AJ$3,'Emission Costs'!$D$83:$H$118,2,FALSE)</f>
        <v>18000</v>
      </c>
      <c r="AK106" s="582">
        <f>VLOOKUP(AK$3,'Emission Costs'!$D$83:$H$118,2,FALSE)</f>
        <v>18000</v>
      </c>
      <c r="AL106" s="582">
        <f>VLOOKUP(AL$3,'Emission Costs'!$D$83:$H$118,2,FALSE)</f>
        <v>18000</v>
      </c>
    </row>
    <row r="107" spans="1:38">
      <c r="B107" s="481" t="s">
        <v>297</v>
      </c>
      <c r="C107" s="480" t="s">
        <v>1279</v>
      </c>
      <c r="D107" s="582">
        <f>VLOOKUP(D$3,'Emission Costs'!$D$83:$H$118,4,FALSE)</f>
        <v>742300</v>
      </c>
      <c r="E107" s="582">
        <f>VLOOKUP(E$3,'Emission Costs'!$D$83:$H$118,4,FALSE)</f>
        <v>755500</v>
      </c>
      <c r="F107" s="582">
        <f>VLOOKUP(F$3,'Emission Costs'!$D$83:$H$118,4,FALSE)</f>
        <v>769000</v>
      </c>
      <c r="G107" s="582">
        <f>VLOOKUP(G$3,'Emission Costs'!$D$83:$H$118,4,FALSE)</f>
        <v>782700</v>
      </c>
      <c r="H107" s="582">
        <f>VLOOKUP(H$3,'Emission Costs'!$D$83:$H$118,4,FALSE)</f>
        <v>796600</v>
      </c>
      <c r="I107" s="582">
        <f>VLOOKUP(I$3,'Emission Costs'!$D$83:$H$118,4,FALSE)</f>
        <v>807500</v>
      </c>
      <c r="J107" s="582">
        <f>VLOOKUP(J$3,'Emission Costs'!$D$83:$H$118,4,FALSE)</f>
        <v>818600</v>
      </c>
      <c r="K107" s="582">
        <f>VLOOKUP(K$3,'Emission Costs'!$D$83:$H$118,4,FALSE)</f>
        <v>829800</v>
      </c>
      <c r="L107" s="582">
        <f>VLOOKUP(L$3,'Emission Costs'!$D$83:$H$118,4,FALSE)</f>
        <v>841200</v>
      </c>
      <c r="M107" s="582">
        <f>VLOOKUP(M$3,'Emission Costs'!$D$83:$H$118,4,FALSE)</f>
        <v>852700</v>
      </c>
      <c r="N107" s="582">
        <f>VLOOKUP(N$3,'Emission Costs'!$D$83:$H$118,4,FALSE)</f>
        <v>852700</v>
      </c>
      <c r="O107" s="582">
        <f>VLOOKUP(O$3,'Emission Costs'!$D$83:$H$118,4,FALSE)</f>
        <v>852700</v>
      </c>
      <c r="P107" s="582">
        <f>VLOOKUP(P$3,'Emission Costs'!$D$83:$H$118,4,FALSE)</f>
        <v>852700</v>
      </c>
      <c r="Q107" s="582">
        <f>VLOOKUP(Q$3,'Emission Costs'!$D$83:$H$118,4,FALSE)</f>
        <v>852700</v>
      </c>
      <c r="R107" s="582">
        <f>VLOOKUP(R$3,'Emission Costs'!$D$83:$H$118,4,FALSE)</f>
        <v>852700</v>
      </c>
      <c r="S107" s="582">
        <f>VLOOKUP(S$3,'Emission Costs'!$D$83:$H$118,4,FALSE)</f>
        <v>852700</v>
      </c>
      <c r="T107" s="582">
        <f>VLOOKUP(T$3,'Emission Costs'!$D$83:$H$118,4,FALSE)</f>
        <v>852700</v>
      </c>
      <c r="U107" s="582">
        <f>VLOOKUP(U$3,'Emission Costs'!$D$83:$H$118,4,FALSE)</f>
        <v>852700</v>
      </c>
      <c r="V107" s="582">
        <f>VLOOKUP(V$3,'Emission Costs'!$D$83:$H$118,4,FALSE)</f>
        <v>852700</v>
      </c>
      <c r="W107" s="582">
        <f>VLOOKUP(W$3,'Emission Costs'!$D$83:$H$118,4,FALSE)</f>
        <v>852700</v>
      </c>
      <c r="X107" s="582">
        <f>VLOOKUP(X$3,'Emission Costs'!$D$83:$H$118,4,FALSE)</f>
        <v>852700</v>
      </c>
      <c r="Y107" s="582">
        <f>VLOOKUP(Y$3,'Emission Costs'!$D$83:$H$118,4,FALSE)</f>
        <v>852700</v>
      </c>
      <c r="Z107" s="582">
        <f>VLOOKUP(Z$3,'Emission Costs'!$D$83:$H$118,4,FALSE)</f>
        <v>852700</v>
      </c>
      <c r="AA107" s="582">
        <f>VLOOKUP(AA$3,'Emission Costs'!$D$83:$H$118,4,FALSE)</f>
        <v>852700</v>
      </c>
      <c r="AB107" s="582">
        <f>VLOOKUP(AB$3,'Emission Costs'!$D$83:$H$118,4,FALSE)</f>
        <v>852700</v>
      </c>
      <c r="AC107" s="582">
        <f>VLOOKUP(AC$3,'Emission Costs'!$D$83:$H$118,4,FALSE)</f>
        <v>852700</v>
      </c>
      <c r="AD107" s="582">
        <f>VLOOKUP(AD$3,'Emission Costs'!$D$83:$H$118,4,FALSE)</f>
        <v>852700</v>
      </c>
      <c r="AE107" s="582">
        <f>VLOOKUP(AE$3,'Emission Costs'!$D$83:$H$118,4,FALSE)</f>
        <v>852700</v>
      </c>
      <c r="AF107" s="582">
        <f>VLOOKUP(AF$3,'Emission Costs'!$D$83:$H$118,4,FALSE)</f>
        <v>852700</v>
      </c>
      <c r="AG107" s="582">
        <f>VLOOKUP(AG$3,'Emission Costs'!$D$83:$H$118,4,FALSE)</f>
        <v>852700</v>
      </c>
      <c r="AH107" s="582">
        <f>VLOOKUP(AH$3,'Emission Costs'!$D$83:$H$118,4,FALSE)</f>
        <v>852700</v>
      </c>
      <c r="AI107" s="582">
        <f>VLOOKUP(AI$3,'Emission Costs'!$D$83:$H$118,4,FALSE)</f>
        <v>852700</v>
      </c>
      <c r="AJ107" s="582">
        <f>VLOOKUP(AJ$3,'Emission Costs'!$D$83:$H$118,4,FALSE)</f>
        <v>852700</v>
      </c>
      <c r="AK107" s="582">
        <f>VLOOKUP(AK$3,'Emission Costs'!$D$83:$H$118,4,FALSE)</f>
        <v>852700</v>
      </c>
      <c r="AL107" s="582">
        <f>VLOOKUP(AL$3,'Emission Costs'!$D$83:$H$118,4,FALSE)</f>
        <v>852700</v>
      </c>
    </row>
    <row r="108" spans="1:38">
      <c r="B108" s="481" t="s">
        <v>308</v>
      </c>
      <c r="C108" s="480" t="s">
        <v>1279</v>
      </c>
      <c r="D108" s="582">
        <f>VLOOKUP(D$3,'Emission Costs'!$D$83:$H$118,3,FALSE)</f>
        <v>41300</v>
      </c>
      <c r="E108" s="582">
        <f>VLOOKUP(E$3,'Emission Costs'!$D$83:$H$118,3,FALSE)</f>
        <v>42100</v>
      </c>
      <c r="F108" s="582">
        <f>VLOOKUP(F$3,'Emission Costs'!$D$83:$H$118,3,FALSE)</f>
        <v>43000</v>
      </c>
      <c r="G108" s="582">
        <f>VLOOKUP(G$3,'Emission Costs'!$D$83:$H$118,3,FALSE)</f>
        <v>43900</v>
      </c>
      <c r="H108" s="582">
        <f>VLOOKUP(H$3,'Emission Costs'!$D$83:$H$118,3,FALSE)</f>
        <v>44900</v>
      </c>
      <c r="I108" s="582">
        <f>VLOOKUP(I$3,'Emission Costs'!$D$83:$H$118,3,FALSE)</f>
        <v>45500</v>
      </c>
      <c r="J108" s="582">
        <f>VLOOKUP(J$3,'Emission Costs'!$D$83:$H$118,3,FALSE)</f>
        <v>46200</v>
      </c>
      <c r="K108" s="582">
        <f>VLOOKUP(K$3,'Emission Costs'!$D$83:$H$118,3,FALSE)</f>
        <v>46900</v>
      </c>
      <c r="L108" s="582">
        <f>VLOOKUP(L$3,'Emission Costs'!$D$83:$H$118,3,FALSE)</f>
        <v>47600</v>
      </c>
      <c r="M108" s="582">
        <f>VLOOKUP(M$3,'Emission Costs'!$D$83:$H$118,3,FALSE)</f>
        <v>48200</v>
      </c>
      <c r="N108" s="582">
        <f>VLOOKUP(N$3,'Emission Costs'!$D$83:$H$118,3,FALSE)</f>
        <v>48200</v>
      </c>
      <c r="O108" s="582">
        <f>VLOOKUP(O$3,'Emission Costs'!$D$83:$H$118,3,FALSE)</f>
        <v>48200</v>
      </c>
      <c r="P108" s="582">
        <f>VLOOKUP(P$3,'Emission Costs'!$D$83:$H$118,3,FALSE)</f>
        <v>48200</v>
      </c>
      <c r="Q108" s="582">
        <f>VLOOKUP(Q$3,'Emission Costs'!$D$83:$H$118,3,FALSE)</f>
        <v>48200</v>
      </c>
      <c r="R108" s="582">
        <f>VLOOKUP(R$3,'Emission Costs'!$D$83:$H$118,3,FALSE)</f>
        <v>48200</v>
      </c>
      <c r="S108" s="582">
        <f>VLOOKUP(S$3,'Emission Costs'!$D$83:$H$118,3,FALSE)</f>
        <v>48200</v>
      </c>
      <c r="T108" s="582">
        <f>VLOOKUP(T$3,'Emission Costs'!$D$83:$H$118,3,FALSE)</f>
        <v>48200</v>
      </c>
      <c r="U108" s="582">
        <f>VLOOKUP(U$3,'Emission Costs'!$D$83:$H$118,3,FALSE)</f>
        <v>48200</v>
      </c>
      <c r="V108" s="582">
        <f>VLOOKUP(V$3,'Emission Costs'!$D$83:$H$118,3,FALSE)</f>
        <v>48200</v>
      </c>
      <c r="W108" s="582">
        <f>VLOOKUP(W$3,'Emission Costs'!$D$83:$H$118,3,FALSE)</f>
        <v>48200</v>
      </c>
      <c r="X108" s="582">
        <f>VLOOKUP(X$3,'Emission Costs'!$D$83:$H$118,3,FALSE)</f>
        <v>48200</v>
      </c>
      <c r="Y108" s="582">
        <f>VLOOKUP(Y$3,'Emission Costs'!$D$83:$H$118,3,FALSE)</f>
        <v>48200</v>
      </c>
      <c r="Z108" s="582">
        <f>VLOOKUP(Z$3,'Emission Costs'!$D$83:$H$118,3,FALSE)</f>
        <v>48200</v>
      </c>
      <c r="AA108" s="582">
        <f>VLOOKUP(AA$3,'Emission Costs'!$D$83:$H$118,3,FALSE)</f>
        <v>48200</v>
      </c>
      <c r="AB108" s="582">
        <f>VLOOKUP(AB$3,'Emission Costs'!$D$83:$H$118,3,FALSE)</f>
        <v>48200</v>
      </c>
      <c r="AC108" s="582">
        <f>VLOOKUP(AC$3,'Emission Costs'!$D$83:$H$118,3,FALSE)</f>
        <v>48200</v>
      </c>
      <c r="AD108" s="582">
        <f>VLOOKUP(AD$3,'Emission Costs'!$D$83:$H$118,3,FALSE)</f>
        <v>48200</v>
      </c>
      <c r="AE108" s="582">
        <f>VLOOKUP(AE$3,'Emission Costs'!$D$83:$H$118,3,FALSE)</f>
        <v>48200</v>
      </c>
      <c r="AF108" s="582">
        <f>VLOOKUP(AF$3,'Emission Costs'!$D$83:$H$118,3,FALSE)</f>
        <v>48200</v>
      </c>
      <c r="AG108" s="582">
        <f>VLOOKUP(AG$3,'Emission Costs'!$D$83:$H$118,3,FALSE)</f>
        <v>48200</v>
      </c>
      <c r="AH108" s="582">
        <f>VLOOKUP(AH$3,'Emission Costs'!$D$83:$H$118,3,FALSE)</f>
        <v>48200</v>
      </c>
      <c r="AI108" s="582">
        <f>VLOOKUP(AI$3,'Emission Costs'!$D$83:$H$118,3,FALSE)</f>
        <v>48200</v>
      </c>
      <c r="AJ108" s="582">
        <f>VLOOKUP(AJ$3,'Emission Costs'!$D$83:$H$118,3,FALSE)</f>
        <v>48200</v>
      </c>
      <c r="AK108" s="582">
        <f>VLOOKUP(AK$3,'Emission Costs'!$D$83:$H$118,3,FALSE)</f>
        <v>48200</v>
      </c>
      <c r="AL108" s="582">
        <f>VLOOKUP(AL$3,'Emission Costs'!$D$83:$H$118,3,FALSE)</f>
        <v>48200</v>
      </c>
    </row>
    <row r="109" spans="1:38">
      <c r="D109" s="358"/>
      <c r="F109" s="464"/>
      <c r="G109" s="465"/>
      <c r="H109" s="465"/>
    </row>
    <row r="110" spans="1:38" ht="13">
      <c r="A110" s="452"/>
      <c r="B110" s="495" t="s">
        <v>623</v>
      </c>
      <c r="C110" s="453"/>
      <c r="D110" s="454"/>
      <c r="E110" s="379"/>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D111" s="358"/>
      <c r="F111" s="464"/>
      <c r="G111" s="465"/>
      <c r="H111" s="465"/>
    </row>
    <row r="112" spans="1:38">
      <c r="B112" s="385" t="s">
        <v>508</v>
      </c>
      <c r="C112" s="386" t="s">
        <v>443</v>
      </c>
      <c r="D112" s="383">
        <f>'400 North'!D25</f>
        <v>3378.1106533492425</v>
      </c>
      <c r="E112" s="383">
        <f>'400 North'!E25</f>
        <v>3514.6314397814035</v>
      </c>
      <c r="F112" s="383">
        <f>'400 North'!F25</f>
        <v>3656.6694892758546</v>
      </c>
      <c r="G112" s="383">
        <f>'400 North'!G25</f>
        <v>3804.4477729455994</v>
      </c>
      <c r="H112" s="383">
        <f>'400 North'!H25</f>
        <v>3958.1982729144715</v>
      </c>
      <c r="I112" s="383">
        <f>'400 North'!I25</f>
        <v>4118.1623464823233</v>
      </c>
      <c r="J112" s="383">
        <f>'400 North'!J25</f>
        <v>4284.591105007351</v>
      </c>
      <c r="K112" s="383">
        <f>'400 North'!K25</f>
        <v>4457.7458081003069</v>
      </c>
      <c r="L112" s="383">
        <f>'400 North'!L25</f>
        <v>4637.8982737494553</v>
      </c>
      <c r="M112" s="383">
        <f>'400 North'!M25</f>
        <v>4825.3313050200213</v>
      </c>
      <c r="N112" s="383">
        <f>'400 North'!N25</f>
        <v>5020.3391339980126</v>
      </c>
      <c r="O112" s="383">
        <f>'400 North'!O25</f>
        <v>5223.2278836753021</v>
      </c>
      <c r="P112" s="383">
        <f>'400 North'!P25</f>
        <v>5434.316048501033</v>
      </c>
      <c r="Q112" s="383">
        <f>'400 North'!Q25</f>
        <v>5653.9349943537172</v>
      </c>
      <c r="R112" s="383">
        <f>'400 North'!R25</f>
        <v>5882.4294787188737</v>
      </c>
      <c r="S112" s="383">
        <f>'400 North'!S25</f>
        <v>6120.1581918888296</v>
      </c>
      <c r="T112" s="383">
        <f>'400 North'!T25</f>
        <v>6367.4943200341604</v>
      </c>
      <c r="U112" s="383">
        <f>'400 North'!U25</f>
        <v>6624.8261310307926</v>
      </c>
      <c r="V112" s="383">
        <f>'400 North'!V25</f>
        <v>6892.5575839623198</v>
      </c>
      <c r="W112" s="383">
        <f>'400 North'!W25</f>
        <v>7171.108963254339</v>
      </c>
      <c r="X112" s="383">
        <f>'400 North'!X25</f>
        <v>7460.9175384363143</v>
      </c>
      <c r="Y112" s="383">
        <f>'400 North'!Y25</f>
        <v>7762.4382505666172</v>
      </c>
      <c r="Z112" s="383">
        <f>'400 North'!Z25</f>
        <v>8076.1444263982967</v>
      </c>
      <c r="AA112" s="383">
        <f>'400 North'!AA25</f>
        <v>8402.5285214066935</v>
      </c>
      <c r="AB112" s="383">
        <f>'400 North'!AB25</f>
        <v>8742.1028928452906</v>
      </c>
      <c r="AC112" s="383">
        <f>'400 North'!AC25</f>
        <v>9095.4006040433578</v>
      </c>
      <c r="AD112" s="383">
        <f>'400 North'!AD25</f>
        <v>9462.9762612079503</v>
      </c>
      <c r="AE112" s="383">
        <f>'400 North'!AE25</f>
        <v>9845.4068840438649</v>
      </c>
      <c r="AF112" s="383">
        <f>'400 North'!AF25</f>
        <v>10243.292811558305</v>
      </c>
      <c r="AG112" s="383">
        <f>'400 North'!AG25</f>
        <v>10657.258644472149</v>
      </c>
      <c r="AH112" s="383">
        <f>'400 North'!AH25</f>
        <v>11087.95422571718</v>
      </c>
      <c r="AI112" s="383">
        <f>'400 North'!AI25</f>
        <v>11536.05566055855</v>
      </c>
      <c r="AJ112" s="383">
        <f>'400 North'!AJ25</f>
        <v>12002.266377943779</v>
      </c>
      <c r="AK112" s="383">
        <f>'400 North'!AK25</f>
        <v>12487.318234744445</v>
      </c>
      <c r="AL112" s="383">
        <f>'400 North'!AL25</f>
        <v>12991.972664623985</v>
      </c>
    </row>
    <row r="113" spans="1:38">
      <c r="B113" s="385" t="s">
        <v>509</v>
      </c>
      <c r="C113" s="386" t="s">
        <v>443</v>
      </c>
      <c r="D113" s="383">
        <f>'400 North'!D26</f>
        <v>16.975430418840414</v>
      </c>
      <c r="E113" s="383">
        <f>'400 North'!E26</f>
        <v>17.661464521514592</v>
      </c>
      <c r="F113" s="383">
        <f>'400 North'!F26</f>
        <v>18.375223564200276</v>
      </c>
      <c r="G113" s="383">
        <f>'400 North'!G26</f>
        <v>19.117828004751754</v>
      </c>
      <c r="H113" s="383">
        <f>'400 North'!H26</f>
        <v>19.890443582484782</v>
      </c>
      <c r="I113" s="383">
        <f>'400 North'!I26</f>
        <v>20.694283148152376</v>
      </c>
      <c r="J113" s="383">
        <f>'400 North'!J26</f>
        <v>21.530608567876133</v>
      </c>
      <c r="K113" s="383">
        <f>'400 North'!K26</f>
        <v>22.400732704021642</v>
      </c>
      <c r="L113" s="383">
        <f>'400 North'!L26</f>
        <v>23.306021476127917</v>
      </c>
      <c r="M113" s="383">
        <f>'400 North'!M26</f>
        <v>24.247896005125735</v>
      </c>
      <c r="N113" s="383">
        <f>'400 North'!N26</f>
        <v>25.22783484421112</v>
      </c>
      <c r="O113" s="383">
        <f>'400 North'!O26</f>
        <v>26.247376299875892</v>
      </c>
      <c r="P113" s="383">
        <f>'400 North'!P26</f>
        <v>27.308120846738863</v>
      </c>
      <c r="Q113" s="383">
        <f>'400 North'!Q26</f>
        <v>28.411733639968428</v>
      </c>
      <c r="R113" s="383">
        <f>'400 North'!R26</f>
        <v>29.559947129240573</v>
      </c>
      <c r="S113" s="383">
        <f>'400 North'!S26</f>
        <v>30.754563778335829</v>
      </c>
      <c r="T113" s="383">
        <f>'400 North'!T26</f>
        <v>31.997458894644023</v>
      </c>
      <c r="U113" s="383">
        <f>'400 North'!U26</f>
        <v>33.290583573019056</v>
      </c>
      <c r="V113" s="383">
        <f>'400 North'!V26</f>
        <v>34.635967758604622</v>
      </c>
      <c r="W113" s="383">
        <f>'400 North'!W26</f>
        <v>36.035723433438889</v>
      </c>
      <c r="X113" s="383">
        <f>'400 North'!X26</f>
        <v>37.492047931840773</v>
      </c>
      <c r="Y113" s="383">
        <f>'400 North'!Y26</f>
        <v>39.007227389781995</v>
      </c>
      <c r="Z113" s="383">
        <f>'400 North'!Z26</f>
        <v>40.58364033365978</v>
      </c>
      <c r="AA113" s="383">
        <f>'400 North'!AA26</f>
        <v>42.223761414103983</v>
      </c>
      <c r="AB113" s="383">
        <f>'400 North'!AB26</f>
        <v>43.930165290679852</v>
      </c>
      <c r="AC113" s="383">
        <f>'400 North'!AC26</f>
        <v>45.705530673584718</v>
      </c>
      <c r="AD113" s="383">
        <f>'400 North'!AD26</f>
        <v>47.552644528683167</v>
      </c>
      <c r="AE113" s="383">
        <f>'400 North'!AE26</f>
        <v>49.474406452481738</v>
      </c>
      <c r="AF113" s="383">
        <f>'400 North'!AF26</f>
        <v>51.473833223911079</v>
      </c>
      <c r="AG113" s="383">
        <f>'400 North'!AG26</f>
        <v>53.554063540061051</v>
      </c>
      <c r="AH113" s="383">
        <f>'400 North'!AH26</f>
        <v>55.718362943302409</v>
      </c>
      <c r="AI113" s="383">
        <f>'400 North'!AI26</f>
        <v>57.970128947530405</v>
      </c>
      <c r="AJ113" s="383">
        <f>'400 North'!AJ26</f>
        <v>60.312896371576784</v>
      </c>
      <c r="AK113" s="383">
        <f>'400 North'!AK26</f>
        <v>62.75034288816304</v>
      </c>
      <c r="AL113" s="383">
        <f>'400 North'!AL26</f>
        <v>65.286294797105455</v>
      </c>
    </row>
    <row r="114" spans="1:38">
      <c r="B114" s="358" t="s">
        <v>769</v>
      </c>
      <c r="C114" s="358" t="s">
        <v>443</v>
      </c>
      <c r="D114" s="383">
        <f>'400 North'!D27</f>
        <v>0</v>
      </c>
      <c r="E114" s="383">
        <f>'400 North'!E27</f>
        <v>0</v>
      </c>
      <c r="F114" s="383">
        <f>'400 North'!F27</f>
        <v>0</v>
      </c>
      <c r="G114" s="383">
        <f>'400 North'!G27</f>
        <v>0</v>
      </c>
      <c r="H114" s="383">
        <f>'400 North'!H27</f>
        <v>0</v>
      </c>
      <c r="I114" s="383">
        <f>'400 North'!I27</f>
        <v>0</v>
      </c>
      <c r="J114" s="383">
        <f>'400 North'!J27</f>
        <v>0</v>
      </c>
      <c r="K114" s="383">
        <f>'400 North'!K27</f>
        <v>0</v>
      </c>
      <c r="L114" s="383">
        <f>'400 North'!L27</f>
        <v>0</v>
      </c>
      <c r="M114" s="383">
        <f>'400 North'!M27</f>
        <v>0</v>
      </c>
      <c r="N114" s="383">
        <f>'400 North'!N27</f>
        <v>0</v>
      </c>
      <c r="O114" s="383">
        <f>'400 North'!O27</f>
        <v>0</v>
      </c>
      <c r="P114" s="383">
        <f>'400 North'!P27</f>
        <v>0</v>
      </c>
      <c r="Q114" s="383">
        <f>'400 North'!Q27</f>
        <v>0</v>
      </c>
      <c r="R114" s="383">
        <f>'400 North'!R27</f>
        <v>0</v>
      </c>
      <c r="S114" s="383">
        <f>'400 North'!S27</f>
        <v>0</v>
      </c>
      <c r="T114" s="383">
        <f>'400 North'!T27</f>
        <v>0</v>
      </c>
      <c r="U114" s="383">
        <f>'400 North'!U27</f>
        <v>0</v>
      </c>
      <c r="V114" s="383">
        <f>'400 North'!V27</f>
        <v>0</v>
      </c>
      <c r="W114" s="383">
        <f>'400 North'!W27</f>
        <v>0</v>
      </c>
      <c r="X114" s="383">
        <f>'400 North'!X27</f>
        <v>0</v>
      </c>
      <c r="Y114" s="383">
        <f>'400 North'!Y27</f>
        <v>0</v>
      </c>
      <c r="Z114" s="383">
        <f>'400 North'!Z27</f>
        <v>0</v>
      </c>
      <c r="AA114" s="383">
        <f>'400 North'!AA27</f>
        <v>0</v>
      </c>
      <c r="AB114" s="383">
        <f>'400 North'!AB27</f>
        <v>0</v>
      </c>
      <c r="AC114" s="383">
        <f>'400 North'!AC27</f>
        <v>0</v>
      </c>
      <c r="AD114" s="383">
        <f>'400 North'!AD27</f>
        <v>0</v>
      </c>
      <c r="AE114" s="383">
        <f>'400 North'!AE27</f>
        <v>0</v>
      </c>
      <c r="AF114" s="383">
        <f>'400 North'!AF27</f>
        <v>0</v>
      </c>
      <c r="AG114" s="383">
        <f>'400 North'!AG27</f>
        <v>0</v>
      </c>
      <c r="AH114" s="383">
        <f>'400 North'!AH27</f>
        <v>0</v>
      </c>
      <c r="AI114" s="383">
        <f>'400 North'!AI27</f>
        <v>0</v>
      </c>
      <c r="AJ114" s="383">
        <f>'400 North'!AJ27</f>
        <v>0</v>
      </c>
      <c r="AK114" s="383">
        <f>'400 North'!AK27</f>
        <v>0</v>
      </c>
      <c r="AL114" s="383">
        <f>'400 North'!AL27</f>
        <v>0</v>
      </c>
    </row>
    <row r="115" spans="1:38">
      <c r="A115" s="385"/>
      <c r="B115" s="385"/>
      <c r="C115" s="385"/>
      <c r="D115" s="385"/>
      <c r="E115" s="385"/>
      <c r="F115" s="584"/>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row>
    <row r="116" spans="1:38">
      <c r="B116" s="476" t="s">
        <v>708</v>
      </c>
      <c r="C116" s="484" t="s">
        <v>292</v>
      </c>
      <c r="D116" s="582">
        <f t="shared" ref="D116:AL116" si="52">(D$112*D90+D$113*D95+D$114*D100)/Grams.Per.Metric.Ton*D105</f>
        <v>408.19923034771307</v>
      </c>
      <c r="E116" s="582">
        <f t="shared" si="52"/>
        <v>426.61914154477824</v>
      </c>
      <c r="F116" s="582">
        <f t="shared" si="52"/>
        <v>445.61604087229443</v>
      </c>
      <c r="G116" s="582">
        <f t="shared" si="52"/>
        <v>465.19657310067902</v>
      </c>
      <c r="H116" s="582">
        <f t="shared" si="52"/>
        <v>485.36657733404144</v>
      </c>
      <c r="I116" s="582">
        <f t="shared" si="52"/>
        <v>506.13099485754969</v>
      </c>
      <c r="J116" s="582">
        <f t="shared" si="52"/>
        <v>527.49377019836413</v>
      </c>
      <c r="K116" s="582">
        <f t="shared" si="52"/>
        <v>549.45774497562218</v>
      </c>
      <c r="L116" s="582">
        <f t="shared" si="52"/>
        <v>572.02454409079189</v>
      </c>
      <c r="M116" s="582">
        <f t="shared" si="52"/>
        <v>595.19445378402713</v>
      </c>
      <c r="N116" s="582">
        <f t="shared" si="52"/>
        <v>617.35827470204163</v>
      </c>
      <c r="O116" s="582">
        <f t="shared" si="52"/>
        <v>639.93729274430393</v>
      </c>
      <c r="P116" s="582">
        <f t="shared" si="52"/>
        <v>662.91253558741744</v>
      </c>
      <c r="Q116" s="582">
        <f t="shared" si="52"/>
        <v>696.82003864273463</v>
      </c>
      <c r="R116" s="582">
        <f t="shared" si="52"/>
        <v>720.71820858364003</v>
      </c>
      <c r="S116" s="582">
        <f t="shared" si="52"/>
        <v>744.93638031616342</v>
      </c>
      <c r="T116" s="582">
        <f t="shared" si="52"/>
        <v>769.44224997174535</v>
      </c>
      <c r="U116" s="582">
        <f t="shared" si="52"/>
        <v>794.19960663124868</v>
      </c>
      <c r="V116" s="582">
        <f t="shared" si="52"/>
        <v>819.16803803530195</v>
      </c>
      <c r="W116" s="582">
        <f t="shared" si="52"/>
        <v>844.30261762624605</v>
      </c>
      <c r="X116" s="582">
        <f t="shared" si="52"/>
        <v>876.54452960477226</v>
      </c>
      <c r="Y116" s="582">
        <f t="shared" si="52"/>
        <v>921.9042281314463</v>
      </c>
      <c r="Z116" s="582">
        <f t="shared" si="52"/>
        <v>956.08345274411761</v>
      </c>
      <c r="AA116" s="582">
        <f t="shared" si="52"/>
        <v>991.0851585433378</v>
      </c>
      <c r="AB116" s="582">
        <f t="shared" si="52"/>
        <v>1026.9024446381388</v>
      </c>
      <c r="AC116" s="582">
        <f t="shared" si="52"/>
        <v>1063.525799536088</v>
      </c>
      <c r="AD116" s="582">
        <f t="shared" si="52"/>
        <v>1100.9428727337975</v>
      </c>
      <c r="AE116" s="582">
        <f t="shared" si="52"/>
        <v>1139.1382309508242</v>
      </c>
      <c r="AF116" s="582">
        <f t="shared" si="52"/>
        <v>1192.4600870929728</v>
      </c>
      <c r="AG116" s="582">
        <f t="shared" si="52"/>
        <v>1232.4571873445955</v>
      </c>
      <c r="AH116" s="582">
        <f t="shared" si="52"/>
        <v>1282.2649176785426</v>
      </c>
      <c r="AI116" s="582">
        <f t="shared" si="52"/>
        <v>1334.085545520406</v>
      </c>
      <c r="AJ116" s="582">
        <f t="shared" si="52"/>
        <v>1388.0004188125672</v>
      </c>
      <c r="AK116" s="582">
        <f t="shared" si="52"/>
        <v>1444.0941730407151</v>
      </c>
      <c r="AL116" s="582">
        <f t="shared" si="52"/>
        <v>1502.4548640945009</v>
      </c>
    </row>
    <row r="117" spans="1:38">
      <c r="B117" s="478" t="s">
        <v>709</v>
      </c>
      <c r="C117" s="484" t="s">
        <v>292</v>
      </c>
      <c r="D117" s="582">
        <f t="shared" ref="D117:AL117" si="53">(D$112*D91+D$113*D96+D$114*D101)/Grams.Per.Metric.Ton*D106</f>
        <v>126.50858560812533</v>
      </c>
      <c r="E117" s="582">
        <f t="shared" si="53"/>
        <v>120.92085054652735</v>
      </c>
      <c r="F117" s="582">
        <f t="shared" si="53"/>
        <v>115.05703864567326</v>
      </c>
      <c r="G117" s="582">
        <f t="shared" si="53"/>
        <v>107.37649316638409</v>
      </c>
      <c r="H117" s="582">
        <f t="shared" si="53"/>
        <v>98.541515028032507</v>
      </c>
      <c r="I117" s="582">
        <f t="shared" si="53"/>
        <v>88.457367547671964</v>
      </c>
      <c r="J117" s="582">
        <f t="shared" si="53"/>
        <v>77.470785612364253</v>
      </c>
      <c r="K117" s="582">
        <f t="shared" si="53"/>
        <v>64.499121797584266</v>
      </c>
      <c r="L117" s="582">
        <f t="shared" si="53"/>
        <v>49.94738145233611</v>
      </c>
      <c r="M117" s="582">
        <f t="shared" si="53"/>
        <v>33.88089411055428</v>
      </c>
      <c r="N117" s="582">
        <f t="shared" si="53"/>
        <v>32.525093951380235</v>
      </c>
      <c r="O117" s="582">
        <f t="shared" si="53"/>
        <v>31.004373317212547</v>
      </c>
      <c r="P117" s="582">
        <f t="shared" si="53"/>
        <v>29.307616574605394</v>
      </c>
      <c r="Q117" s="582">
        <f t="shared" si="53"/>
        <v>27.423079004624931</v>
      </c>
      <c r="R117" s="582">
        <f t="shared" si="53"/>
        <v>25.338354110428501</v>
      </c>
      <c r="S117" s="582">
        <f t="shared" si="53"/>
        <v>23.040339309865679</v>
      </c>
      <c r="T117" s="582">
        <f t="shared" si="53"/>
        <v>20.515199935973541</v>
      </c>
      <c r="U117" s="582">
        <f t="shared" si="53"/>
        <v>17.748331464616999</v>
      </c>
      <c r="V117" s="582">
        <f t="shared" si="53"/>
        <v>14.724319884793063</v>
      </c>
      <c r="W117" s="582">
        <f t="shared" si="53"/>
        <v>11.426900123147878</v>
      </c>
      <c r="X117" s="582">
        <f t="shared" si="53"/>
        <v>11.493451583499274</v>
      </c>
      <c r="Y117" s="582">
        <f t="shared" si="53"/>
        <v>11.54671931718724</v>
      </c>
      <c r="Z117" s="582">
        <f t="shared" si="53"/>
        <v>11.585520949818752</v>
      </c>
      <c r="AA117" s="582">
        <f t="shared" si="53"/>
        <v>11.608600235071492</v>
      </c>
      <c r="AB117" s="582">
        <f t="shared" si="53"/>
        <v>11.614623014969586</v>
      </c>
      <c r="AC117" s="582">
        <f t="shared" si="53"/>
        <v>11.602172974291452</v>
      </c>
      <c r="AD117" s="582">
        <f t="shared" si="53"/>
        <v>11.56974717907004</v>
      </c>
      <c r="AE117" s="582">
        <f t="shared" si="53"/>
        <v>11.515751388664983</v>
      </c>
      <c r="AF117" s="582">
        <f t="shared" si="53"/>
        <v>11.438495130396474</v>
      </c>
      <c r="AG117" s="582">
        <f t="shared" si="53"/>
        <v>11.336186525202057</v>
      </c>
      <c r="AH117" s="582">
        <f t="shared" si="53"/>
        <v>11.794319860185578</v>
      </c>
      <c r="AI117" s="582">
        <f t="shared" si="53"/>
        <v>12.270967900458798</v>
      </c>
      <c r="AJ117" s="582">
        <f t="shared" si="53"/>
        <v>12.766878887386808</v>
      </c>
      <c r="AK117" s="582">
        <f t="shared" si="53"/>
        <v>13.282831301278913</v>
      </c>
      <c r="AL117" s="582">
        <f t="shared" si="53"/>
        <v>13.819635083445855</v>
      </c>
    </row>
    <row r="118" spans="1:38">
      <c r="B118" s="478" t="s">
        <v>710</v>
      </c>
      <c r="C118" s="484" t="s">
        <v>292</v>
      </c>
      <c r="D118" s="582">
        <f t="shared" ref="D118:AL118" si="54">(D$112*D92+D$113*D97+D$114*D102)/Grams.Per.Metric.Ton*D107</f>
        <v>171.12539270192778</v>
      </c>
      <c r="E118" s="582">
        <f t="shared" si="54"/>
        <v>173.81815799708892</v>
      </c>
      <c r="F118" s="582">
        <f t="shared" si="54"/>
        <v>176.24920518087586</v>
      </c>
      <c r="G118" s="582">
        <f t="shared" si="54"/>
        <v>178.35258987727559</v>
      </c>
      <c r="H118" s="582">
        <f t="shared" si="54"/>
        <v>180.08153885461579</v>
      </c>
      <c r="I118" s="582">
        <f t="shared" si="54"/>
        <v>180.66914251912988</v>
      </c>
      <c r="J118" s="582">
        <f t="shared" si="54"/>
        <v>180.79437654137914</v>
      </c>
      <c r="K118" s="582">
        <f t="shared" si="54"/>
        <v>180.38100959527932</v>
      </c>
      <c r="L118" s="582">
        <f t="shared" si="54"/>
        <v>179.39250703044601</v>
      </c>
      <c r="M118" s="582">
        <f t="shared" si="54"/>
        <v>177.74419657512129</v>
      </c>
      <c r="N118" s="582">
        <f t="shared" si="54"/>
        <v>177.59761631886101</v>
      </c>
      <c r="O118" s="582">
        <f t="shared" si="54"/>
        <v>177.14888965629058</v>
      </c>
      <c r="P118" s="582">
        <f t="shared" si="54"/>
        <v>176.37383448784053</v>
      </c>
      <c r="Q118" s="582">
        <f t="shared" si="54"/>
        <v>175.24680763175633</v>
      </c>
      <c r="R118" s="582">
        <f t="shared" si="54"/>
        <v>173.74062622478567</v>
      </c>
      <c r="S118" s="582">
        <f t="shared" si="54"/>
        <v>171.8264851562368</v>
      </c>
      <c r="T118" s="582">
        <f t="shared" si="54"/>
        <v>169.47387034318098</v>
      </c>
      <c r="U118" s="582">
        <f t="shared" si="54"/>
        <v>166.65046764548319</v>
      </c>
      <c r="V118" s="582">
        <f t="shared" si="54"/>
        <v>163.32206720990098</v>
      </c>
      <c r="W118" s="582">
        <f t="shared" si="54"/>
        <v>159.45246302253895</v>
      </c>
      <c r="X118" s="582">
        <f t="shared" si="54"/>
        <v>160.17762011202572</v>
      </c>
      <c r="Y118" s="582">
        <f t="shared" si="54"/>
        <v>160.70096523556685</v>
      </c>
      <c r="Z118" s="582">
        <f t="shared" si="54"/>
        <v>161.0050022406964</v>
      </c>
      <c r="AA118" s="582">
        <f t="shared" si="54"/>
        <v>161.07115042572985</v>
      </c>
      <c r="AB118" s="582">
        <f t="shared" si="54"/>
        <v>160.87968545461794</v>
      </c>
      <c r="AC118" s="582">
        <f t="shared" si="54"/>
        <v>160.40967726746942</v>
      </c>
      <c r="AD118" s="582">
        <f t="shared" si="54"/>
        <v>159.63892484043163</v>
      </c>
      <c r="AE118" s="582">
        <f t="shared" si="54"/>
        <v>158.54388764163551</v>
      </c>
      <c r="AF118" s="582">
        <f t="shared" si="54"/>
        <v>157.09961362276647</v>
      </c>
      <c r="AG118" s="582">
        <f t="shared" si="54"/>
        <v>155.27966357814876</v>
      </c>
      <c r="AH118" s="582">
        <f t="shared" si="54"/>
        <v>161.55503580954456</v>
      </c>
      <c r="AI118" s="582">
        <f t="shared" si="54"/>
        <v>168.08401688922822</v>
      </c>
      <c r="AJ118" s="582">
        <f t="shared" si="54"/>
        <v>174.87685600171946</v>
      </c>
      <c r="AK118" s="582">
        <f t="shared" si="54"/>
        <v>181.94421653547468</v>
      </c>
      <c r="AL118" s="582">
        <f t="shared" si="54"/>
        <v>189.2971928222577</v>
      </c>
    </row>
    <row r="119" spans="1:38">
      <c r="B119" s="478" t="s">
        <v>711</v>
      </c>
      <c r="C119" s="484" t="s">
        <v>292</v>
      </c>
      <c r="D119" s="582">
        <f t="shared" ref="D119:AL119" si="55">(D$112*D93+D$113*D98+D$114*D103)/Grams.Per.Metric.Ton*D108</f>
        <v>2.1696712002450953</v>
      </c>
      <c r="E119" s="582">
        <f t="shared" si="55"/>
        <v>2.2684023962635624</v>
      </c>
      <c r="F119" s="582">
        <f t="shared" si="55"/>
        <v>2.3758031122282453</v>
      </c>
      <c r="G119" s="582">
        <f t="shared" si="55"/>
        <v>2.4866674389094028</v>
      </c>
      <c r="H119" s="582">
        <f t="shared" si="55"/>
        <v>2.6068446868363564</v>
      </c>
      <c r="I119" s="582">
        <f t="shared" si="55"/>
        <v>2.707056837441741</v>
      </c>
      <c r="J119" s="582">
        <f t="shared" si="55"/>
        <v>2.8160710876271828</v>
      </c>
      <c r="K119" s="582">
        <f t="shared" si="55"/>
        <v>2.9280970300918248</v>
      </c>
      <c r="L119" s="582">
        <f t="shared" si="55"/>
        <v>3.0431443419561846</v>
      </c>
      <c r="M119" s="582">
        <f t="shared" si="55"/>
        <v>3.1546713512939712</v>
      </c>
      <c r="N119" s="582">
        <f t="shared" si="55"/>
        <v>3.2206327332777818</v>
      </c>
      <c r="O119" s="582">
        <f t="shared" si="55"/>
        <v>3.2867732235937743</v>
      </c>
      <c r="P119" s="582">
        <f t="shared" si="55"/>
        <v>3.3529995682582894</v>
      </c>
      <c r="Q119" s="582">
        <f t="shared" si="55"/>
        <v>3.4192106833481457</v>
      </c>
      <c r="R119" s="582">
        <f t="shared" si="55"/>
        <v>3.4852971744384331</v>
      </c>
      <c r="S119" s="582">
        <f t="shared" si="55"/>
        <v>3.5511408299862466</v>
      </c>
      <c r="T119" s="582">
        <f t="shared" si="55"/>
        <v>3.616614087339292</v>
      </c>
      <c r="U119" s="582">
        <f t="shared" si="55"/>
        <v>3.6815794699842201</v>
      </c>
      <c r="V119" s="582">
        <f t="shared" si="55"/>
        <v>3.7458889945821876</v>
      </c>
      <c r="W119" s="582">
        <f t="shared" si="55"/>
        <v>3.8093835462687373</v>
      </c>
      <c r="X119" s="582">
        <f t="shared" si="55"/>
        <v>3.8999378497574764</v>
      </c>
      <c r="Y119" s="582">
        <f t="shared" si="55"/>
        <v>3.9915897248490699</v>
      </c>
      <c r="Z119" s="582">
        <f t="shared" si="55"/>
        <v>4.0842799877991931</v>
      </c>
      <c r="AA119" s="582">
        <f t="shared" si="55"/>
        <v>4.1779428786391453</v>
      </c>
      <c r="AB119" s="582">
        <f t="shared" si="55"/>
        <v>4.2725056263024017</v>
      </c>
      <c r="AC119" s="582">
        <f t="shared" si="55"/>
        <v>4.3678879893423312</v>
      </c>
      <c r="AD119" s="582">
        <f t="shared" si="55"/>
        <v>4.4640017709786735</v>
      </c>
      <c r="AE119" s="582">
        <f t="shared" si="55"/>
        <v>4.560750307147373</v>
      </c>
      <c r="AF119" s="582">
        <f t="shared" si="55"/>
        <v>4.6580279261645039</v>
      </c>
      <c r="AG119" s="582">
        <f t="shared" si="55"/>
        <v>4.7557193785454679</v>
      </c>
      <c r="AH119" s="582">
        <f t="shared" si="55"/>
        <v>4.9479139559983976</v>
      </c>
      <c r="AI119" s="582">
        <f t="shared" si="55"/>
        <v>5.1478757612168984</v>
      </c>
      <c r="AJ119" s="582">
        <f t="shared" si="55"/>
        <v>5.3559186939371761</v>
      </c>
      <c r="AK119" s="582">
        <f t="shared" si="55"/>
        <v>5.5723693396370342</v>
      </c>
      <c r="AL119" s="582">
        <f t="shared" si="55"/>
        <v>5.7975674822092627</v>
      </c>
    </row>
    <row r="120" spans="1:38">
      <c r="D120" s="358"/>
      <c r="F120" s="464"/>
      <c r="G120" s="465"/>
      <c r="H120" s="465"/>
    </row>
    <row r="121" spans="1:38" ht="13">
      <c r="B121" s="493" t="s">
        <v>463</v>
      </c>
      <c r="C121" s="487" t="s">
        <v>292</v>
      </c>
      <c r="D121" s="488">
        <f t="shared" ref="D121:AL121" si="56">D116</f>
        <v>408.19923034771307</v>
      </c>
      <c r="E121" s="488">
        <f t="shared" si="56"/>
        <v>426.61914154477824</v>
      </c>
      <c r="F121" s="488">
        <f t="shared" si="56"/>
        <v>445.61604087229443</v>
      </c>
      <c r="G121" s="488">
        <f t="shared" si="56"/>
        <v>465.19657310067902</v>
      </c>
      <c r="H121" s="488">
        <f t="shared" si="56"/>
        <v>485.36657733404144</v>
      </c>
      <c r="I121" s="488">
        <f t="shared" si="56"/>
        <v>506.13099485754969</v>
      </c>
      <c r="J121" s="488">
        <f t="shared" si="56"/>
        <v>527.49377019836413</v>
      </c>
      <c r="K121" s="488">
        <f t="shared" si="56"/>
        <v>549.45774497562218</v>
      </c>
      <c r="L121" s="488">
        <f t="shared" si="56"/>
        <v>572.02454409079189</v>
      </c>
      <c r="M121" s="488">
        <f t="shared" si="56"/>
        <v>595.19445378402713</v>
      </c>
      <c r="N121" s="488">
        <f t="shared" si="56"/>
        <v>617.35827470204163</v>
      </c>
      <c r="O121" s="488">
        <f t="shared" si="56"/>
        <v>639.93729274430393</v>
      </c>
      <c r="P121" s="488">
        <f t="shared" si="56"/>
        <v>662.91253558741744</v>
      </c>
      <c r="Q121" s="488">
        <f t="shared" si="56"/>
        <v>696.82003864273463</v>
      </c>
      <c r="R121" s="488">
        <f t="shared" si="56"/>
        <v>720.71820858364003</v>
      </c>
      <c r="S121" s="488">
        <f t="shared" si="56"/>
        <v>744.93638031616342</v>
      </c>
      <c r="T121" s="488">
        <f t="shared" si="56"/>
        <v>769.44224997174535</v>
      </c>
      <c r="U121" s="488">
        <f t="shared" si="56"/>
        <v>794.19960663124868</v>
      </c>
      <c r="V121" s="488">
        <f t="shared" si="56"/>
        <v>819.16803803530195</v>
      </c>
      <c r="W121" s="488">
        <f t="shared" si="56"/>
        <v>844.30261762624605</v>
      </c>
      <c r="X121" s="488">
        <f t="shared" si="56"/>
        <v>876.54452960477226</v>
      </c>
      <c r="Y121" s="488">
        <f t="shared" si="56"/>
        <v>921.9042281314463</v>
      </c>
      <c r="Z121" s="488">
        <f t="shared" si="56"/>
        <v>956.08345274411761</v>
      </c>
      <c r="AA121" s="488">
        <f t="shared" si="56"/>
        <v>991.0851585433378</v>
      </c>
      <c r="AB121" s="488">
        <f t="shared" si="56"/>
        <v>1026.9024446381388</v>
      </c>
      <c r="AC121" s="488">
        <f t="shared" si="56"/>
        <v>1063.525799536088</v>
      </c>
      <c r="AD121" s="488">
        <f t="shared" si="56"/>
        <v>1100.9428727337975</v>
      </c>
      <c r="AE121" s="488">
        <f t="shared" si="56"/>
        <v>1139.1382309508242</v>
      </c>
      <c r="AF121" s="488">
        <f t="shared" si="56"/>
        <v>1192.4600870929728</v>
      </c>
      <c r="AG121" s="488">
        <f t="shared" si="56"/>
        <v>1232.4571873445955</v>
      </c>
      <c r="AH121" s="488">
        <f t="shared" si="56"/>
        <v>1282.2649176785426</v>
      </c>
      <c r="AI121" s="488">
        <f t="shared" si="56"/>
        <v>1334.085545520406</v>
      </c>
      <c r="AJ121" s="488">
        <f t="shared" si="56"/>
        <v>1388.0004188125672</v>
      </c>
      <c r="AK121" s="488">
        <f t="shared" si="56"/>
        <v>1444.0941730407151</v>
      </c>
      <c r="AL121" s="488">
        <f t="shared" si="56"/>
        <v>1502.4548640945009</v>
      </c>
    </row>
    <row r="122" spans="1:38" ht="13">
      <c r="B122" s="494" t="s">
        <v>464</v>
      </c>
      <c r="C122" s="487" t="s">
        <v>292</v>
      </c>
      <c r="D122" s="488">
        <f t="shared" ref="D122:AL122" si="57">SUM(D116:D119)</f>
        <v>708.0028798580114</v>
      </c>
      <c r="E122" s="488">
        <f t="shared" si="57"/>
        <v>723.62655248465808</v>
      </c>
      <c r="F122" s="488">
        <f t="shared" si="57"/>
        <v>739.29808781107181</v>
      </c>
      <c r="G122" s="488">
        <f t="shared" si="57"/>
        <v>753.41232358324817</v>
      </c>
      <c r="H122" s="488">
        <f t="shared" si="57"/>
        <v>766.59647590352608</v>
      </c>
      <c r="I122" s="488">
        <f t="shared" si="57"/>
        <v>777.96456176179333</v>
      </c>
      <c r="J122" s="488">
        <f t="shared" si="57"/>
        <v>788.5750034397347</v>
      </c>
      <c r="K122" s="488">
        <f t="shared" si="57"/>
        <v>797.26597339857767</v>
      </c>
      <c r="L122" s="488">
        <f t="shared" si="57"/>
        <v>804.40757691553029</v>
      </c>
      <c r="M122" s="488">
        <f t="shared" si="57"/>
        <v>809.97421582099673</v>
      </c>
      <c r="N122" s="488">
        <f t="shared" si="57"/>
        <v>830.70161770556058</v>
      </c>
      <c r="O122" s="488">
        <f t="shared" si="57"/>
        <v>851.37732894140083</v>
      </c>
      <c r="P122" s="488">
        <f t="shared" si="57"/>
        <v>871.94698621812165</v>
      </c>
      <c r="Q122" s="488">
        <f t="shared" si="57"/>
        <v>902.90913596246401</v>
      </c>
      <c r="R122" s="488">
        <f t="shared" si="57"/>
        <v>923.28248609329273</v>
      </c>
      <c r="S122" s="488">
        <f t="shared" si="57"/>
        <v>943.35434561225213</v>
      </c>
      <c r="T122" s="488">
        <f t="shared" si="57"/>
        <v>963.0479343382392</v>
      </c>
      <c r="U122" s="488">
        <f t="shared" si="57"/>
        <v>982.27998521133304</v>
      </c>
      <c r="V122" s="488">
        <f t="shared" si="57"/>
        <v>1000.9603141245782</v>
      </c>
      <c r="W122" s="488">
        <f t="shared" si="57"/>
        <v>1018.9913643182016</v>
      </c>
      <c r="X122" s="488">
        <f t="shared" si="57"/>
        <v>1052.1155391500547</v>
      </c>
      <c r="Y122" s="488">
        <f t="shared" si="57"/>
        <v>1098.1435024090495</v>
      </c>
      <c r="Z122" s="488">
        <f t="shared" si="57"/>
        <v>1132.758255922432</v>
      </c>
      <c r="AA122" s="488">
        <f t="shared" si="57"/>
        <v>1167.9428520827785</v>
      </c>
      <c r="AB122" s="488">
        <f t="shared" si="57"/>
        <v>1203.6692587340285</v>
      </c>
      <c r="AC122" s="488">
        <f t="shared" si="57"/>
        <v>1239.9055377671912</v>
      </c>
      <c r="AD122" s="488">
        <f t="shared" si="57"/>
        <v>1276.6155465242778</v>
      </c>
      <c r="AE122" s="488">
        <f t="shared" si="57"/>
        <v>1313.7586202882721</v>
      </c>
      <c r="AF122" s="488">
        <f t="shared" si="57"/>
        <v>1365.6562237723003</v>
      </c>
      <c r="AG122" s="488">
        <f t="shared" si="57"/>
        <v>1403.8287568264918</v>
      </c>
      <c r="AH122" s="488">
        <f t="shared" si="57"/>
        <v>1460.5621873042712</v>
      </c>
      <c r="AI122" s="488">
        <f t="shared" si="57"/>
        <v>1519.5884060713099</v>
      </c>
      <c r="AJ122" s="488">
        <f t="shared" si="57"/>
        <v>1581.0000723956107</v>
      </c>
      <c r="AK122" s="488">
        <f t="shared" si="57"/>
        <v>1644.8935902171058</v>
      </c>
      <c r="AL122" s="488">
        <f t="shared" si="57"/>
        <v>1711.3692594824136</v>
      </c>
    </row>
    <row r="123" spans="1:38">
      <c r="D123" s="358"/>
      <c r="F123" s="464"/>
      <c r="G123" s="465"/>
      <c r="H123" s="465"/>
    </row>
    <row r="124" spans="1:38" ht="13">
      <c r="A124" s="452"/>
      <c r="B124" s="495" t="s">
        <v>625</v>
      </c>
      <c r="C124" s="453"/>
      <c r="D124" s="454"/>
      <c r="E124" s="379"/>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D125" s="358"/>
      <c r="F125" s="464"/>
      <c r="G125" s="465"/>
      <c r="H125" s="465"/>
    </row>
    <row r="126" spans="1:38">
      <c r="B126" s="385" t="s">
        <v>508</v>
      </c>
      <c r="C126" s="386" t="s">
        <v>443</v>
      </c>
      <c r="D126" s="383">
        <f>'400 North'!D48</f>
        <v>3378.1106533492425</v>
      </c>
      <c r="E126" s="383">
        <f>'400 North'!E48</f>
        <v>3514.6314397814035</v>
      </c>
      <c r="F126" s="383">
        <f>'400 North'!F48</f>
        <v>3656.6694892758546</v>
      </c>
      <c r="G126" s="383">
        <f>'400 North'!G48</f>
        <v>3804.4477729455994</v>
      </c>
      <c r="H126" s="383">
        <f>'400 North'!H48</f>
        <v>2968.6487046858538</v>
      </c>
      <c r="I126" s="383">
        <f>'400 North'!I48</f>
        <v>3088.6217598617422</v>
      </c>
      <c r="J126" s="383">
        <f>'400 North'!J48</f>
        <v>3213.4433287555121</v>
      </c>
      <c r="K126" s="383">
        <f>'400 North'!K48</f>
        <v>3343.3093560752309</v>
      </c>
      <c r="L126" s="383">
        <f>'400 North'!L48</f>
        <v>3478.4237053120919</v>
      </c>
      <c r="M126" s="383">
        <f>'400 North'!M48</f>
        <v>3618.9984787650169</v>
      </c>
      <c r="N126" s="383">
        <f>'400 North'!N48</f>
        <v>3765.2543504985092</v>
      </c>
      <c r="O126" s="383">
        <f>'400 North'!O48</f>
        <v>3917.4209127564768</v>
      </c>
      <c r="P126" s="383">
        <f>'400 North'!P48</f>
        <v>4075.7370363757755</v>
      </c>
      <c r="Q126" s="383">
        <f>'400 North'!Q48</f>
        <v>4240.4512457652891</v>
      </c>
      <c r="R126" s="383">
        <f>'400 North'!R48</f>
        <v>4411.8221090391544</v>
      </c>
      <c r="S126" s="383">
        <f>'400 North'!S48</f>
        <v>4590.1186439166231</v>
      </c>
      <c r="T126" s="383">
        <f>'400 North'!T48</f>
        <v>4775.6207400256217</v>
      </c>
      <c r="U126" s="383">
        <f>'400 North'!U48</f>
        <v>4968.619598273096</v>
      </c>
      <c r="V126" s="383">
        <f>'400 North'!V48</f>
        <v>5169.4181879717389</v>
      </c>
      <c r="W126" s="383">
        <f>'400 North'!W48</f>
        <v>5378.3317224407519</v>
      </c>
      <c r="X126" s="383">
        <f>'400 North'!X48</f>
        <v>5595.6881538272355</v>
      </c>
      <c r="Y126" s="383">
        <f>'400 North'!Y48</f>
        <v>5821.8286879249636</v>
      </c>
      <c r="Z126" s="383">
        <f>'400 North'!Z48</f>
        <v>6057.1083197987218</v>
      </c>
      <c r="AA126" s="383">
        <f>'400 North'!AA48</f>
        <v>6301.8963910550183</v>
      </c>
      <c r="AB126" s="383">
        <f>'400 North'!AB48</f>
        <v>6556.577169633968</v>
      </c>
      <c r="AC126" s="383">
        <f>'400 North'!AC48</f>
        <v>6821.5504530325188</v>
      </c>
      <c r="AD126" s="383">
        <f>'400 North'!AD48</f>
        <v>7097.2321959059636</v>
      </c>
      <c r="AE126" s="383">
        <f>'400 North'!AE48</f>
        <v>7384.0551630328973</v>
      </c>
      <c r="AF126" s="383">
        <f>'400 North'!AF48</f>
        <v>7682.4696086687291</v>
      </c>
      <c r="AG126" s="383">
        <f>'400 North'!AG48</f>
        <v>7992.9439833541119</v>
      </c>
      <c r="AH126" s="383">
        <f>'400 North'!AH48</f>
        <v>8315.9656692878834</v>
      </c>
      <c r="AI126" s="383">
        <f>'400 North'!AI48</f>
        <v>8652.0417454189137</v>
      </c>
      <c r="AJ126" s="383">
        <f>'400 North'!AJ48</f>
        <v>9001.6997834578342</v>
      </c>
      <c r="AK126" s="383">
        <f>'400 North'!AK48</f>
        <v>9365.488676058334</v>
      </c>
      <c r="AL126" s="383">
        <f>'400 North'!AL48</f>
        <v>9743.9794984679902</v>
      </c>
    </row>
    <row r="127" spans="1:38">
      <c r="B127" s="385" t="s">
        <v>509</v>
      </c>
      <c r="C127" s="386" t="s">
        <v>443</v>
      </c>
      <c r="D127" s="383">
        <f>'400 North'!D49</f>
        <v>16.975430418840414</v>
      </c>
      <c r="E127" s="383">
        <f>'400 North'!E49</f>
        <v>17.661464521514592</v>
      </c>
      <c r="F127" s="383">
        <f>'400 North'!F49</f>
        <v>18.375223564200276</v>
      </c>
      <c r="G127" s="383">
        <f>'400 North'!G49</f>
        <v>19.117828004751754</v>
      </c>
      <c r="H127" s="383">
        <f>'400 North'!H49</f>
        <v>14.917832686863587</v>
      </c>
      <c r="I127" s="383">
        <f>'400 North'!I49</f>
        <v>15.520712361114283</v>
      </c>
      <c r="J127" s="383">
        <f>'400 North'!J49</f>
        <v>16.147956425907097</v>
      </c>
      <c r="K127" s="383">
        <f>'400 North'!K49</f>
        <v>16.800549528016237</v>
      </c>
      <c r="L127" s="383">
        <f>'400 North'!L49</f>
        <v>17.47951610709594</v>
      </c>
      <c r="M127" s="383">
        <f>'400 North'!M49</f>
        <v>18.185922003844304</v>
      </c>
      <c r="N127" s="383">
        <f>'400 North'!N49</f>
        <v>18.920876133158337</v>
      </c>
      <c r="O127" s="383">
        <f>'400 North'!O49</f>
        <v>19.685532224906918</v>
      </c>
      <c r="P127" s="383">
        <f>'400 North'!P49</f>
        <v>20.481090635054148</v>
      </c>
      <c r="Q127" s="383">
        <f>'400 North'!Q49</f>
        <v>21.308800229976328</v>
      </c>
      <c r="R127" s="383">
        <f>'400 North'!R49</f>
        <v>22.169960346930424</v>
      </c>
      <c r="S127" s="383">
        <f>'400 North'!S49</f>
        <v>23.065922833751873</v>
      </c>
      <c r="T127" s="383">
        <f>'400 North'!T49</f>
        <v>23.998094170983023</v>
      </c>
      <c r="U127" s="383">
        <f>'400 North'!U49</f>
        <v>24.967937679764301</v>
      </c>
      <c r="V127" s="383">
        <f>'400 North'!V49</f>
        <v>25.976975818953463</v>
      </c>
      <c r="W127" s="383">
        <f>'400 North'!W49</f>
        <v>27.026792575079156</v>
      </c>
      <c r="X127" s="383">
        <f>'400 North'!X49</f>
        <v>28.119035948880583</v>
      </c>
      <c r="Y127" s="383">
        <f>'400 North'!Y49</f>
        <v>29.255420542336502</v>
      </c>
      <c r="Z127" s="383">
        <f>'400 North'!Z49</f>
        <v>30.437730250244837</v>
      </c>
      <c r="AA127" s="383">
        <f>'400 North'!AA49</f>
        <v>31.667821060577982</v>
      </c>
      <c r="AB127" s="383">
        <f>'400 North'!AB49</f>
        <v>32.947623968009893</v>
      </c>
      <c r="AC127" s="383">
        <f>'400 North'!AC49</f>
        <v>34.279148005188539</v>
      </c>
      <c r="AD127" s="383">
        <f>'400 North'!AD49</f>
        <v>35.664483396512381</v>
      </c>
      <c r="AE127" s="383">
        <f>'400 North'!AE49</f>
        <v>37.105804839361298</v>
      </c>
      <c r="AF127" s="383">
        <f>'400 North'!AF49</f>
        <v>38.605374917933311</v>
      </c>
      <c r="AG127" s="383">
        <f>'400 North'!AG49</f>
        <v>40.165547655045792</v>
      </c>
      <c r="AH127" s="383">
        <f>'400 North'!AH49</f>
        <v>41.788772207476804</v>
      </c>
      <c r="AI127" s="383">
        <f>'400 North'!AI49</f>
        <v>43.477596710647802</v>
      </c>
      <c r="AJ127" s="383">
        <f>'400 North'!AJ49</f>
        <v>45.234672278682581</v>
      </c>
      <c r="AK127" s="383">
        <f>'400 North'!AK49</f>
        <v>47.062757166122282</v>
      </c>
      <c r="AL127" s="383">
        <f>'400 North'!AL49</f>
        <v>48.964721097829099</v>
      </c>
    </row>
    <row r="128" spans="1:38">
      <c r="B128" s="358" t="s">
        <v>769</v>
      </c>
      <c r="C128" s="358" t="s">
        <v>443</v>
      </c>
      <c r="D128" s="383">
        <f>'400 North'!D50</f>
        <v>0</v>
      </c>
      <c r="E128" s="383">
        <f>'400 North'!E50</f>
        <v>0</v>
      </c>
      <c r="F128" s="383">
        <f>'400 North'!F50</f>
        <v>0</v>
      </c>
      <c r="G128" s="383">
        <f>'400 North'!G50</f>
        <v>0</v>
      </c>
      <c r="H128" s="383">
        <f>'400 North'!H50</f>
        <v>0</v>
      </c>
      <c r="I128" s="383">
        <f>'400 North'!I50</f>
        <v>0</v>
      </c>
      <c r="J128" s="383">
        <f>'400 North'!J50</f>
        <v>0</v>
      </c>
      <c r="K128" s="383">
        <f>'400 North'!K50</f>
        <v>0</v>
      </c>
      <c r="L128" s="383">
        <f>'400 North'!L50</f>
        <v>0</v>
      </c>
      <c r="M128" s="383">
        <f>'400 North'!M50</f>
        <v>0</v>
      </c>
      <c r="N128" s="383">
        <f>'400 North'!N50</f>
        <v>0</v>
      </c>
      <c r="O128" s="383">
        <f>'400 North'!O50</f>
        <v>0</v>
      </c>
      <c r="P128" s="383">
        <f>'400 North'!P50</f>
        <v>0</v>
      </c>
      <c r="Q128" s="383">
        <f>'400 North'!Q50</f>
        <v>0</v>
      </c>
      <c r="R128" s="383">
        <f>'400 North'!R50</f>
        <v>0</v>
      </c>
      <c r="S128" s="383">
        <f>'400 North'!S50</f>
        <v>0</v>
      </c>
      <c r="T128" s="383">
        <f>'400 North'!T50</f>
        <v>0</v>
      </c>
      <c r="U128" s="383">
        <f>'400 North'!U50</f>
        <v>0</v>
      </c>
      <c r="V128" s="383">
        <f>'400 North'!V50</f>
        <v>0</v>
      </c>
      <c r="W128" s="383">
        <f>'400 North'!W50</f>
        <v>0</v>
      </c>
      <c r="X128" s="383">
        <f>'400 North'!X50</f>
        <v>0</v>
      </c>
      <c r="Y128" s="383">
        <f>'400 North'!Y50</f>
        <v>0</v>
      </c>
      <c r="Z128" s="383">
        <f>'400 North'!Z50</f>
        <v>0</v>
      </c>
      <c r="AA128" s="383">
        <f>'400 North'!AA50</f>
        <v>0</v>
      </c>
      <c r="AB128" s="383">
        <f>'400 North'!AB50</f>
        <v>0</v>
      </c>
      <c r="AC128" s="383">
        <f>'400 North'!AC50</f>
        <v>0</v>
      </c>
      <c r="AD128" s="383">
        <f>'400 North'!AD50</f>
        <v>0</v>
      </c>
      <c r="AE128" s="383">
        <f>'400 North'!AE50</f>
        <v>0</v>
      </c>
      <c r="AF128" s="383">
        <f>'400 North'!AF50</f>
        <v>0</v>
      </c>
      <c r="AG128" s="383">
        <f>'400 North'!AG50</f>
        <v>0</v>
      </c>
      <c r="AH128" s="383">
        <f>'400 North'!AH50</f>
        <v>0</v>
      </c>
      <c r="AI128" s="383">
        <f>'400 North'!AI50</f>
        <v>0</v>
      </c>
      <c r="AJ128" s="383">
        <f>'400 North'!AJ50</f>
        <v>0</v>
      </c>
      <c r="AK128" s="383">
        <f>'400 North'!AK50</f>
        <v>0</v>
      </c>
      <c r="AL128" s="383">
        <f>'400 North'!AL50</f>
        <v>0</v>
      </c>
    </row>
    <row r="129" spans="1:38">
      <c r="D129" s="358"/>
      <c r="F129" s="464"/>
      <c r="G129" s="465"/>
      <c r="H129" s="465"/>
    </row>
    <row r="130" spans="1:38">
      <c r="B130" s="476" t="s">
        <v>708</v>
      </c>
      <c r="C130" s="484" t="s">
        <v>292</v>
      </c>
      <c r="D130" s="582">
        <f t="shared" ref="D130:AL130" si="58">(D$126*D90+D$127*D95+D$128*D100)/Grams.Per.Metric.Ton*D105</f>
        <v>408.19923034771307</v>
      </c>
      <c r="E130" s="582">
        <f t="shared" si="58"/>
        <v>426.61914154477824</v>
      </c>
      <c r="F130" s="582">
        <f t="shared" si="58"/>
        <v>445.61604087229443</v>
      </c>
      <c r="G130" s="582">
        <f t="shared" si="58"/>
        <v>465.19657310067902</v>
      </c>
      <c r="H130" s="582">
        <f t="shared" si="58"/>
        <v>364.02493300053106</v>
      </c>
      <c r="I130" s="582">
        <f t="shared" si="58"/>
        <v>379.59824614316233</v>
      </c>
      <c r="J130" s="582">
        <f t="shared" si="58"/>
        <v>395.62032764877296</v>
      </c>
      <c r="K130" s="582">
        <f t="shared" si="58"/>
        <v>412.09330873171677</v>
      </c>
      <c r="L130" s="582">
        <f t="shared" si="58"/>
        <v>429.01840806809395</v>
      </c>
      <c r="M130" s="582">
        <f t="shared" si="58"/>
        <v>446.39584033802049</v>
      </c>
      <c r="N130" s="582">
        <f t="shared" si="58"/>
        <v>463.01870602653122</v>
      </c>
      <c r="O130" s="582">
        <f t="shared" si="58"/>
        <v>479.95296955822795</v>
      </c>
      <c r="P130" s="582">
        <f t="shared" si="58"/>
        <v>497.18440169056322</v>
      </c>
      <c r="Q130" s="582">
        <f t="shared" si="58"/>
        <v>522.61502898205117</v>
      </c>
      <c r="R130" s="582">
        <f t="shared" si="58"/>
        <v>540.53865643772986</v>
      </c>
      <c r="S130" s="582">
        <f t="shared" si="58"/>
        <v>558.70228523712274</v>
      </c>
      <c r="T130" s="582">
        <f t="shared" si="58"/>
        <v>577.08168747880904</v>
      </c>
      <c r="U130" s="582">
        <f t="shared" si="58"/>
        <v>595.64970497343666</v>
      </c>
      <c r="V130" s="582">
        <f t="shared" si="58"/>
        <v>614.37602852647649</v>
      </c>
      <c r="W130" s="582">
        <f t="shared" si="58"/>
        <v>633.22696321968419</v>
      </c>
      <c r="X130" s="582">
        <f t="shared" si="58"/>
        <v>657.40839720357917</v>
      </c>
      <c r="Y130" s="582">
        <f t="shared" si="58"/>
        <v>691.4281710985847</v>
      </c>
      <c r="Z130" s="582">
        <f t="shared" si="58"/>
        <v>717.06258955808812</v>
      </c>
      <c r="AA130" s="582">
        <f t="shared" si="58"/>
        <v>743.31386890750298</v>
      </c>
      <c r="AB130" s="582">
        <f t="shared" si="58"/>
        <v>770.17683347860429</v>
      </c>
      <c r="AC130" s="582">
        <f t="shared" si="58"/>
        <v>797.64434965206613</v>
      </c>
      <c r="AD130" s="582">
        <f t="shared" si="58"/>
        <v>825.70715455034826</v>
      </c>
      <c r="AE130" s="582">
        <f t="shared" si="58"/>
        <v>854.35367321311821</v>
      </c>
      <c r="AF130" s="582">
        <f t="shared" si="58"/>
        <v>894.34506531972966</v>
      </c>
      <c r="AG130" s="582">
        <f t="shared" si="58"/>
        <v>924.34289050844654</v>
      </c>
      <c r="AH130" s="582">
        <f t="shared" si="58"/>
        <v>961.69868825890671</v>
      </c>
      <c r="AI130" s="582">
        <f t="shared" si="58"/>
        <v>1000.5641591403046</v>
      </c>
      <c r="AJ130" s="582">
        <f t="shared" si="58"/>
        <v>1041.0003141094253</v>
      </c>
      <c r="AK130" s="582">
        <f t="shared" si="58"/>
        <v>1083.0706297805361</v>
      </c>
      <c r="AL130" s="582">
        <f t="shared" si="58"/>
        <v>1126.8411480708755</v>
      </c>
    </row>
    <row r="131" spans="1:38">
      <c r="B131" s="478" t="s">
        <v>709</v>
      </c>
      <c r="C131" s="484" t="s">
        <v>292</v>
      </c>
      <c r="D131" s="582">
        <f t="shared" ref="D131:AL131" si="59">(D$126*D91+D$127*D96+D$128*D101)/Grams.Per.Metric.Ton*D106</f>
        <v>126.50858560812533</v>
      </c>
      <c r="E131" s="582">
        <f t="shared" si="59"/>
        <v>120.92085054652735</v>
      </c>
      <c r="F131" s="582">
        <f t="shared" si="59"/>
        <v>115.05703864567326</v>
      </c>
      <c r="G131" s="582">
        <f t="shared" si="59"/>
        <v>107.37649316638409</v>
      </c>
      <c r="H131" s="582">
        <f t="shared" si="59"/>
        <v>73.906136271024394</v>
      </c>
      <c r="I131" s="582">
        <f t="shared" si="59"/>
        <v>66.34302566075398</v>
      </c>
      <c r="J131" s="582">
        <f t="shared" si="59"/>
        <v>58.103089209273172</v>
      </c>
      <c r="K131" s="582">
        <f t="shared" si="59"/>
        <v>48.374341348188203</v>
      </c>
      <c r="L131" s="582">
        <f t="shared" si="59"/>
        <v>37.460536089252095</v>
      </c>
      <c r="M131" s="582">
        <f t="shared" si="59"/>
        <v>25.410670582915717</v>
      </c>
      <c r="N131" s="582">
        <f t="shared" si="59"/>
        <v>24.393820463535178</v>
      </c>
      <c r="O131" s="582">
        <f t="shared" si="59"/>
        <v>23.253279987909412</v>
      </c>
      <c r="P131" s="582">
        <f t="shared" si="59"/>
        <v>21.98071243095405</v>
      </c>
      <c r="Q131" s="582">
        <f t="shared" si="59"/>
        <v>20.567309253468707</v>
      </c>
      <c r="R131" s="582">
        <f t="shared" si="59"/>
        <v>19.003765582821369</v>
      </c>
      <c r="S131" s="582">
        <f t="shared" si="59"/>
        <v>17.280254482399261</v>
      </c>
      <c r="T131" s="582">
        <f t="shared" si="59"/>
        <v>15.386399951980158</v>
      </c>
      <c r="U131" s="582">
        <f t="shared" si="59"/>
        <v>13.311248598462754</v>
      </c>
      <c r="V131" s="582">
        <f t="shared" si="59"/>
        <v>11.043239913594796</v>
      </c>
      <c r="W131" s="582">
        <f t="shared" si="59"/>
        <v>8.5701750923609055</v>
      </c>
      <c r="X131" s="582">
        <f t="shared" si="59"/>
        <v>8.620088687624456</v>
      </c>
      <c r="Y131" s="582">
        <f t="shared" si="59"/>
        <v>8.6600394878904314</v>
      </c>
      <c r="Z131" s="582">
        <f t="shared" si="59"/>
        <v>8.6891407123640665</v>
      </c>
      <c r="AA131" s="582">
        <f t="shared" si="59"/>
        <v>8.7064501763036173</v>
      </c>
      <c r="AB131" s="582">
        <f t="shared" si="59"/>
        <v>8.7109672612271911</v>
      </c>
      <c r="AC131" s="582">
        <f t="shared" si="59"/>
        <v>8.7016297307185901</v>
      </c>
      <c r="AD131" s="582">
        <f t="shared" si="59"/>
        <v>8.6773103843025314</v>
      </c>
      <c r="AE131" s="582">
        <f t="shared" si="59"/>
        <v>8.6368135414987339</v>
      </c>
      <c r="AF131" s="582">
        <f t="shared" si="59"/>
        <v>8.5788713477973548</v>
      </c>
      <c r="AG131" s="582">
        <f t="shared" si="59"/>
        <v>8.5021398939015445</v>
      </c>
      <c r="AH131" s="582">
        <f t="shared" si="59"/>
        <v>8.8457398951391841</v>
      </c>
      <c r="AI131" s="582">
        <f t="shared" si="59"/>
        <v>9.203225925344098</v>
      </c>
      <c r="AJ131" s="582">
        <f t="shared" si="59"/>
        <v>9.5751591655401036</v>
      </c>
      <c r="AK131" s="582">
        <f t="shared" si="59"/>
        <v>9.962123475959185</v>
      </c>
      <c r="AL131" s="582">
        <f t="shared" si="59"/>
        <v>10.364726312584393</v>
      </c>
    </row>
    <row r="132" spans="1:38">
      <c r="B132" s="478" t="s">
        <v>710</v>
      </c>
      <c r="C132" s="484" t="s">
        <v>292</v>
      </c>
      <c r="D132" s="582">
        <f t="shared" ref="D132:AL132" si="60">(D$126*D92+D$127*D97+D$128*D102)/Grams.Per.Metric.Ton*D107</f>
        <v>171.12539270192778</v>
      </c>
      <c r="E132" s="582">
        <f t="shared" si="60"/>
        <v>173.81815799708892</v>
      </c>
      <c r="F132" s="582">
        <f t="shared" si="60"/>
        <v>176.24920518087586</v>
      </c>
      <c r="G132" s="582">
        <f t="shared" si="60"/>
        <v>178.35258987727559</v>
      </c>
      <c r="H132" s="582">
        <f t="shared" si="60"/>
        <v>135.06115414096189</v>
      </c>
      <c r="I132" s="582">
        <f t="shared" si="60"/>
        <v>135.50185688934741</v>
      </c>
      <c r="J132" s="582">
        <f t="shared" si="60"/>
        <v>135.59578240603429</v>
      </c>
      <c r="K132" s="582">
        <f t="shared" si="60"/>
        <v>135.28575719645951</v>
      </c>
      <c r="L132" s="582">
        <f t="shared" si="60"/>
        <v>134.54438027283453</v>
      </c>
      <c r="M132" s="582">
        <f t="shared" si="60"/>
        <v>133.30814743134101</v>
      </c>
      <c r="N132" s="582">
        <f t="shared" si="60"/>
        <v>133.19821223914573</v>
      </c>
      <c r="O132" s="582">
        <f t="shared" si="60"/>
        <v>132.86166724221798</v>
      </c>
      <c r="P132" s="582">
        <f t="shared" si="60"/>
        <v>132.28037586588042</v>
      </c>
      <c r="Q132" s="582">
        <f t="shared" si="60"/>
        <v>131.43510572381729</v>
      </c>
      <c r="R132" s="582">
        <f t="shared" si="60"/>
        <v>130.30546966858924</v>
      </c>
      <c r="S132" s="582">
        <f t="shared" si="60"/>
        <v>128.86986386717763</v>
      </c>
      <c r="T132" s="582">
        <f t="shared" si="60"/>
        <v>127.10540275738575</v>
      </c>
      <c r="U132" s="582">
        <f t="shared" si="60"/>
        <v>124.98785073411241</v>
      </c>
      <c r="V132" s="582">
        <f t="shared" si="60"/>
        <v>122.49155040742571</v>
      </c>
      <c r="W132" s="582">
        <f t="shared" si="60"/>
        <v>119.58934726690416</v>
      </c>
      <c r="X132" s="582">
        <f t="shared" si="60"/>
        <v>120.13321508401928</v>
      </c>
      <c r="Y132" s="582">
        <f t="shared" si="60"/>
        <v>120.52572392667516</v>
      </c>
      <c r="Z132" s="582">
        <f t="shared" si="60"/>
        <v>120.7537516805223</v>
      </c>
      <c r="AA132" s="582">
        <f t="shared" si="60"/>
        <v>120.80336281929736</v>
      </c>
      <c r="AB132" s="582">
        <f t="shared" si="60"/>
        <v>120.65976409096345</v>
      </c>
      <c r="AC132" s="582">
        <f t="shared" si="60"/>
        <v>120.30725795060208</v>
      </c>
      <c r="AD132" s="582">
        <f t="shared" si="60"/>
        <v>119.72919363032372</v>
      </c>
      <c r="AE132" s="582">
        <f t="shared" si="60"/>
        <v>118.90791573122664</v>
      </c>
      <c r="AF132" s="582">
        <f t="shared" si="60"/>
        <v>117.82471021707487</v>
      </c>
      <c r="AG132" s="582">
        <f t="shared" si="60"/>
        <v>116.45974768361157</v>
      </c>
      <c r="AH132" s="582">
        <f t="shared" si="60"/>
        <v>121.16627685715841</v>
      </c>
      <c r="AI132" s="582">
        <f t="shared" si="60"/>
        <v>126.06301266692121</v>
      </c>
      <c r="AJ132" s="582">
        <f t="shared" si="60"/>
        <v>131.15764200128959</v>
      </c>
      <c r="AK132" s="582">
        <f t="shared" si="60"/>
        <v>136.45816240160599</v>
      </c>
      <c r="AL132" s="582">
        <f t="shared" si="60"/>
        <v>141.97289461669328</v>
      </c>
    </row>
    <row r="133" spans="1:38">
      <c r="B133" s="478" t="s">
        <v>711</v>
      </c>
      <c r="C133" s="484" t="s">
        <v>292</v>
      </c>
      <c r="D133" s="582">
        <f t="shared" ref="D133:AL133" si="61">(D$126*D93+D$127*D98+D$128*D103)/Grams.Per.Metric.Ton*D108</f>
        <v>2.1696712002450953</v>
      </c>
      <c r="E133" s="582">
        <f t="shared" si="61"/>
        <v>2.2684023962635624</v>
      </c>
      <c r="F133" s="582">
        <f t="shared" si="61"/>
        <v>2.3758031122282453</v>
      </c>
      <c r="G133" s="582">
        <f t="shared" si="61"/>
        <v>2.4866674389094028</v>
      </c>
      <c r="H133" s="582">
        <f t="shared" si="61"/>
        <v>1.9551335151272669</v>
      </c>
      <c r="I133" s="582">
        <f t="shared" si="61"/>
        <v>2.0302926280813054</v>
      </c>
      <c r="J133" s="582">
        <f t="shared" si="61"/>
        <v>2.1120533157203862</v>
      </c>
      <c r="K133" s="582">
        <f t="shared" si="61"/>
        <v>2.1960727725688685</v>
      </c>
      <c r="L133" s="582">
        <f t="shared" si="61"/>
        <v>2.2823582564671385</v>
      </c>
      <c r="M133" s="582">
        <f t="shared" si="61"/>
        <v>2.3660035134704787</v>
      </c>
      <c r="N133" s="582">
        <f t="shared" si="61"/>
        <v>2.4154745499583363</v>
      </c>
      <c r="O133" s="582">
        <f t="shared" si="61"/>
        <v>2.4650799176953311</v>
      </c>
      <c r="P133" s="582">
        <f t="shared" si="61"/>
        <v>2.5147496761937176</v>
      </c>
      <c r="Q133" s="582">
        <f t="shared" si="61"/>
        <v>2.5644080125111097</v>
      </c>
      <c r="R133" s="582">
        <f t="shared" si="61"/>
        <v>2.6139728808288241</v>
      </c>
      <c r="S133" s="582">
        <f t="shared" si="61"/>
        <v>2.6633556224896862</v>
      </c>
      <c r="T133" s="582">
        <f t="shared" si="61"/>
        <v>2.7124605655044691</v>
      </c>
      <c r="U133" s="582">
        <f t="shared" si="61"/>
        <v>2.7611846024881666</v>
      </c>
      <c r="V133" s="582">
        <f t="shared" si="61"/>
        <v>2.8094167459366406</v>
      </c>
      <c r="W133" s="582">
        <f t="shared" si="61"/>
        <v>2.8570376597015521</v>
      </c>
      <c r="X133" s="582">
        <f t="shared" si="61"/>
        <v>2.9249533873181082</v>
      </c>
      <c r="Y133" s="582">
        <f t="shared" si="61"/>
        <v>2.9936922936368027</v>
      </c>
      <c r="Z133" s="582">
        <f t="shared" si="61"/>
        <v>3.0632099908493942</v>
      </c>
      <c r="AA133" s="582">
        <f t="shared" si="61"/>
        <v>3.1334571589793581</v>
      </c>
      <c r="AB133" s="582">
        <f t="shared" si="61"/>
        <v>3.2043792197268011</v>
      </c>
      <c r="AC133" s="582">
        <f t="shared" si="61"/>
        <v>3.2759159920067478</v>
      </c>
      <c r="AD133" s="582">
        <f t="shared" si="61"/>
        <v>3.3480013282340058</v>
      </c>
      <c r="AE133" s="582">
        <f t="shared" si="61"/>
        <v>3.4205627303605284</v>
      </c>
      <c r="AF133" s="582">
        <f t="shared" si="61"/>
        <v>3.493520944623377</v>
      </c>
      <c r="AG133" s="582">
        <f t="shared" si="61"/>
        <v>3.5667895339091018</v>
      </c>
      <c r="AH133" s="582">
        <f t="shared" si="61"/>
        <v>3.7109354669987975</v>
      </c>
      <c r="AI133" s="582">
        <f t="shared" si="61"/>
        <v>3.8609068209126738</v>
      </c>
      <c r="AJ133" s="582">
        <f t="shared" si="61"/>
        <v>4.0169390204528828</v>
      </c>
      <c r="AK133" s="582">
        <f t="shared" si="61"/>
        <v>4.1792770047277763</v>
      </c>
      <c r="AL133" s="582">
        <f t="shared" si="61"/>
        <v>4.3481756116569477</v>
      </c>
    </row>
    <row r="134" spans="1:38">
      <c r="D134" s="358"/>
      <c r="F134" s="464"/>
      <c r="G134" s="465"/>
      <c r="H134" s="465"/>
    </row>
    <row r="135" spans="1:38" ht="13">
      <c r="B135" s="493" t="s">
        <v>465</v>
      </c>
      <c r="C135" s="487" t="s">
        <v>292</v>
      </c>
      <c r="D135" s="488">
        <f t="shared" ref="D135:AL135" si="62">D130</f>
        <v>408.19923034771307</v>
      </c>
      <c r="E135" s="488">
        <f t="shared" si="62"/>
        <v>426.61914154477824</v>
      </c>
      <c r="F135" s="488">
        <f t="shared" si="62"/>
        <v>445.61604087229443</v>
      </c>
      <c r="G135" s="488">
        <f t="shared" si="62"/>
        <v>465.19657310067902</v>
      </c>
      <c r="H135" s="488">
        <f t="shared" si="62"/>
        <v>364.02493300053106</v>
      </c>
      <c r="I135" s="488">
        <f t="shared" si="62"/>
        <v>379.59824614316233</v>
      </c>
      <c r="J135" s="488">
        <f t="shared" si="62"/>
        <v>395.62032764877296</v>
      </c>
      <c r="K135" s="488">
        <f t="shared" si="62"/>
        <v>412.09330873171677</v>
      </c>
      <c r="L135" s="488">
        <f t="shared" si="62"/>
        <v>429.01840806809395</v>
      </c>
      <c r="M135" s="488">
        <f t="shared" si="62"/>
        <v>446.39584033802049</v>
      </c>
      <c r="N135" s="488">
        <f t="shared" si="62"/>
        <v>463.01870602653122</v>
      </c>
      <c r="O135" s="488">
        <f t="shared" si="62"/>
        <v>479.95296955822795</v>
      </c>
      <c r="P135" s="488">
        <f t="shared" si="62"/>
        <v>497.18440169056322</v>
      </c>
      <c r="Q135" s="488">
        <f t="shared" si="62"/>
        <v>522.61502898205117</v>
      </c>
      <c r="R135" s="488">
        <f t="shared" si="62"/>
        <v>540.53865643772986</v>
      </c>
      <c r="S135" s="488">
        <f t="shared" si="62"/>
        <v>558.70228523712274</v>
      </c>
      <c r="T135" s="488">
        <f t="shared" si="62"/>
        <v>577.08168747880904</v>
      </c>
      <c r="U135" s="488">
        <f t="shared" si="62"/>
        <v>595.64970497343666</v>
      </c>
      <c r="V135" s="488">
        <f t="shared" si="62"/>
        <v>614.37602852647649</v>
      </c>
      <c r="W135" s="488">
        <f t="shared" si="62"/>
        <v>633.22696321968419</v>
      </c>
      <c r="X135" s="488">
        <f t="shared" si="62"/>
        <v>657.40839720357917</v>
      </c>
      <c r="Y135" s="488">
        <f t="shared" si="62"/>
        <v>691.4281710985847</v>
      </c>
      <c r="Z135" s="488">
        <f t="shared" si="62"/>
        <v>717.06258955808812</v>
      </c>
      <c r="AA135" s="488">
        <f t="shared" si="62"/>
        <v>743.31386890750298</v>
      </c>
      <c r="AB135" s="488">
        <f t="shared" si="62"/>
        <v>770.17683347860429</v>
      </c>
      <c r="AC135" s="488">
        <f t="shared" si="62"/>
        <v>797.64434965206613</v>
      </c>
      <c r="AD135" s="488">
        <f t="shared" si="62"/>
        <v>825.70715455034826</v>
      </c>
      <c r="AE135" s="488">
        <f t="shared" si="62"/>
        <v>854.35367321311821</v>
      </c>
      <c r="AF135" s="488">
        <f t="shared" si="62"/>
        <v>894.34506531972966</v>
      </c>
      <c r="AG135" s="488">
        <f t="shared" si="62"/>
        <v>924.34289050844654</v>
      </c>
      <c r="AH135" s="488">
        <f t="shared" si="62"/>
        <v>961.69868825890671</v>
      </c>
      <c r="AI135" s="488">
        <f t="shared" si="62"/>
        <v>1000.5641591403046</v>
      </c>
      <c r="AJ135" s="488">
        <f t="shared" si="62"/>
        <v>1041.0003141094253</v>
      </c>
      <c r="AK135" s="488">
        <f t="shared" si="62"/>
        <v>1083.0706297805361</v>
      </c>
      <c r="AL135" s="488">
        <f t="shared" si="62"/>
        <v>1126.8411480708755</v>
      </c>
    </row>
    <row r="136" spans="1:38" ht="13">
      <c r="B136" s="494" t="s">
        <v>466</v>
      </c>
      <c r="C136" s="487" t="s">
        <v>292</v>
      </c>
      <c r="D136" s="488">
        <f t="shared" ref="D136:AL136" si="63">SUM(D130:D133)</f>
        <v>708.0028798580114</v>
      </c>
      <c r="E136" s="488">
        <f t="shared" si="63"/>
        <v>723.62655248465808</v>
      </c>
      <c r="F136" s="488">
        <f t="shared" si="63"/>
        <v>739.29808781107181</v>
      </c>
      <c r="G136" s="488">
        <f t="shared" si="63"/>
        <v>753.41232358324817</v>
      </c>
      <c r="H136" s="488">
        <f t="shared" si="63"/>
        <v>574.94735692764459</v>
      </c>
      <c r="I136" s="488">
        <f t="shared" si="63"/>
        <v>583.47342132134497</v>
      </c>
      <c r="J136" s="488">
        <f t="shared" si="63"/>
        <v>591.4312525798008</v>
      </c>
      <c r="K136" s="488">
        <f t="shared" si="63"/>
        <v>597.94948004893331</v>
      </c>
      <c r="L136" s="488">
        <f t="shared" si="63"/>
        <v>603.30568268664763</v>
      </c>
      <c r="M136" s="488">
        <f t="shared" si="63"/>
        <v>607.48066186574772</v>
      </c>
      <c r="N136" s="488">
        <f t="shared" si="63"/>
        <v>623.02621327917052</v>
      </c>
      <c r="O136" s="488">
        <f t="shared" si="63"/>
        <v>638.53299670605065</v>
      </c>
      <c r="P136" s="488">
        <f t="shared" si="63"/>
        <v>653.96023966359132</v>
      </c>
      <c r="Q136" s="488">
        <f t="shared" si="63"/>
        <v>677.18185197184823</v>
      </c>
      <c r="R136" s="488">
        <f t="shared" si="63"/>
        <v>692.46186456996929</v>
      </c>
      <c r="S136" s="488">
        <f t="shared" si="63"/>
        <v>707.51575920918935</v>
      </c>
      <c r="T136" s="488">
        <f t="shared" si="63"/>
        <v>722.28595075367934</v>
      </c>
      <c r="U136" s="488">
        <f t="shared" si="63"/>
        <v>736.70998890849989</v>
      </c>
      <c r="V136" s="488">
        <f t="shared" si="63"/>
        <v>750.7202355934337</v>
      </c>
      <c r="W136" s="488">
        <f t="shared" si="63"/>
        <v>764.24352323865082</v>
      </c>
      <c r="X136" s="488">
        <f t="shared" si="63"/>
        <v>789.08665436254103</v>
      </c>
      <c r="Y136" s="488">
        <f t="shared" si="63"/>
        <v>823.60762680678715</v>
      </c>
      <c r="Z136" s="488">
        <f t="shared" si="63"/>
        <v>849.56869194182389</v>
      </c>
      <c r="AA136" s="488">
        <f t="shared" si="63"/>
        <v>875.95713906208334</v>
      </c>
      <c r="AB136" s="488">
        <f t="shared" si="63"/>
        <v>902.75194405052173</v>
      </c>
      <c r="AC136" s="488">
        <f t="shared" si="63"/>
        <v>929.92915332539349</v>
      </c>
      <c r="AD136" s="488">
        <f t="shared" si="63"/>
        <v>957.46165989320855</v>
      </c>
      <c r="AE136" s="488">
        <f t="shared" si="63"/>
        <v>985.31896521620422</v>
      </c>
      <c r="AF136" s="488">
        <f t="shared" si="63"/>
        <v>1024.2421678292253</v>
      </c>
      <c r="AG136" s="488">
        <f t="shared" si="63"/>
        <v>1052.8715676198688</v>
      </c>
      <c r="AH136" s="488">
        <f t="shared" si="63"/>
        <v>1095.421640478203</v>
      </c>
      <c r="AI136" s="488">
        <f t="shared" si="63"/>
        <v>1139.6913045534827</v>
      </c>
      <c r="AJ136" s="488">
        <f t="shared" si="63"/>
        <v>1185.7500542967077</v>
      </c>
      <c r="AK136" s="488">
        <f t="shared" si="63"/>
        <v>1233.6701926628291</v>
      </c>
      <c r="AL136" s="488">
        <f t="shared" si="63"/>
        <v>1283.5269446118102</v>
      </c>
    </row>
    <row r="137" spans="1:38">
      <c r="D137" s="358"/>
      <c r="F137" s="464"/>
      <c r="G137" s="465"/>
      <c r="H137" s="465"/>
    </row>
    <row r="138" spans="1:38" ht="13">
      <c r="A138" s="490"/>
      <c r="B138" s="452" t="s">
        <v>706</v>
      </c>
      <c r="C138" s="490"/>
      <c r="D138" s="379"/>
      <c r="E138" s="379"/>
      <c r="F138" s="379"/>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row>
    <row r="139" spans="1:38">
      <c r="D139" s="358"/>
      <c r="F139" s="464"/>
      <c r="G139" s="465"/>
      <c r="H139" s="465"/>
    </row>
    <row r="140" spans="1:38" ht="13">
      <c r="B140" s="493" t="s">
        <v>814</v>
      </c>
      <c r="C140" s="387" t="s">
        <v>818</v>
      </c>
      <c r="D140" s="474">
        <f t="shared" ref="D140:AL140" si="64">((D$112*D90+D$113*D95+D$114*D100)-(D$126*D90+D$127*D95+D$128*D100))/Grams.Per.Metric.Ton</f>
        <v>0</v>
      </c>
      <c r="E140" s="474">
        <f t="shared" si="64"/>
        <v>0</v>
      </c>
      <c r="F140" s="474">
        <f t="shared" si="64"/>
        <v>0</v>
      </c>
      <c r="G140" s="474">
        <f t="shared" si="64"/>
        <v>0</v>
      </c>
      <c r="H140" s="474">
        <f t="shared" si="64"/>
        <v>2.1668150773841126</v>
      </c>
      <c r="I140" s="474">
        <f t="shared" si="64"/>
        <v>2.219872784462936</v>
      </c>
      <c r="J140" s="474">
        <f t="shared" si="64"/>
        <v>2.2736800439584686</v>
      </c>
      <c r="K140" s="474">
        <f t="shared" si="64"/>
        <v>2.3282107837950075</v>
      </c>
      <c r="L140" s="474">
        <f t="shared" si="64"/>
        <v>2.383435600378299</v>
      </c>
      <c r="M140" s="474">
        <f t="shared" si="64"/>
        <v>2.4393215319017489</v>
      </c>
      <c r="N140" s="474">
        <f t="shared" si="64"/>
        <v>2.4893478818630714</v>
      </c>
      <c r="O140" s="474">
        <f t="shared" si="64"/>
        <v>2.5394337013662849</v>
      </c>
      <c r="P140" s="474">
        <f t="shared" si="64"/>
        <v>2.589502092138348</v>
      </c>
      <c r="Q140" s="474">
        <f t="shared" si="64"/>
        <v>2.6394698433436892</v>
      </c>
      <c r="R140" s="474">
        <f t="shared" si="64"/>
        <v>2.6892470469538829</v>
      </c>
      <c r="S140" s="474">
        <f t="shared" si="64"/>
        <v>2.7387366923388345</v>
      </c>
      <c r="T140" s="474">
        <f t="shared" si="64"/>
        <v>2.7878342390280606</v>
      </c>
      <c r="U140" s="474">
        <f t="shared" si="64"/>
        <v>2.8364271665401719</v>
      </c>
      <c r="V140" s="474">
        <f t="shared" si="64"/>
        <v>2.8843945001243037</v>
      </c>
      <c r="W140" s="474">
        <f t="shared" si="64"/>
        <v>2.9316063112022466</v>
      </c>
      <c r="X140" s="474">
        <f t="shared" si="64"/>
        <v>3.0018648274136037</v>
      </c>
      <c r="Y140" s="474">
        <f t="shared" si="64"/>
        <v>3.0730140937714876</v>
      </c>
      <c r="Z140" s="474">
        <f t="shared" si="64"/>
        <v>3.1450113577109149</v>
      </c>
      <c r="AA140" s="474">
        <f t="shared" si="64"/>
        <v>3.217808956309542</v>
      </c>
      <c r="AB140" s="474">
        <f t="shared" si="64"/>
        <v>3.2913539892248025</v>
      </c>
      <c r="AC140" s="474">
        <f t="shared" si="64"/>
        <v>3.3655879732154665</v>
      </c>
      <c r="AD140" s="474">
        <f t="shared" si="64"/>
        <v>3.4404464772931149</v>
      </c>
      <c r="AE140" s="474">
        <f t="shared" si="64"/>
        <v>3.515858737502545</v>
      </c>
      <c r="AF140" s="474">
        <f t="shared" si="64"/>
        <v>3.5917472502800374</v>
      </c>
      <c r="AG140" s="474">
        <f t="shared" si="64"/>
        <v>3.6680273432874864</v>
      </c>
      <c r="AH140" s="474">
        <f t="shared" si="64"/>
        <v>3.8162646359480452</v>
      </c>
      <c r="AI140" s="474">
        <f t="shared" si="64"/>
        <v>3.9704926950012074</v>
      </c>
      <c r="AJ140" s="474">
        <f t="shared" si="64"/>
        <v>4.1309536274183545</v>
      </c>
      <c r="AK140" s="474">
        <f t="shared" si="64"/>
        <v>4.2978993245259378</v>
      </c>
      <c r="AL140" s="474">
        <f t="shared" si="64"/>
        <v>4.4715918574241087</v>
      </c>
    </row>
    <row r="141" spans="1:38" ht="13">
      <c r="B141" s="494" t="s">
        <v>815</v>
      </c>
      <c r="C141" s="387" t="s">
        <v>818</v>
      </c>
      <c r="D141" s="541">
        <f t="shared" ref="D141:AL141" si="65">((D$112*D91+D$113*D96+D$114*D101)-(D$126*D91+D$127*D96+D$128*D101))/Grams.Per.Metric.Ton</f>
        <v>0</v>
      </c>
      <c r="E141" s="541">
        <f t="shared" si="65"/>
        <v>0</v>
      </c>
      <c r="F141" s="541">
        <f t="shared" si="65"/>
        <v>0</v>
      </c>
      <c r="G141" s="541">
        <f t="shared" si="65"/>
        <v>0</v>
      </c>
      <c r="H141" s="541">
        <f t="shared" si="65"/>
        <v>1.466391592679055E-3</v>
      </c>
      <c r="I141" s="541">
        <f t="shared" si="65"/>
        <v>1.3008436404069407E-3</v>
      </c>
      <c r="J141" s="541">
        <f t="shared" si="65"/>
        <v>1.1195200233000623E-3</v>
      </c>
      <c r="K141" s="541">
        <f t="shared" si="65"/>
        <v>9.2141602567977503E-4</v>
      </c>
      <c r="L141" s="541">
        <f t="shared" si="65"/>
        <v>7.0547148943977478E-4</v>
      </c>
      <c r="M141" s="541">
        <f t="shared" si="65"/>
        <v>4.7056797375769814E-4</v>
      </c>
      <c r="N141" s="541">
        <f t="shared" si="65"/>
        <v>4.5173741599139223E-4</v>
      </c>
      <c r="O141" s="541">
        <f t="shared" si="65"/>
        <v>4.306162960723964E-4</v>
      </c>
      <c r="P141" s="541">
        <f t="shared" si="65"/>
        <v>4.070502302028526E-4</v>
      </c>
      <c r="Q141" s="541">
        <f t="shared" si="65"/>
        <v>3.8087609728645704E-4</v>
      </c>
      <c r="R141" s="541">
        <f t="shared" si="65"/>
        <v>3.5192158486706287E-4</v>
      </c>
      <c r="S141" s="541">
        <f t="shared" si="65"/>
        <v>3.2000471263702321E-4</v>
      </c>
      <c r="T141" s="541">
        <f t="shared" si="65"/>
        <v>2.8493333244407679E-4</v>
      </c>
      <c r="U141" s="541">
        <f t="shared" si="65"/>
        <v>2.4650460367523592E-4</v>
      </c>
      <c r="V141" s="541">
        <f t="shared" si="65"/>
        <v>2.0450444284434821E-4</v>
      </c>
      <c r="W141" s="541">
        <f t="shared" si="65"/>
        <v>1.5870694615483183E-4</v>
      </c>
      <c r="X141" s="541">
        <f t="shared" si="65"/>
        <v>1.5963127199304541E-4</v>
      </c>
      <c r="Y141" s="541">
        <f t="shared" si="65"/>
        <v>1.6037110162760051E-4</v>
      </c>
      <c r="Z141" s="541">
        <f t="shared" si="65"/>
        <v>1.6091001319192707E-4</v>
      </c>
      <c r="AA141" s="541">
        <f t="shared" si="65"/>
        <v>1.6123055882043741E-4</v>
      </c>
      <c r="AB141" s="541">
        <f t="shared" si="65"/>
        <v>1.6131420854124416E-4</v>
      </c>
      <c r="AC141" s="541">
        <f t="shared" si="65"/>
        <v>1.6114129130960345E-4</v>
      </c>
      <c r="AD141" s="541">
        <f t="shared" si="65"/>
        <v>1.6069093304263936E-4</v>
      </c>
      <c r="AE141" s="541">
        <f t="shared" si="65"/>
        <v>1.5994099150923598E-4</v>
      </c>
      <c r="AF141" s="541">
        <f t="shared" si="65"/>
        <v>1.5886798792217325E-4</v>
      </c>
      <c r="AG141" s="541">
        <f t="shared" si="65"/>
        <v>1.5744703507225067E-4</v>
      </c>
      <c r="AH141" s="541">
        <f t="shared" si="65"/>
        <v>1.6380999805813302E-4</v>
      </c>
      <c r="AI141" s="541">
        <f t="shared" si="65"/>
        <v>1.7043010972859441E-4</v>
      </c>
      <c r="AJ141" s="541">
        <f t="shared" si="65"/>
        <v>1.7731776232481685E-4</v>
      </c>
      <c r="AK141" s="541">
        <f t="shared" si="65"/>
        <v>1.8448376807331818E-4</v>
      </c>
      <c r="AL141" s="541">
        <f t="shared" si="65"/>
        <v>1.9193937615897004E-4</v>
      </c>
    </row>
    <row r="142" spans="1:38" ht="13">
      <c r="B142" s="494" t="s">
        <v>816</v>
      </c>
      <c r="C142" s="387" t="s">
        <v>818</v>
      </c>
      <c r="D142" s="541">
        <f t="shared" ref="D142:AL142" si="66">((D$112*D92+D$113*D97+D$114*D102)-(D$126*D92+D$127*D97+D$128*D102))/Grams.Per.Metric.Ton</f>
        <v>0</v>
      </c>
      <c r="E142" s="541">
        <f t="shared" si="66"/>
        <v>0</v>
      </c>
      <c r="F142" s="541">
        <f t="shared" si="66"/>
        <v>0</v>
      </c>
      <c r="G142" s="541">
        <f t="shared" si="66"/>
        <v>0</v>
      </c>
      <c r="H142" s="541">
        <f t="shared" si="66"/>
        <v>5.6515672500193232E-5</v>
      </c>
      <c r="I142" s="541">
        <f t="shared" si="66"/>
        <v>5.5934719046170245E-5</v>
      </c>
      <c r="J142" s="541">
        <f t="shared" si="66"/>
        <v>5.5214505418207723E-5</v>
      </c>
      <c r="K142" s="541">
        <f t="shared" si="66"/>
        <v>5.4344724510508316E-5</v>
      </c>
      <c r="L142" s="541">
        <f t="shared" si="66"/>
        <v>5.3314463573004587E-5</v>
      </c>
      <c r="M142" s="541">
        <f t="shared" si="66"/>
        <v>5.2112172093092853E-5</v>
      </c>
      <c r="N142" s="541">
        <f t="shared" si="66"/>
        <v>5.2069196762888791E-5</v>
      </c>
      <c r="O142" s="541">
        <f t="shared" si="66"/>
        <v>5.193763623088145E-5</v>
      </c>
      <c r="P142" s="541">
        <f t="shared" si="66"/>
        <v>5.1710400635581206E-5</v>
      </c>
      <c r="Q142" s="541">
        <f t="shared" si="66"/>
        <v>5.1379971746146397E-5</v>
      </c>
      <c r="R142" s="541">
        <f t="shared" si="66"/>
        <v>5.0938379918138195E-5</v>
      </c>
      <c r="S142" s="541">
        <f t="shared" si="66"/>
        <v>5.0377179886313089E-5</v>
      </c>
      <c r="T142" s="541">
        <f t="shared" si="66"/>
        <v>4.9687425338096884E-5</v>
      </c>
      <c r="U142" s="541">
        <f t="shared" si="66"/>
        <v>4.8859642208714404E-5</v>
      </c>
      <c r="V142" s="541">
        <f t="shared" si="66"/>
        <v>4.7883800636185356E-5</v>
      </c>
      <c r="W142" s="541">
        <f t="shared" si="66"/>
        <v>4.6749285511475081E-5</v>
      </c>
      <c r="X142" s="541">
        <f t="shared" si="66"/>
        <v>4.6961891671169721E-5</v>
      </c>
      <c r="Y142" s="541">
        <f t="shared" si="66"/>
        <v>4.711532931733518E-5</v>
      </c>
      <c r="Z142" s="541">
        <f t="shared" si="66"/>
        <v>4.7204468816904071E-5</v>
      </c>
      <c r="AA142" s="541">
        <f t="shared" si="66"/>
        <v>4.7223862561783167E-5</v>
      </c>
      <c r="AB142" s="541">
        <f t="shared" si="66"/>
        <v>4.7167727645894789E-5</v>
      </c>
      <c r="AC142" s="541">
        <f t="shared" si="66"/>
        <v>4.7029927661390107E-5</v>
      </c>
      <c r="AD142" s="541">
        <f t="shared" si="66"/>
        <v>4.6803953571136304E-5</v>
      </c>
      <c r="AE142" s="541">
        <f t="shared" si="66"/>
        <v>4.6482903612535355E-5</v>
      </c>
      <c r="AF142" s="541">
        <f t="shared" si="66"/>
        <v>4.6059462185635766E-5</v>
      </c>
      <c r="AG142" s="541">
        <f t="shared" si="66"/>
        <v>4.5525877676248629E-5</v>
      </c>
      <c r="AH142" s="541">
        <f t="shared" si="66"/>
        <v>4.7365731150916102E-5</v>
      </c>
      <c r="AI142" s="541">
        <f t="shared" si="66"/>
        <v>4.9279939277948924E-5</v>
      </c>
      <c r="AJ142" s="541">
        <f t="shared" si="66"/>
        <v>5.1271506978339258E-5</v>
      </c>
      <c r="AK142" s="541">
        <f t="shared" si="66"/>
        <v>5.3343560612019102E-5</v>
      </c>
      <c r="AL142" s="541">
        <f t="shared" si="66"/>
        <v>5.5499352885615591E-5</v>
      </c>
    </row>
    <row r="143" spans="1:38" ht="13">
      <c r="B143" s="494" t="s">
        <v>817</v>
      </c>
      <c r="C143" s="387" t="s">
        <v>818</v>
      </c>
      <c r="D143" s="541">
        <f t="shared" ref="D143:AL143" si="67">((D$112*D93+D$113*D98+D$114*D103)-(D$126*D93+D$127*D98+D$128*D103))/Grams.Per.Metric.Ton</f>
        <v>0</v>
      </c>
      <c r="E143" s="541">
        <f t="shared" si="67"/>
        <v>0</v>
      </c>
      <c r="F143" s="541">
        <f t="shared" si="67"/>
        <v>0</v>
      </c>
      <c r="G143" s="541">
        <f t="shared" si="67"/>
        <v>0</v>
      </c>
      <c r="H143" s="541">
        <f t="shared" si="67"/>
        <v>1.4514725427819357E-5</v>
      </c>
      <c r="I143" s="541">
        <f t="shared" si="67"/>
        <v>1.4873938667262316E-5</v>
      </c>
      <c r="J143" s="541">
        <f t="shared" si="67"/>
        <v>1.5238479911402521E-5</v>
      </c>
      <c r="K143" s="541">
        <f t="shared" si="67"/>
        <v>1.5608193124156841E-5</v>
      </c>
      <c r="L143" s="541">
        <f t="shared" si="67"/>
        <v>1.598290095565222E-5</v>
      </c>
      <c r="M143" s="541">
        <f t="shared" si="67"/>
        <v>1.636240327434632E-5</v>
      </c>
      <c r="N143" s="541">
        <f t="shared" si="67"/>
        <v>1.6704526624884757E-5</v>
      </c>
      <c r="O143" s="541">
        <f t="shared" si="67"/>
        <v>1.7047578960548619E-5</v>
      </c>
      <c r="P143" s="541">
        <f t="shared" si="67"/>
        <v>1.7391076598850035E-5</v>
      </c>
      <c r="Q143" s="541">
        <f t="shared" si="67"/>
        <v>1.7734495245581662E-5</v>
      </c>
      <c r="R143" s="541">
        <f t="shared" si="67"/>
        <v>1.8077267502274041E-5</v>
      </c>
      <c r="S143" s="541">
        <f t="shared" si="67"/>
        <v>1.8418780238517853E-5</v>
      </c>
      <c r="T143" s="541">
        <f t="shared" si="67"/>
        <v>1.8758371822299223E-5</v>
      </c>
      <c r="U143" s="541">
        <f t="shared" si="67"/>
        <v>1.9095329201162941E-5</v>
      </c>
      <c r="V143" s="541">
        <f t="shared" si="67"/>
        <v>1.9428884826671108E-5</v>
      </c>
      <c r="W143" s="541">
        <f t="shared" si="67"/>
        <v>1.9758213414256956E-5</v>
      </c>
      <c r="X143" s="541">
        <f t="shared" si="67"/>
        <v>2.0227893411605158E-5</v>
      </c>
      <c r="Y143" s="541">
        <f t="shared" si="67"/>
        <v>2.0703266207723381E-5</v>
      </c>
      <c r="Z143" s="541">
        <f t="shared" si="67"/>
        <v>2.1184024832983369E-5</v>
      </c>
      <c r="AA143" s="541">
        <f t="shared" si="67"/>
        <v>2.1669828208709278E-5</v>
      </c>
      <c r="AB143" s="541">
        <f t="shared" si="67"/>
        <v>2.2160298891609953E-5</v>
      </c>
      <c r="AC143" s="541">
        <f t="shared" si="67"/>
        <v>2.2655020691609608E-5</v>
      </c>
      <c r="AD143" s="541">
        <f t="shared" si="67"/>
        <v>2.3153536156528375E-5</v>
      </c>
      <c r="AE143" s="541">
        <f t="shared" si="67"/>
        <v>2.3655343916739498E-5</v>
      </c>
      <c r="AF143" s="541">
        <f t="shared" si="67"/>
        <v>2.4159895882595976E-5</v>
      </c>
      <c r="AG143" s="541">
        <f t="shared" si="67"/>
        <v>2.4666594287061542E-5</v>
      </c>
      <c r="AH143" s="541">
        <f t="shared" si="67"/>
        <v>2.5663454128622404E-5</v>
      </c>
      <c r="AI143" s="541">
        <f t="shared" si="67"/>
        <v>2.6700600421249474E-5</v>
      </c>
      <c r="AJ143" s="541">
        <f t="shared" si="67"/>
        <v>2.7779661275607751E-5</v>
      </c>
      <c r="AK143" s="541">
        <f t="shared" si="67"/>
        <v>2.8902330599777143E-5</v>
      </c>
      <c r="AL143" s="541">
        <f t="shared" si="67"/>
        <v>3.0070370758346782E-5</v>
      </c>
    </row>
    <row r="144" spans="1:38">
      <c r="D144" s="358"/>
      <c r="F144" s="464"/>
      <c r="G144" s="465"/>
      <c r="H144" s="465"/>
    </row>
    <row r="145" spans="1:38" ht="13">
      <c r="B145" s="492" t="s">
        <v>284</v>
      </c>
      <c r="C145" s="487" t="s">
        <v>292</v>
      </c>
      <c r="D145" s="583">
        <f t="shared" ref="D145:AL145" si="68">D122-D136</f>
        <v>0</v>
      </c>
      <c r="E145" s="583">
        <f t="shared" si="68"/>
        <v>0</v>
      </c>
      <c r="F145" s="583">
        <f t="shared" si="68"/>
        <v>0</v>
      </c>
      <c r="G145" s="583">
        <f t="shared" si="68"/>
        <v>0</v>
      </c>
      <c r="H145" s="583">
        <f t="shared" si="68"/>
        <v>191.64911897588149</v>
      </c>
      <c r="I145" s="583">
        <f t="shared" si="68"/>
        <v>194.49114044044836</v>
      </c>
      <c r="J145" s="583">
        <f t="shared" si="68"/>
        <v>197.1437508599339</v>
      </c>
      <c r="K145" s="583">
        <f t="shared" si="68"/>
        <v>199.31649334964436</v>
      </c>
      <c r="L145" s="583">
        <f t="shared" si="68"/>
        <v>201.10189422888266</v>
      </c>
      <c r="M145" s="583">
        <f t="shared" si="68"/>
        <v>202.49355395524901</v>
      </c>
      <c r="N145" s="583">
        <f t="shared" si="68"/>
        <v>207.67540442639006</v>
      </c>
      <c r="O145" s="583">
        <f t="shared" si="68"/>
        <v>212.84433223535018</v>
      </c>
      <c r="P145" s="583">
        <f t="shared" si="68"/>
        <v>217.98674655453033</v>
      </c>
      <c r="Q145" s="583">
        <f t="shared" si="68"/>
        <v>225.72728399061577</v>
      </c>
      <c r="R145" s="583">
        <f t="shared" si="68"/>
        <v>230.82062152332344</v>
      </c>
      <c r="S145" s="583">
        <f t="shared" si="68"/>
        <v>235.83858640306278</v>
      </c>
      <c r="T145" s="583">
        <f t="shared" si="68"/>
        <v>240.76198358455986</v>
      </c>
      <c r="U145" s="583">
        <f t="shared" si="68"/>
        <v>245.56999630283315</v>
      </c>
      <c r="V145" s="583">
        <f t="shared" si="68"/>
        <v>250.24007853114449</v>
      </c>
      <c r="W145" s="583">
        <f t="shared" si="68"/>
        <v>254.74784107955077</v>
      </c>
      <c r="X145" s="583">
        <f t="shared" si="68"/>
        <v>263.02888478751368</v>
      </c>
      <c r="Y145" s="583">
        <f t="shared" si="68"/>
        <v>274.53587560226231</v>
      </c>
      <c r="Z145" s="583">
        <f t="shared" si="68"/>
        <v>283.18956398060811</v>
      </c>
      <c r="AA145" s="583">
        <f t="shared" si="68"/>
        <v>291.98571302069513</v>
      </c>
      <c r="AB145" s="583">
        <f t="shared" si="68"/>
        <v>300.91731468350679</v>
      </c>
      <c r="AC145" s="583">
        <f t="shared" si="68"/>
        <v>309.97638444179768</v>
      </c>
      <c r="AD145" s="583">
        <f t="shared" si="68"/>
        <v>319.15388663106921</v>
      </c>
      <c r="AE145" s="583">
        <f t="shared" si="68"/>
        <v>328.43965507206792</v>
      </c>
      <c r="AF145" s="583">
        <f t="shared" si="68"/>
        <v>341.41405594307503</v>
      </c>
      <c r="AG145" s="583">
        <f t="shared" si="68"/>
        <v>350.95718920662307</v>
      </c>
      <c r="AH145" s="583">
        <f t="shared" si="68"/>
        <v>365.1405468260682</v>
      </c>
      <c r="AI145" s="583">
        <f t="shared" si="68"/>
        <v>379.8971015178272</v>
      </c>
      <c r="AJ145" s="583">
        <f t="shared" si="68"/>
        <v>395.25001809890296</v>
      </c>
      <c r="AK145" s="583">
        <f t="shared" si="68"/>
        <v>411.22339755427674</v>
      </c>
      <c r="AL145" s="583">
        <f t="shared" si="68"/>
        <v>427.84231487060333</v>
      </c>
    </row>
    <row r="146" spans="1:38">
      <c r="D146" s="358"/>
      <c r="F146" s="464"/>
      <c r="G146" s="465"/>
      <c r="H146" s="465"/>
    </row>
    <row r="147" spans="1:38" ht="13">
      <c r="A147" s="466" t="s">
        <v>458</v>
      </c>
      <c r="B147" s="467"/>
      <c r="C147" s="468"/>
      <c r="D147" s="468"/>
      <c r="E147" s="469"/>
      <c r="F147" s="470"/>
      <c r="G147" s="470"/>
      <c r="H147" s="470"/>
      <c r="I147" s="470"/>
      <c r="J147" s="470"/>
      <c r="K147" s="470"/>
      <c r="L147" s="470"/>
      <c r="M147" s="470"/>
      <c r="N147" s="470"/>
      <c r="O147" s="470"/>
      <c r="P147" s="470"/>
      <c r="Q147" s="470"/>
      <c r="R147" s="470"/>
      <c r="S147" s="471"/>
      <c r="T147" s="471"/>
      <c r="U147" s="471"/>
      <c r="V147" s="471"/>
      <c r="W147" s="471"/>
      <c r="X147" s="471"/>
      <c r="Y147" s="471"/>
      <c r="Z147" s="471"/>
      <c r="AA147" s="471"/>
      <c r="AB147" s="471"/>
      <c r="AC147" s="471"/>
      <c r="AD147" s="471"/>
      <c r="AE147" s="471"/>
      <c r="AF147" s="471"/>
      <c r="AG147" s="471"/>
      <c r="AH147" s="471"/>
      <c r="AI147" s="471"/>
      <c r="AJ147" s="471"/>
      <c r="AK147" s="471"/>
      <c r="AL147" s="471"/>
    </row>
    <row r="148" spans="1:38" ht="13">
      <c r="A148" s="452"/>
      <c r="B148" s="495" t="s">
        <v>601</v>
      </c>
      <c r="C148" s="453"/>
      <c r="D148" s="454"/>
      <c r="E148" s="379"/>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row>
    <row r="149" spans="1:38">
      <c r="D149" s="358"/>
      <c r="F149" s="464"/>
      <c r="G149" s="465"/>
      <c r="H149" s="465"/>
    </row>
    <row r="150" spans="1:38">
      <c r="B150" s="478" t="s">
        <v>17</v>
      </c>
      <c r="C150" s="482" t="s">
        <v>293</v>
      </c>
      <c r="D150" s="483">
        <f>IF('B1.6'!D$3&gt;'Fuel Costs'!$B$96,C150,SUMIFS('Fuel Costs'!$C$58:$C$96,'Fuel Costs'!$B$58:$B$96,'B1.6'!D$3))</f>
        <v>2.1089990000000003</v>
      </c>
      <c r="E150" s="483">
        <f>IF('B1.6'!E$3&gt;'Fuel Costs'!$B$96,D150,SUMIFS('Fuel Costs'!$C$58:$C$96,'Fuel Costs'!$B$58:$B$96,'B1.6'!E$3))</f>
        <v>2.1141540000000001</v>
      </c>
      <c r="F150" s="483">
        <f>IF('B1.6'!F$3&gt;'Fuel Costs'!$B$96,E150,SUMIFS('Fuel Costs'!$C$58:$C$96,'Fuel Costs'!$B$58:$B$96,'B1.6'!F$3))</f>
        <v>2.1080949999999996</v>
      </c>
      <c r="G150" s="483">
        <f>IF('B1.6'!G$3&gt;'Fuel Costs'!$B$96,F150,SUMIFS('Fuel Costs'!$C$58:$C$96,'Fuel Costs'!$B$58:$B$96,'B1.6'!G$3))</f>
        <v>2.0777429999999999</v>
      </c>
      <c r="H150" s="483">
        <f>IF('B1.6'!H$3&gt;'Fuel Costs'!$B$96,G150,SUMIFS('Fuel Costs'!$C$58:$C$96,'Fuel Costs'!$B$58:$B$96,'B1.6'!H$3))</f>
        <v>2.110881</v>
      </c>
      <c r="I150" s="483">
        <f>IF('B1.6'!I$3&gt;'Fuel Costs'!$B$96,H150,SUMIFS('Fuel Costs'!$C$58:$C$96,'Fuel Costs'!$B$58:$B$96,'B1.6'!I$3))</f>
        <v>2.136511</v>
      </c>
      <c r="J150" s="483">
        <f>IF('B1.6'!J$3&gt;'Fuel Costs'!$B$96,I150,SUMIFS('Fuel Costs'!$C$58:$C$96,'Fuel Costs'!$B$58:$B$96,'B1.6'!J$3))</f>
        <v>2.1720520000000003</v>
      </c>
      <c r="K150" s="483">
        <f>IF('B1.6'!K$3&gt;'Fuel Costs'!$B$96,J150,SUMIFS('Fuel Costs'!$C$58:$C$96,'Fuel Costs'!$B$58:$B$96,'B1.6'!K$3))</f>
        <v>2.188831</v>
      </c>
      <c r="L150" s="483">
        <f>IF('B1.6'!L$3&gt;'Fuel Costs'!$B$96,K150,SUMIFS('Fuel Costs'!$C$58:$C$96,'Fuel Costs'!$B$58:$B$96,'B1.6'!L$3))</f>
        <v>2.2274219999999998</v>
      </c>
      <c r="M150" s="483">
        <f>IF('B1.6'!M$3&gt;'Fuel Costs'!$B$96,L150,SUMIFS('Fuel Costs'!$C$58:$C$96,'Fuel Costs'!$B$58:$B$96,'B1.6'!M$3))</f>
        <v>2.314724</v>
      </c>
      <c r="N150" s="483">
        <f>IF('B1.6'!N$3&gt;'Fuel Costs'!$B$96,M150,SUMIFS('Fuel Costs'!$C$58:$C$96,'Fuel Costs'!$B$58:$B$96,'B1.6'!N$3))</f>
        <v>2.3371370000000002</v>
      </c>
      <c r="O150" s="483">
        <f>IF('B1.6'!O$3&gt;'Fuel Costs'!$B$96,N150,SUMIFS('Fuel Costs'!$C$58:$C$96,'Fuel Costs'!$B$58:$B$96,'B1.6'!O$3))</f>
        <v>2.3648720000000001</v>
      </c>
      <c r="P150" s="483">
        <f>IF('B1.6'!P$3&gt;'Fuel Costs'!$B$96,O150,SUMIFS('Fuel Costs'!$C$58:$C$96,'Fuel Costs'!$B$58:$B$96,'B1.6'!P$3))</f>
        <v>2.4180700000000002</v>
      </c>
      <c r="Q150" s="483">
        <f>IF('B1.6'!Q$3&gt;'Fuel Costs'!$B$96,P150,SUMIFS('Fuel Costs'!$C$58:$C$96,'Fuel Costs'!$B$58:$B$96,'B1.6'!Q$3))</f>
        <v>2.4668809999999999</v>
      </c>
      <c r="R150" s="483">
        <f>IF('B1.6'!R$3&gt;'Fuel Costs'!$B$96,Q150,SUMIFS('Fuel Costs'!$C$58:$C$96,'Fuel Costs'!$B$58:$B$96,'B1.6'!R$3))</f>
        <v>2.5000450000000001</v>
      </c>
      <c r="S150" s="483">
        <f>IF('B1.6'!S$3&gt;'Fuel Costs'!$B$96,R150,SUMIFS('Fuel Costs'!$C$58:$C$96,'Fuel Costs'!$B$58:$B$96,'B1.6'!S$3))</f>
        <v>2.5377999999999998</v>
      </c>
      <c r="T150" s="483">
        <f>IF('B1.6'!T$3&gt;'Fuel Costs'!$B$96,S150,SUMIFS('Fuel Costs'!$C$58:$C$96,'Fuel Costs'!$B$58:$B$96,'B1.6'!T$3))</f>
        <v>2.5494319999999999</v>
      </c>
      <c r="U150" s="483">
        <f>IF('B1.6'!U$3&gt;'Fuel Costs'!$B$96,T150,SUMIFS('Fuel Costs'!$C$58:$C$96,'Fuel Costs'!$B$58:$B$96,'B1.6'!U$3))</f>
        <v>2.5846549999999997</v>
      </c>
      <c r="V150" s="483">
        <f>IF('B1.6'!V$3&gt;'Fuel Costs'!$B$96,U150,SUMIFS('Fuel Costs'!$C$58:$C$96,'Fuel Costs'!$B$58:$B$96,'B1.6'!V$3))</f>
        <v>2.6275680000000001</v>
      </c>
      <c r="W150" s="483">
        <f>IF('B1.6'!W$3&gt;'Fuel Costs'!$B$96,V150,SUMIFS('Fuel Costs'!$C$58:$C$96,'Fuel Costs'!$B$58:$B$96,'B1.6'!W$3))</f>
        <v>2.6407669999999999</v>
      </c>
      <c r="X150" s="483">
        <f>IF('B1.6'!X$3&gt;'Fuel Costs'!$B$96,W150,SUMIFS('Fuel Costs'!$C$58:$C$96,'Fuel Costs'!$B$58:$B$96,'B1.6'!X$3))</f>
        <v>2.6650519999999998</v>
      </c>
      <c r="Y150" s="483">
        <f>IF('B1.6'!Y$3&gt;'Fuel Costs'!$B$96,X150,SUMIFS('Fuel Costs'!$C$58:$C$96,'Fuel Costs'!$B$58:$B$96,'B1.6'!Y$3))</f>
        <v>2.715147</v>
      </c>
      <c r="Z150" s="483">
        <f>IF('B1.6'!Z$3&gt;'Fuel Costs'!$B$96,Y150,SUMIFS('Fuel Costs'!$C$58:$C$96,'Fuel Costs'!$B$58:$B$96,'B1.6'!Z$3))</f>
        <v>2.7429259999999998</v>
      </c>
      <c r="AA150" s="483">
        <f>IF('B1.6'!AA$3&gt;'Fuel Costs'!$B$96,Z150,SUMIFS('Fuel Costs'!$C$58:$C$96,'Fuel Costs'!$B$58:$B$96,'B1.6'!AA$3))</f>
        <v>2.770124</v>
      </c>
      <c r="AB150" s="483">
        <f>IF('B1.6'!AB$3&gt;'Fuel Costs'!$B$96,AA150,SUMIFS('Fuel Costs'!$C$58:$C$96,'Fuel Costs'!$B$58:$B$96,'B1.6'!AB$3))</f>
        <v>2.8135499999999998</v>
      </c>
      <c r="AC150" s="483">
        <f>IF('B1.6'!AC$3&gt;'Fuel Costs'!$B$96,AB150,SUMIFS('Fuel Costs'!$C$58:$C$96,'Fuel Costs'!$B$58:$B$96,'B1.6'!AC$3))</f>
        <v>2.825739</v>
      </c>
      <c r="AD150" s="483">
        <f>IF('B1.6'!AD$3&gt;'Fuel Costs'!$B$96,AC150,SUMIFS('Fuel Costs'!$C$58:$C$96,'Fuel Costs'!$B$58:$B$96,'B1.6'!AD$3))</f>
        <v>2.884363</v>
      </c>
      <c r="AE150" s="483">
        <f>IF('B1.6'!AE$3&gt;'Fuel Costs'!$B$96,AD150,SUMIFS('Fuel Costs'!$C$58:$C$96,'Fuel Costs'!$B$58:$B$96,'B1.6'!AE$3))</f>
        <v>2.9245799999999997</v>
      </c>
      <c r="AF150" s="483">
        <f>IF('B1.6'!AF$3&gt;'Fuel Costs'!$B$96,AE150,SUMIFS('Fuel Costs'!$C$58:$C$96,'Fuel Costs'!$B$58:$B$96,'B1.6'!AF$3))</f>
        <v>2.9556740000000001</v>
      </c>
      <c r="AG150" s="483">
        <f>IF('B1.6'!AG$3&gt;'Fuel Costs'!$B$96,AF150,SUMIFS('Fuel Costs'!$C$58:$C$96,'Fuel Costs'!$B$58:$B$96,'B1.6'!AG$3))</f>
        <v>2.9824709999999999</v>
      </c>
      <c r="AH150" s="483">
        <f>IF('B1.6'!AH$3&gt;'Fuel Costs'!$B$96,AG150,SUMIFS('Fuel Costs'!$C$58:$C$96,'Fuel Costs'!$B$58:$B$96,'B1.6'!AH$3))</f>
        <v>3.0131836545560371</v>
      </c>
      <c r="AI150" s="483">
        <f>IF('B1.6'!AI$3&gt;'Fuel Costs'!$B$96,AH150,SUMIFS('Fuel Costs'!$C$58:$C$96,'Fuel Costs'!$B$58:$B$96,'B1.6'!AI$3))</f>
        <v>3.0441036388293234</v>
      </c>
      <c r="AJ150" s="483">
        <f>IF('B1.6'!AJ$3&gt;'Fuel Costs'!$B$96,AI150,SUMIFS('Fuel Costs'!$C$58:$C$96,'Fuel Costs'!$B$58:$B$96,'B1.6'!AJ$3))</f>
        <v>3.0752329080548346</v>
      </c>
      <c r="AK150" s="483">
        <f>IF('B1.6'!AK$3&gt;'Fuel Costs'!$B$96,AJ150,SUMIFS('Fuel Costs'!$C$58:$C$96,'Fuel Costs'!$B$58:$B$96,'B1.6'!AK$3))</f>
        <v>3.1065734315835933</v>
      </c>
      <c r="AL150" s="483">
        <f>IF('B1.6'!AL$3&gt;'Fuel Costs'!$B$96,AK150,SUMIFS('Fuel Costs'!$C$58:$C$96,'Fuel Costs'!$B$58:$B$96,'B1.6'!AL$3))</f>
        <v>3.1381271930086481</v>
      </c>
    </row>
    <row r="151" spans="1:38">
      <c r="B151" s="478" t="s">
        <v>18</v>
      </c>
      <c r="C151" s="482" t="s">
        <v>293</v>
      </c>
      <c r="D151" s="483">
        <f>IF('B1.6'!D$3&gt;'Fuel Costs'!$B$96,C151,SUMIFS('Fuel Costs'!$D$58:$D$96,'Fuel Costs'!$B$58:$B$96,'B1.6'!D$3))</f>
        <v>2.3667060000000002</v>
      </c>
      <c r="E151" s="483">
        <f>IF('B1.6'!E$3&gt;'Fuel Costs'!$B$96,D151,SUMIFS('Fuel Costs'!$D$58:$D$96,'Fuel Costs'!$B$58:$B$96,'B1.6'!E$3))</f>
        <v>2.415864</v>
      </c>
      <c r="F151" s="483">
        <f>IF('B1.6'!F$3&gt;'Fuel Costs'!$B$96,E151,SUMIFS('Fuel Costs'!$D$58:$D$96,'Fuel Costs'!$B$58:$B$96,'B1.6'!F$3))</f>
        <v>2.4390620000000003</v>
      </c>
      <c r="G151" s="483">
        <f>IF('B1.6'!G$3&gt;'Fuel Costs'!$B$96,F151,SUMIFS('Fuel Costs'!$D$58:$D$96,'Fuel Costs'!$B$58:$B$96,'B1.6'!G$3))</f>
        <v>2.498437</v>
      </c>
      <c r="H151" s="483">
        <f>IF('B1.6'!H$3&gt;'Fuel Costs'!$B$96,G151,SUMIFS('Fuel Costs'!$D$58:$D$96,'Fuel Costs'!$B$58:$B$96,'B1.6'!H$3))</f>
        <v>2.5215069999999997</v>
      </c>
      <c r="I151" s="483">
        <f>IF('B1.6'!I$3&gt;'Fuel Costs'!$B$96,H151,SUMIFS('Fuel Costs'!$D$58:$D$96,'Fuel Costs'!$B$58:$B$96,'B1.6'!I$3))</f>
        <v>2.5828810000000004</v>
      </c>
      <c r="J151" s="483">
        <f>IF('B1.6'!J$3&gt;'Fuel Costs'!$B$96,I151,SUMIFS('Fuel Costs'!$D$58:$D$96,'Fuel Costs'!$B$58:$B$96,'B1.6'!J$3))</f>
        <v>2.5956159999999997</v>
      </c>
      <c r="K151" s="483">
        <f>IF('B1.6'!K$3&gt;'Fuel Costs'!$B$96,J151,SUMIFS('Fuel Costs'!$D$58:$D$96,'Fuel Costs'!$B$58:$B$96,'B1.6'!K$3))</f>
        <v>2.6482269999999999</v>
      </c>
      <c r="L151" s="483">
        <f>IF('B1.6'!L$3&gt;'Fuel Costs'!$B$96,K151,SUMIFS('Fuel Costs'!$D$58:$D$96,'Fuel Costs'!$B$58:$B$96,'B1.6'!L$3))</f>
        <v>2.682369</v>
      </c>
      <c r="M151" s="483">
        <f>IF('B1.6'!M$3&gt;'Fuel Costs'!$B$96,L151,SUMIFS('Fuel Costs'!$D$58:$D$96,'Fuel Costs'!$B$58:$B$96,'B1.6'!M$3))</f>
        <v>2.7536199999999997</v>
      </c>
      <c r="N151" s="483">
        <f>IF('B1.6'!N$3&gt;'Fuel Costs'!$B$96,M151,SUMIFS('Fuel Costs'!$D$58:$D$96,'Fuel Costs'!$B$58:$B$96,'B1.6'!N$3))</f>
        <v>2.7948589999999998</v>
      </c>
      <c r="O151" s="483">
        <f>IF('B1.6'!O$3&gt;'Fuel Costs'!$B$96,N151,SUMIFS('Fuel Costs'!$D$58:$D$96,'Fuel Costs'!$B$58:$B$96,'B1.6'!O$3))</f>
        <v>2.8228499999999999</v>
      </c>
      <c r="P151" s="483">
        <f>IF('B1.6'!P$3&gt;'Fuel Costs'!$B$96,O151,SUMIFS('Fuel Costs'!$D$58:$D$96,'Fuel Costs'!$B$58:$B$96,'B1.6'!P$3))</f>
        <v>2.8807999999999998</v>
      </c>
      <c r="Q151" s="483">
        <f>IF('B1.6'!Q$3&gt;'Fuel Costs'!$B$96,P151,SUMIFS('Fuel Costs'!$D$58:$D$96,'Fuel Costs'!$B$58:$B$96,'B1.6'!Q$3))</f>
        <v>2.9119450000000002</v>
      </c>
      <c r="R151" s="483">
        <f>IF('B1.6'!R$3&gt;'Fuel Costs'!$B$96,Q151,SUMIFS('Fuel Costs'!$D$58:$D$96,'Fuel Costs'!$B$58:$B$96,'B1.6'!R$3))</f>
        <v>2.946434</v>
      </c>
      <c r="S151" s="483">
        <f>IF('B1.6'!S$3&gt;'Fuel Costs'!$B$96,R151,SUMIFS('Fuel Costs'!$D$58:$D$96,'Fuel Costs'!$B$58:$B$96,'B1.6'!S$3))</f>
        <v>2.9849239999999999</v>
      </c>
      <c r="T151" s="483">
        <f>IF('B1.6'!T$3&gt;'Fuel Costs'!$B$96,S151,SUMIFS('Fuel Costs'!$D$58:$D$96,'Fuel Costs'!$B$58:$B$96,'B1.6'!T$3))</f>
        <v>3.0129359999999998</v>
      </c>
      <c r="U151" s="483">
        <f>IF('B1.6'!U$3&gt;'Fuel Costs'!$B$96,T151,SUMIFS('Fuel Costs'!$D$58:$D$96,'Fuel Costs'!$B$58:$B$96,'B1.6'!U$3))</f>
        <v>3.0455040000000002</v>
      </c>
      <c r="V151" s="483">
        <f>IF('B1.6'!V$3&gt;'Fuel Costs'!$B$96,U151,SUMIFS('Fuel Costs'!$D$58:$D$96,'Fuel Costs'!$B$58:$B$96,'B1.6'!V$3))</f>
        <v>3.0799020000000001</v>
      </c>
      <c r="W151" s="483">
        <f>IF('B1.6'!W$3&gt;'Fuel Costs'!$B$96,V151,SUMIFS('Fuel Costs'!$D$58:$D$96,'Fuel Costs'!$B$58:$B$96,'B1.6'!W$3))</f>
        <v>3.0827439999999999</v>
      </c>
      <c r="X151" s="483">
        <f>IF('B1.6'!X$3&gt;'Fuel Costs'!$B$96,W151,SUMIFS('Fuel Costs'!$D$58:$D$96,'Fuel Costs'!$B$58:$B$96,'B1.6'!X$3))</f>
        <v>3.109143</v>
      </c>
      <c r="Y151" s="483">
        <f>IF('B1.6'!Y$3&gt;'Fuel Costs'!$B$96,X151,SUMIFS('Fuel Costs'!$D$58:$D$96,'Fuel Costs'!$B$58:$B$96,'B1.6'!Y$3))</f>
        <v>3.1652459999999998</v>
      </c>
      <c r="Z151" s="483">
        <f>IF('B1.6'!Z$3&gt;'Fuel Costs'!$B$96,Y151,SUMIFS('Fuel Costs'!$D$58:$D$96,'Fuel Costs'!$B$58:$B$96,'B1.6'!Z$3))</f>
        <v>3.1917300000000002</v>
      </c>
      <c r="AA151" s="483">
        <f>IF('B1.6'!AA$3&gt;'Fuel Costs'!$B$96,Z151,SUMIFS('Fuel Costs'!$D$58:$D$96,'Fuel Costs'!$B$58:$B$96,'B1.6'!AA$3))</f>
        <v>3.2225800000000002</v>
      </c>
      <c r="AB151" s="483">
        <f>IF('B1.6'!AB$3&gt;'Fuel Costs'!$B$96,AA151,SUMIFS('Fuel Costs'!$D$58:$D$96,'Fuel Costs'!$B$58:$B$96,'B1.6'!AB$3))</f>
        <v>3.2765360000000001</v>
      </c>
      <c r="AC151" s="483">
        <f>IF('B1.6'!AC$3&gt;'Fuel Costs'!$B$96,AB151,SUMIFS('Fuel Costs'!$D$58:$D$96,'Fuel Costs'!$B$58:$B$96,'B1.6'!AC$3))</f>
        <v>3.2817090000000002</v>
      </c>
      <c r="AD151" s="483">
        <f>IF('B1.6'!AD$3&gt;'Fuel Costs'!$B$96,AC151,SUMIFS('Fuel Costs'!$D$58:$D$96,'Fuel Costs'!$B$58:$B$96,'B1.6'!AD$3))</f>
        <v>3.3209020000000002</v>
      </c>
      <c r="AE151" s="483">
        <f>IF('B1.6'!AE$3&gt;'Fuel Costs'!$B$96,AD151,SUMIFS('Fuel Costs'!$D$58:$D$96,'Fuel Costs'!$B$58:$B$96,'B1.6'!AE$3))</f>
        <v>3.3566719999999997</v>
      </c>
      <c r="AF151" s="483">
        <f>IF('B1.6'!AF$3&gt;'Fuel Costs'!$B$96,AE151,SUMIFS('Fuel Costs'!$D$58:$D$96,'Fuel Costs'!$B$58:$B$96,'B1.6'!AF$3))</f>
        <v>3.383178</v>
      </c>
      <c r="AG151" s="483">
        <f>IF('B1.6'!AG$3&gt;'Fuel Costs'!$B$96,AF151,SUMIFS('Fuel Costs'!$D$58:$D$96,'Fuel Costs'!$B$58:$B$96,'B1.6'!AG$3))</f>
        <v>3.407222</v>
      </c>
      <c r="AH151" s="483">
        <f>IF('B1.6'!AH$3&gt;'Fuel Costs'!$B$96,AG151,SUMIFS('Fuel Costs'!$D$58:$D$96,'Fuel Costs'!$B$58:$B$96,'B1.6'!AH$3))</f>
        <v>3.4412831909464936</v>
      </c>
      <c r="AI151" s="483">
        <f>IF('B1.6'!AI$3&gt;'Fuel Costs'!$B$96,AH151,SUMIFS('Fuel Costs'!$D$58:$D$96,'Fuel Costs'!$B$58:$B$96,'B1.6'!AI$3))</f>
        <v>3.4755628717622482</v>
      </c>
      <c r="AJ151" s="483">
        <f>IF('B1.6'!AJ$3&gt;'Fuel Costs'!$B$96,AI151,SUMIFS('Fuel Costs'!$D$58:$D$96,'Fuel Costs'!$B$58:$B$96,'B1.6'!AJ$3))</f>
        <v>3.510063132684897</v>
      </c>
      <c r="AK151" s="483">
        <f>IF('B1.6'!AK$3&gt;'Fuel Costs'!$B$96,AJ151,SUMIFS('Fuel Costs'!$D$58:$D$96,'Fuel Costs'!$B$58:$B$96,'B1.6'!AK$3))</f>
        <v>3.5447860778904832</v>
      </c>
      <c r="AL151" s="483">
        <f>IF('B1.6'!AL$3&gt;'Fuel Costs'!$B$96,AK151,SUMIFS('Fuel Costs'!$D$58:$D$96,'Fuel Costs'!$B$58:$B$96,'B1.6'!AL$3))</f>
        <v>3.5797338256221582</v>
      </c>
    </row>
    <row r="152" spans="1:38">
      <c r="B152" s="478"/>
      <c r="C152" s="482"/>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row>
    <row r="153" spans="1:38" ht="13">
      <c r="B153" s="364" t="s">
        <v>519</v>
      </c>
      <c r="C153" s="500">
        <f>'General Inputs'!D34</f>
        <v>10.715310341685649</v>
      </c>
      <c r="D153" s="358"/>
      <c r="F153" s="464"/>
      <c r="G153" s="465"/>
      <c r="H153" s="465"/>
    </row>
    <row r="154" spans="1:38" ht="13">
      <c r="B154" s="364" t="s">
        <v>482</v>
      </c>
      <c r="C154" s="500">
        <f>'General Inputs'!D35</f>
        <v>4.2855243432042522</v>
      </c>
      <c r="D154" s="358"/>
      <c r="F154" s="464"/>
      <c r="G154" s="465"/>
      <c r="H154" s="465"/>
    </row>
    <row r="155" spans="1:38" ht="13">
      <c r="B155" s="364" t="s">
        <v>774</v>
      </c>
      <c r="C155" s="500">
        <f>'General Inputs'!D36</f>
        <v>10.715310341685649</v>
      </c>
      <c r="D155" s="358"/>
      <c r="F155" s="464"/>
      <c r="G155" s="465"/>
      <c r="H155" s="465"/>
    </row>
    <row r="156" spans="1:38">
      <c r="D156" s="358"/>
      <c r="F156" s="464"/>
      <c r="G156" s="465"/>
      <c r="H156" s="465"/>
    </row>
    <row r="157" spans="1:38" ht="13">
      <c r="A157" s="452"/>
      <c r="B157" s="495" t="s">
        <v>623</v>
      </c>
      <c r="C157" s="453"/>
      <c r="D157" s="454"/>
      <c r="E157" s="379"/>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row>
    <row r="158" spans="1:38">
      <c r="D158" s="358"/>
      <c r="F158" s="464"/>
      <c r="G158" s="465"/>
      <c r="H158" s="465"/>
    </row>
    <row r="159" spans="1:38">
      <c r="B159" s="385" t="s">
        <v>508</v>
      </c>
      <c r="C159" s="386" t="s">
        <v>443</v>
      </c>
      <c r="D159" s="383">
        <f>'400 North'!D25</f>
        <v>3378.1106533492425</v>
      </c>
      <c r="E159" s="383">
        <f>'400 North'!E25</f>
        <v>3514.6314397814035</v>
      </c>
      <c r="F159" s="383">
        <f>'400 North'!F25</f>
        <v>3656.6694892758546</v>
      </c>
      <c r="G159" s="383">
        <f>'400 North'!G25</f>
        <v>3804.4477729455994</v>
      </c>
      <c r="H159" s="383">
        <f>'400 North'!H25</f>
        <v>3958.1982729144715</v>
      </c>
      <c r="I159" s="383">
        <f>'400 North'!I25</f>
        <v>4118.1623464823233</v>
      </c>
      <c r="J159" s="383">
        <f>'400 North'!J25</f>
        <v>4284.591105007351</v>
      </c>
      <c r="K159" s="383">
        <f>'400 North'!K25</f>
        <v>4457.7458081003069</v>
      </c>
      <c r="L159" s="383">
        <f>'400 North'!L25</f>
        <v>4637.8982737494553</v>
      </c>
      <c r="M159" s="383">
        <f>'400 North'!M25</f>
        <v>4825.3313050200213</v>
      </c>
      <c r="N159" s="383">
        <f>'400 North'!N25</f>
        <v>5020.3391339980126</v>
      </c>
      <c r="O159" s="383">
        <f>'400 North'!O25</f>
        <v>5223.2278836753021</v>
      </c>
      <c r="P159" s="383">
        <f>'400 North'!P25</f>
        <v>5434.316048501033</v>
      </c>
      <c r="Q159" s="383">
        <f>'400 North'!Q25</f>
        <v>5653.9349943537172</v>
      </c>
      <c r="R159" s="383">
        <f>'400 North'!R25</f>
        <v>5882.4294787188737</v>
      </c>
      <c r="S159" s="383">
        <f>'400 North'!S25</f>
        <v>6120.1581918888296</v>
      </c>
      <c r="T159" s="383">
        <f>'400 North'!T25</f>
        <v>6367.4943200341604</v>
      </c>
      <c r="U159" s="383">
        <f>'400 North'!U25</f>
        <v>6624.8261310307926</v>
      </c>
      <c r="V159" s="383">
        <f>'400 North'!V25</f>
        <v>6892.5575839623198</v>
      </c>
      <c r="W159" s="383">
        <f>'400 North'!W25</f>
        <v>7171.108963254339</v>
      </c>
      <c r="X159" s="383">
        <f>'400 North'!X25</f>
        <v>7460.9175384363143</v>
      </c>
      <c r="Y159" s="383">
        <f>'400 North'!Y25</f>
        <v>7762.4382505666172</v>
      </c>
      <c r="Z159" s="383">
        <f>'400 North'!Z25</f>
        <v>8076.1444263982967</v>
      </c>
      <c r="AA159" s="383">
        <f>'400 North'!AA25</f>
        <v>8402.5285214066935</v>
      </c>
      <c r="AB159" s="383">
        <f>'400 North'!AB25</f>
        <v>8742.1028928452906</v>
      </c>
      <c r="AC159" s="383">
        <f>'400 North'!AC25</f>
        <v>9095.4006040433578</v>
      </c>
      <c r="AD159" s="383">
        <f>'400 North'!AD25</f>
        <v>9462.9762612079503</v>
      </c>
      <c r="AE159" s="383">
        <f>'400 North'!AE25</f>
        <v>9845.4068840438649</v>
      </c>
      <c r="AF159" s="383">
        <f>'400 North'!AF25</f>
        <v>10243.292811558305</v>
      </c>
      <c r="AG159" s="383">
        <f>'400 North'!AG25</f>
        <v>10657.258644472149</v>
      </c>
      <c r="AH159" s="383">
        <f>'400 North'!AH25</f>
        <v>11087.95422571718</v>
      </c>
      <c r="AI159" s="383">
        <f>'400 North'!AI25</f>
        <v>11536.05566055855</v>
      </c>
      <c r="AJ159" s="383">
        <f>'400 North'!AJ25</f>
        <v>12002.266377943779</v>
      </c>
      <c r="AK159" s="383">
        <f>'400 North'!AK25</f>
        <v>12487.318234744445</v>
      </c>
      <c r="AL159" s="383">
        <f>'400 North'!AL25</f>
        <v>12991.972664623985</v>
      </c>
    </row>
    <row r="160" spans="1:38">
      <c r="B160" s="385" t="s">
        <v>509</v>
      </c>
      <c r="C160" s="386" t="s">
        <v>443</v>
      </c>
      <c r="D160" s="383">
        <f>'400 North'!D26</f>
        <v>16.975430418840414</v>
      </c>
      <c r="E160" s="383">
        <f>'400 North'!E26</f>
        <v>17.661464521514592</v>
      </c>
      <c r="F160" s="383">
        <f>'400 North'!F26</f>
        <v>18.375223564200276</v>
      </c>
      <c r="G160" s="383">
        <f>'400 North'!G26</f>
        <v>19.117828004751754</v>
      </c>
      <c r="H160" s="383">
        <f>'400 North'!H26</f>
        <v>19.890443582484782</v>
      </c>
      <c r="I160" s="383">
        <f>'400 North'!I26</f>
        <v>20.694283148152376</v>
      </c>
      <c r="J160" s="383">
        <f>'400 North'!J26</f>
        <v>21.530608567876133</v>
      </c>
      <c r="K160" s="383">
        <f>'400 North'!K26</f>
        <v>22.400732704021642</v>
      </c>
      <c r="L160" s="383">
        <f>'400 North'!L26</f>
        <v>23.306021476127917</v>
      </c>
      <c r="M160" s="383">
        <f>'400 North'!M26</f>
        <v>24.247896005125735</v>
      </c>
      <c r="N160" s="383">
        <f>'400 North'!N26</f>
        <v>25.22783484421112</v>
      </c>
      <c r="O160" s="383">
        <f>'400 North'!O26</f>
        <v>26.247376299875892</v>
      </c>
      <c r="P160" s="383">
        <f>'400 North'!P26</f>
        <v>27.308120846738863</v>
      </c>
      <c r="Q160" s="383">
        <f>'400 North'!Q26</f>
        <v>28.411733639968428</v>
      </c>
      <c r="R160" s="383">
        <f>'400 North'!R26</f>
        <v>29.559947129240573</v>
      </c>
      <c r="S160" s="383">
        <f>'400 North'!S26</f>
        <v>30.754563778335829</v>
      </c>
      <c r="T160" s="383">
        <f>'400 North'!T26</f>
        <v>31.997458894644023</v>
      </c>
      <c r="U160" s="383">
        <f>'400 North'!U26</f>
        <v>33.290583573019056</v>
      </c>
      <c r="V160" s="383">
        <f>'400 North'!V26</f>
        <v>34.635967758604622</v>
      </c>
      <c r="W160" s="383">
        <f>'400 North'!W26</f>
        <v>36.035723433438889</v>
      </c>
      <c r="X160" s="383">
        <f>'400 North'!X26</f>
        <v>37.492047931840773</v>
      </c>
      <c r="Y160" s="383">
        <f>'400 North'!Y26</f>
        <v>39.007227389781995</v>
      </c>
      <c r="Z160" s="383">
        <f>'400 North'!Z26</f>
        <v>40.58364033365978</v>
      </c>
      <c r="AA160" s="383">
        <f>'400 North'!AA26</f>
        <v>42.223761414103983</v>
      </c>
      <c r="AB160" s="383">
        <f>'400 North'!AB26</f>
        <v>43.930165290679852</v>
      </c>
      <c r="AC160" s="383">
        <f>'400 North'!AC26</f>
        <v>45.705530673584718</v>
      </c>
      <c r="AD160" s="383">
        <f>'400 North'!AD26</f>
        <v>47.552644528683167</v>
      </c>
      <c r="AE160" s="383">
        <f>'400 North'!AE26</f>
        <v>49.474406452481738</v>
      </c>
      <c r="AF160" s="383">
        <f>'400 North'!AF26</f>
        <v>51.473833223911079</v>
      </c>
      <c r="AG160" s="383">
        <f>'400 North'!AG26</f>
        <v>53.554063540061051</v>
      </c>
      <c r="AH160" s="383">
        <f>'400 North'!AH26</f>
        <v>55.718362943302409</v>
      </c>
      <c r="AI160" s="383">
        <f>'400 North'!AI26</f>
        <v>57.970128947530405</v>
      </c>
      <c r="AJ160" s="383">
        <f>'400 North'!AJ26</f>
        <v>60.312896371576784</v>
      </c>
      <c r="AK160" s="383">
        <f>'400 North'!AK26</f>
        <v>62.75034288816304</v>
      </c>
      <c r="AL160" s="383">
        <f>'400 North'!AL26</f>
        <v>65.286294797105455</v>
      </c>
    </row>
    <row r="161" spans="2:38">
      <c r="B161" s="358" t="s">
        <v>769</v>
      </c>
      <c r="C161" s="358" t="s">
        <v>443</v>
      </c>
      <c r="D161" s="383">
        <f>'400 North'!D27</f>
        <v>0</v>
      </c>
      <c r="E161" s="383">
        <f>'400 North'!E27</f>
        <v>0</v>
      </c>
      <c r="F161" s="383">
        <f>'400 North'!F27</f>
        <v>0</v>
      </c>
      <c r="G161" s="383">
        <f>'400 North'!G27</f>
        <v>0</v>
      </c>
      <c r="H161" s="383">
        <f>'400 North'!H27</f>
        <v>0</v>
      </c>
      <c r="I161" s="383">
        <f>'400 North'!I27</f>
        <v>0</v>
      </c>
      <c r="J161" s="383">
        <f>'400 North'!J27</f>
        <v>0</v>
      </c>
      <c r="K161" s="383">
        <f>'400 North'!K27</f>
        <v>0</v>
      </c>
      <c r="L161" s="383">
        <f>'400 North'!L27</f>
        <v>0</v>
      </c>
      <c r="M161" s="383">
        <f>'400 North'!M27</f>
        <v>0</v>
      </c>
      <c r="N161" s="383">
        <f>'400 North'!N27</f>
        <v>0</v>
      </c>
      <c r="O161" s="383">
        <f>'400 North'!O27</f>
        <v>0</v>
      </c>
      <c r="P161" s="383">
        <f>'400 North'!P27</f>
        <v>0</v>
      </c>
      <c r="Q161" s="383">
        <f>'400 North'!Q27</f>
        <v>0</v>
      </c>
      <c r="R161" s="383">
        <f>'400 North'!R27</f>
        <v>0</v>
      </c>
      <c r="S161" s="383">
        <f>'400 North'!S27</f>
        <v>0</v>
      </c>
      <c r="T161" s="383">
        <f>'400 North'!T27</f>
        <v>0</v>
      </c>
      <c r="U161" s="383">
        <f>'400 North'!U27</f>
        <v>0</v>
      </c>
      <c r="V161" s="383">
        <f>'400 North'!V27</f>
        <v>0</v>
      </c>
      <c r="W161" s="383">
        <f>'400 North'!W27</f>
        <v>0</v>
      </c>
      <c r="X161" s="383">
        <f>'400 North'!X27</f>
        <v>0</v>
      </c>
      <c r="Y161" s="383">
        <f>'400 North'!Y27</f>
        <v>0</v>
      </c>
      <c r="Z161" s="383">
        <f>'400 North'!Z27</f>
        <v>0</v>
      </c>
      <c r="AA161" s="383">
        <f>'400 North'!AA27</f>
        <v>0</v>
      </c>
      <c r="AB161" s="383">
        <f>'400 North'!AB27</f>
        <v>0</v>
      </c>
      <c r="AC161" s="383">
        <f>'400 North'!AC27</f>
        <v>0</v>
      </c>
      <c r="AD161" s="383">
        <f>'400 North'!AD27</f>
        <v>0</v>
      </c>
      <c r="AE161" s="383">
        <f>'400 North'!AE27</f>
        <v>0</v>
      </c>
      <c r="AF161" s="383">
        <f>'400 North'!AF27</f>
        <v>0</v>
      </c>
      <c r="AG161" s="383">
        <f>'400 North'!AG27</f>
        <v>0</v>
      </c>
      <c r="AH161" s="383">
        <f>'400 North'!AH27</f>
        <v>0</v>
      </c>
      <c r="AI161" s="383">
        <f>'400 North'!AI27</f>
        <v>0</v>
      </c>
      <c r="AJ161" s="383">
        <f>'400 North'!AJ27</f>
        <v>0</v>
      </c>
      <c r="AK161" s="383">
        <f>'400 North'!AK27</f>
        <v>0</v>
      </c>
      <c r="AL161" s="383">
        <f>'400 North'!AL27</f>
        <v>0</v>
      </c>
    </row>
    <row r="162" spans="2:38">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row>
    <row r="163" spans="2:38" ht="13">
      <c r="B163" s="364" t="s">
        <v>713</v>
      </c>
      <c r="C163" s="497">
        <f>'General Inputs'!$D$31</f>
        <v>3.4499999999999996E-2</v>
      </c>
      <c r="D163" s="358"/>
      <c r="F163" s="464"/>
      <c r="G163" s="465"/>
      <c r="H163" s="465"/>
    </row>
    <row r="164" spans="2:38" ht="13">
      <c r="B164" s="364" t="s">
        <v>714</v>
      </c>
      <c r="C164" s="497">
        <f>'General Inputs'!$D$32</f>
        <v>3.4499999999999996E-2</v>
      </c>
      <c r="D164" s="358"/>
      <c r="F164" s="464"/>
      <c r="G164" s="465"/>
      <c r="H164" s="465"/>
    </row>
    <row r="165" spans="2:38" ht="13">
      <c r="B165" s="364" t="s">
        <v>767</v>
      </c>
      <c r="C165" s="497">
        <f>'General Inputs'!$D$32</f>
        <v>3.4499999999999996E-2</v>
      </c>
      <c r="D165" s="358"/>
      <c r="F165" s="464"/>
      <c r="G165" s="465"/>
      <c r="H165" s="465"/>
    </row>
    <row r="166" spans="2:38">
      <c r="B166" s="385" t="s">
        <v>500</v>
      </c>
      <c r="C166" s="386" t="s">
        <v>479</v>
      </c>
      <c r="D166" s="383">
        <f>D159*$C163</f>
        <v>116.54481754054885</v>
      </c>
      <c r="E166" s="383">
        <f t="shared" ref="E166:AK168" si="69">E159*$C163</f>
        <v>121.25478467245841</v>
      </c>
      <c r="F166" s="383">
        <f t="shared" si="69"/>
        <v>126.15509738001697</v>
      </c>
      <c r="G166" s="383">
        <f t="shared" si="69"/>
        <v>131.25344816662317</v>
      </c>
      <c r="H166" s="383">
        <f t="shared" si="69"/>
        <v>136.55784041554926</v>
      </c>
      <c r="I166" s="383">
        <f t="shared" si="69"/>
        <v>142.07660095364014</v>
      </c>
      <c r="J166" s="383">
        <f t="shared" si="69"/>
        <v>147.8183931227536</v>
      </c>
      <c r="K166" s="383">
        <f t="shared" si="69"/>
        <v>153.79223037946056</v>
      </c>
      <c r="L166" s="383">
        <f t="shared" si="69"/>
        <v>160.00749044435619</v>
      </c>
      <c r="M166" s="383">
        <f t="shared" si="69"/>
        <v>166.47393002319072</v>
      </c>
      <c r="N166" s="383">
        <f t="shared" si="69"/>
        <v>173.20170012293141</v>
      </c>
      <c r="O166" s="383">
        <f t="shared" si="69"/>
        <v>180.20136198679791</v>
      </c>
      <c r="P166" s="383">
        <f t="shared" si="69"/>
        <v>187.48390367328562</v>
      </c>
      <c r="Q166" s="383">
        <f t="shared" si="69"/>
        <v>195.06075730520323</v>
      </c>
      <c r="R166" s="383">
        <f t="shared" si="69"/>
        <v>202.94381701580113</v>
      </c>
      <c r="S166" s="383">
        <f t="shared" si="69"/>
        <v>211.14545762016459</v>
      </c>
      <c r="T166" s="383">
        <f t="shared" si="69"/>
        <v>219.6785540411785</v>
      </c>
      <c r="U166" s="383">
        <f t="shared" si="69"/>
        <v>228.55650152056231</v>
      </c>
      <c r="V166" s="383">
        <f t="shared" si="69"/>
        <v>237.7932366467</v>
      </c>
      <c r="W166" s="383">
        <f t="shared" si="69"/>
        <v>247.40325923227468</v>
      </c>
      <c r="X166" s="383">
        <f t="shared" si="69"/>
        <v>257.4016550760528</v>
      </c>
      <c r="Y166" s="383">
        <f t="shared" si="69"/>
        <v>267.80411964454828</v>
      </c>
      <c r="Z166" s="383">
        <f t="shared" si="69"/>
        <v>278.62698271074117</v>
      </c>
      <c r="AA166" s="383">
        <f t="shared" si="69"/>
        <v>289.88723398853091</v>
      </c>
      <c r="AB166" s="383">
        <f t="shared" si="69"/>
        <v>301.6025498031625</v>
      </c>
      <c r="AC166" s="383">
        <f t="shared" si="69"/>
        <v>313.79132083949582</v>
      </c>
      <c r="AD166" s="383">
        <f t="shared" si="69"/>
        <v>326.47268101167424</v>
      </c>
      <c r="AE166" s="383">
        <f t="shared" si="69"/>
        <v>339.66653749951331</v>
      </c>
      <c r="AF166" s="383">
        <f t="shared" si="69"/>
        <v>353.39360199876148</v>
      </c>
      <c r="AG166" s="383">
        <f t="shared" si="69"/>
        <v>367.6754232342891</v>
      </c>
      <c r="AH166" s="383">
        <f t="shared" si="69"/>
        <v>382.53442078724265</v>
      </c>
      <c r="AI166" s="383">
        <f t="shared" si="69"/>
        <v>397.99392028926991</v>
      </c>
      <c r="AJ166" s="383">
        <f t="shared" si="69"/>
        <v>414.0781900390603</v>
      </c>
      <c r="AK166" s="383">
        <f t="shared" si="69"/>
        <v>430.8124790986833</v>
      </c>
      <c r="AL166" s="383">
        <f t="shared" ref="AL166" si="70">AL159*$C163</f>
        <v>448.22305692952744</v>
      </c>
    </row>
    <row r="167" spans="2:38">
      <c r="B167" s="385" t="s">
        <v>501</v>
      </c>
      <c r="C167" s="386" t="s">
        <v>479</v>
      </c>
      <c r="D167" s="383">
        <f t="shared" ref="D167:S168" si="71">D160*$C164</f>
        <v>0.58565234944999423</v>
      </c>
      <c r="E167" s="383">
        <f t="shared" si="71"/>
        <v>0.60932052599225339</v>
      </c>
      <c r="F167" s="383">
        <f t="shared" si="71"/>
        <v>0.63394521296490947</v>
      </c>
      <c r="G167" s="383">
        <f t="shared" si="71"/>
        <v>0.6595650661639354</v>
      </c>
      <c r="H167" s="383">
        <f t="shared" si="71"/>
        <v>0.68622030359572483</v>
      </c>
      <c r="I167" s="383">
        <f t="shared" si="71"/>
        <v>0.71395276861125689</v>
      </c>
      <c r="J167" s="383">
        <f t="shared" si="71"/>
        <v>0.74280599559172644</v>
      </c>
      <c r="K167" s="383">
        <f t="shared" si="71"/>
        <v>0.77282527828874659</v>
      </c>
      <c r="L167" s="383">
        <f t="shared" si="71"/>
        <v>0.80405774092641302</v>
      </c>
      <c r="M167" s="383">
        <f t="shared" si="71"/>
        <v>0.83655241217683773</v>
      </c>
      <c r="N167" s="383">
        <f t="shared" si="71"/>
        <v>0.87036030212528359</v>
      </c>
      <c r="O167" s="383">
        <f t="shared" si="71"/>
        <v>0.90553448234571821</v>
      </c>
      <c r="P167" s="383">
        <f t="shared" si="71"/>
        <v>0.94213016921249071</v>
      </c>
      <c r="Q167" s="383">
        <f t="shared" si="71"/>
        <v>0.98020481057891062</v>
      </c>
      <c r="R167" s="383">
        <f t="shared" si="71"/>
        <v>1.0198181759587996</v>
      </c>
      <c r="S167" s="383">
        <f t="shared" si="71"/>
        <v>1.0610324503525859</v>
      </c>
      <c r="T167" s="383">
        <f t="shared" si="69"/>
        <v>1.1039123318652186</v>
      </c>
      <c r="U167" s="383">
        <f t="shared" si="69"/>
        <v>1.1485251332691573</v>
      </c>
      <c r="V167" s="383">
        <f t="shared" si="69"/>
        <v>1.1949408876718592</v>
      </c>
      <c r="W167" s="383">
        <f t="shared" si="69"/>
        <v>1.2432324584536416</v>
      </c>
      <c r="X167" s="383">
        <f t="shared" si="69"/>
        <v>1.2934756536485066</v>
      </c>
      <c r="Y167" s="383">
        <f t="shared" si="69"/>
        <v>1.3457493449474787</v>
      </c>
      <c r="Z167" s="383">
        <f t="shared" si="69"/>
        <v>1.4001355915112623</v>
      </c>
      <c r="AA167" s="383">
        <f t="shared" si="69"/>
        <v>1.4567197687865872</v>
      </c>
      <c r="AB167" s="383">
        <f t="shared" si="69"/>
        <v>1.5155907025284547</v>
      </c>
      <c r="AC167" s="383">
        <f t="shared" si="69"/>
        <v>1.5768408082386727</v>
      </c>
      <c r="AD167" s="383">
        <f t="shared" si="69"/>
        <v>1.640566236239569</v>
      </c>
      <c r="AE167" s="383">
        <f t="shared" si="69"/>
        <v>1.7068670226106197</v>
      </c>
      <c r="AF167" s="383">
        <f t="shared" si="69"/>
        <v>1.775847246224932</v>
      </c>
      <c r="AG167" s="383">
        <f t="shared" si="69"/>
        <v>1.847615192132106</v>
      </c>
      <c r="AH167" s="383">
        <f t="shared" si="69"/>
        <v>1.9222835215439329</v>
      </c>
      <c r="AI167" s="383">
        <f t="shared" si="69"/>
        <v>1.9999694486897988</v>
      </c>
      <c r="AJ167" s="383">
        <f t="shared" si="69"/>
        <v>2.0807949248193989</v>
      </c>
      <c r="AK167" s="383">
        <f t="shared" si="69"/>
        <v>2.1648868296416248</v>
      </c>
      <c r="AL167" s="383">
        <f t="shared" ref="AL167" si="72">AL160*$C164</f>
        <v>2.2523771705001381</v>
      </c>
    </row>
    <row r="168" spans="2:38">
      <c r="B168" s="385" t="s">
        <v>768</v>
      </c>
      <c r="C168" s="386" t="s">
        <v>479</v>
      </c>
      <c r="D168" s="383">
        <f t="shared" si="71"/>
        <v>0</v>
      </c>
      <c r="E168" s="383">
        <f t="shared" si="69"/>
        <v>0</v>
      </c>
      <c r="F168" s="383">
        <f t="shared" si="69"/>
        <v>0</v>
      </c>
      <c r="G168" s="383">
        <f t="shared" si="69"/>
        <v>0</v>
      </c>
      <c r="H168" s="383">
        <f t="shared" si="69"/>
        <v>0</v>
      </c>
      <c r="I168" s="383">
        <f t="shared" si="69"/>
        <v>0</v>
      </c>
      <c r="J168" s="383">
        <f t="shared" si="69"/>
        <v>0</v>
      </c>
      <c r="K168" s="383">
        <f t="shared" si="69"/>
        <v>0</v>
      </c>
      <c r="L168" s="383">
        <f t="shared" si="69"/>
        <v>0</v>
      </c>
      <c r="M168" s="383">
        <f t="shared" si="69"/>
        <v>0</v>
      </c>
      <c r="N168" s="383">
        <f t="shared" si="69"/>
        <v>0</v>
      </c>
      <c r="O168" s="383">
        <f t="shared" si="69"/>
        <v>0</v>
      </c>
      <c r="P168" s="383">
        <f t="shared" si="69"/>
        <v>0</v>
      </c>
      <c r="Q168" s="383">
        <f t="shared" si="69"/>
        <v>0</v>
      </c>
      <c r="R168" s="383">
        <f t="shared" si="69"/>
        <v>0</v>
      </c>
      <c r="S168" s="383">
        <f t="shared" si="69"/>
        <v>0</v>
      </c>
      <c r="T168" s="383">
        <f t="shared" si="69"/>
        <v>0</v>
      </c>
      <c r="U168" s="383">
        <f t="shared" si="69"/>
        <v>0</v>
      </c>
      <c r="V168" s="383">
        <f t="shared" si="69"/>
        <v>0</v>
      </c>
      <c r="W168" s="383">
        <f t="shared" si="69"/>
        <v>0</v>
      </c>
      <c r="X168" s="383">
        <f t="shared" si="69"/>
        <v>0</v>
      </c>
      <c r="Y168" s="383">
        <f t="shared" si="69"/>
        <v>0</v>
      </c>
      <c r="Z168" s="383">
        <f t="shared" si="69"/>
        <v>0</v>
      </c>
      <c r="AA168" s="383">
        <f t="shared" si="69"/>
        <v>0</v>
      </c>
      <c r="AB168" s="383">
        <f t="shared" si="69"/>
        <v>0</v>
      </c>
      <c r="AC168" s="383">
        <f t="shared" si="69"/>
        <v>0</v>
      </c>
      <c r="AD168" s="383">
        <f t="shared" si="69"/>
        <v>0</v>
      </c>
      <c r="AE168" s="383">
        <f t="shared" si="69"/>
        <v>0</v>
      </c>
      <c r="AF168" s="383">
        <f t="shared" si="69"/>
        <v>0</v>
      </c>
      <c r="AG168" s="383">
        <f t="shared" si="69"/>
        <v>0</v>
      </c>
      <c r="AH168" s="383">
        <f t="shared" si="69"/>
        <v>0</v>
      </c>
      <c r="AI168" s="383">
        <f t="shared" si="69"/>
        <v>0</v>
      </c>
      <c r="AJ168" s="383">
        <f t="shared" si="69"/>
        <v>0</v>
      </c>
      <c r="AK168" s="383">
        <f t="shared" si="69"/>
        <v>0</v>
      </c>
      <c r="AL168" s="383">
        <f t="shared" ref="AL168" si="73">AL161*$C165</f>
        <v>0</v>
      </c>
    </row>
    <row r="169" spans="2:38">
      <c r="D169" s="358"/>
      <c r="F169" s="464"/>
      <c r="G169" s="465"/>
      <c r="H169" s="465"/>
    </row>
    <row r="170" spans="2:38">
      <c r="B170" s="358" t="s">
        <v>459</v>
      </c>
      <c r="C170" s="362" t="s">
        <v>292</v>
      </c>
      <c r="D170" s="485">
        <f>SUMPRODUCT($C$153:$C$155,D166:D168)</f>
        <v>1251.323716062333</v>
      </c>
      <c r="E170" s="485">
        <f t="shared" ref="E170:AK170" si="74">SUMPRODUCT($C$153:$C$155,E166:E168)</f>
        <v>1301.893906126614</v>
      </c>
      <c r="F170" s="485">
        <f t="shared" si="74"/>
        <v>1354.5078072548749</v>
      </c>
      <c r="G170" s="485">
        <f t="shared" si="74"/>
        <v>1409.2480126686912</v>
      </c>
      <c r="H170" s="485">
        <f t="shared" si="74"/>
        <v>1466.2004534588541</v>
      </c>
      <c r="I170" s="485">
        <f t="shared" si="74"/>
        <v>1525.454533479867</v>
      </c>
      <c r="J170" s="485">
        <f t="shared" si="74"/>
        <v>1587.103269695983</v>
      </c>
      <c r="K170" s="485">
        <f t="shared" si="74"/>
        <v>1651.2434381990859</v>
      </c>
      <c r="L170" s="485">
        <f t="shared" si="74"/>
        <v>1717.9757261276595</v>
      </c>
      <c r="M170" s="485">
        <f t="shared" si="74"/>
        <v>1787.4048897252987</v>
      </c>
      <c r="N170" s="485">
        <f t="shared" si="74"/>
        <v>1859.6399187869001</v>
      </c>
      <c r="O170" s="485">
        <f t="shared" si="74"/>
        <v>1934.7942077506782</v>
      </c>
      <c r="P170" s="485">
        <f t="shared" si="74"/>
        <v>2012.9857337045808</v>
      </c>
      <c r="Q170" s="485">
        <f t="shared" si="74"/>
        <v>2094.3372415865401</v>
      </c>
      <c r="R170" s="485">
        <f t="shared" si="74"/>
        <v>2178.9764368692872</v>
      </c>
      <c r="S170" s="485">
        <f t="shared" si="74"/>
        <v>2267.0361860322141</v>
      </c>
      <c r="T170" s="485">
        <f t="shared" si="74"/>
        <v>2358.6547251349616</v>
      </c>
      <c r="U170" s="485">
        <f t="shared" si="74"/>
        <v>2453.97587682018</v>
      </c>
      <c r="V170" s="485">
        <f t="shared" si="74"/>
        <v>2553.1492760860951</v>
      </c>
      <c r="W170" s="485">
        <f t="shared" si="74"/>
        <v>2656.3306051832933</v>
      </c>
      <c r="X170" s="485">
        <f t="shared" si="74"/>
        <v>2763.6818380044833</v>
      </c>
      <c r="Y170" s="485">
        <f t="shared" si="74"/>
        <v>2875.371494350873</v>
      </c>
      <c r="Z170" s="485">
        <f t="shared" si="74"/>
        <v>2991.5749044742815</v>
      </c>
      <c r="AA170" s="485">
        <f t="shared" si="74"/>
        <v>3112.4744843103144</v>
      </c>
      <c r="AB170" s="485">
        <f t="shared" si="74"/>
        <v>3238.2600218346079</v>
      </c>
      <c r="AC170" s="485">
        <f t="shared" si="74"/>
        <v>3369.1289749917137</v>
      </c>
      <c r="AD170" s="485">
        <f t="shared" si="74"/>
        <v>3505.2867816642765</v>
      </c>
      <c r="AE170" s="485">
        <f t="shared" si="74"/>
        <v>3646.9471821691018</v>
      </c>
      <c r="AF170" s="485">
        <f t="shared" si="74"/>
        <v>3794.3325547863806</v>
      </c>
      <c r="AG170" s="485">
        <f t="shared" si="74"/>
        <v>3947.6742648487821</v>
      </c>
      <c r="AH170" s="485">
        <f t="shared" si="74"/>
        <v>4107.2130279383882</v>
      </c>
      <c r="AI170" s="485">
        <f t="shared" si="74"/>
        <v>4273.1992877616522</v>
      </c>
      <c r="AJ170" s="485">
        <f t="shared" si="74"/>
        <v>4445.8936092955473</v>
      </c>
      <c r="AK170" s="485">
        <f t="shared" si="74"/>
        <v>4625.5670878220644</v>
      </c>
      <c r="AL170" s="485">
        <f t="shared" ref="AL170" si="75">SUMPRODUCT($C$153:$C$155,AL166:AL168)</f>
        <v>4812.5017744931765</v>
      </c>
    </row>
    <row r="171" spans="2:38">
      <c r="D171" s="358"/>
      <c r="F171" s="464"/>
      <c r="G171" s="465"/>
      <c r="H171" s="465"/>
    </row>
    <row r="172" spans="2:38">
      <c r="B172" s="1177" t="s">
        <v>715</v>
      </c>
      <c r="C172" s="358" t="s">
        <v>295</v>
      </c>
      <c r="D172" s="383">
        <f>'400 North'!D32</f>
        <v>1207.674558572354</v>
      </c>
      <c r="E172" s="383">
        <f>'400 North'!E32</f>
        <v>1256.4807397218517</v>
      </c>
      <c r="F172" s="383">
        <f>'400 North'!F32</f>
        <v>1307.259342416118</v>
      </c>
      <c r="G172" s="383">
        <f>'400 North'!G32</f>
        <v>1360.0900788280517</v>
      </c>
      <c r="H172" s="383">
        <f>'400 North'!H32</f>
        <v>1415.0558825669236</v>
      </c>
      <c r="I172" s="383">
        <f>'400 North'!I32</f>
        <v>1472.2430388674304</v>
      </c>
      <c r="J172" s="383">
        <f>'400 North'!J32</f>
        <v>1531.7413200401279</v>
      </c>
      <c r="K172" s="383">
        <f>'400 North'!K32</f>
        <v>1593.6441263958598</v>
      </c>
      <c r="L172" s="383">
        <f>'400 North'!L32</f>
        <v>1658.0486328654301</v>
      </c>
      <c r="M172" s="383">
        <f>'400 North'!M32</f>
        <v>1725.0559415446576</v>
      </c>
      <c r="N172" s="383">
        <f>'400 North'!N32</f>
        <v>1794.7712404042895</v>
      </c>
      <c r="O172" s="383">
        <f>'400 North'!O32</f>
        <v>1867.3039684139205</v>
      </c>
      <c r="P172" s="383">
        <f>'400 North'!P32</f>
        <v>1942.7679873391191</v>
      </c>
      <c r="Q172" s="383">
        <f>'400 North'!Q32</f>
        <v>2021.2817604814538</v>
      </c>
      <c r="R172" s="383">
        <f>'400 North'!R32</f>
        <v>2102.9685386419974</v>
      </c>
      <c r="S172" s="383">
        <f>'400 North'!S32</f>
        <v>2187.9565536002565</v>
      </c>
      <c r="T172" s="383">
        <f>'400 North'!T32</f>
        <v>2276.379219412212</v>
      </c>
      <c r="U172" s="383">
        <f>'400 North'!U32</f>
        <v>2368.3753418435081</v>
      </c>
      <c r="V172" s="383">
        <f>'400 North'!V32</f>
        <v>2464.0893362665292</v>
      </c>
      <c r="W172" s="383">
        <f>'400 North'!W32</f>
        <v>2563.6714543634262</v>
      </c>
      <c r="X172" s="383">
        <f>'400 North'!X32</f>
        <v>2667.2780199909821</v>
      </c>
      <c r="Y172" s="383">
        <f>'400 North'!Y32</f>
        <v>2775.0716745775653</v>
      </c>
      <c r="Z172" s="383">
        <f>'400 North'!Z32</f>
        <v>2887.2216324373908</v>
      </c>
      <c r="AA172" s="383">
        <f>'400 North'!AA32</f>
        <v>3003.9039464028929</v>
      </c>
      <c r="AB172" s="383">
        <f>'400 North'!AB32</f>
        <v>3125.3017841921915</v>
      </c>
      <c r="AC172" s="383">
        <f>'400 North'!AC32</f>
        <v>3251.6057159455004</v>
      </c>
      <c r="AD172" s="383">
        <f>'400 North'!AD32</f>
        <v>3383.0140133818422</v>
      </c>
      <c r="AE172" s="383">
        <f>'400 North'!AE32</f>
        <v>3519.7329610456813</v>
      </c>
      <c r="AF172" s="383">
        <f>'400 North'!AF32</f>
        <v>3661.977180132094</v>
      </c>
      <c r="AG172" s="383">
        <f>'400 North'!AG32</f>
        <v>3809.9699653987932</v>
      </c>
      <c r="AH172" s="383">
        <f>'400 North'!AH32</f>
        <v>3963.9436356938918</v>
      </c>
      <c r="AI172" s="383">
        <f>'400 North'!AI32</f>
        <v>4124.1398986496815</v>
      </c>
      <c r="AJ172" s="383">
        <f>'400 North'!AJ32</f>
        <v>4290.8102301149011</v>
      </c>
      <c r="AK172" s="383">
        <f>'400 North'!AK32</f>
        <v>4464.2162689211391</v>
      </c>
      <c r="AL172" s="383">
        <f>'400 North'!AL32</f>
        <v>4644.6302276030747</v>
      </c>
    </row>
    <row r="173" spans="2:38">
      <c r="B173" s="1177" t="s">
        <v>716</v>
      </c>
      <c r="C173" s="358" t="s">
        <v>295</v>
      </c>
      <c r="D173" s="383">
        <f>'400 North'!D33</f>
        <v>14.259361551825947</v>
      </c>
      <c r="E173" s="383">
        <f>'400 North'!E33</f>
        <v>14.835630198072257</v>
      </c>
      <c r="F173" s="383">
        <f>'400 North'!F33</f>
        <v>15.435187793928231</v>
      </c>
      <c r="G173" s="383">
        <f>'400 North'!G33</f>
        <v>16.058975523991474</v>
      </c>
      <c r="H173" s="383">
        <f>'400 North'!H33</f>
        <v>16.707972609287214</v>
      </c>
      <c r="I173" s="383">
        <f>'400 North'!I33</f>
        <v>17.383197844447995</v>
      </c>
      <c r="J173" s="383">
        <f>'400 North'!J33</f>
        <v>18.08571119701595</v>
      </c>
      <c r="K173" s="383">
        <f>'400 North'!K33</f>
        <v>18.816615471378178</v>
      </c>
      <c r="L173" s="383">
        <f>'400 North'!L33</f>
        <v>19.577058039947449</v>
      </c>
      <c r="M173" s="383">
        <f>'400 North'!M33</f>
        <v>20.368232644305618</v>
      </c>
      <c r="N173" s="383">
        <f>'400 North'!N33</f>
        <v>21.191381269137342</v>
      </c>
      <c r="O173" s="383">
        <f>'400 North'!O33</f>
        <v>22.047796091895748</v>
      </c>
      <c r="P173" s="383">
        <f>'400 North'!P33</f>
        <v>22.938821511260645</v>
      </c>
      <c r="Q173" s="383">
        <f>'400 North'!Q33</f>
        <v>23.86585625757348</v>
      </c>
      <c r="R173" s="383">
        <f>'400 North'!R33</f>
        <v>24.830355588562082</v>
      </c>
      <c r="S173" s="383">
        <f>'400 North'!S33</f>
        <v>25.833833573802096</v>
      </c>
      <c r="T173" s="383">
        <f>'400 North'!T33</f>
        <v>26.877865471500979</v>
      </c>
      <c r="U173" s="383">
        <f>'400 North'!U33</f>
        <v>27.964090201336006</v>
      </c>
      <c r="V173" s="383">
        <f>'400 North'!V33</f>
        <v>29.094212917227882</v>
      </c>
      <c r="W173" s="383">
        <f>'400 North'!W33</f>
        <v>30.270007684088664</v>
      </c>
      <c r="X173" s="383">
        <f>'400 North'!X33</f>
        <v>31.493320262746249</v>
      </c>
      <c r="Y173" s="383">
        <f>'400 North'!Y33</f>
        <v>32.766071007416876</v>
      </c>
      <c r="Z173" s="383">
        <f>'400 North'!Z33</f>
        <v>34.090257880274216</v>
      </c>
      <c r="AA173" s="383">
        <f>'400 North'!AA33</f>
        <v>35.467959587847346</v>
      </c>
      <c r="AB173" s="383">
        <f>'400 North'!AB33</f>
        <v>36.901338844171072</v>
      </c>
      <c r="AC173" s="383">
        <f>'400 North'!AC33</f>
        <v>38.39264576581116</v>
      </c>
      <c r="AD173" s="383">
        <f>'400 North'!AD33</f>
        <v>39.944221404093859</v>
      </c>
      <c r="AE173" s="383">
        <f>'400 North'!AE33</f>
        <v>41.55850142008466</v>
      </c>
      <c r="AF173" s="383">
        <f>'400 North'!AF33</f>
        <v>43.238019908085306</v>
      </c>
      <c r="AG173" s="383">
        <f>'400 North'!AG33</f>
        <v>44.985413373651284</v>
      </c>
      <c r="AH173" s="383">
        <f>'400 North'!AH33</f>
        <v>46.803424872374023</v>
      </c>
      <c r="AI173" s="383">
        <f>'400 North'!AI33</f>
        <v>48.694908315925538</v>
      </c>
      <c r="AJ173" s="383">
        <f>'400 North'!AJ33</f>
        <v>50.662832952124496</v>
      </c>
      <c r="AK173" s="383">
        <f>'400 North'!AK33</f>
        <v>52.710288026056951</v>
      </c>
      <c r="AL173" s="383">
        <f>'400 North'!AL33</f>
        <v>54.840487629568578</v>
      </c>
    </row>
    <row r="174" spans="2:38">
      <c r="D174" s="358"/>
      <c r="F174" s="464"/>
      <c r="G174" s="465"/>
      <c r="H174" s="465"/>
    </row>
    <row r="175" spans="2:38">
      <c r="B175" s="358" t="s">
        <v>208</v>
      </c>
      <c r="C175" s="362" t="s">
        <v>292</v>
      </c>
      <c r="D175" s="485">
        <f>SUMPRODUCT(D172:D173,D$150:D$151)</f>
        <v>2580.7321528954126</v>
      </c>
      <c r="E175" s="485">
        <f t="shared" ref="E175:AK175" si="76">SUMPRODUCT(E172:E173,E$150:E$151)</f>
        <v>2692.2346467187472</v>
      </c>
      <c r="F175" s="485">
        <f t="shared" si="76"/>
        <v>2793.4742634617401</v>
      </c>
      <c r="G175" s="485">
        <f t="shared" si="76"/>
        <v>2866.039979285667</v>
      </c>
      <c r="H175" s="485">
        <f t="shared" si="76"/>
        <v>3029.1438463388763</v>
      </c>
      <c r="I175" s="485">
        <f t="shared" si="76"/>
        <v>3190.3621786453582</v>
      </c>
      <c r="J175" s="485">
        <f t="shared" si="76"/>
        <v>3373.9653590301541</v>
      </c>
      <c r="K175" s="485">
        <f t="shared" si="76"/>
        <v>3538.0483359630975</v>
      </c>
      <c r="L175" s="485">
        <f t="shared" si="76"/>
        <v>3745.6868955119376</v>
      </c>
      <c r="M175" s="485">
        <f t="shared" si="76"/>
        <v>4049.1147620100287</v>
      </c>
      <c r="N175" s="485">
        <f t="shared" si="76"/>
        <v>4253.8531951472405</v>
      </c>
      <c r="O175" s="485">
        <f t="shared" si="76"/>
        <v>4478.1724915889736</v>
      </c>
      <c r="P175" s="485">
        <f t="shared" si="76"/>
        <v>4763.8311441547439</v>
      </c>
      <c r="Q175" s="485">
        <f t="shared" si="76"/>
        <v>5055.7576313782092</v>
      </c>
      <c r="R175" s="485">
        <f t="shared" si="76"/>
        <v>5330.6769841274618</v>
      </c>
      <c r="S175" s="485">
        <f t="shared" si="76"/>
        <v>5629.7081715731783</v>
      </c>
      <c r="T175" s="485">
        <f t="shared" si="76"/>
        <v>5884.4553145867567</v>
      </c>
      <c r="U175" s="485">
        <f t="shared" si="76"/>
        <v>6206.5979177370618</v>
      </c>
      <c r="V175" s="485">
        <f t="shared" si="76"/>
        <v>6564.1696136673681</v>
      </c>
      <c r="W175" s="485">
        <f t="shared" si="76"/>
        <v>6863.3736600930197</v>
      </c>
      <c r="X175" s="485">
        <f t="shared" si="76"/>
        <v>7206.3518579746815</v>
      </c>
      <c r="Y175" s="485">
        <f t="shared" si="76"/>
        <v>7638.4402072061948</v>
      </c>
      <c r="Z175" s="485">
        <f t="shared" si="76"/>
        <v>8028.2421821591697</v>
      </c>
      <c r="AA175" s="485">
        <f t="shared" si="76"/>
        <v>8435.4847528339724</v>
      </c>
      <c r="AB175" s="485">
        <f t="shared" si="76"/>
        <v>8914.1014000850646</v>
      </c>
      <c r="AC175" s="485">
        <f t="shared" si="76"/>
        <v>9314.1825753135963</v>
      </c>
      <c r="AD175" s="485">
        <f t="shared" si="76"/>
        <v>9890.491293429388</v>
      </c>
      <c r="AE175" s="485">
        <f t="shared" si="76"/>
        <v>10433.238881293735</v>
      </c>
      <c r="AF175" s="485">
        <f t="shared" si="76"/>
        <v>10969.892657626344</v>
      </c>
      <c r="AG175" s="485">
        <f t="shared" si="76"/>
        <v>11516.400222798702</v>
      </c>
      <c r="AH175" s="485">
        <f t="shared" si="76"/>
        <v>12105.154009946293</v>
      </c>
      <c r="AI175" s="485">
        <f t="shared" si="76"/>
        <v>12723.551487907391</v>
      </c>
      <c r="AJ175" s="485">
        <f t="shared" si="76"/>
        <v>13373.070564010306</v>
      </c>
      <c r="AK175" s="485">
        <f t="shared" si="76"/>
        <v>14055.262349030012</v>
      </c>
      <c r="AL175" s="485">
        <f t="shared" ref="AL175" si="77">SUMPRODUCT(AL172:AL173,AL$150:AL$151)</f>
        <v>14771.754767292334</v>
      </c>
    </row>
    <row r="177" spans="1:38" ht="13">
      <c r="B177" s="364" t="s">
        <v>527</v>
      </c>
      <c r="C177" s="387" t="s">
        <v>292</v>
      </c>
      <c r="D177" s="488">
        <f>D170+D175</f>
        <v>3832.0558689577456</v>
      </c>
      <c r="E177" s="488">
        <f t="shared" ref="E177:AK177" si="78">E170+E175</f>
        <v>3994.1285528453609</v>
      </c>
      <c r="F177" s="488">
        <f t="shared" si="78"/>
        <v>4147.9820707166145</v>
      </c>
      <c r="G177" s="488">
        <f t="shared" si="78"/>
        <v>4275.2879919543584</v>
      </c>
      <c r="H177" s="488">
        <f t="shared" si="78"/>
        <v>4495.3442997977309</v>
      </c>
      <c r="I177" s="488">
        <f t="shared" si="78"/>
        <v>4715.8167121252254</v>
      </c>
      <c r="J177" s="488">
        <f t="shared" si="78"/>
        <v>4961.0686287261369</v>
      </c>
      <c r="K177" s="488">
        <f t="shared" si="78"/>
        <v>5189.2917741621832</v>
      </c>
      <c r="L177" s="488">
        <f t="shared" si="78"/>
        <v>5463.6626216395971</v>
      </c>
      <c r="M177" s="488">
        <f t="shared" si="78"/>
        <v>5836.519651735327</v>
      </c>
      <c r="N177" s="488">
        <f t="shared" si="78"/>
        <v>6113.4931139341406</v>
      </c>
      <c r="O177" s="488">
        <f t="shared" si="78"/>
        <v>6412.9666993396513</v>
      </c>
      <c r="P177" s="488">
        <f t="shared" si="78"/>
        <v>6776.8168778593244</v>
      </c>
      <c r="Q177" s="488">
        <f t="shared" si="78"/>
        <v>7150.0948729647498</v>
      </c>
      <c r="R177" s="488">
        <f t="shared" si="78"/>
        <v>7509.6534209967485</v>
      </c>
      <c r="S177" s="488">
        <f t="shared" si="78"/>
        <v>7896.744357605392</v>
      </c>
      <c r="T177" s="488">
        <f t="shared" si="78"/>
        <v>8243.1100397217178</v>
      </c>
      <c r="U177" s="488">
        <f t="shared" si="78"/>
        <v>8660.5737945572419</v>
      </c>
      <c r="V177" s="488">
        <f t="shared" si="78"/>
        <v>9117.3188897534637</v>
      </c>
      <c r="W177" s="488">
        <f t="shared" si="78"/>
        <v>9519.7042652763121</v>
      </c>
      <c r="X177" s="488">
        <f t="shared" si="78"/>
        <v>9970.0336959791639</v>
      </c>
      <c r="Y177" s="488">
        <f t="shared" si="78"/>
        <v>10513.811701557068</v>
      </c>
      <c r="Z177" s="488">
        <f t="shared" si="78"/>
        <v>11019.817086633451</v>
      </c>
      <c r="AA177" s="488">
        <f t="shared" si="78"/>
        <v>11547.959237144287</v>
      </c>
      <c r="AB177" s="488">
        <f t="shared" si="78"/>
        <v>12152.361421919672</v>
      </c>
      <c r="AC177" s="488">
        <f t="shared" si="78"/>
        <v>12683.31155030531</v>
      </c>
      <c r="AD177" s="488">
        <f t="shared" si="78"/>
        <v>13395.778075093665</v>
      </c>
      <c r="AE177" s="488">
        <f t="shared" si="78"/>
        <v>14080.186063462837</v>
      </c>
      <c r="AF177" s="488">
        <f t="shared" si="78"/>
        <v>14764.225212412724</v>
      </c>
      <c r="AG177" s="488">
        <f t="shared" si="78"/>
        <v>15464.074487647484</v>
      </c>
      <c r="AH177" s="488">
        <f t="shared" si="78"/>
        <v>16212.36703788468</v>
      </c>
      <c r="AI177" s="488">
        <f t="shared" si="78"/>
        <v>16996.750775669043</v>
      </c>
      <c r="AJ177" s="488">
        <f t="shared" si="78"/>
        <v>17818.964173305852</v>
      </c>
      <c r="AK177" s="488">
        <f t="shared" si="78"/>
        <v>18680.829436852076</v>
      </c>
      <c r="AL177" s="488">
        <f t="shared" ref="AL177" si="79">AL170+AL175</f>
        <v>19584.256541785511</v>
      </c>
    </row>
    <row r="178" spans="1:38">
      <c r="D178" s="358"/>
      <c r="F178" s="464"/>
      <c r="G178" s="465"/>
      <c r="H178" s="465"/>
    </row>
    <row r="179" spans="1:38" ht="13">
      <c r="A179" s="452"/>
      <c r="B179" s="495" t="s">
        <v>623</v>
      </c>
      <c r="C179" s="453"/>
      <c r="D179" s="454"/>
      <c r="E179" s="379"/>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row>
    <row r="180" spans="1:38">
      <c r="D180" s="358"/>
      <c r="F180" s="464"/>
      <c r="G180" s="465"/>
      <c r="H180" s="465"/>
    </row>
    <row r="181" spans="1:38">
      <c r="B181" s="385" t="s">
        <v>508</v>
      </c>
      <c r="C181" s="386" t="s">
        <v>443</v>
      </c>
      <c r="D181" s="383">
        <f>'400 North'!D48</f>
        <v>3378.1106533492425</v>
      </c>
      <c r="E181" s="383">
        <f>'400 North'!E48</f>
        <v>3514.6314397814035</v>
      </c>
      <c r="F181" s="383">
        <f>'400 North'!F48</f>
        <v>3656.6694892758546</v>
      </c>
      <c r="G181" s="383">
        <f>'400 North'!G48</f>
        <v>3804.4477729455994</v>
      </c>
      <c r="H181" s="383">
        <f>'400 North'!H48</f>
        <v>2968.6487046858538</v>
      </c>
      <c r="I181" s="383">
        <f>'400 North'!I48</f>
        <v>3088.6217598617422</v>
      </c>
      <c r="J181" s="383">
        <f>'400 North'!J48</f>
        <v>3213.4433287555121</v>
      </c>
      <c r="K181" s="383">
        <f>'400 North'!K48</f>
        <v>3343.3093560752309</v>
      </c>
      <c r="L181" s="383">
        <f>'400 North'!L48</f>
        <v>3478.4237053120919</v>
      </c>
      <c r="M181" s="383">
        <f>'400 North'!M48</f>
        <v>3618.9984787650169</v>
      </c>
      <c r="N181" s="383">
        <f>'400 North'!N48</f>
        <v>3765.2543504985092</v>
      </c>
      <c r="O181" s="383">
        <f>'400 North'!O48</f>
        <v>3917.4209127564768</v>
      </c>
      <c r="P181" s="383">
        <f>'400 North'!P48</f>
        <v>4075.7370363757755</v>
      </c>
      <c r="Q181" s="383">
        <f>'400 North'!Q48</f>
        <v>4240.4512457652891</v>
      </c>
      <c r="R181" s="383">
        <f>'400 North'!R48</f>
        <v>4411.8221090391544</v>
      </c>
      <c r="S181" s="383">
        <f>'400 North'!S48</f>
        <v>4590.1186439166231</v>
      </c>
      <c r="T181" s="383">
        <f>'400 North'!T48</f>
        <v>4775.6207400256217</v>
      </c>
      <c r="U181" s="383">
        <f>'400 North'!U48</f>
        <v>4968.619598273096</v>
      </c>
      <c r="V181" s="383">
        <f>'400 North'!V48</f>
        <v>5169.4181879717389</v>
      </c>
      <c r="W181" s="383">
        <f>'400 North'!W48</f>
        <v>5378.3317224407519</v>
      </c>
      <c r="X181" s="383">
        <f>'400 North'!X48</f>
        <v>5595.6881538272355</v>
      </c>
      <c r="Y181" s="383">
        <f>'400 North'!Y48</f>
        <v>5821.8286879249636</v>
      </c>
      <c r="Z181" s="383">
        <f>'400 North'!Z48</f>
        <v>6057.1083197987218</v>
      </c>
      <c r="AA181" s="383">
        <f>'400 North'!AA48</f>
        <v>6301.8963910550183</v>
      </c>
      <c r="AB181" s="383">
        <f>'400 North'!AB48</f>
        <v>6556.577169633968</v>
      </c>
      <c r="AC181" s="383">
        <f>'400 North'!AC48</f>
        <v>6821.5504530325188</v>
      </c>
      <c r="AD181" s="383">
        <f>'400 North'!AD48</f>
        <v>7097.2321959059636</v>
      </c>
      <c r="AE181" s="383">
        <f>'400 North'!AE48</f>
        <v>7384.0551630328973</v>
      </c>
      <c r="AF181" s="383">
        <f>'400 North'!AF48</f>
        <v>7682.4696086687291</v>
      </c>
      <c r="AG181" s="383">
        <f>'400 North'!AG48</f>
        <v>7992.9439833541119</v>
      </c>
      <c r="AH181" s="383">
        <f>'400 North'!AH48</f>
        <v>8315.9656692878834</v>
      </c>
      <c r="AI181" s="383">
        <f>'400 North'!AI48</f>
        <v>8652.0417454189137</v>
      </c>
      <c r="AJ181" s="383">
        <f>'400 North'!AJ48</f>
        <v>9001.6997834578342</v>
      </c>
      <c r="AK181" s="383">
        <f>'400 North'!AK48</f>
        <v>9365.488676058334</v>
      </c>
      <c r="AL181" s="383">
        <f>'400 North'!AL48</f>
        <v>9743.9794984679902</v>
      </c>
    </row>
    <row r="182" spans="1:38">
      <c r="B182" s="385" t="s">
        <v>509</v>
      </c>
      <c r="C182" s="386" t="s">
        <v>443</v>
      </c>
      <c r="D182" s="383">
        <f>'400 North'!D49</f>
        <v>16.975430418840414</v>
      </c>
      <c r="E182" s="383">
        <f>'400 North'!E49</f>
        <v>17.661464521514592</v>
      </c>
      <c r="F182" s="383">
        <f>'400 North'!F49</f>
        <v>18.375223564200276</v>
      </c>
      <c r="G182" s="383">
        <f>'400 North'!G49</f>
        <v>19.117828004751754</v>
      </c>
      <c r="H182" s="383">
        <f>'400 North'!H49</f>
        <v>14.917832686863587</v>
      </c>
      <c r="I182" s="383">
        <f>'400 North'!I49</f>
        <v>15.520712361114283</v>
      </c>
      <c r="J182" s="383">
        <f>'400 North'!J49</f>
        <v>16.147956425907097</v>
      </c>
      <c r="K182" s="383">
        <f>'400 North'!K49</f>
        <v>16.800549528016237</v>
      </c>
      <c r="L182" s="383">
        <f>'400 North'!L49</f>
        <v>17.47951610709594</v>
      </c>
      <c r="M182" s="383">
        <f>'400 North'!M49</f>
        <v>18.185922003844304</v>
      </c>
      <c r="N182" s="383">
        <f>'400 North'!N49</f>
        <v>18.920876133158337</v>
      </c>
      <c r="O182" s="383">
        <f>'400 North'!O49</f>
        <v>19.685532224906918</v>
      </c>
      <c r="P182" s="383">
        <f>'400 North'!P49</f>
        <v>20.481090635054148</v>
      </c>
      <c r="Q182" s="383">
        <f>'400 North'!Q49</f>
        <v>21.308800229976328</v>
      </c>
      <c r="R182" s="383">
        <f>'400 North'!R49</f>
        <v>22.169960346930424</v>
      </c>
      <c r="S182" s="383">
        <f>'400 North'!S49</f>
        <v>23.065922833751873</v>
      </c>
      <c r="T182" s="383">
        <f>'400 North'!T49</f>
        <v>23.998094170983023</v>
      </c>
      <c r="U182" s="383">
        <f>'400 North'!U49</f>
        <v>24.967937679764301</v>
      </c>
      <c r="V182" s="383">
        <f>'400 North'!V49</f>
        <v>25.976975818953463</v>
      </c>
      <c r="W182" s="383">
        <f>'400 North'!W49</f>
        <v>27.026792575079156</v>
      </c>
      <c r="X182" s="383">
        <f>'400 North'!X49</f>
        <v>28.119035948880583</v>
      </c>
      <c r="Y182" s="383">
        <f>'400 North'!Y49</f>
        <v>29.255420542336502</v>
      </c>
      <c r="Z182" s="383">
        <f>'400 North'!Z49</f>
        <v>30.437730250244837</v>
      </c>
      <c r="AA182" s="383">
        <f>'400 North'!AA49</f>
        <v>31.667821060577982</v>
      </c>
      <c r="AB182" s="383">
        <f>'400 North'!AB49</f>
        <v>32.947623968009893</v>
      </c>
      <c r="AC182" s="383">
        <f>'400 North'!AC49</f>
        <v>34.279148005188539</v>
      </c>
      <c r="AD182" s="383">
        <f>'400 North'!AD49</f>
        <v>35.664483396512381</v>
      </c>
      <c r="AE182" s="383">
        <f>'400 North'!AE49</f>
        <v>37.105804839361298</v>
      </c>
      <c r="AF182" s="383">
        <f>'400 North'!AF49</f>
        <v>38.605374917933311</v>
      </c>
      <c r="AG182" s="383">
        <f>'400 North'!AG49</f>
        <v>40.165547655045792</v>
      </c>
      <c r="AH182" s="383">
        <f>'400 North'!AH49</f>
        <v>41.788772207476804</v>
      </c>
      <c r="AI182" s="383">
        <f>'400 North'!AI49</f>
        <v>43.477596710647802</v>
      </c>
      <c r="AJ182" s="383">
        <f>'400 North'!AJ49</f>
        <v>45.234672278682581</v>
      </c>
      <c r="AK182" s="383">
        <f>'400 North'!AK49</f>
        <v>47.062757166122282</v>
      </c>
      <c r="AL182" s="383">
        <f>'400 North'!AL49</f>
        <v>48.964721097829099</v>
      </c>
    </row>
    <row r="183" spans="1:38">
      <c r="B183" s="358" t="s">
        <v>769</v>
      </c>
      <c r="C183" s="358" t="s">
        <v>443</v>
      </c>
      <c r="D183" s="383">
        <f>'400 North'!D50</f>
        <v>0</v>
      </c>
      <c r="E183" s="383">
        <f>'400 North'!E50</f>
        <v>0</v>
      </c>
      <c r="F183" s="383">
        <f>'400 North'!F50</f>
        <v>0</v>
      </c>
      <c r="G183" s="383">
        <f>'400 North'!G50</f>
        <v>0</v>
      </c>
      <c r="H183" s="383">
        <f>'400 North'!H50</f>
        <v>0</v>
      </c>
      <c r="I183" s="383">
        <f>'400 North'!I50</f>
        <v>0</v>
      </c>
      <c r="J183" s="383">
        <f>'400 North'!J50</f>
        <v>0</v>
      </c>
      <c r="K183" s="383">
        <f>'400 North'!K50</f>
        <v>0</v>
      </c>
      <c r="L183" s="383">
        <f>'400 North'!L50</f>
        <v>0</v>
      </c>
      <c r="M183" s="383">
        <f>'400 North'!M50</f>
        <v>0</v>
      </c>
      <c r="N183" s="383">
        <f>'400 North'!N50</f>
        <v>0</v>
      </c>
      <c r="O183" s="383">
        <f>'400 North'!O50</f>
        <v>0</v>
      </c>
      <c r="P183" s="383">
        <f>'400 North'!P50</f>
        <v>0</v>
      </c>
      <c r="Q183" s="383">
        <f>'400 North'!Q50</f>
        <v>0</v>
      </c>
      <c r="R183" s="383">
        <f>'400 North'!R50</f>
        <v>0</v>
      </c>
      <c r="S183" s="383">
        <f>'400 North'!S50</f>
        <v>0</v>
      </c>
      <c r="T183" s="383">
        <f>'400 North'!T50</f>
        <v>0</v>
      </c>
      <c r="U183" s="383">
        <f>'400 North'!U50</f>
        <v>0</v>
      </c>
      <c r="V183" s="383">
        <f>'400 North'!V50</f>
        <v>0</v>
      </c>
      <c r="W183" s="383">
        <f>'400 North'!W50</f>
        <v>0</v>
      </c>
      <c r="X183" s="383">
        <f>'400 North'!X50</f>
        <v>0</v>
      </c>
      <c r="Y183" s="383">
        <f>'400 North'!Y50</f>
        <v>0</v>
      </c>
      <c r="Z183" s="383">
        <f>'400 North'!Z50</f>
        <v>0</v>
      </c>
      <c r="AA183" s="383">
        <f>'400 North'!AA50</f>
        <v>0</v>
      </c>
      <c r="AB183" s="383">
        <f>'400 North'!AB50</f>
        <v>0</v>
      </c>
      <c r="AC183" s="383">
        <f>'400 North'!AC50</f>
        <v>0</v>
      </c>
      <c r="AD183" s="383">
        <f>'400 North'!AD50</f>
        <v>0</v>
      </c>
      <c r="AE183" s="383">
        <f>'400 North'!AE50</f>
        <v>0</v>
      </c>
      <c r="AF183" s="383">
        <f>'400 North'!AF50</f>
        <v>0</v>
      </c>
      <c r="AG183" s="383">
        <f>'400 North'!AG50</f>
        <v>0</v>
      </c>
      <c r="AH183" s="383">
        <f>'400 North'!AH50</f>
        <v>0</v>
      </c>
      <c r="AI183" s="383">
        <f>'400 North'!AI50</f>
        <v>0</v>
      </c>
      <c r="AJ183" s="383">
        <f>'400 North'!AJ50</f>
        <v>0</v>
      </c>
      <c r="AK183" s="383">
        <f>'400 North'!AK50</f>
        <v>0</v>
      </c>
      <c r="AL183" s="383">
        <f>'400 North'!AL50</f>
        <v>0</v>
      </c>
    </row>
    <row r="184" spans="1:38">
      <c r="B184" s="385"/>
      <c r="C184" s="386"/>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row>
    <row r="185" spans="1:38">
      <c r="B185" s="385" t="s">
        <v>500</v>
      </c>
      <c r="C185" s="386" t="s">
        <v>479</v>
      </c>
      <c r="D185" s="383">
        <f>D181*$C163</f>
        <v>116.54481754054885</v>
      </c>
      <c r="E185" s="383">
        <f t="shared" ref="E185:AK187" si="80">E181*$C163</f>
        <v>121.25478467245841</v>
      </c>
      <c r="F185" s="383">
        <f t="shared" si="80"/>
        <v>126.15509738001697</v>
      </c>
      <c r="G185" s="383">
        <f t="shared" si="80"/>
        <v>131.25344816662317</v>
      </c>
      <c r="H185" s="383">
        <f t="shared" si="80"/>
        <v>102.41838031166195</v>
      </c>
      <c r="I185" s="383">
        <f t="shared" si="80"/>
        <v>106.55745071523009</v>
      </c>
      <c r="J185" s="383">
        <f t="shared" si="80"/>
        <v>110.86379484206515</v>
      </c>
      <c r="K185" s="383">
        <f t="shared" si="80"/>
        <v>115.34417278459546</v>
      </c>
      <c r="L185" s="383">
        <f t="shared" si="80"/>
        <v>120.00561783326715</v>
      </c>
      <c r="M185" s="383">
        <f t="shared" si="80"/>
        <v>124.85544751739307</v>
      </c>
      <c r="N185" s="383">
        <f t="shared" si="80"/>
        <v>129.90127509219855</v>
      </c>
      <c r="O185" s="383">
        <f t="shared" si="80"/>
        <v>135.15102149009843</v>
      </c>
      <c r="P185" s="383">
        <f t="shared" si="80"/>
        <v>140.61292775496423</v>
      </c>
      <c r="Q185" s="383">
        <f t="shared" si="80"/>
        <v>146.29556797890245</v>
      </c>
      <c r="R185" s="383">
        <f t="shared" si="80"/>
        <v>152.20786276185081</v>
      </c>
      <c r="S185" s="383">
        <f t="shared" si="80"/>
        <v>158.35909321512347</v>
      </c>
      <c r="T185" s="383">
        <f t="shared" si="80"/>
        <v>164.75891553088394</v>
      </c>
      <c r="U185" s="383">
        <f t="shared" si="80"/>
        <v>171.41737614042179</v>
      </c>
      <c r="V185" s="383">
        <f t="shared" si="80"/>
        <v>178.34492748502498</v>
      </c>
      <c r="W185" s="383">
        <f t="shared" si="80"/>
        <v>185.55244442420593</v>
      </c>
      <c r="X185" s="383">
        <f t="shared" si="80"/>
        <v>193.05124130703959</v>
      </c>
      <c r="Y185" s="383">
        <f t="shared" si="80"/>
        <v>200.85308973341122</v>
      </c>
      <c r="Z185" s="383">
        <f t="shared" si="80"/>
        <v>208.97023703305587</v>
      </c>
      <c r="AA185" s="383">
        <f t="shared" si="80"/>
        <v>217.41542549139811</v>
      </c>
      <c r="AB185" s="383">
        <f t="shared" si="80"/>
        <v>226.20191235237186</v>
      </c>
      <c r="AC185" s="383">
        <f t="shared" si="80"/>
        <v>235.34349062962187</v>
      </c>
      <c r="AD185" s="383">
        <f t="shared" si="80"/>
        <v>244.85451075875571</v>
      </c>
      <c r="AE185" s="383">
        <f t="shared" si="80"/>
        <v>254.74990312463493</v>
      </c>
      <c r="AF185" s="383">
        <f t="shared" si="80"/>
        <v>265.04520149907114</v>
      </c>
      <c r="AG185" s="383">
        <f t="shared" si="80"/>
        <v>275.75656742571681</v>
      </c>
      <c r="AH185" s="383">
        <f t="shared" si="80"/>
        <v>286.90081559043193</v>
      </c>
      <c r="AI185" s="383">
        <f t="shared" si="80"/>
        <v>298.49544021695249</v>
      </c>
      <c r="AJ185" s="383">
        <f t="shared" si="80"/>
        <v>310.55864252929524</v>
      </c>
      <c r="AK185" s="383">
        <f t="shared" si="80"/>
        <v>323.10935932401247</v>
      </c>
      <c r="AL185" s="383">
        <f t="shared" ref="AL185" si="81">AL181*$C163</f>
        <v>336.16729269714563</v>
      </c>
    </row>
    <row r="186" spans="1:38">
      <c r="B186" s="385" t="s">
        <v>501</v>
      </c>
      <c r="C186" s="386" t="s">
        <v>479</v>
      </c>
      <c r="D186" s="383">
        <f>D182*$C164</f>
        <v>0.58565234944999423</v>
      </c>
      <c r="E186" s="383">
        <f t="shared" si="80"/>
        <v>0.60932052599225339</v>
      </c>
      <c r="F186" s="383">
        <f t="shared" si="80"/>
        <v>0.63394521296490947</v>
      </c>
      <c r="G186" s="383">
        <f t="shared" si="80"/>
        <v>0.6595650661639354</v>
      </c>
      <c r="H186" s="383">
        <f t="shared" si="80"/>
        <v>0.51466522769679368</v>
      </c>
      <c r="I186" s="383">
        <f t="shared" si="80"/>
        <v>0.5354645764584427</v>
      </c>
      <c r="J186" s="383">
        <f t="shared" si="80"/>
        <v>0.5571044966937948</v>
      </c>
      <c r="K186" s="383">
        <f t="shared" si="80"/>
        <v>0.57961895871656011</v>
      </c>
      <c r="L186" s="383">
        <f t="shared" si="80"/>
        <v>0.60304330569480979</v>
      </c>
      <c r="M186" s="383">
        <f t="shared" si="80"/>
        <v>0.62741430913262841</v>
      </c>
      <c r="N186" s="383">
        <f t="shared" si="80"/>
        <v>0.65277022659396255</v>
      </c>
      <c r="O186" s="383">
        <f t="shared" si="80"/>
        <v>0.67915086175928863</v>
      </c>
      <c r="P186" s="383">
        <f t="shared" si="80"/>
        <v>0.706597626909368</v>
      </c>
      <c r="Q186" s="383">
        <f t="shared" si="80"/>
        <v>0.73515360793418316</v>
      </c>
      <c r="R186" s="383">
        <f t="shared" si="80"/>
        <v>0.76486363196909957</v>
      </c>
      <c r="S186" s="383">
        <f t="shared" si="80"/>
        <v>0.79577433776443951</v>
      </c>
      <c r="T186" s="383">
        <f t="shared" si="80"/>
        <v>0.8279342488989142</v>
      </c>
      <c r="U186" s="383">
        <f t="shared" si="80"/>
        <v>0.8613938499518683</v>
      </c>
      <c r="V186" s="383">
        <f t="shared" si="80"/>
        <v>0.89620566575389438</v>
      </c>
      <c r="W186" s="383">
        <f t="shared" si="80"/>
        <v>0.93242434384023076</v>
      </c>
      <c r="X186" s="383">
        <f t="shared" si="80"/>
        <v>0.97010674023637999</v>
      </c>
      <c r="Y186" s="383">
        <f t="shared" si="80"/>
        <v>1.0093120087106091</v>
      </c>
      <c r="Z186" s="383">
        <f t="shared" si="80"/>
        <v>1.0501016936334466</v>
      </c>
      <c r="AA186" s="383">
        <f t="shared" si="80"/>
        <v>1.0925398265899402</v>
      </c>
      <c r="AB186" s="383">
        <f t="shared" si="80"/>
        <v>1.1366930268963411</v>
      </c>
      <c r="AC186" s="383">
        <f t="shared" si="80"/>
        <v>1.1826306061790044</v>
      </c>
      <c r="AD186" s="383">
        <f t="shared" si="80"/>
        <v>1.230424677179677</v>
      </c>
      <c r="AE186" s="383">
        <f t="shared" si="80"/>
        <v>1.2801502669579645</v>
      </c>
      <c r="AF186" s="383">
        <f t="shared" si="80"/>
        <v>1.331885434668699</v>
      </c>
      <c r="AG186" s="383">
        <f t="shared" si="80"/>
        <v>1.3857113940990797</v>
      </c>
      <c r="AH186" s="383">
        <f t="shared" si="80"/>
        <v>1.4417126411579495</v>
      </c>
      <c r="AI186" s="383">
        <f t="shared" si="80"/>
        <v>1.499977086517349</v>
      </c>
      <c r="AJ186" s="383">
        <f t="shared" si="80"/>
        <v>1.5605961936145489</v>
      </c>
      <c r="AK186" s="383">
        <f t="shared" si="80"/>
        <v>1.6236651222312186</v>
      </c>
      <c r="AL186" s="383">
        <f t="shared" ref="AL186" si="82">AL182*$C164</f>
        <v>1.6892828778751037</v>
      </c>
    </row>
    <row r="187" spans="1:38">
      <c r="B187" s="385" t="s">
        <v>768</v>
      </c>
      <c r="C187" s="386" t="s">
        <v>479</v>
      </c>
      <c r="D187" s="383">
        <f>D183*$C165</f>
        <v>0</v>
      </c>
      <c r="E187" s="383">
        <f t="shared" si="80"/>
        <v>0</v>
      </c>
      <c r="F187" s="383">
        <f t="shared" si="80"/>
        <v>0</v>
      </c>
      <c r="G187" s="383">
        <f t="shared" si="80"/>
        <v>0</v>
      </c>
      <c r="H187" s="383">
        <f t="shared" si="80"/>
        <v>0</v>
      </c>
      <c r="I187" s="383">
        <f t="shared" si="80"/>
        <v>0</v>
      </c>
      <c r="J187" s="383">
        <f t="shared" si="80"/>
        <v>0</v>
      </c>
      <c r="K187" s="383">
        <f t="shared" si="80"/>
        <v>0</v>
      </c>
      <c r="L187" s="383">
        <f t="shared" si="80"/>
        <v>0</v>
      </c>
      <c r="M187" s="383">
        <f t="shared" si="80"/>
        <v>0</v>
      </c>
      <c r="N187" s="383">
        <f t="shared" si="80"/>
        <v>0</v>
      </c>
      <c r="O187" s="383">
        <f t="shared" si="80"/>
        <v>0</v>
      </c>
      <c r="P187" s="383">
        <f t="shared" si="80"/>
        <v>0</v>
      </c>
      <c r="Q187" s="383">
        <f t="shared" si="80"/>
        <v>0</v>
      </c>
      <c r="R187" s="383">
        <f t="shared" si="80"/>
        <v>0</v>
      </c>
      <c r="S187" s="383">
        <f t="shared" si="80"/>
        <v>0</v>
      </c>
      <c r="T187" s="383">
        <f t="shared" si="80"/>
        <v>0</v>
      </c>
      <c r="U187" s="383">
        <f t="shared" si="80"/>
        <v>0</v>
      </c>
      <c r="V187" s="383">
        <f t="shared" si="80"/>
        <v>0</v>
      </c>
      <c r="W187" s="383">
        <f t="shared" si="80"/>
        <v>0</v>
      </c>
      <c r="X187" s="383">
        <f t="shared" si="80"/>
        <v>0</v>
      </c>
      <c r="Y187" s="383">
        <f t="shared" si="80"/>
        <v>0</v>
      </c>
      <c r="Z187" s="383">
        <f t="shared" si="80"/>
        <v>0</v>
      </c>
      <c r="AA187" s="383">
        <f t="shared" si="80"/>
        <v>0</v>
      </c>
      <c r="AB187" s="383">
        <f t="shared" si="80"/>
        <v>0</v>
      </c>
      <c r="AC187" s="383">
        <f t="shared" si="80"/>
        <v>0</v>
      </c>
      <c r="AD187" s="383">
        <f t="shared" si="80"/>
        <v>0</v>
      </c>
      <c r="AE187" s="383">
        <f t="shared" si="80"/>
        <v>0</v>
      </c>
      <c r="AF187" s="383">
        <f t="shared" si="80"/>
        <v>0</v>
      </c>
      <c r="AG187" s="383">
        <f t="shared" si="80"/>
        <v>0</v>
      </c>
      <c r="AH187" s="383">
        <f t="shared" si="80"/>
        <v>0</v>
      </c>
      <c r="AI187" s="383">
        <f t="shared" si="80"/>
        <v>0</v>
      </c>
      <c r="AJ187" s="383">
        <f t="shared" si="80"/>
        <v>0</v>
      </c>
      <c r="AK187" s="383">
        <f t="shared" si="80"/>
        <v>0</v>
      </c>
      <c r="AL187" s="383">
        <f t="shared" ref="AL187" si="83">AL183*$C165</f>
        <v>0</v>
      </c>
    </row>
    <row r="188" spans="1:38">
      <c r="D188" s="358"/>
      <c r="F188" s="464"/>
      <c r="G188" s="465"/>
      <c r="H188" s="465"/>
    </row>
    <row r="189" spans="1:38">
      <c r="B189" s="358" t="s">
        <v>459</v>
      </c>
      <c r="C189" s="362" t="s">
        <v>292</v>
      </c>
      <c r="D189" s="485">
        <f>SUMPRODUCT($C$153:$C$155,D185:D187)</f>
        <v>1251.323716062333</v>
      </c>
      <c r="E189" s="485">
        <f t="shared" ref="E189:AK189" si="84">SUMPRODUCT($C$153:$C$155,E185:E187)</f>
        <v>1301.893906126614</v>
      </c>
      <c r="F189" s="485">
        <f t="shared" si="84"/>
        <v>1354.5078072548749</v>
      </c>
      <c r="G189" s="485">
        <f t="shared" si="84"/>
        <v>1409.2480126686912</v>
      </c>
      <c r="H189" s="485">
        <f t="shared" si="84"/>
        <v>1099.6503400941406</v>
      </c>
      <c r="I189" s="485">
        <f t="shared" si="84"/>
        <v>1144.0909001099001</v>
      </c>
      <c r="J189" s="485">
        <f t="shared" si="84"/>
        <v>1190.3274522719867</v>
      </c>
      <c r="K189" s="485">
        <f t="shared" si="84"/>
        <v>1238.4325786493146</v>
      </c>
      <c r="L189" s="485">
        <f t="shared" si="84"/>
        <v>1288.4817945957448</v>
      </c>
      <c r="M189" s="485">
        <f t="shared" si="84"/>
        <v>1340.5536672939745</v>
      </c>
      <c r="N189" s="485">
        <f t="shared" si="84"/>
        <v>1394.7299390901749</v>
      </c>
      <c r="O189" s="485">
        <f t="shared" si="84"/>
        <v>1451.0956558130085</v>
      </c>
      <c r="P189" s="485">
        <f t="shared" si="84"/>
        <v>1509.7393002784356</v>
      </c>
      <c r="Q189" s="485">
        <f t="shared" si="84"/>
        <v>1570.7529311899059</v>
      </c>
      <c r="R189" s="485">
        <f t="shared" si="84"/>
        <v>1634.2323276519653</v>
      </c>
      <c r="S189" s="485">
        <f t="shared" si="84"/>
        <v>1700.2771395241609</v>
      </c>
      <c r="T189" s="485">
        <f t="shared" si="84"/>
        <v>1768.9910438512218</v>
      </c>
      <c r="U189" s="485">
        <f t="shared" si="84"/>
        <v>1840.4819076151357</v>
      </c>
      <c r="V189" s="485">
        <f t="shared" si="84"/>
        <v>1914.8619570645712</v>
      </c>
      <c r="W189" s="485">
        <f t="shared" si="84"/>
        <v>1992.2479538874691</v>
      </c>
      <c r="X189" s="485">
        <f t="shared" si="84"/>
        <v>2072.7613785033623</v>
      </c>
      <c r="Y189" s="485">
        <f t="shared" si="84"/>
        <v>2156.5286207631548</v>
      </c>
      <c r="Z189" s="485">
        <f t="shared" si="84"/>
        <v>2243.6811783557114</v>
      </c>
      <c r="AA189" s="485">
        <f t="shared" si="84"/>
        <v>2334.3558632327349</v>
      </c>
      <c r="AB189" s="485">
        <f t="shared" si="84"/>
        <v>2428.6950163759561</v>
      </c>
      <c r="AC189" s="485">
        <f t="shared" si="84"/>
        <v>2526.8467312437851</v>
      </c>
      <c r="AD189" s="485">
        <f t="shared" si="84"/>
        <v>2628.9650862482081</v>
      </c>
      <c r="AE189" s="485">
        <f t="shared" si="84"/>
        <v>2735.2103866268258</v>
      </c>
      <c r="AF189" s="485">
        <f t="shared" si="84"/>
        <v>2845.7494160897859</v>
      </c>
      <c r="AG189" s="485">
        <f t="shared" si="84"/>
        <v>2960.7556986365862</v>
      </c>
      <c r="AH189" s="485">
        <f t="shared" si="84"/>
        <v>3080.40977095379</v>
      </c>
      <c r="AI189" s="485">
        <f t="shared" si="84"/>
        <v>3204.89946582124</v>
      </c>
      <c r="AJ189" s="485">
        <f t="shared" si="84"/>
        <v>3334.4202069716607</v>
      </c>
      <c r="AK189" s="485">
        <f t="shared" si="84"/>
        <v>3469.1753158665488</v>
      </c>
      <c r="AL189" s="485">
        <f t="shared" ref="AL189" si="85">SUMPRODUCT($C$153:$C$155,AL185:AL187)</f>
        <v>3609.3763308698831</v>
      </c>
    </row>
    <row r="190" spans="1:38">
      <c r="D190" s="358"/>
      <c r="F190" s="464"/>
      <c r="G190" s="465"/>
      <c r="H190" s="465"/>
    </row>
    <row r="191" spans="1:38">
      <c r="B191" s="1177" t="s">
        <v>715</v>
      </c>
      <c r="C191" s="358" t="s">
        <v>295</v>
      </c>
      <c r="D191" s="383">
        <f>'400 North'!D52</f>
        <v>1207.674558572354</v>
      </c>
      <c r="E191" s="383">
        <f>'400 North'!E52</f>
        <v>1256.4807397218517</v>
      </c>
      <c r="F191" s="383">
        <f>'400 North'!F52</f>
        <v>1307.259342416118</v>
      </c>
      <c r="G191" s="383">
        <f>'400 North'!G52</f>
        <v>1360.0900788280517</v>
      </c>
      <c r="H191" s="383">
        <f>'400 North'!H52</f>
        <v>1061.2919119251926</v>
      </c>
      <c r="I191" s="383">
        <f>'400 North'!I52</f>
        <v>1104.1822791505729</v>
      </c>
      <c r="J191" s="383">
        <f>'400 North'!J52</f>
        <v>1148.8059900300955</v>
      </c>
      <c r="K191" s="383">
        <f>'400 North'!K52</f>
        <v>1195.2330947968949</v>
      </c>
      <c r="L191" s="383">
        <f>'400 North'!L52</f>
        <v>1243.5364746490727</v>
      </c>
      <c r="M191" s="383">
        <f>'400 North'!M52</f>
        <v>1293.7919561584936</v>
      </c>
      <c r="N191" s="383">
        <f>'400 North'!N52</f>
        <v>1346.0784303032169</v>
      </c>
      <c r="O191" s="383">
        <f>'400 North'!O52</f>
        <v>1400.4779763104405</v>
      </c>
      <c r="P191" s="383">
        <f>'400 North'!P52</f>
        <v>1457.0759905043396</v>
      </c>
      <c r="Q191" s="383">
        <f>'400 North'!Q52</f>
        <v>1515.9613203610909</v>
      </c>
      <c r="R191" s="383">
        <f>'400 North'!R52</f>
        <v>1577.2264039814977</v>
      </c>
      <c r="S191" s="383">
        <f>'400 North'!S52</f>
        <v>1640.9674152001926</v>
      </c>
      <c r="T191" s="383">
        <f>'400 North'!T52</f>
        <v>1707.2844145591596</v>
      </c>
      <c r="U191" s="383">
        <f>'400 North'!U52</f>
        <v>1776.2815063826317</v>
      </c>
      <c r="V191" s="383">
        <f>'400 North'!V52</f>
        <v>1848.0670021998965</v>
      </c>
      <c r="W191" s="383">
        <f>'400 North'!W52</f>
        <v>1922.7535907725687</v>
      </c>
      <c r="X191" s="383">
        <f>'400 North'!X52</f>
        <v>2000.4585149932366</v>
      </c>
      <c r="Y191" s="383">
        <f>'400 North'!Y52</f>
        <v>2081.3037559331742</v>
      </c>
      <c r="Z191" s="383">
        <f>'400 North'!Z52</f>
        <v>2165.416224328043</v>
      </c>
      <c r="AA191" s="383">
        <f>'400 North'!AA52</f>
        <v>2252.927959802169</v>
      </c>
      <c r="AB191" s="383">
        <f>'400 North'!AB52</f>
        <v>2343.9763381441435</v>
      </c>
      <c r="AC191" s="383">
        <f>'400 North'!AC52</f>
        <v>2438.7042869591255</v>
      </c>
      <c r="AD191" s="383">
        <f>'400 North'!AD52</f>
        <v>2537.2605100363817</v>
      </c>
      <c r="AE191" s="383">
        <f>'400 North'!AE52</f>
        <v>2639.7997207842609</v>
      </c>
      <c r="AF191" s="383">
        <f>'400 North'!AF52</f>
        <v>2746.4828850990707</v>
      </c>
      <c r="AG191" s="383">
        <f>'400 North'!AG52</f>
        <v>2857.4774740490948</v>
      </c>
      <c r="AH191" s="383">
        <f>'400 North'!AH52</f>
        <v>2972.957726770418</v>
      </c>
      <c r="AI191" s="383">
        <f>'400 North'!AI52</f>
        <v>3093.1049239872614</v>
      </c>
      <c r="AJ191" s="383">
        <f>'400 North'!AJ52</f>
        <v>3218.1076725861758</v>
      </c>
      <c r="AK191" s="383">
        <f>'400 North'!AK52</f>
        <v>3348.1622016908541</v>
      </c>
      <c r="AL191" s="383">
        <f>'400 North'!AL52</f>
        <v>3483.4726707023065</v>
      </c>
    </row>
    <row r="192" spans="1:38">
      <c r="B192" s="1177" t="s">
        <v>716</v>
      </c>
      <c r="C192" s="358" t="s">
        <v>295</v>
      </c>
      <c r="D192" s="383">
        <f>'400 North'!D53</f>
        <v>14.259361551825947</v>
      </c>
      <c r="E192" s="383">
        <f>'400 North'!E53</f>
        <v>14.835630198072257</v>
      </c>
      <c r="F192" s="383">
        <f>'400 North'!F53</f>
        <v>15.435187793928231</v>
      </c>
      <c r="G192" s="383">
        <f>'400 North'!G53</f>
        <v>16.058975523991474</v>
      </c>
      <c r="H192" s="383">
        <f>'400 North'!H53</f>
        <v>12.530979456965413</v>
      </c>
      <c r="I192" s="383">
        <f>'400 North'!I53</f>
        <v>13.037398383335997</v>
      </c>
      <c r="J192" s="383">
        <f>'400 North'!J53</f>
        <v>13.564283397761962</v>
      </c>
      <c r="K192" s="383">
        <f>'400 North'!K53</f>
        <v>14.112461603533639</v>
      </c>
      <c r="L192" s="383">
        <f>'400 North'!L53</f>
        <v>14.682793529960589</v>
      </c>
      <c r="M192" s="383">
        <f>'400 North'!M53</f>
        <v>15.276174483229214</v>
      </c>
      <c r="N192" s="383">
        <f>'400 North'!N53</f>
        <v>15.893535951853003</v>
      </c>
      <c r="O192" s="383">
        <f>'400 North'!O53</f>
        <v>16.535847068921811</v>
      </c>
      <c r="P192" s="383">
        <f>'400 North'!P53</f>
        <v>17.204116133445485</v>
      </c>
      <c r="Q192" s="383">
        <f>'400 North'!Q53</f>
        <v>17.899392193180116</v>
      </c>
      <c r="R192" s="383">
        <f>'400 North'!R53</f>
        <v>18.622766691421557</v>
      </c>
      <c r="S192" s="383">
        <f>'400 North'!S53</f>
        <v>19.375375180351572</v>
      </c>
      <c r="T192" s="383">
        <f>'400 North'!T53</f>
        <v>20.15839910362574</v>
      </c>
      <c r="U192" s="383">
        <f>'400 North'!U53</f>
        <v>20.973067651002012</v>
      </c>
      <c r="V192" s="383">
        <f>'400 North'!V53</f>
        <v>21.820659687920909</v>
      </c>
      <c r="W192" s="383">
        <f>'400 North'!W53</f>
        <v>22.70250576306649</v>
      </c>
      <c r="X192" s="383">
        <f>'400 North'!X53</f>
        <v>23.619990197059689</v>
      </c>
      <c r="Y192" s="383">
        <f>'400 North'!Y53</f>
        <v>24.574553255562662</v>
      </c>
      <c r="Z192" s="383">
        <f>'400 North'!Z53</f>
        <v>25.567693410205663</v>
      </c>
      <c r="AA192" s="383">
        <f>'400 North'!AA53</f>
        <v>26.600969690885503</v>
      </c>
      <c r="AB192" s="383">
        <f>'400 North'!AB53</f>
        <v>27.676004133128309</v>
      </c>
      <c r="AC192" s="383">
        <f>'400 North'!AC53</f>
        <v>28.794484324358372</v>
      </c>
      <c r="AD192" s="383">
        <f>'400 North'!AD53</f>
        <v>29.9581660530704</v>
      </c>
      <c r="AE192" s="383">
        <f>'400 North'!AE53</f>
        <v>31.16887606506349</v>
      </c>
      <c r="AF192" s="383">
        <f>'400 North'!AF53</f>
        <v>32.42851493106398</v>
      </c>
      <c r="AG192" s="383">
        <f>'400 North'!AG53</f>
        <v>33.739060030238463</v>
      </c>
      <c r="AH192" s="383">
        <f>'400 North'!AH53</f>
        <v>35.10256865428051</v>
      </c>
      <c r="AI192" s="383">
        <f>'400 North'!AI53</f>
        <v>36.521181236944152</v>
      </c>
      <c r="AJ192" s="383">
        <f>'400 North'!AJ53</f>
        <v>37.997124714093367</v>
      </c>
      <c r="AK192" s="383">
        <f>'400 North'!AK53</f>
        <v>39.532716019542718</v>
      </c>
      <c r="AL192" s="383">
        <f>'400 North'!AL53</f>
        <v>41.130365722176442</v>
      </c>
    </row>
    <row r="193" spans="1:38">
      <c r="D193" s="358"/>
      <c r="F193" s="464"/>
      <c r="G193" s="465"/>
      <c r="H193" s="465"/>
    </row>
    <row r="194" spans="1:38">
      <c r="B194" s="358" t="s">
        <v>208</v>
      </c>
      <c r="C194" s="362" t="s">
        <v>292</v>
      </c>
      <c r="D194" s="485">
        <f>SUMPRODUCT(D191:D192,D$150:D$151)</f>
        <v>2580.7321528954126</v>
      </c>
      <c r="E194" s="485">
        <f t="shared" ref="E194:AK194" si="86">SUMPRODUCT(E191:E192,E$150:E$151)</f>
        <v>2692.2346467187472</v>
      </c>
      <c r="F194" s="485">
        <f t="shared" si="86"/>
        <v>2793.4742634617401</v>
      </c>
      <c r="G194" s="485">
        <f t="shared" si="86"/>
        <v>2866.039979285667</v>
      </c>
      <c r="H194" s="485">
        <f t="shared" si="86"/>
        <v>2271.8578847541567</v>
      </c>
      <c r="I194" s="485">
        <f t="shared" si="86"/>
        <v>2392.771633984019</v>
      </c>
      <c r="J194" s="485">
        <f t="shared" si="86"/>
        <v>2530.4740192726144</v>
      </c>
      <c r="K194" s="485">
        <f t="shared" si="86"/>
        <v>2653.536251972323</v>
      </c>
      <c r="L194" s="485">
        <f t="shared" si="86"/>
        <v>2809.2651716339537</v>
      </c>
      <c r="M194" s="485">
        <f t="shared" si="86"/>
        <v>3036.8360715075228</v>
      </c>
      <c r="N194" s="485">
        <f t="shared" si="86"/>
        <v>3190.3898963604297</v>
      </c>
      <c r="O194" s="485">
        <f t="shared" si="86"/>
        <v>3358.6293686917302</v>
      </c>
      <c r="P194" s="485">
        <f t="shared" si="86"/>
        <v>3572.8733581160586</v>
      </c>
      <c r="Q194" s="485">
        <f t="shared" si="86"/>
        <v>3791.8182235336581</v>
      </c>
      <c r="R194" s="485">
        <f t="shared" si="86"/>
        <v>3998.0077380955954</v>
      </c>
      <c r="S194" s="485">
        <f t="shared" si="86"/>
        <v>4222.2811286798842</v>
      </c>
      <c r="T194" s="485">
        <f t="shared" si="86"/>
        <v>4413.3414859400691</v>
      </c>
      <c r="U194" s="485">
        <f t="shared" si="86"/>
        <v>4654.9484383027975</v>
      </c>
      <c r="V194" s="485">
        <f t="shared" si="86"/>
        <v>4923.1272102505245</v>
      </c>
      <c r="W194" s="485">
        <f t="shared" si="86"/>
        <v>5147.5302450697627</v>
      </c>
      <c r="X194" s="485">
        <f t="shared" si="86"/>
        <v>5404.7638934810111</v>
      </c>
      <c r="Y194" s="485">
        <f t="shared" si="86"/>
        <v>5728.8301554046466</v>
      </c>
      <c r="Z194" s="485">
        <f t="shared" si="86"/>
        <v>6021.1816366193771</v>
      </c>
      <c r="AA194" s="485">
        <f t="shared" si="86"/>
        <v>6326.6135646254779</v>
      </c>
      <c r="AB194" s="485">
        <f t="shared" si="86"/>
        <v>6685.576050063798</v>
      </c>
      <c r="AC194" s="485">
        <f t="shared" si="86"/>
        <v>6985.6369314851981</v>
      </c>
      <c r="AD194" s="485">
        <f t="shared" si="86"/>
        <v>7417.8684700720414</v>
      </c>
      <c r="AE194" s="485">
        <f t="shared" si="86"/>
        <v>7824.9291609703014</v>
      </c>
      <c r="AF194" s="485">
        <f t="shared" si="86"/>
        <v>8227.4194932197588</v>
      </c>
      <c r="AG194" s="485">
        <f t="shared" si="86"/>
        <v>8637.300167099027</v>
      </c>
      <c r="AH194" s="485">
        <f t="shared" si="86"/>
        <v>9078.8655074597173</v>
      </c>
      <c r="AI194" s="485">
        <f t="shared" si="86"/>
        <v>9542.6636159305435</v>
      </c>
      <c r="AJ194" s="485">
        <f t="shared" si="86"/>
        <v>10029.80292300773</v>
      </c>
      <c r="AK194" s="485">
        <f t="shared" si="86"/>
        <v>10541.446761772509</v>
      </c>
      <c r="AL194" s="485">
        <f t="shared" ref="AL194" si="87">SUMPRODUCT(AL191:AL192,AL$150:AL$151)</f>
        <v>11078.816075469253</v>
      </c>
    </row>
    <row r="196" spans="1:38" ht="13">
      <c r="B196" s="364" t="s">
        <v>520</v>
      </c>
      <c r="C196" s="387" t="s">
        <v>292</v>
      </c>
      <c r="D196" s="488">
        <f>D189+D194</f>
        <v>3832.0558689577456</v>
      </c>
      <c r="E196" s="488">
        <f t="shared" ref="E196:AK196" si="88">E189+E194</f>
        <v>3994.1285528453609</v>
      </c>
      <c r="F196" s="488">
        <f t="shared" si="88"/>
        <v>4147.9820707166145</v>
      </c>
      <c r="G196" s="488">
        <f t="shared" si="88"/>
        <v>4275.2879919543584</v>
      </c>
      <c r="H196" s="488">
        <f t="shared" si="88"/>
        <v>3371.5082248482972</v>
      </c>
      <c r="I196" s="488">
        <f t="shared" si="88"/>
        <v>3536.8625340939188</v>
      </c>
      <c r="J196" s="488">
        <f t="shared" si="88"/>
        <v>3720.8014715446011</v>
      </c>
      <c r="K196" s="488">
        <f t="shared" si="88"/>
        <v>3891.9688306216376</v>
      </c>
      <c r="L196" s="488">
        <f t="shared" si="88"/>
        <v>4097.746966229699</v>
      </c>
      <c r="M196" s="488">
        <f t="shared" si="88"/>
        <v>4377.3897388014975</v>
      </c>
      <c r="N196" s="488">
        <f t="shared" si="88"/>
        <v>4585.119835450605</v>
      </c>
      <c r="O196" s="488">
        <f t="shared" si="88"/>
        <v>4809.7250245047389</v>
      </c>
      <c r="P196" s="488">
        <f t="shared" si="88"/>
        <v>5082.6126583944942</v>
      </c>
      <c r="Q196" s="488">
        <f t="shared" si="88"/>
        <v>5362.5711547235642</v>
      </c>
      <c r="R196" s="488">
        <f t="shared" si="88"/>
        <v>5632.2400657475609</v>
      </c>
      <c r="S196" s="488">
        <f t="shared" si="88"/>
        <v>5922.5582682040449</v>
      </c>
      <c r="T196" s="488">
        <f t="shared" si="88"/>
        <v>6182.3325297912907</v>
      </c>
      <c r="U196" s="488">
        <f t="shared" si="88"/>
        <v>6495.4303459179337</v>
      </c>
      <c r="V196" s="488">
        <f t="shared" si="88"/>
        <v>6837.989167315096</v>
      </c>
      <c r="W196" s="488">
        <f t="shared" si="88"/>
        <v>7139.7781989572322</v>
      </c>
      <c r="X196" s="488">
        <f t="shared" si="88"/>
        <v>7477.5252719843738</v>
      </c>
      <c r="Y196" s="488">
        <f t="shared" si="88"/>
        <v>7885.3587761678009</v>
      </c>
      <c r="Z196" s="488">
        <f t="shared" si="88"/>
        <v>8264.8628149750875</v>
      </c>
      <c r="AA196" s="488">
        <f t="shared" si="88"/>
        <v>8660.9694278582137</v>
      </c>
      <c r="AB196" s="488">
        <f t="shared" si="88"/>
        <v>9114.2710664397546</v>
      </c>
      <c r="AC196" s="488">
        <f t="shared" si="88"/>
        <v>9512.4836627289842</v>
      </c>
      <c r="AD196" s="488">
        <f t="shared" si="88"/>
        <v>10046.833556320249</v>
      </c>
      <c r="AE196" s="488">
        <f t="shared" si="88"/>
        <v>10560.139547597128</v>
      </c>
      <c r="AF196" s="488">
        <f t="shared" si="88"/>
        <v>11073.168909309545</v>
      </c>
      <c r="AG196" s="488">
        <f t="shared" si="88"/>
        <v>11598.055865735612</v>
      </c>
      <c r="AH196" s="488">
        <f t="shared" si="88"/>
        <v>12159.275278413508</v>
      </c>
      <c r="AI196" s="488">
        <f t="shared" si="88"/>
        <v>12747.563081751783</v>
      </c>
      <c r="AJ196" s="488">
        <f t="shared" si="88"/>
        <v>13364.223129979391</v>
      </c>
      <c r="AK196" s="488">
        <f t="shared" si="88"/>
        <v>14010.622077639058</v>
      </c>
      <c r="AL196" s="488">
        <f t="shared" ref="AL196" si="89">AL189+AL194</f>
        <v>14688.192406339136</v>
      </c>
    </row>
    <row r="197" spans="1:38" ht="13">
      <c r="B197" s="364"/>
      <c r="C197" s="387"/>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c r="AL197" s="489"/>
    </row>
    <row r="198" spans="1:38" ht="13">
      <c r="A198" s="490"/>
      <c r="B198" s="452" t="s">
        <v>706</v>
      </c>
      <c r="C198" s="490"/>
      <c r="D198" s="379"/>
      <c r="E198" s="379"/>
      <c r="F198" s="379"/>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row>
    <row r="199" spans="1:38" ht="13">
      <c r="B199" s="364"/>
      <c r="C199" s="387"/>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c r="AL199" s="489"/>
    </row>
    <row r="200" spans="1:38" ht="13">
      <c r="B200" s="364" t="s">
        <v>819</v>
      </c>
      <c r="C200" s="387" t="s">
        <v>295</v>
      </c>
      <c r="D200" s="383">
        <f>D172-D191</f>
        <v>0</v>
      </c>
      <c r="E200" s="383">
        <f t="shared" ref="E200:AK201" si="90">E172-E191</f>
        <v>0</v>
      </c>
      <c r="F200" s="383">
        <f t="shared" si="90"/>
        <v>0</v>
      </c>
      <c r="G200" s="383">
        <f t="shared" si="90"/>
        <v>0</v>
      </c>
      <c r="H200" s="383">
        <f t="shared" si="90"/>
        <v>353.76397064173102</v>
      </c>
      <c r="I200" s="383">
        <f t="shared" si="90"/>
        <v>368.06075971685755</v>
      </c>
      <c r="J200" s="383">
        <f t="shared" si="90"/>
        <v>382.93533001003243</v>
      </c>
      <c r="K200" s="383">
        <f t="shared" si="90"/>
        <v>398.41103159896488</v>
      </c>
      <c r="L200" s="383">
        <f t="shared" si="90"/>
        <v>414.51215821635742</v>
      </c>
      <c r="M200" s="383">
        <f t="shared" si="90"/>
        <v>431.26398538616399</v>
      </c>
      <c r="N200" s="383">
        <f t="shared" si="90"/>
        <v>448.69281010107261</v>
      </c>
      <c r="O200" s="383">
        <f t="shared" si="90"/>
        <v>466.82599210348008</v>
      </c>
      <c r="P200" s="383">
        <f t="shared" si="90"/>
        <v>485.6919968347795</v>
      </c>
      <c r="Q200" s="383">
        <f t="shared" si="90"/>
        <v>505.32044012036295</v>
      </c>
      <c r="R200" s="383">
        <f t="shared" si="90"/>
        <v>525.74213466049969</v>
      </c>
      <c r="S200" s="383">
        <f t="shared" si="90"/>
        <v>546.98913840006389</v>
      </c>
      <c r="T200" s="383">
        <f t="shared" si="90"/>
        <v>569.09480485305244</v>
      </c>
      <c r="U200" s="383">
        <f t="shared" si="90"/>
        <v>592.09383546087633</v>
      </c>
      <c r="V200" s="383">
        <f t="shared" si="90"/>
        <v>616.02233406663277</v>
      </c>
      <c r="W200" s="383">
        <f t="shared" si="90"/>
        <v>640.91786359085745</v>
      </c>
      <c r="X200" s="383">
        <f t="shared" si="90"/>
        <v>666.81950499774553</v>
      </c>
      <c r="Y200" s="383">
        <f t="shared" si="90"/>
        <v>693.7679186443911</v>
      </c>
      <c r="Z200" s="383">
        <f t="shared" si="90"/>
        <v>721.80540810934781</v>
      </c>
      <c r="AA200" s="383">
        <f t="shared" si="90"/>
        <v>750.9759866007239</v>
      </c>
      <c r="AB200" s="383">
        <f t="shared" si="90"/>
        <v>781.32544604804798</v>
      </c>
      <c r="AC200" s="383">
        <f t="shared" si="90"/>
        <v>812.90142898637487</v>
      </c>
      <c r="AD200" s="383">
        <f t="shared" si="90"/>
        <v>845.75350334546056</v>
      </c>
      <c r="AE200" s="383">
        <f t="shared" si="90"/>
        <v>879.93324026142045</v>
      </c>
      <c r="AF200" s="383">
        <f t="shared" si="90"/>
        <v>915.49429503302326</v>
      </c>
      <c r="AG200" s="383">
        <f t="shared" si="90"/>
        <v>952.49249134969841</v>
      </c>
      <c r="AH200" s="383">
        <f t="shared" si="90"/>
        <v>990.98590892347374</v>
      </c>
      <c r="AI200" s="383">
        <f t="shared" si="90"/>
        <v>1031.0349746624202</v>
      </c>
      <c r="AJ200" s="383">
        <f t="shared" si="90"/>
        <v>1072.7025575287253</v>
      </c>
      <c r="AK200" s="383">
        <f t="shared" si="90"/>
        <v>1116.054067230285</v>
      </c>
      <c r="AL200" s="383">
        <f t="shared" ref="AL200" si="91">AL172-AL191</f>
        <v>1161.1575569007682</v>
      </c>
    </row>
    <row r="201" spans="1:38" ht="13">
      <c r="B201" s="364" t="s">
        <v>820</v>
      </c>
      <c r="C201" s="387" t="s">
        <v>295</v>
      </c>
      <c r="D201" s="383">
        <f>D173-D192</f>
        <v>0</v>
      </c>
      <c r="E201" s="383">
        <f t="shared" si="90"/>
        <v>0</v>
      </c>
      <c r="F201" s="383">
        <f t="shared" si="90"/>
        <v>0</v>
      </c>
      <c r="G201" s="383">
        <f t="shared" si="90"/>
        <v>0</v>
      </c>
      <c r="H201" s="383">
        <f t="shared" si="90"/>
        <v>4.1769931523218009</v>
      </c>
      <c r="I201" s="383">
        <f t="shared" si="90"/>
        <v>4.3457994611119979</v>
      </c>
      <c r="J201" s="383">
        <f t="shared" si="90"/>
        <v>4.5214277992539884</v>
      </c>
      <c r="K201" s="383">
        <f t="shared" si="90"/>
        <v>4.7041538678445391</v>
      </c>
      <c r="L201" s="383">
        <f t="shared" si="90"/>
        <v>4.8942645099868596</v>
      </c>
      <c r="M201" s="383">
        <f t="shared" si="90"/>
        <v>5.0920581610764035</v>
      </c>
      <c r="N201" s="383">
        <f t="shared" si="90"/>
        <v>5.2978453172843381</v>
      </c>
      <c r="O201" s="383">
        <f t="shared" si="90"/>
        <v>5.511949022973937</v>
      </c>
      <c r="P201" s="383">
        <f t="shared" si="90"/>
        <v>5.7347053778151604</v>
      </c>
      <c r="Q201" s="383">
        <f t="shared" si="90"/>
        <v>5.9664640643933637</v>
      </c>
      <c r="R201" s="383">
        <f t="shared" si="90"/>
        <v>6.2075888971405249</v>
      </c>
      <c r="S201" s="383">
        <f t="shared" si="90"/>
        <v>6.458458393450524</v>
      </c>
      <c r="T201" s="383">
        <f t="shared" si="90"/>
        <v>6.7194663678752384</v>
      </c>
      <c r="U201" s="383">
        <f t="shared" si="90"/>
        <v>6.9910225503339944</v>
      </c>
      <c r="V201" s="383">
        <f t="shared" si="90"/>
        <v>7.2735532293069731</v>
      </c>
      <c r="W201" s="383">
        <f t="shared" si="90"/>
        <v>7.5675019210221741</v>
      </c>
      <c r="X201" s="383">
        <f t="shared" si="90"/>
        <v>7.8733300656865595</v>
      </c>
      <c r="Y201" s="383">
        <f t="shared" si="90"/>
        <v>8.1915177518542137</v>
      </c>
      <c r="Z201" s="383">
        <f t="shared" si="90"/>
        <v>8.5225644700685521</v>
      </c>
      <c r="AA201" s="383">
        <f t="shared" si="90"/>
        <v>8.8669898969618437</v>
      </c>
      <c r="AB201" s="383">
        <f t="shared" si="90"/>
        <v>9.2253347110427626</v>
      </c>
      <c r="AC201" s="383">
        <f t="shared" si="90"/>
        <v>9.5981614414527883</v>
      </c>
      <c r="AD201" s="383">
        <f t="shared" si="90"/>
        <v>9.9860553510234595</v>
      </c>
      <c r="AE201" s="383">
        <f t="shared" si="90"/>
        <v>10.38962535502117</v>
      </c>
      <c r="AF201" s="383">
        <f t="shared" si="90"/>
        <v>10.809504977021327</v>
      </c>
      <c r="AG201" s="383">
        <f t="shared" si="90"/>
        <v>11.246353343412821</v>
      </c>
      <c r="AH201" s="383">
        <f t="shared" si="90"/>
        <v>11.700856218093513</v>
      </c>
      <c r="AI201" s="383">
        <f t="shared" si="90"/>
        <v>12.173727078981386</v>
      </c>
      <c r="AJ201" s="383">
        <f t="shared" si="90"/>
        <v>12.665708238031129</v>
      </c>
      <c r="AK201" s="383">
        <f t="shared" si="90"/>
        <v>13.177572006514232</v>
      </c>
      <c r="AL201" s="383">
        <f t="shared" ref="AL201" si="92">AL173-AL192</f>
        <v>13.710121907392136</v>
      </c>
    </row>
    <row r="202" spans="1:38" ht="13">
      <c r="B202" s="364" t="s">
        <v>821</v>
      </c>
      <c r="C202" s="387" t="s">
        <v>479</v>
      </c>
      <c r="D202" s="383">
        <f>SUM(D166:D168)-SUM(D185:D187)</f>
        <v>0</v>
      </c>
      <c r="E202" s="383">
        <f t="shared" ref="E202:AE202" si="93">SUM(E166:E168)-SUM(E185:E187)</f>
        <v>0</v>
      </c>
      <c r="F202" s="383">
        <f t="shared" si="93"/>
        <v>0</v>
      </c>
      <c r="G202" s="383">
        <f t="shared" si="93"/>
        <v>0</v>
      </c>
      <c r="H202" s="383">
        <f t="shared" si="93"/>
        <v>34.311015179786239</v>
      </c>
      <c r="I202" s="383">
        <f t="shared" si="93"/>
        <v>35.697638430562861</v>
      </c>
      <c r="J202" s="383">
        <f t="shared" si="93"/>
        <v>37.1402997795864</v>
      </c>
      <c r="K202" s="383">
        <f t="shared" si="93"/>
        <v>38.641263914437275</v>
      </c>
      <c r="L202" s="383">
        <f t="shared" si="93"/>
        <v>40.202887046320654</v>
      </c>
      <c r="M202" s="383">
        <f t="shared" si="93"/>
        <v>41.827620608841855</v>
      </c>
      <c r="N202" s="383">
        <f t="shared" si="93"/>
        <v>43.518015106264187</v>
      </c>
      <c r="O202" s="383">
        <f t="shared" si="93"/>
        <v>45.276724117285909</v>
      </c>
      <c r="P202" s="383">
        <f t="shared" si="93"/>
        <v>47.106508460624525</v>
      </c>
      <c r="Q202" s="383">
        <f t="shared" si="93"/>
        <v>49.010240528945474</v>
      </c>
      <c r="R202" s="383">
        <f t="shared" si="93"/>
        <v>50.990908797940023</v>
      </c>
      <c r="S202" s="383">
        <f t="shared" si="93"/>
        <v>53.051622517629283</v>
      </c>
      <c r="T202" s="383">
        <f t="shared" si="93"/>
        <v>55.195616593260866</v>
      </c>
      <c r="U202" s="383">
        <f t="shared" si="93"/>
        <v>57.426256663457792</v>
      </c>
      <c r="V202" s="383">
        <f t="shared" si="93"/>
        <v>59.747044383592993</v>
      </c>
      <c r="W202" s="383">
        <f t="shared" si="93"/>
        <v>62.161622922682142</v>
      </c>
      <c r="X202" s="383">
        <f t="shared" si="93"/>
        <v>64.673782682425326</v>
      </c>
      <c r="Y202" s="383">
        <f t="shared" si="93"/>
        <v>67.287467247373911</v>
      </c>
      <c r="Z202" s="383">
        <f t="shared" si="93"/>
        <v>70.006779575563144</v>
      </c>
      <c r="AA202" s="383">
        <f t="shared" si="93"/>
        <v>72.835988439329441</v>
      </c>
      <c r="AB202" s="383">
        <f t="shared" si="93"/>
        <v>75.779535126422758</v>
      </c>
      <c r="AC202" s="383">
        <f t="shared" si="93"/>
        <v>78.842040411933624</v>
      </c>
      <c r="AD202" s="383">
        <f t="shared" si="93"/>
        <v>82.028311811978426</v>
      </c>
      <c r="AE202" s="383">
        <f t="shared" si="93"/>
        <v>85.343351130531005</v>
      </c>
      <c r="AF202" s="383">
        <f t="shared" ref="AF202:AJ202" si="94">SUM(AF166:AF168)-SUM(AF185:AF187)</f>
        <v>88.792362311246563</v>
      </c>
      <c r="AG202" s="383">
        <f t="shared" si="94"/>
        <v>92.380759606605295</v>
      </c>
      <c r="AH202" s="383">
        <f t="shared" si="94"/>
        <v>96.114176077196703</v>
      </c>
      <c r="AI202" s="383">
        <f t="shared" si="94"/>
        <v>99.998472434489884</v>
      </c>
      <c r="AJ202" s="383">
        <f t="shared" si="94"/>
        <v>104.03974624096986</v>
      </c>
      <c r="AK202" s="383">
        <f t="shared" ref="AK202:AL202" si="95">SUM(AK166:AK168)-SUM(AK185:AK187)</f>
        <v>108.24434148208121</v>
      </c>
      <c r="AL202" s="383">
        <f t="shared" si="95"/>
        <v>112.61885852500689</v>
      </c>
    </row>
    <row r="203" spans="1:38" ht="13">
      <c r="B203" s="364"/>
      <c r="C203" s="387"/>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c r="AL203" s="489"/>
    </row>
    <row r="204" spans="1:38" ht="13">
      <c r="B204" s="492" t="s">
        <v>284</v>
      </c>
      <c r="C204" s="487" t="s">
        <v>292</v>
      </c>
      <c r="D204" s="488">
        <f t="shared" ref="D204:AK204" si="96">D177-D196</f>
        <v>0</v>
      </c>
      <c r="E204" s="488">
        <f t="shared" si="96"/>
        <v>0</v>
      </c>
      <c r="F204" s="488">
        <f t="shared" si="96"/>
        <v>0</v>
      </c>
      <c r="G204" s="488">
        <f t="shared" si="96"/>
        <v>0</v>
      </c>
      <c r="H204" s="488">
        <f t="shared" si="96"/>
        <v>1123.8360749494336</v>
      </c>
      <c r="I204" s="488">
        <f t="shared" si="96"/>
        <v>1178.9541780313066</v>
      </c>
      <c r="J204" s="488">
        <f t="shared" si="96"/>
        <v>1240.2671571815358</v>
      </c>
      <c r="K204" s="488">
        <f t="shared" si="96"/>
        <v>1297.3229435405456</v>
      </c>
      <c r="L204" s="488">
        <f t="shared" si="96"/>
        <v>1365.9156554098981</v>
      </c>
      <c r="M204" s="488">
        <f t="shared" si="96"/>
        <v>1459.1299129338295</v>
      </c>
      <c r="N204" s="488">
        <f t="shared" si="96"/>
        <v>1528.3732784835356</v>
      </c>
      <c r="O204" s="488">
        <f t="shared" si="96"/>
        <v>1603.2416748349124</v>
      </c>
      <c r="P204" s="488">
        <f t="shared" si="96"/>
        <v>1694.2042194648302</v>
      </c>
      <c r="Q204" s="488">
        <f t="shared" si="96"/>
        <v>1787.5237182411856</v>
      </c>
      <c r="R204" s="488">
        <f t="shared" si="96"/>
        <v>1877.4133552491876</v>
      </c>
      <c r="S204" s="488">
        <f t="shared" si="96"/>
        <v>1974.1860894013471</v>
      </c>
      <c r="T204" s="488">
        <f t="shared" si="96"/>
        <v>2060.7775099304272</v>
      </c>
      <c r="U204" s="488">
        <f t="shared" si="96"/>
        <v>2165.1434486393082</v>
      </c>
      <c r="V204" s="488">
        <f t="shared" si="96"/>
        <v>2279.3297224383678</v>
      </c>
      <c r="W204" s="488">
        <f t="shared" si="96"/>
        <v>2379.9260663190798</v>
      </c>
      <c r="X204" s="488">
        <f t="shared" si="96"/>
        <v>2492.5084239947901</v>
      </c>
      <c r="Y204" s="488">
        <f t="shared" si="96"/>
        <v>2628.452925389267</v>
      </c>
      <c r="Z204" s="488">
        <f t="shared" si="96"/>
        <v>2754.9542716583637</v>
      </c>
      <c r="AA204" s="488">
        <f t="shared" si="96"/>
        <v>2886.9898092860731</v>
      </c>
      <c r="AB204" s="488">
        <f t="shared" si="96"/>
        <v>3038.090355479917</v>
      </c>
      <c r="AC204" s="488">
        <f t="shared" si="96"/>
        <v>3170.8278875763262</v>
      </c>
      <c r="AD204" s="488">
        <f t="shared" si="96"/>
        <v>3348.9445187734163</v>
      </c>
      <c r="AE204" s="488">
        <f t="shared" si="96"/>
        <v>3520.0465158657098</v>
      </c>
      <c r="AF204" s="488">
        <f t="shared" si="96"/>
        <v>3691.0563031031797</v>
      </c>
      <c r="AG204" s="488">
        <f t="shared" si="96"/>
        <v>3866.0186219118714</v>
      </c>
      <c r="AH204" s="488">
        <f t="shared" si="96"/>
        <v>4053.0917594711718</v>
      </c>
      <c r="AI204" s="488">
        <f t="shared" si="96"/>
        <v>4249.1876939172598</v>
      </c>
      <c r="AJ204" s="488">
        <f t="shared" si="96"/>
        <v>4454.7410433264613</v>
      </c>
      <c r="AK204" s="488">
        <f t="shared" si="96"/>
        <v>4670.2073592130182</v>
      </c>
      <c r="AL204" s="488">
        <f t="shared" ref="AL204" si="97">AL177-AL196</f>
        <v>4896.0641354463751</v>
      </c>
    </row>
    <row r="205" spans="1:38" ht="13">
      <c r="B205" s="364"/>
      <c r="C205" s="387"/>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tabColor theme="4" tint="-0.249977111117893"/>
  </sheetPr>
  <dimension ref="A1:AL135"/>
  <sheetViews>
    <sheetView showGridLines="0" workbookViewId="0">
      <selection activeCell="AL14" sqref="AL14"/>
    </sheetView>
  </sheetViews>
  <sheetFormatPr defaultColWidth="9" defaultRowHeight="12.5"/>
  <cols>
    <col min="1" max="1" width="0.83203125" style="358" customWidth="1"/>
    <col min="2" max="2" width="38.75" style="358" bestFit="1" customWidth="1"/>
    <col min="3" max="3" width="7.75" style="406" bestFit="1" customWidth="1"/>
    <col min="4" max="4" width="21" style="398" bestFit="1" customWidth="1"/>
    <col min="5" max="5" width="9.83203125" style="398" bestFit="1" customWidth="1"/>
    <col min="6" max="38" width="6.33203125" style="398" bestFit="1" customWidth="1"/>
    <col min="39" max="16384" width="9" style="358"/>
  </cols>
  <sheetData>
    <row r="1" spans="1:38" s="393" customFormat="1" ht="19">
      <c r="A1" s="544" t="s">
        <v>704</v>
      </c>
      <c r="C1" s="394"/>
      <c r="D1" s="545">
        <f>Demand!F2</f>
        <v>2021</v>
      </c>
      <c r="E1" s="545">
        <f>Demand!G2</f>
        <v>2022</v>
      </c>
      <c r="F1" s="545">
        <f>Demand!H2</f>
        <v>2023</v>
      </c>
      <c r="G1" s="545">
        <f>Demand!I2</f>
        <v>2024</v>
      </c>
      <c r="H1" s="545">
        <f>Demand!J2</f>
        <v>2025</v>
      </c>
      <c r="I1" s="545">
        <f>Demand!K2</f>
        <v>2026</v>
      </c>
      <c r="J1" s="545">
        <f>Demand!L2</f>
        <v>2027</v>
      </c>
      <c r="K1" s="545">
        <f>Demand!M2</f>
        <v>2028</v>
      </c>
      <c r="L1" s="545">
        <f>Demand!N2</f>
        <v>2029</v>
      </c>
      <c r="M1" s="545">
        <f>Demand!O2</f>
        <v>2030</v>
      </c>
      <c r="N1" s="545">
        <f>Demand!P2</f>
        <v>2031</v>
      </c>
      <c r="O1" s="545">
        <f>Demand!Q2</f>
        <v>2032</v>
      </c>
      <c r="P1" s="545">
        <f>Demand!R2</f>
        <v>2033</v>
      </c>
      <c r="Q1" s="545">
        <f>Demand!S2</f>
        <v>2034</v>
      </c>
      <c r="R1" s="545">
        <f>Demand!T2</f>
        <v>2035</v>
      </c>
      <c r="S1" s="545">
        <f>Demand!U2</f>
        <v>2036</v>
      </c>
      <c r="T1" s="545">
        <f>Demand!V2</f>
        <v>2037</v>
      </c>
      <c r="U1" s="545">
        <f>Demand!W2</f>
        <v>2038</v>
      </c>
      <c r="V1" s="545">
        <f>Demand!X2</f>
        <v>2039</v>
      </c>
      <c r="W1" s="545">
        <f>Demand!Y2</f>
        <v>2040</v>
      </c>
      <c r="X1" s="545">
        <f>Demand!Z2</f>
        <v>2041</v>
      </c>
      <c r="Y1" s="545">
        <f>Demand!AA2</f>
        <v>2042</v>
      </c>
      <c r="Z1" s="545">
        <f>Demand!AB2</f>
        <v>2043</v>
      </c>
      <c r="AA1" s="545">
        <f>Demand!AC2</f>
        <v>2044</v>
      </c>
      <c r="AB1" s="545">
        <f>Demand!AD2</f>
        <v>2045</v>
      </c>
      <c r="AC1" s="545">
        <f>Demand!AE2</f>
        <v>2046</v>
      </c>
      <c r="AD1" s="545">
        <f>Demand!AF2</f>
        <v>2047</v>
      </c>
      <c r="AE1" s="545">
        <f>Demand!AG2</f>
        <v>2048</v>
      </c>
      <c r="AF1" s="545">
        <f>Demand!AH2</f>
        <v>2049</v>
      </c>
      <c r="AG1" s="545">
        <f>Demand!AI2</f>
        <v>2050</v>
      </c>
      <c r="AH1" s="545">
        <f>Demand!AJ2</f>
        <v>2051</v>
      </c>
      <c r="AI1" s="545">
        <f>Demand!AK2</f>
        <v>2052</v>
      </c>
      <c r="AJ1" s="545">
        <f>Demand!AL2</f>
        <v>2053</v>
      </c>
      <c r="AK1" s="545">
        <f>Demand!AM2</f>
        <v>2054</v>
      </c>
      <c r="AL1" s="545">
        <f>Demand!AN2</f>
        <v>2055</v>
      </c>
    </row>
    <row r="3" spans="1:38" ht="13">
      <c r="B3" s="395" t="s">
        <v>626</v>
      </c>
      <c r="C3" s="396" t="s">
        <v>627</v>
      </c>
      <c r="D3" s="397" t="s">
        <v>8</v>
      </c>
      <c r="E3" s="397"/>
    </row>
    <row r="4" spans="1:38" ht="13">
      <c r="B4" s="358" t="s">
        <v>744</v>
      </c>
      <c r="C4" s="569"/>
      <c r="D4" s="410" t="str">
        <f>'Crossing Inputs'!H50</f>
        <v>254731H</v>
      </c>
      <c r="E4" s="410"/>
    </row>
    <row r="5" spans="1:38">
      <c r="B5" s="358" t="s">
        <v>628</v>
      </c>
      <c r="C5" s="399" t="s">
        <v>629</v>
      </c>
      <c r="D5" s="439" t="str">
        <f>'Crossing Inputs'!H52</f>
        <v>Urban</v>
      </c>
      <c r="E5" s="398">
        <f>SUMIFS('Accidents Methodology'!$C$22:$C$23,'Accidents Methodology'!$B$22:$B$23,$D5)</f>
        <v>1</v>
      </c>
    </row>
    <row r="6" spans="1:38">
      <c r="B6" s="358" t="s">
        <v>615</v>
      </c>
      <c r="C6" s="399" t="s">
        <v>150</v>
      </c>
      <c r="D6" s="439" t="str">
        <f>'Crossing Inputs'!H53</f>
        <v>Flashing Lights</v>
      </c>
      <c r="E6" s="398">
        <f>SUMIFS('Accidents Methodology'!$C$3:$C$5,'Accidents Methodology'!$B$3:$B$5,$D6)</f>
        <v>3.6459999999999999E-3</v>
      </c>
    </row>
    <row r="7" spans="1:38">
      <c r="B7" s="358" t="s">
        <v>630</v>
      </c>
      <c r="C7" s="399" t="s">
        <v>631</v>
      </c>
      <c r="D7" s="439" t="str">
        <f>'Crossing Inputs'!H55</f>
        <v>Yes</v>
      </c>
      <c r="E7" s="398">
        <f>SUMIFS('Accidents Methodology'!$C$26:$C$27,'Accidents Methodology'!$B$26:$B$27,$D7)</f>
        <v>1</v>
      </c>
    </row>
    <row r="8" spans="1:38">
      <c r="B8" s="358" t="s">
        <v>632</v>
      </c>
      <c r="C8" s="399" t="s">
        <v>633</v>
      </c>
      <c r="D8" s="439" t="str">
        <f>'Crossing Inputs'!$H$52&amp;" - "&amp;'Crossing Inputs'!$H$54</f>
        <v>Urban - Local</v>
      </c>
      <c r="E8" s="398">
        <f>SUMIFS('Accidents Methodology'!$C$8:$C$19,'Accidents Methodology'!$B$8:$B$19,$D8)</f>
        <v>6</v>
      </c>
    </row>
    <row r="9" spans="1:38">
      <c r="B9" s="358" t="s">
        <v>607</v>
      </c>
      <c r="C9" s="399" t="s">
        <v>635</v>
      </c>
      <c r="D9" s="439">
        <f>'Crossing Inputs'!H56</f>
        <v>2</v>
      </c>
    </row>
    <row r="10" spans="1:38">
      <c r="B10" s="358" t="s">
        <v>636</v>
      </c>
      <c r="C10" s="399" t="s">
        <v>637</v>
      </c>
      <c r="D10" s="439">
        <f>'Crossing Inputs'!H61</f>
        <v>2</v>
      </c>
    </row>
    <row r="11" spans="1:38">
      <c r="B11" s="358" t="s">
        <v>610</v>
      </c>
      <c r="C11" s="399" t="s">
        <v>638</v>
      </c>
      <c r="D11" s="439">
        <f>'Crossing Inputs'!H57</f>
        <v>2</v>
      </c>
    </row>
    <row r="12" spans="1:38">
      <c r="C12" s="399"/>
    </row>
    <row r="13" spans="1:38" ht="13">
      <c r="A13" s="452"/>
      <c r="B13" s="495" t="s">
        <v>623</v>
      </c>
      <c r="C13" s="453"/>
      <c r="D13" s="454"/>
      <c r="E13" s="379"/>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3">
      <c r="C14" s="399"/>
      <c r="D14" s="440">
        <f>D$1</f>
        <v>2021</v>
      </c>
      <c r="E14" s="440">
        <f t="shared" ref="E14:AL14" si="0">E$1</f>
        <v>2022</v>
      </c>
      <c r="F14" s="440">
        <f t="shared" si="0"/>
        <v>2023</v>
      </c>
      <c r="G14" s="440">
        <f t="shared" si="0"/>
        <v>2024</v>
      </c>
      <c r="H14" s="440">
        <f t="shared" si="0"/>
        <v>2025</v>
      </c>
      <c r="I14" s="440">
        <f t="shared" si="0"/>
        <v>2026</v>
      </c>
      <c r="J14" s="440">
        <f t="shared" si="0"/>
        <v>2027</v>
      </c>
      <c r="K14" s="440">
        <f t="shared" si="0"/>
        <v>2028</v>
      </c>
      <c r="L14" s="440">
        <f t="shared" si="0"/>
        <v>2029</v>
      </c>
      <c r="M14" s="440">
        <f t="shared" si="0"/>
        <v>2030</v>
      </c>
      <c r="N14" s="440">
        <f t="shared" si="0"/>
        <v>2031</v>
      </c>
      <c r="O14" s="440">
        <f t="shared" si="0"/>
        <v>2032</v>
      </c>
      <c r="P14" s="440">
        <f t="shared" si="0"/>
        <v>2033</v>
      </c>
      <c r="Q14" s="440">
        <f t="shared" si="0"/>
        <v>2034</v>
      </c>
      <c r="R14" s="440">
        <f t="shared" si="0"/>
        <v>2035</v>
      </c>
      <c r="S14" s="440">
        <f t="shared" si="0"/>
        <v>2036</v>
      </c>
      <c r="T14" s="440">
        <f t="shared" si="0"/>
        <v>2037</v>
      </c>
      <c r="U14" s="440">
        <f t="shared" si="0"/>
        <v>2038</v>
      </c>
      <c r="V14" s="440">
        <f t="shared" si="0"/>
        <v>2039</v>
      </c>
      <c r="W14" s="440">
        <f t="shared" si="0"/>
        <v>2040</v>
      </c>
      <c r="X14" s="440">
        <f t="shared" si="0"/>
        <v>2041</v>
      </c>
      <c r="Y14" s="440">
        <f t="shared" si="0"/>
        <v>2042</v>
      </c>
      <c r="Z14" s="440">
        <f t="shared" si="0"/>
        <v>2043</v>
      </c>
      <c r="AA14" s="440">
        <f t="shared" si="0"/>
        <v>2044</v>
      </c>
      <c r="AB14" s="440">
        <f t="shared" si="0"/>
        <v>2045</v>
      </c>
      <c r="AC14" s="440">
        <f t="shared" si="0"/>
        <v>2046</v>
      </c>
      <c r="AD14" s="440">
        <f t="shared" si="0"/>
        <v>2047</v>
      </c>
      <c r="AE14" s="440">
        <f t="shared" si="0"/>
        <v>2048</v>
      </c>
      <c r="AF14" s="440">
        <f t="shared" si="0"/>
        <v>2049</v>
      </c>
      <c r="AG14" s="440">
        <f t="shared" si="0"/>
        <v>2050</v>
      </c>
      <c r="AH14" s="440">
        <f t="shared" si="0"/>
        <v>2051</v>
      </c>
      <c r="AI14" s="440">
        <f t="shared" si="0"/>
        <v>2052</v>
      </c>
      <c r="AJ14" s="440">
        <f t="shared" si="0"/>
        <v>2053</v>
      </c>
      <c r="AK14" s="440">
        <f t="shared" si="0"/>
        <v>2054</v>
      </c>
      <c r="AL14" s="440">
        <f t="shared" si="0"/>
        <v>2055</v>
      </c>
    </row>
    <row r="15" spans="1:38" ht="13">
      <c r="B15" s="400" t="s">
        <v>639</v>
      </c>
      <c r="C15" s="401" t="s">
        <v>640</v>
      </c>
      <c r="D15" s="441">
        <f>'400 North'!D6</f>
        <v>2202.837213977748</v>
      </c>
      <c r="E15" s="441">
        <f>'400 North'!E6</f>
        <v>2267.8078864162576</v>
      </c>
      <c r="F15" s="441">
        <f>'400 North'!F6</f>
        <v>2334.6948095201942</v>
      </c>
      <c r="G15" s="441">
        <f>'400 North'!G6</f>
        <v>2403.5545013534002</v>
      </c>
      <c r="H15" s="441">
        <f>'400 North'!H6</f>
        <v>2474.4451469284099</v>
      </c>
      <c r="I15" s="441">
        <f>'400 North'!I6</f>
        <v>2547.4266473715784</v>
      </c>
      <c r="J15" s="441">
        <f>'400 North'!J6</f>
        <v>2622.5606705382952</v>
      </c>
      <c r="K15" s="441">
        <f>'400 North'!K6</f>
        <v>2699.9107031210401</v>
      </c>
      <c r="L15" s="441">
        <f>'400 North'!L6</f>
        <v>2779.5421042943253</v>
      </c>
      <c r="M15" s="441">
        <f>'400 North'!M6</f>
        <v>2861.5221609418413</v>
      </c>
      <c r="N15" s="441">
        <f>'400 North'!N6</f>
        <v>2945.9201445124813</v>
      </c>
      <c r="O15" s="441">
        <f>'400 North'!O6</f>
        <v>3032.8073695532789</v>
      </c>
      <c r="P15" s="441">
        <f>'400 North'!P6</f>
        <v>3122.2572539687212</v>
      </c>
      <c r="Q15" s="441">
        <f>'400 North'!Q6</f>
        <v>3214.3453810573592</v>
      </c>
      <c r="R15" s="441">
        <f>'400 North'!R6</f>
        <v>3309.1495633781242</v>
      </c>
      <c r="S15" s="441">
        <f>'400 North'!S6</f>
        <v>3406.7499085003356</v>
      </c>
      <c r="T15" s="441">
        <f>'400 North'!T6</f>
        <v>3507.2288866929271</v>
      </c>
      <c r="U15" s="441">
        <f>'400 North'!U6</f>
        <v>3610.6714006101201</v>
      </c>
      <c r="V15" s="441">
        <f>'400 North'!V6</f>
        <v>3717.1648570324087</v>
      </c>
      <c r="W15" s="441">
        <f>'400 North'!W6</f>
        <v>3826.7992407234738</v>
      </c>
      <c r="X15" s="441">
        <f>'400 North'!X6</f>
        <v>3939.6671904654445</v>
      </c>
      <c r="Y15" s="441">
        <f>'400 North'!Y6</f>
        <v>4055.8640773367501</v>
      </c>
      <c r="Z15" s="441">
        <f>'400 North'!Z6</f>
        <v>4175.4880852987053</v>
      </c>
      <c r="AA15" s="441">
        <f>'400 North'!AA6</f>
        <v>4298.6402941589204</v>
      </c>
      <c r="AB15" s="441">
        <f>'400 North'!AB6</f>
        <v>4425.4247649816471</v>
      </c>
      <c r="AC15" s="441">
        <f>'400 North'!AC6</f>
        <v>4555.9486280172177</v>
      </c>
      <c r="AD15" s="441">
        <f>'400 North'!AD6</f>
        <v>4690.3221732248912</v>
      </c>
      <c r="AE15" s="441">
        <f>'400 North'!AE6</f>
        <v>4828.6589434655789</v>
      </c>
      <c r="AF15" s="441">
        <f>'400 North'!AF6</f>
        <v>4971.0758304432065</v>
      </c>
      <c r="AG15" s="441">
        <f>'400 North'!AG6</f>
        <v>5117.6931734757918</v>
      </c>
      <c r="AH15" s="441">
        <f>'400 North'!AH6</f>
        <v>5268.634861179662</v>
      </c>
      <c r="AI15" s="441">
        <f>'400 North'!AI6</f>
        <v>5424.0284361527765</v>
      </c>
      <c r="AJ15" s="441">
        <f>'400 North'!AJ6</f>
        <v>5584.0052027455731</v>
      </c>
      <c r="AK15" s="441">
        <f>'400 North'!AK6</f>
        <v>5748.7003380104252</v>
      </c>
      <c r="AL15" s="441">
        <f>'400 North'!AL6</f>
        <v>5918.2530059234505</v>
      </c>
    </row>
    <row r="16" spans="1:38" ht="13">
      <c r="B16" s="400" t="s">
        <v>641</v>
      </c>
      <c r="C16" s="401" t="s">
        <v>642</v>
      </c>
      <c r="D16" s="442">
        <f>'400 North'!D10</f>
        <v>8.0848515288584082</v>
      </c>
      <c r="E16" s="442">
        <f>'400 North'!E10</f>
        <v>8.1706030304605175</v>
      </c>
      <c r="F16" s="442">
        <f>'400 North'!F10</f>
        <v>8.2572640503142321</v>
      </c>
      <c r="G16" s="442">
        <f>'400 North'!G10</f>
        <v>8.3448442351713243</v>
      </c>
      <c r="H16" s="442">
        <f>'400 North'!H10</f>
        <v>8.4333533341012696</v>
      </c>
      <c r="I16" s="442">
        <f>'400 North'!I10</f>
        <v>8.5228011995764756</v>
      </c>
      <c r="J16" s="442">
        <f>'400 North'!J10</f>
        <v>8.6131977885690176</v>
      </c>
      <c r="K16" s="442">
        <f>'400 North'!K10</f>
        <v>8.7045531636590106</v>
      </c>
      <c r="L16" s="442">
        <f>'400 North'!L10</f>
        <v>8.7968774941547299</v>
      </c>
      <c r="M16" s="442">
        <f>'400 North'!M10</f>
        <v>8.8901810572246251</v>
      </c>
      <c r="N16" s="442">
        <f>'400 North'!N10</f>
        <v>8.9844742390413206</v>
      </c>
      <c r="O16" s="442">
        <f>'400 North'!O10</f>
        <v>9.0797675359377763</v>
      </c>
      <c r="P16" s="442">
        <f>'400 North'!P10</f>
        <v>9.1760715555756835</v>
      </c>
      <c r="Q16" s="442">
        <f>'400 North'!Q10</f>
        <v>9.2733970181262784</v>
      </c>
      <c r="R16" s="442">
        <f>'400 North'!R10</f>
        <v>9.3717547574636537</v>
      </c>
      <c r="S16" s="442">
        <f>'400 North'!S10</f>
        <v>9.4711557223707619</v>
      </c>
      <c r="T16" s="442">
        <f>'400 North'!T10</f>
        <v>9.5716109777581639</v>
      </c>
      <c r="U16" s="442">
        <f>'400 North'!U10</f>
        <v>9.6731317058957522</v>
      </c>
      <c r="V16" s="442">
        <f>'400 North'!V10</f>
        <v>9.775729207657502</v>
      </c>
      <c r="W16" s="442">
        <f>'400 North'!W10</f>
        <v>9.8794149037794448</v>
      </c>
      <c r="X16" s="442">
        <f>'400 North'!X10</f>
        <v>9.9842003361309732</v>
      </c>
      <c r="Y16" s="442">
        <f>'400 North'!Y10</f>
        <v>10.090097168999641</v>
      </c>
      <c r="Z16" s="442">
        <f>'400 North'!Z10</f>
        <v>10.19711719038958</v>
      </c>
      <c r="AA16" s="442">
        <f>'400 North'!AA10</f>
        <v>10.305272313333695</v>
      </c>
      <c r="AB16" s="442">
        <f>'400 North'!AB10</f>
        <v>10.414574577219767</v>
      </c>
      <c r="AC16" s="442">
        <f>'400 North'!AC10</f>
        <v>10.525036149130644</v>
      </c>
      <c r="AD16" s="442">
        <f>'400 North'!AD10</f>
        <v>10.636669325198612</v>
      </c>
      <c r="AE16" s="442">
        <f>'400 North'!AE10</f>
        <v>10.749486531974167</v>
      </c>
      <c r="AF16" s="442">
        <f>'400 North'!AF10</f>
        <v>10.863500327809277</v>
      </c>
      <c r="AG16" s="442">
        <f>'400 North'!AG10</f>
        <v>10.978723404255332</v>
      </c>
      <c r="AH16" s="442">
        <f>'400 North'!AH10</f>
        <v>11.095168587475913</v>
      </c>
      <c r="AI16" s="442">
        <f>'400 North'!AI10</f>
        <v>11.212848839674553</v>
      </c>
      <c r="AJ16" s="442">
        <f>'400 North'!AJ10</f>
        <v>11.331777260537629</v>
      </c>
      <c r="AK16" s="442">
        <f>'400 North'!AK10</f>
        <v>11.451967088692575</v>
      </c>
      <c r="AL16" s="442">
        <f>'400 North'!AL10</f>
        <v>11.573431703181543</v>
      </c>
    </row>
    <row r="17" spans="2:38" ht="13">
      <c r="B17" s="400" t="s">
        <v>643</v>
      </c>
      <c r="C17" s="401" t="s">
        <v>644</v>
      </c>
      <c r="D17" s="442">
        <f>'400 North'!D10</f>
        <v>8.0848515288584082</v>
      </c>
      <c r="E17" s="442">
        <f>'400 North'!E10</f>
        <v>8.1706030304605175</v>
      </c>
      <c r="F17" s="442">
        <f>'400 North'!F10</f>
        <v>8.2572640503142321</v>
      </c>
      <c r="G17" s="442">
        <f>'400 North'!G10</f>
        <v>8.3448442351713243</v>
      </c>
      <c r="H17" s="442">
        <f>'400 North'!H10</f>
        <v>8.4333533341012696</v>
      </c>
      <c r="I17" s="442">
        <f>'400 North'!I10</f>
        <v>8.5228011995764756</v>
      </c>
      <c r="J17" s="442">
        <f>'400 North'!J10</f>
        <v>8.6131977885690176</v>
      </c>
      <c r="K17" s="442">
        <f>'400 North'!K10</f>
        <v>8.7045531636590106</v>
      </c>
      <c r="L17" s="442">
        <f>'400 North'!L10</f>
        <v>8.7968774941547299</v>
      </c>
      <c r="M17" s="442">
        <f>'400 North'!M10</f>
        <v>8.8901810572246251</v>
      </c>
      <c r="N17" s="442">
        <f>'400 North'!N10</f>
        <v>8.9844742390413206</v>
      </c>
      <c r="O17" s="442">
        <f>'400 North'!O10</f>
        <v>9.0797675359377763</v>
      </c>
      <c r="P17" s="442">
        <f>'400 North'!P10</f>
        <v>9.1760715555756835</v>
      </c>
      <c r="Q17" s="442">
        <f>'400 North'!Q10</f>
        <v>9.2733970181262784</v>
      </c>
      <c r="R17" s="442">
        <f>'400 North'!R10</f>
        <v>9.3717547574636537</v>
      </c>
      <c r="S17" s="442">
        <f>'400 North'!S10</f>
        <v>9.4711557223707619</v>
      </c>
      <c r="T17" s="442">
        <f>'400 North'!T10</f>
        <v>9.5716109777581639</v>
      </c>
      <c r="U17" s="442">
        <f>'400 North'!U10</f>
        <v>9.6731317058957522</v>
      </c>
      <c r="V17" s="442">
        <f>'400 North'!V10</f>
        <v>9.775729207657502</v>
      </c>
      <c r="W17" s="442">
        <f>'400 North'!W10</f>
        <v>9.8794149037794448</v>
      </c>
      <c r="X17" s="442">
        <f>'400 North'!X10</f>
        <v>9.9842003361309732</v>
      </c>
      <c r="Y17" s="442">
        <f>'400 North'!Y10</f>
        <v>10.090097168999641</v>
      </c>
      <c r="Z17" s="442">
        <f>'400 North'!Z10</f>
        <v>10.19711719038958</v>
      </c>
      <c r="AA17" s="442">
        <f>'400 North'!AA10</f>
        <v>10.305272313333695</v>
      </c>
      <c r="AB17" s="442">
        <f>'400 North'!AB10</f>
        <v>10.414574577219767</v>
      </c>
      <c r="AC17" s="442">
        <f>'400 North'!AC10</f>
        <v>10.525036149130644</v>
      </c>
      <c r="AD17" s="442">
        <f>'400 North'!AD10</f>
        <v>10.636669325198612</v>
      </c>
      <c r="AE17" s="442">
        <f>'400 North'!AE10</f>
        <v>10.749486531974167</v>
      </c>
      <c r="AF17" s="442">
        <f>'400 North'!AF10</f>
        <v>10.863500327809277</v>
      </c>
      <c r="AG17" s="442">
        <f>'400 North'!AG10</f>
        <v>10.978723404255332</v>
      </c>
      <c r="AH17" s="442">
        <f>'400 North'!AH10</f>
        <v>11.095168587475913</v>
      </c>
      <c r="AI17" s="442">
        <f>'400 North'!AI10</f>
        <v>11.212848839674553</v>
      </c>
      <c r="AJ17" s="442">
        <f>'400 North'!AJ10</f>
        <v>11.331777260537629</v>
      </c>
      <c r="AK17" s="442">
        <f>'400 North'!AK10</f>
        <v>11.451967088692575</v>
      </c>
      <c r="AL17" s="442">
        <f>'400 North'!AL10</f>
        <v>11.573431703181543</v>
      </c>
    </row>
    <row r="18" spans="2:38" ht="13">
      <c r="B18" s="400" t="s">
        <v>645</v>
      </c>
      <c r="C18" s="401" t="s">
        <v>646</v>
      </c>
      <c r="D18" s="442">
        <f>'400 North'!D11</f>
        <v>4.0424257644292041</v>
      </c>
      <c r="E18" s="442">
        <f>'400 North'!E11</f>
        <v>4.0853015152302588</v>
      </c>
      <c r="F18" s="442">
        <f>'400 North'!F11</f>
        <v>4.128632025157116</v>
      </c>
      <c r="G18" s="442">
        <f>'400 North'!G11</f>
        <v>4.1724221175856622</v>
      </c>
      <c r="H18" s="442">
        <f>'400 North'!H11</f>
        <v>4.2166766670506348</v>
      </c>
      <c r="I18" s="442">
        <f>'400 North'!I11</f>
        <v>4.2614005997882378</v>
      </c>
      <c r="J18" s="442">
        <f>'400 North'!J11</f>
        <v>4.3065988942845088</v>
      </c>
      <c r="K18" s="442">
        <f>'400 North'!K11</f>
        <v>4.3522765818295053</v>
      </c>
      <c r="L18" s="442">
        <f>'400 North'!L11</f>
        <v>4.3984387470773649</v>
      </c>
      <c r="M18" s="442">
        <f>'400 North'!M11</f>
        <v>4.4450905286123126</v>
      </c>
      <c r="N18" s="442">
        <f>'400 North'!N11</f>
        <v>4.4922371195206603</v>
      </c>
      <c r="O18" s="442">
        <f>'400 North'!O11</f>
        <v>4.5398837679688882</v>
      </c>
      <c r="P18" s="442">
        <f>'400 North'!P11</f>
        <v>4.5880357777878418</v>
      </c>
      <c r="Q18" s="442">
        <f>'400 North'!Q11</f>
        <v>4.6366985090631392</v>
      </c>
      <c r="R18" s="442">
        <f>'400 North'!R11</f>
        <v>4.6858773787318269</v>
      </c>
      <c r="S18" s="442">
        <f>'400 North'!S11</f>
        <v>4.7355778611853809</v>
      </c>
      <c r="T18" s="442">
        <f>'400 North'!T11</f>
        <v>4.785805488879082</v>
      </c>
      <c r="U18" s="442">
        <f>'400 North'!U11</f>
        <v>4.8365658529478761</v>
      </c>
      <c r="V18" s="442">
        <f>'400 North'!V11</f>
        <v>4.887864603828751</v>
      </c>
      <c r="W18" s="442">
        <f>'400 North'!W11</f>
        <v>4.9397074518897224</v>
      </c>
      <c r="X18" s="442">
        <f>'400 North'!X11</f>
        <v>4.9921001680654866</v>
      </c>
      <c r="Y18" s="442">
        <f>'400 North'!Y11</f>
        <v>5.0450485844998205</v>
      </c>
      <c r="Z18" s="442">
        <f>'400 North'!Z11</f>
        <v>5.09855859519479</v>
      </c>
      <c r="AA18" s="442">
        <f>'400 North'!AA11</f>
        <v>5.1526361566668477</v>
      </c>
      <c r="AB18" s="442">
        <f>'400 North'!AB11</f>
        <v>5.2072872886098835</v>
      </c>
      <c r="AC18" s="442">
        <f>'400 North'!AC11</f>
        <v>5.2625180745653219</v>
      </c>
      <c r="AD18" s="442">
        <f>'400 North'!AD11</f>
        <v>5.3183346625993062</v>
      </c>
      <c r="AE18" s="442">
        <f>'400 North'!AE11</f>
        <v>5.3747432659870835</v>
      </c>
      <c r="AF18" s="442">
        <f>'400 North'!AF11</f>
        <v>5.4317501639046384</v>
      </c>
      <c r="AG18" s="442">
        <f>'400 North'!AG11</f>
        <v>5.4893617021276659</v>
      </c>
      <c r="AH18" s="442">
        <f>'400 North'!AH11</f>
        <v>5.5475842937379563</v>
      </c>
      <c r="AI18" s="442">
        <f>'400 North'!AI11</f>
        <v>5.6064244198372766</v>
      </c>
      <c r="AJ18" s="442">
        <f>'400 North'!AJ11</f>
        <v>5.6658886302688147</v>
      </c>
      <c r="AK18" s="442">
        <f>'400 North'!AK11</f>
        <v>5.7259835443462874</v>
      </c>
      <c r="AL18" s="442">
        <f>'400 North'!AL11</f>
        <v>5.7867158515907713</v>
      </c>
    </row>
    <row r="19" spans="2:38" ht="13">
      <c r="B19" s="400" t="s">
        <v>1048</v>
      </c>
      <c r="C19" s="401" t="s">
        <v>647</v>
      </c>
      <c r="D19" s="442">
        <v>0</v>
      </c>
      <c r="E19" s="442">
        <v>0</v>
      </c>
      <c r="F19" s="442">
        <v>0</v>
      </c>
      <c r="G19" s="442">
        <v>0</v>
      </c>
      <c r="H19" s="442">
        <v>0</v>
      </c>
      <c r="I19" s="442">
        <v>0</v>
      </c>
      <c r="J19" s="442">
        <v>0</v>
      </c>
      <c r="K19" s="442">
        <v>0</v>
      </c>
      <c r="L19" s="442">
        <v>0</v>
      </c>
      <c r="M19" s="442">
        <v>0</v>
      </c>
      <c r="N19" s="442">
        <v>0</v>
      </c>
      <c r="O19" s="442">
        <v>0</v>
      </c>
      <c r="P19" s="442">
        <v>0</v>
      </c>
      <c r="Q19" s="442">
        <v>0</v>
      </c>
      <c r="R19" s="442">
        <v>0</v>
      </c>
      <c r="S19" s="442">
        <v>0</v>
      </c>
      <c r="T19" s="442">
        <v>0</v>
      </c>
      <c r="U19" s="442">
        <v>0</v>
      </c>
      <c r="V19" s="442">
        <v>0</v>
      </c>
      <c r="W19" s="442">
        <v>0</v>
      </c>
      <c r="X19" s="442">
        <v>0</v>
      </c>
      <c r="Y19" s="442">
        <v>0</v>
      </c>
      <c r="Z19" s="442">
        <v>0</v>
      </c>
      <c r="AA19" s="442">
        <v>0</v>
      </c>
      <c r="AB19" s="442">
        <v>0</v>
      </c>
      <c r="AC19" s="442">
        <v>0</v>
      </c>
      <c r="AD19" s="442">
        <v>0</v>
      </c>
      <c r="AE19" s="442">
        <v>0</v>
      </c>
      <c r="AF19" s="442">
        <v>0</v>
      </c>
      <c r="AG19" s="442">
        <v>0</v>
      </c>
      <c r="AH19" s="442">
        <v>0</v>
      </c>
      <c r="AI19" s="442">
        <v>0</v>
      </c>
      <c r="AJ19" s="442">
        <v>0</v>
      </c>
      <c r="AK19" s="442">
        <v>0</v>
      </c>
      <c r="AL19" s="442">
        <v>0</v>
      </c>
    </row>
    <row r="20" spans="2:38" ht="13">
      <c r="B20" s="400" t="s">
        <v>648</v>
      </c>
      <c r="C20" s="401" t="s">
        <v>649</v>
      </c>
      <c r="D20" s="441">
        <f>'Crossing Inputs'!$H34</f>
        <v>7.5</v>
      </c>
      <c r="E20" s="441">
        <f>'Crossing Inputs'!$H34</f>
        <v>7.5</v>
      </c>
      <c r="F20" s="441">
        <f>'Crossing Inputs'!$H34</f>
        <v>7.5</v>
      </c>
      <c r="G20" s="441">
        <f>'Crossing Inputs'!$H34</f>
        <v>7.5</v>
      </c>
      <c r="H20" s="441">
        <f>'Crossing Inputs'!$H34</f>
        <v>7.5</v>
      </c>
      <c r="I20" s="441">
        <f>'Crossing Inputs'!$H34</f>
        <v>7.5</v>
      </c>
      <c r="J20" s="441">
        <f>'Crossing Inputs'!$H34</f>
        <v>7.5</v>
      </c>
      <c r="K20" s="441">
        <f>'Crossing Inputs'!$H34</f>
        <v>7.5</v>
      </c>
      <c r="L20" s="441">
        <f>'Crossing Inputs'!$H34</f>
        <v>7.5</v>
      </c>
      <c r="M20" s="441">
        <f>'Crossing Inputs'!$H34</f>
        <v>7.5</v>
      </c>
      <c r="N20" s="441">
        <f>'Crossing Inputs'!$H34</f>
        <v>7.5</v>
      </c>
      <c r="O20" s="441">
        <f>'Crossing Inputs'!$H34</f>
        <v>7.5</v>
      </c>
      <c r="P20" s="441">
        <f>'Crossing Inputs'!$H34</f>
        <v>7.5</v>
      </c>
      <c r="Q20" s="441">
        <f>'Crossing Inputs'!$H34</f>
        <v>7.5</v>
      </c>
      <c r="R20" s="441">
        <f>'Crossing Inputs'!$H34</f>
        <v>7.5</v>
      </c>
      <c r="S20" s="441">
        <f>'Crossing Inputs'!$H34</f>
        <v>7.5</v>
      </c>
      <c r="T20" s="441">
        <f>'Crossing Inputs'!$H34</f>
        <v>7.5</v>
      </c>
      <c r="U20" s="441">
        <f>'Crossing Inputs'!$H34</f>
        <v>7.5</v>
      </c>
      <c r="V20" s="441">
        <f>'Crossing Inputs'!$H34</f>
        <v>7.5</v>
      </c>
      <c r="W20" s="441">
        <f>'Crossing Inputs'!$H34</f>
        <v>7.5</v>
      </c>
      <c r="X20" s="441">
        <f>'Crossing Inputs'!$H34</f>
        <v>7.5</v>
      </c>
      <c r="Y20" s="441">
        <f>'Crossing Inputs'!$H34</f>
        <v>7.5</v>
      </c>
      <c r="Z20" s="441">
        <f>'Crossing Inputs'!$H34</f>
        <v>7.5</v>
      </c>
      <c r="AA20" s="441">
        <f>'Crossing Inputs'!$H34</f>
        <v>7.5</v>
      </c>
      <c r="AB20" s="441">
        <f>'Crossing Inputs'!$H34</f>
        <v>7.5</v>
      </c>
      <c r="AC20" s="441">
        <f>'Crossing Inputs'!$H34</f>
        <v>7.5</v>
      </c>
      <c r="AD20" s="441">
        <f>'Crossing Inputs'!$H34</f>
        <v>7.5</v>
      </c>
      <c r="AE20" s="441">
        <f>'Crossing Inputs'!$H34</f>
        <v>7.5</v>
      </c>
      <c r="AF20" s="441">
        <f>'Crossing Inputs'!$H34</f>
        <v>7.5</v>
      </c>
      <c r="AG20" s="441">
        <f>'Crossing Inputs'!$H34</f>
        <v>7.5</v>
      </c>
      <c r="AH20" s="441">
        <f>'Crossing Inputs'!$H34</f>
        <v>7.5</v>
      </c>
      <c r="AI20" s="441">
        <f>'Crossing Inputs'!$H34</f>
        <v>7.5</v>
      </c>
      <c r="AJ20" s="441">
        <f>'Crossing Inputs'!$H34</f>
        <v>7.5</v>
      </c>
      <c r="AK20" s="441">
        <f>'Crossing Inputs'!$H34</f>
        <v>7.5</v>
      </c>
      <c r="AL20" s="441">
        <f>'Crossing Inputs'!$H34</f>
        <v>7.5</v>
      </c>
    </row>
    <row r="21" spans="2:38" ht="13">
      <c r="B21" s="400"/>
      <c r="C21" s="403"/>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row>
    <row r="22" spans="2:38" ht="13">
      <c r="B22" s="400"/>
      <c r="C22" s="404"/>
      <c r="D22" s="440">
        <f t="shared" ref="D22:AL22" si="1">D$1</f>
        <v>2021</v>
      </c>
      <c r="E22" s="440">
        <f t="shared" si="1"/>
        <v>2022</v>
      </c>
      <c r="F22" s="440">
        <f t="shared" si="1"/>
        <v>2023</v>
      </c>
      <c r="G22" s="440">
        <f t="shared" si="1"/>
        <v>2024</v>
      </c>
      <c r="H22" s="1229">
        <f t="shared" si="1"/>
        <v>2025</v>
      </c>
      <c r="I22" s="440">
        <f t="shared" si="1"/>
        <v>2026</v>
      </c>
      <c r="J22" s="440">
        <f t="shared" si="1"/>
        <v>2027</v>
      </c>
      <c r="K22" s="440">
        <f t="shared" si="1"/>
        <v>2028</v>
      </c>
      <c r="L22" s="440">
        <f t="shared" si="1"/>
        <v>2029</v>
      </c>
      <c r="M22" s="440">
        <f t="shared" si="1"/>
        <v>2030</v>
      </c>
      <c r="N22" s="440">
        <f t="shared" si="1"/>
        <v>2031</v>
      </c>
      <c r="O22" s="440">
        <f t="shared" si="1"/>
        <v>2032</v>
      </c>
      <c r="P22" s="440">
        <f t="shared" si="1"/>
        <v>2033</v>
      </c>
      <c r="Q22" s="440">
        <f t="shared" si="1"/>
        <v>2034</v>
      </c>
      <c r="R22" s="440">
        <f t="shared" si="1"/>
        <v>2035</v>
      </c>
      <c r="S22" s="440">
        <f t="shared" si="1"/>
        <v>2036</v>
      </c>
      <c r="T22" s="440">
        <f t="shared" si="1"/>
        <v>2037</v>
      </c>
      <c r="U22" s="440">
        <f t="shared" si="1"/>
        <v>2038</v>
      </c>
      <c r="V22" s="440">
        <f t="shared" si="1"/>
        <v>2039</v>
      </c>
      <c r="W22" s="440">
        <f t="shared" si="1"/>
        <v>2040</v>
      </c>
      <c r="X22" s="440">
        <f t="shared" si="1"/>
        <v>2041</v>
      </c>
      <c r="Y22" s="440">
        <f t="shared" si="1"/>
        <v>2042</v>
      </c>
      <c r="Z22" s="440">
        <f t="shared" si="1"/>
        <v>2043</v>
      </c>
      <c r="AA22" s="440">
        <f t="shared" si="1"/>
        <v>2044</v>
      </c>
      <c r="AB22" s="440">
        <f t="shared" si="1"/>
        <v>2045</v>
      </c>
      <c r="AC22" s="440">
        <f t="shared" si="1"/>
        <v>2046</v>
      </c>
      <c r="AD22" s="440">
        <f t="shared" si="1"/>
        <v>2047</v>
      </c>
      <c r="AE22" s="440">
        <f t="shared" si="1"/>
        <v>2048</v>
      </c>
      <c r="AF22" s="440">
        <f t="shared" si="1"/>
        <v>2049</v>
      </c>
      <c r="AG22" s="440">
        <f t="shared" si="1"/>
        <v>2050</v>
      </c>
      <c r="AH22" s="440">
        <f t="shared" si="1"/>
        <v>2051</v>
      </c>
      <c r="AI22" s="440">
        <f t="shared" si="1"/>
        <v>2052</v>
      </c>
      <c r="AJ22" s="440">
        <f t="shared" si="1"/>
        <v>2053</v>
      </c>
      <c r="AK22" s="440">
        <f t="shared" si="1"/>
        <v>2054</v>
      </c>
      <c r="AL22" s="440">
        <f t="shared" si="1"/>
        <v>2055</v>
      </c>
    </row>
    <row r="23" spans="2:38" ht="13">
      <c r="B23" s="400" t="s">
        <v>354</v>
      </c>
      <c r="C23" s="404"/>
      <c r="D23" s="405">
        <f t="shared" ref="D23:AL23" si="2">D$56</f>
        <v>0.17387085299104882</v>
      </c>
      <c r="E23" s="405">
        <f t="shared" si="2"/>
        <v>0.17600009074869749</v>
      </c>
      <c r="F23" s="405">
        <f t="shared" si="2"/>
        <v>0.17815544570157779</v>
      </c>
      <c r="G23" s="405">
        <f t="shared" si="2"/>
        <v>0.18033723828583903</v>
      </c>
      <c r="H23" s="1240">
        <f t="shared" si="2"/>
        <v>0.1825457928696563</v>
      </c>
      <c r="I23" s="405">
        <f t="shared" si="2"/>
        <v>0.18478143780146331</v>
      </c>
      <c r="J23" s="405">
        <f t="shared" si="2"/>
        <v>0.18704450545877774</v>
      </c>
      <c r="K23" s="405">
        <f t="shared" si="2"/>
        <v>0.18933533229762564</v>
      </c>
      <c r="L23" s="405">
        <f t="shared" si="2"/>
        <v>0.19165425890257284</v>
      </c>
      <c r="M23" s="405">
        <f t="shared" si="2"/>
        <v>0.19400163003737031</v>
      </c>
      <c r="N23" s="405">
        <f t="shared" si="2"/>
        <v>0.19637779469622116</v>
      </c>
      <c r="O23" s="405">
        <f t="shared" si="2"/>
        <v>0.19878310615567737</v>
      </c>
      <c r="P23" s="405">
        <f t="shared" si="2"/>
        <v>0.20121792202717373</v>
      </c>
      <c r="Q23" s="405">
        <f t="shared" si="2"/>
        <v>0.20368260431020499</v>
      </c>
      <c r="R23" s="405">
        <f t="shared" si="2"/>
        <v>0.20617751944615847</v>
      </c>
      <c r="S23" s="405">
        <f t="shared" si="2"/>
        <v>0.2087030383728051</v>
      </c>
      <c r="T23" s="405">
        <f t="shared" si="2"/>
        <v>0.21125953657946045</v>
      </c>
      <c r="U23" s="405">
        <f t="shared" si="2"/>
        <v>0.21384739416282253</v>
      </c>
      <c r="V23" s="405">
        <f t="shared" si="2"/>
        <v>0.21646699588349494</v>
      </c>
      <c r="W23" s="405">
        <f t="shared" si="2"/>
        <v>0.21911873122320405</v>
      </c>
      <c r="X23" s="405">
        <f t="shared" si="2"/>
        <v>0.22180299444271778</v>
      </c>
      <c r="Y23" s="405">
        <f t="shared" si="2"/>
        <v>0.22452018464047621</v>
      </c>
      <c r="Z23" s="405">
        <f t="shared" si="2"/>
        <v>0.2272707058119407</v>
      </c>
      <c r="AA23" s="405">
        <f t="shared" si="2"/>
        <v>0.23005496690967289</v>
      </c>
      <c r="AB23" s="405">
        <f t="shared" si="2"/>
        <v>0.23287338190414922</v>
      </c>
      <c r="AC23" s="405">
        <f t="shared" si="2"/>
        <v>0.23572636984532325</v>
      </c>
      <c r="AD23" s="405">
        <f t="shared" si="2"/>
        <v>0.23861435492494276</v>
      </c>
      <c r="AE23" s="405">
        <f t="shared" si="2"/>
        <v>0.24153776653963302</v>
      </c>
      <c r="AF23" s="405">
        <f t="shared" si="2"/>
        <v>0.2444970393547512</v>
      </c>
      <c r="AG23" s="405">
        <f t="shared" si="2"/>
        <v>0.24749261336902859</v>
      </c>
      <c r="AH23" s="405">
        <f t="shared" si="2"/>
        <v>0.25052493398000225</v>
      </c>
      <c r="AI23" s="405">
        <f t="shared" si="2"/>
        <v>0.25359445205025255</v>
      </c>
      <c r="AJ23" s="405">
        <f t="shared" si="2"/>
        <v>0.25670162397445229</v>
      </c>
      <c r="AK23" s="405">
        <f t="shared" si="2"/>
        <v>0.25984691174723784</v>
      </c>
      <c r="AL23" s="405">
        <f t="shared" si="2"/>
        <v>0.2630307830319154</v>
      </c>
    </row>
    <row r="24" spans="2:38" ht="13">
      <c r="B24" s="400" t="s">
        <v>650</v>
      </c>
      <c r="C24" s="404"/>
      <c r="D24" s="405">
        <f t="shared" ref="D24:AL24" si="3">D$64*D$23</f>
        <v>2.233688147817547E-3</v>
      </c>
      <c r="E24" s="405">
        <f t="shared" si="3"/>
        <v>2.2631924092407873E-3</v>
      </c>
      <c r="F24" s="405">
        <f t="shared" si="3"/>
        <v>2.2930894129601907E-3</v>
      </c>
      <c r="G24" s="405">
        <f t="shared" si="3"/>
        <v>2.3233843999689507E-3</v>
      </c>
      <c r="H24" s="1240">
        <f t="shared" si="3"/>
        <v>2.3540826812116704E-3</v>
      </c>
      <c r="I24" s="405">
        <f t="shared" si="3"/>
        <v>2.3851896385176834E-3</v>
      </c>
      <c r="J24" s="405">
        <f t="shared" si="3"/>
        <v>2.4167107255468521E-3</v>
      </c>
      <c r="K24" s="405">
        <f t="shared" si="3"/>
        <v>2.4486514687479754E-3</v>
      </c>
      <c r="L24" s="405">
        <f t="shared" si="3"/>
        <v>2.4810174683300083E-3</v>
      </c>
      <c r="M24" s="405">
        <f t="shared" si="3"/>
        <v>2.5138143992462308E-3</v>
      </c>
      <c r="N24" s="405">
        <f t="shared" si="3"/>
        <v>2.5470480121915625E-3</v>
      </c>
      <c r="O24" s="405">
        <f t="shared" si="3"/>
        <v>2.5807241346131895E-3</v>
      </c>
      <c r="P24" s="405">
        <f t="shared" si="3"/>
        <v>2.6148486717346886E-3</v>
      </c>
      <c r="Q24" s="405">
        <f t="shared" si="3"/>
        <v>2.6494276075938019E-3</v>
      </c>
      <c r="R24" s="405">
        <f t="shared" si="3"/>
        <v>2.6844670060940921E-3</v>
      </c>
      <c r="S24" s="405">
        <f t="shared" si="3"/>
        <v>2.7199730120706115E-3</v>
      </c>
      <c r="T24" s="405">
        <f t="shared" si="3"/>
        <v>2.7559518523698119E-3</v>
      </c>
      <c r="U24" s="405">
        <f t="shared" si="3"/>
        <v>2.7924098369438584E-3</v>
      </c>
      <c r="V24" s="405">
        <f t="shared" si="3"/>
        <v>2.8293533599595602E-3</v>
      </c>
      <c r="W24" s="405">
        <f t="shared" si="3"/>
        <v>2.8667889009220916E-3</v>
      </c>
      <c r="X24" s="405">
        <f t="shared" si="3"/>
        <v>2.9047230258137211E-3</v>
      </c>
      <c r="Y24" s="405">
        <f t="shared" si="3"/>
        <v>2.9431623882477395E-3</v>
      </c>
      <c r="Z24" s="405">
        <f t="shared" si="3"/>
        <v>2.9821137306377766E-3</v>
      </c>
      <c r="AA24" s="405">
        <f t="shared" si="3"/>
        <v>3.0215838853827528E-3</v>
      </c>
      <c r="AB24" s="405">
        <f t="shared" si="3"/>
        <v>3.0615797760676152E-3</v>
      </c>
      <c r="AC24" s="405">
        <f t="shared" si="3"/>
        <v>3.1021084186801154E-3</v>
      </c>
      <c r="AD24" s="405">
        <f t="shared" si="3"/>
        <v>3.1431769228438293E-3</v>
      </c>
      <c r="AE24" s="405">
        <f t="shared" si="3"/>
        <v>3.1847924930676367E-3</v>
      </c>
      <c r="AF24" s="405">
        <f t="shared" si="3"/>
        <v>3.2269624300118502E-3</v>
      </c>
      <c r="AG24" s="405">
        <f t="shared" si="3"/>
        <v>3.2696941317712897E-3</v>
      </c>
      <c r="AH24" s="405">
        <f t="shared" si="3"/>
        <v>3.3129950951754322E-3</v>
      </c>
      <c r="AI24" s="405">
        <f t="shared" si="3"/>
        <v>3.356872917105951E-3</v>
      </c>
      <c r="AJ24" s="405">
        <f t="shared" si="3"/>
        <v>3.4013352958318231E-3</v>
      </c>
      <c r="AK24" s="405">
        <f t="shared" si="3"/>
        <v>3.4463900323622441E-3</v>
      </c>
      <c r="AL24" s="405">
        <f t="shared" si="3"/>
        <v>3.4920450318176284E-3</v>
      </c>
    </row>
    <row r="25" spans="2:38" ht="13">
      <c r="B25" s="400" t="s">
        <v>651</v>
      </c>
      <c r="C25" s="404"/>
      <c r="D25" s="405">
        <f t="shared" ref="D25:AK25" si="4">D$73*D23</f>
        <v>3.3863495816811993E-2</v>
      </c>
      <c r="E25" s="405">
        <f t="shared" si="4"/>
        <v>3.4277766913230971E-2</v>
      </c>
      <c r="F25" s="405">
        <f t="shared" si="4"/>
        <v>3.4697113366756703E-2</v>
      </c>
      <c r="G25" s="405">
        <f t="shared" si="4"/>
        <v>3.5121597364444417E-2</v>
      </c>
      <c r="H25" s="1240">
        <f t="shared" si="4"/>
        <v>3.5551281855325002E-2</v>
      </c>
      <c r="I25" s="405">
        <f t="shared" si="4"/>
        <v>3.5986230559737029E-2</v>
      </c>
      <c r="J25" s="405">
        <f t="shared" si="4"/>
        <v>3.6426507978773275E-2</v>
      </c>
      <c r="K25" s="405">
        <f t="shared" si="4"/>
        <v>3.6872179403842881E-2</v>
      </c>
      <c r="L25" s="405">
        <f t="shared" si="4"/>
        <v>3.73233109263508E-2</v>
      </c>
      <c r="M25" s="405">
        <f t="shared" si="4"/>
        <v>3.7779969447495822E-2</v>
      </c>
      <c r="N25" s="405">
        <f t="shared" si="4"/>
        <v>3.8242222688188575E-2</v>
      </c>
      <c r="O25" s="405">
        <f t="shared" si="4"/>
        <v>3.8710139199091262E-2</v>
      </c>
      <c r="P25" s="405">
        <f t="shared" si="4"/>
        <v>3.9183788370780348E-2</v>
      </c>
      <c r="Q25" s="405">
        <f t="shared" si="4"/>
        <v>3.9663240444033528E-2</v>
      </c>
      <c r="R25" s="405">
        <f t="shared" si="4"/>
        <v>4.0148566520243234E-2</v>
      </c>
      <c r="S25" s="405">
        <f t="shared" si="4"/>
        <v>4.0639838571957299E-2</v>
      </c>
      <c r="T25" s="405">
        <f t="shared" si="4"/>
        <v>4.1137129453549026E-2</v>
      </c>
      <c r="U25" s="405">
        <f t="shared" si="4"/>
        <v>4.1640512912017882E-2</v>
      </c>
      <c r="V25" s="405">
        <f t="shared" si="4"/>
        <v>4.2150063597922567E-2</v>
      </c>
      <c r="W25" s="405">
        <f t="shared" si="4"/>
        <v>4.2665857076448079E-2</v>
      </c>
      <c r="X25" s="405">
        <f t="shared" si="4"/>
        <v>4.3187969838608266E-2</v>
      </c>
      <c r="Y25" s="405">
        <f t="shared" si="4"/>
        <v>4.3716479312585793E-2</v>
      </c>
      <c r="Z25" s="405">
        <f t="shared" si="4"/>
        <v>4.4251463875210825E-2</v>
      </c>
      <c r="AA25" s="405">
        <f t="shared" si="4"/>
        <v>4.4793002863580664E-2</v>
      </c>
      <c r="AB25" s="405">
        <f t="shared" si="4"/>
        <v>4.5341176586821366E-2</v>
      </c>
      <c r="AC25" s="405">
        <f t="shared" si="4"/>
        <v>4.5896066337993736E-2</v>
      </c>
      <c r="AD25" s="405">
        <f t="shared" si="4"/>
        <v>4.6457754406145038E-2</v>
      </c>
      <c r="AE25" s="405">
        <f t="shared" si="4"/>
        <v>4.7026324088508584E-2</v>
      </c>
      <c r="AF25" s="405">
        <f t="shared" si="4"/>
        <v>4.7601859702852245E-2</v>
      </c>
      <c r="AG25" s="405">
        <f t="shared" si="4"/>
        <v>4.8184446599979031E-2</v>
      </c>
      <c r="AH25" s="405">
        <f t="shared" si="4"/>
        <v>4.8774171176380006E-2</v>
      </c>
      <c r="AI25" s="405">
        <f t="shared" si="4"/>
        <v>4.9371120887042839E-2</v>
      </c>
      <c r="AJ25" s="405">
        <f t="shared" si="4"/>
        <v>4.9975384258416938E-2</v>
      </c>
      <c r="AK25" s="405">
        <f t="shared" si="4"/>
        <v>5.0587050901537381E-2</v>
      </c>
      <c r="AL25" s="405">
        <f t="shared" ref="AL25" si="5">AL$73*AL23</f>
        <v>5.1206211525309846E-2</v>
      </c>
    </row>
    <row r="26" spans="2:38">
      <c r="H26" s="1228"/>
    </row>
    <row r="27" spans="2:38" ht="13">
      <c r="B27" s="364" t="s">
        <v>652</v>
      </c>
      <c r="H27" s="1228"/>
    </row>
    <row r="28" spans="2:38" ht="13">
      <c r="B28" s="407" t="s">
        <v>615</v>
      </c>
      <c r="C28" s="396" t="s">
        <v>627</v>
      </c>
      <c r="D28" s="440">
        <f t="shared" ref="D28:AL28" si="6">D$1</f>
        <v>2021</v>
      </c>
      <c r="E28" s="440">
        <f t="shared" si="6"/>
        <v>2022</v>
      </c>
      <c r="F28" s="440">
        <f t="shared" si="6"/>
        <v>2023</v>
      </c>
      <c r="G28" s="440">
        <f t="shared" si="6"/>
        <v>2024</v>
      </c>
      <c r="H28" s="1229">
        <f t="shared" si="6"/>
        <v>2025</v>
      </c>
      <c r="I28" s="440">
        <f t="shared" si="6"/>
        <v>2026</v>
      </c>
      <c r="J28" s="440">
        <f t="shared" si="6"/>
        <v>2027</v>
      </c>
      <c r="K28" s="440">
        <f t="shared" si="6"/>
        <v>2028</v>
      </c>
      <c r="L28" s="440">
        <f t="shared" si="6"/>
        <v>2029</v>
      </c>
      <c r="M28" s="440">
        <f t="shared" si="6"/>
        <v>2030</v>
      </c>
      <c r="N28" s="440">
        <f t="shared" si="6"/>
        <v>2031</v>
      </c>
      <c r="O28" s="440">
        <f t="shared" si="6"/>
        <v>2032</v>
      </c>
      <c r="P28" s="440">
        <f t="shared" si="6"/>
        <v>2033</v>
      </c>
      <c r="Q28" s="440">
        <f t="shared" si="6"/>
        <v>2034</v>
      </c>
      <c r="R28" s="440">
        <f t="shared" si="6"/>
        <v>2035</v>
      </c>
      <c r="S28" s="440">
        <f t="shared" si="6"/>
        <v>2036</v>
      </c>
      <c r="T28" s="440">
        <f t="shared" si="6"/>
        <v>2037</v>
      </c>
      <c r="U28" s="440">
        <f t="shared" si="6"/>
        <v>2038</v>
      </c>
      <c r="V28" s="440">
        <f t="shared" si="6"/>
        <v>2039</v>
      </c>
      <c r="W28" s="440">
        <f t="shared" si="6"/>
        <v>2040</v>
      </c>
      <c r="X28" s="440">
        <f t="shared" si="6"/>
        <v>2041</v>
      </c>
      <c r="Y28" s="440">
        <f t="shared" si="6"/>
        <v>2042</v>
      </c>
      <c r="Z28" s="440">
        <f t="shared" si="6"/>
        <v>2043</v>
      </c>
      <c r="AA28" s="440">
        <f t="shared" si="6"/>
        <v>2044</v>
      </c>
      <c r="AB28" s="440">
        <f t="shared" si="6"/>
        <v>2045</v>
      </c>
      <c r="AC28" s="440">
        <f t="shared" si="6"/>
        <v>2046</v>
      </c>
      <c r="AD28" s="440">
        <f t="shared" si="6"/>
        <v>2047</v>
      </c>
      <c r="AE28" s="440">
        <f t="shared" si="6"/>
        <v>2048</v>
      </c>
      <c r="AF28" s="440">
        <f t="shared" si="6"/>
        <v>2049</v>
      </c>
      <c r="AG28" s="440">
        <f t="shared" si="6"/>
        <v>2050</v>
      </c>
      <c r="AH28" s="440">
        <f t="shared" si="6"/>
        <v>2051</v>
      </c>
      <c r="AI28" s="440">
        <f t="shared" si="6"/>
        <v>2052</v>
      </c>
      <c r="AJ28" s="440">
        <f t="shared" si="6"/>
        <v>2053</v>
      </c>
      <c r="AK28" s="440">
        <f t="shared" si="6"/>
        <v>2054</v>
      </c>
      <c r="AL28" s="440">
        <f t="shared" si="6"/>
        <v>2055</v>
      </c>
    </row>
    <row r="29" spans="2:38" ht="13">
      <c r="B29" s="364" t="s">
        <v>624</v>
      </c>
      <c r="C29" s="408"/>
      <c r="D29" s="358"/>
      <c r="E29" s="409"/>
      <c r="F29" s="410"/>
      <c r="G29" s="410"/>
      <c r="H29" s="1234"/>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row>
    <row r="30" spans="2:38">
      <c r="B30" s="411" t="s">
        <v>653</v>
      </c>
      <c r="C30" s="412" t="s">
        <v>654</v>
      </c>
      <c r="D30" s="413">
        <f t="shared" ref="D30:AL30" si="7">((D$15*D$16+0.2)/0.2)^(0.3334)</f>
        <v>44.689595143833166</v>
      </c>
      <c r="E30" s="413">
        <f t="shared" si="7"/>
        <v>45.283794442292937</v>
      </c>
      <c r="F30" s="413">
        <f t="shared" si="7"/>
        <v>45.88589455947951</v>
      </c>
      <c r="G30" s="413">
        <f t="shared" si="7"/>
        <v>46.496000542508177</v>
      </c>
      <c r="H30" s="413">
        <f t="shared" si="7"/>
        <v>47.11421883534787</v>
      </c>
      <c r="I30" s="413">
        <f t="shared" si="7"/>
        <v>47.740657297391209</v>
      </c>
      <c r="J30" s="413">
        <f t="shared" si="7"/>
        <v>48.375425222271204</v>
      </c>
      <c r="K30" s="413">
        <f t="shared" si="7"/>
        <v>49.018633356928703</v>
      </c>
      <c r="L30" s="413">
        <f t="shared" si="7"/>
        <v>49.670393920932952</v>
      </c>
      <c r="M30" s="413">
        <f t="shared" si="7"/>
        <v>50.330820626059577</v>
      </c>
      <c r="N30" s="413">
        <f t="shared" si="7"/>
        <v>51.000028696128489</v>
      </c>
      <c r="O30" s="413">
        <f t="shared" si="7"/>
        <v>51.678134887106218</v>
      </c>
      <c r="P30" s="413">
        <f t="shared" si="7"/>
        <v>52.365257507474858</v>
      </c>
      <c r="Q30" s="413">
        <f t="shared" si="7"/>
        <v>53.061516438872573</v>
      </c>
      <c r="R30" s="413">
        <f t="shared" si="7"/>
        <v>53.767033157008299</v>
      </c>
      <c r="S30" s="413">
        <f t="shared" si="7"/>
        <v>54.481930752854517</v>
      </c>
      <c r="T30" s="413">
        <f t="shared" si="7"/>
        <v>55.206333954122222</v>
      </c>
      <c r="U30" s="413">
        <f t="shared" si="7"/>
        <v>55.940369147020959</v>
      </c>
      <c r="V30" s="413">
        <f t="shared" si="7"/>
        <v>56.684164398308837</v>
      </c>
      <c r="W30" s="413">
        <f t="shared" si="7"/>
        <v>57.437849477635375</v>
      </c>
      <c r="X30" s="413">
        <f t="shared" si="7"/>
        <v>58.201555880181523</v>
      </c>
      <c r="Y30" s="413">
        <f t="shared" si="7"/>
        <v>58.975416849600919</v>
      </c>
      <c r="Z30" s="413">
        <f t="shared" si="7"/>
        <v>59.759567401266267</v>
      </c>
      <c r="AA30" s="413">
        <f t="shared" si="7"/>
        <v>60.554144345824412</v>
      </c>
      <c r="AB30" s="413">
        <f t="shared" si="7"/>
        <v>61.359286313065368</v>
      </c>
      <c r="AC30" s="413">
        <f t="shared" si="7"/>
        <v>62.175133776108147</v>
      </c>
      <c r="AD30" s="413">
        <f t="shared" si="7"/>
        <v>63.00182907590851</v>
      </c>
      <c r="AE30" s="413">
        <f t="shared" si="7"/>
        <v>63.839516446092603</v>
      </c>
      <c r="AF30" s="413">
        <f t="shared" si="7"/>
        <v>64.688342038120666</v>
      </c>
      <c r="AG30" s="413">
        <f t="shared" si="7"/>
        <v>65.548453946785799</v>
      </c>
      <c r="AH30" s="413">
        <f t="shared" si="7"/>
        <v>66.42000223605109</v>
      </c>
      <c r="AI30" s="413">
        <f t="shared" si="7"/>
        <v>67.303138965231184</v>
      </c>
      <c r="AJ30" s="413">
        <f t="shared" si="7"/>
        <v>68.198018215521373</v>
      </c>
      <c r="AK30" s="413">
        <f t="shared" si="7"/>
        <v>69.104796116879342</v>
      </c>
      <c r="AL30" s="413">
        <f t="shared" si="7"/>
        <v>70.023630875265354</v>
      </c>
    </row>
    <row r="31" spans="2:38">
      <c r="B31" s="411" t="s">
        <v>655</v>
      </c>
      <c r="C31" s="412" t="s">
        <v>656</v>
      </c>
      <c r="D31" s="414">
        <f t="shared" ref="D31:AL31" si="8">EXP(0.2094*$D$9)</f>
        <v>1.5201362971260179</v>
      </c>
      <c r="E31" s="415">
        <f t="shared" si="8"/>
        <v>1.5201362971260179</v>
      </c>
      <c r="F31" s="415">
        <f t="shared" si="8"/>
        <v>1.5201362971260179</v>
      </c>
      <c r="G31" s="415">
        <f t="shared" si="8"/>
        <v>1.5201362971260179</v>
      </c>
      <c r="H31" s="1235">
        <f t="shared" si="8"/>
        <v>1.5201362971260179</v>
      </c>
      <c r="I31" s="415">
        <f t="shared" si="8"/>
        <v>1.5201362971260179</v>
      </c>
      <c r="J31" s="415">
        <f t="shared" si="8"/>
        <v>1.5201362971260179</v>
      </c>
      <c r="K31" s="415">
        <f t="shared" si="8"/>
        <v>1.5201362971260179</v>
      </c>
      <c r="L31" s="415">
        <f t="shared" si="8"/>
        <v>1.5201362971260179</v>
      </c>
      <c r="M31" s="415">
        <f t="shared" si="8"/>
        <v>1.5201362971260179</v>
      </c>
      <c r="N31" s="415">
        <f t="shared" si="8"/>
        <v>1.5201362971260179</v>
      </c>
      <c r="O31" s="415">
        <f t="shared" si="8"/>
        <v>1.5201362971260179</v>
      </c>
      <c r="P31" s="415">
        <f t="shared" si="8"/>
        <v>1.5201362971260179</v>
      </c>
      <c r="Q31" s="415">
        <f t="shared" si="8"/>
        <v>1.5201362971260179</v>
      </c>
      <c r="R31" s="415">
        <f t="shared" si="8"/>
        <v>1.5201362971260179</v>
      </c>
      <c r="S31" s="415">
        <f t="shared" si="8"/>
        <v>1.5201362971260179</v>
      </c>
      <c r="T31" s="415">
        <f t="shared" si="8"/>
        <v>1.5201362971260179</v>
      </c>
      <c r="U31" s="415">
        <f t="shared" si="8"/>
        <v>1.5201362971260179</v>
      </c>
      <c r="V31" s="415">
        <f t="shared" si="8"/>
        <v>1.5201362971260179</v>
      </c>
      <c r="W31" s="415">
        <f t="shared" si="8"/>
        <v>1.5201362971260179</v>
      </c>
      <c r="X31" s="415">
        <f t="shared" si="8"/>
        <v>1.5201362971260179</v>
      </c>
      <c r="Y31" s="415">
        <f t="shared" si="8"/>
        <v>1.5201362971260179</v>
      </c>
      <c r="Z31" s="415">
        <f t="shared" si="8"/>
        <v>1.5201362971260179</v>
      </c>
      <c r="AA31" s="415">
        <f t="shared" si="8"/>
        <v>1.5201362971260179</v>
      </c>
      <c r="AB31" s="415">
        <f t="shared" si="8"/>
        <v>1.5201362971260179</v>
      </c>
      <c r="AC31" s="415">
        <f t="shared" si="8"/>
        <v>1.5201362971260179</v>
      </c>
      <c r="AD31" s="415">
        <f t="shared" si="8"/>
        <v>1.5201362971260179</v>
      </c>
      <c r="AE31" s="415">
        <f t="shared" si="8"/>
        <v>1.5201362971260179</v>
      </c>
      <c r="AF31" s="415">
        <f t="shared" si="8"/>
        <v>1.5201362971260179</v>
      </c>
      <c r="AG31" s="415">
        <f t="shared" si="8"/>
        <v>1.5201362971260179</v>
      </c>
      <c r="AH31" s="415">
        <f t="shared" si="8"/>
        <v>1.5201362971260179</v>
      </c>
      <c r="AI31" s="415">
        <f t="shared" si="8"/>
        <v>1.5201362971260179</v>
      </c>
      <c r="AJ31" s="415">
        <f t="shared" si="8"/>
        <v>1.5201362971260179</v>
      </c>
      <c r="AK31" s="415">
        <f t="shared" si="8"/>
        <v>1.5201362971260179</v>
      </c>
      <c r="AL31" s="415">
        <f t="shared" si="8"/>
        <v>1.5201362971260179</v>
      </c>
    </row>
    <row r="32" spans="2:38">
      <c r="B32" s="411" t="s">
        <v>657</v>
      </c>
      <c r="C32" s="416" t="s">
        <v>658</v>
      </c>
      <c r="D32" s="417">
        <f t="shared" ref="D32:AL32" si="9">((D$18+0.2)/0.2)^(0.1336)</f>
        <v>1.5039439694520227</v>
      </c>
      <c r="E32" s="417">
        <f t="shared" si="9"/>
        <v>1.5059657870025993</v>
      </c>
      <c r="F32" s="417">
        <f t="shared" si="9"/>
        <v>1.5079913203920043</v>
      </c>
      <c r="G32" s="417">
        <f t="shared" si="9"/>
        <v>1.5100205677833436</v>
      </c>
      <c r="H32" s="417">
        <f t="shared" si="9"/>
        <v>1.5120535273873423</v>
      </c>
      <c r="I32" s="417">
        <f t="shared" si="9"/>
        <v>1.5140901974622014</v>
      </c>
      <c r="J32" s="417">
        <f t="shared" si="9"/>
        <v>1.5161305763134527</v>
      </c>
      <c r="K32" s="417">
        <f t="shared" si="9"/>
        <v>1.5181746622938119</v>
      </c>
      <c r="L32" s="417">
        <f t="shared" si="9"/>
        <v>1.520222453803028</v>
      </c>
      <c r="M32" s="417">
        <f t="shared" si="9"/>
        <v>1.5222739492877324</v>
      </c>
      <c r="N32" s="417">
        <f t="shared" si="9"/>
        <v>1.5243291472412857</v>
      </c>
      <c r="O32" s="417">
        <f t="shared" si="9"/>
        <v>1.5263880462036212</v>
      </c>
      <c r="P32" s="417">
        <f t="shared" si="9"/>
        <v>1.5284506447610882</v>
      </c>
      <c r="Q32" s="417">
        <f t="shared" si="9"/>
        <v>1.530516941546292</v>
      </c>
      <c r="R32" s="417">
        <f t="shared" si="9"/>
        <v>1.5325869352379347</v>
      </c>
      <c r="S32" s="417">
        <f t="shared" si="9"/>
        <v>1.5346606245606504</v>
      </c>
      <c r="T32" s="417">
        <f t="shared" si="9"/>
        <v>1.5367380082848423</v>
      </c>
      <c r="U32" s="417">
        <f t="shared" si="9"/>
        <v>1.5388190852265171</v>
      </c>
      <c r="V32" s="417">
        <f t="shared" si="9"/>
        <v>1.5409038542471161</v>
      </c>
      <c r="W32" s="417">
        <f t="shared" si="9"/>
        <v>1.5429923142533486</v>
      </c>
      <c r="X32" s="417">
        <f t="shared" si="9"/>
        <v>1.5450844641970205</v>
      </c>
      <c r="Y32" s="417">
        <f t="shared" si="9"/>
        <v>1.5471803030748632</v>
      </c>
      <c r="Z32" s="417">
        <f t="shared" si="9"/>
        <v>1.549279829928361</v>
      </c>
      <c r="AA32" s="417">
        <f t="shared" si="9"/>
        <v>1.5513830438435772</v>
      </c>
      <c r="AB32" s="417">
        <f t="shared" si="9"/>
        <v>1.5534899439509793</v>
      </c>
      <c r="AC32" s="417">
        <f t="shared" si="9"/>
        <v>1.5556005294252619</v>
      </c>
      <c r="AD32" s="417">
        <f t="shared" si="9"/>
        <v>1.5577147994851714</v>
      </c>
      <c r="AE32" s="417">
        <f t="shared" si="9"/>
        <v>1.5598327533933254</v>
      </c>
      <c r="AF32" s="417">
        <f t="shared" si="9"/>
        <v>1.5619543904560358</v>
      </c>
      <c r="AG32" s="417">
        <f t="shared" si="9"/>
        <v>1.5640797100231272</v>
      </c>
      <c r="AH32" s="417">
        <f t="shared" si="9"/>
        <v>1.5662087114877568</v>
      </c>
      <c r="AI32" s="417">
        <f t="shared" si="9"/>
        <v>1.5683413942862328</v>
      </c>
      <c r="AJ32" s="417">
        <f t="shared" si="9"/>
        <v>1.5704777578978313</v>
      </c>
      <c r="AK32" s="417">
        <f t="shared" si="9"/>
        <v>1.5726178018446135</v>
      </c>
      <c r="AL32" s="417">
        <f t="shared" si="9"/>
        <v>1.5747615256912424</v>
      </c>
    </row>
    <row r="33" spans="2:38">
      <c r="B33" s="411" t="s">
        <v>659</v>
      </c>
      <c r="C33" s="412" t="s">
        <v>660</v>
      </c>
      <c r="D33" s="414">
        <f t="shared" ref="D33:AL33" si="10">EXP(-0.616*($E$7-1))</f>
        <v>1</v>
      </c>
      <c r="E33" s="415">
        <f t="shared" si="10"/>
        <v>1</v>
      </c>
      <c r="F33" s="415">
        <f t="shared" si="10"/>
        <v>1</v>
      </c>
      <c r="G33" s="415">
        <f t="shared" si="10"/>
        <v>1</v>
      </c>
      <c r="H33" s="1235">
        <f t="shared" si="10"/>
        <v>1</v>
      </c>
      <c r="I33" s="415">
        <f t="shared" si="10"/>
        <v>1</v>
      </c>
      <c r="J33" s="415">
        <f t="shared" si="10"/>
        <v>1</v>
      </c>
      <c r="K33" s="415">
        <f t="shared" si="10"/>
        <v>1</v>
      </c>
      <c r="L33" s="415">
        <f t="shared" si="10"/>
        <v>1</v>
      </c>
      <c r="M33" s="415">
        <f t="shared" si="10"/>
        <v>1</v>
      </c>
      <c r="N33" s="415">
        <f t="shared" si="10"/>
        <v>1</v>
      </c>
      <c r="O33" s="415">
        <f t="shared" si="10"/>
        <v>1</v>
      </c>
      <c r="P33" s="415">
        <f t="shared" si="10"/>
        <v>1</v>
      </c>
      <c r="Q33" s="415">
        <f t="shared" si="10"/>
        <v>1</v>
      </c>
      <c r="R33" s="415">
        <f t="shared" si="10"/>
        <v>1</v>
      </c>
      <c r="S33" s="415">
        <f t="shared" si="10"/>
        <v>1</v>
      </c>
      <c r="T33" s="415">
        <f t="shared" si="10"/>
        <v>1</v>
      </c>
      <c r="U33" s="415">
        <f t="shared" si="10"/>
        <v>1</v>
      </c>
      <c r="V33" s="415">
        <f t="shared" si="10"/>
        <v>1</v>
      </c>
      <c r="W33" s="415">
        <f t="shared" si="10"/>
        <v>1</v>
      </c>
      <c r="X33" s="415">
        <f t="shared" si="10"/>
        <v>1</v>
      </c>
      <c r="Y33" s="415">
        <f t="shared" si="10"/>
        <v>1</v>
      </c>
      <c r="Z33" s="415">
        <f t="shared" si="10"/>
        <v>1</v>
      </c>
      <c r="AA33" s="415">
        <f t="shared" si="10"/>
        <v>1</v>
      </c>
      <c r="AB33" s="415">
        <f t="shared" si="10"/>
        <v>1</v>
      </c>
      <c r="AC33" s="415">
        <f t="shared" si="10"/>
        <v>1</v>
      </c>
      <c r="AD33" s="415">
        <f t="shared" si="10"/>
        <v>1</v>
      </c>
      <c r="AE33" s="415">
        <f t="shared" si="10"/>
        <v>1</v>
      </c>
      <c r="AF33" s="415">
        <f t="shared" si="10"/>
        <v>1</v>
      </c>
      <c r="AG33" s="415">
        <f t="shared" si="10"/>
        <v>1</v>
      </c>
      <c r="AH33" s="415">
        <f t="shared" si="10"/>
        <v>1</v>
      </c>
      <c r="AI33" s="415">
        <f t="shared" si="10"/>
        <v>1</v>
      </c>
      <c r="AJ33" s="415">
        <f t="shared" si="10"/>
        <v>1</v>
      </c>
      <c r="AK33" s="415">
        <f t="shared" si="10"/>
        <v>1</v>
      </c>
      <c r="AL33" s="415">
        <f t="shared" si="10"/>
        <v>1</v>
      </c>
    </row>
    <row r="34" spans="2:38">
      <c r="B34" s="411" t="s">
        <v>661</v>
      </c>
      <c r="C34" s="412" t="s">
        <v>662</v>
      </c>
      <c r="D34" s="414">
        <f t="shared" ref="D34:AL34" si="11">EXP(0.0077*D$20)</f>
        <v>1.0594501000746941</v>
      </c>
      <c r="E34" s="415">
        <f t="shared" si="11"/>
        <v>1.0594501000746941</v>
      </c>
      <c r="F34" s="415">
        <f t="shared" si="11"/>
        <v>1.0594501000746941</v>
      </c>
      <c r="G34" s="415">
        <f t="shared" si="11"/>
        <v>1.0594501000746941</v>
      </c>
      <c r="H34" s="1235">
        <f t="shared" si="11"/>
        <v>1.0594501000746941</v>
      </c>
      <c r="I34" s="415">
        <f t="shared" si="11"/>
        <v>1.0594501000746941</v>
      </c>
      <c r="J34" s="415">
        <f t="shared" si="11"/>
        <v>1.0594501000746941</v>
      </c>
      <c r="K34" s="415">
        <f t="shared" si="11"/>
        <v>1.0594501000746941</v>
      </c>
      <c r="L34" s="415">
        <f t="shared" si="11"/>
        <v>1.0594501000746941</v>
      </c>
      <c r="M34" s="415">
        <f t="shared" si="11"/>
        <v>1.0594501000746941</v>
      </c>
      <c r="N34" s="415">
        <f t="shared" si="11"/>
        <v>1.0594501000746941</v>
      </c>
      <c r="O34" s="415">
        <f t="shared" si="11"/>
        <v>1.0594501000746941</v>
      </c>
      <c r="P34" s="415">
        <f t="shared" si="11"/>
        <v>1.0594501000746941</v>
      </c>
      <c r="Q34" s="415">
        <f t="shared" si="11"/>
        <v>1.0594501000746941</v>
      </c>
      <c r="R34" s="415">
        <f t="shared" si="11"/>
        <v>1.0594501000746941</v>
      </c>
      <c r="S34" s="415">
        <f t="shared" si="11"/>
        <v>1.0594501000746941</v>
      </c>
      <c r="T34" s="415">
        <f t="shared" si="11"/>
        <v>1.0594501000746941</v>
      </c>
      <c r="U34" s="415">
        <f t="shared" si="11"/>
        <v>1.0594501000746941</v>
      </c>
      <c r="V34" s="415">
        <f t="shared" si="11"/>
        <v>1.0594501000746941</v>
      </c>
      <c r="W34" s="415">
        <f t="shared" si="11"/>
        <v>1.0594501000746941</v>
      </c>
      <c r="X34" s="415">
        <f t="shared" si="11"/>
        <v>1.0594501000746941</v>
      </c>
      <c r="Y34" s="415">
        <f t="shared" si="11"/>
        <v>1.0594501000746941</v>
      </c>
      <c r="Z34" s="415">
        <f t="shared" si="11"/>
        <v>1.0594501000746941</v>
      </c>
      <c r="AA34" s="415">
        <f t="shared" si="11"/>
        <v>1.0594501000746941</v>
      </c>
      <c r="AB34" s="415">
        <f t="shared" si="11"/>
        <v>1.0594501000746941</v>
      </c>
      <c r="AC34" s="415">
        <f t="shared" si="11"/>
        <v>1.0594501000746941</v>
      </c>
      <c r="AD34" s="415">
        <f t="shared" si="11"/>
        <v>1.0594501000746941</v>
      </c>
      <c r="AE34" s="415">
        <f t="shared" si="11"/>
        <v>1.0594501000746941</v>
      </c>
      <c r="AF34" s="415">
        <f t="shared" si="11"/>
        <v>1.0594501000746941</v>
      </c>
      <c r="AG34" s="415">
        <f t="shared" si="11"/>
        <v>1.0594501000746941</v>
      </c>
      <c r="AH34" s="415">
        <f t="shared" si="11"/>
        <v>1.0594501000746941</v>
      </c>
      <c r="AI34" s="415">
        <f t="shared" si="11"/>
        <v>1.0594501000746941</v>
      </c>
      <c r="AJ34" s="415">
        <f t="shared" si="11"/>
        <v>1.0594501000746941</v>
      </c>
      <c r="AK34" s="415">
        <f t="shared" si="11"/>
        <v>1.0594501000746941</v>
      </c>
      <c r="AL34" s="415">
        <f t="shared" si="11"/>
        <v>1.0594501000746941</v>
      </c>
    </row>
    <row r="35" spans="2:38">
      <c r="B35" s="411" t="s">
        <v>663</v>
      </c>
      <c r="C35" s="412" t="s">
        <v>664</v>
      </c>
      <c r="D35" s="414">
        <f t="shared" ref="D35:AL35" si="12">EXP(-0.1*($E$8-1))</f>
        <v>0.60653065971263342</v>
      </c>
      <c r="E35" s="415">
        <f t="shared" si="12"/>
        <v>0.60653065971263342</v>
      </c>
      <c r="F35" s="415">
        <f t="shared" si="12"/>
        <v>0.60653065971263342</v>
      </c>
      <c r="G35" s="415">
        <f t="shared" si="12"/>
        <v>0.60653065971263342</v>
      </c>
      <c r="H35" s="1235">
        <f t="shared" si="12"/>
        <v>0.60653065971263342</v>
      </c>
      <c r="I35" s="415">
        <f t="shared" si="12"/>
        <v>0.60653065971263342</v>
      </c>
      <c r="J35" s="415">
        <f t="shared" si="12"/>
        <v>0.60653065971263342</v>
      </c>
      <c r="K35" s="415">
        <f t="shared" si="12"/>
        <v>0.60653065971263342</v>
      </c>
      <c r="L35" s="415">
        <f t="shared" si="12"/>
        <v>0.60653065971263342</v>
      </c>
      <c r="M35" s="415">
        <f t="shared" si="12"/>
        <v>0.60653065971263342</v>
      </c>
      <c r="N35" s="415">
        <f t="shared" si="12"/>
        <v>0.60653065971263342</v>
      </c>
      <c r="O35" s="415">
        <f t="shared" si="12"/>
        <v>0.60653065971263342</v>
      </c>
      <c r="P35" s="415">
        <f t="shared" si="12"/>
        <v>0.60653065971263342</v>
      </c>
      <c r="Q35" s="415">
        <f t="shared" si="12"/>
        <v>0.60653065971263342</v>
      </c>
      <c r="R35" s="415">
        <f t="shared" si="12"/>
        <v>0.60653065971263342</v>
      </c>
      <c r="S35" s="415">
        <f t="shared" si="12"/>
        <v>0.60653065971263342</v>
      </c>
      <c r="T35" s="415">
        <f t="shared" si="12"/>
        <v>0.60653065971263342</v>
      </c>
      <c r="U35" s="415">
        <f t="shared" si="12"/>
        <v>0.60653065971263342</v>
      </c>
      <c r="V35" s="415">
        <f t="shared" si="12"/>
        <v>0.60653065971263342</v>
      </c>
      <c r="W35" s="415">
        <f t="shared" si="12"/>
        <v>0.60653065971263342</v>
      </c>
      <c r="X35" s="415">
        <f t="shared" si="12"/>
        <v>0.60653065971263342</v>
      </c>
      <c r="Y35" s="415">
        <f t="shared" si="12"/>
        <v>0.60653065971263342</v>
      </c>
      <c r="Z35" s="415">
        <f t="shared" si="12"/>
        <v>0.60653065971263342</v>
      </c>
      <c r="AA35" s="415">
        <f t="shared" si="12"/>
        <v>0.60653065971263342</v>
      </c>
      <c r="AB35" s="415">
        <f t="shared" si="12"/>
        <v>0.60653065971263342</v>
      </c>
      <c r="AC35" s="415">
        <f t="shared" si="12"/>
        <v>0.60653065971263342</v>
      </c>
      <c r="AD35" s="415">
        <f t="shared" si="12"/>
        <v>0.60653065971263342</v>
      </c>
      <c r="AE35" s="415">
        <f t="shared" si="12"/>
        <v>0.60653065971263342</v>
      </c>
      <c r="AF35" s="415">
        <f t="shared" si="12"/>
        <v>0.60653065971263342</v>
      </c>
      <c r="AG35" s="415">
        <f t="shared" si="12"/>
        <v>0.60653065971263342</v>
      </c>
      <c r="AH35" s="415">
        <f t="shared" si="12"/>
        <v>0.60653065971263342</v>
      </c>
      <c r="AI35" s="415">
        <f t="shared" si="12"/>
        <v>0.60653065971263342</v>
      </c>
      <c r="AJ35" s="415">
        <f t="shared" si="12"/>
        <v>0.60653065971263342</v>
      </c>
      <c r="AK35" s="415">
        <f t="shared" si="12"/>
        <v>0.60653065971263342</v>
      </c>
      <c r="AL35" s="415">
        <f t="shared" si="12"/>
        <v>0.60653065971263342</v>
      </c>
    </row>
    <row r="36" spans="2:38">
      <c r="B36" s="411" t="s">
        <v>665</v>
      </c>
      <c r="C36" s="412" t="s">
        <v>666</v>
      </c>
      <c r="D36" s="414">
        <v>1</v>
      </c>
      <c r="E36" s="414">
        <v>1</v>
      </c>
      <c r="F36" s="414">
        <v>1</v>
      </c>
      <c r="G36" s="414">
        <v>1</v>
      </c>
      <c r="H36" s="417">
        <v>1</v>
      </c>
      <c r="I36" s="414">
        <v>1</v>
      </c>
      <c r="J36" s="414">
        <v>1</v>
      </c>
      <c r="K36" s="414">
        <v>1</v>
      </c>
      <c r="L36" s="414">
        <v>1</v>
      </c>
      <c r="M36" s="414">
        <v>1</v>
      </c>
      <c r="N36" s="414">
        <v>1</v>
      </c>
      <c r="O36" s="414">
        <v>1</v>
      </c>
      <c r="P36" s="414">
        <v>1</v>
      </c>
      <c r="Q36" s="414">
        <v>1</v>
      </c>
      <c r="R36" s="414">
        <v>1</v>
      </c>
      <c r="S36" s="414">
        <v>1</v>
      </c>
      <c r="T36" s="414">
        <v>1</v>
      </c>
      <c r="U36" s="414">
        <v>1</v>
      </c>
      <c r="V36" s="414">
        <v>1</v>
      </c>
      <c r="W36" s="414">
        <v>1</v>
      </c>
      <c r="X36" s="414">
        <v>1</v>
      </c>
      <c r="Y36" s="414">
        <v>1</v>
      </c>
      <c r="Z36" s="414">
        <v>1</v>
      </c>
      <c r="AA36" s="414">
        <v>1</v>
      </c>
      <c r="AB36" s="414">
        <v>1</v>
      </c>
      <c r="AC36" s="414">
        <v>1</v>
      </c>
      <c r="AD36" s="414">
        <v>1</v>
      </c>
      <c r="AE36" s="414">
        <v>1</v>
      </c>
      <c r="AF36" s="414">
        <v>1</v>
      </c>
      <c r="AG36" s="414">
        <v>1</v>
      </c>
      <c r="AH36" s="414">
        <v>1</v>
      </c>
      <c r="AI36" s="414">
        <v>1</v>
      </c>
      <c r="AJ36" s="414">
        <v>1</v>
      </c>
      <c r="AK36" s="414">
        <v>1</v>
      </c>
      <c r="AL36" s="414">
        <v>1</v>
      </c>
    </row>
    <row r="37" spans="2:38" s="421" customFormat="1" ht="13">
      <c r="B37" s="418"/>
      <c r="C37" s="419"/>
      <c r="D37" s="420"/>
      <c r="E37" s="420"/>
      <c r="F37" s="420"/>
      <c r="G37" s="420"/>
      <c r="H37" s="1236"/>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row>
    <row r="38" spans="2:38" s="421" customFormat="1" ht="13">
      <c r="B38" s="422" t="s">
        <v>667</v>
      </c>
      <c r="C38" s="408"/>
      <c r="D38" s="420"/>
      <c r="E38" s="420"/>
      <c r="F38" s="420"/>
      <c r="G38" s="420"/>
      <c r="H38" s="1236"/>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row>
    <row r="39" spans="2:38" s="421" customFormat="1">
      <c r="B39" s="411" t="s">
        <v>653</v>
      </c>
      <c r="C39" s="412" t="s">
        <v>654</v>
      </c>
      <c r="D39" s="423">
        <f t="shared" ref="D39:AL39" si="13">((D$15*D$16+0.2)/0.2)^(0.2953)</f>
        <v>28.948465168000222</v>
      </c>
      <c r="E39" s="423">
        <f t="shared" si="13"/>
        <v>29.289124789122514</v>
      </c>
      <c r="F39" s="423">
        <f t="shared" si="13"/>
        <v>29.633793371306947</v>
      </c>
      <c r="G39" s="423">
        <f t="shared" si="13"/>
        <v>29.982518088850512</v>
      </c>
      <c r="H39" s="423">
        <f t="shared" si="13"/>
        <v>30.335346671272571</v>
      </c>
      <c r="I39" s="423">
        <f t="shared" si="13"/>
        <v>30.692327409846499</v>
      </c>
      <c r="J39" s="423">
        <f t="shared" si="13"/>
        <v>31.05350916420824</v>
      </c>
      <c r="K39" s="423">
        <f t="shared" si="13"/>
        <v>31.418941369042752</v>
      </c>
      <c r="L39" s="423">
        <f t="shared" si="13"/>
        <v>31.788674040849099</v>
      </c>
      <c r="M39" s="423">
        <f t="shared" si="13"/>
        <v>32.162757784785313</v>
      </c>
      <c r="N39" s="423">
        <f t="shared" si="13"/>
        <v>32.541243801593716</v>
      </c>
      <c r="O39" s="423">
        <f t="shared" si="13"/>
        <v>32.924183894607964</v>
      </c>
      <c r="P39" s="423">
        <f t="shared" si="13"/>
        <v>33.311630476842517</v>
      </c>
      <c r="Q39" s="423">
        <f t="shared" si="13"/>
        <v>33.703636578165451</v>
      </c>
      <c r="R39" s="423">
        <f t="shared" si="13"/>
        <v>34.10025585255606</v>
      </c>
      <c r="S39" s="423">
        <f t="shared" si="13"/>
        <v>34.501542585447559</v>
      </c>
      <c r="T39" s="423">
        <f t="shared" si="13"/>
        <v>34.907551701156471</v>
      </c>
      <c r="U39" s="423">
        <f t="shared" si="13"/>
        <v>35.318338770399336</v>
      </c>
      <c r="V39" s="423">
        <f t="shared" si="13"/>
        <v>35.73396001789807</v>
      </c>
      <c r="W39" s="423">
        <f t="shared" si="13"/>
        <v>36.154472330074746</v>
      </c>
      <c r="X39" s="423">
        <f t="shared" si="13"/>
        <v>36.579933262836995</v>
      </c>
      <c r="Y39" s="423">
        <f t="shared" si="13"/>
        <v>37.010401049455112</v>
      </c>
      <c r="Z39" s="423">
        <f t="shared" si="13"/>
        <v>37.445934608531793</v>
      </c>
      <c r="AA39" s="423">
        <f t="shared" si="13"/>
        <v>37.886593552065897</v>
      </c>
      <c r="AB39" s="423">
        <f t="shared" si="13"/>
        <v>38.332438193610841</v>
      </c>
      <c r="AC39" s="423">
        <f t="shared" si="13"/>
        <v>38.783529556529317</v>
      </c>
      <c r="AD39" s="423">
        <f t="shared" si="13"/>
        <v>39.239929382344997</v>
      </c>
      <c r="AE39" s="423">
        <f t="shared" si="13"/>
        <v>39.701700139192752</v>
      </c>
      <c r="AF39" s="423">
        <f t="shared" si="13"/>
        <v>40.168905030367995</v>
      </c>
      <c r="AG39" s="423">
        <f t="shared" si="13"/>
        <v>40.641608002977122</v>
      </c>
      <c r="AH39" s="423">
        <f t="shared" si="13"/>
        <v>41.119873756689373</v>
      </c>
      <c r="AI39" s="423">
        <f t="shared" si="13"/>
        <v>41.603767752591999</v>
      </c>
      <c r="AJ39" s="423">
        <f t="shared" si="13"/>
        <v>42.093356222149545</v>
      </c>
      <c r="AK39" s="423">
        <f t="shared" si="13"/>
        <v>42.588706176268467</v>
      </c>
      <c r="AL39" s="423">
        <f t="shared" si="13"/>
        <v>43.089885414468775</v>
      </c>
    </row>
    <row r="40" spans="2:38" s="421" customFormat="1">
      <c r="B40" s="411" t="s">
        <v>655</v>
      </c>
      <c r="C40" s="412" t="s">
        <v>656</v>
      </c>
      <c r="D40" s="414">
        <f t="shared" ref="D40:AL40" si="14">EXP(0.1088*$D$9)</f>
        <v>1.2430897322657162</v>
      </c>
      <c r="E40" s="414">
        <f t="shared" si="14"/>
        <v>1.2430897322657162</v>
      </c>
      <c r="F40" s="414">
        <f t="shared" si="14"/>
        <v>1.2430897322657162</v>
      </c>
      <c r="G40" s="414">
        <f t="shared" si="14"/>
        <v>1.2430897322657162</v>
      </c>
      <c r="H40" s="417">
        <f t="shared" si="14"/>
        <v>1.2430897322657162</v>
      </c>
      <c r="I40" s="414">
        <f t="shared" si="14"/>
        <v>1.2430897322657162</v>
      </c>
      <c r="J40" s="414">
        <f t="shared" si="14"/>
        <v>1.2430897322657162</v>
      </c>
      <c r="K40" s="414">
        <f t="shared" si="14"/>
        <v>1.2430897322657162</v>
      </c>
      <c r="L40" s="414">
        <f t="shared" si="14"/>
        <v>1.2430897322657162</v>
      </c>
      <c r="M40" s="414">
        <f t="shared" si="14"/>
        <v>1.2430897322657162</v>
      </c>
      <c r="N40" s="414">
        <f t="shared" si="14"/>
        <v>1.2430897322657162</v>
      </c>
      <c r="O40" s="414">
        <f t="shared" si="14"/>
        <v>1.2430897322657162</v>
      </c>
      <c r="P40" s="414">
        <f t="shared" si="14"/>
        <v>1.2430897322657162</v>
      </c>
      <c r="Q40" s="414">
        <f t="shared" si="14"/>
        <v>1.2430897322657162</v>
      </c>
      <c r="R40" s="414">
        <f t="shared" si="14"/>
        <v>1.2430897322657162</v>
      </c>
      <c r="S40" s="414">
        <f t="shared" si="14"/>
        <v>1.2430897322657162</v>
      </c>
      <c r="T40" s="414">
        <f t="shared" si="14"/>
        <v>1.2430897322657162</v>
      </c>
      <c r="U40" s="414">
        <f t="shared" si="14"/>
        <v>1.2430897322657162</v>
      </c>
      <c r="V40" s="414">
        <f t="shared" si="14"/>
        <v>1.2430897322657162</v>
      </c>
      <c r="W40" s="414">
        <f t="shared" si="14"/>
        <v>1.2430897322657162</v>
      </c>
      <c r="X40" s="414">
        <f t="shared" si="14"/>
        <v>1.2430897322657162</v>
      </c>
      <c r="Y40" s="414">
        <f t="shared" si="14"/>
        <v>1.2430897322657162</v>
      </c>
      <c r="Z40" s="414">
        <f t="shared" si="14"/>
        <v>1.2430897322657162</v>
      </c>
      <c r="AA40" s="414">
        <f t="shared" si="14"/>
        <v>1.2430897322657162</v>
      </c>
      <c r="AB40" s="414">
        <f t="shared" si="14"/>
        <v>1.2430897322657162</v>
      </c>
      <c r="AC40" s="414">
        <f t="shared" si="14"/>
        <v>1.2430897322657162</v>
      </c>
      <c r="AD40" s="414">
        <f t="shared" si="14"/>
        <v>1.2430897322657162</v>
      </c>
      <c r="AE40" s="414">
        <f t="shared" si="14"/>
        <v>1.2430897322657162</v>
      </c>
      <c r="AF40" s="414">
        <f t="shared" si="14"/>
        <v>1.2430897322657162</v>
      </c>
      <c r="AG40" s="414">
        <f t="shared" si="14"/>
        <v>1.2430897322657162</v>
      </c>
      <c r="AH40" s="414">
        <f t="shared" si="14"/>
        <v>1.2430897322657162</v>
      </c>
      <c r="AI40" s="414">
        <f t="shared" si="14"/>
        <v>1.2430897322657162</v>
      </c>
      <c r="AJ40" s="414">
        <f t="shared" si="14"/>
        <v>1.2430897322657162</v>
      </c>
      <c r="AK40" s="414">
        <f t="shared" si="14"/>
        <v>1.2430897322657162</v>
      </c>
      <c r="AL40" s="414">
        <f t="shared" si="14"/>
        <v>1.2430897322657162</v>
      </c>
    </row>
    <row r="41" spans="2:38" s="421" customFormat="1">
      <c r="B41" s="411" t="s">
        <v>657</v>
      </c>
      <c r="C41" s="416" t="s">
        <v>658</v>
      </c>
      <c r="D41" s="417">
        <f t="shared" ref="D41:AL41" si="15">((D$18+0.2)/0.2)^(0.047)</f>
        <v>1.1543817707159612</v>
      </c>
      <c r="E41" s="417">
        <f t="shared" si="15"/>
        <v>1.1549274808764554</v>
      </c>
      <c r="F41" s="417">
        <f t="shared" si="15"/>
        <v>1.1554737179811641</v>
      </c>
      <c r="G41" s="417">
        <f t="shared" si="15"/>
        <v>1.1560204799705083</v>
      </c>
      <c r="H41" s="417">
        <f t="shared" si="15"/>
        <v>1.1565677648024966</v>
      </c>
      <c r="I41" s="417">
        <f t="shared" si="15"/>
        <v>1.1571155704526312</v>
      </c>
      <c r="J41" s="417">
        <f t="shared" si="15"/>
        <v>1.1576638949138149</v>
      </c>
      <c r="K41" s="417">
        <f t="shared" si="15"/>
        <v>1.158212736196256</v>
      </c>
      <c r="L41" s="417">
        <f t="shared" si="15"/>
        <v>1.1587620923273747</v>
      </c>
      <c r="M41" s="417">
        <f t="shared" si="15"/>
        <v>1.1593119613517071</v>
      </c>
      <c r="N41" s="417">
        <f t="shared" si="15"/>
        <v>1.1598623413308109</v>
      </c>
      <c r="O41" s="417">
        <f t="shared" si="15"/>
        <v>1.1604132303431685</v>
      </c>
      <c r="P41" s="417">
        <f t="shared" si="15"/>
        <v>1.1609646264840923</v>
      </c>
      <c r="Q41" s="417">
        <f t="shared" si="15"/>
        <v>1.1615165278656274</v>
      </c>
      <c r="R41" s="417">
        <f t="shared" si="15"/>
        <v>1.1620689326164555</v>
      </c>
      <c r="S41" s="417">
        <f t="shared" si="15"/>
        <v>1.1626218388817977</v>
      </c>
      <c r="T41" s="417">
        <f t="shared" si="15"/>
        <v>1.1631752448233177</v>
      </c>
      <c r="U41" s="417">
        <f t="shared" si="15"/>
        <v>1.1637291486190251</v>
      </c>
      <c r="V41" s="417">
        <f t="shared" si="15"/>
        <v>1.1642835484631764</v>
      </c>
      <c r="W41" s="417">
        <f t="shared" si="15"/>
        <v>1.1648384425661791</v>
      </c>
      <c r="X41" s="417">
        <f t="shared" si="15"/>
        <v>1.165393829154493</v>
      </c>
      <c r="Y41" s="417">
        <f t="shared" si="15"/>
        <v>1.165949706470532</v>
      </c>
      <c r="Z41" s="417">
        <f t="shared" si="15"/>
        <v>1.1665060727725671</v>
      </c>
      <c r="AA41" s="417">
        <f t="shared" si="15"/>
        <v>1.1670629263346277</v>
      </c>
      <c r="AB41" s="417">
        <f t="shared" si="15"/>
        <v>1.1676202654464036</v>
      </c>
      <c r="AC41" s="417">
        <f t="shared" si="15"/>
        <v>1.1681780884131465</v>
      </c>
      <c r="AD41" s="417">
        <f t="shared" si="15"/>
        <v>1.1687363935555717</v>
      </c>
      <c r="AE41" s="417">
        <f t="shared" si="15"/>
        <v>1.1692951792097608</v>
      </c>
      <c r="AF41" s="417">
        <f t="shared" si="15"/>
        <v>1.1698544437270619</v>
      </c>
      <c r="AG41" s="417">
        <f t="shared" si="15"/>
        <v>1.1704141854739927</v>
      </c>
      <c r="AH41" s="417">
        <f t="shared" si="15"/>
        <v>1.1709744028321412</v>
      </c>
      <c r="AI41" s="417">
        <f t="shared" si="15"/>
        <v>1.1715350941980682</v>
      </c>
      <c r="AJ41" s="417">
        <f t="shared" si="15"/>
        <v>1.172096257983209</v>
      </c>
      <c r="AK41" s="417">
        <f t="shared" si="15"/>
        <v>1.1726578926137752</v>
      </c>
      <c r="AL41" s="417">
        <f t="shared" si="15"/>
        <v>1.1732199965306565</v>
      </c>
    </row>
    <row r="42" spans="2:38" s="421" customFormat="1">
      <c r="B42" s="411" t="s">
        <v>659</v>
      </c>
      <c r="C42" s="412" t="s">
        <v>660</v>
      </c>
      <c r="D42" s="414">
        <v>1</v>
      </c>
      <c r="E42" s="414">
        <v>1</v>
      </c>
      <c r="F42" s="414">
        <v>1</v>
      </c>
      <c r="G42" s="414">
        <v>1</v>
      </c>
      <c r="H42" s="417">
        <v>1</v>
      </c>
      <c r="I42" s="414">
        <v>1</v>
      </c>
      <c r="J42" s="414">
        <v>1</v>
      </c>
      <c r="K42" s="414">
        <v>1</v>
      </c>
      <c r="L42" s="414">
        <v>1</v>
      </c>
      <c r="M42" s="414">
        <v>1</v>
      </c>
      <c r="N42" s="414">
        <v>1</v>
      </c>
      <c r="O42" s="414">
        <v>1</v>
      </c>
      <c r="P42" s="414">
        <v>1</v>
      </c>
      <c r="Q42" s="414">
        <v>1</v>
      </c>
      <c r="R42" s="414">
        <v>1</v>
      </c>
      <c r="S42" s="414">
        <v>1</v>
      </c>
      <c r="T42" s="414">
        <v>1</v>
      </c>
      <c r="U42" s="414">
        <v>1</v>
      </c>
      <c r="V42" s="414">
        <v>1</v>
      </c>
      <c r="W42" s="414">
        <v>1</v>
      </c>
      <c r="X42" s="414">
        <v>1</v>
      </c>
      <c r="Y42" s="414">
        <v>1</v>
      </c>
      <c r="Z42" s="414">
        <v>1</v>
      </c>
      <c r="AA42" s="414">
        <v>1</v>
      </c>
      <c r="AB42" s="414">
        <v>1</v>
      </c>
      <c r="AC42" s="414">
        <v>1</v>
      </c>
      <c r="AD42" s="414">
        <v>1</v>
      </c>
      <c r="AE42" s="414">
        <v>1</v>
      </c>
      <c r="AF42" s="414">
        <v>1</v>
      </c>
      <c r="AG42" s="414">
        <v>1</v>
      </c>
      <c r="AH42" s="414">
        <v>1</v>
      </c>
      <c r="AI42" s="414">
        <v>1</v>
      </c>
      <c r="AJ42" s="414">
        <v>1</v>
      </c>
      <c r="AK42" s="414">
        <v>1</v>
      </c>
      <c r="AL42" s="414">
        <v>1</v>
      </c>
    </row>
    <row r="43" spans="2:38" s="421" customFormat="1">
      <c r="B43" s="411" t="s">
        <v>661</v>
      </c>
      <c r="C43" s="412" t="s">
        <v>662</v>
      </c>
      <c r="D43" s="414">
        <v>1</v>
      </c>
      <c r="E43" s="414">
        <v>1</v>
      </c>
      <c r="F43" s="414">
        <v>1</v>
      </c>
      <c r="G43" s="414">
        <v>1</v>
      </c>
      <c r="H43" s="417">
        <v>1</v>
      </c>
      <c r="I43" s="414">
        <v>1</v>
      </c>
      <c r="J43" s="414">
        <v>1</v>
      </c>
      <c r="K43" s="414">
        <v>1</v>
      </c>
      <c r="L43" s="414">
        <v>1</v>
      </c>
      <c r="M43" s="414">
        <v>1</v>
      </c>
      <c r="N43" s="414">
        <v>1</v>
      </c>
      <c r="O43" s="414">
        <v>1</v>
      </c>
      <c r="P43" s="414">
        <v>1</v>
      </c>
      <c r="Q43" s="414">
        <v>1</v>
      </c>
      <c r="R43" s="414">
        <v>1</v>
      </c>
      <c r="S43" s="414">
        <v>1</v>
      </c>
      <c r="T43" s="414">
        <v>1</v>
      </c>
      <c r="U43" s="414">
        <v>1</v>
      </c>
      <c r="V43" s="414">
        <v>1</v>
      </c>
      <c r="W43" s="414">
        <v>1</v>
      </c>
      <c r="X43" s="414">
        <v>1</v>
      </c>
      <c r="Y43" s="414">
        <v>1</v>
      </c>
      <c r="Z43" s="414">
        <v>1</v>
      </c>
      <c r="AA43" s="414">
        <v>1</v>
      </c>
      <c r="AB43" s="414">
        <v>1</v>
      </c>
      <c r="AC43" s="414">
        <v>1</v>
      </c>
      <c r="AD43" s="414">
        <v>1</v>
      </c>
      <c r="AE43" s="414">
        <v>1</v>
      </c>
      <c r="AF43" s="414">
        <v>1</v>
      </c>
      <c r="AG43" s="414">
        <v>1</v>
      </c>
      <c r="AH43" s="414">
        <v>1</v>
      </c>
      <c r="AI43" s="414">
        <v>1</v>
      </c>
      <c r="AJ43" s="414">
        <v>1</v>
      </c>
      <c r="AK43" s="414">
        <v>1</v>
      </c>
      <c r="AL43" s="414">
        <v>1</v>
      </c>
    </row>
    <row r="44" spans="2:38" s="421" customFormat="1">
      <c r="B44" s="411" t="s">
        <v>663</v>
      </c>
      <c r="C44" s="412" t="s">
        <v>664</v>
      </c>
      <c r="D44" s="414">
        <v>1</v>
      </c>
      <c r="E44" s="414">
        <v>1</v>
      </c>
      <c r="F44" s="414">
        <v>1</v>
      </c>
      <c r="G44" s="414">
        <v>1</v>
      </c>
      <c r="H44" s="417">
        <v>1</v>
      </c>
      <c r="I44" s="414">
        <v>1</v>
      </c>
      <c r="J44" s="414">
        <v>1</v>
      </c>
      <c r="K44" s="414">
        <v>1</v>
      </c>
      <c r="L44" s="414">
        <v>1</v>
      </c>
      <c r="M44" s="414">
        <v>1</v>
      </c>
      <c r="N44" s="414">
        <v>1</v>
      </c>
      <c r="O44" s="414">
        <v>1</v>
      </c>
      <c r="P44" s="414">
        <v>1</v>
      </c>
      <c r="Q44" s="414">
        <v>1</v>
      </c>
      <c r="R44" s="414">
        <v>1</v>
      </c>
      <c r="S44" s="414">
        <v>1</v>
      </c>
      <c r="T44" s="414">
        <v>1</v>
      </c>
      <c r="U44" s="414">
        <v>1</v>
      </c>
      <c r="V44" s="414">
        <v>1</v>
      </c>
      <c r="W44" s="414">
        <v>1</v>
      </c>
      <c r="X44" s="414">
        <v>1</v>
      </c>
      <c r="Y44" s="414">
        <v>1</v>
      </c>
      <c r="Z44" s="414">
        <v>1</v>
      </c>
      <c r="AA44" s="414">
        <v>1</v>
      </c>
      <c r="AB44" s="414">
        <v>1</v>
      </c>
      <c r="AC44" s="414">
        <v>1</v>
      </c>
      <c r="AD44" s="414">
        <v>1</v>
      </c>
      <c r="AE44" s="414">
        <v>1</v>
      </c>
      <c r="AF44" s="414">
        <v>1</v>
      </c>
      <c r="AG44" s="414">
        <v>1</v>
      </c>
      <c r="AH44" s="414">
        <v>1</v>
      </c>
      <c r="AI44" s="414">
        <v>1</v>
      </c>
      <c r="AJ44" s="414">
        <v>1</v>
      </c>
      <c r="AK44" s="414">
        <v>1</v>
      </c>
      <c r="AL44" s="414">
        <v>1</v>
      </c>
    </row>
    <row r="45" spans="2:38" s="421" customFormat="1">
      <c r="B45" s="411" t="s">
        <v>665</v>
      </c>
      <c r="C45" s="412" t="s">
        <v>666</v>
      </c>
      <c r="D45" s="414">
        <f t="shared" ref="D45:AL45" si="16">EXP(0.138*($D$10-1))</f>
        <v>1.1479755502741786</v>
      </c>
      <c r="E45" s="414">
        <f t="shared" si="16"/>
        <v>1.1479755502741786</v>
      </c>
      <c r="F45" s="414">
        <f t="shared" si="16"/>
        <v>1.1479755502741786</v>
      </c>
      <c r="G45" s="414">
        <f t="shared" si="16"/>
        <v>1.1479755502741786</v>
      </c>
      <c r="H45" s="417">
        <f t="shared" si="16"/>
        <v>1.1479755502741786</v>
      </c>
      <c r="I45" s="414">
        <f t="shared" si="16"/>
        <v>1.1479755502741786</v>
      </c>
      <c r="J45" s="414">
        <f t="shared" si="16"/>
        <v>1.1479755502741786</v>
      </c>
      <c r="K45" s="414">
        <f t="shared" si="16"/>
        <v>1.1479755502741786</v>
      </c>
      <c r="L45" s="414">
        <f t="shared" si="16"/>
        <v>1.1479755502741786</v>
      </c>
      <c r="M45" s="414">
        <f t="shared" si="16"/>
        <v>1.1479755502741786</v>
      </c>
      <c r="N45" s="414">
        <f t="shared" si="16"/>
        <v>1.1479755502741786</v>
      </c>
      <c r="O45" s="414">
        <f t="shared" si="16"/>
        <v>1.1479755502741786</v>
      </c>
      <c r="P45" s="414">
        <f t="shared" si="16"/>
        <v>1.1479755502741786</v>
      </c>
      <c r="Q45" s="414">
        <f t="shared" si="16"/>
        <v>1.1479755502741786</v>
      </c>
      <c r="R45" s="414">
        <f t="shared" si="16"/>
        <v>1.1479755502741786</v>
      </c>
      <c r="S45" s="414">
        <f t="shared" si="16"/>
        <v>1.1479755502741786</v>
      </c>
      <c r="T45" s="414">
        <f t="shared" si="16"/>
        <v>1.1479755502741786</v>
      </c>
      <c r="U45" s="414">
        <f t="shared" si="16"/>
        <v>1.1479755502741786</v>
      </c>
      <c r="V45" s="414">
        <f t="shared" si="16"/>
        <v>1.1479755502741786</v>
      </c>
      <c r="W45" s="414">
        <f t="shared" si="16"/>
        <v>1.1479755502741786</v>
      </c>
      <c r="X45" s="414">
        <f t="shared" si="16"/>
        <v>1.1479755502741786</v>
      </c>
      <c r="Y45" s="414">
        <f t="shared" si="16"/>
        <v>1.1479755502741786</v>
      </c>
      <c r="Z45" s="414">
        <f t="shared" si="16"/>
        <v>1.1479755502741786</v>
      </c>
      <c r="AA45" s="414">
        <f t="shared" si="16"/>
        <v>1.1479755502741786</v>
      </c>
      <c r="AB45" s="414">
        <f t="shared" si="16"/>
        <v>1.1479755502741786</v>
      </c>
      <c r="AC45" s="414">
        <f t="shared" si="16"/>
        <v>1.1479755502741786</v>
      </c>
      <c r="AD45" s="414">
        <f t="shared" si="16"/>
        <v>1.1479755502741786</v>
      </c>
      <c r="AE45" s="414">
        <f t="shared" si="16"/>
        <v>1.1479755502741786</v>
      </c>
      <c r="AF45" s="414">
        <f t="shared" si="16"/>
        <v>1.1479755502741786</v>
      </c>
      <c r="AG45" s="414">
        <f t="shared" si="16"/>
        <v>1.1479755502741786</v>
      </c>
      <c r="AH45" s="414">
        <f t="shared" si="16"/>
        <v>1.1479755502741786</v>
      </c>
      <c r="AI45" s="414">
        <f t="shared" si="16"/>
        <v>1.1479755502741786</v>
      </c>
      <c r="AJ45" s="414">
        <f t="shared" si="16"/>
        <v>1.1479755502741786</v>
      </c>
      <c r="AK45" s="414">
        <f t="shared" si="16"/>
        <v>1.1479755502741786</v>
      </c>
      <c r="AL45" s="414">
        <f t="shared" si="16"/>
        <v>1.1479755502741786</v>
      </c>
    </row>
    <row r="46" spans="2:38" s="421" customFormat="1" ht="13">
      <c r="B46" s="418"/>
      <c r="C46" s="419"/>
      <c r="D46" s="420"/>
      <c r="E46" s="420"/>
      <c r="F46" s="420"/>
      <c r="G46" s="420"/>
      <c r="H46" s="1236"/>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row>
    <row r="47" spans="2:38" s="421" customFormat="1" ht="13">
      <c r="B47" s="422" t="s">
        <v>668</v>
      </c>
      <c r="C47" s="408"/>
      <c r="D47" s="420"/>
      <c r="E47" s="420"/>
      <c r="F47" s="420"/>
      <c r="G47" s="420"/>
      <c r="H47" s="1236"/>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row>
    <row r="48" spans="2:38" s="421" customFormat="1">
      <c r="B48" s="411" t="s">
        <v>653</v>
      </c>
      <c r="C48" s="412" t="s">
        <v>654</v>
      </c>
      <c r="D48" s="423">
        <f t="shared" ref="D48:AL48" si="17">((D$15*D$16+0.2)/0.2)^(0.3116)</f>
        <v>34.858163353406134</v>
      </c>
      <c r="E48" s="423">
        <f t="shared" si="17"/>
        <v>35.291149625230638</v>
      </c>
      <c r="F48" s="423">
        <f t="shared" si="17"/>
        <v>35.729514369961322</v>
      </c>
      <c r="G48" s="423">
        <f t="shared" si="17"/>
        <v>36.173324392887857</v>
      </c>
      <c r="H48" s="423">
        <f t="shared" si="17"/>
        <v>36.622647329216058</v>
      </c>
      <c r="I48" s="423">
        <f t="shared" si="17"/>
        <v>37.077551654374069</v>
      </c>
      <c r="J48" s="423">
        <f t="shared" si="17"/>
        <v>37.538106694446739</v>
      </c>
      <c r="K48" s="423">
        <f t="shared" si="17"/>
        <v>38.004382636739791</v>
      </c>
      <c r="L48" s="423">
        <f t="shared" si="17"/>
        <v>38.476450540475071</v>
      </c>
      <c r="M48" s="423">
        <f t="shared" si="17"/>
        <v>38.954382347618925</v>
      </c>
      <c r="N48" s="423">
        <f t="shared" si="17"/>
        <v>39.438250893844845</v>
      </c>
      <c r="O48" s="423">
        <f t="shared" si="17"/>
        <v>39.928129919632724</v>
      </c>
      <c r="P48" s="423">
        <f t="shared" si="17"/>
        <v>40.424094081505757</v>
      </c>
      <c r="Q48" s="423">
        <f t="shared" si="17"/>
        <v>40.926218963406981</v>
      </c>
      <c r="R48" s="423">
        <f t="shared" si="17"/>
        <v>41.434581088217428</v>
      </c>
      <c r="S48" s="423">
        <f t="shared" si="17"/>
        <v>41.949257929417122</v>
      </c>
      <c r="T48" s="423">
        <f t="shared" si="17"/>
        <v>42.470327922891187</v>
      </c>
      <c r="U48" s="423">
        <f t="shared" si="17"/>
        <v>42.99787047888239</v>
      </c>
      <c r="V48" s="423">
        <f t="shared" si="17"/>
        <v>43.531965994092609</v>
      </c>
      <c r="W48" s="423">
        <f t="shared" si="17"/>
        <v>44.072695863934243</v>
      </c>
      <c r="X48" s="423">
        <f t="shared" si="17"/>
        <v>44.620142494934107</v>
      </c>
      <c r="Y48" s="423">
        <f t="shared" si="17"/>
        <v>45.174389317291407</v>
      </c>
      <c r="Z48" s="423">
        <f t="shared" si="17"/>
        <v>45.73552079759164</v>
      </c>
      <c r="AA48" s="423">
        <f t="shared" si="17"/>
        <v>46.303622451678613</v>
      </c>
      <c r="AB48" s="423">
        <f t="shared" si="17"/>
        <v>46.87878085768628</v>
      </c>
      <c r="AC48" s="423">
        <f t="shared" si="17"/>
        <v>47.461083669232558</v>
      </c>
      <c r="AD48" s="423">
        <f t="shared" si="17"/>
        <v>48.050619628777</v>
      </c>
      <c r="AE48" s="423">
        <f t="shared" si="17"/>
        <v>48.647478581144568</v>
      </c>
      <c r="AF48" s="423">
        <f t="shared" si="17"/>
        <v>49.251751487217163</v>
      </c>
      <c r="AG48" s="423">
        <f t="shared" si="17"/>
        <v>49.863530437795688</v>
      </c>
      <c r="AH48" s="423">
        <f t="shared" si="17"/>
        <v>50.482908667633801</v>
      </c>
      <c r="AI48" s="423">
        <f t="shared" si="17"/>
        <v>51.109980569646538</v>
      </c>
      <c r="AJ48" s="423">
        <f t="shared" si="17"/>
        <v>51.744841709295081</v>
      </c>
      <c r="AK48" s="423">
        <f t="shared" si="17"/>
        <v>52.387588839150347</v>
      </c>
      <c r="AL48" s="423">
        <f t="shared" si="17"/>
        <v>53.038319913637778</v>
      </c>
    </row>
    <row r="49" spans="2:38" s="421" customFormat="1">
      <c r="B49" s="411" t="s">
        <v>655</v>
      </c>
      <c r="C49" s="412" t="s">
        <v>656</v>
      </c>
      <c r="D49" s="414">
        <f t="shared" ref="D49:AL49" si="18">EXP(0.2912*$D$9)</f>
        <v>1.7903300708920569</v>
      </c>
      <c r="E49" s="414">
        <f t="shared" si="18"/>
        <v>1.7903300708920569</v>
      </c>
      <c r="F49" s="414">
        <f t="shared" si="18"/>
        <v>1.7903300708920569</v>
      </c>
      <c r="G49" s="414">
        <f t="shared" si="18"/>
        <v>1.7903300708920569</v>
      </c>
      <c r="H49" s="417">
        <f t="shared" si="18"/>
        <v>1.7903300708920569</v>
      </c>
      <c r="I49" s="414">
        <f t="shared" si="18"/>
        <v>1.7903300708920569</v>
      </c>
      <c r="J49" s="414">
        <f t="shared" si="18"/>
        <v>1.7903300708920569</v>
      </c>
      <c r="K49" s="414">
        <f t="shared" si="18"/>
        <v>1.7903300708920569</v>
      </c>
      <c r="L49" s="414">
        <f t="shared" si="18"/>
        <v>1.7903300708920569</v>
      </c>
      <c r="M49" s="414">
        <f t="shared" si="18"/>
        <v>1.7903300708920569</v>
      </c>
      <c r="N49" s="414">
        <f t="shared" si="18"/>
        <v>1.7903300708920569</v>
      </c>
      <c r="O49" s="414">
        <f t="shared" si="18"/>
        <v>1.7903300708920569</v>
      </c>
      <c r="P49" s="414">
        <f t="shared" si="18"/>
        <v>1.7903300708920569</v>
      </c>
      <c r="Q49" s="414">
        <f t="shared" si="18"/>
        <v>1.7903300708920569</v>
      </c>
      <c r="R49" s="414">
        <f t="shared" si="18"/>
        <v>1.7903300708920569</v>
      </c>
      <c r="S49" s="414">
        <f t="shared" si="18"/>
        <v>1.7903300708920569</v>
      </c>
      <c r="T49" s="414">
        <f t="shared" si="18"/>
        <v>1.7903300708920569</v>
      </c>
      <c r="U49" s="414">
        <f t="shared" si="18"/>
        <v>1.7903300708920569</v>
      </c>
      <c r="V49" s="414">
        <f t="shared" si="18"/>
        <v>1.7903300708920569</v>
      </c>
      <c r="W49" s="414">
        <f t="shared" si="18"/>
        <v>1.7903300708920569</v>
      </c>
      <c r="X49" s="414">
        <f t="shared" si="18"/>
        <v>1.7903300708920569</v>
      </c>
      <c r="Y49" s="414">
        <f t="shared" si="18"/>
        <v>1.7903300708920569</v>
      </c>
      <c r="Z49" s="414">
        <f t="shared" si="18"/>
        <v>1.7903300708920569</v>
      </c>
      <c r="AA49" s="414">
        <f t="shared" si="18"/>
        <v>1.7903300708920569</v>
      </c>
      <c r="AB49" s="414">
        <f t="shared" si="18"/>
        <v>1.7903300708920569</v>
      </c>
      <c r="AC49" s="414">
        <f t="shared" si="18"/>
        <v>1.7903300708920569</v>
      </c>
      <c r="AD49" s="414">
        <f t="shared" si="18"/>
        <v>1.7903300708920569</v>
      </c>
      <c r="AE49" s="414">
        <f t="shared" si="18"/>
        <v>1.7903300708920569</v>
      </c>
      <c r="AF49" s="414">
        <f t="shared" si="18"/>
        <v>1.7903300708920569</v>
      </c>
      <c r="AG49" s="414">
        <f t="shared" si="18"/>
        <v>1.7903300708920569</v>
      </c>
      <c r="AH49" s="414">
        <f t="shared" si="18"/>
        <v>1.7903300708920569</v>
      </c>
      <c r="AI49" s="414">
        <f t="shared" si="18"/>
        <v>1.7903300708920569</v>
      </c>
      <c r="AJ49" s="414">
        <f t="shared" si="18"/>
        <v>1.7903300708920569</v>
      </c>
      <c r="AK49" s="414">
        <f t="shared" si="18"/>
        <v>1.7903300708920569</v>
      </c>
      <c r="AL49" s="414">
        <f t="shared" si="18"/>
        <v>1.7903300708920569</v>
      </c>
    </row>
    <row r="50" spans="2:38" s="421" customFormat="1">
      <c r="B50" s="411" t="s">
        <v>657</v>
      </c>
      <c r="C50" s="416" t="s">
        <v>658</v>
      </c>
      <c r="D50" s="414">
        <v>1</v>
      </c>
      <c r="E50" s="414">
        <v>1</v>
      </c>
      <c r="F50" s="414">
        <v>1</v>
      </c>
      <c r="G50" s="414">
        <v>1</v>
      </c>
      <c r="H50" s="417">
        <v>1</v>
      </c>
      <c r="I50" s="414">
        <v>1</v>
      </c>
      <c r="J50" s="414">
        <v>1</v>
      </c>
      <c r="K50" s="414">
        <v>1</v>
      </c>
      <c r="L50" s="414">
        <v>1</v>
      </c>
      <c r="M50" s="414">
        <v>1</v>
      </c>
      <c r="N50" s="414">
        <v>1</v>
      </c>
      <c r="O50" s="414">
        <v>1</v>
      </c>
      <c r="P50" s="414">
        <v>1</v>
      </c>
      <c r="Q50" s="414">
        <v>1</v>
      </c>
      <c r="R50" s="414">
        <v>1</v>
      </c>
      <c r="S50" s="414">
        <v>1</v>
      </c>
      <c r="T50" s="414">
        <v>1</v>
      </c>
      <c r="U50" s="414">
        <v>1</v>
      </c>
      <c r="V50" s="414">
        <v>1</v>
      </c>
      <c r="W50" s="414">
        <v>1</v>
      </c>
      <c r="X50" s="414">
        <v>1</v>
      </c>
      <c r="Y50" s="414">
        <v>1</v>
      </c>
      <c r="Z50" s="414">
        <v>1</v>
      </c>
      <c r="AA50" s="414">
        <v>1</v>
      </c>
      <c r="AB50" s="414">
        <v>1</v>
      </c>
      <c r="AC50" s="414">
        <v>1</v>
      </c>
      <c r="AD50" s="414">
        <v>1</v>
      </c>
      <c r="AE50" s="414">
        <v>1</v>
      </c>
      <c r="AF50" s="414">
        <v>1</v>
      </c>
      <c r="AG50" s="414">
        <v>1</v>
      </c>
      <c r="AH50" s="414">
        <v>1</v>
      </c>
      <c r="AI50" s="414">
        <v>1</v>
      </c>
      <c r="AJ50" s="414">
        <v>1</v>
      </c>
      <c r="AK50" s="414">
        <v>1</v>
      </c>
      <c r="AL50" s="414">
        <v>1</v>
      </c>
    </row>
    <row r="51" spans="2:38" s="421" customFormat="1">
      <c r="B51" s="411" t="s">
        <v>659</v>
      </c>
      <c r="C51" s="412" t="s">
        <v>660</v>
      </c>
      <c r="D51" s="414">
        <v>1</v>
      </c>
      <c r="E51" s="414">
        <v>1</v>
      </c>
      <c r="F51" s="414">
        <v>1</v>
      </c>
      <c r="G51" s="414">
        <v>1</v>
      </c>
      <c r="H51" s="417">
        <v>1</v>
      </c>
      <c r="I51" s="414">
        <v>1</v>
      </c>
      <c r="J51" s="414">
        <v>1</v>
      </c>
      <c r="K51" s="414">
        <v>1</v>
      </c>
      <c r="L51" s="414">
        <v>1</v>
      </c>
      <c r="M51" s="414">
        <v>1</v>
      </c>
      <c r="N51" s="414">
        <v>1</v>
      </c>
      <c r="O51" s="414">
        <v>1</v>
      </c>
      <c r="P51" s="414">
        <v>1</v>
      </c>
      <c r="Q51" s="414">
        <v>1</v>
      </c>
      <c r="R51" s="414">
        <v>1</v>
      </c>
      <c r="S51" s="414">
        <v>1</v>
      </c>
      <c r="T51" s="414">
        <v>1</v>
      </c>
      <c r="U51" s="414">
        <v>1</v>
      </c>
      <c r="V51" s="414">
        <v>1</v>
      </c>
      <c r="W51" s="414">
        <v>1</v>
      </c>
      <c r="X51" s="414">
        <v>1</v>
      </c>
      <c r="Y51" s="414">
        <v>1</v>
      </c>
      <c r="Z51" s="414">
        <v>1</v>
      </c>
      <c r="AA51" s="414">
        <v>1</v>
      </c>
      <c r="AB51" s="414">
        <v>1</v>
      </c>
      <c r="AC51" s="414">
        <v>1</v>
      </c>
      <c r="AD51" s="414">
        <v>1</v>
      </c>
      <c r="AE51" s="414">
        <v>1</v>
      </c>
      <c r="AF51" s="414">
        <v>1</v>
      </c>
      <c r="AG51" s="414">
        <v>1</v>
      </c>
      <c r="AH51" s="414">
        <v>1</v>
      </c>
      <c r="AI51" s="414">
        <v>1</v>
      </c>
      <c r="AJ51" s="414">
        <v>1</v>
      </c>
      <c r="AK51" s="414">
        <v>1</v>
      </c>
      <c r="AL51" s="414">
        <v>1</v>
      </c>
    </row>
    <row r="52" spans="2:38" s="421" customFormat="1">
      <c r="B52" s="411" t="s">
        <v>661</v>
      </c>
      <c r="C52" s="412" t="s">
        <v>662</v>
      </c>
      <c r="D52" s="414">
        <v>1</v>
      </c>
      <c r="E52" s="414">
        <v>1</v>
      </c>
      <c r="F52" s="414">
        <v>1</v>
      </c>
      <c r="G52" s="414">
        <v>1</v>
      </c>
      <c r="H52" s="417">
        <v>1</v>
      </c>
      <c r="I52" s="414">
        <v>1</v>
      </c>
      <c r="J52" s="414">
        <v>1</v>
      </c>
      <c r="K52" s="414">
        <v>1</v>
      </c>
      <c r="L52" s="414">
        <v>1</v>
      </c>
      <c r="M52" s="414">
        <v>1</v>
      </c>
      <c r="N52" s="414">
        <v>1</v>
      </c>
      <c r="O52" s="414">
        <v>1</v>
      </c>
      <c r="P52" s="414">
        <v>1</v>
      </c>
      <c r="Q52" s="414">
        <v>1</v>
      </c>
      <c r="R52" s="414">
        <v>1</v>
      </c>
      <c r="S52" s="414">
        <v>1</v>
      </c>
      <c r="T52" s="414">
        <v>1</v>
      </c>
      <c r="U52" s="414">
        <v>1</v>
      </c>
      <c r="V52" s="414">
        <v>1</v>
      </c>
      <c r="W52" s="414">
        <v>1</v>
      </c>
      <c r="X52" s="414">
        <v>1</v>
      </c>
      <c r="Y52" s="414">
        <v>1</v>
      </c>
      <c r="Z52" s="414">
        <v>1</v>
      </c>
      <c r="AA52" s="414">
        <v>1</v>
      </c>
      <c r="AB52" s="414">
        <v>1</v>
      </c>
      <c r="AC52" s="414">
        <v>1</v>
      </c>
      <c r="AD52" s="414">
        <v>1</v>
      </c>
      <c r="AE52" s="414">
        <v>1</v>
      </c>
      <c r="AF52" s="414">
        <v>1</v>
      </c>
      <c r="AG52" s="414">
        <v>1</v>
      </c>
      <c r="AH52" s="414">
        <v>1</v>
      </c>
      <c r="AI52" s="414">
        <v>1</v>
      </c>
      <c r="AJ52" s="414">
        <v>1</v>
      </c>
      <c r="AK52" s="414">
        <v>1</v>
      </c>
      <c r="AL52" s="414">
        <v>1</v>
      </c>
    </row>
    <row r="53" spans="2:38" s="421" customFormat="1">
      <c r="B53" s="411" t="s">
        <v>663</v>
      </c>
      <c r="C53" s="412" t="s">
        <v>664</v>
      </c>
      <c r="D53" s="414">
        <v>1</v>
      </c>
      <c r="E53" s="414">
        <v>1</v>
      </c>
      <c r="F53" s="414">
        <v>1</v>
      </c>
      <c r="G53" s="414">
        <v>1</v>
      </c>
      <c r="H53" s="417">
        <v>1</v>
      </c>
      <c r="I53" s="414">
        <v>1</v>
      </c>
      <c r="J53" s="414">
        <v>1</v>
      </c>
      <c r="K53" s="414">
        <v>1</v>
      </c>
      <c r="L53" s="414">
        <v>1</v>
      </c>
      <c r="M53" s="414">
        <v>1</v>
      </c>
      <c r="N53" s="414">
        <v>1</v>
      </c>
      <c r="O53" s="414">
        <v>1</v>
      </c>
      <c r="P53" s="414">
        <v>1</v>
      </c>
      <c r="Q53" s="414">
        <v>1</v>
      </c>
      <c r="R53" s="414">
        <v>1</v>
      </c>
      <c r="S53" s="414">
        <v>1</v>
      </c>
      <c r="T53" s="414">
        <v>1</v>
      </c>
      <c r="U53" s="414">
        <v>1</v>
      </c>
      <c r="V53" s="414">
        <v>1</v>
      </c>
      <c r="W53" s="414">
        <v>1</v>
      </c>
      <c r="X53" s="414">
        <v>1</v>
      </c>
      <c r="Y53" s="414">
        <v>1</v>
      </c>
      <c r="Z53" s="414">
        <v>1</v>
      </c>
      <c r="AA53" s="414">
        <v>1</v>
      </c>
      <c r="AB53" s="414">
        <v>1</v>
      </c>
      <c r="AC53" s="414">
        <v>1</v>
      </c>
      <c r="AD53" s="414">
        <v>1</v>
      </c>
      <c r="AE53" s="414">
        <v>1</v>
      </c>
      <c r="AF53" s="414">
        <v>1</v>
      </c>
      <c r="AG53" s="414">
        <v>1</v>
      </c>
      <c r="AH53" s="414">
        <v>1</v>
      </c>
      <c r="AI53" s="414">
        <v>1</v>
      </c>
      <c r="AJ53" s="414">
        <v>1</v>
      </c>
      <c r="AK53" s="414">
        <v>1</v>
      </c>
      <c r="AL53" s="414">
        <v>1</v>
      </c>
    </row>
    <row r="54" spans="2:38" s="421" customFormat="1">
      <c r="B54" s="424" t="s">
        <v>665</v>
      </c>
      <c r="C54" s="425" t="s">
        <v>666</v>
      </c>
      <c r="D54" s="426">
        <f t="shared" ref="D54:AL54" si="19">EXP(0.1036*($D$10-1))</f>
        <v>1.1091567034898182</v>
      </c>
      <c r="E54" s="426">
        <f t="shared" si="19"/>
        <v>1.1091567034898182</v>
      </c>
      <c r="F54" s="426">
        <f t="shared" si="19"/>
        <v>1.1091567034898182</v>
      </c>
      <c r="G54" s="426">
        <f t="shared" si="19"/>
        <v>1.1091567034898182</v>
      </c>
      <c r="H54" s="1237">
        <f t="shared" si="19"/>
        <v>1.1091567034898182</v>
      </c>
      <c r="I54" s="426">
        <f t="shared" si="19"/>
        <v>1.1091567034898182</v>
      </c>
      <c r="J54" s="426">
        <f t="shared" si="19"/>
        <v>1.1091567034898182</v>
      </c>
      <c r="K54" s="426">
        <f t="shared" si="19"/>
        <v>1.1091567034898182</v>
      </c>
      <c r="L54" s="426">
        <f t="shared" si="19"/>
        <v>1.1091567034898182</v>
      </c>
      <c r="M54" s="426">
        <f t="shared" si="19"/>
        <v>1.1091567034898182</v>
      </c>
      <c r="N54" s="426">
        <f t="shared" si="19"/>
        <v>1.1091567034898182</v>
      </c>
      <c r="O54" s="426">
        <f t="shared" si="19"/>
        <v>1.1091567034898182</v>
      </c>
      <c r="P54" s="426">
        <f t="shared" si="19"/>
        <v>1.1091567034898182</v>
      </c>
      <c r="Q54" s="426">
        <f t="shared" si="19"/>
        <v>1.1091567034898182</v>
      </c>
      <c r="R54" s="426">
        <f t="shared" si="19"/>
        <v>1.1091567034898182</v>
      </c>
      <c r="S54" s="426">
        <f t="shared" si="19"/>
        <v>1.1091567034898182</v>
      </c>
      <c r="T54" s="426">
        <f t="shared" si="19"/>
        <v>1.1091567034898182</v>
      </c>
      <c r="U54" s="426">
        <f t="shared" si="19"/>
        <v>1.1091567034898182</v>
      </c>
      <c r="V54" s="426">
        <f t="shared" si="19"/>
        <v>1.1091567034898182</v>
      </c>
      <c r="W54" s="426">
        <f t="shared" si="19"/>
        <v>1.1091567034898182</v>
      </c>
      <c r="X54" s="426">
        <f t="shared" si="19"/>
        <v>1.1091567034898182</v>
      </c>
      <c r="Y54" s="426">
        <f t="shared" si="19"/>
        <v>1.1091567034898182</v>
      </c>
      <c r="Z54" s="426">
        <f t="shared" si="19"/>
        <v>1.1091567034898182</v>
      </c>
      <c r="AA54" s="426">
        <f t="shared" si="19"/>
        <v>1.1091567034898182</v>
      </c>
      <c r="AB54" s="426">
        <f t="shared" si="19"/>
        <v>1.1091567034898182</v>
      </c>
      <c r="AC54" s="426">
        <f t="shared" si="19"/>
        <v>1.1091567034898182</v>
      </c>
      <c r="AD54" s="426">
        <f t="shared" si="19"/>
        <v>1.1091567034898182</v>
      </c>
      <c r="AE54" s="426">
        <f t="shared" si="19"/>
        <v>1.1091567034898182</v>
      </c>
      <c r="AF54" s="426">
        <f t="shared" si="19"/>
        <v>1.1091567034898182</v>
      </c>
      <c r="AG54" s="426">
        <f t="shared" si="19"/>
        <v>1.1091567034898182</v>
      </c>
      <c r="AH54" s="426">
        <f t="shared" si="19"/>
        <v>1.1091567034898182</v>
      </c>
      <c r="AI54" s="426">
        <f t="shared" si="19"/>
        <v>1.1091567034898182</v>
      </c>
      <c r="AJ54" s="426">
        <f t="shared" si="19"/>
        <v>1.1091567034898182</v>
      </c>
      <c r="AK54" s="426">
        <f t="shared" si="19"/>
        <v>1.1091567034898182</v>
      </c>
      <c r="AL54" s="426">
        <f t="shared" si="19"/>
        <v>1.1091567034898182</v>
      </c>
    </row>
    <row r="55" spans="2:38">
      <c r="B55" s="362"/>
      <c r="C55" s="427" t="s">
        <v>290</v>
      </c>
      <c r="D55" s="415"/>
      <c r="E55" s="415"/>
      <c r="F55" s="415"/>
      <c r="G55" s="415"/>
      <c r="H55" s="123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row>
    <row r="56" spans="2:38">
      <c r="B56" s="362" t="s">
        <v>669</v>
      </c>
      <c r="C56" s="428">
        <f>$E$6</f>
        <v>3.6459999999999999E-3</v>
      </c>
      <c r="D56" s="429">
        <f t="shared" ref="D56:AK56" si="20">IF($D$6=$B29,$C$56*PRODUCT(D$30:D$36),IF($D$6=$B38,$C$56*PRODUCT(D$39:D$45), $C$56*PRODUCT(D$48:D$54)))</f>
        <v>0.17387085299104882</v>
      </c>
      <c r="E56" s="429">
        <f t="shared" si="20"/>
        <v>0.17600009074869749</v>
      </c>
      <c r="F56" s="429">
        <f t="shared" si="20"/>
        <v>0.17815544570157779</v>
      </c>
      <c r="G56" s="429">
        <f t="shared" si="20"/>
        <v>0.18033723828583903</v>
      </c>
      <c r="H56" s="429">
        <f t="shared" si="20"/>
        <v>0.1825457928696563</v>
      </c>
      <c r="I56" s="429">
        <f t="shared" si="20"/>
        <v>0.18478143780146331</v>
      </c>
      <c r="J56" s="429">
        <f t="shared" si="20"/>
        <v>0.18704450545877774</v>
      </c>
      <c r="K56" s="429">
        <f t="shared" si="20"/>
        <v>0.18933533229762564</v>
      </c>
      <c r="L56" s="429">
        <f t="shared" si="20"/>
        <v>0.19165425890257284</v>
      </c>
      <c r="M56" s="429">
        <f t="shared" si="20"/>
        <v>0.19400163003737031</v>
      </c>
      <c r="N56" s="429">
        <f t="shared" si="20"/>
        <v>0.19637779469622116</v>
      </c>
      <c r="O56" s="429">
        <f t="shared" si="20"/>
        <v>0.19878310615567737</v>
      </c>
      <c r="P56" s="429">
        <f t="shared" si="20"/>
        <v>0.20121792202717373</v>
      </c>
      <c r="Q56" s="429">
        <f t="shared" si="20"/>
        <v>0.20368260431020499</v>
      </c>
      <c r="R56" s="429">
        <f t="shared" si="20"/>
        <v>0.20617751944615847</v>
      </c>
      <c r="S56" s="429">
        <f t="shared" si="20"/>
        <v>0.2087030383728051</v>
      </c>
      <c r="T56" s="429">
        <f t="shared" si="20"/>
        <v>0.21125953657946045</v>
      </c>
      <c r="U56" s="429">
        <f t="shared" si="20"/>
        <v>0.21384739416282253</v>
      </c>
      <c r="V56" s="429">
        <f t="shared" si="20"/>
        <v>0.21646699588349494</v>
      </c>
      <c r="W56" s="429">
        <f t="shared" si="20"/>
        <v>0.21911873122320405</v>
      </c>
      <c r="X56" s="429">
        <f t="shared" si="20"/>
        <v>0.22180299444271778</v>
      </c>
      <c r="Y56" s="429">
        <f t="shared" si="20"/>
        <v>0.22452018464047621</v>
      </c>
      <c r="Z56" s="429">
        <f t="shared" si="20"/>
        <v>0.2272707058119407</v>
      </c>
      <c r="AA56" s="429">
        <f t="shared" si="20"/>
        <v>0.23005496690967289</v>
      </c>
      <c r="AB56" s="429">
        <f t="shared" si="20"/>
        <v>0.23287338190414922</v>
      </c>
      <c r="AC56" s="429">
        <f t="shared" si="20"/>
        <v>0.23572636984532325</v>
      </c>
      <c r="AD56" s="429">
        <f t="shared" si="20"/>
        <v>0.23861435492494276</v>
      </c>
      <c r="AE56" s="429">
        <f t="shared" si="20"/>
        <v>0.24153776653963302</v>
      </c>
      <c r="AF56" s="429">
        <f t="shared" si="20"/>
        <v>0.2444970393547512</v>
      </c>
      <c r="AG56" s="429">
        <f t="shared" si="20"/>
        <v>0.24749261336902859</v>
      </c>
      <c r="AH56" s="429">
        <f t="shared" si="20"/>
        <v>0.25052493398000225</v>
      </c>
      <c r="AI56" s="429">
        <f t="shared" si="20"/>
        <v>0.25359445205025255</v>
      </c>
      <c r="AJ56" s="429">
        <f t="shared" si="20"/>
        <v>0.25670162397445229</v>
      </c>
      <c r="AK56" s="429">
        <f t="shared" si="20"/>
        <v>0.25984691174723784</v>
      </c>
      <c r="AL56" s="429">
        <f t="shared" ref="AL56" si="21">IF($D$6=$B29,$C$56*PRODUCT(AL$30:AL$36),IF($D$6=$B38,$C$56*PRODUCT(AL$39:AL$45), $C$56*PRODUCT(AL$48:AL$54)))</f>
        <v>0.2630307830319154</v>
      </c>
    </row>
    <row r="57" spans="2:38">
      <c r="H57" s="1228"/>
    </row>
    <row r="58" spans="2:38" ht="13">
      <c r="B58" s="407" t="s">
        <v>670</v>
      </c>
      <c r="C58" s="396" t="s">
        <v>627</v>
      </c>
      <c r="D58" s="397">
        <v>2018</v>
      </c>
      <c r="E58" s="397">
        <v>2020</v>
      </c>
      <c r="F58" s="397">
        <v>2021</v>
      </c>
      <c r="G58" s="397">
        <v>2022</v>
      </c>
      <c r="H58" s="1238">
        <v>2023</v>
      </c>
      <c r="I58" s="397">
        <v>2024</v>
      </c>
      <c r="J58" s="397">
        <v>2025</v>
      </c>
      <c r="K58" s="397">
        <v>2026</v>
      </c>
      <c r="L58" s="397">
        <v>2027</v>
      </c>
      <c r="M58" s="397">
        <v>2028</v>
      </c>
      <c r="N58" s="397">
        <v>2029</v>
      </c>
      <c r="O58" s="397">
        <v>2030</v>
      </c>
      <c r="P58" s="397">
        <v>2031</v>
      </c>
      <c r="Q58" s="397">
        <v>2032</v>
      </c>
      <c r="R58" s="397">
        <v>2033</v>
      </c>
      <c r="S58" s="397">
        <v>2034</v>
      </c>
      <c r="T58" s="397">
        <v>2035</v>
      </c>
      <c r="U58" s="397">
        <v>2036</v>
      </c>
      <c r="V58" s="397">
        <v>2037</v>
      </c>
      <c r="W58" s="397">
        <v>2038</v>
      </c>
      <c r="X58" s="397">
        <v>2039</v>
      </c>
      <c r="Y58" s="397">
        <v>2040</v>
      </c>
      <c r="Z58" s="397">
        <v>2041</v>
      </c>
      <c r="AA58" s="397">
        <v>2042</v>
      </c>
      <c r="AB58" s="397">
        <v>2043</v>
      </c>
      <c r="AC58" s="397">
        <v>2044</v>
      </c>
      <c r="AD58" s="397">
        <v>2044</v>
      </c>
      <c r="AE58" s="397">
        <v>2044</v>
      </c>
      <c r="AF58" s="397">
        <v>2044</v>
      </c>
      <c r="AG58" s="397">
        <v>2044</v>
      </c>
      <c r="AH58" s="397">
        <v>2044</v>
      </c>
      <c r="AI58" s="397">
        <v>2044</v>
      </c>
      <c r="AJ58" s="397">
        <v>2044</v>
      </c>
      <c r="AK58" s="397">
        <v>2044</v>
      </c>
      <c r="AL58" s="397">
        <v>2044</v>
      </c>
    </row>
    <row r="59" spans="2:38" s="366" customFormat="1">
      <c r="B59" s="366" t="s">
        <v>671</v>
      </c>
      <c r="C59" s="430" t="s">
        <v>662</v>
      </c>
      <c r="D59" s="431">
        <f t="shared" ref="D59:AK59" si="22">D20^(-1.074)</f>
        <v>0.11486407065121609</v>
      </c>
      <c r="E59" s="432">
        <f t="shared" si="22"/>
        <v>0.11486407065121609</v>
      </c>
      <c r="F59" s="432">
        <f t="shared" si="22"/>
        <v>0.11486407065121609</v>
      </c>
      <c r="G59" s="432">
        <f t="shared" si="22"/>
        <v>0.11486407065121609</v>
      </c>
      <c r="H59" s="1239">
        <f t="shared" si="22"/>
        <v>0.11486407065121609</v>
      </c>
      <c r="I59" s="432">
        <f t="shared" si="22"/>
        <v>0.11486407065121609</v>
      </c>
      <c r="J59" s="432">
        <f t="shared" si="22"/>
        <v>0.11486407065121609</v>
      </c>
      <c r="K59" s="432">
        <f t="shared" si="22"/>
        <v>0.11486407065121609</v>
      </c>
      <c r="L59" s="432">
        <f t="shared" si="22"/>
        <v>0.11486407065121609</v>
      </c>
      <c r="M59" s="432">
        <f t="shared" si="22"/>
        <v>0.11486407065121609</v>
      </c>
      <c r="N59" s="432">
        <f t="shared" si="22"/>
        <v>0.11486407065121609</v>
      </c>
      <c r="O59" s="432">
        <f t="shared" si="22"/>
        <v>0.11486407065121609</v>
      </c>
      <c r="P59" s="432">
        <f t="shared" si="22"/>
        <v>0.11486407065121609</v>
      </c>
      <c r="Q59" s="432">
        <f t="shared" si="22"/>
        <v>0.11486407065121609</v>
      </c>
      <c r="R59" s="432">
        <f t="shared" si="22"/>
        <v>0.11486407065121609</v>
      </c>
      <c r="S59" s="432">
        <f t="shared" si="22"/>
        <v>0.11486407065121609</v>
      </c>
      <c r="T59" s="432">
        <f t="shared" si="22"/>
        <v>0.11486407065121609</v>
      </c>
      <c r="U59" s="432">
        <f t="shared" si="22"/>
        <v>0.11486407065121609</v>
      </c>
      <c r="V59" s="432">
        <f t="shared" si="22"/>
        <v>0.11486407065121609</v>
      </c>
      <c r="W59" s="432">
        <f t="shared" si="22"/>
        <v>0.11486407065121609</v>
      </c>
      <c r="X59" s="432">
        <f t="shared" si="22"/>
        <v>0.11486407065121609</v>
      </c>
      <c r="Y59" s="432">
        <f t="shared" si="22"/>
        <v>0.11486407065121609</v>
      </c>
      <c r="Z59" s="432">
        <f t="shared" si="22"/>
        <v>0.11486407065121609</v>
      </c>
      <c r="AA59" s="432">
        <f t="shared" si="22"/>
        <v>0.11486407065121609</v>
      </c>
      <c r="AB59" s="432">
        <f t="shared" si="22"/>
        <v>0.11486407065121609</v>
      </c>
      <c r="AC59" s="432">
        <f t="shared" si="22"/>
        <v>0.11486407065121609</v>
      </c>
      <c r="AD59" s="432">
        <f t="shared" si="22"/>
        <v>0.11486407065121609</v>
      </c>
      <c r="AE59" s="432">
        <f t="shared" si="22"/>
        <v>0.11486407065121609</v>
      </c>
      <c r="AF59" s="432">
        <f t="shared" si="22"/>
        <v>0.11486407065121609</v>
      </c>
      <c r="AG59" s="432">
        <f t="shared" si="22"/>
        <v>0.11486407065121609</v>
      </c>
      <c r="AH59" s="432">
        <f t="shared" si="22"/>
        <v>0.11486407065121609</v>
      </c>
      <c r="AI59" s="432">
        <f t="shared" si="22"/>
        <v>0.11486407065121609</v>
      </c>
      <c r="AJ59" s="432">
        <f t="shared" si="22"/>
        <v>0.11486407065121609</v>
      </c>
      <c r="AK59" s="432">
        <f t="shared" si="22"/>
        <v>0.11486407065121609</v>
      </c>
      <c r="AL59" s="432">
        <f t="shared" ref="AL59" si="23">AL20^(-1.074)</f>
        <v>0.11486407065121609</v>
      </c>
    </row>
    <row r="60" spans="2:38">
      <c r="B60" s="358" t="s">
        <v>606</v>
      </c>
      <c r="C60" s="419" t="s">
        <v>672</v>
      </c>
      <c r="D60" s="417">
        <f t="shared" ref="D60:AL60" si="24">(D$17+1)^(-0.1025)</f>
        <v>0.79757663346161678</v>
      </c>
      <c r="E60" s="417">
        <f t="shared" si="24"/>
        <v>0.79680897246870619</v>
      </c>
      <c r="F60" s="417">
        <f t="shared" si="24"/>
        <v>0.79604116792816049</v>
      </c>
      <c r="G60" s="417">
        <f t="shared" si="24"/>
        <v>0.79527322893175478</v>
      </c>
      <c r="H60" s="417">
        <f t="shared" si="24"/>
        <v>0.79450516450092767</v>
      </c>
      <c r="I60" s="417">
        <f t="shared" si="24"/>
        <v>0.79373698358684053</v>
      </c>
      <c r="J60" s="417">
        <f t="shared" si="24"/>
        <v>0.79296869507044476</v>
      </c>
      <c r="K60" s="417">
        <f t="shared" si="24"/>
        <v>0.79220030776256189</v>
      </c>
      <c r="L60" s="417">
        <f t="shared" si="24"/>
        <v>0.79143183040396969</v>
      </c>
      <c r="M60" s="417">
        <f t="shared" si="24"/>
        <v>0.79066327166550054</v>
      </c>
      <c r="N60" s="417">
        <f t="shared" si="24"/>
        <v>0.78989464014814825</v>
      </c>
      <c r="O60" s="417">
        <f t="shared" si="24"/>
        <v>0.78912594438318295</v>
      </c>
      <c r="P60" s="417">
        <f t="shared" si="24"/>
        <v>0.78835719283227634</v>
      </c>
      <c r="Q60" s="417">
        <f t="shared" si="24"/>
        <v>0.78758839388763435</v>
      </c>
      <c r="R60" s="417">
        <f t="shared" si="24"/>
        <v>0.78681955587213903</v>
      </c>
      <c r="S60" s="417">
        <f t="shared" si="24"/>
        <v>0.78605068703949843</v>
      </c>
      <c r="T60" s="417">
        <f t="shared" si="24"/>
        <v>0.78528179557440425</v>
      </c>
      <c r="U60" s="417">
        <f t="shared" si="24"/>
        <v>0.78451288959269794</v>
      </c>
      <c r="V60" s="417">
        <f t="shared" si="24"/>
        <v>0.78374397714154387</v>
      </c>
      <c r="W60" s="417">
        <f t="shared" si="24"/>
        <v>0.78297506619961088</v>
      </c>
      <c r="X60" s="417">
        <f t="shared" si="24"/>
        <v>0.78220616467725967</v>
      </c>
      <c r="Y60" s="417">
        <f t="shared" si="24"/>
        <v>0.7814372804167391</v>
      </c>
      <c r="Z60" s="417">
        <f t="shared" si="24"/>
        <v>0.78066842119238811</v>
      </c>
      <c r="AA60" s="417">
        <f t="shared" si="24"/>
        <v>0.77989959471084491</v>
      </c>
      <c r="AB60" s="417">
        <f t="shared" si="24"/>
        <v>0.77913080861126272</v>
      </c>
      <c r="AC60" s="417">
        <f t="shared" si="24"/>
        <v>0.77836207046553207</v>
      </c>
      <c r="AD60" s="417">
        <f t="shared" si="24"/>
        <v>0.77759338777850873</v>
      </c>
      <c r="AE60" s="417">
        <f t="shared" si="24"/>
        <v>0.77682476798824884</v>
      </c>
      <c r="AF60" s="417">
        <f t="shared" si="24"/>
        <v>0.77605621846624906</v>
      </c>
      <c r="AG60" s="417">
        <f t="shared" si="24"/>
        <v>0.77528774651769194</v>
      </c>
      <c r="AH60" s="417">
        <f t="shared" si="24"/>
        <v>0.77451935938169869</v>
      </c>
      <c r="AI60" s="417">
        <f t="shared" si="24"/>
        <v>0.77375106423158546</v>
      </c>
      <c r="AJ60" s="417">
        <f t="shared" si="24"/>
        <v>0.77298286817512585</v>
      </c>
      <c r="AK60" s="417">
        <f t="shared" si="24"/>
        <v>0.77221477825481855</v>
      </c>
      <c r="AL60" s="417">
        <f t="shared" si="24"/>
        <v>0.77144680144815947</v>
      </c>
    </row>
    <row r="61" spans="2:38">
      <c r="B61" s="358" t="s">
        <v>673</v>
      </c>
      <c r="C61" s="419" t="s">
        <v>674</v>
      </c>
      <c r="D61" s="414">
        <f t="shared" ref="D61:AL61" si="25">(D$19+1)^(0.1025)</f>
        <v>1</v>
      </c>
      <c r="E61" s="415">
        <f t="shared" si="25"/>
        <v>1</v>
      </c>
      <c r="F61" s="415">
        <f t="shared" si="25"/>
        <v>1</v>
      </c>
      <c r="G61" s="415">
        <f t="shared" si="25"/>
        <v>1</v>
      </c>
      <c r="H61" s="1235">
        <f t="shared" si="25"/>
        <v>1</v>
      </c>
      <c r="I61" s="415">
        <f t="shared" si="25"/>
        <v>1</v>
      </c>
      <c r="J61" s="415">
        <f t="shared" si="25"/>
        <v>1</v>
      </c>
      <c r="K61" s="415">
        <f t="shared" si="25"/>
        <v>1</v>
      </c>
      <c r="L61" s="415">
        <f t="shared" si="25"/>
        <v>1</v>
      </c>
      <c r="M61" s="415">
        <f t="shared" si="25"/>
        <v>1</v>
      </c>
      <c r="N61" s="415">
        <f t="shared" si="25"/>
        <v>1</v>
      </c>
      <c r="O61" s="415">
        <f t="shared" si="25"/>
        <v>1</v>
      </c>
      <c r="P61" s="415">
        <f t="shared" si="25"/>
        <v>1</v>
      </c>
      <c r="Q61" s="415">
        <f t="shared" si="25"/>
        <v>1</v>
      </c>
      <c r="R61" s="415">
        <f t="shared" si="25"/>
        <v>1</v>
      </c>
      <c r="S61" s="415">
        <f t="shared" si="25"/>
        <v>1</v>
      </c>
      <c r="T61" s="415">
        <f t="shared" si="25"/>
        <v>1</v>
      </c>
      <c r="U61" s="415">
        <f t="shared" si="25"/>
        <v>1</v>
      </c>
      <c r="V61" s="415">
        <f t="shared" si="25"/>
        <v>1</v>
      </c>
      <c r="W61" s="415">
        <f t="shared" si="25"/>
        <v>1</v>
      </c>
      <c r="X61" s="415">
        <f t="shared" si="25"/>
        <v>1</v>
      </c>
      <c r="Y61" s="415">
        <f t="shared" si="25"/>
        <v>1</v>
      </c>
      <c r="Z61" s="415">
        <f t="shared" si="25"/>
        <v>1</v>
      </c>
      <c r="AA61" s="415">
        <f t="shared" si="25"/>
        <v>1</v>
      </c>
      <c r="AB61" s="415">
        <f t="shared" si="25"/>
        <v>1</v>
      </c>
      <c r="AC61" s="415">
        <f t="shared" si="25"/>
        <v>1</v>
      </c>
      <c r="AD61" s="415">
        <f t="shared" si="25"/>
        <v>1</v>
      </c>
      <c r="AE61" s="415">
        <f t="shared" si="25"/>
        <v>1</v>
      </c>
      <c r="AF61" s="415">
        <f t="shared" si="25"/>
        <v>1</v>
      </c>
      <c r="AG61" s="415">
        <f t="shared" si="25"/>
        <v>1</v>
      </c>
      <c r="AH61" s="415">
        <f t="shared" si="25"/>
        <v>1</v>
      </c>
      <c r="AI61" s="415">
        <f t="shared" si="25"/>
        <v>1</v>
      </c>
      <c r="AJ61" s="415">
        <f t="shared" si="25"/>
        <v>1</v>
      </c>
      <c r="AK61" s="415">
        <f t="shared" si="25"/>
        <v>1</v>
      </c>
      <c r="AL61" s="415">
        <f t="shared" si="25"/>
        <v>1</v>
      </c>
    </row>
    <row r="62" spans="2:38">
      <c r="B62" s="433" t="s">
        <v>675</v>
      </c>
      <c r="C62" s="434" t="s">
        <v>676</v>
      </c>
      <c r="D62" s="426">
        <f t="shared" ref="D62:AL62" si="26">EXP(0.188*$E$5)</f>
        <v>1.2068335153496053</v>
      </c>
      <c r="E62" s="426">
        <f t="shared" si="26"/>
        <v>1.2068335153496053</v>
      </c>
      <c r="F62" s="426">
        <f t="shared" si="26"/>
        <v>1.2068335153496053</v>
      </c>
      <c r="G62" s="426">
        <f t="shared" si="26"/>
        <v>1.2068335153496053</v>
      </c>
      <c r="H62" s="1237">
        <f t="shared" si="26"/>
        <v>1.2068335153496053</v>
      </c>
      <c r="I62" s="426">
        <f t="shared" si="26"/>
        <v>1.2068335153496053</v>
      </c>
      <c r="J62" s="426">
        <f t="shared" si="26"/>
        <v>1.2068335153496053</v>
      </c>
      <c r="K62" s="426">
        <f t="shared" si="26"/>
        <v>1.2068335153496053</v>
      </c>
      <c r="L62" s="426">
        <f t="shared" si="26"/>
        <v>1.2068335153496053</v>
      </c>
      <c r="M62" s="426">
        <f t="shared" si="26"/>
        <v>1.2068335153496053</v>
      </c>
      <c r="N62" s="426">
        <f t="shared" si="26"/>
        <v>1.2068335153496053</v>
      </c>
      <c r="O62" s="426">
        <f t="shared" si="26"/>
        <v>1.2068335153496053</v>
      </c>
      <c r="P62" s="426">
        <f t="shared" si="26"/>
        <v>1.2068335153496053</v>
      </c>
      <c r="Q62" s="426">
        <f t="shared" si="26"/>
        <v>1.2068335153496053</v>
      </c>
      <c r="R62" s="426">
        <f t="shared" si="26"/>
        <v>1.2068335153496053</v>
      </c>
      <c r="S62" s="426">
        <f t="shared" si="26"/>
        <v>1.2068335153496053</v>
      </c>
      <c r="T62" s="426">
        <f t="shared" si="26"/>
        <v>1.2068335153496053</v>
      </c>
      <c r="U62" s="426">
        <f t="shared" si="26"/>
        <v>1.2068335153496053</v>
      </c>
      <c r="V62" s="426">
        <f t="shared" si="26"/>
        <v>1.2068335153496053</v>
      </c>
      <c r="W62" s="426">
        <f t="shared" si="26"/>
        <v>1.2068335153496053</v>
      </c>
      <c r="X62" s="426">
        <f t="shared" si="26"/>
        <v>1.2068335153496053</v>
      </c>
      <c r="Y62" s="426">
        <f t="shared" si="26"/>
        <v>1.2068335153496053</v>
      </c>
      <c r="Z62" s="426">
        <f t="shared" si="26"/>
        <v>1.2068335153496053</v>
      </c>
      <c r="AA62" s="426">
        <f t="shared" si="26"/>
        <v>1.2068335153496053</v>
      </c>
      <c r="AB62" s="426">
        <f t="shared" si="26"/>
        <v>1.2068335153496053</v>
      </c>
      <c r="AC62" s="426">
        <f t="shared" si="26"/>
        <v>1.2068335153496053</v>
      </c>
      <c r="AD62" s="426">
        <f t="shared" si="26"/>
        <v>1.2068335153496053</v>
      </c>
      <c r="AE62" s="426">
        <f t="shared" si="26"/>
        <v>1.2068335153496053</v>
      </c>
      <c r="AF62" s="426">
        <f t="shared" si="26"/>
        <v>1.2068335153496053</v>
      </c>
      <c r="AG62" s="426">
        <f t="shared" si="26"/>
        <v>1.2068335153496053</v>
      </c>
      <c r="AH62" s="426">
        <f t="shared" si="26"/>
        <v>1.2068335153496053</v>
      </c>
      <c r="AI62" s="426">
        <f t="shared" si="26"/>
        <v>1.2068335153496053</v>
      </c>
      <c r="AJ62" s="426">
        <f t="shared" si="26"/>
        <v>1.2068335153496053</v>
      </c>
      <c r="AK62" s="426">
        <f t="shared" si="26"/>
        <v>1.2068335153496053</v>
      </c>
      <c r="AL62" s="426">
        <f t="shared" si="26"/>
        <v>1.2068335153496053</v>
      </c>
    </row>
    <row r="63" spans="2:38">
      <c r="B63" s="362"/>
      <c r="C63" s="427" t="s">
        <v>290</v>
      </c>
      <c r="H63" s="1228"/>
    </row>
    <row r="64" spans="2:38">
      <c r="B64" s="362" t="s">
        <v>677</v>
      </c>
      <c r="C64" s="406">
        <v>695</v>
      </c>
      <c r="D64" s="435">
        <f t="shared" ref="D64:AL64" si="27">1/(1+$C$64*PRODUCT(D$59:D$62))</f>
        <v>1.2846823428953566E-2</v>
      </c>
      <c r="E64" s="435">
        <f t="shared" si="27"/>
        <v>1.2859041149429273E-2</v>
      </c>
      <c r="F64" s="435">
        <f t="shared" si="27"/>
        <v>1.2871284422039322E-2</v>
      </c>
      <c r="G64" s="435">
        <f t="shared" si="27"/>
        <v>1.2883553180992649E-2</v>
      </c>
      <c r="H64" s="435">
        <f t="shared" si="27"/>
        <v>1.289584736084585E-2</v>
      </c>
      <c r="I64" s="435">
        <f t="shared" si="27"/>
        <v>1.2908166896506283E-2</v>
      </c>
      <c r="J64" s="435">
        <f t="shared" si="27"/>
        <v>1.2920511723235115E-2</v>
      </c>
      <c r="K64" s="435">
        <f t="shared" si="27"/>
        <v>1.2932881776650215E-2</v>
      </c>
      <c r="L64" s="435">
        <f t="shared" si="27"/>
        <v>1.2945276992729026E-2</v>
      </c>
      <c r="M64" s="435">
        <f t="shared" si="27"/>
        <v>1.2957697307811268E-2</v>
      </c>
      <c r="N64" s="435">
        <f t="shared" si="27"/>
        <v>1.2970142658601587E-2</v>
      </c>
      <c r="O64" s="435">
        <f t="shared" si="27"/>
        <v>1.2982612982172088E-2</v>
      </c>
      <c r="P64" s="435">
        <f t="shared" si="27"/>
        <v>1.2995108215964795E-2</v>
      </c>
      <c r="Q64" s="435">
        <f t="shared" si="27"/>
        <v>1.3007628297794007E-2</v>
      </c>
      <c r="R64" s="435">
        <f t="shared" si="27"/>
        <v>1.3020173165848558E-2</v>
      </c>
      <c r="S64" s="435">
        <f t="shared" si="27"/>
        <v>1.3032742758694E-2</v>
      </c>
      <c r="T64" s="435">
        <f t="shared" si="27"/>
        <v>1.3045337015274685E-2</v>
      </c>
      <c r="U64" s="435">
        <f t="shared" si="27"/>
        <v>1.3057955874915778E-2</v>
      </c>
      <c r="V64" s="435">
        <f t="shared" si="27"/>
        <v>1.3070599277325174E-2</v>
      </c>
      <c r="W64" s="435">
        <f t="shared" si="27"/>
        <v>1.3083267162595303E-2</v>
      </c>
      <c r="X64" s="435">
        <f t="shared" si="27"/>
        <v>1.3095959471204914E-2</v>
      </c>
      <c r="Y64" s="435">
        <f t="shared" si="27"/>
        <v>1.3108676144020727E-2</v>
      </c>
      <c r="Z64" s="435">
        <f t="shared" si="27"/>
        <v>1.3121417122298995E-2</v>
      </c>
      <c r="AA64" s="435">
        <f t="shared" si="27"/>
        <v>1.3134182347687044E-2</v>
      </c>
      <c r="AB64" s="435">
        <f t="shared" si="27"/>
        <v>1.3146971762224686E-2</v>
      </c>
      <c r="AC64" s="435">
        <f t="shared" si="27"/>
        <v>1.3159785308345554E-2</v>
      </c>
      <c r="AD64" s="435">
        <f t="shared" si="27"/>
        <v>1.3172622928878398E-2</v>
      </c>
      <c r="AE64" s="435">
        <f t="shared" si="27"/>
        <v>1.318548456704826E-2</v>
      </c>
      <c r="AF64" s="435">
        <f t="shared" si="27"/>
        <v>1.3198370166477609E-2</v>
      </c>
      <c r="AG64" s="435">
        <f t="shared" si="27"/>
        <v>1.3211279671187398E-2</v>
      </c>
      <c r="AH64" s="435">
        <f t="shared" si="27"/>
        <v>1.3224213025598029E-2</v>
      </c>
      <c r="AI64" s="435">
        <f t="shared" si="27"/>
        <v>1.3237170174530275E-2</v>
      </c>
      <c r="AJ64" s="435">
        <f t="shared" si="27"/>
        <v>1.3250151063206107E-2</v>
      </c>
      <c r="AK64" s="435">
        <f t="shared" si="27"/>
        <v>1.3263155637249474E-2</v>
      </c>
      <c r="AL64" s="435">
        <f t="shared" si="27"/>
        <v>1.3276183842687013E-2</v>
      </c>
    </row>
    <row r="65" spans="1:38">
      <c r="H65" s="1228"/>
    </row>
    <row r="66" spans="1:38" ht="13">
      <c r="B66" s="407" t="s">
        <v>678</v>
      </c>
      <c r="C66" s="396" t="s">
        <v>627</v>
      </c>
      <c r="D66" s="397">
        <v>2018</v>
      </c>
      <c r="E66" s="397">
        <v>2020</v>
      </c>
      <c r="F66" s="397">
        <v>2021</v>
      </c>
      <c r="G66" s="397">
        <v>2022</v>
      </c>
      <c r="H66" s="1238">
        <v>2023</v>
      </c>
      <c r="I66" s="397">
        <v>2024</v>
      </c>
      <c r="J66" s="397">
        <v>2025</v>
      </c>
      <c r="K66" s="397">
        <v>2026</v>
      </c>
      <c r="L66" s="397">
        <v>2027</v>
      </c>
      <c r="M66" s="397">
        <v>2028</v>
      </c>
      <c r="N66" s="397">
        <v>2029</v>
      </c>
      <c r="O66" s="397">
        <v>2030</v>
      </c>
      <c r="P66" s="397">
        <v>2031</v>
      </c>
      <c r="Q66" s="397">
        <v>2032</v>
      </c>
      <c r="R66" s="397">
        <v>2033</v>
      </c>
      <c r="S66" s="397">
        <v>2034</v>
      </c>
      <c r="T66" s="397">
        <v>2035</v>
      </c>
      <c r="U66" s="397">
        <v>2036</v>
      </c>
      <c r="V66" s="397">
        <v>2037</v>
      </c>
      <c r="W66" s="397">
        <v>2038</v>
      </c>
      <c r="X66" s="397">
        <v>2039</v>
      </c>
      <c r="Y66" s="397">
        <v>2040</v>
      </c>
      <c r="Z66" s="397">
        <v>2041</v>
      </c>
      <c r="AA66" s="397">
        <v>2042</v>
      </c>
      <c r="AB66" s="397">
        <v>2043</v>
      </c>
      <c r="AC66" s="397">
        <v>2044</v>
      </c>
      <c r="AD66" s="397">
        <v>2044</v>
      </c>
      <c r="AE66" s="397">
        <v>2044</v>
      </c>
      <c r="AF66" s="397">
        <v>2044</v>
      </c>
      <c r="AG66" s="397">
        <v>2044</v>
      </c>
      <c r="AH66" s="397">
        <v>2044</v>
      </c>
      <c r="AI66" s="397">
        <v>2044</v>
      </c>
      <c r="AJ66" s="397">
        <v>2044</v>
      </c>
      <c r="AK66" s="397">
        <v>2044</v>
      </c>
      <c r="AL66" s="397">
        <v>2044</v>
      </c>
    </row>
    <row r="67" spans="1:38">
      <c r="B67" s="358" t="s">
        <v>679</v>
      </c>
      <c r="C67" s="436" t="s">
        <v>680</v>
      </c>
      <c r="D67" s="437">
        <f t="shared" ref="D67:AL67" si="28">D$64</f>
        <v>1.2846823428953566E-2</v>
      </c>
      <c r="E67" s="415">
        <f t="shared" si="28"/>
        <v>1.2859041149429273E-2</v>
      </c>
      <c r="F67" s="415">
        <f t="shared" si="28"/>
        <v>1.2871284422039322E-2</v>
      </c>
      <c r="G67" s="415">
        <f t="shared" si="28"/>
        <v>1.2883553180992649E-2</v>
      </c>
      <c r="H67" s="1235">
        <f t="shared" si="28"/>
        <v>1.289584736084585E-2</v>
      </c>
      <c r="I67" s="415">
        <f t="shared" si="28"/>
        <v>1.2908166896506283E-2</v>
      </c>
      <c r="J67" s="415">
        <f t="shared" si="28"/>
        <v>1.2920511723235115E-2</v>
      </c>
      <c r="K67" s="415">
        <f t="shared" si="28"/>
        <v>1.2932881776650215E-2</v>
      </c>
      <c r="L67" s="415">
        <f t="shared" si="28"/>
        <v>1.2945276992729026E-2</v>
      </c>
      <c r="M67" s="415">
        <f t="shared" si="28"/>
        <v>1.2957697307811268E-2</v>
      </c>
      <c r="N67" s="415">
        <f t="shared" si="28"/>
        <v>1.2970142658601587E-2</v>
      </c>
      <c r="O67" s="415">
        <f t="shared" si="28"/>
        <v>1.2982612982172088E-2</v>
      </c>
      <c r="P67" s="415">
        <f t="shared" si="28"/>
        <v>1.2995108215964795E-2</v>
      </c>
      <c r="Q67" s="415">
        <f t="shared" si="28"/>
        <v>1.3007628297794007E-2</v>
      </c>
      <c r="R67" s="415">
        <f t="shared" si="28"/>
        <v>1.3020173165848558E-2</v>
      </c>
      <c r="S67" s="415">
        <f t="shared" si="28"/>
        <v>1.3032742758694E-2</v>
      </c>
      <c r="T67" s="415">
        <f t="shared" si="28"/>
        <v>1.3045337015274685E-2</v>
      </c>
      <c r="U67" s="415">
        <f t="shared" si="28"/>
        <v>1.3057955874915778E-2</v>
      </c>
      <c r="V67" s="415">
        <f t="shared" si="28"/>
        <v>1.3070599277325174E-2</v>
      </c>
      <c r="W67" s="415">
        <f t="shared" si="28"/>
        <v>1.3083267162595303E-2</v>
      </c>
      <c r="X67" s="415">
        <f t="shared" si="28"/>
        <v>1.3095959471204914E-2</v>
      </c>
      <c r="Y67" s="415">
        <f t="shared" si="28"/>
        <v>1.3108676144020727E-2</v>
      </c>
      <c r="Z67" s="415">
        <f t="shared" si="28"/>
        <v>1.3121417122298995E-2</v>
      </c>
      <c r="AA67" s="415">
        <f t="shared" si="28"/>
        <v>1.3134182347687044E-2</v>
      </c>
      <c r="AB67" s="415">
        <f t="shared" si="28"/>
        <v>1.3146971762224686E-2</v>
      </c>
      <c r="AC67" s="415">
        <f t="shared" si="28"/>
        <v>1.3159785308345554E-2</v>
      </c>
      <c r="AD67" s="415">
        <f t="shared" si="28"/>
        <v>1.3172622928878398E-2</v>
      </c>
      <c r="AE67" s="415">
        <f t="shared" si="28"/>
        <v>1.318548456704826E-2</v>
      </c>
      <c r="AF67" s="415">
        <f t="shared" si="28"/>
        <v>1.3198370166477609E-2</v>
      </c>
      <c r="AG67" s="415">
        <f t="shared" si="28"/>
        <v>1.3211279671187398E-2</v>
      </c>
      <c r="AH67" s="415">
        <f t="shared" si="28"/>
        <v>1.3224213025598029E-2</v>
      </c>
      <c r="AI67" s="415">
        <f t="shared" si="28"/>
        <v>1.3237170174530275E-2</v>
      </c>
      <c r="AJ67" s="415">
        <f t="shared" si="28"/>
        <v>1.3250151063206107E-2</v>
      </c>
      <c r="AK67" s="415">
        <f t="shared" si="28"/>
        <v>1.3263155637249474E-2</v>
      </c>
      <c r="AL67" s="415">
        <f t="shared" si="28"/>
        <v>1.3276183842687013E-2</v>
      </c>
    </row>
    <row r="68" spans="1:38">
      <c r="B68" s="358" t="s">
        <v>681</v>
      </c>
      <c r="C68" s="419" t="s">
        <v>682</v>
      </c>
      <c r="D68" s="414">
        <f t="shared" ref="D68:AK68" si="29">1-D67</f>
        <v>0.9871531765710464</v>
      </c>
      <c r="E68" s="414">
        <f t="shared" si="29"/>
        <v>0.98714095885057074</v>
      </c>
      <c r="F68" s="414">
        <f t="shared" si="29"/>
        <v>0.98712871557796067</v>
      </c>
      <c r="G68" s="414">
        <f t="shared" si="29"/>
        <v>0.98711644681900734</v>
      </c>
      <c r="H68" s="417">
        <f t="shared" si="29"/>
        <v>0.98710415263915419</v>
      </c>
      <c r="I68" s="414">
        <f t="shared" si="29"/>
        <v>0.98709183310349369</v>
      </c>
      <c r="J68" s="414">
        <f t="shared" si="29"/>
        <v>0.98707948827676484</v>
      </c>
      <c r="K68" s="414">
        <f t="shared" si="29"/>
        <v>0.9870671182233498</v>
      </c>
      <c r="L68" s="414">
        <f t="shared" si="29"/>
        <v>0.98705472300727093</v>
      </c>
      <c r="M68" s="414">
        <f t="shared" si="29"/>
        <v>0.98704230269218873</v>
      </c>
      <c r="N68" s="414">
        <f t="shared" si="29"/>
        <v>0.98702985734139836</v>
      </c>
      <c r="O68" s="414">
        <f t="shared" si="29"/>
        <v>0.98701738701782793</v>
      </c>
      <c r="P68" s="414">
        <f t="shared" si="29"/>
        <v>0.98700489178403517</v>
      </c>
      <c r="Q68" s="414">
        <f t="shared" si="29"/>
        <v>0.986992371702206</v>
      </c>
      <c r="R68" s="414">
        <f t="shared" si="29"/>
        <v>0.98697982683415142</v>
      </c>
      <c r="S68" s="414">
        <f t="shared" si="29"/>
        <v>0.98696725724130596</v>
      </c>
      <c r="T68" s="414">
        <f t="shared" si="29"/>
        <v>0.98695466298472534</v>
      </c>
      <c r="U68" s="414">
        <f t="shared" si="29"/>
        <v>0.98694204412508424</v>
      </c>
      <c r="V68" s="414">
        <f t="shared" si="29"/>
        <v>0.98692940072267488</v>
      </c>
      <c r="W68" s="414">
        <f t="shared" si="29"/>
        <v>0.98691673283740466</v>
      </c>
      <c r="X68" s="414">
        <f t="shared" si="29"/>
        <v>0.9869040405287951</v>
      </c>
      <c r="Y68" s="414">
        <f t="shared" si="29"/>
        <v>0.98689132385597922</v>
      </c>
      <c r="Z68" s="414">
        <f t="shared" si="29"/>
        <v>0.98687858287770103</v>
      </c>
      <c r="AA68" s="414">
        <f t="shared" si="29"/>
        <v>0.98686581765231296</v>
      </c>
      <c r="AB68" s="414">
        <f t="shared" si="29"/>
        <v>0.98685302823777532</v>
      </c>
      <c r="AC68" s="414">
        <f t="shared" si="29"/>
        <v>0.98684021469165439</v>
      </c>
      <c r="AD68" s="414">
        <f t="shared" si="29"/>
        <v>0.98682737707112156</v>
      </c>
      <c r="AE68" s="414">
        <f t="shared" si="29"/>
        <v>0.98681451543295173</v>
      </c>
      <c r="AF68" s="414">
        <f t="shared" si="29"/>
        <v>0.98680162983352238</v>
      </c>
      <c r="AG68" s="414">
        <f t="shared" si="29"/>
        <v>0.9867887203288126</v>
      </c>
      <c r="AH68" s="414">
        <f t="shared" si="29"/>
        <v>0.98677578697440194</v>
      </c>
      <c r="AI68" s="414">
        <f t="shared" si="29"/>
        <v>0.9867628298254697</v>
      </c>
      <c r="AJ68" s="414">
        <f t="shared" si="29"/>
        <v>0.98674984893679385</v>
      </c>
      <c r="AK68" s="414">
        <f t="shared" si="29"/>
        <v>0.98673684436275055</v>
      </c>
      <c r="AL68" s="414">
        <f t="shared" ref="AL68" si="30">1-AL67</f>
        <v>0.98672381615731297</v>
      </c>
    </row>
    <row r="69" spans="1:38">
      <c r="B69" s="358" t="s">
        <v>671</v>
      </c>
      <c r="C69" s="419" t="s">
        <v>662</v>
      </c>
      <c r="D69" s="414">
        <f t="shared" ref="D69:AL69" si="31">D$20^(-0.2334)</f>
        <v>0.62482831374223813</v>
      </c>
      <c r="E69" s="414">
        <f t="shared" si="31"/>
        <v>0.62482831374223813</v>
      </c>
      <c r="F69" s="414">
        <f t="shared" si="31"/>
        <v>0.62482831374223813</v>
      </c>
      <c r="G69" s="414">
        <f t="shared" si="31"/>
        <v>0.62482831374223813</v>
      </c>
      <c r="H69" s="417">
        <f t="shared" si="31"/>
        <v>0.62482831374223813</v>
      </c>
      <c r="I69" s="414">
        <f t="shared" si="31"/>
        <v>0.62482831374223813</v>
      </c>
      <c r="J69" s="414">
        <f t="shared" si="31"/>
        <v>0.62482831374223813</v>
      </c>
      <c r="K69" s="414">
        <f t="shared" si="31"/>
        <v>0.62482831374223813</v>
      </c>
      <c r="L69" s="414">
        <f t="shared" si="31"/>
        <v>0.62482831374223813</v>
      </c>
      <c r="M69" s="414">
        <f t="shared" si="31"/>
        <v>0.62482831374223813</v>
      </c>
      <c r="N69" s="414">
        <f t="shared" si="31"/>
        <v>0.62482831374223813</v>
      </c>
      <c r="O69" s="414">
        <f t="shared" si="31"/>
        <v>0.62482831374223813</v>
      </c>
      <c r="P69" s="414">
        <f t="shared" si="31"/>
        <v>0.62482831374223813</v>
      </c>
      <c r="Q69" s="414">
        <f t="shared" si="31"/>
        <v>0.62482831374223813</v>
      </c>
      <c r="R69" s="414">
        <f t="shared" si="31"/>
        <v>0.62482831374223813</v>
      </c>
      <c r="S69" s="414">
        <f t="shared" si="31"/>
        <v>0.62482831374223813</v>
      </c>
      <c r="T69" s="414">
        <f t="shared" si="31"/>
        <v>0.62482831374223813</v>
      </c>
      <c r="U69" s="414">
        <f t="shared" si="31"/>
        <v>0.62482831374223813</v>
      </c>
      <c r="V69" s="414">
        <f t="shared" si="31"/>
        <v>0.62482831374223813</v>
      </c>
      <c r="W69" s="414">
        <f t="shared" si="31"/>
        <v>0.62482831374223813</v>
      </c>
      <c r="X69" s="414">
        <f t="shared" si="31"/>
        <v>0.62482831374223813</v>
      </c>
      <c r="Y69" s="414">
        <f t="shared" si="31"/>
        <v>0.62482831374223813</v>
      </c>
      <c r="Z69" s="414">
        <f t="shared" si="31"/>
        <v>0.62482831374223813</v>
      </c>
      <c r="AA69" s="414">
        <f t="shared" si="31"/>
        <v>0.62482831374223813</v>
      </c>
      <c r="AB69" s="414">
        <f t="shared" si="31"/>
        <v>0.62482831374223813</v>
      </c>
      <c r="AC69" s="414">
        <f t="shared" si="31"/>
        <v>0.62482831374223813</v>
      </c>
      <c r="AD69" s="414">
        <f t="shared" si="31"/>
        <v>0.62482831374223813</v>
      </c>
      <c r="AE69" s="414">
        <f t="shared" si="31"/>
        <v>0.62482831374223813</v>
      </c>
      <c r="AF69" s="414">
        <f t="shared" si="31"/>
        <v>0.62482831374223813</v>
      </c>
      <c r="AG69" s="414">
        <f t="shared" si="31"/>
        <v>0.62482831374223813</v>
      </c>
      <c r="AH69" s="414">
        <f t="shared" si="31"/>
        <v>0.62482831374223813</v>
      </c>
      <c r="AI69" s="414">
        <f t="shared" si="31"/>
        <v>0.62482831374223813</v>
      </c>
      <c r="AJ69" s="414">
        <f t="shared" si="31"/>
        <v>0.62482831374223813</v>
      </c>
      <c r="AK69" s="414">
        <f t="shared" si="31"/>
        <v>0.62482831374223813</v>
      </c>
      <c r="AL69" s="414">
        <f t="shared" si="31"/>
        <v>0.62482831374223813</v>
      </c>
    </row>
    <row r="70" spans="1:38">
      <c r="B70" s="358" t="s">
        <v>683</v>
      </c>
      <c r="C70" s="419" t="s">
        <v>684</v>
      </c>
      <c r="D70" s="414">
        <f t="shared" ref="D70:AL70" si="32">EXP(0.1176*$D$11)</f>
        <v>1.2651617757865004</v>
      </c>
      <c r="E70" s="415">
        <f t="shared" si="32"/>
        <v>1.2651617757865004</v>
      </c>
      <c r="F70" s="415">
        <f t="shared" si="32"/>
        <v>1.2651617757865004</v>
      </c>
      <c r="G70" s="415">
        <f t="shared" si="32"/>
        <v>1.2651617757865004</v>
      </c>
      <c r="H70" s="1235">
        <f t="shared" si="32"/>
        <v>1.2651617757865004</v>
      </c>
      <c r="I70" s="415">
        <f t="shared" si="32"/>
        <v>1.2651617757865004</v>
      </c>
      <c r="J70" s="415">
        <f t="shared" si="32"/>
        <v>1.2651617757865004</v>
      </c>
      <c r="K70" s="415">
        <f t="shared" si="32"/>
        <v>1.2651617757865004</v>
      </c>
      <c r="L70" s="415">
        <f t="shared" si="32"/>
        <v>1.2651617757865004</v>
      </c>
      <c r="M70" s="415">
        <f t="shared" si="32"/>
        <v>1.2651617757865004</v>
      </c>
      <c r="N70" s="415">
        <f t="shared" si="32"/>
        <v>1.2651617757865004</v>
      </c>
      <c r="O70" s="415">
        <f t="shared" si="32"/>
        <v>1.2651617757865004</v>
      </c>
      <c r="P70" s="415">
        <f t="shared" si="32"/>
        <v>1.2651617757865004</v>
      </c>
      <c r="Q70" s="415">
        <f t="shared" si="32"/>
        <v>1.2651617757865004</v>
      </c>
      <c r="R70" s="415">
        <f t="shared" si="32"/>
        <v>1.2651617757865004</v>
      </c>
      <c r="S70" s="415">
        <f t="shared" si="32"/>
        <v>1.2651617757865004</v>
      </c>
      <c r="T70" s="415">
        <f t="shared" si="32"/>
        <v>1.2651617757865004</v>
      </c>
      <c r="U70" s="415">
        <f t="shared" si="32"/>
        <v>1.2651617757865004</v>
      </c>
      <c r="V70" s="415">
        <f t="shared" si="32"/>
        <v>1.2651617757865004</v>
      </c>
      <c r="W70" s="415">
        <f t="shared" si="32"/>
        <v>1.2651617757865004</v>
      </c>
      <c r="X70" s="415">
        <f t="shared" si="32"/>
        <v>1.2651617757865004</v>
      </c>
      <c r="Y70" s="415">
        <f t="shared" si="32"/>
        <v>1.2651617757865004</v>
      </c>
      <c r="Z70" s="415">
        <f t="shared" si="32"/>
        <v>1.2651617757865004</v>
      </c>
      <c r="AA70" s="415">
        <f t="shared" si="32"/>
        <v>1.2651617757865004</v>
      </c>
      <c r="AB70" s="415">
        <f t="shared" si="32"/>
        <v>1.2651617757865004</v>
      </c>
      <c r="AC70" s="415">
        <f t="shared" si="32"/>
        <v>1.2651617757865004</v>
      </c>
      <c r="AD70" s="415">
        <f t="shared" si="32"/>
        <v>1.2651617757865004</v>
      </c>
      <c r="AE70" s="415">
        <f t="shared" si="32"/>
        <v>1.2651617757865004</v>
      </c>
      <c r="AF70" s="415">
        <f t="shared" si="32"/>
        <v>1.2651617757865004</v>
      </c>
      <c r="AG70" s="415">
        <f t="shared" si="32"/>
        <v>1.2651617757865004</v>
      </c>
      <c r="AH70" s="415">
        <f t="shared" si="32"/>
        <v>1.2651617757865004</v>
      </c>
      <c r="AI70" s="415">
        <f t="shared" si="32"/>
        <v>1.2651617757865004</v>
      </c>
      <c r="AJ70" s="415">
        <f t="shared" si="32"/>
        <v>1.2651617757865004</v>
      </c>
      <c r="AK70" s="415">
        <f t="shared" si="32"/>
        <v>1.2651617757865004</v>
      </c>
      <c r="AL70" s="415">
        <f t="shared" si="32"/>
        <v>1.2651617757865004</v>
      </c>
    </row>
    <row r="71" spans="1:38">
      <c r="B71" s="433" t="s">
        <v>675</v>
      </c>
      <c r="C71" s="434" t="s">
        <v>676</v>
      </c>
      <c r="D71" s="426">
        <f t="shared" ref="D71:AL71" si="33">EXP(0.1844*$E$5)</f>
        <v>1.2024967255996286</v>
      </c>
      <c r="E71" s="426">
        <f t="shared" si="33"/>
        <v>1.2024967255996286</v>
      </c>
      <c r="F71" s="426">
        <f t="shared" si="33"/>
        <v>1.2024967255996286</v>
      </c>
      <c r="G71" s="426">
        <f t="shared" si="33"/>
        <v>1.2024967255996286</v>
      </c>
      <c r="H71" s="1237">
        <f t="shared" si="33"/>
        <v>1.2024967255996286</v>
      </c>
      <c r="I71" s="426">
        <f t="shared" si="33"/>
        <v>1.2024967255996286</v>
      </c>
      <c r="J71" s="426">
        <f t="shared" si="33"/>
        <v>1.2024967255996286</v>
      </c>
      <c r="K71" s="426">
        <f t="shared" si="33"/>
        <v>1.2024967255996286</v>
      </c>
      <c r="L71" s="426">
        <f t="shared" si="33"/>
        <v>1.2024967255996286</v>
      </c>
      <c r="M71" s="426">
        <f t="shared" si="33"/>
        <v>1.2024967255996286</v>
      </c>
      <c r="N71" s="426">
        <f t="shared" si="33"/>
        <v>1.2024967255996286</v>
      </c>
      <c r="O71" s="426">
        <f t="shared" si="33"/>
        <v>1.2024967255996286</v>
      </c>
      <c r="P71" s="426">
        <f t="shared" si="33"/>
        <v>1.2024967255996286</v>
      </c>
      <c r="Q71" s="426">
        <f t="shared" si="33"/>
        <v>1.2024967255996286</v>
      </c>
      <c r="R71" s="426">
        <f t="shared" si="33"/>
        <v>1.2024967255996286</v>
      </c>
      <c r="S71" s="426">
        <f t="shared" si="33"/>
        <v>1.2024967255996286</v>
      </c>
      <c r="T71" s="426">
        <f t="shared" si="33"/>
        <v>1.2024967255996286</v>
      </c>
      <c r="U71" s="426">
        <f t="shared" si="33"/>
        <v>1.2024967255996286</v>
      </c>
      <c r="V71" s="426">
        <f t="shared" si="33"/>
        <v>1.2024967255996286</v>
      </c>
      <c r="W71" s="426">
        <f t="shared" si="33"/>
        <v>1.2024967255996286</v>
      </c>
      <c r="X71" s="426">
        <f t="shared" si="33"/>
        <v>1.2024967255996286</v>
      </c>
      <c r="Y71" s="426">
        <f t="shared" si="33"/>
        <v>1.2024967255996286</v>
      </c>
      <c r="Z71" s="426">
        <f t="shared" si="33"/>
        <v>1.2024967255996286</v>
      </c>
      <c r="AA71" s="426">
        <f t="shared" si="33"/>
        <v>1.2024967255996286</v>
      </c>
      <c r="AB71" s="426">
        <f t="shared" si="33"/>
        <v>1.2024967255996286</v>
      </c>
      <c r="AC71" s="426">
        <f t="shared" si="33"/>
        <v>1.2024967255996286</v>
      </c>
      <c r="AD71" s="426">
        <f t="shared" si="33"/>
        <v>1.2024967255996286</v>
      </c>
      <c r="AE71" s="426">
        <f t="shared" si="33"/>
        <v>1.2024967255996286</v>
      </c>
      <c r="AF71" s="426">
        <f t="shared" si="33"/>
        <v>1.2024967255996286</v>
      </c>
      <c r="AG71" s="426">
        <f t="shared" si="33"/>
        <v>1.2024967255996286</v>
      </c>
      <c r="AH71" s="426">
        <f t="shared" si="33"/>
        <v>1.2024967255996286</v>
      </c>
      <c r="AI71" s="426">
        <f t="shared" si="33"/>
        <v>1.2024967255996286</v>
      </c>
      <c r="AJ71" s="426">
        <f t="shared" si="33"/>
        <v>1.2024967255996286</v>
      </c>
      <c r="AK71" s="426">
        <f t="shared" si="33"/>
        <v>1.2024967255996286</v>
      </c>
      <c r="AL71" s="426">
        <f t="shared" si="33"/>
        <v>1.2024967255996286</v>
      </c>
    </row>
    <row r="72" spans="1:38">
      <c r="B72" s="362"/>
      <c r="C72" s="427" t="s">
        <v>290</v>
      </c>
      <c r="H72" s="1228"/>
    </row>
    <row r="73" spans="1:38">
      <c r="B73" s="362" t="s">
        <v>685</v>
      </c>
      <c r="C73" s="438">
        <v>4.28</v>
      </c>
      <c r="D73" s="435">
        <f t="shared" ref="D73:AL73" si="34">D$68/(1+$C$73*PRODUCT(D$69:D$71))</f>
        <v>0.19476234937753106</v>
      </c>
      <c r="E73" s="435">
        <f t="shared" si="34"/>
        <v>0.1947599388580693</v>
      </c>
      <c r="F73" s="435">
        <f t="shared" si="34"/>
        <v>0.19475752329724835</v>
      </c>
      <c r="G73" s="435">
        <f t="shared" si="34"/>
        <v>0.19475510270804861</v>
      </c>
      <c r="H73" s="435">
        <f t="shared" si="34"/>
        <v>0.19475267710338187</v>
      </c>
      <c r="I73" s="435">
        <f t="shared" si="34"/>
        <v>0.19475024649609068</v>
      </c>
      <c r="J73" s="435">
        <f t="shared" si="34"/>
        <v>0.19474781089894788</v>
      </c>
      <c r="K73" s="435">
        <f t="shared" si="34"/>
        <v>0.19474537032465586</v>
      </c>
      <c r="L73" s="435">
        <f t="shared" si="34"/>
        <v>0.19474292478584601</v>
      </c>
      <c r="M73" s="435">
        <f t="shared" si="34"/>
        <v>0.1947404742950784</v>
      </c>
      <c r="N73" s="435">
        <f t="shared" si="34"/>
        <v>0.19473801886484093</v>
      </c>
      <c r="O73" s="435">
        <f t="shared" si="34"/>
        <v>0.19473555850754914</v>
      </c>
      <c r="P73" s="435">
        <f t="shared" si="34"/>
        <v>0.19473309323554552</v>
      </c>
      <c r="Q73" s="435">
        <f t="shared" si="34"/>
        <v>0.19473062306109912</v>
      </c>
      <c r="R73" s="435">
        <f t="shared" si="34"/>
        <v>0.19472814799640509</v>
      </c>
      <c r="S73" s="435">
        <f t="shared" si="34"/>
        <v>0.19472566805358424</v>
      </c>
      <c r="T73" s="435">
        <f t="shared" si="34"/>
        <v>0.19472318324468271</v>
      </c>
      <c r="U73" s="435">
        <f t="shared" si="34"/>
        <v>0.19472069358167146</v>
      </c>
      <c r="V73" s="435">
        <f t="shared" si="34"/>
        <v>0.19471819907644591</v>
      </c>
      <c r="W73" s="435">
        <f t="shared" si="34"/>
        <v>0.19471569974082564</v>
      </c>
      <c r="X73" s="435">
        <f t="shared" si="34"/>
        <v>0.19471319558655403</v>
      </c>
      <c r="Y73" s="435">
        <f t="shared" si="34"/>
        <v>0.19471068662529792</v>
      </c>
      <c r="Z73" s="435">
        <f t="shared" si="34"/>
        <v>0.19470817286864725</v>
      </c>
      <c r="AA73" s="435">
        <f t="shared" si="34"/>
        <v>0.19470565432811482</v>
      </c>
      <c r="AB73" s="435">
        <f t="shared" si="34"/>
        <v>0.19470313101513601</v>
      </c>
      <c r="AC73" s="435">
        <f t="shared" si="34"/>
        <v>0.19470060294106847</v>
      </c>
      <c r="AD73" s="435">
        <f t="shared" si="34"/>
        <v>0.19469807011719198</v>
      </c>
      <c r="AE73" s="435">
        <f t="shared" si="34"/>
        <v>0.19469553255470801</v>
      </c>
      <c r="AF73" s="435">
        <f t="shared" si="34"/>
        <v>0.19469299026473966</v>
      </c>
      <c r="AG73" s="435">
        <f t="shared" si="34"/>
        <v>0.19469044325833149</v>
      </c>
      <c r="AH73" s="435">
        <f t="shared" si="34"/>
        <v>0.19468789154644914</v>
      </c>
      <c r="AI73" s="435">
        <f t="shared" si="34"/>
        <v>0.19468533513997935</v>
      </c>
      <c r="AJ73" s="435">
        <f t="shared" si="34"/>
        <v>0.19468277404972958</v>
      </c>
      <c r="AK73" s="435">
        <f t="shared" si="34"/>
        <v>0.19468020828642818</v>
      </c>
      <c r="AL73" s="435">
        <f t="shared" si="34"/>
        <v>0.19467763786072381</v>
      </c>
    </row>
    <row r="74" spans="1:38">
      <c r="H74" s="1228"/>
    </row>
    <row r="75" spans="1:38" ht="13">
      <c r="A75" s="452"/>
      <c r="B75" s="495" t="s">
        <v>625</v>
      </c>
      <c r="C75" s="453"/>
      <c r="D75" s="454"/>
      <c r="E75" s="379"/>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row>
    <row r="76" spans="1:38" ht="13">
      <c r="C76" s="399"/>
      <c r="D76" s="440">
        <f>D$1</f>
        <v>2021</v>
      </c>
      <c r="E76" s="440">
        <f t="shared" ref="E76:AL76" si="35">E$1</f>
        <v>2022</v>
      </c>
      <c r="F76" s="440">
        <f t="shared" si="35"/>
        <v>2023</v>
      </c>
      <c r="G76" s="440">
        <f t="shared" si="35"/>
        <v>2024</v>
      </c>
      <c r="H76" s="440">
        <f t="shared" si="35"/>
        <v>2025</v>
      </c>
      <c r="I76" s="440">
        <f t="shared" si="35"/>
        <v>2026</v>
      </c>
      <c r="J76" s="440">
        <f t="shared" si="35"/>
        <v>2027</v>
      </c>
      <c r="K76" s="440">
        <f t="shared" si="35"/>
        <v>2028</v>
      </c>
      <c r="L76" s="440">
        <f t="shared" si="35"/>
        <v>2029</v>
      </c>
      <c r="M76" s="440">
        <f t="shared" si="35"/>
        <v>2030</v>
      </c>
      <c r="N76" s="440">
        <f t="shared" si="35"/>
        <v>2031</v>
      </c>
      <c r="O76" s="440">
        <f t="shared" si="35"/>
        <v>2032</v>
      </c>
      <c r="P76" s="440">
        <f t="shared" si="35"/>
        <v>2033</v>
      </c>
      <c r="Q76" s="440">
        <f t="shared" si="35"/>
        <v>2034</v>
      </c>
      <c r="R76" s="440">
        <f t="shared" si="35"/>
        <v>2035</v>
      </c>
      <c r="S76" s="440">
        <f t="shared" si="35"/>
        <v>2036</v>
      </c>
      <c r="T76" s="440">
        <f t="shared" si="35"/>
        <v>2037</v>
      </c>
      <c r="U76" s="440">
        <f t="shared" si="35"/>
        <v>2038</v>
      </c>
      <c r="V76" s="440">
        <f t="shared" si="35"/>
        <v>2039</v>
      </c>
      <c r="W76" s="440">
        <f t="shared" si="35"/>
        <v>2040</v>
      </c>
      <c r="X76" s="440">
        <f t="shared" si="35"/>
        <v>2041</v>
      </c>
      <c r="Y76" s="440">
        <f t="shared" si="35"/>
        <v>2042</v>
      </c>
      <c r="Z76" s="440">
        <f t="shared" si="35"/>
        <v>2043</v>
      </c>
      <c r="AA76" s="440">
        <f t="shared" si="35"/>
        <v>2044</v>
      </c>
      <c r="AB76" s="440">
        <f t="shared" si="35"/>
        <v>2045</v>
      </c>
      <c r="AC76" s="440">
        <f t="shared" si="35"/>
        <v>2046</v>
      </c>
      <c r="AD76" s="440">
        <f t="shared" si="35"/>
        <v>2047</v>
      </c>
      <c r="AE76" s="440">
        <f t="shared" si="35"/>
        <v>2048</v>
      </c>
      <c r="AF76" s="440">
        <f t="shared" si="35"/>
        <v>2049</v>
      </c>
      <c r="AG76" s="440">
        <f t="shared" si="35"/>
        <v>2050</v>
      </c>
      <c r="AH76" s="440">
        <f t="shared" si="35"/>
        <v>2051</v>
      </c>
      <c r="AI76" s="440">
        <f t="shared" si="35"/>
        <v>2052</v>
      </c>
      <c r="AJ76" s="440">
        <f t="shared" si="35"/>
        <v>2053</v>
      </c>
      <c r="AK76" s="440">
        <f t="shared" si="35"/>
        <v>2054</v>
      </c>
      <c r="AL76" s="440">
        <f t="shared" si="35"/>
        <v>2055</v>
      </c>
    </row>
    <row r="77" spans="1:38" ht="13">
      <c r="B77" s="400" t="s">
        <v>639</v>
      </c>
      <c r="C77" s="401" t="s">
        <v>640</v>
      </c>
      <c r="D77" s="441">
        <f>'400 North'!D6</f>
        <v>2202.837213977748</v>
      </c>
      <c r="E77" s="441">
        <f>'400 North'!E6</f>
        <v>2267.8078864162576</v>
      </c>
      <c r="F77" s="441">
        <f>'400 North'!F6</f>
        <v>2334.6948095201942</v>
      </c>
      <c r="G77" s="441">
        <f>'400 North'!G6</f>
        <v>2403.5545013534002</v>
      </c>
      <c r="H77" s="441">
        <f>'400 North'!H6</f>
        <v>2474.4451469284099</v>
      </c>
      <c r="I77" s="441">
        <f>'400 North'!I6</f>
        <v>2547.4266473715784</v>
      </c>
      <c r="J77" s="441">
        <f>'400 North'!J6</f>
        <v>2622.5606705382952</v>
      </c>
      <c r="K77" s="441">
        <f>'400 North'!K6</f>
        <v>2699.9107031210401</v>
      </c>
      <c r="L77" s="441">
        <f>'400 North'!L6</f>
        <v>2779.5421042943253</v>
      </c>
      <c r="M77" s="441">
        <f>'400 North'!M6</f>
        <v>2861.5221609418413</v>
      </c>
      <c r="N77" s="441">
        <f>'400 North'!N6</f>
        <v>2945.9201445124813</v>
      </c>
      <c r="O77" s="441">
        <f>'400 North'!O6</f>
        <v>3032.8073695532789</v>
      </c>
      <c r="P77" s="441">
        <f>'400 North'!P6</f>
        <v>3122.2572539687212</v>
      </c>
      <c r="Q77" s="441">
        <f>'400 North'!Q6</f>
        <v>3214.3453810573592</v>
      </c>
      <c r="R77" s="441">
        <f>'400 North'!R6</f>
        <v>3309.1495633781242</v>
      </c>
      <c r="S77" s="441">
        <f>'400 North'!S6</f>
        <v>3406.7499085003356</v>
      </c>
      <c r="T77" s="441">
        <f>'400 North'!T6</f>
        <v>3507.2288866929271</v>
      </c>
      <c r="U77" s="441">
        <f>'400 North'!U6</f>
        <v>3610.6714006101201</v>
      </c>
      <c r="V77" s="441">
        <f>'400 North'!V6</f>
        <v>3717.1648570324087</v>
      </c>
      <c r="W77" s="441">
        <f>'400 North'!W6</f>
        <v>3826.7992407234738</v>
      </c>
      <c r="X77" s="441">
        <f>'400 North'!X6</f>
        <v>3939.6671904654445</v>
      </c>
      <c r="Y77" s="441">
        <f>'400 North'!Y6</f>
        <v>4055.8640773367501</v>
      </c>
      <c r="Z77" s="441">
        <f>'400 North'!Z6</f>
        <v>4175.4880852987053</v>
      </c>
      <c r="AA77" s="441">
        <f>'400 North'!AA6</f>
        <v>4298.6402941589204</v>
      </c>
      <c r="AB77" s="441">
        <f>'400 North'!AB6</f>
        <v>4425.4247649816471</v>
      </c>
      <c r="AC77" s="441">
        <f>'400 North'!AC6</f>
        <v>4555.9486280172177</v>
      </c>
      <c r="AD77" s="441">
        <f>'400 North'!AD6</f>
        <v>4690.3221732248912</v>
      </c>
      <c r="AE77" s="441">
        <f>'400 North'!AE6</f>
        <v>4828.6589434655789</v>
      </c>
      <c r="AF77" s="441">
        <f>'400 North'!AF6</f>
        <v>4971.0758304432065</v>
      </c>
      <c r="AG77" s="441">
        <f>'400 North'!AG6</f>
        <v>5117.6931734757918</v>
      </c>
      <c r="AH77" s="441">
        <f>'400 North'!AH6</f>
        <v>5268.634861179662</v>
      </c>
      <c r="AI77" s="441">
        <f>'400 North'!AI6</f>
        <v>5424.0284361527765</v>
      </c>
      <c r="AJ77" s="441">
        <f>'400 North'!AJ6</f>
        <v>5584.0052027455731</v>
      </c>
      <c r="AK77" s="441">
        <f>'400 North'!AK6</f>
        <v>5748.7003380104252</v>
      </c>
      <c r="AL77" s="441">
        <f>'400 North'!AL6</f>
        <v>5918.2530059234505</v>
      </c>
    </row>
    <row r="78" spans="1:38" ht="13">
      <c r="B78" s="400" t="s">
        <v>641</v>
      </c>
      <c r="C78" s="401" t="s">
        <v>642</v>
      </c>
      <c r="D78" s="442">
        <f>'400 North'!D37</f>
        <v>8.0848515288584082</v>
      </c>
      <c r="E78" s="442">
        <f>'400 North'!E37</f>
        <v>8.1706030304605175</v>
      </c>
      <c r="F78" s="442">
        <f>'400 North'!F37</f>
        <v>8.2572640503142321</v>
      </c>
      <c r="G78" s="442">
        <f>'400 North'!G37</f>
        <v>8.3448442351713243</v>
      </c>
      <c r="H78" s="442">
        <f>'400 North'!H37</f>
        <v>6.3250150005759522</v>
      </c>
      <c r="I78" s="442">
        <f>'400 North'!I37</f>
        <v>6.3921008996823563</v>
      </c>
      <c r="J78" s="442">
        <f>'400 North'!J37</f>
        <v>6.4598983414267632</v>
      </c>
      <c r="K78" s="442">
        <f>'400 North'!K37</f>
        <v>6.5284148727442579</v>
      </c>
      <c r="L78" s="442">
        <f>'400 North'!L37</f>
        <v>6.5976581206160478</v>
      </c>
      <c r="M78" s="442">
        <f>'400 North'!M37</f>
        <v>6.6676357929184693</v>
      </c>
      <c r="N78" s="442">
        <f>'400 North'!N37</f>
        <v>6.7383556792809909</v>
      </c>
      <c r="O78" s="442">
        <f>'400 North'!O37</f>
        <v>6.8098256519533322</v>
      </c>
      <c r="P78" s="442">
        <f>'400 North'!P37</f>
        <v>6.8820536666817631</v>
      </c>
      <c r="Q78" s="442">
        <f>'400 North'!Q37</f>
        <v>6.9550477635947088</v>
      </c>
      <c r="R78" s="442">
        <f>'400 North'!R37</f>
        <v>7.0288160680977398</v>
      </c>
      <c r="S78" s="442">
        <f>'400 North'!S37</f>
        <v>7.1033667917780718</v>
      </c>
      <c r="T78" s="442">
        <f>'400 North'!T37</f>
        <v>7.1787082333186234</v>
      </c>
      <c r="U78" s="442">
        <f>'400 North'!U37</f>
        <v>7.2548487794218142</v>
      </c>
      <c r="V78" s="442">
        <f>'400 North'!V37</f>
        <v>7.3317969057431265</v>
      </c>
      <c r="W78" s="442">
        <f>'400 North'!W37</f>
        <v>7.4095611778345836</v>
      </c>
      <c r="X78" s="442">
        <f>'400 North'!X37</f>
        <v>7.4881502520982295</v>
      </c>
      <c r="Y78" s="442">
        <f>'400 North'!Y37</f>
        <v>7.5675728767497308</v>
      </c>
      <c r="Z78" s="442">
        <f>'400 North'!Z37</f>
        <v>7.6478378927921851</v>
      </c>
      <c r="AA78" s="442">
        <f>'400 North'!AA37</f>
        <v>7.7289542350002716</v>
      </c>
      <c r="AB78" s="442">
        <f>'400 North'!AB37</f>
        <v>7.8109309329148253</v>
      </c>
      <c r="AC78" s="442">
        <f>'400 North'!AC37</f>
        <v>7.8937771118479834</v>
      </c>
      <c r="AD78" s="442">
        <f>'400 North'!AD37</f>
        <v>7.9775019938989598</v>
      </c>
      <c r="AE78" s="442">
        <f>'400 North'!AE37</f>
        <v>8.0621148989806244</v>
      </c>
      <c r="AF78" s="442">
        <f>'400 North'!AF37</f>
        <v>8.1476252458569576</v>
      </c>
      <c r="AG78" s="442">
        <f>'400 North'!AG37</f>
        <v>8.2340425531914985</v>
      </c>
      <c r="AH78" s="442">
        <f>'400 North'!AH37</f>
        <v>8.3213764406069348</v>
      </c>
      <c r="AI78" s="442">
        <f>'400 North'!AI37</f>
        <v>8.4096366297559157</v>
      </c>
      <c r="AJ78" s="442">
        <f>'400 North'!AJ37</f>
        <v>8.4988329454032225</v>
      </c>
      <c r="AK78" s="442">
        <f>'400 North'!AK37</f>
        <v>8.5889753165194307</v>
      </c>
      <c r="AL78" s="442">
        <f>'400 North'!AL37</f>
        <v>8.6800737773861574</v>
      </c>
    </row>
    <row r="79" spans="1:38" ht="13">
      <c r="B79" s="400" t="s">
        <v>643</v>
      </c>
      <c r="C79" s="401" t="s">
        <v>644</v>
      </c>
      <c r="D79" s="442">
        <f>'400 North'!D37</f>
        <v>8.0848515288584082</v>
      </c>
      <c r="E79" s="442">
        <f>'400 North'!E37</f>
        <v>8.1706030304605175</v>
      </c>
      <c r="F79" s="442">
        <f>'400 North'!F37</f>
        <v>8.2572640503142321</v>
      </c>
      <c r="G79" s="442">
        <f>'400 North'!G37</f>
        <v>8.3448442351713243</v>
      </c>
      <c r="H79" s="442">
        <f>'400 North'!H37</f>
        <v>6.3250150005759522</v>
      </c>
      <c r="I79" s="442">
        <f>'400 North'!I37</f>
        <v>6.3921008996823563</v>
      </c>
      <c r="J79" s="442">
        <f>'400 North'!J37</f>
        <v>6.4598983414267632</v>
      </c>
      <c r="K79" s="442">
        <f>'400 North'!K37</f>
        <v>6.5284148727442579</v>
      </c>
      <c r="L79" s="442">
        <f>'400 North'!L37</f>
        <v>6.5976581206160478</v>
      </c>
      <c r="M79" s="442">
        <f>'400 North'!M37</f>
        <v>6.6676357929184693</v>
      </c>
      <c r="N79" s="442">
        <f>'400 North'!N37</f>
        <v>6.7383556792809909</v>
      </c>
      <c r="O79" s="442">
        <f>'400 North'!O37</f>
        <v>6.8098256519533322</v>
      </c>
      <c r="P79" s="442">
        <f>'400 North'!P37</f>
        <v>6.8820536666817631</v>
      </c>
      <c r="Q79" s="442">
        <f>'400 North'!Q37</f>
        <v>6.9550477635947088</v>
      </c>
      <c r="R79" s="442">
        <f>'400 North'!R37</f>
        <v>7.0288160680977398</v>
      </c>
      <c r="S79" s="442">
        <f>'400 North'!S37</f>
        <v>7.1033667917780718</v>
      </c>
      <c r="T79" s="442">
        <f>'400 North'!T37</f>
        <v>7.1787082333186234</v>
      </c>
      <c r="U79" s="442">
        <f>'400 North'!U37</f>
        <v>7.2548487794218142</v>
      </c>
      <c r="V79" s="442">
        <f>'400 North'!V37</f>
        <v>7.3317969057431265</v>
      </c>
      <c r="W79" s="442">
        <f>'400 North'!W37</f>
        <v>7.4095611778345836</v>
      </c>
      <c r="X79" s="442">
        <f>'400 North'!X37</f>
        <v>7.4881502520982295</v>
      </c>
      <c r="Y79" s="442">
        <f>'400 North'!Y37</f>
        <v>7.5675728767497308</v>
      </c>
      <c r="Z79" s="442">
        <f>'400 North'!Z37</f>
        <v>7.6478378927921851</v>
      </c>
      <c r="AA79" s="442">
        <f>'400 North'!AA37</f>
        <v>7.7289542350002716</v>
      </c>
      <c r="AB79" s="442">
        <f>'400 North'!AB37</f>
        <v>7.8109309329148253</v>
      </c>
      <c r="AC79" s="442">
        <f>'400 North'!AC37</f>
        <v>7.8937771118479834</v>
      </c>
      <c r="AD79" s="442">
        <f>'400 North'!AD37</f>
        <v>7.9775019938989598</v>
      </c>
      <c r="AE79" s="442">
        <f>'400 North'!AE37</f>
        <v>8.0621148989806244</v>
      </c>
      <c r="AF79" s="442">
        <f>'400 North'!AF37</f>
        <v>8.1476252458569576</v>
      </c>
      <c r="AG79" s="442">
        <f>'400 North'!AG37</f>
        <v>8.2340425531914985</v>
      </c>
      <c r="AH79" s="442">
        <f>'400 North'!AH37</f>
        <v>8.3213764406069348</v>
      </c>
      <c r="AI79" s="442">
        <f>'400 North'!AI37</f>
        <v>8.4096366297559157</v>
      </c>
      <c r="AJ79" s="442">
        <f>'400 North'!AJ37</f>
        <v>8.4988329454032225</v>
      </c>
      <c r="AK79" s="442">
        <f>'400 North'!AK37</f>
        <v>8.5889753165194307</v>
      </c>
      <c r="AL79" s="442">
        <f>'400 North'!AL37</f>
        <v>8.6800737773861574</v>
      </c>
    </row>
    <row r="80" spans="1:38" ht="13">
      <c r="B80" s="400" t="s">
        <v>645</v>
      </c>
      <c r="C80" s="401" t="s">
        <v>646</v>
      </c>
      <c r="D80" s="442">
        <f>'400 North'!D38</f>
        <v>4.0424257644292041</v>
      </c>
      <c r="E80" s="442">
        <f>'400 North'!E38</f>
        <v>4.0853015152302588</v>
      </c>
      <c r="F80" s="442">
        <f>'400 North'!F38</f>
        <v>4.128632025157116</v>
      </c>
      <c r="G80" s="442">
        <f>'400 North'!G38</f>
        <v>4.1724221175856622</v>
      </c>
      <c r="H80" s="442">
        <f>'400 North'!H38</f>
        <v>3.1625075002879761</v>
      </c>
      <c r="I80" s="442">
        <f>'400 North'!I38</f>
        <v>3.1960504498411781</v>
      </c>
      <c r="J80" s="442">
        <f>'400 North'!J38</f>
        <v>3.2299491707133816</v>
      </c>
      <c r="K80" s="442">
        <f>'400 North'!K38</f>
        <v>3.264207436372129</v>
      </c>
      <c r="L80" s="442">
        <f>'400 North'!L38</f>
        <v>3.2988290603080239</v>
      </c>
      <c r="M80" s="442">
        <f>'400 North'!M38</f>
        <v>3.3338178964592347</v>
      </c>
      <c r="N80" s="442">
        <f>'400 North'!N38</f>
        <v>3.3691778396404954</v>
      </c>
      <c r="O80" s="442">
        <f>'400 North'!O38</f>
        <v>3.4049128259766661</v>
      </c>
      <c r="P80" s="442">
        <f>'400 North'!P38</f>
        <v>3.4410268333408816</v>
      </c>
      <c r="Q80" s="442">
        <f>'400 North'!Q38</f>
        <v>3.4775238817973544</v>
      </c>
      <c r="R80" s="442">
        <f>'400 North'!R38</f>
        <v>3.5144080340488699</v>
      </c>
      <c r="S80" s="442">
        <f>'400 North'!S38</f>
        <v>3.5516833958890359</v>
      </c>
      <c r="T80" s="442">
        <f>'400 North'!T38</f>
        <v>3.5893541166593117</v>
      </c>
      <c r="U80" s="442">
        <f>'400 North'!U38</f>
        <v>3.6274243897109071</v>
      </c>
      <c r="V80" s="442">
        <f>'400 North'!V38</f>
        <v>3.6658984528715632</v>
      </c>
      <c r="W80" s="442">
        <f>'400 North'!W38</f>
        <v>3.7047805889172918</v>
      </c>
      <c r="X80" s="442">
        <f>'400 North'!X38</f>
        <v>3.7440751260491147</v>
      </c>
      <c r="Y80" s="442">
        <f>'400 North'!Y38</f>
        <v>3.7837864383748654</v>
      </c>
      <c r="Z80" s="442">
        <f>'400 North'!Z38</f>
        <v>3.8239189463960925</v>
      </c>
      <c r="AA80" s="442">
        <f>'400 North'!AA38</f>
        <v>3.8644771175001358</v>
      </c>
      <c r="AB80" s="442">
        <f>'400 North'!AB38</f>
        <v>3.9054654664574127</v>
      </c>
      <c r="AC80" s="442">
        <f>'400 North'!AC38</f>
        <v>3.9468885559239917</v>
      </c>
      <c r="AD80" s="442">
        <f>'400 North'!AD38</f>
        <v>3.9887509969494799</v>
      </c>
      <c r="AE80" s="442">
        <f>'400 North'!AE38</f>
        <v>4.0310574494903122</v>
      </c>
      <c r="AF80" s="442">
        <f>'400 North'!AF38</f>
        <v>4.0738126229284788</v>
      </c>
      <c r="AG80" s="442">
        <f>'400 North'!AG38</f>
        <v>4.1170212765957492</v>
      </c>
      <c r="AH80" s="442">
        <f>'400 North'!AH38</f>
        <v>4.1606882203034674</v>
      </c>
      <c r="AI80" s="442">
        <f>'400 North'!AI38</f>
        <v>4.2048183148779579</v>
      </c>
      <c r="AJ80" s="442">
        <f>'400 North'!AJ38</f>
        <v>4.2494164727016113</v>
      </c>
      <c r="AK80" s="442">
        <f>'400 North'!AK38</f>
        <v>4.2944876582597153</v>
      </c>
      <c r="AL80" s="442">
        <f>'400 North'!AL38</f>
        <v>4.3400368886930787</v>
      </c>
    </row>
    <row r="81" spans="2:38" ht="13">
      <c r="B81" s="400" t="s">
        <v>1048</v>
      </c>
      <c r="C81" s="401" t="s">
        <v>647</v>
      </c>
      <c r="D81" s="442">
        <v>0</v>
      </c>
      <c r="E81" s="442">
        <v>1</v>
      </c>
      <c r="F81" s="442">
        <v>2</v>
      </c>
      <c r="G81" s="442">
        <v>3</v>
      </c>
      <c r="H81" s="442">
        <v>4</v>
      </c>
      <c r="I81" s="442">
        <v>5</v>
      </c>
      <c r="J81" s="442">
        <v>6</v>
      </c>
      <c r="K81" s="442">
        <v>7</v>
      </c>
      <c r="L81" s="442">
        <v>8</v>
      </c>
      <c r="M81" s="442">
        <v>9</v>
      </c>
      <c r="N81" s="442">
        <v>10</v>
      </c>
      <c r="O81" s="442">
        <v>11</v>
      </c>
      <c r="P81" s="442">
        <v>12</v>
      </c>
      <c r="Q81" s="442">
        <v>13</v>
      </c>
      <c r="R81" s="442">
        <v>14</v>
      </c>
      <c r="S81" s="442">
        <v>15</v>
      </c>
      <c r="T81" s="442">
        <v>16</v>
      </c>
      <c r="U81" s="442">
        <v>17</v>
      </c>
      <c r="V81" s="442">
        <v>18</v>
      </c>
      <c r="W81" s="442">
        <v>19</v>
      </c>
      <c r="X81" s="442">
        <v>20</v>
      </c>
      <c r="Y81" s="442">
        <v>21</v>
      </c>
      <c r="Z81" s="442">
        <v>22</v>
      </c>
      <c r="AA81" s="442">
        <v>23</v>
      </c>
      <c r="AB81" s="442">
        <v>24</v>
      </c>
      <c r="AC81" s="442">
        <v>25</v>
      </c>
      <c r="AD81" s="442">
        <v>26</v>
      </c>
      <c r="AE81" s="442">
        <v>27</v>
      </c>
      <c r="AF81" s="442">
        <v>28</v>
      </c>
      <c r="AG81" s="442">
        <v>29</v>
      </c>
      <c r="AH81" s="442">
        <v>30</v>
      </c>
      <c r="AI81" s="442">
        <v>31</v>
      </c>
      <c r="AJ81" s="442">
        <v>32</v>
      </c>
      <c r="AK81" s="442">
        <v>33</v>
      </c>
      <c r="AL81" s="442">
        <v>33</v>
      </c>
    </row>
    <row r="82" spans="2:38" ht="13">
      <c r="B82" s="400" t="s">
        <v>648</v>
      </c>
      <c r="C82" s="401" t="s">
        <v>649</v>
      </c>
      <c r="D82" s="441">
        <f>'Crossing Inputs'!$H34</f>
        <v>7.5</v>
      </c>
      <c r="E82" s="441">
        <f>'Crossing Inputs'!$H34</f>
        <v>7.5</v>
      </c>
      <c r="F82" s="441">
        <f>'Crossing Inputs'!$H34</f>
        <v>7.5</v>
      </c>
      <c r="G82" s="441">
        <f>'Crossing Inputs'!$H34</f>
        <v>7.5</v>
      </c>
      <c r="H82" s="441">
        <f>'Crossing Inputs'!$H34</f>
        <v>7.5</v>
      </c>
      <c r="I82" s="441">
        <f>'Crossing Inputs'!$H34</f>
        <v>7.5</v>
      </c>
      <c r="J82" s="441">
        <f>'Crossing Inputs'!$H34</f>
        <v>7.5</v>
      </c>
      <c r="K82" s="441">
        <f>'Crossing Inputs'!$H34</f>
        <v>7.5</v>
      </c>
      <c r="L82" s="441">
        <f>'Crossing Inputs'!$H34</f>
        <v>7.5</v>
      </c>
      <c r="M82" s="441">
        <f>'Crossing Inputs'!$H34</f>
        <v>7.5</v>
      </c>
      <c r="N82" s="441">
        <f>'Crossing Inputs'!$H34</f>
        <v>7.5</v>
      </c>
      <c r="O82" s="441">
        <f>'Crossing Inputs'!$H34</f>
        <v>7.5</v>
      </c>
      <c r="P82" s="441">
        <f>'Crossing Inputs'!$H34</f>
        <v>7.5</v>
      </c>
      <c r="Q82" s="441">
        <f>'Crossing Inputs'!$H34</f>
        <v>7.5</v>
      </c>
      <c r="R82" s="441">
        <f>'Crossing Inputs'!$H34</f>
        <v>7.5</v>
      </c>
      <c r="S82" s="441">
        <f>'Crossing Inputs'!$H34</f>
        <v>7.5</v>
      </c>
      <c r="T82" s="441">
        <f>'Crossing Inputs'!$H34</f>
        <v>7.5</v>
      </c>
      <c r="U82" s="441">
        <f>'Crossing Inputs'!$H34</f>
        <v>7.5</v>
      </c>
      <c r="V82" s="441">
        <f>'Crossing Inputs'!$H34</f>
        <v>7.5</v>
      </c>
      <c r="W82" s="441">
        <f>'Crossing Inputs'!$H34</f>
        <v>7.5</v>
      </c>
      <c r="X82" s="441">
        <f>'Crossing Inputs'!$H34</f>
        <v>7.5</v>
      </c>
      <c r="Y82" s="441">
        <f>'Crossing Inputs'!$H34</f>
        <v>7.5</v>
      </c>
      <c r="Z82" s="441">
        <f>'Crossing Inputs'!$H34</f>
        <v>7.5</v>
      </c>
      <c r="AA82" s="441">
        <f>'Crossing Inputs'!$H34</f>
        <v>7.5</v>
      </c>
      <c r="AB82" s="441">
        <f>'Crossing Inputs'!$H34</f>
        <v>7.5</v>
      </c>
      <c r="AC82" s="441">
        <f>'Crossing Inputs'!$H34</f>
        <v>7.5</v>
      </c>
      <c r="AD82" s="441">
        <f>'Crossing Inputs'!$H34</f>
        <v>7.5</v>
      </c>
      <c r="AE82" s="441">
        <f>'Crossing Inputs'!$H34</f>
        <v>7.5</v>
      </c>
      <c r="AF82" s="441">
        <f>'Crossing Inputs'!$H34</f>
        <v>7.5</v>
      </c>
      <c r="AG82" s="441">
        <f>'Crossing Inputs'!$H34</f>
        <v>7.5</v>
      </c>
      <c r="AH82" s="441">
        <f>'Crossing Inputs'!$H34</f>
        <v>7.5</v>
      </c>
      <c r="AI82" s="441">
        <f>'Crossing Inputs'!$H34</f>
        <v>7.5</v>
      </c>
      <c r="AJ82" s="441">
        <f>'Crossing Inputs'!$H34</f>
        <v>7.5</v>
      </c>
      <c r="AK82" s="441">
        <f>'Crossing Inputs'!$H34</f>
        <v>7.5</v>
      </c>
      <c r="AL82" s="441">
        <f>'Crossing Inputs'!$H34</f>
        <v>7.5</v>
      </c>
    </row>
    <row r="83" spans="2:38" ht="13">
      <c r="B83" s="400"/>
      <c r="C83" s="403"/>
      <c r="D83" s="402"/>
      <c r="E83" s="402"/>
      <c r="F83" s="402"/>
      <c r="G83" s="402"/>
      <c r="H83" s="123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row>
    <row r="84" spans="2:38" ht="13">
      <c r="B84" s="400"/>
      <c r="C84" s="404"/>
      <c r="D84" s="440">
        <f>D$1</f>
        <v>2021</v>
      </c>
      <c r="E84" s="440">
        <f t="shared" ref="E84:AL84" si="36">E$1</f>
        <v>2022</v>
      </c>
      <c r="F84" s="440">
        <f t="shared" si="36"/>
        <v>2023</v>
      </c>
      <c r="G84" s="440">
        <f t="shared" si="36"/>
        <v>2024</v>
      </c>
      <c r="H84" s="440">
        <f t="shared" si="36"/>
        <v>2025</v>
      </c>
      <c r="I84" s="440">
        <f t="shared" si="36"/>
        <v>2026</v>
      </c>
      <c r="J84" s="440">
        <f t="shared" si="36"/>
        <v>2027</v>
      </c>
      <c r="K84" s="440">
        <f t="shared" si="36"/>
        <v>2028</v>
      </c>
      <c r="L84" s="440">
        <f t="shared" si="36"/>
        <v>2029</v>
      </c>
      <c r="M84" s="440">
        <f t="shared" si="36"/>
        <v>2030</v>
      </c>
      <c r="N84" s="440">
        <f t="shared" si="36"/>
        <v>2031</v>
      </c>
      <c r="O84" s="440">
        <f t="shared" si="36"/>
        <v>2032</v>
      </c>
      <c r="P84" s="440">
        <f t="shared" si="36"/>
        <v>2033</v>
      </c>
      <c r="Q84" s="440">
        <f t="shared" si="36"/>
        <v>2034</v>
      </c>
      <c r="R84" s="440">
        <f t="shared" si="36"/>
        <v>2035</v>
      </c>
      <c r="S84" s="440">
        <f t="shared" si="36"/>
        <v>2036</v>
      </c>
      <c r="T84" s="440">
        <f t="shared" si="36"/>
        <v>2037</v>
      </c>
      <c r="U84" s="440">
        <f t="shared" si="36"/>
        <v>2038</v>
      </c>
      <c r="V84" s="440">
        <f t="shared" si="36"/>
        <v>2039</v>
      </c>
      <c r="W84" s="440">
        <f t="shared" si="36"/>
        <v>2040</v>
      </c>
      <c r="X84" s="440">
        <f t="shared" si="36"/>
        <v>2041</v>
      </c>
      <c r="Y84" s="440">
        <f t="shared" si="36"/>
        <v>2042</v>
      </c>
      <c r="Z84" s="440">
        <f t="shared" si="36"/>
        <v>2043</v>
      </c>
      <c r="AA84" s="440">
        <f t="shared" si="36"/>
        <v>2044</v>
      </c>
      <c r="AB84" s="440">
        <f t="shared" si="36"/>
        <v>2045</v>
      </c>
      <c r="AC84" s="440">
        <f t="shared" si="36"/>
        <v>2046</v>
      </c>
      <c r="AD84" s="440">
        <f t="shared" si="36"/>
        <v>2047</v>
      </c>
      <c r="AE84" s="440">
        <f t="shared" si="36"/>
        <v>2048</v>
      </c>
      <c r="AF84" s="440">
        <f t="shared" si="36"/>
        <v>2049</v>
      </c>
      <c r="AG84" s="440">
        <f t="shared" si="36"/>
        <v>2050</v>
      </c>
      <c r="AH84" s="440">
        <f t="shared" si="36"/>
        <v>2051</v>
      </c>
      <c r="AI84" s="440">
        <f t="shared" si="36"/>
        <v>2052</v>
      </c>
      <c r="AJ84" s="440">
        <f t="shared" si="36"/>
        <v>2053</v>
      </c>
      <c r="AK84" s="440">
        <f t="shared" si="36"/>
        <v>2054</v>
      </c>
      <c r="AL84" s="440">
        <f t="shared" si="36"/>
        <v>2055</v>
      </c>
    </row>
    <row r="85" spans="2:38" ht="13">
      <c r="B85" s="400" t="s">
        <v>354</v>
      </c>
      <c r="C85" s="404"/>
      <c r="D85" s="405">
        <f t="shared" ref="D85:AL85" si="37">D$118</f>
        <v>0.17387085299104882</v>
      </c>
      <c r="E85" s="405">
        <f t="shared" si="37"/>
        <v>0.17600009074869749</v>
      </c>
      <c r="F85" s="405">
        <f t="shared" si="37"/>
        <v>0.17815544570157779</v>
      </c>
      <c r="G85" s="405">
        <f t="shared" si="37"/>
        <v>0.18033723828583903</v>
      </c>
      <c r="H85" s="1240">
        <f t="shared" si="37"/>
        <v>0.16554326205522951</v>
      </c>
      <c r="I85" s="405">
        <f t="shared" si="37"/>
        <v>0.16756949614409355</v>
      </c>
      <c r="J85" s="405">
        <f t="shared" si="37"/>
        <v>0.16962058129940868</v>
      </c>
      <c r="K85" s="405">
        <f t="shared" si="37"/>
        <v>0.17169682242409209</v>
      </c>
      <c r="L85" s="405">
        <f t="shared" si="37"/>
        <v>0.1737985281625064</v>
      </c>
      <c r="M85" s="405">
        <f t="shared" si="37"/>
        <v>0.17592601094635288</v>
      </c>
      <c r="N85" s="405">
        <f t="shared" si="37"/>
        <v>0.17807958704112906</v>
      </c>
      <c r="O85" s="405">
        <f t="shared" si="37"/>
        <v>0.18025957659315486</v>
      </c>
      <c r="P85" s="405">
        <f t="shared" si="37"/>
        <v>0.1824663036771777</v>
      </c>
      <c r="Q85" s="405">
        <f t="shared" si="37"/>
        <v>0.18470009634456214</v>
      </c>
      <c r="R85" s="405">
        <f t="shared" si="37"/>
        <v>0.18696128667206946</v>
      </c>
      <c r="S85" s="405">
        <f t="shared" si="37"/>
        <v>0.18925021081123775</v>
      </c>
      <c r="T85" s="405">
        <f t="shared" si="37"/>
        <v>0.19156720903836738</v>
      </c>
      <c r="U85" s="405">
        <f t="shared" si="37"/>
        <v>0.19391262580512064</v>
      </c>
      <c r="V85" s="405">
        <f t="shared" si="37"/>
        <v>0.19628680978974203</v>
      </c>
      <c r="W85" s="405">
        <f t="shared" si="37"/>
        <v>0.19869011394890676</v>
      </c>
      <c r="X85" s="405">
        <f t="shared" si="37"/>
        <v>0.20112289557020752</v>
      </c>
      <c r="Y85" s="405">
        <f t="shared" si="37"/>
        <v>0.20358551632528379</v>
      </c>
      <c r="Z85" s="405">
        <f t="shared" si="37"/>
        <v>0.20607834232360436</v>
      </c>
      <c r="AA85" s="405">
        <f t="shared" si="37"/>
        <v>0.20860174416690866</v>
      </c>
      <c r="AB85" s="405">
        <f t="shared" si="37"/>
        <v>0.21115609700431806</v>
      </c>
      <c r="AC85" s="405">
        <f t="shared" si="37"/>
        <v>0.21374178058812282</v>
      </c>
      <c r="AD85" s="405">
        <f t="shared" si="37"/>
        <v>0.21635917933025325</v>
      </c>
      <c r="AE85" s="405">
        <f t="shared" si="37"/>
        <v>0.21900868235944485</v>
      </c>
      <c r="AF85" s="405">
        <f t="shared" si="37"/>
        <v>0.22169068357910454</v>
      </c>
      <c r="AG85" s="405">
        <f t="shared" si="37"/>
        <v>0.22440558172588768</v>
      </c>
      <c r="AH85" s="405">
        <f t="shared" si="37"/>
        <v>0.2271537804289927</v>
      </c>
      <c r="AI85" s="405">
        <f t="shared" si="37"/>
        <v>0.22993568827018609</v>
      </c>
      <c r="AJ85" s="405">
        <f t="shared" si="37"/>
        <v>0.2327517188445605</v>
      </c>
      <c r="AK85" s="405">
        <f t="shared" si="37"/>
        <v>0.23560229082204201</v>
      </c>
      <c r="AL85" s="405">
        <f t="shared" si="37"/>
        <v>0.23848782800964979</v>
      </c>
    </row>
    <row r="86" spans="2:38" ht="13">
      <c r="B86" s="400" t="s">
        <v>650</v>
      </c>
      <c r="C86" s="404"/>
      <c r="D86" s="405">
        <f t="shared" ref="D86:AL86" si="38">D$85*D$126</f>
        <v>2.233688147817547E-3</v>
      </c>
      <c r="E86" s="405">
        <f t="shared" si="38"/>
        <v>2.2631924092407873E-3</v>
      </c>
      <c r="F86" s="405">
        <f t="shared" si="38"/>
        <v>2.2930894129601907E-3</v>
      </c>
      <c r="G86" s="405">
        <f t="shared" si="38"/>
        <v>2.3233843999689507E-3</v>
      </c>
      <c r="H86" s="1240">
        <f t="shared" si="38"/>
        <v>2.1348206390807444E-3</v>
      </c>
      <c r="I86" s="405">
        <f t="shared" si="38"/>
        <v>2.1630150229914255E-3</v>
      </c>
      <c r="J86" s="405">
        <f t="shared" si="38"/>
        <v>2.1915847091809647E-3</v>
      </c>
      <c r="K86" s="405">
        <f t="shared" si="38"/>
        <v>2.2205347058372885E-3</v>
      </c>
      <c r="L86" s="405">
        <f t="shared" si="38"/>
        <v>2.2498700879922616E-3</v>
      </c>
      <c r="M86" s="405">
        <f t="shared" si="38"/>
        <v>2.2795959984135326E-3</v>
      </c>
      <c r="N86" s="405">
        <f t="shared" si="38"/>
        <v>2.3097176485083024E-3</v>
      </c>
      <c r="O86" s="405">
        <f t="shared" si="38"/>
        <v>2.3402403192391359E-3</v>
      </c>
      <c r="P86" s="405">
        <f t="shared" si="38"/>
        <v>2.3711693620520192E-3</v>
      </c>
      <c r="Q86" s="405">
        <f t="shared" si="38"/>
        <v>2.402510199816806E-3</v>
      </c>
      <c r="R86" s="405">
        <f t="shared" si="38"/>
        <v>2.4342683277801987E-3</v>
      </c>
      <c r="S86" s="405">
        <f t="shared" si="38"/>
        <v>2.4664493145314715E-3</v>
      </c>
      <c r="T86" s="405">
        <f t="shared" si="38"/>
        <v>2.4990588029810772E-3</v>
      </c>
      <c r="U86" s="405">
        <f t="shared" si="38"/>
        <v>2.5321025113523199E-3</v>
      </c>
      <c r="V86" s="405">
        <f t="shared" si="38"/>
        <v>2.5655862341862658E-3</v>
      </c>
      <c r="W86" s="405">
        <f t="shared" si="38"/>
        <v>2.5995158433600508E-3</v>
      </c>
      <c r="X86" s="405">
        <f t="shared" si="38"/>
        <v>2.6338972891188162E-3</v>
      </c>
      <c r="Y86" s="405">
        <f t="shared" si="38"/>
        <v>2.6687366011213902E-3</v>
      </c>
      <c r="Z86" s="405">
        <f t="shared" si="38"/>
        <v>2.704039889499936E-3</v>
      </c>
      <c r="AA86" s="405">
        <f t="shared" si="38"/>
        <v>2.7398133459337402E-3</v>
      </c>
      <c r="AB86" s="405">
        <f t="shared" si="38"/>
        <v>2.7760632447373463E-3</v>
      </c>
      <c r="AC86" s="405">
        <f t="shared" si="38"/>
        <v>2.8127959439631979E-3</v>
      </c>
      <c r="AD86" s="405">
        <f t="shared" si="38"/>
        <v>2.8500178865190073E-3</v>
      </c>
      <c r="AE86" s="405">
        <f t="shared" si="38"/>
        <v>2.8877356013000343E-3</v>
      </c>
      <c r="AF86" s="405">
        <f t="shared" si="38"/>
        <v>2.9259557043364807E-3</v>
      </c>
      <c r="AG86" s="405">
        <f t="shared" si="38"/>
        <v>2.964684899956202E-3</v>
      </c>
      <c r="AH86" s="405">
        <f t="shared" si="38"/>
        <v>3.0039299819629201E-3</v>
      </c>
      <c r="AI86" s="405">
        <f t="shared" si="38"/>
        <v>3.0436978348301982E-3</v>
      </c>
      <c r="AJ86" s="405">
        <f t="shared" si="38"/>
        <v>3.0839954349113022E-3</v>
      </c>
      <c r="AK86" s="405">
        <f t="shared" si="38"/>
        <v>3.1248298516652565E-3</v>
      </c>
      <c r="AL86" s="405">
        <f t="shared" si="38"/>
        <v>3.1662082488992317E-3</v>
      </c>
    </row>
    <row r="87" spans="2:38" ht="13">
      <c r="B87" s="400" t="s">
        <v>651</v>
      </c>
      <c r="C87" s="404"/>
      <c r="D87" s="405">
        <f t="shared" ref="D87:AL87" si="39">D$85*D$135</f>
        <v>3.3863495816811993E-2</v>
      </c>
      <c r="E87" s="405">
        <f t="shared" si="39"/>
        <v>3.4277766913230971E-2</v>
      </c>
      <c r="F87" s="405">
        <f t="shared" si="39"/>
        <v>3.4697113366756703E-2</v>
      </c>
      <c r="G87" s="405">
        <f t="shared" si="39"/>
        <v>3.5121597364444417E-2</v>
      </c>
      <c r="H87" s="1240">
        <f t="shared" si="39"/>
        <v>3.2239993461682645E-2</v>
      </c>
      <c r="I87" s="405">
        <f t="shared" si="39"/>
        <v>3.263420067928794E-2</v>
      </c>
      <c r="J87" s="405">
        <f t="shared" si="39"/>
        <v>3.3033236891466859E-2</v>
      </c>
      <c r="K87" s="405">
        <f t="shared" si="39"/>
        <v>3.3437161266546493E-2</v>
      </c>
      <c r="L87" s="405">
        <f t="shared" si="39"/>
        <v>3.3846033697841726E-2</v>
      </c>
      <c r="M87" s="405">
        <f t="shared" si="39"/>
        <v>3.4259914812533918E-2</v>
      </c>
      <c r="N87" s="405">
        <f t="shared" si="39"/>
        <v>3.4678865980658474E-2</v>
      </c>
      <c r="O87" s="405">
        <f t="shared" si="39"/>
        <v>3.5102949324202347E-2</v>
      </c>
      <c r="P87" s="405">
        <f t="shared" si="39"/>
        <v>3.5532227726313211E-2</v>
      </c>
      <c r="Q87" s="405">
        <f t="shared" si="39"/>
        <v>3.5966764840621619E-2</v>
      </c>
      <c r="R87" s="405">
        <f t="shared" si="39"/>
        <v>3.6406625100677062E-2</v>
      </c>
      <c r="S87" s="405">
        <f t="shared" si="39"/>
        <v>3.6851873729499919E-2</v>
      </c>
      <c r="T87" s="405">
        <f t="shared" si="39"/>
        <v>3.730257674925045E-2</v>
      </c>
      <c r="U87" s="405">
        <f t="shared" si="39"/>
        <v>3.7758800991016216E-2</v>
      </c>
      <c r="V87" s="405">
        <f t="shared" si="39"/>
        <v>3.8220614104719462E-2</v>
      </c>
      <c r="W87" s="405">
        <f t="shared" si="39"/>
        <v>3.8688084569145763E-2</v>
      </c>
      <c r="X87" s="405">
        <f t="shared" si="39"/>
        <v>3.9161281702095894E-2</v>
      </c>
      <c r="Y87" s="405">
        <f t="shared" si="39"/>
        <v>3.9640275670661806E-2</v>
      </c>
      <c r="Z87" s="405">
        <f t="shared" si="39"/>
        <v>4.0125137501628626E-2</v>
      </c>
      <c r="AA87" s="405">
        <f t="shared" si="39"/>
        <v>4.0615939092003957E-2</v>
      </c>
      <c r="AB87" s="405">
        <f t="shared" si="39"/>
        <v>4.1112753219676508E-2</v>
      </c>
      <c r="AC87" s="405">
        <f t="shared" si="39"/>
        <v>4.161565355420508E-2</v>
      </c>
      <c r="AD87" s="405">
        <f t="shared" si="39"/>
        <v>4.212471466773976E-2</v>
      </c>
      <c r="AE87" s="405">
        <f t="shared" si="39"/>
        <v>4.2640012046077001E-2</v>
      </c>
      <c r="AF87" s="405">
        <f t="shared" si="39"/>
        <v>4.3161622099850083E-2</v>
      </c>
      <c r="AG87" s="405">
        <f t="shared" si="39"/>
        <v>4.3689622175856806E-2</v>
      </c>
      <c r="AH87" s="405">
        <f t="shared" si="39"/>
        <v>4.4224090568525651E-2</v>
      </c>
      <c r="AI87" s="405">
        <f t="shared" si="39"/>
        <v>4.4765106531522998E-2</v>
      </c>
      <c r="AJ87" s="405">
        <f t="shared" si="39"/>
        <v>4.5312750289501762E-2</v>
      </c>
      <c r="AK87" s="405">
        <f t="shared" si="39"/>
        <v>4.5867103049994765E-2</v>
      </c>
      <c r="AL87" s="405">
        <f t="shared" si="39"/>
        <v>4.6428247015453186E-2</v>
      </c>
    </row>
    <row r="88" spans="2:38">
      <c r="H88" s="1228"/>
    </row>
    <row r="89" spans="2:38" ht="13">
      <c r="B89" s="364" t="s">
        <v>652</v>
      </c>
      <c r="H89" s="1228"/>
    </row>
    <row r="90" spans="2:38" ht="13">
      <c r="B90" s="407" t="s">
        <v>615</v>
      </c>
      <c r="C90" s="396" t="s">
        <v>627</v>
      </c>
      <c r="D90" s="440">
        <f>D$1</f>
        <v>2021</v>
      </c>
      <c r="E90" s="440">
        <f t="shared" ref="E90:AL90" si="40">E$1</f>
        <v>2022</v>
      </c>
      <c r="F90" s="440">
        <f t="shared" si="40"/>
        <v>2023</v>
      </c>
      <c r="G90" s="440">
        <f t="shared" si="40"/>
        <v>2024</v>
      </c>
      <c r="H90" s="440">
        <f t="shared" si="40"/>
        <v>2025</v>
      </c>
      <c r="I90" s="440">
        <f t="shared" si="40"/>
        <v>2026</v>
      </c>
      <c r="J90" s="440">
        <f t="shared" si="40"/>
        <v>2027</v>
      </c>
      <c r="K90" s="440">
        <f t="shared" si="40"/>
        <v>2028</v>
      </c>
      <c r="L90" s="440">
        <f t="shared" si="40"/>
        <v>2029</v>
      </c>
      <c r="M90" s="440">
        <f t="shared" si="40"/>
        <v>2030</v>
      </c>
      <c r="N90" s="440">
        <f t="shared" si="40"/>
        <v>2031</v>
      </c>
      <c r="O90" s="440">
        <f t="shared" si="40"/>
        <v>2032</v>
      </c>
      <c r="P90" s="440">
        <f t="shared" si="40"/>
        <v>2033</v>
      </c>
      <c r="Q90" s="440">
        <f t="shared" si="40"/>
        <v>2034</v>
      </c>
      <c r="R90" s="440">
        <f t="shared" si="40"/>
        <v>2035</v>
      </c>
      <c r="S90" s="440">
        <f t="shared" si="40"/>
        <v>2036</v>
      </c>
      <c r="T90" s="440">
        <f t="shared" si="40"/>
        <v>2037</v>
      </c>
      <c r="U90" s="440">
        <f t="shared" si="40"/>
        <v>2038</v>
      </c>
      <c r="V90" s="440">
        <f t="shared" si="40"/>
        <v>2039</v>
      </c>
      <c r="W90" s="440">
        <f t="shared" si="40"/>
        <v>2040</v>
      </c>
      <c r="X90" s="440">
        <f t="shared" si="40"/>
        <v>2041</v>
      </c>
      <c r="Y90" s="440">
        <f t="shared" si="40"/>
        <v>2042</v>
      </c>
      <c r="Z90" s="440">
        <f t="shared" si="40"/>
        <v>2043</v>
      </c>
      <c r="AA90" s="440">
        <f t="shared" si="40"/>
        <v>2044</v>
      </c>
      <c r="AB90" s="440">
        <f t="shared" si="40"/>
        <v>2045</v>
      </c>
      <c r="AC90" s="440">
        <f t="shared" si="40"/>
        <v>2046</v>
      </c>
      <c r="AD90" s="440">
        <f t="shared" si="40"/>
        <v>2047</v>
      </c>
      <c r="AE90" s="440">
        <f t="shared" si="40"/>
        <v>2048</v>
      </c>
      <c r="AF90" s="440">
        <f t="shared" si="40"/>
        <v>2049</v>
      </c>
      <c r="AG90" s="440">
        <f t="shared" si="40"/>
        <v>2050</v>
      </c>
      <c r="AH90" s="440">
        <f t="shared" si="40"/>
        <v>2051</v>
      </c>
      <c r="AI90" s="440">
        <f t="shared" si="40"/>
        <v>2052</v>
      </c>
      <c r="AJ90" s="440">
        <f t="shared" si="40"/>
        <v>2053</v>
      </c>
      <c r="AK90" s="440">
        <f t="shared" si="40"/>
        <v>2054</v>
      </c>
      <c r="AL90" s="440">
        <f t="shared" si="40"/>
        <v>2055</v>
      </c>
    </row>
    <row r="91" spans="2:38" ht="13">
      <c r="B91" s="364" t="s">
        <v>624</v>
      </c>
      <c r="C91" s="408"/>
      <c r="D91" s="358"/>
      <c r="E91" s="409"/>
      <c r="F91" s="410"/>
      <c r="G91" s="410"/>
      <c r="H91" s="1234"/>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row>
    <row r="92" spans="2:38">
      <c r="B92" s="411" t="s">
        <v>653</v>
      </c>
      <c r="C92" s="412" t="s">
        <v>654</v>
      </c>
      <c r="D92" s="413">
        <f>((D$77*D$78+0.2)/0.2)^(0.3334)</f>
        <v>44.689595143833166</v>
      </c>
      <c r="E92" s="413">
        <f t="shared" ref="E92:AL92" si="41">((E$77*E$78+0.2)/0.2)^(0.3334)</f>
        <v>45.283794442292937</v>
      </c>
      <c r="F92" s="413">
        <f t="shared" si="41"/>
        <v>45.88589455947951</v>
      </c>
      <c r="G92" s="413">
        <f t="shared" si="41"/>
        <v>46.496000542508177</v>
      </c>
      <c r="H92" s="413">
        <f t="shared" si="41"/>
        <v>42.80533326036268</v>
      </c>
      <c r="I92" s="413">
        <f t="shared" si="41"/>
        <v>43.374478271188465</v>
      </c>
      <c r="J92" s="413">
        <f t="shared" si="41"/>
        <v>43.951190987068138</v>
      </c>
      <c r="K92" s="413">
        <f t="shared" si="41"/>
        <v>44.535572025538173</v>
      </c>
      <c r="L92" s="413">
        <f t="shared" si="41"/>
        <v>45.127723342102179</v>
      </c>
      <c r="M92" s="413">
        <f t="shared" si="41"/>
        <v>45.727748248017583</v>
      </c>
      <c r="N92" s="413">
        <f t="shared" si="41"/>
        <v>46.33575142831905</v>
      </c>
      <c r="O92" s="413">
        <f t="shared" si="41"/>
        <v>46.951838960081318</v>
      </c>
      <c r="P92" s="413">
        <f t="shared" si="41"/>
        <v>47.576118330925119</v>
      </c>
      <c r="Q92" s="413">
        <f t="shared" si="41"/>
        <v>48.208698457769387</v>
      </c>
      <c r="R92" s="413">
        <f t="shared" si="41"/>
        <v>48.849689705832567</v>
      </c>
      <c r="S92" s="413">
        <f t="shared" si="41"/>
        <v>49.499203907886852</v>
      </c>
      <c r="T92" s="413">
        <f t="shared" si="41"/>
        <v>50.1573543837684</v>
      </c>
      <c r="U92" s="413">
        <f t="shared" si="41"/>
        <v>50.824255960147227</v>
      </c>
      <c r="V92" s="413">
        <f t="shared" si="41"/>
        <v>51.50002499055983</v>
      </c>
      <c r="W92" s="413">
        <f t="shared" si="41"/>
        <v>52.18477937570816</v>
      </c>
      <c r="X92" s="413">
        <f t="shared" si="41"/>
        <v>52.87863858402892</v>
      </c>
      <c r="Y92" s="413">
        <f t="shared" si="41"/>
        <v>53.581723672536128</v>
      </c>
      <c r="Z92" s="413">
        <f t="shared" si="41"/>
        <v>54.294157307940964</v>
      </c>
      <c r="AA92" s="413">
        <f t="shared" si="41"/>
        <v>55.016063788052428</v>
      </c>
      <c r="AB92" s="413">
        <f t="shared" si="41"/>
        <v>55.74756906346272</v>
      </c>
      <c r="AC92" s="413">
        <f t="shared" si="41"/>
        <v>56.488800759520934</v>
      </c>
      <c r="AD92" s="413">
        <f t="shared" si="41"/>
        <v>57.239888198599111</v>
      </c>
      <c r="AE92" s="413">
        <f t="shared" si="41"/>
        <v>58.00096242265402</v>
      </c>
      <c r="AF92" s="413">
        <f t="shared" si="41"/>
        <v>58.772156216089563</v>
      </c>
      <c r="AG92" s="413">
        <f t="shared" si="41"/>
        <v>59.553604128922743</v>
      </c>
      <c r="AH92" s="413">
        <f t="shared" si="41"/>
        <v>60.345442500257832</v>
      </c>
      <c r="AI92" s="413">
        <f t="shared" si="41"/>
        <v>61.147809482072915</v>
      </c>
      <c r="AJ92" s="413">
        <f t="shared" si="41"/>
        <v>61.960845063322331</v>
      </c>
      <c r="AK92" s="413">
        <f t="shared" si="41"/>
        <v>62.784691094360113</v>
      </c>
      <c r="AL92" s="413">
        <f t="shared" si="41"/>
        <v>63.619491311687945</v>
      </c>
    </row>
    <row r="93" spans="2:38">
      <c r="B93" s="411" t="s">
        <v>655</v>
      </c>
      <c r="C93" s="412" t="s">
        <v>656</v>
      </c>
      <c r="D93" s="414">
        <f>EXP(0.2094*$D$9)</f>
        <v>1.5201362971260179</v>
      </c>
      <c r="E93" s="414">
        <f t="shared" ref="E93:AL93" si="42">EXP(0.2094*$D$9)</f>
        <v>1.5201362971260179</v>
      </c>
      <c r="F93" s="414">
        <f t="shared" si="42"/>
        <v>1.5201362971260179</v>
      </c>
      <c r="G93" s="414">
        <f t="shared" si="42"/>
        <v>1.5201362971260179</v>
      </c>
      <c r="H93" s="414">
        <f t="shared" si="42"/>
        <v>1.5201362971260179</v>
      </c>
      <c r="I93" s="414">
        <f t="shared" si="42"/>
        <v>1.5201362971260179</v>
      </c>
      <c r="J93" s="414">
        <f t="shared" si="42"/>
        <v>1.5201362971260179</v>
      </c>
      <c r="K93" s="414">
        <f t="shared" si="42"/>
        <v>1.5201362971260179</v>
      </c>
      <c r="L93" s="414">
        <f t="shared" si="42"/>
        <v>1.5201362971260179</v>
      </c>
      <c r="M93" s="414">
        <f t="shared" si="42"/>
        <v>1.5201362971260179</v>
      </c>
      <c r="N93" s="414">
        <f t="shared" si="42"/>
        <v>1.5201362971260179</v>
      </c>
      <c r="O93" s="414">
        <f t="shared" si="42"/>
        <v>1.5201362971260179</v>
      </c>
      <c r="P93" s="414">
        <f t="shared" si="42"/>
        <v>1.5201362971260179</v>
      </c>
      <c r="Q93" s="414">
        <f t="shared" si="42"/>
        <v>1.5201362971260179</v>
      </c>
      <c r="R93" s="414">
        <f t="shared" si="42"/>
        <v>1.5201362971260179</v>
      </c>
      <c r="S93" s="414">
        <f t="shared" si="42"/>
        <v>1.5201362971260179</v>
      </c>
      <c r="T93" s="414">
        <f t="shared" si="42"/>
        <v>1.5201362971260179</v>
      </c>
      <c r="U93" s="414">
        <f t="shared" si="42"/>
        <v>1.5201362971260179</v>
      </c>
      <c r="V93" s="414">
        <f t="shared" si="42"/>
        <v>1.5201362971260179</v>
      </c>
      <c r="W93" s="414">
        <f t="shared" si="42"/>
        <v>1.5201362971260179</v>
      </c>
      <c r="X93" s="414">
        <f t="shared" si="42"/>
        <v>1.5201362971260179</v>
      </c>
      <c r="Y93" s="414">
        <f t="shared" si="42"/>
        <v>1.5201362971260179</v>
      </c>
      <c r="Z93" s="414">
        <f t="shared" si="42"/>
        <v>1.5201362971260179</v>
      </c>
      <c r="AA93" s="414">
        <f t="shared" si="42"/>
        <v>1.5201362971260179</v>
      </c>
      <c r="AB93" s="414">
        <f t="shared" si="42"/>
        <v>1.5201362971260179</v>
      </c>
      <c r="AC93" s="414">
        <f t="shared" si="42"/>
        <v>1.5201362971260179</v>
      </c>
      <c r="AD93" s="414">
        <f t="shared" si="42"/>
        <v>1.5201362971260179</v>
      </c>
      <c r="AE93" s="414">
        <f t="shared" si="42"/>
        <v>1.5201362971260179</v>
      </c>
      <c r="AF93" s="414">
        <f t="shared" si="42"/>
        <v>1.5201362971260179</v>
      </c>
      <c r="AG93" s="414">
        <f t="shared" si="42"/>
        <v>1.5201362971260179</v>
      </c>
      <c r="AH93" s="414">
        <f t="shared" si="42"/>
        <v>1.5201362971260179</v>
      </c>
      <c r="AI93" s="414">
        <f t="shared" si="42"/>
        <v>1.5201362971260179</v>
      </c>
      <c r="AJ93" s="414">
        <f t="shared" si="42"/>
        <v>1.5201362971260179</v>
      </c>
      <c r="AK93" s="414">
        <f t="shared" si="42"/>
        <v>1.5201362971260179</v>
      </c>
      <c r="AL93" s="414">
        <f t="shared" si="42"/>
        <v>1.5201362971260179</v>
      </c>
    </row>
    <row r="94" spans="2:38">
      <c r="B94" s="411" t="s">
        <v>657</v>
      </c>
      <c r="C94" s="416" t="s">
        <v>658</v>
      </c>
      <c r="D94" s="417">
        <f>((D$80+0.2)/0.2)^(0.1336)</f>
        <v>1.5039439694520227</v>
      </c>
      <c r="E94" s="417">
        <f t="shared" ref="E94:AL94" si="43">((E$80+0.2)/0.2)^(0.1336)</f>
        <v>1.5059657870025993</v>
      </c>
      <c r="F94" s="417">
        <f t="shared" si="43"/>
        <v>1.5079913203920043</v>
      </c>
      <c r="G94" s="417">
        <f t="shared" si="43"/>
        <v>1.5100205677833436</v>
      </c>
      <c r="H94" s="417">
        <f t="shared" si="43"/>
        <v>1.4579566272457978</v>
      </c>
      <c r="I94" s="417">
        <f t="shared" si="43"/>
        <v>1.4598913548546146</v>
      </c>
      <c r="J94" s="417">
        <f t="shared" si="43"/>
        <v>1.4618298547819031</v>
      </c>
      <c r="K94" s="417">
        <f t="shared" si="43"/>
        <v>1.4637721240491282</v>
      </c>
      <c r="L94" s="417">
        <f t="shared" si="43"/>
        <v>1.4657181597278657</v>
      </c>
      <c r="M94" s="417">
        <f t="shared" si="43"/>
        <v>1.4676679589397352</v>
      </c>
      <c r="N94" s="417">
        <f t="shared" si="43"/>
        <v>1.4696215188563289</v>
      </c>
      <c r="O94" s="417">
        <f t="shared" si="43"/>
        <v>1.4715788366991369</v>
      </c>
      <c r="P94" s="417">
        <f t="shared" si="43"/>
        <v>1.4735399097394672</v>
      </c>
      <c r="Q94" s="417">
        <f t="shared" si="43"/>
        <v>1.475504735298363</v>
      </c>
      <c r="R94" s="417">
        <f t="shared" si="43"/>
        <v>1.4774733107465152</v>
      </c>
      <c r="S94" s="417">
        <f t="shared" si="43"/>
        <v>1.4794456335041717</v>
      </c>
      <c r="T94" s="417">
        <f t="shared" si="43"/>
        <v>1.481421701041042</v>
      </c>
      <c r="U94" s="417">
        <f t="shared" si="43"/>
        <v>1.4834015108761993</v>
      </c>
      <c r="V94" s="417">
        <f t="shared" si="43"/>
        <v>1.4853850605779795</v>
      </c>
      <c r="W94" s="417">
        <f t="shared" si="43"/>
        <v>1.4873723477638745</v>
      </c>
      <c r="X94" s="417">
        <f t="shared" si="43"/>
        <v>1.4893633701004245</v>
      </c>
      <c r="Y94" s="417">
        <f t="shared" si="43"/>
        <v>1.4913581253031054</v>
      </c>
      <c r="Z94" s="417">
        <f t="shared" si="43"/>
        <v>1.4933566111362149</v>
      </c>
      <c r="AA94" s="417">
        <f t="shared" si="43"/>
        <v>1.4953588254127532</v>
      </c>
      <c r="AB94" s="417">
        <f t="shared" si="43"/>
        <v>1.4973647659943026</v>
      </c>
      <c r="AC94" s="417">
        <f t="shared" si="43"/>
        <v>1.4993744307909029</v>
      </c>
      <c r="AD94" s="417">
        <f t="shared" si="43"/>
        <v>1.5013878177609252</v>
      </c>
      <c r="AE94" s="417">
        <f t="shared" si="43"/>
        <v>1.5034049249109414</v>
      </c>
      <c r="AF94" s="417">
        <f t="shared" si="43"/>
        <v>1.5054257502955928</v>
      </c>
      <c r="AG94" s="417">
        <f t="shared" si="43"/>
        <v>1.5074502920174546</v>
      </c>
      <c r="AH94" s="417">
        <f t="shared" si="43"/>
        <v>1.5094785482268982</v>
      </c>
      <c r="AI94" s="417">
        <f t="shared" si="43"/>
        <v>1.5115105171219521</v>
      </c>
      <c r="AJ94" s="417">
        <f t="shared" si="43"/>
        <v>1.5135461969481585</v>
      </c>
      <c r="AK94" s="417">
        <f t="shared" si="43"/>
        <v>1.5155855859984304</v>
      </c>
      <c r="AL94" s="417">
        <f t="shared" si="43"/>
        <v>1.5176286826129031</v>
      </c>
    </row>
    <row r="95" spans="2:38">
      <c r="B95" s="411" t="s">
        <v>659</v>
      </c>
      <c r="C95" s="412" t="s">
        <v>660</v>
      </c>
      <c r="D95" s="414">
        <f>EXP(-0.616*($E$7-1))</f>
        <v>1</v>
      </c>
      <c r="E95" s="414">
        <f t="shared" ref="E95:AL95" si="44">EXP(-0.616*($E$7-1))</f>
        <v>1</v>
      </c>
      <c r="F95" s="414">
        <f t="shared" si="44"/>
        <v>1</v>
      </c>
      <c r="G95" s="414">
        <f t="shared" si="44"/>
        <v>1</v>
      </c>
      <c r="H95" s="414">
        <f t="shared" si="44"/>
        <v>1</v>
      </c>
      <c r="I95" s="414">
        <f t="shared" si="44"/>
        <v>1</v>
      </c>
      <c r="J95" s="414">
        <f t="shared" si="44"/>
        <v>1</v>
      </c>
      <c r="K95" s="414">
        <f t="shared" si="44"/>
        <v>1</v>
      </c>
      <c r="L95" s="414">
        <f t="shared" si="44"/>
        <v>1</v>
      </c>
      <c r="M95" s="414">
        <f t="shared" si="44"/>
        <v>1</v>
      </c>
      <c r="N95" s="414">
        <f t="shared" si="44"/>
        <v>1</v>
      </c>
      <c r="O95" s="414">
        <f t="shared" si="44"/>
        <v>1</v>
      </c>
      <c r="P95" s="414">
        <f t="shared" si="44"/>
        <v>1</v>
      </c>
      <c r="Q95" s="414">
        <f t="shared" si="44"/>
        <v>1</v>
      </c>
      <c r="R95" s="414">
        <f t="shared" si="44"/>
        <v>1</v>
      </c>
      <c r="S95" s="414">
        <f t="shared" si="44"/>
        <v>1</v>
      </c>
      <c r="T95" s="414">
        <f t="shared" si="44"/>
        <v>1</v>
      </c>
      <c r="U95" s="414">
        <f t="shared" si="44"/>
        <v>1</v>
      </c>
      <c r="V95" s="414">
        <f t="shared" si="44"/>
        <v>1</v>
      </c>
      <c r="W95" s="414">
        <f t="shared" si="44"/>
        <v>1</v>
      </c>
      <c r="X95" s="414">
        <f t="shared" si="44"/>
        <v>1</v>
      </c>
      <c r="Y95" s="414">
        <f t="shared" si="44"/>
        <v>1</v>
      </c>
      <c r="Z95" s="414">
        <f t="shared" si="44"/>
        <v>1</v>
      </c>
      <c r="AA95" s="414">
        <f t="shared" si="44"/>
        <v>1</v>
      </c>
      <c r="AB95" s="414">
        <f t="shared" si="44"/>
        <v>1</v>
      </c>
      <c r="AC95" s="414">
        <f t="shared" si="44"/>
        <v>1</v>
      </c>
      <c r="AD95" s="414">
        <f t="shared" si="44"/>
        <v>1</v>
      </c>
      <c r="AE95" s="414">
        <f t="shared" si="44"/>
        <v>1</v>
      </c>
      <c r="AF95" s="414">
        <f t="shared" si="44"/>
        <v>1</v>
      </c>
      <c r="AG95" s="414">
        <f t="shared" si="44"/>
        <v>1</v>
      </c>
      <c r="AH95" s="414">
        <f t="shared" si="44"/>
        <v>1</v>
      </c>
      <c r="AI95" s="414">
        <f t="shared" si="44"/>
        <v>1</v>
      </c>
      <c r="AJ95" s="414">
        <f t="shared" si="44"/>
        <v>1</v>
      </c>
      <c r="AK95" s="414">
        <f t="shared" si="44"/>
        <v>1</v>
      </c>
      <c r="AL95" s="414">
        <f t="shared" si="44"/>
        <v>1</v>
      </c>
    </row>
    <row r="96" spans="2:38">
      <c r="B96" s="411" t="s">
        <v>661</v>
      </c>
      <c r="C96" s="412" t="s">
        <v>662</v>
      </c>
      <c r="D96" s="414">
        <f>EXP(0.0077*D$82)</f>
        <v>1.0594501000746941</v>
      </c>
      <c r="E96" s="414">
        <f t="shared" ref="E96:AL96" si="45">EXP(0.0077*E$82)</f>
        <v>1.0594501000746941</v>
      </c>
      <c r="F96" s="414">
        <f t="shared" si="45"/>
        <v>1.0594501000746941</v>
      </c>
      <c r="G96" s="414">
        <f t="shared" si="45"/>
        <v>1.0594501000746941</v>
      </c>
      <c r="H96" s="414">
        <f t="shared" si="45"/>
        <v>1.0594501000746941</v>
      </c>
      <c r="I96" s="414">
        <f t="shared" si="45"/>
        <v>1.0594501000746941</v>
      </c>
      <c r="J96" s="414">
        <f t="shared" si="45"/>
        <v>1.0594501000746941</v>
      </c>
      <c r="K96" s="414">
        <f t="shared" si="45"/>
        <v>1.0594501000746941</v>
      </c>
      <c r="L96" s="414">
        <f t="shared" si="45"/>
        <v>1.0594501000746941</v>
      </c>
      <c r="M96" s="414">
        <f t="shared" si="45"/>
        <v>1.0594501000746941</v>
      </c>
      <c r="N96" s="414">
        <f t="shared" si="45"/>
        <v>1.0594501000746941</v>
      </c>
      <c r="O96" s="414">
        <f t="shared" si="45"/>
        <v>1.0594501000746941</v>
      </c>
      <c r="P96" s="414">
        <f t="shared" si="45"/>
        <v>1.0594501000746941</v>
      </c>
      <c r="Q96" s="414">
        <f t="shared" si="45"/>
        <v>1.0594501000746941</v>
      </c>
      <c r="R96" s="414">
        <f t="shared" si="45"/>
        <v>1.0594501000746941</v>
      </c>
      <c r="S96" s="414">
        <f t="shared" si="45"/>
        <v>1.0594501000746941</v>
      </c>
      <c r="T96" s="414">
        <f t="shared" si="45"/>
        <v>1.0594501000746941</v>
      </c>
      <c r="U96" s="414">
        <f t="shared" si="45"/>
        <v>1.0594501000746941</v>
      </c>
      <c r="V96" s="414">
        <f t="shared" si="45"/>
        <v>1.0594501000746941</v>
      </c>
      <c r="W96" s="414">
        <f t="shared" si="45"/>
        <v>1.0594501000746941</v>
      </c>
      <c r="X96" s="414">
        <f t="shared" si="45"/>
        <v>1.0594501000746941</v>
      </c>
      <c r="Y96" s="414">
        <f t="shared" si="45"/>
        <v>1.0594501000746941</v>
      </c>
      <c r="Z96" s="414">
        <f t="shared" si="45"/>
        <v>1.0594501000746941</v>
      </c>
      <c r="AA96" s="414">
        <f t="shared" si="45"/>
        <v>1.0594501000746941</v>
      </c>
      <c r="AB96" s="414">
        <f t="shared" si="45"/>
        <v>1.0594501000746941</v>
      </c>
      <c r="AC96" s="414">
        <f t="shared" si="45"/>
        <v>1.0594501000746941</v>
      </c>
      <c r="AD96" s="414">
        <f t="shared" si="45"/>
        <v>1.0594501000746941</v>
      </c>
      <c r="AE96" s="414">
        <f t="shared" si="45"/>
        <v>1.0594501000746941</v>
      </c>
      <c r="AF96" s="414">
        <f t="shared" si="45"/>
        <v>1.0594501000746941</v>
      </c>
      <c r="AG96" s="414">
        <f t="shared" si="45"/>
        <v>1.0594501000746941</v>
      </c>
      <c r="AH96" s="414">
        <f t="shared" si="45"/>
        <v>1.0594501000746941</v>
      </c>
      <c r="AI96" s="414">
        <f t="shared" si="45"/>
        <v>1.0594501000746941</v>
      </c>
      <c r="AJ96" s="414">
        <f t="shared" si="45"/>
        <v>1.0594501000746941</v>
      </c>
      <c r="AK96" s="414">
        <f t="shared" si="45"/>
        <v>1.0594501000746941</v>
      </c>
      <c r="AL96" s="414">
        <f t="shared" si="45"/>
        <v>1.0594501000746941</v>
      </c>
    </row>
    <row r="97" spans="1:38">
      <c r="B97" s="411" t="s">
        <v>663</v>
      </c>
      <c r="C97" s="412" t="s">
        <v>664</v>
      </c>
      <c r="D97" s="414">
        <f>EXP(-0.1*($E$8-1))</f>
        <v>0.60653065971263342</v>
      </c>
      <c r="E97" s="414">
        <f t="shared" ref="E97:AL97" si="46">EXP(-0.1*($E$8-1))</f>
        <v>0.60653065971263342</v>
      </c>
      <c r="F97" s="414">
        <f t="shared" si="46"/>
        <v>0.60653065971263342</v>
      </c>
      <c r="G97" s="414">
        <f t="shared" si="46"/>
        <v>0.60653065971263342</v>
      </c>
      <c r="H97" s="414">
        <f t="shared" si="46"/>
        <v>0.60653065971263342</v>
      </c>
      <c r="I97" s="414">
        <f t="shared" si="46"/>
        <v>0.60653065971263342</v>
      </c>
      <c r="J97" s="414">
        <f t="shared" si="46"/>
        <v>0.60653065971263342</v>
      </c>
      <c r="K97" s="414">
        <f t="shared" si="46"/>
        <v>0.60653065971263342</v>
      </c>
      <c r="L97" s="414">
        <f t="shared" si="46"/>
        <v>0.60653065971263342</v>
      </c>
      <c r="M97" s="414">
        <f t="shared" si="46"/>
        <v>0.60653065971263342</v>
      </c>
      <c r="N97" s="414">
        <f t="shared" si="46"/>
        <v>0.60653065971263342</v>
      </c>
      <c r="O97" s="414">
        <f t="shared" si="46"/>
        <v>0.60653065971263342</v>
      </c>
      <c r="P97" s="414">
        <f t="shared" si="46"/>
        <v>0.60653065971263342</v>
      </c>
      <c r="Q97" s="414">
        <f t="shared" si="46"/>
        <v>0.60653065971263342</v>
      </c>
      <c r="R97" s="414">
        <f t="shared" si="46"/>
        <v>0.60653065971263342</v>
      </c>
      <c r="S97" s="414">
        <f t="shared" si="46"/>
        <v>0.60653065971263342</v>
      </c>
      <c r="T97" s="414">
        <f t="shared" si="46"/>
        <v>0.60653065971263342</v>
      </c>
      <c r="U97" s="414">
        <f t="shared" si="46"/>
        <v>0.60653065971263342</v>
      </c>
      <c r="V97" s="414">
        <f t="shared" si="46"/>
        <v>0.60653065971263342</v>
      </c>
      <c r="W97" s="414">
        <f t="shared" si="46"/>
        <v>0.60653065971263342</v>
      </c>
      <c r="X97" s="414">
        <f t="shared" si="46"/>
        <v>0.60653065971263342</v>
      </c>
      <c r="Y97" s="414">
        <f t="shared" si="46"/>
        <v>0.60653065971263342</v>
      </c>
      <c r="Z97" s="414">
        <f t="shared" si="46"/>
        <v>0.60653065971263342</v>
      </c>
      <c r="AA97" s="414">
        <f t="shared" si="46"/>
        <v>0.60653065971263342</v>
      </c>
      <c r="AB97" s="414">
        <f t="shared" si="46"/>
        <v>0.60653065971263342</v>
      </c>
      <c r="AC97" s="414">
        <f t="shared" si="46"/>
        <v>0.60653065971263342</v>
      </c>
      <c r="AD97" s="414">
        <f t="shared" si="46"/>
        <v>0.60653065971263342</v>
      </c>
      <c r="AE97" s="414">
        <f t="shared" si="46"/>
        <v>0.60653065971263342</v>
      </c>
      <c r="AF97" s="414">
        <f t="shared" si="46"/>
        <v>0.60653065971263342</v>
      </c>
      <c r="AG97" s="414">
        <f t="shared" si="46"/>
        <v>0.60653065971263342</v>
      </c>
      <c r="AH97" s="414">
        <f t="shared" si="46"/>
        <v>0.60653065971263342</v>
      </c>
      <c r="AI97" s="414">
        <f t="shared" si="46"/>
        <v>0.60653065971263342</v>
      </c>
      <c r="AJ97" s="414">
        <f t="shared" si="46"/>
        <v>0.60653065971263342</v>
      </c>
      <c r="AK97" s="414">
        <f t="shared" si="46"/>
        <v>0.60653065971263342</v>
      </c>
      <c r="AL97" s="414">
        <f t="shared" si="46"/>
        <v>0.60653065971263342</v>
      </c>
    </row>
    <row r="98" spans="1:38">
      <c r="B98" s="411" t="s">
        <v>665</v>
      </c>
      <c r="C98" s="412" t="s">
        <v>666</v>
      </c>
      <c r="D98" s="414">
        <v>1</v>
      </c>
      <c r="E98" s="414">
        <v>1</v>
      </c>
      <c r="F98" s="414">
        <v>1</v>
      </c>
      <c r="G98" s="414">
        <v>1</v>
      </c>
      <c r="H98" s="414">
        <v>1</v>
      </c>
      <c r="I98" s="414">
        <v>1</v>
      </c>
      <c r="J98" s="414">
        <v>1</v>
      </c>
      <c r="K98" s="414">
        <v>1</v>
      </c>
      <c r="L98" s="414">
        <v>1</v>
      </c>
      <c r="M98" s="414">
        <v>1</v>
      </c>
      <c r="N98" s="414">
        <v>1</v>
      </c>
      <c r="O98" s="414">
        <v>1</v>
      </c>
      <c r="P98" s="414">
        <v>1</v>
      </c>
      <c r="Q98" s="414">
        <v>1</v>
      </c>
      <c r="R98" s="414">
        <v>1</v>
      </c>
      <c r="S98" s="414">
        <v>1</v>
      </c>
      <c r="T98" s="414">
        <v>1</v>
      </c>
      <c r="U98" s="414">
        <v>1</v>
      </c>
      <c r="V98" s="414">
        <v>1</v>
      </c>
      <c r="W98" s="414">
        <v>1</v>
      </c>
      <c r="X98" s="414">
        <v>1</v>
      </c>
      <c r="Y98" s="414">
        <v>1</v>
      </c>
      <c r="Z98" s="414">
        <v>1</v>
      </c>
      <c r="AA98" s="414">
        <v>1</v>
      </c>
      <c r="AB98" s="414">
        <v>1</v>
      </c>
      <c r="AC98" s="414">
        <v>1</v>
      </c>
      <c r="AD98" s="414">
        <v>1</v>
      </c>
      <c r="AE98" s="414">
        <v>1</v>
      </c>
      <c r="AF98" s="414">
        <v>1</v>
      </c>
      <c r="AG98" s="414">
        <v>1</v>
      </c>
      <c r="AH98" s="414">
        <v>1</v>
      </c>
      <c r="AI98" s="414">
        <v>1</v>
      </c>
      <c r="AJ98" s="414">
        <v>1</v>
      </c>
      <c r="AK98" s="414">
        <v>1</v>
      </c>
      <c r="AL98" s="414">
        <v>1</v>
      </c>
    </row>
    <row r="99" spans="1:38" ht="13">
      <c r="A99" s="421"/>
      <c r="B99" s="418"/>
      <c r="C99" s="419"/>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row>
    <row r="100" spans="1:38" ht="13">
      <c r="A100" s="421"/>
      <c r="B100" s="422" t="s">
        <v>667</v>
      </c>
      <c r="C100" s="408"/>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row>
    <row r="101" spans="1:38">
      <c r="A101" s="421"/>
      <c r="B101" s="411" t="s">
        <v>653</v>
      </c>
      <c r="C101" s="412" t="s">
        <v>654</v>
      </c>
      <c r="D101" s="423">
        <f>((D$77*D$78+0.2)/0.2)^(0.2953)</f>
        <v>28.948465168000222</v>
      </c>
      <c r="E101" s="423">
        <f t="shared" ref="E101:AL101" si="47">((E$77*E$78+0.2)/0.2)^(0.2953)</f>
        <v>29.289124789122514</v>
      </c>
      <c r="F101" s="423">
        <f t="shared" si="47"/>
        <v>29.633793371306947</v>
      </c>
      <c r="G101" s="423">
        <f t="shared" si="47"/>
        <v>29.982518088850512</v>
      </c>
      <c r="H101" s="423">
        <f t="shared" si="47"/>
        <v>27.864737953013073</v>
      </c>
      <c r="I101" s="423">
        <f t="shared" si="47"/>
        <v>28.192643992894489</v>
      </c>
      <c r="J101" s="423">
        <f t="shared" si="47"/>
        <v>28.524408920540434</v>
      </c>
      <c r="K101" s="423">
        <f t="shared" si="47"/>
        <v>28.860078143923861</v>
      </c>
      <c r="L101" s="423">
        <f t="shared" si="47"/>
        <v>29.199697605461601</v>
      </c>
      <c r="M101" s="423">
        <f t="shared" si="47"/>
        <v>29.543313788301283</v>
      </c>
      <c r="N101" s="423">
        <f t="shared" si="47"/>
        <v>29.890973722682418</v>
      </c>
      <c r="O101" s="423">
        <f t="shared" si="47"/>
        <v>30.242724992372104</v>
      </c>
      <c r="P101" s="423">
        <f t="shared" si="47"/>
        <v>30.598615741176843</v>
      </c>
      <c r="Q101" s="423">
        <f t="shared" si="47"/>
        <v>30.958694679530936</v>
      </c>
      <c r="R101" s="423">
        <f t="shared" si="47"/>
        <v>31.323011091162357</v>
      </c>
      <c r="S101" s="423">
        <f t="shared" si="47"/>
        <v>31.691614839837293</v>
      </c>
      <c r="T101" s="423">
        <f t="shared" si="47"/>
        <v>32.064556376183994</v>
      </c>
      <c r="U101" s="423">
        <f t="shared" si="47"/>
        <v>32.441886744597063</v>
      </c>
      <c r="V101" s="423">
        <f t="shared" si="47"/>
        <v>32.823657590223057</v>
      </c>
      <c r="W101" s="423">
        <f t="shared" si="47"/>
        <v>33.209921166028089</v>
      </c>
      <c r="X101" s="423">
        <f t="shared" si="47"/>
        <v>33.600730339949095</v>
      </c>
      <c r="Y101" s="423">
        <f t="shared" si="47"/>
        <v>33.996138602128944</v>
      </c>
      <c r="Z101" s="423">
        <f t="shared" si="47"/>
        <v>34.396200072236937</v>
      </c>
      <c r="AA101" s="423">
        <f t="shared" si="47"/>
        <v>34.80096950687529</v>
      </c>
      <c r="AB101" s="423">
        <f t="shared" si="47"/>
        <v>35.210502307073057</v>
      </c>
      <c r="AC101" s="423">
        <f t="shared" si="47"/>
        <v>35.624854525868173</v>
      </c>
      <c r="AD101" s="423">
        <f t="shared" si="47"/>
        <v>36.044082875978745</v>
      </c>
      <c r="AE101" s="423">
        <f t="shared" si="47"/>
        <v>36.468244737564675</v>
      </c>
      <c r="AF101" s="423">
        <f t="shared" si="47"/>
        <v>36.89739816608067</v>
      </c>
      <c r="AG101" s="423">
        <f t="shared" si="47"/>
        <v>37.331601900221763</v>
      </c>
      <c r="AH101" s="423">
        <f t="shared" si="47"/>
        <v>37.770915369962161</v>
      </c>
      <c r="AI101" s="423">
        <f t="shared" si="47"/>
        <v>38.215398704689129</v>
      </c>
      <c r="AJ101" s="423">
        <f t="shared" si="47"/>
        <v>38.665112741432104</v>
      </c>
      <c r="AK101" s="423">
        <f t="shared" si="47"/>
        <v>39.120119033189177</v>
      </c>
      <c r="AL101" s="423">
        <f t="shared" si="47"/>
        <v>39.580479857351278</v>
      </c>
    </row>
    <row r="102" spans="1:38">
      <c r="A102" s="421"/>
      <c r="B102" s="411" t="s">
        <v>655</v>
      </c>
      <c r="C102" s="412" t="s">
        <v>656</v>
      </c>
      <c r="D102" s="414">
        <f>EXP(0.1088*$D$9)</f>
        <v>1.2430897322657162</v>
      </c>
      <c r="E102" s="414">
        <f t="shared" ref="E102:AL102" si="48">EXP(0.1088*$D$9)</f>
        <v>1.2430897322657162</v>
      </c>
      <c r="F102" s="414">
        <f t="shared" si="48"/>
        <v>1.2430897322657162</v>
      </c>
      <c r="G102" s="414">
        <f t="shared" si="48"/>
        <v>1.2430897322657162</v>
      </c>
      <c r="H102" s="414">
        <f t="shared" si="48"/>
        <v>1.2430897322657162</v>
      </c>
      <c r="I102" s="414">
        <f t="shared" si="48"/>
        <v>1.2430897322657162</v>
      </c>
      <c r="J102" s="414">
        <f t="shared" si="48"/>
        <v>1.2430897322657162</v>
      </c>
      <c r="K102" s="414">
        <f t="shared" si="48"/>
        <v>1.2430897322657162</v>
      </c>
      <c r="L102" s="414">
        <f t="shared" si="48"/>
        <v>1.2430897322657162</v>
      </c>
      <c r="M102" s="414">
        <f t="shared" si="48"/>
        <v>1.2430897322657162</v>
      </c>
      <c r="N102" s="414">
        <f t="shared" si="48"/>
        <v>1.2430897322657162</v>
      </c>
      <c r="O102" s="414">
        <f t="shared" si="48"/>
        <v>1.2430897322657162</v>
      </c>
      <c r="P102" s="414">
        <f t="shared" si="48"/>
        <v>1.2430897322657162</v>
      </c>
      <c r="Q102" s="414">
        <f t="shared" si="48"/>
        <v>1.2430897322657162</v>
      </c>
      <c r="R102" s="414">
        <f t="shared" si="48"/>
        <v>1.2430897322657162</v>
      </c>
      <c r="S102" s="414">
        <f t="shared" si="48"/>
        <v>1.2430897322657162</v>
      </c>
      <c r="T102" s="414">
        <f t="shared" si="48"/>
        <v>1.2430897322657162</v>
      </c>
      <c r="U102" s="414">
        <f t="shared" si="48"/>
        <v>1.2430897322657162</v>
      </c>
      <c r="V102" s="414">
        <f t="shared" si="48"/>
        <v>1.2430897322657162</v>
      </c>
      <c r="W102" s="414">
        <f t="shared" si="48"/>
        <v>1.2430897322657162</v>
      </c>
      <c r="X102" s="414">
        <f t="shared" si="48"/>
        <v>1.2430897322657162</v>
      </c>
      <c r="Y102" s="414">
        <f t="shared" si="48"/>
        <v>1.2430897322657162</v>
      </c>
      <c r="Z102" s="414">
        <f t="shared" si="48"/>
        <v>1.2430897322657162</v>
      </c>
      <c r="AA102" s="414">
        <f t="shared" si="48"/>
        <v>1.2430897322657162</v>
      </c>
      <c r="AB102" s="414">
        <f t="shared" si="48"/>
        <v>1.2430897322657162</v>
      </c>
      <c r="AC102" s="414">
        <f t="shared" si="48"/>
        <v>1.2430897322657162</v>
      </c>
      <c r="AD102" s="414">
        <f t="shared" si="48"/>
        <v>1.2430897322657162</v>
      </c>
      <c r="AE102" s="414">
        <f t="shared" si="48"/>
        <v>1.2430897322657162</v>
      </c>
      <c r="AF102" s="414">
        <f t="shared" si="48"/>
        <v>1.2430897322657162</v>
      </c>
      <c r="AG102" s="414">
        <f t="shared" si="48"/>
        <v>1.2430897322657162</v>
      </c>
      <c r="AH102" s="414">
        <f t="shared" si="48"/>
        <v>1.2430897322657162</v>
      </c>
      <c r="AI102" s="414">
        <f t="shared" si="48"/>
        <v>1.2430897322657162</v>
      </c>
      <c r="AJ102" s="414">
        <f t="shared" si="48"/>
        <v>1.2430897322657162</v>
      </c>
      <c r="AK102" s="414">
        <f t="shared" si="48"/>
        <v>1.2430897322657162</v>
      </c>
      <c r="AL102" s="414">
        <f t="shared" si="48"/>
        <v>1.2430897322657162</v>
      </c>
    </row>
    <row r="103" spans="1:38">
      <c r="A103" s="421"/>
      <c r="B103" s="411" t="s">
        <v>657</v>
      </c>
      <c r="C103" s="416" t="s">
        <v>658</v>
      </c>
      <c r="D103" s="417">
        <f>((D$80+0.2)/0.2)^(0.047)</f>
        <v>1.1543817707159612</v>
      </c>
      <c r="E103" s="417">
        <f t="shared" ref="E103:AL103" si="49">((E$80+0.2)/0.2)^(0.047)</f>
        <v>1.1549274808764554</v>
      </c>
      <c r="F103" s="417">
        <f t="shared" si="49"/>
        <v>1.1554737179811641</v>
      </c>
      <c r="G103" s="417">
        <f t="shared" si="49"/>
        <v>1.1560204799705083</v>
      </c>
      <c r="H103" s="417">
        <f t="shared" si="49"/>
        <v>1.1418387135960879</v>
      </c>
      <c r="I103" s="417">
        <f t="shared" si="49"/>
        <v>1.1423715387259614</v>
      </c>
      <c r="J103" s="417">
        <f t="shared" si="49"/>
        <v>1.1429049438973249</v>
      </c>
      <c r="K103" s="417">
        <f t="shared" si="49"/>
        <v>1.143438926616609</v>
      </c>
      <c r="L103" s="417">
        <f t="shared" si="49"/>
        <v>1.1439734844098017</v>
      </c>
      <c r="M103" s="417">
        <f t="shared" si="49"/>
        <v>1.1445086148223753</v>
      </c>
      <c r="N103" s="417">
        <f t="shared" si="49"/>
        <v>1.1450443154192105</v>
      </c>
      <c r="O103" s="417">
        <f t="shared" si="49"/>
        <v>1.1455805837845203</v>
      </c>
      <c r="P103" s="417">
        <f t="shared" si="49"/>
        <v>1.1461174175217719</v>
      </c>
      <c r="Q103" s="417">
        <f t="shared" si="49"/>
        <v>1.146654814253609</v>
      </c>
      <c r="R103" s="417">
        <f t="shared" si="49"/>
        <v>1.1471927716217718</v>
      </c>
      <c r="S103" s="417">
        <f t="shared" si="49"/>
        <v>1.1477312872870153</v>
      </c>
      <c r="T103" s="417">
        <f t="shared" si="49"/>
        <v>1.1482703589290293</v>
      </c>
      <c r="U103" s="417">
        <f t="shared" si="49"/>
        <v>1.1488099842463546</v>
      </c>
      <c r="V103" s="417">
        <f t="shared" si="49"/>
        <v>1.149350160956299</v>
      </c>
      <c r="W103" s="417">
        <f t="shared" si="49"/>
        <v>1.1498908867948547</v>
      </c>
      <c r="X103" s="417">
        <f t="shared" si="49"/>
        <v>1.1504321595166109</v>
      </c>
      <c r="Y103" s="417">
        <f t="shared" si="49"/>
        <v>1.150973976894669</v>
      </c>
      <c r="Z103" s="417">
        <f t="shared" si="49"/>
        <v>1.1515163367205548</v>
      </c>
      <c r="AA103" s="417">
        <f t="shared" si="49"/>
        <v>1.1520592368041316</v>
      </c>
      <c r="AB103" s="417">
        <f t="shared" si="49"/>
        <v>1.1526026749735114</v>
      </c>
      <c r="AC103" s="417">
        <f t="shared" si="49"/>
        <v>1.1531466490749658</v>
      </c>
      <c r="AD103" s="417">
        <f t="shared" si="49"/>
        <v>1.1536911569728363</v>
      </c>
      <c r="AE103" s="417">
        <f t="shared" si="49"/>
        <v>1.1542361965494436</v>
      </c>
      <c r="AF103" s="417">
        <f t="shared" si="49"/>
        <v>1.1547817657049975</v>
      </c>
      <c r="AG103" s="417">
        <f t="shared" si="49"/>
        <v>1.1553278623575041</v>
      </c>
      <c r="AH103" s="417">
        <f t="shared" si="49"/>
        <v>1.155874484442674</v>
      </c>
      <c r="AI103" s="417">
        <f t="shared" si="49"/>
        <v>1.1564216299138308</v>
      </c>
      <c r="AJ103" s="417">
        <f t="shared" si="49"/>
        <v>1.1569692967418161</v>
      </c>
      <c r="AK103" s="417">
        <f t="shared" si="49"/>
        <v>1.1575174829148973</v>
      </c>
      <c r="AL103" s="417">
        <f t="shared" si="49"/>
        <v>1.1580661864386725</v>
      </c>
    </row>
    <row r="104" spans="1:38">
      <c r="A104" s="421"/>
      <c r="B104" s="411" t="s">
        <v>659</v>
      </c>
      <c r="C104" s="412" t="s">
        <v>660</v>
      </c>
      <c r="D104" s="414">
        <v>1</v>
      </c>
      <c r="E104" s="414">
        <v>1</v>
      </c>
      <c r="F104" s="414">
        <v>1</v>
      </c>
      <c r="G104" s="414">
        <v>1</v>
      </c>
      <c r="H104" s="414">
        <v>1</v>
      </c>
      <c r="I104" s="414">
        <v>1</v>
      </c>
      <c r="J104" s="414">
        <v>1</v>
      </c>
      <c r="K104" s="414">
        <v>1</v>
      </c>
      <c r="L104" s="414">
        <v>1</v>
      </c>
      <c r="M104" s="414">
        <v>1</v>
      </c>
      <c r="N104" s="414">
        <v>1</v>
      </c>
      <c r="O104" s="414">
        <v>1</v>
      </c>
      <c r="P104" s="414">
        <v>1</v>
      </c>
      <c r="Q104" s="414">
        <v>1</v>
      </c>
      <c r="R104" s="414">
        <v>1</v>
      </c>
      <c r="S104" s="414">
        <v>1</v>
      </c>
      <c r="T104" s="414">
        <v>1</v>
      </c>
      <c r="U104" s="414">
        <v>1</v>
      </c>
      <c r="V104" s="414">
        <v>1</v>
      </c>
      <c r="W104" s="414">
        <v>1</v>
      </c>
      <c r="X104" s="414">
        <v>1</v>
      </c>
      <c r="Y104" s="414">
        <v>1</v>
      </c>
      <c r="Z104" s="414">
        <v>1</v>
      </c>
      <c r="AA104" s="414">
        <v>1</v>
      </c>
      <c r="AB104" s="414">
        <v>1</v>
      </c>
      <c r="AC104" s="414">
        <v>1</v>
      </c>
      <c r="AD104" s="414">
        <v>1</v>
      </c>
      <c r="AE104" s="414">
        <v>1</v>
      </c>
      <c r="AF104" s="414">
        <v>1</v>
      </c>
      <c r="AG104" s="414">
        <v>1</v>
      </c>
      <c r="AH104" s="414">
        <v>1</v>
      </c>
      <c r="AI104" s="414">
        <v>1</v>
      </c>
      <c r="AJ104" s="414">
        <v>1</v>
      </c>
      <c r="AK104" s="414">
        <v>1</v>
      </c>
      <c r="AL104" s="414">
        <v>1</v>
      </c>
    </row>
    <row r="105" spans="1:38">
      <c r="A105" s="421"/>
      <c r="B105" s="411" t="s">
        <v>661</v>
      </c>
      <c r="C105" s="412" t="s">
        <v>662</v>
      </c>
      <c r="D105" s="414">
        <v>1</v>
      </c>
      <c r="E105" s="414">
        <v>1</v>
      </c>
      <c r="F105" s="414">
        <v>1</v>
      </c>
      <c r="G105" s="414">
        <v>1</v>
      </c>
      <c r="H105" s="414">
        <v>1</v>
      </c>
      <c r="I105" s="414">
        <v>1</v>
      </c>
      <c r="J105" s="414">
        <v>1</v>
      </c>
      <c r="K105" s="414">
        <v>1</v>
      </c>
      <c r="L105" s="414">
        <v>1</v>
      </c>
      <c r="M105" s="414">
        <v>1</v>
      </c>
      <c r="N105" s="414">
        <v>1</v>
      </c>
      <c r="O105" s="414">
        <v>1</v>
      </c>
      <c r="P105" s="414">
        <v>1</v>
      </c>
      <c r="Q105" s="414">
        <v>1</v>
      </c>
      <c r="R105" s="414">
        <v>1</v>
      </c>
      <c r="S105" s="414">
        <v>1</v>
      </c>
      <c r="T105" s="414">
        <v>1</v>
      </c>
      <c r="U105" s="414">
        <v>1</v>
      </c>
      <c r="V105" s="414">
        <v>1</v>
      </c>
      <c r="W105" s="414">
        <v>1</v>
      </c>
      <c r="X105" s="414">
        <v>1</v>
      </c>
      <c r="Y105" s="414">
        <v>1</v>
      </c>
      <c r="Z105" s="414">
        <v>1</v>
      </c>
      <c r="AA105" s="414">
        <v>1</v>
      </c>
      <c r="AB105" s="414">
        <v>1</v>
      </c>
      <c r="AC105" s="414">
        <v>1</v>
      </c>
      <c r="AD105" s="414">
        <v>1</v>
      </c>
      <c r="AE105" s="414">
        <v>1</v>
      </c>
      <c r="AF105" s="414">
        <v>1</v>
      </c>
      <c r="AG105" s="414">
        <v>1</v>
      </c>
      <c r="AH105" s="414">
        <v>1</v>
      </c>
      <c r="AI105" s="414">
        <v>1</v>
      </c>
      <c r="AJ105" s="414">
        <v>1</v>
      </c>
      <c r="AK105" s="414">
        <v>1</v>
      </c>
      <c r="AL105" s="414">
        <v>1</v>
      </c>
    </row>
    <row r="106" spans="1:38">
      <c r="A106" s="421"/>
      <c r="B106" s="411" t="s">
        <v>663</v>
      </c>
      <c r="C106" s="412" t="s">
        <v>664</v>
      </c>
      <c r="D106" s="414">
        <v>1</v>
      </c>
      <c r="E106" s="414">
        <v>1</v>
      </c>
      <c r="F106" s="414">
        <v>1</v>
      </c>
      <c r="G106" s="414">
        <v>1</v>
      </c>
      <c r="H106" s="414">
        <v>1</v>
      </c>
      <c r="I106" s="414">
        <v>1</v>
      </c>
      <c r="J106" s="414">
        <v>1</v>
      </c>
      <c r="K106" s="414">
        <v>1</v>
      </c>
      <c r="L106" s="414">
        <v>1</v>
      </c>
      <c r="M106" s="414">
        <v>1</v>
      </c>
      <c r="N106" s="414">
        <v>1</v>
      </c>
      <c r="O106" s="414">
        <v>1</v>
      </c>
      <c r="P106" s="414">
        <v>1</v>
      </c>
      <c r="Q106" s="414">
        <v>1</v>
      </c>
      <c r="R106" s="414">
        <v>1</v>
      </c>
      <c r="S106" s="414">
        <v>1</v>
      </c>
      <c r="T106" s="414">
        <v>1</v>
      </c>
      <c r="U106" s="414">
        <v>1</v>
      </c>
      <c r="V106" s="414">
        <v>1</v>
      </c>
      <c r="W106" s="414">
        <v>1</v>
      </c>
      <c r="X106" s="414">
        <v>1</v>
      </c>
      <c r="Y106" s="414">
        <v>1</v>
      </c>
      <c r="Z106" s="414">
        <v>1</v>
      </c>
      <c r="AA106" s="414">
        <v>1</v>
      </c>
      <c r="AB106" s="414">
        <v>1</v>
      </c>
      <c r="AC106" s="414">
        <v>1</v>
      </c>
      <c r="AD106" s="414">
        <v>1</v>
      </c>
      <c r="AE106" s="414">
        <v>1</v>
      </c>
      <c r="AF106" s="414">
        <v>1</v>
      </c>
      <c r="AG106" s="414">
        <v>1</v>
      </c>
      <c r="AH106" s="414">
        <v>1</v>
      </c>
      <c r="AI106" s="414">
        <v>1</v>
      </c>
      <c r="AJ106" s="414">
        <v>1</v>
      </c>
      <c r="AK106" s="414">
        <v>1</v>
      </c>
      <c r="AL106" s="414">
        <v>1</v>
      </c>
    </row>
    <row r="107" spans="1:38">
      <c r="A107" s="421"/>
      <c r="B107" s="411" t="s">
        <v>665</v>
      </c>
      <c r="C107" s="412" t="s">
        <v>666</v>
      </c>
      <c r="D107" s="414">
        <f>EXP(0.138*($D$10-1))</f>
        <v>1.1479755502741786</v>
      </c>
      <c r="E107" s="414">
        <f t="shared" ref="E107:AL107" si="50">EXP(0.138*($D$10-1))</f>
        <v>1.1479755502741786</v>
      </c>
      <c r="F107" s="414">
        <f t="shared" si="50"/>
        <v>1.1479755502741786</v>
      </c>
      <c r="G107" s="414">
        <f t="shared" si="50"/>
        <v>1.1479755502741786</v>
      </c>
      <c r="H107" s="414">
        <f t="shared" si="50"/>
        <v>1.1479755502741786</v>
      </c>
      <c r="I107" s="414">
        <f t="shared" si="50"/>
        <v>1.1479755502741786</v>
      </c>
      <c r="J107" s="414">
        <f t="shared" si="50"/>
        <v>1.1479755502741786</v>
      </c>
      <c r="K107" s="414">
        <f t="shared" si="50"/>
        <v>1.1479755502741786</v>
      </c>
      <c r="L107" s="414">
        <f t="shared" si="50"/>
        <v>1.1479755502741786</v>
      </c>
      <c r="M107" s="414">
        <f t="shared" si="50"/>
        <v>1.1479755502741786</v>
      </c>
      <c r="N107" s="414">
        <f t="shared" si="50"/>
        <v>1.1479755502741786</v>
      </c>
      <c r="O107" s="414">
        <f t="shared" si="50"/>
        <v>1.1479755502741786</v>
      </c>
      <c r="P107" s="414">
        <f t="shared" si="50"/>
        <v>1.1479755502741786</v>
      </c>
      <c r="Q107" s="414">
        <f t="shared" si="50"/>
        <v>1.1479755502741786</v>
      </c>
      <c r="R107" s="414">
        <f t="shared" si="50"/>
        <v>1.1479755502741786</v>
      </c>
      <c r="S107" s="414">
        <f t="shared" si="50"/>
        <v>1.1479755502741786</v>
      </c>
      <c r="T107" s="414">
        <f t="shared" si="50"/>
        <v>1.1479755502741786</v>
      </c>
      <c r="U107" s="414">
        <f t="shared" si="50"/>
        <v>1.1479755502741786</v>
      </c>
      <c r="V107" s="414">
        <f t="shared" si="50"/>
        <v>1.1479755502741786</v>
      </c>
      <c r="W107" s="414">
        <f t="shared" si="50"/>
        <v>1.1479755502741786</v>
      </c>
      <c r="X107" s="414">
        <f t="shared" si="50"/>
        <v>1.1479755502741786</v>
      </c>
      <c r="Y107" s="414">
        <f t="shared" si="50"/>
        <v>1.1479755502741786</v>
      </c>
      <c r="Z107" s="414">
        <f t="shared" si="50"/>
        <v>1.1479755502741786</v>
      </c>
      <c r="AA107" s="414">
        <f t="shared" si="50"/>
        <v>1.1479755502741786</v>
      </c>
      <c r="AB107" s="414">
        <f t="shared" si="50"/>
        <v>1.1479755502741786</v>
      </c>
      <c r="AC107" s="414">
        <f t="shared" si="50"/>
        <v>1.1479755502741786</v>
      </c>
      <c r="AD107" s="414">
        <f t="shared" si="50"/>
        <v>1.1479755502741786</v>
      </c>
      <c r="AE107" s="414">
        <f t="shared" si="50"/>
        <v>1.1479755502741786</v>
      </c>
      <c r="AF107" s="414">
        <f t="shared" si="50"/>
        <v>1.1479755502741786</v>
      </c>
      <c r="AG107" s="414">
        <f t="shared" si="50"/>
        <v>1.1479755502741786</v>
      </c>
      <c r="AH107" s="414">
        <f t="shared" si="50"/>
        <v>1.1479755502741786</v>
      </c>
      <c r="AI107" s="414">
        <f t="shared" si="50"/>
        <v>1.1479755502741786</v>
      </c>
      <c r="AJ107" s="414">
        <f t="shared" si="50"/>
        <v>1.1479755502741786</v>
      </c>
      <c r="AK107" s="414">
        <f t="shared" si="50"/>
        <v>1.1479755502741786</v>
      </c>
      <c r="AL107" s="414">
        <f t="shared" si="50"/>
        <v>1.1479755502741786</v>
      </c>
    </row>
    <row r="108" spans="1:38" ht="13">
      <c r="A108" s="421"/>
      <c r="B108" s="418"/>
      <c r="C108" s="419"/>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row>
    <row r="109" spans="1:38" ht="13">
      <c r="A109" s="421"/>
      <c r="B109" s="422" t="s">
        <v>668</v>
      </c>
      <c r="C109" s="408"/>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row>
    <row r="110" spans="1:38">
      <c r="A110" s="421"/>
      <c r="B110" s="411" t="s">
        <v>653</v>
      </c>
      <c r="C110" s="412" t="s">
        <v>654</v>
      </c>
      <c r="D110" s="423">
        <f>((D$77*D$78+0.2)/0.2)^(0.3116)</f>
        <v>34.858163353406134</v>
      </c>
      <c r="E110" s="423">
        <f t="shared" ref="E110:AL110" si="51">((E$77*E$78+0.2)/0.2)^(0.3116)</f>
        <v>35.291149625230638</v>
      </c>
      <c r="F110" s="423">
        <f t="shared" si="51"/>
        <v>35.729514369961322</v>
      </c>
      <c r="G110" s="423">
        <f t="shared" si="51"/>
        <v>36.173324392887857</v>
      </c>
      <c r="H110" s="423">
        <f t="shared" si="51"/>
        <v>33.4826063383289</v>
      </c>
      <c r="I110" s="423">
        <f t="shared" si="51"/>
        <v>33.89850566698771</v>
      </c>
      <c r="J110" s="423">
        <f t="shared" si="51"/>
        <v>34.31957123490055</v>
      </c>
      <c r="K110" s="423">
        <f t="shared" si="51"/>
        <v>34.745867210771472</v>
      </c>
      <c r="L110" s="423">
        <f t="shared" si="51"/>
        <v>35.177458560478883</v>
      </c>
      <c r="M110" s="423">
        <f t="shared" si="51"/>
        <v>35.614411056974923</v>
      </c>
      <c r="N110" s="423">
        <f t="shared" si="51"/>
        <v>36.056791290307928</v>
      </c>
      <c r="O110" s="423">
        <f t="shared" si="51"/>
        <v>36.504666677769286</v>
      </c>
      <c r="P110" s="423">
        <f t="shared" si="51"/>
        <v>36.958105474166608</v>
      </c>
      <c r="Q110" s="423">
        <f t="shared" si="51"/>
        <v>37.417176782224445</v>
      </c>
      <c r="R110" s="423">
        <f t="shared" si="51"/>
        <v>37.881950563114295</v>
      </c>
      <c r="S110" s="423">
        <f t="shared" si="51"/>
        <v>38.352497647115491</v>
      </c>
      <c r="T110" s="423">
        <f t="shared" si="51"/>
        <v>38.828889744408563</v>
      </c>
      <c r="U110" s="423">
        <f t="shared" si="51"/>
        <v>39.311199456002768</v>
      </c>
      <c r="V110" s="423">
        <f t="shared" si="51"/>
        <v>39.799500284799336</v>
      </c>
      <c r="W110" s="423">
        <f t="shared" si="51"/>
        <v>40.293866646792196</v>
      </c>
      <c r="X110" s="423">
        <f t="shared" si="51"/>
        <v>40.794373882408031</v>
      </c>
      <c r="Y110" s="423">
        <f t="shared" si="51"/>
        <v>41.301098267987086</v>
      </c>
      <c r="Z110" s="423">
        <f t="shared" si="51"/>
        <v>41.81411702740678</v>
      </c>
      <c r="AA110" s="423">
        <f t="shared" si="51"/>
        <v>42.333508343849566</v>
      </c>
      <c r="AB110" s="423">
        <f t="shared" si="51"/>
        <v>42.859351371717139</v>
      </c>
      <c r="AC110" s="423">
        <f t="shared" si="51"/>
        <v>43.391726248692741</v>
      </c>
      <c r="AD110" s="423">
        <f t="shared" si="51"/>
        <v>43.930714107953321</v>
      </c>
      <c r="AE110" s="423">
        <f t="shared" si="51"/>
        <v>44.476397090533169</v>
      </c>
      <c r="AF110" s="423">
        <f t="shared" si="51"/>
        <v>45.028858357841628</v>
      </c>
      <c r="AG110" s="423">
        <f t="shared" si="51"/>
        <v>45.588182104336028</v>
      </c>
      <c r="AH110" s="423">
        <f t="shared" si="51"/>
        <v>46.154453570352011</v>
      </c>
      <c r="AI110" s="423">
        <f t="shared" si="51"/>
        <v>46.727759055093706</v>
      </c>
      <c r="AJ110" s="423">
        <f t="shared" si="51"/>
        <v>47.308185929784656</v>
      </c>
      <c r="AK110" s="423">
        <f t="shared" si="51"/>
        <v>47.895822650982822</v>
      </c>
      <c r="AL110" s="423">
        <f t="shared" si="51"/>
        <v>48.49075877406046</v>
      </c>
    </row>
    <row r="111" spans="1:38">
      <c r="A111" s="421"/>
      <c r="B111" s="411" t="s">
        <v>655</v>
      </c>
      <c r="C111" s="412" t="s">
        <v>656</v>
      </c>
      <c r="D111" s="414">
        <f>EXP(0.2912*$D$9)</f>
        <v>1.7903300708920569</v>
      </c>
      <c r="E111" s="414">
        <f t="shared" ref="E111:AL111" si="52">EXP(0.2912*$D$9)</f>
        <v>1.7903300708920569</v>
      </c>
      <c r="F111" s="414">
        <f t="shared" si="52"/>
        <v>1.7903300708920569</v>
      </c>
      <c r="G111" s="414">
        <f t="shared" si="52"/>
        <v>1.7903300708920569</v>
      </c>
      <c r="H111" s="414">
        <f t="shared" si="52"/>
        <v>1.7903300708920569</v>
      </c>
      <c r="I111" s="414">
        <f t="shared" si="52"/>
        <v>1.7903300708920569</v>
      </c>
      <c r="J111" s="414">
        <f t="shared" si="52"/>
        <v>1.7903300708920569</v>
      </c>
      <c r="K111" s="414">
        <f t="shared" si="52"/>
        <v>1.7903300708920569</v>
      </c>
      <c r="L111" s="414">
        <f t="shared" si="52"/>
        <v>1.7903300708920569</v>
      </c>
      <c r="M111" s="414">
        <f t="shared" si="52"/>
        <v>1.7903300708920569</v>
      </c>
      <c r="N111" s="414">
        <f t="shared" si="52"/>
        <v>1.7903300708920569</v>
      </c>
      <c r="O111" s="414">
        <f t="shared" si="52"/>
        <v>1.7903300708920569</v>
      </c>
      <c r="P111" s="414">
        <f t="shared" si="52"/>
        <v>1.7903300708920569</v>
      </c>
      <c r="Q111" s="414">
        <f t="shared" si="52"/>
        <v>1.7903300708920569</v>
      </c>
      <c r="R111" s="414">
        <f t="shared" si="52"/>
        <v>1.7903300708920569</v>
      </c>
      <c r="S111" s="414">
        <f t="shared" si="52"/>
        <v>1.7903300708920569</v>
      </c>
      <c r="T111" s="414">
        <f t="shared" si="52"/>
        <v>1.7903300708920569</v>
      </c>
      <c r="U111" s="414">
        <f t="shared" si="52"/>
        <v>1.7903300708920569</v>
      </c>
      <c r="V111" s="414">
        <f t="shared" si="52"/>
        <v>1.7903300708920569</v>
      </c>
      <c r="W111" s="414">
        <f t="shared" si="52"/>
        <v>1.7903300708920569</v>
      </c>
      <c r="X111" s="414">
        <f t="shared" si="52"/>
        <v>1.7903300708920569</v>
      </c>
      <c r="Y111" s="414">
        <f t="shared" si="52"/>
        <v>1.7903300708920569</v>
      </c>
      <c r="Z111" s="414">
        <f t="shared" si="52"/>
        <v>1.7903300708920569</v>
      </c>
      <c r="AA111" s="414">
        <f t="shared" si="52"/>
        <v>1.7903300708920569</v>
      </c>
      <c r="AB111" s="414">
        <f t="shared" si="52"/>
        <v>1.7903300708920569</v>
      </c>
      <c r="AC111" s="414">
        <f t="shared" si="52"/>
        <v>1.7903300708920569</v>
      </c>
      <c r="AD111" s="414">
        <f t="shared" si="52"/>
        <v>1.7903300708920569</v>
      </c>
      <c r="AE111" s="414">
        <f t="shared" si="52"/>
        <v>1.7903300708920569</v>
      </c>
      <c r="AF111" s="414">
        <f t="shared" si="52"/>
        <v>1.7903300708920569</v>
      </c>
      <c r="AG111" s="414">
        <f t="shared" si="52"/>
        <v>1.7903300708920569</v>
      </c>
      <c r="AH111" s="414">
        <f t="shared" si="52"/>
        <v>1.7903300708920569</v>
      </c>
      <c r="AI111" s="414">
        <f t="shared" si="52"/>
        <v>1.7903300708920569</v>
      </c>
      <c r="AJ111" s="414">
        <f t="shared" si="52"/>
        <v>1.7903300708920569</v>
      </c>
      <c r="AK111" s="414">
        <f t="shared" si="52"/>
        <v>1.7903300708920569</v>
      </c>
      <c r="AL111" s="414">
        <f t="shared" si="52"/>
        <v>1.7903300708920569</v>
      </c>
    </row>
    <row r="112" spans="1:38">
      <c r="A112" s="421"/>
      <c r="B112" s="411" t="s">
        <v>657</v>
      </c>
      <c r="C112" s="416" t="s">
        <v>658</v>
      </c>
      <c r="D112" s="414">
        <v>1</v>
      </c>
      <c r="E112" s="414">
        <v>1</v>
      </c>
      <c r="F112" s="414">
        <v>1</v>
      </c>
      <c r="G112" s="414">
        <v>1</v>
      </c>
      <c r="H112" s="414">
        <v>1</v>
      </c>
      <c r="I112" s="414">
        <v>1</v>
      </c>
      <c r="J112" s="414">
        <v>1</v>
      </c>
      <c r="K112" s="414">
        <v>1</v>
      </c>
      <c r="L112" s="414">
        <v>1</v>
      </c>
      <c r="M112" s="414">
        <v>1</v>
      </c>
      <c r="N112" s="414">
        <v>1</v>
      </c>
      <c r="O112" s="414">
        <v>1</v>
      </c>
      <c r="P112" s="414">
        <v>1</v>
      </c>
      <c r="Q112" s="414">
        <v>1</v>
      </c>
      <c r="R112" s="414">
        <v>1</v>
      </c>
      <c r="S112" s="414">
        <v>1</v>
      </c>
      <c r="T112" s="414">
        <v>1</v>
      </c>
      <c r="U112" s="414">
        <v>1</v>
      </c>
      <c r="V112" s="414">
        <v>1</v>
      </c>
      <c r="W112" s="414">
        <v>1</v>
      </c>
      <c r="X112" s="414">
        <v>1</v>
      </c>
      <c r="Y112" s="414">
        <v>1</v>
      </c>
      <c r="Z112" s="414">
        <v>1</v>
      </c>
      <c r="AA112" s="414">
        <v>1</v>
      </c>
      <c r="AB112" s="414">
        <v>1</v>
      </c>
      <c r="AC112" s="414">
        <v>1</v>
      </c>
      <c r="AD112" s="414">
        <v>1</v>
      </c>
      <c r="AE112" s="414">
        <v>1</v>
      </c>
      <c r="AF112" s="414">
        <v>1</v>
      </c>
      <c r="AG112" s="414">
        <v>1</v>
      </c>
      <c r="AH112" s="414">
        <v>1</v>
      </c>
      <c r="AI112" s="414">
        <v>1</v>
      </c>
      <c r="AJ112" s="414">
        <v>1</v>
      </c>
      <c r="AK112" s="414">
        <v>1</v>
      </c>
      <c r="AL112" s="414">
        <v>1</v>
      </c>
    </row>
    <row r="113" spans="1:38">
      <c r="A113" s="421"/>
      <c r="B113" s="411" t="s">
        <v>659</v>
      </c>
      <c r="C113" s="412" t="s">
        <v>660</v>
      </c>
      <c r="D113" s="414">
        <v>1</v>
      </c>
      <c r="E113" s="414">
        <v>1</v>
      </c>
      <c r="F113" s="414">
        <v>1</v>
      </c>
      <c r="G113" s="414">
        <v>1</v>
      </c>
      <c r="H113" s="414">
        <v>1</v>
      </c>
      <c r="I113" s="414">
        <v>1</v>
      </c>
      <c r="J113" s="414">
        <v>1</v>
      </c>
      <c r="K113" s="414">
        <v>1</v>
      </c>
      <c r="L113" s="414">
        <v>1</v>
      </c>
      <c r="M113" s="414">
        <v>1</v>
      </c>
      <c r="N113" s="414">
        <v>1</v>
      </c>
      <c r="O113" s="414">
        <v>1</v>
      </c>
      <c r="P113" s="414">
        <v>1</v>
      </c>
      <c r="Q113" s="414">
        <v>1</v>
      </c>
      <c r="R113" s="414">
        <v>1</v>
      </c>
      <c r="S113" s="414">
        <v>1</v>
      </c>
      <c r="T113" s="414">
        <v>1</v>
      </c>
      <c r="U113" s="414">
        <v>1</v>
      </c>
      <c r="V113" s="414">
        <v>1</v>
      </c>
      <c r="W113" s="414">
        <v>1</v>
      </c>
      <c r="X113" s="414">
        <v>1</v>
      </c>
      <c r="Y113" s="414">
        <v>1</v>
      </c>
      <c r="Z113" s="414">
        <v>1</v>
      </c>
      <c r="AA113" s="414">
        <v>1</v>
      </c>
      <c r="AB113" s="414">
        <v>1</v>
      </c>
      <c r="AC113" s="414">
        <v>1</v>
      </c>
      <c r="AD113" s="414">
        <v>1</v>
      </c>
      <c r="AE113" s="414">
        <v>1</v>
      </c>
      <c r="AF113" s="414">
        <v>1</v>
      </c>
      <c r="AG113" s="414">
        <v>1</v>
      </c>
      <c r="AH113" s="414">
        <v>1</v>
      </c>
      <c r="AI113" s="414">
        <v>1</v>
      </c>
      <c r="AJ113" s="414">
        <v>1</v>
      </c>
      <c r="AK113" s="414">
        <v>1</v>
      </c>
      <c r="AL113" s="414">
        <v>1</v>
      </c>
    </row>
    <row r="114" spans="1:38">
      <c r="A114" s="421"/>
      <c r="B114" s="411" t="s">
        <v>661</v>
      </c>
      <c r="C114" s="412" t="s">
        <v>662</v>
      </c>
      <c r="D114" s="414">
        <v>1</v>
      </c>
      <c r="E114" s="414">
        <v>1</v>
      </c>
      <c r="F114" s="414">
        <v>1</v>
      </c>
      <c r="G114" s="414">
        <v>1</v>
      </c>
      <c r="H114" s="414">
        <v>1</v>
      </c>
      <c r="I114" s="414">
        <v>1</v>
      </c>
      <c r="J114" s="414">
        <v>1</v>
      </c>
      <c r="K114" s="414">
        <v>1</v>
      </c>
      <c r="L114" s="414">
        <v>1</v>
      </c>
      <c r="M114" s="414">
        <v>1</v>
      </c>
      <c r="N114" s="414">
        <v>1</v>
      </c>
      <c r="O114" s="414">
        <v>1</v>
      </c>
      <c r="P114" s="414">
        <v>1</v>
      </c>
      <c r="Q114" s="414">
        <v>1</v>
      </c>
      <c r="R114" s="414">
        <v>1</v>
      </c>
      <c r="S114" s="414">
        <v>1</v>
      </c>
      <c r="T114" s="414">
        <v>1</v>
      </c>
      <c r="U114" s="414">
        <v>1</v>
      </c>
      <c r="V114" s="414">
        <v>1</v>
      </c>
      <c r="W114" s="414">
        <v>1</v>
      </c>
      <c r="X114" s="414">
        <v>1</v>
      </c>
      <c r="Y114" s="414">
        <v>1</v>
      </c>
      <c r="Z114" s="414">
        <v>1</v>
      </c>
      <c r="AA114" s="414">
        <v>1</v>
      </c>
      <c r="AB114" s="414">
        <v>1</v>
      </c>
      <c r="AC114" s="414">
        <v>1</v>
      </c>
      <c r="AD114" s="414">
        <v>1</v>
      </c>
      <c r="AE114" s="414">
        <v>1</v>
      </c>
      <c r="AF114" s="414">
        <v>1</v>
      </c>
      <c r="AG114" s="414">
        <v>1</v>
      </c>
      <c r="AH114" s="414">
        <v>1</v>
      </c>
      <c r="AI114" s="414">
        <v>1</v>
      </c>
      <c r="AJ114" s="414">
        <v>1</v>
      </c>
      <c r="AK114" s="414">
        <v>1</v>
      </c>
      <c r="AL114" s="414">
        <v>1</v>
      </c>
    </row>
    <row r="115" spans="1:38">
      <c r="A115" s="421"/>
      <c r="B115" s="411" t="s">
        <v>663</v>
      </c>
      <c r="C115" s="412" t="s">
        <v>664</v>
      </c>
      <c r="D115" s="414">
        <v>1</v>
      </c>
      <c r="E115" s="414">
        <v>1</v>
      </c>
      <c r="F115" s="414">
        <v>1</v>
      </c>
      <c r="G115" s="414">
        <v>1</v>
      </c>
      <c r="H115" s="414">
        <v>1</v>
      </c>
      <c r="I115" s="414">
        <v>1</v>
      </c>
      <c r="J115" s="414">
        <v>1</v>
      </c>
      <c r="K115" s="414">
        <v>1</v>
      </c>
      <c r="L115" s="414">
        <v>1</v>
      </c>
      <c r="M115" s="414">
        <v>1</v>
      </c>
      <c r="N115" s="414">
        <v>1</v>
      </c>
      <c r="O115" s="414">
        <v>1</v>
      </c>
      <c r="P115" s="414">
        <v>1</v>
      </c>
      <c r="Q115" s="414">
        <v>1</v>
      </c>
      <c r="R115" s="414">
        <v>1</v>
      </c>
      <c r="S115" s="414">
        <v>1</v>
      </c>
      <c r="T115" s="414">
        <v>1</v>
      </c>
      <c r="U115" s="414">
        <v>1</v>
      </c>
      <c r="V115" s="414">
        <v>1</v>
      </c>
      <c r="W115" s="414">
        <v>1</v>
      </c>
      <c r="X115" s="414">
        <v>1</v>
      </c>
      <c r="Y115" s="414">
        <v>1</v>
      </c>
      <c r="Z115" s="414">
        <v>1</v>
      </c>
      <c r="AA115" s="414">
        <v>1</v>
      </c>
      <c r="AB115" s="414">
        <v>1</v>
      </c>
      <c r="AC115" s="414">
        <v>1</v>
      </c>
      <c r="AD115" s="414">
        <v>1</v>
      </c>
      <c r="AE115" s="414">
        <v>1</v>
      </c>
      <c r="AF115" s="414">
        <v>1</v>
      </c>
      <c r="AG115" s="414">
        <v>1</v>
      </c>
      <c r="AH115" s="414">
        <v>1</v>
      </c>
      <c r="AI115" s="414">
        <v>1</v>
      </c>
      <c r="AJ115" s="414">
        <v>1</v>
      </c>
      <c r="AK115" s="414">
        <v>1</v>
      </c>
      <c r="AL115" s="414">
        <v>1</v>
      </c>
    </row>
    <row r="116" spans="1:38">
      <c r="A116" s="421"/>
      <c r="B116" s="424" t="s">
        <v>665</v>
      </c>
      <c r="C116" s="425" t="s">
        <v>666</v>
      </c>
      <c r="D116" s="426">
        <f>EXP(0.1036*($D$10-1))</f>
        <v>1.1091567034898182</v>
      </c>
      <c r="E116" s="426">
        <f t="shared" ref="E116:AL116" si="53">EXP(0.1036*($D$10-1))</f>
        <v>1.1091567034898182</v>
      </c>
      <c r="F116" s="426">
        <f t="shared" si="53"/>
        <v>1.1091567034898182</v>
      </c>
      <c r="G116" s="426">
        <f t="shared" si="53"/>
        <v>1.1091567034898182</v>
      </c>
      <c r="H116" s="426">
        <f t="shared" si="53"/>
        <v>1.1091567034898182</v>
      </c>
      <c r="I116" s="426">
        <f t="shared" si="53"/>
        <v>1.1091567034898182</v>
      </c>
      <c r="J116" s="426">
        <f t="shared" si="53"/>
        <v>1.1091567034898182</v>
      </c>
      <c r="K116" s="426">
        <f t="shared" si="53"/>
        <v>1.1091567034898182</v>
      </c>
      <c r="L116" s="426">
        <f t="shared" si="53"/>
        <v>1.1091567034898182</v>
      </c>
      <c r="M116" s="426">
        <f t="shared" si="53"/>
        <v>1.1091567034898182</v>
      </c>
      <c r="N116" s="426">
        <f t="shared" si="53"/>
        <v>1.1091567034898182</v>
      </c>
      <c r="O116" s="426">
        <f t="shared" si="53"/>
        <v>1.1091567034898182</v>
      </c>
      <c r="P116" s="426">
        <f t="shared" si="53"/>
        <v>1.1091567034898182</v>
      </c>
      <c r="Q116" s="426">
        <f t="shared" si="53"/>
        <v>1.1091567034898182</v>
      </c>
      <c r="R116" s="426">
        <f t="shared" si="53"/>
        <v>1.1091567034898182</v>
      </c>
      <c r="S116" s="426">
        <f t="shared" si="53"/>
        <v>1.1091567034898182</v>
      </c>
      <c r="T116" s="426">
        <f t="shared" si="53"/>
        <v>1.1091567034898182</v>
      </c>
      <c r="U116" s="426">
        <f t="shared" si="53"/>
        <v>1.1091567034898182</v>
      </c>
      <c r="V116" s="426">
        <f t="shared" si="53"/>
        <v>1.1091567034898182</v>
      </c>
      <c r="W116" s="426">
        <f t="shared" si="53"/>
        <v>1.1091567034898182</v>
      </c>
      <c r="X116" s="426">
        <f t="shared" si="53"/>
        <v>1.1091567034898182</v>
      </c>
      <c r="Y116" s="426">
        <f t="shared" si="53"/>
        <v>1.1091567034898182</v>
      </c>
      <c r="Z116" s="426">
        <f t="shared" si="53"/>
        <v>1.1091567034898182</v>
      </c>
      <c r="AA116" s="426">
        <f t="shared" si="53"/>
        <v>1.1091567034898182</v>
      </c>
      <c r="AB116" s="426">
        <f t="shared" si="53"/>
        <v>1.1091567034898182</v>
      </c>
      <c r="AC116" s="426">
        <f t="shared" si="53"/>
        <v>1.1091567034898182</v>
      </c>
      <c r="AD116" s="426">
        <f t="shared" si="53"/>
        <v>1.1091567034898182</v>
      </c>
      <c r="AE116" s="426">
        <f t="shared" si="53"/>
        <v>1.1091567034898182</v>
      </c>
      <c r="AF116" s="426">
        <f t="shared" si="53"/>
        <v>1.1091567034898182</v>
      </c>
      <c r="AG116" s="426">
        <f t="shared" si="53"/>
        <v>1.1091567034898182</v>
      </c>
      <c r="AH116" s="426">
        <f t="shared" si="53"/>
        <v>1.1091567034898182</v>
      </c>
      <c r="AI116" s="426">
        <f t="shared" si="53"/>
        <v>1.1091567034898182</v>
      </c>
      <c r="AJ116" s="426">
        <f t="shared" si="53"/>
        <v>1.1091567034898182</v>
      </c>
      <c r="AK116" s="426">
        <f t="shared" si="53"/>
        <v>1.1091567034898182</v>
      </c>
      <c r="AL116" s="426">
        <f t="shared" si="53"/>
        <v>1.1091567034898182</v>
      </c>
    </row>
    <row r="117" spans="1:38">
      <c r="B117" s="362"/>
      <c r="C117" s="427" t="s">
        <v>290</v>
      </c>
      <c r="D117" s="415"/>
      <c r="E117" s="415"/>
      <c r="F117" s="415"/>
      <c r="G117" s="415"/>
      <c r="H117" s="1235"/>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c r="AJ117" s="415"/>
      <c r="AK117" s="415"/>
      <c r="AL117" s="415"/>
    </row>
    <row r="118" spans="1:38">
      <c r="B118" s="362" t="s">
        <v>669</v>
      </c>
      <c r="C118" s="428">
        <f>$E$6</f>
        <v>3.6459999999999999E-3</v>
      </c>
      <c r="D118" s="429">
        <f>IF($D$6=$B91,$C$118*PRODUCT(D$92:D$98),IF($D$6=$B100,$C$118*PRODUCT(D$101:D$107), $C$118*PRODUCT(D$110:D$116)))</f>
        <v>0.17387085299104882</v>
      </c>
      <c r="E118" s="429">
        <f t="shared" ref="E118:AK118" si="54">IF($D$6=$B91,$C$118*PRODUCT(E$92:E$98),IF($D$6=$B100,$C$118*PRODUCT(E$101:E$107), $C$118*PRODUCT(E$110:E$116)))</f>
        <v>0.17600009074869749</v>
      </c>
      <c r="F118" s="429">
        <f t="shared" si="54"/>
        <v>0.17815544570157779</v>
      </c>
      <c r="G118" s="429">
        <f t="shared" si="54"/>
        <v>0.18033723828583903</v>
      </c>
      <c r="H118" s="429">
        <f>IF($D$6=$B91,$C$118*PRODUCT(H$92:H$98),IF($D$6=$B100,$C$118*PRODUCT(H$101:H$107), $C$118*PRODUCT(H$110:H$116)))</f>
        <v>0.16554326205522951</v>
      </c>
      <c r="I118" s="429">
        <f t="shared" si="54"/>
        <v>0.16756949614409355</v>
      </c>
      <c r="J118" s="429">
        <f t="shared" si="54"/>
        <v>0.16962058129940868</v>
      </c>
      <c r="K118" s="429">
        <f t="shared" si="54"/>
        <v>0.17169682242409209</v>
      </c>
      <c r="L118" s="429">
        <f t="shared" si="54"/>
        <v>0.1737985281625064</v>
      </c>
      <c r="M118" s="429">
        <f t="shared" si="54"/>
        <v>0.17592601094635288</v>
      </c>
      <c r="N118" s="429">
        <f t="shared" si="54"/>
        <v>0.17807958704112906</v>
      </c>
      <c r="O118" s="429">
        <f t="shared" si="54"/>
        <v>0.18025957659315486</v>
      </c>
      <c r="P118" s="429">
        <f t="shared" si="54"/>
        <v>0.1824663036771777</v>
      </c>
      <c r="Q118" s="429">
        <f t="shared" si="54"/>
        <v>0.18470009634456214</v>
      </c>
      <c r="R118" s="429">
        <f t="shared" si="54"/>
        <v>0.18696128667206946</v>
      </c>
      <c r="S118" s="429">
        <f t="shared" si="54"/>
        <v>0.18925021081123775</v>
      </c>
      <c r="T118" s="429">
        <f t="shared" si="54"/>
        <v>0.19156720903836738</v>
      </c>
      <c r="U118" s="429">
        <f t="shared" si="54"/>
        <v>0.19391262580512064</v>
      </c>
      <c r="V118" s="429">
        <f t="shared" si="54"/>
        <v>0.19628680978974203</v>
      </c>
      <c r="W118" s="429">
        <f t="shared" si="54"/>
        <v>0.19869011394890676</v>
      </c>
      <c r="X118" s="429">
        <f t="shared" si="54"/>
        <v>0.20112289557020752</v>
      </c>
      <c r="Y118" s="429">
        <f t="shared" si="54"/>
        <v>0.20358551632528379</v>
      </c>
      <c r="Z118" s="429">
        <f t="shared" si="54"/>
        <v>0.20607834232360436</v>
      </c>
      <c r="AA118" s="429">
        <f t="shared" si="54"/>
        <v>0.20860174416690866</v>
      </c>
      <c r="AB118" s="429">
        <f t="shared" si="54"/>
        <v>0.21115609700431806</v>
      </c>
      <c r="AC118" s="429">
        <f t="shared" si="54"/>
        <v>0.21374178058812282</v>
      </c>
      <c r="AD118" s="429">
        <f t="shared" si="54"/>
        <v>0.21635917933025325</v>
      </c>
      <c r="AE118" s="429">
        <f t="shared" si="54"/>
        <v>0.21900868235944485</v>
      </c>
      <c r="AF118" s="429">
        <f t="shared" si="54"/>
        <v>0.22169068357910454</v>
      </c>
      <c r="AG118" s="429">
        <f t="shared" si="54"/>
        <v>0.22440558172588768</v>
      </c>
      <c r="AH118" s="429">
        <f t="shared" si="54"/>
        <v>0.2271537804289927</v>
      </c>
      <c r="AI118" s="429">
        <f t="shared" si="54"/>
        <v>0.22993568827018609</v>
      </c>
      <c r="AJ118" s="429">
        <f t="shared" si="54"/>
        <v>0.2327517188445605</v>
      </c>
      <c r="AK118" s="429">
        <f t="shared" si="54"/>
        <v>0.23560229082204201</v>
      </c>
      <c r="AL118" s="429">
        <f t="shared" ref="AL118" si="55">IF($D$6=$B91,$C$118*PRODUCT(AL$92:AL$98),IF($D$6=$B100,$C$118*PRODUCT(AL$101:AL$107), $C$118*PRODUCT(AL$110:AL$116)))</f>
        <v>0.23848782800964979</v>
      </c>
    </row>
    <row r="119" spans="1:38">
      <c r="H119" s="1228"/>
    </row>
    <row r="120" spans="1:38" ht="13">
      <c r="B120" s="407" t="s">
        <v>670</v>
      </c>
      <c r="C120" s="396" t="s">
        <v>627</v>
      </c>
      <c r="D120" s="397">
        <v>2018</v>
      </c>
      <c r="E120" s="397">
        <v>2020</v>
      </c>
      <c r="F120" s="397">
        <v>2021</v>
      </c>
      <c r="G120" s="397">
        <v>2022</v>
      </c>
      <c r="H120" s="1238">
        <v>2023</v>
      </c>
      <c r="I120" s="397">
        <v>2024</v>
      </c>
      <c r="J120" s="397">
        <v>2025</v>
      </c>
      <c r="K120" s="397">
        <v>2026</v>
      </c>
      <c r="L120" s="397">
        <v>2027</v>
      </c>
      <c r="M120" s="397">
        <v>2028</v>
      </c>
      <c r="N120" s="397">
        <v>2029</v>
      </c>
      <c r="O120" s="397">
        <v>2030</v>
      </c>
      <c r="P120" s="397">
        <v>2031</v>
      </c>
      <c r="Q120" s="397">
        <v>2032</v>
      </c>
      <c r="R120" s="397">
        <v>2033</v>
      </c>
      <c r="S120" s="397">
        <v>2034</v>
      </c>
      <c r="T120" s="397">
        <v>2035</v>
      </c>
      <c r="U120" s="397">
        <v>2036</v>
      </c>
      <c r="V120" s="397">
        <v>2037</v>
      </c>
      <c r="W120" s="397">
        <v>2038</v>
      </c>
      <c r="X120" s="397">
        <v>2039</v>
      </c>
      <c r="Y120" s="397">
        <v>2040</v>
      </c>
      <c r="Z120" s="397">
        <v>2041</v>
      </c>
      <c r="AA120" s="397">
        <v>2042</v>
      </c>
      <c r="AB120" s="397">
        <v>2043</v>
      </c>
      <c r="AC120" s="397">
        <v>2044</v>
      </c>
      <c r="AD120" s="397">
        <v>2044</v>
      </c>
      <c r="AE120" s="397">
        <v>2044</v>
      </c>
      <c r="AF120" s="397">
        <v>2044</v>
      </c>
      <c r="AG120" s="397">
        <v>2044</v>
      </c>
      <c r="AH120" s="397">
        <v>2044</v>
      </c>
      <c r="AI120" s="397">
        <v>2044</v>
      </c>
      <c r="AJ120" s="397">
        <v>2044</v>
      </c>
      <c r="AK120" s="397">
        <v>2044</v>
      </c>
      <c r="AL120" s="397">
        <v>2044</v>
      </c>
    </row>
    <row r="121" spans="1:38">
      <c r="A121" s="366"/>
      <c r="B121" s="366" t="s">
        <v>671</v>
      </c>
      <c r="C121" s="430" t="s">
        <v>662</v>
      </c>
      <c r="D121" s="431">
        <f>D82^(-1.074)</f>
        <v>0.11486407065121609</v>
      </c>
      <c r="E121" s="431">
        <f t="shared" ref="E121:AK121" si="56">E82^(-1.074)</f>
        <v>0.11486407065121609</v>
      </c>
      <c r="F121" s="431">
        <f t="shared" si="56"/>
        <v>0.11486407065121609</v>
      </c>
      <c r="G121" s="431">
        <f t="shared" si="56"/>
        <v>0.11486407065121609</v>
      </c>
      <c r="H121" s="431">
        <f t="shared" si="56"/>
        <v>0.11486407065121609</v>
      </c>
      <c r="I121" s="431">
        <f t="shared" si="56"/>
        <v>0.11486407065121609</v>
      </c>
      <c r="J121" s="431">
        <f t="shared" si="56"/>
        <v>0.11486407065121609</v>
      </c>
      <c r="K121" s="431">
        <f t="shared" si="56"/>
        <v>0.11486407065121609</v>
      </c>
      <c r="L121" s="431">
        <f t="shared" si="56"/>
        <v>0.11486407065121609</v>
      </c>
      <c r="M121" s="431">
        <f t="shared" si="56"/>
        <v>0.11486407065121609</v>
      </c>
      <c r="N121" s="431">
        <f t="shared" si="56"/>
        <v>0.11486407065121609</v>
      </c>
      <c r="O121" s="431">
        <f t="shared" si="56"/>
        <v>0.11486407065121609</v>
      </c>
      <c r="P121" s="431">
        <f t="shared" si="56"/>
        <v>0.11486407065121609</v>
      </c>
      <c r="Q121" s="431">
        <f t="shared" si="56"/>
        <v>0.11486407065121609</v>
      </c>
      <c r="R121" s="431">
        <f t="shared" si="56"/>
        <v>0.11486407065121609</v>
      </c>
      <c r="S121" s="431">
        <f t="shared" si="56"/>
        <v>0.11486407065121609</v>
      </c>
      <c r="T121" s="431">
        <f t="shared" si="56"/>
        <v>0.11486407065121609</v>
      </c>
      <c r="U121" s="431">
        <f t="shared" si="56"/>
        <v>0.11486407065121609</v>
      </c>
      <c r="V121" s="431">
        <f t="shared" si="56"/>
        <v>0.11486407065121609</v>
      </c>
      <c r="W121" s="431">
        <f t="shared" si="56"/>
        <v>0.11486407065121609</v>
      </c>
      <c r="X121" s="431">
        <f t="shared" si="56"/>
        <v>0.11486407065121609</v>
      </c>
      <c r="Y121" s="431">
        <f t="shared" si="56"/>
        <v>0.11486407065121609</v>
      </c>
      <c r="Z121" s="431">
        <f t="shared" si="56"/>
        <v>0.11486407065121609</v>
      </c>
      <c r="AA121" s="431">
        <f t="shared" si="56"/>
        <v>0.11486407065121609</v>
      </c>
      <c r="AB121" s="431">
        <f t="shared" si="56"/>
        <v>0.11486407065121609</v>
      </c>
      <c r="AC121" s="431">
        <f t="shared" si="56"/>
        <v>0.11486407065121609</v>
      </c>
      <c r="AD121" s="431">
        <f t="shared" si="56"/>
        <v>0.11486407065121609</v>
      </c>
      <c r="AE121" s="431">
        <f t="shared" si="56"/>
        <v>0.11486407065121609</v>
      </c>
      <c r="AF121" s="431">
        <f t="shared" si="56"/>
        <v>0.11486407065121609</v>
      </c>
      <c r="AG121" s="431">
        <f t="shared" si="56"/>
        <v>0.11486407065121609</v>
      </c>
      <c r="AH121" s="431">
        <f t="shared" si="56"/>
        <v>0.11486407065121609</v>
      </c>
      <c r="AI121" s="431">
        <f t="shared" si="56"/>
        <v>0.11486407065121609</v>
      </c>
      <c r="AJ121" s="431">
        <f t="shared" si="56"/>
        <v>0.11486407065121609</v>
      </c>
      <c r="AK121" s="431">
        <f t="shared" si="56"/>
        <v>0.11486407065121609</v>
      </c>
      <c r="AL121" s="431">
        <f t="shared" ref="AL121" si="57">AL82^(-1.074)</f>
        <v>0.11486407065121609</v>
      </c>
    </row>
    <row r="122" spans="1:38">
      <c r="B122" s="358" t="s">
        <v>606</v>
      </c>
      <c r="C122" s="419" t="s">
        <v>672</v>
      </c>
      <c r="D122" s="417">
        <f>(D$17+1)^(-0.1025)</f>
        <v>0.79757663346161678</v>
      </c>
      <c r="E122" s="417">
        <f t="shared" ref="E122:AL122" si="58">(E$17+1)^(-0.1025)</f>
        <v>0.79680897246870619</v>
      </c>
      <c r="F122" s="417">
        <f t="shared" si="58"/>
        <v>0.79604116792816049</v>
      </c>
      <c r="G122" s="417">
        <f t="shared" si="58"/>
        <v>0.79527322893175478</v>
      </c>
      <c r="H122" s="417">
        <f t="shared" si="58"/>
        <v>0.79450516450092767</v>
      </c>
      <c r="I122" s="417">
        <f t="shared" si="58"/>
        <v>0.79373698358684053</v>
      </c>
      <c r="J122" s="417">
        <f t="shared" si="58"/>
        <v>0.79296869507044476</v>
      </c>
      <c r="K122" s="417">
        <f t="shared" si="58"/>
        <v>0.79220030776256189</v>
      </c>
      <c r="L122" s="417">
        <f t="shared" si="58"/>
        <v>0.79143183040396969</v>
      </c>
      <c r="M122" s="417">
        <f t="shared" si="58"/>
        <v>0.79066327166550054</v>
      </c>
      <c r="N122" s="417">
        <f t="shared" si="58"/>
        <v>0.78989464014814825</v>
      </c>
      <c r="O122" s="417">
        <f t="shared" si="58"/>
        <v>0.78912594438318295</v>
      </c>
      <c r="P122" s="417">
        <f t="shared" si="58"/>
        <v>0.78835719283227634</v>
      </c>
      <c r="Q122" s="417">
        <f t="shared" si="58"/>
        <v>0.78758839388763435</v>
      </c>
      <c r="R122" s="417">
        <f t="shared" si="58"/>
        <v>0.78681955587213903</v>
      </c>
      <c r="S122" s="417">
        <f t="shared" si="58"/>
        <v>0.78605068703949843</v>
      </c>
      <c r="T122" s="417">
        <f t="shared" si="58"/>
        <v>0.78528179557440425</v>
      </c>
      <c r="U122" s="417">
        <f t="shared" si="58"/>
        <v>0.78451288959269794</v>
      </c>
      <c r="V122" s="417">
        <f t="shared" si="58"/>
        <v>0.78374397714154387</v>
      </c>
      <c r="W122" s="417">
        <f t="shared" si="58"/>
        <v>0.78297506619961088</v>
      </c>
      <c r="X122" s="417">
        <f t="shared" si="58"/>
        <v>0.78220616467725967</v>
      </c>
      <c r="Y122" s="417">
        <f t="shared" si="58"/>
        <v>0.7814372804167391</v>
      </c>
      <c r="Z122" s="417">
        <f t="shared" si="58"/>
        <v>0.78066842119238811</v>
      </c>
      <c r="AA122" s="417">
        <f t="shared" si="58"/>
        <v>0.77989959471084491</v>
      </c>
      <c r="AB122" s="417">
        <f t="shared" si="58"/>
        <v>0.77913080861126272</v>
      </c>
      <c r="AC122" s="417">
        <f t="shared" si="58"/>
        <v>0.77836207046553207</v>
      </c>
      <c r="AD122" s="417">
        <f t="shared" si="58"/>
        <v>0.77759338777850873</v>
      </c>
      <c r="AE122" s="417">
        <f t="shared" si="58"/>
        <v>0.77682476798824884</v>
      </c>
      <c r="AF122" s="417">
        <f t="shared" si="58"/>
        <v>0.77605621846624906</v>
      </c>
      <c r="AG122" s="417">
        <f t="shared" si="58"/>
        <v>0.77528774651769194</v>
      </c>
      <c r="AH122" s="417">
        <f t="shared" si="58"/>
        <v>0.77451935938169869</v>
      </c>
      <c r="AI122" s="417">
        <f t="shared" si="58"/>
        <v>0.77375106423158546</v>
      </c>
      <c r="AJ122" s="417">
        <f t="shared" si="58"/>
        <v>0.77298286817512585</v>
      </c>
      <c r="AK122" s="417">
        <f t="shared" si="58"/>
        <v>0.77221477825481855</v>
      </c>
      <c r="AL122" s="417">
        <f t="shared" si="58"/>
        <v>0.77144680144815947</v>
      </c>
    </row>
    <row r="123" spans="1:38">
      <c r="B123" s="358" t="s">
        <v>673</v>
      </c>
      <c r="C123" s="419" t="s">
        <v>674</v>
      </c>
      <c r="D123" s="414">
        <f>(D$19+1)^(0.1025)</f>
        <v>1</v>
      </c>
      <c r="E123" s="414">
        <f t="shared" ref="E123:AL123" si="59">(E$19+1)^(0.1025)</f>
        <v>1</v>
      </c>
      <c r="F123" s="414">
        <f t="shared" si="59"/>
        <v>1</v>
      </c>
      <c r="G123" s="414">
        <f t="shared" si="59"/>
        <v>1</v>
      </c>
      <c r="H123" s="414">
        <f t="shared" si="59"/>
        <v>1</v>
      </c>
      <c r="I123" s="414">
        <f t="shared" si="59"/>
        <v>1</v>
      </c>
      <c r="J123" s="414">
        <f t="shared" si="59"/>
        <v>1</v>
      </c>
      <c r="K123" s="414">
        <f t="shared" si="59"/>
        <v>1</v>
      </c>
      <c r="L123" s="414">
        <f t="shared" si="59"/>
        <v>1</v>
      </c>
      <c r="M123" s="414">
        <f t="shared" si="59"/>
        <v>1</v>
      </c>
      <c r="N123" s="414">
        <f t="shared" si="59"/>
        <v>1</v>
      </c>
      <c r="O123" s="414">
        <f t="shared" si="59"/>
        <v>1</v>
      </c>
      <c r="P123" s="414">
        <f t="shared" si="59"/>
        <v>1</v>
      </c>
      <c r="Q123" s="414">
        <f t="shared" si="59"/>
        <v>1</v>
      </c>
      <c r="R123" s="414">
        <f t="shared" si="59"/>
        <v>1</v>
      </c>
      <c r="S123" s="414">
        <f t="shared" si="59"/>
        <v>1</v>
      </c>
      <c r="T123" s="414">
        <f t="shared" si="59"/>
        <v>1</v>
      </c>
      <c r="U123" s="414">
        <f t="shared" si="59"/>
        <v>1</v>
      </c>
      <c r="V123" s="414">
        <f t="shared" si="59"/>
        <v>1</v>
      </c>
      <c r="W123" s="414">
        <f t="shared" si="59"/>
        <v>1</v>
      </c>
      <c r="X123" s="414">
        <f t="shared" si="59"/>
        <v>1</v>
      </c>
      <c r="Y123" s="414">
        <f t="shared" si="59"/>
        <v>1</v>
      </c>
      <c r="Z123" s="414">
        <f t="shared" si="59"/>
        <v>1</v>
      </c>
      <c r="AA123" s="414">
        <f t="shared" si="59"/>
        <v>1</v>
      </c>
      <c r="AB123" s="414">
        <f t="shared" si="59"/>
        <v>1</v>
      </c>
      <c r="AC123" s="414">
        <f t="shared" si="59"/>
        <v>1</v>
      </c>
      <c r="AD123" s="414">
        <f t="shared" si="59"/>
        <v>1</v>
      </c>
      <c r="AE123" s="414">
        <f t="shared" si="59"/>
        <v>1</v>
      </c>
      <c r="AF123" s="414">
        <f t="shared" si="59"/>
        <v>1</v>
      </c>
      <c r="AG123" s="414">
        <f t="shared" si="59"/>
        <v>1</v>
      </c>
      <c r="AH123" s="414">
        <f t="shared" si="59"/>
        <v>1</v>
      </c>
      <c r="AI123" s="414">
        <f t="shared" si="59"/>
        <v>1</v>
      </c>
      <c r="AJ123" s="414">
        <f t="shared" si="59"/>
        <v>1</v>
      </c>
      <c r="AK123" s="414">
        <f t="shared" si="59"/>
        <v>1</v>
      </c>
      <c r="AL123" s="414">
        <f t="shared" si="59"/>
        <v>1</v>
      </c>
    </row>
    <row r="124" spans="1:38">
      <c r="B124" s="433" t="s">
        <v>675</v>
      </c>
      <c r="C124" s="434" t="s">
        <v>676</v>
      </c>
      <c r="D124" s="426">
        <f>EXP(0.188*$E$5)</f>
        <v>1.2068335153496053</v>
      </c>
      <c r="E124" s="426">
        <f t="shared" ref="E124:AL124" si="60">EXP(0.188*$E$5)</f>
        <v>1.2068335153496053</v>
      </c>
      <c r="F124" s="426">
        <f t="shared" si="60"/>
        <v>1.2068335153496053</v>
      </c>
      <c r="G124" s="426">
        <f t="shared" si="60"/>
        <v>1.2068335153496053</v>
      </c>
      <c r="H124" s="426">
        <f t="shared" si="60"/>
        <v>1.2068335153496053</v>
      </c>
      <c r="I124" s="426">
        <f t="shared" si="60"/>
        <v>1.2068335153496053</v>
      </c>
      <c r="J124" s="426">
        <f t="shared" si="60"/>
        <v>1.2068335153496053</v>
      </c>
      <c r="K124" s="426">
        <f t="shared" si="60"/>
        <v>1.2068335153496053</v>
      </c>
      <c r="L124" s="426">
        <f t="shared" si="60"/>
        <v>1.2068335153496053</v>
      </c>
      <c r="M124" s="426">
        <f t="shared" si="60"/>
        <v>1.2068335153496053</v>
      </c>
      <c r="N124" s="426">
        <f t="shared" si="60"/>
        <v>1.2068335153496053</v>
      </c>
      <c r="O124" s="426">
        <f t="shared" si="60"/>
        <v>1.2068335153496053</v>
      </c>
      <c r="P124" s="426">
        <f t="shared" si="60"/>
        <v>1.2068335153496053</v>
      </c>
      <c r="Q124" s="426">
        <f t="shared" si="60"/>
        <v>1.2068335153496053</v>
      </c>
      <c r="R124" s="426">
        <f t="shared" si="60"/>
        <v>1.2068335153496053</v>
      </c>
      <c r="S124" s="426">
        <f t="shared" si="60"/>
        <v>1.2068335153496053</v>
      </c>
      <c r="T124" s="426">
        <f t="shared" si="60"/>
        <v>1.2068335153496053</v>
      </c>
      <c r="U124" s="426">
        <f t="shared" si="60"/>
        <v>1.2068335153496053</v>
      </c>
      <c r="V124" s="426">
        <f t="shared" si="60"/>
        <v>1.2068335153496053</v>
      </c>
      <c r="W124" s="426">
        <f t="shared" si="60"/>
        <v>1.2068335153496053</v>
      </c>
      <c r="X124" s="426">
        <f t="shared" si="60"/>
        <v>1.2068335153496053</v>
      </c>
      <c r="Y124" s="426">
        <f t="shared" si="60"/>
        <v>1.2068335153496053</v>
      </c>
      <c r="Z124" s="426">
        <f t="shared" si="60"/>
        <v>1.2068335153496053</v>
      </c>
      <c r="AA124" s="426">
        <f t="shared" si="60"/>
        <v>1.2068335153496053</v>
      </c>
      <c r="AB124" s="426">
        <f t="shared" si="60"/>
        <v>1.2068335153496053</v>
      </c>
      <c r="AC124" s="426">
        <f t="shared" si="60"/>
        <v>1.2068335153496053</v>
      </c>
      <c r="AD124" s="426">
        <f t="shared" si="60"/>
        <v>1.2068335153496053</v>
      </c>
      <c r="AE124" s="426">
        <f t="shared" si="60"/>
        <v>1.2068335153496053</v>
      </c>
      <c r="AF124" s="426">
        <f t="shared" si="60"/>
        <v>1.2068335153496053</v>
      </c>
      <c r="AG124" s="426">
        <f t="shared" si="60"/>
        <v>1.2068335153496053</v>
      </c>
      <c r="AH124" s="426">
        <f t="shared" si="60"/>
        <v>1.2068335153496053</v>
      </c>
      <c r="AI124" s="426">
        <f t="shared" si="60"/>
        <v>1.2068335153496053</v>
      </c>
      <c r="AJ124" s="426">
        <f t="shared" si="60"/>
        <v>1.2068335153496053</v>
      </c>
      <c r="AK124" s="426">
        <f t="shared" si="60"/>
        <v>1.2068335153496053</v>
      </c>
      <c r="AL124" s="426">
        <f t="shared" si="60"/>
        <v>1.2068335153496053</v>
      </c>
    </row>
    <row r="125" spans="1:38">
      <c r="B125" s="362"/>
      <c r="C125" s="427" t="s">
        <v>290</v>
      </c>
    </row>
    <row r="126" spans="1:38">
      <c r="B126" s="362" t="s">
        <v>677</v>
      </c>
      <c r="C126" s="406">
        <v>695</v>
      </c>
      <c r="D126" s="435">
        <f>1/(1+$C$64*PRODUCT(D$59:D$62))</f>
        <v>1.2846823428953566E-2</v>
      </c>
      <c r="E126" s="435">
        <f t="shared" ref="E126:AL126" si="61">1/(1+$C$64*PRODUCT(E$59:E$62))</f>
        <v>1.2859041149429273E-2</v>
      </c>
      <c r="F126" s="435">
        <f t="shared" si="61"/>
        <v>1.2871284422039322E-2</v>
      </c>
      <c r="G126" s="435">
        <f t="shared" si="61"/>
        <v>1.2883553180992649E-2</v>
      </c>
      <c r="H126" s="435">
        <f t="shared" si="61"/>
        <v>1.289584736084585E-2</v>
      </c>
      <c r="I126" s="435">
        <f t="shared" si="61"/>
        <v>1.2908166896506283E-2</v>
      </c>
      <c r="J126" s="435">
        <f t="shared" si="61"/>
        <v>1.2920511723235115E-2</v>
      </c>
      <c r="K126" s="435">
        <f t="shared" si="61"/>
        <v>1.2932881776650215E-2</v>
      </c>
      <c r="L126" s="435">
        <f t="shared" si="61"/>
        <v>1.2945276992729026E-2</v>
      </c>
      <c r="M126" s="435">
        <f t="shared" si="61"/>
        <v>1.2957697307811268E-2</v>
      </c>
      <c r="N126" s="435">
        <f t="shared" si="61"/>
        <v>1.2970142658601587E-2</v>
      </c>
      <c r="O126" s="435">
        <f t="shared" si="61"/>
        <v>1.2982612982172088E-2</v>
      </c>
      <c r="P126" s="435">
        <f t="shared" si="61"/>
        <v>1.2995108215964795E-2</v>
      </c>
      <c r="Q126" s="435">
        <f t="shared" si="61"/>
        <v>1.3007628297794007E-2</v>
      </c>
      <c r="R126" s="435">
        <f t="shared" si="61"/>
        <v>1.3020173165848558E-2</v>
      </c>
      <c r="S126" s="435">
        <f t="shared" si="61"/>
        <v>1.3032742758694E-2</v>
      </c>
      <c r="T126" s="435">
        <f t="shared" si="61"/>
        <v>1.3045337015274685E-2</v>
      </c>
      <c r="U126" s="435">
        <f t="shared" si="61"/>
        <v>1.3057955874915778E-2</v>
      </c>
      <c r="V126" s="435">
        <f t="shared" si="61"/>
        <v>1.3070599277325174E-2</v>
      </c>
      <c r="W126" s="435">
        <f t="shared" si="61"/>
        <v>1.3083267162595303E-2</v>
      </c>
      <c r="X126" s="435">
        <f t="shared" si="61"/>
        <v>1.3095959471204914E-2</v>
      </c>
      <c r="Y126" s="435">
        <f t="shared" si="61"/>
        <v>1.3108676144020727E-2</v>
      </c>
      <c r="Z126" s="435">
        <f t="shared" si="61"/>
        <v>1.3121417122298995E-2</v>
      </c>
      <c r="AA126" s="435">
        <f t="shared" si="61"/>
        <v>1.3134182347687044E-2</v>
      </c>
      <c r="AB126" s="435">
        <f t="shared" si="61"/>
        <v>1.3146971762224686E-2</v>
      </c>
      <c r="AC126" s="435">
        <f t="shared" si="61"/>
        <v>1.3159785308345554E-2</v>
      </c>
      <c r="AD126" s="435">
        <f t="shared" si="61"/>
        <v>1.3172622928878398E-2</v>
      </c>
      <c r="AE126" s="435">
        <f t="shared" si="61"/>
        <v>1.318548456704826E-2</v>
      </c>
      <c r="AF126" s="435">
        <f t="shared" si="61"/>
        <v>1.3198370166477609E-2</v>
      </c>
      <c r="AG126" s="435">
        <f t="shared" si="61"/>
        <v>1.3211279671187398E-2</v>
      </c>
      <c r="AH126" s="435">
        <f t="shared" si="61"/>
        <v>1.3224213025598029E-2</v>
      </c>
      <c r="AI126" s="435">
        <f t="shared" si="61"/>
        <v>1.3237170174530275E-2</v>
      </c>
      <c r="AJ126" s="435">
        <f t="shared" si="61"/>
        <v>1.3250151063206107E-2</v>
      </c>
      <c r="AK126" s="435">
        <f t="shared" si="61"/>
        <v>1.3263155637249474E-2</v>
      </c>
      <c r="AL126" s="435">
        <f t="shared" si="61"/>
        <v>1.3276183842687013E-2</v>
      </c>
    </row>
    <row r="127" spans="1:38">
      <c r="H127" s="1228"/>
    </row>
    <row r="128" spans="1:38" ht="13">
      <c r="B128" s="407" t="s">
        <v>678</v>
      </c>
      <c r="C128" s="396" t="s">
        <v>627</v>
      </c>
      <c r="D128" s="397">
        <v>2018</v>
      </c>
      <c r="E128" s="397">
        <v>2020</v>
      </c>
      <c r="F128" s="397">
        <v>2021</v>
      </c>
      <c r="G128" s="397">
        <v>2022</v>
      </c>
      <c r="H128" s="1238">
        <v>2023</v>
      </c>
      <c r="I128" s="397">
        <v>2024</v>
      </c>
      <c r="J128" s="397">
        <v>2025</v>
      </c>
      <c r="K128" s="397">
        <v>2026</v>
      </c>
      <c r="L128" s="397">
        <v>2027</v>
      </c>
      <c r="M128" s="397">
        <v>2028</v>
      </c>
      <c r="N128" s="397">
        <v>2029</v>
      </c>
      <c r="O128" s="397">
        <v>2030</v>
      </c>
      <c r="P128" s="397">
        <v>2031</v>
      </c>
      <c r="Q128" s="397">
        <v>2032</v>
      </c>
      <c r="R128" s="397">
        <v>2033</v>
      </c>
      <c r="S128" s="397">
        <v>2034</v>
      </c>
      <c r="T128" s="397">
        <v>2035</v>
      </c>
      <c r="U128" s="397">
        <v>2036</v>
      </c>
      <c r="V128" s="397">
        <v>2037</v>
      </c>
      <c r="W128" s="397">
        <v>2038</v>
      </c>
      <c r="X128" s="397">
        <v>2039</v>
      </c>
      <c r="Y128" s="397">
        <v>2040</v>
      </c>
      <c r="Z128" s="397">
        <v>2041</v>
      </c>
      <c r="AA128" s="397">
        <v>2042</v>
      </c>
      <c r="AB128" s="397">
        <v>2043</v>
      </c>
      <c r="AC128" s="397">
        <v>2044</v>
      </c>
      <c r="AD128" s="397">
        <v>2044</v>
      </c>
      <c r="AE128" s="397">
        <v>2044</v>
      </c>
      <c r="AF128" s="397">
        <v>2044</v>
      </c>
      <c r="AG128" s="397">
        <v>2044</v>
      </c>
      <c r="AH128" s="397">
        <v>2044</v>
      </c>
      <c r="AI128" s="397">
        <v>2044</v>
      </c>
      <c r="AJ128" s="397">
        <v>2044</v>
      </c>
      <c r="AK128" s="397">
        <v>2044</v>
      </c>
      <c r="AL128" s="397">
        <v>2044</v>
      </c>
    </row>
    <row r="129" spans="2:38">
      <c r="B129" s="358" t="s">
        <v>679</v>
      </c>
      <c r="C129" s="436" t="s">
        <v>680</v>
      </c>
      <c r="D129" s="437">
        <f>D$64</f>
        <v>1.2846823428953566E-2</v>
      </c>
      <c r="E129" s="437">
        <f t="shared" ref="E129:AL129" si="62">E$64</f>
        <v>1.2859041149429273E-2</v>
      </c>
      <c r="F129" s="437">
        <f t="shared" si="62"/>
        <v>1.2871284422039322E-2</v>
      </c>
      <c r="G129" s="437">
        <f t="shared" si="62"/>
        <v>1.2883553180992649E-2</v>
      </c>
      <c r="H129" s="437">
        <f t="shared" si="62"/>
        <v>1.289584736084585E-2</v>
      </c>
      <c r="I129" s="437">
        <f t="shared" si="62"/>
        <v>1.2908166896506283E-2</v>
      </c>
      <c r="J129" s="437">
        <f t="shared" si="62"/>
        <v>1.2920511723235115E-2</v>
      </c>
      <c r="K129" s="437">
        <f t="shared" si="62"/>
        <v>1.2932881776650215E-2</v>
      </c>
      <c r="L129" s="437">
        <f t="shared" si="62"/>
        <v>1.2945276992729026E-2</v>
      </c>
      <c r="M129" s="437">
        <f t="shared" si="62"/>
        <v>1.2957697307811268E-2</v>
      </c>
      <c r="N129" s="437">
        <f t="shared" si="62"/>
        <v>1.2970142658601587E-2</v>
      </c>
      <c r="O129" s="437">
        <f t="shared" si="62"/>
        <v>1.2982612982172088E-2</v>
      </c>
      <c r="P129" s="437">
        <f t="shared" si="62"/>
        <v>1.2995108215964795E-2</v>
      </c>
      <c r="Q129" s="437">
        <f t="shared" si="62"/>
        <v>1.3007628297794007E-2</v>
      </c>
      <c r="R129" s="437">
        <f t="shared" si="62"/>
        <v>1.3020173165848558E-2</v>
      </c>
      <c r="S129" s="437">
        <f t="shared" si="62"/>
        <v>1.3032742758694E-2</v>
      </c>
      <c r="T129" s="437">
        <f t="shared" si="62"/>
        <v>1.3045337015274685E-2</v>
      </c>
      <c r="U129" s="437">
        <f t="shared" si="62"/>
        <v>1.3057955874915778E-2</v>
      </c>
      <c r="V129" s="437">
        <f t="shared" si="62"/>
        <v>1.3070599277325174E-2</v>
      </c>
      <c r="W129" s="437">
        <f t="shared" si="62"/>
        <v>1.3083267162595303E-2</v>
      </c>
      <c r="X129" s="437">
        <f t="shared" si="62"/>
        <v>1.3095959471204914E-2</v>
      </c>
      <c r="Y129" s="437">
        <f t="shared" si="62"/>
        <v>1.3108676144020727E-2</v>
      </c>
      <c r="Z129" s="437">
        <f t="shared" si="62"/>
        <v>1.3121417122298995E-2</v>
      </c>
      <c r="AA129" s="437">
        <f t="shared" si="62"/>
        <v>1.3134182347687044E-2</v>
      </c>
      <c r="AB129" s="437">
        <f t="shared" si="62"/>
        <v>1.3146971762224686E-2</v>
      </c>
      <c r="AC129" s="437">
        <f t="shared" si="62"/>
        <v>1.3159785308345554E-2</v>
      </c>
      <c r="AD129" s="437">
        <f t="shared" si="62"/>
        <v>1.3172622928878398E-2</v>
      </c>
      <c r="AE129" s="437">
        <f t="shared" si="62"/>
        <v>1.318548456704826E-2</v>
      </c>
      <c r="AF129" s="437">
        <f t="shared" si="62"/>
        <v>1.3198370166477609E-2</v>
      </c>
      <c r="AG129" s="437">
        <f t="shared" si="62"/>
        <v>1.3211279671187398E-2</v>
      </c>
      <c r="AH129" s="437">
        <f t="shared" si="62"/>
        <v>1.3224213025598029E-2</v>
      </c>
      <c r="AI129" s="437">
        <f t="shared" si="62"/>
        <v>1.3237170174530275E-2</v>
      </c>
      <c r="AJ129" s="437">
        <f t="shared" si="62"/>
        <v>1.3250151063206107E-2</v>
      </c>
      <c r="AK129" s="437">
        <f t="shared" si="62"/>
        <v>1.3263155637249474E-2</v>
      </c>
      <c r="AL129" s="437">
        <f t="shared" si="62"/>
        <v>1.3276183842687013E-2</v>
      </c>
    </row>
    <row r="130" spans="2:38">
      <c r="B130" s="358" t="s">
        <v>681</v>
      </c>
      <c r="C130" s="419" t="s">
        <v>682</v>
      </c>
      <c r="D130" s="414">
        <f>1-D129</f>
        <v>0.9871531765710464</v>
      </c>
      <c r="E130" s="414">
        <f t="shared" ref="E130:AK130" si="63">1-E129</f>
        <v>0.98714095885057074</v>
      </c>
      <c r="F130" s="414">
        <f t="shared" si="63"/>
        <v>0.98712871557796067</v>
      </c>
      <c r="G130" s="414">
        <f t="shared" si="63"/>
        <v>0.98711644681900734</v>
      </c>
      <c r="H130" s="414">
        <f t="shared" si="63"/>
        <v>0.98710415263915419</v>
      </c>
      <c r="I130" s="414">
        <f t="shared" si="63"/>
        <v>0.98709183310349369</v>
      </c>
      <c r="J130" s="414">
        <f t="shared" si="63"/>
        <v>0.98707948827676484</v>
      </c>
      <c r="K130" s="414">
        <f t="shared" si="63"/>
        <v>0.9870671182233498</v>
      </c>
      <c r="L130" s="414">
        <f t="shared" si="63"/>
        <v>0.98705472300727093</v>
      </c>
      <c r="M130" s="414">
        <f t="shared" si="63"/>
        <v>0.98704230269218873</v>
      </c>
      <c r="N130" s="414">
        <f t="shared" si="63"/>
        <v>0.98702985734139836</v>
      </c>
      <c r="O130" s="414">
        <f t="shared" si="63"/>
        <v>0.98701738701782793</v>
      </c>
      <c r="P130" s="414">
        <f t="shared" si="63"/>
        <v>0.98700489178403517</v>
      </c>
      <c r="Q130" s="414">
        <f t="shared" si="63"/>
        <v>0.986992371702206</v>
      </c>
      <c r="R130" s="414">
        <f t="shared" si="63"/>
        <v>0.98697982683415142</v>
      </c>
      <c r="S130" s="414">
        <f t="shared" si="63"/>
        <v>0.98696725724130596</v>
      </c>
      <c r="T130" s="414">
        <f t="shared" si="63"/>
        <v>0.98695466298472534</v>
      </c>
      <c r="U130" s="414">
        <f t="shared" si="63"/>
        <v>0.98694204412508424</v>
      </c>
      <c r="V130" s="414">
        <f t="shared" si="63"/>
        <v>0.98692940072267488</v>
      </c>
      <c r="W130" s="414">
        <f t="shared" si="63"/>
        <v>0.98691673283740466</v>
      </c>
      <c r="X130" s="414">
        <f t="shared" si="63"/>
        <v>0.9869040405287951</v>
      </c>
      <c r="Y130" s="414">
        <f t="shared" si="63"/>
        <v>0.98689132385597922</v>
      </c>
      <c r="Z130" s="414">
        <f t="shared" si="63"/>
        <v>0.98687858287770103</v>
      </c>
      <c r="AA130" s="414">
        <f t="shared" si="63"/>
        <v>0.98686581765231296</v>
      </c>
      <c r="AB130" s="414">
        <f t="shared" si="63"/>
        <v>0.98685302823777532</v>
      </c>
      <c r="AC130" s="414">
        <f t="shared" si="63"/>
        <v>0.98684021469165439</v>
      </c>
      <c r="AD130" s="414">
        <f t="shared" si="63"/>
        <v>0.98682737707112156</v>
      </c>
      <c r="AE130" s="414">
        <f t="shared" si="63"/>
        <v>0.98681451543295173</v>
      </c>
      <c r="AF130" s="414">
        <f t="shared" si="63"/>
        <v>0.98680162983352238</v>
      </c>
      <c r="AG130" s="414">
        <f t="shared" si="63"/>
        <v>0.9867887203288126</v>
      </c>
      <c r="AH130" s="414">
        <f t="shared" si="63"/>
        <v>0.98677578697440194</v>
      </c>
      <c r="AI130" s="414">
        <f t="shared" si="63"/>
        <v>0.9867628298254697</v>
      </c>
      <c r="AJ130" s="414">
        <f t="shared" si="63"/>
        <v>0.98674984893679385</v>
      </c>
      <c r="AK130" s="414">
        <f t="shared" si="63"/>
        <v>0.98673684436275055</v>
      </c>
      <c r="AL130" s="414">
        <f t="shared" ref="AL130" si="64">1-AL129</f>
        <v>0.98672381615731297</v>
      </c>
    </row>
    <row r="131" spans="2:38">
      <c r="B131" s="358" t="s">
        <v>671</v>
      </c>
      <c r="C131" s="419" t="s">
        <v>662</v>
      </c>
      <c r="D131" s="414">
        <f>D$20^(-0.2334)</f>
        <v>0.62482831374223813</v>
      </c>
      <c r="E131" s="414">
        <f t="shared" ref="E131:AL131" si="65">E$20^(-0.2334)</f>
        <v>0.62482831374223813</v>
      </c>
      <c r="F131" s="414">
        <f t="shared" si="65"/>
        <v>0.62482831374223813</v>
      </c>
      <c r="G131" s="414">
        <f t="shared" si="65"/>
        <v>0.62482831374223813</v>
      </c>
      <c r="H131" s="414">
        <f t="shared" si="65"/>
        <v>0.62482831374223813</v>
      </c>
      <c r="I131" s="414">
        <f t="shared" si="65"/>
        <v>0.62482831374223813</v>
      </c>
      <c r="J131" s="414">
        <f t="shared" si="65"/>
        <v>0.62482831374223813</v>
      </c>
      <c r="K131" s="414">
        <f t="shared" si="65"/>
        <v>0.62482831374223813</v>
      </c>
      <c r="L131" s="414">
        <f t="shared" si="65"/>
        <v>0.62482831374223813</v>
      </c>
      <c r="M131" s="414">
        <f t="shared" si="65"/>
        <v>0.62482831374223813</v>
      </c>
      <c r="N131" s="414">
        <f t="shared" si="65"/>
        <v>0.62482831374223813</v>
      </c>
      <c r="O131" s="414">
        <f t="shared" si="65"/>
        <v>0.62482831374223813</v>
      </c>
      <c r="P131" s="414">
        <f t="shared" si="65"/>
        <v>0.62482831374223813</v>
      </c>
      <c r="Q131" s="414">
        <f t="shared" si="65"/>
        <v>0.62482831374223813</v>
      </c>
      <c r="R131" s="414">
        <f t="shared" si="65"/>
        <v>0.62482831374223813</v>
      </c>
      <c r="S131" s="414">
        <f t="shared" si="65"/>
        <v>0.62482831374223813</v>
      </c>
      <c r="T131" s="414">
        <f t="shared" si="65"/>
        <v>0.62482831374223813</v>
      </c>
      <c r="U131" s="414">
        <f t="shared" si="65"/>
        <v>0.62482831374223813</v>
      </c>
      <c r="V131" s="414">
        <f t="shared" si="65"/>
        <v>0.62482831374223813</v>
      </c>
      <c r="W131" s="414">
        <f t="shared" si="65"/>
        <v>0.62482831374223813</v>
      </c>
      <c r="X131" s="414">
        <f t="shared" si="65"/>
        <v>0.62482831374223813</v>
      </c>
      <c r="Y131" s="414">
        <f t="shared" si="65"/>
        <v>0.62482831374223813</v>
      </c>
      <c r="Z131" s="414">
        <f t="shared" si="65"/>
        <v>0.62482831374223813</v>
      </c>
      <c r="AA131" s="414">
        <f t="shared" si="65"/>
        <v>0.62482831374223813</v>
      </c>
      <c r="AB131" s="414">
        <f t="shared" si="65"/>
        <v>0.62482831374223813</v>
      </c>
      <c r="AC131" s="414">
        <f t="shared" si="65"/>
        <v>0.62482831374223813</v>
      </c>
      <c r="AD131" s="414">
        <f t="shared" si="65"/>
        <v>0.62482831374223813</v>
      </c>
      <c r="AE131" s="414">
        <f t="shared" si="65"/>
        <v>0.62482831374223813</v>
      </c>
      <c r="AF131" s="414">
        <f t="shared" si="65"/>
        <v>0.62482831374223813</v>
      </c>
      <c r="AG131" s="414">
        <f t="shared" si="65"/>
        <v>0.62482831374223813</v>
      </c>
      <c r="AH131" s="414">
        <f t="shared" si="65"/>
        <v>0.62482831374223813</v>
      </c>
      <c r="AI131" s="414">
        <f t="shared" si="65"/>
        <v>0.62482831374223813</v>
      </c>
      <c r="AJ131" s="414">
        <f t="shared" si="65"/>
        <v>0.62482831374223813</v>
      </c>
      <c r="AK131" s="414">
        <f t="shared" si="65"/>
        <v>0.62482831374223813</v>
      </c>
      <c r="AL131" s="414">
        <f t="shared" si="65"/>
        <v>0.62482831374223813</v>
      </c>
    </row>
    <row r="132" spans="2:38">
      <c r="B132" s="358" t="s">
        <v>683</v>
      </c>
      <c r="C132" s="419" t="s">
        <v>684</v>
      </c>
      <c r="D132" s="414">
        <f>EXP(0.1176*$D$11)</f>
        <v>1.2651617757865004</v>
      </c>
      <c r="E132" s="414">
        <f t="shared" ref="E132:AL132" si="66">EXP(0.1176*$D$11)</f>
        <v>1.2651617757865004</v>
      </c>
      <c r="F132" s="414">
        <f t="shared" si="66"/>
        <v>1.2651617757865004</v>
      </c>
      <c r="G132" s="414">
        <f t="shared" si="66"/>
        <v>1.2651617757865004</v>
      </c>
      <c r="H132" s="414">
        <f t="shared" si="66"/>
        <v>1.2651617757865004</v>
      </c>
      <c r="I132" s="414">
        <f t="shared" si="66"/>
        <v>1.2651617757865004</v>
      </c>
      <c r="J132" s="414">
        <f t="shared" si="66"/>
        <v>1.2651617757865004</v>
      </c>
      <c r="K132" s="414">
        <f t="shared" si="66"/>
        <v>1.2651617757865004</v>
      </c>
      <c r="L132" s="414">
        <f t="shared" si="66"/>
        <v>1.2651617757865004</v>
      </c>
      <c r="M132" s="414">
        <f t="shared" si="66"/>
        <v>1.2651617757865004</v>
      </c>
      <c r="N132" s="414">
        <f t="shared" si="66"/>
        <v>1.2651617757865004</v>
      </c>
      <c r="O132" s="414">
        <f t="shared" si="66"/>
        <v>1.2651617757865004</v>
      </c>
      <c r="P132" s="414">
        <f t="shared" si="66"/>
        <v>1.2651617757865004</v>
      </c>
      <c r="Q132" s="414">
        <f t="shared" si="66"/>
        <v>1.2651617757865004</v>
      </c>
      <c r="R132" s="414">
        <f t="shared" si="66"/>
        <v>1.2651617757865004</v>
      </c>
      <c r="S132" s="414">
        <f t="shared" si="66"/>
        <v>1.2651617757865004</v>
      </c>
      <c r="T132" s="414">
        <f t="shared" si="66"/>
        <v>1.2651617757865004</v>
      </c>
      <c r="U132" s="414">
        <f t="shared" si="66"/>
        <v>1.2651617757865004</v>
      </c>
      <c r="V132" s="414">
        <f t="shared" si="66"/>
        <v>1.2651617757865004</v>
      </c>
      <c r="W132" s="414">
        <f t="shared" si="66"/>
        <v>1.2651617757865004</v>
      </c>
      <c r="X132" s="414">
        <f t="shared" si="66"/>
        <v>1.2651617757865004</v>
      </c>
      <c r="Y132" s="414">
        <f t="shared" si="66"/>
        <v>1.2651617757865004</v>
      </c>
      <c r="Z132" s="414">
        <f t="shared" si="66"/>
        <v>1.2651617757865004</v>
      </c>
      <c r="AA132" s="414">
        <f t="shared" si="66"/>
        <v>1.2651617757865004</v>
      </c>
      <c r="AB132" s="414">
        <f t="shared" si="66"/>
        <v>1.2651617757865004</v>
      </c>
      <c r="AC132" s="414">
        <f t="shared" si="66"/>
        <v>1.2651617757865004</v>
      </c>
      <c r="AD132" s="414">
        <f t="shared" si="66"/>
        <v>1.2651617757865004</v>
      </c>
      <c r="AE132" s="414">
        <f t="shared" si="66"/>
        <v>1.2651617757865004</v>
      </c>
      <c r="AF132" s="414">
        <f t="shared" si="66"/>
        <v>1.2651617757865004</v>
      </c>
      <c r="AG132" s="414">
        <f t="shared" si="66"/>
        <v>1.2651617757865004</v>
      </c>
      <c r="AH132" s="414">
        <f t="shared" si="66"/>
        <v>1.2651617757865004</v>
      </c>
      <c r="AI132" s="414">
        <f t="shared" si="66"/>
        <v>1.2651617757865004</v>
      </c>
      <c r="AJ132" s="414">
        <f t="shared" si="66"/>
        <v>1.2651617757865004</v>
      </c>
      <c r="AK132" s="414">
        <f t="shared" si="66"/>
        <v>1.2651617757865004</v>
      </c>
      <c r="AL132" s="414">
        <f t="shared" si="66"/>
        <v>1.2651617757865004</v>
      </c>
    </row>
    <row r="133" spans="2:38">
      <c r="B133" s="433" t="s">
        <v>675</v>
      </c>
      <c r="C133" s="434" t="s">
        <v>676</v>
      </c>
      <c r="D133" s="426">
        <f>EXP(0.1844*$E$5)</f>
        <v>1.2024967255996286</v>
      </c>
      <c r="E133" s="426">
        <f t="shared" ref="E133:AL133" si="67">EXP(0.1844*$E$5)</f>
        <v>1.2024967255996286</v>
      </c>
      <c r="F133" s="426">
        <f t="shared" si="67"/>
        <v>1.2024967255996286</v>
      </c>
      <c r="G133" s="426">
        <f t="shared" si="67"/>
        <v>1.2024967255996286</v>
      </c>
      <c r="H133" s="426">
        <f t="shared" si="67"/>
        <v>1.2024967255996286</v>
      </c>
      <c r="I133" s="426">
        <f t="shared" si="67"/>
        <v>1.2024967255996286</v>
      </c>
      <c r="J133" s="426">
        <f t="shared" si="67"/>
        <v>1.2024967255996286</v>
      </c>
      <c r="K133" s="426">
        <f t="shared" si="67"/>
        <v>1.2024967255996286</v>
      </c>
      <c r="L133" s="426">
        <f t="shared" si="67"/>
        <v>1.2024967255996286</v>
      </c>
      <c r="M133" s="426">
        <f t="shared" si="67"/>
        <v>1.2024967255996286</v>
      </c>
      <c r="N133" s="426">
        <f t="shared" si="67"/>
        <v>1.2024967255996286</v>
      </c>
      <c r="O133" s="426">
        <f t="shared" si="67"/>
        <v>1.2024967255996286</v>
      </c>
      <c r="P133" s="426">
        <f t="shared" si="67"/>
        <v>1.2024967255996286</v>
      </c>
      <c r="Q133" s="426">
        <f t="shared" si="67"/>
        <v>1.2024967255996286</v>
      </c>
      <c r="R133" s="426">
        <f t="shared" si="67"/>
        <v>1.2024967255996286</v>
      </c>
      <c r="S133" s="426">
        <f t="shared" si="67"/>
        <v>1.2024967255996286</v>
      </c>
      <c r="T133" s="426">
        <f t="shared" si="67"/>
        <v>1.2024967255996286</v>
      </c>
      <c r="U133" s="426">
        <f t="shared" si="67"/>
        <v>1.2024967255996286</v>
      </c>
      <c r="V133" s="426">
        <f t="shared" si="67"/>
        <v>1.2024967255996286</v>
      </c>
      <c r="W133" s="426">
        <f t="shared" si="67"/>
        <v>1.2024967255996286</v>
      </c>
      <c r="X133" s="426">
        <f t="shared" si="67"/>
        <v>1.2024967255996286</v>
      </c>
      <c r="Y133" s="426">
        <f t="shared" si="67"/>
        <v>1.2024967255996286</v>
      </c>
      <c r="Z133" s="426">
        <f t="shared" si="67"/>
        <v>1.2024967255996286</v>
      </c>
      <c r="AA133" s="426">
        <f t="shared" si="67"/>
        <v>1.2024967255996286</v>
      </c>
      <c r="AB133" s="426">
        <f t="shared" si="67"/>
        <v>1.2024967255996286</v>
      </c>
      <c r="AC133" s="426">
        <f t="shared" si="67"/>
        <v>1.2024967255996286</v>
      </c>
      <c r="AD133" s="426">
        <f t="shared" si="67"/>
        <v>1.2024967255996286</v>
      </c>
      <c r="AE133" s="426">
        <f t="shared" si="67"/>
        <v>1.2024967255996286</v>
      </c>
      <c r="AF133" s="426">
        <f t="shared" si="67"/>
        <v>1.2024967255996286</v>
      </c>
      <c r="AG133" s="426">
        <f t="shared" si="67"/>
        <v>1.2024967255996286</v>
      </c>
      <c r="AH133" s="426">
        <f t="shared" si="67"/>
        <v>1.2024967255996286</v>
      </c>
      <c r="AI133" s="426">
        <f t="shared" si="67"/>
        <v>1.2024967255996286</v>
      </c>
      <c r="AJ133" s="426">
        <f t="shared" si="67"/>
        <v>1.2024967255996286</v>
      </c>
      <c r="AK133" s="426">
        <f t="shared" si="67"/>
        <v>1.2024967255996286</v>
      </c>
      <c r="AL133" s="426">
        <f t="shared" si="67"/>
        <v>1.2024967255996286</v>
      </c>
    </row>
    <row r="134" spans="2:38">
      <c r="B134" s="362"/>
      <c r="C134" s="427" t="s">
        <v>290</v>
      </c>
    </row>
    <row r="135" spans="2:38">
      <c r="B135" s="362" t="s">
        <v>685</v>
      </c>
      <c r="C135" s="438">
        <v>4.28</v>
      </c>
      <c r="D135" s="435">
        <f>D$130/(1+$C$135*PRODUCT(D$131:D$133))</f>
        <v>0.19476234937753106</v>
      </c>
      <c r="E135" s="435">
        <f t="shared" ref="E135:AL135" si="68">E$130/(1+$C$135*PRODUCT(E$131:E$133))</f>
        <v>0.1947599388580693</v>
      </c>
      <c r="F135" s="435">
        <f t="shared" si="68"/>
        <v>0.19475752329724835</v>
      </c>
      <c r="G135" s="435">
        <f t="shared" si="68"/>
        <v>0.19475510270804861</v>
      </c>
      <c r="H135" s="435">
        <f t="shared" si="68"/>
        <v>0.19475267710338187</v>
      </c>
      <c r="I135" s="435">
        <f t="shared" si="68"/>
        <v>0.19475024649609068</v>
      </c>
      <c r="J135" s="435">
        <f t="shared" si="68"/>
        <v>0.19474781089894788</v>
      </c>
      <c r="K135" s="435">
        <f t="shared" si="68"/>
        <v>0.19474537032465586</v>
      </c>
      <c r="L135" s="435">
        <f t="shared" si="68"/>
        <v>0.19474292478584601</v>
      </c>
      <c r="M135" s="435">
        <f t="shared" si="68"/>
        <v>0.1947404742950784</v>
      </c>
      <c r="N135" s="435">
        <f t="shared" si="68"/>
        <v>0.19473801886484093</v>
      </c>
      <c r="O135" s="435">
        <f t="shared" si="68"/>
        <v>0.19473555850754914</v>
      </c>
      <c r="P135" s="435">
        <f t="shared" si="68"/>
        <v>0.19473309323554552</v>
      </c>
      <c r="Q135" s="435">
        <f t="shared" si="68"/>
        <v>0.19473062306109912</v>
      </c>
      <c r="R135" s="435">
        <f t="shared" si="68"/>
        <v>0.19472814799640509</v>
      </c>
      <c r="S135" s="435">
        <f t="shared" si="68"/>
        <v>0.19472566805358424</v>
      </c>
      <c r="T135" s="435">
        <f t="shared" si="68"/>
        <v>0.19472318324468271</v>
      </c>
      <c r="U135" s="435">
        <f t="shared" si="68"/>
        <v>0.19472069358167146</v>
      </c>
      <c r="V135" s="435">
        <f t="shared" si="68"/>
        <v>0.19471819907644591</v>
      </c>
      <c r="W135" s="435">
        <f t="shared" si="68"/>
        <v>0.19471569974082564</v>
      </c>
      <c r="X135" s="435">
        <f t="shared" si="68"/>
        <v>0.19471319558655403</v>
      </c>
      <c r="Y135" s="435">
        <f t="shared" si="68"/>
        <v>0.19471068662529792</v>
      </c>
      <c r="Z135" s="435">
        <f t="shared" si="68"/>
        <v>0.19470817286864725</v>
      </c>
      <c r="AA135" s="435">
        <f t="shared" si="68"/>
        <v>0.19470565432811482</v>
      </c>
      <c r="AB135" s="435">
        <f t="shared" si="68"/>
        <v>0.19470313101513601</v>
      </c>
      <c r="AC135" s="435">
        <f t="shared" si="68"/>
        <v>0.19470060294106847</v>
      </c>
      <c r="AD135" s="435">
        <f t="shared" si="68"/>
        <v>0.19469807011719198</v>
      </c>
      <c r="AE135" s="435">
        <f t="shared" si="68"/>
        <v>0.19469553255470801</v>
      </c>
      <c r="AF135" s="435">
        <f t="shared" si="68"/>
        <v>0.19469299026473966</v>
      </c>
      <c r="AG135" s="435">
        <f t="shared" si="68"/>
        <v>0.19469044325833149</v>
      </c>
      <c r="AH135" s="435">
        <f t="shared" si="68"/>
        <v>0.19468789154644914</v>
      </c>
      <c r="AI135" s="435">
        <f t="shared" si="68"/>
        <v>0.19468533513997935</v>
      </c>
      <c r="AJ135" s="435">
        <f t="shared" si="68"/>
        <v>0.19468277404972958</v>
      </c>
      <c r="AK135" s="435">
        <f t="shared" si="68"/>
        <v>0.19468020828642818</v>
      </c>
      <c r="AL135" s="435">
        <f t="shared" si="68"/>
        <v>0.19467763786072381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theme="7" tint="0.79998168889431442"/>
  </sheetPr>
  <dimension ref="A1:O55"/>
  <sheetViews>
    <sheetView showGridLines="0" workbookViewId="0">
      <selection activeCell="B2" sqref="B2"/>
    </sheetView>
  </sheetViews>
  <sheetFormatPr defaultColWidth="9" defaultRowHeight="14"/>
  <cols>
    <col min="1" max="1" width="1" style="150" customWidth="1"/>
    <col min="2" max="2" width="34" style="150" bestFit="1" customWidth="1"/>
    <col min="3" max="3" width="7.5" style="150" bestFit="1" customWidth="1"/>
    <col min="4" max="4" width="12.08203125" style="150" bestFit="1" customWidth="1"/>
    <col min="5" max="5" width="14.58203125" style="150" bestFit="1" customWidth="1"/>
    <col min="6" max="6" width="17.33203125" style="150" bestFit="1" customWidth="1"/>
    <col min="7" max="7" width="17" style="150" bestFit="1" customWidth="1"/>
    <col min="8" max="8" width="18.25" style="150" bestFit="1" customWidth="1"/>
    <col min="9" max="9" width="16.08203125" style="150" bestFit="1" customWidth="1"/>
    <col min="10" max="10" width="16.58203125" style="150" bestFit="1" customWidth="1"/>
    <col min="11" max="14" width="7.25" style="150" customWidth="1"/>
    <col min="15" max="15" width="2.58203125" style="150" customWidth="1"/>
    <col min="16" max="16384" width="9" style="150"/>
  </cols>
  <sheetData>
    <row r="1" spans="1:15">
      <c r="A1" s="451" t="s">
        <v>705</v>
      </c>
      <c r="B1" s="451"/>
      <c r="C1" s="443"/>
      <c r="D1" s="443"/>
      <c r="E1" s="443"/>
      <c r="F1" s="443"/>
      <c r="G1" s="443"/>
      <c r="H1" s="443"/>
      <c r="I1" s="443"/>
      <c r="J1" s="443"/>
      <c r="K1" s="443"/>
      <c r="L1" s="443"/>
      <c r="M1" s="443"/>
      <c r="N1" s="443"/>
      <c r="O1" s="443"/>
    </row>
    <row r="2" spans="1:15">
      <c r="A2" s="358"/>
      <c r="B2" s="358"/>
      <c r="C2" s="358" t="s">
        <v>290</v>
      </c>
      <c r="D2" s="358" t="s">
        <v>686</v>
      </c>
      <c r="E2" s="358" t="s">
        <v>655</v>
      </c>
      <c r="F2" s="358" t="s">
        <v>657</v>
      </c>
      <c r="G2" s="358" t="s">
        <v>659</v>
      </c>
      <c r="H2" s="358" t="s">
        <v>661</v>
      </c>
      <c r="I2" s="358" t="s">
        <v>663</v>
      </c>
      <c r="J2" s="358" t="s">
        <v>665</v>
      </c>
      <c r="K2" s="358"/>
      <c r="L2" s="358"/>
      <c r="M2" s="358"/>
      <c r="N2" s="358"/>
      <c r="O2" s="358"/>
    </row>
    <row r="3" spans="1:15">
      <c r="A3" s="358"/>
      <c r="B3" s="444" t="s">
        <v>624</v>
      </c>
      <c r="C3" s="445">
        <v>2.2680000000000001E-3</v>
      </c>
      <c r="D3" s="446">
        <v>0.33339999999999997</v>
      </c>
      <c r="E3" s="446">
        <v>0.2094</v>
      </c>
      <c r="F3" s="446">
        <v>0.1336</v>
      </c>
      <c r="G3" s="446">
        <v>-0.61599999999999999</v>
      </c>
      <c r="H3" s="446">
        <v>7.7000000000000002E-3</v>
      </c>
      <c r="I3" s="446">
        <v>-0.1</v>
      </c>
      <c r="J3" s="446">
        <v>1</v>
      </c>
      <c r="K3" s="358"/>
      <c r="L3" s="358"/>
      <c r="M3" s="358"/>
      <c r="N3" s="358"/>
      <c r="O3" s="358"/>
    </row>
    <row r="4" spans="1:15">
      <c r="A4" s="358"/>
      <c r="B4" s="444" t="s">
        <v>667</v>
      </c>
      <c r="C4" s="445">
        <v>3.6459999999999999E-3</v>
      </c>
      <c r="D4" s="446">
        <v>0.29530000000000001</v>
      </c>
      <c r="E4" s="446">
        <v>0.10879999999999999</v>
      </c>
      <c r="F4" s="446">
        <v>4.7E-2</v>
      </c>
      <c r="G4" s="446">
        <v>1</v>
      </c>
      <c r="H4" s="446">
        <v>1</v>
      </c>
      <c r="I4" s="446">
        <v>1</v>
      </c>
      <c r="J4" s="446">
        <v>0.13800000000000001</v>
      </c>
      <c r="K4" s="358"/>
      <c r="L4" s="358"/>
      <c r="M4" s="358"/>
      <c r="N4" s="358"/>
      <c r="O4" s="358"/>
    </row>
    <row r="5" spans="1:15">
      <c r="A5" s="358"/>
      <c r="B5" s="444" t="s">
        <v>668</v>
      </c>
      <c r="C5" s="445">
        <v>1.088E-3</v>
      </c>
      <c r="D5" s="446">
        <v>0.31159999999999999</v>
      </c>
      <c r="E5" s="446">
        <v>0.29120000000000001</v>
      </c>
      <c r="F5" s="446">
        <v>1</v>
      </c>
      <c r="G5" s="446">
        <v>1</v>
      </c>
      <c r="H5" s="446">
        <v>1</v>
      </c>
      <c r="I5" s="446">
        <v>1</v>
      </c>
      <c r="J5" s="446">
        <v>0.1036</v>
      </c>
      <c r="K5" s="358"/>
      <c r="L5" s="358"/>
      <c r="M5" s="358"/>
      <c r="N5" s="358"/>
      <c r="O5" s="358"/>
    </row>
    <row r="6" spans="1:15">
      <c r="A6" s="358"/>
      <c r="B6" s="358"/>
      <c r="C6" s="358"/>
      <c r="D6" s="358"/>
      <c r="E6" s="358"/>
      <c r="F6" s="358"/>
      <c r="G6" s="358"/>
      <c r="H6" s="358"/>
      <c r="I6" s="358"/>
      <c r="J6" s="358"/>
      <c r="K6" s="358"/>
      <c r="L6" s="358"/>
      <c r="M6" s="358"/>
      <c r="N6" s="358"/>
      <c r="O6" s="358"/>
    </row>
    <row r="7" spans="1:15">
      <c r="A7" s="358"/>
      <c r="B7" s="364" t="s">
        <v>632</v>
      </c>
      <c r="C7" s="406"/>
      <c r="D7" s="358"/>
      <c r="E7" s="358"/>
      <c r="F7" s="358"/>
      <c r="G7" s="358"/>
      <c r="H7" s="358"/>
      <c r="I7" s="358"/>
      <c r="J7" s="358"/>
      <c r="K7" s="358"/>
      <c r="L7" s="358"/>
      <c r="M7" s="358"/>
      <c r="N7" s="358"/>
      <c r="O7" s="358"/>
    </row>
    <row r="8" spans="1:15">
      <c r="A8" s="358"/>
      <c r="B8" s="444" t="s">
        <v>687</v>
      </c>
      <c r="C8" s="446">
        <v>1</v>
      </c>
      <c r="D8" s="358"/>
      <c r="E8" s="421"/>
      <c r="F8" s="447"/>
      <c r="G8" s="447"/>
      <c r="H8" s="447"/>
      <c r="I8" s="447"/>
      <c r="J8" s="447"/>
      <c r="K8" s="447"/>
      <c r="L8" s="447"/>
      <c r="M8" s="447"/>
      <c r="N8" s="447"/>
      <c r="O8" s="358"/>
    </row>
    <row r="9" spans="1:15">
      <c r="A9" s="358"/>
      <c r="B9" s="444" t="s">
        <v>688</v>
      </c>
      <c r="C9" s="446">
        <v>2</v>
      </c>
      <c r="D9" s="358"/>
      <c r="E9" s="358"/>
      <c r="F9" s="447"/>
      <c r="G9" s="447"/>
      <c r="H9" s="447"/>
      <c r="I9" s="447"/>
      <c r="J9" s="447"/>
      <c r="K9" s="447"/>
      <c r="L9" s="447"/>
      <c r="M9" s="447"/>
      <c r="N9" s="447"/>
      <c r="O9" s="358"/>
    </row>
    <row r="10" spans="1:15">
      <c r="A10" s="358"/>
      <c r="B10" s="444" t="s">
        <v>689</v>
      </c>
      <c r="C10" s="446">
        <v>3</v>
      </c>
      <c r="D10" s="358"/>
      <c r="E10" s="358"/>
      <c r="F10" s="447"/>
      <c r="G10" s="447"/>
      <c r="H10" s="447"/>
      <c r="I10" s="447"/>
      <c r="J10" s="447"/>
      <c r="K10" s="447"/>
      <c r="L10" s="447"/>
      <c r="M10" s="447"/>
      <c r="N10" s="447"/>
      <c r="O10" s="358"/>
    </row>
    <row r="11" spans="1:15">
      <c r="A11" s="358"/>
      <c r="B11" s="444" t="s">
        <v>690</v>
      </c>
      <c r="C11" s="446">
        <v>4</v>
      </c>
      <c r="D11" s="358"/>
      <c r="E11" s="358"/>
      <c r="F11" s="447"/>
      <c r="G11" s="447"/>
      <c r="H11" s="447"/>
      <c r="I11" s="447"/>
      <c r="J11" s="447"/>
      <c r="K11" s="447"/>
      <c r="L11" s="447"/>
      <c r="M11" s="447"/>
      <c r="N11" s="447"/>
      <c r="O11" s="358"/>
    </row>
    <row r="12" spans="1:15">
      <c r="A12" s="358"/>
      <c r="B12" s="444" t="s">
        <v>691</v>
      </c>
      <c r="C12" s="446">
        <v>5</v>
      </c>
      <c r="D12" s="358"/>
      <c r="E12" s="358"/>
      <c r="F12" s="447"/>
      <c r="G12" s="447"/>
      <c r="H12" s="447"/>
      <c r="I12" s="447"/>
      <c r="J12" s="447"/>
      <c r="K12" s="447"/>
      <c r="L12" s="447"/>
      <c r="M12" s="447"/>
      <c r="N12" s="447"/>
      <c r="O12" s="358"/>
    </row>
    <row r="13" spans="1:15">
      <c r="A13" s="358"/>
      <c r="B13" s="444" t="s">
        <v>692</v>
      </c>
      <c r="C13" s="446">
        <v>6</v>
      </c>
      <c r="D13" s="358"/>
      <c r="E13" s="358"/>
      <c r="F13" s="358"/>
      <c r="G13" s="358"/>
      <c r="H13" s="358"/>
      <c r="I13" s="358"/>
      <c r="J13" s="358"/>
      <c r="K13" s="358"/>
      <c r="L13" s="358"/>
      <c r="M13" s="358"/>
      <c r="N13" s="358"/>
      <c r="O13" s="358"/>
    </row>
    <row r="14" spans="1:15">
      <c r="A14" s="358"/>
      <c r="B14" s="444" t="s">
        <v>693</v>
      </c>
      <c r="C14" s="446">
        <v>1</v>
      </c>
      <c r="D14" s="358"/>
      <c r="E14" s="358"/>
      <c r="F14" s="358"/>
      <c r="G14" s="358"/>
      <c r="H14" s="358"/>
      <c r="I14" s="358"/>
      <c r="J14" s="358"/>
      <c r="K14" s="358"/>
      <c r="L14" s="358"/>
      <c r="M14" s="358"/>
      <c r="N14" s="358"/>
      <c r="O14" s="358"/>
    </row>
    <row r="15" spans="1:15">
      <c r="A15" s="358"/>
      <c r="B15" s="444" t="s">
        <v>694</v>
      </c>
      <c r="C15" s="446">
        <v>2</v>
      </c>
      <c r="D15" s="358"/>
      <c r="E15" s="358"/>
      <c r="F15" s="358"/>
      <c r="G15" s="358"/>
      <c r="H15" s="358"/>
      <c r="I15" s="358"/>
      <c r="J15" s="358"/>
      <c r="K15" s="358"/>
      <c r="L15" s="358"/>
      <c r="M15" s="358"/>
      <c r="N15" s="358"/>
      <c r="O15" s="358"/>
    </row>
    <row r="16" spans="1:15">
      <c r="A16" s="358"/>
      <c r="B16" s="444" t="s">
        <v>695</v>
      </c>
      <c r="C16" s="446">
        <v>3</v>
      </c>
      <c r="D16" s="358"/>
      <c r="E16" s="358"/>
      <c r="F16" s="358"/>
      <c r="G16" s="358"/>
      <c r="H16" s="358"/>
      <c r="I16" s="448" t="s">
        <v>700</v>
      </c>
      <c r="K16" s="448"/>
      <c r="L16" s="448"/>
      <c r="M16" s="358"/>
      <c r="N16" s="358"/>
      <c r="O16" s="358"/>
    </row>
    <row r="17" spans="1:15">
      <c r="A17" s="358"/>
      <c r="B17" s="444" t="s">
        <v>696</v>
      </c>
      <c r="C17" s="446">
        <v>4</v>
      </c>
      <c r="D17" s="358"/>
      <c r="E17" s="358"/>
      <c r="F17" s="358"/>
      <c r="G17" s="358"/>
      <c r="H17" s="358"/>
      <c r="I17" s="448"/>
      <c r="K17" s="448"/>
      <c r="L17" s="448"/>
      <c r="M17" s="358"/>
      <c r="N17" s="358"/>
      <c r="O17" s="358"/>
    </row>
    <row r="18" spans="1:15">
      <c r="A18" s="358"/>
      <c r="B18" s="444" t="s">
        <v>697</v>
      </c>
      <c r="C18" s="446">
        <v>5</v>
      </c>
      <c r="D18" s="358"/>
      <c r="E18" s="358"/>
      <c r="F18" s="358"/>
      <c r="G18" s="358"/>
      <c r="H18" s="358"/>
      <c r="I18" s="448" t="s">
        <v>701</v>
      </c>
      <c r="K18" s="448"/>
      <c r="L18" s="448"/>
      <c r="M18" s="358"/>
      <c r="N18" s="358"/>
      <c r="O18" s="358"/>
    </row>
    <row r="19" spans="1:15">
      <c r="A19" s="358"/>
      <c r="B19" s="444" t="s">
        <v>634</v>
      </c>
      <c r="C19" s="446">
        <v>6</v>
      </c>
      <c r="D19" s="358"/>
      <c r="E19" s="358"/>
      <c r="F19" s="358"/>
      <c r="G19" s="358"/>
      <c r="H19" s="358"/>
      <c r="I19" s="448"/>
      <c r="K19" s="448"/>
      <c r="L19" s="448"/>
      <c r="M19" s="358"/>
      <c r="N19" s="358"/>
      <c r="O19" s="358"/>
    </row>
    <row r="20" spans="1:15">
      <c r="A20" s="358"/>
      <c r="B20" s="358"/>
      <c r="C20" s="358"/>
      <c r="D20" s="358"/>
      <c r="E20" s="358"/>
      <c r="F20" s="358"/>
      <c r="G20" s="358"/>
      <c r="H20" s="358"/>
      <c r="I20" s="448" t="s">
        <v>702</v>
      </c>
      <c r="K20" s="448"/>
      <c r="L20" s="448"/>
      <c r="M20" s="358"/>
      <c r="N20" s="358"/>
      <c r="O20" s="358"/>
    </row>
    <row r="21" spans="1:15">
      <c r="A21" s="358"/>
      <c r="B21" s="364" t="s">
        <v>698</v>
      </c>
      <c r="C21" s="408"/>
      <c r="D21" s="358"/>
      <c r="E21" s="358"/>
      <c r="F21" s="358"/>
      <c r="G21" s="358"/>
      <c r="H21" s="358"/>
      <c r="I21" s="358"/>
      <c r="J21" s="358"/>
      <c r="K21" s="358"/>
      <c r="L21" s="358"/>
      <c r="M21" s="358"/>
      <c r="N21" s="358"/>
    </row>
    <row r="22" spans="1:15">
      <c r="A22" s="358"/>
      <c r="B22" s="444" t="s">
        <v>23</v>
      </c>
      <c r="C22" s="446">
        <v>1</v>
      </c>
      <c r="D22" s="358"/>
      <c r="E22" s="358"/>
      <c r="F22" s="358"/>
      <c r="G22" s="358"/>
      <c r="H22" s="358"/>
      <c r="I22" s="358"/>
      <c r="J22" s="358"/>
      <c r="K22" s="358"/>
      <c r="L22" s="358"/>
      <c r="M22" s="358"/>
      <c r="N22" s="358"/>
    </row>
    <row r="23" spans="1:15">
      <c r="A23" s="358"/>
      <c r="B23" s="444" t="s">
        <v>122</v>
      </c>
      <c r="C23" s="446">
        <v>0</v>
      </c>
      <c r="D23" s="358"/>
      <c r="E23" s="358"/>
      <c r="F23" s="358"/>
      <c r="G23" s="358"/>
      <c r="H23" s="358"/>
      <c r="I23" s="358"/>
      <c r="J23" s="358"/>
      <c r="K23" s="358"/>
      <c r="L23" s="358"/>
      <c r="M23" s="358"/>
      <c r="N23" s="358"/>
    </row>
    <row r="24" spans="1:15">
      <c r="A24" s="358"/>
      <c r="C24" s="358"/>
      <c r="D24" s="358"/>
      <c r="E24" s="358"/>
      <c r="F24" s="358"/>
      <c r="G24" s="358"/>
      <c r="H24" s="358"/>
      <c r="I24" s="358"/>
      <c r="J24" s="358"/>
      <c r="K24" s="358"/>
      <c r="L24" s="358"/>
      <c r="M24" s="358"/>
      <c r="N24" s="358"/>
    </row>
    <row r="25" spans="1:15">
      <c r="A25" s="358"/>
      <c r="B25" s="364" t="s">
        <v>630</v>
      </c>
      <c r="C25" s="408"/>
      <c r="D25" s="358"/>
      <c r="E25" s="358"/>
      <c r="F25" s="449"/>
      <c r="G25" s="449"/>
      <c r="H25" s="449"/>
      <c r="I25" s="449"/>
      <c r="J25" s="449"/>
      <c r="K25" s="449"/>
      <c r="L25" s="449"/>
      <c r="M25" s="449"/>
      <c r="N25" s="449"/>
    </row>
    <row r="26" spans="1:15" ht="14.25" customHeight="1">
      <c r="A26" s="358"/>
      <c r="B26" s="444" t="s">
        <v>614</v>
      </c>
      <c r="C26" s="446">
        <v>1</v>
      </c>
      <c r="D26" s="1446" t="s">
        <v>703</v>
      </c>
      <c r="E26" s="1446"/>
      <c r="F26" s="1446"/>
      <c r="G26" s="1446"/>
      <c r="H26" s="1446"/>
      <c r="I26" s="1446"/>
      <c r="J26" s="520"/>
      <c r="K26" s="520"/>
      <c r="L26" s="520"/>
      <c r="M26" s="520"/>
      <c r="N26" s="421"/>
    </row>
    <row r="27" spans="1:15">
      <c r="A27" s="358"/>
      <c r="B27" s="444" t="s">
        <v>699</v>
      </c>
      <c r="C27" s="446">
        <v>2</v>
      </c>
      <c r="D27" s="1446"/>
      <c r="E27" s="1446"/>
      <c r="F27" s="1446"/>
      <c r="G27" s="1446"/>
      <c r="H27" s="1446"/>
      <c r="I27" s="1446"/>
      <c r="J27" s="520"/>
      <c r="K27" s="520"/>
      <c r="L27" s="520"/>
      <c r="M27" s="520"/>
    </row>
    <row r="28" spans="1:15">
      <c r="A28" s="358"/>
      <c r="B28" s="421"/>
      <c r="C28" s="421"/>
      <c r="D28" s="421"/>
      <c r="E28" s="358"/>
      <c r="O28" s="447"/>
    </row>
    <row r="29" spans="1:15">
      <c r="A29" s="358"/>
      <c r="B29" s="358"/>
      <c r="C29" s="358"/>
      <c r="D29" s="358"/>
      <c r="E29" s="358"/>
      <c r="F29" s="358"/>
      <c r="G29" s="358"/>
      <c r="H29" s="358"/>
      <c r="I29" s="358"/>
      <c r="J29" s="358"/>
      <c r="K29" s="358"/>
      <c r="L29" s="358"/>
      <c r="M29" s="358"/>
      <c r="N29" s="358"/>
      <c r="O29" s="447"/>
    </row>
    <row r="30" spans="1:15">
      <c r="A30" s="358"/>
      <c r="B30" s="358"/>
      <c r="C30" s="358"/>
      <c r="D30" s="358"/>
      <c r="E30" s="358"/>
      <c r="O30" s="447"/>
    </row>
    <row r="31" spans="1:15">
      <c r="A31" s="358"/>
      <c r="B31" s="358"/>
      <c r="C31" s="358"/>
      <c r="O31" s="447"/>
    </row>
    <row r="32" spans="1:15">
      <c r="A32" s="358"/>
      <c r="B32" s="358"/>
      <c r="C32" s="358"/>
      <c r="M32" s="358"/>
      <c r="N32" s="358"/>
      <c r="O32" s="447"/>
    </row>
    <row r="33" spans="1:15">
      <c r="A33" s="358"/>
      <c r="B33" s="358"/>
      <c r="C33" s="358"/>
      <c r="D33" s="358"/>
      <c r="E33"/>
      <c r="F33"/>
      <c r="G33"/>
      <c r="H33"/>
      <c r="I33"/>
      <c r="J33" s="450"/>
      <c r="K33" s="450"/>
      <c r="L33" s="450"/>
      <c r="M33" s="358"/>
      <c r="N33" s="358"/>
      <c r="O33" s="358"/>
    </row>
    <row r="34" spans="1:15">
      <c r="A34" s="358"/>
      <c r="B34" s="358"/>
      <c r="C34" s="358"/>
      <c r="D34" s="358"/>
      <c r="E34"/>
      <c r="F34"/>
      <c r="G34"/>
      <c r="H34"/>
      <c r="I34"/>
      <c r="J34" s="450"/>
      <c r="K34" s="450"/>
      <c r="L34" s="450"/>
      <c r="M34" s="358"/>
      <c r="N34" s="358"/>
      <c r="O34" s="358"/>
    </row>
    <row r="35" spans="1:15">
      <c r="A35" s="358"/>
      <c r="B35" s="358"/>
      <c r="C35" s="358"/>
      <c r="D35" s="358"/>
      <c r="O35" s="358"/>
    </row>
    <row r="36" spans="1:15">
      <c r="A36" s="358"/>
      <c r="B36" s="358"/>
      <c r="C36" s="358"/>
      <c r="D36" s="358"/>
      <c r="O36" s="358"/>
    </row>
    <row r="37" spans="1:15">
      <c r="A37" s="358"/>
      <c r="B37" s="358"/>
      <c r="C37" s="358"/>
      <c r="D37" s="358"/>
      <c r="O37" s="358"/>
    </row>
    <row r="38" spans="1:15">
      <c r="A38" s="358"/>
      <c r="B38" s="358"/>
      <c r="C38" s="358"/>
      <c r="D38" s="358"/>
      <c r="O38" s="358"/>
    </row>
    <row r="39" spans="1:15">
      <c r="A39" s="358"/>
      <c r="B39" s="358"/>
      <c r="C39" s="358"/>
      <c r="D39" s="358"/>
      <c r="O39" s="358"/>
    </row>
    <row r="40" spans="1:15">
      <c r="A40" s="358"/>
      <c r="B40" s="358"/>
      <c r="C40" s="358"/>
      <c r="D40" s="358"/>
      <c r="O40" s="358"/>
    </row>
    <row r="41" spans="1:15">
      <c r="A41" s="358"/>
      <c r="B41" s="358"/>
      <c r="C41" s="358"/>
      <c r="D41" s="358"/>
      <c r="O41" s="358"/>
    </row>
    <row r="42" spans="1:15">
      <c r="A42" s="358"/>
      <c r="B42" s="358"/>
      <c r="C42" s="358"/>
      <c r="D42" s="358"/>
      <c r="O42" s="358"/>
    </row>
    <row r="43" spans="1:15">
      <c r="A43" s="358"/>
      <c r="B43" s="358"/>
      <c r="C43" s="358"/>
      <c r="D43" s="358"/>
      <c r="O43" s="358"/>
    </row>
    <row r="44" spans="1:15">
      <c r="A44" s="358"/>
      <c r="B44" s="358"/>
      <c r="C44" s="358"/>
      <c r="D44" s="358"/>
      <c r="O44" s="358"/>
    </row>
    <row r="45" spans="1:15">
      <c r="A45" s="358"/>
      <c r="B45" s="358"/>
      <c r="C45" s="358"/>
      <c r="D45" s="358"/>
      <c r="O45" s="449"/>
    </row>
    <row r="46" spans="1:15">
      <c r="A46" s="358"/>
      <c r="B46" s="358"/>
      <c r="C46" s="358"/>
      <c r="D46" s="358"/>
      <c r="O46" s="421"/>
    </row>
    <row r="47" spans="1:15">
      <c r="A47" s="358"/>
      <c r="B47" s="358"/>
      <c r="C47" s="358"/>
      <c r="D47" s="358"/>
      <c r="O47" s="358"/>
    </row>
    <row r="48" spans="1:15">
      <c r="A48" s="358"/>
      <c r="B48" s="358"/>
      <c r="C48" s="358"/>
      <c r="D48" s="358"/>
      <c r="O48" s="358"/>
    </row>
    <row r="49" spans="1:15">
      <c r="A49" s="358"/>
      <c r="B49" s="358"/>
      <c r="C49" s="358"/>
      <c r="D49" s="358"/>
      <c r="O49" s="358"/>
    </row>
    <row r="50" spans="1:15" ht="14.25" customHeight="1">
      <c r="A50" s="358"/>
      <c r="B50" s="358"/>
      <c r="C50" s="358"/>
      <c r="D50" s="358"/>
      <c r="O50" s="450"/>
    </row>
    <row r="51" spans="1:15">
      <c r="A51" s="358"/>
      <c r="B51" s="358"/>
      <c r="C51" s="358"/>
      <c r="D51" s="358"/>
      <c r="O51" s="450"/>
    </row>
    <row r="52" spans="1:15">
      <c r="A52" s="358"/>
      <c r="B52" s="358"/>
      <c r="C52" s="358"/>
      <c r="D52" s="358"/>
      <c r="O52" s="358"/>
    </row>
    <row r="53" spans="1:15">
      <c r="A53" s="358"/>
      <c r="B53"/>
      <c r="C53"/>
      <c r="D53"/>
      <c r="O53" s="358"/>
    </row>
    <row r="54" spans="1:15">
      <c r="A54" s="358"/>
      <c r="B54"/>
      <c r="C54"/>
      <c r="D54"/>
      <c r="O54" s="358"/>
    </row>
    <row r="55" spans="1:15">
      <c r="A55" s="358"/>
      <c r="B55" s="358"/>
      <c r="C55" s="358"/>
      <c r="D55" s="358"/>
      <c r="E55" s="358"/>
      <c r="F55" s="358"/>
      <c r="G55" s="358"/>
      <c r="H55" s="358"/>
      <c r="I55" s="358"/>
      <c r="J55" s="358"/>
      <c r="K55" s="358"/>
      <c r="L55" s="358"/>
      <c r="M55" s="358"/>
      <c r="N55" s="358"/>
      <c r="O55" s="358"/>
    </row>
  </sheetData>
  <mergeCells count="1">
    <mergeCell ref="D26:I27"/>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79998168889431442"/>
  </sheetPr>
  <dimension ref="A1:AA22"/>
  <sheetViews>
    <sheetView topLeftCell="O1" workbookViewId="0">
      <selection activeCell="AA4" sqref="AA4"/>
    </sheetView>
  </sheetViews>
  <sheetFormatPr defaultRowHeight="14"/>
  <cols>
    <col min="1" max="2" width="12.75" style="150" customWidth="1"/>
    <col min="3" max="25" width="7.08203125" style="150" customWidth="1"/>
    <col min="26" max="26" width="24.83203125" style="150" customWidth="1"/>
    <col min="27" max="256" width="8.75" style="150"/>
    <col min="257" max="258" width="12.75" style="150" customWidth="1"/>
    <col min="259" max="281" width="7.08203125" style="150" customWidth="1"/>
    <col min="282" max="282" width="24.83203125" style="150" customWidth="1"/>
    <col min="283" max="512" width="8.75" style="150"/>
    <col min="513" max="514" width="12.75" style="150" customWidth="1"/>
    <col min="515" max="537" width="7.08203125" style="150" customWidth="1"/>
    <col min="538" max="538" width="24.83203125" style="150" customWidth="1"/>
    <col min="539" max="768" width="8.75" style="150"/>
    <col min="769" max="770" width="12.75" style="150" customWidth="1"/>
    <col min="771" max="793" width="7.08203125" style="150" customWidth="1"/>
    <col min="794" max="794" width="24.83203125" style="150" customWidth="1"/>
    <col min="795" max="1024" width="8.75" style="150"/>
    <col min="1025" max="1026" width="12.75" style="150" customWidth="1"/>
    <col min="1027" max="1049" width="7.08203125" style="150" customWidth="1"/>
    <col min="1050" max="1050" width="24.83203125" style="150" customWidth="1"/>
    <col min="1051" max="1280" width="8.75" style="150"/>
    <col min="1281" max="1282" width="12.75" style="150" customWidth="1"/>
    <col min="1283" max="1305" width="7.08203125" style="150" customWidth="1"/>
    <col min="1306" max="1306" width="24.83203125" style="150" customWidth="1"/>
    <col min="1307" max="1536" width="8.75" style="150"/>
    <col min="1537" max="1538" width="12.75" style="150" customWidth="1"/>
    <col min="1539" max="1561" width="7.08203125" style="150" customWidth="1"/>
    <col min="1562" max="1562" width="24.83203125" style="150" customWidth="1"/>
    <col min="1563" max="1792" width="8.75" style="150"/>
    <col min="1793" max="1794" width="12.75" style="150" customWidth="1"/>
    <col min="1795" max="1817" width="7.08203125" style="150" customWidth="1"/>
    <col min="1818" max="1818" width="24.83203125" style="150" customWidth="1"/>
    <col min="1819" max="2048" width="8.75" style="150"/>
    <col min="2049" max="2050" width="12.75" style="150" customWidth="1"/>
    <col min="2051" max="2073" width="7.08203125" style="150" customWidth="1"/>
    <col min="2074" max="2074" width="24.83203125" style="150" customWidth="1"/>
    <col min="2075" max="2304" width="8.75" style="150"/>
    <col min="2305" max="2306" width="12.75" style="150" customWidth="1"/>
    <col min="2307" max="2329" width="7.08203125" style="150" customWidth="1"/>
    <col min="2330" max="2330" width="24.83203125" style="150" customWidth="1"/>
    <col min="2331" max="2560" width="8.75" style="150"/>
    <col min="2561" max="2562" width="12.75" style="150" customWidth="1"/>
    <col min="2563" max="2585" width="7.08203125" style="150" customWidth="1"/>
    <col min="2586" max="2586" width="24.83203125" style="150" customWidth="1"/>
    <col min="2587" max="2816" width="8.75" style="150"/>
    <col min="2817" max="2818" width="12.75" style="150" customWidth="1"/>
    <col min="2819" max="2841" width="7.08203125" style="150" customWidth="1"/>
    <col min="2842" max="2842" width="24.83203125" style="150" customWidth="1"/>
    <col min="2843" max="3072" width="8.75" style="150"/>
    <col min="3073" max="3074" width="12.75" style="150" customWidth="1"/>
    <col min="3075" max="3097" width="7.08203125" style="150" customWidth="1"/>
    <col min="3098" max="3098" width="24.83203125" style="150" customWidth="1"/>
    <col min="3099" max="3328" width="8.75" style="150"/>
    <col min="3329" max="3330" width="12.75" style="150" customWidth="1"/>
    <col min="3331" max="3353" width="7.08203125" style="150" customWidth="1"/>
    <col min="3354" max="3354" width="24.83203125" style="150" customWidth="1"/>
    <col min="3355" max="3584" width="8.75" style="150"/>
    <col min="3585" max="3586" width="12.75" style="150" customWidth="1"/>
    <col min="3587" max="3609" width="7.08203125" style="150" customWidth="1"/>
    <col min="3610" max="3610" width="24.83203125" style="150" customWidth="1"/>
    <col min="3611" max="3840" width="8.75" style="150"/>
    <col min="3841" max="3842" width="12.75" style="150" customWidth="1"/>
    <col min="3843" max="3865" width="7.08203125" style="150" customWidth="1"/>
    <col min="3866" max="3866" width="24.83203125" style="150" customWidth="1"/>
    <col min="3867" max="4096" width="8.75" style="150"/>
    <col min="4097" max="4098" width="12.75" style="150" customWidth="1"/>
    <col min="4099" max="4121" width="7.08203125" style="150" customWidth="1"/>
    <col min="4122" max="4122" width="24.83203125" style="150" customWidth="1"/>
    <col min="4123" max="4352" width="8.75" style="150"/>
    <col min="4353" max="4354" width="12.75" style="150" customWidth="1"/>
    <col min="4355" max="4377" width="7.08203125" style="150" customWidth="1"/>
    <col min="4378" max="4378" width="24.83203125" style="150" customWidth="1"/>
    <col min="4379" max="4608" width="8.75" style="150"/>
    <col min="4609" max="4610" width="12.75" style="150" customWidth="1"/>
    <col min="4611" max="4633" width="7.08203125" style="150" customWidth="1"/>
    <col min="4634" max="4634" width="24.83203125" style="150" customWidth="1"/>
    <col min="4635" max="4864" width="8.75" style="150"/>
    <col min="4865" max="4866" width="12.75" style="150" customWidth="1"/>
    <col min="4867" max="4889" width="7.08203125" style="150" customWidth="1"/>
    <col min="4890" max="4890" width="24.83203125" style="150" customWidth="1"/>
    <col min="4891" max="5120" width="8.75" style="150"/>
    <col min="5121" max="5122" width="12.75" style="150" customWidth="1"/>
    <col min="5123" max="5145" width="7.08203125" style="150" customWidth="1"/>
    <col min="5146" max="5146" width="24.83203125" style="150" customWidth="1"/>
    <col min="5147" max="5376" width="8.75" style="150"/>
    <col min="5377" max="5378" width="12.75" style="150" customWidth="1"/>
    <col min="5379" max="5401" width="7.08203125" style="150" customWidth="1"/>
    <col min="5402" max="5402" width="24.83203125" style="150" customWidth="1"/>
    <col min="5403" max="5632" width="8.75" style="150"/>
    <col min="5633" max="5634" width="12.75" style="150" customWidth="1"/>
    <col min="5635" max="5657" width="7.08203125" style="150" customWidth="1"/>
    <col min="5658" max="5658" width="24.83203125" style="150" customWidth="1"/>
    <col min="5659" max="5888" width="8.75" style="150"/>
    <col min="5889" max="5890" width="12.75" style="150" customWidth="1"/>
    <col min="5891" max="5913" width="7.08203125" style="150" customWidth="1"/>
    <col min="5914" max="5914" width="24.83203125" style="150" customWidth="1"/>
    <col min="5915" max="6144" width="8.75" style="150"/>
    <col min="6145" max="6146" width="12.75" style="150" customWidth="1"/>
    <col min="6147" max="6169" width="7.08203125" style="150" customWidth="1"/>
    <col min="6170" max="6170" width="24.83203125" style="150" customWidth="1"/>
    <col min="6171" max="6400" width="8.75" style="150"/>
    <col min="6401" max="6402" width="12.75" style="150" customWidth="1"/>
    <col min="6403" max="6425" width="7.08203125" style="150" customWidth="1"/>
    <col min="6426" max="6426" width="24.83203125" style="150" customWidth="1"/>
    <col min="6427" max="6656" width="8.75" style="150"/>
    <col min="6657" max="6658" width="12.75" style="150" customWidth="1"/>
    <col min="6659" max="6681" width="7.08203125" style="150" customWidth="1"/>
    <col min="6682" max="6682" width="24.83203125" style="150" customWidth="1"/>
    <col min="6683" max="6912" width="8.75" style="150"/>
    <col min="6913" max="6914" width="12.75" style="150" customWidth="1"/>
    <col min="6915" max="6937" width="7.08203125" style="150" customWidth="1"/>
    <col min="6938" max="6938" width="24.83203125" style="150" customWidth="1"/>
    <col min="6939" max="7168" width="8.75" style="150"/>
    <col min="7169" max="7170" width="12.75" style="150" customWidth="1"/>
    <col min="7171" max="7193" width="7.08203125" style="150" customWidth="1"/>
    <col min="7194" max="7194" width="24.83203125" style="150" customWidth="1"/>
    <col min="7195" max="7424" width="8.75" style="150"/>
    <col min="7425" max="7426" width="12.75" style="150" customWidth="1"/>
    <col min="7427" max="7449" width="7.08203125" style="150" customWidth="1"/>
    <col min="7450" max="7450" width="24.83203125" style="150" customWidth="1"/>
    <col min="7451" max="7680" width="8.75" style="150"/>
    <col min="7681" max="7682" width="12.75" style="150" customWidth="1"/>
    <col min="7683" max="7705" width="7.08203125" style="150" customWidth="1"/>
    <col min="7706" max="7706" width="24.83203125" style="150" customWidth="1"/>
    <col min="7707" max="7936" width="8.75" style="150"/>
    <col min="7937" max="7938" width="12.75" style="150" customWidth="1"/>
    <col min="7939" max="7961" width="7.08203125" style="150" customWidth="1"/>
    <col min="7962" max="7962" width="24.83203125" style="150" customWidth="1"/>
    <col min="7963" max="8192" width="8.75" style="150"/>
    <col min="8193" max="8194" width="12.75" style="150" customWidth="1"/>
    <col min="8195" max="8217" width="7.08203125" style="150" customWidth="1"/>
    <col min="8218" max="8218" width="24.83203125" style="150" customWidth="1"/>
    <col min="8219" max="8448" width="8.75" style="150"/>
    <col min="8449" max="8450" width="12.75" style="150" customWidth="1"/>
    <col min="8451" max="8473" width="7.08203125" style="150" customWidth="1"/>
    <col min="8474" max="8474" width="24.83203125" style="150" customWidth="1"/>
    <col min="8475" max="8704" width="8.75" style="150"/>
    <col min="8705" max="8706" width="12.75" style="150" customWidth="1"/>
    <col min="8707" max="8729" width="7.08203125" style="150" customWidth="1"/>
    <col min="8730" max="8730" width="24.83203125" style="150" customWidth="1"/>
    <col min="8731" max="8960" width="8.75" style="150"/>
    <col min="8961" max="8962" width="12.75" style="150" customWidth="1"/>
    <col min="8963" max="8985" width="7.08203125" style="150" customWidth="1"/>
    <col min="8986" max="8986" width="24.83203125" style="150" customWidth="1"/>
    <col min="8987" max="9216" width="8.75" style="150"/>
    <col min="9217" max="9218" width="12.75" style="150" customWidth="1"/>
    <col min="9219" max="9241" width="7.08203125" style="150" customWidth="1"/>
    <col min="9242" max="9242" width="24.83203125" style="150" customWidth="1"/>
    <col min="9243" max="9472" width="8.75" style="150"/>
    <col min="9473" max="9474" width="12.75" style="150" customWidth="1"/>
    <col min="9475" max="9497" width="7.08203125" style="150" customWidth="1"/>
    <col min="9498" max="9498" width="24.83203125" style="150" customWidth="1"/>
    <col min="9499" max="9728" width="8.75" style="150"/>
    <col min="9729" max="9730" width="12.75" style="150" customWidth="1"/>
    <col min="9731" max="9753" width="7.08203125" style="150" customWidth="1"/>
    <col min="9754" max="9754" width="24.83203125" style="150" customWidth="1"/>
    <col min="9755" max="9984" width="8.75" style="150"/>
    <col min="9985" max="9986" width="12.75" style="150" customWidth="1"/>
    <col min="9987" max="10009" width="7.08203125" style="150" customWidth="1"/>
    <col min="10010" max="10010" width="24.83203125" style="150" customWidth="1"/>
    <col min="10011" max="10240" width="8.75" style="150"/>
    <col min="10241" max="10242" width="12.75" style="150" customWidth="1"/>
    <col min="10243" max="10265" width="7.08203125" style="150" customWidth="1"/>
    <col min="10266" max="10266" width="24.83203125" style="150" customWidth="1"/>
    <col min="10267" max="10496" width="8.75" style="150"/>
    <col min="10497" max="10498" width="12.75" style="150" customWidth="1"/>
    <col min="10499" max="10521" width="7.08203125" style="150" customWidth="1"/>
    <col min="10522" max="10522" width="24.83203125" style="150" customWidth="1"/>
    <col min="10523" max="10752" width="8.75" style="150"/>
    <col min="10753" max="10754" width="12.75" style="150" customWidth="1"/>
    <col min="10755" max="10777" width="7.08203125" style="150" customWidth="1"/>
    <col min="10778" max="10778" width="24.83203125" style="150" customWidth="1"/>
    <col min="10779" max="11008" width="8.75" style="150"/>
    <col min="11009" max="11010" width="12.75" style="150" customWidth="1"/>
    <col min="11011" max="11033" width="7.08203125" style="150" customWidth="1"/>
    <col min="11034" max="11034" width="24.83203125" style="150" customWidth="1"/>
    <col min="11035" max="11264" width="8.75" style="150"/>
    <col min="11265" max="11266" width="12.75" style="150" customWidth="1"/>
    <col min="11267" max="11289" width="7.08203125" style="150" customWidth="1"/>
    <col min="11290" max="11290" width="24.83203125" style="150" customWidth="1"/>
    <col min="11291" max="11520" width="8.75" style="150"/>
    <col min="11521" max="11522" width="12.75" style="150" customWidth="1"/>
    <col min="11523" max="11545" width="7.08203125" style="150" customWidth="1"/>
    <col min="11546" max="11546" width="24.83203125" style="150" customWidth="1"/>
    <col min="11547" max="11776" width="8.75" style="150"/>
    <col min="11777" max="11778" width="12.75" style="150" customWidth="1"/>
    <col min="11779" max="11801" width="7.08203125" style="150" customWidth="1"/>
    <col min="11802" max="11802" width="24.83203125" style="150" customWidth="1"/>
    <col min="11803" max="12032" width="8.75" style="150"/>
    <col min="12033" max="12034" width="12.75" style="150" customWidth="1"/>
    <col min="12035" max="12057" width="7.08203125" style="150" customWidth="1"/>
    <col min="12058" max="12058" width="24.83203125" style="150" customWidth="1"/>
    <col min="12059" max="12288" width="8.75" style="150"/>
    <col min="12289" max="12290" width="12.75" style="150" customWidth="1"/>
    <col min="12291" max="12313" width="7.08203125" style="150" customWidth="1"/>
    <col min="12314" max="12314" width="24.83203125" style="150" customWidth="1"/>
    <col min="12315" max="12544" width="8.75" style="150"/>
    <col min="12545" max="12546" width="12.75" style="150" customWidth="1"/>
    <col min="12547" max="12569" width="7.08203125" style="150" customWidth="1"/>
    <col min="12570" max="12570" width="24.83203125" style="150" customWidth="1"/>
    <col min="12571" max="12800" width="8.75" style="150"/>
    <col min="12801" max="12802" width="12.75" style="150" customWidth="1"/>
    <col min="12803" max="12825" width="7.08203125" style="150" customWidth="1"/>
    <col min="12826" max="12826" width="24.83203125" style="150" customWidth="1"/>
    <col min="12827" max="13056" width="8.75" style="150"/>
    <col min="13057" max="13058" width="12.75" style="150" customWidth="1"/>
    <col min="13059" max="13081" width="7.08203125" style="150" customWidth="1"/>
    <col min="13082" max="13082" width="24.83203125" style="150" customWidth="1"/>
    <col min="13083" max="13312" width="8.75" style="150"/>
    <col min="13313" max="13314" width="12.75" style="150" customWidth="1"/>
    <col min="13315" max="13337" width="7.08203125" style="150" customWidth="1"/>
    <col min="13338" max="13338" width="24.83203125" style="150" customWidth="1"/>
    <col min="13339" max="13568" width="8.75" style="150"/>
    <col min="13569" max="13570" width="12.75" style="150" customWidth="1"/>
    <col min="13571" max="13593" width="7.08203125" style="150" customWidth="1"/>
    <col min="13594" max="13594" width="24.83203125" style="150" customWidth="1"/>
    <col min="13595" max="13824" width="8.75" style="150"/>
    <col min="13825" max="13826" width="12.75" style="150" customWidth="1"/>
    <col min="13827" max="13849" width="7.08203125" style="150" customWidth="1"/>
    <col min="13850" max="13850" width="24.83203125" style="150" customWidth="1"/>
    <col min="13851" max="14080" width="8.75" style="150"/>
    <col min="14081" max="14082" width="12.75" style="150" customWidth="1"/>
    <col min="14083" max="14105" width="7.08203125" style="150" customWidth="1"/>
    <col min="14106" max="14106" width="24.83203125" style="150" customWidth="1"/>
    <col min="14107" max="14336" width="8.75" style="150"/>
    <col min="14337" max="14338" width="12.75" style="150" customWidth="1"/>
    <col min="14339" max="14361" width="7.08203125" style="150" customWidth="1"/>
    <col min="14362" max="14362" width="24.83203125" style="150" customWidth="1"/>
    <col min="14363" max="14592" width="8.75" style="150"/>
    <col min="14593" max="14594" width="12.75" style="150" customWidth="1"/>
    <col min="14595" max="14617" width="7.08203125" style="150" customWidth="1"/>
    <col min="14618" max="14618" width="24.83203125" style="150" customWidth="1"/>
    <col min="14619" max="14848" width="8.75" style="150"/>
    <col min="14849" max="14850" width="12.75" style="150" customWidth="1"/>
    <col min="14851" max="14873" width="7.08203125" style="150" customWidth="1"/>
    <col min="14874" max="14874" width="24.83203125" style="150" customWidth="1"/>
    <col min="14875" max="15104" width="8.75" style="150"/>
    <col min="15105" max="15106" width="12.75" style="150" customWidth="1"/>
    <col min="15107" max="15129" width="7.08203125" style="150" customWidth="1"/>
    <col min="15130" max="15130" width="24.83203125" style="150" customWidth="1"/>
    <col min="15131" max="15360" width="8.75" style="150"/>
    <col min="15361" max="15362" width="12.75" style="150" customWidth="1"/>
    <col min="15363" max="15385" width="7.08203125" style="150" customWidth="1"/>
    <col min="15386" max="15386" width="24.83203125" style="150" customWidth="1"/>
    <col min="15387" max="15616" width="8.75" style="150"/>
    <col min="15617" max="15618" width="12.75" style="150" customWidth="1"/>
    <col min="15619" max="15641" width="7.08203125" style="150" customWidth="1"/>
    <col min="15642" max="15642" width="24.83203125" style="150" customWidth="1"/>
    <col min="15643" max="15872" width="8.75" style="150"/>
    <col min="15873" max="15874" width="12.75" style="150" customWidth="1"/>
    <col min="15875" max="15897" width="7.08203125" style="150" customWidth="1"/>
    <col min="15898" max="15898" width="24.83203125" style="150" customWidth="1"/>
    <col min="15899" max="16128" width="8.75" style="150"/>
    <col min="16129" max="16130" width="12.75" style="150" customWidth="1"/>
    <col min="16131" max="16153" width="7.08203125" style="150" customWidth="1"/>
    <col min="16154" max="16154" width="24.83203125" style="150" customWidth="1"/>
    <col min="16155" max="16384" width="8.75" style="150"/>
  </cols>
  <sheetData>
    <row r="1" spans="1:27" ht="14.5" thickBot="1"/>
    <row r="2" spans="1:27">
      <c r="C2" s="1447" t="s">
        <v>1201</v>
      </c>
      <c r="D2" s="1448"/>
      <c r="E2" s="1448"/>
      <c r="F2" s="1448"/>
      <c r="G2" s="1448"/>
      <c r="H2" s="1448"/>
      <c r="I2" s="1448"/>
      <c r="J2" s="1448"/>
      <c r="K2" s="1448"/>
      <c r="L2" s="1448"/>
      <c r="M2" s="1448"/>
      <c r="N2" s="1448"/>
      <c r="O2" s="1448"/>
      <c r="P2" s="1448"/>
      <c r="Q2" s="1448"/>
      <c r="R2" s="1448"/>
      <c r="S2" s="1448"/>
      <c r="T2" s="1449"/>
      <c r="U2" s="1450" t="s">
        <v>1202</v>
      </c>
      <c r="V2" s="1451"/>
      <c r="W2" s="1451"/>
      <c r="X2" s="1451"/>
      <c r="Y2" s="1452"/>
    </row>
    <row r="3" spans="1:27">
      <c r="A3" s="1324" t="s">
        <v>1203</v>
      </c>
      <c r="B3" s="1324" t="s">
        <v>1204</v>
      </c>
      <c r="C3" s="1325" t="s">
        <v>1097</v>
      </c>
      <c r="D3" s="1324" t="s">
        <v>1098</v>
      </c>
      <c r="E3" s="1324" t="s">
        <v>1099</v>
      </c>
      <c r="F3" s="1324" t="s">
        <v>1100</v>
      </c>
      <c r="G3" s="1324" t="s">
        <v>1101</v>
      </c>
      <c r="H3" s="1324" t="s">
        <v>1102</v>
      </c>
      <c r="I3" s="1324" t="s">
        <v>1103</v>
      </c>
      <c r="J3" s="1324" t="s">
        <v>1104</v>
      </c>
      <c r="K3" s="1324" t="s">
        <v>1105</v>
      </c>
      <c r="L3" s="1324" t="s">
        <v>1106</v>
      </c>
      <c r="M3" s="1324" t="s">
        <v>1107</v>
      </c>
      <c r="N3" s="1324" t="s">
        <v>1108</v>
      </c>
      <c r="O3" s="1324" t="s">
        <v>1109</v>
      </c>
      <c r="P3" s="1324" t="s">
        <v>1110</v>
      </c>
      <c r="Q3" s="1324" t="s">
        <v>1111</v>
      </c>
      <c r="R3" s="1324" t="s">
        <v>1112</v>
      </c>
      <c r="S3" s="1324" t="s">
        <v>1113</v>
      </c>
      <c r="T3" s="1326" t="s">
        <v>1114</v>
      </c>
      <c r="U3" s="1325" t="s">
        <v>1115</v>
      </c>
      <c r="V3" s="1324" t="s">
        <v>1205</v>
      </c>
      <c r="W3" s="1324" t="s">
        <v>1206</v>
      </c>
      <c r="X3" s="1324" t="s">
        <v>1207</v>
      </c>
      <c r="Y3" s="1326" t="s">
        <v>1208</v>
      </c>
      <c r="Z3" s="1324" t="s">
        <v>1209</v>
      </c>
      <c r="AA3" s="1324" t="s">
        <v>1210</v>
      </c>
    </row>
    <row r="4" spans="1:27">
      <c r="A4" s="1327">
        <v>11</v>
      </c>
      <c r="B4" s="1328" t="s">
        <v>1211</v>
      </c>
      <c r="C4" s="1329">
        <v>0</v>
      </c>
      <c r="D4" s="1330">
        <v>0</v>
      </c>
      <c r="E4" s="1330">
        <v>0</v>
      </c>
      <c r="F4" s="1330">
        <v>0</v>
      </c>
      <c r="G4" s="1330">
        <v>0</v>
      </c>
      <c r="H4" s="1330">
        <v>0</v>
      </c>
      <c r="I4" s="1330">
        <v>0</v>
      </c>
      <c r="J4" s="1330">
        <v>0</v>
      </c>
      <c r="K4" s="1330">
        <v>0</v>
      </c>
      <c r="L4" s="1330">
        <v>0</v>
      </c>
      <c r="M4" s="1330">
        <v>0</v>
      </c>
      <c r="N4" s="1330">
        <v>0</v>
      </c>
      <c r="O4" s="1330">
        <v>0</v>
      </c>
      <c r="P4" s="1330">
        <v>0</v>
      </c>
      <c r="Q4" s="1330">
        <v>0</v>
      </c>
      <c r="R4" s="1330">
        <v>0</v>
      </c>
      <c r="S4" s="1330">
        <v>0</v>
      </c>
      <c r="T4" s="1331">
        <v>3400</v>
      </c>
      <c r="U4" s="1329">
        <v>4000</v>
      </c>
      <c r="V4" s="1330">
        <v>4900</v>
      </c>
      <c r="W4" s="1330">
        <v>7900</v>
      </c>
      <c r="X4" s="1330">
        <v>10500</v>
      </c>
      <c r="Y4" s="1331">
        <v>10500</v>
      </c>
      <c r="Z4" s="1328" t="s">
        <v>1035</v>
      </c>
      <c r="AA4" s="236">
        <f>(Y4/T4)^(1/(2050-2017))-1</f>
        <v>3.476018202772635E-2</v>
      </c>
    </row>
    <row r="5" spans="1:27">
      <c r="A5" s="1327">
        <v>12</v>
      </c>
      <c r="B5" s="1328" t="s">
        <v>1212</v>
      </c>
      <c r="C5" s="1329">
        <v>0</v>
      </c>
      <c r="D5" s="1330">
        <v>0</v>
      </c>
      <c r="E5" s="1330">
        <v>0</v>
      </c>
      <c r="F5" s="1330">
        <v>0</v>
      </c>
      <c r="G5" s="1330">
        <v>0</v>
      </c>
      <c r="H5" s="1330">
        <v>0</v>
      </c>
      <c r="I5" s="1330">
        <v>0</v>
      </c>
      <c r="J5" s="1330">
        <v>0</v>
      </c>
      <c r="K5" s="1330">
        <v>0</v>
      </c>
      <c r="L5" s="1330">
        <v>0</v>
      </c>
      <c r="M5" s="1330">
        <v>0</v>
      </c>
      <c r="N5" s="1330">
        <v>0</v>
      </c>
      <c r="O5" s="1330">
        <v>0</v>
      </c>
      <c r="P5" s="1330">
        <v>0</v>
      </c>
      <c r="Q5" s="1330">
        <v>0</v>
      </c>
      <c r="R5" s="1330">
        <v>0</v>
      </c>
      <c r="S5" s="1330">
        <v>0</v>
      </c>
      <c r="T5" s="1331">
        <v>3400</v>
      </c>
      <c r="U5" s="1329">
        <v>4100</v>
      </c>
      <c r="V5" s="1330">
        <v>5000</v>
      </c>
      <c r="W5" s="1330">
        <v>12000</v>
      </c>
      <c r="X5" s="1330">
        <v>18000</v>
      </c>
      <c r="Y5" s="1331">
        <v>23000</v>
      </c>
      <c r="Z5" s="1328" t="s">
        <v>1213</v>
      </c>
      <c r="AA5" s="236">
        <f t="shared" ref="AA5:AA19" si="0">(Y5/T5)^(1/(2050-2017))-1</f>
        <v>5.964174253076715E-2</v>
      </c>
    </row>
    <row r="6" spans="1:27">
      <c r="A6" s="1327">
        <v>13</v>
      </c>
      <c r="B6" s="1328" t="s">
        <v>1214</v>
      </c>
      <c r="C6" s="1329">
        <v>0</v>
      </c>
      <c r="D6" s="1330">
        <v>0</v>
      </c>
      <c r="E6" s="1330">
        <v>0</v>
      </c>
      <c r="F6" s="1330">
        <v>0</v>
      </c>
      <c r="G6" s="1330">
        <v>0</v>
      </c>
      <c r="H6" s="1330">
        <v>0</v>
      </c>
      <c r="I6" s="1330">
        <v>0</v>
      </c>
      <c r="J6" s="1330">
        <v>0</v>
      </c>
      <c r="K6" s="1330">
        <v>0</v>
      </c>
      <c r="L6" s="1330">
        <v>0</v>
      </c>
      <c r="M6" s="1330">
        <v>0</v>
      </c>
      <c r="N6" s="1330">
        <v>0</v>
      </c>
      <c r="O6" s="1330">
        <v>0</v>
      </c>
      <c r="P6" s="1330">
        <v>0</v>
      </c>
      <c r="Q6" s="1330">
        <v>0</v>
      </c>
      <c r="R6" s="1330">
        <v>0</v>
      </c>
      <c r="S6" s="1330">
        <v>0</v>
      </c>
      <c r="T6" s="1331">
        <v>3400</v>
      </c>
      <c r="U6" s="1329">
        <v>3800</v>
      </c>
      <c r="V6" s="1330">
        <v>3900</v>
      </c>
      <c r="W6" s="1330">
        <v>8600</v>
      </c>
      <c r="X6" s="1330">
        <v>12500</v>
      </c>
      <c r="Y6" s="1331">
        <v>13500</v>
      </c>
      <c r="Z6" s="1328" t="s">
        <v>1215</v>
      </c>
      <c r="AA6" s="236">
        <f t="shared" si="0"/>
        <v>4.2670572924452088E-2</v>
      </c>
    </row>
    <row r="7" spans="1:27">
      <c r="A7" s="1327">
        <v>15</v>
      </c>
      <c r="B7" s="1328" t="s">
        <v>1216</v>
      </c>
      <c r="C7" s="1329">
        <v>0</v>
      </c>
      <c r="D7" s="1330">
        <v>0</v>
      </c>
      <c r="E7" s="1330">
        <v>0</v>
      </c>
      <c r="F7" s="1330">
        <v>0</v>
      </c>
      <c r="G7" s="1330">
        <v>0</v>
      </c>
      <c r="H7" s="1330">
        <v>0</v>
      </c>
      <c r="I7" s="1330">
        <v>0</v>
      </c>
      <c r="J7" s="1330">
        <v>0</v>
      </c>
      <c r="K7" s="1330">
        <v>0</v>
      </c>
      <c r="L7" s="1330">
        <v>0</v>
      </c>
      <c r="M7" s="1330">
        <v>0</v>
      </c>
      <c r="N7" s="1330">
        <v>0</v>
      </c>
      <c r="O7" s="1330">
        <v>0</v>
      </c>
      <c r="P7" s="1330">
        <v>0</v>
      </c>
      <c r="Q7" s="1330">
        <v>0</v>
      </c>
      <c r="R7" s="1330">
        <v>0</v>
      </c>
      <c r="S7" s="1330">
        <v>0</v>
      </c>
      <c r="T7" s="1331">
        <v>3400</v>
      </c>
      <c r="U7" s="1329">
        <v>4100</v>
      </c>
      <c r="V7" s="1330">
        <v>4800</v>
      </c>
      <c r="W7" s="1330">
        <v>7700</v>
      </c>
      <c r="X7" s="1330">
        <v>9600</v>
      </c>
      <c r="Y7" s="1331">
        <v>9700</v>
      </c>
      <c r="Z7" s="1328" t="s">
        <v>1217</v>
      </c>
      <c r="AA7" s="236">
        <f t="shared" si="0"/>
        <v>3.2278190913891613E-2</v>
      </c>
    </row>
    <row r="8" spans="1:27">
      <c r="A8" s="1327">
        <v>21</v>
      </c>
      <c r="B8" s="1328" t="s">
        <v>1218</v>
      </c>
      <c r="C8" s="1329">
        <v>6400</v>
      </c>
      <c r="D8" s="1330">
        <v>6500</v>
      </c>
      <c r="E8" s="1330">
        <v>5300</v>
      </c>
      <c r="F8" s="1330">
        <v>5300</v>
      </c>
      <c r="G8" s="1330">
        <v>6800</v>
      </c>
      <c r="H8" s="1330">
        <v>6800</v>
      </c>
      <c r="I8" s="1330">
        <v>7100</v>
      </c>
      <c r="J8" s="1330">
        <v>7800</v>
      </c>
      <c r="K8" s="1330">
        <v>7400</v>
      </c>
      <c r="L8" s="1330">
        <v>7400</v>
      </c>
      <c r="M8" s="1330">
        <v>7300</v>
      </c>
      <c r="N8" s="1330">
        <v>7300</v>
      </c>
      <c r="O8" s="1330">
        <v>9900</v>
      </c>
      <c r="P8" s="1330">
        <v>9700</v>
      </c>
      <c r="Q8" s="1330">
        <v>9800</v>
      </c>
      <c r="R8" s="1330">
        <v>10000</v>
      </c>
      <c r="S8" s="1330">
        <v>11000</v>
      </c>
      <c r="T8" s="1331">
        <v>11000</v>
      </c>
      <c r="U8" s="1329">
        <v>12000</v>
      </c>
      <c r="V8" s="1330">
        <v>13500</v>
      </c>
      <c r="W8" s="1330">
        <v>16000</v>
      </c>
      <c r="X8" s="1330">
        <v>14500</v>
      </c>
      <c r="Y8" s="1331">
        <v>16000</v>
      </c>
      <c r="Z8" s="1328" t="s">
        <v>1219</v>
      </c>
      <c r="AA8" s="236">
        <f t="shared" si="0"/>
        <v>1.1419052213564651E-2</v>
      </c>
    </row>
    <row r="9" spans="1:27">
      <c r="A9" s="1327">
        <v>24</v>
      </c>
      <c r="B9" s="1328" t="s">
        <v>1220</v>
      </c>
      <c r="C9" s="1329">
        <v>0</v>
      </c>
      <c r="D9" s="1330">
        <v>0</v>
      </c>
      <c r="E9" s="1330">
        <v>0</v>
      </c>
      <c r="F9" s="1330">
        <v>11000</v>
      </c>
      <c r="G9" s="1330">
        <v>11000</v>
      </c>
      <c r="H9" s="1330">
        <v>11000</v>
      </c>
      <c r="I9" s="1330">
        <v>12000</v>
      </c>
      <c r="J9" s="1330">
        <v>12000</v>
      </c>
      <c r="K9" s="1330">
        <v>11000</v>
      </c>
      <c r="L9" s="1330">
        <v>11000</v>
      </c>
      <c r="M9" s="1330">
        <v>11000</v>
      </c>
      <c r="N9" s="1330">
        <v>11000</v>
      </c>
      <c r="O9" s="1330">
        <v>13000</v>
      </c>
      <c r="P9" s="1330">
        <v>13000</v>
      </c>
      <c r="Q9" s="1330">
        <v>13000</v>
      </c>
      <c r="R9" s="1330">
        <v>13000</v>
      </c>
      <c r="S9" s="1330">
        <v>14000</v>
      </c>
      <c r="T9" s="1331">
        <v>15000</v>
      </c>
      <c r="U9" s="1329">
        <v>16000</v>
      </c>
      <c r="V9" s="1330">
        <v>16000</v>
      </c>
      <c r="W9" s="1330">
        <v>16500</v>
      </c>
      <c r="X9" s="1330">
        <v>15500</v>
      </c>
      <c r="Y9" s="1331">
        <v>18000</v>
      </c>
      <c r="Z9" s="1328" t="s">
        <v>1221</v>
      </c>
      <c r="AA9" s="236">
        <f t="shared" si="0"/>
        <v>5.5401860427382044E-3</v>
      </c>
    </row>
    <row r="10" spans="1:27">
      <c r="A10" s="1327">
        <v>25</v>
      </c>
      <c r="B10" s="1328" t="s">
        <v>1222</v>
      </c>
      <c r="C10" s="1329">
        <v>17000</v>
      </c>
      <c r="D10" s="1330">
        <v>17000</v>
      </c>
      <c r="E10" s="1330">
        <v>20000</v>
      </c>
      <c r="F10" s="1330">
        <v>20000</v>
      </c>
      <c r="G10" s="1330">
        <v>19000</v>
      </c>
      <c r="H10" s="1330">
        <v>19000</v>
      </c>
      <c r="I10" s="1330">
        <v>20000</v>
      </c>
      <c r="J10" s="1330">
        <v>21000</v>
      </c>
      <c r="K10" s="1330">
        <v>20000</v>
      </c>
      <c r="L10" s="1330">
        <v>20000</v>
      </c>
      <c r="M10" s="1330">
        <v>20000</v>
      </c>
      <c r="N10" s="1330">
        <v>20000</v>
      </c>
      <c r="O10" s="1330">
        <v>20000</v>
      </c>
      <c r="P10" s="1330">
        <v>20000</v>
      </c>
      <c r="Q10" s="1330">
        <v>21000</v>
      </c>
      <c r="R10" s="1330">
        <v>22000</v>
      </c>
      <c r="S10" s="1330">
        <v>23000</v>
      </c>
      <c r="T10" s="1331">
        <v>24000</v>
      </c>
      <c r="U10" s="1329">
        <v>25500</v>
      </c>
      <c r="V10" s="1330">
        <v>27500</v>
      </c>
      <c r="W10" s="1330">
        <v>26000</v>
      </c>
      <c r="X10" s="1330">
        <v>22500</v>
      </c>
      <c r="Y10" s="1331">
        <v>25000</v>
      </c>
      <c r="Z10" s="1328" t="s">
        <v>1219</v>
      </c>
      <c r="AA10" s="236">
        <f t="shared" si="0"/>
        <v>1.2377955743478886E-3</v>
      </c>
    </row>
    <row r="11" spans="1:27">
      <c r="A11" s="1327">
        <v>26</v>
      </c>
      <c r="B11" s="1328" t="s">
        <v>1223</v>
      </c>
      <c r="C11" s="1329">
        <v>0</v>
      </c>
      <c r="D11" s="1330">
        <v>0</v>
      </c>
      <c r="E11" s="1330">
        <v>0</v>
      </c>
      <c r="F11" s="1330">
        <v>14000</v>
      </c>
      <c r="G11" s="1330">
        <v>14000</v>
      </c>
      <c r="H11" s="1330">
        <v>16000</v>
      </c>
      <c r="I11" s="1330">
        <v>16000</v>
      </c>
      <c r="J11" s="1330">
        <v>17000</v>
      </c>
      <c r="K11" s="1330">
        <v>16000</v>
      </c>
      <c r="L11" s="1330">
        <v>16000</v>
      </c>
      <c r="M11" s="1330">
        <v>16000</v>
      </c>
      <c r="N11" s="1330">
        <v>14000</v>
      </c>
      <c r="O11" s="1330">
        <v>14000</v>
      </c>
      <c r="P11" s="1330">
        <v>13000</v>
      </c>
      <c r="Q11" s="1330">
        <v>14000</v>
      </c>
      <c r="R11" s="1330">
        <v>14000</v>
      </c>
      <c r="S11" s="1330">
        <v>15000</v>
      </c>
      <c r="T11" s="1331">
        <v>15000</v>
      </c>
      <c r="U11" s="1329">
        <v>15500</v>
      </c>
      <c r="V11" s="1330">
        <v>16000</v>
      </c>
      <c r="W11" s="1330">
        <v>15000</v>
      </c>
      <c r="X11" s="1330">
        <v>16000</v>
      </c>
      <c r="Y11" s="1331">
        <v>20000</v>
      </c>
      <c r="Z11" s="1328" t="s">
        <v>1221</v>
      </c>
      <c r="AA11" s="236">
        <f t="shared" si="0"/>
        <v>8.7557478306237169E-3</v>
      </c>
    </row>
    <row r="12" spans="1:27">
      <c r="A12" s="1327">
        <v>27</v>
      </c>
      <c r="B12" s="1328" t="s">
        <v>1224</v>
      </c>
      <c r="C12" s="1329">
        <v>0</v>
      </c>
      <c r="D12" s="1330">
        <v>0</v>
      </c>
      <c r="E12" s="1330">
        <v>0</v>
      </c>
      <c r="F12" s="1330">
        <v>0</v>
      </c>
      <c r="G12" s="1330">
        <v>0</v>
      </c>
      <c r="H12" s="1330">
        <v>0</v>
      </c>
      <c r="I12" s="1330">
        <v>0</v>
      </c>
      <c r="J12" s="1330">
        <v>0</v>
      </c>
      <c r="K12" s="1330">
        <v>0</v>
      </c>
      <c r="L12" s="1330">
        <v>0</v>
      </c>
      <c r="M12" s="1330">
        <v>0</v>
      </c>
      <c r="N12" s="1330">
        <v>0</v>
      </c>
      <c r="O12" s="1330">
        <v>0</v>
      </c>
      <c r="P12" s="1330">
        <v>0</v>
      </c>
      <c r="Q12" s="1330">
        <v>0</v>
      </c>
      <c r="R12" s="1330">
        <v>0</v>
      </c>
      <c r="S12" s="1330">
        <v>0</v>
      </c>
      <c r="T12" s="1331">
        <v>500</v>
      </c>
      <c r="U12" s="1329">
        <v>2400</v>
      </c>
      <c r="V12" s="1330">
        <v>2400</v>
      </c>
      <c r="W12" s="1330">
        <v>7000</v>
      </c>
      <c r="X12" s="1330">
        <v>7100</v>
      </c>
      <c r="Y12" s="1331">
        <v>9900</v>
      </c>
      <c r="Z12" s="1328" t="s">
        <v>1225</v>
      </c>
      <c r="AA12" s="236">
        <f t="shared" si="0"/>
        <v>9.4694370087291535E-2</v>
      </c>
    </row>
    <row r="13" spans="1:27">
      <c r="A13" s="1327">
        <v>28</v>
      </c>
      <c r="B13" s="1328" t="s">
        <v>1226</v>
      </c>
      <c r="C13" s="1329">
        <v>0</v>
      </c>
      <c r="D13" s="1330">
        <v>0</v>
      </c>
      <c r="E13" s="1330">
        <v>0</v>
      </c>
      <c r="F13" s="1330">
        <v>0</v>
      </c>
      <c r="G13" s="1330">
        <v>0</v>
      </c>
      <c r="H13" s="1330">
        <v>0</v>
      </c>
      <c r="I13" s="1330">
        <v>0</v>
      </c>
      <c r="J13" s="1330">
        <v>0</v>
      </c>
      <c r="K13" s="1330">
        <v>0</v>
      </c>
      <c r="L13" s="1330">
        <v>0</v>
      </c>
      <c r="M13" s="1330">
        <v>0</v>
      </c>
      <c r="N13" s="1330">
        <v>0</v>
      </c>
      <c r="O13" s="1330">
        <v>0</v>
      </c>
      <c r="P13" s="1330">
        <v>0</v>
      </c>
      <c r="Q13" s="1330">
        <v>0</v>
      </c>
      <c r="R13" s="1330">
        <v>0</v>
      </c>
      <c r="S13" s="1330">
        <v>0</v>
      </c>
      <c r="T13" s="1331">
        <v>0</v>
      </c>
      <c r="U13" s="1329">
        <v>3400</v>
      </c>
      <c r="V13" s="1330">
        <v>5000</v>
      </c>
      <c r="W13" s="1330">
        <v>8900</v>
      </c>
      <c r="X13" s="1330">
        <v>6700</v>
      </c>
      <c r="Y13" s="1331">
        <v>9300</v>
      </c>
      <c r="Z13" s="1328" t="s">
        <v>1227</v>
      </c>
      <c r="AA13" s="236">
        <f>(Y13/U13)^(1/(2050-2019))-1</f>
        <v>3.2991871797320993E-2</v>
      </c>
    </row>
    <row r="14" spans="1:27">
      <c r="A14" s="1327">
        <v>29</v>
      </c>
      <c r="B14" s="1328" t="s">
        <v>1228</v>
      </c>
      <c r="C14" s="1329">
        <v>17000</v>
      </c>
      <c r="D14" s="1330">
        <v>17000</v>
      </c>
      <c r="E14" s="1330">
        <v>19000</v>
      </c>
      <c r="F14" s="1330">
        <v>19000</v>
      </c>
      <c r="G14" s="1330">
        <v>19000</v>
      </c>
      <c r="H14" s="1330">
        <v>19000</v>
      </c>
      <c r="I14" s="1330">
        <v>19000</v>
      </c>
      <c r="J14" s="1330">
        <v>19000</v>
      </c>
      <c r="K14" s="1330">
        <v>18000</v>
      </c>
      <c r="L14" s="1330">
        <v>18000</v>
      </c>
      <c r="M14" s="1330">
        <v>18000</v>
      </c>
      <c r="N14" s="1330">
        <v>18000</v>
      </c>
      <c r="O14" s="1330">
        <v>18000</v>
      </c>
      <c r="P14" s="1330">
        <v>18000</v>
      </c>
      <c r="Q14" s="1330">
        <v>18000</v>
      </c>
      <c r="R14" s="1330">
        <v>18000</v>
      </c>
      <c r="S14" s="1330">
        <v>19000</v>
      </c>
      <c r="T14" s="1331">
        <v>20000</v>
      </c>
      <c r="U14" s="1329">
        <v>21500</v>
      </c>
      <c r="V14" s="1330">
        <v>24000</v>
      </c>
      <c r="W14" s="1330">
        <v>24000</v>
      </c>
      <c r="X14" s="1330">
        <v>21500</v>
      </c>
      <c r="Y14" s="1331">
        <v>24500</v>
      </c>
      <c r="Z14" s="1328" t="s">
        <v>1229</v>
      </c>
      <c r="AA14" s="236">
        <f t="shared" si="0"/>
        <v>6.168670911530949E-3</v>
      </c>
    </row>
    <row r="15" spans="1:27">
      <c r="A15" s="1327">
        <v>30</v>
      </c>
      <c r="B15" s="1328" t="s">
        <v>1230</v>
      </c>
      <c r="C15" s="1329">
        <v>16000</v>
      </c>
      <c r="D15" s="1330">
        <v>16000</v>
      </c>
      <c r="E15" s="1330">
        <v>18000</v>
      </c>
      <c r="F15" s="1330">
        <v>18000</v>
      </c>
      <c r="G15" s="1330">
        <v>19000</v>
      </c>
      <c r="H15" s="1330">
        <v>19000</v>
      </c>
      <c r="I15" s="1330">
        <v>20000</v>
      </c>
      <c r="J15" s="1330">
        <v>19000</v>
      </c>
      <c r="K15" s="1330">
        <v>20000</v>
      </c>
      <c r="L15" s="1330">
        <v>20000</v>
      </c>
      <c r="M15" s="1330">
        <v>20000</v>
      </c>
      <c r="N15" s="1330">
        <v>20000</v>
      </c>
      <c r="O15" s="1330">
        <v>20000</v>
      </c>
      <c r="P15" s="1330">
        <v>30000</v>
      </c>
      <c r="Q15" s="1330">
        <v>30000</v>
      </c>
      <c r="R15" s="1330">
        <v>31000</v>
      </c>
      <c r="S15" s="1330">
        <v>33000</v>
      </c>
      <c r="T15" s="1331">
        <v>34000</v>
      </c>
      <c r="U15" s="1329">
        <v>36000</v>
      </c>
      <c r="V15" s="1330">
        <v>39000</v>
      </c>
      <c r="W15" s="1330">
        <v>40000</v>
      </c>
      <c r="X15" s="1330">
        <v>37000</v>
      </c>
      <c r="Y15" s="1331">
        <v>41000</v>
      </c>
      <c r="Z15" s="1328" t="s">
        <v>1231</v>
      </c>
      <c r="AA15" s="236">
        <f t="shared" si="0"/>
        <v>5.6891994078913655E-3</v>
      </c>
    </row>
    <row r="16" spans="1:27">
      <c r="A16" s="1327">
        <v>31</v>
      </c>
      <c r="B16" s="1328" t="s">
        <v>1232</v>
      </c>
      <c r="C16" s="1329">
        <v>0</v>
      </c>
      <c r="D16" s="1330">
        <v>0</v>
      </c>
      <c r="E16" s="1330">
        <v>0</v>
      </c>
      <c r="F16" s="1330">
        <v>0</v>
      </c>
      <c r="G16" s="1330">
        <v>0</v>
      </c>
      <c r="H16" s="1330">
        <v>0</v>
      </c>
      <c r="I16" s="1330">
        <v>0</v>
      </c>
      <c r="J16" s="1330">
        <v>0</v>
      </c>
      <c r="K16" s="1330">
        <v>0</v>
      </c>
      <c r="L16" s="1330">
        <v>0</v>
      </c>
      <c r="M16" s="1330">
        <v>0</v>
      </c>
      <c r="N16" s="1330">
        <v>0</v>
      </c>
      <c r="O16" s="1330">
        <v>0</v>
      </c>
      <c r="P16" s="1330">
        <v>0</v>
      </c>
      <c r="Q16" s="1330">
        <v>0</v>
      </c>
      <c r="R16" s="1330">
        <v>0</v>
      </c>
      <c r="S16" s="1330">
        <v>0</v>
      </c>
      <c r="T16" s="1331">
        <v>1000</v>
      </c>
      <c r="U16" s="1329">
        <v>1400</v>
      </c>
      <c r="V16" s="1330">
        <v>2200</v>
      </c>
      <c r="W16" s="1330">
        <v>2200</v>
      </c>
      <c r="X16" s="1330">
        <v>4700</v>
      </c>
      <c r="Y16" s="1331">
        <v>5100</v>
      </c>
      <c r="Z16" s="1328" t="s">
        <v>1233</v>
      </c>
      <c r="AA16" s="236">
        <f t="shared" si="0"/>
        <v>5.0609976448993343E-2</v>
      </c>
    </row>
    <row r="17" spans="1:27">
      <c r="A17" s="1327">
        <v>32</v>
      </c>
      <c r="B17" s="1328" t="s">
        <v>1234</v>
      </c>
      <c r="C17" s="1329">
        <v>0</v>
      </c>
      <c r="D17" s="1330">
        <v>0</v>
      </c>
      <c r="E17" s="1330">
        <v>0</v>
      </c>
      <c r="F17" s="1330">
        <v>0</v>
      </c>
      <c r="G17" s="1330">
        <v>0</v>
      </c>
      <c r="H17" s="1330">
        <v>0</v>
      </c>
      <c r="I17" s="1330">
        <v>0</v>
      </c>
      <c r="J17" s="1330">
        <v>0</v>
      </c>
      <c r="K17" s="1330">
        <v>0</v>
      </c>
      <c r="L17" s="1330">
        <v>0</v>
      </c>
      <c r="M17" s="1330">
        <v>0</v>
      </c>
      <c r="N17" s="1330">
        <v>0</v>
      </c>
      <c r="O17" s="1330">
        <v>0</v>
      </c>
      <c r="P17" s="1330">
        <v>0</v>
      </c>
      <c r="Q17" s="1330">
        <v>0</v>
      </c>
      <c r="R17" s="1330">
        <v>0</v>
      </c>
      <c r="S17" s="1330">
        <v>0</v>
      </c>
      <c r="T17" s="1331">
        <v>1000</v>
      </c>
      <c r="U17" s="1329">
        <v>1200</v>
      </c>
      <c r="V17" s="1330">
        <v>1600</v>
      </c>
      <c r="W17" s="1330">
        <v>2300</v>
      </c>
      <c r="X17" s="1330">
        <v>2300</v>
      </c>
      <c r="Y17" s="1331">
        <v>4200</v>
      </c>
      <c r="Z17" s="1328" t="s">
        <v>1233</v>
      </c>
      <c r="AA17" s="236">
        <f t="shared" si="0"/>
        <v>4.4446844494382631E-2</v>
      </c>
    </row>
    <row r="18" spans="1:27">
      <c r="A18" s="1327">
        <v>33</v>
      </c>
      <c r="B18" s="1328" t="s">
        <v>1235</v>
      </c>
      <c r="C18" s="1329">
        <v>16000</v>
      </c>
      <c r="D18" s="1330">
        <v>16000</v>
      </c>
      <c r="E18" s="1330">
        <v>18000</v>
      </c>
      <c r="F18" s="1330">
        <v>18000</v>
      </c>
      <c r="G18" s="1330">
        <v>19000</v>
      </c>
      <c r="H18" s="1330">
        <v>19000</v>
      </c>
      <c r="I18" s="1330">
        <v>20000</v>
      </c>
      <c r="J18" s="1330">
        <v>19000</v>
      </c>
      <c r="K18" s="1330">
        <v>20000</v>
      </c>
      <c r="L18" s="1330">
        <v>20000</v>
      </c>
      <c r="M18" s="1330">
        <v>20000</v>
      </c>
      <c r="N18" s="1330">
        <v>20000</v>
      </c>
      <c r="O18" s="1330">
        <v>20000</v>
      </c>
      <c r="P18" s="1330">
        <v>30000</v>
      </c>
      <c r="Q18" s="1330">
        <v>30000</v>
      </c>
      <c r="R18" s="1330">
        <v>31000</v>
      </c>
      <c r="S18" s="1330">
        <v>33000</v>
      </c>
      <c r="T18" s="1331">
        <v>34000</v>
      </c>
      <c r="U18" s="1329">
        <v>38500</v>
      </c>
      <c r="V18" s="1330">
        <v>43000</v>
      </c>
      <c r="W18" s="1330">
        <v>45500</v>
      </c>
      <c r="X18" s="1330">
        <v>42000</v>
      </c>
      <c r="Y18" s="1331">
        <v>49000</v>
      </c>
      <c r="Z18" s="1328" t="s">
        <v>1236</v>
      </c>
      <c r="AA18" s="236">
        <f t="shared" si="0"/>
        <v>1.1136088294921853E-2</v>
      </c>
    </row>
    <row r="19" spans="1:27">
      <c r="A19" s="1327">
        <v>35</v>
      </c>
      <c r="B19" s="1328" t="s">
        <v>1237</v>
      </c>
      <c r="C19" s="1329">
        <v>1300</v>
      </c>
      <c r="D19" s="1330">
        <v>1400</v>
      </c>
      <c r="E19" s="1330">
        <v>1500</v>
      </c>
      <c r="F19" s="1330">
        <v>1500</v>
      </c>
      <c r="G19" s="1330">
        <v>1900</v>
      </c>
      <c r="H19" s="1330">
        <v>1900</v>
      </c>
      <c r="I19" s="1330">
        <v>5200</v>
      </c>
      <c r="J19" s="1330">
        <v>5300</v>
      </c>
      <c r="K19" s="1330">
        <v>5100</v>
      </c>
      <c r="L19" s="1330">
        <v>5000</v>
      </c>
      <c r="M19" s="1330">
        <v>5000</v>
      </c>
      <c r="N19" s="1330">
        <v>5000</v>
      </c>
      <c r="O19" s="1330">
        <v>9000</v>
      </c>
      <c r="P19" s="1330">
        <v>8800</v>
      </c>
      <c r="Q19" s="1330">
        <v>8900</v>
      </c>
      <c r="R19" s="1330">
        <v>9300</v>
      </c>
      <c r="S19" s="1330">
        <v>9800</v>
      </c>
      <c r="T19" s="1331">
        <v>10000</v>
      </c>
      <c r="U19" s="1329">
        <v>13000</v>
      </c>
      <c r="V19" s="1330">
        <v>18000</v>
      </c>
      <c r="W19" s="1330">
        <v>20000</v>
      </c>
      <c r="X19" s="1330">
        <v>22500</v>
      </c>
      <c r="Y19" s="1331">
        <v>27500</v>
      </c>
      <c r="Z19" s="1328" t="s">
        <v>1238</v>
      </c>
      <c r="AA19" s="236">
        <f t="shared" si="0"/>
        <v>3.1129262558307724E-2</v>
      </c>
    </row>
    <row r="20" spans="1:27">
      <c r="A20" s="1327">
        <v>43</v>
      </c>
      <c r="B20" s="1328" t="s">
        <v>1239</v>
      </c>
      <c r="C20" s="1329">
        <v>0</v>
      </c>
      <c r="D20" s="1330">
        <v>0</v>
      </c>
      <c r="E20" s="1330">
        <v>0</v>
      </c>
      <c r="F20" s="1330">
        <v>0</v>
      </c>
      <c r="G20" s="1330">
        <v>0</v>
      </c>
      <c r="H20" s="1330">
        <v>0</v>
      </c>
      <c r="I20" s="1330">
        <v>0</v>
      </c>
      <c r="J20" s="1330">
        <v>0</v>
      </c>
      <c r="K20" s="1330">
        <v>0</v>
      </c>
      <c r="L20" s="1330">
        <v>0</v>
      </c>
      <c r="M20" s="1330">
        <v>0</v>
      </c>
      <c r="N20" s="1330">
        <v>0</v>
      </c>
      <c r="O20" s="1330">
        <v>0</v>
      </c>
      <c r="P20" s="1330">
        <v>0</v>
      </c>
      <c r="Q20" s="1330">
        <v>0</v>
      </c>
      <c r="R20" s="1330">
        <v>0</v>
      </c>
      <c r="S20" s="1330">
        <v>0</v>
      </c>
      <c r="T20" s="1331">
        <v>0</v>
      </c>
      <c r="U20" s="1329">
        <v>3350</v>
      </c>
      <c r="V20" s="1330">
        <v>3900</v>
      </c>
      <c r="W20" s="1330">
        <v>8200</v>
      </c>
      <c r="X20" s="1330">
        <v>7800</v>
      </c>
      <c r="Y20" s="1331">
        <v>11500</v>
      </c>
      <c r="Z20" s="1328" t="s">
        <v>1240</v>
      </c>
      <c r="AA20" s="236">
        <f>(Y20/U20)^(1/(2050-2019))-1</f>
        <v>4.0588759010640851E-2</v>
      </c>
    </row>
    <row r="21" spans="1:27" ht="14.5" thickBot="1">
      <c r="A21" s="1327">
        <v>47</v>
      </c>
      <c r="B21" s="1328" t="s">
        <v>1241</v>
      </c>
      <c r="C21" s="1332">
        <v>0</v>
      </c>
      <c r="D21" s="1333">
        <v>0</v>
      </c>
      <c r="E21" s="1333">
        <v>0</v>
      </c>
      <c r="F21" s="1333">
        <v>0</v>
      </c>
      <c r="G21" s="1333">
        <v>0</v>
      </c>
      <c r="H21" s="1333">
        <v>0</v>
      </c>
      <c r="I21" s="1333">
        <v>0</v>
      </c>
      <c r="J21" s="1333">
        <v>0</v>
      </c>
      <c r="K21" s="1333">
        <v>0</v>
      </c>
      <c r="L21" s="1333">
        <v>0</v>
      </c>
      <c r="M21" s="1333">
        <v>0</v>
      </c>
      <c r="N21" s="1333">
        <v>0</v>
      </c>
      <c r="O21" s="1333">
        <v>0</v>
      </c>
      <c r="P21" s="1333">
        <v>0</v>
      </c>
      <c r="Q21" s="1333">
        <v>0</v>
      </c>
      <c r="R21" s="1333">
        <v>0</v>
      </c>
      <c r="S21" s="1333">
        <v>0</v>
      </c>
      <c r="T21" s="1334">
        <v>0</v>
      </c>
      <c r="U21" s="1332">
        <v>0</v>
      </c>
      <c r="V21" s="1333">
        <v>0</v>
      </c>
      <c r="W21" s="1333">
        <v>0</v>
      </c>
      <c r="X21" s="1333">
        <v>8100</v>
      </c>
      <c r="Y21" s="1334">
        <v>9600</v>
      </c>
      <c r="Z21" s="1328" t="s">
        <v>1242</v>
      </c>
      <c r="AA21" s="236">
        <f>(Y21/X21)^(1/(2050-2040))-1</f>
        <v>1.7135052951953389E-2</v>
      </c>
    </row>
    <row r="22" spans="1:27">
      <c r="AA22" s="236">
        <f>AVERAGE(AA4:AA21)</f>
        <v>2.9494087001185904E-2</v>
      </c>
    </row>
  </sheetData>
  <mergeCells count="2">
    <mergeCell ref="C2:T2"/>
    <mergeCell ref="U2:Y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34998626667073579"/>
  </sheetPr>
  <dimension ref="A1:L74"/>
  <sheetViews>
    <sheetView showGridLines="0" topLeftCell="A13" workbookViewId="0">
      <selection activeCell="I45" sqref="I45"/>
    </sheetView>
  </sheetViews>
  <sheetFormatPr defaultRowHeight="14"/>
  <cols>
    <col min="1" max="1" width="45.75" customWidth="1"/>
    <col min="2" max="2" width="18.75" customWidth="1"/>
    <col min="3" max="7" width="16.75" customWidth="1"/>
    <col min="8" max="8" width="19.58203125" customWidth="1"/>
  </cols>
  <sheetData>
    <row r="1" spans="1:12" ht="25">
      <c r="A1" s="356" t="s">
        <v>1045</v>
      </c>
      <c r="B1" s="358"/>
      <c r="C1" s="358"/>
      <c r="D1" s="358"/>
      <c r="E1" s="358"/>
      <c r="F1" s="358"/>
      <c r="G1" s="358"/>
      <c r="H1" s="358"/>
      <c r="I1" s="358"/>
      <c r="J1" s="358"/>
      <c r="K1" s="358"/>
      <c r="L1" s="358"/>
    </row>
    <row r="2" spans="1:12">
      <c r="A2" s="358"/>
      <c r="B2" s="358"/>
      <c r="C2" s="358"/>
      <c r="D2" s="358"/>
      <c r="E2" s="358"/>
      <c r="F2" s="358"/>
      <c r="G2" s="358"/>
      <c r="H2" s="358"/>
      <c r="I2" s="358"/>
      <c r="J2" s="358"/>
      <c r="K2" s="358"/>
      <c r="L2" s="358"/>
    </row>
    <row r="3" spans="1:12">
      <c r="A3" s="567" t="s">
        <v>843</v>
      </c>
      <c r="B3" s="567" t="s">
        <v>13</v>
      </c>
      <c r="C3" s="599" t="s">
        <v>8</v>
      </c>
      <c r="D3" s="567" t="s">
        <v>14</v>
      </c>
      <c r="E3" s="567"/>
      <c r="F3" s="567"/>
      <c r="G3" s="567"/>
      <c r="H3" s="567"/>
      <c r="I3" s="358"/>
      <c r="J3" s="358"/>
      <c r="K3" s="358"/>
      <c r="L3" s="358"/>
    </row>
    <row r="4" spans="1:12" s="150" customFormat="1">
      <c r="A4" s="600" t="s">
        <v>1254</v>
      </c>
      <c r="B4" s="600" t="s">
        <v>598</v>
      </c>
      <c r="C4" s="726">
        <v>2021</v>
      </c>
      <c r="D4" s="1425"/>
      <c r="E4" s="1426"/>
      <c r="F4" s="1426"/>
      <c r="G4" s="1426"/>
      <c r="H4" s="1427"/>
      <c r="I4" s="358"/>
      <c r="J4" s="358"/>
      <c r="K4" s="358"/>
      <c r="L4" s="358"/>
    </row>
    <row r="5" spans="1:12" s="150" customFormat="1">
      <c r="A5" s="600" t="s">
        <v>597</v>
      </c>
      <c r="B5" s="600" t="s">
        <v>598</v>
      </c>
      <c r="C5" s="726">
        <v>2021</v>
      </c>
      <c r="D5" s="1425"/>
      <c r="E5" s="1426"/>
      <c r="F5" s="1426"/>
      <c r="G5" s="1426"/>
      <c r="H5" s="1427"/>
      <c r="I5" s="358"/>
      <c r="J5" s="358"/>
      <c r="K5" s="358"/>
      <c r="L5" s="358"/>
    </row>
    <row r="6" spans="1:12" s="150" customFormat="1">
      <c r="A6" s="600" t="s">
        <v>444</v>
      </c>
      <c r="B6" s="600" t="s">
        <v>598</v>
      </c>
      <c r="C6" s="726">
        <v>2024</v>
      </c>
      <c r="D6" s="1425"/>
      <c r="E6" s="1426"/>
      <c r="F6" s="1426"/>
      <c r="G6" s="1426"/>
      <c r="H6" s="1427"/>
      <c r="I6" s="358"/>
      <c r="J6" s="358"/>
      <c r="K6" s="358"/>
      <c r="L6" s="358"/>
    </row>
    <row r="7" spans="1:12" s="150" customFormat="1">
      <c r="A7" s="600" t="s">
        <v>532</v>
      </c>
      <c r="B7" s="600" t="s">
        <v>599</v>
      </c>
      <c r="C7" s="632">
        <v>30</v>
      </c>
      <c r="D7" s="1428"/>
      <c r="E7" s="1429"/>
      <c r="F7" s="1429"/>
      <c r="G7" s="1429"/>
      <c r="H7" s="1430"/>
      <c r="I7" s="358"/>
      <c r="J7" s="358"/>
      <c r="K7" s="358"/>
      <c r="L7" s="358"/>
    </row>
    <row r="8" spans="1:12" s="150" customFormat="1">
      <c r="A8" s="358"/>
      <c r="B8" s="358"/>
      <c r="C8" s="358"/>
      <c r="D8" s="358"/>
      <c r="E8" s="358"/>
      <c r="F8" s="358"/>
      <c r="G8" s="358"/>
      <c r="H8" s="358"/>
      <c r="I8" s="358"/>
      <c r="J8" s="358"/>
      <c r="K8" s="358"/>
      <c r="L8" s="358"/>
    </row>
    <row r="9" spans="1:12" s="150" customFormat="1">
      <c r="A9" s="567" t="s">
        <v>1166</v>
      </c>
      <c r="B9" s="567" t="s">
        <v>13</v>
      </c>
      <c r="C9" s="599" t="s">
        <v>8</v>
      </c>
      <c r="D9" s="1431" t="s">
        <v>14</v>
      </c>
      <c r="E9" s="1431"/>
      <c r="F9" s="1431"/>
      <c r="G9" s="1431"/>
      <c r="H9" s="1431"/>
      <c r="I9" s="358"/>
      <c r="J9" s="358"/>
      <c r="K9" s="358"/>
      <c r="L9" s="358"/>
    </row>
    <row r="10" spans="1:12" s="1217" customFormat="1">
      <c r="A10" s="1220" t="s">
        <v>1123</v>
      </c>
      <c r="B10" s="1220"/>
      <c r="C10" s="1224"/>
      <c r="D10" s="1424" t="s">
        <v>1050</v>
      </c>
      <c r="E10" s="1424"/>
      <c r="F10" s="1424"/>
      <c r="G10" s="1424"/>
      <c r="H10" s="1424"/>
      <c r="I10" s="385"/>
      <c r="J10" s="385"/>
      <c r="K10" s="385"/>
      <c r="L10" s="385"/>
    </row>
    <row r="11" spans="1:12" s="150" customFormat="1" ht="13.9" customHeight="1">
      <c r="A11" s="1221" t="s">
        <v>1065</v>
      </c>
      <c r="B11" s="1218" t="s">
        <v>1061</v>
      </c>
      <c r="C11" s="1225">
        <v>2</v>
      </c>
      <c r="D11" s="1424"/>
      <c r="E11" s="1424"/>
      <c r="F11" s="1424"/>
      <c r="G11" s="1424"/>
      <c r="H11" s="1424"/>
      <c r="I11" s="358"/>
      <c r="J11" s="358"/>
      <c r="K11" s="358"/>
      <c r="L11" s="358"/>
    </row>
    <row r="12" spans="1:12" s="150" customFormat="1">
      <c r="A12" s="1279" t="s">
        <v>645</v>
      </c>
      <c r="B12" s="601" t="s">
        <v>1066</v>
      </c>
      <c r="C12" s="1226">
        <v>1</v>
      </c>
      <c r="D12" s="1424"/>
      <c r="E12" s="1424"/>
      <c r="F12" s="1424"/>
      <c r="G12" s="1424"/>
      <c r="H12" s="1424"/>
      <c r="I12" s="358"/>
      <c r="J12" s="358"/>
      <c r="K12" s="358"/>
      <c r="L12" s="358"/>
    </row>
    <row r="13" spans="1:12" s="150" customFormat="1">
      <c r="A13" s="1281" t="s">
        <v>1180</v>
      </c>
      <c r="B13" s="1280"/>
      <c r="C13" s="602"/>
      <c r="D13" s="1432" t="s">
        <v>1146</v>
      </c>
      <c r="E13" s="1433"/>
      <c r="F13" s="1433"/>
      <c r="G13" s="1433"/>
      <c r="H13" s="1434"/>
      <c r="I13" s="358"/>
      <c r="J13" s="358"/>
      <c r="K13" s="358"/>
      <c r="L13" s="358"/>
    </row>
    <row r="14" spans="1:12" s="150" customFormat="1">
      <c r="A14" s="1221" t="s">
        <v>1065</v>
      </c>
      <c r="B14" s="1218" t="s">
        <v>1061</v>
      </c>
      <c r="C14" s="1219">
        <v>6</v>
      </c>
      <c r="D14" s="1435"/>
      <c r="E14" s="1436"/>
      <c r="F14" s="1436"/>
      <c r="G14" s="1436"/>
      <c r="H14" s="1437"/>
      <c r="I14" s="358"/>
      <c r="J14" s="358"/>
      <c r="K14" s="358"/>
      <c r="L14" s="358"/>
    </row>
    <row r="15" spans="1:12" s="150" customFormat="1">
      <c r="A15" s="1222" t="s">
        <v>645</v>
      </c>
      <c r="B15" s="601" t="s">
        <v>1066</v>
      </c>
      <c r="C15" s="602">
        <v>2</v>
      </c>
      <c r="D15" s="1438"/>
      <c r="E15" s="1439"/>
      <c r="F15" s="1439"/>
      <c r="G15" s="1439"/>
      <c r="H15" s="1440"/>
      <c r="I15" s="358"/>
      <c r="J15" s="358"/>
      <c r="K15" s="358"/>
      <c r="L15" s="358"/>
    </row>
    <row r="16" spans="1:12" s="150" customFormat="1">
      <c r="A16" s="1223" t="s">
        <v>1145</v>
      </c>
      <c r="B16" s="601"/>
      <c r="C16" s="602"/>
      <c r="D16" s="1441" t="s">
        <v>1147</v>
      </c>
      <c r="E16" s="1442"/>
      <c r="F16" s="1442"/>
      <c r="G16" s="1442"/>
      <c r="H16" s="1443"/>
      <c r="I16" s="358"/>
      <c r="J16" s="358"/>
      <c r="K16" s="358"/>
      <c r="L16" s="358"/>
    </row>
    <row r="17" spans="1:12" s="150" customFormat="1">
      <c r="A17" s="1221" t="s">
        <v>1065</v>
      </c>
      <c r="B17" s="1218" t="s">
        <v>1061</v>
      </c>
      <c r="C17" s="602">
        <v>8</v>
      </c>
      <c r="D17" s="1435"/>
      <c r="E17" s="1436"/>
      <c r="F17" s="1436"/>
      <c r="G17" s="1436"/>
      <c r="H17" s="1437"/>
      <c r="I17" s="358"/>
      <c r="J17" s="358"/>
      <c r="K17" s="358"/>
      <c r="L17" s="358"/>
    </row>
    <row r="18" spans="1:12" s="150" customFormat="1">
      <c r="A18" s="1222" t="s">
        <v>645</v>
      </c>
      <c r="B18" s="601" t="s">
        <v>1066</v>
      </c>
      <c r="C18" s="602">
        <v>4</v>
      </c>
      <c r="D18" s="1438"/>
      <c r="E18" s="1439"/>
      <c r="F18" s="1439"/>
      <c r="G18" s="1439"/>
      <c r="H18" s="1440"/>
      <c r="I18" s="358"/>
      <c r="J18" s="358"/>
      <c r="K18" s="358"/>
      <c r="L18" s="358"/>
    </row>
    <row r="19" spans="1:12" s="150" customFormat="1">
      <c r="A19" s="566" t="s">
        <v>1067</v>
      </c>
      <c r="B19" s="601" t="s">
        <v>15</v>
      </c>
      <c r="C19" s="611">
        <f>POWER(25800000/18800000,1/30)-1</f>
        <v>1.0606441107301023E-2</v>
      </c>
      <c r="D19" s="1428" t="s">
        <v>1296</v>
      </c>
      <c r="E19" s="1429"/>
      <c r="F19" s="1429"/>
      <c r="G19" s="1429"/>
      <c r="H19" s="1430"/>
      <c r="I19" s="358"/>
      <c r="J19" s="358"/>
      <c r="K19" s="358"/>
      <c r="L19" s="358"/>
    </row>
    <row r="20" spans="1:12" s="150" customFormat="1">
      <c r="A20" s="566" t="s">
        <v>1068</v>
      </c>
      <c r="B20" s="601" t="s">
        <v>483</v>
      </c>
      <c r="C20" s="1335">
        <f>5280*3/4</f>
        <v>3960</v>
      </c>
      <c r="D20" s="1428" t="s">
        <v>1297</v>
      </c>
      <c r="E20" s="1429"/>
      <c r="F20" s="1429"/>
      <c r="G20" s="1429"/>
      <c r="H20" s="1430"/>
      <c r="I20" s="358"/>
      <c r="J20" s="358"/>
      <c r="K20" s="358"/>
      <c r="L20" s="358"/>
    </row>
    <row r="21" spans="1:12" s="150" customFormat="1">
      <c r="A21" s="566" t="s">
        <v>484</v>
      </c>
      <c r="B21" s="601" t="s">
        <v>485</v>
      </c>
      <c r="C21" s="602">
        <v>0.5</v>
      </c>
      <c r="D21" s="1428" t="s">
        <v>951</v>
      </c>
      <c r="E21" s="1429"/>
      <c r="F21" s="1429"/>
      <c r="G21" s="1429"/>
      <c r="H21" s="1430"/>
      <c r="I21" s="358"/>
      <c r="J21" s="358"/>
      <c r="K21" s="358"/>
      <c r="L21" s="358"/>
    </row>
    <row r="22" spans="1:12" s="150" customFormat="1">
      <c r="A22" s="358"/>
      <c r="B22" s="358"/>
      <c r="C22" s="358"/>
      <c r="D22" s="358"/>
      <c r="E22" s="358"/>
      <c r="F22" s="358"/>
      <c r="G22" s="358"/>
      <c r="H22" s="358"/>
      <c r="I22" s="358"/>
      <c r="J22" s="358"/>
      <c r="K22" s="358"/>
      <c r="L22" s="358"/>
    </row>
    <row r="23" spans="1:12">
      <c r="A23" s="567" t="s">
        <v>742</v>
      </c>
      <c r="B23" s="567" t="s">
        <v>13</v>
      </c>
      <c r="C23" s="568" t="s">
        <v>1027</v>
      </c>
      <c r="D23" s="568" t="s">
        <v>1033</v>
      </c>
      <c r="E23" s="568" t="s">
        <v>1035</v>
      </c>
      <c r="F23" s="568" t="s">
        <v>1029</v>
      </c>
      <c r="G23" s="568" t="s">
        <v>1032</v>
      </c>
      <c r="H23" s="568" t="s">
        <v>1037</v>
      </c>
      <c r="I23" s="358" t="s">
        <v>842</v>
      </c>
      <c r="J23" s="358"/>
      <c r="K23" s="358"/>
      <c r="L23" s="358"/>
    </row>
    <row r="24" spans="1:12">
      <c r="A24" s="600" t="s">
        <v>602</v>
      </c>
      <c r="B24" s="600" t="s">
        <v>603</v>
      </c>
      <c r="C24" s="606" t="s">
        <v>1028</v>
      </c>
      <c r="D24" s="606" t="s">
        <v>1034</v>
      </c>
      <c r="E24" s="606" t="s">
        <v>1036</v>
      </c>
      <c r="F24" s="606" t="s">
        <v>1030</v>
      </c>
      <c r="G24" s="606" t="s">
        <v>1031</v>
      </c>
      <c r="H24" s="606" t="s">
        <v>1038</v>
      </c>
      <c r="I24" s="358"/>
      <c r="J24" s="358"/>
      <c r="K24" s="358"/>
      <c r="L24" s="358"/>
    </row>
    <row r="25" spans="1:12" s="150" customFormat="1">
      <c r="A25" s="600" t="s">
        <v>934</v>
      </c>
      <c r="B25" s="600"/>
      <c r="C25" s="606" t="s">
        <v>918</v>
      </c>
      <c r="D25" s="606" t="s">
        <v>918</v>
      </c>
      <c r="E25" s="606" t="s">
        <v>918</v>
      </c>
      <c r="F25" s="606" t="s">
        <v>918</v>
      </c>
      <c r="G25" s="606" t="s">
        <v>918</v>
      </c>
      <c r="H25" s="606" t="s">
        <v>918</v>
      </c>
      <c r="I25" s="358"/>
      <c r="J25" s="358"/>
      <c r="K25" s="358"/>
      <c r="L25" s="358"/>
    </row>
    <row r="26" spans="1:12">
      <c r="A26" s="600" t="s">
        <v>604</v>
      </c>
      <c r="B26" s="600"/>
      <c r="C26" s="607" t="s">
        <v>23</v>
      </c>
      <c r="D26" s="607" t="s">
        <v>23</v>
      </c>
      <c r="E26" s="607" t="s">
        <v>23</v>
      </c>
      <c r="F26" s="607" t="s">
        <v>23</v>
      </c>
      <c r="G26" s="607" t="s">
        <v>23</v>
      </c>
      <c r="H26" s="607" t="s">
        <v>23</v>
      </c>
      <c r="I26" s="358"/>
      <c r="J26" s="358"/>
      <c r="K26" s="358"/>
      <c r="L26" s="358"/>
    </row>
    <row r="27" spans="1:12">
      <c r="A27" s="600" t="s">
        <v>615</v>
      </c>
      <c r="B27" s="600"/>
      <c r="C27" s="607" t="s">
        <v>624</v>
      </c>
      <c r="D27" s="607" t="s">
        <v>624</v>
      </c>
      <c r="E27" s="607" t="s">
        <v>624</v>
      </c>
      <c r="F27" s="607" t="s">
        <v>624</v>
      </c>
      <c r="G27" s="607" t="s">
        <v>624</v>
      </c>
      <c r="H27" s="607" t="s">
        <v>624</v>
      </c>
      <c r="I27" s="358"/>
      <c r="J27" s="358"/>
      <c r="K27" s="358"/>
      <c r="L27" s="358"/>
    </row>
    <row r="28" spans="1:12">
      <c r="A28" s="600" t="s">
        <v>605</v>
      </c>
      <c r="B28" s="600"/>
      <c r="C28" s="607" t="s">
        <v>779</v>
      </c>
      <c r="D28" s="607" t="s">
        <v>779</v>
      </c>
      <c r="E28" s="607" t="s">
        <v>779</v>
      </c>
      <c r="F28" s="607" t="s">
        <v>779</v>
      </c>
      <c r="G28" s="607" t="s">
        <v>779</v>
      </c>
      <c r="H28" s="607" t="s">
        <v>779</v>
      </c>
      <c r="I28" s="358"/>
      <c r="J28" s="358"/>
      <c r="K28" s="358"/>
      <c r="L28" s="358"/>
    </row>
    <row r="29" spans="1:12">
      <c r="A29" s="600" t="s">
        <v>613</v>
      </c>
      <c r="B29" s="600"/>
      <c r="C29" s="607" t="s">
        <v>614</v>
      </c>
      <c r="D29" s="607" t="s">
        <v>614</v>
      </c>
      <c r="E29" s="607" t="s">
        <v>614</v>
      </c>
      <c r="F29" s="607" t="s">
        <v>699</v>
      </c>
      <c r="G29" s="607" t="s">
        <v>699</v>
      </c>
      <c r="H29" s="607" t="s">
        <v>614</v>
      </c>
      <c r="I29" s="358"/>
      <c r="J29" s="358"/>
      <c r="K29" s="358"/>
      <c r="L29" s="358"/>
    </row>
    <row r="30" spans="1:12">
      <c r="A30" s="600" t="s">
        <v>611</v>
      </c>
      <c r="B30" s="600" t="s">
        <v>608</v>
      </c>
      <c r="C30" s="606">
        <v>0</v>
      </c>
      <c r="D30" s="606">
        <v>0</v>
      </c>
      <c r="E30" s="606">
        <v>0</v>
      </c>
      <c r="F30" s="606">
        <v>0</v>
      </c>
      <c r="G30" s="606">
        <v>0</v>
      </c>
      <c r="H30" s="606">
        <v>0</v>
      </c>
      <c r="I30" s="358"/>
      <c r="J30" s="358"/>
      <c r="K30" s="358"/>
      <c r="L30" s="358"/>
    </row>
    <row r="31" spans="1:12">
      <c r="A31" s="600" t="s">
        <v>610</v>
      </c>
      <c r="B31" s="600" t="s">
        <v>609</v>
      </c>
      <c r="C31" s="606">
        <v>3</v>
      </c>
      <c r="D31" s="606">
        <v>1</v>
      </c>
      <c r="E31" s="606">
        <v>1</v>
      </c>
      <c r="F31" s="606">
        <v>2</v>
      </c>
      <c r="G31" s="606">
        <v>1</v>
      </c>
      <c r="H31" s="606">
        <v>1</v>
      </c>
      <c r="I31" s="358"/>
      <c r="J31" s="358"/>
      <c r="K31" s="358"/>
      <c r="L31" s="358"/>
    </row>
    <row r="32" spans="1:12">
      <c r="A32" s="600" t="s">
        <v>612</v>
      </c>
      <c r="B32" s="600" t="s">
        <v>448</v>
      </c>
      <c r="C32" s="606">
        <v>10</v>
      </c>
      <c r="D32" s="606">
        <v>10</v>
      </c>
      <c r="E32" s="606">
        <v>10</v>
      </c>
      <c r="F32" s="606">
        <v>10</v>
      </c>
      <c r="G32" s="606">
        <v>10</v>
      </c>
      <c r="H32" s="606">
        <v>10</v>
      </c>
      <c r="I32" s="358"/>
      <c r="J32" s="358"/>
      <c r="K32" s="358"/>
      <c r="L32" s="358"/>
    </row>
    <row r="33" spans="1:12">
      <c r="A33" s="600" t="s">
        <v>1245</v>
      </c>
      <c r="B33" s="600" t="s">
        <v>448</v>
      </c>
      <c r="C33" s="606">
        <v>5</v>
      </c>
      <c r="D33" s="606">
        <v>5</v>
      </c>
      <c r="E33" s="606">
        <v>5</v>
      </c>
      <c r="F33" s="606">
        <v>5</v>
      </c>
      <c r="G33" s="606">
        <v>5</v>
      </c>
      <c r="H33" s="606">
        <v>5</v>
      </c>
      <c r="I33" s="358"/>
      <c r="J33" s="358"/>
      <c r="K33" s="358"/>
      <c r="L33" s="358"/>
    </row>
    <row r="34" spans="1:12">
      <c r="A34" s="600" t="s">
        <v>619</v>
      </c>
      <c r="B34" s="600" t="s">
        <v>448</v>
      </c>
      <c r="C34" s="603">
        <f>AVERAGE(C32:C33)</f>
        <v>7.5</v>
      </c>
      <c r="D34" s="603">
        <f>AVERAGE(D32:D33)</f>
        <v>7.5</v>
      </c>
      <c r="E34" s="603">
        <f>AVERAGE(E32:E33)</f>
        <v>7.5</v>
      </c>
      <c r="F34" s="603">
        <f>AVERAGE(F32:F33)</f>
        <v>7.5</v>
      </c>
      <c r="G34" s="603">
        <f>AVERAGE(G32:G33)</f>
        <v>7.5</v>
      </c>
      <c r="H34" s="603">
        <f t="shared" ref="H34" si="0">AVERAGE(H32:H33)</f>
        <v>7.5</v>
      </c>
      <c r="I34" s="358"/>
      <c r="J34" s="358"/>
      <c r="K34" s="358"/>
      <c r="L34" s="358"/>
    </row>
    <row r="35" spans="1:12">
      <c r="A35" s="600" t="s">
        <v>616</v>
      </c>
      <c r="B35" s="600" t="s">
        <v>617</v>
      </c>
      <c r="C35" s="606">
        <v>2</v>
      </c>
      <c r="D35" s="606">
        <v>2</v>
      </c>
      <c r="E35" s="606">
        <v>2</v>
      </c>
      <c r="F35" s="606">
        <v>2</v>
      </c>
      <c r="G35" s="606">
        <v>2</v>
      </c>
      <c r="H35" s="606">
        <v>2</v>
      </c>
      <c r="I35" s="358"/>
      <c r="J35" s="358"/>
      <c r="K35" s="358"/>
      <c r="L35" s="358"/>
    </row>
    <row r="36" spans="1:12">
      <c r="A36" s="600" t="s">
        <v>618</v>
      </c>
      <c r="B36" s="600" t="s">
        <v>448</v>
      </c>
      <c r="C36" s="606">
        <v>25</v>
      </c>
      <c r="D36" s="606">
        <v>25</v>
      </c>
      <c r="E36" s="606">
        <v>35</v>
      </c>
      <c r="F36" s="606">
        <v>25</v>
      </c>
      <c r="G36" s="1185">
        <v>15</v>
      </c>
      <c r="H36" s="606">
        <v>35</v>
      </c>
      <c r="I36" s="645"/>
      <c r="J36" s="358"/>
      <c r="K36" s="358"/>
      <c r="L36" s="358"/>
    </row>
    <row r="37" spans="1:12">
      <c r="A37" s="358"/>
      <c r="B37" s="358"/>
      <c r="C37" s="358"/>
      <c r="D37" s="358"/>
      <c r="E37" s="358"/>
      <c r="F37" s="358"/>
      <c r="G37" s="358"/>
      <c r="H37" s="358"/>
      <c r="I37" s="358"/>
      <c r="J37" s="358"/>
      <c r="K37" s="358"/>
      <c r="L37" s="358"/>
    </row>
    <row r="38" spans="1:12">
      <c r="A38" s="600" t="s">
        <v>620</v>
      </c>
      <c r="B38" s="600" t="s">
        <v>505</v>
      </c>
      <c r="C38" s="608">
        <v>550</v>
      </c>
      <c r="D38" s="608">
        <v>550</v>
      </c>
      <c r="E38" s="608">
        <v>3900</v>
      </c>
      <c r="F38" s="608">
        <v>550</v>
      </c>
      <c r="G38" s="608">
        <v>130</v>
      </c>
      <c r="H38" s="608">
        <v>3900</v>
      </c>
      <c r="I38" s="358"/>
      <c r="J38" s="358"/>
      <c r="K38" s="358"/>
      <c r="L38" s="358"/>
    </row>
    <row r="39" spans="1:12">
      <c r="A39" s="600" t="s">
        <v>780</v>
      </c>
      <c r="B39" s="600" t="s">
        <v>598</v>
      </c>
      <c r="C39" s="609">
        <v>2010</v>
      </c>
      <c r="D39" s="609">
        <v>2010</v>
      </c>
      <c r="E39" s="609">
        <v>2010</v>
      </c>
      <c r="F39" s="609">
        <v>2010</v>
      </c>
      <c r="G39" s="609">
        <v>1988</v>
      </c>
      <c r="H39" s="609">
        <v>2010</v>
      </c>
      <c r="I39" s="645"/>
      <c r="J39" s="358"/>
      <c r="K39" s="358"/>
      <c r="L39" s="358"/>
    </row>
    <row r="40" spans="1:12">
      <c r="A40" s="600" t="s">
        <v>621</v>
      </c>
      <c r="B40" s="600" t="s">
        <v>15</v>
      </c>
      <c r="C40" s="1272">
        <f>'Annual Growth-AADT Calculation'!$AA$22</f>
        <v>2.9494087001185904E-2</v>
      </c>
      <c r="D40" s="1272">
        <f>'Annual Growth-AADT Calculation'!$AA$22</f>
        <v>2.9494087001185904E-2</v>
      </c>
      <c r="E40" s="1272">
        <f>'Annual Growth-AADT Calculation'!$AA$22</f>
        <v>2.9494087001185904E-2</v>
      </c>
      <c r="F40" s="1272">
        <f>'Annual Growth-AADT Calculation'!$AA$22</f>
        <v>2.9494087001185904E-2</v>
      </c>
      <c r="G40" s="1272">
        <f>'Annual Growth-AADT Calculation'!$AA$22</f>
        <v>2.9494087001185904E-2</v>
      </c>
      <c r="H40" s="1272">
        <f>'Annual Growth-AADT Calculation'!$AA$22</f>
        <v>2.9494087001185904E-2</v>
      </c>
      <c r="I40" s="1344" t="s">
        <v>1253</v>
      </c>
      <c r="J40" s="358"/>
      <c r="K40" s="358"/>
      <c r="L40" s="358"/>
    </row>
    <row r="41" spans="1:12">
      <c r="A41" s="600" t="s">
        <v>487</v>
      </c>
      <c r="B41" s="600" t="s">
        <v>15</v>
      </c>
      <c r="C41" s="1155">
        <v>0.995</v>
      </c>
      <c r="D41" s="604">
        <v>1</v>
      </c>
      <c r="E41" s="604">
        <v>0.88919999999999999</v>
      </c>
      <c r="F41" s="604">
        <v>0.95</v>
      </c>
      <c r="G41" s="1155">
        <v>0.995</v>
      </c>
      <c r="H41" s="604">
        <v>0.9</v>
      </c>
      <c r="I41" s="358"/>
      <c r="J41" s="358"/>
      <c r="K41" s="358"/>
      <c r="L41" s="358"/>
    </row>
    <row r="42" spans="1:12">
      <c r="A42" s="600" t="s">
        <v>488</v>
      </c>
      <c r="B42" s="600" t="s">
        <v>15</v>
      </c>
      <c r="C42" s="611">
        <v>5.0000000000000001E-3</v>
      </c>
      <c r="D42" s="610">
        <v>0</v>
      </c>
      <c r="E42" s="610">
        <v>0.1</v>
      </c>
      <c r="F42" s="610">
        <v>0.05</v>
      </c>
      <c r="G42" s="611">
        <v>5.0000000000000001E-3</v>
      </c>
      <c r="H42" s="610">
        <v>0.1</v>
      </c>
      <c r="I42" s="358"/>
      <c r="J42" s="358"/>
      <c r="K42" s="358"/>
      <c r="L42" s="358"/>
    </row>
    <row r="43" spans="1:12">
      <c r="A43" s="600" t="s">
        <v>743</v>
      </c>
      <c r="B43" s="600" t="s">
        <v>15</v>
      </c>
      <c r="C43" s="610">
        <v>0</v>
      </c>
      <c r="D43" s="610">
        <v>0</v>
      </c>
      <c r="E43" s="610">
        <v>1.0699999999999999E-2</v>
      </c>
      <c r="F43" s="610">
        <v>0</v>
      </c>
      <c r="G43" s="610">
        <v>0</v>
      </c>
      <c r="H43" s="611">
        <v>0</v>
      </c>
      <c r="I43" s="358"/>
      <c r="J43" s="358"/>
      <c r="K43" s="358"/>
      <c r="L43" s="358"/>
    </row>
    <row r="44" spans="1:12">
      <c r="A44" s="358"/>
      <c r="B44" s="358"/>
      <c r="C44" s="1338"/>
      <c r="D44" s="358"/>
      <c r="E44" s="358"/>
      <c r="F44" s="358"/>
      <c r="G44" s="358"/>
      <c r="H44" s="358"/>
      <c r="I44" s="358"/>
      <c r="J44" s="358"/>
      <c r="K44" s="358"/>
      <c r="L44" s="358"/>
    </row>
    <row r="45" spans="1:12">
      <c r="A45" s="600" t="s">
        <v>771</v>
      </c>
      <c r="B45" s="600" t="s">
        <v>292</v>
      </c>
      <c r="C45" s="727">
        <f>4000*'Deflation Factors'!$C$86/'Deflation Factors'!$C$85</f>
        <v>4079.0857972066028</v>
      </c>
      <c r="D45" s="727">
        <f>4000*'Deflation Factors'!$C$86/'Deflation Factors'!$C$85</f>
        <v>4079.0857972066028</v>
      </c>
      <c r="E45" s="727">
        <f>4000*'Deflation Factors'!$C$86/'Deflation Factors'!$C$85</f>
        <v>4079.0857972066028</v>
      </c>
      <c r="F45" s="727">
        <f>4000*'Deflation Factors'!$C$86/'Deflation Factors'!$C$85</f>
        <v>4079.0857972066028</v>
      </c>
      <c r="G45" s="727">
        <f>4000*'Deflation Factors'!$C$86/'Deflation Factors'!$C$85</f>
        <v>4079.0857972066028</v>
      </c>
      <c r="H45" s="727">
        <f>4000*'Deflation Factors'!$C$86/'Deflation Factors'!$C$85</f>
        <v>4079.0857972066028</v>
      </c>
      <c r="I45" s="358" t="s">
        <v>920</v>
      </c>
      <c r="J45" s="358"/>
      <c r="K45" s="358"/>
      <c r="L45" s="358"/>
    </row>
    <row r="46" spans="1:12">
      <c r="A46" s="600" t="s">
        <v>772</v>
      </c>
      <c r="B46" s="600" t="s">
        <v>292</v>
      </c>
      <c r="C46" s="605"/>
      <c r="D46" s="605"/>
      <c r="E46" s="605"/>
      <c r="F46" s="605"/>
      <c r="G46" s="605"/>
      <c r="H46" s="605"/>
      <c r="I46" s="358"/>
      <c r="J46" s="358"/>
      <c r="K46" s="358"/>
      <c r="L46" s="358"/>
    </row>
    <row r="47" spans="1:12">
      <c r="C47" s="236"/>
    </row>
    <row r="48" spans="1:12">
      <c r="C48" s="1444" t="s">
        <v>1138</v>
      </c>
      <c r="D48" s="1444"/>
      <c r="E48" s="1444"/>
      <c r="F48" s="1444" t="s">
        <v>1140</v>
      </c>
      <c r="G48" s="1444"/>
      <c r="H48" s="1444"/>
    </row>
    <row r="49" spans="1:8">
      <c r="A49" s="567" t="s">
        <v>1141</v>
      </c>
      <c r="B49" s="567" t="s">
        <v>13</v>
      </c>
      <c r="C49" s="1187" t="s">
        <v>1127</v>
      </c>
      <c r="D49" s="568" t="s">
        <v>1129</v>
      </c>
      <c r="E49" s="1188" t="s">
        <v>1131</v>
      </c>
      <c r="F49" s="1187" t="s">
        <v>1143</v>
      </c>
      <c r="G49" s="568" t="s">
        <v>1134</v>
      </c>
      <c r="H49" s="1188" t="s">
        <v>1142</v>
      </c>
    </row>
    <row r="50" spans="1:8">
      <c r="A50" s="600" t="s">
        <v>602</v>
      </c>
      <c r="B50" s="1186" t="s">
        <v>603</v>
      </c>
      <c r="C50" s="1189" t="s">
        <v>1128</v>
      </c>
      <c r="D50" s="606" t="s">
        <v>1130</v>
      </c>
      <c r="E50" s="1190" t="s">
        <v>1132</v>
      </c>
      <c r="F50" s="1189" t="s">
        <v>1133</v>
      </c>
      <c r="G50" s="606" t="s">
        <v>1135</v>
      </c>
      <c r="H50" s="1190" t="s">
        <v>1136</v>
      </c>
    </row>
    <row r="51" spans="1:8">
      <c r="A51" s="600" t="s">
        <v>934</v>
      </c>
      <c r="B51" s="1186"/>
      <c r="C51" s="1189" t="s">
        <v>918</v>
      </c>
      <c r="D51" s="606" t="s">
        <v>918</v>
      </c>
      <c r="E51" s="1190" t="s">
        <v>918</v>
      </c>
      <c r="F51" s="1189" t="s">
        <v>918</v>
      </c>
      <c r="G51" s="606" t="s">
        <v>918</v>
      </c>
      <c r="H51" s="1190" t="s">
        <v>918</v>
      </c>
    </row>
    <row r="52" spans="1:8">
      <c r="A52" s="600" t="s">
        <v>604</v>
      </c>
      <c r="B52" s="1186"/>
      <c r="C52" s="1191" t="s">
        <v>23</v>
      </c>
      <c r="D52" s="607" t="s">
        <v>23</v>
      </c>
      <c r="E52" s="1192" t="s">
        <v>23</v>
      </c>
      <c r="F52" s="1191" t="s">
        <v>23</v>
      </c>
      <c r="G52" s="607" t="s">
        <v>23</v>
      </c>
      <c r="H52" s="1192" t="s">
        <v>23</v>
      </c>
    </row>
    <row r="53" spans="1:8">
      <c r="A53" s="600" t="s">
        <v>615</v>
      </c>
      <c r="B53" s="1186"/>
      <c r="C53" s="1191" t="s">
        <v>624</v>
      </c>
      <c r="D53" s="607" t="s">
        <v>624</v>
      </c>
      <c r="E53" s="1192" t="s">
        <v>667</v>
      </c>
      <c r="F53" s="1191" t="s">
        <v>667</v>
      </c>
      <c r="G53" s="607" t="s">
        <v>667</v>
      </c>
      <c r="H53" s="1192" t="s">
        <v>667</v>
      </c>
    </row>
    <row r="54" spans="1:8">
      <c r="A54" s="600" t="s">
        <v>605</v>
      </c>
      <c r="B54" s="1186"/>
      <c r="C54" s="1191" t="s">
        <v>779</v>
      </c>
      <c r="D54" s="607" t="s">
        <v>779</v>
      </c>
      <c r="E54" s="1192" t="s">
        <v>779</v>
      </c>
      <c r="F54" s="1191" t="s">
        <v>779</v>
      </c>
      <c r="G54" s="607" t="s">
        <v>779</v>
      </c>
      <c r="H54" s="1192" t="s">
        <v>779</v>
      </c>
    </row>
    <row r="55" spans="1:8">
      <c r="A55" s="600" t="s">
        <v>613</v>
      </c>
      <c r="B55" s="1186"/>
      <c r="C55" s="1191" t="s">
        <v>614</v>
      </c>
      <c r="D55" s="607" t="s">
        <v>614</v>
      </c>
      <c r="E55" s="1192" t="s">
        <v>614</v>
      </c>
      <c r="F55" s="1191" t="s">
        <v>614</v>
      </c>
      <c r="G55" s="607" t="s">
        <v>614</v>
      </c>
      <c r="H55" s="1192" t="s">
        <v>614</v>
      </c>
    </row>
    <row r="56" spans="1:8">
      <c r="A56" s="600" t="s">
        <v>611</v>
      </c>
      <c r="B56" s="1186" t="s">
        <v>608</v>
      </c>
      <c r="C56" s="1189">
        <v>0</v>
      </c>
      <c r="D56" s="606">
        <v>1</v>
      </c>
      <c r="E56" s="1190">
        <v>1</v>
      </c>
      <c r="F56" s="1189">
        <v>2</v>
      </c>
      <c r="G56" s="606">
        <v>2</v>
      </c>
      <c r="H56" s="1190">
        <v>2</v>
      </c>
    </row>
    <row r="57" spans="1:8">
      <c r="A57" s="600" t="s">
        <v>610</v>
      </c>
      <c r="B57" s="1186" t="s">
        <v>609</v>
      </c>
      <c r="C57" s="1189">
        <v>1</v>
      </c>
      <c r="D57" s="606">
        <v>2</v>
      </c>
      <c r="E57" s="1190">
        <v>3</v>
      </c>
      <c r="F57" s="1189">
        <v>2</v>
      </c>
      <c r="G57" s="606">
        <v>3</v>
      </c>
      <c r="H57" s="1190">
        <v>2</v>
      </c>
    </row>
    <row r="58" spans="1:8">
      <c r="A58" s="600" t="s">
        <v>612</v>
      </c>
      <c r="B58" s="1186" t="s">
        <v>448</v>
      </c>
      <c r="C58" s="1189">
        <v>10</v>
      </c>
      <c r="D58" s="606">
        <v>10</v>
      </c>
      <c r="E58" s="1190">
        <v>10</v>
      </c>
      <c r="F58" s="1189">
        <v>10</v>
      </c>
      <c r="G58" s="606">
        <v>10</v>
      </c>
      <c r="H58" s="1190">
        <v>10</v>
      </c>
    </row>
    <row r="59" spans="1:8">
      <c r="A59" s="600" t="s">
        <v>1245</v>
      </c>
      <c r="B59" s="1186" t="s">
        <v>448</v>
      </c>
      <c r="C59" s="1189">
        <v>5</v>
      </c>
      <c r="D59" s="606">
        <v>5</v>
      </c>
      <c r="E59" s="1190">
        <v>5</v>
      </c>
      <c r="F59" s="1189">
        <v>5</v>
      </c>
      <c r="G59" s="606">
        <v>5</v>
      </c>
      <c r="H59" s="1190">
        <v>5</v>
      </c>
    </row>
    <row r="60" spans="1:8">
      <c r="A60" s="600" t="s">
        <v>619</v>
      </c>
      <c r="B60" s="1186" t="s">
        <v>448</v>
      </c>
      <c r="C60" s="1193">
        <f t="shared" ref="C60:H60" si="1">AVERAGE(C58:C59)</f>
        <v>7.5</v>
      </c>
      <c r="D60" s="603">
        <f t="shared" si="1"/>
        <v>7.5</v>
      </c>
      <c r="E60" s="1194">
        <f t="shared" si="1"/>
        <v>7.5</v>
      </c>
      <c r="F60" s="1193">
        <f t="shared" si="1"/>
        <v>7.5</v>
      </c>
      <c r="G60" s="603">
        <f t="shared" si="1"/>
        <v>7.5</v>
      </c>
      <c r="H60" s="1194">
        <f t="shared" si="1"/>
        <v>7.5</v>
      </c>
    </row>
    <row r="61" spans="1:8">
      <c r="A61" s="600" t="s">
        <v>616</v>
      </c>
      <c r="B61" s="1186" t="s">
        <v>617</v>
      </c>
      <c r="C61" s="1189">
        <v>2</v>
      </c>
      <c r="D61" s="606">
        <v>2</v>
      </c>
      <c r="E61" s="1190">
        <v>2</v>
      </c>
      <c r="F61" s="1189">
        <v>2</v>
      </c>
      <c r="G61" s="606">
        <v>2</v>
      </c>
      <c r="H61" s="1190">
        <v>2</v>
      </c>
    </row>
    <row r="62" spans="1:8">
      <c r="A62" s="600" t="s">
        <v>618</v>
      </c>
      <c r="B62" s="1186" t="s">
        <v>448</v>
      </c>
      <c r="C62" s="1189">
        <v>25</v>
      </c>
      <c r="D62" s="606">
        <v>25</v>
      </c>
      <c r="E62" s="1190">
        <v>30</v>
      </c>
      <c r="F62" s="1189">
        <v>30</v>
      </c>
      <c r="G62" s="606">
        <v>35</v>
      </c>
      <c r="H62" s="1190">
        <v>25</v>
      </c>
    </row>
    <row r="63" spans="1:8">
      <c r="A63" s="358"/>
      <c r="B63" s="358"/>
      <c r="C63" s="1195"/>
      <c r="D63" s="421"/>
      <c r="E63" s="1196"/>
      <c r="F63" s="1195"/>
      <c r="G63" s="421"/>
      <c r="H63" s="1196"/>
    </row>
    <row r="64" spans="1:8">
      <c r="A64" s="600" t="s">
        <v>620</v>
      </c>
      <c r="B64" s="1186" t="s">
        <v>505</v>
      </c>
      <c r="C64" s="1197">
        <v>250</v>
      </c>
      <c r="D64" s="608">
        <v>520</v>
      </c>
      <c r="E64" s="1198">
        <v>850</v>
      </c>
      <c r="F64" s="1197">
        <v>10500</v>
      </c>
      <c r="G64" s="608">
        <v>850</v>
      </c>
      <c r="H64" s="1198">
        <v>1600</v>
      </c>
    </row>
    <row r="65" spans="1:12">
      <c r="A65" s="600" t="s">
        <v>780</v>
      </c>
      <c r="B65" s="1186" t="s">
        <v>598</v>
      </c>
      <c r="C65" s="1199">
        <v>2018</v>
      </c>
      <c r="D65" s="609">
        <v>2010</v>
      </c>
      <c r="E65" s="1200">
        <v>2010</v>
      </c>
      <c r="F65" s="1199">
        <v>2010</v>
      </c>
      <c r="G65" s="609">
        <v>2010</v>
      </c>
      <c r="H65" s="1200">
        <v>2010</v>
      </c>
    </row>
    <row r="66" spans="1:12" ht="14.5">
      <c r="A66" s="600" t="s">
        <v>621</v>
      </c>
      <c r="B66" s="1186" t="s">
        <v>15</v>
      </c>
      <c r="C66" s="1273">
        <f>'Annual Growth-AADT Calculation'!$AA$22</f>
        <v>2.9494087001185904E-2</v>
      </c>
      <c r="D66" s="1273">
        <f>'Annual Growth-AADT Calculation'!$AA$22</f>
        <v>2.9494087001185904E-2</v>
      </c>
      <c r="E66" s="1273">
        <f>'Annual Growth-AADT Calculation'!$AA$22</f>
        <v>2.9494087001185904E-2</v>
      </c>
      <c r="F66" s="1273">
        <f>'Annual Growth-AADT Calculation'!$AA$22</f>
        <v>2.9494087001185904E-2</v>
      </c>
      <c r="G66" s="1273">
        <f>'Annual Growth-AADT Calculation'!$AA$22</f>
        <v>2.9494087001185904E-2</v>
      </c>
      <c r="H66" s="1273">
        <f>'Annual Growth-AADT Calculation'!$AA$22</f>
        <v>2.9494087001185904E-2</v>
      </c>
      <c r="I66" s="1274" t="s">
        <v>1253</v>
      </c>
    </row>
    <row r="67" spans="1:12">
      <c r="A67" s="600" t="s">
        <v>487</v>
      </c>
      <c r="B67" s="1186" t="s">
        <v>15</v>
      </c>
      <c r="C67" s="1201">
        <v>0.998</v>
      </c>
      <c r="D67" s="604">
        <v>0.9</v>
      </c>
      <c r="E67" s="1202">
        <v>0.9</v>
      </c>
      <c r="F67" s="1208">
        <v>0.9</v>
      </c>
      <c r="G67" s="604">
        <v>0.8</v>
      </c>
      <c r="H67" s="1209">
        <v>0.995</v>
      </c>
    </row>
    <row r="68" spans="1:12">
      <c r="A68" s="600" t="s">
        <v>488</v>
      </c>
      <c r="B68" s="1186" t="s">
        <v>15</v>
      </c>
      <c r="C68" s="1203">
        <v>2E-3</v>
      </c>
      <c r="D68" s="610">
        <v>0.1</v>
      </c>
      <c r="E68" s="1204">
        <v>0.1</v>
      </c>
      <c r="F68" s="1210">
        <v>0.1</v>
      </c>
      <c r="G68" s="610">
        <v>0.2</v>
      </c>
      <c r="H68" s="1211">
        <v>5.0000000000000001E-3</v>
      </c>
    </row>
    <row r="69" spans="1:12">
      <c r="A69" s="600" t="s">
        <v>743</v>
      </c>
      <c r="B69" s="1186" t="s">
        <v>15</v>
      </c>
      <c r="C69" s="1205">
        <v>0</v>
      </c>
      <c r="D69" s="1206">
        <v>0</v>
      </c>
      <c r="E69" s="1207">
        <v>0</v>
      </c>
      <c r="F69" s="1205">
        <v>0</v>
      </c>
      <c r="G69" s="1206">
        <v>0</v>
      </c>
      <c r="H69" s="1207">
        <v>0</v>
      </c>
    </row>
    <row r="70" spans="1:12" s="150" customFormat="1">
      <c r="A70" s="600" t="s">
        <v>771</v>
      </c>
      <c r="B70" s="600" t="s">
        <v>292</v>
      </c>
      <c r="C70" s="727">
        <f>4000*'Deflation Factors'!$C$86/'Deflation Factors'!$C$85</f>
        <v>4079.0857972066028</v>
      </c>
      <c r="D70" s="727">
        <f>4000*'Deflation Factors'!$C$86/'Deflation Factors'!$C$85</f>
        <v>4079.0857972066028</v>
      </c>
      <c r="E70" s="727">
        <f>4000*'Deflation Factors'!$C$86/'Deflation Factors'!$C$85</f>
        <v>4079.0857972066028</v>
      </c>
      <c r="F70" s="727">
        <f>4000*'Deflation Factors'!$C$86/'Deflation Factors'!$C$85</f>
        <v>4079.0857972066028</v>
      </c>
      <c r="G70" s="727">
        <f>4000*'Deflation Factors'!$C$86/'Deflation Factors'!$C$85</f>
        <v>4079.0857972066028</v>
      </c>
      <c r="H70" s="727">
        <f>4000*'Deflation Factors'!$C$86/'Deflation Factors'!$C$85</f>
        <v>4079.0857972066028</v>
      </c>
      <c r="I70" s="358" t="s">
        <v>920</v>
      </c>
      <c r="J70" s="358"/>
      <c r="K70" s="358"/>
      <c r="L70" s="358"/>
    </row>
    <row r="71" spans="1:12" s="150" customFormat="1">
      <c r="A71" s="600" t="s">
        <v>772</v>
      </c>
      <c r="B71" s="600" t="s">
        <v>292</v>
      </c>
      <c r="C71" s="727">
        <f>4000*'Deflation Factors'!$C$86/'Deflation Factors'!$C$85</f>
        <v>4079.0857972066028</v>
      </c>
      <c r="D71" s="727">
        <f>4000*'Deflation Factors'!$C$86/'Deflation Factors'!$C$85</f>
        <v>4079.0857972066028</v>
      </c>
      <c r="E71" s="727">
        <f>4000*'Deflation Factors'!$C$86/'Deflation Factors'!$C$85</f>
        <v>4079.0857972066028</v>
      </c>
      <c r="F71" s="727">
        <f>4000*'Deflation Factors'!$C$86/'Deflation Factors'!$C$85</f>
        <v>4079.0857972066028</v>
      </c>
      <c r="G71" s="727">
        <f>4000*'Deflation Factors'!$C$86/'Deflation Factors'!$C$85</f>
        <v>4079.0857972066028</v>
      </c>
      <c r="H71" s="727">
        <f>4000*'Deflation Factors'!$C$86/'Deflation Factors'!$C$85</f>
        <v>4079.0857972066028</v>
      </c>
      <c r="I71" s="358"/>
      <c r="J71" s="358"/>
      <c r="K71" s="358"/>
      <c r="L71" s="358"/>
    </row>
    <row r="74" spans="1:12">
      <c r="B74" s="236"/>
    </row>
  </sheetData>
  <mergeCells count="13">
    <mergeCell ref="D13:H15"/>
    <mergeCell ref="D16:H18"/>
    <mergeCell ref="C48:E48"/>
    <mergeCell ref="F48:H48"/>
    <mergeCell ref="D21:H21"/>
    <mergeCell ref="D19:H19"/>
    <mergeCell ref="D20:H20"/>
    <mergeCell ref="D10:H12"/>
    <mergeCell ref="D4:H4"/>
    <mergeCell ref="D5:H5"/>
    <mergeCell ref="D6:H6"/>
    <mergeCell ref="D7:H7"/>
    <mergeCell ref="D9:H9"/>
  </mergeCells>
  <dataValidations count="4">
    <dataValidation type="list" allowBlank="1" showInputMessage="1" showErrorMessage="1" sqref="C29:H29 C55:H55" xr:uid="{00000000-0002-0000-0500-000000000000}">
      <formula1>"Yes,No"</formula1>
    </dataValidation>
    <dataValidation type="list" allowBlank="1" showInputMessage="1" showErrorMessage="1" sqref="C26:H26 C52:H52" xr:uid="{00000000-0002-0000-0500-000001000000}">
      <formula1>"Urban,Rural"</formula1>
    </dataValidation>
    <dataValidation type="list" allowBlank="1" showInputMessage="1" showErrorMessage="1" sqref="C28:H28 C54:H54" xr:uid="{00000000-0002-0000-0500-000002000000}">
      <formula1>"Interstate,Other Principal Arterial,Minor Arterial,Major Arterial,Major Collector,Minor Collector,Local"</formula1>
    </dataValidation>
    <dataValidation type="list" allowBlank="1" showInputMessage="1" showErrorMessage="1" sqref="C27:H27 C53:H53" xr:uid="{00000000-0002-0000-0500-000003000000}">
      <formula1>"Passive,Flashing Lights,Gates"</formula1>
    </dataValidation>
  </dataValidation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tabColor theme="7" tint="0.79998168889431442"/>
  </sheetPr>
  <dimension ref="A1:F38"/>
  <sheetViews>
    <sheetView showGridLines="0" zoomScaleNormal="100" workbookViewId="0">
      <selection activeCell="B2" sqref="B2"/>
    </sheetView>
  </sheetViews>
  <sheetFormatPr defaultColWidth="9" defaultRowHeight="12.5"/>
  <cols>
    <col min="1" max="1" width="0.83203125" style="358" customWidth="1"/>
    <col min="2" max="2" width="53.25" style="358" customWidth="1"/>
    <col min="3" max="3" width="13.83203125" style="358" bestFit="1" customWidth="1"/>
    <col min="4" max="4" width="12.5" style="358" bestFit="1" customWidth="1"/>
    <col min="5" max="16384" width="9" style="358"/>
  </cols>
  <sheetData>
    <row r="1" spans="1:6" ht="19">
      <c r="A1" s="634" t="s">
        <v>852</v>
      </c>
      <c r="B1" s="635"/>
      <c r="C1" s="635"/>
      <c r="D1" s="635"/>
      <c r="E1" s="635"/>
      <c r="F1" s="635"/>
    </row>
    <row r="2" spans="1:6">
      <c r="A2" s="635"/>
      <c r="B2" s="635"/>
      <c r="C2" s="635"/>
      <c r="D2" s="635"/>
      <c r="E2" s="635"/>
      <c r="F2" s="635"/>
    </row>
    <row r="3" spans="1:6">
      <c r="A3" s="635"/>
      <c r="B3" s="635"/>
      <c r="C3" s="635"/>
      <c r="D3" s="635"/>
      <c r="E3" s="635"/>
      <c r="F3" s="635"/>
    </row>
    <row r="4" spans="1:6">
      <c r="A4" s="635"/>
      <c r="B4" s="1453"/>
      <c r="C4" s="1455" t="s">
        <v>1298</v>
      </c>
      <c r="D4" s="635"/>
      <c r="E4" s="635"/>
      <c r="F4" s="635"/>
    </row>
    <row r="5" spans="1:6" ht="13" thickBot="1">
      <c r="A5" s="635"/>
      <c r="B5" s="1454"/>
      <c r="C5" s="1456"/>
      <c r="D5" s="635"/>
      <c r="E5" s="635"/>
      <c r="F5" s="635"/>
    </row>
    <row r="6" spans="1:6">
      <c r="A6" s="635"/>
      <c r="B6" s="636" t="s">
        <v>1042</v>
      </c>
      <c r="C6" s="637">
        <f>('Deflation Factors'!$C$86/'Deflation Factors'!$C$85)*102365.631986522</f>
        <v>104389.54888957496</v>
      </c>
      <c r="D6" s="635"/>
      <c r="E6" s="635"/>
      <c r="F6" s="635"/>
    </row>
    <row r="7" spans="1:6">
      <c r="A7" s="635"/>
      <c r="B7" s="636"/>
      <c r="C7" s="637"/>
      <c r="D7" s="635"/>
      <c r="E7" s="635"/>
      <c r="F7" s="635"/>
    </row>
    <row r="8" spans="1:6">
      <c r="A8" s="635"/>
      <c r="B8" s="636" t="s">
        <v>1043</v>
      </c>
      <c r="C8" s="637">
        <f>('Deflation Factors'!$C$86/'Deflation Factors'!$C$85)*241714.283297322</f>
        <v>246493.32499501985</v>
      </c>
      <c r="D8" s="635"/>
      <c r="E8" s="635"/>
      <c r="F8" s="635"/>
    </row>
    <row r="9" spans="1:6">
      <c r="A9" s="635"/>
      <c r="B9" s="636" t="s">
        <v>1076</v>
      </c>
      <c r="C9" s="1173">
        <f>('Deflation Factors'!$C$86/'Deflation Factors'!$C$85)*31526.9969055755</f>
        <v>32150.331326527386</v>
      </c>
      <c r="D9" s="635"/>
      <c r="E9" s="635"/>
      <c r="F9" s="635"/>
    </row>
    <row r="10" spans="1:6">
      <c r="A10" s="635"/>
      <c r="B10" s="635"/>
      <c r="C10" s="635"/>
      <c r="D10" s="640"/>
      <c r="E10" s="635"/>
      <c r="F10" s="635"/>
    </row>
    <row r="11" spans="1:6" ht="13.5" thickBot="1">
      <c r="A11" s="635"/>
      <c r="B11" s="638" t="s">
        <v>846</v>
      </c>
      <c r="C11" s="639"/>
      <c r="D11" s="635"/>
      <c r="E11" s="635"/>
      <c r="F11" s="635"/>
    </row>
    <row r="12" spans="1:6">
      <c r="A12" s="635"/>
      <c r="B12" s="636" t="s">
        <v>847</v>
      </c>
      <c r="C12" s="637">
        <f>C6</f>
        <v>104389.54888957496</v>
      </c>
      <c r="D12" s="635"/>
      <c r="E12" s="635"/>
      <c r="F12" s="635"/>
    </row>
    <row r="13" spans="1:6">
      <c r="A13" s="635"/>
      <c r="B13" s="636" t="s">
        <v>848</v>
      </c>
      <c r="C13" s="637">
        <f>AVERAGE(C8:C9)</f>
        <v>139321.82816077361</v>
      </c>
      <c r="D13" s="640"/>
      <c r="E13" s="635"/>
      <c r="F13" s="635"/>
    </row>
    <row r="14" spans="1:6" ht="13">
      <c r="A14" s="635"/>
      <c r="B14" s="636" t="s">
        <v>1077</v>
      </c>
      <c r="C14" s="1171">
        <f>AVERAGE(C8:C9)-C12</f>
        <v>34932.279271198655</v>
      </c>
      <c r="D14" s="640"/>
      <c r="E14" s="635"/>
      <c r="F14" s="635"/>
    </row>
    <row r="15" spans="1:6">
      <c r="A15" s="635"/>
      <c r="B15" s="636" t="s">
        <v>1051</v>
      </c>
      <c r="C15" s="1169">
        <f>'General Inputs'!D38</f>
        <v>0.05</v>
      </c>
      <c r="D15" s="640"/>
      <c r="E15" s="635"/>
      <c r="F15" s="635"/>
    </row>
    <row r="16" spans="1:6">
      <c r="A16" s="635"/>
      <c r="B16" s="636" t="s">
        <v>849</v>
      </c>
      <c r="C16" s="637">
        <f>C12*C15</f>
        <v>5219.4774444787481</v>
      </c>
      <c r="D16" s="1168"/>
      <c r="E16" s="635"/>
      <c r="F16" s="635"/>
    </row>
    <row r="17" spans="1:6" ht="13" thickBot="1">
      <c r="A17" s="635"/>
      <c r="B17" s="639" t="s">
        <v>850</v>
      </c>
      <c r="C17" s="1184">
        <v>2346.6264539999975</v>
      </c>
      <c r="D17" s="635"/>
      <c r="E17" s="635"/>
      <c r="F17" s="635"/>
    </row>
    <row r="18" spans="1:6" ht="13">
      <c r="A18" s="635"/>
      <c r="B18" s="641" t="s">
        <v>851</v>
      </c>
      <c r="C18" s="642">
        <f>C16*C17</f>
        <v>12248163.847270133</v>
      </c>
      <c r="D18" s="643"/>
      <c r="E18" s="635"/>
      <c r="F18" s="635"/>
    </row>
    <row r="19" spans="1:6" ht="13">
      <c r="A19" s="635"/>
      <c r="B19" s="1156" t="s">
        <v>1126</v>
      </c>
      <c r="C19" s="640">
        <f>C17*C14</f>
        <v>81973010.636310518</v>
      </c>
      <c r="D19" s="635"/>
      <c r="E19" s="635"/>
      <c r="F19" s="635"/>
    </row>
    <row r="20" spans="1:6">
      <c r="A20" s="635"/>
      <c r="B20" s="635" t="s">
        <v>1044</v>
      </c>
      <c r="C20" s="635"/>
      <c r="D20" s="635"/>
      <c r="E20" s="635"/>
      <c r="F20" s="635"/>
    </row>
    <row r="21" spans="1:6">
      <c r="A21" s="635"/>
      <c r="B21" s="635"/>
      <c r="C21" s="635"/>
      <c r="D21" s="635"/>
      <c r="E21" s="635"/>
      <c r="F21" s="635"/>
    </row>
    <row r="22" spans="1:6">
      <c r="A22" s="635"/>
      <c r="B22" s="635"/>
      <c r="C22" s="635"/>
      <c r="D22" s="635"/>
      <c r="E22" s="635"/>
      <c r="F22" s="635"/>
    </row>
    <row r="23" spans="1:6">
      <c r="A23" s="635"/>
      <c r="B23" s="635"/>
      <c r="C23" s="635"/>
      <c r="D23" s="635"/>
      <c r="E23" s="635"/>
      <c r="F23" s="635"/>
    </row>
    <row r="24" spans="1:6">
      <c r="A24" s="635"/>
      <c r="B24" s="635"/>
      <c r="C24" s="635"/>
      <c r="D24" s="635"/>
      <c r="E24" s="635"/>
      <c r="F24" s="635"/>
    </row>
    <row r="25" spans="1:6">
      <c r="A25" s="635"/>
      <c r="B25" s="635"/>
      <c r="C25" s="635"/>
      <c r="D25" s="635"/>
      <c r="E25" s="635"/>
      <c r="F25" s="635"/>
    </row>
    <row r="26" spans="1:6">
      <c r="A26" s="635"/>
      <c r="B26" s="635"/>
      <c r="C26" s="635"/>
      <c r="D26" s="635"/>
      <c r="E26" s="635"/>
      <c r="F26" s="635"/>
    </row>
    <row r="27" spans="1:6">
      <c r="A27" s="635"/>
      <c r="B27" s="635"/>
      <c r="C27" s="635"/>
      <c r="D27" s="635"/>
      <c r="E27" s="635"/>
      <c r="F27" s="635"/>
    </row>
    <row r="28" spans="1:6">
      <c r="A28" s="635"/>
      <c r="B28" s="635"/>
      <c r="C28" s="635"/>
      <c r="D28" s="635"/>
      <c r="E28" s="635"/>
      <c r="F28" s="635"/>
    </row>
    <row r="29" spans="1:6">
      <c r="A29" s="635"/>
      <c r="B29" s="635"/>
      <c r="C29" s="635"/>
      <c r="D29" s="635"/>
      <c r="E29" s="635"/>
      <c r="F29" s="635"/>
    </row>
    <row r="30" spans="1:6">
      <c r="A30" s="635"/>
      <c r="B30" s="635"/>
      <c r="C30" s="635"/>
      <c r="D30" s="635"/>
      <c r="E30" s="635"/>
      <c r="F30" s="635"/>
    </row>
    <row r="31" spans="1:6">
      <c r="A31" s="635"/>
      <c r="B31" s="635"/>
      <c r="C31" s="635"/>
      <c r="D31" s="635"/>
      <c r="E31" s="635"/>
      <c r="F31" s="635"/>
    </row>
    <row r="32" spans="1:6">
      <c r="A32" s="635"/>
      <c r="B32" s="635"/>
      <c r="C32" s="635"/>
      <c r="D32" s="635"/>
      <c r="E32" s="635"/>
      <c r="F32" s="635"/>
    </row>
    <row r="33" spans="1:6">
      <c r="A33" s="635"/>
      <c r="B33" s="635"/>
      <c r="C33" s="635"/>
      <c r="D33" s="635"/>
      <c r="E33" s="635"/>
      <c r="F33" s="635"/>
    </row>
    <row r="34" spans="1:6">
      <c r="A34" s="635"/>
      <c r="B34" s="635"/>
      <c r="C34" s="635"/>
      <c r="D34" s="635"/>
      <c r="E34" s="635"/>
      <c r="F34" s="635"/>
    </row>
    <row r="35" spans="1:6">
      <c r="A35" s="635"/>
      <c r="B35" s="635"/>
      <c r="C35" s="635"/>
      <c r="D35" s="635"/>
      <c r="E35" s="635"/>
      <c r="F35" s="635"/>
    </row>
    <row r="36" spans="1:6">
      <c r="A36" s="635"/>
      <c r="B36" s="635"/>
      <c r="C36" s="635"/>
      <c r="D36" s="635"/>
      <c r="E36" s="635"/>
      <c r="F36" s="635"/>
    </row>
    <row r="37" spans="1:6">
      <c r="A37" s="635"/>
      <c r="B37" s="635"/>
      <c r="C37" s="635"/>
      <c r="D37" s="635"/>
      <c r="E37" s="635"/>
      <c r="F37" s="635"/>
    </row>
    <row r="38" spans="1:6">
      <c r="A38" s="635"/>
      <c r="B38" s="635"/>
      <c r="C38" s="635"/>
      <c r="D38" s="635"/>
      <c r="E38" s="635"/>
      <c r="F38" s="635"/>
    </row>
  </sheetData>
  <mergeCells count="2">
    <mergeCell ref="B4:B5"/>
    <mergeCell ref="C4:C5"/>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theme="8" tint="0.79998168889431442"/>
  </sheetPr>
  <dimension ref="A1:N118"/>
  <sheetViews>
    <sheetView workbookViewId="0">
      <selection activeCell="B82" sqref="B82"/>
    </sheetView>
  </sheetViews>
  <sheetFormatPr defaultColWidth="9" defaultRowHeight="10"/>
  <cols>
    <col min="1" max="1" width="0.83203125" style="12" customWidth="1"/>
    <col min="2" max="2" width="33.25" style="12" customWidth="1"/>
    <col min="3" max="3" width="15.25" style="12" customWidth="1"/>
    <col min="4" max="4" width="5.75" style="12" customWidth="1"/>
    <col min="5" max="5" width="11.5" style="12" customWidth="1"/>
    <col min="6" max="6" width="8.75" style="12" customWidth="1"/>
    <col min="7" max="7" width="9.58203125" style="12" customWidth="1"/>
    <col min="8" max="8" width="12.58203125" style="12" customWidth="1"/>
    <col min="9" max="9" width="75.25" style="12" customWidth="1"/>
    <col min="10" max="10" width="17" style="12" customWidth="1"/>
    <col min="11" max="11" width="5.75" style="12" customWidth="1"/>
    <col min="12" max="12" width="9" style="12"/>
    <col min="13" max="13" width="36.33203125" style="12" customWidth="1"/>
    <col min="14" max="16384" width="9" style="12"/>
  </cols>
  <sheetData>
    <row r="1" spans="1:12" s="7" customFormat="1" ht="13">
      <c r="A1" s="1148" t="s">
        <v>128</v>
      </c>
      <c r="B1" s="4"/>
      <c r="F1" s="30"/>
      <c r="G1" s="30"/>
      <c r="I1" s="31"/>
      <c r="J1" s="31"/>
      <c r="K1" s="32"/>
    </row>
    <row r="3" spans="1:12" s="7" customFormat="1" ht="10.5" hidden="1">
      <c r="A3" s="4"/>
      <c r="B3" s="4" t="s">
        <v>129</v>
      </c>
      <c r="F3" s="30"/>
      <c r="G3" s="30"/>
      <c r="I3" s="31"/>
      <c r="J3" s="31"/>
      <c r="K3" s="32"/>
    </row>
    <row r="4" spans="1:12" s="34" customFormat="1" ht="10.5" hidden="1">
      <c r="A4" s="33"/>
      <c r="C4" s="35"/>
      <c r="D4" s="35"/>
      <c r="E4" s="36"/>
      <c r="F4" s="37"/>
      <c r="G4" s="38"/>
      <c r="H4" s="39"/>
      <c r="K4" s="40"/>
      <c r="L4" s="9"/>
    </row>
    <row r="5" spans="1:12" s="34" customFormat="1" ht="21" hidden="1">
      <c r="A5" s="33"/>
      <c r="C5" s="41" t="s">
        <v>13</v>
      </c>
      <c r="D5" s="41" t="s">
        <v>130</v>
      </c>
      <c r="E5" s="42" t="s">
        <v>1020</v>
      </c>
      <c r="F5" s="37"/>
      <c r="G5" s="41"/>
      <c r="H5" s="39"/>
      <c r="I5" s="43" t="s">
        <v>131</v>
      </c>
      <c r="J5" s="11" t="s">
        <v>30</v>
      </c>
      <c r="K5" s="40"/>
      <c r="L5" s="9"/>
    </row>
    <row r="6" spans="1:12" s="9" customFormat="1" ht="13.5" hidden="1" customHeight="1">
      <c r="A6" s="8"/>
      <c r="B6" s="44" t="s">
        <v>132</v>
      </c>
      <c r="C6" s="35" t="s">
        <v>133</v>
      </c>
      <c r="D6" s="35">
        <v>2018</v>
      </c>
      <c r="E6" s="336">
        <v>0</v>
      </c>
      <c r="F6" s="46" t="s">
        <v>134</v>
      </c>
      <c r="G6" s="233"/>
      <c r="H6" s="47"/>
      <c r="I6" s="1459" t="s">
        <v>554</v>
      </c>
      <c r="J6" s="1460" t="s">
        <v>135</v>
      </c>
      <c r="K6" s="48"/>
    </row>
    <row r="7" spans="1:12" s="9" customFormat="1" ht="13.5" hidden="1" customHeight="1">
      <c r="A7" s="8"/>
      <c r="B7" s="12" t="s">
        <v>136</v>
      </c>
      <c r="C7" s="35" t="s">
        <v>133</v>
      </c>
      <c r="D7" s="35">
        <v>2018</v>
      </c>
      <c r="E7" s="336">
        <v>2100</v>
      </c>
      <c r="F7" s="15"/>
      <c r="I7" s="1459"/>
      <c r="J7" s="1460"/>
      <c r="K7" s="48"/>
    </row>
    <row r="8" spans="1:12" s="9" customFormat="1" ht="13.5" hidden="1" customHeight="1">
      <c r="A8" s="8"/>
      <c r="B8" s="12" t="s">
        <v>137</v>
      </c>
      <c r="C8" s="35" t="s">
        <v>133</v>
      </c>
      <c r="D8" s="35">
        <v>2018</v>
      </c>
      <c r="E8" s="336">
        <v>8600</v>
      </c>
      <c r="F8" s="15"/>
      <c r="I8" s="1459"/>
      <c r="J8" s="1460"/>
      <c r="K8" s="48"/>
    </row>
    <row r="9" spans="1:12" s="9" customFormat="1" ht="13.5" hidden="1" customHeight="1">
      <c r="A9" s="8"/>
      <c r="B9" s="12" t="s">
        <v>138</v>
      </c>
      <c r="C9" s="35" t="s">
        <v>133</v>
      </c>
      <c r="D9" s="35">
        <v>2018</v>
      </c>
      <c r="E9" s="336">
        <v>387300</v>
      </c>
      <c r="F9" s="15"/>
      <c r="I9" s="1459"/>
      <c r="J9" s="1460"/>
      <c r="K9" s="48"/>
    </row>
    <row r="10" spans="1:12" s="9" customFormat="1" ht="13.5" hidden="1" customHeight="1">
      <c r="A10" s="8"/>
      <c r="B10" s="12" t="s">
        <v>551</v>
      </c>
      <c r="C10" s="35" t="s">
        <v>133</v>
      </c>
      <c r="D10" s="35">
        <v>2018</v>
      </c>
      <c r="E10" s="336">
        <v>50100</v>
      </c>
      <c r="F10" s="15"/>
      <c r="I10" s="1459"/>
      <c r="J10" s="1460"/>
      <c r="K10" s="48"/>
    </row>
    <row r="11" spans="1:12" s="9" customFormat="1" ht="10.5" hidden="1">
      <c r="A11" s="8"/>
      <c r="B11" s="46"/>
      <c r="C11" s="35"/>
      <c r="D11" s="15"/>
      <c r="E11" s="15"/>
      <c r="F11" s="15"/>
      <c r="G11" s="15"/>
      <c r="H11" s="47"/>
      <c r="I11" s="49"/>
      <c r="J11" s="48"/>
      <c r="K11" s="48"/>
    </row>
    <row r="12" spans="1:12" s="7" customFormat="1" ht="10.5" hidden="1">
      <c r="A12" s="4"/>
      <c r="B12" s="4" t="s">
        <v>139</v>
      </c>
      <c r="F12" s="30"/>
      <c r="G12" s="30"/>
      <c r="I12" s="31"/>
      <c r="J12" s="31"/>
      <c r="K12" s="32"/>
    </row>
    <row r="13" spans="1:12" ht="10.5" hidden="1">
      <c r="A13" s="13"/>
      <c r="B13" s="13"/>
      <c r="F13" s="14"/>
      <c r="G13" s="14"/>
      <c r="I13" s="18"/>
      <c r="J13" s="18"/>
      <c r="K13" s="750"/>
    </row>
    <row r="14" spans="1:12" ht="10.5" hidden="1">
      <c r="A14" s="13"/>
      <c r="B14" s="13"/>
      <c r="C14" s="41" t="s">
        <v>13</v>
      </c>
      <c r="D14" s="41" t="s">
        <v>130</v>
      </c>
      <c r="E14" s="42" t="s">
        <v>8</v>
      </c>
      <c r="F14" s="37"/>
      <c r="G14" s="51"/>
      <c r="H14" s="51"/>
      <c r="I14" s="43" t="s">
        <v>131</v>
      </c>
      <c r="J14" s="11" t="s">
        <v>30</v>
      </c>
      <c r="K14" s="750"/>
      <c r="L14" s="13"/>
    </row>
    <row r="15" spans="1:12" s="44" customFormat="1" ht="10.5" hidden="1">
      <c r="A15" s="52"/>
      <c r="B15" s="44" t="s">
        <v>132</v>
      </c>
      <c r="C15" s="35" t="s">
        <v>140</v>
      </c>
      <c r="D15" s="35">
        <v>1989</v>
      </c>
      <c r="E15" s="53">
        <v>300</v>
      </c>
      <c r="F15" s="37"/>
      <c r="G15" s="38"/>
      <c r="H15" s="39"/>
      <c r="I15" s="54" t="s">
        <v>141</v>
      </c>
      <c r="J15" s="20" t="s">
        <v>366</v>
      </c>
      <c r="K15" s="55"/>
      <c r="L15" s="12"/>
    </row>
    <row r="16" spans="1:12" s="44" customFormat="1" ht="10.5" hidden="1">
      <c r="A16" s="52"/>
      <c r="C16" s="45"/>
      <c r="D16" s="45"/>
      <c r="E16" s="45"/>
      <c r="F16" s="50"/>
      <c r="G16" s="38"/>
      <c r="H16" s="39"/>
      <c r="I16" s="54"/>
      <c r="K16" s="55"/>
      <c r="L16" s="12"/>
    </row>
    <row r="17" spans="1:12" s="7" customFormat="1" ht="10.5" hidden="1">
      <c r="A17" s="4"/>
      <c r="B17" s="4" t="s">
        <v>142</v>
      </c>
      <c r="C17" s="30"/>
      <c r="D17" s="30"/>
      <c r="E17" s="5" t="s">
        <v>1021</v>
      </c>
      <c r="F17" s="30"/>
      <c r="G17" s="30"/>
      <c r="H17" s="56"/>
      <c r="K17" s="32"/>
    </row>
    <row r="18" spans="1:12" s="60" customFormat="1" ht="10.5" hidden="1">
      <c r="A18" s="52"/>
      <c r="B18" s="57"/>
      <c r="C18" s="58"/>
      <c r="D18" s="58"/>
      <c r="E18" s="58"/>
      <c r="F18" s="58"/>
      <c r="G18" s="58"/>
      <c r="H18" s="59"/>
      <c r="K18" s="61"/>
    </row>
    <row r="19" spans="1:12" s="67" customFormat="1" ht="10.5" hidden="1">
      <c r="A19" s="52"/>
      <c r="B19" s="63" t="s">
        <v>143</v>
      </c>
      <c r="C19" s="19"/>
      <c r="D19" s="64"/>
      <c r="E19" s="65">
        <v>0.05</v>
      </c>
      <c r="F19" s="65">
        <v>0.03</v>
      </c>
      <c r="G19" s="65">
        <v>2.5000000000000001E-2</v>
      </c>
      <c r="H19" s="65">
        <v>0.03</v>
      </c>
      <c r="I19" s="43" t="s">
        <v>131</v>
      </c>
      <c r="J19" s="43" t="s">
        <v>30</v>
      </c>
      <c r="K19" s="66"/>
    </row>
    <row r="20" spans="1:12" s="67" customFormat="1" ht="10.5" hidden="1">
      <c r="A20" s="52"/>
      <c r="B20" s="63" t="s">
        <v>144</v>
      </c>
      <c r="C20" s="19"/>
      <c r="D20" s="19"/>
      <c r="E20" s="68" t="s">
        <v>21</v>
      </c>
      <c r="F20" s="68" t="s">
        <v>21</v>
      </c>
      <c r="G20" s="68" t="s">
        <v>21</v>
      </c>
      <c r="H20" s="68" t="s">
        <v>145</v>
      </c>
    </row>
    <row r="21" spans="1:12" s="67" customFormat="1" ht="45" hidden="1" customHeight="1">
      <c r="A21" s="52"/>
      <c r="B21" s="69" t="s">
        <v>146</v>
      </c>
      <c r="C21" s="70" t="s">
        <v>133</v>
      </c>
      <c r="D21" s="70">
        <v>2007</v>
      </c>
      <c r="E21" s="337">
        <v>10</v>
      </c>
      <c r="F21" s="336">
        <v>31</v>
      </c>
      <c r="G21" s="337">
        <v>50</v>
      </c>
      <c r="H21" s="337">
        <v>86</v>
      </c>
      <c r="I21" s="71" t="s">
        <v>1022</v>
      </c>
      <c r="J21" s="1461" t="s">
        <v>552</v>
      </c>
    </row>
    <row r="22" spans="1:12" s="67" customFormat="1" ht="14" hidden="1">
      <c r="A22" s="52"/>
      <c r="B22" s="72"/>
      <c r="C22" s="16"/>
      <c r="D22" s="16"/>
      <c r="E22" s="150"/>
      <c r="F22" s="150"/>
      <c r="G22" s="150"/>
      <c r="H22" s="150"/>
      <c r="I22" s="74"/>
      <c r="J22" s="1461"/>
    </row>
    <row r="23" spans="1:12" s="67" customFormat="1" ht="10.5" hidden="1">
      <c r="A23" s="52"/>
      <c r="B23" s="62" t="s">
        <v>147</v>
      </c>
      <c r="C23" s="16"/>
      <c r="D23" s="16"/>
      <c r="E23" s="73"/>
      <c r="F23" s="73"/>
      <c r="G23" s="70"/>
      <c r="H23" s="73"/>
      <c r="I23" s="74"/>
      <c r="J23" s="75"/>
    </row>
    <row r="24" spans="1:12" s="77" customFormat="1" ht="10.5" hidden="1">
      <c r="A24" s="52"/>
      <c r="B24" s="63" t="s">
        <v>143</v>
      </c>
      <c r="C24" s="19"/>
      <c r="D24" s="64"/>
      <c r="E24" s="65">
        <v>0.05</v>
      </c>
      <c r="F24" s="65">
        <v>0.03</v>
      </c>
      <c r="G24" s="65">
        <v>2.5000000000000001E-2</v>
      </c>
      <c r="H24" s="65">
        <v>0.03</v>
      </c>
      <c r="I24" s="74"/>
      <c r="J24" s="75"/>
      <c r="K24" s="75"/>
    </row>
    <row r="25" spans="1:12" s="77" customFormat="1" ht="12" hidden="1" customHeight="1">
      <c r="A25" s="52"/>
      <c r="B25" s="63" t="s">
        <v>144</v>
      </c>
      <c r="C25" s="19"/>
      <c r="D25" s="19"/>
      <c r="E25" s="68" t="s">
        <v>21</v>
      </c>
      <c r="F25" s="68" t="s">
        <v>21</v>
      </c>
      <c r="G25" s="68" t="s">
        <v>21</v>
      </c>
      <c r="H25" s="68" t="s">
        <v>145</v>
      </c>
      <c r="I25" s="74"/>
      <c r="J25" s="75"/>
      <c r="K25" s="75"/>
    </row>
    <row r="26" spans="1:12" s="77" customFormat="1" ht="11.25" hidden="1" customHeight="1">
      <c r="A26" s="52"/>
      <c r="B26" s="23" t="s">
        <v>148</v>
      </c>
      <c r="C26" s="16" t="s">
        <v>149</v>
      </c>
      <c r="D26" s="16" t="s">
        <v>150</v>
      </c>
      <c r="E26" s="234">
        <v>1.2E-2</v>
      </c>
      <c r="F26" s="234">
        <v>3.2000000000000001E-2</v>
      </c>
      <c r="G26" s="234">
        <v>2.4E-2</v>
      </c>
      <c r="H26" s="234">
        <v>4.3999999999999997E-2</v>
      </c>
      <c r="I26" s="1462" t="s">
        <v>1023</v>
      </c>
      <c r="J26" s="1463" t="s">
        <v>552</v>
      </c>
      <c r="K26" s="75"/>
    </row>
    <row r="27" spans="1:12" s="77" customFormat="1" ht="10.5" hidden="1">
      <c r="A27" s="52"/>
      <c r="B27" s="23" t="s">
        <v>151</v>
      </c>
      <c r="C27" s="16" t="s">
        <v>149</v>
      </c>
      <c r="D27" s="16" t="s">
        <v>150</v>
      </c>
      <c r="E27" s="234">
        <v>3.4000000000000002E-2</v>
      </c>
      <c r="F27" s="234">
        <v>2.1000000000000001E-2</v>
      </c>
      <c r="G27" s="234">
        <v>1.7000000000000001E-2</v>
      </c>
      <c r="H27" s="234">
        <v>2.3E-2</v>
      </c>
      <c r="I27" s="1462"/>
      <c r="J27" s="1458"/>
      <c r="K27" s="75"/>
    </row>
    <row r="28" spans="1:12" s="77" customFormat="1" ht="10.5" hidden="1">
      <c r="A28" s="52"/>
      <c r="B28" s="23" t="s">
        <v>152</v>
      </c>
      <c r="C28" s="16" t="s">
        <v>149</v>
      </c>
      <c r="D28" s="16" t="s">
        <v>150</v>
      </c>
      <c r="E28" s="234">
        <v>0.03</v>
      </c>
      <c r="F28" s="234">
        <v>1.9E-2</v>
      </c>
      <c r="G28" s="234">
        <v>1.4999999999999999E-2</v>
      </c>
      <c r="H28" s="234">
        <v>0.02</v>
      </c>
      <c r="I28" s="1462"/>
      <c r="J28" s="1458"/>
      <c r="K28" s="74"/>
    </row>
    <row r="29" spans="1:12" s="77" customFormat="1" ht="10.5" hidden="1">
      <c r="A29" s="52"/>
      <c r="B29" s="23" t="s">
        <v>153</v>
      </c>
      <c r="C29" s="16" t="s">
        <v>149</v>
      </c>
      <c r="D29" s="16" t="s">
        <v>150</v>
      </c>
      <c r="E29" s="234">
        <v>2.5999999999999999E-2</v>
      </c>
      <c r="F29" s="234">
        <v>1.6E-2</v>
      </c>
      <c r="G29" s="234">
        <v>1.2999999999999999E-2</v>
      </c>
      <c r="H29" s="234">
        <v>1.6E-2</v>
      </c>
      <c r="I29" s="1462"/>
      <c r="J29" s="1458"/>
    </row>
    <row r="30" spans="1:12" ht="10.5" hidden="1">
      <c r="A30" s="52"/>
      <c r="E30" s="44"/>
      <c r="F30" s="44"/>
      <c r="G30" s="44"/>
      <c r="H30" s="44"/>
    </row>
    <row r="31" spans="1:12" ht="10.5" hidden="1">
      <c r="A31" s="52"/>
      <c r="B31" s="13" t="s">
        <v>154</v>
      </c>
      <c r="C31" s="13"/>
      <c r="D31" s="13"/>
      <c r="E31" s="52"/>
      <c r="F31" s="52"/>
      <c r="G31" s="52"/>
      <c r="H31" s="52"/>
      <c r="K31" s="9"/>
      <c r="L31" s="9"/>
    </row>
    <row r="32" spans="1:12" ht="10.5" hidden="1">
      <c r="A32" s="52"/>
      <c r="B32" s="33"/>
      <c r="C32" s="13"/>
      <c r="D32" s="13"/>
      <c r="E32" s="65">
        <v>0.05</v>
      </c>
      <c r="F32" s="65">
        <v>0.03</v>
      </c>
      <c r="G32" s="65">
        <v>2.5000000000000001E-2</v>
      </c>
      <c r="H32" s="65">
        <v>0.03</v>
      </c>
      <c r="L32" s="65">
        <v>0.03</v>
      </c>
    </row>
    <row r="33" spans="1:14" ht="10.5" hidden="1">
      <c r="A33" s="52"/>
      <c r="B33" s="13" t="s">
        <v>0</v>
      </c>
      <c r="C33" s="41" t="s">
        <v>13</v>
      </c>
      <c r="D33" s="41" t="s">
        <v>130</v>
      </c>
      <c r="E33" s="68" t="s">
        <v>21</v>
      </c>
      <c r="F33" s="68" t="s">
        <v>21</v>
      </c>
      <c r="G33" s="68" t="s">
        <v>21</v>
      </c>
      <c r="H33" s="68" t="s">
        <v>145</v>
      </c>
      <c r="I33" s="43" t="s">
        <v>131</v>
      </c>
      <c r="J33" s="43" t="s">
        <v>30</v>
      </c>
      <c r="K33" s="41" t="s">
        <v>130</v>
      </c>
      <c r="L33" s="68" t="s">
        <v>21</v>
      </c>
    </row>
    <row r="34" spans="1:14" ht="10.5" hidden="1">
      <c r="A34" s="52"/>
      <c r="B34" s="17">
        <v>2010</v>
      </c>
      <c r="C34" s="14" t="s">
        <v>133</v>
      </c>
      <c r="D34" s="14">
        <v>2007</v>
      </c>
      <c r="E34" s="338">
        <v>10</v>
      </c>
      <c r="F34" s="339">
        <v>31</v>
      </c>
      <c r="G34" s="338">
        <v>50</v>
      </c>
      <c r="H34" s="338">
        <v>86</v>
      </c>
      <c r="I34" s="1457" t="s">
        <v>1024</v>
      </c>
      <c r="J34" s="1458" t="s">
        <v>552</v>
      </c>
      <c r="K34" s="45">
        <v>2015</v>
      </c>
      <c r="L34" s="338">
        <v>35</v>
      </c>
      <c r="M34" s="1457" t="s">
        <v>553</v>
      </c>
    </row>
    <row r="35" spans="1:14" ht="10.5" hidden="1">
      <c r="A35" s="52"/>
      <c r="B35" s="17">
        <v>2011</v>
      </c>
      <c r="C35" s="14" t="s">
        <v>133</v>
      </c>
      <c r="D35" s="14">
        <v>2007</v>
      </c>
      <c r="E35" s="338">
        <v>11</v>
      </c>
      <c r="F35" s="339">
        <v>32</v>
      </c>
      <c r="G35" s="338">
        <v>51</v>
      </c>
      <c r="H35" s="338">
        <v>90</v>
      </c>
      <c r="I35" s="1457"/>
      <c r="J35" s="1458"/>
      <c r="K35" s="45">
        <v>2015</v>
      </c>
      <c r="L35" s="338">
        <v>36</v>
      </c>
      <c r="M35" s="1457"/>
      <c r="N35" s="78"/>
    </row>
    <row r="36" spans="1:14" ht="10.5" hidden="1">
      <c r="A36" s="52"/>
      <c r="B36" s="17">
        <v>2012</v>
      </c>
      <c r="C36" s="14" t="s">
        <v>133</v>
      </c>
      <c r="D36" s="14">
        <v>2007</v>
      </c>
      <c r="E36" s="338">
        <v>11</v>
      </c>
      <c r="F36" s="339">
        <v>33</v>
      </c>
      <c r="G36" s="338">
        <v>53</v>
      </c>
      <c r="H36" s="338">
        <v>93</v>
      </c>
      <c r="I36" s="1457"/>
      <c r="J36" s="1458"/>
      <c r="K36" s="45">
        <v>2015</v>
      </c>
      <c r="L36" s="338">
        <v>37</v>
      </c>
      <c r="M36" s="1457"/>
      <c r="N36" s="78"/>
    </row>
    <row r="37" spans="1:14" ht="10.5" hidden="1">
      <c r="A37" s="52"/>
      <c r="B37" s="17">
        <v>2013</v>
      </c>
      <c r="C37" s="14" t="s">
        <v>133</v>
      </c>
      <c r="D37" s="14">
        <v>2007</v>
      </c>
      <c r="E37" s="338">
        <v>11</v>
      </c>
      <c r="F37" s="339">
        <v>34</v>
      </c>
      <c r="G37" s="338">
        <v>54</v>
      </c>
      <c r="H37" s="338">
        <v>97</v>
      </c>
      <c r="I37" s="1457"/>
      <c r="J37" s="1458"/>
      <c r="K37" s="45">
        <v>2015</v>
      </c>
      <c r="L37" s="338">
        <v>38</v>
      </c>
      <c r="M37" s="1457"/>
      <c r="N37" s="78"/>
    </row>
    <row r="38" spans="1:14" ht="10.5" hidden="1">
      <c r="A38" s="52"/>
      <c r="B38" s="17">
        <v>2014</v>
      </c>
      <c r="C38" s="14" t="s">
        <v>133</v>
      </c>
      <c r="D38" s="14">
        <v>2007</v>
      </c>
      <c r="E38" s="338">
        <v>11</v>
      </c>
      <c r="F38" s="339">
        <v>35</v>
      </c>
      <c r="G38" s="338">
        <v>55</v>
      </c>
      <c r="H38" s="338">
        <v>101</v>
      </c>
      <c r="I38" s="1457"/>
      <c r="J38" s="1458"/>
      <c r="K38" s="45">
        <v>2015</v>
      </c>
      <c r="L38" s="338">
        <v>40</v>
      </c>
      <c r="M38" s="1457"/>
      <c r="N38" s="78"/>
    </row>
    <row r="39" spans="1:14" ht="10.5" hidden="1">
      <c r="A39" s="52"/>
      <c r="B39" s="17">
        <v>2015</v>
      </c>
      <c r="C39" s="14" t="s">
        <v>133</v>
      </c>
      <c r="D39" s="14">
        <v>2007</v>
      </c>
      <c r="E39" s="338">
        <v>11</v>
      </c>
      <c r="F39" s="339">
        <v>36</v>
      </c>
      <c r="G39" s="338">
        <v>56</v>
      </c>
      <c r="H39" s="338">
        <v>105</v>
      </c>
      <c r="I39" s="1457"/>
      <c r="J39" s="1458"/>
      <c r="K39" s="45">
        <v>2015</v>
      </c>
      <c r="L39" s="338">
        <v>41</v>
      </c>
      <c r="M39" s="1457"/>
      <c r="N39" s="78"/>
    </row>
    <row r="40" spans="1:14" ht="10.5" hidden="1">
      <c r="A40" s="52"/>
      <c r="B40" s="17">
        <v>2016</v>
      </c>
      <c r="C40" s="14" t="s">
        <v>133</v>
      </c>
      <c r="D40" s="14">
        <v>2007</v>
      </c>
      <c r="E40" s="338">
        <v>11</v>
      </c>
      <c r="F40" s="339">
        <v>38</v>
      </c>
      <c r="G40" s="338">
        <v>57</v>
      </c>
      <c r="H40" s="338">
        <v>108</v>
      </c>
      <c r="J40" s="20"/>
      <c r="K40" s="45">
        <v>2015</v>
      </c>
      <c r="L40" s="338">
        <v>43</v>
      </c>
      <c r="N40" s="78"/>
    </row>
    <row r="41" spans="1:14" ht="10.5" hidden="1">
      <c r="A41" s="52"/>
      <c r="B41" s="17">
        <v>2017</v>
      </c>
      <c r="C41" s="14" t="s">
        <v>133</v>
      </c>
      <c r="D41" s="14">
        <v>2007</v>
      </c>
      <c r="E41" s="338">
        <v>11</v>
      </c>
      <c r="F41" s="339">
        <v>39</v>
      </c>
      <c r="G41" s="338">
        <v>59</v>
      </c>
      <c r="H41" s="338">
        <v>112</v>
      </c>
      <c r="J41" s="20"/>
      <c r="K41" s="45">
        <v>2015</v>
      </c>
      <c r="L41" s="338">
        <v>44</v>
      </c>
      <c r="N41" s="78"/>
    </row>
    <row r="42" spans="1:14" ht="10.5" hidden="1">
      <c r="A42" s="52"/>
      <c r="B42" s="17">
        <v>2018</v>
      </c>
      <c r="C42" s="14" t="s">
        <v>133</v>
      </c>
      <c r="D42" s="14">
        <v>2007</v>
      </c>
      <c r="E42" s="338">
        <v>12</v>
      </c>
      <c r="F42" s="339">
        <v>40</v>
      </c>
      <c r="G42" s="338">
        <v>60</v>
      </c>
      <c r="H42" s="338">
        <v>116</v>
      </c>
      <c r="J42" s="20"/>
      <c r="K42" s="45">
        <v>2015</v>
      </c>
      <c r="L42" s="338">
        <v>45</v>
      </c>
      <c r="N42" s="78"/>
    </row>
    <row r="43" spans="1:14" ht="10.5" hidden="1">
      <c r="A43" s="52"/>
      <c r="B43" s="17">
        <v>2019</v>
      </c>
      <c r="C43" s="14" t="s">
        <v>133</v>
      </c>
      <c r="D43" s="14">
        <v>2007</v>
      </c>
      <c r="E43" s="338">
        <v>12</v>
      </c>
      <c r="F43" s="339">
        <v>41</v>
      </c>
      <c r="G43" s="338">
        <v>61</v>
      </c>
      <c r="H43" s="338">
        <v>120</v>
      </c>
      <c r="J43" s="20"/>
      <c r="K43" s="45">
        <v>2015</v>
      </c>
      <c r="L43" s="338">
        <v>46</v>
      </c>
      <c r="N43" s="78"/>
    </row>
    <row r="44" spans="1:14" ht="10.5" hidden="1">
      <c r="A44" s="52"/>
      <c r="B44" s="17">
        <v>2020</v>
      </c>
      <c r="C44" s="14" t="s">
        <v>133</v>
      </c>
      <c r="D44" s="14">
        <v>2007</v>
      </c>
      <c r="E44" s="338">
        <v>12</v>
      </c>
      <c r="F44" s="339">
        <v>42</v>
      </c>
      <c r="G44" s="338">
        <v>62</v>
      </c>
      <c r="H44" s="338">
        <v>123</v>
      </c>
      <c r="J44" s="20"/>
      <c r="K44" s="45">
        <v>2015</v>
      </c>
      <c r="L44" s="338">
        <v>47</v>
      </c>
      <c r="N44" s="78"/>
    </row>
    <row r="45" spans="1:14" ht="10.5" hidden="1">
      <c r="A45" s="52"/>
      <c r="B45" s="17">
        <v>2021</v>
      </c>
      <c r="C45" s="14" t="s">
        <v>133</v>
      </c>
      <c r="D45" s="14">
        <v>2007</v>
      </c>
      <c r="E45" s="338">
        <v>12</v>
      </c>
      <c r="F45" s="339">
        <v>42</v>
      </c>
      <c r="G45" s="338">
        <v>63</v>
      </c>
      <c r="H45" s="338">
        <v>126</v>
      </c>
      <c r="J45" s="20"/>
      <c r="K45" s="45">
        <v>2015</v>
      </c>
      <c r="L45" s="338">
        <v>47</v>
      </c>
      <c r="N45" s="78"/>
    </row>
    <row r="46" spans="1:14" ht="10.5" hidden="1">
      <c r="A46" s="52"/>
      <c r="B46" s="17">
        <v>2022</v>
      </c>
      <c r="C46" s="14" t="s">
        <v>133</v>
      </c>
      <c r="D46" s="14">
        <v>2007</v>
      </c>
      <c r="E46" s="338">
        <v>13</v>
      </c>
      <c r="F46" s="339">
        <v>43</v>
      </c>
      <c r="G46" s="338">
        <v>64</v>
      </c>
      <c r="H46" s="338">
        <v>129</v>
      </c>
      <c r="J46" s="20"/>
      <c r="K46" s="45">
        <v>2015</v>
      </c>
      <c r="L46" s="338">
        <v>49</v>
      </c>
      <c r="N46" s="78"/>
    </row>
    <row r="47" spans="1:14" ht="10.5" hidden="1">
      <c r="A47" s="52"/>
      <c r="B47" s="17">
        <v>2023</v>
      </c>
      <c r="C47" s="14" t="s">
        <v>133</v>
      </c>
      <c r="D47" s="14">
        <v>2007</v>
      </c>
      <c r="E47" s="338">
        <v>13</v>
      </c>
      <c r="F47" s="339">
        <v>44</v>
      </c>
      <c r="G47" s="338">
        <v>65</v>
      </c>
      <c r="H47" s="338">
        <v>132</v>
      </c>
      <c r="J47" s="20"/>
      <c r="K47" s="45">
        <v>2015</v>
      </c>
      <c r="L47" s="338">
        <v>50</v>
      </c>
      <c r="N47" s="78"/>
    </row>
    <row r="48" spans="1:14" ht="10.5" hidden="1">
      <c r="A48" s="52"/>
      <c r="B48" s="17">
        <v>2024</v>
      </c>
      <c r="C48" s="14" t="s">
        <v>133</v>
      </c>
      <c r="D48" s="14">
        <v>2007</v>
      </c>
      <c r="E48" s="338">
        <v>13</v>
      </c>
      <c r="F48" s="339">
        <v>45</v>
      </c>
      <c r="G48" s="338">
        <v>66</v>
      </c>
      <c r="H48" s="338">
        <v>135</v>
      </c>
      <c r="J48" s="20"/>
      <c r="K48" s="45">
        <v>2015</v>
      </c>
      <c r="L48" s="338">
        <v>51</v>
      </c>
      <c r="N48" s="78"/>
    </row>
    <row r="49" spans="1:14" ht="10.5" hidden="1">
      <c r="A49" s="52"/>
      <c r="B49" s="17">
        <v>2025</v>
      </c>
      <c r="C49" s="14" t="s">
        <v>133</v>
      </c>
      <c r="D49" s="14">
        <v>2007</v>
      </c>
      <c r="E49" s="338">
        <v>14</v>
      </c>
      <c r="F49" s="339">
        <v>46</v>
      </c>
      <c r="G49" s="338">
        <v>68</v>
      </c>
      <c r="H49" s="338">
        <v>138</v>
      </c>
      <c r="J49" s="20"/>
      <c r="K49" s="45">
        <v>2015</v>
      </c>
      <c r="L49" s="338">
        <v>52</v>
      </c>
      <c r="N49" s="78"/>
    </row>
    <row r="50" spans="1:14" ht="10.5" hidden="1">
      <c r="A50" s="52"/>
      <c r="B50" s="17">
        <v>2026</v>
      </c>
      <c r="C50" s="14" t="s">
        <v>133</v>
      </c>
      <c r="D50" s="14">
        <v>2007</v>
      </c>
      <c r="E50" s="338">
        <v>14</v>
      </c>
      <c r="F50" s="339">
        <v>47</v>
      </c>
      <c r="G50" s="338">
        <v>69</v>
      </c>
      <c r="H50" s="338">
        <v>141</v>
      </c>
      <c r="J50" s="20"/>
      <c r="K50" s="45">
        <v>2015</v>
      </c>
      <c r="L50" s="338">
        <v>53</v>
      </c>
      <c r="N50" s="78"/>
    </row>
    <row r="51" spans="1:14" ht="10.5" hidden="1">
      <c r="A51" s="52"/>
      <c r="B51" s="17">
        <v>2027</v>
      </c>
      <c r="C51" s="14" t="s">
        <v>133</v>
      </c>
      <c r="D51" s="14">
        <v>2007</v>
      </c>
      <c r="E51" s="338">
        <v>15</v>
      </c>
      <c r="F51" s="339">
        <v>48</v>
      </c>
      <c r="G51" s="338">
        <v>70</v>
      </c>
      <c r="H51" s="338">
        <v>143</v>
      </c>
      <c r="J51" s="20"/>
      <c r="K51" s="45">
        <v>2015</v>
      </c>
      <c r="L51" s="338">
        <v>54</v>
      </c>
      <c r="N51" s="78"/>
    </row>
    <row r="52" spans="1:14" ht="10.5" hidden="1">
      <c r="A52" s="52"/>
      <c r="B52" s="17">
        <v>2028</v>
      </c>
      <c r="C52" s="14" t="s">
        <v>133</v>
      </c>
      <c r="D52" s="14">
        <v>2007</v>
      </c>
      <c r="E52" s="338">
        <v>15</v>
      </c>
      <c r="F52" s="339">
        <v>49</v>
      </c>
      <c r="G52" s="338">
        <v>71</v>
      </c>
      <c r="H52" s="338">
        <v>146</v>
      </c>
      <c r="J52" s="20"/>
      <c r="K52" s="45">
        <v>2015</v>
      </c>
      <c r="L52" s="338">
        <v>55</v>
      </c>
      <c r="N52" s="78"/>
    </row>
    <row r="53" spans="1:14" ht="10.5" hidden="1">
      <c r="A53" s="52"/>
      <c r="B53" s="17">
        <v>2029</v>
      </c>
      <c r="C53" s="14" t="s">
        <v>133</v>
      </c>
      <c r="D53" s="14">
        <v>2007</v>
      </c>
      <c r="E53" s="338">
        <v>15</v>
      </c>
      <c r="F53" s="339">
        <v>49</v>
      </c>
      <c r="G53" s="338">
        <v>72</v>
      </c>
      <c r="H53" s="338">
        <v>149</v>
      </c>
      <c r="J53" s="20"/>
      <c r="K53" s="45">
        <v>2015</v>
      </c>
      <c r="L53" s="338">
        <v>55</v>
      </c>
      <c r="N53" s="78"/>
    </row>
    <row r="54" spans="1:14" ht="10.5" hidden="1">
      <c r="A54" s="52"/>
      <c r="B54" s="17">
        <v>2030</v>
      </c>
      <c r="C54" s="14" t="s">
        <v>133</v>
      </c>
      <c r="D54" s="14">
        <v>2007</v>
      </c>
      <c r="E54" s="338">
        <v>16</v>
      </c>
      <c r="F54" s="339">
        <v>50</v>
      </c>
      <c r="G54" s="338">
        <v>73</v>
      </c>
      <c r="H54" s="338">
        <v>152</v>
      </c>
      <c r="J54" s="20"/>
      <c r="K54" s="45">
        <v>2015</v>
      </c>
      <c r="L54" s="338">
        <v>57</v>
      </c>
      <c r="N54" s="78"/>
    </row>
    <row r="55" spans="1:14" ht="10.5" hidden="1">
      <c r="A55" s="52"/>
      <c r="B55" s="17">
        <v>2031</v>
      </c>
      <c r="C55" s="14" t="s">
        <v>133</v>
      </c>
      <c r="D55" s="14">
        <v>2007</v>
      </c>
      <c r="E55" s="338">
        <v>16</v>
      </c>
      <c r="F55" s="339">
        <v>51</v>
      </c>
      <c r="G55" s="338">
        <v>74</v>
      </c>
      <c r="H55" s="338">
        <v>155</v>
      </c>
      <c r="J55" s="20"/>
      <c r="K55" s="45">
        <v>2015</v>
      </c>
      <c r="L55" s="338">
        <v>58</v>
      </c>
      <c r="N55" s="78"/>
    </row>
    <row r="56" spans="1:14" ht="10.5" hidden="1">
      <c r="A56" s="52"/>
      <c r="B56" s="17">
        <v>2032</v>
      </c>
      <c r="C56" s="14" t="s">
        <v>133</v>
      </c>
      <c r="D56" s="14">
        <v>2007</v>
      </c>
      <c r="E56" s="338">
        <v>17</v>
      </c>
      <c r="F56" s="339">
        <v>52</v>
      </c>
      <c r="G56" s="338">
        <v>75</v>
      </c>
      <c r="H56" s="338">
        <v>158</v>
      </c>
      <c r="J56" s="20"/>
      <c r="K56" s="45">
        <v>2015</v>
      </c>
      <c r="L56" s="338">
        <v>59</v>
      </c>
      <c r="N56" s="78"/>
    </row>
    <row r="57" spans="1:14" ht="10.5" hidden="1">
      <c r="A57" s="52"/>
      <c r="B57" s="17">
        <v>2033</v>
      </c>
      <c r="C57" s="14" t="s">
        <v>133</v>
      </c>
      <c r="D57" s="14">
        <v>2007</v>
      </c>
      <c r="E57" s="338">
        <v>17</v>
      </c>
      <c r="F57" s="339">
        <v>53</v>
      </c>
      <c r="G57" s="338">
        <v>76</v>
      </c>
      <c r="H57" s="338">
        <v>161</v>
      </c>
      <c r="J57" s="20"/>
      <c r="K57" s="45">
        <v>2015</v>
      </c>
      <c r="L57" s="338">
        <v>60</v>
      </c>
      <c r="N57" s="78"/>
    </row>
    <row r="58" spans="1:14" ht="10.5" hidden="1">
      <c r="A58" s="52"/>
      <c r="B58" s="17">
        <v>2034</v>
      </c>
      <c r="C58" s="14" t="s">
        <v>133</v>
      </c>
      <c r="D58" s="14">
        <v>2007</v>
      </c>
      <c r="E58" s="338">
        <v>18</v>
      </c>
      <c r="F58" s="339">
        <v>54</v>
      </c>
      <c r="G58" s="338">
        <v>77</v>
      </c>
      <c r="H58" s="338">
        <v>164</v>
      </c>
      <c r="J58" s="20"/>
      <c r="K58" s="45">
        <v>2015</v>
      </c>
      <c r="L58" s="338">
        <v>61</v>
      </c>
      <c r="N58" s="78"/>
    </row>
    <row r="59" spans="1:14" ht="10.5" hidden="1">
      <c r="A59" s="52"/>
      <c r="B59" s="17">
        <v>2035</v>
      </c>
      <c r="C59" s="14" t="s">
        <v>133</v>
      </c>
      <c r="D59" s="14">
        <v>2007</v>
      </c>
      <c r="E59" s="338">
        <v>18</v>
      </c>
      <c r="F59" s="339">
        <v>55</v>
      </c>
      <c r="G59" s="338">
        <v>78</v>
      </c>
      <c r="H59" s="338">
        <v>168</v>
      </c>
      <c r="J59" s="20"/>
      <c r="K59" s="45">
        <v>2015</v>
      </c>
      <c r="L59" s="338">
        <v>62</v>
      </c>
      <c r="N59" s="78"/>
    </row>
    <row r="60" spans="1:14" ht="10.5" hidden="1">
      <c r="A60" s="52"/>
      <c r="B60" s="17">
        <v>2036</v>
      </c>
      <c r="C60" s="14" t="s">
        <v>133</v>
      </c>
      <c r="D60" s="14">
        <v>2007</v>
      </c>
      <c r="E60" s="338">
        <v>19</v>
      </c>
      <c r="F60" s="339">
        <v>56</v>
      </c>
      <c r="G60" s="338">
        <v>79</v>
      </c>
      <c r="H60" s="338">
        <v>171</v>
      </c>
      <c r="J60" s="20"/>
      <c r="K60" s="45">
        <v>2015</v>
      </c>
      <c r="L60" s="338">
        <v>63</v>
      </c>
      <c r="N60" s="78"/>
    </row>
    <row r="61" spans="1:14" ht="10.5" hidden="1">
      <c r="A61" s="52"/>
      <c r="B61" s="17">
        <v>2037</v>
      </c>
      <c r="C61" s="14" t="s">
        <v>133</v>
      </c>
      <c r="D61" s="14">
        <v>2007</v>
      </c>
      <c r="E61" s="338">
        <v>19</v>
      </c>
      <c r="F61" s="339">
        <v>57</v>
      </c>
      <c r="G61" s="338">
        <v>81</v>
      </c>
      <c r="H61" s="338">
        <v>174</v>
      </c>
      <c r="J61" s="20"/>
      <c r="K61" s="45">
        <v>2015</v>
      </c>
      <c r="L61" s="338">
        <v>64</v>
      </c>
      <c r="N61" s="78"/>
    </row>
    <row r="62" spans="1:14" ht="10.5" hidden="1">
      <c r="A62" s="52"/>
      <c r="B62" s="17">
        <v>2038</v>
      </c>
      <c r="C62" s="14" t="s">
        <v>133</v>
      </c>
      <c r="D62" s="14">
        <v>2007</v>
      </c>
      <c r="E62" s="338">
        <v>20</v>
      </c>
      <c r="F62" s="339">
        <v>58</v>
      </c>
      <c r="G62" s="338">
        <v>82</v>
      </c>
      <c r="H62" s="338">
        <v>177</v>
      </c>
      <c r="J62" s="20"/>
      <c r="K62" s="45">
        <v>2015</v>
      </c>
      <c r="L62" s="338">
        <v>66</v>
      </c>
      <c r="N62" s="78"/>
    </row>
    <row r="63" spans="1:14" ht="10.5" hidden="1">
      <c r="A63" s="52"/>
      <c r="B63" s="17">
        <v>2039</v>
      </c>
      <c r="C63" s="14" t="s">
        <v>133</v>
      </c>
      <c r="D63" s="14">
        <v>2007</v>
      </c>
      <c r="E63" s="338">
        <v>20</v>
      </c>
      <c r="F63" s="339">
        <v>59</v>
      </c>
      <c r="G63" s="338">
        <v>83</v>
      </c>
      <c r="H63" s="338">
        <v>180</v>
      </c>
      <c r="J63" s="20"/>
      <c r="K63" s="45">
        <v>2015</v>
      </c>
      <c r="L63" s="338">
        <v>67</v>
      </c>
      <c r="N63" s="78"/>
    </row>
    <row r="64" spans="1:14" ht="10.5" hidden="1">
      <c r="A64" s="52"/>
      <c r="B64" s="17">
        <v>2040</v>
      </c>
      <c r="C64" s="14" t="s">
        <v>133</v>
      </c>
      <c r="D64" s="14">
        <v>2007</v>
      </c>
      <c r="E64" s="338">
        <v>21</v>
      </c>
      <c r="F64" s="339">
        <v>60</v>
      </c>
      <c r="G64" s="338">
        <v>84</v>
      </c>
      <c r="H64" s="338">
        <v>183</v>
      </c>
      <c r="J64" s="20"/>
      <c r="K64" s="45">
        <v>2015</v>
      </c>
      <c r="L64" s="338">
        <v>68</v>
      </c>
      <c r="N64" s="78"/>
    </row>
    <row r="65" spans="1:14" ht="10.5" hidden="1">
      <c r="A65" s="52"/>
      <c r="B65" s="17">
        <v>2041</v>
      </c>
      <c r="C65" s="14" t="s">
        <v>133</v>
      </c>
      <c r="D65" s="14">
        <v>2007</v>
      </c>
      <c r="E65" s="338">
        <v>21</v>
      </c>
      <c r="F65" s="339">
        <v>61</v>
      </c>
      <c r="G65" s="338">
        <v>85</v>
      </c>
      <c r="H65" s="338">
        <v>186</v>
      </c>
      <c r="J65" s="20"/>
      <c r="K65" s="45">
        <v>2015</v>
      </c>
      <c r="L65" s="338">
        <v>69</v>
      </c>
      <c r="N65" s="78"/>
    </row>
    <row r="66" spans="1:14" ht="10.5" hidden="1">
      <c r="A66" s="52"/>
      <c r="B66" s="17">
        <v>2042</v>
      </c>
      <c r="C66" s="14" t="s">
        <v>133</v>
      </c>
      <c r="D66" s="14">
        <v>2007</v>
      </c>
      <c r="E66" s="338">
        <v>22</v>
      </c>
      <c r="F66" s="339">
        <v>61</v>
      </c>
      <c r="G66" s="338">
        <v>86</v>
      </c>
      <c r="H66" s="338">
        <v>189</v>
      </c>
      <c r="J66" s="20"/>
      <c r="K66" s="45">
        <v>2015</v>
      </c>
      <c r="L66" s="338">
        <v>69</v>
      </c>
      <c r="N66" s="78"/>
    </row>
    <row r="67" spans="1:14" ht="10.5" hidden="1">
      <c r="A67" s="52"/>
      <c r="B67" s="17">
        <v>2043</v>
      </c>
      <c r="C67" s="14" t="s">
        <v>133</v>
      </c>
      <c r="D67" s="14">
        <v>2007</v>
      </c>
      <c r="E67" s="338">
        <v>22</v>
      </c>
      <c r="F67" s="339">
        <v>62</v>
      </c>
      <c r="G67" s="338">
        <v>87</v>
      </c>
      <c r="H67" s="338">
        <v>192</v>
      </c>
      <c r="J67" s="20"/>
      <c r="K67" s="45">
        <v>2015</v>
      </c>
      <c r="L67" s="338">
        <v>70</v>
      </c>
      <c r="N67" s="78"/>
    </row>
    <row r="68" spans="1:14" ht="10.5" hidden="1">
      <c r="A68" s="52"/>
      <c r="B68" s="17">
        <v>2044</v>
      </c>
      <c r="C68" s="14" t="s">
        <v>133</v>
      </c>
      <c r="D68" s="14">
        <v>2007</v>
      </c>
      <c r="E68" s="338">
        <v>23</v>
      </c>
      <c r="F68" s="339">
        <v>63</v>
      </c>
      <c r="G68" s="338">
        <v>88</v>
      </c>
      <c r="H68" s="338">
        <v>194</v>
      </c>
      <c r="J68" s="20"/>
      <c r="K68" s="45">
        <v>2015</v>
      </c>
      <c r="L68" s="338">
        <v>71</v>
      </c>
      <c r="N68" s="78"/>
    </row>
    <row r="69" spans="1:14" ht="10.5" hidden="1">
      <c r="A69" s="52"/>
      <c r="B69" s="17">
        <v>2045</v>
      </c>
      <c r="C69" s="14" t="s">
        <v>133</v>
      </c>
      <c r="D69" s="14">
        <v>2007</v>
      </c>
      <c r="E69" s="338">
        <v>23</v>
      </c>
      <c r="F69" s="339">
        <v>64</v>
      </c>
      <c r="G69" s="338">
        <v>89</v>
      </c>
      <c r="H69" s="338">
        <v>197</v>
      </c>
      <c r="J69" s="20"/>
      <c r="K69" s="45">
        <v>2015</v>
      </c>
      <c r="L69" s="338">
        <v>72</v>
      </c>
      <c r="N69" s="78"/>
    </row>
    <row r="70" spans="1:14" ht="10.5" hidden="1">
      <c r="A70" s="52"/>
      <c r="B70" s="17">
        <v>2046</v>
      </c>
      <c r="C70" s="14" t="s">
        <v>133</v>
      </c>
      <c r="D70" s="14">
        <v>2007</v>
      </c>
      <c r="E70" s="338">
        <v>24</v>
      </c>
      <c r="F70" s="339">
        <v>65</v>
      </c>
      <c r="G70" s="338">
        <v>90</v>
      </c>
      <c r="H70" s="338">
        <v>200</v>
      </c>
      <c r="J70" s="20"/>
      <c r="K70" s="45">
        <v>2015</v>
      </c>
      <c r="L70" s="338">
        <v>73</v>
      </c>
      <c r="N70" s="78"/>
    </row>
    <row r="71" spans="1:14" ht="10.5" hidden="1">
      <c r="A71" s="52"/>
      <c r="B71" s="17">
        <v>2047</v>
      </c>
      <c r="C71" s="14" t="s">
        <v>133</v>
      </c>
      <c r="D71" s="14">
        <v>2007</v>
      </c>
      <c r="E71" s="338">
        <v>24</v>
      </c>
      <c r="F71" s="339">
        <v>66</v>
      </c>
      <c r="G71" s="338">
        <v>92</v>
      </c>
      <c r="H71" s="338">
        <v>203</v>
      </c>
      <c r="J71" s="20"/>
      <c r="K71" s="45">
        <v>2015</v>
      </c>
      <c r="L71" s="338">
        <v>75</v>
      </c>
      <c r="N71" s="78"/>
    </row>
    <row r="72" spans="1:14" ht="10.5" hidden="1">
      <c r="A72" s="52"/>
      <c r="B72" s="17">
        <v>2048</v>
      </c>
      <c r="C72" s="14" t="s">
        <v>133</v>
      </c>
      <c r="D72" s="14">
        <v>2007</v>
      </c>
      <c r="E72" s="338">
        <v>25</v>
      </c>
      <c r="F72" s="339">
        <v>67</v>
      </c>
      <c r="G72" s="338">
        <v>93</v>
      </c>
      <c r="H72" s="338">
        <v>206</v>
      </c>
      <c r="J72" s="20"/>
      <c r="K72" s="45">
        <v>2015</v>
      </c>
      <c r="L72" s="338">
        <v>76</v>
      </c>
      <c r="N72" s="78"/>
    </row>
    <row r="73" spans="1:14" ht="10.5" hidden="1">
      <c r="A73" s="52"/>
      <c r="B73" s="17">
        <v>2049</v>
      </c>
      <c r="C73" s="14" t="s">
        <v>133</v>
      </c>
      <c r="D73" s="14">
        <v>2007</v>
      </c>
      <c r="E73" s="338">
        <v>25</v>
      </c>
      <c r="F73" s="339">
        <v>68</v>
      </c>
      <c r="G73" s="338">
        <v>94</v>
      </c>
      <c r="H73" s="338">
        <v>209</v>
      </c>
      <c r="J73" s="20"/>
      <c r="K73" s="45">
        <v>2015</v>
      </c>
      <c r="L73" s="338">
        <v>77</v>
      </c>
      <c r="N73" s="78"/>
    </row>
    <row r="74" spans="1:14" ht="10.5" hidden="1">
      <c r="A74" s="52"/>
      <c r="B74" s="17">
        <v>2050</v>
      </c>
      <c r="C74" s="14" t="s">
        <v>133</v>
      </c>
      <c r="D74" s="14">
        <v>2007</v>
      </c>
      <c r="E74" s="338">
        <v>26</v>
      </c>
      <c r="F74" s="339">
        <v>69</v>
      </c>
      <c r="G74" s="338">
        <v>95</v>
      </c>
      <c r="H74" s="338">
        <v>212</v>
      </c>
      <c r="J74" s="20"/>
      <c r="K74" s="45">
        <v>2015</v>
      </c>
      <c r="L74" s="338">
        <v>78</v>
      </c>
      <c r="N74" s="78"/>
    </row>
    <row r="75" spans="1:14" ht="10.5" hidden="1">
      <c r="A75" s="52"/>
    </row>
    <row r="76" spans="1:14" ht="10.5" hidden="1">
      <c r="A76" s="52"/>
      <c r="B76" s="33" t="s">
        <v>155</v>
      </c>
    </row>
    <row r="77" spans="1:14" ht="10.5" hidden="1">
      <c r="A77" s="52"/>
      <c r="B77" s="34" t="s">
        <v>156</v>
      </c>
    </row>
    <row r="79" spans="1:14" s="22" customFormat="1" ht="11.25" customHeight="1">
      <c r="B79" s="21" t="s">
        <v>1268</v>
      </c>
    </row>
    <row r="80" spans="1:14" s="22" customFormat="1" ht="11.25" customHeight="1">
      <c r="B80" s="21"/>
    </row>
    <row r="81" spans="2:8" ht="10.5">
      <c r="B81" s="13"/>
    </row>
    <row r="82" spans="2:8" ht="30">
      <c r="E82" s="71" t="s">
        <v>137</v>
      </c>
      <c r="F82" s="71" t="s">
        <v>551</v>
      </c>
      <c r="G82" s="71" t="s">
        <v>157</v>
      </c>
      <c r="H82" s="71" t="s">
        <v>1280</v>
      </c>
    </row>
    <row r="83" spans="2:8" ht="14.5">
      <c r="D83" s="1149">
        <v>2020</v>
      </c>
      <c r="E83" s="1352">
        <v>15700</v>
      </c>
      <c r="F83" s="1352">
        <v>40400</v>
      </c>
      <c r="G83" s="1352">
        <v>729300</v>
      </c>
      <c r="H83" s="1353">
        <v>50</v>
      </c>
    </row>
    <row r="84" spans="2:8" ht="14.5">
      <c r="D84" s="1149">
        <v>2021</v>
      </c>
      <c r="E84" s="1352">
        <v>15900</v>
      </c>
      <c r="F84" s="1352">
        <v>41300</v>
      </c>
      <c r="G84" s="1352">
        <v>742300</v>
      </c>
      <c r="H84" s="1353">
        <v>52</v>
      </c>
    </row>
    <row r="85" spans="2:8" ht="14.5">
      <c r="D85" s="1149">
        <v>2022</v>
      </c>
      <c r="E85" s="1352">
        <v>16100</v>
      </c>
      <c r="F85" s="1352">
        <v>42100</v>
      </c>
      <c r="G85" s="1352">
        <v>755500</v>
      </c>
      <c r="H85" s="1353">
        <v>53</v>
      </c>
    </row>
    <row r="86" spans="2:8" ht="14.5">
      <c r="D86" s="1149">
        <v>2023</v>
      </c>
      <c r="E86" s="1352">
        <v>16400</v>
      </c>
      <c r="F86" s="1352">
        <v>43000</v>
      </c>
      <c r="G86" s="1352">
        <v>769000</v>
      </c>
      <c r="H86" s="1353">
        <v>54</v>
      </c>
    </row>
    <row r="87" spans="2:8" ht="14.5">
      <c r="D87" s="1149">
        <v>2024</v>
      </c>
      <c r="E87" s="1352">
        <v>16600</v>
      </c>
      <c r="F87" s="1352">
        <v>43900</v>
      </c>
      <c r="G87" s="1352">
        <v>782700</v>
      </c>
      <c r="H87" s="1353">
        <v>55</v>
      </c>
    </row>
    <row r="88" spans="2:8" ht="14.5">
      <c r="D88" s="1149">
        <v>2025</v>
      </c>
      <c r="E88" s="1352">
        <v>16800</v>
      </c>
      <c r="F88" s="1352">
        <v>44900</v>
      </c>
      <c r="G88" s="1352">
        <v>796600</v>
      </c>
      <c r="H88" s="1353">
        <v>56</v>
      </c>
    </row>
    <row r="89" spans="2:8" ht="14.5">
      <c r="D89" s="1149">
        <v>2026</v>
      </c>
      <c r="E89" s="1352">
        <v>17000</v>
      </c>
      <c r="F89" s="1352">
        <v>45500</v>
      </c>
      <c r="G89" s="1352">
        <v>807500</v>
      </c>
      <c r="H89" s="1353">
        <v>57</v>
      </c>
    </row>
    <row r="90" spans="2:8" ht="14.5">
      <c r="D90" s="1149">
        <v>2027</v>
      </c>
      <c r="E90" s="1352">
        <v>17300</v>
      </c>
      <c r="F90" s="1352">
        <v>46200</v>
      </c>
      <c r="G90" s="1352">
        <v>818600</v>
      </c>
      <c r="H90" s="1353">
        <v>58</v>
      </c>
    </row>
    <row r="91" spans="2:8" ht="14.5">
      <c r="D91" s="1149">
        <v>2028</v>
      </c>
      <c r="E91" s="1352">
        <v>17500</v>
      </c>
      <c r="F91" s="1352">
        <v>46900</v>
      </c>
      <c r="G91" s="1352">
        <v>829800</v>
      </c>
      <c r="H91" s="1353">
        <v>59</v>
      </c>
    </row>
    <row r="92" spans="2:8" ht="14.5">
      <c r="D92" s="1149">
        <v>2029</v>
      </c>
      <c r="E92" s="1352">
        <v>17700</v>
      </c>
      <c r="F92" s="1352">
        <v>47600</v>
      </c>
      <c r="G92" s="1352">
        <v>841200</v>
      </c>
      <c r="H92" s="1353">
        <v>60</v>
      </c>
    </row>
    <row r="93" spans="2:8" ht="14.5">
      <c r="D93" s="1149">
        <v>2030</v>
      </c>
      <c r="E93" s="1352">
        <v>18000</v>
      </c>
      <c r="F93" s="1352">
        <v>48200</v>
      </c>
      <c r="G93" s="1352">
        <v>852700</v>
      </c>
      <c r="H93" s="1353">
        <v>61</v>
      </c>
    </row>
    <row r="94" spans="2:8" ht="14.5">
      <c r="D94" s="1149">
        <v>2031</v>
      </c>
      <c r="E94" s="1352">
        <v>18000</v>
      </c>
      <c r="F94" s="1352">
        <v>48200</v>
      </c>
      <c r="G94" s="1352">
        <v>852700</v>
      </c>
      <c r="H94" s="1353">
        <v>62</v>
      </c>
    </row>
    <row r="95" spans="2:8" ht="14.5">
      <c r="D95" s="1149">
        <v>2032</v>
      </c>
      <c r="E95" s="1352">
        <v>18000</v>
      </c>
      <c r="F95" s="1352">
        <v>48200</v>
      </c>
      <c r="G95" s="1352">
        <v>852700</v>
      </c>
      <c r="H95" s="1353">
        <v>63</v>
      </c>
    </row>
    <row r="96" spans="2:8" ht="14.5">
      <c r="D96" s="1149">
        <v>2033</v>
      </c>
      <c r="E96" s="1352">
        <v>18000</v>
      </c>
      <c r="F96" s="1352">
        <v>48200</v>
      </c>
      <c r="G96" s="1352">
        <v>852700</v>
      </c>
      <c r="H96" s="1353">
        <v>64</v>
      </c>
    </row>
    <row r="97" spans="4:8" ht="14.5">
      <c r="D97" s="1149">
        <v>2034</v>
      </c>
      <c r="E97" s="1352">
        <v>18000</v>
      </c>
      <c r="F97" s="1352">
        <v>48200</v>
      </c>
      <c r="G97" s="1352">
        <v>852700</v>
      </c>
      <c r="H97" s="1353">
        <v>66</v>
      </c>
    </row>
    <row r="98" spans="4:8" ht="14.5">
      <c r="D98" s="1149">
        <v>2035</v>
      </c>
      <c r="E98" s="1352">
        <v>18000</v>
      </c>
      <c r="F98" s="1352">
        <v>48200</v>
      </c>
      <c r="G98" s="1352">
        <v>852700</v>
      </c>
      <c r="H98" s="1353">
        <v>67</v>
      </c>
    </row>
    <row r="99" spans="4:8" ht="14.5">
      <c r="D99" s="1149">
        <v>2036</v>
      </c>
      <c r="E99" s="1352">
        <v>18000</v>
      </c>
      <c r="F99" s="1352">
        <v>48200</v>
      </c>
      <c r="G99" s="1352">
        <v>852700</v>
      </c>
      <c r="H99" s="1353">
        <v>68</v>
      </c>
    </row>
    <row r="100" spans="4:8" ht="14.5">
      <c r="D100" s="1149">
        <v>2037</v>
      </c>
      <c r="E100" s="1352">
        <v>18000</v>
      </c>
      <c r="F100" s="1352">
        <v>48200</v>
      </c>
      <c r="G100" s="1352">
        <v>852700</v>
      </c>
      <c r="H100" s="1353">
        <v>69</v>
      </c>
    </row>
    <row r="101" spans="4:8" ht="14.5">
      <c r="D101" s="1149">
        <v>2038</v>
      </c>
      <c r="E101" s="1352">
        <v>18000</v>
      </c>
      <c r="F101" s="1352">
        <v>48200</v>
      </c>
      <c r="G101" s="1352">
        <v>852700</v>
      </c>
      <c r="H101" s="1353">
        <v>70</v>
      </c>
    </row>
    <row r="102" spans="4:8" ht="14.5">
      <c r="D102" s="1149">
        <v>2039</v>
      </c>
      <c r="E102" s="1352">
        <v>18000</v>
      </c>
      <c r="F102" s="1352">
        <v>48200</v>
      </c>
      <c r="G102" s="1352">
        <v>852700</v>
      </c>
      <c r="H102" s="1353">
        <v>71</v>
      </c>
    </row>
    <row r="103" spans="4:8" ht="14.5">
      <c r="D103" s="1149">
        <v>2040</v>
      </c>
      <c r="E103" s="1352">
        <v>18000</v>
      </c>
      <c r="F103" s="1352">
        <v>48200</v>
      </c>
      <c r="G103" s="1352">
        <v>852700</v>
      </c>
      <c r="H103" s="1353">
        <v>72</v>
      </c>
    </row>
    <row r="104" spans="4:8" ht="14.5">
      <c r="D104" s="1149">
        <v>2041</v>
      </c>
      <c r="E104" s="1352">
        <v>18000</v>
      </c>
      <c r="F104" s="1352">
        <v>48200</v>
      </c>
      <c r="G104" s="1352">
        <v>852700</v>
      </c>
      <c r="H104" s="1353">
        <v>73</v>
      </c>
    </row>
    <row r="105" spans="4:8" ht="14.5">
      <c r="D105" s="1149">
        <v>2042</v>
      </c>
      <c r="E105" s="1352">
        <v>18000</v>
      </c>
      <c r="F105" s="1352">
        <v>48200</v>
      </c>
      <c r="G105" s="1352">
        <v>852700</v>
      </c>
      <c r="H105" s="1353">
        <v>75</v>
      </c>
    </row>
    <row r="106" spans="4:8" ht="14.5">
      <c r="D106" s="1149">
        <v>2043</v>
      </c>
      <c r="E106" s="1352">
        <v>18000</v>
      </c>
      <c r="F106" s="1352">
        <v>48200</v>
      </c>
      <c r="G106" s="1352">
        <v>852700</v>
      </c>
      <c r="H106" s="1353">
        <v>76</v>
      </c>
    </row>
    <row r="107" spans="4:8" ht="14.5">
      <c r="D107" s="1149">
        <v>2044</v>
      </c>
      <c r="E107" s="1352">
        <v>18000</v>
      </c>
      <c r="F107" s="1352">
        <v>48200</v>
      </c>
      <c r="G107" s="1352">
        <v>852700</v>
      </c>
      <c r="H107" s="1353">
        <v>77</v>
      </c>
    </row>
    <row r="108" spans="4:8" ht="14.5">
      <c r="D108" s="1149">
        <v>2045</v>
      </c>
      <c r="E108" s="1352">
        <v>18000</v>
      </c>
      <c r="F108" s="1352">
        <v>48200</v>
      </c>
      <c r="G108" s="1352">
        <v>852700</v>
      </c>
      <c r="H108" s="1353">
        <v>78</v>
      </c>
    </row>
    <row r="109" spans="4:8" ht="14.5">
      <c r="D109" s="1149">
        <v>2046</v>
      </c>
      <c r="E109" s="1352">
        <v>18000</v>
      </c>
      <c r="F109" s="1352">
        <v>48200</v>
      </c>
      <c r="G109" s="1352">
        <v>852700</v>
      </c>
      <c r="H109" s="1353">
        <v>79</v>
      </c>
    </row>
    <row r="110" spans="4:8" ht="14.5">
      <c r="D110" s="1149">
        <v>2047</v>
      </c>
      <c r="E110" s="1352">
        <v>18000</v>
      </c>
      <c r="F110" s="1352">
        <v>48200</v>
      </c>
      <c r="G110" s="1352">
        <v>852700</v>
      </c>
      <c r="H110" s="1353">
        <v>80</v>
      </c>
    </row>
    <row r="111" spans="4:8" ht="14.5">
      <c r="D111" s="1149">
        <v>2048</v>
      </c>
      <c r="E111" s="1352">
        <v>18000</v>
      </c>
      <c r="F111" s="1352">
        <v>48200</v>
      </c>
      <c r="G111" s="1352">
        <v>852700</v>
      </c>
      <c r="H111" s="1353">
        <v>81</v>
      </c>
    </row>
    <row r="112" spans="4:8" ht="14.5">
      <c r="D112" s="1149">
        <v>2049</v>
      </c>
      <c r="E112" s="1352">
        <v>18000</v>
      </c>
      <c r="F112" s="1352">
        <v>48200</v>
      </c>
      <c r="G112" s="1352">
        <v>852700</v>
      </c>
      <c r="H112" s="1353">
        <v>83</v>
      </c>
    </row>
    <row r="113" spans="4:8" ht="14.5">
      <c r="D113" s="1149">
        <v>2050</v>
      </c>
      <c r="E113" s="1352">
        <v>18000</v>
      </c>
      <c r="F113" s="1352">
        <v>48200</v>
      </c>
      <c r="G113" s="1352">
        <v>852700</v>
      </c>
      <c r="H113" s="1353">
        <v>84</v>
      </c>
    </row>
    <row r="114" spans="4:8" ht="14.5">
      <c r="D114" s="1149">
        <f>D113+1</f>
        <v>2051</v>
      </c>
      <c r="E114" s="1354">
        <f>E113</f>
        <v>18000</v>
      </c>
      <c r="F114" s="1354">
        <f t="shared" ref="F114:F118" si="0">F113</f>
        <v>48200</v>
      </c>
      <c r="G114" s="1354">
        <f t="shared" ref="G114:G118" si="1">G113</f>
        <v>852700</v>
      </c>
      <c r="H114" s="1354">
        <f t="shared" ref="H114:H118" si="2">H113</f>
        <v>84</v>
      </c>
    </row>
    <row r="115" spans="4:8" ht="14.5">
      <c r="D115" s="1149">
        <f t="shared" ref="D115:D117" si="3">D114+1</f>
        <v>2052</v>
      </c>
      <c r="E115" s="1354">
        <f t="shared" ref="E115:E118" si="4">E114</f>
        <v>18000</v>
      </c>
      <c r="F115" s="1354">
        <f t="shared" si="0"/>
        <v>48200</v>
      </c>
      <c r="G115" s="1354">
        <f t="shared" si="1"/>
        <v>852700</v>
      </c>
      <c r="H115" s="1354">
        <f t="shared" si="2"/>
        <v>84</v>
      </c>
    </row>
    <row r="116" spans="4:8" ht="14.5">
      <c r="D116" s="1149">
        <f t="shared" si="3"/>
        <v>2053</v>
      </c>
      <c r="E116" s="1354">
        <f t="shared" si="4"/>
        <v>18000</v>
      </c>
      <c r="F116" s="1354">
        <f t="shared" si="0"/>
        <v>48200</v>
      </c>
      <c r="G116" s="1354">
        <f t="shared" si="1"/>
        <v>852700</v>
      </c>
      <c r="H116" s="1354">
        <f t="shared" si="2"/>
        <v>84</v>
      </c>
    </row>
    <row r="117" spans="4:8" ht="14.5">
      <c r="D117" s="1149">
        <f t="shared" si="3"/>
        <v>2054</v>
      </c>
      <c r="E117" s="1354">
        <f t="shared" si="4"/>
        <v>18000</v>
      </c>
      <c r="F117" s="1354">
        <f t="shared" si="0"/>
        <v>48200</v>
      </c>
      <c r="G117" s="1354">
        <f t="shared" si="1"/>
        <v>852700</v>
      </c>
      <c r="H117" s="1354">
        <f t="shared" si="2"/>
        <v>84</v>
      </c>
    </row>
    <row r="118" spans="4:8" ht="14.5">
      <c r="D118" s="1149">
        <f>D117+1</f>
        <v>2055</v>
      </c>
      <c r="E118" s="1354">
        <f t="shared" si="4"/>
        <v>18000</v>
      </c>
      <c r="F118" s="1354">
        <f t="shared" si="0"/>
        <v>48200</v>
      </c>
      <c r="G118" s="1354">
        <f t="shared" si="1"/>
        <v>852700</v>
      </c>
      <c r="H118" s="1354">
        <f t="shared" si="2"/>
        <v>84</v>
      </c>
    </row>
  </sheetData>
  <mergeCells count="8">
    <mergeCell ref="M34:M39"/>
    <mergeCell ref="I34:I39"/>
    <mergeCell ref="J34:J39"/>
    <mergeCell ref="I6:I10"/>
    <mergeCell ref="J6:J10"/>
    <mergeCell ref="J21:J22"/>
    <mergeCell ref="I26:I29"/>
    <mergeCell ref="J26:J29"/>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theme="8" tint="0.79998168889431442"/>
  </sheetPr>
  <dimension ref="A1:AN76"/>
  <sheetViews>
    <sheetView showGridLines="0" topLeftCell="A4" workbookViewId="0">
      <selection activeCell="B4" sqref="B4"/>
    </sheetView>
  </sheetViews>
  <sheetFormatPr defaultColWidth="9" defaultRowHeight="14"/>
  <cols>
    <col min="1" max="1" width="0.75" style="150" customWidth="1"/>
    <col min="2" max="2" width="10.25" style="150" customWidth="1"/>
    <col min="3" max="8" width="9" style="150"/>
    <col min="9" max="9" width="1.25" style="150" customWidth="1"/>
    <col min="10" max="10" width="7.25" style="150" customWidth="1"/>
    <col min="11" max="16" width="9" style="150"/>
    <col min="17" max="17" width="1.75" style="150" customWidth="1"/>
    <col min="18" max="19" width="7.83203125" style="150" customWidth="1"/>
    <col min="20" max="24" width="9" style="150"/>
    <col min="25" max="25" width="1.58203125" style="150" customWidth="1"/>
    <col min="26" max="26" width="7.33203125" style="150" customWidth="1"/>
    <col min="27" max="27" width="9" style="150"/>
    <col min="28" max="28" width="9" style="150" customWidth="1"/>
    <col min="29" max="32" width="9" style="150"/>
    <col min="33" max="33" width="1.75" style="150" customWidth="1"/>
    <col min="34" max="34" width="7.25" style="150" customWidth="1"/>
    <col min="35" max="36" width="9" style="150"/>
    <col min="37" max="37" width="8" style="150" customWidth="1"/>
    <col min="38" max="16384" width="9" style="150"/>
  </cols>
  <sheetData>
    <row r="1" spans="1:40" s="7" customFormat="1" ht="10.5">
      <c r="A1" s="4" t="s">
        <v>722</v>
      </c>
      <c r="C1" s="4"/>
      <c r="D1" s="5"/>
      <c r="E1" s="5"/>
      <c r="F1" s="5"/>
      <c r="G1" s="5"/>
      <c r="H1" s="5"/>
      <c r="I1" s="6"/>
      <c r="J1" s="6"/>
    </row>
    <row r="2" spans="1:40" ht="20">
      <c r="B2" s="151" t="s">
        <v>723</v>
      </c>
      <c r="C2" s="264"/>
      <c r="D2" s="264"/>
      <c r="E2" s="264"/>
      <c r="F2" s="264"/>
      <c r="G2" s="264"/>
      <c r="H2" s="264"/>
      <c r="I2" s="2"/>
      <c r="J2" s="2"/>
      <c r="K2" s="2"/>
      <c r="L2" s="2"/>
      <c r="M2" s="2"/>
      <c r="N2" s="264"/>
      <c r="O2" s="264"/>
      <c r="P2" s="264"/>
      <c r="Q2" s="264"/>
      <c r="R2" s="264"/>
      <c r="S2" s="264"/>
      <c r="T2" s="2"/>
      <c r="U2" s="2"/>
    </row>
    <row r="3" spans="1:40" ht="15.5">
      <c r="B3" s="152" t="s">
        <v>1078</v>
      </c>
      <c r="C3" s="265"/>
      <c r="D3" s="265"/>
      <c r="E3" s="265"/>
      <c r="F3" s="265"/>
      <c r="G3" s="265"/>
      <c r="H3" s="265"/>
      <c r="I3" s="2"/>
      <c r="J3" s="2"/>
      <c r="K3" s="260"/>
      <c r="L3" s="2"/>
      <c r="M3" s="260"/>
      <c r="N3" s="265"/>
      <c r="O3" s="265"/>
      <c r="P3" s="265"/>
      <c r="Q3" s="265"/>
      <c r="R3" s="265"/>
      <c r="S3" s="265"/>
      <c r="T3" s="2"/>
      <c r="U3" s="2"/>
    </row>
    <row r="4" spans="1:40">
      <c r="B4" s="261"/>
      <c r="C4" s="265"/>
      <c r="D4" s="265"/>
      <c r="E4" s="265"/>
      <c r="F4" s="265"/>
      <c r="G4" s="265"/>
      <c r="H4" s="265"/>
      <c r="I4" s="2"/>
      <c r="J4" s="2"/>
      <c r="K4" s="261"/>
      <c r="L4" s="2"/>
      <c r="M4" s="261"/>
      <c r="N4" s="265"/>
      <c r="O4" s="265"/>
      <c r="P4" s="265"/>
      <c r="Q4" s="265"/>
      <c r="R4" s="265"/>
      <c r="S4" s="265"/>
      <c r="T4" s="2"/>
      <c r="U4" s="2"/>
    </row>
    <row r="5" spans="1:40">
      <c r="B5" s="525">
        <v>2017</v>
      </c>
      <c r="C5" s="526"/>
      <c r="D5" s="526"/>
      <c r="E5" s="526"/>
      <c r="F5" s="526"/>
      <c r="G5" s="526"/>
      <c r="H5" s="526"/>
      <c r="I5" s="525"/>
      <c r="J5" s="525">
        <v>2020</v>
      </c>
      <c r="K5" s="526"/>
      <c r="L5" s="526"/>
      <c r="M5" s="526"/>
      <c r="N5" s="526"/>
      <c r="O5" s="526"/>
      <c r="P5" s="525"/>
      <c r="Q5" s="525"/>
      <c r="R5" s="525">
        <v>2030</v>
      </c>
      <c r="S5" s="526"/>
      <c r="T5" s="526"/>
      <c r="U5" s="526"/>
      <c r="V5" s="526"/>
      <c r="W5" s="526"/>
      <c r="X5" s="525"/>
      <c r="Y5" s="527"/>
      <c r="Z5" s="525">
        <v>2040</v>
      </c>
      <c r="AA5" s="172"/>
      <c r="AB5" s="172"/>
      <c r="AC5" s="172"/>
      <c r="AD5" s="172"/>
      <c r="AE5" s="172"/>
      <c r="AF5" s="2"/>
      <c r="AH5" s="525">
        <v>2050</v>
      </c>
      <c r="AI5" s="172"/>
      <c r="AJ5" s="172"/>
      <c r="AK5" s="172"/>
      <c r="AL5" s="172"/>
      <c r="AM5" s="172"/>
      <c r="AN5" s="2"/>
    </row>
    <row r="6" spans="1:40">
      <c r="B6" s="528" t="s">
        <v>474</v>
      </c>
      <c r="C6" s="528" t="s">
        <v>477</v>
      </c>
      <c r="D6" s="528" t="s">
        <v>476</v>
      </c>
      <c r="E6" s="528" t="s">
        <v>724</v>
      </c>
      <c r="F6" s="528" t="s">
        <v>480</v>
      </c>
      <c r="G6" s="528" t="s">
        <v>725</v>
      </c>
      <c r="H6" s="528" t="s">
        <v>475</v>
      </c>
      <c r="J6" s="528" t="s">
        <v>474</v>
      </c>
      <c r="K6" s="528" t="s">
        <v>477</v>
      </c>
      <c r="L6" s="528" t="s">
        <v>476</v>
      </c>
      <c r="M6" s="528" t="s">
        <v>724</v>
      </c>
      <c r="N6" s="528" t="s">
        <v>480</v>
      </c>
      <c r="O6" s="528" t="s">
        <v>725</v>
      </c>
      <c r="P6" s="528" t="s">
        <v>475</v>
      </c>
      <c r="R6" s="528" t="s">
        <v>474</v>
      </c>
      <c r="S6" s="528" t="s">
        <v>477</v>
      </c>
      <c r="T6" s="528" t="s">
        <v>476</v>
      </c>
      <c r="U6" s="528" t="s">
        <v>724</v>
      </c>
      <c r="V6" s="528" t="s">
        <v>480</v>
      </c>
      <c r="W6" s="528" t="s">
        <v>725</v>
      </c>
      <c r="X6" s="528" t="s">
        <v>475</v>
      </c>
      <c r="Z6" s="528" t="s">
        <v>474</v>
      </c>
      <c r="AA6" s="528" t="s">
        <v>477</v>
      </c>
      <c r="AB6" s="528" t="s">
        <v>476</v>
      </c>
      <c r="AC6" s="528" t="s">
        <v>724</v>
      </c>
      <c r="AD6" s="528" t="s">
        <v>480</v>
      </c>
      <c r="AE6" s="528" t="s">
        <v>725</v>
      </c>
      <c r="AF6" s="528" t="s">
        <v>475</v>
      </c>
      <c r="AH6" s="528" t="s">
        <v>474</v>
      </c>
      <c r="AI6" s="528" t="s">
        <v>477</v>
      </c>
      <c r="AJ6" s="528" t="s">
        <v>476</v>
      </c>
      <c r="AK6" s="528" t="s">
        <v>724</v>
      </c>
      <c r="AL6" s="528" t="s">
        <v>480</v>
      </c>
      <c r="AM6" s="528" t="s">
        <v>725</v>
      </c>
      <c r="AN6" s="528" t="s">
        <v>475</v>
      </c>
    </row>
    <row r="7" spans="1:40" ht="14.25" customHeight="1">
      <c r="B7" s="529">
        <v>2.5</v>
      </c>
      <c r="C7" s="263">
        <v>957.29608991068881</v>
      </c>
      <c r="D7" s="262">
        <v>1.2325542509300431</v>
      </c>
      <c r="E7" s="262">
        <v>3.1759261093552982E-2</v>
      </c>
      <c r="F7" s="262">
        <v>2.8094841681811287E-2</v>
      </c>
      <c r="G7" s="262">
        <v>6.362399302287782E-3</v>
      </c>
      <c r="H7" s="262">
        <v>0.63410487043954689</v>
      </c>
      <c r="J7" s="529">
        <v>2.5</v>
      </c>
      <c r="K7" s="263">
        <v>922.99925551875572</v>
      </c>
      <c r="L7" s="262">
        <v>0.87246505791816809</v>
      </c>
      <c r="M7" s="262">
        <v>2.5579246630396436E-2</v>
      </c>
      <c r="N7" s="262">
        <v>2.2627887920656731E-2</v>
      </c>
      <c r="O7" s="262">
        <v>6.1357880044998628E-3</v>
      </c>
      <c r="P7" s="262">
        <v>0.41078159077169957</v>
      </c>
      <c r="R7" s="529">
        <v>2.5</v>
      </c>
      <c r="S7" s="263">
        <v>789.46100394956306</v>
      </c>
      <c r="T7" s="262">
        <v>9.4168212169015067E-2</v>
      </c>
      <c r="U7" s="262">
        <v>1.7251409314227292E-2</v>
      </c>
      <c r="V7" s="262">
        <v>1.5260929977821702E-2</v>
      </c>
      <c r="W7" s="262">
        <v>5.2610461228346627E-3</v>
      </c>
      <c r="X7" s="262">
        <v>3.3467364674922229E-2</v>
      </c>
      <c r="Z7" s="529">
        <v>2.5</v>
      </c>
      <c r="AA7" s="263">
        <v>635.27499094316738</v>
      </c>
      <c r="AB7" s="262">
        <v>1.499170609731075E-2</v>
      </c>
      <c r="AC7" s="262">
        <v>1.1519526249744087E-2</v>
      </c>
      <c r="AD7" s="262">
        <v>1.0190396156582593E-2</v>
      </c>
      <c r="AE7" s="262">
        <v>4.2515178004490011E-3</v>
      </c>
      <c r="AF7" s="262">
        <v>8.1425576232328316E-3</v>
      </c>
      <c r="AH7" s="529">
        <v>2.5</v>
      </c>
      <c r="AI7" s="263">
        <v>532.18862250543316</v>
      </c>
      <c r="AJ7" s="262">
        <v>4.0078964882394996E-3</v>
      </c>
      <c r="AK7" s="262">
        <v>7.458360822525819E-3</v>
      </c>
      <c r="AL7" s="262">
        <v>6.5978033291626426E-3</v>
      </c>
      <c r="AM7" s="262">
        <v>3.549008728793609E-3</v>
      </c>
      <c r="AN7" s="262">
        <v>5.0421014490101557E-3</v>
      </c>
    </row>
    <row r="8" spans="1:40" ht="14.25" customHeight="1">
      <c r="B8" s="529">
        <v>5</v>
      </c>
      <c r="C8" s="263">
        <v>533.98474613312499</v>
      </c>
      <c r="D8" s="262">
        <v>0.84285171483568</v>
      </c>
      <c r="E8" s="262">
        <v>2.1540903331403925E-2</v>
      </c>
      <c r="F8" s="262">
        <v>1.9055488241475894E-2</v>
      </c>
      <c r="G8" s="262">
        <v>3.5489746923333077E-3</v>
      </c>
      <c r="H8" s="262">
        <v>0.34377180066263857</v>
      </c>
      <c r="J8" s="529">
        <v>5</v>
      </c>
      <c r="K8" s="263">
        <v>514.99630331223921</v>
      </c>
      <c r="L8" s="262">
        <v>0.61104023168914812</v>
      </c>
      <c r="M8" s="262">
        <v>1.7334115929007798E-2</v>
      </c>
      <c r="N8" s="262">
        <v>1.53340909427272E-2</v>
      </c>
      <c r="O8" s="262">
        <v>3.4235194522602048E-3</v>
      </c>
      <c r="P8" s="262">
        <v>0.22334428037884771</v>
      </c>
      <c r="R8" s="529">
        <v>5</v>
      </c>
      <c r="S8" s="263">
        <v>438.59208223896633</v>
      </c>
      <c r="T8" s="262">
        <v>7.4528754720719501E-2</v>
      </c>
      <c r="U8" s="262">
        <v>1.0303241219521744E-2</v>
      </c>
      <c r="V8" s="262">
        <v>9.1144416045637611E-3</v>
      </c>
      <c r="W8" s="262">
        <v>2.9228214829814612E-3</v>
      </c>
      <c r="X8" s="262">
        <v>2.0380312026733696E-2</v>
      </c>
      <c r="Z8" s="529">
        <v>5</v>
      </c>
      <c r="AA8" s="263">
        <v>352.71725168535744</v>
      </c>
      <c r="AB8" s="262">
        <v>1.5688978939227022E-2</v>
      </c>
      <c r="AC8" s="262">
        <v>6.6654292271367118E-3</v>
      </c>
      <c r="AD8" s="262">
        <v>5.8963660839869616E-3</v>
      </c>
      <c r="AE8" s="262">
        <v>2.3605256236248406E-3</v>
      </c>
      <c r="AF8" s="262">
        <v>5.925966364767131E-3</v>
      </c>
      <c r="AH8" s="529">
        <v>5</v>
      </c>
      <c r="AI8" s="263">
        <v>295.47956294398136</v>
      </c>
      <c r="AJ8" s="262">
        <v>6.3193271297120063E-3</v>
      </c>
      <c r="AK8" s="262">
        <v>4.3155577469376778E-3</v>
      </c>
      <c r="AL8" s="262">
        <v>3.8176257784793793E-3</v>
      </c>
      <c r="AM8" s="262">
        <v>1.9704642486871177E-3</v>
      </c>
      <c r="AN8" s="262">
        <v>3.6716197754421646E-3</v>
      </c>
    </row>
    <row r="9" spans="1:40" ht="14.25" customHeight="1">
      <c r="B9" s="529">
        <v>10</v>
      </c>
      <c r="C9" s="263">
        <v>322.64117517778931</v>
      </c>
      <c r="D9" s="262">
        <v>0.63774501196213684</v>
      </c>
      <c r="E9" s="262">
        <v>1.591841251572456E-2</v>
      </c>
      <c r="F9" s="262">
        <v>1.4081730099391131E-2</v>
      </c>
      <c r="G9" s="262">
        <v>2.1443423911771393E-3</v>
      </c>
      <c r="H9" s="262">
        <v>0.19762097012825211</v>
      </c>
      <c r="J9" s="529">
        <v>10</v>
      </c>
      <c r="K9" s="263">
        <v>311.2991285016459</v>
      </c>
      <c r="L9" s="262">
        <v>0.47238231796373087</v>
      </c>
      <c r="M9" s="262">
        <v>1.2783371124251338E-2</v>
      </c>
      <c r="N9" s="262">
        <v>1.1308415483067449E-2</v>
      </c>
      <c r="O9" s="262">
        <v>2.0694111468225352E-3</v>
      </c>
      <c r="P9" s="262">
        <v>0.12889762827774467</v>
      </c>
      <c r="R9" s="529">
        <v>10</v>
      </c>
      <c r="S9" s="263">
        <v>263.49288448210677</v>
      </c>
      <c r="T9" s="262">
        <v>6.3099750165541937E-2</v>
      </c>
      <c r="U9" s="262">
        <v>6.6448997334396746E-3</v>
      </c>
      <c r="V9" s="262">
        <v>5.8782048055886858E-3</v>
      </c>
      <c r="W9" s="262">
        <v>1.7559428980025715E-3</v>
      </c>
      <c r="X9" s="262">
        <v>1.3582750110916994E-2</v>
      </c>
      <c r="Z9" s="529">
        <v>10</v>
      </c>
      <c r="AA9" s="263">
        <v>211.71646032025711</v>
      </c>
      <c r="AB9" s="262">
        <v>1.5253150026359005E-2</v>
      </c>
      <c r="AC9" s="262">
        <v>4.1408664124431976E-3</v>
      </c>
      <c r="AD9" s="262">
        <v>3.6630890981834969E-3</v>
      </c>
      <c r="AE9" s="262">
        <v>1.4168913415144931E-3</v>
      </c>
      <c r="AF9" s="262">
        <v>4.6659338024197007E-3</v>
      </c>
      <c r="AH9" s="529">
        <v>10</v>
      </c>
      <c r="AI9" s="263">
        <v>177.35799069558391</v>
      </c>
      <c r="AJ9" s="262">
        <v>6.9063370164874072E-3</v>
      </c>
      <c r="AK9" s="262">
        <v>2.6810172867337816E-3</v>
      </c>
      <c r="AL9" s="262">
        <v>2.3716793225650019E-3</v>
      </c>
      <c r="AM9" s="262">
        <v>1.1827474062879261E-3</v>
      </c>
      <c r="AN9" s="262">
        <v>2.8920809206958347E-3</v>
      </c>
    </row>
    <row r="10" spans="1:40" ht="14.25" customHeight="1">
      <c r="B10" s="529">
        <v>15</v>
      </c>
      <c r="C10" s="263">
        <v>254.69831694326069</v>
      </c>
      <c r="D10" s="262">
        <v>0.55243895149924716</v>
      </c>
      <c r="E10" s="262">
        <v>1.3064908403565237E-2</v>
      </c>
      <c r="F10" s="262">
        <v>1.1557466706313586E-2</v>
      </c>
      <c r="G10" s="262">
        <v>1.6927794335530135E-3</v>
      </c>
      <c r="H10" s="262">
        <v>0.14747338342802352</v>
      </c>
      <c r="J10" s="529">
        <v>15</v>
      </c>
      <c r="K10" s="263">
        <v>245.85171668760205</v>
      </c>
      <c r="L10" s="262">
        <v>0.41314995841821633</v>
      </c>
      <c r="M10" s="262">
        <v>1.0455251476565924E-2</v>
      </c>
      <c r="N10" s="262">
        <v>9.2489136741571547E-3</v>
      </c>
      <c r="O10" s="262">
        <v>1.6343388941153982E-3</v>
      </c>
      <c r="P10" s="262">
        <v>9.6302103873430314E-2</v>
      </c>
      <c r="R10" s="529">
        <v>15</v>
      </c>
      <c r="S10" s="263">
        <v>207.43338166513729</v>
      </c>
      <c r="T10" s="262">
        <v>5.648544320325917E-2</v>
      </c>
      <c r="U10" s="262">
        <v>5.0622286235598047E-3</v>
      </c>
      <c r="V10" s="262">
        <v>4.4781468928821551E-3</v>
      </c>
      <c r="W10" s="262">
        <v>1.3823565478237581E-3</v>
      </c>
      <c r="X10" s="262">
        <v>1.0860961498110536E-2</v>
      </c>
      <c r="Z10" s="529">
        <v>15</v>
      </c>
      <c r="AA10" s="263">
        <v>166.59436841164842</v>
      </c>
      <c r="AB10" s="262">
        <v>1.3646398835267193E-2</v>
      </c>
      <c r="AC10" s="262">
        <v>3.1061811140745913E-3</v>
      </c>
      <c r="AD10" s="262">
        <v>2.7477859604855851E-3</v>
      </c>
      <c r="AE10" s="262">
        <v>1.1149172231295853E-3</v>
      </c>
      <c r="AF10" s="262">
        <v>3.966454316527695E-3</v>
      </c>
      <c r="AH10" s="529">
        <v>15</v>
      </c>
      <c r="AI10" s="263">
        <v>139.557469644854</v>
      </c>
      <c r="AJ10" s="262">
        <v>6.0163671798598318E-3</v>
      </c>
      <c r="AK10" s="262">
        <v>2.0111082422156466E-3</v>
      </c>
      <c r="AL10" s="262">
        <v>1.7790649890817016E-3</v>
      </c>
      <c r="AM10" s="262">
        <v>9.3066765252695883E-4</v>
      </c>
      <c r="AN10" s="262">
        <v>2.4585441518161851E-3</v>
      </c>
    </row>
    <row r="11" spans="1:40" ht="14.25" customHeight="1">
      <c r="B11" s="529">
        <v>20</v>
      </c>
      <c r="C11" s="263">
        <v>215.6164963629937</v>
      </c>
      <c r="D11" s="262">
        <v>0.50287475373460544</v>
      </c>
      <c r="E11" s="262">
        <v>1.1276750125680017E-2</v>
      </c>
      <c r="F11" s="262">
        <v>9.9756288909702371E-3</v>
      </c>
      <c r="G11" s="262">
        <v>1.4330336557430822E-3</v>
      </c>
      <c r="H11" s="262">
        <v>0.11916976515767</v>
      </c>
      <c r="J11" s="529">
        <v>20</v>
      </c>
      <c r="K11" s="263">
        <v>208.36323615043372</v>
      </c>
      <c r="L11" s="262">
        <v>0.37785969082746762</v>
      </c>
      <c r="M11" s="262">
        <v>9.0206311109678368E-3</v>
      </c>
      <c r="N11" s="262">
        <v>7.9798203444243349E-3</v>
      </c>
      <c r="O11" s="262">
        <v>1.385128401095916E-3</v>
      </c>
      <c r="P11" s="262">
        <v>7.768689591349294E-2</v>
      </c>
      <c r="R11" s="529">
        <v>20</v>
      </c>
      <c r="S11" s="263">
        <v>176.00955021765887</v>
      </c>
      <c r="T11" s="262">
        <v>5.2676235104069678E-2</v>
      </c>
      <c r="U11" s="262">
        <v>4.2622534003326504E-3</v>
      </c>
      <c r="V11" s="262">
        <v>3.7704706933694826E-3</v>
      </c>
      <c r="W11" s="262">
        <v>1.1729448233381819E-3</v>
      </c>
      <c r="X11" s="262">
        <v>9.3081332555401009E-3</v>
      </c>
      <c r="Z11" s="529">
        <v>20</v>
      </c>
      <c r="AA11" s="263">
        <v>141.36736091490701</v>
      </c>
      <c r="AB11" s="262">
        <v>1.3342315789252018E-2</v>
      </c>
      <c r="AC11" s="262">
        <v>2.6252384155785887E-3</v>
      </c>
      <c r="AD11" s="262">
        <v>2.3223340387865418E-3</v>
      </c>
      <c r="AE11" s="262">
        <v>9.4608791292674936E-4</v>
      </c>
      <c r="AF11" s="262">
        <v>3.5910753940697733E-3</v>
      </c>
      <c r="AH11" s="529">
        <v>20</v>
      </c>
      <c r="AI11" s="263">
        <v>118.42410312160351</v>
      </c>
      <c r="AJ11" s="262">
        <v>6.1728557789577955E-3</v>
      </c>
      <c r="AK11" s="262">
        <v>1.6997205192080457E-3</v>
      </c>
      <c r="AL11" s="262">
        <v>1.5036054035355764E-3</v>
      </c>
      <c r="AM11" s="262">
        <v>7.8973503508266752E-4</v>
      </c>
      <c r="AN11" s="262">
        <v>2.2262514159533979E-3</v>
      </c>
    </row>
    <row r="12" spans="1:40" ht="14.25" customHeight="1">
      <c r="B12" s="529">
        <v>25</v>
      </c>
      <c r="C12" s="263">
        <v>191.80740301070654</v>
      </c>
      <c r="D12" s="262">
        <v>0.48151639048122563</v>
      </c>
      <c r="E12" s="262">
        <v>9.9101537407184151E-3</v>
      </c>
      <c r="F12" s="262">
        <v>8.7667113147026129E-3</v>
      </c>
      <c r="G12" s="262">
        <v>1.2747929515993018E-3</v>
      </c>
      <c r="H12" s="262">
        <v>0.10224745212842848</v>
      </c>
      <c r="J12" s="529">
        <v>25</v>
      </c>
      <c r="K12" s="263">
        <v>185.44610518793888</v>
      </c>
      <c r="L12" s="262">
        <v>0.36193124876890853</v>
      </c>
      <c r="M12" s="262">
        <v>7.7707639955464699E-3</v>
      </c>
      <c r="N12" s="262">
        <v>6.8741670369373269E-3</v>
      </c>
      <c r="O12" s="262">
        <v>1.2327832927469193E-3</v>
      </c>
      <c r="P12" s="262">
        <v>6.6498915817763751E-2</v>
      </c>
      <c r="R12" s="529">
        <v>25</v>
      </c>
      <c r="S12" s="263">
        <v>156.63158327533318</v>
      </c>
      <c r="T12" s="262">
        <v>5.169390920256705E-2</v>
      </c>
      <c r="U12" s="262">
        <v>3.6762386012161394E-3</v>
      </c>
      <c r="V12" s="262">
        <v>3.2520723527282346E-3</v>
      </c>
      <c r="W12" s="262">
        <v>1.0438084117917992E-3</v>
      </c>
      <c r="X12" s="262">
        <v>8.2813047570638142E-3</v>
      </c>
      <c r="Z12" s="529">
        <v>25</v>
      </c>
      <c r="AA12" s="263">
        <v>125.79547614435987</v>
      </c>
      <c r="AB12" s="262">
        <v>1.3330282960762989E-2</v>
      </c>
      <c r="AC12" s="262">
        <v>2.3433691178891608E-3</v>
      </c>
      <c r="AD12" s="262">
        <v>2.0729896427984628E-3</v>
      </c>
      <c r="AE12" s="262">
        <v>8.4187433822080254E-4</v>
      </c>
      <c r="AF12" s="262">
        <v>3.2815404565847135E-3</v>
      </c>
      <c r="AH12" s="529">
        <v>25</v>
      </c>
      <c r="AI12" s="263">
        <v>105.37901813753169</v>
      </c>
      <c r="AJ12" s="262">
        <v>6.2060902184325889E-3</v>
      </c>
      <c r="AK12" s="262">
        <v>1.5172242546536657E-3</v>
      </c>
      <c r="AL12" s="262">
        <v>1.3421657659496425E-3</v>
      </c>
      <c r="AM12" s="262">
        <v>7.0274147559933628E-4</v>
      </c>
      <c r="AN12" s="262">
        <v>2.0344206277513859E-3</v>
      </c>
    </row>
    <row r="13" spans="1:40" ht="14.25" customHeight="1">
      <c r="B13" s="529">
        <v>30</v>
      </c>
      <c r="C13" s="263">
        <v>174.71894830273021</v>
      </c>
      <c r="D13" s="262">
        <v>0.45534621066819375</v>
      </c>
      <c r="E13" s="262">
        <v>1.048628599504983E-2</v>
      </c>
      <c r="F13" s="262">
        <v>9.2763770291874551E-3</v>
      </c>
      <c r="G13" s="262">
        <v>1.1612197042502924E-3</v>
      </c>
      <c r="H13" s="262">
        <v>9.0844309404811252E-2</v>
      </c>
      <c r="J13" s="529">
        <v>30</v>
      </c>
      <c r="K13" s="263">
        <v>168.97037955253344</v>
      </c>
      <c r="L13" s="262">
        <v>0.34290356235578634</v>
      </c>
      <c r="M13" s="262">
        <v>8.1975822923272944E-3</v>
      </c>
      <c r="N13" s="262">
        <v>7.2517383410858017E-3</v>
      </c>
      <c r="O13" s="262">
        <v>1.1232580387337675E-3</v>
      </c>
      <c r="P13" s="262">
        <v>5.9235689923356503E-2</v>
      </c>
      <c r="R13" s="529">
        <v>30</v>
      </c>
      <c r="S13" s="263">
        <v>142.74521633886502</v>
      </c>
      <c r="T13" s="262">
        <v>5.0622273966925278E-2</v>
      </c>
      <c r="U13" s="262">
        <v>3.6794285697396814E-3</v>
      </c>
      <c r="V13" s="262">
        <v>3.2548911906140391E-3</v>
      </c>
      <c r="W13" s="262">
        <v>9.5126845647633298E-4</v>
      </c>
      <c r="X13" s="262">
        <v>7.9335390004299129E-3</v>
      </c>
      <c r="Z13" s="529">
        <v>30</v>
      </c>
      <c r="AA13" s="263">
        <v>114.64247700475852</v>
      </c>
      <c r="AB13" s="262">
        <v>1.4405528594168899E-2</v>
      </c>
      <c r="AC13" s="262">
        <v>2.295354181232168E-3</v>
      </c>
      <c r="AD13" s="262">
        <v>2.0305154189812894E-3</v>
      </c>
      <c r="AE13" s="262">
        <v>7.6723398805986318E-4</v>
      </c>
      <c r="AF13" s="262">
        <v>3.3400983971190595E-3</v>
      </c>
      <c r="AH13" s="529">
        <v>30</v>
      </c>
      <c r="AI13" s="263">
        <v>96.03592977216131</v>
      </c>
      <c r="AJ13" s="262">
        <v>7.4664286146270565E-3</v>
      </c>
      <c r="AK13" s="262">
        <v>1.4861365456336855E-3</v>
      </c>
      <c r="AL13" s="262">
        <v>1.3146653593960936E-3</v>
      </c>
      <c r="AM13" s="262">
        <v>6.404339705289681E-4</v>
      </c>
      <c r="AN13" s="262">
        <v>2.0715216336201019E-3</v>
      </c>
    </row>
    <row r="14" spans="1:40" ht="14.25" customHeight="1">
      <c r="B14" s="529">
        <v>35</v>
      </c>
      <c r="C14" s="263">
        <v>167.31019933762065</v>
      </c>
      <c r="D14" s="262">
        <v>0.45472754994332165</v>
      </c>
      <c r="E14" s="262">
        <v>1.2359090082041307E-2</v>
      </c>
      <c r="F14" s="262">
        <v>1.0933084314597014E-2</v>
      </c>
      <c r="G14" s="262">
        <v>1.1119796517079724E-3</v>
      </c>
      <c r="H14" s="262">
        <v>8.324793926458926E-2</v>
      </c>
      <c r="J14" s="529">
        <v>35</v>
      </c>
      <c r="K14" s="263">
        <v>161.87627195542819</v>
      </c>
      <c r="L14" s="262">
        <v>0.34186327400910199</v>
      </c>
      <c r="M14" s="262">
        <v>9.5313188653709455E-3</v>
      </c>
      <c r="N14" s="262">
        <v>8.4315821161820206E-3</v>
      </c>
      <c r="O14" s="262">
        <v>1.0760989898699305E-3</v>
      </c>
      <c r="P14" s="262">
        <v>5.473604819886619E-2</v>
      </c>
      <c r="R14" s="529">
        <v>35</v>
      </c>
      <c r="S14" s="263">
        <v>137.02455643684613</v>
      </c>
      <c r="T14" s="262">
        <v>5.2524602891231224E-2</v>
      </c>
      <c r="U14" s="262">
        <v>3.937997521960261E-3</v>
      </c>
      <c r="V14" s="262">
        <v>3.4836271313965386E-3</v>
      </c>
      <c r="W14" s="262">
        <v>9.1314520438073757E-4</v>
      </c>
      <c r="X14" s="262">
        <v>7.9443113307558367E-3</v>
      </c>
      <c r="Z14" s="529">
        <v>35</v>
      </c>
      <c r="AA14" s="263">
        <v>110.07341298749351</v>
      </c>
      <c r="AB14" s="262">
        <v>1.6677788376147199E-2</v>
      </c>
      <c r="AC14" s="262">
        <v>2.3738734932022983E-3</v>
      </c>
      <c r="AD14" s="262">
        <v>2.0999742717380731E-3</v>
      </c>
      <c r="AE14" s="262">
        <v>7.366551214926701E-4</v>
      </c>
      <c r="AF14" s="262">
        <v>3.5480225041899199E-3</v>
      </c>
      <c r="AH14" s="529">
        <v>35</v>
      </c>
      <c r="AI14" s="263">
        <v>92.208106410118759</v>
      </c>
      <c r="AJ14" s="262">
        <v>9.5543032474515125E-3</v>
      </c>
      <c r="AK14" s="262">
        <v>1.5369752204165801E-3</v>
      </c>
      <c r="AL14" s="262">
        <v>1.3596380156213237E-3</v>
      </c>
      <c r="AM14" s="262">
        <v>6.149095722996138E-4</v>
      </c>
      <c r="AN14" s="262">
        <v>2.2015026869109606E-3</v>
      </c>
    </row>
    <row r="15" spans="1:40" ht="14.25" customHeight="1">
      <c r="B15" s="529">
        <v>40</v>
      </c>
      <c r="C15" s="263">
        <v>162.2709188768938</v>
      </c>
      <c r="D15" s="262">
        <v>0.45588649119505814</v>
      </c>
      <c r="E15" s="262">
        <v>1.3847054006492374E-2</v>
      </c>
      <c r="F15" s="262">
        <v>1.2249373090350152E-2</v>
      </c>
      <c r="G15" s="262">
        <v>1.0784873008942068E-3</v>
      </c>
      <c r="H15" s="262">
        <v>7.7374765998683689E-2</v>
      </c>
      <c r="J15" s="529">
        <v>40</v>
      </c>
      <c r="K15" s="263">
        <v>157.05538454363401</v>
      </c>
      <c r="L15" s="262">
        <v>0.34198250838427691</v>
      </c>
      <c r="M15" s="262">
        <v>1.0559643210839423E-2</v>
      </c>
      <c r="N15" s="262">
        <v>9.3412626963747039E-3</v>
      </c>
      <c r="O15" s="262">
        <v>1.0440513492099932E-3</v>
      </c>
      <c r="P15" s="262">
        <v>5.1274554078718601E-2</v>
      </c>
      <c r="R15" s="529">
        <v>40</v>
      </c>
      <c r="S15" s="263">
        <v>133.1822581445015</v>
      </c>
      <c r="T15" s="262">
        <v>5.4130520232231888E-2</v>
      </c>
      <c r="U15" s="262">
        <v>4.1422712909538351E-3</v>
      </c>
      <c r="V15" s="262">
        <v>3.6643320068363962E-3</v>
      </c>
      <c r="W15" s="262">
        <v>8.8753965012015499E-4</v>
      </c>
      <c r="X15" s="262">
        <v>7.8920429472007763E-3</v>
      </c>
      <c r="Z15" s="529">
        <v>40</v>
      </c>
      <c r="AA15" s="263">
        <v>107.00973289243615</v>
      </c>
      <c r="AB15" s="262">
        <v>1.8335020346116369E-2</v>
      </c>
      <c r="AC15" s="262">
        <v>2.4462878467485039E-3</v>
      </c>
      <c r="AD15" s="262">
        <v>2.1640332802968639E-3</v>
      </c>
      <c r="AE15" s="262">
        <v>7.161523338459838E-4</v>
      </c>
      <c r="AF15" s="262">
        <v>3.66014990657042E-3</v>
      </c>
      <c r="AH15" s="529">
        <v>40</v>
      </c>
      <c r="AI15" s="263">
        <v>89.641496073815048</v>
      </c>
      <c r="AJ15" s="262">
        <v>1.1035190793805758E-2</v>
      </c>
      <c r="AK15" s="262">
        <v>1.5838600651946855E-3</v>
      </c>
      <c r="AL15" s="262">
        <v>1.4011125578338461E-3</v>
      </c>
      <c r="AM15" s="262">
        <v>5.9779214479344436E-4</v>
      </c>
      <c r="AN15" s="262">
        <v>2.271761754884442E-3</v>
      </c>
    </row>
    <row r="16" spans="1:40" ht="14.25" customHeight="1">
      <c r="B16" s="529">
        <v>45</v>
      </c>
      <c r="C16" s="263">
        <v>158.27476852170844</v>
      </c>
      <c r="D16" s="262">
        <v>0.4580336980664374</v>
      </c>
      <c r="E16" s="262">
        <v>1.4853450197880431E-2</v>
      </c>
      <c r="F16" s="262">
        <v>1.3139650322104443E-2</v>
      </c>
      <c r="G16" s="262">
        <v>1.0519281673740813E-3</v>
      </c>
      <c r="H16" s="262">
        <v>7.2937357537504438E-2</v>
      </c>
      <c r="J16" s="529">
        <v>45</v>
      </c>
      <c r="K16" s="263">
        <v>153.22786706493724</v>
      </c>
      <c r="L16" s="262">
        <v>0.34300580457971974</v>
      </c>
      <c r="M16" s="262">
        <v>1.1245285276081323E-2</v>
      </c>
      <c r="N16" s="262">
        <v>9.9477972783666366E-3</v>
      </c>
      <c r="O16" s="262">
        <v>1.0186068555471588E-3</v>
      </c>
      <c r="P16" s="262">
        <v>4.8640588635011597E-2</v>
      </c>
      <c r="R16" s="529">
        <v>45</v>
      </c>
      <c r="S16" s="263">
        <v>130.11242026667412</v>
      </c>
      <c r="T16" s="262">
        <v>5.5479497697594755E-2</v>
      </c>
      <c r="U16" s="262">
        <v>4.2571258034572066E-3</v>
      </c>
      <c r="V16" s="262">
        <v>3.7659340192593839E-3</v>
      </c>
      <c r="W16" s="262">
        <v>8.6708241583583878E-4</v>
      </c>
      <c r="X16" s="262">
        <v>7.8750290507037454E-3</v>
      </c>
      <c r="Z16" s="529">
        <v>45</v>
      </c>
      <c r="AA16" s="263">
        <v>104.55985533806562</v>
      </c>
      <c r="AB16" s="262">
        <v>1.9682571291923502E-2</v>
      </c>
      <c r="AC16" s="262">
        <v>2.478694613185528E-3</v>
      </c>
      <c r="AD16" s="262">
        <v>2.1927032064394847E-3</v>
      </c>
      <c r="AE16" s="262">
        <v>6.9975760866767384E-4</v>
      </c>
      <c r="AF16" s="262">
        <v>3.762150193177792E-3</v>
      </c>
      <c r="AH16" s="529">
        <v>45</v>
      </c>
      <c r="AI16" s="263">
        <v>87.589055307449485</v>
      </c>
      <c r="AJ16" s="262">
        <v>1.2238851440469557E-2</v>
      </c>
      <c r="AK16" s="262">
        <v>1.6048427980070181E-3</v>
      </c>
      <c r="AL16" s="262">
        <v>1.4196743861482931E-3</v>
      </c>
      <c r="AM16" s="262">
        <v>5.8410581362794195E-4</v>
      </c>
      <c r="AN16" s="262">
        <v>2.3355940192554795E-3</v>
      </c>
    </row>
    <row r="17" spans="1:40" ht="14.25" customHeight="1">
      <c r="B17" s="529">
        <v>50</v>
      </c>
      <c r="C17" s="263">
        <v>154.27122583696894</v>
      </c>
      <c r="D17" s="262">
        <v>0.45913187221383567</v>
      </c>
      <c r="E17" s="262">
        <v>1.5002166538080558E-2</v>
      </c>
      <c r="F17" s="262">
        <v>1.3271202334445018E-2</v>
      </c>
      <c r="G17" s="262">
        <v>1.0253196812681675E-3</v>
      </c>
      <c r="H17" s="262">
        <v>6.9221058824745357E-2</v>
      </c>
      <c r="J17" s="529">
        <v>50</v>
      </c>
      <c r="K17" s="263">
        <v>149.37067321038998</v>
      </c>
      <c r="L17" s="262">
        <v>0.343453643366604</v>
      </c>
      <c r="M17" s="262">
        <v>1.1286217855447285E-2</v>
      </c>
      <c r="N17" s="262">
        <v>9.984007466212648E-3</v>
      </c>
      <c r="O17" s="262">
        <v>9.9296517850410316E-4</v>
      </c>
      <c r="P17" s="262">
        <v>4.6359315985389324E-2</v>
      </c>
      <c r="R17" s="529">
        <v>50</v>
      </c>
      <c r="S17" s="263">
        <v>126.91923381436226</v>
      </c>
      <c r="T17" s="262">
        <v>5.6539294336201182E-2</v>
      </c>
      <c r="U17" s="262">
        <v>4.2245681026777627E-3</v>
      </c>
      <c r="V17" s="262">
        <v>3.737137548723104E-3</v>
      </c>
      <c r="W17" s="262">
        <v>8.4580225314223698E-4</v>
      </c>
      <c r="X17" s="262">
        <v>7.8458766248302308E-3</v>
      </c>
      <c r="Z17" s="529">
        <v>50</v>
      </c>
      <c r="AA17" s="263">
        <v>102.00118578633925</v>
      </c>
      <c r="AB17" s="262">
        <v>2.0741706935598698E-2</v>
      </c>
      <c r="AC17" s="262">
        <v>2.4604325299151216E-3</v>
      </c>
      <c r="AD17" s="262">
        <v>2.1765470028772258E-3</v>
      </c>
      <c r="AE17" s="262">
        <v>6.8263368959906371E-4</v>
      </c>
      <c r="AF17" s="262">
        <v>3.8310441323706141E-3</v>
      </c>
      <c r="AH17" s="529">
        <v>50</v>
      </c>
      <c r="AI17" s="263">
        <v>85.445510710439066</v>
      </c>
      <c r="AJ17" s="262">
        <v>1.3191408582872908E-2</v>
      </c>
      <c r="AK17" s="262">
        <v>1.5930198156462608E-3</v>
      </c>
      <c r="AL17" s="262">
        <v>1.4092155099440819E-3</v>
      </c>
      <c r="AM17" s="262">
        <v>5.6981128563488319E-4</v>
      </c>
      <c r="AN17" s="262">
        <v>2.3787354284356649E-3</v>
      </c>
    </row>
    <row r="18" spans="1:40" ht="14.25" customHeight="1">
      <c r="B18" s="529">
        <v>55</v>
      </c>
      <c r="C18" s="263">
        <v>151.07369561349168</v>
      </c>
      <c r="D18" s="262">
        <v>0.45992716885877816</v>
      </c>
      <c r="E18" s="262">
        <v>1.4384279393491451E-2</v>
      </c>
      <c r="F18" s="262">
        <v>1.2724612797976582E-2</v>
      </c>
      <c r="G18" s="262">
        <v>1.0040678645318899E-3</v>
      </c>
      <c r="H18" s="262">
        <v>6.6141103753902433E-2</v>
      </c>
      <c r="J18" s="529">
        <v>55</v>
      </c>
      <c r="K18" s="263">
        <v>146.29530054523067</v>
      </c>
      <c r="L18" s="262">
        <v>0.34329784529343704</v>
      </c>
      <c r="M18" s="262">
        <v>1.0643211598254546E-2</v>
      </c>
      <c r="N18" s="262">
        <v>9.4151918625180984E-3</v>
      </c>
      <c r="O18" s="262">
        <v>9.7252164109264366E-4</v>
      </c>
      <c r="P18" s="262">
        <v>4.4344195265899347E-2</v>
      </c>
      <c r="R18" s="529">
        <v>55</v>
      </c>
      <c r="S18" s="263">
        <v>124.38135876194094</v>
      </c>
      <c r="T18" s="262">
        <v>5.7300139019535873E-2</v>
      </c>
      <c r="U18" s="262">
        <v>4.0024202974182676E-3</v>
      </c>
      <c r="V18" s="262">
        <v>3.5406188291099388E-3</v>
      </c>
      <c r="W18" s="262">
        <v>8.2888973960389936E-4</v>
      </c>
      <c r="X18" s="262">
        <v>7.700667044827531E-3</v>
      </c>
      <c r="Z18" s="529">
        <v>55</v>
      </c>
      <c r="AA18" s="263">
        <v>99.96869333328705</v>
      </c>
      <c r="AB18" s="262">
        <v>2.1502374979336866E-2</v>
      </c>
      <c r="AC18" s="262">
        <v>2.3822564225185693E-3</v>
      </c>
      <c r="AD18" s="262">
        <v>2.1073897132150533E-3</v>
      </c>
      <c r="AE18" s="262">
        <v>6.6903054046692201E-4</v>
      </c>
      <c r="AF18" s="262">
        <v>3.8106093284553809E-3</v>
      </c>
      <c r="AH18" s="529">
        <v>55</v>
      </c>
      <c r="AI18" s="263">
        <v>83.742881436501619</v>
      </c>
      <c r="AJ18" s="262">
        <v>1.388518319975943E-2</v>
      </c>
      <c r="AK18" s="262">
        <v>1.5424035053940538E-3</v>
      </c>
      <c r="AL18" s="262">
        <v>1.3644396566369007E-3</v>
      </c>
      <c r="AM18" s="262">
        <v>5.5845522025088927E-4</v>
      </c>
      <c r="AN18" s="262">
        <v>2.3662787167385438E-3</v>
      </c>
    </row>
    <row r="19" spans="1:40" ht="14.25" customHeight="1">
      <c r="B19" s="529">
        <v>60</v>
      </c>
      <c r="C19" s="263">
        <v>149.15696365602525</v>
      </c>
      <c r="D19" s="262">
        <v>0.46432272564890137</v>
      </c>
      <c r="E19" s="262">
        <v>1.4135150050400783E-2</v>
      </c>
      <c r="F19" s="262">
        <v>1.2504220575435931E-2</v>
      </c>
      <c r="G19" s="262">
        <v>9.9132957937751363E-4</v>
      </c>
      <c r="H19" s="262">
        <v>6.4102033555700738E-2</v>
      </c>
      <c r="J19" s="529">
        <v>60</v>
      </c>
      <c r="K19" s="263">
        <v>144.46342569781879</v>
      </c>
      <c r="L19" s="262">
        <v>0.34599266981991406</v>
      </c>
      <c r="M19" s="262">
        <v>1.0302120069090646E-2</v>
      </c>
      <c r="N19" s="262">
        <v>9.1134511568534537E-3</v>
      </c>
      <c r="O19" s="262">
        <v>9.6034429119636749E-4</v>
      </c>
      <c r="P19" s="262">
        <v>4.3102803034520118E-2</v>
      </c>
      <c r="R19" s="529">
        <v>60</v>
      </c>
      <c r="S19" s="263">
        <v>122.89554789758469</v>
      </c>
      <c r="T19" s="262">
        <v>5.8598296799426318E-2</v>
      </c>
      <c r="U19" s="262">
        <v>3.857590689045945E-3</v>
      </c>
      <c r="V19" s="262">
        <v>3.412495578935873E-3</v>
      </c>
      <c r="W19" s="262">
        <v>8.1898756874462179E-4</v>
      </c>
      <c r="X19" s="262">
        <v>7.7112298346154445E-3</v>
      </c>
      <c r="Z19" s="529">
        <v>60</v>
      </c>
      <c r="AA19" s="263">
        <v>98.781053573854251</v>
      </c>
      <c r="AB19" s="262">
        <v>2.2647676940616791E-2</v>
      </c>
      <c r="AC19" s="262">
        <v>2.3240922877918006E-3</v>
      </c>
      <c r="AD19" s="262">
        <v>2.0559362683636707E-3</v>
      </c>
      <c r="AE19" s="262">
        <v>6.6108181143194323E-4</v>
      </c>
      <c r="AF19" s="262">
        <v>3.8813628681612384E-3</v>
      </c>
      <c r="AH19" s="529">
        <v>60</v>
      </c>
      <c r="AI19" s="263">
        <v>82.747869983795937</v>
      </c>
      <c r="AJ19" s="262">
        <v>1.4907588791703005E-2</v>
      </c>
      <c r="AK19" s="262">
        <v>1.5047447640456294E-3</v>
      </c>
      <c r="AL19" s="262">
        <v>1.3311263061158575E-3</v>
      </c>
      <c r="AM19" s="262">
        <v>5.518208887341638E-4</v>
      </c>
      <c r="AN19" s="262">
        <v>2.4105034892507346E-3</v>
      </c>
    </row>
    <row r="20" spans="1:40" ht="14.25" customHeight="1">
      <c r="B20" s="529">
        <v>65</v>
      </c>
      <c r="C20" s="263">
        <v>150.05204692963613</v>
      </c>
      <c r="D20" s="262">
        <v>0.47921385794817828</v>
      </c>
      <c r="E20" s="262">
        <v>1.4261593101471043E-2</v>
      </c>
      <c r="F20" s="262">
        <v>1.2616076259291712E-2</v>
      </c>
      <c r="G20" s="262">
        <v>9.972778444212176E-4</v>
      </c>
      <c r="H20" s="262">
        <v>6.3740623446421438E-2</v>
      </c>
      <c r="J20" s="529">
        <v>65</v>
      </c>
      <c r="K20" s="263">
        <v>145.36946435128468</v>
      </c>
      <c r="L20" s="262">
        <v>0.35689211002130394</v>
      </c>
      <c r="M20" s="262">
        <v>1.0186265003745379E-2</v>
      </c>
      <c r="N20" s="262">
        <v>9.0109646269176356E-3</v>
      </c>
      <c r="O20" s="262">
        <v>9.6636710100761935E-4</v>
      </c>
      <c r="P20" s="262">
        <v>4.3205867201792078E-2</v>
      </c>
      <c r="R20" s="529">
        <v>65</v>
      </c>
      <c r="S20" s="263">
        <v>123.75612588082549</v>
      </c>
      <c r="T20" s="262">
        <v>6.2192995442948505E-2</v>
      </c>
      <c r="U20" s="262">
        <v>3.8411605623437997E-3</v>
      </c>
      <c r="V20" s="262">
        <v>3.3979630163465109E-3</v>
      </c>
      <c r="W20" s="262">
        <v>8.2472330729116308E-4</v>
      </c>
      <c r="X20" s="262">
        <v>8.1677626571505062E-3</v>
      </c>
      <c r="Z20" s="529">
        <v>65</v>
      </c>
      <c r="AA20" s="263">
        <v>99.480893873399125</v>
      </c>
      <c r="AB20" s="262">
        <v>2.5560914099426735E-2</v>
      </c>
      <c r="AC20" s="262">
        <v>2.3640900828702845E-3</v>
      </c>
      <c r="AD20" s="262">
        <v>2.091320000603913E-3</v>
      </c>
      <c r="AE20" s="262">
        <v>6.6576657592386191E-4</v>
      </c>
      <c r="AF20" s="262">
        <v>4.2343756518206472E-3</v>
      </c>
      <c r="AH20" s="529">
        <v>65</v>
      </c>
      <c r="AI20" s="263">
        <v>83.334037473124553</v>
      </c>
      <c r="AJ20" s="262">
        <v>1.747147634910837E-2</v>
      </c>
      <c r="AK20" s="262">
        <v>1.5306420109775498E-3</v>
      </c>
      <c r="AL20" s="262">
        <v>1.35403574395534E-3</v>
      </c>
      <c r="AM20" s="262">
        <v>5.5572962822136819E-4</v>
      </c>
      <c r="AN20" s="262">
        <v>2.6302706049342113E-3</v>
      </c>
    </row>
    <row r="21" spans="1:40" ht="14.25" customHeight="1">
      <c r="B21" s="529">
        <v>70</v>
      </c>
      <c r="C21" s="263">
        <v>154.42070401099397</v>
      </c>
      <c r="D21" s="262">
        <v>0.51264827678941216</v>
      </c>
      <c r="E21" s="262">
        <v>1.4785469487833307E-2</v>
      </c>
      <c r="F21" s="262">
        <v>1.3079510398036325E-2</v>
      </c>
      <c r="G21" s="262">
        <v>1.0263132463742557E-3</v>
      </c>
      <c r="H21" s="262">
        <v>6.6722419867742438E-2</v>
      </c>
      <c r="J21" s="529">
        <v>70</v>
      </c>
      <c r="K21" s="263">
        <v>149.69525641779737</v>
      </c>
      <c r="L21" s="262">
        <v>0.38316575540680292</v>
      </c>
      <c r="M21" s="262">
        <v>1.0381199874832546E-2</v>
      </c>
      <c r="N21" s="262">
        <v>9.1834110020088747E-3</v>
      </c>
      <c r="O21" s="262">
        <v>9.9512363404726184E-4</v>
      </c>
      <c r="P21" s="262">
        <v>4.604796624217633E-2</v>
      </c>
      <c r="R21" s="529">
        <v>70</v>
      </c>
      <c r="S21" s="263">
        <v>127.50311300831436</v>
      </c>
      <c r="T21" s="262">
        <v>6.9569115158951311E-2</v>
      </c>
      <c r="U21" s="262">
        <v>4.0044075215137642E-3</v>
      </c>
      <c r="V21" s="262">
        <v>3.5423768896444244E-3</v>
      </c>
      <c r="W21" s="262">
        <v>8.496936258574505E-4</v>
      </c>
      <c r="X21" s="262">
        <v>9.5190533066934306E-3</v>
      </c>
      <c r="Z21" s="529">
        <v>70</v>
      </c>
      <c r="AA21" s="263">
        <v>102.49637646828918</v>
      </c>
      <c r="AB21" s="262">
        <v>3.1644749259876613E-2</v>
      </c>
      <c r="AC21" s="262">
        <v>2.5074067394128957E-3</v>
      </c>
      <c r="AD21" s="262">
        <v>2.218096774736146E-3</v>
      </c>
      <c r="AE21" s="262">
        <v>6.859463119913131E-4</v>
      </c>
      <c r="AF21" s="262">
        <v>5.1540865763766326E-3</v>
      </c>
      <c r="AH21" s="529">
        <v>70</v>
      </c>
      <c r="AI21" s="263">
        <v>85.859970923392751</v>
      </c>
      <c r="AJ21" s="262">
        <v>2.2879125295026625E-2</v>
      </c>
      <c r="AK21" s="262">
        <v>1.6234315422010545E-3</v>
      </c>
      <c r="AL21" s="262">
        <v>1.4361184139195207E-3</v>
      </c>
      <c r="AM21" s="262">
        <v>5.7257434415194995E-4</v>
      </c>
      <c r="AN21" s="262">
        <v>3.2024053502790299E-3</v>
      </c>
    </row>
    <row r="22" spans="1:40" ht="14.25" customHeight="1">
      <c r="B22" s="529">
        <v>75</v>
      </c>
      <c r="C22" s="263">
        <v>161.81608535397413</v>
      </c>
      <c r="D22" s="262">
        <v>0.55841741642553877</v>
      </c>
      <c r="E22" s="262">
        <v>1.6592671963266043E-2</v>
      </c>
      <c r="F22" s="262">
        <v>1.4678198571463337E-2</v>
      </c>
      <c r="G22" s="262">
        <v>1.0754642940047463E-3</v>
      </c>
      <c r="H22" s="262">
        <v>7.4800712672801806E-2</v>
      </c>
      <c r="J22" s="529">
        <v>75</v>
      </c>
      <c r="K22" s="263">
        <v>157.051201943428</v>
      </c>
      <c r="L22" s="262">
        <v>0.41916619076002959</v>
      </c>
      <c r="M22" s="262">
        <v>1.1395477501801273E-2</v>
      </c>
      <c r="N22" s="262">
        <v>1.0080657041286124E-2</v>
      </c>
      <c r="O22" s="262">
        <v>1.0440233240989311E-3</v>
      </c>
      <c r="P22" s="262">
        <v>5.2019878338943344E-2</v>
      </c>
      <c r="R22" s="529">
        <v>75</v>
      </c>
      <c r="S22" s="263">
        <v>133.83785044762382</v>
      </c>
      <c r="T22" s="262">
        <v>7.9890074283485185E-2</v>
      </c>
      <c r="U22" s="262">
        <v>4.5477714461852753E-3</v>
      </c>
      <c r="V22" s="262">
        <v>4.0230430928321747E-3</v>
      </c>
      <c r="W22" s="262">
        <v>8.9190902954508012E-4</v>
      </c>
      <c r="X22" s="262">
        <v>1.1564746707482532E-2</v>
      </c>
      <c r="Z22" s="529">
        <v>75</v>
      </c>
      <c r="AA22" s="263">
        <v>107.58983593602325</v>
      </c>
      <c r="AB22" s="262">
        <v>4.0294020481768125E-2</v>
      </c>
      <c r="AC22" s="262">
        <v>2.8796871812383231E-3</v>
      </c>
      <c r="AD22" s="262">
        <v>2.5474248090646247E-3</v>
      </c>
      <c r="AE22" s="262">
        <v>7.2003542675614057E-4</v>
      </c>
      <c r="AF22" s="262">
        <v>6.546186013785607E-3</v>
      </c>
      <c r="AH22" s="529">
        <v>75</v>
      </c>
      <c r="AI22" s="263">
        <v>90.126637089636688</v>
      </c>
      <c r="AJ22" s="262">
        <v>3.0565733037468384E-2</v>
      </c>
      <c r="AK22" s="262">
        <v>1.86446738183393E-3</v>
      </c>
      <c r="AL22" s="262">
        <v>1.6493441639355382E-3</v>
      </c>
      <c r="AM22" s="262">
        <v>6.0102847501477554E-4</v>
      </c>
      <c r="AN22" s="262">
        <v>4.0682585095055384E-3</v>
      </c>
    </row>
    <row r="24" spans="1:40" s="22" customFormat="1" ht="10.5">
      <c r="A24" s="84" t="s">
        <v>740</v>
      </c>
      <c r="B24" s="21"/>
      <c r="D24" s="94"/>
      <c r="E24" s="94"/>
      <c r="F24" s="94"/>
      <c r="G24" s="94"/>
      <c r="H24" s="94"/>
      <c r="I24" s="95"/>
      <c r="J24" s="95"/>
    </row>
    <row r="25" spans="1:40" s="22" customFormat="1" ht="10.5">
      <c r="B25" s="21"/>
      <c r="C25" s="84"/>
      <c r="D25" s="94"/>
      <c r="E25" s="94"/>
      <c r="F25" s="94"/>
      <c r="G25" s="94"/>
      <c r="H25" s="94"/>
      <c r="I25" s="95"/>
      <c r="J25" s="95"/>
    </row>
    <row r="26" spans="1:40" s="448" customFormat="1">
      <c r="A26" s="530" t="s">
        <v>726</v>
      </c>
      <c r="J26"/>
      <c r="K26"/>
      <c r="L26"/>
      <c r="M26"/>
      <c r="N26"/>
      <c r="O26"/>
      <c r="P26"/>
      <c r="Q26"/>
      <c r="R26"/>
      <c r="S26"/>
      <c r="T26"/>
      <c r="U26"/>
      <c r="V26"/>
      <c r="W26"/>
      <c r="X26"/>
      <c r="Y26"/>
      <c r="Z26"/>
    </row>
    <row r="27" spans="1:40" s="448" customFormat="1" ht="10.15" customHeight="1">
      <c r="B27" s="530" t="s">
        <v>727</v>
      </c>
      <c r="C27" s="150"/>
      <c r="D27" s="531">
        <v>2.5</v>
      </c>
      <c r="E27" s="150"/>
      <c r="J27"/>
      <c r="K27"/>
      <c r="L27"/>
      <c r="M27"/>
      <c r="N27"/>
      <c r="O27"/>
      <c r="P27"/>
      <c r="Q27"/>
      <c r="R27"/>
      <c r="S27"/>
      <c r="T27"/>
      <c r="U27"/>
      <c r="V27"/>
      <c r="W27"/>
      <c r="X27"/>
      <c r="Y27"/>
      <c r="Z27"/>
    </row>
    <row r="28" spans="1:40" s="448" customFormat="1" ht="10.15" customHeight="1">
      <c r="B28" s="530" t="s">
        <v>728</v>
      </c>
      <c r="C28" s="150"/>
      <c r="D28" s="150"/>
      <c r="E28" s="1464" t="s">
        <v>729</v>
      </c>
      <c r="F28" s="1464"/>
      <c r="G28" s="1464"/>
      <c r="H28" s="1464"/>
      <c r="I28" s="1464"/>
      <c r="J28"/>
      <c r="K28"/>
      <c r="L28"/>
      <c r="M28"/>
      <c r="N28"/>
      <c r="O28"/>
      <c r="P28"/>
      <c r="Q28"/>
      <c r="R28"/>
      <c r="S28"/>
      <c r="T28"/>
      <c r="U28"/>
      <c r="V28"/>
      <c r="W28"/>
      <c r="X28"/>
      <c r="Y28"/>
      <c r="Z28"/>
    </row>
    <row r="29" spans="1:40" s="448" customFormat="1" ht="10.15" customHeight="1">
      <c r="E29" s="1464"/>
      <c r="F29" s="1464"/>
      <c r="G29" s="1464"/>
      <c r="H29" s="1464"/>
      <c r="I29" s="1464"/>
      <c r="J29"/>
      <c r="K29"/>
      <c r="L29"/>
      <c r="M29"/>
      <c r="N29"/>
      <c r="O29"/>
      <c r="P29"/>
      <c r="Q29"/>
      <c r="R29"/>
      <c r="S29"/>
      <c r="T29"/>
      <c r="U29"/>
      <c r="V29"/>
      <c r="W29"/>
      <c r="X29"/>
      <c r="Y29"/>
      <c r="Z29"/>
    </row>
    <row r="30" spans="1:40" s="448" customFormat="1" ht="10.15" customHeight="1">
      <c r="J30"/>
      <c r="K30"/>
      <c r="L30"/>
      <c r="M30"/>
      <c r="N30"/>
      <c r="O30"/>
      <c r="P30"/>
      <c r="Q30"/>
      <c r="R30"/>
      <c r="S30"/>
      <c r="T30"/>
      <c r="U30"/>
      <c r="V30"/>
      <c r="W30"/>
      <c r="X30"/>
      <c r="Y30"/>
      <c r="Z30"/>
    </row>
    <row r="31" spans="1:40">
      <c r="B31" s="532"/>
      <c r="C31" s="532" t="s">
        <v>477</v>
      </c>
      <c r="D31" s="532" t="s">
        <v>476</v>
      </c>
      <c r="E31" s="532" t="s">
        <v>724</v>
      </c>
      <c r="F31" s="532" t="s">
        <v>480</v>
      </c>
      <c r="G31" s="532" t="s">
        <v>725</v>
      </c>
      <c r="H31" s="532" t="s">
        <v>475</v>
      </c>
      <c r="J31"/>
      <c r="K31"/>
      <c r="L31"/>
      <c r="M31"/>
      <c r="N31"/>
      <c r="O31"/>
      <c r="P31"/>
      <c r="Q31"/>
      <c r="R31"/>
      <c r="S31"/>
      <c r="T31"/>
      <c r="U31"/>
      <c r="V31"/>
      <c r="W31"/>
      <c r="X31"/>
      <c r="Y31"/>
      <c r="Z31"/>
    </row>
    <row r="32" spans="1:40">
      <c r="B32" s="533">
        <v>2017</v>
      </c>
      <c r="C32" s="534">
        <f t="shared" ref="C32:H32" si="0">INDEX($B$6:$H$22,MATCH($D$27,$B$6:$B$22,0),MATCH(C$31,$B$6:$H$6,0))*$D$27</f>
        <v>2393.2402247767222</v>
      </c>
      <c r="D32" s="534">
        <f t="shared" si="0"/>
        <v>3.0813856273251079</v>
      </c>
      <c r="E32" s="535">
        <f t="shared" si="0"/>
        <v>7.9398152733882454E-2</v>
      </c>
      <c r="F32" s="535">
        <f t="shared" si="0"/>
        <v>7.0237104204528222E-2</v>
      </c>
      <c r="G32" s="535">
        <f t="shared" si="0"/>
        <v>1.5905998255719454E-2</v>
      </c>
      <c r="H32" s="535">
        <f t="shared" si="0"/>
        <v>1.5852621760988672</v>
      </c>
      <c r="J32"/>
      <c r="K32"/>
      <c r="L32"/>
      <c r="M32"/>
      <c r="N32"/>
      <c r="O32"/>
      <c r="P32"/>
      <c r="Q32"/>
      <c r="R32"/>
      <c r="S32"/>
      <c r="T32"/>
      <c r="U32"/>
      <c r="V32"/>
      <c r="W32"/>
      <c r="X32"/>
      <c r="Y32"/>
      <c r="Z32"/>
    </row>
    <row r="33" spans="2:26" ht="15" customHeight="1">
      <c r="B33" s="96">
        <v>2020</v>
      </c>
      <c r="C33" s="536">
        <f t="shared" ref="C33:H33" si="1">INDEX($J$6:$P$22,MATCH($D$27,$J$6:$J$22,0),MATCH(C$31,$J$6:$P$6,0))*$D$27</f>
        <v>2307.4981387968892</v>
      </c>
      <c r="D33" s="536">
        <f t="shared" si="1"/>
        <v>2.1811626447954202</v>
      </c>
      <c r="E33" s="537">
        <f t="shared" si="1"/>
        <v>6.3948116575991087E-2</v>
      </c>
      <c r="F33" s="537">
        <f t="shared" si="1"/>
        <v>5.6569719801641827E-2</v>
      </c>
      <c r="G33" s="537">
        <f t="shared" si="1"/>
        <v>1.5339470011249657E-2</v>
      </c>
      <c r="H33" s="537">
        <f t="shared" si="1"/>
        <v>1.0269539769292488</v>
      </c>
      <c r="J33"/>
      <c r="K33"/>
      <c r="L33"/>
      <c r="M33"/>
      <c r="N33"/>
      <c r="O33"/>
      <c r="P33"/>
      <c r="Q33"/>
      <c r="R33"/>
      <c r="S33"/>
      <c r="T33"/>
      <c r="U33"/>
      <c r="V33"/>
      <c r="W33"/>
      <c r="X33"/>
      <c r="Y33"/>
      <c r="Z33"/>
    </row>
    <row r="34" spans="2:26">
      <c r="B34" s="96">
        <v>2030</v>
      </c>
      <c r="C34" s="536">
        <f t="shared" ref="C34:H34" si="2">INDEX($R$6:$X$22,MATCH($D$27,$R$6:$R$22,0),MATCH(C$31,$R$6:$X$6,0))*$D$27</f>
        <v>1973.6525098739075</v>
      </c>
      <c r="D34" s="536">
        <f t="shared" si="2"/>
        <v>0.23542053042253766</v>
      </c>
      <c r="E34" s="537">
        <f t="shared" si="2"/>
        <v>4.3128523285568231E-2</v>
      </c>
      <c r="F34" s="537">
        <f t="shared" si="2"/>
        <v>3.8152324944554256E-2</v>
      </c>
      <c r="G34" s="537">
        <f t="shared" si="2"/>
        <v>1.3152615307086658E-2</v>
      </c>
      <c r="H34" s="537">
        <f t="shared" si="2"/>
        <v>8.3668411687305572E-2</v>
      </c>
      <c r="J34"/>
      <c r="K34"/>
      <c r="L34"/>
      <c r="M34"/>
      <c r="N34"/>
      <c r="O34"/>
      <c r="P34"/>
      <c r="Q34"/>
      <c r="R34"/>
      <c r="S34"/>
      <c r="T34"/>
      <c r="U34"/>
      <c r="V34"/>
      <c r="W34"/>
      <c r="X34"/>
      <c r="Y34"/>
      <c r="Z34"/>
    </row>
    <row r="35" spans="2:26">
      <c r="B35" s="96">
        <v>2040</v>
      </c>
      <c r="C35" s="536">
        <f t="shared" ref="C35:H35" si="3">INDEX($Z$6:$AF$22,MATCH($D$27,$Z$6:$Z$22,0),MATCH(C$31,$Z$6:$AF$6,0))*$D$27</f>
        <v>1588.1874773579184</v>
      </c>
      <c r="D35" s="536">
        <f t="shared" si="3"/>
        <v>3.7479265243276876E-2</v>
      </c>
      <c r="E35" s="537">
        <f t="shared" si="3"/>
        <v>2.8798815624360218E-2</v>
      </c>
      <c r="F35" s="537">
        <f t="shared" si="3"/>
        <v>2.5475990391456482E-2</v>
      </c>
      <c r="G35" s="537">
        <f t="shared" si="3"/>
        <v>1.0628794501122503E-2</v>
      </c>
      <c r="H35" s="537">
        <f t="shared" si="3"/>
        <v>2.0356394058082081E-2</v>
      </c>
    </row>
    <row r="36" spans="2:26" ht="14.5" thickBot="1">
      <c r="B36" s="538">
        <v>2050</v>
      </c>
      <c r="C36" s="539">
        <f t="shared" ref="C36:H36" si="4">INDEX($AH$6:$AN$22,MATCH($D$27,$AH$6:$AH$22,0),MATCH(C$31,$AH$6:$AN$6,0))*$D$27</f>
        <v>1330.4715562635829</v>
      </c>
      <c r="D36" s="539">
        <f t="shared" si="4"/>
        <v>1.001974122059875E-2</v>
      </c>
      <c r="E36" s="540">
        <f t="shared" si="4"/>
        <v>1.8645902056314549E-2</v>
      </c>
      <c r="F36" s="540">
        <f t="shared" si="4"/>
        <v>1.6494508322906606E-2</v>
      </c>
      <c r="G36" s="540">
        <f t="shared" si="4"/>
        <v>8.872521821984022E-3</v>
      </c>
      <c r="H36" s="540">
        <f t="shared" si="4"/>
        <v>1.2605253622525389E-2</v>
      </c>
      <c r="K36"/>
      <c r="L36"/>
      <c r="M36"/>
      <c r="N36"/>
      <c r="O36"/>
      <c r="P36"/>
      <c r="Q36"/>
      <c r="R36"/>
      <c r="S36"/>
      <c r="T36"/>
      <c r="U36"/>
      <c r="V36"/>
      <c r="W36"/>
      <c r="X36"/>
      <c r="Y36"/>
      <c r="Z36"/>
    </row>
    <row r="37" spans="2:26" ht="14.5" thickTop="1">
      <c r="B37" s="96">
        <v>2017</v>
      </c>
      <c r="C37" s="1175">
        <f t="shared" ref="C37:H37" si="5">IF($B37&lt;=$B$36,IF($B37&lt;=$B$33,TREND(C$32:C$33,$B$32:$B$33,$B37),IF($B37&lt;=$B$34,TREND(C$33:C$34,$B$33:$B$34,$B37),IF($B37&lt;=$B$35,TREND(C$34:C$35,$B$34:$B$35,$B37),TREND(C$35:C$36,$B$35:$B$36,$B37)))),C36)</f>
        <v>2393.2402247767168</v>
      </c>
      <c r="D37" s="1175">
        <f t="shared" si="5"/>
        <v>3.0813856273250622</v>
      </c>
      <c r="E37" s="1176">
        <f t="shared" si="5"/>
        <v>7.9398152733881844E-2</v>
      </c>
      <c r="F37" s="1176">
        <f t="shared" si="5"/>
        <v>7.0237104204528222E-2</v>
      </c>
      <c r="G37" s="1176">
        <f t="shared" si="5"/>
        <v>1.5905998255719478E-2</v>
      </c>
      <c r="H37" s="1176">
        <f t="shared" si="5"/>
        <v>1.5852621760989223</v>
      </c>
      <c r="K37"/>
      <c r="L37"/>
      <c r="M37"/>
      <c r="N37"/>
      <c r="O37"/>
      <c r="P37"/>
      <c r="Q37"/>
      <c r="R37"/>
      <c r="S37"/>
      <c r="T37"/>
      <c r="U37"/>
      <c r="V37"/>
      <c r="W37"/>
      <c r="X37"/>
      <c r="Y37"/>
      <c r="Z37"/>
    </row>
    <row r="38" spans="2:26">
      <c r="B38" s="96">
        <v>2018</v>
      </c>
      <c r="C38" s="536">
        <f t="shared" ref="C38:C75" si="6">IF($B38&lt;=$B$36,IF($B38&lt;=$B$33,TREND(C$32:C$33,$B$32:$B$33,$B38),IF($B38&lt;=$B$34,TREND(C$33:C$34,$B$33:$B$34,$B38),IF($B38&lt;=$B$35,TREND(C$34:C$35,$B$34:$B$35,$B38),TREND(C$35:C$36,$B$35:$B$36,$B38)))),C37)</f>
        <v>2364.6595294501094</v>
      </c>
      <c r="D38" s="536">
        <f t="shared" ref="D38:D75" si="7">IF($B38&lt;=$B$36,IF($B38&lt;=$B$33,TREND(D$32:D$33,$B$32:$B$33,$B38),IF($B38&lt;=$B$34,TREND(D$33:D$34,$B$33:$B$34,$B38),IF($B38&lt;=$B$35,TREND(D$34:D$35,$B$34:$B$35,$B38),TREND(D$35:D$36,$B$35:$B$36,$B38)))),D37)</f>
        <v>2.7813112998152292</v>
      </c>
      <c r="E38" s="537">
        <f t="shared" ref="E38:E75" si="8">IF($B38&lt;=$B$36,IF($B38&lt;=$B$33,TREND(E$32:E$33,$B$32:$B$33,$B38),IF($B38&lt;=$B$34,TREND(E$33:E$34,$B$33:$B$34,$B38),IF($B38&lt;=$B$35,TREND(E$34:E$35,$B$34:$B$35,$B38),TREND(E$35:E$36,$B$35:$B$36,$B38)))),E37)</f>
        <v>7.4248140681250518E-2</v>
      </c>
      <c r="F38" s="537">
        <f t="shared" ref="F38:F75" si="9">IF($B38&lt;=$B$36,IF($B38&lt;=$B$33,TREND(F$32:F$33,$B$32:$B$33,$B38),IF($B38&lt;=$B$34,TREND(F$33:F$34,$B$33:$B$34,$B38),IF($B38&lt;=$B$35,TREND(F$34:F$35,$B$34:$B$35,$B38),TREND(F$35:F$36,$B$35:$B$36,$B38)))),F37)</f>
        <v>6.5681309403567312E-2</v>
      </c>
      <c r="G38" s="537">
        <f t="shared" ref="G38:G75" si="10">IF($B38&lt;=$B$36,IF($B38&lt;=$B$33,TREND(G$32:G$33,$B$32:$B$33,$B38),IF($B38&lt;=$B$34,TREND(G$33:G$34,$B$33:$B$34,$B38),IF($B38&lt;=$B$35,TREND(G$34:G$35,$B$34:$B$35,$B38),TREND(G$35:G$36,$B$35:$B$36,$B38)))),G37)</f>
        <v>1.5717155507562919E-2</v>
      </c>
      <c r="H38" s="537">
        <f t="shared" ref="H38:H75" si="11">IF($B38&lt;=$B$36,IF($B38&lt;=$B$33,TREND(H$32:H$33,$B$32:$B$33,$B38),IF($B38&lt;=$B$34,TREND(H$33:H$34,$B$33:$B$34,$B38),IF($B38&lt;=$B$35,TREND(H$34:H$35,$B$34:$B$35,$B38),TREND(H$35:H$36,$B$35:$B$36,$B38)))),H37)</f>
        <v>1.3991594430423788</v>
      </c>
      <c r="K38"/>
      <c r="L38"/>
      <c r="M38"/>
      <c r="N38"/>
      <c r="O38"/>
      <c r="P38"/>
      <c r="Q38"/>
      <c r="R38"/>
      <c r="S38"/>
      <c r="T38"/>
      <c r="U38"/>
      <c r="V38"/>
      <c r="W38"/>
      <c r="X38"/>
      <c r="Y38"/>
      <c r="Z38"/>
    </row>
    <row r="39" spans="2:26">
      <c r="B39" s="96">
        <v>2019</v>
      </c>
      <c r="C39" s="536">
        <f t="shared" si="6"/>
        <v>2336.078834123502</v>
      </c>
      <c r="D39" s="536">
        <f t="shared" si="7"/>
        <v>2.4812369723052825</v>
      </c>
      <c r="E39" s="537">
        <f t="shared" si="8"/>
        <v>6.9098128628620969E-2</v>
      </c>
      <c r="F39" s="537">
        <f t="shared" si="9"/>
        <v>6.1125514602604625E-2</v>
      </c>
      <c r="G39" s="537">
        <f t="shared" si="10"/>
        <v>1.5528312759406304E-2</v>
      </c>
      <c r="H39" s="537">
        <f t="shared" si="11"/>
        <v>1.2130567099858354</v>
      </c>
      <c r="K39"/>
      <c r="L39"/>
      <c r="M39"/>
      <c r="N39"/>
      <c r="O39"/>
      <c r="P39"/>
      <c r="Q39"/>
      <c r="R39"/>
      <c r="S39"/>
      <c r="T39"/>
      <c r="U39"/>
      <c r="V39"/>
      <c r="W39"/>
      <c r="X39"/>
      <c r="Y39"/>
      <c r="Z39"/>
    </row>
    <row r="40" spans="2:26">
      <c r="B40" s="96">
        <v>2020</v>
      </c>
      <c r="C40" s="536">
        <f t="shared" si="6"/>
        <v>2307.4981387968874</v>
      </c>
      <c r="D40" s="536">
        <f t="shared" si="7"/>
        <v>2.1811626447954495</v>
      </c>
      <c r="E40" s="537">
        <f t="shared" si="8"/>
        <v>6.3948116575989644E-2</v>
      </c>
      <c r="F40" s="537">
        <f t="shared" si="9"/>
        <v>5.6569719801641938E-2</v>
      </c>
      <c r="G40" s="537">
        <f t="shared" si="10"/>
        <v>1.533947001124969E-2</v>
      </c>
      <c r="H40" s="537">
        <f t="shared" si="11"/>
        <v>1.0269539769292919</v>
      </c>
      <c r="K40"/>
      <c r="L40"/>
      <c r="M40"/>
      <c r="N40"/>
      <c r="O40"/>
      <c r="P40"/>
      <c r="Q40"/>
      <c r="R40"/>
      <c r="S40"/>
      <c r="T40"/>
      <c r="U40"/>
      <c r="V40"/>
      <c r="W40"/>
      <c r="X40"/>
      <c r="Y40"/>
      <c r="Z40"/>
    </row>
    <row r="41" spans="2:26">
      <c r="B41" s="96">
        <v>2021</v>
      </c>
      <c r="C41" s="536">
        <f t="shared" si="6"/>
        <v>2274.1135759045865</v>
      </c>
      <c r="D41" s="536">
        <f t="shared" si="7"/>
        <v>1.9865884333581221</v>
      </c>
      <c r="E41" s="537">
        <f t="shared" si="8"/>
        <v>6.1866157246948994E-2</v>
      </c>
      <c r="F41" s="537">
        <f t="shared" si="9"/>
        <v>5.4727980315933067E-2</v>
      </c>
      <c r="G41" s="537">
        <f t="shared" si="10"/>
        <v>1.5120784540833432E-2</v>
      </c>
      <c r="H41" s="537">
        <f t="shared" si="11"/>
        <v>0.93262542040505991</v>
      </c>
      <c r="K41"/>
      <c r="L41"/>
      <c r="M41"/>
      <c r="N41"/>
      <c r="O41"/>
      <c r="P41"/>
      <c r="Q41"/>
      <c r="R41"/>
      <c r="S41"/>
      <c r="T41"/>
      <c r="U41"/>
      <c r="V41"/>
      <c r="W41"/>
      <c r="X41"/>
      <c r="Y41"/>
      <c r="Z41"/>
    </row>
    <row r="42" spans="2:26">
      <c r="B42" s="96">
        <v>2022</v>
      </c>
      <c r="C42" s="536">
        <f t="shared" si="6"/>
        <v>2240.7290130122856</v>
      </c>
      <c r="D42" s="536">
        <f t="shared" si="7"/>
        <v>1.7920142219208515</v>
      </c>
      <c r="E42" s="537">
        <f t="shared" si="8"/>
        <v>5.9784197917906567E-2</v>
      </c>
      <c r="F42" s="537">
        <f t="shared" si="9"/>
        <v>5.2886240830224196E-2</v>
      </c>
      <c r="G42" s="537">
        <f t="shared" si="10"/>
        <v>1.4902099070417119E-2</v>
      </c>
      <c r="H42" s="537">
        <f t="shared" si="11"/>
        <v>0.83829686388088476</v>
      </c>
      <c r="K42"/>
      <c r="L42"/>
      <c r="M42"/>
      <c r="N42"/>
      <c r="O42"/>
      <c r="P42"/>
      <c r="Q42"/>
      <c r="R42"/>
      <c r="S42"/>
      <c r="T42"/>
      <c r="U42"/>
      <c r="V42"/>
      <c r="W42"/>
      <c r="X42"/>
      <c r="Y42"/>
      <c r="Z42"/>
    </row>
    <row r="43" spans="2:26">
      <c r="B43" s="96">
        <v>2023</v>
      </c>
      <c r="C43" s="536">
        <f t="shared" si="6"/>
        <v>2207.3444501199847</v>
      </c>
      <c r="D43" s="536">
        <f t="shared" si="7"/>
        <v>1.5974400104835809</v>
      </c>
      <c r="E43" s="537">
        <f t="shared" si="8"/>
        <v>5.7702238588864141E-2</v>
      </c>
      <c r="F43" s="537">
        <f t="shared" si="9"/>
        <v>5.1044501344515769E-2</v>
      </c>
      <c r="G43" s="537">
        <f t="shared" si="10"/>
        <v>1.4683413600000805E-2</v>
      </c>
      <c r="H43" s="537">
        <f t="shared" si="11"/>
        <v>0.74396830735668118</v>
      </c>
      <c r="K43"/>
      <c r="L43"/>
      <c r="M43"/>
      <c r="N43"/>
      <c r="O43"/>
      <c r="P43"/>
      <c r="Q43"/>
      <c r="R43"/>
      <c r="S43"/>
      <c r="T43"/>
      <c r="U43"/>
      <c r="V43"/>
      <c r="W43"/>
      <c r="X43"/>
      <c r="Y43"/>
      <c r="Z43"/>
    </row>
    <row r="44" spans="2:26">
      <c r="B44" s="96">
        <v>2024</v>
      </c>
      <c r="C44" s="536">
        <f t="shared" si="6"/>
        <v>2173.9598872276838</v>
      </c>
      <c r="D44" s="536">
        <f t="shared" si="7"/>
        <v>1.4028657990462534</v>
      </c>
      <c r="E44" s="537">
        <f t="shared" si="8"/>
        <v>5.5620279259821714E-2</v>
      </c>
      <c r="F44" s="537">
        <f t="shared" si="9"/>
        <v>4.9202761858806898E-2</v>
      </c>
      <c r="G44" s="537">
        <f t="shared" si="10"/>
        <v>1.4464728129584492E-2</v>
      </c>
      <c r="H44" s="537">
        <f t="shared" si="11"/>
        <v>0.6496397508324776</v>
      </c>
      <c r="K44"/>
      <c r="L44"/>
      <c r="M44"/>
      <c r="N44"/>
      <c r="O44"/>
      <c r="P44"/>
      <c r="Q44"/>
      <c r="R44"/>
      <c r="S44"/>
      <c r="T44"/>
      <c r="U44"/>
      <c r="V44"/>
      <c r="W44"/>
      <c r="X44"/>
      <c r="Y44"/>
      <c r="Z44"/>
    </row>
    <row r="45" spans="2:26">
      <c r="B45" s="96">
        <v>2025</v>
      </c>
      <c r="C45" s="536">
        <f t="shared" si="6"/>
        <v>2140.5753243353975</v>
      </c>
      <c r="D45" s="536">
        <f t="shared" si="7"/>
        <v>1.2082915876089828</v>
      </c>
      <c r="E45" s="537">
        <f t="shared" si="8"/>
        <v>5.3538319930779288E-2</v>
      </c>
      <c r="F45" s="537">
        <f t="shared" si="9"/>
        <v>4.7361022373098027E-2</v>
      </c>
      <c r="G45" s="537">
        <f t="shared" si="10"/>
        <v>1.4246042659168179E-2</v>
      </c>
      <c r="H45" s="537">
        <f t="shared" si="11"/>
        <v>0.55531119430827403</v>
      </c>
      <c r="K45"/>
      <c r="L45"/>
      <c r="M45"/>
      <c r="N45"/>
      <c r="O45"/>
      <c r="P45"/>
      <c r="Q45"/>
      <c r="R45"/>
      <c r="S45"/>
      <c r="T45"/>
      <c r="U45"/>
      <c r="V45"/>
      <c r="W45"/>
      <c r="X45"/>
      <c r="Y45"/>
      <c r="Z45"/>
    </row>
    <row r="46" spans="2:26">
      <c r="B46" s="96">
        <v>2026</v>
      </c>
      <c r="C46" s="536">
        <f t="shared" si="6"/>
        <v>2107.1907614430966</v>
      </c>
      <c r="D46" s="536">
        <f t="shared" si="7"/>
        <v>1.0137173761717122</v>
      </c>
      <c r="E46" s="537">
        <f t="shared" si="8"/>
        <v>5.145636060173775E-2</v>
      </c>
      <c r="F46" s="537">
        <f t="shared" si="9"/>
        <v>4.5519282887389156E-2</v>
      </c>
      <c r="G46" s="537">
        <f t="shared" si="10"/>
        <v>1.4027357188751921E-2</v>
      </c>
      <c r="H46" s="537">
        <f t="shared" si="11"/>
        <v>0.46098263778409887</v>
      </c>
      <c r="K46"/>
      <c r="L46"/>
      <c r="M46"/>
      <c r="N46"/>
      <c r="O46"/>
      <c r="P46"/>
      <c r="Q46"/>
      <c r="R46"/>
      <c r="S46"/>
      <c r="T46"/>
      <c r="U46"/>
      <c r="V46"/>
      <c r="W46"/>
      <c r="X46"/>
      <c r="Y46"/>
      <c r="Z46"/>
    </row>
    <row r="47" spans="2:26">
      <c r="B47" s="96">
        <v>2027</v>
      </c>
      <c r="C47" s="536">
        <f t="shared" si="6"/>
        <v>2073.8061985507957</v>
      </c>
      <c r="D47" s="536">
        <f t="shared" si="7"/>
        <v>0.8191431647344416</v>
      </c>
      <c r="E47" s="537">
        <f t="shared" si="8"/>
        <v>4.9374401272695323E-2</v>
      </c>
      <c r="F47" s="537">
        <f t="shared" si="9"/>
        <v>4.367754340168073E-2</v>
      </c>
      <c r="G47" s="537">
        <f t="shared" si="10"/>
        <v>1.3808671718335608E-2</v>
      </c>
      <c r="H47" s="537">
        <f t="shared" si="11"/>
        <v>0.36665408125989529</v>
      </c>
      <c r="K47"/>
      <c r="L47"/>
      <c r="M47"/>
      <c r="N47"/>
      <c r="O47"/>
      <c r="P47"/>
      <c r="Q47"/>
      <c r="R47"/>
      <c r="S47"/>
      <c r="T47"/>
      <c r="U47"/>
      <c r="V47"/>
      <c r="W47"/>
      <c r="X47"/>
      <c r="Y47"/>
      <c r="Z47"/>
    </row>
    <row r="48" spans="2:26">
      <c r="B48" s="96">
        <v>2028</v>
      </c>
      <c r="C48" s="536">
        <f t="shared" si="6"/>
        <v>2040.4216356584948</v>
      </c>
      <c r="D48" s="536">
        <f t="shared" si="7"/>
        <v>0.62456895329711415</v>
      </c>
      <c r="E48" s="537">
        <f t="shared" si="8"/>
        <v>4.7292441943652896E-2</v>
      </c>
      <c r="F48" s="537">
        <f t="shared" si="9"/>
        <v>4.1835803915971859E-2</v>
      </c>
      <c r="G48" s="537">
        <f t="shared" si="10"/>
        <v>1.3589986247919295E-2</v>
      </c>
      <c r="H48" s="537">
        <f t="shared" si="11"/>
        <v>0.27232552473569172</v>
      </c>
      <c r="K48"/>
      <c r="L48"/>
      <c r="M48"/>
      <c r="N48"/>
      <c r="O48"/>
      <c r="P48"/>
      <c r="Q48"/>
      <c r="R48"/>
      <c r="S48"/>
      <c r="T48"/>
      <c r="U48"/>
      <c r="V48"/>
      <c r="W48"/>
      <c r="X48"/>
      <c r="Y48"/>
      <c r="Z48"/>
    </row>
    <row r="49" spans="2:26">
      <c r="B49" s="96">
        <v>2029</v>
      </c>
      <c r="C49" s="536">
        <f t="shared" si="6"/>
        <v>2007.0370727661939</v>
      </c>
      <c r="D49" s="536">
        <f t="shared" si="7"/>
        <v>0.42999474185984354</v>
      </c>
      <c r="E49" s="537">
        <f t="shared" si="8"/>
        <v>4.521048261461047E-2</v>
      </c>
      <c r="F49" s="537">
        <f t="shared" si="9"/>
        <v>3.9994064430262988E-2</v>
      </c>
      <c r="G49" s="537">
        <f t="shared" si="10"/>
        <v>1.3371300777502981E-2</v>
      </c>
      <c r="H49" s="537">
        <f t="shared" si="11"/>
        <v>0.17799696821151656</v>
      </c>
      <c r="K49"/>
      <c r="L49"/>
      <c r="M49"/>
      <c r="N49"/>
      <c r="O49"/>
      <c r="P49"/>
      <c r="Q49"/>
      <c r="R49"/>
      <c r="S49"/>
      <c r="T49"/>
      <c r="U49"/>
      <c r="V49"/>
      <c r="W49"/>
      <c r="X49"/>
      <c r="Y49"/>
      <c r="Z49"/>
    </row>
    <row r="50" spans="2:26">
      <c r="B50" s="96">
        <v>2030</v>
      </c>
      <c r="C50" s="536">
        <f t="shared" si="6"/>
        <v>1973.6525098739075</v>
      </c>
      <c r="D50" s="536">
        <f t="shared" si="7"/>
        <v>0.23542053042257294</v>
      </c>
      <c r="E50" s="537">
        <f t="shared" si="8"/>
        <v>4.3128523285568043E-2</v>
      </c>
      <c r="F50" s="537">
        <f t="shared" si="9"/>
        <v>3.8152324944554117E-2</v>
      </c>
      <c r="G50" s="537">
        <f t="shared" si="10"/>
        <v>1.3152615307086724E-2</v>
      </c>
      <c r="H50" s="537">
        <f t="shared" si="11"/>
        <v>8.3668411687312982E-2</v>
      </c>
      <c r="K50"/>
      <c r="L50"/>
      <c r="M50"/>
      <c r="N50"/>
      <c r="O50"/>
      <c r="P50"/>
      <c r="Q50"/>
      <c r="R50"/>
      <c r="S50"/>
      <c r="T50"/>
      <c r="U50"/>
      <c r="V50"/>
      <c r="W50"/>
      <c r="X50"/>
      <c r="Y50"/>
      <c r="Z50"/>
    </row>
    <row r="51" spans="2:26">
      <c r="B51" s="96">
        <v>2031</v>
      </c>
      <c r="C51" s="536">
        <f t="shared" si="6"/>
        <v>1935.1060066223145</v>
      </c>
      <c r="D51" s="536">
        <f t="shared" si="7"/>
        <v>0.21562640390460786</v>
      </c>
      <c r="E51" s="537">
        <f t="shared" si="8"/>
        <v>4.1695552519447343E-2</v>
      </c>
      <c r="F51" s="537">
        <f t="shared" si="9"/>
        <v>3.688469148924467E-2</v>
      </c>
      <c r="G51" s="537">
        <f t="shared" si="10"/>
        <v>1.2900233226490254E-2</v>
      </c>
      <c r="H51" s="537">
        <f t="shared" si="11"/>
        <v>7.7337209924383643E-2</v>
      </c>
      <c r="K51"/>
      <c r="L51"/>
      <c r="M51"/>
      <c r="N51"/>
      <c r="O51"/>
      <c r="P51"/>
      <c r="Q51"/>
      <c r="R51"/>
      <c r="S51"/>
      <c r="T51"/>
      <c r="U51"/>
      <c r="V51"/>
      <c r="W51"/>
      <c r="X51"/>
      <c r="Y51"/>
      <c r="Z51"/>
    </row>
    <row r="52" spans="2:26">
      <c r="B52" s="96">
        <v>2032</v>
      </c>
      <c r="C52" s="536">
        <f t="shared" si="6"/>
        <v>1896.5595033707068</v>
      </c>
      <c r="D52" s="536">
        <f t="shared" si="7"/>
        <v>0.1958322773866783</v>
      </c>
      <c r="E52" s="537">
        <f t="shared" si="8"/>
        <v>4.0262581753326643E-2</v>
      </c>
      <c r="F52" s="537">
        <f t="shared" si="9"/>
        <v>3.5617058033934779E-2</v>
      </c>
      <c r="G52" s="537">
        <f t="shared" si="10"/>
        <v>1.264785114589384E-2</v>
      </c>
      <c r="H52" s="537">
        <f t="shared" si="11"/>
        <v>7.1006008161461409E-2</v>
      </c>
      <c r="K52"/>
      <c r="L52"/>
      <c r="M52"/>
      <c r="N52"/>
      <c r="O52"/>
      <c r="P52"/>
      <c r="Q52"/>
      <c r="R52"/>
      <c r="S52"/>
      <c r="T52"/>
      <c r="U52"/>
      <c r="V52"/>
      <c r="W52"/>
      <c r="X52"/>
      <c r="Y52"/>
      <c r="Z52"/>
    </row>
    <row r="53" spans="2:26">
      <c r="B53" s="96">
        <v>2033</v>
      </c>
      <c r="C53" s="536">
        <f t="shared" si="6"/>
        <v>1858.0130001191137</v>
      </c>
      <c r="D53" s="536">
        <f t="shared" si="7"/>
        <v>0.17603815086875585</v>
      </c>
      <c r="E53" s="537">
        <f t="shared" si="8"/>
        <v>3.8829610987205498E-2</v>
      </c>
      <c r="F53" s="537">
        <f t="shared" si="9"/>
        <v>3.4349424578624888E-2</v>
      </c>
      <c r="G53" s="537">
        <f t="shared" si="10"/>
        <v>1.2395469065297426E-2</v>
      </c>
      <c r="H53" s="537">
        <f t="shared" si="11"/>
        <v>6.4674806398539175E-2</v>
      </c>
      <c r="K53"/>
      <c r="L53"/>
      <c r="M53"/>
      <c r="N53"/>
      <c r="O53"/>
      <c r="P53"/>
      <c r="Q53"/>
      <c r="R53"/>
      <c r="S53"/>
      <c r="T53"/>
      <c r="U53"/>
      <c r="V53"/>
      <c r="W53"/>
      <c r="X53"/>
      <c r="Y53"/>
      <c r="Z53"/>
    </row>
    <row r="54" spans="2:26">
      <c r="B54" s="96">
        <v>2034</v>
      </c>
      <c r="C54" s="536">
        <f t="shared" si="6"/>
        <v>1819.4664968675206</v>
      </c>
      <c r="D54" s="536">
        <f t="shared" si="7"/>
        <v>0.15624402435082629</v>
      </c>
      <c r="E54" s="537">
        <f t="shared" si="8"/>
        <v>3.7396640221084798E-2</v>
      </c>
      <c r="F54" s="537">
        <f t="shared" si="9"/>
        <v>3.3081791123314996E-2</v>
      </c>
      <c r="G54" s="537">
        <f t="shared" si="10"/>
        <v>1.2143086984701013E-2</v>
      </c>
      <c r="H54" s="537">
        <f t="shared" si="11"/>
        <v>5.8343604635616941E-2</v>
      </c>
      <c r="K54"/>
      <c r="L54"/>
      <c r="M54"/>
      <c r="N54"/>
      <c r="O54"/>
      <c r="P54"/>
      <c r="Q54"/>
      <c r="R54"/>
      <c r="S54"/>
      <c r="T54"/>
      <c r="U54"/>
      <c r="V54"/>
      <c r="W54"/>
      <c r="X54"/>
      <c r="Y54"/>
      <c r="Z54"/>
    </row>
    <row r="55" spans="2:26">
      <c r="B55" s="96">
        <v>2035</v>
      </c>
      <c r="C55" s="536">
        <f t="shared" si="6"/>
        <v>1780.919993615913</v>
      </c>
      <c r="D55" s="536">
        <f t="shared" si="7"/>
        <v>0.13644989783290384</v>
      </c>
      <c r="E55" s="537">
        <f t="shared" si="8"/>
        <v>3.5963669454964098E-2</v>
      </c>
      <c r="F55" s="537">
        <f t="shared" si="9"/>
        <v>3.1814157668005549E-2</v>
      </c>
      <c r="G55" s="537">
        <f t="shared" si="10"/>
        <v>1.1890704904104599E-2</v>
      </c>
      <c r="H55" s="537">
        <f t="shared" si="11"/>
        <v>5.2012402872694707E-2</v>
      </c>
      <c r="K55"/>
      <c r="L55"/>
      <c r="M55"/>
      <c r="N55"/>
      <c r="O55"/>
      <c r="P55"/>
      <c r="Q55"/>
      <c r="R55"/>
      <c r="S55"/>
      <c r="T55"/>
      <c r="U55"/>
      <c r="V55"/>
      <c r="W55"/>
      <c r="X55"/>
      <c r="Y55"/>
      <c r="Z55"/>
    </row>
    <row r="56" spans="2:26">
      <c r="B56" s="96">
        <v>2036</v>
      </c>
      <c r="C56" s="536">
        <f t="shared" si="6"/>
        <v>1742.3734903643199</v>
      </c>
      <c r="D56" s="536">
        <f t="shared" si="7"/>
        <v>0.11665577131497429</v>
      </c>
      <c r="E56" s="537">
        <f t="shared" si="8"/>
        <v>3.4530698688843398E-2</v>
      </c>
      <c r="F56" s="537">
        <f t="shared" si="9"/>
        <v>3.0546524212695658E-2</v>
      </c>
      <c r="G56" s="537">
        <f t="shared" si="10"/>
        <v>1.1638322823508185E-2</v>
      </c>
      <c r="H56" s="537">
        <f t="shared" si="11"/>
        <v>4.5681201109772474E-2</v>
      </c>
      <c r="K56"/>
      <c r="L56"/>
      <c r="M56"/>
      <c r="N56"/>
      <c r="O56"/>
      <c r="P56"/>
      <c r="Q56"/>
      <c r="R56"/>
      <c r="S56"/>
      <c r="T56"/>
      <c r="U56"/>
      <c r="V56"/>
      <c r="W56"/>
      <c r="X56"/>
      <c r="Y56"/>
      <c r="Z56"/>
    </row>
    <row r="57" spans="2:26">
      <c r="B57" s="96">
        <v>2037</v>
      </c>
      <c r="C57" s="536">
        <f t="shared" si="6"/>
        <v>1703.8269871127122</v>
      </c>
      <c r="D57" s="536">
        <f t="shared" si="7"/>
        <v>9.6861644797051838E-2</v>
      </c>
      <c r="E57" s="537">
        <f t="shared" si="8"/>
        <v>3.3097727922722253E-2</v>
      </c>
      <c r="F57" s="537">
        <f t="shared" si="9"/>
        <v>2.9278890757385767E-2</v>
      </c>
      <c r="G57" s="537">
        <f t="shared" si="10"/>
        <v>1.1385940742911771E-2</v>
      </c>
      <c r="H57" s="537">
        <f t="shared" si="11"/>
        <v>3.934999934685024E-2</v>
      </c>
      <c r="K57"/>
      <c r="L57"/>
      <c r="M57"/>
      <c r="N57"/>
      <c r="O57"/>
      <c r="P57"/>
      <c r="Q57"/>
      <c r="R57"/>
      <c r="S57"/>
      <c r="T57"/>
      <c r="U57"/>
      <c r="V57"/>
      <c r="W57"/>
      <c r="X57"/>
      <c r="Y57"/>
      <c r="Z57"/>
    </row>
    <row r="58" spans="2:26">
      <c r="B58" s="96">
        <v>2038</v>
      </c>
      <c r="C58" s="536">
        <f t="shared" si="6"/>
        <v>1665.2804838611191</v>
      </c>
      <c r="D58" s="536">
        <f t="shared" si="7"/>
        <v>7.7067518279122282E-2</v>
      </c>
      <c r="E58" s="537">
        <f t="shared" si="8"/>
        <v>3.1664757156601553E-2</v>
      </c>
      <c r="F58" s="537">
        <f t="shared" si="9"/>
        <v>2.8011257302075876E-2</v>
      </c>
      <c r="G58" s="537">
        <f t="shared" si="10"/>
        <v>1.1133558662315357E-2</v>
      </c>
      <c r="H58" s="537">
        <f t="shared" si="11"/>
        <v>3.3018797583928006E-2</v>
      </c>
      <c r="K58"/>
      <c r="L58"/>
      <c r="M58"/>
      <c r="N58"/>
      <c r="O58"/>
      <c r="P58"/>
      <c r="Q58"/>
      <c r="R58"/>
      <c r="S58"/>
      <c r="T58"/>
      <c r="U58"/>
      <c r="V58"/>
      <c r="W58"/>
      <c r="X58"/>
      <c r="Y58"/>
      <c r="Z58"/>
    </row>
    <row r="59" spans="2:26">
      <c r="B59" s="96">
        <v>2039</v>
      </c>
      <c r="C59" s="536">
        <f t="shared" si="6"/>
        <v>1626.733980609526</v>
      </c>
      <c r="D59" s="536">
        <f t="shared" si="7"/>
        <v>5.7273391761199832E-2</v>
      </c>
      <c r="E59" s="537">
        <f t="shared" si="8"/>
        <v>3.0231786390480853E-2</v>
      </c>
      <c r="F59" s="537">
        <f t="shared" si="9"/>
        <v>2.6743623846766429E-2</v>
      </c>
      <c r="G59" s="537">
        <f t="shared" si="10"/>
        <v>1.0881176581718943E-2</v>
      </c>
      <c r="H59" s="537">
        <f t="shared" si="11"/>
        <v>2.6687595821005772E-2</v>
      </c>
      <c r="K59"/>
      <c r="L59"/>
      <c r="M59"/>
      <c r="N59"/>
      <c r="O59"/>
      <c r="P59"/>
      <c r="Q59"/>
      <c r="R59"/>
      <c r="S59"/>
      <c r="T59"/>
      <c r="U59"/>
      <c r="V59"/>
      <c r="W59"/>
      <c r="X59"/>
      <c r="Y59"/>
      <c r="Z59"/>
    </row>
    <row r="60" spans="2:26">
      <c r="B60" s="96">
        <v>2040</v>
      </c>
      <c r="C60" s="536">
        <f t="shared" si="6"/>
        <v>1588.1874773579184</v>
      </c>
      <c r="D60" s="536">
        <f t="shared" si="7"/>
        <v>3.7479265243270277E-2</v>
      </c>
      <c r="E60" s="537">
        <f t="shared" si="8"/>
        <v>2.8798815624360152E-2</v>
      </c>
      <c r="F60" s="537">
        <f t="shared" si="9"/>
        <v>2.5475990391456538E-2</v>
      </c>
      <c r="G60" s="537">
        <f t="shared" si="10"/>
        <v>1.0628794501122529E-2</v>
      </c>
      <c r="H60" s="537">
        <f t="shared" si="11"/>
        <v>2.0356394058083538E-2</v>
      </c>
      <c r="K60"/>
      <c r="L60"/>
      <c r="M60"/>
      <c r="N60"/>
      <c r="O60"/>
      <c r="P60"/>
      <c r="Q60"/>
      <c r="R60"/>
      <c r="S60"/>
      <c r="T60"/>
      <c r="U60"/>
      <c r="V60"/>
      <c r="W60"/>
      <c r="X60"/>
      <c r="Y60"/>
      <c r="Z60"/>
    </row>
    <row r="61" spans="2:26">
      <c r="B61" s="96">
        <v>2041</v>
      </c>
      <c r="C61" s="536">
        <f t="shared" si="6"/>
        <v>1562.4158852484907</v>
      </c>
      <c r="D61" s="536">
        <f t="shared" si="7"/>
        <v>3.4733312841008335E-2</v>
      </c>
      <c r="E61" s="537">
        <f t="shared" si="8"/>
        <v>2.7783524267555482E-2</v>
      </c>
      <c r="F61" s="537">
        <f t="shared" si="9"/>
        <v>2.4577842184601462E-2</v>
      </c>
      <c r="G61" s="537">
        <f t="shared" si="10"/>
        <v>1.0453167233208605E-2</v>
      </c>
      <c r="H61" s="537">
        <f t="shared" si="11"/>
        <v>1.9581280014526525E-2</v>
      </c>
      <c r="K61"/>
      <c r="L61"/>
      <c r="M61"/>
      <c r="N61"/>
      <c r="O61"/>
      <c r="P61"/>
      <c r="Q61"/>
      <c r="R61"/>
      <c r="S61"/>
      <c r="T61"/>
      <c r="U61"/>
      <c r="V61"/>
      <c r="W61"/>
      <c r="X61"/>
      <c r="Y61"/>
      <c r="Z61"/>
    </row>
    <row r="62" spans="2:26">
      <c r="B62" s="96">
        <v>2042</v>
      </c>
      <c r="C62" s="536">
        <f t="shared" si="6"/>
        <v>1536.6442931390557</v>
      </c>
      <c r="D62" s="536">
        <f t="shared" si="7"/>
        <v>3.1987360438741064E-2</v>
      </c>
      <c r="E62" s="537">
        <f t="shared" si="8"/>
        <v>2.6768232910751255E-2</v>
      </c>
      <c r="F62" s="537">
        <f t="shared" si="9"/>
        <v>2.3679693977746608E-2</v>
      </c>
      <c r="G62" s="537">
        <f t="shared" si="10"/>
        <v>1.0277539965294791E-2</v>
      </c>
      <c r="H62" s="537">
        <f t="shared" si="11"/>
        <v>1.8806165970970845E-2</v>
      </c>
      <c r="K62"/>
      <c r="L62"/>
      <c r="M62"/>
      <c r="N62"/>
      <c r="O62"/>
      <c r="P62"/>
      <c r="Q62"/>
      <c r="R62"/>
      <c r="S62"/>
      <c r="T62"/>
      <c r="U62"/>
      <c r="V62"/>
      <c r="W62"/>
      <c r="X62"/>
      <c r="Y62"/>
      <c r="Z62"/>
    </row>
    <row r="63" spans="2:26">
      <c r="B63" s="96">
        <v>2043</v>
      </c>
      <c r="C63" s="536">
        <f t="shared" si="6"/>
        <v>1510.8727010296207</v>
      </c>
      <c r="D63" s="536">
        <f t="shared" si="7"/>
        <v>2.9241408036472905E-2</v>
      </c>
      <c r="E63" s="537">
        <f t="shared" si="8"/>
        <v>2.5752941553946584E-2</v>
      </c>
      <c r="F63" s="537">
        <f t="shared" si="9"/>
        <v>2.2781545770891531E-2</v>
      </c>
      <c r="G63" s="537">
        <f t="shared" si="10"/>
        <v>1.0101912697380921E-2</v>
      </c>
      <c r="H63" s="537">
        <f t="shared" si="11"/>
        <v>1.8031051927415165E-2</v>
      </c>
      <c r="K63"/>
      <c r="L63"/>
      <c r="M63"/>
      <c r="N63"/>
      <c r="O63"/>
      <c r="P63"/>
      <c r="Q63"/>
      <c r="R63"/>
      <c r="S63"/>
      <c r="T63"/>
      <c r="U63"/>
      <c r="V63"/>
      <c r="W63"/>
      <c r="X63"/>
      <c r="Y63"/>
      <c r="Z63"/>
    </row>
    <row r="64" spans="2:26">
      <c r="B64" s="96">
        <v>2044</v>
      </c>
      <c r="C64" s="536">
        <f t="shared" si="6"/>
        <v>1485.1011089201857</v>
      </c>
      <c r="D64" s="536">
        <f t="shared" si="7"/>
        <v>2.6495455634204745E-2</v>
      </c>
      <c r="E64" s="537">
        <f t="shared" si="8"/>
        <v>2.4737650197141914E-2</v>
      </c>
      <c r="F64" s="537">
        <f t="shared" si="9"/>
        <v>2.1883397564036455E-2</v>
      </c>
      <c r="G64" s="537">
        <f t="shared" si="10"/>
        <v>9.9262854294670522E-3</v>
      </c>
      <c r="H64" s="537">
        <f t="shared" si="11"/>
        <v>1.7255937883859485E-2</v>
      </c>
      <c r="K64"/>
      <c r="L64"/>
      <c r="M64"/>
      <c r="N64"/>
      <c r="O64"/>
      <c r="P64"/>
      <c r="Q64"/>
      <c r="R64"/>
      <c r="S64"/>
      <c r="T64"/>
      <c r="U64"/>
      <c r="V64"/>
      <c r="W64"/>
      <c r="X64"/>
      <c r="Y64"/>
      <c r="Z64"/>
    </row>
    <row r="65" spans="2:26">
      <c r="B65" s="96">
        <v>2045</v>
      </c>
      <c r="C65" s="536">
        <f t="shared" si="6"/>
        <v>1459.3295168107506</v>
      </c>
      <c r="D65" s="536">
        <f t="shared" si="7"/>
        <v>2.3749503231937474E-2</v>
      </c>
      <c r="E65" s="537">
        <f t="shared" si="8"/>
        <v>2.3722358840337243E-2</v>
      </c>
      <c r="F65" s="537">
        <f t="shared" si="9"/>
        <v>2.0985249357181601E-2</v>
      </c>
      <c r="G65" s="537">
        <f t="shared" si="10"/>
        <v>9.7506581615532384E-3</v>
      </c>
      <c r="H65" s="537">
        <f t="shared" si="11"/>
        <v>1.6480823840303804E-2</v>
      </c>
      <c r="K65"/>
      <c r="L65"/>
      <c r="M65"/>
      <c r="N65"/>
      <c r="O65"/>
      <c r="P65"/>
      <c r="Q65"/>
      <c r="R65"/>
      <c r="S65"/>
      <c r="T65"/>
      <c r="U65"/>
      <c r="V65"/>
      <c r="W65"/>
      <c r="X65"/>
      <c r="Y65"/>
      <c r="Z65"/>
    </row>
    <row r="66" spans="2:26">
      <c r="B66" s="96">
        <v>2046</v>
      </c>
      <c r="C66" s="536">
        <f t="shared" si="6"/>
        <v>1433.5579247013229</v>
      </c>
      <c r="D66" s="536">
        <f t="shared" si="7"/>
        <v>2.1003550829669315E-2</v>
      </c>
      <c r="E66" s="537">
        <f t="shared" si="8"/>
        <v>2.2707067483533017E-2</v>
      </c>
      <c r="F66" s="537">
        <f t="shared" si="9"/>
        <v>2.0087101150326525E-2</v>
      </c>
      <c r="G66" s="537">
        <f t="shared" si="10"/>
        <v>9.5750308936393691E-3</v>
      </c>
      <c r="H66" s="537">
        <f t="shared" si="11"/>
        <v>1.5705709796748124E-2</v>
      </c>
      <c r="K66"/>
      <c r="L66"/>
      <c r="M66"/>
      <c r="N66"/>
      <c r="O66"/>
      <c r="P66"/>
      <c r="Q66"/>
      <c r="R66"/>
      <c r="S66"/>
      <c r="T66"/>
      <c r="U66"/>
      <c r="V66"/>
      <c r="W66"/>
      <c r="X66"/>
      <c r="Y66"/>
      <c r="Z66"/>
    </row>
    <row r="67" spans="2:26">
      <c r="B67" s="96">
        <v>2047</v>
      </c>
      <c r="C67" s="536">
        <f t="shared" si="6"/>
        <v>1407.7863325918879</v>
      </c>
      <c r="D67" s="536">
        <f t="shared" si="7"/>
        <v>1.8257598427402044E-2</v>
      </c>
      <c r="E67" s="537">
        <f t="shared" si="8"/>
        <v>2.1691776126728346E-2</v>
      </c>
      <c r="F67" s="537">
        <f t="shared" si="9"/>
        <v>1.9188952943471671E-2</v>
      </c>
      <c r="G67" s="537">
        <f t="shared" si="10"/>
        <v>9.3994036257255553E-3</v>
      </c>
      <c r="H67" s="537">
        <f t="shared" si="11"/>
        <v>1.4930595753192444E-2</v>
      </c>
      <c r="K67"/>
      <c r="L67"/>
      <c r="M67"/>
      <c r="N67"/>
      <c r="O67"/>
      <c r="P67"/>
      <c r="Q67"/>
      <c r="R67"/>
      <c r="S67"/>
      <c r="T67"/>
      <c r="U67"/>
      <c r="V67"/>
      <c r="W67"/>
      <c r="X67"/>
      <c r="Y67"/>
      <c r="Z67"/>
    </row>
    <row r="68" spans="2:26">
      <c r="B68" s="96">
        <v>2048</v>
      </c>
      <c r="C68" s="536">
        <f t="shared" si="6"/>
        <v>1382.0147404824529</v>
      </c>
      <c r="D68" s="536">
        <f t="shared" si="7"/>
        <v>1.5511646025133885E-2</v>
      </c>
      <c r="E68" s="537">
        <f t="shared" si="8"/>
        <v>2.0676484769923675E-2</v>
      </c>
      <c r="F68" s="537">
        <f t="shared" si="9"/>
        <v>1.8290804736616595E-2</v>
      </c>
      <c r="G68" s="537">
        <f t="shared" si="10"/>
        <v>9.223776357811686E-3</v>
      </c>
      <c r="H68" s="537">
        <f t="shared" si="11"/>
        <v>1.4155481709636764E-2</v>
      </c>
      <c r="K68"/>
      <c r="L68"/>
      <c r="M68"/>
      <c r="N68"/>
      <c r="O68"/>
      <c r="P68"/>
      <c r="Q68"/>
      <c r="R68"/>
      <c r="S68"/>
      <c r="T68"/>
      <c r="U68"/>
      <c r="V68"/>
      <c r="W68"/>
      <c r="X68"/>
      <c r="Y68"/>
      <c r="Z68"/>
    </row>
    <row r="69" spans="2:26">
      <c r="B69" s="96">
        <v>2049</v>
      </c>
      <c r="C69" s="536">
        <f t="shared" si="6"/>
        <v>1356.2431483730179</v>
      </c>
      <c r="D69" s="536">
        <f t="shared" si="7"/>
        <v>1.2765693622865726E-2</v>
      </c>
      <c r="E69" s="537">
        <f t="shared" si="8"/>
        <v>1.9661193413119005E-2</v>
      </c>
      <c r="F69" s="537">
        <f t="shared" si="9"/>
        <v>1.7392656529761519E-2</v>
      </c>
      <c r="G69" s="537">
        <f t="shared" si="10"/>
        <v>9.0481490898978167E-3</v>
      </c>
      <c r="H69" s="537">
        <f t="shared" si="11"/>
        <v>1.3380367666081083E-2</v>
      </c>
      <c r="K69"/>
      <c r="L69"/>
      <c r="M69"/>
      <c r="N69"/>
      <c r="O69"/>
      <c r="P69"/>
      <c r="Q69"/>
      <c r="R69"/>
      <c r="S69"/>
      <c r="T69"/>
      <c r="U69"/>
      <c r="V69"/>
      <c r="W69"/>
      <c r="X69"/>
      <c r="Y69"/>
      <c r="Z69"/>
    </row>
    <row r="70" spans="2:26">
      <c r="B70" s="96">
        <v>2050</v>
      </c>
      <c r="C70" s="536">
        <f t="shared" si="6"/>
        <v>1330.4715562635829</v>
      </c>
      <c r="D70" s="536">
        <f t="shared" si="7"/>
        <v>1.0019741220598455E-2</v>
      </c>
      <c r="E70" s="537">
        <f t="shared" si="8"/>
        <v>1.8645902056314334E-2</v>
      </c>
      <c r="F70" s="537">
        <f t="shared" si="9"/>
        <v>1.6494508322906665E-2</v>
      </c>
      <c r="G70" s="537">
        <f t="shared" si="10"/>
        <v>8.872521821984003E-3</v>
      </c>
      <c r="H70" s="537">
        <f t="shared" si="11"/>
        <v>1.2605253622525403E-2</v>
      </c>
      <c r="K70"/>
      <c r="L70"/>
      <c r="M70"/>
      <c r="N70"/>
      <c r="O70"/>
      <c r="P70"/>
      <c r="Q70"/>
      <c r="R70"/>
      <c r="S70"/>
      <c r="T70"/>
      <c r="U70"/>
      <c r="V70"/>
      <c r="W70"/>
      <c r="X70"/>
      <c r="Y70"/>
      <c r="Z70"/>
    </row>
    <row r="71" spans="2:26">
      <c r="B71" s="96">
        <v>2051</v>
      </c>
      <c r="C71" s="536">
        <f t="shared" si="6"/>
        <v>1330.4715562635829</v>
      </c>
      <c r="D71" s="536">
        <f t="shared" si="7"/>
        <v>1.0019741220598455E-2</v>
      </c>
      <c r="E71" s="537">
        <f t="shared" si="8"/>
        <v>1.8645902056314334E-2</v>
      </c>
      <c r="F71" s="537">
        <f t="shared" si="9"/>
        <v>1.6494508322906665E-2</v>
      </c>
      <c r="G71" s="537">
        <f t="shared" si="10"/>
        <v>8.872521821984003E-3</v>
      </c>
      <c r="H71" s="537">
        <f t="shared" si="11"/>
        <v>1.2605253622525403E-2</v>
      </c>
      <c r="K71"/>
      <c r="L71"/>
      <c r="M71"/>
      <c r="N71"/>
      <c r="O71"/>
      <c r="P71"/>
      <c r="Q71"/>
      <c r="R71"/>
      <c r="S71"/>
      <c r="T71"/>
      <c r="U71"/>
      <c r="V71"/>
      <c r="W71"/>
      <c r="X71"/>
      <c r="Y71"/>
      <c r="Z71"/>
    </row>
    <row r="72" spans="2:26">
      <c r="B72" s="96">
        <v>2052</v>
      </c>
      <c r="C72" s="536">
        <f t="shared" si="6"/>
        <v>1330.4715562635829</v>
      </c>
      <c r="D72" s="536">
        <f t="shared" si="7"/>
        <v>1.0019741220598455E-2</v>
      </c>
      <c r="E72" s="537">
        <f t="shared" si="8"/>
        <v>1.8645902056314334E-2</v>
      </c>
      <c r="F72" s="537">
        <f t="shared" si="9"/>
        <v>1.6494508322906665E-2</v>
      </c>
      <c r="G72" s="537">
        <f t="shared" si="10"/>
        <v>8.872521821984003E-3</v>
      </c>
      <c r="H72" s="537">
        <f t="shared" si="11"/>
        <v>1.2605253622525403E-2</v>
      </c>
      <c r="K72"/>
      <c r="L72"/>
      <c r="M72"/>
      <c r="N72"/>
      <c r="O72"/>
      <c r="P72"/>
      <c r="Q72"/>
      <c r="R72"/>
      <c r="S72"/>
      <c r="T72"/>
      <c r="U72"/>
      <c r="V72"/>
      <c r="W72"/>
      <c r="X72"/>
      <c r="Y72"/>
      <c r="Z72"/>
    </row>
    <row r="73" spans="2:26">
      <c r="B73" s="96">
        <v>2053</v>
      </c>
      <c r="C73" s="536">
        <f t="shared" si="6"/>
        <v>1330.4715562635829</v>
      </c>
      <c r="D73" s="536">
        <f t="shared" si="7"/>
        <v>1.0019741220598455E-2</v>
      </c>
      <c r="E73" s="537">
        <f t="shared" si="8"/>
        <v>1.8645902056314334E-2</v>
      </c>
      <c r="F73" s="537">
        <f t="shared" si="9"/>
        <v>1.6494508322906665E-2</v>
      </c>
      <c r="G73" s="537">
        <f t="shared" si="10"/>
        <v>8.872521821984003E-3</v>
      </c>
      <c r="H73" s="537">
        <f t="shared" si="11"/>
        <v>1.2605253622525403E-2</v>
      </c>
      <c r="K73"/>
      <c r="L73"/>
      <c r="M73"/>
      <c r="N73"/>
      <c r="O73"/>
      <c r="P73"/>
      <c r="Q73"/>
      <c r="R73"/>
      <c r="S73"/>
      <c r="T73"/>
      <c r="U73"/>
      <c r="V73"/>
      <c r="W73"/>
      <c r="X73"/>
      <c r="Y73"/>
      <c r="Z73"/>
    </row>
    <row r="74" spans="2:26">
      <c r="B74" s="96">
        <v>2054</v>
      </c>
      <c r="C74" s="536">
        <f t="shared" si="6"/>
        <v>1330.4715562635829</v>
      </c>
      <c r="D74" s="536">
        <f t="shared" si="7"/>
        <v>1.0019741220598455E-2</v>
      </c>
      <c r="E74" s="537">
        <f t="shared" si="8"/>
        <v>1.8645902056314334E-2</v>
      </c>
      <c r="F74" s="537">
        <f t="shared" si="9"/>
        <v>1.6494508322906665E-2</v>
      </c>
      <c r="G74" s="537">
        <f t="shared" si="10"/>
        <v>8.872521821984003E-3</v>
      </c>
      <c r="H74" s="537">
        <f t="shared" si="11"/>
        <v>1.2605253622525403E-2</v>
      </c>
    </row>
    <row r="75" spans="2:26">
      <c r="B75" s="99">
        <v>2055</v>
      </c>
      <c r="C75" s="579">
        <f t="shared" si="6"/>
        <v>1330.4715562635829</v>
      </c>
      <c r="D75" s="579">
        <f t="shared" si="7"/>
        <v>1.0019741220598455E-2</v>
      </c>
      <c r="E75" s="580">
        <f t="shared" si="8"/>
        <v>1.8645902056314334E-2</v>
      </c>
      <c r="F75" s="580">
        <f t="shared" si="9"/>
        <v>1.6494508322906665E-2</v>
      </c>
      <c r="G75" s="580">
        <f t="shared" si="10"/>
        <v>8.872521821984003E-3</v>
      </c>
      <c r="H75" s="580">
        <f t="shared" si="11"/>
        <v>1.2605253622525403E-2</v>
      </c>
    </row>
    <row r="76" spans="2:26">
      <c r="C76" s="1174"/>
    </row>
  </sheetData>
  <mergeCells count="1">
    <mergeCell ref="E28:I2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theme="8" tint="0.79998168889431442"/>
  </sheetPr>
  <dimension ref="A1:AN115"/>
  <sheetViews>
    <sheetView showGridLines="0" workbookViewId="0">
      <selection activeCell="B4" sqref="B4"/>
    </sheetView>
  </sheetViews>
  <sheetFormatPr defaultColWidth="9" defaultRowHeight="14"/>
  <cols>
    <col min="1" max="1" width="0.75" style="150" customWidth="1"/>
    <col min="2" max="8" width="9" style="150"/>
    <col min="9" max="9" width="1.33203125" style="150" customWidth="1"/>
    <col min="10" max="10" width="7.58203125" style="150" customWidth="1"/>
    <col min="11" max="16" width="9" style="150"/>
    <col min="17" max="17" width="0.83203125" style="150" customWidth="1"/>
    <col min="18" max="18" width="7.83203125" style="150" customWidth="1"/>
    <col min="19" max="19" width="8.25" style="150" customWidth="1"/>
    <col min="20" max="24" width="9" style="150"/>
    <col min="25" max="25" width="1.5" style="150" customWidth="1"/>
    <col min="26" max="27" width="9" style="150"/>
    <col min="28" max="28" width="9.58203125" style="150" customWidth="1"/>
    <col min="29" max="32" width="9" style="150"/>
    <col min="33" max="33" width="1.33203125" style="150" customWidth="1"/>
    <col min="34" max="16384" width="9" style="150"/>
  </cols>
  <sheetData>
    <row r="1" spans="1:40" s="7" customFormat="1" ht="10.5">
      <c r="A1" s="4" t="s">
        <v>730</v>
      </c>
      <c r="C1" s="4"/>
      <c r="D1" s="5"/>
      <c r="E1" s="5"/>
      <c r="F1" s="5"/>
      <c r="G1" s="5"/>
      <c r="H1" s="5"/>
      <c r="I1" s="6"/>
      <c r="J1" s="6"/>
    </row>
    <row r="2" spans="1:40" ht="20">
      <c r="B2" s="151" t="s">
        <v>741</v>
      </c>
      <c r="C2" s="264"/>
      <c r="D2" s="264"/>
      <c r="E2" s="264"/>
      <c r="F2" s="264"/>
      <c r="G2" s="264"/>
      <c r="H2" s="264"/>
      <c r="I2" s="2"/>
      <c r="J2" s="2"/>
      <c r="K2" s="2"/>
      <c r="L2" s="2"/>
      <c r="M2" s="2"/>
      <c r="N2" s="264"/>
      <c r="O2" s="264"/>
      <c r="P2" s="264"/>
      <c r="Q2" s="264"/>
      <c r="R2" s="264"/>
      <c r="S2" s="264"/>
      <c r="T2" s="2"/>
      <c r="U2" s="2"/>
    </row>
    <row r="3" spans="1:40" ht="15.5">
      <c r="B3" s="152" t="s">
        <v>298</v>
      </c>
      <c r="C3" s="265"/>
      <c r="D3" s="265"/>
      <c r="E3" s="265"/>
      <c r="F3" s="265"/>
      <c r="G3" s="265"/>
      <c r="H3" s="265"/>
      <c r="I3" s="2"/>
      <c r="J3" s="2"/>
      <c r="K3" s="260"/>
      <c r="L3" s="2"/>
      <c r="M3" s="260"/>
      <c r="N3" s="265"/>
      <c r="O3" s="265"/>
      <c r="P3" s="265"/>
      <c r="Q3" s="265"/>
      <c r="R3" s="265"/>
      <c r="S3" s="265"/>
      <c r="T3" s="2"/>
      <c r="U3" s="2"/>
    </row>
    <row r="4" spans="1:40">
      <c r="B4" s="261"/>
      <c r="C4" s="265"/>
      <c r="D4" s="265"/>
      <c r="E4" s="265"/>
      <c r="F4" s="265"/>
      <c r="G4" s="265"/>
      <c r="H4" s="265"/>
      <c r="I4" s="2"/>
      <c r="J4" s="2"/>
      <c r="K4" s="261"/>
      <c r="L4" s="2"/>
      <c r="M4" s="261"/>
      <c r="N4" s="265"/>
      <c r="O4" s="265"/>
      <c r="P4" s="265"/>
      <c r="Q4" s="265"/>
      <c r="R4" s="265"/>
      <c r="S4" s="265"/>
      <c r="T4" s="2"/>
      <c r="U4" s="2"/>
    </row>
    <row r="5" spans="1:40">
      <c r="B5" s="525">
        <v>2017</v>
      </c>
      <c r="C5" s="526"/>
      <c r="D5" s="526"/>
      <c r="E5" s="526"/>
      <c r="F5" s="526"/>
      <c r="G5" s="526"/>
      <c r="H5" s="526"/>
      <c r="I5" s="525"/>
      <c r="J5" s="525">
        <v>2020</v>
      </c>
      <c r="K5" s="526"/>
      <c r="L5" s="526"/>
      <c r="M5" s="526"/>
      <c r="N5" s="526"/>
      <c r="O5" s="526"/>
      <c r="P5" s="525"/>
      <c r="Q5" s="525"/>
      <c r="R5" s="525">
        <v>2030</v>
      </c>
      <c r="S5" s="526"/>
      <c r="T5" s="526"/>
      <c r="U5" s="526"/>
      <c r="V5" s="526"/>
      <c r="W5" s="526"/>
      <c r="X5" s="525"/>
      <c r="Y5" s="527"/>
      <c r="Z5" s="525">
        <v>2040</v>
      </c>
      <c r="AA5" s="172"/>
      <c r="AB5" s="172"/>
      <c r="AC5" s="172"/>
      <c r="AD5" s="172"/>
      <c r="AE5" s="172"/>
      <c r="AF5" s="2"/>
      <c r="AH5" s="525">
        <v>2050</v>
      </c>
      <c r="AI5" s="172"/>
      <c r="AJ5" s="172"/>
      <c r="AK5" s="172"/>
      <c r="AL5" s="172"/>
      <c r="AM5" s="172"/>
      <c r="AN5" s="2"/>
    </row>
    <row r="6" spans="1:40">
      <c r="B6" s="528" t="s">
        <v>474</v>
      </c>
      <c r="C6" s="528" t="s">
        <v>477</v>
      </c>
      <c r="D6" s="528" t="s">
        <v>476</v>
      </c>
      <c r="E6" s="528" t="s">
        <v>724</v>
      </c>
      <c r="F6" s="528" t="s">
        <v>480</v>
      </c>
      <c r="G6" s="528" t="s">
        <v>725</v>
      </c>
      <c r="H6" s="528" t="s">
        <v>475</v>
      </c>
      <c r="J6" s="528" t="s">
        <v>474</v>
      </c>
      <c r="K6" s="528" t="s">
        <v>477</v>
      </c>
      <c r="L6" s="528" t="s">
        <v>476</v>
      </c>
      <c r="M6" s="528" t="s">
        <v>724</v>
      </c>
      <c r="N6" s="528" t="s">
        <v>480</v>
      </c>
      <c r="O6" s="528" t="s">
        <v>725</v>
      </c>
      <c r="P6" s="528" t="s">
        <v>475</v>
      </c>
      <c r="R6" s="528" t="s">
        <v>474</v>
      </c>
      <c r="S6" s="528" t="s">
        <v>477</v>
      </c>
      <c r="T6" s="528" t="s">
        <v>476</v>
      </c>
      <c r="U6" s="528" t="s">
        <v>724</v>
      </c>
      <c r="V6" s="528" t="s">
        <v>480</v>
      </c>
      <c r="W6" s="528" t="s">
        <v>725</v>
      </c>
      <c r="X6" s="528" t="s">
        <v>475</v>
      </c>
      <c r="Z6" s="528" t="s">
        <v>474</v>
      </c>
      <c r="AA6" s="528" t="s">
        <v>477</v>
      </c>
      <c r="AB6" s="528" t="s">
        <v>476</v>
      </c>
      <c r="AC6" s="528" t="s">
        <v>724</v>
      </c>
      <c r="AD6" s="528" t="s">
        <v>480</v>
      </c>
      <c r="AE6" s="528" t="s">
        <v>725</v>
      </c>
      <c r="AF6" s="528" t="s">
        <v>475</v>
      </c>
      <c r="AH6" s="528" t="s">
        <v>474</v>
      </c>
      <c r="AI6" s="528" t="s">
        <v>477</v>
      </c>
      <c r="AJ6" s="528" t="s">
        <v>476</v>
      </c>
      <c r="AK6" s="528" t="s">
        <v>724</v>
      </c>
      <c r="AL6" s="528" t="s">
        <v>480</v>
      </c>
      <c r="AM6" s="528" t="s">
        <v>725</v>
      </c>
      <c r="AN6" s="528" t="s">
        <v>475</v>
      </c>
    </row>
    <row r="7" spans="1:40" ht="14.25" customHeight="1">
      <c r="B7" s="529">
        <v>2.5</v>
      </c>
      <c r="C7" s="263">
        <v>3994.0790769515479</v>
      </c>
      <c r="D7" s="262">
        <v>39.567686226579433</v>
      </c>
      <c r="E7" s="262">
        <v>1.5087968140179568</v>
      </c>
      <c r="F7" s="262">
        <v>1.3880885676480801</v>
      </c>
      <c r="G7" s="262">
        <v>3.4945031815779279E-2</v>
      </c>
      <c r="H7" s="262">
        <v>3.7028565862246072</v>
      </c>
      <c r="J7" s="529">
        <v>2.5</v>
      </c>
      <c r="K7" s="263">
        <v>3964.237744239068</v>
      </c>
      <c r="L7" s="262">
        <v>31.243930308568839</v>
      </c>
      <c r="M7" s="262">
        <v>1.2508049167452286</v>
      </c>
      <c r="N7" s="262">
        <v>1.1507367445606596</v>
      </c>
      <c r="O7" s="262">
        <v>3.4450853312943834E-2</v>
      </c>
      <c r="P7" s="262">
        <v>3.1812240745752058</v>
      </c>
      <c r="R7" s="529">
        <v>2.5</v>
      </c>
      <c r="S7" s="263">
        <v>3856.1512542232363</v>
      </c>
      <c r="T7" s="262">
        <v>12.311003636448591</v>
      </c>
      <c r="U7" s="262">
        <v>0.43663430213928212</v>
      </c>
      <c r="V7" s="262">
        <v>0.40170215927965675</v>
      </c>
      <c r="W7" s="262">
        <v>3.2726744007724774E-2</v>
      </c>
      <c r="X7" s="262">
        <v>1.3998385499561974</v>
      </c>
      <c r="Z7" s="529">
        <v>2.5</v>
      </c>
      <c r="AA7" s="263">
        <v>3744.7261601109631</v>
      </c>
      <c r="AB7" s="262">
        <v>4.0633000236365096</v>
      </c>
      <c r="AC7" s="262">
        <v>5.195395319512288E-2</v>
      </c>
      <c r="AD7" s="262">
        <v>4.7797447551161922E-2</v>
      </c>
      <c r="AE7" s="262">
        <v>3.122024339691342E-2</v>
      </c>
      <c r="AF7" s="262">
        <v>0.26460333084387144</v>
      </c>
      <c r="AH7" s="529">
        <v>2.5</v>
      </c>
      <c r="AI7" s="263">
        <v>3681.7365208287383</v>
      </c>
      <c r="AJ7" s="262">
        <v>3.9063714831586784</v>
      </c>
      <c r="AK7" s="262">
        <v>5.1287431900779896E-2</v>
      </c>
      <c r="AL7" s="262">
        <v>4.7184238706024277E-2</v>
      </c>
      <c r="AM7" s="262">
        <v>3.069509195742165E-2</v>
      </c>
      <c r="AN7" s="262">
        <v>0.26327663900390735</v>
      </c>
    </row>
    <row r="8" spans="1:40" ht="14.25" customHeight="1">
      <c r="B8" s="529">
        <v>5</v>
      </c>
      <c r="C8" s="263">
        <v>2095.15417000555</v>
      </c>
      <c r="D8" s="262">
        <v>19.80399856572188</v>
      </c>
      <c r="E8" s="262">
        <v>0.84147935171401123</v>
      </c>
      <c r="F8" s="262">
        <v>0.77415834927570715</v>
      </c>
      <c r="G8" s="262">
        <v>1.8330688161152055E-2</v>
      </c>
      <c r="H8" s="262">
        <v>2.0113997526106306</v>
      </c>
      <c r="J8" s="529">
        <v>5</v>
      </c>
      <c r="K8" s="263">
        <v>2080.1355835699237</v>
      </c>
      <c r="L8" s="262">
        <v>15.647132108048059</v>
      </c>
      <c r="M8" s="262">
        <v>0.68144857908989431</v>
      </c>
      <c r="N8" s="262">
        <v>0.62693060570276071</v>
      </c>
      <c r="O8" s="262">
        <v>1.8076767532845872E-2</v>
      </c>
      <c r="P8" s="262">
        <v>1.7305502190344741</v>
      </c>
      <c r="R8" s="529">
        <v>5</v>
      </c>
      <c r="S8" s="263">
        <v>2025.6954693948041</v>
      </c>
      <c r="T8" s="262">
        <v>6.2028234897842109</v>
      </c>
      <c r="U8" s="262">
        <v>0.22456282925521628</v>
      </c>
      <c r="V8" s="262">
        <v>0.20659714155349745</v>
      </c>
      <c r="W8" s="262">
        <v>1.7191315573948089E-2</v>
      </c>
      <c r="X8" s="262">
        <v>0.76923039273148286</v>
      </c>
      <c r="Z8" s="529">
        <v>5</v>
      </c>
      <c r="AA8" s="263">
        <v>1969.5578112448393</v>
      </c>
      <c r="AB8" s="262">
        <v>2.0725508460835083</v>
      </c>
      <c r="AC8" s="262">
        <v>2.6777811971823513E-2</v>
      </c>
      <c r="AD8" s="262">
        <v>2.4635507852860481E-2</v>
      </c>
      <c r="AE8" s="262">
        <v>1.6420445806767409E-2</v>
      </c>
      <c r="AF8" s="262">
        <v>0.14698343760063554</v>
      </c>
      <c r="AH8" s="529">
        <v>5</v>
      </c>
      <c r="AI8" s="263">
        <v>1937.6547204294498</v>
      </c>
      <c r="AJ8" s="262">
        <v>1.9976032762037144</v>
      </c>
      <c r="AK8" s="262">
        <v>2.6434988579562571E-2</v>
      </c>
      <c r="AL8" s="262">
        <v>2.4320111279526054E-2</v>
      </c>
      <c r="AM8" s="262">
        <v>1.6154465877691312E-2</v>
      </c>
      <c r="AN8" s="262">
        <v>0.14624248613272928</v>
      </c>
    </row>
    <row r="9" spans="1:40" ht="14.25" customHeight="1">
      <c r="B9" s="529">
        <v>10</v>
      </c>
      <c r="C9" s="263">
        <v>1273.8032931666203</v>
      </c>
      <c r="D9" s="262">
        <v>11.617865843998789</v>
      </c>
      <c r="E9" s="262">
        <v>0.51483148428791514</v>
      </c>
      <c r="F9" s="262">
        <v>0.47364352930021558</v>
      </c>
      <c r="G9" s="262">
        <v>1.1144968981464038E-2</v>
      </c>
      <c r="H9" s="262">
        <v>1.0733961004823902</v>
      </c>
      <c r="J9" s="529">
        <v>10</v>
      </c>
      <c r="K9" s="263">
        <v>1264.1081261788627</v>
      </c>
      <c r="L9" s="262">
        <v>9.1676373936596161</v>
      </c>
      <c r="M9" s="262">
        <v>0.41024440284743291</v>
      </c>
      <c r="N9" s="262">
        <v>0.37742367432257451</v>
      </c>
      <c r="O9" s="262">
        <v>1.0985798107632864E-2</v>
      </c>
      <c r="P9" s="262">
        <v>0.92307567214893427</v>
      </c>
      <c r="R9" s="529">
        <v>10</v>
      </c>
      <c r="S9" s="263">
        <v>1229.3339360760078</v>
      </c>
      <c r="T9" s="262">
        <v>3.6306294858936319</v>
      </c>
      <c r="U9" s="262">
        <v>0.13522835505840858</v>
      </c>
      <c r="V9" s="262">
        <v>0.12440971091705082</v>
      </c>
      <c r="W9" s="262">
        <v>1.0433315269408668E-2</v>
      </c>
      <c r="X9" s="262">
        <v>0.40775095818624368</v>
      </c>
      <c r="Z9" s="529">
        <v>10</v>
      </c>
      <c r="AA9" s="263">
        <v>1193.607519641997</v>
      </c>
      <c r="AB9" s="262">
        <v>1.2233458110882367</v>
      </c>
      <c r="AC9" s="262">
        <v>1.6040840798297932E-2</v>
      </c>
      <c r="AD9" s="262">
        <v>1.4757522870035398E-2</v>
      </c>
      <c r="AE9" s="262">
        <v>9.9512507609512083E-3</v>
      </c>
      <c r="AF9" s="262">
        <v>7.7248375832793897E-2</v>
      </c>
      <c r="AH9" s="529">
        <v>10</v>
      </c>
      <c r="AI9" s="263">
        <v>1173.6799077064741</v>
      </c>
      <c r="AJ9" s="262">
        <v>1.1790610891316184</v>
      </c>
      <c r="AK9" s="262">
        <v>1.581777848919191E-2</v>
      </c>
      <c r="AL9" s="262">
        <v>1.455230631625218E-2</v>
      </c>
      <c r="AM9" s="262">
        <v>9.7851141247026745E-3</v>
      </c>
      <c r="AN9" s="262">
        <v>7.6851277161509565E-2</v>
      </c>
    </row>
    <row r="10" spans="1:40" ht="14.25" customHeight="1">
      <c r="B10" s="529">
        <v>15</v>
      </c>
      <c r="C10" s="263">
        <v>1080.9365226991688</v>
      </c>
      <c r="D10" s="262">
        <v>9.6397624854598956</v>
      </c>
      <c r="E10" s="262">
        <v>0.44726000025853241</v>
      </c>
      <c r="F10" s="262">
        <v>0.41147793263512306</v>
      </c>
      <c r="G10" s="262">
        <v>9.4577684649266042E-3</v>
      </c>
      <c r="H10" s="262">
        <v>0.76606044087618774</v>
      </c>
      <c r="J10" s="529">
        <v>15</v>
      </c>
      <c r="K10" s="263">
        <v>1072.3329521302232</v>
      </c>
      <c r="L10" s="262">
        <v>7.5688034196594334</v>
      </c>
      <c r="M10" s="262">
        <v>0.35198539761345671</v>
      </c>
      <c r="N10" s="262">
        <v>0.32382554863204005</v>
      </c>
      <c r="O10" s="262">
        <v>9.3194870503559048E-3</v>
      </c>
      <c r="P10" s="262">
        <v>0.65786011978202585</v>
      </c>
      <c r="R10" s="529">
        <v>15</v>
      </c>
      <c r="S10" s="263">
        <v>1041.7675446541057</v>
      </c>
      <c r="T10" s="262">
        <v>2.9321469689208635</v>
      </c>
      <c r="U10" s="262">
        <v>0.11464634986834628</v>
      </c>
      <c r="V10" s="262">
        <v>0.1054743454724007</v>
      </c>
      <c r="W10" s="262">
        <v>8.8417183250120868E-3</v>
      </c>
      <c r="X10" s="262">
        <v>0.28639788293249657</v>
      </c>
      <c r="Z10" s="529">
        <v>15</v>
      </c>
      <c r="AA10" s="263">
        <v>1010.4711442147507</v>
      </c>
      <c r="AB10" s="262">
        <v>0.98578753568712496</v>
      </c>
      <c r="AC10" s="262">
        <v>1.3581663129791111E-2</v>
      </c>
      <c r="AD10" s="262">
        <v>1.2495089528871852E-2</v>
      </c>
      <c r="AE10" s="262">
        <v>8.4244190544385464E-3</v>
      </c>
      <c r="AF10" s="262">
        <v>5.3203360162555002E-2</v>
      </c>
      <c r="AH10" s="529">
        <v>15</v>
      </c>
      <c r="AI10" s="263">
        <v>993.28740827498677</v>
      </c>
      <c r="AJ10" s="262">
        <v>0.95053587847899779</v>
      </c>
      <c r="AK10" s="262">
        <v>1.3381614327250452E-2</v>
      </c>
      <c r="AL10" s="262">
        <v>1.2311045579882614E-2</v>
      </c>
      <c r="AM10" s="262">
        <v>8.2811559268813999E-3</v>
      </c>
      <c r="AN10" s="262">
        <v>5.2928485216632681E-2</v>
      </c>
    </row>
    <row r="11" spans="1:40" ht="14.25" customHeight="1">
      <c r="B11" s="529">
        <v>20</v>
      </c>
      <c r="C11" s="263">
        <v>941.06115568837549</v>
      </c>
      <c r="D11" s="262">
        <v>8.4353622740074279</v>
      </c>
      <c r="E11" s="262">
        <v>0.39203338586019232</v>
      </c>
      <c r="F11" s="262">
        <v>0.36066962969151395</v>
      </c>
      <c r="G11" s="262">
        <v>8.2341655591247134E-3</v>
      </c>
      <c r="H11" s="262">
        <v>0.6061584918699654</v>
      </c>
      <c r="J11" s="529">
        <v>20</v>
      </c>
      <c r="K11" s="263">
        <v>933.14168794693251</v>
      </c>
      <c r="L11" s="262">
        <v>6.5886915257621013</v>
      </c>
      <c r="M11" s="262">
        <v>0.30565585787858662</v>
      </c>
      <c r="N11" s="262">
        <v>0.28120257198855619</v>
      </c>
      <c r="O11" s="262">
        <v>8.1101461236680293E-3</v>
      </c>
      <c r="P11" s="262">
        <v>0.5198779200474084</v>
      </c>
      <c r="R11" s="529">
        <v>20</v>
      </c>
      <c r="S11" s="263">
        <v>905.19178981165464</v>
      </c>
      <c r="T11" s="262">
        <v>2.4880815614615699</v>
      </c>
      <c r="U11" s="262">
        <v>0.10119813630327326</v>
      </c>
      <c r="V11" s="262">
        <v>9.3102028105227413E-2</v>
      </c>
      <c r="W11" s="262">
        <v>7.6829058750937946E-3</v>
      </c>
      <c r="X11" s="262">
        <v>0.22338452514621493</v>
      </c>
      <c r="Z11" s="529">
        <v>20</v>
      </c>
      <c r="AA11" s="263">
        <v>876.64089418226479</v>
      </c>
      <c r="AB11" s="262">
        <v>0.82809877828244016</v>
      </c>
      <c r="AC11" s="262">
        <v>1.1965531206148978E-2</v>
      </c>
      <c r="AD11" s="262">
        <v>1.1008262698117978E-2</v>
      </c>
      <c r="AE11" s="262">
        <v>7.3086605839160655E-3</v>
      </c>
      <c r="AF11" s="262">
        <v>4.0784522260148677E-2</v>
      </c>
      <c r="AH11" s="529">
        <v>20</v>
      </c>
      <c r="AI11" s="263">
        <v>861.19824089542351</v>
      </c>
      <c r="AJ11" s="262">
        <v>0.79838035021337495</v>
      </c>
      <c r="AK11" s="262">
        <v>1.178181183809833E-2</v>
      </c>
      <c r="AL11" s="262">
        <v>1.0839242906865417E-2</v>
      </c>
      <c r="AM11" s="262">
        <v>7.1799127613156538E-3</v>
      </c>
      <c r="AN11" s="262">
        <v>4.0576699820737666E-2</v>
      </c>
    </row>
    <row r="12" spans="1:40" ht="14.25" customHeight="1">
      <c r="B12" s="529">
        <v>25</v>
      </c>
      <c r="C12" s="263">
        <v>861.5282049486683</v>
      </c>
      <c r="D12" s="262">
        <v>7.6839658636599548</v>
      </c>
      <c r="E12" s="262">
        <v>0.35953273338213115</v>
      </c>
      <c r="F12" s="262">
        <v>0.3307690998152526</v>
      </c>
      <c r="G12" s="262">
        <v>7.5382480901034794E-3</v>
      </c>
      <c r="H12" s="262">
        <v>0.50590678502715369</v>
      </c>
      <c r="J12" s="529">
        <v>25</v>
      </c>
      <c r="K12" s="263">
        <v>854.32830564437074</v>
      </c>
      <c r="L12" s="262">
        <v>5.9804406764225959</v>
      </c>
      <c r="M12" s="262">
        <v>0.27838509349760787</v>
      </c>
      <c r="N12" s="262">
        <v>0.25611351055633852</v>
      </c>
      <c r="O12" s="262">
        <v>7.4251198454857448E-3</v>
      </c>
      <c r="P12" s="262">
        <v>0.43366893863064965</v>
      </c>
      <c r="R12" s="529">
        <v>25</v>
      </c>
      <c r="S12" s="263">
        <v>828.97215024886361</v>
      </c>
      <c r="T12" s="262">
        <v>2.2170680103102489</v>
      </c>
      <c r="U12" s="262">
        <v>9.2283850586447141E-2</v>
      </c>
      <c r="V12" s="262">
        <v>8.4900837579381327E-2</v>
      </c>
      <c r="W12" s="262">
        <v>7.0359261716798401E-3</v>
      </c>
      <c r="X12" s="262">
        <v>0.18543120294869389</v>
      </c>
      <c r="Z12" s="529">
        <v>25</v>
      </c>
      <c r="AA12" s="263">
        <v>803.0907471564492</v>
      </c>
      <c r="AB12" s="262">
        <v>0.73355043352010496</v>
      </c>
      <c r="AC12" s="262">
        <v>1.0927877862066499E-2</v>
      </c>
      <c r="AD12" s="262">
        <v>1.0053609304445507E-2</v>
      </c>
      <c r="AE12" s="262">
        <v>6.6954619880209712E-3</v>
      </c>
      <c r="AF12" s="262">
        <v>3.3665152987645504E-2</v>
      </c>
      <c r="AH12" s="529">
        <v>25</v>
      </c>
      <c r="AI12" s="263">
        <v>789.08932907350345</v>
      </c>
      <c r="AJ12" s="262">
        <v>0.70752312089767022</v>
      </c>
      <c r="AK12" s="262">
        <v>1.0761189539240835E-2</v>
      </c>
      <c r="AL12" s="262">
        <v>9.900255267688552E-3</v>
      </c>
      <c r="AM12" s="262">
        <v>6.5787278618963836E-3</v>
      </c>
      <c r="AN12" s="262">
        <v>3.3492738711497466E-2</v>
      </c>
    </row>
    <row r="13" spans="1:40" ht="14.25" customHeight="1">
      <c r="B13" s="529">
        <v>30</v>
      </c>
      <c r="C13" s="263">
        <v>834.59915456463978</v>
      </c>
      <c r="D13" s="262">
        <v>7.4119800600793839</v>
      </c>
      <c r="E13" s="262">
        <v>0.34571079066165916</v>
      </c>
      <c r="F13" s="262">
        <v>0.31805287116214681</v>
      </c>
      <c r="G13" s="262">
        <v>7.3027097645418258E-3</v>
      </c>
      <c r="H13" s="262">
        <v>0.44360281682512998</v>
      </c>
      <c r="J13" s="529">
        <v>30</v>
      </c>
      <c r="K13" s="263">
        <v>827.50015406454565</v>
      </c>
      <c r="L13" s="262">
        <v>5.761515617941404</v>
      </c>
      <c r="M13" s="262">
        <v>0.26745324251955471</v>
      </c>
      <c r="N13" s="262">
        <v>0.24605617892079693</v>
      </c>
      <c r="O13" s="262">
        <v>7.192056241159807E-3</v>
      </c>
      <c r="P13" s="262">
        <v>0.37970480880129226</v>
      </c>
      <c r="R13" s="529">
        <v>30</v>
      </c>
      <c r="S13" s="263">
        <v>802.59548790223926</v>
      </c>
      <c r="T13" s="262">
        <v>2.114226305406659</v>
      </c>
      <c r="U13" s="262">
        <v>8.7976514540176881E-2</v>
      </c>
      <c r="V13" s="262">
        <v>8.0938114981812637E-2</v>
      </c>
      <c r="W13" s="262">
        <v>6.8121383129994394E-3</v>
      </c>
      <c r="X13" s="262">
        <v>0.16033310402605283</v>
      </c>
      <c r="Z13" s="529">
        <v>30</v>
      </c>
      <c r="AA13" s="263">
        <v>777.21002806386343</v>
      </c>
      <c r="AB13" s="262">
        <v>0.69102065532558188</v>
      </c>
      <c r="AC13" s="262">
        <v>1.039791157686961E-2</v>
      </c>
      <c r="AD13" s="262">
        <v>9.5660486840642659E-3</v>
      </c>
      <c r="AE13" s="262">
        <v>6.4796879066101641E-3</v>
      </c>
      <c r="AF13" s="262">
        <v>2.8675770627394778E-2</v>
      </c>
      <c r="AH13" s="529">
        <v>30</v>
      </c>
      <c r="AI13" s="263">
        <v>763.54779274232726</v>
      </c>
      <c r="AJ13" s="262">
        <v>0.66649013784743927</v>
      </c>
      <c r="AK13" s="262">
        <v>1.0238818016894616E-2</v>
      </c>
      <c r="AL13" s="262">
        <v>9.4196831510822698E-3</v>
      </c>
      <c r="AM13" s="262">
        <v>6.3657832882111597E-3</v>
      </c>
      <c r="AN13" s="262">
        <v>2.8530423469360772E-2</v>
      </c>
    </row>
    <row r="14" spans="1:40" ht="14.25" customHeight="1">
      <c r="B14" s="529">
        <v>35</v>
      </c>
      <c r="C14" s="263">
        <v>716.05990711335039</v>
      </c>
      <c r="D14" s="262">
        <v>6.4068309974465958</v>
      </c>
      <c r="E14" s="262">
        <v>0.27922112245352965</v>
      </c>
      <c r="F14" s="262">
        <v>0.25688252777364395</v>
      </c>
      <c r="G14" s="262">
        <v>6.265757540419247E-3</v>
      </c>
      <c r="H14" s="262">
        <v>0.40141675960753198</v>
      </c>
      <c r="J14" s="529">
        <v>35</v>
      </c>
      <c r="K14" s="263">
        <v>709.48899253721947</v>
      </c>
      <c r="L14" s="262">
        <v>4.9950475748928662</v>
      </c>
      <c r="M14" s="262">
        <v>0.21375948876600637</v>
      </c>
      <c r="N14" s="262">
        <v>0.19665801663124433</v>
      </c>
      <c r="O14" s="262">
        <v>6.1667795814554852E-3</v>
      </c>
      <c r="P14" s="262">
        <v>0.34347713574196287</v>
      </c>
      <c r="R14" s="529">
        <v>35</v>
      </c>
      <c r="S14" s="263">
        <v>686.51331233978044</v>
      </c>
      <c r="T14" s="262">
        <v>1.8496817333864073</v>
      </c>
      <c r="U14" s="262">
        <v>7.126743383442731E-2</v>
      </c>
      <c r="V14" s="262">
        <v>6.556582358673263E-2</v>
      </c>
      <c r="W14" s="262">
        <v>5.8272865799447087E-3</v>
      </c>
      <c r="X14" s="262">
        <v>0.14510169064235517</v>
      </c>
      <c r="Z14" s="529">
        <v>35</v>
      </c>
      <c r="AA14" s="263">
        <v>663.12265279215944</v>
      </c>
      <c r="AB14" s="262">
        <v>0.59906902527736927</v>
      </c>
      <c r="AC14" s="262">
        <v>8.3814769243490805E-3</v>
      </c>
      <c r="AD14" s="262">
        <v>7.7109368867240707E-3</v>
      </c>
      <c r="AE14" s="262">
        <v>5.5285358044314947E-3</v>
      </c>
      <c r="AF14" s="262">
        <v>2.6032462002589307E-2</v>
      </c>
      <c r="AH14" s="529">
        <v>35</v>
      </c>
      <c r="AI14" s="263">
        <v>650.75730606817262</v>
      </c>
      <c r="AJ14" s="262">
        <v>0.57696917451797836</v>
      </c>
      <c r="AK14" s="262">
        <v>8.2494331929351735E-3</v>
      </c>
      <c r="AL14" s="262">
        <v>7.5894576598769786E-3</v>
      </c>
      <c r="AM14" s="262">
        <v>5.4254443159386847E-3</v>
      </c>
      <c r="AN14" s="262">
        <v>2.5903087274561958E-2</v>
      </c>
    </row>
    <row r="15" spans="1:40" ht="14.25" customHeight="1">
      <c r="B15" s="529">
        <v>40</v>
      </c>
      <c r="C15" s="263">
        <v>689.49651776590451</v>
      </c>
      <c r="D15" s="262">
        <v>6.1370353213841717</v>
      </c>
      <c r="E15" s="262">
        <v>0.26439315765803179</v>
      </c>
      <c r="F15" s="262">
        <v>0.2432410010707472</v>
      </c>
      <c r="G15" s="262">
        <v>6.0335157160748458E-3</v>
      </c>
      <c r="H15" s="262">
        <v>0.37098317867475411</v>
      </c>
      <c r="J15" s="529">
        <v>40</v>
      </c>
      <c r="K15" s="263">
        <v>682.82888329413413</v>
      </c>
      <c r="L15" s="262">
        <v>4.7858226504477139</v>
      </c>
      <c r="M15" s="262">
        <v>0.20093550737909652</v>
      </c>
      <c r="N15" s="262">
        <v>0.18486015103952647</v>
      </c>
      <c r="O15" s="262">
        <v>5.9353345223503353E-3</v>
      </c>
      <c r="P15" s="262">
        <v>0.31684985188316639</v>
      </c>
      <c r="R15" s="529">
        <v>40</v>
      </c>
      <c r="S15" s="263">
        <v>659.60926871145807</v>
      </c>
      <c r="T15" s="262">
        <v>1.7663372054455713</v>
      </c>
      <c r="U15" s="262">
        <v>6.6971609705022556E-2</v>
      </c>
      <c r="V15" s="262">
        <v>6.1613697352097971E-2</v>
      </c>
      <c r="W15" s="262">
        <v>5.5991942384524263E-3</v>
      </c>
      <c r="X15" s="262">
        <v>0.131918024955197</v>
      </c>
      <c r="Z15" s="529">
        <v>40</v>
      </c>
      <c r="AA15" s="263">
        <v>636.00528049468835</v>
      </c>
      <c r="AB15" s="262">
        <v>0.56441398872242676</v>
      </c>
      <c r="AC15" s="262">
        <v>7.8524404164072997E-3</v>
      </c>
      <c r="AD15" s="262">
        <v>7.2242279721033212E-3</v>
      </c>
      <c r="AE15" s="262">
        <v>5.3024474334726433E-3</v>
      </c>
      <c r="AF15" s="262">
        <v>2.3279760701341457E-2</v>
      </c>
      <c r="AH15" s="529">
        <v>40</v>
      </c>
      <c r="AI15" s="263">
        <v>623.70136553241184</v>
      </c>
      <c r="AJ15" s="262">
        <v>0.54324166092180282</v>
      </c>
      <c r="AK15" s="262">
        <v>7.7265833857499055E-3</v>
      </c>
      <c r="AL15" s="262">
        <v>7.1084408818052908E-3</v>
      </c>
      <c r="AM15" s="262">
        <v>5.1998669380648671E-3</v>
      </c>
      <c r="AN15" s="262">
        <v>2.316650266068113E-2</v>
      </c>
    </row>
    <row r="16" spans="1:40" ht="14.25" customHeight="1">
      <c r="B16" s="529">
        <v>45</v>
      </c>
      <c r="C16" s="263">
        <v>667.81740610060956</v>
      </c>
      <c r="D16" s="262">
        <v>5.9159585825437802</v>
      </c>
      <c r="E16" s="262">
        <v>0.25264727908764906</v>
      </c>
      <c r="F16" s="262">
        <v>0.23243479450954274</v>
      </c>
      <c r="G16" s="262">
        <v>5.8439805401458962E-3</v>
      </c>
      <c r="H16" s="262">
        <v>0.34726403956301494</v>
      </c>
      <c r="J16" s="529">
        <v>45</v>
      </c>
      <c r="K16" s="263">
        <v>661.08487399931721</v>
      </c>
      <c r="L16" s="262">
        <v>4.6151010510661763</v>
      </c>
      <c r="M16" s="262">
        <v>0.19083214915665458</v>
      </c>
      <c r="N16" s="262">
        <v>0.17556505824529325</v>
      </c>
      <c r="O16" s="262">
        <v>5.7465677936335913E-3</v>
      </c>
      <c r="P16" s="262">
        <v>0.29609520806960982</v>
      </c>
      <c r="R16" s="529">
        <v>45</v>
      </c>
      <c r="S16" s="263">
        <v>637.71063300101821</v>
      </c>
      <c r="T16" s="262">
        <v>1.7000560051491165</v>
      </c>
      <c r="U16" s="262">
        <v>6.3560021010362552E-2</v>
      </c>
      <c r="V16" s="262">
        <v>5.8475037417074022E-2</v>
      </c>
      <c r="W16" s="262">
        <v>5.4135395196593019E-3</v>
      </c>
      <c r="X16" s="262">
        <v>0.12164814007138039</v>
      </c>
      <c r="Z16" s="529">
        <v>45</v>
      </c>
      <c r="AA16" s="263">
        <v>613.97596334641821</v>
      </c>
      <c r="AB16" s="262">
        <v>0.53703676783028997</v>
      </c>
      <c r="AC16" s="262">
        <v>7.4322428178762888E-3</v>
      </c>
      <c r="AD16" s="262">
        <v>6.8376440979209824E-3</v>
      </c>
      <c r="AE16" s="262">
        <v>5.1187965741959262E-3</v>
      </c>
      <c r="AF16" s="262">
        <v>2.1138790769562578E-2</v>
      </c>
      <c r="AH16" s="529">
        <v>45</v>
      </c>
      <c r="AI16" s="263">
        <v>601.74074200660823</v>
      </c>
      <c r="AJ16" s="262">
        <v>0.51662198658431602</v>
      </c>
      <c r="AK16" s="262">
        <v>7.3114241071555886E-3</v>
      </c>
      <c r="AL16" s="262">
        <v>6.7264919278151643E-3</v>
      </c>
      <c r="AM16" s="262">
        <v>5.0167908862462111E-3</v>
      </c>
      <c r="AN16" s="262">
        <v>2.1038081669699255E-2</v>
      </c>
    </row>
    <row r="17" spans="1:40" ht="14.25" customHeight="1">
      <c r="B17" s="529">
        <v>50</v>
      </c>
      <c r="C17" s="263">
        <v>635.71053474179973</v>
      </c>
      <c r="D17" s="262">
        <v>5.6375084299774292</v>
      </c>
      <c r="E17" s="262">
        <v>0.23100663699968235</v>
      </c>
      <c r="F17" s="262">
        <v>0.21252543623033412</v>
      </c>
      <c r="G17" s="262">
        <v>5.5632636987513907E-3</v>
      </c>
      <c r="H17" s="262">
        <v>0.3274163408955979</v>
      </c>
      <c r="J17" s="529">
        <v>50</v>
      </c>
      <c r="K17" s="263">
        <v>628.87415212200392</v>
      </c>
      <c r="L17" s="262">
        <v>4.4059491888469591</v>
      </c>
      <c r="M17" s="262">
        <v>0.17309335167820156</v>
      </c>
      <c r="N17" s="262">
        <v>0.15924538677227812</v>
      </c>
      <c r="O17" s="262">
        <v>5.4669287726996484E-3</v>
      </c>
      <c r="P17" s="262">
        <v>0.27869920312396934</v>
      </c>
      <c r="R17" s="529">
        <v>50</v>
      </c>
      <c r="S17" s="263">
        <v>605.21518356569197</v>
      </c>
      <c r="T17" s="262">
        <v>1.6276336705552452</v>
      </c>
      <c r="U17" s="262">
        <v>5.8190911670305434E-2</v>
      </c>
      <c r="V17" s="262">
        <v>5.3535476462134315E-2</v>
      </c>
      <c r="W17" s="262">
        <v>5.1380426711177358E-3</v>
      </c>
      <c r="X17" s="262">
        <v>0.11303596111435063</v>
      </c>
      <c r="Z17" s="529">
        <v>50</v>
      </c>
      <c r="AA17" s="263">
        <v>581.21993587862949</v>
      </c>
      <c r="AB17" s="262">
        <v>0.5076109410954569</v>
      </c>
      <c r="AC17" s="262">
        <v>6.7694626857466335E-3</v>
      </c>
      <c r="AD17" s="262">
        <v>6.2278883603040791E-3</v>
      </c>
      <c r="AE17" s="262">
        <v>4.8456967985745589E-3</v>
      </c>
      <c r="AF17" s="262">
        <v>1.9363695605387591E-2</v>
      </c>
      <c r="AH17" s="529">
        <v>50</v>
      </c>
      <c r="AI17" s="263">
        <v>569.04025080896088</v>
      </c>
      <c r="AJ17" s="262">
        <v>0.48777411947206989</v>
      </c>
      <c r="AK17" s="262">
        <v>6.6576160137511338E-3</v>
      </c>
      <c r="AL17" s="262">
        <v>6.1249906843107412E-3</v>
      </c>
      <c r="AM17" s="262">
        <v>4.744151822852722E-3</v>
      </c>
      <c r="AN17" s="262">
        <v>1.9274459115319661E-2</v>
      </c>
    </row>
    <row r="18" spans="1:40" ht="14.25" customHeight="1">
      <c r="B18" s="529">
        <v>55</v>
      </c>
      <c r="C18" s="263">
        <v>604.31373654642243</v>
      </c>
      <c r="D18" s="262">
        <v>5.3886431416556588</v>
      </c>
      <c r="E18" s="262">
        <v>0.20675572830875716</v>
      </c>
      <c r="F18" s="262">
        <v>0.19021461585972196</v>
      </c>
      <c r="G18" s="262">
        <v>5.2886497531641824E-3</v>
      </c>
      <c r="H18" s="262">
        <v>0.31112264549630037</v>
      </c>
      <c r="J18" s="529">
        <v>55</v>
      </c>
      <c r="K18" s="263">
        <v>597.55653433645762</v>
      </c>
      <c r="L18" s="262">
        <v>4.2205706708163131</v>
      </c>
      <c r="M18" s="262">
        <v>0.1532972568661092</v>
      </c>
      <c r="N18" s="262">
        <v>0.14103301305834537</v>
      </c>
      <c r="O18" s="262">
        <v>5.1948942395204836E-3</v>
      </c>
      <c r="P18" s="262">
        <v>0.26441155196798394</v>
      </c>
      <c r="R18" s="529">
        <v>55</v>
      </c>
      <c r="S18" s="263">
        <v>574.21515929314262</v>
      </c>
      <c r="T18" s="262">
        <v>1.5644091443729475</v>
      </c>
      <c r="U18" s="262">
        <v>5.2319739982786079E-2</v>
      </c>
      <c r="V18" s="262">
        <v>4.8133995519169706E-2</v>
      </c>
      <c r="W18" s="262">
        <v>4.8750838736117096E-3</v>
      </c>
      <c r="X18" s="262">
        <v>0.10594696946622356</v>
      </c>
      <c r="Z18" s="529">
        <v>55</v>
      </c>
      <c r="AA18" s="263">
        <v>550.55834640995033</v>
      </c>
      <c r="AB18" s="262">
        <v>0.4827382778148005</v>
      </c>
      <c r="AC18" s="262">
        <v>6.0571136719156501E-3</v>
      </c>
      <c r="AD18" s="262">
        <v>5.5725232776885148E-3</v>
      </c>
      <c r="AE18" s="262">
        <v>4.590069055754392E-3</v>
      </c>
      <c r="AF18" s="262">
        <v>1.789822811711457E-2</v>
      </c>
      <c r="AH18" s="529">
        <v>55</v>
      </c>
      <c r="AI18" s="263">
        <v>538.65750211284853</v>
      </c>
      <c r="AJ18" s="262">
        <v>0.46355149360193193</v>
      </c>
      <c r="AK18" s="262">
        <v>5.9568155819790386E-3</v>
      </c>
      <c r="AL18" s="262">
        <v>5.4802477637666269E-3</v>
      </c>
      <c r="AM18" s="262">
        <v>4.4908498424657255E-3</v>
      </c>
      <c r="AN18" s="262">
        <v>1.7817930100605825E-2</v>
      </c>
    </row>
    <row r="19" spans="1:40" ht="14.25" customHeight="1">
      <c r="B19" s="529">
        <v>60</v>
      </c>
      <c r="C19" s="263">
        <v>588.9715493725181</v>
      </c>
      <c r="D19" s="262">
        <v>5.2680917680864265</v>
      </c>
      <c r="E19" s="262">
        <v>0.1921668698590607</v>
      </c>
      <c r="F19" s="262">
        <v>0.17679296241746439</v>
      </c>
      <c r="G19" s="262">
        <v>5.1539596097427229E-3</v>
      </c>
      <c r="H19" s="262">
        <v>0.29319578795994233</v>
      </c>
      <c r="J19" s="529">
        <v>60</v>
      </c>
      <c r="K19" s="263">
        <v>583.1794401291869</v>
      </c>
      <c r="L19" s="262">
        <v>4.1311311000176838</v>
      </c>
      <c r="M19" s="262">
        <v>0.14169148309719568</v>
      </c>
      <c r="N19" s="262">
        <v>0.13035575006036959</v>
      </c>
      <c r="O19" s="262">
        <v>5.0692611931158369E-3</v>
      </c>
      <c r="P19" s="262">
        <v>0.24887440339361677</v>
      </c>
      <c r="R19" s="529">
        <v>60</v>
      </c>
      <c r="S19" s="263">
        <v>563.09259682316838</v>
      </c>
      <c r="T19" s="262">
        <v>1.5344484072899609</v>
      </c>
      <c r="U19" s="262">
        <v>4.8615172537298967E-2</v>
      </c>
      <c r="V19" s="262">
        <v>4.4725815134663616E-2</v>
      </c>
      <c r="W19" s="262">
        <v>4.7799763661685217E-3</v>
      </c>
      <c r="X19" s="262">
        <v>9.8757979933232307E-2</v>
      </c>
      <c r="Z19" s="529">
        <v>60</v>
      </c>
      <c r="AA19" s="263">
        <v>542.70425113554813</v>
      </c>
      <c r="AB19" s="262">
        <v>0.47487016028213763</v>
      </c>
      <c r="AC19" s="262">
        <v>5.6586056823782057E-3</v>
      </c>
      <c r="AD19" s="262">
        <v>5.205898418001096E-3</v>
      </c>
      <c r="AE19" s="262">
        <v>4.5245916051264209E-3</v>
      </c>
      <c r="AF19" s="262">
        <v>1.6463814325810892E-2</v>
      </c>
      <c r="AH19" s="529">
        <v>60</v>
      </c>
      <c r="AI19" s="263">
        <v>532.18451829110302</v>
      </c>
      <c r="AJ19" s="262">
        <v>0.45757572947730785</v>
      </c>
      <c r="AK19" s="262">
        <v>5.5722561195462568E-3</v>
      </c>
      <c r="AL19" s="262">
        <v>5.126456497237075E-3</v>
      </c>
      <c r="AM19" s="262">
        <v>4.4368867607009798E-3</v>
      </c>
      <c r="AN19" s="262">
        <v>1.6386542747157694E-2</v>
      </c>
    </row>
    <row r="20" spans="1:40" ht="14.25" customHeight="1">
      <c r="B20" s="529">
        <v>65</v>
      </c>
      <c r="C20" s="263">
        <v>620.35787865423242</v>
      </c>
      <c r="D20" s="262">
        <v>5.6432209423773099</v>
      </c>
      <c r="E20" s="262">
        <v>0.19552427758049626</v>
      </c>
      <c r="F20" s="262">
        <v>0.17988174609490654</v>
      </c>
      <c r="G20" s="262">
        <v>5.4289408299448439E-3</v>
      </c>
      <c r="H20" s="262">
        <v>0.27587828978205126</v>
      </c>
      <c r="J20" s="529">
        <v>65</v>
      </c>
      <c r="K20" s="263">
        <v>613.68636115904633</v>
      </c>
      <c r="L20" s="262">
        <v>4.4097102703977074</v>
      </c>
      <c r="M20" s="262">
        <v>0.14487656281186972</v>
      </c>
      <c r="N20" s="262">
        <v>0.13328600672426644</v>
      </c>
      <c r="O20" s="262">
        <v>5.3349174066228766E-3</v>
      </c>
      <c r="P20" s="262">
        <v>0.23393282466643145</v>
      </c>
      <c r="R20" s="529">
        <v>65</v>
      </c>
      <c r="S20" s="263">
        <v>590.6512642829631</v>
      </c>
      <c r="T20" s="262">
        <v>1.5978185291732481</v>
      </c>
      <c r="U20" s="262">
        <v>4.866743751523641E-2</v>
      </c>
      <c r="V20" s="262">
        <v>4.4773896709234554E-2</v>
      </c>
      <c r="W20" s="262">
        <v>5.0143997958061268E-3</v>
      </c>
      <c r="X20" s="262">
        <v>9.1958592228981728E-2</v>
      </c>
      <c r="Z20" s="529">
        <v>65</v>
      </c>
      <c r="AA20" s="263">
        <v>567.30867072074511</v>
      </c>
      <c r="AB20" s="262">
        <v>0.48745613731443732</v>
      </c>
      <c r="AC20" s="262">
        <v>5.6281796480048187E-3</v>
      </c>
      <c r="AD20" s="262">
        <v>5.1779043372540126E-3</v>
      </c>
      <c r="AE20" s="262">
        <v>4.7297249355676193E-3</v>
      </c>
      <c r="AF20" s="262">
        <v>1.5133387803460534E-2</v>
      </c>
      <c r="AH20" s="529">
        <v>65</v>
      </c>
      <c r="AI20" s="263">
        <v>555.52311288156773</v>
      </c>
      <c r="AJ20" s="262">
        <v>0.46936641137806523</v>
      </c>
      <c r="AK20" s="262">
        <v>5.5341467340176229E-3</v>
      </c>
      <c r="AL20" s="262">
        <v>5.0913938086464766E-3</v>
      </c>
      <c r="AM20" s="262">
        <v>4.6314687530074382E-3</v>
      </c>
      <c r="AN20" s="262">
        <v>1.5062206789040005E-2</v>
      </c>
    </row>
    <row r="21" spans="1:40" ht="14.25" customHeight="1">
      <c r="B21" s="529">
        <v>70</v>
      </c>
      <c r="C21" s="263">
        <v>648.45671023091791</v>
      </c>
      <c r="D21" s="262">
        <v>5.9809567496300575</v>
      </c>
      <c r="E21" s="262">
        <v>0.19832456325023076</v>
      </c>
      <c r="F21" s="262">
        <v>0.18245802815128542</v>
      </c>
      <c r="G21" s="262">
        <v>5.6751069170141097E-3</v>
      </c>
      <c r="H21" s="262">
        <v>0.26098937121024635</v>
      </c>
      <c r="J21" s="529">
        <v>70</v>
      </c>
      <c r="K21" s="263">
        <v>641.01620904860806</v>
      </c>
      <c r="L21" s="262">
        <v>4.6604114180400575</v>
      </c>
      <c r="M21" s="262">
        <v>0.14755703790222197</v>
      </c>
      <c r="N21" s="262">
        <v>0.13575203633292615</v>
      </c>
      <c r="O21" s="262">
        <v>5.5728892745513809E-3</v>
      </c>
      <c r="P21" s="262">
        <v>0.22108621233248021</v>
      </c>
      <c r="R21" s="529">
        <v>70</v>
      </c>
      <c r="S21" s="263">
        <v>615.40187820311394</v>
      </c>
      <c r="T21" s="262">
        <v>1.6546297158985821</v>
      </c>
      <c r="U21" s="262">
        <v>4.8678119686589791E-2</v>
      </c>
      <c r="V21" s="262">
        <v>4.4783727433945431E-2</v>
      </c>
      <c r="W21" s="262">
        <v>5.2249147566110375E-3</v>
      </c>
      <c r="X21" s="262">
        <v>8.6099843370667936E-2</v>
      </c>
      <c r="Z21" s="529">
        <v>70</v>
      </c>
      <c r="AA21" s="263">
        <v>589.47421793783747</v>
      </c>
      <c r="AB21" s="262">
        <v>0.49896513553516386</v>
      </c>
      <c r="AC21" s="262">
        <v>5.5977994784517258E-3</v>
      </c>
      <c r="AD21" s="262">
        <v>5.1499550679563241E-3</v>
      </c>
      <c r="AE21" s="262">
        <v>4.9145184666192386E-3</v>
      </c>
      <c r="AF21" s="262">
        <v>1.3983764358976412E-2</v>
      </c>
      <c r="AH21" s="529">
        <v>70</v>
      </c>
      <c r="AI21" s="263">
        <v>576.57535100752182</v>
      </c>
      <c r="AJ21" s="262">
        <v>0.48014364463667553</v>
      </c>
      <c r="AK21" s="262">
        <v>5.4971889814271696E-3</v>
      </c>
      <c r="AL21" s="262">
        <v>5.0573931976912378E-3</v>
      </c>
      <c r="AM21" s="262">
        <v>4.8069789967661028E-3</v>
      </c>
      <c r="AN21" s="262">
        <v>1.391786699288431E-2</v>
      </c>
    </row>
    <row r="22" spans="1:40" ht="14.25" customHeight="1">
      <c r="B22" s="529">
        <v>75</v>
      </c>
      <c r="C22" s="263">
        <v>689.26517182011548</v>
      </c>
      <c r="D22" s="262">
        <v>6.4132604241791604</v>
      </c>
      <c r="E22" s="262">
        <v>0.20634728114894235</v>
      </c>
      <c r="F22" s="262">
        <v>0.18983893133249227</v>
      </c>
      <c r="G22" s="262">
        <v>6.0324187398955662E-3</v>
      </c>
      <c r="H22" s="262">
        <v>0.25005744144155234</v>
      </c>
      <c r="J22" s="529">
        <v>75</v>
      </c>
      <c r="K22" s="263">
        <v>681.06512091236539</v>
      </c>
      <c r="L22" s="262">
        <v>4.983009586831721</v>
      </c>
      <c r="M22" s="262">
        <v>0.15425395245303283</v>
      </c>
      <c r="N22" s="262">
        <v>0.14191320616256178</v>
      </c>
      <c r="O22" s="262">
        <v>5.9213112643544249E-3</v>
      </c>
      <c r="P22" s="262">
        <v>0.21156183131895342</v>
      </c>
      <c r="R22" s="529">
        <v>75</v>
      </c>
      <c r="S22" s="263">
        <v>652.88876204336714</v>
      </c>
      <c r="T22" s="262">
        <v>1.7352150318423083</v>
      </c>
      <c r="U22" s="262">
        <v>4.9601812595351187E-2</v>
      </c>
      <c r="V22" s="262">
        <v>4.5633521146937008E-2</v>
      </c>
      <c r="W22" s="262">
        <v>5.5434327972057589E-3</v>
      </c>
      <c r="X22" s="262">
        <v>8.1416952540166412E-2</v>
      </c>
      <c r="Z22" s="529">
        <v>75</v>
      </c>
      <c r="AA22" s="263">
        <v>624.38760071415902</v>
      </c>
      <c r="AB22" s="262">
        <v>0.51918506481113791</v>
      </c>
      <c r="AC22" s="262">
        <v>5.6752551576092465E-3</v>
      </c>
      <c r="AD22" s="262">
        <v>5.2212130920510687E-3</v>
      </c>
      <c r="AE22" s="262">
        <v>5.2055948256184382E-3</v>
      </c>
      <c r="AF22" s="262">
        <v>1.2992285601344054E-2</v>
      </c>
      <c r="AH22" s="529">
        <v>75</v>
      </c>
      <c r="AI22" s="263">
        <v>610.31881910754703</v>
      </c>
      <c r="AJ22" s="262">
        <v>0.49955194921142471</v>
      </c>
      <c r="AK22" s="262">
        <v>5.5662672290758648E-3</v>
      </c>
      <c r="AL22" s="262">
        <v>5.1209433370404912E-3</v>
      </c>
      <c r="AM22" s="262">
        <v>5.0883022915748262E-3</v>
      </c>
      <c r="AN22" s="262">
        <v>1.292911001045494E-2</v>
      </c>
    </row>
    <row r="24" spans="1:40" s="22" customFormat="1" ht="10.5">
      <c r="A24" s="84" t="s">
        <v>740</v>
      </c>
      <c r="B24" s="21"/>
      <c r="D24" s="94"/>
      <c r="E24" s="94"/>
      <c r="F24" s="94"/>
      <c r="G24" s="94"/>
      <c r="H24" s="94"/>
      <c r="I24" s="95"/>
      <c r="J24" s="95"/>
    </row>
    <row r="25" spans="1:40" s="22" customFormat="1" ht="10.5">
      <c r="B25" s="21"/>
      <c r="C25" s="84"/>
      <c r="D25" s="94"/>
      <c r="E25" s="94"/>
      <c r="F25" s="94"/>
      <c r="G25" s="94"/>
      <c r="H25" s="94"/>
      <c r="I25" s="95"/>
      <c r="J25" s="95"/>
    </row>
    <row r="26" spans="1:40" s="448" customFormat="1">
      <c r="A26" s="530" t="s">
        <v>739</v>
      </c>
      <c r="J26"/>
      <c r="K26"/>
      <c r="L26"/>
      <c r="M26"/>
      <c r="N26"/>
      <c r="O26"/>
      <c r="P26"/>
      <c r="Q26"/>
      <c r="R26"/>
      <c r="S26"/>
      <c r="T26"/>
      <c r="U26"/>
      <c r="V26"/>
      <c r="W26"/>
      <c r="X26"/>
      <c r="Y26"/>
      <c r="Z26"/>
      <c r="AA26"/>
      <c r="AB26"/>
      <c r="AC26"/>
    </row>
    <row r="27" spans="1:40" s="448" customFormat="1" ht="10.15" customHeight="1">
      <c r="B27" s="530" t="s">
        <v>727</v>
      </c>
      <c r="C27" s="150"/>
      <c r="D27" s="531">
        <v>2.5</v>
      </c>
      <c r="E27" s="150"/>
      <c r="J27"/>
      <c r="K27"/>
      <c r="L27"/>
      <c r="M27"/>
      <c r="N27"/>
      <c r="O27"/>
      <c r="P27"/>
      <c r="Q27"/>
      <c r="R27"/>
      <c r="S27"/>
      <c r="T27"/>
      <c r="U27"/>
      <c r="V27"/>
      <c r="W27"/>
      <c r="X27"/>
      <c r="Y27"/>
      <c r="Z27"/>
      <c r="AA27"/>
      <c r="AB27"/>
      <c r="AC27"/>
    </row>
    <row r="28" spans="1:40" s="448" customFormat="1" ht="10.15" customHeight="1">
      <c r="B28" s="530" t="s">
        <v>728</v>
      </c>
      <c r="C28" s="150"/>
      <c r="D28" s="150"/>
      <c r="E28" s="1464" t="s">
        <v>729</v>
      </c>
      <c r="F28" s="1464"/>
      <c r="G28" s="1464"/>
      <c r="H28" s="1464"/>
      <c r="I28" s="1464"/>
      <c r="J28"/>
      <c r="K28"/>
      <c r="L28"/>
      <c r="M28"/>
      <c r="N28"/>
      <c r="O28"/>
      <c r="P28"/>
      <c r="Q28"/>
      <c r="R28"/>
      <c r="S28"/>
      <c r="T28"/>
      <c r="U28"/>
      <c r="V28"/>
      <c r="W28"/>
      <c r="X28"/>
      <c r="Y28"/>
      <c r="Z28"/>
      <c r="AA28"/>
      <c r="AB28"/>
      <c r="AC28"/>
    </row>
    <row r="29" spans="1:40" s="448" customFormat="1" ht="10.15" customHeight="1">
      <c r="E29" s="1464"/>
      <c r="F29" s="1464"/>
      <c r="G29" s="1464"/>
      <c r="H29" s="1464"/>
      <c r="I29" s="1464"/>
      <c r="J29"/>
      <c r="K29"/>
      <c r="L29"/>
      <c r="M29"/>
      <c r="N29"/>
      <c r="O29"/>
      <c r="P29"/>
      <c r="Q29"/>
      <c r="R29"/>
      <c r="S29"/>
      <c r="T29"/>
      <c r="U29"/>
      <c r="V29"/>
      <c r="W29"/>
      <c r="X29"/>
      <c r="Y29"/>
      <c r="Z29"/>
      <c r="AA29"/>
      <c r="AB29"/>
      <c r="AC29"/>
    </row>
    <row r="30" spans="1:40" s="448" customFormat="1" ht="10.15" customHeight="1">
      <c r="J30"/>
      <c r="K30"/>
      <c r="L30"/>
      <c r="M30"/>
      <c r="N30"/>
      <c r="O30"/>
      <c r="P30"/>
      <c r="Q30"/>
      <c r="R30"/>
      <c r="S30"/>
      <c r="T30"/>
      <c r="U30"/>
      <c r="V30"/>
      <c r="W30"/>
      <c r="X30"/>
      <c r="Y30"/>
      <c r="Z30"/>
      <c r="AA30"/>
      <c r="AB30"/>
      <c r="AC30"/>
    </row>
    <row r="31" spans="1:40">
      <c r="B31" s="532"/>
      <c r="C31" s="532" t="s">
        <v>477</v>
      </c>
      <c r="D31" s="532" t="s">
        <v>476</v>
      </c>
      <c r="E31" s="532" t="s">
        <v>724</v>
      </c>
      <c r="F31" s="532" t="s">
        <v>480</v>
      </c>
      <c r="G31" s="532" t="s">
        <v>725</v>
      </c>
      <c r="H31" s="532" t="s">
        <v>475</v>
      </c>
      <c r="J31"/>
      <c r="K31"/>
      <c r="L31"/>
      <c r="M31"/>
      <c r="N31"/>
      <c r="O31"/>
      <c r="P31"/>
      <c r="Q31"/>
      <c r="R31"/>
      <c r="S31"/>
      <c r="T31"/>
      <c r="U31"/>
      <c r="V31"/>
      <c r="W31"/>
      <c r="X31"/>
      <c r="Y31"/>
      <c r="Z31"/>
      <c r="AA31"/>
      <c r="AB31"/>
      <c r="AC31"/>
    </row>
    <row r="32" spans="1:40">
      <c r="B32" s="533">
        <v>2017</v>
      </c>
      <c r="C32" s="534">
        <f t="shared" ref="C32:H32" si="0">INDEX($B$6:$H$22,MATCH($D$27,$B$6:$B$22,0),MATCH(C$31,$B$6:$H$6,0))*$D$27</f>
        <v>9985.1976923788698</v>
      </c>
      <c r="D32" s="534">
        <f t="shared" si="0"/>
        <v>98.919215566448585</v>
      </c>
      <c r="E32" s="535">
        <f t="shared" si="0"/>
        <v>3.7719920350448923</v>
      </c>
      <c r="F32" s="535">
        <f t="shared" si="0"/>
        <v>3.4702214191202003</v>
      </c>
      <c r="G32" s="535">
        <f t="shared" si="0"/>
        <v>8.7362579539448204E-2</v>
      </c>
      <c r="H32" s="535">
        <f t="shared" si="0"/>
        <v>9.2571414655615172</v>
      </c>
      <c r="J32"/>
      <c r="K32"/>
      <c r="L32"/>
      <c r="M32"/>
      <c r="N32"/>
      <c r="O32"/>
      <c r="P32"/>
      <c r="Q32"/>
      <c r="R32"/>
      <c r="S32"/>
      <c r="T32"/>
      <c r="U32"/>
      <c r="V32"/>
      <c r="W32"/>
      <c r="X32"/>
      <c r="Y32"/>
      <c r="Z32"/>
      <c r="AA32"/>
      <c r="AB32"/>
      <c r="AC32"/>
    </row>
    <row r="33" spans="2:29" ht="15" customHeight="1">
      <c r="B33" s="96">
        <v>2020</v>
      </c>
      <c r="C33" s="536">
        <f t="shared" ref="C33:H33" si="1">INDEX($J$6:$P$22,MATCH($D$27,$J$6:$J$22,0),MATCH(C$31,$J$6:$P$6,0))*$D$27</f>
        <v>9910.5943605976699</v>
      </c>
      <c r="D33" s="536">
        <f t="shared" si="1"/>
        <v>78.109825771422095</v>
      </c>
      <c r="E33" s="537">
        <f t="shared" si="1"/>
        <v>3.1270122918630716</v>
      </c>
      <c r="F33" s="537">
        <f t="shared" si="1"/>
        <v>2.8768418614016489</v>
      </c>
      <c r="G33" s="537">
        <f t="shared" si="1"/>
        <v>8.6127133282359589E-2</v>
      </c>
      <c r="H33" s="537">
        <f t="shared" si="1"/>
        <v>7.9530601864380142</v>
      </c>
      <c r="J33"/>
      <c r="K33"/>
      <c r="L33"/>
      <c r="M33"/>
      <c r="N33"/>
      <c r="O33"/>
      <c r="P33"/>
      <c r="Q33"/>
      <c r="R33"/>
      <c r="S33"/>
      <c r="T33"/>
      <c r="U33"/>
      <c r="V33"/>
      <c r="W33"/>
      <c r="X33"/>
      <c r="Y33"/>
      <c r="Z33"/>
      <c r="AA33"/>
      <c r="AB33"/>
      <c r="AC33"/>
    </row>
    <row r="34" spans="2:29">
      <c r="B34" s="96">
        <v>2030</v>
      </c>
      <c r="C34" s="536">
        <f t="shared" ref="C34:H34" si="2">INDEX($R$6:$X$22,MATCH($D$27,$R$6:$R$22,0),MATCH(C$31,$R$6:$X$6,0))*$D$27</f>
        <v>9640.3781355580904</v>
      </c>
      <c r="D34" s="536">
        <f t="shared" si="2"/>
        <v>30.777509091121477</v>
      </c>
      <c r="E34" s="537">
        <f t="shared" si="2"/>
        <v>1.0915857553482053</v>
      </c>
      <c r="F34" s="537">
        <f t="shared" si="2"/>
        <v>1.0042553981991418</v>
      </c>
      <c r="G34" s="537">
        <f t="shared" si="2"/>
        <v>8.1816860019311932E-2</v>
      </c>
      <c r="H34" s="537">
        <f t="shared" si="2"/>
        <v>3.4995963748904932</v>
      </c>
      <c r="J34"/>
      <c r="K34"/>
      <c r="L34"/>
      <c r="M34"/>
      <c r="N34"/>
      <c r="O34"/>
      <c r="P34"/>
      <c r="Q34"/>
      <c r="R34"/>
      <c r="S34"/>
      <c r="T34"/>
      <c r="U34"/>
      <c r="V34"/>
      <c r="W34"/>
      <c r="X34"/>
      <c r="Y34"/>
      <c r="Z34"/>
      <c r="AA34"/>
      <c r="AB34"/>
      <c r="AC34"/>
    </row>
    <row r="35" spans="2:29">
      <c r="B35" s="96">
        <v>2040</v>
      </c>
      <c r="C35" s="536">
        <f t="shared" ref="C35:H35" si="3">INDEX($Z$6:$AF$22,MATCH($D$27,$Z$6:$Z$22,0),MATCH(C$31,$Z$6:$AF$6,0))*$D$27</f>
        <v>9361.8154002774081</v>
      </c>
      <c r="D35" s="536">
        <f t="shared" si="3"/>
        <v>10.158250059091273</v>
      </c>
      <c r="E35" s="537">
        <f t="shared" si="3"/>
        <v>0.1298848829878072</v>
      </c>
      <c r="F35" s="537">
        <f t="shared" si="3"/>
        <v>0.1194936188779048</v>
      </c>
      <c r="G35" s="537">
        <f t="shared" si="3"/>
        <v>7.8050608492283555E-2</v>
      </c>
      <c r="H35" s="537">
        <f t="shared" si="3"/>
        <v>0.66150832710967866</v>
      </c>
    </row>
    <row r="36" spans="2:29" ht="14.5" thickBot="1">
      <c r="B36" s="538">
        <v>2050</v>
      </c>
      <c r="C36" s="539">
        <f t="shared" ref="C36:H36" si="4">INDEX($AH$6:$AN$22,MATCH($D$27,$AH$6:$AH$22,0),MATCH(C$31,$AH$6:$AN$6,0))*$D$27</f>
        <v>9204.3413020718453</v>
      </c>
      <c r="D36" s="539">
        <f t="shared" si="4"/>
        <v>9.7659287078966965</v>
      </c>
      <c r="E36" s="539">
        <f t="shared" si="4"/>
        <v>0.12821857975194975</v>
      </c>
      <c r="F36" s="540">
        <f t="shared" si="4"/>
        <v>0.1179605967650607</v>
      </c>
      <c r="G36" s="540">
        <f t="shared" si="4"/>
        <v>7.6737729893554124E-2</v>
      </c>
      <c r="H36" s="540">
        <f t="shared" si="4"/>
        <v>0.65819159750976841</v>
      </c>
      <c r="J36"/>
      <c r="K36"/>
      <c r="L36"/>
      <c r="M36"/>
      <c r="N36"/>
      <c r="O36"/>
      <c r="P36"/>
      <c r="Q36"/>
      <c r="R36"/>
      <c r="S36"/>
      <c r="T36"/>
      <c r="U36"/>
      <c r="V36"/>
      <c r="W36"/>
      <c r="X36"/>
      <c r="Y36"/>
      <c r="Z36"/>
      <c r="AA36"/>
      <c r="AB36"/>
      <c r="AC36"/>
    </row>
    <row r="37" spans="2:29" ht="14.5" thickTop="1">
      <c r="B37" s="96">
        <v>2017</v>
      </c>
      <c r="C37" s="536">
        <f>IF($B37&lt;=$B$36,IF($B37&lt;=$B$33,TREND(C$32:C$33,$B$32:$B$33,$B37),IF($B37&lt;=$B$34,TREND(C$33:C$34,$B$33:$B$34,$B37),IF($B37&lt;=$B$35,TREND(C$34:C$35,$B$34:$B$35,$B37),TREND(C$35:C$36,$B$35:$B$36,$B37)))),C36)</f>
        <v>9985.1976923788679</v>
      </c>
      <c r="D37" s="536">
        <f t="shared" ref="D37:H37" si="5">IF($B37&lt;=$B$36,IF($B37&lt;=$B$33,TREND(D$32:D$33,$B$32:$B$33,$B37),IF($B37&lt;=$B$34,TREND(D$33:D$34,$B$33:$B$34,$B37),IF($B37&lt;=$B$35,TREND(D$34:D$35,$B$34:$B$35,$B37),TREND(D$35:D$36,$B$35:$B$36,$B37)))),D36)</f>
        <v>98.919215566447747</v>
      </c>
      <c r="E37" s="536">
        <f t="shared" si="5"/>
        <v>3.7719920350448888</v>
      </c>
      <c r="F37" s="536">
        <f t="shared" si="5"/>
        <v>3.4702214191202074</v>
      </c>
      <c r="G37" s="536">
        <f t="shared" si="5"/>
        <v>8.736257953944826E-2</v>
      </c>
      <c r="H37" s="537">
        <f t="shared" si="5"/>
        <v>9.2571414655615172</v>
      </c>
      <c r="J37"/>
      <c r="K37"/>
      <c r="L37"/>
      <c r="M37"/>
      <c r="N37"/>
      <c r="O37"/>
      <c r="P37"/>
      <c r="Q37"/>
      <c r="R37"/>
      <c r="S37"/>
      <c r="T37"/>
      <c r="U37"/>
      <c r="V37"/>
      <c r="W37"/>
      <c r="X37"/>
      <c r="Y37"/>
      <c r="Z37"/>
      <c r="AA37"/>
      <c r="AB37"/>
      <c r="AC37"/>
    </row>
    <row r="38" spans="2:29">
      <c r="B38" s="96">
        <v>2018</v>
      </c>
      <c r="C38" s="536">
        <f t="shared" ref="C38:C50" si="6">IF($B38&lt;=$B$36,IF($B38&lt;=$B$33,TREND(C$32:C$33,$B$32:$B$33,$B38),IF($B38&lt;=$B$34,TREND(C$33:C$34,$B$33:$B$34,$B38),IF($B38&lt;=$B$35,TREND(C$34:C$35,$B$34:$B$35,$B38),TREND(C$35:C$36,$B$35:$B$36,$B38)))),C37)</f>
        <v>9960.3299151184692</v>
      </c>
      <c r="D38" s="536">
        <f t="shared" ref="D38:D50" si="7">IF($B38&lt;=$B$36,IF($B38&lt;=$B$33,TREND(D$32:D$33,$B$32:$B$33,$B38),IF($B38&lt;=$B$34,TREND(D$33:D$34,$B$33:$B$34,$B38),IF($B38&lt;=$B$35,TREND(D$34:D$35,$B$34:$B$35,$B38),TREND(D$35:D$36,$B$35:$B$36,$B38)))),D37)</f>
        <v>91.982752301439177</v>
      </c>
      <c r="E38" s="536">
        <f t="shared" ref="E38:E50" si="8">IF($B38&lt;=$B$36,IF($B38&lt;=$B$33,TREND(E$32:E$33,$B$32:$B$33,$B38),IF($B38&lt;=$B$34,TREND(E$33:E$34,$B$33:$B$34,$B38),IF($B38&lt;=$B$35,TREND(E$34:E$35,$B$34:$B$35,$B38),TREND(E$35:E$36,$B$35:$B$36,$B38)))),E37)</f>
        <v>3.5569987873175819</v>
      </c>
      <c r="F38" s="536">
        <f t="shared" ref="F38:F50" si="9">IF($B38&lt;=$B$36,IF($B38&lt;=$B$33,TREND(F$32:F$33,$B$32:$B$33,$B38),IF($B38&lt;=$B$34,TREND(F$33:F$34,$B$33:$B$34,$B38),IF($B38&lt;=$B$35,TREND(F$34:F$35,$B$34:$B$35,$B38),TREND(F$35:F$36,$B$35:$B$36,$B38)))),F37)</f>
        <v>3.2724282332139865</v>
      </c>
      <c r="G38" s="536">
        <f t="shared" ref="G38:G50" si="10">IF($B38&lt;=$B$36,IF($B38&lt;=$B$33,TREND(G$32:G$33,$B$32:$B$33,$B38),IF($B38&lt;=$B$34,TREND(G$33:G$34,$B$33:$B$34,$B38),IF($B38&lt;=$B$35,TREND(G$34:G$35,$B$34:$B$35,$B38),TREND(G$35:G$36,$B$35:$B$36,$B38)))),G37)</f>
        <v>8.6950764120418689E-2</v>
      </c>
      <c r="H38" s="537">
        <f t="shared" ref="H38:H72" si="11">IF($B38&lt;=$B$36,IF($B38&lt;=$B$33,TREND(H$32:H$33,$B$32:$B$33,$B38),IF($B38&lt;=$B$34,TREND(H$33:H$34,$B$33:$B$34,$B38),IF($B38&lt;=$B$35,TREND(H$34:H$35,$B$34:$B$35,$B38),TREND(H$35:H$36,$B$35:$B$36,$B38)))),H37)</f>
        <v>8.8224477058536195</v>
      </c>
      <c r="J38"/>
      <c r="K38"/>
      <c r="L38"/>
      <c r="M38"/>
      <c r="N38"/>
      <c r="O38"/>
      <c r="P38"/>
      <c r="Q38"/>
      <c r="R38"/>
      <c r="S38"/>
      <c r="T38"/>
      <c r="U38"/>
      <c r="V38"/>
      <c r="W38"/>
      <c r="X38"/>
      <c r="Y38"/>
      <c r="Z38"/>
      <c r="AA38"/>
      <c r="AB38"/>
      <c r="AC38"/>
    </row>
    <row r="39" spans="2:29">
      <c r="B39" s="96">
        <v>2019</v>
      </c>
      <c r="C39" s="536">
        <f t="shared" si="6"/>
        <v>9935.4621378580705</v>
      </c>
      <c r="D39" s="536">
        <f t="shared" si="7"/>
        <v>85.046289036430608</v>
      </c>
      <c r="E39" s="536">
        <f t="shared" si="8"/>
        <v>3.3420055395903319</v>
      </c>
      <c r="F39" s="536">
        <f t="shared" si="9"/>
        <v>3.0746350473078223</v>
      </c>
      <c r="G39" s="536">
        <f t="shared" si="10"/>
        <v>8.6538948701389229E-2</v>
      </c>
      <c r="H39" s="537">
        <f t="shared" si="11"/>
        <v>8.3877539461458355</v>
      </c>
      <c r="J39"/>
      <c r="K39"/>
      <c r="L39"/>
      <c r="M39"/>
      <c r="N39"/>
      <c r="O39"/>
      <c r="P39"/>
      <c r="Q39"/>
      <c r="R39"/>
      <c r="S39"/>
      <c r="T39"/>
      <c r="U39"/>
      <c r="V39"/>
      <c r="W39"/>
      <c r="X39"/>
      <c r="Y39"/>
      <c r="Z39"/>
      <c r="AA39"/>
      <c r="AB39"/>
      <c r="AC39"/>
    </row>
    <row r="40" spans="2:29">
      <c r="B40" s="96">
        <v>2020</v>
      </c>
      <c r="C40" s="536">
        <f t="shared" si="6"/>
        <v>9910.5943605976718</v>
      </c>
      <c r="D40" s="536">
        <f t="shared" si="7"/>
        <v>78.109825771422038</v>
      </c>
      <c r="E40" s="536">
        <f t="shared" si="8"/>
        <v>3.1270122918630818</v>
      </c>
      <c r="F40" s="536">
        <f t="shared" si="9"/>
        <v>2.8768418614016582</v>
      </c>
      <c r="G40" s="536">
        <f t="shared" si="10"/>
        <v>8.6127133282359658E-2</v>
      </c>
      <c r="H40" s="537">
        <f t="shared" si="11"/>
        <v>7.9530601864379378</v>
      </c>
      <c r="J40"/>
      <c r="K40"/>
      <c r="L40"/>
      <c r="M40"/>
      <c r="N40"/>
      <c r="O40"/>
      <c r="P40"/>
      <c r="Q40"/>
      <c r="R40"/>
      <c r="S40"/>
      <c r="T40"/>
      <c r="U40"/>
      <c r="V40"/>
      <c r="W40"/>
      <c r="X40"/>
      <c r="Y40"/>
      <c r="Z40"/>
      <c r="AA40"/>
      <c r="AB40"/>
      <c r="AC40"/>
    </row>
    <row r="41" spans="2:29">
      <c r="B41" s="96">
        <v>2021</v>
      </c>
      <c r="C41" s="536">
        <f t="shared" si="6"/>
        <v>9883.5727380937024</v>
      </c>
      <c r="D41" s="536">
        <f t="shared" si="7"/>
        <v>73.376594103392563</v>
      </c>
      <c r="E41" s="536">
        <f t="shared" si="8"/>
        <v>2.923469638211543</v>
      </c>
      <c r="F41" s="536">
        <f t="shared" si="9"/>
        <v>2.6895832150813703</v>
      </c>
      <c r="G41" s="536">
        <f t="shared" si="10"/>
        <v>8.5696105956054813E-2</v>
      </c>
      <c r="H41" s="537">
        <f t="shared" si="11"/>
        <v>7.5077138052831742</v>
      </c>
      <c r="J41"/>
      <c r="K41"/>
      <c r="L41"/>
      <c r="M41"/>
      <c r="N41"/>
      <c r="O41"/>
      <c r="P41"/>
      <c r="Q41"/>
      <c r="R41"/>
      <c r="S41"/>
      <c r="T41"/>
      <c r="U41"/>
      <c r="V41"/>
      <c r="W41"/>
      <c r="X41"/>
      <c r="Y41"/>
      <c r="Z41"/>
      <c r="AA41"/>
      <c r="AB41"/>
      <c r="AC41"/>
    </row>
    <row r="42" spans="2:29">
      <c r="B42" s="96">
        <v>2022</v>
      </c>
      <c r="C42" s="536">
        <f t="shared" si="6"/>
        <v>9856.5511155897475</v>
      </c>
      <c r="D42" s="536">
        <f t="shared" si="7"/>
        <v>68.643362435361269</v>
      </c>
      <c r="E42" s="536">
        <f t="shared" si="8"/>
        <v>2.7199269845600611</v>
      </c>
      <c r="F42" s="536">
        <f t="shared" si="9"/>
        <v>2.5023245687611393</v>
      </c>
      <c r="G42" s="536">
        <f t="shared" si="10"/>
        <v>8.5265078629749969E-2</v>
      </c>
      <c r="H42" s="537">
        <f t="shared" si="11"/>
        <v>7.0623674241284107</v>
      </c>
      <c r="J42"/>
      <c r="K42"/>
      <c r="L42"/>
      <c r="M42"/>
      <c r="N42"/>
      <c r="O42"/>
      <c r="P42"/>
      <c r="Q42"/>
      <c r="R42"/>
      <c r="S42"/>
      <c r="T42"/>
      <c r="U42"/>
      <c r="V42"/>
      <c r="W42"/>
      <c r="X42"/>
      <c r="Y42"/>
      <c r="Z42"/>
      <c r="AA42"/>
      <c r="AB42"/>
      <c r="AC42"/>
    </row>
    <row r="43" spans="2:29">
      <c r="B43" s="96">
        <v>2023</v>
      </c>
      <c r="C43" s="536">
        <f t="shared" si="6"/>
        <v>9829.5294930857926</v>
      </c>
      <c r="D43" s="536">
        <f t="shared" si="7"/>
        <v>63.910130767331793</v>
      </c>
      <c r="E43" s="536">
        <f t="shared" si="8"/>
        <v>2.5163843309085792</v>
      </c>
      <c r="F43" s="536">
        <f t="shared" si="9"/>
        <v>2.3150659224409083</v>
      </c>
      <c r="G43" s="536">
        <f t="shared" si="10"/>
        <v>8.4834051303445235E-2</v>
      </c>
      <c r="H43" s="537">
        <f t="shared" si="11"/>
        <v>6.6170210429736471</v>
      </c>
      <c r="J43"/>
      <c r="K43"/>
      <c r="L43"/>
      <c r="M43"/>
      <c r="N43"/>
      <c r="O43"/>
      <c r="P43"/>
      <c r="Q43"/>
      <c r="R43"/>
      <c r="S43"/>
      <c r="T43"/>
      <c r="U43"/>
      <c r="V43"/>
      <c r="W43"/>
      <c r="X43"/>
      <c r="Y43"/>
      <c r="Z43"/>
      <c r="AA43"/>
      <c r="AB43"/>
      <c r="AC43"/>
    </row>
    <row r="44" spans="2:29">
      <c r="B44" s="96">
        <v>2024</v>
      </c>
      <c r="C44" s="536">
        <f t="shared" si="6"/>
        <v>9802.5078705818305</v>
      </c>
      <c r="D44" s="536">
        <f t="shared" si="7"/>
        <v>59.176899099302318</v>
      </c>
      <c r="E44" s="536">
        <f t="shared" si="8"/>
        <v>2.3128416772570972</v>
      </c>
      <c r="F44" s="536">
        <f t="shared" si="9"/>
        <v>2.1278072761206204</v>
      </c>
      <c r="G44" s="536">
        <f t="shared" si="10"/>
        <v>8.4403023977140501E-2</v>
      </c>
      <c r="H44" s="537">
        <f t="shared" si="11"/>
        <v>6.1716746618189973</v>
      </c>
      <c r="J44"/>
      <c r="K44"/>
      <c r="L44"/>
      <c r="M44"/>
      <c r="N44"/>
      <c r="O44"/>
      <c r="P44"/>
      <c r="Q44"/>
      <c r="R44"/>
      <c r="S44"/>
      <c r="T44"/>
      <c r="U44"/>
      <c r="V44"/>
      <c r="W44"/>
      <c r="X44"/>
      <c r="Y44"/>
      <c r="Z44"/>
      <c r="AA44"/>
      <c r="AB44"/>
      <c r="AC44"/>
    </row>
    <row r="45" spans="2:29">
      <c r="B45" s="96">
        <v>2025</v>
      </c>
      <c r="C45" s="536">
        <f t="shared" si="6"/>
        <v>9775.4862480778756</v>
      </c>
      <c r="D45" s="536">
        <f t="shared" si="7"/>
        <v>54.443667431271024</v>
      </c>
      <c r="E45" s="536">
        <f t="shared" si="8"/>
        <v>2.1092990236056153</v>
      </c>
      <c r="F45" s="536">
        <f t="shared" si="9"/>
        <v>1.9405486298003893</v>
      </c>
      <c r="G45" s="536">
        <f t="shared" si="10"/>
        <v>8.3971996650835767E-2</v>
      </c>
      <c r="H45" s="537">
        <f t="shared" si="11"/>
        <v>5.7263282806642337</v>
      </c>
      <c r="J45"/>
      <c r="K45"/>
      <c r="L45"/>
      <c r="M45"/>
      <c r="N45"/>
      <c r="O45"/>
      <c r="P45"/>
      <c r="Q45"/>
      <c r="R45"/>
      <c r="S45"/>
      <c r="T45"/>
      <c r="U45"/>
      <c r="V45"/>
      <c r="W45"/>
      <c r="X45"/>
      <c r="Y45"/>
      <c r="Z45"/>
      <c r="AA45"/>
      <c r="AB45"/>
      <c r="AC45"/>
    </row>
    <row r="46" spans="2:29">
      <c r="B46" s="96">
        <v>2026</v>
      </c>
      <c r="C46" s="536">
        <f t="shared" si="6"/>
        <v>9748.4646255739135</v>
      </c>
      <c r="D46" s="536">
        <f t="shared" si="7"/>
        <v>49.710435763241549</v>
      </c>
      <c r="E46" s="536">
        <f t="shared" si="8"/>
        <v>1.9057563699541333</v>
      </c>
      <c r="F46" s="536">
        <f t="shared" si="9"/>
        <v>1.7532899834801583</v>
      </c>
      <c r="G46" s="536">
        <f t="shared" si="10"/>
        <v>8.3540969324530923E-2</v>
      </c>
      <c r="H46" s="537">
        <f t="shared" si="11"/>
        <v>5.2809818995094702</v>
      </c>
      <c r="J46"/>
      <c r="K46"/>
      <c r="L46"/>
      <c r="M46"/>
      <c r="N46"/>
      <c r="O46"/>
      <c r="P46"/>
      <c r="Q46"/>
      <c r="R46"/>
      <c r="S46"/>
      <c r="T46"/>
      <c r="U46"/>
      <c r="V46"/>
      <c r="W46"/>
      <c r="X46"/>
      <c r="Y46"/>
      <c r="Z46"/>
      <c r="AA46"/>
      <c r="AB46"/>
      <c r="AC46"/>
    </row>
    <row r="47" spans="2:29">
      <c r="B47" s="96">
        <v>2027</v>
      </c>
      <c r="C47" s="536">
        <f t="shared" si="6"/>
        <v>9721.4430030699586</v>
      </c>
      <c r="D47" s="536">
        <f t="shared" si="7"/>
        <v>44.977204095212073</v>
      </c>
      <c r="E47" s="536">
        <f t="shared" si="8"/>
        <v>1.7022137163026514</v>
      </c>
      <c r="F47" s="536">
        <f t="shared" si="9"/>
        <v>1.5660313371598704</v>
      </c>
      <c r="G47" s="536">
        <f t="shared" si="10"/>
        <v>8.3109941998226189E-2</v>
      </c>
      <c r="H47" s="537">
        <f t="shared" si="11"/>
        <v>4.8356355183547066</v>
      </c>
      <c r="J47"/>
      <c r="K47"/>
      <c r="L47"/>
      <c r="M47"/>
      <c r="N47"/>
      <c r="O47"/>
      <c r="P47"/>
      <c r="Q47"/>
      <c r="R47"/>
      <c r="S47"/>
      <c r="T47"/>
      <c r="U47"/>
      <c r="V47"/>
      <c r="W47"/>
      <c r="X47"/>
      <c r="Y47"/>
      <c r="Z47"/>
      <c r="AA47"/>
      <c r="AB47"/>
      <c r="AC47"/>
    </row>
    <row r="48" spans="2:29">
      <c r="B48" s="96">
        <v>2028</v>
      </c>
      <c r="C48" s="536">
        <f t="shared" si="6"/>
        <v>9694.4213805659965</v>
      </c>
      <c r="D48" s="536">
        <f t="shared" si="7"/>
        <v>40.243972427180779</v>
      </c>
      <c r="E48" s="536">
        <f t="shared" si="8"/>
        <v>1.4986710626511694</v>
      </c>
      <c r="F48" s="536">
        <f t="shared" si="9"/>
        <v>1.3787726908396394</v>
      </c>
      <c r="G48" s="536">
        <f t="shared" si="10"/>
        <v>8.2678914671921455E-2</v>
      </c>
      <c r="H48" s="537">
        <f t="shared" si="11"/>
        <v>4.3902891371999431</v>
      </c>
      <c r="J48"/>
      <c r="K48"/>
      <c r="L48"/>
      <c r="M48"/>
      <c r="N48"/>
      <c r="O48"/>
      <c r="P48"/>
      <c r="Q48"/>
      <c r="R48"/>
      <c r="S48"/>
      <c r="T48"/>
      <c r="U48"/>
      <c r="V48"/>
      <c r="W48"/>
      <c r="X48"/>
      <c r="Y48"/>
      <c r="Z48"/>
      <c r="AA48"/>
      <c r="AB48"/>
      <c r="AC48"/>
    </row>
    <row r="49" spans="2:29">
      <c r="B49" s="96">
        <v>2029</v>
      </c>
      <c r="C49" s="536">
        <f t="shared" si="6"/>
        <v>9667.3997580620417</v>
      </c>
      <c r="D49" s="536">
        <f t="shared" si="7"/>
        <v>35.510740759151304</v>
      </c>
      <c r="E49" s="536">
        <f t="shared" si="8"/>
        <v>1.2951284089996875</v>
      </c>
      <c r="F49" s="536">
        <f t="shared" si="9"/>
        <v>1.1915140445194083</v>
      </c>
      <c r="G49" s="536">
        <f t="shared" si="10"/>
        <v>8.224788734561661E-2</v>
      </c>
      <c r="H49" s="537">
        <f t="shared" si="11"/>
        <v>3.9449427560451795</v>
      </c>
      <c r="J49"/>
      <c r="K49"/>
      <c r="L49"/>
      <c r="M49"/>
      <c r="N49"/>
      <c r="O49"/>
      <c r="P49"/>
      <c r="Q49"/>
      <c r="R49"/>
      <c r="S49"/>
      <c r="T49"/>
      <c r="U49"/>
      <c r="V49"/>
      <c r="W49"/>
      <c r="X49"/>
      <c r="Y49"/>
      <c r="Z49"/>
      <c r="AA49"/>
      <c r="AB49"/>
      <c r="AC49"/>
    </row>
    <row r="50" spans="2:29">
      <c r="B50" s="96">
        <v>2030</v>
      </c>
      <c r="C50" s="536">
        <f t="shared" si="6"/>
        <v>9640.3781355580868</v>
      </c>
      <c r="D50" s="536">
        <f t="shared" si="7"/>
        <v>30.777509091121829</v>
      </c>
      <c r="E50" s="536">
        <f t="shared" si="8"/>
        <v>1.0915857553481487</v>
      </c>
      <c r="F50" s="536">
        <f t="shared" si="9"/>
        <v>1.0042553981991205</v>
      </c>
      <c r="G50" s="536">
        <f t="shared" si="10"/>
        <v>8.1816860019311877E-2</v>
      </c>
      <c r="H50" s="537">
        <f t="shared" si="11"/>
        <v>3.499596374890416</v>
      </c>
      <c r="J50"/>
      <c r="K50"/>
      <c r="L50"/>
      <c r="M50"/>
      <c r="N50"/>
      <c r="O50"/>
      <c r="P50"/>
      <c r="Q50"/>
      <c r="R50"/>
      <c r="S50"/>
      <c r="T50"/>
      <c r="U50"/>
      <c r="V50"/>
      <c r="W50"/>
      <c r="X50"/>
      <c r="Y50"/>
      <c r="Z50"/>
      <c r="AA50"/>
      <c r="AB50"/>
      <c r="AC50"/>
    </row>
    <row r="51" spans="2:29">
      <c r="B51" s="96">
        <v>2031</v>
      </c>
      <c r="C51" s="536">
        <f t="shared" ref="C51:C75" si="12">IF($B51&lt;=$B$36,IF($B51&lt;=$B$33,TREND(C$32:C$33,$B$32:$B$33,$B51),IF($B51&lt;=$B$34,TREND(C$33:C$34,$B$33:$B$34,$B51),IF($B51&lt;=$B$35,TREND(C$34:C$35,$B$34:$B$35,$B51),TREND(C$35:C$36,$B$35:$B$36,$B51)))),C50)</f>
        <v>9612.521862030022</v>
      </c>
      <c r="D51" s="536">
        <f t="shared" ref="D51:D75" si="13">IF($B51&lt;=$B$36,IF($B51&lt;=$B$33,TREND(D$32:D$33,$B$32:$B$33,$B51),IF($B51&lt;=$B$34,TREND(D$33:D$34,$B$33:$B$34,$B51),IF($B51&lt;=$B$35,TREND(D$34:D$35,$B$34:$B$35,$B51),TREND(D$35:D$36,$B$35:$B$36,$B51)))),D50)</f>
        <v>28.715583187918128</v>
      </c>
      <c r="E51" s="536">
        <f t="shared" ref="E51:E75" si="14">IF($B51&lt;=$B$36,IF($B51&lt;=$B$33,TREND(E$32:E$33,$B$32:$B$33,$B51),IF($B51&lt;=$B$34,TREND(E$33:E$34,$B$33:$B$34,$B51),IF($B51&lt;=$B$35,TREND(E$34:E$35,$B$34:$B$35,$B51),TREND(E$35:E$36,$B$35:$B$36,$B51)))),E50)</f>
        <v>0.99541566811217308</v>
      </c>
      <c r="F51" s="536">
        <f t="shared" ref="F51:H75" si="15">IF($B51&lt;=$B$36,IF($B51&lt;=$B$33,TREND(F$32:F$33,$B$32:$B$33,$B51),IF($B51&lt;=$B$34,TREND(F$33:F$34,$B$33:$B$34,$B51),IF($B51&lt;=$B$35,TREND(F$34:F$35,$B$34:$B$35,$B51),TREND(F$35:F$36,$B$35:$B$36,$B51)))),F50)</f>
        <v>0.91577922026701231</v>
      </c>
      <c r="G51" s="536">
        <f t="shared" ref="G51:H74" si="16">IF($B51&lt;=$B$36,IF($B51&lt;=$B$33,TREND(G$32:G$33,$B$32:$B$33,$B51),IF($B51&lt;=$B$34,TREND(G$33:G$34,$B$33:$B$34,$B51),IF($B51&lt;=$B$35,TREND(G$34:G$35,$B$34:$B$35,$B51),TREND(G$35:G$36,$B$35:$B$36,$B51)))),G50)</f>
        <v>8.1440234866609118E-2</v>
      </c>
      <c r="H51" s="537">
        <f t="shared" si="11"/>
        <v>3.2157875701122975</v>
      </c>
      <c r="J51"/>
      <c r="K51"/>
      <c r="L51"/>
      <c r="M51"/>
      <c r="N51"/>
      <c r="O51"/>
      <c r="P51"/>
      <c r="Q51"/>
      <c r="R51"/>
      <c r="S51"/>
      <c r="T51"/>
      <c r="U51"/>
      <c r="V51"/>
      <c r="W51"/>
      <c r="X51"/>
      <c r="Y51"/>
      <c r="Z51"/>
      <c r="AA51"/>
      <c r="AB51"/>
      <c r="AC51"/>
    </row>
    <row r="52" spans="2:29">
      <c r="B52" s="96">
        <v>2032</v>
      </c>
      <c r="C52" s="536">
        <f t="shared" si="12"/>
        <v>9584.6655885019572</v>
      </c>
      <c r="D52" s="536">
        <f t="shared" si="13"/>
        <v>26.653657284715337</v>
      </c>
      <c r="E52" s="536">
        <f t="shared" si="14"/>
        <v>0.89924558087614059</v>
      </c>
      <c r="F52" s="536">
        <f t="shared" si="15"/>
        <v>0.82730304233490415</v>
      </c>
      <c r="G52" s="536">
        <f t="shared" si="16"/>
        <v>8.1063609713906248E-2</v>
      </c>
      <c r="H52" s="537">
        <f t="shared" si="11"/>
        <v>2.9319787653342928</v>
      </c>
      <c r="J52"/>
      <c r="K52"/>
      <c r="L52"/>
      <c r="M52"/>
      <c r="N52"/>
      <c r="O52"/>
      <c r="P52"/>
      <c r="Q52"/>
      <c r="R52"/>
      <c r="S52"/>
      <c r="T52"/>
      <c r="U52"/>
      <c r="V52"/>
      <c r="W52"/>
      <c r="X52"/>
      <c r="Y52"/>
      <c r="Z52"/>
      <c r="AA52"/>
      <c r="AB52"/>
      <c r="AC52"/>
    </row>
    <row r="53" spans="2:29">
      <c r="B53" s="96">
        <v>2033</v>
      </c>
      <c r="C53" s="536">
        <f t="shared" si="12"/>
        <v>9556.8093149738852</v>
      </c>
      <c r="D53" s="536">
        <f t="shared" si="13"/>
        <v>24.591731381512545</v>
      </c>
      <c r="E53" s="536">
        <f t="shared" si="14"/>
        <v>0.80307549364010811</v>
      </c>
      <c r="F53" s="536">
        <f t="shared" si="15"/>
        <v>0.73882686440276757</v>
      </c>
      <c r="G53" s="536">
        <f t="shared" si="16"/>
        <v>8.068698456120349E-2</v>
      </c>
      <c r="H53" s="537">
        <f t="shared" si="11"/>
        <v>2.6481699605561744</v>
      </c>
      <c r="J53"/>
      <c r="K53"/>
      <c r="L53"/>
      <c r="M53"/>
      <c r="N53"/>
      <c r="O53"/>
      <c r="P53"/>
      <c r="Q53"/>
      <c r="R53"/>
      <c r="S53"/>
      <c r="T53"/>
      <c r="U53"/>
      <c r="V53"/>
      <c r="W53"/>
      <c r="X53"/>
      <c r="Y53"/>
      <c r="Z53"/>
      <c r="AA53"/>
      <c r="AB53"/>
      <c r="AC53"/>
    </row>
    <row r="54" spans="2:29">
      <c r="B54" s="96">
        <v>2034</v>
      </c>
      <c r="C54" s="536">
        <f t="shared" si="12"/>
        <v>9528.9530414458204</v>
      </c>
      <c r="D54" s="536">
        <f t="shared" si="13"/>
        <v>22.529805478309754</v>
      </c>
      <c r="E54" s="536">
        <f t="shared" si="14"/>
        <v>0.70690540640407562</v>
      </c>
      <c r="F54" s="536">
        <f t="shared" si="15"/>
        <v>0.65035068647065941</v>
      </c>
      <c r="G54" s="536">
        <f t="shared" si="16"/>
        <v>8.031035940850062E-2</v>
      </c>
      <c r="H54" s="537">
        <f t="shared" si="11"/>
        <v>2.3643611557780559</v>
      </c>
      <c r="J54"/>
      <c r="K54"/>
      <c r="L54"/>
      <c r="M54"/>
      <c r="N54"/>
      <c r="O54"/>
      <c r="P54"/>
      <c r="Q54"/>
      <c r="R54"/>
      <c r="S54"/>
      <c r="T54"/>
      <c r="U54"/>
      <c r="V54"/>
      <c r="W54"/>
      <c r="X54"/>
      <c r="Y54"/>
      <c r="Z54"/>
      <c r="AA54"/>
      <c r="AB54"/>
      <c r="AC54"/>
    </row>
    <row r="55" spans="2:29">
      <c r="B55" s="96">
        <v>2035</v>
      </c>
      <c r="C55" s="536">
        <f t="shared" si="12"/>
        <v>9501.0967679177484</v>
      </c>
      <c r="D55" s="536">
        <f t="shared" si="13"/>
        <v>20.467879575106053</v>
      </c>
      <c r="E55" s="536">
        <f t="shared" si="14"/>
        <v>0.61073531916801471</v>
      </c>
      <c r="F55" s="536">
        <f t="shared" si="15"/>
        <v>0.56187450853852283</v>
      </c>
      <c r="G55" s="536">
        <f t="shared" si="16"/>
        <v>7.993373425579775E-2</v>
      </c>
      <c r="H55" s="537">
        <f t="shared" si="11"/>
        <v>2.0805523510000512</v>
      </c>
      <c r="J55"/>
      <c r="K55"/>
      <c r="L55"/>
      <c r="M55"/>
      <c r="N55"/>
      <c r="O55"/>
      <c r="P55"/>
      <c r="Q55"/>
      <c r="R55"/>
      <c r="S55"/>
      <c r="T55"/>
      <c r="U55"/>
      <c r="V55"/>
      <c r="W55"/>
      <c r="X55"/>
      <c r="Y55"/>
      <c r="Z55"/>
      <c r="AA55"/>
      <c r="AB55"/>
      <c r="AC55"/>
    </row>
    <row r="56" spans="2:29">
      <c r="B56" s="96">
        <v>2036</v>
      </c>
      <c r="C56" s="536">
        <f t="shared" si="12"/>
        <v>9473.2404943896836</v>
      </c>
      <c r="D56" s="536">
        <f t="shared" si="13"/>
        <v>18.405953671903262</v>
      </c>
      <c r="E56" s="536">
        <f t="shared" si="14"/>
        <v>0.51456523193198223</v>
      </c>
      <c r="F56" s="536">
        <f t="shared" si="15"/>
        <v>0.47339833060641467</v>
      </c>
      <c r="G56" s="536">
        <f t="shared" si="16"/>
        <v>7.9557109103094992E-2</v>
      </c>
      <c r="H56" s="537">
        <f t="shared" si="11"/>
        <v>1.7967435462219328</v>
      </c>
      <c r="J56"/>
      <c r="K56"/>
      <c r="L56"/>
      <c r="M56"/>
      <c r="N56"/>
      <c r="O56"/>
      <c r="P56"/>
      <c r="Q56"/>
      <c r="R56"/>
      <c r="S56"/>
      <c r="T56"/>
      <c r="U56"/>
      <c r="V56"/>
      <c r="W56"/>
      <c r="X56"/>
      <c r="Y56"/>
      <c r="Z56"/>
      <c r="AA56"/>
      <c r="AB56"/>
      <c r="AC56"/>
    </row>
    <row r="57" spans="2:29">
      <c r="B57" s="96">
        <v>2037</v>
      </c>
      <c r="C57" s="536">
        <f t="shared" si="12"/>
        <v>9445.3842208616115</v>
      </c>
      <c r="D57" s="536">
        <f t="shared" si="13"/>
        <v>16.344027768700471</v>
      </c>
      <c r="E57" s="536">
        <f t="shared" si="14"/>
        <v>0.41839514469594974</v>
      </c>
      <c r="F57" s="536">
        <f t="shared" si="15"/>
        <v>0.3849221526742781</v>
      </c>
      <c r="G57" s="536">
        <f t="shared" si="16"/>
        <v>7.9180483950392122E-2</v>
      </c>
      <c r="H57" s="537">
        <f t="shared" si="11"/>
        <v>1.5129347414438143</v>
      </c>
      <c r="J57"/>
      <c r="K57"/>
      <c r="L57"/>
      <c r="M57"/>
      <c r="N57"/>
      <c r="O57"/>
      <c r="P57"/>
      <c r="Q57"/>
      <c r="R57"/>
      <c r="S57"/>
      <c r="T57"/>
      <c r="U57"/>
      <c r="V57"/>
      <c r="W57"/>
      <c r="X57"/>
      <c r="Y57"/>
      <c r="Z57"/>
      <c r="AA57"/>
      <c r="AB57"/>
      <c r="AC57"/>
    </row>
    <row r="58" spans="2:29">
      <c r="B58" s="96">
        <v>2038</v>
      </c>
      <c r="C58" s="536">
        <f t="shared" si="12"/>
        <v>9417.5279473335468</v>
      </c>
      <c r="D58" s="536">
        <f t="shared" si="13"/>
        <v>14.28210186549768</v>
      </c>
      <c r="E58" s="536">
        <f t="shared" si="14"/>
        <v>0.32222505745991725</v>
      </c>
      <c r="F58" s="536">
        <f t="shared" si="15"/>
        <v>0.29644597474214152</v>
      </c>
      <c r="G58" s="536">
        <f t="shared" si="16"/>
        <v>7.8803858797689252E-2</v>
      </c>
      <c r="H58" s="537">
        <f t="shared" si="11"/>
        <v>1.2291259366658096</v>
      </c>
      <c r="J58"/>
      <c r="K58"/>
      <c r="L58"/>
      <c r="M58"/>
      <c r="N58"/>
      <c r="O58"/>
      <c r="P58"/>
      <c r="Q58"/>
      <c r="R58"/>
      <c r="S58"/>
      <c r="T58"/>
      <c r="U58"/>
      <c r="V58"/>
      <c r="W58"/>
      <c r="X58"/>
      <c r="Y58"/>
      <c r="Z58"/>
      <c r="AA58"/>
      <c r="AB58"/>
      <c r="AC58"/>
    </row>
    <row r="59" spans="2:29">
      <c r="B59" s="96">
        <v>2039</v>
      </c>
      <c r="C59" s="536">
        <f t="shared" si="12"/>
        <v>9389.6716738054747</v>
      </c>
      <c r="D59" s="536">
        <f t="shared" si="13"/>
        <v>12.220175962293979</v>
      </c>
      <c r="E59" s="536">
        <f t="shared" si="14"/>
        <v>0.22605497022385634</v>
      </c>
      <c r="F59" s="536">
        <f t="shared" si="15"/>
        <v>0.20796979681003336</v>
      </c>
      <c r="G59" s="536">
        <f t="shared" si="16"/>
        <v>7.8427233644986383E-2</v>
      </c>
      <c r="H59" s="537">
        <f t="shared" si="11"/>
        <v>0.94531713188769118</v>
      </c>
      <c r="J59"/>
      <c r="K59"/>
      <c r="L59"/>
      <c r="M59"/>
      <c r="N59"/>
      <c r="O59"/>
      <c r="P59"/>
      <c r="Q59"/>
      <c r="R59"/>
      <c r="S59"/>
      <c r="T59"/>
      <c r="U59"/>
      <c r="V59"/>
      <c r="W59"/>
      <c r="X59"/>
      <c r="Y59"/>
      <c r="Z59"/>
      <c r="AA59"/>
      <c r="AB59"/>
      <c r="AC59"/>
    </row>
    <row r="60" spans="2:29">
      <c r="B60" s="96">
        <v>2040</v>
      </c>
      <c r="C60" s="536">
        <f t="shared" si="12"/>
        <v>9361.8154002774099</v>
      </c>
      <c r="D60" s="536">
        <f t="shared" si="13"/>
        <v>10.158250059091188</v>
      </c>
      <c r="E60" s="536">
        <f t="shared" si="14"/>
        <v>0.12988488298782386</v>
      </c>
      <c r="F60" s="536">
        <f t="shared" si="15"/>
        <v>0.11949361887789678</v>
      </c>
      <c r="G60" s="536">
        <f t="shared" si="16"/>
        <v>7.8050608492283624E-2</v>
      </c>
      <c r="H60" s="537">
        <f t="shared" si="11"/>
        <v>0.66150832710957275</v>
      </c>
      <c r="J60"/>
      <c r="K60"/>
      <c r="L60"/>
      <c r="M60"/>
      <c r="N60"/>
      <c r="O60"/>
      <c r="P60"/>
      <c r="Q60"/>
      <c r="R60"/>
      <c r="S60"/>
      <c r="T60"/>
      <c r="U60"/>
      <c r="V60"/>
      <c r="W60"/>
      <c r="X60"/>
      <c r="Y60"/>
      <c r="Z60"/>
      <c r="AA60"/>
      <c r="AB60"/>
      <c r="AC60"/>
    </row>
    <row r="61" spans="2:29">
      <c r="B61" s="96">
        <v>2041</v>
      </c>
      <c r="C61" s="536">
        <f t="shared" si="12"/>
        <v>9346.0679904568497</v>
      </c>
      <c r="D61" s="536">
        <f t="shared" si="13"/>
        <v>10.119017923971825</v>
      </c>
      <c r="E61" s="536">
        <f t="shared" si="14"/>
        <v>0.12971825266422143</v>
      </c>
      <c r="F61" s="536">
        <f t="shared" si="15"/>
        <v>0.11934031666662032</v>
      </c>
      <c r="G61" s="536">
        <f t="shared" si="16"/>
        <v>7.7919320632410582E-2</v>
      </c>
      <c r="H61" s="537">
        <f t="shared" si="11"/>
        <v>0.66117665414968751</v>
      </c>
      <c r="J61"/>
      <c r="K61"/>
      <c r="L61"/>
      <c r="M61"/>
      <c r="N61"/>
      <c r="O61"/>
      <c r="P61"/>
      <c r="Q61"/>
      <c r="R61"/>
      <c r="S61"/>
      <c r="T61"/>
      <c r="U61"/>
      <c r="V61"/>
      <c r="W61"/>
      <c r="X61"/>
      <c r="Y61"/>
      <c r="Z61"/>
      <c r="AA61"/>
      <c r="AB61"/>
      <c r="AC61"/>
    </row>
    <row r="62" spans="2:29">
      <c r="B62" s="96">
        <v>2042</v>
      </c>
      <c r="C62" s="536">
        <f t="shared" si="12"/>
        <v>9330.320580636293</v>
      </c>
      <c r="D62" s="536">
        <f t="shared" si="13"/>
        <v>10.079785788852362</v>
      </c>
      <c r="E62" s="536">
        <f t="shared" si="14"/>
        <v>0.12955162234063566</v>
      </c>
      <c r="F62" s="536">
        <f t="shared" si="15"/>
        <v>0.11918701445533592</v>
      </c>
      <c r="G62" s="536">
        <f t="shared" si="16"/>
        <v>7.7788032772537596E-2</v>
      </c>
      <c r="H62" s="537">
        <f t="shared" si="11"/>
        <v>0.66084498118969648</v>
      </c>
      <c r="J62"/>
      <c r="K62"/>
      <c r="L62"/>
      <c r="M62"/>
      <c r="N62"/>
      <c r="O62"/>
      <c r="P62"/>
      <c r="Q62"/>
      <c r="R62"/>
      <c r="S62"/>
      <c r="T62"/>
      <c r="U62"/>
      <c r="V62"/>
      <c r="W62"/>
      <c r="X62"/>
      <c r="Y62"/>
      <c r="Z62"/>
      <c r="AA62"/>
      <c r="AB62"/>
      <c r="AC62"/>
    </row>
    <row r="63" spans="2:29">
      <c r="B63" s="96">
        <v>2043</v>
      </c>
      <c r="C63" s="536">
        <f t="shared" si="12"/>
        <v>9314.5731708157364</v>
      </c>
      <c r="D63" s="536">
        <f t="shared" si="13"/>
        <v>10.0405536537329</v>
      </c>
      <c r="E63" s="536">
        <f t="shared" si="14"/>
        <v>0.12938499201704995</v>
      </c>
      <c r="F63" s="536">
        <f t="shared" si="15"/>
        <v>0.11903371224405151</v>
      </c>
      <c r="G63" s="536">
        <f t="shared" si="16"/>
        <v>7.7656744912664666E-2</v>
      </c>
      <c r="H63" s="537">
        <f t="shared" si="11"/>
        <v>0.66051330822970555</v>
      </c>
      <c r="J63"/>
      <c r="K63"/>
      <c r="L63"/>
      <c r="M63"/>
      <c r="N63"/>
      <c r="O63"/>
      <c r="P63"/>
      <c r="Q63"/>
      <c r="R63"/>
      <c r="S63"/>
      <c r="T63"/>
      <c r="U63"/>
      <c r="V63"/>
      <c r="W63"/>
      <c r="X63"/>
      <c r="Y63"/>
      <c r="Z63"/>
      <c r="AA63"/>
      <c r="AB63"/>
      <c r="AC63"/>
    </row>
    <row r="64" spans="2:29">
      <c r="B64" s="96">
        <v>2044</v>
      </c>
      <c r="C64" s="536">
        <f t="shared" si="12"/>
        <v>9298.8257609951834</v>
      </c>
      <c r="D64" s="536">
        <f t="shared" si="13"/>
        <v>10.001321518613452</v>
      </c>
      <c r="E64" s="536">
        <f t="shared" si="14"/>
        <v>0.12921836169346418</v>
      </c>
      <c r="F64" s="536">
        <f t="shared" si="15"/>
        <v>0.11888041003276711</v>
      </c>
      <c r="G64" s="536">
        <f t="shared" si="16"/>
        <v>7.7525457052791735E-2</v>
      </c>
      <c r="H64" s="537">
        <f t="shared" si="11"/>
        <v>0.66018163526971452</v>
      </c>
      <c r="J64"/>
      <c r="K64"/>
      <c r="L64"/>
      <c r="M64"/>
      <c r="N64"/>
      <c r="O64"/>
      <c r="P64"/>
      <c r="Q64"/>
      <c r="R64"/>
      <c r="S64"/>
      <c r="T64"/>
      <c r="U64"/>
      <c r="V64"/>
      <c r="W64"/>
      <c r="X64"/>
      <c r="Y64"/>
      <c r="Z64"/>
      <c r="AA64"/>
      <c r="AB64"/>
      <c r="AC64"/>
    </row>
    <row r="65" spans="2:29">
      <c r="B65" s="96">
        <v>2045</v>
      </c>
      <c r="C65" s="536">
        <f t="shared" si="12"/>
        <v>9283.0783511746267</v>
      </c>
      <c r="D65" s="536">
        <f t="shared" si="13"/>
        <v>9.9620893834939892</v>
      </c>
      <c r="E65" s="536">
        <f t="shared" si="14"/>
        <v>0.12905173136987846</v>
      </c>
      <c r="F65" s="536">
        <f t="shared" si="15"/>
        <v>0.11872710782148271</v>
      </c>
      <c r="G65" s="536">
        <f t="shared" si="16"/>
        <v>7.7394169192918805E-2</v>
      </c>
      <c r="H65" s="537">
        <f t="shared" si="11"/>
        <v>0.65984996230972348</v>
      </c>
      <c r="J65"/>
      <c r="K65"/>
      <c r="L65"/>
      <c r="M65"/>
      <c r="N65"/>
      <c r="O65"/>
      <c r="P65"/>
      <c r="Q65"/>
      <c r="R65"/>
      <c r="S65"/>
      <c r="T65"/>
      <c r="U65"/>
      <c r="V65"/>
      <c r="W65"/>
      <c r="X65"/>
      <c r="Y65"/>
      <c r="Z65"/>
      <c r="AA65"/>
      <c r="AB65"/>
      <c r="AC65"/>
    </row>
    <row r="66" spans="2:29">
      <c r="B66" s="96">
        <v>2046</v>
      </c>
      <c r="C66" s="536">
        <f t="shared" si="12"/>
        <v>9267.3309413540701</v>
      </c>
      <c r="D66" s="536">
        <f t="shared" si="13"/>
        <v>9.9228572483745268</v>
      </c>
      <c r="E66" s="536">
        <f t="shared" si="14"/>
        <v>0.12888510104629269</v>
      </c>
      <c r="F66" s="536">
        <f t="shared" si="15"/>
        <v>0.11857380561019826</v>
      </c>
      <c r="G66" s="536">
        <f t="shared" si="16"/>
        <v>7.7262881333045819E-2</v>
      </c>
      <c r="H66" s="537">
        <f t="shared" si="11"/>
        <v>0.65951828934973245</v>
      </c>
      <c r="J66"/>
      <c r="K66"/>
      <c r="L66"/>
      <c r="M66"/>
      <c r="N66"/>
      <c r="O66"/>
      <c r="P66"/>
      <c r="Q66"/>
      <c r="R66"/>
      <c r="S66"/>
      <c r="T66"/>
      <c r="U66"/>
      <c r="V66"/>
      <c r="W66"/>
      <c r="X66"/>
      <c r="Y66"/>
      <c r="Z66"/>
      <c r="AA66"/>
      <c r="AB66"/>
      <c r="AC66"/>
    </row>
    <row r="67" spans="2:29">
      <c r="B67" s="96">
        <v>2047</v>
      </c>
      <c r="C67" s="536">
        <f t="shared" si="12"/>
        <v>9251.5835315335135</v>
      </c>
      <c r="D67" s="536">
        <f t="shared" si="13"/>
        <v>9.8836251132550785</v>
      </c>
      <c r="E67" s="536">
        <f t="shared" si="14"/>
        <v>0.12871847072270698</v>
      </c>
      <c r="F67" s="536">
        <f t="shared" si="15"/>
        <v>0.11842050339891386</v>
      </c>
      <c r="G67" s="536">
        <f t="shared" si="16"/>
        <v>7.7131593473172888E-2</v>
      </c>
      <c r="H67" s="537">
        <f t="shared" si="11"/>
        <v>0.65918661638974141</v>
      </c>
      <c r="J67"/>
      <c r="K67"/>
      <c r="L67"/>
      <c r="M67"/>
      <c r="N67"/>
      <c r="O67"/>
      <c r="P67"/>
      <c r="Q67"/>
      <c r="R67"/>
      <c r="S67"/>
      <c r="T67"/>
      <c r="U67"/>
      <c r="V67"/>
      <c r="W67"/>
      <c r="X67"/>
      <c r="Y67"/>
      <c r="Z67"/>
      <c r="AA67"/>
      <c r="AB67"/>
      <c r="AC67"/>
    </row>
    <row r="68" spans="2:29">
      <c r="B68" s="96">
        <v>2048</v>
      </c>
      <c r="C68" s="536">
        <f t="shared" si="12"/>
        <v>9235.8361217129568</v>
      </c>
      <c r="D68" s="536">
        <f t="shared" si="13"/>
        <v>9.8443929781356161</v>
      </c>
      <c r="E68" s="536">
        <f t="shared" si="14"/>
        <v>0.12855184039912121</v>
      </c>
      <c r="F68" s="536">
        <f t="shared" si="15"/>
        <v>0.11826720118762946</v>
      </c>
      <c r="G68" s="536">
        <f t="shared" si="16"/>
        <v>7.7000305613299957E-2</v>
      </c>
      <c r="H68" s="537">
        <f t="shared" si="11"/>
        <v>0.65885494342975037</v>
      </c>
      <c r="J68"/>
      <c r="K68"/>
      <c r="L68"/>
      <c r="M68"/>
      <c r="N68"/>
      <c r="O68"/>
      <c r="P68"/>
      <c r="Q68"/>
      <c r="R68"/>
      <c r="S68"/>
      <c r="T68"/>
      <c r="U68"/>
      <c r="V68"/>
      <c r="W68"/>
      <c r="X68"/>
      <c r="Y68"/>
      <c r="Z68"/>
      <c r="AA68"/>
      <c r="AB68"/>
      <c r="AC68"/>
    </row>
    <row r="69" spans="2:29">
      <c r="B69" s="96">
        <v>2049</v>
      </c>
      <c r="C69" s="536">
        <f t="shared" si="12"/>
        <v>9220.0887118924002</v>
      </c>
      <c r="D69" s="536">
        <f t="shared" si="13"/>
        <v>9.8051608430161536</v>
      </c>
      <c r="E69" s="536">
        <f t="shared" si="14"/>
        <v>0.12838521007553544</v>
      </c>
      <c r="F69" s="536">
        <f t="shared" si="15"/>
        <v>0.11811389897634506</v>
      </c>
      <c r="G69" s="536">
        <f t="shared" si="16"/>
        <v>7.6869017753427027E-2</v>
      </c>
      <c r="H69" s="537">
        <f t="shared" si="11"/>
        <v>0.65852327046975934</v>
      </c>
      <c r="J69"/>
      <c r="K69"/>
      <c r="L69"/>
      <c r="M69"/>
      <c r="N69"/>
      <c r="O69"/>
      <c r="P69"/>
      <c r="Q69"/>
      <c r="R69"/>
      <c r="S69"/>
      <c r="T69"/>
      <c r="U69"/>
      <c r="V69"/>
      <c r="W69"/>
      <c r="X69"/>
      <c r="Y69"/>
      <c r="Z69"/>
      <c r="AA69"/>
      <c r="AB69"/>
      <c r="AC69"/>
    </row>
    <row r="70" spans="2:29">
      <c r="B70" s="96">
        <v>2050</v>
      </c>
      <c r="C70" s="536">
        <f t="shared" si="12"/>
        <v>9204.3413020718435</v>
      </c>
      <c r="D70" s="536">
        <f t="shared" si="13"/>
        <v>9.7659287078967054</v>
      </c>
      <c r="E70" s="536">
        <f t="shared" si="14"/>
        <v>0.12821857975194972</v>
      </c>
      <c r="F70" s="536">
        <f t="shared" si="15"/>
        <v>0.11796059676506065</v>
      </c>
      <c r="G70" s="536">
        <f t="shared" si="16"/>
        <v>7.6737729893554096E-2</v>
      </c>
      <c r="H70" s="537">
        <f t="shared" si="11"/>
        <v>0.6581915975097683</v>
      </c>
      <c r="J70"/>
      <c r="K70"/>
      <c r="L70"/>
      <c r="M70"/>
      <c r="N70"/>
      <c r="O70"/>
      <c r="P70"/>
      <c r="Q70"/>
      <c r="R70"/>
      <c r="S70"/>
      <c r="T70"/>
      <c r="U70"/>
      <c r="V70"/>
      <c r="W70"/>
      <c r="X70"/>
      <c r="Y70"/>
      <c r="Z70"/>
      <c r="AA70"/>
      <c r="AB70"/>
      <c r="AC70"/>
    </row>
    <row r="71" spans="2:29">
      <c r="B71" s="96">
        <v>2051</v>
      </c>
      <c r="C71" s="536">
        <f t="shared" si="12"/>
        <v>9204.3413020718435</v>
      </c>
      <c r="D71" s="536">
        <f t="shared" si="13"/>
        <v>9.7659287078967054</v>
      </c>
      <c r="E71" s="536">
        <f t="shared" si="14"/>
        <v>0.12821857975194972</v>
      </c>
      <c r="F71" s="536">
        <f t="shared" si="15"/>
        <v>0.11796059676506065</v>
      </c>
      <c r="G71" s="536">
        <f t="shared" si="16"/>
        <v>7.6737729893554096E-2</v>
      </c>
      <c r="H71" s="537">
        <f t="shared" si="11"/>
        <v>0.6581915975097683</v>
      </c>
      <c r="J71"/>
      <c r="K71"/>
      <c r="L71"/>
      <c r="M71"/>
      <c r="N71"/>
      <c r="O71"/>
      <c r="P71"/>
      <c r="Q71"/>
      <c r="R71"/>
      <c r="S71"/>
      <c r="T71"/>
      <c r="U71"/>
      <c r="V71"/>
      <c r="W71"/>
      <c r="X71"/>
      <c r="Y71"/>
      <c r="Z71"/>
      <c r="AA71"/>
      <c r="AB71"/>
      <c r="AC71"/>
    </row>
    <row r="72" spans="2:29">
      <c r="B72" s="96">
        <v>2052</v>
      </c>
      <c r="C72" s="536">
        <f t="shared" si="12"/>
        <v>9204.3413020718435</v>
      </c>
      <c r="D72" s="536">
        <f t="shared" si="13"/>
        <v>9.7659287078967054</v>
      </c>
      <c r="E72" s="536">
        <f t="shared" si="14"/>
        <v>0.12821857975194972</v>
      </c>
      <c r="F72" s="536">
        <f t="shared" si="15"/>
        <v>0.11796059676506065</v>
      </c>
      <c r="G72" s="536">
        <f t="shared" si="16"/>
        <v>7.6737729893554096E-2</v>
      </c>
      <c r="H72" s="537">
        <f t="shared" si="11"/>
        <v>0.6581915975097683</v>
      </c>
      <c r="J72"/>
      <c r="K72"/>
      <c r="L72"/>
      <c r="M72"/>
      <c r="N72"/>
      <c r="O72"/>
      <c r="P72"/>
      <c r="Q72"/>
      <c r="R72"/>
      <c r="S72"/>
      <c r="T72"/>
      <c r="U72"/>
      <c r="V72"/>
      <c r="W72"/>
      <c r="X72"/>
      <c r="Y72"/>
      <c r="Z72"/>
      <c r="AA72"/>
      <c r="AB72"/>
      <c r="AC72"/>
    </row>
    <row r="73" spans="2:29">
      <c r="B73" s="99">
        <v>2053</v>
      </c>
      <c r="C73" s="536">
        <f t="shared" si="12"/>
        <v>9204.3413020718435</v>
      </c>
      <c r="D73" s="536">
        <f t="shared" si="13"/>
        <v>9.7659287078967054</v>
      </c>
      <c r="E73" s="536">
        <f t="shared" si="14"/>
        <v>0.12821857975194972</v>
      </c>
      <c r="F73" s="536">
        <f t="shared" si="15"/>
        <v>0.11796059676506065</v>
      </c>
      <c r="G73" s="536">
        <f t="shared" si="16"/>
        <v>7.6737729893554096E-2</v>
      </c>
      <c r="H73" s="537">
        <f>IF($B73&lt;=$B$36,IF($B73&lt;=$B$33,TREND(H$32:H$33,$B$32:$B$33,$B73),IF($B73&lt;=$B$34,TREND(H$33:H$34,$B$33:$B$34,$B73),IF($B73&lt;=$B$35,TREND(H$34:H$35,$B$34:$B$35,$B73),TREND(H$35:H$36,$B$35:$B$36,$B73)))),H72)</f>
        <v>0.6581915975097683</v>
      </c>
      <c r="J73"/>
      <c r="K73"/>
      <c r="L73"/>
      <c r="M73"/>
      <c r="N73"/>
      <c r="O73"/>
      <c r="P73"/>
      <c r="Q73"/>
      <c r="R73"/>
      <c r="S73"/>
      <c r="T73"/>
      <c r="U73"/>
      <c r="V73"/>
      <c r="W73"/>
      <c r="X73"/>
      <c r="Y73"/>
      <c r="Z73"/>
      <c r="AA73"/>
      <c r="AB73"/>
      <c r="AC73"/>
    </row>
    <row r="74" spans="2:29">
      <c r="B74" s="99">
        <v>2054</v>
      </c>
      <c r="C74" s="536">
        <f t="shared" si="12"/>
        <v>9204.3413020718435</v>
      </c>
      <c r="D74" s="536">
        <f t="shared" si="13"/>
        <v>9.7659287078967054</v>
      </c>
      <c r="E74" s="536">
        <f t="shared" si="14"/>
        <v>0.12821857975194972</v>
      </c>
      <c r="F74" s="536">
        <f t="shared" si="15"/>
        <v>0.11796059676506065</v>
      </c>
      <c r="G74" s="536">
        <f t="shared" si="16"/>
        <v>7.6737729893554096E-2</v>
      </c>
      <c r="H74" s="537">
        <f t="shared" si="16"/>
        <v>0.6581915975097683</v>
      </c>
      <c r="J74"/>
      <c r="K74"/>
      <c r="L74"/>
      <c r="M74"/>
      <c r="N74"/>
      <c r="O74"/>
      <c r="P74"/>
      <c r="Q74"/>
      <c r="R74"/>
      <c r="S74"/>
      <c r="T74"/>
      <c r="U74"/>
      <c r="V74"/>
      <c r="W74"/>
      <c r="X74"/>
      <c r="Y74"/>
      <c r="Z74"/>
      <c r="AA74"/>
      <c r="AB74"/>
      <c r="AC74"/>
    </row>
    <row r="75" spans="2:29">
      <c r="B75" s="99">
        <v>2055</v>
      </c>
      <c r="C75" s="536">
        <f t="shared" si="12"/>
        <v>9204.3413020718435</v>
      </c>
      <c r="D75" s="536">
        <f t="shared" si="13"/>
        <v>9.7659287078967054</v>
      </c>
      <c r="E75" s="536">
        <f t="shared" si="14"/>
        <v>0.12821857975194972</v>
      </c>
      <c r="F75" s="536">
        <f t="shared" si="15"/>
        <v>0.11796059676506065</v>
      </c>
      <c r="G75" s="536">
        <f t="shared" si="15"/>
        <v>7.6737729893554096E-2</v>
      </c>
      <c r="H75" s="537">
        <f t="shared" si="15"/>
        <v>0.6581915975097683</v>
      </c>
      <c r="J75"/>
      <c r="K75"/>
      <c r="L75"/>
      <c r="M75"/>
      <c r="N75"/>
      <c r="O75"/>
      <c r="P75"/>
      <c r="Q75"/>
      <c r="R75"/>
      <c r="S75"/>
      <c r="T75"/>
      <c r="U75"/>
      <c r="V75"/>
      <c r="W75"/>
      <c r="X75"/>
      <c r="Y75"/>
      <c r="Z75"/>
      <c r="AA75"/>
      <c r="AB75"/>
      <c r="AC75"/>
    </row>
    <row r="76" spans="2:29">
      <c r="J76"/>
      <c r="K76"/>
      <c r="L76"/>
      <c r="M76"/>
      <c r="N76"/>
      <c r="O76"/>
      <c r="P76"/>
      <c r="Q76"/>
      <c r="R76"/>
      <c r="S76"/>
      <c r="T76"/>
      <c r="U76"/>
      <c r="V76"/>
      <c r="W76"/>
      <c r="X76"/>
      <c r="Y76"/>
      <c r="Z76"/>
      <c r="AA76"/>
      <c r="AB76"/>
      <c r="AC76"/>
    </row>
    <row r="77" spans="2:29">
      <c r="J77"/>
      <c r="K77"/>
      <c r="L77"/>
      <c r="M77"/>
      <c r="N77"/>
      <c r="O77"/>
      <c r="P77"/>
      <c r="Q77"/>
      <c r="R77"/>
      <c r="S77"/>
      <c r="T77"/>
      <c r="U77"/>
      <c r="V77"/>
      <c r="W77"/>
      <c r="X77"/>
      <c r="Y77"/>
      <c r="Z77"/>
      <c r="AA77"/>
      <c r="AB77"/>
      <c r="AC77"/>
    </row>
    <row r="78" spans="2:29">
      <c r="J78"/>
      <c r="K78"/>
      <c r="L78"/>
      <c r="M78"/>
      <c r="N78"/>
      <c r="O78"/>
      <c r="P78"/>
      <c r="Q78"/>
      <c r="R78"/>
      <c r="S78"/>
      <c r="T78"/>
      <c r="U78"/>
      <c r="V78"/>
      <c r="W78"/>
      <c r="X78"/>
      <c r="Y78"/>
      <c r="Z78"/>
      <c r="AA78"/>
      <c r="AB78"/>
      <c r="AC78"/>
    </row>
    <row r="79" spans="2:29">
      <c r="J79"/>
      <c r="K79"/>
      <c r="L79"/>
      <c r="M79"/>
      <c r="N79"/>
      <c r="O79"/>
      <c r="P79"/>
      <c r="Q79"/>
      <c r="R79"/>
      <c r="S79"/>
      <c r="T79"/>
      <c r="U79"/>
      <c r="V79"/>
      <c r="W79"/>
      <c r="X79"/>
      <c r="Y79"/>
      <c r="Z79"/>
      <c r="AA79"/>
      <c r="AB79"/>
      <c r="AC79"/>
    </row>
    <row r="80" spans="2:29">
      <c r="J80"/>
      <c r="K80"/>
      <c r="L80"/>
      <c r="M80"/>
      <c r="N80"/>
      <c r="O80"/>
      <c r="P80"/>
      <c r="Q80"/>
      <c r="R80"/>
      <c r="S80"/>
      <c r="T80"/>
      <c r="U80"/>
      <c r="V80"/>
      <c r="W80"/>
      <c r="X80"/>
      <c r="Y80"/>
      <c r="Z80"/>
      <c r="AA80"/>
      <c r="AB80"/>
      <c r="AC80"/>
    </row>
    <row r="81" spans="10:29">
      <c r="J81"/>
      <c r="K81"/>
      <c r="L81"/>
      <c r="M81"/>
      <c r="N81"/>
      <c r="O81"/>
      <c r="P81"/>
      <c r="Q81"/>
      <c r="R81"/>
      <c r="S81"/>
      <c r="T81"/>
      <c r="U81"/>
      <c r="V81"/>
      <c r="W81"/>
      <c r="X81"/>
      <c r="Y81"/>
      <c r="Z81"/>
      <c r="AA81"/>
      <c r="AB81"/>
      <c r="AC81"/>
    </row>
    <row r="82" spans="10:29">
      <c r="J82"/>
      <c r="K82"/>
      <c r="L82"/>
      <c r="M82"/>
      <c r="N82"/>
      <c r="O82"/>
      <c r="P82"/>
      <c r="Q82"/>
      <c r="R82"/>
      <c r="S82"/>
      <c r="T82"/>
      <c r="U82"/>
      <c r="V82"/>
      <c r="W82"/>
      <c r="X82"/>
      <c r="Y82"/>
      <c r="Z82"/>
      <c r="AA82"/>
      <c r="AB82"/>
      <c r="AC82"/>
    </row>
    <row r="83" spans="10:29">
      <c r="J83"/>
      <c r="K83"/>
      <c r="L83"/>
      <c r="M83"/>
      <c r="N83"/>
      <c r="O83"/>
      <c r="P83"/>
      <c r="Q83"/>
      <c r="R83"/>
      <c r="S83"/>
      <c r="T83"/>
      <c r="U83"/>
      <c r="V83"/>
      <c r="W83"/>
      <c r="X83"/>
      <c r="Y83"/>
      <c r="Z83"/>
      <c r="AA83"/>
      <c r="AB83"/>
      <c r="AC83"/>
    </row>
    <row r="84" spans="10:29">
      <c r="J84"/>
      <c r="K84"/>
      <c r="L84"/>
      <c r="M84"/>
      <c r="N84"/>
      <c r="O84"/>
      <c r="P84"/>
      <c r="Q84"/>
      <c r="R84"/>
      <c r="S84"/>
      <c r="T84"/>
      <c r="U84"/>
      <c r="V84"/>
      <c r="W84"/>
      <c r="X84"/>
      <c r="Y84"/>
      <c r="Z84"/>
      <c r="AA84"/>
      <c r="AB84"/>
      <c r="AC84"/>
    </row>
    <row r="85" spans="10:29">
      <c r="J85"/>
      <c r="K85"/>
      <c r="L85"/>
      <c r="M85"/>
      <c r="N85"/>
      <c r="O85"/>
      <c r="P85"/>
      <c r="Q85"/>
      <c r="R85"/>
      <c r="S85"/>
      <c r="T85"/>
      <c r="U85"/>
      <c r="V85"/>
      <c r="W85"/>
      <c r="X85"/>
      <c r="Y85"/>
      <c r="Z85"/>
      <c r="AA85"/>
      <c r="AB85"/>
      <c r="AC85"/>
    </row>
    <row r="86" spans="10:29">
      <c r="J86"/>
      <c r="K86"/>
      <c r="L86"/>
      <c r="M86"/>
      <c r="N86"/>
      <c r="O86"/>
      <c r="P86"/>
      <c r="Q86"/>
      <c r="R86"/>
      <c r="S86"/>
      <c r="T86"/>
      <c r="U86"/>
      <c r="V86"/>
      <c r="W86"/>
      <c r="X86"/>
      <c r="Y86"/>
      <c r="Z86"/>
      <c r="AA86"/>
      <c r="AB86"/>
      <c r="AC86"/>
    </row>
    <row r="87" spans="10:29">
      <c r="J87"/>
      <c r="K87"/>
      <c r="L87"/>
      <c r="M87"/>
      <c r="N87"/>
      <c r="O87"/>
      <c r="P87"/>
      <c r="Q87"/>
      <c r="R87"/>
      <c r="S87"/>
      <c r="T87"/>
      <c r="U87"/>
      <c r="V87"/>
      <c r="W87"/>
      <c r="X87"/>
      <c r="Y87"/>
      <c r="Z87"/>
      <c r="AA87"/>
      <c r="AB87"/>
      <c r="AC87"/>
    </row>
    <row r="88" spans="10:29">
      <c r="J88"/>
      <c r="K88"/>
      <c r="L88"/>
      <c r="M88"/>
      <c r="N88"/>
      <c r="O88"/>
      <c r="P88"/>
      <c r="Q88"/>
      <c r="R88"/>
      <c r="S88"/>
      <c r="T88"/>
      <c r="U88"/>
      <c r="V88"/>
      <c r="W88"/>
      <c r="X88"/>
      <c r="Y88"/>
      <c r="Z88"/>
      <c r="AA88"/>
      <c r="AB88"/>
      <c r="AC88"/>
    </row>
    <row r="89" spans="10:29">
      <c r="J89"/>
      <c r="K89"/>
      <c r="L89"/>
      <c r="M89"/>
      <c r="N89"/>
      <c r="O89"/>
      <c r="P89"/>
      <c r="Q89"/>
      <c r="R89"/>
      <c r="S89"/>
      <c r="T89"/>
      <c r="U89"/>
      <c r="V89"/>
      <c r="W89"/>
      <c r="X89"/>
      <c r="Y89"/>
      <c r="Z89"/>
      <c r="AA89"/>
      <c r="AB89"/>
      <c r="AC89"/>
    </row>
    <row r="90" spans="10:29">
      <c r="J90"/>
      <c r="K90"/>
      <c r="L90"/>
      <c r="M90"/>
      <c r="N90"/>
      <c r="O90"/>
      <c r="P90"/>
      <c r="Q90"/>
      <c r="R90"/>
      <c r="S90"/>
      <c r="T90"/>
      <c r="U90"/>
      <c r="V90"/>
      <c r="W90"/>
      <c r="X90"/>
      <c r="Y90"/>
      <c r="Z90"/>
      <c r="AA90"/>
      <c r="AB90"/>
      <c r="AC90"/>
    </row>
    <row r="91" spans="10:29">
      <c r="J91"/>
      <c r="K91"/>
      <c r="L91"/>
      <c r="M91"/>
      <c r="N91"/>
      <c r="O91"/>
      <c r="P91"/>
      <c r="Q91"/>
      <c r="R91"/>
      <c r="S91"/>
      <c r="T91"/>
      <c r="U91"/>
      <c r="V91"/>
      <c r="W91"/>
      <c r="X91"/>
      <c r="Y91"/>
      <c r="Z91"/>
      <c r="AA91"/>
      <c r="AB91"/>
      <c r="AC91"/>
    </row>
    <row r="92" spans="10:29">
      <c r="J92"/>
      <c r="K92"/>
      <c r="L92"/>
      <c r="M92"/>
      <c r="N92"/>
      <c r="O92"/>
      <c r="P92"/>
      <c r="Q92"/>
      <c r="R92"/>
      <c r="S92"/>
      <c r="T92"/>
      <c r="U92"/>
      <c r="V92"/>
      <c r="W92"/>
      <c r="X92"/>
      <c r="Y92"/>
      <c r="Z92"/>
      <c r="AA92"/>
      <c r="AB92"/>
      <c r="AC92"/>
    </row>
    <row r="93" spans="10:29">
      <c r="J93"/>
      <c r="K93"/>
      <c r="L93"/>
      <c r="M93"/>
      <c r="N93"/>
      <c r="O93"/>
      <c r="P93"/>
      <c r="Q93"/>
      <c r="R93"/>
      <c r="S93"/>
      <c r="T93"/>
      <c r="U93"/>
      <c r="V93"/>
      <c r="W93"/>
      <c r="X93"/>
      <c r="Y93"/>
      <c r="Z93"/>
      <c r="AA93"/>
      <c r="AB93"/>
      <c r="AC93"/>
    </row>
    <row r="94" spans="10:29">
      <c r="J94"/>
      <c r="K94"/>
      <c r="L94"/>
      <c r="M94"/>
      <c r="N94"/>
      <c r="O94"/>
      <c r="P94"/>
      <c r="Q94"/>
      <c r="R94"/>
      <c r="S94"/>
      <c r="T94"/>
      <c r="U94"/>
      <c r="V94"/>
      <c r="W94"/>
      <c r="X94"/>
      <c r="Y94"/>
      <c r="Z94"/>
      <c r="AA94"/>
      <c r="AB94"/>
      <c r="AC94"/>
    </row>
    <row r="95" spans="10:29">
      <c r="J95"/>
      <c r="K95"/>
      <c r="L95"/>
      <c r="M95"/>
      <c r="N95"/>
      <c r="O95"/>
      <c r="P95"/>
      <c r="Q95"/>
      <c r="R95"/>
      <c r="S95"/>
      <c r="T95"/>
      <c r="U95"/>
      <c r="V95"/>
      <c r="W95"/>
      <c r="X95"/>
      <c r="Y95"/>
      <c r="Z95"/>
      <c r="AA95"/>
      <c r="AB95"/>
      <c r="AC95"/>
    </row>
    <row r="96" spans="10:29">
      <c r="J96"/>
      <c r="K96"/>
      <c r="L96"/>
      <c r="M96"/>
      <c r="N96"/>
      <c r="O96"/>
      <c r="P96"/>
      <c r="Q96"/>
      <c r="R96"/>
      <c r="S96"/>
      <c r="T96"/>
      <c r="U96"/>
      <c r="V96"/>
      <c r="W96"/>
      <c r="X96"/>
      <c r="Y96"/>
      <c r="Z96"/>
      <c r="AA96"/>
      <c r="AB96"/>
      <c r="AC96"/>
    </row>
    <row r="97" spans="10:29">
      <c r="J97"/>
      <c r="K97"/>
      <c r="L97"/>
      <c r="M97"/>
      <c r="N97"/>
      <c r="O97"/>
      <c r="P97"/>
      <c r="Q97"/>
      <c r="R97"/>
      <c r="S97"/>
      <c r="T97"/>
      <c r="U97"/>
      <c r="V97"/>
      <c r="W97"/>
      <c r="X97"/>
      <c r="Y97"/>
      <c r="Z97"/>
      <c r="AA97"/>
      <c r="AB97"/>
      <c r="AC97"/>
    </row>
    <row r="98" spans="10:29">
      <c r="J98"/>
      <c r="K98"/>
      <c r="L98"/>
      <c r="M98"/>
      <c r="N98"/>
      <c r="O98"/>
      <c r="P98"/>
      <c r="Q98"/>
      <c r="R98"/>
      <c r="S98"/>
      <c r="T98"/>
      <c r="U98"/>
      <c r="V98"/>
      <c r="W98"/>
      <c r="X98"/>
      <c r="Y98"/>
      <c r="Z98"/>
      <c r="AA98"/>
      <c r="AB98"/>
      <c r="AC98"/>
    </row>
    <row r="99" spans="10:29">
      <c r="J99"/>
      <c r="K99"/>
      <c r="L99"/>
      <c r="M99"/>
      <c r="N99"/>
      <c r="O99"/>
      <c r="P99"/>
      <c r="Q99"/>
      <c r="R99"/>
      <c r="S99"/>
      <c r="T99"/>
      <c r="U99"/>
      <c r="V99"/>
      <c r="W99"/>
      <c r="X99"/>
      <c r="Y99"/>
      <c r="Z99"/>
      <c r="AA99"/>
      <c r="AB99"/>
      <c r="AC99"/>
    </row>
    <row r="100" spans="10:29">
      <c r="J100"/>
      <c r="K100"/>
      <c r="L100"/>
      <c r="M100"/>
      <c r="N100"/>
      <c r="O100"/>
      <c r="P100"/>
      <c r="Q100"/>
      <c r="R100"/>
      <c r="S100"/>
      <c r="T100"/>
      <c r="U100"/>
      <c r="V100"/>
      <c r="W100"/>
      <c r="X100"/>
      <c r="Y100"/>
      <c r="Z100"/>
      <c r="AA100"/>
      <c r="AB100"/>
      <c r="AC100"/>
    </row>
    <row r="101" spans="10:29">
      <c r="J101"/>
      <c r="K101"/>
      <c r="L101"/>
      <c r="M101"/>
      <c r="N101"/>
      <c r="O101"/>
      <c r="P101"/>
      <c r="Q101"/>
      <c r="R101"/>
      <c r="S101"/>
      <c r="T101"/>
      <c r="U101"/>
      <c r="V101"/>
      <c r="W101"/>
      <c r="X101"/>
      <c r="Y101"/>
      <c r="Z101"/>
      <c r="AA101"/>
      <c r="AB101"/>
      <c r="AC101"/>
    </row>
    <row r="102" spans="10:29">
      <c r="J102"/>
      <c r="K102"/>
      <c r="L102"/>
      <c r="M102"/>
      <c r="N102"/>
      <c r="O102"/>
      <c r="P102"/>
      <c r="Q102"/>
      <c r="R102"/>
      <c r="S102"/>
      <c r="T102"/>
      <c r="U102"/>
      <c r="V102"/>
      <c r="W102"/>
      <c r="X102"/>
      <c r="Y102"/>
      <c r="Z102"/>
      <c r="AA102"/>
      <c r="AB102"/>
      <c r="AC102"/>
    </row>
    <row r="103" spans="10:29">
      <c r="J103"/>
      <c r="K103"/>
      <c r="L103"/>
      <c r="M103"/>
      <c r="N103"/>
      <c r="O103"/>
      <c r="P103"/>
      <c r="Q103"/>
      <c r="R103"/>
      <c r="S103"/>
      <c r="T103"/>
      <c r="U103"/>
      <c r="V103"/>
      <c r="W103"/>
      <c r="X103"/>
      <c r="Y103"/>
      <c r="Z103"/>
      <c r="AA103"/>
      <c r="AB103"/>
      <c r="AC103"/>
    </row>
    <row r="104" spans="10:29">
      <c r="J104"/>
      <c r="K104"/>
      <c r="L104"/>
      <c r="M104"/>
      <c r="N104"/>
      <c r="O104"/>
      <c r="P104"/>
      <c r="Q104"/>
      <c r="R104"/>
      <c r="S104"/>
      <c r="T104"/>
      <c r="U104"/>
      <c r="V104"/>
      <c r="W104"/>
      <c r="X104"/>
      <c r="Y104"/>
      <c r="Z104"/>
      <c r="AA104"/>
      <c r="AB104"/>
      <c r="AC104"/>
    </row>
    <row r="105" spans="10:29">
      <c r="J105"/>
      <c r="K105"/>
      <c r="L105"/>
      <c r="M105"/>
      <c r="N105"/>
      <c r="O105"/>
      <c r="P105"/>
      <c r="Q105"/>
      <c r="R105"/>
      <c r="S105"/>
      <c r="T105"/>
      <c r="U105"/>
      <c r="V105"/>
      <c r="W105"/>
      <c r="X105"/>
      <c r="Y105"/>
      <c r="Z105"/>
      <c r="AA105"/>
      <c r="AB105"/>
      <c r="AC105"/>
    </row>
    <row r="106" spans="10:29">
      <c r="J106"/>
      <c r="K106"/>
      <c r="L106"/>
      <c r="M106"/>
      <c r="N106"/>
      <c r="O106"/>
      <c r="P106"/>
      <c r="Q106"/>
      <c r="R106"/>
      <c r="S106"/>
      <c r="T106"/>
      <c r="U106"/>
      <c r="V106"/>
      <c r="W106"/>
      <c r="X106"/>
      <c r="Y106"/>
      <c r="Z106"/>
      <c r="AA106"/>
      <c r="AB106"/>
      <c r="AC106"/>
    </row>
    <row r="107" spans="10:29">
      <c r="J107"/>
      <c r="K107"/>
      <c r="L107"/>
      <c r="M107"/>
      <c r="N107"/>
      <c r="O107"/>
      <c r="P107"/>
      <c r="Q107"/>
      <c r="R107"/>
      <c r="S107"/>
      <c r="T107"/>
      <c r="U107"/>
      <c r="V107"/>
      <c r="W107"/>
      <c r="X107"/>
      <c r="Y107"/>
      <c r="Z107"/>
      <c r="AA107"/>
      <c r="AB107"/>
      <c r="AC107"/>
    </row>
    <row r="108" spans="10:29">
      <c r="J108"/>
      <c r="K108"/>
      <c r="L108"/>
      <c r="M108"/>
      <c r="N108"/>
      <c r="O108"/>
      <c r="P108"/>
      <c r="Q108"/>
      <c r="R108"/>
      <c r="S108"/>
      <c r="T108"/>
      <c r="U108"/>
      <c r="V108"/>
      <c r="W108"/>
      <c r="X108"/>
      <c r="Y108"/>
      <c r="Z108"/>
      <c r="AA108"/>
      <c r="AB108"/>
      <c r="AC108"/>
    </row>
    <row r="109" spans="10:29">
      <c r="J109"/>
      <c r="K109"/>
      <c r="L109"/>
      <c r="M109"/>
      <c r="N109"/>
      <c r="O109"/>
      <c r="P109"/>
      <c r="Q109"/>
      <c r="R109"/>
      <c r="S109"/>
      <c r="T109"/>
      <c r="U109"/>
      <c r="V109"/>
      <c r="W109"/>
      <c r="X109"/>
      <c r="Y109"/>
      <c r="Z109"/>
      <c r="AA109"/>
      <c r="AB109"/>
      <c r="AC109"/>
    </row>
    <row r="110" spans="10:29">
      <c r="J110"/>
      <c r="K110"/>
      <c r="L110"/>
      <c r="M110"/>
      <c r="N110"/>
      <c r="O110"/>
      <c r="P110"/>
      <c r="Q110"/>
      <c r="R110"/>
      <c r="S110"/>
      <c r="T110"/>
      <c r="U110"/>
      <c r="V110"/>
      <c r="W110"/>
      <c r="X110"/>
      <c r="Y110"/>
      <c r="Z110"/>
      <c r="AA110"/>
      <c r="AB110"/>
      <c r="AC110"/>
    </row>
    <row r="111" spans="10:29">
      <c r="J111"/>
      <c r="K111"/>
      <c r="L111"/>
      <c r="M111"/>
      <c r="N111"/>
      <c r="O111"/>
      <c r="P111"/>
      <c r="Q111"/>
      <c r="R111"/>
      <c r="S111"/>
      <c r="T111"/>
      <c r="U111"/>
      <c r="V111"/>
      <c r="W111"/>
      <c r="X111"/>
      <c r="Y111"/>
      <c r="Z111"/>
      <c r="AA111"/>
      <c r="AB111"/>
      <c r="AC111"/>
    </row>
    <row r="112" spans="10:29">
      <c r="J112"/>
      <c r="K112"/>
      <c r="L112"/>
      <c r="M112"/>
      <c r="N112"/>
      <c r="O112"/>
      <c r="P112"/>
      <c r="Q112"/>
      <c r="R112"/>
      <c r="S112"/>
      <c r="T112"/>
      <c r="U112"/>
      <c r="V112"/>
      <c r="W112"/>
      <c r="X112"/>
      <c r="Y112"/>
      <c r="Z112"/>
      <c r="AA112"/>
      <c r="AB112"/>
      <c r="AC112"/>
    </row>
    <row r="113" spans="10:29">
      <c r="J113"/>
      <c r="K113"/>
      <c r="L113"/>
      <c r="M113"/>
      <c r="N113"/>
      <c r="O113"/>
      <c r="P113"/>
      <c r="Q113"/>
      <c r="R113"/>
      <c r="S113"/>
      <c r="T113"/>
      <c r="U113"/>
      <c r="V113"/>
      <c r="W113"/>
      <c r="X113"/>
      <c r="Y113"/>
      <c r="Z113"/>
      <c r="AA113"/>
      <c r="AB113"/>
      <c r="AC113"/>
    </row>
    <row r="114" spans="10:29">
      <c r="J114"/>
      <c r="K114"/>
      <c r="L114"/>
      <c r="M114"/>
      <c r="N114"/>
      <c r="O114"/>
      <c r="P114"/>
      <c r="Q114"/>
      <c r="R114"/>
      <c r="S114"/>
      <c r="T114"/>
      <c r="U114"/>
      <c r="V114"/>
      <c r="W114"/>
      <c r="X114"/>
      <c r="Y114"/>
      <c r="Z114"/>
      <c r="AA114"/>
      <c r="AB114"/>
      <c r="AC114"/>
    </row>
    <row r="115" spans="10:29">
      <c r="J115"/>
      <c r="K115"/>
      <c r="L115"/>
      <c r="M115"/>
      <c r="N115"/>
      <c r="O115"/>
      <c r="P115"/>
      <c r="Q115"/>
      <c r="R115"/>
      <c r="S115"/>
      <c r="T115"/>
      <c r="U115"/>
      <c r="V115"/>
      <c r="W115"/>
      <c r="X115"/>
      <c r="Y115"/>
      <c r="Z115"/>
      <c r="AA115"/>
      <c r="AB115"/>
      <c r="AC115"/>
    </row>
  </sheetData>
  <mergeCells count="1">
    <mergeCell ref="E28:I29"/>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theme="8" tint="0.79998168889431442"/>
  </sheetPr>
  <dimension ref="B1:X120"/>
  <sheetViews>
    <sheetView showGridLines="0" workbookViewId="0"/>
  </sheetViews>
  <sheetFormatPr defaultColWidth="8.75" defaultRowHeight="14"/>
  <cols>
    <col min="1" max="1" width="3.58203125" style="150" customWidth="1"/>
    <col min="2" max="16384" width="8.75" style="150"/>
  </cols>
  <sheetData>
    <row r="1" spans="2:21" s="7" customFormat="1" ht="10.5">
      <c r="B1" s="4" t="s">
        <v>753</v>
      </c>
      <c r="C1" s="4"/>
      <c r="D1" s="5"/>
      <c r="E1" s="5"/>
      <c r="F1" s="5"/>
      <c r="G1" s="5"/>
      <c r="H1" s="5"/>
      <c r="I1" s="6"/>
      <c r="J1" s="6"/>
    </row>
    <row r="2" spans="2:21" ht="20">
      <c r="B2" s="2"/>
      <c r="C2" s="264" t="s">
        <v>754</v>
      </c>
      <c r="D2" s="264"/>
      <c r="E2" s="264"/>
      <c r="F2" s="264"/>
      <c r="G2" s="264"/>
      <c r="H2" s="264"/>
      <c r="I2" s="2"/>
      <c r="J2" s="2"/>
      <c r="N2" s="264" t="s">
        <v>755</v>
      </c>
      <c r="O2" s="264"/>
      <c r="P2" s="264"/>
      <c r="Q2" s="264"/>
      <c r="R2" s="264"/>
      <c r="S2" s="264"/>
      <c r="T2" s="2"/>
      <c r="U2" s="2"/>
    </row>
    <row r="3" spans="2:21">
      <c r="B3" s="260" t="s">
        <v>756</v>
      </c>
      <c r="C3" s="265"/>
      <c r="D3" s="265"/>
      <c r="E3" s="265"/>
      <c r="F3" s="265"/>
      <c r="G3" s="265"/>
      <c r="H3" s="265"/>
      <c r="I3" s="2"/>
      <c r="J3" s="2"/>
      <c r="N3" s="260" t="s">
        <v>756</v>
      </c>
      <c r="O3" s="265"/>
      <c r="P3" s="265"/>
      <c r="Q3" s="265"/>
      <c r="R3" s="265"/>
      <c r="S3" s="265"/>
      <c r="T3" s="2"/>
      <c r="U3" s="2"/>
    </row>
    <row r="4" spans="2:21">
      <c r="B4" s="261" t="s">
        <v>757</v>
      </c>
      <c r="C4" s="265"/>
      <c r="D4" s="265"/>
      <c r="E4" s="265"/>
      <c r="F4" s="265"/>
      <c r="G4" s="265"/>
      <c r="H4" s="265"/>
      <c r="I4" s="2"/>
      <c r="J4" s="2"/>
      <c r="N4" s="261" t="s">
        <v>758</v>
      </c>
      <c r="O4" s="265"/>
      <c r="P4" s="265"/>
      <c r="Q4" s="265"/>
      <c r="R4" s="265"/>
      <c r="S4" s="265"/>
      <c r="T4" s="2"/>
      <c r="U4" s="2"/>
    </row>
    <row r="5" spans="2:21">
      <c r="B5" s="2"/>
      <c r="C5" s="266"/>
      <c r="D5" s="172"/>
      <c r="E5" s="172"/>
      <c r="F5" s="172"/>
      <c r="G5" s="172"/>
      <c r="H5" s="172"/>
      <c r="I5" s="172"/>
      <c r="J5" s="2"/>
      <c r="K5" s="266"/>
      <c r="L5" s="172"/>
      <c r="M5" s="172"/>
      <c r="N5" s="172"/>
      <c r="O5" s="172"/>
      <c r="P5" s="172"/>
      <c r="Q5" s="172"/>
      <c r="R5" s="2"/>
      <c r="S5" s="2"/>
      <c r="T5" s="266"/>
      <c r="U5" s="2"/>
    </row>
    <row r="6" spans="2:21" ht="15">
      <c r="B6" s="577" t="s">
        <v>759</v>
      </c>
      <c r="C6" s="577" t="s">
        <v>474</v>
      </c>
      <c r="D6" s="577" t="s">
        <v>285</v>
      </c>
      <c r="E6" s="577" t="s">
        <v>760</v>
      </c>
      <c r="F6" s="577" t="s">
        <v>761</v>
      </c>
      <c r="G6" s="577" t="s">
        <v>762</v>
      </c>
      <c r="H6" s="577" t="s">
        <v>480</v>
      </c>
      <c r="I6" s="577" t="s">
        <v>763</v>
      </c>
      <c r="J6" s="577" t="s">
        <v>475</v>
      </c>
      <c r="L6" s="577" t="s">
        <v>759</v>
      </c>
      <c r="M6" s="577" t="s">
        <v>474</v>
      </c>
      <c r="N6" s="577" t="s">
        <v>285</v>
      </c>
      <c r="O6" s="577" t="s">
        <v>760</v>
      </c>
      <c r="P6" s="577" t="s">
        <v>761</v>
      </c>
      <c r="Q6" s="577" t="s">
        <v>762</v>
      </c>
      <c r="R6" s="577" t="s">
        <v>480</v>
      </c>
      <c r="S6" s="577" t="s">
        <v>763</v>
      </c>
      <c r="T6" s="577" t="s">
        <v>475</v>
      </c>
    </row>
    <row r="7" spans="2:21" ht="14.25" customHeight="1">
      <c r="B7" s="1465" t="s">
        <v>764</v>
      </c>
      <c r="C7" s="578">
        <v>0</v>
      </c>
      <c r="D7" s="262">
        <v>10.682399999999999</v>
      </c>
      <c r="E7" s="263">
        <v>82.094300000000004</v>
      </c>
      <c r="F7" s="262">
        <v>2.0123000000000002</v>
      </c>
      <c r="G7" s="262">
        <v>1.1999999999999999E-3</v>
      </c>
      <c r="H7" s="262">
        <v>1E-3</v>
      </c>
      <c r="I7" s="262">
        <v>0.6855</v>
      </c>
      <c r="J7" s="262">
        <v>1.1000000000000001E-3</v>
      </c>
      <c r="L7" s="1468" t="s">
        <v>764</v>
      </c>
      <c r="M7" s="578">
        <v>0</v>
      </c>
      <c r="N7" s="262">
        <v>5.1787999999999998</v>
      </c>
      <c r="O7" s="263">
        <v>80.975499999999997</v>
      </c>
      <c r="P7" s="262">
        <v>2.5880000000000001</v>
      </c>
      <c r="Q7" s="262">
        <v>1.1999999999999999E-3</v>
      </c>
      <c r="R7" s="262">
        <v>8.9999999999999998E-4</v>
      </c>
      <c r="S7" s="262">
        <v>0.35239999999999999</v>
      </c>
      <c r="T7" s="262">
        <v>1.1000000000000001E-3</v>
      </c>
    </row>
    <row r="8" spans="2:21" ht="14.25" customHeight="1">
      <c r="B8" s="1466"/>
      <c r="C8" s="578">
        <v>5</v>
      </c>
      <c r="D8" s="262">
        <v>19.571300000000001</v>
      </c>
      <c r="E8" s="263">
        <v>3427.6601999999998</v>
      </c>
      <c r="F8" s="262">
        <v>22.089400000000001</v>
      </c>
      <c r="G8" s="262">
        <v>0.41560000000000002</v>
      </c>
      <c r="H8" s="262">
        <v>2.7199999999999998E-2</v>
      </c>
      <c r="I8" s="262">
        <v>3.1109</v>
      </c>
      <c r="J8" s="262">
        <v>0.39750000000000002</v>
      </c>
      <c r="L8" s="1468"/>
      <c r="M8" s="578">
        <v>5</v>
      </c>
      <c r="N8" s="262">
        <v>9.8071999999999999</v>
      </c>
      <c r="O8" s="263">
        <v>2999.5515999999998</v>
      </c>
      <c r="P8" s="262">
        <v>5.2919999999999998</v>
      </c>
      <c r="Q8" s="262">
        <v>3.6799999999999999E-2</v>
      </c>
      <c r="R8" s="262">
        <v>2.3900000000000001E-2</v>
      </c>
      <c r="S8" s="262">
        <v>0.38700000000000001</v>
      </c>
      <c r="T8" s="262">
        <v>3.5099999999999999E-2</v>
      </c>
    </row>
    <row r="9" spans="2:21" ht="14.25" customHeight="1">
      <c r="B9" s="1466"/>
      <c r="C9" s="578">
        <v>6</v>
      </c>
      <c r="D9" s="262">
        <v>18.613700000000001</v>
      </c>
      <c r="E9" s="263">
        <v>3345.9155000000001</v>
      </c>
      <c r="F9" s="262">
        <v>21.155899999999999</v>
      </c>
      <c r="G9" s="262">
        <v>0.39700000000000002</v>
      </c>
      <c r="H9" s="262">
        <v>2.6700000000000002E-2</v>
      </c>
      <c r="I9" s="262">
        <v>2.9232</v>
      </c>
      <c r="J9" s="262">
        <v>0.37980000000000003</v>
      </c>
      <c r="L9" s="1468"/>
      <c r="M9" s="578">
        <v>6</v>
      </c>
      <c r="N9" s="262">
        <v>9.1890999999999998</v>
      </c>
      <c r="O9" s="263">
        <v>2922.5745999999999</v>
      </c>
      <c r="P9" s="262">
        <v>5.0911</v>
      </c>
      <c r="Q9" s="262">
        <v>3.4799999999999998E-2</v>
      </c>
      <c r="R9" s="262">
        <v>2.3400000000000001E-2</v>
      </c>
      <c r="S9" s="262">
        <v>0.3644</v>
      </c>
      <c r="T9" s="262">
        <v>3.32E-2</v>
      </c>
    </row>
    <row r="10" spans="2:21" ht="14.25" customHeight="1">
      <c r="B10" s="1466"/>
      <c r="C10" s="578">
        <v>7</v>
      </c>
      <c r="D10" s="262">
        <v>17.656099999999999</v>
      </c>
      <c r="E10" s="263">
        <v>3264.1707999999999</v>
      </c>
      <c r="F10" s="262">
        <v>20.2224</v>
      </c>
      <c r="G10" s="262">
        <v>0.3785</v>
      </c>
      <c r="H10" s="262">
        <v>2.6100000000000002E-2</v>
      </c>
      <c r="I10" s="262">
        <v>2.7355999999999998</v>
      </c>
      <c r="J10" s="262">
        <v>0.36209999999999998</v>
      </c>
      <c r="L10" s="1468"/>
      <c r="M10" s="578">
        <v>7</v>
      </c>
      <c r="N10" s="262">
        <v>8.5709</v>
      </c>
      <c r="O10" s="263">
        <v>2845.5976999999998</v>
      </c>
      <c r="P10" s="262">
        <v>4.8902000000000001</v>
      </c>
      <c r="Q10" s="262">
        <v>3.2899999999999999E-2</v>
      </c>
      <c r="R10" s="262">
        <v>2.2800000000000001E-2</v>
      </c>
      <c r="S10" s="262">
        <v>0.3417</v>
      </c>
      <c r="T10" s="262">
        <v>3.1300000000000001E-2</v>
      </c>
    </row>
    <row r="11" spans="2:21" ht="14.25" customHeight="1">
      <c r="B11" s="1466"/>
      <c r="C11" s="578">
        <v>8</v>
      </c>
      <c r="D11" s="262">
        <v>16.698499999999999</v>
      </c>
      <c r="E11" s="263">
        <v>3182.4259999999999</v>
      </c>
      <c r="F11" s="262">
        <v>19.288900000000002</v>
      </c>
      <c r="G11" s="262">
        <v>0.36</v>
      </c>
      <c r="H11" s="262">
        <v>2.5499999999999998E-2</v>
      </c>
      <c r="I11" s="262">
        <v>2.548</v>
      </c>
      <c r="J11" s="262">
        <v>0.34439999999999998</v>
      </c>
      <c r="L11" s="1468"/>
      <c r="M11" s="578">
        <v>8</v>
      </c>
      <c r="N11" s="262">
        <v>7.9527999999999999</v>
      </c>
      <c r="O11" s="263">
        <v>2768.6206999999999</v>
      </c>
      <c r="P11" s="262">
        <v>4.6894</v>
      </c>
      <c r="Q11" s="262">
        <v>3.09E-2</v>
      </c>
      <c r="R11" s="262">
        <v>2.23E-2</v>
      </c>
      <c r="S11" s="262">
        <v>0.31909999999999999</v>
      </c>
      <c r="T11" s="262">
        <v>2.9499999999999998E-2</v>
      </c>
    </row>
    <row r="12" spans="2:21" ht="14.25" customHeight="1">
      <c r="B12" s="1466"/>
      <c r="C12" s="578">
        <v>9</v>
      </c>
      <c r="D12" s="262">
        <v>15.7409</v>
      </c>
      <c r="E12" s="263">
        <v>3100.6813000000002</v>
      </c>
      <c r="F12" s="262">
        <v>18.3553</v>
      </c>
      <c r="G12" s="262">
        <v>0.34150000000000003</v>
      </c>
      <c r="H12" s="262">
        <v>2.5000000000000001E-2</v>
      </c>
      <c r="I12" s="262">
        <v>2.3603999999999998</v>
      </c>
      <c r="J12" s="262">
        <v>0.3266</v>
      </c>
      <c r="L12" s="1468"/>
      <c r="M12" s="578">
        <v>9</v>
      </c>
      <c r="N12" s="262">
        <v>7.3346</v>
      </c>
      <c r="O12" s="263">
        <v>2691.6437000000001</v>
      </c>
      <c r="P12" s="262">
        <v>4.4885000000000002</v>
      </c>
      <c r="Q12" s="262">
        <v>2.8899999999999999E-2</v>
      </c>
      <c r="R12" s="262">
        <v>2.18E-2</v>
      </c>
      <c r="S12" s="262">
        <v>0.2964</v>
      </c>
      <c r="T12" s="262">
        <v>2.76E-2</v>
      </c>
    </row>
    <row r="13" spans="2:21" ht="14.25" customHeight="1">
      <c r="B13" s="1466"/>
      <c r="C13" s="578">
        <v>10</v>
      </c>
      <c r="D13" s="262">
        <v>14.783300000000001</v>
      </c>
      <c r="E13" s="263">
        <v>3018.9366</v>
      </c>
      <c r="F13" s="262">
        <v>17.421800000000001</v>
      </c>
      <c r="G13" s="262">
        <v>0.32300000000000001</v>
      </c>
      <c r="H13" s="262">
        <v>2.4400000000000002E-2</v>
      </c>
      <c r="I13" s="262">
        <v>2.1728000000000001</v>
      </c>
      <c r="J13" s="262">
        <v>0.30890000000000001</v>
      </c>
      <c r="L13" s="1468"/>
      <c r="M13" s="578">
        <v>10</v>
      </c>
      <c r="N13" s="262">
        <v>6.7164999999999999</v>
      </c>
      <c r="O13" s="263">
        <v>2614.6668</v>
      </c>
      <c r="P13" s="262">
        <v>4.2876000000000003</v>
      </c>
      <c r="Q13" s="262">
        <v>2.7E-2</v>
      </c>
      <c r="R13" s="262">
        <v>2.12E-2</v>
      </c>
      <c r="S13" s="262">
        <v>0.27379999999999999</v>
      </c>
      <c r="T13" s="262">
        <v>2.5700000000000001E-2</v>
      </c>
    </row>
    <row r="14" spans="2:21" ht="14.25" customHeight="1">
      <c r="B14" s="1466"/>
      <c r="C14" s="578">
        <v>11</v>
      </c>
      <c r="D14" s="262">
        <v>13.961399999999999</v>
      </c>
      <c r="E14" s="263">
        <v>2881.2662</v>
      </c>
      <c r="F14" s="262">
        <v>16.506</v>
      </c>
      <c r="G14" s="262">
        <v>0.3034</v>
      </c>
      <c r="H14" s="262">
        <v>2.3199999999999998E-2</v>
      </c>
      <c r="I14" s="262">
        <v>1.9877</v>
      </c>
      <c r="J14" s="262">
        <v>0.29020000000000001</v>
      </c>
      <c r="L14" s="1468"/>
      <c r="M14" s="578">
        <v>11</v>
      </c>
      <c r="N14" s="262">
        <v>6.1348000000000003</v>
      </c>
      <c r="O14" s="263">
        <v>2484.6687000000002</v>
      </c>
      <c r="P14" s="262">
        <v>3.9695999999999998</v>
      </c>
      <c r="Q14" s="262">
        <v>2.52E-2</v>
      </c>
      <c r="R14" s="262">
        <v>2.01E-2</v>
      </c>
      <c r="S14" s="262">
        <v>0.25119999999999998</v>
      </c>
      <c r="T14" s="262">
        <v>2.4E-2</v>
      </c>
    </row>
    <row r="15" spans="2:21" ht="14.25" customHeight="1">
      <c r="B15" s="1466"/>
      <c r="C15" s="578">
        <v>12</v>
      </c>
      <c r="D15" s="262">
        <v>13.1394</v>
      </c>
      <c r="E15" s="263">
        <v>2743.5956999999999</v>
      </c>
      <c r="F15" s="262">
        <v>15.590299999999999</v>
      </c>
      <c r="G15" s="262">
        <v>0.2838</v>
      </c>
      <c r="H15" s="262">
        <v>2.1999999999999999E-2</v>
      </c>
      <c r="I15" s="262">
        <v>1.8026</v>
      </c>
      <c r="J15" s="262">
        <v>0.27139999999999997</v>
      </c>
      <c r="L15" s="1468"/>
      <c r="M15" s="578">
        <v>12</v>
      </c>
      <c r="N15" s="262">
        <v>5.5532000000000004</v>
      </c>
      <c r="O15" s="263">
        <v>2354.6705999999999</v>
      </c>
      <c r="P15" s="262">
        <v>3.6516000000000002</v>
      </c>
      <c r="Q15" s="262">
        <v>2.3400000000000001E-2</v>
      </c>
      <c r="R15" s="262">
        <v>1.89E-2</v>
      </c>
      <c r="S15" s="262">
        <v>0.2286</v>
      </c>
      <c r="T15" s="262">
        <v>2.24E-2</v>
      </c>
    </row>
    <row r="16" spans="2:21" ht="14.25" customHeight="1">
      <c r="B16" s="1466"/>
      <c r="C16" s="578">
        <v>13</v>
      </c>
      <c r="D16" s="262">
        <v>12.317500000000001</v>
      </c>
      <c r="E16" s="263">
        <v>2605.9252999999999</v>
      </c>
      <c r="F16" s="262">
        <v>14.6745</v>
      </c>
      <c r="G16" s="262">
        <v>0.26419999999999999</v>
      </c>
      <c r="H16" s="262">
        <v>2.0799999999999999E-2</v>
      </c>
      <c r="I16" s="262">
        <v>1.6174999999999999</v>
      </c>
      <c r="J16" s="262">
        <v>0.25269999999999998</v>
      </c>
      <c r="L16" s="1468"/>
      <c r="M16" s="578">
        <v>13</v>
      </c>
      <c r="N16" s="262">
        <v>4.9714999999999998</v>
      </c>
      <c r="O16" s="263">
        <v>2224.6725000000001</v>
      </c>
      <c r="P16" s="262">
        <v>3.3336000000000001</v>
      </c>
      <c r="Q16" s="262">
        <v>2.1700000000000001E-2</v>
      </c>
      <c r="R16" s="262">
        <v>1.78E-2</v>
      </c>
      <c r="S16" s="262">
        <v>0.20599999999999999</v>
      </c>
      <c r="T16" s="262">
        <v>2.07E-2</v>
      </c>
    </row>
    <row r="17" spans="2:20" ht="14.25" customHeight="1">
      <c r="B17" s="1466"/>
      <c r="C17" s="578">
        <v>14</v>
      </c>
      <c r="D17" s="262">
        <v>11.4955</v>
      </c>
      <c r="E17" s="263">
        <v>2468.2548999999999</v>
      </c>
      <c r="F17" s="262">
        <v>13.758800000000001</v>
      </c>
      <c r="G17" s="262">
        <v>0.24460000000000001</v>
      </c>
      <c r="H17" s="262">
        <v>1.9599999999999999E-2</v>
      </c>
      <c r="I17" s="262">
        <v>1.4323999999999999</v>
      </c>
      <c r="J17" s="262">
        <v>0.2339</v>
      </c>
      <c r="L17" s="1468"/>
      <c r="M17" s="578">
        <v>14</v>
      </c>
      <c r="N17" s="262">
        <v>4.3898999999999999</v>
      </c>
      <c r="O17" s="263">
        <v>2094.6743999999999</v>
      </c>
      <c r="P17" s="262">
        <v>3.0156000000000001</v>
      </c>
      <c r="Q17" s="262">
        <v>1.9900000000000001E-2</v>
      </c>
      <c r="R17" s="262">
        <v>1.66E-2</v>
      </c>
      <c r="S17" s="262">
        <v>0.18329999999999999</v>
      </c>
      <c r="T17" s="262">
        <v>1.9E-2</v>
      </c>
    </row>
    <row r="18" spans="2:20" ht="14.25" customHeight="1">
      <c r="B18" s="1466"/>
      <c r="C18" s="578">
        <v>15</v>
      </c>
      <c r="D18" s="262">
        <v>10.6736</v>
      </c>
      <c r="E18" s="263">
        <v>2330.5844999999999</v>
      </c>
      <c r="F18" s="262">
        <v>12.843</v>
      </c>
      <c r="G18" s="262">
        <v>0.22500000000000001</v>
      </c>
      <c r="H18" s="262">
        <v>1.84E-2</v>
      </c>
      <c r="I18" s="262">
        <v>1.2473000000000001</v>
      </c>
      <c r="J18" s="262">
        <v>0.2152</v>
      </c>
      <c r="L18" s="1468"/>
      <c r="M18" s="578">
        <v>15</v>
      </c>
      <c r="N18" s="262">
        <v>3.8081999999999998</v>
      </c>
      <c r="O18" s="263">
        <v>1964.6763000000001</v>
      </c>
      <c r="P18" s="262">
        <v>2.6976</v>
      </c>
      <c r="Q18" s="262">
        <v>1.8200000000000001E-2</v>
      </c>
      <c r="R18" s="262">
        <v>1.54E-2</v>
      </c>
      <c r="S18" s="262">
        <v>0.16070000000000001</v>
      </c>
      <c r="T18" s="262">
        <v>1.7299999999999999E-2</v>
      </c>
    </row>
    <row r="19" spans="2:20" ht="14.25" customHeight="1">
      <c r="B19" s="1466"/>
      <c r="C19" s="578">
        <v>16</v>
      </c>
      <c r="D19" s="262">
        <v>10.6229</v>
      </c>
      <c r="E19" s="263">
        <v>2266.4740999999999</v>
      </c>
      <c r="F19" s="262">
        <v>12.7712</v>
      </c>
      <c r="G19" s="262">
        <v>0.21929999999999999</v>
      </c>
      <c r="H19" s="262">
        <v>1.7500000000000002E-2</v>
      </c>
      <c r="I19" s="262">
        <v>1.1679999999999999</v>
      </c>
      <c r="J19" s="262">
        <v>0.2097</v>
      </c>
      <c r="L19" s="1468"/>
      <c r="M19" s="578">
        <v>16</v>
      </c>
      <c r="N19" s="262">
        <v>3.6562999999999999</v>
      </c>
      <c r="O19" s="263">
        <v>1904.7443000000001</v>
      </c>
      <c r="P19" s="262">
        <v>2.5064000000000002</v>
      </c>
      <c r="Q19" s="262">
        <v>1.7999999999999999E-2</v>
      </c>
      <c r="R19" s="262">
        <v>1.4500000000000001E-2</v>
      </c>
      <c r="S19" s="262">
        <v>0.1489</v>
      </c>
      <c r="T19" s="262">
        <v>1.72E-2</v>
      </c>
    </row>
    <row r="20" spans="2:20" ht="14.25" customHeight="1">
      <c r="B20" s="1466"/>
      <c r="C20" s="578">
        <v>17</v>
      </c>
      <c r="D20" s="262">
        <v>10.5723</v>
      </c>
      <c r="E20" s="263">
        <v>2202.3636999999999</v>
      </c>
      <c r="F20" s="262">
        <v>12.699299999999999</v>
      </c>
      <c r="G20" s="262">
        <v>0.21360000000000001</v>
      </c>
      <c r="H20" s="262">
        <v>1.67E-2</v>
      </c>
      <c r="I20" s="262">
        <v>1.0886</v>
      </c>
      <c r="J20" s="262">
        <v>0.20430000000000001</v>
      </c>
      <c r="L20" s="1468"/>
      <c r="M20" s="578">
        <v>17</v>
      </c>
      <c r="N20" s="262">
        <v>3.5044</v>
      </c>
      <c r="O20" s="263">
        <v>1844.8123000000001</v>
      </c>
      <c r="P20" s="262">
        <v>2.3151999999999999</v>
      </c>
      <c r="Q20" s="262">
        <v>1.7899999999999999E-2</v>
      </c>
      <c r="R20" s="262">
        <v>1.35E-2</v>
      </c>
      <c r="S20" s="262">
        <v>0.13700000000000001</v>
      </c>
      <c r="T20" s="262">
        <v>1.7100000000000001E-2</v>
      </c>
    </row>
    <row r="21" spans="2:20" ht="14.25" customHeight="1">
      <c r="B21" s="1466"/>
      <c r="C21" s="578">
        <v>18</v>
      </c>
      <c r="D21" s="262">
        <v>10.521599999999999</v>
      </c>
      <c r="E21" s="263">
        <v>2138.2534000000001</v>
      </c>
      <c r="F21" s="262">
        <v>12.6275</v>
      </c>
      <c r="G21" s="262">
        <v>0.2079</v>
      </c>
      <c r="H21" s="262">
        <v>1.5800000000000002E-2</v>
      </c>
      <c r="I21" s="262">
        <v>1.0093000000000001</v>
      </c>
      <c r="J21" s="262">
        <v>0.1988</v>
      </c>
      <c r="L21" s="1468"/>
      <c r="M21" s="578">
        <v>18</v>
      </c>
      <c r="N21" s="262">
        <v>3.3525</v>
      </c>
      <c r="O21" s="263">
        <v>1784.8802000000001</v>
      </c>
      <c r="P21" s="262">
        <v>2.1240000000000001</v>
      </c>
      <c r="Q21" s="262">
        <v>1.78E-2</v>
      </c>
      <c r="R21" s="262">
        <v>1.26E-2</v>
      </c>
      <c r="S21" s="262">
        <v>0.12509999999999999</v>
      </c>
      <c r="T21" s="262">
        <v>1.7000000000000001E-2</v>
      </c>
    </row>
    <row r="22" spans="2:20" ht="14.25" customHeight="1">
      <c r="B22" s="1466"/>
      <c r="C22" s="578">
        <v>19</v>
      </c>
      <c r="D22" s="262">
        <v>10.471</v>
      </c>
      <c r="E22" s="263">
        <v>2074.143</v>
      </c>
      <c r="F22" s="262">
        <v>12.5556</v>
      </c>
      <c r="G22" s="262">
        <v>0.20219999999999999</v>
      </c>
      <c r="H22" s="262">
        <v>1.4999999999999999E-2</v>
      </c>
      <c r="I22" s="262">
        <v>0.93</v>
      </c>
      <c r="J22" s="262">
        <v>0.19339999999999999</v>
      </c>
      <c r="L22" s="1468"/>
      <c r="M22" s="578">
        <v>19</v>
      </c>
      <c r="N22" s="262">
        <v>3.2006000000000001</v>
      </c>
      <c r="O22" s="263">
        <v>1724.9482</v>
      </c>
      <c r="P22" s="262">
        <v>1.9328000000000001</v>
      </c>
      <c r="Q22" s="262">
        <v>1.7600000000000001E-2</v>
      </c>
      <c r="R22" s="262">
        <v>1.1599999999999999E-2</v>
      </c>
      <c r="S22" s="262">
        <v>0.1133</v>
      </c>
      <c r="T22" s="262">
        <v>1.6799999999999999E-2</v>
      </c>
    </row>
    <row r="23" spans="2:20" ht="14.25" customHeight="1">
      <c r="B23" s="1466"/>
      <c r="C23" s="578">
        <v>20</v>
      </c>
      <c r="D23" s="262">
        <v>10.420400000000001</v>
      </c>
      <c r="E23" s="263">
        <v>2010.0326</v>
      </c>
      <c r="F23" s="262">
        <v>12.4838</v>
      </c>
      <c r="G23" s="262">
        <v>0.19650000000000001</v>
      </c>
      <c r="H23" s="262">
        <v>1.41E-2</v>
      </c>
      <c r="I23" s="262">
        <v>0.85060000000000002</v>
      </c>
      <c r="J23" s="262">
        <v>0.18790000000000001</v>
      </c>
      <c r="L23" s="1468"/>
      <c r="M23" s="578">
        <v>20</v>
      </c>
      <c r="N23" s="262">
        <v>3.0487000000000002</v>
      </c>
      <c r="O23" s="263">
        <v>1665.0162</v>
      </c>
      <c r="P23" s="262">
        <v>1.7416</v>
      </c>
      <c r="Q23" s="262">
        <v>1.7500000000000002E-2</v>
      </c>
      <c r="R23" s="262">
        <v>1.0699999999999999E-2</v>
      </c>
      <c r="S23" s="262">
        <v>0.1014</v>
      </c>
      <c r="T23" s="262">
        <v>1.67E-2</v>
      </c>
    </row>
    <row r="24" spans="2:20" ht="14.25" customHeight="1">
      <c r="B24" s="1466"/>
      <c r="C24" s="578">
        <v>21</v>
      </c>
      <c r="D24" s="262">
        <v>8.8912999999999993</v>
      </c>
      <c r="E24" s="263">
        <v>1886.1904999999999</v>
      </c>
      <c r="F24" s="262">
        <v>11.132899999999999</v>
      </c>
      <c r="G24" s="262">
        <v>0.16900000000000001</v>
      </c>
      <c r="H24" s="262">
        <v>1.3899999999999999E-2</v>
      </c>
      <c r="I24" s="262">
        <v>0.73109999999999997</v>
      </c>
      <c r="J24" s="262">
        <v>0.16170000000000001</v>
      </c>
      <c r="L24" s="1468"/>
      <c r="M24" s="578">
        <v>21</v>
      </c>
      <c r="N24" s="262">
        <v>2.5385</v>
      </c>
      <c r="O24" s="263">
        <v>1582.4858999999999</v>
      </c>
      <c r="P24" s="262">
        <v>1.601</v>
      </c>
      <c r="Q24" s="262">
        <v>1.4800000000000001E-2</v>
      </c>
      <c r="R24" s="262">
        <v>1.09E-2</v>
      </c>
      <c r="S24" s="262">
        <v>9.2899999999999996E-2</v>
      </c>
      <c r="T24" s="262">
        <v>1.4200000000000001E-2</v>
      </c>
    </row>
    <row r="25" spans="2:20" ht="14.25" customHeight="1">
      <c r="B25" s="1466"/>
      <c r="C25" s="578">
        <v>22</v>
      </c>
      <c r="D25" s="262">
        <v>7.3623000000000003</v>
      </c>
      <c r="E25" s="263">
        <v>1762.3485000000001</v>
      </c>
      <c r="F25" s="262">
        <v>9.7820999999999998</v>
      </c>
      <c r="G25" s="262">
        <v>0.1416</v>
      </c>
      <c r="H25" s="262">
        <v>1.37E-2</v>
      </c>
      <c r="I25" s="262">
        <v>0.61150000000000004</v>
      </c>
      <c r="J25" s="262">
        <v>0.13550000000000001</v>
      </c>
      <c r="L25" s="1468"/>
      <c r="M25" s="578">
        <v>22</v>
      </c>
      <c r="N25" s="262">
        <v>2.0284</v>
      </c>
      <c r="O25" s="263">
        <v>1499.9555</v>
      </c>
      <c r="P25" s="262">
        <v>1.4602999999999999</v>
      </c>
      <c r="Q25" s="262">
        <v>1.2200000000000001E-2</v>
      </c>
      <c r="R25" s="262">
        <v>1.11E-2</v>
      </c>
      <c r="S25" s="262">
        <v>8.43E-2</v>
      </c>
      <c r="T25" s="262">
        <v>1.1599999999999999E-2</v>
      </c>
    </row>
    <row r="26" spans="2:20" ht="14.25" customHeight="1">
      <c r="B26" s="1466"/>
      <c r="C26" s="578">
        <v>23</v>
      </c>
      <c r="D26" s="262">
        <v>5.8333000000000004</v>
      </c>
      <c r="E26" s="263">
        <v>1638.5064</v>
      </c>
      <c r="F26" s="262">
        <v>8.4313000000000002</v>
      </c>
      <c r="G26" s="262">
        <v>0.1142</v>
      </c>
      <c r="H26" s="262">
        <v>1.34E-2</v>
      </c>
      <c r="I26" s="262">
        <v>0.49199999999999999</v>
      </c>
      <c r="J26" s="262">
        <v>0.10920000000000001</v>
      </c>
      <c r="L26" s="1468"/>
      <c r="M26" s="578">
        <v>23</v>
      </c>
      <c r="N26" s="262">
        <v>1.5183</v>
      </c>
      <c r="O26" s="263">
        <v>1417.4251999999999</v>
      </c>
      <c r="P26" s="262">
        <v>1.3197000000000001</v>
      </c>
      <c r="Q26" s="262">
        <v>9.4999999999999998E-3</v>
      </c>
      <c r="R26" s="262">
        <v>1.14E-2</v>
      </c>
      <c r="S26" s="262">
        <v>7.5800000000000006E-2</v>
      </c>
      <c r="T26" s="262">
        <v>9.1000000000000004E-3</v>
      </c>
    </row>
    <row r="27" spans="2:20" ht="14.25" customHeight="1">
      <c r="B27" s="1466"/>
      <c r="C27" s="578">
        <v>24</v>
      </c>
      <c r="D27" s="262">
        <v>4.3042999999999996</v>
      </c>
      <c r="E27" s="263">
        <v>1514.6642999999999</v>
      </c>
      <c r="F27" s="262">
        <v>7.0804</v>
      </c>
      <c r="G27" s="262">
        <v>8.6800000000000002E-2</v>
      </c>
      <c r="H27" s="262">
        <v>1.32E-2</v>
      </c>
      <c r="I27" s="262">
        <v>0.37240000000000001</v>
      </c>
      <c r="J27" s="262">
        <v>8.3000000000000004E-2</v>
      </c>
      <c r="L27" s="1468"/>
      <c r="M27" s="578">
        <v>24</v>
      </c>
      <c r="N27" s="262">
        <v>1.0082</v>
      </c>
      <c r="O27" s="263">
        <v>1334.8948</v>
      </c>
      <c r="P27" s="262">
        <v>1.1791</v>
      </c>
      <c r="Q27" s="262">
        <v>6.7999999999999996E-3</v>
      </c>
      <c r="R27" s="262">
        <v>1.1599999999999999E-2</v>
      </c>
      <c r="S27" s="262">
        <v>6.7299999999999999E-2</v>
      </c>
      <c r="T27" s="262">
        <v>6.4999999999999997E-3</v>
      </c>
    </row>
    <row r="28" spans="2:20" ht="14.25" customHeight="1">
      <c r="B28" s="1466"/>
      <c r="C28" s="578">
        <v>25</v>
      </c>
      <c r="D28" s="262">
        <v>2.7753000000000001</v>
      </c>
      <c r="E28" s="263">
        <v>1390.8223</v>
      </c>
      <c r="F28" s="262">
        <v>5.7295999999999996</v>
      </c>
      <c r="G28" s="262">
        <v>5.9400000000000001E-2</v>
      </c>
      <c r="H28" s="262">
        <v>1.2999999999999999E-2</v>
      </c>
      <c r="I28" s="262">
        <v>0.25290000000000001</v>
      </c>
      <c r="J28" s="262">
        <v>5.6800000000000003E-2</v>
      </c>
      <c r="L28" s="1468"/>
      <c r="M28" s="578">
        <v>25</v>
      </c>
      <c r="N28" s="262">
        <v>0.49809999999999999</v>
      </c>
      <c r="O28" s="263">
        <v>1252.3644999999999</v>
      </c>
      <c r="P28" s="262">
        <v>1.0384</v>
      </c>
      <c r="Q28" s="262">
        <v>4.1000000000000003E-3</v>
      </c>
      <c r="R28" s="262">
        <v>1.18E-2</v>
      </c>
      <c r="S28" s="262">
        <v>5.8700000000000002E-2</v>
      </c>
      <c r="T28" s="262">
        <v>3.8999999999999998E-3</v>
      </c>
    </row>
    <row r="29" spans="2:20" ht="14.25" customHeight="1">
      <c r="B29" s="1466"/>
      <c r="C29" s="578">
        <v>26</v>
      </c>
      <c r="D29" s="262">
        <v>2.7002000000000002</v>
      </c>
      <c r="E29" s="263">
        <v>1372.4390000000001</v>
      </c>
      <c r="F29" s="262">
        <v>5.6622000000000003</v>
      </c>
      <c r="G29" s="262">
        <v>5.7599999999999998E-2</v>
      </c>
      <c r="H29" s="262">
        <v>1.2800000000000001E-2</v>
      </c>
      <c r="I29" s="262">
        <v>0.2422</v>
      </c>
      <c r="J29" s="262">
        <v>5.5E-2</v>
      </c>
      <c r="L29" s="1468"/>
      <c r="M29" s="578">
        <v>26</v>
      </c>
      <c r="N29" s="262">
        <v>0.47760000000000002</v>
      </c>
      <c r="O29" s="263">
        <v>1237.5848000000001</v>
      </c>
      <c r="P29" s="262">
        <v>0.97540000000000004</v>
      </c>
      <c r="Q29" s="262">
        <v>4.0000000000000001E-3</v>
      </c>
      <c r="R29" s="262">
        <v>1.17E-2</v>
      </c>
      <c r="S29" s="262">
        <v>5.5899999999999998E-2</v>
      </c>
      <c r="T29" s="262">
        <v>3.8E-3</v>
      </c>
    </row>
    <row r="30" spans="2:20" ht="14.25" customHeight="1">
      <c r="B30" s="1466"/>
      <c r="C30" s="578">
        <v>27</v>
      </c>
      <c r="D30" s="262">
        <v>2.625</v>
      </c>
      <c r="E30" s="263">
        <v>1354.0558000000001</v>
      </c>
      <c r="F30" s="262">
        <v>5.5948000000000002</v>
      </c>
      <c r="G30" s="262">
        <v>5.5800000000000002E-2</v>
      </c>
      <c r="H30" s="262">
        <v>1.26E-2</v>
      </c>
      <c r="I30" s="262">
        <v>0.23150000000000001</v>
      </c>
      <c r="J30" s="262">
        <v>5.33E-2</v>
      </c>
      <c r="L30" s="1468"/>
      <c r="M30" s="578">
        <v>27</v>
      </c>
      <c r="N30" s="262">
        <v>0.45710000000000001</v>
      </c>
      <c r="O30" s="263">
        <v>1222.8051</v>
      </c>
      <c r="P30" s="262">
        <v>0.91239999999999999</v>
      </c>
      <c r="Q30" s="262">
        <v>3.8999999999999998E-3</v>
      </c>
      <c r="R30" s="262">
        <v>1.15E-2</v>
      </c>
      <c r="S30" s="262">
        <v>5.3100000000000001E-2</v>
      </c>
      <c r="T30" s="262">
        <v>3.7000000000000002E-3</v>
      </c>
    </row>
    <row r="31" spans="2:20" ht="14.25" customHeight="1">
      <c r="B31" s="1466"/>
      <c r="C31" s="578">
        <v>28</v>
      </c>
      <c r="D31" s="262">
        <v>2.5497999999999998</v>
      </c>
      <c r="E31" s="263">
        <v>1335.6726000000001</v>
      </c>
      <c r="F31" s="262">
        <v>5.5273000000000003</v>
      </c>
      <c r="G31" s="262">
        <v>5.3900000000000003E-2</v>
      </c>
      <c r="H31" s="262">
        <v>1.24E-2</v>
      </c>
      <c r="I31" s="262">
        <v>0.2208</v>
      </c>
      <c r="J31" s="262">
        <v>5.16E-2</v>
      </c>
      <c r="L31" s="1468"/>
      <c r="M31" s="578">
        <v>28</v>
      </c>
      <c r="N31" s="262">
        <v>0.43659999999999999</v>
      </c>
      <c r="O31" s="263">
        <v>1208.0254</v>
      </c>
      <c r="P31" s="262">
        <v>0.84930000000000005</v>
      </c>
      <c r="Q31" s="262">
        <v>3.8E-3</v>
      </c>
      <c r="R31" s="262">
        <v>1.14E-2</v>
      </c>
      <c r="S31" s="262">
        <v>5.0299999999999997E-2</v>
      </c>
      <c r="T31" s="262">
        <v>3.5999999999999999E-3</v>
      </c>
    </row>
    <row r="32" spans="2:20" ht="14.25" customHeight="1">
      <c r="B32" s="1466"/>
      <c r="C32" s="578">
        <v>29</v>
      </c>
      <c r="D32" s="262">
        <v>2.4746000000000001</v>
      </c>
      <c r="E32" s="263">
        <v>1317.2893999999999</v>
      </c>
      <c r="F32" s="262">
        <v>5.4599000000000002</v>
      </c>
      <c r="G32" s="262">
        <v>5.21E-2</v>
      </c>
      <c r="H32" s="262">
        <v>1.23E-2</v>
      </c>
      <c r="I32" s="262">
        <v>0.2102</v>
      </c>
      <c r="J32" s="262">
        <v>4.99E-2</v>
      </c>
      <c r="L32" s="1468"/>
      <c r="M32" s="578">
        <v>29</v>
      </c>
      <c r="N32" s="262">
        <v>0.41620000000000001</v>
      </c>
      <c r="O32" s="263">
        <v>1193.2456999999999</v>
      </c>
      <c r="P32" s="262">
        <v>0.7863</v>
      </c>
      <c r="Q32" s="262">
        <v>3.7000000000000002E-3</v>
      </c>
      <c r="R32" s="262">
        <v>1.1299999999999999E-2</v>
      </c>
      <c r="S32" s="262">
        <v>4.7399999999999998E-2</v>
      </c>
      <c r="T32" s="262">
        <v>3.5000000000000001E-3</v>
      </c>
    </row>
    <row r="33" spans="2:20" ht="14.25" customHeight="1">
      <c r="B33" s="1466"/>
      <c r="C33" s="578">
        <v>30</v>
      </c>
      <c r="D33" s="262">
        <v>2.3995000000000002</v>
      </c>
      <c r="E33" s="263">
        <v>1298.9061999999999</v>
      </c>
      <c r="F33" s="262">
        <v>5.3925000000000001</v>
      </c>
      <c r="G33" s="262">
        <v>5.0299999999999997E-2</v>
      </c>
      <c r="H33" s="262">
        <v>1.21E-2</v>
      </c>
      <c r="I33" s="262">
        <v>0.19950000000000001</v>
      </c>
      <c r="J33" s="262">
        <v>4.82E-2</v>
      </c>
      <c r="L33" s="1468"/>
      <c r="M33" s="578">
        <v>30</v>
      </c>
      <c r="N33" s="262">
        <v>0.3957</v>
      </c>
      <c r="O33" s="263">
        <v>1178.4659999999999</v>
      </c>
      <c r="P33" s="262">
        <v>0.72330000000000005</v>
      </c>
      <c r="Q33" s="262">
        <v>3.5999999999999999E-3</v>
      </c>
      <c r="R33" s="262">
        <v>1.11E-2</v>
      </c>
      <c r="S33" s="262">
        <v>4.4600000000000001E-2</v>
      </c>
      <c r="T33" s="262">
        <v>3.3999999999999998E-3</v>
      </c>
    </row>
    <row r="34" spans="2:20" ht="14.25" customHeight="1">
      <c r="B34" s="1466"/>
      <c r="C34" s="578">
        <v>31</v>
      </c>
      <c r="D34" s="262">
        <v>2.3420000000000001</v>
      </c>
      <c r="E34" s="263">
        <v>1282.693</v>
      </c>
      <c r="F34" s="262">
        <v>5.3486000000000002</v>
      </c>
      <c r="G34" s="262">
        <v>4.9200000000000001E-2</v>
      </c>
      <c r="H34" s="262">
        <v>1.2E-2</v>
      </c>
      <c r="I34" s="262">
        <v>0.1915</v>
      </c>
      <c r="J34" s="262">
        <v>4.7E-2</v>
      </c>
      <c r="L34" s="1468"/>
      <c r="M34" s="578">
        <v>31</v>
      </c>
      <c r="N34" s="262">
        <v>0.37990000000000002</v>
      </c>
      <c r="O34" s="263">
        <v>1165.2996000000001</v>
      </c>
      <c r="P34" s="262">
        <v>0.68730000000000002</v>
      </c>
      <c r="Q34" s="262">
        <v>3.5000000000000001E-3</v>
      </c>
      <c r="R34" s="262">
        <v>1.0999999999999999E-2</v>
      </c>
      <c r="S34" s="262">
        <v>4.24E-2</v>
      </c>
      <c r="T34" s="262">
        <v>3.3999999999999998E-3</v>
      </c>
    </row>
    <row r="35" spans="2:20" ht="14.25" customHeight="1">
      <c r="B35" s="1466"/>
      <c r="C35" s="578">
        <v>32</v>
      </c>
      <c r="D35" s="262">
        <v>2.2845</v>
      </c>
      <c r="E35" s="263">
        <v>1266.4799</v>
      </c>
      <c r="F35" s="262">
        <v>5.3045999999999998</v>
      </c>
      <c r="G35" s="262">
        <v>4.8000000000000001E-2</v>
      </c>
      <c r="H35" s="262">
        <v>1.18E-2</v>
      </c>
      <c r="I35" s="262">
        <v>0.18360000000000001</v>
      </c>
      <c r="J35" s="262">
        <v>4.5900000000000003E-2</v>
      </c>
      <c r="L35" s="1468"/>
      <c r="M35" s="578">
        <v>32</v>
      </c>
      <c r="N35" s="262">
        <v>0.36420000000000002</v>
      </c>
      <c r="O35" s="263">
        <v>1152.1332</v>
      </c>
      <c r="P35" s="262">
        <v>0.65129999999999999</v>
      </c>
      <c r="Q35" s="262">
        <v>3.5000000000000001E-3</v>
      </c>
      <c r="R35" s="262">
        <v>1.09E-2</v>
      </c>
      <c r="S35" s="262">
        <v>4.0099999999999997E-2</v>
      </c>
      <c r="T35" s="262">
        <v>3.3E-3</v>
      </c>
    </row>
    <row r="36" spans="2:20" ht="14.25" customHeight="1">
      <c r="B36" s="1466"/>
      <c r="C36" s="578">
        <v>33</v>
      </c>
      <c r="D36" s="262">
        <v>2.2269999999999999</v>
      </c>
      <c r="E36" s="263">
        <v>1250.2666999999999</v>
      </c>
      <c r="F36" s="262">
        <v>5.2606999999999999</v>
      </c>
      <c r="G36" s="262">
        <v>4.6899999999999997E-2</v>
      </c>
      <c r="H36" s="262">
        <v>1.17E-2</v>
      </c>
      <c r="I36" s="262">
        <v>0.1757</v>
      </c>
      <c r="J36" s="262">
        <v>4.48E-2</v>
      </c>
      <c r="L36" s="1468"/>
      <c r="M36" s="578">
        <v>33</v>
      </c>
      <c r="N36" s="262">
        <v>0.34849999999999998</v>
      </c>
      <c r="O36" s="263">
        <v>1138.9667999999999</v>
      </c>
      <c r="P36" s="262">
        <v>0.61539999999999995</v>
      </c>
      <c r="Q36" s="262">
        <v>3.3999999999999998E-3</v>
      </c>
      <c r="R36" s="262">
        <v>1.0800000000000001E-2</v>
      </c>
      <c r="S36" s="262">
        <v>3.7900000000000003E-2</v>
      </c>
      <c r="T36" s="262">
        <v>3.2000000000000002E-3</v>
      </c>
    </row>
    <row r="37" spans="2:20" ht="14.25" customHeight="1">
      <c r="B37" s="1466"/>
      <c r="C37" s="578">
        <v>34</v>
      </c>
      <c r="D37" s="262">
        <v>2.1695000000000002</v>
      </c>
      <c r="E37" s="263">
        <v>1234.0535</v>
      </c>
      <c r="F37" s="262">
        <v>5.2168000000000001</v>
      </c>
      <c r="G37" s="262">
        <v>4.5699999999999998E-2</v>
      </c>
      <c r="H37" s="262">
        <v>1.1599999999999999E-2</v>
      </c>
      <c r="I37" s="262">
        <v>0.1678</v>
      </c>
      <c r="J37" s="262">
        <v>4.3700000000000003E-2</v>
      </c>
      <c r="L37" s="1468"/>
      <c r="M37" s="578">
        <v>34</v>
      </c>
      <c r="N37" s="262">
        <v>0.3327</v>
      </c>
      <c r="O37" s="263">
        <v>1125.8003000000001</v>
      </c>
      <c r="P37" s="262">
        <v>0.57940000000000003</v>
      </c>
      <c r="Q37" s="262">
        <v>3.3E-3</v>
      </c>
      <c r="R37" s="262">
        <v>1.06E-2</v>
      </c>
      <c r="S37" s="262">
        <v>3.56E-2</v>
      </c>
      <c r="T37" s="262">
        <v>3.2000000000000002E-3</v>
      </c>
    </row>
    <row r="38" spans="2:20" ht="14.25" customHeight="1">
      <c r="B38" s="1466"/>
      <c r="C38" s="578">
        <v>35</v>
      </c>
      <c r="D38" s="262">
        <v>2.1120000000000001</v>
      </c>
      <c r="E38" s="263">
        <v>1217.8404</v>
      </c>
      <c r="F38" s="262">
        <v>5.1727999999999996</v>
      </c>
      <c r="G38" s="262">
        <v>4.4499999999999998E-2</v>
      </c>
      <c r="H38" s="262">
        <v>1.14E-2</v>
      </c>
      <c r="I38" s="262">
        <v>0.1598</v>
      </c>
      <c r="J38" s="262">
        <v>4.2599999999999999E-2</v>
      </c>
      <c r="L38" s="1468"/>
      <c r="M38" s="578">
        <v>35</v>
      </c>
      <c r="N38" s="262">
        <v>0.317</v>
      </c>
      <c r="O38" s="263">
        <v>1112.6339</v>
      </c>
      <c r="P38" s="262">
        <v>0.54349999999999998</v>
      </c>
      <c r="Q38" s="262">
        <v>3.3E-3</v>
      </c>
      <c r="R38" s="262">
        <v>1.0500000000000001E-2</v>
      </c>
      <c r="S38" s="262">
        <v>3.3399999999999999E-2</v>
      </c>
      <c r="T38" s="262">
        <v>3.0999999999999999E-3</v>
      </c>
    </row>
    <row r="39" spans="2:20" ht="14.25" customHeight="1">
      <c r="B39" s="1466"/>
      <c r="C39" s="578">
        <v>36</v>
      </c>
      <c r="D39" s="262">
        <v>2.0857000000000001</v>
      </c>
      <c r="E39" s="263">
        <v>1213.3592000000001</v>
      </c>
      <c r="F39" s="262">
        <v>5.0993000000000004</v>
      </c>
      <c r="G39" s="262">
        <v>4.3700000000000003E-2</v>
      </c>
      <c r="H39" s="262">
        <v>1.14E-2</v>
      </c>
      <c r="I39" s="262">
        <v>0.15570000000000001</v>
      </c>
      <c r="J39" s="262">
        <v>4.1799999999999997E-2</v>
      </c>
      <c r="L39" s="1468"/>
      <c r="M39" s="578">
        <v>36</v>
      </c>
      <c r="N39" s="262">
        <v>0.30980000000000002</v>
      </c>
      <c r="O39" s="263">
        <v>1109.2062000000001</v>
      </c>
      <c r="P39" s="262">
        <v>0.52249999999999996</v>
      </c>
      <c r="Q39" s="262">
        <v>3.2000000000000002E-3</v>
      </c>
      <c r="R39" s="262">
        <v>1.0500000000000001E-2</v>
      </c>
      <c r="S39" s="262">
        <v>3.1899999999999998E-2</v>
      </c>
      <c r="T39" s="262">
        <v>3.0999999999999999E-3</v>
      </c>
    </row>
    <row r="40" spans="2:20" ht="14.25" customHeight="1">
      <c r="B40" s="1466"/>
      <c r="C40" s="578">
        <v>37</v>
      </c>
      <c r="D40" s="262">
        <v>2.0594000000000001</v>
      </c>
      <c r="E40" s="263">
        <v>1208.8779999999999</v>
      </c>
      <c r="F40" s="262">
        <v>5.0258000000000003</v>
      </c>
      <c r="G40" s="262">
        <v>4.2900000000000001E-2</v>
      </c>
      <c r="H40" s="262">
        <v>1.1299999999999999E-2</v>
      </c>
      <c r="I40" s="262">
        <v>0.15160000000000001</v>
      </c>
      <c r="J40" s="262">
        <v>4.1000000000000002E-2</v>
      </c>
      <c r="L40" s="1468"/>
      <c r="M40" s="578">
        <v>37</v>
      </c>
      <c r="N40" s="262">
        <v>0.30259999999999998</v>
      </c>
      <c r="O40" s="263">
        <v>1105.7784999999999</v>
      </c>
      <c r="P40" s="262">
        <v>0.50149999999999995</v>
      </c>
      <c r="Q40" s="262">
        <v>3.2000000000000002E-3</v>
      </c>
      <c r="R40" s="262">
        <v>1.04E-2</v>
      </c>
      <c r="S40" s="262">
        <v>3.0499999999999999E-2</v>
      </c>
      <c r="T40" s="262">
        <v>3.0000000000000001E-3</v>
      </c>
    </row>
    <row r="41" spans="2:20" ht="14.25" customHeight="1">
      <c r="B41" s="1466"/>
      <c r="C41" s="578">
        <v>38</v>
      </c>
      <c r="D41" s="262">
        <v>2.0331999999999999</v>
      </c>
      <c r="E41" s="263">
        <v>1204.3969</v>
      </c>
      <c r="F41" s="262">
        <v>4.9523000000000001</v>
      </c>
      <c r="G41" s="262">
        <v>4.2099999999999999E-2</v>
      </c>
      <c r="H41" s="262">
        <v>1.1299999999999999E-2</v>
      </c>
      <c r="I41" s="262">
        <v>0.14749999999999999</v>
      </c>
      <c r="J41" s="262">
        <v>4.02E-2</v>
      </c>
      <c r="L41" s="1468"/>
      <c r="M41" s="578">
        <v>38</v>
      </c>
      <c r="N41" s="262">
        <v>0.29549999999999998</v>
      </c>
      <c r="O41" s="263">
        <v>1102.3507999999999</v>
      </c>
      <c r="P41" s="262">
        <v>0.48049999999999998</v>
      </c>
      <c r="Q41" s="262">
        <v>3.0999999999999999E-3</v>
      </c>
      <c r="R41" s="262">
        <v>1.04E-2</v>
      </c>
      <c r="S41" s="262">
        <v>2.9000000000000001E-2</v>
      </c>
      <c r="T41" s="262">
        <v>3.0000000000000001E-3</v>
      </c>
    </row>
    <row r="42" spans="2:20" ht="14.25" customHeight="1">
      <c r="B42" s="1466"/>
      <c r="C42" s="578">
        <v>39</v>
      </c>
      <c r="D42" s="262">
        <v>2.0068999999999999</v>
      </c>
      <c r="E42" s="263">
        <v>1199.9157</v>
      </c>
      <c r="F42" s="262">
        <v>4.8788</v>
      </c>
      <c r="G42" s="262">
        <v>4.1300000000000003E-2</v>
      </c>
      <c r="H42" s="262">
        <v>1.12E-2</v>
      </c>
      <c r="I42" s="262">
        <v>0.1434</v>
      </c>
      <c r="J42" s="262">
        <v>3.95E-2</v>
      </c>
      <c r="L42" s="1468"/>
      <c r="M42" s="578">
        <v>39</v>
      </c>
      <c r="N42" s="262">
        <v>0.2883</v>
      </c>
      <c r="O42" s="263">
        <v>1098.9231</v>
      </c>
      <c r="P42" s="262">
        <v>0.45950000000000002</v>
      </c>
      <c r="Q42" s="262">
        <v>3.0999999999999999E-3</v>
      </c>
      <c r="R42" s="262">
        <v>1.04E-2</v>
      </c>
      <c r="S42" s="262">
        <v>2.76E-2</v>
      </c>
      <c r="T42" s="262">
        <v>2.8999999999999998E-3</v>
      </c>
    </row>
    <row r="43" spans="2:20" ht="14.25" customHeight="1">
      <c r="B43" s="1466"/>
      <c r="C43" s="578">
        <v>40</v>
      </c>
      <c r="D43" s="262">
        <v>1.9805999999999999</v>
      </c>
      <c r="E43" s="263">
        <v>1195.4346</v>
      </c>
      <c r="F43" s="262">
        <v>4.8052000000000001</v>
      </c>
      <c r="G43" s="262">
        <v>4.0500000000000001E-2</v>
      </c>
      <c r="H43" s="262">
        <v>1.12E-2</v>
      </c>
      <c r="I43" s="262">
        <v>0.13930000000000001</v>
      </c>
      <c r="J43" s="262">
        <v>3.8699999999999998E-2</v>
      </c>
      <c r="L43" s="1468"/>
      <c r="M43" s="578">
        <v>40</v>
      </c>
      <c r="N43" s="262">
        <v>0.28110000000000002</v>
      </c>
      <c r="O43" s="263">
        <v>1095.4953</v>
      </c>
      <c r="P43" s="262">
        <v>0.4385</v>
      </c>
      <c r="Q43" s="262">
        <v>3.0000000000000001E-3</v>
      </c>
      <c r="R43" s="262">
        <v>1.03E-2</v>
      </c>
      <c r="S43" s="262">
        <v>2.6200000000000001E-2</v>
      </c>
      <c r="T43" s="262">
        <v>2.8999999999999998E-3</v>
      </c>
    </row>
    <row r="44" spans="2:20" ht="14.25" customHeight="1">
      <c r="B44" s="1466"/>
      <c r="C44" s="578">
        <v>41</v>
      </c>
      <c r="D44" s="262">
        <v>1.9688000000000001</v>
      </c>
      <c r="E44" s="263">
        <v>1187.5658000000001</v>
      </c>
      <c r="F44" s="262">
        <v>4.7069999999999999</v>
      </c>
      <c r="G44" s="262">
        <v>3.9699999999999999E-2</v>
      </c>
      <c r="H44" s="262">
        <v>1.11E-2</v>
      </c>
      <c r="I44" s="262">
        <v>0.13619999999999999</v>
      </c>
      <c r="J44" s="262">
        <v>3.7999999999999999E-2</v>
      </c>
      <c r="L44" s="1468"/>
      <c r="M44" s="578">
        <v>41</v>
      </c>
      <c r="N44" s="262">
        <v>0.2757</v>
      </c>
      <c r="O44" s="263">
        <v>1088.6442</v>
      </c>
      <c r="P44" s="262">
        <v>0.42170000000000002</v>
      </c>
      <c r="Q44" s="262">
        <v>3.0000000000000001E-3</v>
      </c>
      <c r="R44" s="262">
        <v>1.03E-2</v>
      </c>
      <c r="S44" s="262">
        <v>2.4899999999999999E-2</v>
      </c>
      <c r="T44" s="262">
        <v>2.8E-3</v>
      </c>
    </row>
    <row r="45" spans="2:20" ht="14.25" customHeight="1">
      <c r="B45" s="1466"/>
      <c r="C45" s="578">
        <v>42</v>
      </c>
      <c r="D45" s="262">
        <v>1.9571000000000001</v>
      </c>
      <c r="E45" s="263">
        <v>1179.6969999999999</v>
      </c>
      <c r="F45" s="262">
        <v>4.6087999999999996</v>
      </c>
      <c r="G45" s="262">
        <v>3.8899999999999997E-2</v>
      </c>
      <c r="H45" s="262">
        <v>1.0999999999999999E-2</v>
      </c>
      <c r="I45" s="262">
        <v>0.13300000000000001</v>
      </c>
      <c r="J45" s="262">
        <v>3.7199999999999997E-2</v>
      </c>
      <c r="L45" s="1468"/>
      <c r="M45" s="578">
        <v>42</v>
      </c>
      <c r="N45" s="262">
        <v>0.2702</v>
      </c>
      <c r="O45" s="263">
        <v>1081.7929999999999</v>
      </c>
      <c r="P45" s="262">
        <v>0.40500000000000003</v>
      </c>
      <c r="Q45" s="262">
        <v>2.8999999999999998E-3</v>
      </c>
      <c r="R45" s="262">
        <v>1.0200000000000001E-2</v>
      </c>
      <c r="S45" s="262">
        <v>2.3699999999999999E-2</v>
      </c>
      <c r="T45" s="262">
        <v>2.8E-3</v>
      </c>
    </row>
    <row r="46" spans="2:20" ht="14.25" customHeight="1">
      <c r="B46" s="1466"/>
      <c r="C46" s="578">
        <v>43</v>
      </c>
      <c r="D46" s="262">
        <v>1.9453</v>
      </c>
      <c r="E46" s="263">
        <v>1171.8281999999999</v>
      </c>
      <c r="F46" s="262">
        <v>4.5106000000000002</v>
      </c>
      <c r="G46" s="262">
        <v>3.8199999999999998E-2</v>
      </c>
      <c r="H46" s="262">
        <v>1.09E-2</v>
      </c>
      <c r="I46" s="262">
        <v>0.1298</v>
      </c>
      <c r="J46" s="262">
        <v>3.6499999999999998E-2</v>
      </c>
      <c r="L46" s="1468"/>
      <c r="M46" s="578">
        <v>43</v>
      </c>
      <c r="N46" s="262">
        <v>0.26479999999999998</v>
      </c>
      <c r="O46" s="263">
        <v>1074.9418000000001</v>
      </c>
      <c r="P46" s="262">
        <v>0.38819999999999999</v>
      </c>
      <c r="Q46" s="262">
        <v>2.8999999999999998E-3</v>
      </c>
      <c r="R46" s="262">
        <v>1.01E-2</v>
      </c>
      <c r="S46" s="262">
        <v>2.24E-2</v>
      </c>
      <c r="T46" s="262">
        <v>2.7000000000000001E-3</v>
      </c>
    </row>
    <row r="47" spans="2:20" ht="14.25" customHeight="1">
      <c r="B47" s="1466"/>
      <c r="C47" s="578">
        <v>44</v>
      </c>
      <c r="D47" s="262">
        <v>1.9336</v>
      </c>
      <c r="E47" s="263">
        <v>1163.9594999999999</v>
      </c>
      <c r="F47" s="262">
        <v>4.4123000000000001</v>
      </c>
      <c r="G47" s="262">
        <v>3.7400000000000003E-2</v>
      </c>
      <c r="H47" s="262">
        <v>1.0800000000000001E-2</v>
      </c>
      <c r="I47" s="262">
        <v>0.12670000000000001</v>
      </c>
      <c r="J47" s="262">
        <v>3.5799999999999998E-2</v>
      </c>
      <c r="L47" s="1468"/>
      <c r="M47" s="578">
        <v>44</v>
      </c>
      <c r="N47" s="262">
        <v>0.25929999999999997</v>
      </c>
      <c r="O47" s="263">
        <v>1068.0906</v>
      </c>
      <c r="P47" s="262">
        <v>0.3715</v>
      </c>
      <c r="Q47" s="262">
        <v>2.8E-3</v>
      </c>
      <c r="R47" s="262">
        <v>0.01</v>
      </c>
      <c r="S47" s="262">
        <v>2.12E-2</v>
      </c>
      <c r="T47" s="262">
        <v>2.7000000000000001E-3</v>
      </c>
    </row>
    <row r="48" spans="2:20" ht="14.25" customHeight="1">
      <c r="B48" s="1466"/>
      <c r="C48" s="578">
        <v>45</v>
      </c>
      <c r="D48" s="262">
        <v>1.9218</v>
      </c>
      <c r="E48" s="263">
        <v>1156.0907</v>
      </c>
      <c r="F48" s="262">
        <v>4.3140999999999998</v>
      </c>
      <c r="G48" s="262">
        <v>3.6700000000000003E-2</v>
      </c>
      <c r="H48" s="262">
        <v>1.0800000000000001E-2</v>
      </c>
      <c r="I48" s="262">
        <v>0.1235</v>
      </c>
      <c r="J48" s="262">
        <v>3.5099999999999999E-2</v>
      </c>
      <c r="L48" s="1468"/>
      <c r="M48" s="578">
        <v>45</v>
      </c>
      <c r="N48" s="262">
        <v>0.25390000000000001</v>
      </c>
      <c r="O48" s="263">
        <v>1061.2394999999999</v>
      </c>
      <c r="P48" s="262">
        <v>0.3548</v>
      </c>
      <c r="Q48" s="262">
        <v>2.7000000000000001E-3</v>
      </c>
      <c r="R48" s="262">
        <v>0.01</v>
      </c>
      <c r="S48" s="262">
        <v>1.9900000000000001E-2</v>
      </c>
      <c r="T48" s="262">
        <v>2.5999999999999999E-3</v>
      </c>
    </row>
    <row r="49" spans="2:20" ht="14.25" customHeight="1">
      <c r="B49" s="1466"/>
      <c r="C49" s="578">
        <v>46</v>
      </c>
      <c r="D49" s="262">
        <v>1.8909</v>
      </c>
      <c r="E49" s="263">
        <v>1152.6105</v>
      </c>
      <c r="F49" s="262">
        <v>4.2857000000000003</v>
      </c>
      <c r="G49" s="262">
        <v>3.6900000000000002E-2</v>
      </c>
      <c r="H49" s="262">
        <v>1.0699999999999999E-2</v>
      </c>
      <c r="I49" s="262">
        <v>0.1221</v>
      </c>
      <c r="J49" s="262">
        <v>3.5299999999999998E-2</v>
      </c>
      <c r="L49" s="1468"/>
      <c r="M49" s="578">
        <v>46</v>
      </c>
      <c r="N49" s="262">
        <v>0.24740000000000001</v>
      </c>
      <c r="O49" s="263">
        <v>1059.0695000000001</v>
      </c>
      <c r="P49" s="262">
        <v>0.34510000000000002</v>
      </c>
      <c r="Q49" s="262">
        <v>2.7000000000000001E-3</v>
      </c>
      <c r="R49" s="262">
        <v>0.01</v>
      </c>
      <c r="S49" s="262">
        <v>1.9300000000000001E-2</v>
      </c>
      <c r="T49" s="262">
        <v>2.5999999999999999E-3</v>
      </c>
    </row>
    <row r="50" spans="2:20" ht="14.25" customHeight="1">
      <c r="B50" s="1466"/>
      <c r="C50" s="578">
        <v>47</v>
      </c>
      <c r="D50" s="262">
        <v>1.86</v>
      </c>
      <c r="E50" s="263">
        <v>1149.1303</v>
      </c>
      <c r="F50" s="262">
        <v>4.2572000000000001</v>
      </c>
      <c r="G50" s="262">
        <v>3.7100000000000001E-2</v>
      </c>
      <c r="H50" s="262">
        <v>1.0699999999999999E-2</v>
      </c>
      <c r="I50" s="262">
        <v>0.1208</v>
      </c>
      <c r="J50" s="262">
        <v>3.5499999999999997E-2</v>
      </c>
      <c r="L50" s="1468"/>
      <c r="M50" s="578">
        <v>47</v>
      </c>
      <c r="N50" s="262">
        <v>0.24099999999999999</v>
      </c>
      <c r="O50" s="263">
        <v>1056.8996</v>
      </c>
      <c r="P50" s="262">
        <v>0.33539999999999998</v>
      </c>
      <c r="Q50" s="262">
        <v>2.7000000000000001E-3</v>
      </c>
      <c r="R50" s="262">
        <v>9.9000000000000008E-3</v>
      </c>
      <c r="S50" s="262">
        <v>1.8700000000000001E-2</v>
      </c>
      <c r="T50" s="262">
        <v>2.5999999999999999E-3</v>
      </c>
    </row>
    <row r="51" spans="2:20" ht="14.25" customHeight="1">
      <c r="B51" s="1466"/>
      <c r="C51" s="578">
        <v>48</v>
      </c>
      <c r="D51" s="262">
        <v>1.8290999999999999</v>
      </c>
      <c r="E51" s="263">
        <v>1145.6502</v>
      </c>
      <c r="F51" s="262">
        <v>4.2287999999999997</v>
      </c>
      <c r="G51" s="262">
        <v>3.73E-2</v>
      </c>
      <c r="H51" s="262">
        <v>1.0699999999999999E-2</v>
      </c>
      <c r="I51" s="262">
        <v>0.11940000000000001</v>
      </c>
      <c r="J51" s="262">
        <v>3.56E-2</v>
      </c>
      <c r="L51" s="1468"/>
      <c r="M51" s="578">
        <v>48</v>
      </c>
      <c r="N51" s="262">
        <v>0.2346</v>
      </c>
      <c r="O51" s="263">
        <v>1054.7297000000001</v>
      </c>
      <c r="P51" s="262">
        <v>0.32569999999999999</v>
      </c>
      <c r="Q51" s="262">
        <v>2.7000000000000001E-3</v>
      </c>
      <c r="R51" s="262">
        <v>9.9000000000000008E-3</v>
      </c>
      <c r="S51" s="262">
        <v>1.8100000000000002E-2</v>
      </c>
      <c r="T51" s="262">
        <v>2.5999999999999999E-3</v>
      </c>
    </row>
    <row r="52" spans="2:20" ht="14.25" customHeight="1">
      <c r="B52" s="1466"/>
      <c r="C52" s="578">
        <v>49</v>
      </c>
      <c r="D52" s="262">
        <v>1.7982</v>
      </c>
      <c r="E52" s="263">
        <v>1142.17</v>
      </c>
      <c r="F52" s="262">
        <v>4.2004000000000001</v>
      </c>
      <c r="G52" s="262">
        <v>3.7499999999999999E-2</v>
      </c>
      <c r="H52" s="262">
        <v>1.06E-2</v>
      </c>
      <c r="I52" s="262">
        <v>0.11799999999999999</v>
      </c>
      <c r="J52" s="262">
        <v>3.5799999999999998E-2</v>
      </c>
      <c r="L52" s="1468"/>
      <c r="M52" s="578">
        <v>49</v>
      </c>
      <c r="N52" s="262">
        <v>0.2281</v>
      </c>
      <c r="O52" s="263">
        <v>1052.5597</v>
      </c>
      <c r="P52" s="262">
        <v>0.316</v>
      </c>
      <c r="Q52" s="262">
        <v>2.7000000000000001E-3</v>
      </c>
      <c r="R52" s="262">
        <v>9.9000000000000008E-3</v>
      </c>
      <c r="S52" s="262">
        <v>1.7500000000000002E-2</v>
      </c>
      <c r="T52" s="262">
        <v>2.5000000000000001E-3</v>
      </c>
    </row>
    <row r="53" spans="2:20" ht="14.25" customHeight="1">
      <c r="B53" s="1466"/>
      <c r="C53" s="578">
        <v>50</v>
      </c>
      <c r="D53" s="262">
        <v>1.7673000000000001</v>
      </c>
      <c r="E53" s="263">
        <v>1138.6898000000001</v>
      </c>
      <c r="F53" s="262">
        <v>4.1718999999999999</v>
      </c>
      <c r="G53" s="262">
        <v>3.7699999999999997E-2</v>
      </c>
      <c r="H53" s="262">
        <v>1.06E-2</v>
      </c>
      <c r="I53" s="262">
        <v>0.1166</v>
      </c>
      <c r="J53" s="262">
        <v>3.5999999999999997E-2</v>
      </c>
      <c r="L53" s="1468"/>
      <c r="M53" s="578">
        <v>50</v>
      </c>
      <c r="N53" s="262">
        <v>0.22170000000000001</v>
      </c>
      <c r="O53" s="263">
        <v>1050.3897999999999</v>
      </c>
      <c r="P53" s="262">
        <v>0.30630000000000002</v>
      </c>
      <c r="Q53" s="262">
        <v>2.7000000000000001E-3</v>
      </c>
      <c r="R53" s="262">
        <v>9.9000000000000008E-3</v>
      </c>
      <c r="S53" s="262">
        <v>1.6899999999999998E-2</v>
      </c>
      <c r="T53" s="262">
        <v>2.5000000000000001E-3</v>
      </c>
    </row>
    <row r="54" spans="2:20" ht="14.25" customHeight="1">
      <c r="B54" s="1466"/>
      <c r="C54" s="578">
        <v>51</v>
      </c>
      <c r="D54" s="262">
        <v>1.7407999999999999</v>
      </c>
      <c r="E54" s="263">
        <v>1137.0544</v>
      </c>
      <c r="F54" s="262">
        <v>4.2359</v>
      </c>
      <c r="G54" s="262">
        <v>3.8899999999999997E-2</v>
      </c>
      <c r="H54" s="262">
        <v>1.06E-2</v>
      </c>
      <c r="I54" s="262">
        <v>0.1169</v>
      </c>
      <c r="J54" s="262">
        <v>3.7199999999999997E-2</v>
      </c>
      <c r="L54" s="1468"/>
      <c r="M54" s="578">
        <v>51</v>
      </c>
      <c r="N54" s="262">
        <v>0.21640000000000001</v>
      </c>
      <c r="O54" s="263">
        <v>1048.7627</v>
      </c>
      <c r="P54" s="262">
        <v>0.30349999999999999</v>
      </c>
      <c r="Q54" s="262">
        <v>2.7000000000000001E-3</v>
      </c>
      <c r="R54" s="262">
        <v>9.7999999999999997E-3</v>
      </c>
      <c r="S54" s="262">
        <v>1.6500000000000001E-2</v>
      </c>
      <c r="T54" s="262">
        <v>2.5999999999999999E-3</v>
      </c>
    </row>
    <row r="55" spans="2:20" ht="14.25" customHeight="1">
      <c r="B55" s="1466"/>
      <c r="C55" s="578">
        <v>52</v>
      </c>
      <c r="D55" s="262">
        <v>1.7142999999999999</v>
      </c>
      <c r="E55" s="263">
        <v>1135.4190000000001</v>
      </c>
      <c r="F55" s="262">
        <v>4.2998000000000003</v>
      </c>
      <c r="G55" s="262">
        <v>4.02E-2</v>
      </c>
      <c r="H55" s="262">
        <v>1.06E-2</v>
      </c>
      <c r="I55" s="262">
        <v>0.1172</v>
      </c>
      <c r="J55" s="262">
        <v>3.8399999999999997E-2</v>
      </c>
      <c r="L55" s="1468"/>
      <c r="M55" s="578">
        <v>52</v>
      </c>
      <c r="N55" s="262">
        <v>0.21110000000000001</v>
      </c>
      <c r="O55" s="263">
        <v>1047.1355000000001</v>
      </c>
      <c r="P55" s="262">
        <v>0.30059999999999998</v>
      </c>
      <c r="Q55" s="262">
        <v>2.7000000000000001E-3</v>
      </c>
      <c r="R55" s="262">
        <v>9.7999999999999997E-3</v>
      </c>
      <c r="S55" s="262">
        <v>1.61E-2</v>
      </c>
      <c r="T55" s="262">
        <v>2.5999999999999999E-3</v>
      </c>
    </row>
    <row r="56" spans="2:20" ht="14.25" customHeight="1">
      <c r="B56" s="1466"/>
      <c r="C56" s="578">
        <v>53</v>
      </c>
      <c r="D56" s="262">
        <v>1.6878</v>
      </c>
      <c r="E56" s="263">
        <v>1133.7836</v>
      </c>
      <c r="F56" s="262">
        <v>4.3638000000000003</v>
      </c>
      <c r="G56" s="262">
        <v>4.1399999999999999E-2</v>
      </c>
      <c r="H56" s="262">
        <v>1.0500000000000001E-2</v>
      </c>
      <c r="I56" s="262">
        <v>0.11749999999999999</v>
      </c>
      <c r="J56" s="262">
        <v>3.9600000000000003E-2</v>
      </c>
      <c r="L56" s="1468"/>
      <c r="M56" s="578">
        <v>53</v>
      </c>
      <c r="N56" s="262">
        <v>0.2059</v>
      </c>
      <c r="O56" s="263">
        <v>1045.5083999999999</v>
      </c>
      <c r="P56" s="262">
        <v>0.29770000000000002</v>
      </c>
      <c r="Q56" s="262">
        <v>2.8E-3</v>
      </c>
      <c r="R56" s="262">
        <v>9.7999999999999997E-3</v>
      </c>
      <c r="S56" s="262">
        <v>1.5699999999999999E-2</v>
      </c>
      <c r="T56" s="262">
        <v>2.5999999999999999E-3</v>
      </c>
    </row>
    <row r="57" spans="2:20" ht="14.25" customHeight="1">
      <c r="B57" s="1466"/>
      <c r="C57" s="578">
        <v>54</v>
      </c>
      <c r="D57" s="262">
        <v>1.6613</v>
      </c>
      <c r="E57" s="263">
        <v>1132.1482000000001</v>
      </c>
      <c r="F57" s="262">
        <v>4.4276999999999997</v>
      </c>
      <c r="G57" s="262">
        <v>4.2700000000000002E-2</v>
      </c>
      <c r="H57" s="262">
        <v>1.0500000000000001E-2</v>
      </c>
      <c r="I57" s="262">
        <v>0.1178</v>
      </c>
      <c r="J57" s="262">
        <v>4.0800000000000003E-2</v>
      </c>
      <c r="L57" s="1468"/>
      <c r="M57" s="578">
        <v>54</v>
      </c>
      <c r="N57" s="262">
        <v>0.2006</v>
      </c>
      <c r="O57" s="263">
        <v>1043.8813</v>
      </c>
      <c r="P57" s="262">
        <v>0.29480000000000001</v>
      </c>
      <c r="Q57" s="262">
        <v>2.8E-3</v>
      </c>
      <c r="R57" s="262">
        <v>9.7999999999999997E-3</v>
      </c>
      <c r="S57" s="262">
        <v>1.52E-2</v>
      </c>
      <c r="T57" s="262">
        <v>2.7000000000000001E-3</v>
      </c>
    </row>
    <row r="58" spans="2:20" ht="14.25" customHeight="1">
      <c r="B58" s="1466"/>
      <c r="C58" s="578">
        <v>55</v>
      </c>
      <c r="D58" s="262">
        <v>1.6348</v>
      </c>
      <c r="E58" s="263">
        <v>1130.5128</v>
      </c>
      <c r="F58" s="262">
        <v>4.4916</v>
      </c>
      <c r="G58" s="262">
        <v>4.3999999999999997E-2</v>
      </c>
      <c r="H58" s="262">
        <v>1.0500000000000001E-2</v>
      </c>
      <c r="I58" s="262">
        <v>0.1181</v>
      </c>
      <c r="J58" s="262">
        <v>4.2000000000000003E-2</v>
      </c>
      <c r="L58" s="1468"/>
      <c r="M58" s="578">
        <v>55</v>
      </c>
      <c r="N58" s="262">
        <v>0.19539999999999999</v>
      </c>
      <c r="O58" s="263">
        <v>1042.2542000000001</v>
      </c>
      <c r="P58" s="262">
        <v>0.29189999999999999</v>
      </c>
      <c r="Q58" s="262">
        <v>2.8E-3</v>
      </c>
      <c r="R58" s="262">
        <v>9.7999999999999997E-3</v>
      </c>
      <c r="S58" s="262">
        <v>1.4800000000000001E-2</v>
      </c>
      <c r="T58" s="262">
        <v>2.7000000000000001E-3</v>
      </c>
    </row>
    <row r="59" spans="2:20" ht="14.25" customHeight="1">
      <c r="B59" s="1466"/>
      <c r="C59" s="578">
        <v>56</v>
      </c>
      <c r="D59" s="262">
        <v>1.6585000000000001</v>
      </c>
      <c r="E59" s="263">
        <v>1135.2464</v>
      </c>
      <c r="F59" s="262">
        <v>4.5275999999999996</v>
      </c>
      <c r="G59" s="262">
        <v>4.5100000000000001E-2</v>
      </c>
      <c r="H59" s="262">
        <v>1.0500000000000001E-2</v>
      </c>
      <c r="I59" s="262">
        <v>0.1215</v>
      </c>
      <c r="J59" s="262">
        <v>4.3099999999999999E-2</v>
      </c>
      <c r="L59" s="1468"/>
      <c r="M59" s="578">
        <v>56</v>
      </c>
      <c r="N59" s="262">
        <v>0.19589999999999999</v>
      </c>
      <c r="O59" s="263">
        <v>1045.0907</v>
      </c>
      <c r="P59" s="262">
        <v>0.29339999999999999</v>
      </c>
      <c r="Q59" s="262">
        <v>2.8999999999999998E-3</v>
      </c>
      <c r="R59" s="262">
        <v>9.7999999999999997E-3</v>
      </c>
      <c r="S59" s="262">
        <v>1.4800000000000001E-2</v>
      </c>
      <c r="T59" s="262">
        <v>2.8E-3</v>
      </c>
    </row>
    <row r="60" spans="2:20" ht="14.25" customHeight="1">
      <c r="B60" s="1466"/>
      <c r="C60" s="578">
        <v>57</v>
      </c>
      <c r="D60" s="262">
        <v>1.6821999999999999</v>
      </c>
      <c r="E60" s="263">
        <v>1139.9799</v>
      </c>
      <c r="F60" s="262">
        <v>4.5635000000000003</v>
      </c>
      <c r="G60" s="262">
        <v>4.6300000000000001E-2</v>
      </c>
      <c r="H60" s="262">
        <v>1.0500000000000001E-2</v>
      </c>
      <c r="I60" s="262">
        <v>0.1249</v>
      </c>
      <c r="J60" s="262">
        <v>4.4200000000000003E-2</v>
      </c>
      <c r="L60" s="1468"/>
      <c r="M60" s="578">
        <v>57</v>
      </c>
      <c r="N60" s="262">
        <v>0.1963</v>
      </c>
      <c r="O60" s="263">
        <v>1047.9273000000001</v>
      </c>
      <c r="P60" s="262">
        <v>0.2949</v>
      </c>
      <c r="Q60" s="262">
        <v>2.8999999999999998E-3</v>
      </c>
      <c r="R60" s="262">
        <v>9.7999999999999997E-3</v>
      </c>
      <c r="S60" s="262">
        <v>1.49E-2</v>
      </c>
      <c r="T60" s="262">
        <v>2.8E-3</v>
      </c>
    </row>
    <row r="61" spans="2:20" ht="14.25" customHeight="1">
      <c r="B61" s="1466"/>
      <c r="C61" s="578">
        <v>58</v>
      </c>
      <c r="D61" s="262">
        <v>1.7059</v>
      </c>
      <c r="E61" s="263">
        <v>1144.7134000000001</v>
      </c>
      <c r="F61" s="262">
        <v>4.5994000000000002</v>
      </c>
      <c r="G61" s="262">
        <v>4.7399999999999998E-2</v>
      </c>
      <c r="H61" s="262">
        <v>1.06E-2</v>
      </c>
      <c r="I61" s="262">
        <v>0.1283</v>
      </c>
      <c r="J61" s="262">
        <v>4.5400000000000003E-2</v>
      </c>
      <c r="L61" s="1468"/>
      <c r="M61" s="578">
        <v>58</v>
      </c>
      <c r="N61" s="262">
        <v>0.1968</v>
      </c>
      <c r="O61" s="263">
        <v>1050.7637999999999</v>
      </c>
      <c r="P61" s="262">
        <v>0.29649999999999999</v>
      </c>
      <c r="Q61" s="262">
        <v>3.0000000000000001E-3</v>
      </c>
      <c r="R61" s="262">
        <v>9.7999999999999997E-3</v>
      </c>
      <c r="S61" s="262">
        <v>1.49E-2</v>
      </c>
      <c r="T61" s="262">
        <v>2.8999999999999998E-3</v>
      </c>
    </row>
    <row r="62" spans="2:20" ht="14.25" customHeight="1">
      <c r="B62" s="1466"/>
      <c r="C62" s="578">
        <v>59</v>
      </c>
      <c r="D62" s="262">
        <v>1.7296</v>
      </c>
      <c r="E62" s="263">
        <v>1149.4468999999999</v>
      </c>
      <c r="F62" s="262">
        <v>4.6353999999999997</v>
      </c>
      <c r="G62" s="262">
        <v>4.8599999999999997E-2</v>
      </c>
      <c r="H62" s="262">
        <v>1.06E-2</v>
      </c>
      <c r="I62" s="262">
        <v>0.13170000000000001</v>
      </c>
      <c r="J62" s="262">
        <v>4.65E-2</v>
      </c>
      <c r="L62" s="1468"/>
      <c r="M62" s="578">
        <v>59</v>
      </c>
      <c r="N62" s="262">
        <v>0.1973</v>
      </c>
      <c r="O62" s="263">
        <v>1053.6004</v>
      </c>
      <c r="P62" s="262">
        <v>0.29799999999999999</v>
      </c>
      <c r="Q62" s="262">
        <v>3.0999999999999999E-3</v>
      </c>
      <c r="R62" s="262">
        <v>9.7999999999999997E-3</v>
      </c>
      <c r="S62" s="262">
        <v>1.49E-2</v>
      </c>
      <c r="T62" s="262">
        <v>2.8999999999999998E-3</v>
      </c>
    </row>
    <row r="63" spans="2:20" ht="14.25" customHeight="1">
      <c r="B63" s="1466"/>
      <c r="C63" s="578">
        <v>60</v>
      </c>
      <c r="D63" s="262">
        <v>1.7533000000000001</v>
      </c>
      <c r="E63" s="263">
        <v>1154.1804999999999</v>
      </c>
      <c r="F63" s="262">
        <v>4.6712999999999996</v>
      </c>
      <c r="G63" s="262">
        <v>4.9700000000000001E-2</v>
      </c>
      <c r="H63" s="262">
        <v>1.06E-2</v>
      </c>
      <c r="I63" s="262">
        <v>0.1351</v>
      </c>
      <c r="J63" s="262">
        <v>4.7600000000000003E-2</v>
      </c>
      <c r="L63" s="1468"/>
      <c r="M63" s="578">
        <v>60</v>
      </c>
      <c r="N63" s="262">
        <v>0.1978</v>
      </c>
      <c r="O63" s="263">
        <v>1056.4368999999999</v>
      </c>
      <c r="P63" s="262">
        <v>0.29949999999999999</v>
      </c>
      <c r="Q63" s="262">
        <v>3.0999999999999999E-3</v>
      </c>
      <c r="R63" s="262">
        <v>9.7999999999999997E-3</v>
      </c>
      <c r="S63" s="262">
        <v>1.49E-2</v>
      </c>
      <c r="T63" s="262">
        <v>3.0000000000000001E-3</v>
      </c>
    </row>
    <row r="64" spans="2:20" ht="14.25" customHeight="1">
      <c r="B64" s="1466"/>
      <c r="C64" s="578">
        <v>61</v>
      </c>
      <c r="D64" s="262">
        <v>1.7947</v>
      </c>
      <c r="E64" s="263">
        <v>1155.8176000000001</v>
      </c>
      <c r="F64" s="262">
        <v>4.5965999999999996</v>
      </c>
      <c r="G64" s="262">
        <v>4.8899999999999999E-2</v>
      </c>
      <c r="H64" s="262">
        <v>1.0500000000000001E-2</v>
      </c>
      <c r="I64" s="262">
        <v>0.13800000000000001</v>
      </c>
      <c r="J64" s="262">
        <v>4.6800000000000001E-2</v>
      </c>
      <c r="L64" s="1468"/>
      <c r="M64" s="578">
        <v>61</v>
      </c>
      <c r="N64" s="262">
        <v>0.20100000000000001</v>
      </c>
      <c r="O64" s="263">
        <v>1057.3345999999999</v>
      </c>
      <c r="P64" s="262">
        <v>0.29520000000000002</v>
      </c>
      <c r="Q64" s="262">
        <v>3.0999999999999999E-3</v>
      </c>
      <c r="R64" s="262">
        <v>9.7999999999999997E-3</v>
      </c>
      <c r="S64" s="262">
        <v>1.5100000000000001E-2</v>
      </c>
      <c r="T64" s="262">
        <v>2.8999999999999998E-3</v>
      </c>
    </row>
    <row r="65" spans="2:24" ht="14.25" customHeight="1">
      <c r="B65" s="1466"/>
      <c r="C65" s="578">
        <v>62</v>
      </c>
      <c r="D65" s="262">
        <v>1.8361000000000001</v>
      </c>
      <c r="E65" s="263">
        <v>1157.4547</v>
      </c>
      <c r="F65" s="262">
        <v>4.5217999999999998</v>
      </c>
      <c r="G65" s="262">
        <v>4.8099999999999997E-2</v>
      </c>
      <c r="H65" s="262">
        <v>1.0500000000000001E-2</v>
      </c>
      <c r="I65" s="262">
        <v>0.1409</v>
      </c>
      <c r="J65" s="262">
        <v>4.5999999999999999E-2</v>
      </c>
      <c r="L65" s="1468"/>
      <c r="M65" s="578">
        <v>62</v>
      </c>
      <c r="N65" s="262">
        <v>0.2041</v>
      </c>
      <c r="O65" s="263">
        <v>1058.2321999999999</v>
      </c>
      <c r="P65" s="262">
        <v>0.29089999999999999</v>
      </c>
      <c r="Q65" s="262">
        <v>3.0000000000000001E-3</v>
      </c>
      <c r="R65" s="262">
        <v>9.7999999999999997E-3</v>
      </c>
      <c r="S65" s="262">
        <v>1.5299999999999999E-2</v>
      </c>
      <c r="T65" s="262">
        <v>2.8999999999999998E-3</v>
      </c>
    </row>
    <row r="66" spans="2:24" ht="14.25" customHeight="1">
      <c r="B66" s="1466"/>
      <c r="C66" s="578">
        <v>63</v>
      </c>
      <c r="D66" s="262">
        <v>1.8774999999999999</v>
      </c>
      <c r="E66" s="263">
        <v>1159.0917999999999</v>
      </c>
      <c r="F66" s="262">
        <v>4.4470999999999998</v>
      </c>
      <c r="G66" s="262">
        <v>4.7300000000000002E-2</v>
      </c>
      <c r="H66" s="262">
        <v>1.0500000000000001E-2</v>
      </c>
      <c r="I66" s="262">
        <v>0.1439</v>
      </c>
      <c r="J66" s="262">
        <v>4.5199999999999997E-2</v>
      </c>
      <c r="L66" s="1468"/>
      <c r="M66" s="578">
        <v>63</v>
      </c>
      <c r="N66" s="262">
        <v>0.20730000000000001</v>
      </c>
      <c r="O66" s="263">
        <v>1059.1297999999999</v>
      </c>
      <c r="P66" s="262">
        <v>0.28670000000000001</v>
      </c>
      <c r="Q66" s="262">
        <v>3.0000000000000001E-3</v>
      </c>
      <c r="R66" s="262">
        <v>9.7999999999999997E-3</v>
      </c>
      <c r="S66" s="262">
        <v>1.54E-2</v>
      </c>
      <c r="T66" s="262">
        <v>2.8999999999999998E-3</v>
      </c>
    </row>
    <row r="67" spans="2:24" ht="14.25" customHeight="1">
      <c r="B67" s="1466"/>
      <c r="C67" s="578">
        <v>64</v>
      </c>
      <c r="D67" s="262">
        <v>1.9189000000000001</v>
      </c>
      <c r="E67" s="263">
        <v>1160.729</v>
      </c>
      <c r="F67" s="262">
        <v>4.3723999999999998</v>
      </c>
      <c r="G67" s="262">
        <v>4.65E-2</v>
      </c>
      <c r="H67" s="262">
        <v>1.0500000000000001E-2</v>
      </c>
      <c r="I67" s="262">
        <v>0.14680000000000001</v>
      </c>
      <c r="J67" s="262">
        <v>4.4499999999999998E-2</v>
      </c>
      <c r="L67" s="1468"/>
      <c r="M67" s="578">
        <v>64</v>
      </c>
      <c r="N67" s="262">
        <v>0.21049999999999999</v>
      </c>
      <c r="O67" s="263">
        <v>1060.0273999999999</v>
      </c>
      <c r="P67" s="262">
        <v>0.28239999999999998</v>
      </c>
      <c r="Q67" s="262">
        <v>3.0000000000000001E-3</v>
      </c>
      <c r="R67" s="262">
        <v>9.7999999999999997E-3</v>
      </c>
      <c r="S67" s="262">
        <v>1.5599999999999999E-2</v>
      </c>
      <c r="T67" s="262">
        <v>2.8E-3</v>
      </c>
    </row>
    <row r="68" spans="2:24" ht="14.25" customHeight="1">
      <c r="B68" s="1466"/>
      <c r="C68" s="578">
        <v>65</v>
      </c>
      <c r="D68" s="262">
        <v>1.9601999999999999</v>
      </c>
      <c r="E68" s="263">
        <v>1162.3661</v>
      </c>
      <c r="F68" s="262">
        <v>4.2976000000000001</v>
      </c>
      <c r="G68" s="262">
        <v>4.5699999999999998E-2</v>
      </c>
      <c r="H68" s="262">
        <v>1.04E-2</v>
      </c>
      <c r="I68" s="262">
        <v>0.1497</v>
      </c>
      <c r="J68" s="262">
        <v>4.3700000000000003E-2</v>
      </c>
      <c r="L68" s="1468"/>
      <c r="M68" s="578">
        <v>65</v>
      </c>
      <c r="N68" s="262">
        <v>0.2137</v>
      </c>
      <c r="O68" s="263">
        <v>1060.925</v>
      </c>
      <c r="P68" s="262">
        <v>0.27810000000000001</v>
      </c>
      <c r="Q68" s="262">
        <v>2.8999999999999998E-3</v>
      </c>
      <c r="R68" s="262">
        <v>9.7999999999999997E-3</v>
      </c>
      <c r="S68" s="262">
        <v>1.5800000000000002E-2</v>
      </c>
      <c r="T68" s="262">
        <v>2.8E-3</v>
      </c>
    </row>
    <row r="69" spans="2:24" ht="14.25" customHeight="1">
      <c r="B69" s="1466"/>
      <c r="C69" s="578">
        <v>66</v>
      </c>
      <c r="D69" s="262">
        <v>2.1295999999999999</v>
      </c>
      <c r="E69" s="263">
        <v>1155.4772</v>
      </c>
      <c r="F69" s="262">
        <v>4.0815999999999999</v>
      </c>
      <c r="G69" s="262">
        <v>4.2700000000000002E-2</v>
      </c>
      <c r="H69" s="262">
        <v>1.03E-2</v>
      </c>
      <c r="I69" s="262">
        <v>0.1552</v>
      </c>
      <c r="J69" s="262">
        <v>4.0800000000000003E-2</v>
      </c>
      <c r="L69" s="1468"/>
      <c r="M69" s="578">
        <v>66</v>
      </c>
      <c r="N69" s="262">
        <v>0.22989999999999999</v>
      </c>
      <c r="O69" s="263">
        <v>1055.1764000000001</v>
      </c>
      <c r="P69" s="262">
        <v>0.27810000000000001</v>
      </c>
      <c r="Q69" s="262">
        <v>2.8999999999999998E-3</v>
      </c>
      <c r="R69" s="262">
        <v>9.5999999999999992E-3</v>
      </c>
      <c r="S69" s="262">
        <v>1.6199999999999999E-2</v>
      </c>
      <c r="T69" s="262">
        <v>2.7000000000000001E-3</v>
      </c>
    </row>
    <row r="70" spans="2:24" ht="14.25" customHeight="1">
      <c r="B70" s="1466"/>
      <c r="C70" s="578">
        <v>67</v>
      </c>
      <c r="D70" s="262">
        <v>2.2989000000000002</v>
      </c>
      <c r="E70" s="263">
        <v>1148.5882999999999</v>
      </c>
      <c r="F70" s="262">
        <v>3.8656999999999999</v>
      </c>
      <c r="G70" s="262">
        <v>3.9600000000000003E-2</v>
      </c>
      <c r="H70" s="262">
        <v>1.0200000000000001E-2</v>
      </c>
      <c r="I70" s="262">
        <v>0.16059999999999999</v>
      </c>
      <c r="J70" s="262">
        <v>3.7900000000000003E-2</v>
      </c>
      <c r="L70" s="1468"/>
      <c r="M70" s="578">
        <v>67</v>
      </c>
      <c r="N70" s="262">
        <v>0.24610000000000001</v>
      </c>
      <c r="O70" s="263">
        <v>1049.4277999999999</v>
      </c>
      <c r="P70" s="262">
        <v>0.27800000000000002</v>
      </c>
      <c r="Q70" s="262">
        <v>2.8E-3</v>
      </c>
      <c r="R70" s="262">
        <v>9.4999999999999998E-3</v>
      </c>
      <c r="S70" s="262">
        <v>1.66E-2</v>
      </c>
      <c r="T70" s="262">
        <v>2.7000000000000001E-3</v>
      </c>
    </row>
    <row r="71" spans="2:24" ht="14.25" customHeight="1">
      <c r="B71" s="1466"/>
      <c r="C71" s="578">
        <v>68</v>
      </c>
      <c r="D71" s="262">
        <v>2.4683000000000002</v>
      </c>
      <c r="E71" s="263">
        <v>1141.6994</v>
      </c>
      <c r="F71" s="262">
        <v>3.6497000000000002</v>
      </c>
      <c r="G71" s="262">
        <v>3.6600000000000001E-2</v>
      </c>
      <c r="H71" s="262">
        <v>1.01E-2</v>
      </c>
      <c r="I71" s="262">
        <v>0.16600000000000001</v>
      </c>
      <c r="J71" s="262">
        <v>3.5000000000000003E-2</v>
      </c>
      <c r="L71" s="1468"/>
      <c r="M71" s="578">
        <v>68</v>
      </c>
      <c r="N71" s="262">
        <v>0.26229999999999998</v>
      </c>
      <c r="O71" s="263">
        <v>1043.6792</v>
      </c>
      <c r="P71" s="262">
        <v>0.27800000000000002</v>
      </c>
      <c r="Q71" s="262">
        <v>2.8E-3</v>
      </c>
      <c r="R71" s="262">
        <v>9.4000000000000004E-3</v>
      </c>
      <c r="S71" s="262">
        <v>1.7000000000000001E-2</v>
      </c>
      <c r="T71" s="262">
        <v>2.5999999999999999E-3</v>
      </c>
    </row>
    <row r="72" spans="2:24" ht="14.25" customHeight="1">
      <c r="B72" s="1466"/>
      <c r="C72" s="578">
        <v>69</v>
      </c>
      <c r="D72" s="262">
        <v>2.6375999999999999</v>
      </c>
      <c r="E72" s="263">
        <v>1134.8105</v>
      </c>
      <c r="F72" s="262">
        <v>3.4337</v>
      </c>
      <c r="G72" s="262">
        <v>3.3599999999999998E-2</v>
      </c>
      <c r="H72" s="262">
        <v>0.01</v>
      </c>
      <c r="I72" s="262">
        <v>0.17150000000000001</v>
      </c>
      <c r="J72" s="262">
        <v>3.2099999999999997E-2</v>
      </c>
      <c r="L72" s="1468"/>
      <c r="M72" s="578">
        <v>69</v>
      </c>
      <c r="N72" s="262">
        <v>0.27850000000000003</v>
      </c>
      <c r="O72" s="263">
        <v>1037.9305999999999</v>
      </c>
      <c r="P72" s="262">
        <v>0.27800000000000002</v>
      </c>
      <c r="Q72" s="262">
        <v>2.7000000000000001E-3</v>
      </c>
      <c r="R72" s="262">
        <v>9.2999999999999992E-3</v>
      </c>
      <c r="S72" s="262">
        <v>1.7399999999999999E-2</v>
      </c>
      <c r="T72" s="262">
        <v>2.5999999999999999E-3</v>
      </c>
    </row>
    <row r="73" spans="2:24" ht="14.25" customHeight="1">
      <c r="B73" s="1467"/>
      <c r="C73" s="578">
        <v>70</v>
      </c>
      <c r="D73" s="262">
        <v>2.8069999999999999</v>
      </c>
      <c r="E73" s="263">
        <v>1127.9215999999999</v>
      </c>
      <c r="F73" s="262">
        <v>3.2176999999999998</v>
      </c>
      <c r="G73" s="262">
        <v>3.0599999999999999E-2</v>
      </c>
      <c r="H73" s="262">
        <v>9.9000000000000008E-3</v>
      </c>
      <c r="I73" s="262">
        <v>0.1769</v>
      </c>
      <c r="J73" s="262">
        <v>2.92E-2</v>
      </c>
      <c r="L73" s="1468"/>
      <c r="M73" s="578">
        <v>70</v>
      </c>
      <c r="N73" s="262">
        <v>0.29470000000000002</v>
      </c>
      <c r="O73" s="263">
        <v>1032.182</v>
      </c>
      <c r="P73" s="262">
        <v>0.27789999999999998</v>
      </c>
      <c r="Q73" s="262">
        <v>2.7000000000000001E-3</v>
      </c>
      <c r="R73" s="262">
        <v>9.1999999999999998E-3</v>
      </c>
      <c r="S73" s="262">
        <v>1.78E-2</v>
      </c>
      <c r="T73" s="262">
        <v>2.5000000000000001E-3</v>
      </c>
    </row>
    <row r="75" spans="2:24">
      <c r="B75" s="21"/>
      <c r="C75" s="84" t="s">
        <v>765</v>
      </c>
      <c r="D75" s="94"/>
      <c r="E75" s="94"/>
      <c r="F75" s="94"/>
      <c r="G75" s="94"/>
      <c r="H75" s="94"/>
      <c r="I75" s="95"/>
      <c r="J75" s="95"/>
      <c r="K75" s="22"/>
      <c r="L75" s="22"/>
      <c r="M75" s="22"/>
      <c r="N75" s="22"/>
      <c r="O75" s="22"/>
      <c r="P75" s="22"/>
      <c r="Q75" s="22"/>
      <c r="R75" s="22"/>
      <c r="S75" s="22"/>
      <c r="T75" s="22"/>
      <c r="U75" s="22"/>
      <c r="V75" s="22"/>
      <c r="W75" s="22"/>
      <c r="X75" s="22"/>
    </row>
    <row r="76" spans="2:24">
      <c r="B76" s="21"/>
      <c r="C76" s="84"/>
      <c r="D76" s="94"/>
      <c r="E76" s="94"/>
      <c r="F76" s="94"/>
      <c r="G76" s="94"/>
      <c r="H76" s="94"/>
      <c r="I76" s="95"/>
      <c r="J76" s="95"/>
      <c r="K76" s="22"/>
      <c r="L76" s="22"/>
      <c r="M76" s="22"/>
      <c r="N76" s="22"/>
      <c r="O76" s="22"/>
      <c r="P76" s="22"/>
      <c r="Q76" s="22"/>
      <c r="R76" s="22"/>
      <c r="S76" s="22"/>
      <c r="T76" s="22"/>
      <c r="U76" s="22"/>
      <c r="V76" s="22"/>
      <c r="W76" s="22"/>
      <c r="X76" s="22"/>
    </row>
    <row r="78" spans="2:24" ht="15">
      <c r="C78" s="532"/>
      <c r="D78" s="532" t="s">
        <v>760</v>
      </c>
      <c r="E78" s="532" t="s">
        <v>761</v>
      </c>
      <c r="F78" s="532" t="s">
        <v>762</v>
      </c>
      <c r="G78" s="532" t="s">
        <v>480</v>
      </c>
      <c r="H78" s="532" t="s">
        <v>763</v>
      </c>
      <c r="I78" s="532" t="s">
        <v>475</v>
      </c>
    </row>
    <row r="79" spans="2:24">
      <c r="C79" s="533">
        <v>2016</v>
      </c>
      <c r="D79" s="534">
        <f t="shared" ref="D79:I79" si="0">E8</f>
        <v>3427.6601999999998</v>
      </c>
      <c r="E79" s="534">
        <f>F8</f>
        <v>22.089400000000001</v>
      </c>
      <c r="F79" s="534">
        <f t="shared" si="0"/>
        <v>0.41560000000000002</v>
      </c>
      <c r="G79" s="534">
        <f t="shared" si="0"/>
        <v>2.7199999999999998E-2</v>
      </c>
      <c r="H79" s="534">
        <f t="shared" si="0"/>
        <v>3.1109</v>
      </c>
      <c r="I79" s="534">
        <f t="shared" si="0"/>
        <v>0.39750000000000002</v>
      </c>
    </row>
    <row r="80" spans="2:24" ht="14.5" thickBot="1">
      <c r="C80" s="538">
        <v>2036</v>
      </c>
      <c r="D80" s="539">
        <f t="shared" ref="D80:I80" si="1">O8</f>
        <v>2999.5515999999998</v>
      </c>
      <c r="E80" s="539">
        <f t="shared" si="1"/>
        <v>5.2919999999999998</v>
      </c>
      <c r="F80" s="539">
        <f t="shared" si="1"/>
        <v>3.6799999999999999E-2</v>
      </c>
      <c r="G80" s="539">
        <f t="shared" si="1"/>
        <v>2.3900000000000001E-2</v>
      </c>
      <c r="H80" s="539">
        <f t="shared" si="1"/>
        <v>0.38700000000000001</v>
      </c>
      <c r="I80" s="539">
        <f t="shared" si="1"/>
        <v>3.5099999999999999E-2</v>
      </c>
    </row>
    <row r="81" spans="3:9" ht="14.5" thickTop="1">
      <c r="C81" s="96">
        <v>2016</v>
      </c>
      <c r="D81" s="536">
        <f>IF($C81&lt;=$C$80,TREND(D$79:D$80,$C$79:$C$80,$C81),D80)</f>
        <v>3427.6602000000057</v>
      </c>
      <c r="E81" s="537">
        <f>IF($C81&lt;=$C$80,TREND(E$79:E$80,$C$79:$C$80,$C81),E80)</f>
        <v>22.089400000000069</v>
      </c>
      <c r="F81" s="537">
        <f t="shared" ref="E81:I96" si="2">IF($C81&lt;=$C$80,TREND(F$79:F$80,$C$79:$C$80,$C81),F80)</f>
        <v>0.41559999999999775</v>
      </c>
      <c r="G81" s="537">
        <f t="shared" si="2"/>
        <v>2.7200000000000002E-2</v>
      </c>
      <c r="H81" s="537">
        <f t="shared" si="2"/>
        <v>3.1109000000000151</v>
      </c>
      <c r="I81" s="537">
        <f t="shared" si="2"/>
        <v>0.39749999999999375</v>
      </c>
    </row>
    <row r="82" spans="3:9">
      <c r="C82" s="96">
        <f>C81+1</f>
        <v>2017</v>
      </c>
      <c r="D82" s="536">
        <f t="shared" ref="D82:I97" si="3">IF($C82&lt;=$C$80,TREND(D$79:D$80,$C$79:$C$80,$C82),D81)</f>
        <v>3406.2547700000068</v>
      </c>
      <c r="E82" s="537">
        <f t="shared" si="2"/>
        <v>21.24953000000005</v>
      </c>
      <c r="F82" s="537">
        <f t="shared" si="2"/>
        <v>0.39665999999999713</v>
      </c>
      <c r="G82" s="537">
        <f t="shared" si="2"/>
        <v>2.7034999999999976E-2</v>
      </c>
      <c r="H82" s="537">
        <f t="shared" si="2"/>
        <v>2.9747049999999717</v>
      </c>
      <c r="I82" s="537">
        <f t="shared" si="2"/>
        <v>0.37937999999999761</v>
      </c>
    </row>
    <row r="83" spans="3:9">
      <c r="C83" s="96">
        <f t="shared" ref="C83:C120" si="4">C82+1</f>
        <v>2018</v>
      </c>
      <c r="D83" s="536">
        <f t="shared" si="3"/>
        <v>3384.8493400000079</v>
      </c>
      <c r="E83" s="537">
        <f t="shared" si="2"/>
        <v>20.409660000000031</v>
      </c>
      <c r="F83" s="537">
        <f t="shared" si="2"/>
        <v>0.3777199999999965</v>
      </c>
      <c r="G83" s="537">
        <f t="shared" si="2"/>
        <v>2.6870000000000005E-2</v>
      </c>
      <c r="H83" s="537">
        <f t="shared" si="2"/>
        <v>2.8385099999999852</v>
      </c>
      <c r="I83" s="537">
        <f t="shared" si="2"/>
        <v>0.36125999999999436</v>
      </c>
    </row>
    <row r="84" spans="3:9">
      <c r="C84" s="96">
        <f t="shared" si="4"/>
        <v>2019</v>
      </c>
      <c r="D84" s="536">
        <f t="shared" si="3"/>
        <v>3363.4439100000018</v>
      </c>
      <c r="E84" s="537">
        <f t="shared" si="2"/>
        <v>19.569790000000239</v>
      </c>
      <c r="F84" s="537">
        <f t="shared" si="2"/>
        <v>0.35877999999999588</v>
      </c>
      <c r="G84" s="537">
        <f t="shared" si="2"/>
        <v>2.6704999999999979E-2</v>
      </c>
      <c r="H84" s="537">
        <f t="shared" si="2"/>
        <v>2.7023149999999987</v>
      </c>
      <c r="I84" s="537">
        <f t="shared" si="2"/>
        <v>0.34313999999999822</v>
      </c>
    </row>
    <row r="85" spans="3:9">
      <c r="C85" s="96">
        <f t="shared" si="4"/>
        <v>2020</v>
      </c>
      <c r="D85" s="536">
        <f t="shared" si="3"/>
        <v>3342.0384800000029</v>
      </c>
      <c r="E85" s="537">
        <f t="shared" si="2"/>
        <v>18.72992000000022</v>
      </c>
      <c r="F85" s="537">
        <f t="shared" si="2"/>
        <v>0.33984000000000236</v>
      </c>
      <c r="G85" s="537">
        <f t="shared" si="2"/>
        <v>2.6540000000000008E-2</v>
      </c>
      <c r="H85" s="537">
        <f t="shared" si="2"/>
        <v>2.5661200000000122</v>
      </c>
      <c r="I85" s="537">
        <f t="shared" si="2"/>
        <v>0.32501999999999498</v>
      </c>
    </row>
    <row r="86" spans="3:9">
      <c r="C86" s="96">
        <f t="shared" si="4"/>
        <v>2021</v>
      </c>
      <c r="D86" s="536">
        <f t="shared" si="3"/>
        <v>3320.633050000004</v>
      </c>
      <c r="E86" s="537">
        <f t="shared" si="2"/>
        <v>17.890050000000201</v>
      </c>
      <c r="F86" s="537">
        <f t="shared" si="2"/>
        <v>0.32090000000000174</v>
      </c>
      <c r="G86" s="537">
        <f t="shared" si="2"/>
        <v>2.6374999999999982E-2</v>
      </c>
      <c r="H86" s="537">
        <f t="shared" si="2"/>
        <v>2.4299249999999688</v>
      </c>
      <c r="I86" s="537">
        <f t="shared" si="2"/>
        <v>0.30689999999999884</v>
      </c>
    </row>
    <row r="87" spans="3:9">
      <c r="C87" s="96">
        <f t="shared" si="4"/>
        <v>2022</v>
      </c>
      <c r="D87" s="536">
        <f t="shared" si="3"/>
        <v>3299.2276200000051</v>
      </c>
      <c r="E87" s="537">
        <f t="shared" si="2"/>
        <v>17.050180000000182</v>
      </c>
      <c r="F87" s="537">
        <f t="shared" si="2"/>
        <v>0.30196000000000112</v>
      </c>
      <c r="G87" s="537">
        <f t="shared" si="2"/>
        <v>2.6210000000000011E-2</v>
      </c>
      <c r="H87" s="537">
        <f t="shared" si="2"/>
        <v>2.2937299999999823</v>
      </c>
      <c r="I87" s="537">
        <f t="shared" si="2"/>
        <v>0.2887799999999956</v>
      </c>
    </row>
    <row r="88" spans="3:9">
      <c r="C88" s="96">
        <f t="shared" si="4"/>
        <v>2023</v>
      </c>
      <c r="D88" s="536">
        <f t="shared" si="3"/>
        <v>3277.8221900000062</v>
      </c>
      <c r="E88" s="537">
        <f t="shared" si="2"/>
        <v>16.210310000000163</v>
      </c>
      <c r="F88" s="537">
        <f t="shared" si="2"/>
        <v>0.28302000000000049</v>
      </c>
      <c r="G88" s="537">
        <f t="shared" si="2"/>
        <v>2.6044999999999985E-2</v>
      </c>
      <c r="H88" s="537">
        <f t="shared" si="2"/>
        <v>2.1575349999999958</v>
      </c>
      <c r="I88" s="537">
        <f t="shared" si="2"/>
        <v>0.27065999999999946</v>
      </c>
    </row>
    <row r="89" spans="3:9">
      <c r="C89" s="96">
        <f t="shared" si="4"/>
        <v>2024</v>
      </c>
      <c r="D89" s="536">
        <f t="shared" si="3"/>
        <v>3256.4167600000073</v>
      </c>
      <c r="E89" s="537">
        <f t="shared" si="2"/>
        <v>15.370440000000144</v>
      </c>
      <c r="F89" s="537">
        <f t="shared" si="2"/>
        <v>0.26407999999999987</v>
      </c>
      <c r="G89" s="537">
        <f t="shared" si="2"/>
        <v>2.5880000000000014E-2</v>
      </c>
      <c r="H89" s="537">
        <f t="shared" si="2"/>
        <v>2.0213400000000092</v>
      </c>
      <c r="I89" s="537">
        <f t="shared" si="2"/>
        <v>0.25253999999999621</v>
      </c>
    </row>
    <row r="90" spans="3:9">
      <c r="C90" s="96">
        <f t="shared" si="4"/>
        <v>2025</v>
      </c>
      <c r="D90" s="536">
        <f t="shared" si="3"/>
        <v>3235.0113300000085</v>
      </c>
      <c r="E90" s="537">
        <f t="shared" si="2"/>
        <v>14.530570000000125</v>
      </c>
      <c r="F90" s="537">
        <f t="shared" si="2"/>
        <v>0.24513999999999925</v>
      </c>
      <c r="G90" s="537">
        <f t="shared" si="2"/>
        <v>2.5714999999999988E-2</v>
      </c>
      <c r="H90" s="537">
        <f t="shared" si="2"/>
        <v>1.8851449999999659</v>
      </c>
      <c r="I90" s="537">
        <f t="shared" si="2"/>
        <v>0.23441999999999297</v>
      </c>
    </row>
    <row r="91" spans="3:9">
      <c r="C91" s="96">
        <f t="shared" si="4"/>
        <v>2026</v>
      </c>
      <c r="D91" s="536">
        <f t="shared" si="3"/>
        <v>3213.6059000000023</v>
      </c>
      <c r="E91" s="537">
        <f t="shared" si="2"/>
        <v>13.690700000000106</v>
      </c>
      <c r="F91" s="537">
        <f t="shared" si="2"/>
        <v>0.22619999999999862</v>
      </c>
      <c r="G91" s="537">
        <f t="shared" si="2"/>
        <v>2.5550000000000017E-2</v>
      </c>
      <c r="H91" s="537">
        <f t="shared" si="2"/>
        <v>1.7489499999999794</v>
      </c>
      <c r="I91" s="537">
        <f t="shared" si="2"/>
        <v>0.21629999999999683</v>
      </c>
    </row>
    <row r="92" spans="3:9">
      <c r="C92" s="96">
        <f t="shared" si="4"/>
        <v>2027</v>
      </c>
      <c r="D92" s="536">
        <f t="shared" si="3"/>
        <v>3192.2004700000034</v>
      </c>
      <c r="E92" s="537">
        <f t="shared" si="2"/>
        <v>12.850830000000087</v>
      </c>
      <c r="F92" s="537">
        <f t="shared" si="2"/>
        <v>0.207259999999998</v>
      </c>
      <c r="G92" s="537">
        <f t="shared" si="2"/>
        <v>2.5384999999999991E-2</v>
      </c>
      <c r="H92" s="537">
        <f t="shared" si="2"/>
        <v>1.6127549999999928</v>
      </c>
      <c r="I92" s="537">
        <f t="shared" si="2"/>
        <v>0.19817999999999358</v>
      </c>
    </row>
    <row r="93" spans="3:9">
      <c r="C93" s="96">
        <f t="shared" si="4"/>
        <v>2028</v>
      </c>
      <c r="D93" s="536">
        <f t="shared" si="3"/>
        <v>3170.7950400000045</v>
      </c>
      <c r="E93" s="537">
        <f t="shared" si="2"/>
        <v>12.010960000000068</v>
      </c>
      <c r="F93" s="537">
        <f t="shared" si="2"/>
        <v>0.18831999999999738</v>
      </c>
      <c r="G93" s="537">
        <f t="shared" si="2"/>
        <v>2.5219999999999965E-2</v>
      </c>
      <c r="H93" s="537">
        <f t="shared" si="2"/>
        <v>1.4765600000000063</v>
      </c>
      <c r="I93" s="537">
        <f t="shared" si="2"/>
        <v>0.18005999999999744</v>
      </c>
    </row>
    <row r="94" spans="3:9">
      <c r="C94" s="96">
        <f t="shared" si="4"/>
        <v>2029</v>
      </c>
      <c r="D94" s="536">
        <f t="shared" si="3"/>
        <v>3149.3896100000056</v>
      </c>
      <c r="E94" s="537">
        <f t="shared" si="2"/>
        <v>11.171090000000049</v>
      </c>
      <c r="F94" s="537">
        <f t="shared" si="2"/>
        <v>0.16937999999999676</v>
      </c>
      <c r="G94" s="537">
        <f t="shared" si="2"/>
        <v>2.5054999999999994E-2</v>
      </c>
      <c r="H94" s="537">
        <f t="shared" si="2"/>
        <v>1.3403649999999629</v>
      </c>
      <c r="I94" s="537">
        <f t="shared" si="2"/>
        <v>0.1619399999999942</v>
      </c>
    </row>
    <row r="95" spans="3:9">
      <c r="C95" s="96">
        <f t="shared" si="4"/>
        <v>2030</v>
      </c>
      <c r="D95" s="536">
        <f t="shared" si="3"/>
        <v>3127.9841800000067</v>
      </c>
      <c r="E95" s="537">
        <f t="shared" si="2"/>
        <v>10.33122000000003</v>
      </c>
      <c r="F95" s="537">
        <f t="shared" si="2"/>
        <v>0.15043999999999613</v>
      </c>
      <c r="G95" s="537">
        <f t="shared" si="2"/>
        <v>2.4889999999999968E-2</v>
      </c>
      <c r="H95" s="537">
        <f t="shared" si="2"/>
        <v>1.2041699999999764</v>
      </c>
      <c r="I95" s="537">
        <f t="shared" si="2"/>
        <v>0.14381999999999806</v>
      </c>
    </row>
    <row r="96" spans="3:9">
      <c r="C96" s="96">
        <f t="shared" si="4"/>
        <v>2031</v>
      </c>
      <c r="D96" s="536">
        <f t="shared" si="3"/>
        <v>3106.5787500000079</v>
      </c>
      <c r="E96" s="537">
        <f t="shared" si="2"/>
        <v>9.4913500000002387</v>
      </c>
      <c r="F96" s="537">
        <f t="shared" si="2"/>
        <v>0.13150000000000261</v>
      </c>
      <c r="G96" s="537">
        <f t="shared" si="2"/>
        <v>2.4724999999999997E-2</v>
      </c>
      <c r="H96" s="537">
        <f t="shared" si="2"/>
        <v>1.0679749999999899</v>
      </c>
      <c r="I96" s="537">
        <f t="shared" si="2"/>
        <v>0.12569999999999482</v>
      </c>
    </row>
    <row r="97" spans="3:9">
      <c r="C97" s="96">
        <f t="shared" si="4"/>
        <v>2032</v>
      </c>
      <c r="D97" s="536">
        <f t="shared" si="3"/>
        <v>3085.1733200000017</v>
      </c>
      <c r="E97" s="537">
        <f t="shared" si="3"/>
        <v>8.6514800000002197</v>
      </c>
      <c r="F97" s="537">
        <f t="shared" si="3"/>
        <v>0.11256000000000199</v>
      </c>
      <c r="G97" s="537">
        <f t="shared" si="3"/>
        <v>2.4559999999999971E-2</v>
      </c>
      <c r="H97" s="537">
        <f t="shared" si="3"/>
        <v>0.93178000000000338</v>
      </c>
      <c r="I97" s="537">
        <f t="shared" si="3"/>
        <v>0.10757999999999868</v>
      </c>
    </row>
    <row r="98" spans="3:9">
      <c r="C98" s="96">
        <f t="shared" si="4"/>
        <v>2033</v>
      </c>
      <c r="D98" s="536">
        <f t="shared" ref="D98:I113" si="5">IF($C98&lt;=$C$80,TREND(D$79:D$80,$C$79:$C$80,$C98),D97)</f>
        <v>3063.7678900000028</v>
      </c>
      <c r="E98" s="537">
        <f t="shared" si="5"/>
        <v>7.8116100000002007</v>
      </c>
      <c r="F98" s="537">
        <f t="shared" si="5"/>
        <v>9.3620000000001369E-2</v>
      </c>
      <c r="G98" s="537">
        <f t="shared" si="5"/>
        <v>2.4395E-2</v>
      </c>
      <c r="H98" s="537">
        <f t="shared" si="5"/>
        <v>0.79558500000001686</v>
      </c>
      <c r="I98" s="537">
        <f t="shared" si="5"/>
        <v>8.9459999999995432E-2</v>
      </c>
    </row>
    <row r="99" spans="3:9">
      <c r="C99" s="96">
        <f t="shared" si="4"/>
        <v>2034</v>
      </c>
      <c r="D99" s="536">
        <f t="shared" si="5"/>
        <v>3042.3624600000039</v>
      </c>
      <c r="E99" s="537">
        <f t="shared" si="5"/>
        <v>6.9717400000001817</v>
      </c>
      <c r="F99" s="537">
        <f t="shared" si="5"/>
        <v>7.4680000000000746E-2</v>
      </c>
      <c r="G99" s="537">
        <f t="shared" si="5"/>
        <v>2.4229999999999974E-2</v>
      </c>
      <c r="H99" s="537">
        <f t="shared" si="5"/>
        <v>0.6593899999999735</v>
      </c>
      <c r="I99" s="537">
        <f t="shared" si="5"/>
        <v>7.1339999999999293E-2</v>
      </c>
    </row>
    <row r="100" spans="3:9">
      <c r="C100" s="96">
        <f t="shared" si="4"/>
        <v>2035</v>
      </c>
      <c r="D100" s="536">
        <f t="shared" si="5"/>
        <v>3020.957030000005</v>
      </c>
      <c r="E100" s="537">
        <f t="shared" si="5"/>
        <v>6.1318700000001627</v>
      </c>
      <c r="F100" s="537">
        <f t="shared" si="5"/>
        <v>5.5740000000000123E-2</v>
      </c>
      <c r="G100" s="537">
        <f t="shared" si="5"/>
        <v>2.4065000000000003E-2</v>
      </c>
      <c r="H100" s="537">
        <f t="shared" si="5"/>
        <v>0.52319499999998698</v>
      </c>
      <c r="I100" s="537">
        <f t="shared" si="5"/>
        <v>5.3219999999996048E-2</v>
      </c>
    </row>
    <row r="101" spans="3:9">
      <c r="C101" s="96">
        <f t="shared" si="4"/>
        <v>2036</v>
      </c>
      <c r="D101" s="536">
        <f t="shared" si="5"/>
        <v>2999.5516000000061</v>
      </c>
      <c r="E101" s="537">
        <f t="shared" si="5"/>
        <v>5.2920000000001437</v>
      </c>
      <c r="F101" s="537">
        <f t="shared" si="5"/>
        <v>3.67999999999995E-2</v>
      </c>
      <c r="G101" s="537">
        <f t="shared" si="5"/>
        <v>2.3899999999999977E-2</v>
      </c>
      <c r="H101" s="537">
        <f t="shared" si="5"/>
        <v>0.38700000000000045</v>
      </c>
      <c r="I101" s="537">
        <f t="shared" si="5"/>
        <v>3.5099999999999909E-2</v>
      </c>
    </row>
    <row r="102" spans="3:9">
      <c r="C102" s="96">
        <f t="shared" si="4"/>
        <v>2037</v>
      </c>
      <c r="D102" s="536">
        <f t="shared" si="5"/>
        <v>2999.5516000000061</v>
      </c>
      <c r="E102" s="537">
        <f t="shared" si="5"/>
        <v>5.2920000000001437</v>
      </c>
      <c r="F102" s="537">
        <f t="shared" si="5"/>
        <v>3.67999999999995E-2</v>
      </c>
      <c r="G102" s="537">
        <f t="shared" si="5"/>
        <v>2.3899999999999977E-2</v>
      </c>
      <c r="H102" s="537">
        <f t="shared" si="5"/>
        <v>0.38700000000000045</v>
      </c>
      <c r="I102" s="537">
        <f t="shared" si="5"/>
        <v>3.5099999999999909E-2</v>
      </c>
    </row>
    <row r="103" spans="3:9">
      <c r="C103" s="96">
        <f t="shared" si="4"/>
        <v>2038</v>
      </c>
      <c r="D103" s="536">
        <f t="shared" si="5"/>
        <v>2999.5516000000061</v>
      </c>
      <c r="E103" s="537">
        <f t="shared" si="5"/>
        <v>5.2920000000001437</v>
      </c>
      <c r="F103" s="537">
        <f t="shared" si="5"/>
        <v>3.67999999999995E-2</v>
      </c>
      <c r="G103" s="537">
        <f t="shared" si="5"/>
        <v>2.3899999999999977E-2</v>
      </c>
      <c r="H103" s="537">
        <f t="shared" si="5"/>
        <v>0.38700000000000045</v>
      </c>
      <c r="I103" s="537">
        <f t="shared" si="5"/>
        <v>3.5099999999999909E-2</v>
      </c>
    </row>
    <row r="104" spans="3:9">
      <c r="C104" s="96">
        <f t="shared" si="4"/>
        <v>2039</v>
      </c>
      <c r="D104" s="536">
        <f t="shared" si="5"/>
        <v>2999.5516000000061</v>
      </c>
      <c r="E104" s="537">
        <f t="shared" si="5"/>
        <v>5.2920000000001437</v>
      </c>
      <c r="F104" s="537">
        <f t="shared" si="5"/>
        <v>3.67999999999995E-2</v>
      </c>
      <c r="G104" s="537">
        <f t="shared" si="5"/>
        <v>2.3899999999999977E-2</v>
      </c>
      <c r="H104" s="537">
        <f t="shared" si="5"/>
        <v>0.38700000000000045</v>
      </c>
      <c r="I104" s="537">
        <f t="shared" si="5"/>
        <v>3.5099999999999909E-2</v>
      </c>
    </row>
    <row r="105" spans="3:9">
      <c r="C105" s="96">
        <f t="shared" si="4"/>
        <v>2040</v>
      </c>
      <c r="D105" s="536">
        <f t="shared" si="5"/>
        <v>2999.5516000000061</v>
      </c>
      <c r="E105" s="537">
        <f t="shared" si="5"/>
        <v>5.2920000000001437</v>
      </c>
      <c r="F105" s="537">
        <f t="shared" si="5"/>
        <v>3.67999999999995E-2</v>
      </c>
      <c r="G105" s="537">
        <f t="shared" si="5"/>
        <v>2.3899999999999977E-2</v>
      </c>
      <c r="H105" s="537">
        <f t="shared" si="5"/>
        <v>0.38700000000000045</v>
      </c>
      <c r="I105" s="537">
        <f t="shared" si="5"/>
        <v>3.5099999999999909E-2</v>
      </c>
    </row>
    <row r="106" spans="3:9">
      <c r="C106" s="96">
        <f t="shared" si="4"/>
        <v>2041</v>
      </c>
      <c r="D106" s="536">
        <f t="shared" si="5"/>
        <v>2999.5516000000061</v>
      </c>
      <c r="E106" s="537">
        <f t="shared" si="5"/>
        <v>5.2920000000001437</v>
      </c>
      <c r="F106" s="537">
        <f t="shared" si="5"/>
        <v>3.67999999999995E-2</v>
      </c>
      <c r="G106" s="537">
        <f t="shared" si="5"/>
        <v>2.3899999999999977E-2</v>
      </c>
      <c r="H106" s="537">
        <f t="shared" si="5"/>
        <v>0.38700000000000045</v>
      </c>
      <c r="I106" s="537">
        <f t="shared" si="5"/>
        <v>3.5099999999999909E-2</v>
      </c>
    </row>
    <row r="107" spans="3:9">
      <c r="C107" s="96">
        <f t="shared" si="4"/>
        <v>2042</v>
      </c>
      <c r="D107" s="536">
        <f t="shared" si="5"/>
        <v>2999.5516000000061</v>
      </c>
      <c r="E107" s="537">
        <f t="shared" si="5"/>
        <v>5.2920000000001437</v>
      </c>
      <c r="F107" s="537">
        <f t="shared" si="5"/>
        <v>3.67999999999995E-2</v>
      </c>
      <c r="G107" s="537">
        <f t="shared" si="5"/>
        <v>2.3899999999999977E-2</v>
      </c>
      <c r="H107" s="537">
        <f t="shared" si="5"/>
        <v>0.38700000000000045</v>
      </c>
      <c r="I107" s="537">
        <f t="shared" si="5"/>
        <v>3.5099999999999909E-2</v>
      </c>
    </row>
    <row r="108" spans="3:9">
      <c r="C108" s="96">
        <f t="shared" si="4"/>
        <v>2043</v>
      </c>
      <c r="D108" s="536">
        <f t="shared" si="5"/>
        <v>2999.5516000000061</v>
      </c>
      <c r="E108" s="537">
        <f t="shared" si="5"/>
        <v>5.2920000000001437</v>
      </c>
      <c r="F108" s="537">
        <f t="shared" si="5"/>
        <v>3.67999999999995E-2</v>
      </c>
      <c r="G108" s="537">
        <f t="shared" si="5"/>
        <v>2.3899999999999977E-2</v>
      </c>
      <c r="H108" s="537">
        <f t="shared" si="5"/>
        <v>0.38700000000000045</v>
      </c>
      <c r="I108" s="537">
        <f t="shared" si="5"/>
        <v>3.5099999999999909E-2</v>
      </c>
    </row>
    <row r="109" spans="3:9">
      <c r="C109" s="96">
        <f t="shared" si="4"/>
        <v>2044</v>
      </c>
      <c r="D109" s="536">
        <f t="shared" si="5"/>
        <v>2999.5516000000061</v>
      </c>
      <c r="E109" s="537">
        <f t="shared" si="5"/>
        <v>5.2920000000001437</v>
      </c>
      <c r="F109" s="537">
        <f t="shared" si="5"/>
        <v>3.67999999999995E-2</v>
      </c>
      <c r="G109" s="537">
        <f t="shared" si="5"/>
        <v>2.3899999999999977E-2</v>
      </c>
      <c r="H109" s="537">
        <f t="shared" si="5"/>
        <v>0.38700000000000045</v>
      </c>
      <c r="I109" s="537">
        <f t="shared" si="5"/>
        <v>3.5099999999999909E-2</v>
      </c>
    </row>
    <row r="110" spans="3:9">
      <c r="C110" s="96">
        <f t="shared" si="4"/>
        <v>2045</v>
      </c>
      <c r="D110" s="536">
        <f t="shared" si="5"/>
        <v>2999.5516000000061</v>
      </c>
      <c r="E110" s="537">
        <f t="shared" si="5"/>
        <v>5.2920000000001437</v>
      </c>
      <c r="F110" s="537">
        <f t="shared" si="5"/>
        <v>3.67999999999995E-2</v>
      </c>
      <c r="G110" s="537">
        <f t="shared" si="5"/>
        <v>2.3899999999999977E-2</v>
      </c>
      <c r="H110" s="537">
        <f t="shared" si="5"/>
        <v>0.38700000000000045</v>
      </c>
      <c r="I110" s="537">
        <f t="shared" si="5"/>
        <v>3.5099999999999909E-2</v>
      </c>
    </row>
    <row r="111" spans="3:9">
      <c r="C111" s="96">
        <f t="shared" si="4"/>
        <v>2046</v>
      </c>
      <c r="D111" s="536">
        <f t="shared" si="5"/>
        <v>2999.5516000000061</v>
      </c>
      <c r="E111" s="537">
        <f t="shared" si="5"/>
        <v>5.2920000000001437</v>
      </c>
      <c r="F111" s="537">
        <f t="shared" si="5"/>
        <v>3.67999999999995E-2</v>
      </c>
      <c r="G111" s="537">
        <f t="shared" si="5"/>
        <v>2.3899999999999977E-2</v>
      </c>
      <c r="H111" s="537">
        <f t="shared" si="5"/>
        <v>0.38700000000000045</v>
      </c>
      <c r="I111" s="537">
        <f t="shared" si="5"/>
        <v>3.5099999999999909E-2</v>
      </c>
    </row>
    <row r="112" spans="3:9">
      <c r="C112" s="96">
        <f t="shared" si="4"/>
        <v>2047</v>
      </c>
      <c r="D112" s="536">
        <f t="shared" si="5"/>
        <v>2999.5516000000061</v>
      </c>
      <c r="E112" s="537">
        <f t="shared" si="5"/>
        <v>5.2920000000001437</v>
      </c>
      <c r="F112" s="537">
        <f t="shared" si="5"/>
        <v>3.67999999999995E-2</v>
      </c>
      <c r="G112" s="537">
        <f t="shared" si="5"/>
        <v>2.3899999999999977E-2</v>
      </c>
      <c r="H112" s="537">
        <f t="shared" si="5"/>
        <v>0.38700000000000045</v>
      </c>
      <c r="I112" s="537">
        <f t="shared" si="5"/>
        <v>3.5099999999999909E-2</v>
      </c>
    </row>
    <row r="113" spans="3:9">
      <c r="C113" s="96">
        <f t="shared" si="4"/>
        <v>2048</v>
      </c>
      <c r="D113" s="536">
        <f t="shared" si="5"/>
        <v>2999.5516000000061</v>
      </c>
      <c r="E113" s="537">
        <f t="shared" si="5"/>
        <v>5.2920000000001437</v>
      </c>
      <c r="F113" s="537">
        <f t="shared" si="5"/>
        <v>3.67999999999995E-2</v>
      </c>
      <c r="G113" s="537">
        <f t="shared" si="5"/>
        <v>2.3899999999999977E-2</v>
      </c>
      <c r="H113" s="537">
        <f t="shared" si="5"/>
        <v>0.38700000000000045</v>
      </c>
      <c r="I113" s="537">
        <f t="shared" si="5"/>
        <v>3.5099999999999909E-2</v>
      </c>
    </row>
    <row r="114" spans="3:9">
      <c r="C114" s="96">
        <f t="shared" si="4"/>
        <v>2049</v>
      </c>
      <c r="D114" s="536">
        <f t="shared" ref="D114:I118" si="6">IF($C114&lt;=$C$80,TREND(D$79:D$80,$C$79:$C$80,$C114),D113)</f>
        <v>2999.5516000000061</v>
      </c>
      <c r="E114" s="537">
        <f t="shared" si="6"/>
        <v>5.2920000000001437</v>
      </c>
      <c r="F114" s="537">
        <f t="shared" si="6"/>
        <v>3.67999999999995E-2</v>
      </c>
      <c r="G114" s="537">
        <f t="shared" si="6"/>
        <v>2.3899999999999977E-2</v>
      </c>
      <c r="H114" s="537">
        <f t="shared" si="6"/>
        <v>0.38700000000000045</v>
      </c>
      <c r="I114" s="537">
        <f t="shared" si="6"/>
        <v>3.5099999999999909E-2</v>
      </c>
    </row>
    <row r="115" spans="3:9">
      <c r="C115" s="96">
        <f t="shared" si="4"/>
        <v>2050</v>
      </c>
      <c r="D115" s="536">
        <f t="shared" si="6"/>
        <v>2999.5516000000061</v>
      </c>
      <c r="E115" s="537">
        <f t="shared" si="6"/>
        <v>5.2920000000001437</v>
      </c>
      <c r="F115" s="537">
        <f t="shared" si="6"/>
        <v>3.67999999999995E-2</v>
      </c>
      <c r="G115" s="537">
        <f t="shared" si="6"/>
        <v>2.3899999999999977E-2</v>
      </c>
      <c r="H115" s="537">
        <f t="shared" si="6"/>
        <v>0.38700000000000045</v>
      </c>
      <c r="I115" s="537">
        <f t="shared" si="6"/>
        <v>3.5099999999999909E-2</v>
      </c>
    </row>
    <row r="116" spans="3:9">
      <c r="C116" s="96">
        <f t="shared" si="4"/>
        <v>2051</v>
      </c>
      <c r="D116" s="536">
        <f t="shared" si="6"/>
        <v>2999.5516000000061</v>
      </c>
      <c r="E116" s="537">
        <f t="shared" si="6"/>
        <v>5.2920000000001437</v>
      </c>
      <c r="F116" s="537">
        <f t="shared" si="6"/>
        <v>3.67999999999995E-2</v>
      </c>
      <c r="G116" s="537">
        <f t="shared" si="6"/>
        <v>2.3899999999999977E-2</v>
      </c>
      <c r="H116" s="537">
        <f t="shared" si="6"/>
        <v>0.38700000000000045</v>
      </c>
      <c r="I116" s="537">
        <f t="shared" si="6"/>
        <v>3.5099999999999909E-2</v>
      </c>
    </row>
    <row r="117" spans="3:9">
      <c r="C117" s="96">
        <f t="shared" si="4"/>
        <v>2052</v>
      </c>
      <c r="D117" s="536">
        <f t="shared" si="6"/>
        <v>2999.5516000000061</v>
      </c>
      <c r="E117" s="537">
        <f t="shared" si="6"/>
        <v>5.2920000000001437</v>
      </c>
      <c r="F117" s="537">
        <f t="shared" si="6"/>
        <v>3.67999999999995E-2</v>
      </c>
      <c r="G117" s="537">
        <f t="shared" si="6"/>
        <v>2.3899999999999977E-2</v>
      </c>
      <c r="H117" s="537">
        <f t="shared" si="6"/>
        <v>0.38700000000000045</v>
      </c>
      <c r="I117" s="537">
        <f t="shared" si="6"/>
        <v>3.5099999999999909E-2</v>
      </c>
    </row>
    <row r="118" spans="3:9">
      <c r="C118" s="99">
        <f t="shared" si="4"/>
        <v>2053</v>
      </c>
      <c r="D118" s="579">
        <f t="shared" si="6"/>
        <v>2999.5516000000061</v>
      </c>
      <c r="E118" s="580">
        <f t="shared" si="6"/>
        <v>5.2920000000001437</v>
      </c>
      <c r="F118" s="580">
        <f t="shared" si="6"/>
        <v>3.67999999999995E-2</v>
      </c>
      <c r="G118" s="580">
        <f t="shared" si="6"/>
        <v>2.3899999999999977E-2</v>
      </c>
      <c r="H118" s="580">
        <f t="shared" si="6"/>
        <v>0.38700000000000045</v>
      </c>
      <c r="I118" s="580">
        <f t="shared" si="6"/>
        <v>3.5099999999999909E-2</v>
      </c>
    </row>
    <row r="119" spans="3:9">
      <c r="C119" s="99">
        <f t="shared" si="4"/>
        <v>2054</v>
      </c>
      <c r="D119" s="579">
        <f t="shared" ref="D119:I119" si="7">IF($C119&lt;=$C$80,TREND(D$79:D$80,$C$79:$C$80,$C119),D118)</f>
        <v>2999.5516000000061</v>
      </c>
      <c r="E119" s="580">
        <f t="shared" si="7"/>
        <v>5.2920000000001437</v>
      </c>
      <c r="F119" s="580">
        <f t="shared" si="7"/>
        <v>3.67999999999995E-2</v>
      </c>
      <c r="G119" s="580">
        <f t="shared" si="7"/>
        <v>2.3899999999999977E-2</v>
      </c>
      <c r="H119" s="580">
        <f t="shared" si="7"/>
        <v>0.38700000000000045</v>
      </c>
      <c r="I119" s="580">
        <f t="shared" si="7"/>
        <v>3.5099999999999909E-2</v>
      </c>
    </row>
    <row r="120" spans="3:9">
      <c r="C120" s="99">
        <f t="shared" si="4"/>
        <v>2055</v>
      </c>
      <c r="D120" s="579">
        <f t="shared" ref="D120:I120" si="8">IF($C120&lt;=$C$80,TREND(D$79:D$80,$C$79:$C$80,$C120),D119)</f>
        <v>2999.5516000000061</v>
      </c>
      <c r="E120" s="580">
        <f t="shared" si="8"/>
        <v>5.2920000000001437</v>
      </c>
      <c r="F120" s="580">
        <f t="shared" si="8"/>
        <v>3.67999999999995E-2</v>
      </c>
      <c r="G120" s="580">
        <f t="shared" si="8"/>
        <v>2.3899999999999977E-2</v>
      </c>
      <c r="H120" s="580">
        <f t="shared" si="8"/>
        <v>0.38700000000000045</v>
      </c>
      <c r="I120" s="580">
        <f t="shared" si="8"/>
        <v>3.5099999999999909E-2</v>
      </c>
    </row>
  </sheetData>
  <mergeCells count="2">
    <mergeCell ref="B7:B73"/>
    <mergeCell ref="L7:L7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7">
    <tabColor theme="8" tint="0.79998168889431442"/>
  </sheetPr>
  <dimension ref="A2:AS247"/>
  <sheetViews>
    <sheetView showGridLines="0" zoomScale="70" zoomScaleNormal="70" workbookViewId="0">
      <selection activeCell="A2" sqref="A2"/>
    </sheetView>
  </sheetViews>
  <sheetFormatPr defaultColWidth="9.25" defaultRowHeight="14"/>
  <cols>
    <col min="1" max="1" width="9.58203125" style="150" customWidth="1"/>
    <col min="2" max="22" width="9.25" style="150"/>
    <col min="23" max="23" width="9.25" style="150" customWidth="1"/>
    <col min="24" max="24" width="10.83203125" style="150" customWidth="1"/>
    <col min="25" max="25" width="9.25" style="150"/>
    <col min="26" max="26" width="14.5" style="150" customWidth="1"/>
    <col min="27" max="32" width="9.25" style="150"/>
    <col min="33" max="33" width="14.58203125" style="150" customWidth="1"/>
    <col min="34" max="16384" width="9.25" style="150"/>
  </cols>
  <sheetData>
    <row r="2" spans="1:41">
      <c r="B2" s="154" t="s">
        <v>270</v>
      </c>
      <c r="C2" s="155"/>
      <c r="D2" s="155"/>
      <c r="E2" s="155"/>
      <c r="F2" s="155"/>
      <c r="G2" s="155"/>
      <c r="I2" s="154" t="s">
        <v>271</v>
      </c>
      <c r="J2" s="155"/>
      <c r="K2" s="155"/>
      <c r="L2" s="155"/>
      <c r="M2" s="155"/>
      <c r="N2" s="155"/>
      <c r="P2" s="154" t="s">
        <v>272</v>
      </c>
      <c r="Q2" s="155"/>
      <c r="R2" s="155"/>
      <c r="S2" s="155"/>
      <c r="T2" s="155"/>
      <c r="U2" s="155"/>
      <c r="W2" s="154" t="s">
        <v>286</v>
      </c>
      <c r="X2" s="155"/>
      <c r="Z2" s="154" t="s">
        <v>287</v>
      </c>
      <c r="AA2" s="155"/>
      <c r="AB2" s="155"/>
      <c r="AC2" s="155"/>
      <c r="AD2" s="155"/>
      <c r="AE2" s="155"/>
      <c r="AG2" s="154" t="s">
        <v>288</v>
      </c>
      <c r="AH2" s="155"/>
      <c r="AI2" s="155"/>
      <c r="AJ2" s="155"/>
      <c r="AK2" s="155"/>
      <c r="AL2" s="155"/>
      <c r="AN2" s="154" t="s">
        <v>289</v>
      </c>
      <c r="AO2" s="155"/>
    </row>
    <row r="3" spans="1:41">
      <c r="B3" s="155" t="s">
        <v>7</v>
      </c>
      <c r="C3" s="155" t="s">
        <v>273</v>
      </c>
      <c r="D3" s="155" t="s">
        <v>1070</v>
      </c>
      <c r="E3" s="155" t="s">
        <v>274</v>
      </c>
      <c r="F3" s="155" t="s">
        <v>275</v>
      </c>
      <c r="G3" s="155" t="s">
        <v>276</v>
      </c>
      <c r="I3" s="155" t="s">
        <v>7</v>
      </c>
      <c r="J3" s="155" t="s">
        <v>273</v>
      </c>
      <c r="K3" s="155" t="s">
        <v>1070</v>
      </c>
      <c r="L3" s="155" t="s">
        <v>274</v>
      </c>
      <c r="M3" s="155" t="s">
        <v>275</v>
      </c>
      <c r="N3" s="155" t="s">
        <v>276</v>
      </c>
      <c r="P3" s="155" t="s">
        <v>7</v>
      </c>
      <c r="Q3" s="155" t="s">
        <v>273</v>
      </c>
      <c r="R3" s="155" t="s">
        <v>1070</v>
      </c>
      <c r="S3" s="155" t="s">
        <v>274</v>
      </c>
      <c r="T3" s="155" t="s">
        <v>275</v>
      </c>
      <c r="U3" s="155" t="s">
        <v>276</v>
      </c>
      <c r="W3" s="155" t="s">
        <v>7</v>
      </c>
      <c r="X3" s="155" t="s">
        <v>276</v>
      </c>
      <c r="Z3" s="155" t="s">
        <v>7</v>
      </c>
      <c r="AA3" s="155" t="s">
        <v>273</v>
      </c>
      <c r="AB3" s="155" t="s">
        <v>1070</v>
      </c>
      <c r="AC3" s="155" t="s">
        <v>274</v>
      </c>
      <c r="AD3" s="155" t="s">
        <v>275</v>
      </c>
      <c r="AE3" s="155" t="s">
        <v>276</v>
      </c>
      <c r="AG3" s="155" t="s">
        <v>7</v>
      </c>
      <c r="AH3" s="155" t="s">
        <v>273</v>
      </c>
      <c r="AI3" s="155" t="s">
        <v>1070</v>
      </c>
      <c r="AJ3" s="155" t="s">
        <v>274</v>
      </c>
      <c r="AK3" s="155" t="s">
        <v>275</v>
      </c>
      <c r="AL3" s="155" t="s">
        <v>276</v>
      </c>
      <c r="AN3" s="155" t="s">
        <v>7</v>
      </c>
      <c r="AO3" s="155" t="s">
        <v>276</v>
      </c>
    </row>
    <row r="4" spans="1:41">
      <c r="B4" s="154">
        <v>2009</v>
      </c>
      <c r="C4" s="155">
        <v>165</v>
      </c>
      <c r="D4" s="155">
        <v>241</v>
      </c>
      <c r="E4" s="155">
        <v>242</v>
      </c>
      <c r="F4" s="155">
        <v>200</v>
      </c>
      <c r="G4" s="155">
        <v>172</v>
      </c>
      <c r="I4" s="154">
        <v>2009</v>
      </c>
      <c r="J4" s="155">
        <v>4.9000000000000004</v>
      </c>
      <c r="K4" s="155">
        <v>5.5</v>
      </c>
      <c r="L4" s="155">
        <v>5.7</v>
      </c>
      <c r="M4" s="155">
        <v>5</v>
      </c>
      <c r="N4" s="155">
        <v>4.9000000000000004</v>
      </c>
      <c r="P4" s="154">
        <v>2009</v>
      </c>
      <c r="Q4" s="155">
        <v>8.6999999999999993</v>
      </c>
      <c r="R4" s="155">
        <v>14.5</v>
      </c>
      <c r="S4" s="155">
        <v>11.7</v>
      </c>
      <c r="T4" s="155">
        <v>9.1</v>
      </c>
      <c r="U4" s="155">
        <v>9.1</v>
      </c>
      <c r="W4" s="154" t="s">
        <v>290</v>
      </c>
      <c r="X4" s="155">
        <v>10217</v>
      </c>
      <c r="Z4" s="154">
        <v>2009</v>
      </c>
      <c r="AA4" s="155">
        <f t="shared" ref="AA4:AA40" si="0">Q4*$AA$84</f>
        <v>9.1610999999999994</v>
      </c>
      <c r="AB4" s="155">
        <f t="shared" ref="AB4:AB40" si="1">R4*$AA$84</f>
        <v>15.2685</v>
      </c>
      <c r="AC4" s="155">
        <f t="shared" ref="AC4:AC40" si="2">S4*$AA$84</f>
        <v>12.320099999999998</v>
      </c>
      <c r="AD4" s="155">
        <f t="shared" ref="AD4:AD40" si="3">T4*$AA$84</f>
        <v>9.5822999999999983</v>
      </c>
      <c r="AE4" s="155">
        <f t="shared" ref="AE4:AE40" si="4">U4*$AA$84</f>
        <v>9.5822999999999983</v>
      </c>
      <c r="AG4" s="154">
        <v>2009</v>
      </c>
      <c r="AH4" s="155">
        <f t="shared" ref="AH4:AH40" si="5">J4*$AH$84</f>
        <v>4.7530000000000001</v>
      </c>
      <c r="AI4" s="155">
        <f t="shared" ref="AI4:AI40" si="6">K4*$AH$84</f>
        <v>5.335</v>
      </c>
      <c r="AJ4" s="155">
        <f t="shared" ref="AJ4:AJ40" si="7">L4*$AH$84</f>
        <v>5.5289999999999999</v>
      </c>
      <c r="AK4" s="155">
        <f t="shared" ref="AK4:AK40" si="8">M4*$AH$84</f>
        <v>4.8499999999999996</v>
      </c>
      <c r="AL4" s="155">
        <f t="shared" ref="AL4:AL40" si="9">N4*$AH$84</f>
        <v>4.7530000000000001</v>
      </c>
      <c r="AN4" s="154" t="s">
        <v>290</v>
      </c>
      <c r="AO4" s="155">
        <v>1.88</v>
      </c>
    </row>
    <row r="5" spans="1:41">
      <c r="A5" s="329"/>
      <c r="B5" s="154">
        <v>2010</v>
      </c>
      <c r="C5" s="155">
        <v>157</v>
      </c>
      <c r="D5" s="155">
        <v>236</v>
      </c>
      <c r="E5" s="155">
        <v>242</v>
      </c>
      <c r="F5" s="155">
        <v>183</v>
      </c>
      <c r="G5" s="155">
        <v>165</v>
      </c>
      <c r="H5" s="329"/>
      <c r="I5" s="154">
        <v>2010</v>
      </c>
      <c r="J5" s="155">
        <v>4.7</v>
      </c>
      <c r="K5" s="155">
        <v>5.4</v>
      </c>
      <c r="L5" s="155">
        <v>5.7</v>
      </c>
      <c r="M5" s="155">
        <v>4.8</v>
      </c>
      <c r="N5" s="155">
        <v>4.7</v>
      </c>
      <c r="O5" s="329"/>
      <c r="P5" s="154">
        <v>2010</v>
      </c>
      <c r="Q5" s="155">
        <v>8.3000000000000007</v>
      </c>
      <c r="R5" s="155">
        <v>14.1</v>
      </c>
      <c r="S5" s="155">
        <v>11.7</v>
      </c>
      <c r="T5" s="155">
        <v>8.6</v>
      </c>
      <c r="U5" s="155">
        <v>8.8000000000000007</v>
      </c>
      <c r="V5" s="329"/>
      <c r="W5" s="154"/>
      <c r="X5" s="155">
        <f>X4</f>
        <v>10217</v>
      </c>
      <c r="Y5" s="329"/>
      <c r="Z5" s="154">
        <v>2010</v>
      </c>
      <c r="AA5" s="155">
        <f t="shared" si="0"/>
        <v>8.7399000000000004</v>
      </c>
      <c r="AB5" s="155">
        <f t="shared" si="1"/>
        <v>14.847299999999999</v>
      </c>
      <c r="AC5" s="155">
        <f t="shared" si="2"/>
        <v>12.320099999999998</v>
      </c>
      <c r="AD5" s="155">
        <f t="shared" si="3"/>
        <v>9.0557999999999996</v>
      </c>
      <c r="AE5" s="155">
        <f t="shared" si="4"/>
        <v>9.2664000000000009</v>
      </c>
      <c r="AG5" s="154">
        <v>2010</v>
      </c>
      <c r="AH5" s="155">
        <f t="shared" si="5"/>
        <v>4.5590000000000002</v>
      </c>
      <c r="AI5" s="155">
        <f t="shared" si="6"/>
        <v>5.2380000000000004</v>
      </c>
      <c r="AJ5" s="155">
        <f t="shared" si="7"/>
        <v>5.5289999999999999</v>
      </c>
      <c r="AK5" s="155">
        <f t="shared" si="8"/>
        <v>4.6559999999999997</v>
      </c>
      <c r="AL5" s="155">
        <f t="shared" si="9"/>
        <v>4.5590000000000002</v>
      </c>
      <c r="AN5" s="154"/>
      <c r="AO5" s="155">
        <f>AO4</f>
        <v>1.88</v>
      </c>
    </row>
    <row r="6" spans="1:41">
      <c r="A6" s="329"/>
      <c r="B6" s="154">
        <v>2011</v>
      </c>
      <c r="C6" s="155">
        <v>149</v>
      </c>
      <c r="D6" s="155">
        <v>235</v>
      </c>
      <c r="E6" s="155">
        <v>242</v>
      </c>
      <c r="F6" s="155">
        <v>167</v>
      </c>
      <c r="G6" s="155">
        <v>157</v>
      </c>
      <c r="H6" s="329"/>
      <c r="I6" s="154">
        <v>2011</v>
      </c>
      <c r="J6" s="155">
        <v>4.4000000000000004</v>
      </c>
      <c r="K6" s="155">
        <v>5.3</v>
      </c>
      <c r="L6" s="155">
        <v>5.7</v>
      </c>
      <c r="M6" s="155">
        <v>4.5</v>
      </c>
      <c r="N6" s="155">
        <v>4.5</v>
      </c>
      <c r="O6" s="329"/>
      <c r="P6" s="154">
        <v>2011</v>
      </c>
      <c r="Q6" s="155">
        <v>7.7</v>
      </c>
      <c r="R6" s="155">
        <v>14</v>
      </c>
      <c r="S6" s="155">
        <v>11.7</v>
      </c>
      <c r="T6" s="155">
        <v>8.1</v>
      </c>
      <c r="U6" s="155">
        <v>8.1999999999999993</v>
      </c>
      <c r="V6" s="329"/>
      <c r="W6" s="154"/>
      <c r="X6" s="155">
        <f t="shared" ref="X6:X34" si="10">X5</f>
        <v>10217</v>
      </c>
      <c r="Y6" s="329"/>
      <c r="Z6" s="154">
        <v>2011</v>
      </c>
      <c r="AA6" s="155">
        <f t="shared" si="0"/>
        <v>8.1081000000000003</v>
      </c>
      <c r="AB6" s="155">
        <f t="shared" si="1"/>
        <v>14.741999999999999</v>
      </c>
      <c r="AC6" s="155">
        <f t="shared" si="2"/>
        <v>12.320099999999998</v>
      </c>
      <c r="AD6" s="155">
        <f t="shared" si="3"/>
        <v>8.5292999999999992</v>
      </c>
      <c r="AE6" s="155">
        <f t="shared" si="4"/>
        <v>8.6345999999999989</v>
      </c>
      <c r="AG6" s="154">
        <v>2011</v>
      </c>
      <c r="AH6" s="155">
        <f t="shared" si="5"/>
        <v>4.2679999999999998</v>
      </c>
      <c r="AI6" s="155">
        <f t="shared" si="6"/>
        <v>5.141</v>
      </c>
      <c r="AJ6" s="155">
        <f t="shared" si="7"/>
        <v>5.5289999999999999</v>
      </c>
      <c r="AK6" s="155">
        <f t="shared" si="8"/>
        <v>4.3650000000000002</v>
      </c>
      <c r="AL6" s="155">
        <f t="shared" si="9"/>
        <v>4.3650000000000002</v>
      </c>
      <c r="AN6" s="154"/>
      <c r="AO6" s="155">
        <f t="shared" ref="AO6:AO34" si="11">AO5</f>
        <v>1.88</v>
      </c>
    </row>
    <row r="7" spans="1:41">
      <c r="A7" s="329"/>
      <c r="B7" s="154">
        <v>2012</v>
      </c>
      <c r="C7" s="155">
        <v>144</v>
      </c>
      <c r="D7" s="155">
        <v>227</v>
      </c>
      <c r="E7" s="155">
        <v>242</v>
      </c>
      <c r="F7" s="155">
        <v>157</v>
      </c>
      <c r="G7" s="155">
        <v>152</v>
      </c>
      <c r="H7" s="329"/>
      <c r="I7" s="154">
        <v>2012</v>
      </c>
      <c r="J7" s="155">
        <v>4.0999999999999996</v>
      </c>
      <c r="K7" s="155">
        <v>5.0999999999999996</v>
      </c>
      <c r="L7" s="155">
        <v>5.7</v>
      </c>
      <c r="M7" s="155">
        <v>4.2</v>
      </c>
      <c r="N7" s="155">
        <v>4.2</v>
      </c>
      <c r="O7" s="329"/>
      <c r="P7" s="154">
        <v>2012</v>
      </c>
      <c r="Q7" s="155">
        <v>7.1</v>
      </c>
      <c r="R7" s="155">
        <v>13.3</v>
      </c>
      <c r="S7" s="155">
        <v>11.7</v>
      </c>
      <c r="T7" s="155">
        <v>7.5</v>
      </c>
      <c r="U7" s="155">
        <v>7.6</v>
      </c>
      <c r="V7" s="329"/>
      <c r="W7" s="154"/>
      <c r="X7" s="155">
        <f t="shared" si="10"/>
        <v>10217</v>
      </c>
      <c r="Y7" s="329"/>
      <c r="Z7" s="154">
        <v>2012</v>
      </c>
      <c r="AA7" s="155">
        <f t="shared" si="0"/>
        <v>7.4762999999999993</v>
      </c>
      <c r="AB7" s="155">
        <f t="shared" si="1"/>
        <v>14.004899999999999</v>
      </c>
      <c r="AC7" s="155">
        <f t="shared" si="2"/>
        <v>12.320099999999998</v>
      </c>
      <c r="AD7" s="155">
        <f t="shared" si="3"/>
        <v>7.8974999999999991</v>
      </c>
      <c r="AE7" s="155">
        <f t="shared" si="4"/>
        <v>8.0027999999999988</v>
      </c>
      <c r="AG7" s="154">
        <v>2012</v>
      </c>
      <c r="AH7" s="155">
        <f t="shared" si="5"/>
        <v>3.9769999999999994</v>
      </c>
      <c r="AI7" s="155">
        <f t="shared" si="6"/>
        <v>4.9469999999999992</v>
      </c>
      <c r="AJ7" s="155">
        <f t="shared" si="7"/>
        <v>5.5289999999999999</v>
      </c>
      <c r="AK7" s="155">
        <f t="shared" si="8"/>
        <v>4.0739999999999998</v>
      </c>
      <c r="AL7" s="155">
        <f t="shared" si="9"/>
        <v>4.0739999999999998</v>
      </c>
      <c r="AN7" s="154"/>
      <c r="AO7" s="155">
        <f t="shared" si="11"/>
        <v>1.88</v>
      </c>
    </row>
    <row r="8" spans="1:41">
      <c r="A8" s="329"/>
      <c r="B8" s="154">
        <v>2013</v>
      </c>
      <c r="C8" s="155">
        <v>139</v>
      </c>
      <c r="D8" s="155">
        <v>225</v>
      </c>
      <c r="E8" s="155">
        <v>242</v>
      </c>
      <c r="F8" s="155">
        <v>147</v>
      </c>
      <c r="G8" s="155">
        <v>147</v>
      </c>
      <c r="H8" s="329"/>
      <c r="I8" s="154">
        <v>2013</v>
      </c>
      <c r="J8" s="155">
        <v>3.8</v>
      </c>
      <c r="K8" s="155">
        <v>5</v>
      </c>
      <c r="L8" s="155">
        <v>5.6</v>
      </c>
      <c r="M8" s="155">
        <v>3.9</v>
      </c>
      <c r="N8" s="155">
        <v>3.9</v>
      </c>
      <c r="O8" s="329"/>
      <c r="P8" s="154">
        <v>2013</v>
      </c>
      <c r="Q8" s="155">
        <v>6.5</v>
      </c>
      <c r="R8" s="155">
        <v>13.3</v>
      </c>
      <c r="S8" s="155">
        <v>11.7</v>
      </c>
      <c r="T8" s="155">
        <v>6.9</v>
      </c>
      <c r="U8" s="155">
        <v>7.1</v>
      </c>
      <c r="V8" s="329"/>
      <c r="W8" s="154"/>
      <c r="X8" s="155">
        <f t="shared" si="10"/>
        <v>10217</v>
      </c>
      <c r="Y8" s="329"/>
      <c r="Z8" s="154">
        <v>2013</v>
      </c>
      <c r="AA8" s="155">
        <f t="shared" si="0"/>
        <v>6.8445</v>
      </c>
      <c r="AB8" s="155">
        <f t="shared" si="1"/>
        <v>14.004899999999999</v>
      </c>
      <c r="AC8" s="155">
        <f t="shared" si="2"/>
        <v>12.320099999999998</v>
      </c>
      <c r="AD8" s="155">
        <f t="shared" si="3"/>
        <v>7.2656999999999998</v>
      </c>
      <c r="AE8" s="155">
        <f t="shared" si="4"/>
        <v>7.4762999999999993</v>
      </c>
      <c r="AG8" s="154">
        <v>2013</v>
      </c>
      <c r="AH8" s="155">
        <f t="shared" si="5"/>
        <v>3.6859999999999999</v>
      </c>
      <c r="AI8" s="155">
        <f t="shared" si="6"/>
        <v>4.8499999999999996</v>
      </c>
      <c r="AJ8" s="155">
        <f t="shared" si="7"/>
        <v>5.4319999999999995</v>
      </c>
      <c r="AK8" s="155">
        <f t="shared" si="8"/>
        <v>3.7829999999999999</v>
      </c>
      <c r="AL8" s="155">
        <f t="shared" si="9"/>
        <v>3.7829999999999999</v>
      </c>
      <c r="AN8" s="154"/>
      <c r="AO8" s="155">
        <f t="shared" si="11"/>
        <v>1.88</v>
      </c>
    </row>
    <row r="9" spans="1:41">
      <c r="A9" s="329"/>
      <c r="B9" s="154">
        <v>2014</v>
      </c>
      <c r="C9" s="155">
        <v>135</v>
      </c>
      <c r="D9" s="155">
        <v>217</v>
      </c>
      <c r="E9" s="155">
        <v>242</v>
      </c>
      <c r="F9" s="155">
        <v>138</v>
      </c>
      <c r="G9" s="155">
        <v>143</v>
      </c>
      <c r="H9" s="329"/>
      <c r="I9" s="154">
        <v>2014</v>
      </c>
      <c r="J9" s="155">
        <v>3.6</v>
      </c>
      <c r="K9" s="155">
        <v>4.8</v>
      </c>
      <c r="L9" s="155">
        <v>5.6</v>
      </c>
      <c r="M9" s="155">
        <v>3.6</v>
      </c>
      <c r="N9" s="155">
        <v>3.7</v>
      </c>
      <c r="O9" s="329"/>
      <c r="P9" s="154">
        <v>2014</v>
      </c>
      <c r="Q9" s="155">
        <v>6.1</v>
      </c>
      <c r="R9" s="155">
        <v>12.7</v>
      </c>
      <c r="S9" s="155">
        <v>11.7</v>
      </c>
      <c r="T9" s="155">
        <v>6.3</v>
      </c>
      <c r="U9" s="155">
        <v>6.7</v>
      </c>
      <c r="V9" s="329"/>
      <c r="W9" s="154"/>
      <c r="X9" s="155">
        <f t="shared" si="10"/>
        <v>10217</v>
      </c>
      <c r="Y9" s="329"/>
      <c r="Z9" s="154">
        <v>2014</v>
      </c>
      <c r="AA9" s="155">
        <f t="shared" si="0"/>
        <v>6.4232999999999993</v>
      </c>
      <c r="AB9" s="155">
        <f t="shared" si="1"/>
        <v>13.373099999999999</v>
      </c>
      <c r="AC9" s="155">
        <f t="shared" si="2"/>
        <v>12.320099999999998</v>
      </c>
      <c r="AD9" s="155">
        <f t="shared" si="3"/>
        <v>6.6338999999999997</v>
      </c>
      <c r="AE9" s="155">
        <f t="shared" si="4"/>
        <v>7.0550999999999995</v>
      </c>
      <c r="AG9" s="154">
        <v>2014</v>
      </c>
      <c r="AH9" s="155">
        <f t="shared" si="5"/>
        <v>3.492</v>
      </c>
      <c r="AI9" s="155">
        <f t="shared" si="6"/>
        <v>4.6559999999999997</v>
      </c>
      <c r="AJ9" s="155">
        <f t="shared" si="7"/>
        <v>5.4319999999999995</v>
      </c>
      <c r="AK9" s="155">
        <f t="shared" si="8"/>
        <v>3.492</v>
      </c>
      <c r="AL9" s="155">
        <f t="shared" si="9"/>
        <v>3.589</v>
      </c>
      <c r="AN9" s="154"/>
      <c r="AO9" s="155">
        <f t="shared" si="11"/>
        <v>1.88</v>
      </c>
    </row>
    <row r="10" spans="1:41">
      <c r="A10" s="329"/>
      <c r="B10" s="154">
        <v>2015</v>
      </c>
      <c r="C10" s="155">
        <v>129</v>
      </c>
      <c r="D10" s="155">
        <v>215</v>
      </c>
      <c r="E10" s="155">
        <v>240</v>
      </c>
      <c r="F10" s="155">
        <v>131</v>
      </c>
      <c r="G10" s="155">
        <v>137</v>
      </c>
      <c r="H10" s="329"/>
      <c r="I10" s="154">
        <v>2015</v>
      </c>
      <c r="J10" s="155">
        <v>3.4</v>
      </c>
      <c r="K10" s="155">
        <v>4.8</v>
      </c>
      <c r="L10" s="155">
        <v>5.5</v>
      </c>
      <c r="M10" s="155">
        <v>3.4</v>
      </c>
      <c r="N10" s="155">
        <v>3.5</v>
      </c>
      <c r="O10" s="329"/>
      <c r="P10" s="154">
        <v>2015</v>
      </c>
      <c r="Q10" s="155">
        <v>5.7</v>
      </c>
      <c r="R10" s="155">
        <v>12.6</v>
      </c>
      <c r="S10" s="155">
        <v>11.7</v>
      </c>
      <c r="T10" s="155">
        <v>5.8</v>
      </c>
      <c r="U10" s="155">
        <v>6.3</v>
      </c>
      <c r="V10" s="329"/>
      <c r="W10" s="154"/>
      <c r="X10" s="155">
        <f t="shared" si="10"/>
        <v>10217</v>
      </c>
      <c r="Y10" s="329"/>
      <c r="Z10" s="154">
        <v>2015</v>
      </c>
      <c r="AA10" s="155">
        <f t="shared" si="0"/>
        <v>6.0020999999999995</v>
      </c>
      <c r="AB10" s="155">
        <f t="shared" si="1"/>
        <v>13.267799999999999</v>
      </c>
      <c r="AC10" s="155">
        <f t="shared" si="2"/>
        <v>12.320099999999998</v>
      </c>
      <c r="AD10" s="155">
        <f t="shared" si="3"/>
        <v>6.1073999999999993</v>
      </c>
      <c r="AE10" s="155">
        <f t="shared" si="4"/>
        <v>6.6338999999999997</v>
      </c>
      <c r="AG10" s="154">
        <v>2015</v>
      </c>
      <c r="AH10" s="155">
        <f t="shared" si="5"/>
        <v>3.298</v>
      </c>
      <c r="AI10" s="155">
        <f t="shared" si="6"/>
        <v>4.6559999999999997</v>
      </c>
      <c r="AJ10" s="155">
        <f t="shared" si="7"/>
        <v>5.335</v>
      </c>
      <c r="AK10" s="155">
        <f t="shared" si="8"/>
        <v>3.298</v>
      </c>
      <c r="AL10" s="155">
        <f t="shared" si="9"/>
        <v>3.395</v>
      </c>
      <c r="AN10" s="154"/>
      <c r="AO10" s="155">
        <f t="shared" si="11"/>
        <v>1.88</v>
      </c>
    </row>
    <row r="11" spans="1:41">
      <c r="A11" s="329"/>
      <c r="B11" s="154">
        <v>2016</v>
      </c>
      <c r="C11" s="155">
        <v>121</v>
      </c>
      <c r="D11" s="155">
        <v>208</v>
      </c>
      <c r="E11" s="155">
        <v>239</v>
      </c>
      <c r="F11" s="155">
        <v>119</v>
      </c>
      <c r="G11" s="155">
        <v>129</v>
      </c>
      <c r="H11" s="329"/>
      <c r="I11" s="154">
        <v>2016</v>
      </c>
      <c r="J11" s="155">
        <v>3.1</v>
      </c>
      <c r="K11" s="155">
        <v>4.5999999999999996</v>
      </c>
      <c r="L11" s="155">
        <v>5.5</v>
      </c>
      <c r="M11" s="155">
        <v>3.1</v>
      </c>
      <c r="N11" s="155">
        <v>3.3</v>
      </c>
      <c r="O11" s="329"/>
      <c r="P11" s="154">
        <v>2016</v>
      </c>
      <c r="Q11" s="155">
        <v>5.0999999999999996</v>
      </c>
      <c r="R11" s="155">
        <v>12</v>
      </c>
      <c r="S11" s="155">
        <v>11.7</v>
      </c>
      <c r="T11" s="155">
        <v>5.2</v>
      </c>
      <c r="U11" s="155">
        <v>5.7</v>
      </c>
      <c r="V11" s="329"/>
      <c r="W11" s="154"/>
      <c r="X11" s="155">
        <f t="shared" si="10"/>
        <v>10217</v>
      </c>
      <c r="Y11" s="329"/>
      <c r="Z11" s="154">
        <v>2016</v>
      </c>
      <c r="AA11" s="155">
        <f t="shared" si="0"/>
        <v>5.3702999999999994</v>
      </c>
      <c r="AB11" s="155">
        <f t="shared" si="1"/>
        <v>12.635999999999999</v>
      </c>
      <c r="AC11" s="155">
        <f t="shared" si="2"/>
        <v>12.320099999999998</v>
      </c>
      <c r="AD11" s="155">
        <f t="shared" si="3"/>
        <v>5.4756</v>
      </c>
      <c r="AE11" s="155">
        <f t="shared" si="4"/>
        <v>6.0020999999999995</v>
      </c>
      <c r="AG11" s="154">
        <v>2016</v>
      </c>
      <c r="AH11" s="155">
        <f t="shared" si="5"/>
        <v>3.0070000000000001</v>
      </c>
      <c r="AI11" s="155">
        <f t="shared" si="6"/>
        <v>4.4619999999999997</v>
      </c>
      <c r="AJ11" s="155">
        <f t="shared" si="7"/>
        <v>5.335</v>
      </c>
      <c r="AK11" s="155">
        <f t="shared" si="8"/>
        <v>3.0070000000000001</v>
      </c>
      <c r="AL11" s="155">
        <f t="shared" si="9"/>
        <v>3.2009999999999996</v>
      </c>
      <c r="AN11" s="154"/>
      <c r="AO11" s="155">
        <f t="shared" si="11"/>
        <v>1.88</v>
      </c>
    </row>
    <row r="12" spans="1:41">
      <c r="A12" s="329"/>
      <c r="B12" s="154">
        <v>2017</v>
      </c>
      <c r="C12" s="155">
        <v>114</v>
      </c>
      <c r="D12" s="155">
        <v>206</v>
      </c>
      <c r="E12" s="155">
        <v>237</v>
      </c>
      <c r="F12" s="155">
        <v>112</v>
      </c>
      <c r="G12" s="155">
        <v>122</v>
      </c>
      <c r="H12" s="329"/>
      <c r="I12" s="154">
        <v>2017</v>
      </c>
      <c r="J12" s="155">
        <v>2.9</v>
      </c>
      <c r="K12" s="155">
        <v>4.5</v>
      </c>
      <c r="L12" s="155">
        <v>5.4</v>
      </c>
      <c r="M12" s="155">
        <v>2.8</v>
      </c>
      <c r="N12" s="155">
        <v>3</v>
      </c>
      <c r="O12" s="329"/>
      <c r="P12" s="154">
        <v>2017</v>
      </c>
      <c r="Q12" s="155">
        <v>4.5999999999999996</v>
      </c>
      <c r="R12" s="155">
        <v>11.8</v>
      </c>
      <c r="S12" s="155">
        <v>11.7</v>
      </c>
      <c r="T12" s="155">
        <v>4.5999999999999996</v>
      </c>
      <c r="U12" s="155">
        <v>5.2</v>
      </c>
      <c r="V12" s="329"/>
      <c r="W12" s="154"/>
      <c r="X12" s="155">
        <f t="shared" si="10"/>
        <v>10217</v>
      </c>
      <c r="Y12" s="329"/>
      <c r="Z12" s="154">
        <v>2017</v>
      </c>
      <c r="AA12" s="155">
        <f t="shared" si="0"/>
        <v>4.843799999999999</v>
      </c>
      <c r="AB12" s="155">
        <f t="shared" si="1"/>
        <v>12.4254</v>
      </c>
      <c r="AC12" s="155">
        <f t="shared" si="2"/>
        <v>12.320099999999998</v>
      </c>
      <c r="AD12" s="155">
        <f t="shared" si="3"/>
        <v>4.843799999999999</v>
      </c>
      <c r="AE12" s="155">
        <f t="shared" si="4"/>
        <v>5.4756</v>
      </c>
      <c r="AG12" s="154">
        <v>2017</v>
      </c>
      <c r="AH12" s="155">
        <f t="shared" si="5"/>
        <v>2.8129999999999997</v>
      </c>
      <c r="AI12" s="155">
        <f t="shared" si="6"/>
        <v>4.3650000000000002</v>
      </c>
      <c r="AJ12" s="155">
        <f t="shared" si="7"/>
        <v>5.2380000000000004</v>
      </c>
      <c r="AK12" s="155">
        <f t="shared" si="8"/>
        <v>2.7159999999999997</v>
      </c>
      <c r="AL12" s="155">
        <f t="shared" si="9"/>
        <v>2.91</v>
      </c>
      <c r="AN12" s="154"/>
      <c r="AO12" s="155">
        <f t="shared" si="11"/>
        <v>1.88</v>
      </c>
    </row>
    <row r="13" spans="1:41">
      <c r="A13" s="329"/>
      <c r="B13" s="154">
        <v>2018</v>
      </c>
      <c r="C13" s="155">
        <v>108</v>
      </c>
      <c r="D13" s="155">
        <v>202</v>
      </c>
      <c r="E13" s="155">
        <v>236</v>
      </c>
      <c r="F13" s="155">
        <v>105</v>
      </c>
      <c r="G13" s="155">
        <v>117</v>
      </c>
      <c r="H13" s="329"/>
      <c r="I13" s="154">
        <v>2018</v>
      </c>
      <c r="J13" s="155">
        <v>2.7</v>
      </c>
      <c r="K13" s="155">
        <v>4.4000000000000004</v>
      </c>
      <c r="L13" s="155">
        <v>5.4</v>
      </c>
      <c r="M13" s="155">
        <v>2.6</v>
      </c>
      <c r="N13" s="155">
        <v>2.8</v>
      </c>
      <c r="O13" s="329"/>
      <c r="P13" s="154">
        <v>2018</v>
      </c>
      <c r="Q13" s="155">
        <v>4.2</v>
      </c>
      <c r="R13" s="155">
        <v>11.5</v>
      </c>
      <c r="S13" s="155">
        <v>11.7</v>
      </c>
      <c r="T13" s="155">
        <v>4.0999999999999996</v>
      </c>
      <c r="U13" s="155">
        <v>4.8</v>
      </c>
      <c r="V13" s="329"/>
      <c r="W13" s="154"/>
      <c r="X13" s="155">
        <f t="shared" si="10"/>
        <v>10217</v>
      </c>
      <c r="Y13" s="329"/>
      <c r="Z13" s="154">
        <v>2018</v>
      </c>
      <c r="AA13" s="155">
        <f t="shared" si="0"/>
        <v>4.4226000000000001</v>
      </c>
      <c r="AB13" s="155">
        <f t="shared" si="1"/>
        <v>12.109499999999999</v>
      </c>
      <c r="AC13" s="155">
        <f t="shared" si="2"/>
        <v>12.320099999999998</v>
      </c>
      <c r="AD13" s="155">
        <f t="shared" si="3"/>
        <v>4.3172999999999995</v>
      </c>
      <c r="AE13" s="155">
        <f t="shared" si="4"/>
        <v>5.0543999999999993</v>
      </c>
      <c r="AG13" s="154">
        <v>2018</v>
      </c>
      <c r="AH13" s="155">
        <f t="shared" si="5"/>
        <v>2.6190000000000002</v>
      </c>
      <c r="AI13" s="155">
        <f t="shared" si="6"/>
        <v>4.2679999999999998</v>
      </c>
      <c r="AJ13" s="155">
        <f t="shared" si="7"/>
        <v>5.2380000000000004</v>
      </c>
      <c r="AK13" s="155">
        <f t="shared" si="8"/>
        <v>2.5219999999999998</v>
      </c>
      <c r="AL13" s="155">
        <f t="shared" si="9"/>
        <v>2.7159999999999997</v>
      </c>
      <c r="AN13" s="154"/>
      <c r="AO13" s="155">
        <f t="shared" si="11"/>
        <v>1.88</v>
      </c>
    </row>
    <row r="14" spans="1:41">
      <c r="A14" s="329"/>
      <c r="B14" s="154">
        <v>2019</v>
      </c>
      <c r="C14" s="155">
        <v>103</v>
      </c>
      <c r="D14" s="155">
        <v>200</v>
      </c>
      <c r="E14" s="155">
        <v>233</v>
      </c>
      <c r="F14" s="155">
        <v>98</v>
      </c>
      <c r="G14" s="155">
        <v>112</v>
      </c>
      <c r="H14" s="329"/>
      <c r="I14" s="154">
        <v>2019</v>
      </c>
      <c r="J14" s="155">
        <v>2.5</v>
      </c>
      <c r="K14" s="155">
        <v>4.4000000000000004</v>
      </c>
      <c r="L14" s="155">
        <v>5.4</v>
      </c>
      <c r="M14" s="155">
        <v>2.2999999999999998</v>
      </c>
      <c r="N14" s="155">
        <v>2.6</v>
      </c>
      <c r="O14" s="329"/>
      <c r="P14" s="154">
        <v>2019</v>
      </c>
      <c r="Q14" s="155">
        <v>3.9</v>
      </c>
      <c r="R14" s="155">
        <v>11.4</v>
      </c>
      <c r="S14" s="155">
        <v>11.7</v>
      </c>
      <c r="T14" s="155">
        <v>3.5</v>
      </c>
      <c r="U14" s="155">
        <v>4.5</v>
      </c>
      <c r="V14" s="329"/>
      <c r="W14" s="154"/>
      <c r="X14" s="155">
        <f t="shared" si="10"/>
        <v>10217</v>
      </c>
      <c r="Y14" s="329"/>
      <c r="Z14" s="154">
        <v>2019</v>
      </c>
      <c r="AA14" s="155">
        <f t="shared" si="0"/>
        <v>4.1067</v>
      </c>
      <c r="AB14" s="155">
        <f t="shared" si="1"/>
        <v>12.004199999999999</v>
      </c>
      <c r="AC14" s="155">
        <f t="shared" si="2"/>
        <v>12.320099999999998</v>
      </c>
      <c r="AD14" s="155">
        <f t="shared" si="3"/>
        <v>3.6854999999999998</v>
      </c>
      <c r="AE14" s="155">
        <f t="shared" si="4"/>
        <v>4.7385000000000002</v>
      </c>
      <c r="AG14" s="154">
        <v>2019</v>
      </c>
      <c r="AH14" s="155">
        <f t="shared" si="5"/>
        <v>2.4249999999999998</v>
      </c>
      <c r="AI14" s="155">
        <f t="shared" si="6"/>
        <v>4.2679999999999998</v>
      </c>
      <c r="AJ14" s="155">
        <f t="shared" si="7"/>
        <v>5.2380000000000004</v>
      </c>
      <c r="AK14" s="155">
        <f t="shared" si="8"/>
        <v>2.2309999999999999</v>
      </c>
      <c r="AL14" s="155">
        <f t="shared" si="9"/>
        <v>2.5219999999999998</v>
      </c>
      <c r="AN14" s="154"/>
      <c r="AO14" s="155">
        <f t="shared" si="11"/>
        <v>1.88</v>
      </c>
    </row>
    <row r="15" spans="1:41">
      <c r="A15" s="329"/>
      <c r="B15" s="154">
        <v>2020</v>
      </c>
      <c r="C15" s="155">
        <v>99</v>
      </c>
      <c r="D15" s="155">
        <v>187</v>
      </c>
      <c r="E15" s="155">
        <v>231</v>
      </c>
      <c r="F15" s="155">
        <v>93</v>
      </c>
      <c r="G15" s="155">
        <v>107</v>
      </c>
      <c r="H15" s="329"/>
      <c r="I15" s="154">
        <v>2020</v>
      </c>
      <c r="J15" s="155">
        <v>2.2999999999999998</v>
      </c>
      <c r="K15" s="155">
        <v>4.0999999999999996</v>
      </c>
      <c r="L15" s="155">
        <v>5.3</v>
      </c>
      <c r="M15" s="155">
        <v>2.1</v>
      </c>
      <c r="N15" s="155">
        <v>2.5</v>
      </c>
      <c r="O15" s="329"/>
      <c r="P15" s="154">
        <v>2020</v>
      </c>
      <c r="Q15" s="155">
        <v>3.6</v>
      </c>
      <c r="R15" s="155">
        <v>10.5</v>
      </c>
      <c r="S15" s="155">
        <v>11.7</v>
      </c>
      <c r="T15" s="155">
        <v>3.1</v>
      </c>
      <c r="U15" s="155">
        <v>4.2</v>
      </c>
      <c r="V15" s="329"/>
      <c r="W15" s="154"/>
      <c r="X15" s="155">
        <f t="shared" si="10"/>
        <v>10217</v>
      </c>
      <c r="Y15" s="329"/>
      <c r="Z15" s="154">
        <v>2020</v>
      </c>
      <c r="AA15" s="155">
        <f t="shared" si="0"/>
        <v>3.7907999999999999</v>
      </c>
      <c r="AB15" s="155">
        <f t="shared" si="1"/>
        <v>11.0565</v>
      </c>
      <c r="AC15" s="155">
        <f t="shared" si="2"/>
        <v>12.320099999999998</v>
      </c>
      <c r="AD15" s="155">
        <f t="shared" si="3"/>
        <v>3.2643</v>
      </c>
      <c r="AE15" s="155">
        <f t="shared" si="4"/>
        <v>4.4226000000000001</v>
      </c>
      <c r="AG15" s="154">
        <v>2020</v>
      </c>
      <c r="AH15" s="155">
        <f t="shared" si="5"/>
        <v>2.2309999999999999</v>
      </c>
      <c r="AI15" s="155">
        <f t="shared" si="6"/>
        <v>3.9769999999999994</v>
      </c>
      <c r="AJ15" s="155">
        <f t="shared" si="7"/>
        <v>5.141</v>
      </c>
      <c r="AK15" s="155">
        <f t="shared" si="8"/>
        <v>2.0369999999999999</v>
      </c>
      <c r="AL15" s="155">
        <f t="shared" si="9"/>
        <v>2.4249999999999998</v>
      </c>
      <c r="AN15" s="154"/>
      <c r="AO15" s="155">
        <f t="shared" si="11"/>
        <v>1.88</v>
      </c>
    </row>
    <row r="16" spans="1:41">
      <c r="A16" s="329"/>
      <c r="B16" s="154">
        <v>2021</v>
      </c>
      <c r="C16" s="155">
        <v>94</v>
      </c>
      <c r="D16" s="155">
        <v>185</v>
      </c>
      <c r="E16" s="155">
        <v>228</v>
      </c>
      <c r="F16" s="155">
        <v>88</v>
      </c>
      <c r="G16" s="155">
        <v>102</v>
      </c>
      <c r="H16" s="329"/>
      <c r="I16" s="154">
        <v>2021</v>
      </c>
      <c r="J16" s="155">
        <v>2.2000000000000002</v>
      </c>
      <c r="K16" s="155">
        <v>4</v>
      </c>
      <c r="L16" s="155">
        <v>5.3</v>
      </c>
      <c r="M16" s="155">
        <v>2</v>
      </c>
      <c r="N16" s="155">
        <v>2.4</v>
      </c>
      <c r="O16" s="329"/>
      <c r="P16" s="154">
        <v>2021</v>
      </c>
      <c r="Q16" s="155">
        <v>3.4</v>
      </c>
      <c r="R16" s="155">
        <v>10.4</v>
      </c>
      <c r="S16" s="155">
        <v>11.7</v>
      </c>
      <c r="T16" s="155">
        <v>2.9</v>
      </c>
      <c r="U16" s="155">
        <v>4</v>
      </c>
      <c r="V16" s="329"/>
      <c r="W16" s="154"/>
      <c r="X16" s="155">
        <f t="shared" si="10"/>
        <v>10217</v>
      </c>
      <c r="Y16" s="329"/>
      <c r="Z16" s="154">
        <v>2021</v>
      </c>
      <c r="AA16" s="155">
        <f t="shared" si="0"/>
        <v>3.5801999999999996</v>
      </c>
      <c r="AB16" s="155">
        <f t="shared" si="1"/>
        <v>10.9512</v>
      </c>
      <c r="AC16" s="155">
        <f t="shared" si="2"/>
        <v>12.320099999999998</v>
      </c>
      <c r="AD16" s="155">
        <f t="shared" si="3"/>
        <v>3.0536999999999996</v>
      </c>
      <c r="AE16" s="155">
        <f t="shared" si="4"/>
        <v>4.2119999999999997</v>
      </c>
      <c r="AG16" s="154">
        <v>2021</v>
      </c>
      <c r="AH16" s="155">
        <f t="shared" si="5"/>
        <v>2.1339999999999999</v>
      </c>
      <c r="AI16" s="155">
        <f t="shared" si="6"/>
        <v>3.88</v>
      </c>
      <c r="AJ16" s="155">
        <f t="shared" si="7"/>
        <v>5.141</v>
      </c>
      <c r="AK16" s="155">
        <f t="shared" si="8"/>
        <v>1.94</v>
      </c>
      <c r="AL16" s="155">
        <f t="shared" si="9"/>
        <v>2.3279999999999998</v>
      </c>
      <c r="AN16" s="154"/>
      <c r="AO16" s="155">
        <f t="shared" si="11"/>
        <v>1.88</v>
      </c>
    </row>
    <row r="17" spans="1:41">
      <c r="A17" s="329"/>
      <c r="B17" s="154">
        <v>2022</v>
      </c>
      <c r="C17" s="155">
        <v>89</v>
      </c>
      <c r="D17" s="155">
        <v>177</v>
      </c>
      <c r="E17" s="155">
        <v>225</v>
      </c>
      <c r="F17" s="155">
        <v>83</v>
      </c>
      <c r="G17" s="155">
        <v>97</v>
      </c>
      <c r="H17" s="329"/>
      <c r="I17" s="154">
        <v>2022</v>
      </c>
      <c r="J17" s="155">
        <v>2</v>
      </c>
      <c r="K17" s="155">
        <v>3.9</v>
      </c>
      <c r="L17" s="155">
        <v>5.3</v>
      </c>
      <c r="M17" s="155">
        <v>1.8</v>
      </c>
      <c r="N17" s="155">
        <v>2.2000000000000002</v>
      </c>
      <c r="O17" s="329"/>
      <c r="P17" s="154">
        <v>2022</v>
      </c>
      <c r="Q17" s="155">
        <v>3.2</v>
      </c>
      <c r="R17" s="155">
        <v>9.8000000000000007</v>
      </c>
      <c r="S17" s="155">
        <v>11.7</v>
      </c>
      <c r="T17" s="155">
        <v>2.7</v>
      </c>
      <c r="U17" s="155">
        <v>3.8</v>
      </c>
      <c r="V17" s="329"/>
      <c r="W17" s="154"/>
      <c r="X17" s="155">
        <f t="shared" si="10"/>
        <v>10217</v>
      </c>
      <c r="Y17" s="329"/>
      <c r="Z17" s="154">
        <v>2022</v>
      </c>
      <c r="AA17" s="155">
        <f t="shared" si="0"/>
        <v>3.3696000000000002</v>
      </c>
      <c r="AB17" s="155">
        <f t="shared" si="1"/>
        <v>10.3194</v>
      </c>
      <c r="AC17" s="155">
        <f t="shared" si="2"/>
        <v>12.320099999999998</v>
      </c>
      <c r="AD17" s="155">
        <f t="shared" si="3"/>
        <v>2.8431000000000002</v>
      </c>
      <c r="AE17" s="155">
        <f t="shared" si="4"/>
        <v>4.0013999999999994</v>
      </c>
      <c r="AG17" s="154">
        <v>2022</v>
      </c>
      <c r="AH17" s="155">
        <f t="shared" si="5"/>
        <v>1.94</v>
      </c>
      <c r="AI17" s="155">
        <f t="shared" si="6"/>
        <v>3.7829999999999999</v>
      </c>
      <c r="AJ17" s="155">
        <f t="shared" si="7"/>
        <v>5.141</v>
      </c>
      <c r="AK17" s="155">
        <f t="shared" si="8"/>
        <v>1.746</v>
      </c>
      <c r="AL17" s="155">
        <f t="shared" si="9"/>
        <v>2.1339999999999999</v>
      </c>
      <c r="AN17" s="154"/>
      <c r="AO17" s="155">
        <f t="shared" si="11"/>
        <v>1.88</v>
      </c>
    </row>
    <row r="18" spans="1:41">
      <c r="A18" s="329"/>
      <c r="B18" s="154">
        <v>2023</v>
      </c>
      <c r="C18" s="155">
        <v>84</v>
      </c>
      <c r="D18" s="155">
        <v>172</v>
      </c>
      <c r="E18" s="155">
        <v>223</v>
      </c>
      <c r="F18" s="155">
        <v>78</v>
      </c>
      <c r="G18" s="155">
        <v>92</v>
      </c>
      <c r="H18" s="329"/>
      <c r="I18" s="154">
        <v>2023</v>
      </c>
      <c r="J18" s="155">
        <v>1.9</v>
      </c>
      <c r="K18" s="155">
        <v>3.7</v>
      </c>
      <c r="L18" s="155">
        <v>5.2</v>
      </c>
      <c r="M18" s="155">
        <v>1.7</v>
      </c>
      <c r="N18" s="155">
        <v>2.1</v>
      </c>
      <c r="O18" s="329"/>
      <c r="P18" s="154">
        <v>2023</v>
      </c>
      <c r="Q18" s="155">
        <v>3</v>
      </c>
      <c r="R18" s="155">
        <v>9.5</v>
      </c>
      <c r="S18" s="155">
        <v>11.7</v>
      </c>
      <c r="T18" s="155">
        <v>2.4</v>
      </c>
      <c r="U18" s="155">
        <v>3.6</v>
      </c>
      <c r="V18" s="329"/>
      <c r="W18" s="154"/>
      <c r="X18" s="155">
        <f t="shared" si="10"/>
        <v>10217</v>
      </c>
      <c r="Y18" s="329"/>
      <c r="Z18" s="154">
        <v>2023</v>
      </c>
      <c r="AA18" s="155">
        <f t="shared" si="0"/>
        <v>3.1589999999999998</v>
      </c>
      <c r="AB18" s="155">
        <f t="shared" si="1"/>
        <v>10.003499999999999</v>
      </c>
      <c r="AC18" s="155">
        <f t="shared" si="2"/>
        <v>12.320099999999998</v>
      </c>
      <c r="AD18" s="155">
        <f t="shared" si="3"/>
        <v>2.5271999999999997</v>
      </c>
      <c r="AE18" s="155">
        <f t="shared" si="4"/>
        <v>3.7907999999999999</v>
      </c>
      <c r="AG18" s="154">
        <v>2023</v>
      </c>
      <c r="AH18" s="155">
        <f t="shared" si="5"/>
        <v>1.843</v>
      </c>
      <c r="AI18" s="155">
        <f t="shared" si="6"/>
        <v>3.589</v>
      </c>
      <c r="AJ18" s="155">
        <f t="shared" si="7"/>
        <v>5.0439999999999996</v>
      </c>
      <c r="AK18" s="155">
        <f t="shared" si="8"/>
        <v>1.649</v>
      </c>
      <c r="AL18" s="155">
        <f t="shared" si="9"/>
        <v>2.0369999999999999</v>
      </c>
      <c r="AN18" s="154"/>
      <c r="AO18" s="155">
        <f t="shared" si="11"/>
        <v>1.88</v>
      </c>
    </row>
    <row r="19" spans="1:41">
      <c r="A19" s="329"/>
      <c r="B19" s="154">
        <v>2024</v>
      </c>
      <c r="C19" s="155">
        <v>79</v>
      </c>
      <c r="D19" s="155">
        <v>162</v>
      </c>
      <c r="E19" s="155">
        <v>220</v>
      </c>
      <c r="F19" s="155">
        <v>73</v>
      </c>
      <c r="G19" s="155">
        <v>87</v>
      </c>
      <c r="H19" s="329"/>
      <c r="I19" s="154">
        <v>2024</v>
      </c>
      <c r="J19" s="155">
        <v>1.7</v>
      </c>
      <c r="K19" s="155">
        <v>3.5</v>
      </c>
      <c r="L19" s="155">
        <v>5.2</v>
      </c>
      <c r="M19" s="155">
        <v>1.5</v>
      </c>
      <c r="N19" s="155">
        <v>1.9</v>
      </c>
      <c r="O19" s="329"/>
      <c r="P19" s="154">
        <v>2024</v>
      </c>
      <c r="Q19" s="155">
        <v>2.8</v>
      </c>
      <c r="R19" s="155">
        <v>8.9</v>
      </c>
      <c r="S19" s="155">
        <v>11.7</v>
      </c>
      <c r="T19" s="155">
        <v>2.2000000000000002</v>
      </c>
      <c r="U19" s="155">
        <v>3.4</v>
      </c>
      <c r="V19" s="329"/>
      <c r="W19" s="154"/>
      <c r="X19" s="155">
        <f t="shared" si="10"/>
        <v>10217</v>
      </c>
      <c r="Y19" s="329"/>
      <c r="Z19" s="154">
        <v>2024</v>
      </c>
      <c r="AA19" s="155">
        <f t="shared" si="0"/>
        <v>2.9483999999999995</v>
      </c>
      <c r="AB19" s="155">
        <f t="shared" si="1"/>
        <v>9.3717000000000006</v>
      </c>
      <c r="AC19" s="155">
        <f t="shared" si="2"/>
        <v>12.320099999999998</v>
      </c>
      <c r="AD19" s="155">
        <f t="shared" si="3"/>
        <v>2.3166000000000002</v>
      </c>
      <c r="AE19" s="155">
        <f t="shared" si="4"/>
        <v>3.5801999999999996</v>
      </c>
      <c r="AG19" s="154">
        <v>2024</v>
      </c>
      <c r="AH19" s="155">
        <f t="shared" si="5"/>
        <v>1.649</v>
      </c>
      <c r="AI19" s="155">
        <f t="shared" si="6"/>
        <v>3.395</v>
      </c>
      <c r="AJ19" s="155">
        <f t="shared" si="7"/>
        <v>5.0439999999999996</v>
      </c>
      <c r="AK19" s="155">
        <f t="shared" si="8"/>
        <v>1.4550000000000001</v>
      </c>
      <c r="AL19" s="155">
        <f t="shared" si="9"/>
        <v>1.843</v>
      </c>
      <c r="AN19" s="154"/>
      <c r="AO19" s="155">
        <f t="shared" si="11"/>
        <v>1.88</v>
      </c>
    </row>
    <row r="20" spans="1:41">
      <c r="A20" s="329"/>
      <c r="B20" s="154">
        <v>2025</v>
      </c>
      <c r="C20" s="155">
        <v>74</v>
      </c>
      <c r="D20" s="155">
        <v>150</v>
      </c>
      <c r="E20" s="155">
        <v>217</v>
      </c>
      <c r="F20" s="155">
        <v>68</v>
      </c>
      <c r="G20" s="155">
        <v>81</v>
      </c>
      <c r="H20" s="329"/>
      <c r="I20" s="154">
        <v>2025</v>
      </c>
      <c r="J20" s="155">
        <v>1.6</v>
      </c>
      <c r="K20" s="155">
        <v>3.2</v>
      </c>
      <c r="L20" s="155">
        <v>5.0999999999999996</v>
      </c>
      <c r="M20" s="155">
        <v>1.4</v>
      </c>
      <c r="N20" s="155">
        <v>1.8</v>
      </c>
      <c r="O20" s="329"/>
      <c r="P20" s="154">
        <v>2025</v>
      </c>
      <c r="Q20" s="155">
        <v>2.6</v>
      </c>
      <c r="R20" s="155">
        <v>8</v>
      </c>
      <c r="S20" s="155">
        <v>11.7</v>
      </c>
      <c r="T20" s="155">
        <v>2</v>
      </c>
      <c r="U20" s="155">
        <v>3.1</v>
      </c>
      <c r="V20" s="329"/>
      <c r="W20" s="154"/>
      <c r="X20" s="155">
        <f t="shared" si="10"/>
        <v>10217</v>
      </c>
      <c r="Y20" s="329"/>
      <c r="Z20" s="154">
        <v>2025</v>
      </c>
      <c r="AA20" s="155">
        <f t="shared" si="0"/>
        <v>2.7378</v>
      </c>
      <c r="AB20" s="155">
        <f t="shared" si="1"/>
        <v>8.4239999999999995</v>
      </c>
      <c r="AC20" s="155">
        <f t="shared" si="2"/>
        <v>12.320099999999998</v>
      </c>
      <c r="AD20" s="155">
        <f t="shared" si="3"/>
        <v>2.1059999999999999</v>
      </c>
      <c r="AE20" s="155">
        <f t="shared" si="4"/>
        <v>3.2643</v>
      </c>
      <c r="AG20" s="154">
        <v>2025</v>
      </c>
      <c r="AH20" s="155">
        <f t="shared" si="5"/>
        <v>1.552</v>
      </c>
      <c r="AI20" s="155">
        <f t="shared" si="6"/>
        <v>3.1040000000000001</v>
      </c>
      <c r="AJ20" s="155">
        <f t="shared" si="7"/>
        <v>4.9469999999999992</v>
      </c>
      <c r="AK20" s="155">
        <f t="shared" si="8"/>
        <v>1.3579999999999999</v>
      </c>
      <c r="AL20" s="155">
        <f t="shared" si="9"/>
        <v>1.746</v>
      </c>
      <c r="AN20" s="154"/>
      <c r="AO20" s="155">
        <f t="shared" si="11"/>
        <v>1.88</v>
      </c>
    </row>
    <row r="21" spans="1:41">
      <c r="A21" s="329"/>
      <c r="B21" s="154">
        <v>2026</v>
      </c>
      <c r="C21" s="155">
        <v>69</v>
      </c>
      <c r="D21" s="155">
        <v>144</v>
      </c>
      <c r="E21" s="155">
        <v>215</v>
      </c>
      <c r="F21" s="155">
        <v>64</v>
      </c>
      <c r="G21" s="155">
        <v>77</v>
      </c>
      <c r="H21" s="329"/>
      <c r="I21" s="154">
        <v>2026</v>
      </c>
      <c r="J21" s="155">
        <v>1.5</v>
      </c>
      <c r="K21" s="155">
        <v>3.1</v>
      </c>
      <c r="L21" s="155">
        <v>5.0999999999999996</v>
      </c>
      <c r="M21" s="155">
        <v>1.2</v>
      </c>
      <c r="N21" s="155">
        <v>1.6</v>
      </c>
      <c r="O21" s="329"/>
      <c r="P21" s="154">
        <v>2026</v>
      </c>
      <c r="Q21" s="155">
        <v>2.5</v>
      </c>
      <c r="R21" s="155">
        <v>7.6</v>
      </c>
      <c r="S21" s="155">
        <v>11.7</v>
      </c>
      <c r="T21" s="155">
        <v>1.8</v>
      </c>
      <c r="U21" s="155">
        <v>2.9</v>
      </c>
      <c r="V21" s="329"/>
      <c r="W21" s="154"/>
      <c r="X21" s="155">
        <f t="shared" si="10"/>
        <v>10217</v>
      </c>
      <c r="Y21" s="329"/>
      <c r="Z21" s="154">
        <v>2026</v>
      </c>
      <c r="AA21" s="155">
        <f t="shared" si="0"/>
        <v>2.6324999999999998</v>
      </c>
      <c r="AB21" s="155">
        <f t="shared" si="1"/>
        <v>8.0027999999999988</v>
      </c>
      <c r="AC21" s="155">
        <f t="shared" si="2"/>
        <v>12.320099999999998</v>
      </c>
      <c r="AD21" s="155">
        <f t="shared" si="3"/>
        <v>1.8954</v>
      </c>
      <c r="AE21" s="155">
        <f t="shared" si="4"/>
        <v>3.0536999999999996</v>
      </c>
      <c r="AG21" s="154">
        <v>2026</v>
      </c>
      <c r="AH21" s="155">
        <f t="shared" si="5"/>
        <v>1.4550000000000001</v>
      </c>
      <c r="AI21" s="155">
        <f t="shared" si="6"/>
        <v>3.0070000000000001</v>
      </c>
      <c r="AJ21" s="155">
        <f t="shared" si="7"/>
        <v>4.9469999999999992</v>
      </c>
      <c r="AK21" s="155">
        <f t="shared" si="8"/>
        <v>1.1639999999999999</v>
      </c>
      <c r="AL21" s="155">
        <f t="shared" si="9"/>
        <v>1.552</v>
      </c>
      <c r="AN21" s="154"/>
      <c r="AO21" s="155">
        <f t="shared" si="11"/>
        <v>1.88</v>
      </c>
    </row>
    <row r="22" spans="1:41">
      <c r="A22" s="329"/>
      <c r="B22" s="154">
        <v>2027</v>
      </c>
      <c r="C22" s="155">
        <v>65</v>
      </c>
      <c r="D22" s="155">
        <v>138</v>
      </c>
      <c r="E22" s="155">
        <v>212</v>
      </c>
      <c r="F22" s="155">
        <v>60</v>
      </c>
      <c r="G22" s="155">
        <v>72</v>
      </c>
      <c r="H22" s="329"/>
      <c r="I22" s="154">
        <v>2027</v>
      </c>
      <c r="J22" s="155">
        <v>1.4</v>
      </c>
      <c r="K22" s="155">
        <v>3</v>
      </c>
      <c r="L22" s="155">
        <v>5.0999999999999996</v>
      </c>
      <c r="M22" s="155">
        <v>1.1000000000000001</v>
      </c>
      <c r="N22" s="155">
        <v>1.5</v>
      </c>
      <c r="O22" s="329"/>
      <c r="P22" s="154">
        <v>2027</v>
      </c>
      <c r="Q22" s="155">
        <v>2.2999999999999998</v>
      </c>
      <c r="R22" s="155">
        <v>7.3</v>
      </c>
      <c r="S22" s="155">
        <v>11.7</v>
      </c>
      <c r="T22" s="155">
        <v>1.6</v>
      </c>
      <c r="U22" s="155">
        <v>2.8</v>
      </c>
      <c r="V22" s="329"/>
      <c r="W22" s="154"/>
      <c r="X22" s="155">
        <f t="shared" si="10"/>
        <v>10217</v>
      </c>
      <c r="Y22" s="329"/>
      <c r="Z22" s="154">
        <v>2027</v>
      </c>
      <c r="AA22" s="155">
        <f t="shared" si="0"/>
        <v>2.4218999999999995</v>
      </c>
      <c r="AB22" s="155">
        <f t="shared" si="1"/>
        <v>7.6868999999999996</v>
      </c>
      <c r="AC22" s="155">
        <f t="shared" si="2"/>
        <v>12.320099999999998</v>
      </c>
      <c r="AD22" s="155">
        <f t="shared" si="3"/>
        <v>1.6848000000000001</v>
      </c>
      <c r="AE22" s="155">
        <f t="shared" si="4"/>
        <v>2.9483999999999995</v>
      </c>
      <c r="AG22" s="154">
        <v>2027</v>
      </c>
      <c r="AH22" s="155">
        <f t="shared" si="5"/>
        <v>1.3579999999999999</v>
      </c>
      <c r="AI22" s="155">
        <f t="shared" si="6"/>
        <v>2.91</v>
      </c>
      <c r="AJ22" s="155">
        <f t="shared" si="7"/>
        <v>4.9469999999999992</v>
      </c>
      <c r="AK22" s="155">
        <f t="shared" si="8"/>
        <v>1.0669999999999999</v>
      </c>
      <c r="AL22" s="155">
        <f t="shared" si="9"/>
        <v>1.4550000000000001</v>
      </c>
      <c r="AN22" s="154"/>
      <c r="AO22" s="155">
        <f t="shared" si="11"/>
        <v>1.88</v>
      </c>
    </row>
    <row r="23" spans="1:41">
      <c r="A23" s="329"/>
      <c r="B23" s="154">
        <v>2028</v>
      </c>
      <c r="C23" s="155">
        <v>61</v>
      </c>
      <c r="D23" s="155">
        <v>132</v>
      </c>
      <c r="E23" s="155">
        <v>209</v>
      </c>
      <c r="F23" s="155">
        <v>56</v>
      </c>
      <c r="G23" s="155">
        <v>68</v>
      </c>
      <c r="H23" s="329"/>
      <c r="I23" s="154">
        <v>2028</v>
      </c>
      <c r="J23" s="155">
        <v>1.3</v>
      </c>
      <c r="K23" s="155">
        <v>2.8</v>
      </c>
      <c r="L23" s="155">
        <v>5</v>
      </c>
      <c r="M23" s="155">
        <v>1</v>
      </c>
      <c r="N23" s="155">
        <v>1.4</v>
      </c>
      <c r="O23" s="329"/>
      <c r="P23" s="154">
        <v>2028</v>
      </c>
      <c r="Q23" s="155">
        <v>2.1</v>
      </c>
      <c r="R23" s="155">
        <v>6.9</v>
      </c>
      <c r="S23" s="155">
        <v>11.7</v>
      </c>
      <c r="T23" s="155">
        <v>1.5</v>
      </c>
      <c r="U23" s="155">
        <v>2.6</v>
      </c>
      <c r="V23" s="329"/>
      <c r="W23" s="154"/>
      <c r="X23" s="155">
        <f t="shared" si="10"/>
        <v>10217</v>
      </c>
      <c r="Y23" s="329"/>
      <c r="Z23" s="154">
        <v>2028</v>
      </c>
      <c r="AA23" s="155">
        <f t="shared" si="0"/>
        <v>2.2113</v>
      </c>
      <c r="AB23" s="155">
        <f t="shared" si="1"/>
        <v>7.2656999999999998</v>
      </c>
      <c r="AC23" s="155">
        <f t="shared" si="2"/>
        <v>12.320099999999998</v>
      </c>
      <c r="AD23" s="155">
        <f t="shared" si="3"/>
        <v>1.5794999999999999</v>
      </c>
      <c r="AE23" s="155">
        <f t="shared" si="4"/>
        <v>2.7378</v>
      </c>
      <c r="AG23" s="154">
        <v>2028</v>
      </c>
      <c r="AH23" s="155">
        <f t="shared" si="5"/>
        <v>1.2609999999999999</v>
      </c>
      <c r="AI23" s="155">
        <f t="shared" si="6"/>
        <v>2.7159999999999997</v>
      </c>
      <c r="AJ23" s="155">
        <f t="shared" si="7"/>
        <v>4.8499999999999996</v>
      </c>
      <c r="AK23" s="155">
        <f t="shared" si="8"/>
        <v>0.97</v>
      </c>
      <c r="AL23" s="155">
        <f t="shared" si="9"/>
        <v>1.3579999999999999</v>
      </c>
      <c r="AN23" s="154"/>
      <c r="AO23" s="155">
        <f t="shared" si="11"/>
        <v>1.88</v>
      </c>
    </row>
    <row r="24" spans="1:41">
      <c r="A24" s="329"/>
      <c r="B24" s="154">
        <v>2029</v>
      </c>
      <c r="C24" s="155">
        <v>57</v>
      </c>
      <c r="D24" s="155">
        <v>126</v>
      </c>
      <c r="E24" s="155">
        <v>206</v>
      </c>
      <c r="F24" s="155">
        <v>52</v>
      </c>
      <c r="G24" s="155">
        <v>64</v>
      </c>
      <c r="H24" s="329"/>
      <c r="I24" s="154">
        <v>2029</v>
      </c>
      <c r="J24" s="155">
        <v>1.1000000000000001</v>
      </c>
      <c r="K24" s="155">
        <v>2.7</v>
      </c>
      <c r="L24" s="155">
        <v>5</v>
      </c>
      <c r="M24" s="155">
        <v>0.9</v>
      </c>
      <c r="N24" s="155">
        <v>1.3</v>
      </c>
      <c r="O24" s="329"/>
      <c r="P24" s="154">
        <v>2029</v>
      </c>
      <c r="Q24" s="155">
        <v>2</v>
      </c>
      <c r="R24" s="155">
        <v>6.5</v>
      </c>
      <c r="S24" s="155">
        <v>11.7</v>
      </c>
      <c r="T24" s="155">
        <v>1.3</v>
      </c>
      <c r="U24" s="155">
        <v>2.4</v>
      </c>
      <c r="V24" s="329"/>
      <c r="W24" s="154"/>
      <c r="X24" s="155">
        <f t="shared" si="10"/>
        <v>10217</v>
      </c>
      <c r="Y24" s="329"/>
      <c r="Z24" s="154">
        <v>2029</v>
      </c>
      <c r="AA24" s="155">
        <f t="shared" si="0"/>
        <v>2.1059999999999999</v>
      </c>
      <c r="AB24" s="155">
        <f t="shared" si="1"/>
        <v>6.8445</v>
      </c>
      <c r="AC24" s="155">
        <f t="shared" si="2"/>
        <v>12.320099999999998</v>
      </c>
      <c r="AD24" s="155">
        <f t="shared" si="3"/>
        <v>1.3689</v>
      </c>
      <c r="AE24" s="155">
        <f t="shared" si="4"/>
        <v>2.5271999999999997</v>
      </c>
      <c r="AG24" s="154">
        <v>2029</v>
      </c>
      <c r="AH24" s="155">
        <f t="shared" si="5"/>
        <v>1.0669999999999999</v>
      </c>
      <c r="AI24" s="155">
        <f t="shared" si="6"/>
        <v>2.6190000000000002</v>
      </c>
      <c r="AJ24" s="155">
        <f t="shared" si="7"/>
        <v>4.8499999999999996</v>
      </c>
      <c r="AK24" s="155">
        <f t="shared" si="8"/>
        <v>0.873</v>
      </c>
      <c r="AL24" s="155">
        <f t="shared" si="9"/>
        <v>1.2609999999999999</v>
      </c>
      <c r="AN24" s="154"/>
      <c r="AO24" s="155">
        <f t="shared" si="11"/>
        <v>1.88</v>
      </c>
    </row>
    <row r="25" spans="1:41">
      <c r="A25" s="329"/>
      <c r="B25" s="154">
        <v>2030</v>
      </c>
      <c r="C25" s="155">
        <v>53</v>
      </c>
      <c r="D25" s="155">
        <v>119</v>
      </c>
      <c r="E25" s="155">
        <v>203</v>
      </c>
      <c r="F25" s="155">
        <v>49</v>
      </c>
      <c r="G25" s="155">
        <v>60</v>
      </c>
      <c r="H25" s="329"/>
      <c r="I25" s="154">
        <v>2030</v>
      </c>
      <c r="J25" s="155">
        <v>1</v>
      </c>
      <c r="K25" s="155">
        <v>2.5</v>
      </c>
      <c r="L25" s="155">
        <v>4.9000000000000004</v>
      </c>
      <c r="M25" s="155">
        <v>0.8</v>
      </c>
      <c r="N25" s="155">
        <v>1.2</v>
      </c>
      <c r="O25" s="329"/>
      <c r="P25" s="154">
        <v>2030</v>
      </c>
      <c r="Q25" s="155">
        <v>1.9</v>
      </c>
      <c r="R25" s="155">
        <v>6.2</v>
      </c>
      <c r="S25" s="155">
        <v>11.7</v>
      </c>
      <c r="T25" s="155">
        <v>1.2</v>
      </c>
      <c r="U25" s="155">
        <v>2.2999999999999998</v>
      </c>
      <c r="V25" s="329"/>
      <c r="W25" s="154"/>
      <c r="X25" s="155">
        <f t="shared" si="10"/>
        <v>10217</v>
      </c>
      <c r="Y25" s="329"/>
      <c r="Z25" s="154">
        <v>2030</v>
      </c>
      <c r="AA25" s="155">
        <f t="shared" si="0"/>
        <v>2.0006999999999997</v>
      </c>
      <c r="AB25" s="155">
        <f t="shared" si="1"/>
        <v>6.5286</v>
      </c>
      <c r="AC25" s="155">
        <f t="shared" si="2"/>
        <v>12.320099999999998</v>
      </c>
      <c r="AD25" s="155">
        <f t="shared" si="3"/>
        <v>1.2635999999999998</v>
      </c>
      <c r="AE25" s="155">
        <f t="shared" si="4"/>
        <v>2.4218999999999995</v>
      </c>
      <c r="AG25" s="154">
        <v>2030</v>
      </c>
      <c r="AH25" s="155">
        <f t="shared" si="5"/>
        <v>0.97</v>
      </c>
      <c r="AI25" s="155">
        <f t="shared" si="6"/>
        <v>2.4249999999999998</v>
      </c>
      <c r="AJ25" s="155">
        <f t="shared" si="7"/>
        <v>4.7530000000000001</v>
      </c>
      <c r="AK25" s="155">
        <f t="shared" si="8"/>
        <v>0.77600000000000002</v>
      </c>
      <c r="AL25" s="155">
        <f t="shared" si="9"/>
        <v>1.1639999999999999</v>
      </c>
      <c r="AN25" s="154"/>
      <c r="AO25" s="155">
        <f t="shared" si="11"/>
        <v>1.88</v>
      </c>
    </row>
    <row r="26" spans="1:41">
      <c r="A26" s="329"/>
      <c r="B26" s="154">
        <v>2031</v>
      </c>
      <c r="C26" s="155">
        <v>49</v>
      </c>
      <c r="D26" s="155">
        <v>112</v>
      </c>
      <c r="E26" s="155">
        <v>200</v>
      </c>
      <c r="F26" s="155">
        <v>46</v>
      </c>
      <c r="G26" s="155">
        <v>56</v>
      </c>
      <c r="H26" s="329"/>
      <c r="I26" s="154">
        <v>2031</v>
      </c>
      <c r="J26" s="155">
        <v>1</v>
      </c>
      <c r="K26" s="155">
        <v>2.4</v>
      </c>
      <c r="L26" s="155">
        <v>4.8</v>
      </c>
      <c r="M26" s="155">
        <v>0.7</v>
      </c>
      <c r="N26" s="155">
        <v>1.1000000000000001</v>
      </c>
      <c r="O26" s="329"/>
      <c r="P26" s="154">
        <v>2031</v>
      </c>
      <c r="Q26" s="155">
        <v>1.7</v>
      </c>
      <c r="R26" s="155">
        <v>5.8</v>
      </c>
      <c r="S26" s="155">
        <v>11.7</v>
      </c>
      <c r="T26" s="155">
        <v>1.1000000000000001</v>
      </c>
      <c r="U26" s="155">
        <v>2.2000000000000002</v>
      </c>
      <c r="V26" s="329"/>
      <c r="W26" s="154"/>
      <c r="X26" s="155">
        <f t="shared" si="10"/>
        <v>10217</v>
      </c>
      <c r="Y26" s="329"/>
      <c r="Z26" s="154">
        <v>2031</v>
      </c>
      <c r="AA26" s="155">
        <f t="shared" si="0"/>
        <v>1.7900999999999998</v>
      </c>
      <c r="AB26" s="155">
        <f t="shared" si="1"/>
        <v>6.1073999999999993</v>
      </c>
      <c r="AC26" s="155">
        <f t="shared" si="2"/>
        <v>12.320099999999998</v>
      </c>
      <c r="AD26" s="155">
        <f t="shared" si="3"/>
        <v>1.1583000000000001</v>
      </c>
      <c r="AE26" s="155">
        <f t="shared" si="4"/>
        <v>2.3166000000000002</v>
      </c>
      <c r="AG26" s="154">
        <v>2031</v>
      </c>
      <c r="AH26" s="155">
        <f t="shared" si="5"/>
        <v>0.97</v>
      </c>
      <c r="AI26" s="155">
        <f t="shared" si="6"/>
        <v>2.3279999999999998</v>
      </c>
      <c r="AJ26" s="155">
        <f t="shared" si="7"/>
        <v>4.6559999999999997</v>
      </c>
      <c r="AK26" s="155">
        <f t="shared" si="8"/>
        <v>0.67899999999999994</v>
      </c>
      <c r="AL26" s="155">
        <f t="shared" si="9"/>
        <v>1.0669999999999999</v>
      </c>
      <c r="AN26" s="154"/>
      <c r="AO26" s="155">
        <f t="shared" si="11"/>
        <v>1.88</v>
      </c>
    </row>
    <row r="27" spans="1:41">
      <c r="A27" s="329"/>
      <c r="B27" s="154">
        <v>2032</v>
      </c>
      <c r="C27" s="155">
        <v>46</v>
      </c>
      <c r="D27" s="155">
        <v>105</v>
      </c>
      <c r="E27" s="155">
        <v>197</v>
      </c>
      <c r="F27" s="155">
        <v>42</v>
      </c>
      <c r="G27" s="155">
        <v>52</v>
      </c>
      <c r="H27" s="329"/>
      <c r="I27" s="154">
        <v>2032</v>
      </c>
      <c r="J27" s="155">
        <v>0.9</v>
      </c>
      <c r="K27" s="155">
        <v>2.2000000000000002</v>
      </c>
      <c r="L27" s="155">
        <v>4.8</v>
      </c>
      <c r="M27" s="155">
        <v>0.7</v>
      </c>
      <c r="N27" s="155">
        <v>1</v>
      </c>
      <c r="O27" s="329"/>
      <c r="P27" s="154">
        <v>2032</v>
      </c>
      <c r="Q27" s="155">
        <v>1.6</v>
      </c>
      <c r="R27" s="155">
        <v>5.5</v>
      </c>
      <c r="S27" s="155">
        <v>11.7</v>
      </c>
      <c r="T27" s="155">
        <v>1</v>
      </c>
      <c r="U27" s="155">
        <v>2</v>
      </c>
      <c r="V27" s="329"/>
      <c r="W27" s="154"/>
      <c r="X27" s="155">
        <f t="shared" si="10"/>
        <v>10217</v>
      </c>
      <c r="Y27" s="329"/>
      <c r="Z27" s="154">
        <v>2032</v>
      </c>
      <c r="AA27" s="155">
        <f t="shared" si="0"/>
        <v>1.6848000000000001</v>
      </c>
      <c r="AB27" s="155">
        <f t="shared" si="1"/>
        <v>5.7914999999999992</v>
      </c>
      <c r="AC27" s="155">
        <f t="shared" si="2"/>
        <v>12.320099999999998</v>
      </c>
      <c r="AD27" s="155">
        <f t="shared" si="3"/>
        <v>1.0529999999999999</v>
      </c>
      <c r="AE27" s="155">
        <f t="shared" si="4"/>
        <v>2.1059999999999999</v>
      </c>
      <c r="AG27" s="154">
        <v>2032</v>
      </c>
      <c r="AH27" s="155">
        <f t="shared" si="5"/>
        <v>0.873</v>
      </c>
      <c r="AI27" s="155">
        <f t="shared" si="6"/>
        <v>2.1339999999999999</v>
      </c>
      <c r="AJ27" s="155">
        <f t="shared" si="7"/>
        <v>4.6559999999999997</v>
      </c>
      <c r="AK27" s="155">
        <f t="shared" si="8"/>
        <v>0.67899999999999994</v>
      </c>
      <c r="AL27" s="155">
        <f t="shared" si="9"/>
        <v>0.97</v>
      </c>
      <c r="AN27" s="154"/>
      <c r="AO27" s="155">
        <f t="shared" si="11"/>
        <v>1.88</v>
      </c>
    </row>
    <row r="28" spans="1:41">
      <c r="A28" s="329"/>
      <c r="B28" s="154">
        <v>2033</v>
      </c>
      <c r="C28" s="155">
        <v>43</v>
      </c>
      <c r="D28" s="155">
        <v>98</v>
      </c>
      <c r="E28" s="155">
        <v>193</v>
      </c>
      <c r="F28" s="155">
        <v>39</v>
      </c>
      <c r="G28" s="155">
        <v>49</v>
      </c>
      <c r="H28" s="329"/>
      <c r="I28" s="154">
        <v>2033</v>
      </c>
      <c r="J28" s="155">
        <v>0.8</v>
      </c>
      <c r="K28" s="155">
        <v>2.1</v>
      </c>
      <c r="L28" s="155">
        <v>4.7</v>
      </c>
      <c r="M28" s="155">
        <v>0.6</v>
      </c>
      <c r="N28" s="155">
        <v>0.9</v>
      </c>
      <c r="O28" s="329"/>
      <c r="P28" s="154">
        <v>2033</v>
      </c>
      <c r="Q28" s="155">
        <v>1.5</v>
      </c>
      <c r="R28" s="155">
        <v>5.0999999999999996</v>
      </c>
      <c r="S28" s="155">
        <v>11.7</v>
      </c>
      <c r="T28" s="155">
        <v>0.9</v>
      </c>
      <c r="U28" s="155">
        <v>1.9</v>
      </c>
      <c r="V28" s="329"/>
      <c r="W28" s="154"/>
      <c r="X28" s="155">
        <f t="shared" si="10"/>
        <v>10217</v>
      </c>
      <c r="Y28" s="329"/>
      <c r="Z28" s="154">
        <v>2033</v>
      </c>
      <c r="AA28" s="155">
        <f t="shared" si="0"/>
        <v>1.5794999999999999</v>
      </c>
      <c r="AB28" s="155">
        <f t="shared" si="1"/>
        <v>5.3702999999999994</v>
      </c>
      <c r="AC28" s="155">
        <f t="shared" si="2"/>
        <v>12.320099999999998</v>
      </c>
      <c r="AD28" s="155">
        <f t="shared" si="3"/>
        <v>0.94769999999999999</v>
      </c>
      <c r="AE28" s="155">
        <f t="shared" si="4"/>
        <v>2.0006999999999997</v>
      </c>
      <c r="AG28" s="154">
        <v>2033</v>
      </c>
      <c r="AH28" s="155">
        <f t="shared" si="5"/>
        <v>0.77600000000000002</v>
      </c>
      <c r="AI28" s="155">
        <f t="shared" si="6"/>
        <v>2.0369999999999999</v>
      </c>
      <c r="AJ28" s="155">
        <f t="shared" si="7"/>
        <v>4.5590000000000002</v>
      </c>
      <c r="AK28" s="155">
        <f t="shared" si="8"/>
        <v>0.58199999999999996</v>
      </c>
      <c r="AL28" s="155">
        <f t="shared" si="9"/>
        <v>0.873</v>
      </c>
      <c r="AN28" s="154"/>
      <c r="AO28" s="155">
        <f t="shared" si="11"/>
        <v>1.88</v>
      </c>
    </row>
    <row r="29" spans="1:41">
      <c r="A29" s="329"/>
      <c r="B29" s="154">
        <v>2034</v>
      </c>
      <c r="C29" s="155">
        <v>40</v>
      </c>
      <c r="D29" s="155">
        <v>91</v>
      </c>
      <c r="E29" s="155">
        <v>190</v>
      </c>
      <c r="F29" s="155">
        <v>36</v>
      </c>
      <c r="G29" s="155">
        <v>46</v>
      </c>
      <c r="H29" s="329"/>
      <c r="I29" s="154">
        <v>2034</v>
      </c>
      <c r="J29" s="155">
        <v>0.7</v>
      </c>
      <c r="K29" s="155">
        <v>1.9</v>
      </c>
      <c r="L29" s="155">
        <v>4.5999999999999996</v>
      </c>
      <c r="M29" s="155">
        <v>0.6</v>
      </c>
      <c r="N29" s="155">
        <v>0.9</v>
      </c>
      <c r="O29" s="329"/>
      <c r="P29" s="154">
        <v>2034</v>
      </c>
      <c r="Q29" s="155">
        <v>1.4</v>
      </c>
      <c r="R29" s="155">
        <v>4.7</v>
      </c>
      <c r="S29" s="155">
        <v>11.7</v>
      </c>
      <c r="T29" s="155">
        <v>0.8</v>
      </c>
      <c r="U29" s="155">
        <v>1.8</v>
      </c>
      <c r="V29" s="329"/>
      <c r="W29" s="154"/>
      <c r="X29" s="155">
        <f t="shared" si="10"/>
        <v>10217</v>
      </c>
      <c r="Y29" s="329"/>
      <c r="Z29" s="154">
        <v>2034</v>
      </c>
      <c r="AA29" s="155">
        <f t="shared" si="0"/>
        <v>1.4741999999999997</v>
      </c>
      <c r="AB29" s="155">
        <f t="shared" si="1"/>
        <v>4.9490999999999996</v>
      </c>
      <c r="AC29" s="155">
        <f t="shared" si="2"/>
        <v>12.320099999999998</v>
      </c>
      <c r="AD29" s="155">
        <f t="shared" si="3"/>
        <v>0.84240000000000004</v>
      </c>
      <c r="AE29" s="155">
        <f t="shared" si="4"/>
        <v>1.8954</v>
      </c>
      <c r="AG29" s="154">
        <v>2034</v>
      </c>
      <c r="AH29" s="155">
        <f t="shared" si="5"/>
        <v>0.67899999999999994</v>
      </c>
      <c r="AI29" s="155">
        <f t="shared" si="6"/>
        <v>1.843</v>
      </c>
      <c r="AJ29" s="155">
        <f t="shared" si="7"/>
        <v>4.4619999999999997</v>
      </c>
      <c r="AK29" s="155">
        <f t="shared" si="8"/>
        <v>0.58199999999999996</v>
      </c>
      <c r="AL29" s="155">
        <f t="shared" si="9"/>
        <v>0.873</v>
      </c>
      <c r="AN29" s="154"/>
      <c r="AO29" s="155">
        <f t="shared" si="11"/>
        <v>1.88</v>
      </c>
    </row>
    <row r="30" spans="1:41">
      <c r="A30" s="329"/>
      <c r="B30" s="154">
        <v>2035</v>
      </c>
      <c r="C30" s="155">
        <v>37</v>
      </c>
      <c r="D30" s="155">
        <v>84</v>
      </c>
      <c r="E30" s="155">
        <v>187</v>
      </c>
      <c r="F30" s="155">
        <v>33</v>
      </c>
      <c r="G30" s="155">
        <v>43</v>
      </c>
      <c r="H30" s="329"/>
      <c r="I30" s="154">
        <v>2035</v>
      </c>
      <c r="J30" s="155">
        <v>0.7</v>
      </c>
      <c r="K30" s="155">
        <v>1.7</v>
      </c>
      <c r="L30" s="155">
        <v>4.5999999999999996</v>
      </c>
      <c r="M30" s="155">
        <v>0.5</v>
      </c>
      <c r="N30" s="155">
        <v>0.8</v>
      </c>
      <c r="O30" s="329"/>
      <c r="P30" s="154">
        <v>2035</v>
      </c>
      <c r="Q30" s="155">
        <v>1.3</v>
      </c>
      <c r="R30" s="155">
        <v>4.4000000000000004</v>
      </c>
      <c r="S30" s="155">
        <v>11.7</v>
      </c>
      <c r="T30" s="155">
        <v>0.7</v>
      </c>
      <c r="U30" s="155">
        <v>1.7</v>
      </c>
      <c r="V30" s="329"/>
      <c r="W30" s="154"/>
      <c r="X30" s="155">
        <f t="shared" si="10"/>
        <v>10217</v>
      </c>
      <c r="Y30" s="329"/>
      <c r="Z30" s="154">
        <v>2035</v>
      </c>
      <c r="AA30" s="155">
        <f t="shared" si="0"/>
        <v>1.3689</v>
      </c>
      <c r="AB30" s="155">
        <f t="shared" si="1"/>
        <v>4.6332000000000004</v>
      </c>
      <c r="AC30" s="155">
        <f t="shared" si="2"/>
        <v>12.320099999999998</v>
      </c>
      <c r="AD30" s="155">
        <f t="shared" si="3"/>
        <v>0.73709999999999987</v>
      </c>
      <c r="AE30" s="155">
        <f t="shared" si="4"/>
        <v>1.7900999999999998</v>
      </c>
      <c r="AG30" s="154">
        <v>2035</v>
      </c>
      <c r="AH30" s="155">
        <f t="shared" si="5"/>
        <v>0.67899999999999994</v>
      </c>
      <c r="AI30" s="155">
        <f t="shared" si="6"/>
        <v>1.649</v>
      </c>
      <c r="AJ30" s="155">
        <f t="shared" si="7"/>
        <v>4.4619999999999997</v>
      </c>
      <c r="AK30" s="155">
        <f t="shared" si="8"/>
        <v>0.48499999999999999</v>
      </c>
      <c r="AL30" s="155">
        <f t="shared" si="9"/>
        <v>0.77600000000000002</v>
      </c>
      <c r="AN30" s="154"/>
      <c r="AO30" s="155">
        <f t="shared" si="11"/>
        <v>1.88</v>
      </c>
    </row>
    <row r="31" spans="1:41">
      <c r="A31" s="329"/>
      <c r="B31" s="154">
        <v>2036</v>
      </c>
      <c r="C31" s="155">
        <v>35</v>
      </c>
      <c r="D31" s="155">
        <v>77</v>
      </c>
      <c r="E31" s="155">
        <v>184</v>
      </c>
      <c r="F31" s="155">
        <v>30</v>
      </c>
      <c r="G31" s="155">
        <v>40</v>
      </c>
      <c r="H31" s="329"/>
      <c r="I31" s="154">
        <v>2036</v>
      </c>
      <c r="J31" s="155">
        <v>0.6</v>
      </c>
      <c r="K31" s="155">
        <v>1.6</v>
      </c>
      <c r="L31" s="155">
        <v>4.5</v>
      </c>
      <c r="M31" s="155">
        <v>0.5</v>
      </c>
      <c r="N31" s="155">
        <v>0.7</v>
      </c>
      <c r="O31" s="329"/>
      <c r="P31" s="154">
        <v>2036</v>
      </c>
      <c r="Q31" s="155">
        <v>1.2</v>
      </c>
      <c r="R31" s="155">
        <v>4</v>
      </c>
      <c r="S31" s="155">
        <v>11.7</v>
      </c>
      <c r="T31" s="155">
        <v>0.7</v>
      </c>
      <c r="U31" s="155">
        <v>1.6</v>
      </c>
      <c r="V31" s="329"/>
      <c r="W31" s="154"/>
      <c r="X31" s="155">
        <f t="shared" si="10"/>
        <v>10217</v>
      </c>
      <c r="Y31" s="329"/>
      <c r="Z31" s="154">
        <v>2036</v>
      </c>
      <c r="AA31" s="155">
        <f t="shared" si="0"/>
        <v>1.2635999999999998</v>
      </c>
      <c r="AB31" s="155">
        <f t="shared" si="1"/>
        <v>4.2119999999999997</v>
      </c>
      <c r="AC31" s="155">
        <f t="shared" si="2"/>
        <v>12.320099999999998</v>
      </c>
      <c r="AD31" s="155">
        <f t="shared" si="3"/>
        <v>0.73709999999999987</v>
      </c>
      <c r="AE31" s="155">
        <f t="shared" si="4"/>
        <v>1.6848000000000001</v>
      </c>
      <c r="AG31" s="154">
        <v>2036</v>
      </c>
      <c r="AH31" s="155">
        <f t="shared" si="5"/>
        <v>0.58199999999999996</v>
      </c>
      <c r="AI31" s="155">
        <f t="shared" si="6"/>
        <v>1.552</v>
      </c>
      <c r="AJ31" s="155">
        <f t="shared" si="7"/>
        <v>4.3650000000000002</v>
      </c>
      <c r="AK31" s="155">
        <f t="shared" si="8"/>
        <v>0.48499999999999999</v>
      </c>
      <c r="AL31" s="155">
        <f t="shared" si="9"/>
        <v>0.67899999999999994</v>
      </c>
      <c r="AN31" s="154"/>
      <c r="AO31" s="155">
        <f t="shared" si="11"/>
        <v>1.88</v>
      </c>
    </row>
    <row r="32" spans="1:41">
      <c r="A32" s="329"/>
      <c r="B32" s="154">
        <v>2037</v>
      </c>
      <c r="C32" s="155">
        <v>33</v>
      </c>
      <c r="D32" s="155">
        <v>71</v>
      </c>
      <c r="E32" s="155">
        <v>180</v>
      </c>
      <c r="F32" s="155">
        <v>28</v>
      </c>
      <c r="G32" s="155">
        <v>38</v>
      </c>
      <c r="H32" s="329"/>
      <c r="I32" s="154">
        <v>2037</v>
      </c>
      <c r="J32" s="155">
        <v>0.6</v>
      </c>
      <c r="K32" s="155">
        <v>1.5</v>
      </c>
      <c r="L32" s="155">
        <v>4.4000000000000004</v>
      </c>
      <c r="M32" s="155">
        <v>0.4</v>
      </c>
      <c r="N32" s="155">
        <v>0.7</v>
      </c>
      <c r="O32" s="329"/>
      <c r="P32" s="154">
        <v>2037</v>
      </c>
      <c r="Q32" s="155">
        <v>1.2</v>
      </c>
      <c r="R32" s="155">
        <v>3.7</v>
      </c>
      <c r="S32" s="155">
        <v>11.7</v>
      </c>
      <c r="T32" s="155">
        <v>0.6</v>
      </c>
      <c r="U32" s="155">
        <v>1.5</v>
      </c>
      <c r="V32" s="329"/>
      <c r="W32" s="154"/>
      <c r="X32" s="155">
        <f t="shared" si="10"/>
        <v>10217</v>
      </c>
      <c r="Y32" s="329"/>
      <c r="Z32" s="154">
        <v>2037</v>
      </c>
      <c r="AA32" s="155">
        <f t="shared" si="0"/>
        <v>1.2635999999999998</v>
      </c>
      <c r="AB32" s="155">
        <f t="shared" si="1"/>
        <v>3.8961000000000001</v>
      </c>
      <c r="AC32" s="155">
        <f t="shared" si="2"/>
        <v>12.320099999999998</v>
      </c>
      <c r="AD32" s="155">
        <f t="shared" si="3"/>
        <v>0.63179999999999992</v>
      </c>
      <c r="AE32" s="155">
        <f t="shared" si="4"/>
        <v>1.5794999999999999</v>
      </c>
      <c r="AG32" s="154">
        <v>2037</v>
      </c>
      <c r="AH32" s="155">
        <f t="shared" si="5"/>
        <v>0.58199999999999996</v>
      </c>
      <c r="AI32" s="155">
        <f t="shared" si="6"/>
        <v>1.4550000000000001</v>
      </c>
      <c r="AJ32" s="155">
        <f t="shared" si="7"/>
        <v>4.2679999999999998</v>
      </c>
      <c r="AK32" s="155">
        <f t="shared" si="8"/>
        <v>0.38800000000000001</v>
      </c>
      <c r="AL32" s="155">
        <f t="shared" si="9"/>
        <v>0.67899999999999994</v>
      </c>
      <c r="AN32" s="154"/>
      <c r="AO32" s="155">
        <f t="shared" si="11"/>
        <v>1.88</v>
      </c>
    </row>
    <row r="33" spans="1:45">
      <c r="A33" s="329"/>
      <c r="B33" s="154">
        <v>2038</v>
      </c>
      <c r="C33" s="155">
        <v>31</v>
      </c>
      <c r="D33" s="155">
        <v>67</v>
      </c>
      <c r="E33" s="155">
        <v>177</v>
      </c>
      <c r="F33" s="155">
        <v>26</v>
      </c>
      <c r="G33" s="155">
        <v>36</v>
      </c>
      <c r="H33" s="329"/>
      <c r="I33" s="154">
        <v>2038</v>
      </c>
      <c r="J33" s="155">
        <v>0.5</v>
      </c>
      <c r="K33" s="155">
        <v>1.4</v>
      </c>
      <c r="L33" s="155">
        <v>4.4000000000000004</v>
      </c>
      <c r="M33" s="155">
        <v>0.4</v>
      </c>
      <c r="N33" s="155">
        <v>0.6</v>
      </c>
      <c r="O33" s="329"/>
      <c r="P33" s="154">
        <v>2038</v>
      </c>
      <c r="Q33" s="155">
        <v>1.1000000000000001</v>
      </c>
      <c r="R33" s="155">
        <v>3.6</v>
      </c>
      <c r="S33" s="155">
        <v>11.7</v>
      </c>
      <c r="T33" s="155">
        <v>0.6</v>
      </c>
      <c r="U33" s="155">
        <v>1.4</v>
      </c>
      <c r="V33" s="329"/>
      <c r="W33" s="154"/>
      <c r="X33" s="155">
        <f t="shared" si="10"/>
        <v>10217</v>
      </c>
      <c r="Y33" s="329"/>
      <c r="Z33" s="154">
        <v>2038</v>
      </c>
      <c r="AA33" s="155">
        <f t="shared" si="0"/>
        <v>1.1583000000000001</v>
      </c>
      <c r="AB33" s="155">
        <f t="shared" si="1"/>
        <v>3.7907999999999999</v>
      </c>
      <c r="AC33" s="155">
        <f t="shared" si="2"/>
        <v>12.320099999999998</v>
      </c>
      <c r="AD33" s="155">
        <f t="shared" si="3"/>
        <v>0.63179999999999992</v>
      </c>
      <c r="AE33" s="155">
        <f t="shared" si="4"/>
        <v>1.4741999999999997</v>
      </c>
      <c r="AG33" s="154">
        <v>2038</v>
      </c>
      <c r="AH33" s="155">
        <f t="shared" si="5"/>
        <v>0.48499999999999999</v>
      </c>
      <c r="AI33" s="155">
        <f t="shared" si="6"/>
        <v>1.3579999999999999</v>
      </c>
      <c r="AJ33" s="155">
        <f t="shared" si="7"/>
        <v>4.2679999999999998</v>
      </c>
      <c r="AK33" s="155">
        <f t="shared" si="8"/>
        <v>0.38800000000000001</v>
      </c>
      <c r="AL33" s="155">
        <f t="shared" si="9"/>
        <v>0.58199999999999996</v>
      </c>
      <c r="AN33" s="154"/>
      <c r="AO33" s="155">
        <f t="shared" si="11"/>
        <v>1.88</v>
      </c>
    </row>
    <row r="34" spans="1:45">
      <c r="A34" s="329"/>
      <c r="B34" s="154">
        <v>2039</v>
      </c>
      <c r="C34" s="155">
        <v>29</v>
      </c>
      <c r="D34" s="155">
        <v>63</v>
      </c>
      <c r="E34" s="155">
        <v>174</v>
      </c>
      <c r="F34" s="155">
        <v>24</v>
      </c>
      <c r="G34" s="155">
        <v>34</v>
      </c>
      <c r="H34" s="329"/>
      <c r="I34" s="154">
        <v>2039</v>
      </c>
      <c r="J34" s="155">
        <v>0.5</v>
      </c>
      <c r="K34" s="155">
        <v>1.3</v>
      </c>
      <c r="L34" s="155">
        <v>4.3</v>
      </c>
      <c r="M34" s="155">
        <v>0.4</v>
      </c>
      <c r="N34" s="155">
        <v>0.6</v>
      </c>
      <c r="O34" s="329"/>
      <c r="P34" s="154">
        <v>2039</v>
      </c>
      <c r="Q34" s="155">
        <v>1.1000000000000001</v>
      </c>
      <c r="R34" s="155">
        <v>3.4</v>
      </c>
      <c r="S34" s="155">
        <v>11.7</v>
      </c>
      <c r="T34" s="155">
        <v>0.5</v>
      </c>
      <c r="U34" s="155">
        <v>1.4</v>
      </c>
      <c r="V34" s="329"/>
      <c r="W34" s="154"/>
      <c r="X34" s="155">
        <f t="shared" si="10"/>
        <v>10217</v>
      </c>
      <c r="Y34" s="329"/>
      <c r="Z34" s="154">
        <v>2039</v>
      </c>
      <c r="AA34" s="155">
        <f t="shared" si="0"/>
        <v>1.1583000000000001</v>
      </c>
      <c r="AB34" s="155">
        <f t="shared" si="1"/>
        <v>3.5801999999999996</v>
      </c>
      <c r="AC34" s="155">
        <f t="shared" si="2"/>
        <v>12.320099999999998</v>
      </c>
      <c r="AD34" s="155">
        <f t="shared" si="3"/>
        <v>0.52649999999999997</v>
      </c>
      <c r="AE34" s="155">
        <f t="shared" si="4"/>
        <v>1.4741999999999997</v>
      </c>
      <c r="AG34" s="154">
        <v>2039</v>
      </c>
      <c r="AH34" s="155">
        <f t="shared" si="5"/>
        <v>0.48499999999999999</v>
      </c>
      <c r="AI34" s="155">
        <f t="shared" si="6"/>
        <v>1.2609999999999999</v>
      </c>
      <c r="AJ34" s="155">
        <f t="shared" si="7"/>
        <v>4.1709999999999994</v>
      </c>
      <c r="AK34" s="155">
        <f t="shared" si="8"/>
        <v>0.38800000000000001</v>
      </c>
      <c r="AL34" s="155">
        <f t="shared" si="9"/>
        <v>0.58199999999999996</v>
      </c>
      <c r="AN34" s="154"/>
      <c r="AO34" s="155">
        <f t="shared" si="11"/>
        <v>1.88</v>
      </c>
    </row>
    <row r="35" spans="1:45">
      <c r="A35" s="329"/>
      <c r="B35" s="154">
        <v>2040</v>
      </c>
      <c r="C35" s="155">
        <v>28</v>
      </c>
      <c r="D35" s="155">
        <v>60</v>
      </c>
      <c r="E35" s="155">
        <v>171</v>
      </c>
      <c r="F35" s="155">
        <v>23</v>
      </c>
      <c r="G35" s="155">
        <v>32</v>
      </c>
      <c r="H35" s="329"/>
      <c r="I35" s="154">
        <v>2040</v>
      </c>
      <c r="J35" s="155">
        <v>0.4</v>
      </c>
      <c r="K35" s="155">
        <v>1.2</v>
      </c>
      <c r="L35" s="155">
        <v>4.2</v>
      </c>
      <c r="M35" s="155">
        <v>0.3</v>
      </c>
      <c r="N35" s="155">
        <v>0.5</v>
      </c>
      <c r="O35" s="329"/>
      <c r="P35" s="154">
        <v>2040</v>
      </c>
      <c r="Q35" s="155">
        <v>1</v>
      </c>
      <c r="R35" s="155">
        <v>3.2</v>
      </c>
      <c r="S35" s="155">
        <v>11.7</v>
      </c>
      <c r="T35" s="155">
        <v>0.5</v>
      </c>
      <c r="U35" s="155">
        <v>1.3</v>
      </c>
      <c r="V35" s="329"/>
      <c r="W35" s="154"/>
      <c r="X35" s="155">
        <f>X34</f>
        <v>10217</v>
      </c>
      <c r="Y35" s="329"/>
      <c r="Z35" s="154">
        <v>2040</v>
      </c>
      <c r="AA35" s="155">
        <f t="shared" si="0"/>
        <v>1.0529999999999999</v>
      </c>
      <c r="AB35" s="155">
        <f t="shared" si="1"/>
        <v>3.3696000000000002</v>
      </c>
      <c r="AC35" s="155">
        <f t="shared" si="2"/>
        <v>12.320099999999998</v>
      </c>
      <c r="AD35" s="155">
        <f t="shared" si="3"/>
        <v>0.52649999999999997</v>
      </c>
      <c r="AE35" s="155">
        <f t="shared" si="4"/>
        <v>1.3689</v>
      </c>
      <c r="AG35" s="154">
        <v>2040</v>
      </c>
      <c r="AH35" s="155">
        <f t="shared" si="5"/>
        <v>0.38800000000000001</v>
      </c>
      <c r="AI35" s="155">
        <f t="shared" si="6"/>
        <v>1.1639999999999999</v>
      </c>
      <c r="AJ35" s="155">
        <f t="shared" si="7"/>
        <v>4.0739999999999998</v>
      </c>
      <c r="AK35" s="155">
        <f t="shared" si="8"/>
        <v>0.29099999999999998</v>
      </c>
      <c r="AL35" s="155">
        <f t="shared" si="9"/>
        <v>0.48499999999999999</v>
      </c>
      <c r="AN35" s="154"/>
      <c r="AO35" s="155">
        <f>AO34</f>
        <v>1.88</v>
      </c>
    </row>
    <row r="36" spans="1:45">
      <c r="A36" s="329"/>
      <c r="B36" s="154">
        <v>2041</v>
      </c>
      <c r="C36" s="155">
        <v>28</v>
      </c>
      <c r="D36" s="155">
        <v>60</v>
      </c>
      <c r="E36" s="155">
        <v>171</v>
      </c>
      <c r="F36" s="155">
        <v>23</v>
      </c>
      <c r="G36" s="155">
        <v>32</v>
      </c>
      <c r="H36" s="329"/>
      <c r="I36" s="154">
        <v>2041</v>
      </c>
      <c r="J36" s="155">
        <v>0.4</v>
      </c>
      <c r="K36" s="155">
        <v>1.2</v>
      </c>
      <c r="L36" s="155">
        <v>4.2</v>
      </c>
      <c r="M36" s="155">
        <v>0.3</v>
      </c>
      <c r="N36" s="155">
        <v>0.5</v>
      </c>
      <c r="O36" s="329"/>
      <c r="P36" s="154">
        <v>2041</v>
      </c>
      <c r="Q36" s="155">
        <v>1</v>
      </c>
      <c r="R36" s="155">
        <v>3.2</v>
      </c>
      <c r="S36" s="155">
        <v>11.7</v>
      </c>
      <c r="T36" s="155">
        <v>0.5</v>
      </c>
      <c r="U36" s="155">
        <v>1.3</v>
      </c>
      <c r="V36" s="329"/>
      <c r="W36" s="154"/>
      <c r="X36" s="155">
        <f t="shared" ref="X36:X40" si="12">X35</f>
        <v>10217</v>
      </c>
      <c r="Y36" s="329"/>
      <c r="Z36" s="154">
        <v>2041</v>
      </c>
      <c r="AA36" s="155">
        <f t="shared" si="0"/>
        <v>1.0529999999999999</v>
      </c>
      <c r="AB36" s="155">
        <f t="shared" si="1"/>
        <v>3.3696000000000002</v>
      </c>
      <c r="AC36" s="155">
        <f t="shared" si="2"/>
        <v>12.320099999999998</v>
      </c>
      <c r="AD36" s="155">
        <f t="shared" si="3"/>
        <v>0.52649999999999997</v>
      </c>
      <c r="AE36" s="155">
        <f t="shared" si="4"/>
        <v>1.3689</v>
      </c>
      <c r="AG36" s="154">
        <v>2041</v>
      </c>
      <c r="AH36" s="155">
        <f t="shared" si="5"/>
        <v>0.38800000000000001</v>
      </c>
      <c r="AI36" s="155">
        <f t="shared" si="6"/>
        <v>1.1639999999999999</v>
      </c>
      <c r="AJ36" s="155">
        <f t="shared" si="7"/>
        <v>4.0739999999999998</v>
      </c>
      <c r="AK36" s="155">
        <f t="shared" si="8"/>
        <v>0.29099999999999998</v>
      </c>
      <c r="AL36" s="155">
        <f t="shared" si="9"/>
        <v>0.48499999999999999</v>
      </c>
      <c r="AN36" s="154"/>
      <c r="AO36" s="155">
        <f t="shared" ref="AO36:AO40" si="13">AO35</f>
        <v>1.88</v>
      </c>
    </row>
    <row r="37" spans="1:45">
      <c r="A37" s="329"/>
      <c r="B37" s="154">
        <v>2042</v>
      </c>
      <c r="C37" s="155">
        <v>28</v>
      </c>
      <c r="D37" s="155">
        <v>60</v>
      </c>
      <c r="E37" s="155">
        <v>171</v>
      </c>
      <c r="F37" s="155">
        <v>23</v>
      </c>
      <c r="G37" s="155">
        <v>32</v>
      </c>
      <c r="H37" s="329"/>
      <c r="I37" s="154">
        <v>2042</v>
      </c>
      <c r="J37" s="155">
        <v>0.4</v>
      </c>
      <c r="K37" s="155">
        <v>1.2</v>
      </c>
      <c r="L37" s="155">
        <v>4.2</v>
      </c>
      <c r="M37" s="155">
        <v>0.3</v>
      </c>
      <c r="N37" s="155">
        <v>0.5</v>
      </c>
      <c r="O37" s="329"/>
      <c r="P37" s="154">
        <v>2042</v>
      </c>
      <c r="Q37" s="155">
        <v>1</v>
      </c>
      <c r="R37" s="155">
        <v>3.2</v>
      </c>
      <c r="S37" s="155">
        <v>11.7</v>
      </c>
      <c r="T37" s="155">
        <v>0.5</v>
      </c>
      <c r="U37" s="155">
        <v>1.3</v>
      </c>
      <c r="V37" s="329"/>
      <c r="W37" s="154"/>
      <c r="X37" s="155">
        <f t="shared" si="12"/>
        <v>10217</v>
      </c>
      <c r="Y37" s="329"/>
      <c r="Z37" s="154">
        <v>2042</v>
      </c>
      <c r="AA37" s="155">
        <f t="shared" si="0"/>
        <v>1.0529999999999999</v>
      </c>
      <c r="AB37" s="155">
        <f t="shared" si="1"/>
        <v>3.3696000000000002</v>
      </c>
      <c r="AC37" s="155">
        <f t="shared" si="2"/>
        <v>12.320099999999998</v>
      </c>
      <c r="AD37" s="155">
        <f t="shared" si="3"/>
        <v>0.52649999999999997</v>
      </c>
      <c r="AE37" s="155">
        <f t="shared" si="4"/>
        <v>1.3689</v>
      </c>
      <c r="AG37" s="154">
        <v>2042</v>
      </c>
      <c r="AH37" s="155">
        <f t="shared" si="5"/>
        <v>0.38800000000000001</v>
      </c>
      <c r="AI37" s="155">
        <f t="shared" si="6"/>
        <v>1.1639999999999999</v>
      </c>
      <c r="AJ37" s="155">
        <f t="shared" si="7"/>
        <v>4.0739999999999998</v>
      </c>
      <c r="AK37" s="155">
        <f t="shared" si="8"/>
        <v>0.29099999999999998</v>
      </c>
      <c r="AL37" s="155">
        <f t="shared" si="9"/>
        <v>0.48499999999999999</v>
      </c>
      <c r="AN37" s="154"/>
      <c r="AO37" s="155">
        <f t="shared" si="13"/>
        <v>1.88</v>
      </c>
    </row>
    <row r="38" spans="1:45">
      <c r="A38" s="329"/>
      <c r="B38" s="154">
        <v>2043</v>
      </c>
      <c r="C38" s="155">
        <v>28</v>
      </c>
      <c r="D38" s="155">
        <v>60</v>
      </c>
      <c r="E38" s="155">
        <v>171</v>
      </c>
      <c r="F38" s="155">
        <v>23</v>
      </c>
      <c r="G38" s="155">
        <v>32</v>
      </c>
      <c r="H38" s="329"/>
      <c r="I38" s="154">
        <v>2043</v>
      </c>
      <c r="J38" s="155">
        <v>0.4</v>
      </c>
      <c r="K38" s="155">
        <v>1.2</v>
      </c>
      <c r="L38" s="155">
        <v>4.2</v>
      </c>
      <c r="M38" s="155">
        <v>0.3</v>
      </c>
      <c r="N38" s="155">
        <v>0.5</v>
      </c>
      <c r="O38" s="329"/>
      <c r="P38" s="154">
        <v>2043</v>
      </c>
      <c r="Q38" s="155">
        <v>1</v>
      </c>
      <c r="R38" s="155">
        <v>3.2</v>
      </c>
      <c r="S38" s="155">
        <v>11.7</v>
      </c>
      <c r="T38" s="155">
        <v>0.5</v>
      </c>
      <c r="U38" s="155">
        <v>1.3</v>
      </c>
      <c r="V38" s="329"/>
      <c r="W38" s="154"/>
      <c r="X38" s="155">
        <f t="shared" si="12"/>
        <v>10217</v>
      </c>
      <c r="Y38" s="329"/>
      <c r="Z38" s="154">
        <v>2043</v>
      </c>
      <c r="AA38" s="155">
        <f t="shared" si="0"/>
        <v>1.0529999999999999</v>
      </c>
      <c r="AB38" s="155">
        <f t="shared" si="1"/>
        <v>3.3696000000000002</v>
      </c>
      <c r="AC38" s="155">
        <f t="shared" si="2"/>
        <v>12.320099999999998</v>
      </c>
      <c r="AD38" s="155">
        <f t="shared" si="3"/>
        <v>0.52649999999999997</v>
      </c>
      <c r="AE38" s="155">
        <f t="shared" si="4"/>
        <v>1.3689</v>
      </c>
      <c r="AG38" s="154">
        <v>2043</v>
      </c>
      <c r="AH38" s="155">
        <f t="shared" si="5"/>
        <v>0.38800000000000001</v>
      </c>
      <c r="AI38" s="155">
        <f t="shared" si="6"/>
        <v>1.1639999999999999</v>
      </c>
      <c r="AJ38" s="155">
        <f t="shared" si="7"/>
        <v>4.0739999999999998</v>
      </c>
      <c r="AK38" s="155">
        <f t="shared" si="8"/>
        <v>0.29099999999999998</v>
      </c>
      <c r="AL38" s="155">
        <f t="shared" si="9"/>
        <v>0.48499999999999999</v>
      </c>
      <c r="AN38" s="154"/>
      <c r="AO38" s="155">
        <f t="shared" si="13"/>
        <v>1.88</v>
      </c>
    </row>
    <row r="39" spans="1:45">
      <c r="A39" s="329"/>
      <c r="B39" s="154">
        <v>2044</v>
      </c>
      <c r="C39" s="155">
        <v>28</v>
      </c>
      <c r="D39" s="155">
        <v>60</v>
      </c>
      <c r="E39" s="155">
        <v>171</v>
      </c>
      <c r="F39" s="155">
        <v>23</v>
      </c>
      <c r="G39" s="155">
        <v>32</v>
      </c>
      <c r="H39" s="329"/>
      <c r="I39" s="154">
        <v>2044</v>
      </c>
      <c r="J39" s="155">
        <v>0.4</v>
      </c>
      <c r="K39" s="155">
        <v>1.2</v>
      </c>
      <c r="L39" s="155">
        <v>4.2</v>
      </c>
      <c r="M39" s="155">
        <v>0.3</v>
      </c>
      <c r="N39" s="155">
        <v>0.5</v>
      </c>
      <c r="O39" s="329"/>
      <c r="P39" s="154">
        <v>2044</v>
      </c>
      <c r="Q39" s="155">
        <v>1</v>
      </c>
      <c r="R39" s="155">
        <v>3.2</v>
      </c>
      <c r="S39" s="155">
        <v>11.7</v>
      </c>
      <c r="T39" s="155">
        <v>0.5</v>
      </c>
      <c r="U39" s="155">
        <v>1.3</v>
      </c>
      <c r="V39" s="329"/>
      <c r="W39" s="154"/>
      <c r="X39" s="155">
        <f t="shared" si="12"/>
        <v>10217</v>
      </c>
      <c r="Y39" s="329"/>
      <c r="Z39" s="154">
        <v>2044</v>
      </c>
      <c r="AA39" s="155">
        <f t="shared" si="0"/>
        <v>1.0529999999999999</v>
      </c>
      <c r="AB39" s="155">
        <f t="shared" si="1"/>
        <v>3.3696000000000002</v>
      </c>
      <c r="AC39" s="155">
        <f t="shared" si="2"/>
        <v>12.320099999999998</v>
      </c>
      <c r="AD39" s="155">
        <f t="shared" si="3"/>
        <v>0.52649999999999997</v>
      </c>
      <c r="AE39" s="155">
        <f t="shared" si="4"/>
        <v>1.3689</v>
      </c>
      <c r="AG39" s="154">
        <v>2044</v>
      </c>
      <c r="AH39" s="155">
        <f t="shared" si="5"/>
        <v>0.38800000000000001</v>
      </c>
      <c r="AI39" s="155">
        <f t="shared" si="6"/>
        <v>1.1639999999999999</v>
      </c>
      <c r="AJ39" s="155">
        <f t="shared" si="7"/>
        <v>4.0739999999999998</v>
      </c>
      <c r="AK39" s="155">
        <f t="shared" si="8"/>
        <v>0.29099999999999998</v>
      </c>
      <c r="AL39" s="155">
        <f t="shared" si="9"/>
        <v>0.48499999999999999</v>
      </c>
      <c r="AN39" s="154"/>
      <c r="AO39" s="155">
        <f t="shared" si="13"/>
        <v>1.88</v>
      </c>
    </row>
    <row r="40" spans="1:45">
      <c r="A40" s="329"/>
      <c r="B40" s="154">
        <v>2045</v>
      </c>
      <c r="C40" s="155">
        <v>28</v>
      </c>
      <c r="D40" s="155">
        <v>60</v>
      </c>
      <c r="E40" s="155">
        <v>171</v>
      </c>
      <c r="F40" s="155">
        <v>23</v>
      </c>
      <c r="G40" s="155">
        <v>32</v>
      </c>
      <c r="H40" s="329"/>
      <c r="I40" s="154">
        <v>2045</v>
      </c>
      <c r="J40" s="155">
        <v>0.4</v>
      </c>
      <c r="K40" s="155">
        <v>1.2</v>
      </c>
      <c r="L40" s="155">
        <v>4.2</v>
      </c>
      <c r="M40" s="155">
        <v>0.3</v>
      </c>
      <c r="N40" s="155">
        <v>0.5</v>
      </c>
      <c r="O40" s="329"/>
      <c r="P40" s="154">
        <v>2045</v>
      </c>
      <c r="Q40" s="155">
        <v>1</v>
      </c>
      <c r="R40" s="155">
        <v>3.2</v>
      </c>
      <c r="S40" s="155">
        <v>11.7</v>
      </c>
      <c r="T40" s="155">
        <v>0.5</v>
      </c>
      <c r="U40" s="155">
        <v>1.3</v>
      </c>
      <c r="V40" s="329"/>
      <c r="W40" s="154"/>
      <c r="X40" s="155">
        <f t="shared" si="12"/>
        <v>10217</v>
      </c>
      <c r="Y40" s="329"/>
      <c r="Z40" s="154">
        <v>2045</v>
      </c>
      <c r="AA40" s="155">
        <f t="shared" si="0"/>
        <v>1.0529999999999999</v>
      </c>
      <c r="AB40" s="155">
        <f t="shared" si="1"/>
        <v>3.3696000000000002</v>
      </c>
      <c r="AC40" s="155">
        <f t="shared" si="2"/>
        <v>12.320099999999998</v>
      </c>
      <c r="AD40" s="155">
        <f t="shared" si="3"/>
        <v>0.52649999999999997</v>
      </c>
      <c r="AE40" s="155">
        <f t="shared" si="4"/>
        <v>1.3689</v>
      </c>
      <c r="AG40" s="154">
        <v>2045</v>
      </c>
      <c r="AH40" s="155">
        <f t="shared" si="5"/>
        <v>0.38800000000000001</v>
      </c>
      <c r="AI40" s="155">
        <f t="shared" si="6"/>
        <v>1.1639999999999999</v>
      </c>
      <c r="AJ40" s="155">
        <f t="shared" si="7"/>
        <v>4.0739999999999998</v>
      </c>
      <c r="AK40" s="155">
        <f t="shared" si="8"/>
        <v>0.29099999999999998</v>
      </c>
      <c r="AL40" s="155">
        <f t="shared" si="9"/>
        <v>0.48499999999999999</v>
      </c>
      <c r="AN40" s="154"/>
      <c r="AO40" s="155">
        <f t="shared" si="13"/>
        <v>1.88</v>
      </c>
    </row>
    <row r="42" spans="1:45">
      <c r="A42" s="1" t="s">
        <v>545</v>
      </c>
    </row>
    <row r="44" spans="1:45">
      <c r="B44" s="154" t="s">
        <v>546</v>
      </c>
      <c r="C44" s="155"/>
      <c r="D44" s="155"/>
      <c r="E44" s="155"/>
      <c r="F44" s="155"/>
      <c r="G44" s="155"/>
      <c r="I44" s="154" t="s">
        <v>547</v>
      </c>
      <c r="J44" s="155"/>
      <c r="K44" s="155"/>
      <c r="L44" s="155"/>
      <c r="M44" s="155"/>
      <c r="N44" s="155"/>
      <c r="P44" s="154" t="s">
        <v>548</v>
      </c>
      <c r="Q44" s="155"/>
      <c r="R44" s="155"/>
      <c r="S44" s="155"/>
      <c r="T44" s="155"/>
      <c r="U44" s="155"/>
      <c r="W44" s="154" t="s">
        <v>286</v>
      </c>
      <c r="X44" s="155"/>
      <c r="Z44" s="154" t="s">
        <v>287</v>
      </c>
      <c r="AA44" s="155"/>
      <c r="AB44" s="155"/>
      <c r="AC44" s="155"/>
      <c r="AD44" s="155"/>
      <c r="AE44" s="155"/>
      <c r="AG44" s="154" t="s">
        <v>288</v>
      </c>
      <c r="AH44" s="155"/>
      <c r="AI44" s="155"/>
      <c r="AJ44" s="155"/>
      <c r="AK44" s="155"/>
      <c r="AL44" s="155"/>
      <c r="AN44" s="154" t="s">
        <v>289</v>
      </c>
      <c r="AO44" s="155"/>
    </row>
    <row r="45" spans="1:45">
      <c r="B45" s="155" t="s">
        <v>7</v>
      </c>
      <c r="C45" s="155" t="s">
        <v>273</v>
      </c>
      <c r="D45" s="155" t="s">
        <v>1070</v>
      </c>
      <c r="E45" s="155" t="s">
        <v>274</v>
      </c>
      <c r="F45" s="155" t="s">
        <v>275</v>
      </c>
      <c r="G45" s="155" t="s">
        <v>276</v>
      </c>
      <c r="I45" s="155" t="s">
        <v>7</v>
      </c>
      <c r="J45" s="155" t="s">
        <v>273</v>
      </c>
      <c r="K45" s="155" t="s">
        <v>1070</v>
      </c>
      <c r="L45" s="155" t="s">
        <v>274</v>
      </c>
      <c r="M45" s="155" t="s">
        <v>275</v>
      </c>
      <c r="N45" s="155" t="s">
        <v>276</v>
      </c>
      <c r="P45" s="155" t="s">
        <v>7</v>
      </c>
      <c r="Q45" s="155" t="s">
        <v>273</v>
      </c>
      <c r="R45" s="155" t="s">
        <v>1070</v>
      </c>
      <c r="S45" s="155" t="s">
        <v>274</v>
      </c>
      <c r="T45" s="155" t="s">
        <v>275</v>
      </c>
      <c r="U45" s="155" t="s">
        <v>276</v>
      </c>
      <c r="W45" s="155" t="s">
        <v>7</v>
      </c>
      <c r="X45" s="155" t="s">
        <v>276</v>
      </c>
      <c r="Z45" s="155" t="s">
        <v>7</v>
      </c>
      <c r="AA45" s="155" t="s">
        <v>273</v>
      </c>
      <c r="AB45" s="155" t="s">
        <v>1070</v>
      </c>
      <c r="AC45" s="155" t="s">
        <v>274</v>
      </c>
      <c r="AD45" s="155" t="s">
        <v>275</v>
      </c>
      <c r="AE45" s="155" t="s">
        <v>276</v>
      </c>
      <c r="AG45" s="155" t="s">
        <v>7</v>
      </c>
      <c r="AH45" s="155" t="s">
        <v>273</v>
      </c>
      <c r="AI45" s="155" t="s">
        <v>1070</v>
      </c>
      <c r="AJ45" s="155" t="s">
        <v>274</v>
      </c>
      <c r="AK45" s="155" t="s">
        <v>275</v>
      </c>
      <c r="AL45" s="155" t="s">
        <v>276</v>
      </c>
      <c r="AN45" s="155" t="s">
        <v>7</v>
      </c>
      <c r="AO45" s="155" t="s">
        <v>276</v>
      </c>
      <c r="AQ45" s="155"/>
      <c r="AR45" s="155"/>
      <c r="AS45" s="155"/>
    </row>
    <row r="46" spans="1:45">
      <c r="B46" s="154">
        <v>2009</v>
      </c>
      <c r="C46" s="331">
        <f>C4/$A89</f>
        <v>165</v>
      </c>
      <c r="D46" s="331">
        <f t="shared" ref="D46:G46" si="14">D4/$A89</f>
        <v>241</v>
      </c>
      <c r="E46" s="331">
        <f t="shared" si="14"/>
        <v>242</v>
      </c>
      <c r="F46" s="331">
        <f t="shared" si="14"/>
        <v>200</v>
      </c>
      <c r="G46" s="331">
        <f t="shared" si="14"/>
        <v>172</v>
      </c>
      <c r="I46" s="154">
        <v>2009</v>
      </c>
      <c r="J46" s="271">
        <f>J4/$A89</f>
        <v>4.9000000000000004</v>
      </c>
      <c r="K46" s="271">
        <f t="shared" ref="K46:N46" si="15">K4/$A89</f>
        <v>5.5</v>
      </c>
      <c r="L46" s="271">
        <f t="shared" si="15"/>
        <v>5.7</v>
      </c>
      <c r="M46" s="271">
        <f t="shared" si="15"/>
        <v>5</v>
      </c>
      <c r="N46" s="271">
        <f t="shared" si="15"/>
        <v>4.9000000000000004</v>
      </c>
      <c r="P46" s="154">
        <v>2009</v>
      </c>
      <c r="Q46" s="271">
        <f>Q4/$A89</f>
        <v>8.6999999999999993</v>
      </c>
      <c r="R46" s="271">
        <f t="shared" ref="R46:U46" si="16">R4/$A89</f>
        <v>14.5</v>
      </c>
      <c r="S46" s="271">
        <f t="shared" si="16"/>
        <v>11.7</v>
      </c>
      <c r="T46" s="271">
        <f t="shared" si="16"/>
        <v>9.1</v>
      </c>
      <c r="U46" s="271">
        <f t="shared" si="16"/>
        <v>9.1</v>
      </c>
      <c r="W46" s="154">
        <v>2009</v>
      </c>
      <c r="X46" s="286">
        <f>X4/$A89</f>
        <v>10217</v>
      </c>
      <c r="Z46" s="154">
        <v>2009</v>
      </c>
      <c r="AA46" s="330">
        <f>AA4/$A89</f>
        <v>9.1610999999999994</v>
      </c>
      <c r="AB46" s="330">
        <f t="shared" ref="AB46:AE46" si="17">AB4/$A89</f>
        <v>15.2685</v>
      </c>
      <c r="AC46" s="330">
        <f t="shared" si="17"/>
        <v>12.320099999999998</v>
      </c>
      <c r="AD46" s="330">
        <f t="shared" si="17"/>
        <v>9.5822999999999983</v>
      </c>
      <c r="AE46" s="330">
        <f t="shared" si="17"/>
        <v>9.5822999999999983</v>
      </c>
      <c r="AG46" s="154">
        <v>2009</v>
      </c>
      <c r="AH46" s="330">
        <f>AH4/$A89</f>
        <v>4.7530000000000001</v>
      </c>
      <c r="AI46" s="330">
        <f t="shared" ref="AI46:AL46" si="18">AI4/$A89</f>
        <v>5.335</v>
      </c>
      <c r="AJ46" s="330">
        <f t="shared" si="18"/>
        <v>5.5289999999999999</v>
      </c>
      <c r="AK46" s="330">
        <f t="shared" si="18"/>
        <v>4.8499999999999996</v>
      </c>
      <c r="AL46" s="330">
        <f t="shared" si="18"/>
        <v>4.7530000000000001</v>
      </c>
      <c r="AN46" s="154">
        <v>2009</v>
      </c>
      <c r="AO46" s="330">
        <f>AO4/$A89</f>
        <v>1.88</v>
      </c>
      <c r="AP46" s="330"/>
      <c r="AQ46" s="330"/>
      <c r="AR46" s="330"/>
      <c r="AS46" s="330"/>
    </row>
    <row r="47" spans="1:45">
      <c r="B47" s="154">
        <v>2010</v>
      </c>
      <c r="C47" s="331">
        <f t="shared" ref="C47:G47" si="19">C5/$A90</f>
        <v>154.67980295566505</v>
      </c>
      <c r="D47" s="331">
        <f t="shared" si="19"/>
        <v>232.51231527093597</v>
      </c>
      <c r="E47" s="331">
        <f t="shared" si="19"/>
        <v>238.42364532019707</v>
      </c>
      <c r="F47" s="331">
        <f t="shared" si="19"/>
        <v>180.29556650246306</v>
      </c>
      <c r="G47" s="331">
        <f t="shared" si="19"/>
        <v>162.56157635467983</v>
      </c>
      <c r="I47" s="154">
        <v>2010</v>
      </c>
      <c r="J47" s="271">
        <f t="shared" ref="J47:N47" si="20">J5/$A90</f>
        <v>4.6305418719211833</v>
      </c>
      <c r="K47" s="271">
        <f t="shared" si="20"/>
        <v>5.320197044334976</v>
      </c>
      <c r="L47" s="271">
        <f t="shared" si="20"/>
        <v>5.6157635467980302</v>
      </c>
      <c r="M47" s="271">
        <f t="shared" si="20"/>
        <v>4.7290640394088674</v>
      </c>
      <c r="N47" s="271">
        <f t="shared" si="20"/>
        <v>4.6305418719211833</v>
      </c>
      <c r="P47" s="154">
        <v>2010</v>
      </c>
      <c r="Q47" s="271">
        <f t="shared" ref="Q47:U47" si="21">Q5/$A90</f>
        <v>8.1773399014778345</v>
      </c>
      <c r="R47" s="271">
        <f t="shared" si="21"/>
        <v>13.891625615763548</v>
      </c>
      <c r="S47" s="271">
        <f t="shared" si="21"/>
        <v>11.527093596059114</v>
      </c>
      <c r="T47" s="271">
        <f t="shared" si="21"/>
        <v>8.4729064039408879</v>
      </c>
      <c r="U47" s="271">
        <f t="shared" si="21"/>
        <v>8.669950738916258</v>
      </c>
      <c r="W47" s="154">
        <v>2010</v>
      </c>
      <c r="X47" s="286">
        <f t="shared" ref="X47:X82" si="22">X5/$A90</f>
        <v>10066.00985221675</v>
      </c>
      <c r="Z47" s="154">
        <v>2010</v>
      </c>
      <c r="AA47" s="330">
        <f t="shared" ref="AA47:AE47" si="23">AA5/$A90</f>
        <v>8.6107389162561585</v>
      </c>
      <c r="AB47" s="330">
        <f t="shared" si="23"/>
        <v>14.627881773399015</v>
      </c>
      <c r="AC47" s="330">
        <f t="shared" si="23"/>
        <v>12.138029556650245</v>
      </c>
      <c r="AD47" s="330">
        <f t="shared" si="23"/>
        <v>8.9219704433497533</v>
      </c>
      <c r="AE47" s="330">
        <f t="shared" si="23"/>
        <v>9.1294581280788201</v>
      </c>
      <c r="AG47" s="154">
        <v>2010</v>
      </c>
      <c r="AH47" s="330">
        <f t="shared" ref="AH47:AL47" si="24">AH5/$A90</f>
        <v>4.4916256157635477</v>
      </c>
      <c r="AI47" s="330">
        <f t="shared" si="24"/>
        <v>5.1605911330049272</v>
      </c>
      <c r="AJ47" s="330">
        <f t="shared" si="24"/>
        <v>5.4472906403940895</v>
      </c>
      <c r="AK47" s="330">
        <f t="shared" si="24"/>
        <v>4.5871921182266009</v>
      </c>
      <c r="AL47" s="330">
        <f t="shared" si="24"/>
        <v>4.4916256157635477</v>
      </c>
      <c r="AN47" s="154">
        <v>2010</v>
      </c>
      <c r="AO47" s="330">
        <f t="shared" ref="AO47" si="25">AO5/$A90</f>
        <v>1.8522167487684731</v>
      </c>
      <c r="AP47" s="330"/>
      <c r="AQ47" s="330"/>
      <c r="AR47" s="330"/>
      <c r="AS47" s="330"/>
    </row>
    <row r="48" spans="1:45">
      <c r="B48" s="154">
        <v>2011</v>
      </c>
      <c r="C48" s="331">
        <f t="shared" ref="C48:G48" si="26">C6/$A91</f>
        <v>144.62860054842392</v>
      </c>
      <c r="D48" s="331">
        <f t="shared" si="26"/>
        <v>228.105510932078</v>
      </c>
      <c r="E48" s="331">
        <f t="shared" si="26"/>
        <v>234.90014317260798</v>
      </c>
      <c r="F48" s="331">
        <f t="shared" si="26"/>
        <v>162.10051202407246</v>
      </c>
      <c r="G48" s="331">
        <f t="shared" si="26"/>
        <v>152.39389453760106</v>
      </c>
      <c r="I48" s="154">
        <v>2011</v>
      </c>
      <c r="J48" s="271">
        <f t="shared" ref="J48:N48" si="27">J6/$A91</f>
        <v>4.2709116940474185</v>
      </c>
      <c r="K48" s="271">
        <f t="shared" si="27"/>
        <v>5.1445072678298445</v>
      </c>
      <c r="L48" s="271">
        <f t="shared" si="27"/>
        <v>5.532771967288701</v>
      </c>
      <c r="M48" s="271">
        <f t="shared" si="27"/>
        <v>4.3679778689121322</v>
      </c>
      <c r="N48" s="271">
        <f t="shared" si="27"/>
        <v>4.3679778689121322</v>
      </c>
      <c r="P48" s="154">
        <v>2011</v>
      </c>
      <c r="Q48" s="271">
        <f t="shared" ref="Q48:U48" si="28">Q6/$A91</f>
        <v>7.474095464582982</v>
      </c>
      <c r="R48" s="271">
        <f t="shared" si="28"/>
        <v>13.589264481059967</v>
      </c>
      <c r="S48" s="271">
        <f t="shared" si="28"/>
        <v>11.356742459171542</v>
      </c>
      <c r="T48" s="271">
        <f t="shared" si="28"/>
        <v>7.8623601640418377</v>
      </c>
      <c r="U48" s="271">
        <f t="shared" si="28"/>
        <v>7.9594263389065514</v>
      </c>
      <c r="W48" s="154">
        <v>2011</v>
      </c>
      <c r="X48" s="286">
        <f t="shared" si="22"/>
        <v>9917.2510859278336</v>
      </c>
      <c r="Z48" s="154">
        <v>2011</v>
      </c>
      <c r="AA48" s="330">
        <f t="shared" ref="AA48:AE48" si="29">AA6/$A91</f>
        <v>7.8702225242058796</v>
      </c>
      <c r="AB48" s="330">
        <f t="shared" si="29"/>
        <v>14.309495498556144</v>
      </c>
      <c r="AC48" s="330">
        <f t="shared" si="29"/>
        <v>11.958649809507634</v>
      </c>
      <c r="AD48" s="330">
        <f t="shared" si="29"/>
        <v>8.2790652527360535</v>
      </c>
      <c r="AE48" s="330">
        <f t="shared" si="29"/>
        <v>8.3812759348685972</v>
      </c>
      <c r="AG48" s="154">
        <v>2011</v>
      </c>
      <c r="AH48" s="330">
        <f t="shared" ref="AH48:AL48" si="30">AH6/$A91</f>
        <v>4.142784343225995</v>
      </c>
      <c r="AI48" s="330">
        <f t="shared" si="30"/>
        <v>4.9901720497949489</v>
      </c>
      <c r="AJ48" s="330">
        <f t="shared" si="30"/>
        <v>5.366788808270039</v>
      </c>
      <c r="AK48" s="330">
        <f t="shared" si="30"/>
        <v>4.2369385328447686</v>
      </c>
      <c r="AL48" s="330">
        <f t="shared" si="30"/>
        <v>4.2369385328447686</v>
      </c>
      <c r="AN48" s="154">
        <v>2011</v>
      </c>
      <c r="AO48" s="330">
        <f t="shared" ref="AO48" si="31">AO6/$A91</f>
        <v>1.8248440874566239</v>
      </c>
      <c r="AP48" s="330"/>
      <c r="AQ48" s="330"/>
      <c r="AR48" s="330"/>
      <c r="AS48" s="330"/>
    </row>
    <row r="49" spans="2:45">
      <c r="B49" s="154">
        <v>2012</v>
      </c>
      <c r="C49" s="331">
        <f t="shared" ref="C49:G49" si="32">C7/$A92</f>
        <v>137.70964709870762</v>
      </c>
      <c r="D49" s="331">
        <f t="shared" si="32"/>
        <v>217.08395757921272</v>
      </c>
      <c r="E49" s="331">
        <f t="shared" si="32"/>
        <v>231.42871248532811</v>
      </c>
      <c r="F49" s="331">
        <f t="shared" si="32"/>
        <v>150.14176801734095</v>
      </c>
      <c r="G49" s="331">
        <f t="shared" si="32"/>
        <v>145.36018304863583</v>
      </c>
      <c r="I49" s="154">
        <v>2012</v>
      </c>
      <c r="J49" s="271">
        <f t="shared" ref="J49:N49" si="33">J7/$A92</f>
        <v>3.920899674338203</v>
      </c>
      <c r="K49" s="271">
        <f t="shared" si="33"/>
        <v>4.8772166680792282</v>
      </c>
      <c r="L49" s="271">
        <f t="shared" si="33"/>
        <v>5.4510068643238441</v>
      </c>
      <c r="M49" s="271">
        <f t="shared" si="33"/>
        <v>4.0165313737123061</v>
      </c>
      <c r="N49" s="271">
        <f t="shared" si="33"/>
        <v>4.0165313737123061</v>
      </c>
      <c r="P49" s="154">
        <v>2012</v>
      </c>
      <c r="Q49" s="271">
        <f t="shared" ref="Q49:U49" si="34">Q7/$A92</f>
        <v>6.7898506555612785</v>
      </c>
      <c r="R49" s="271">
        <f t="shared" si="34"/>
        <v>12.719016016755635</v>
      </c>
      <c r="S49" s="271">
        <f t="shared" si="34"/>
        <v>11.188908826769994</v>
      </c>
      <c r="T49" s="271">
        <f t="shared" si="34"/>
        <v>7.1723774530576891</v>
      </c>
      <c r="U49" s="271">
        <f t="shared" si="34"/>
        <v>7.2680091524317909</v>
      </c>
      <c r="W49" s="154">
        <v>2012</v>
      </c>
      <c r="X49" s="286">
        <f t="shared" si="22"/>
        <v>9770.6907250520544</v>
      </c>
      <c r="Z49" s="154">
        <v>2012</v>
      </c>
      <c r="AA49" s="330">
        <f t="shared" ref="AA49:AE49" si="35">AA7/$A92</f>
        <v>7.1497127403060254</v>
      </c>
      <c r="AB49" s="330">
        <f t="shared" si="35"/>
        <v>13.393123865643682</v>
      </c>
      <c r="AC49" s="330">
        <f t="shared" si="35"/>
        <v>11.781920994588802</v>
      </c>
      <c r="AD49" s="330">
        <f t="shared" si="35"/>
        <v>7.5525134580697451</v>
      </c>
      <c r="AE49" s="330">
        <f t="shared" si="35"/>
        <v>7.6532136375106754</v>
      </c>
      <c r="AG49" s="154">
        <v>2012</v>
      </c>
      <c r="AH49" s="330">
        <f t="shared" ref="AH49:AL49" si="36">AH7/$A92</f>
        <v>3.8032726841080566</v>
      </c>
      <c r="AI49" s="330">
        <f t="shared" si="36"/>
        <v>4.7309001680368512</v>
      </c>
      <c r="AJ49" s="330">
        <f t="shared" si="36"/>
        <v>5.2874766583941284</v>
      </c>
      <c r="AK49" s="330">
        <f t="shared" si="36"/>
        <v>3.8960354325009363</v>
      </c>
      <c r="AL49" s="330">
        <f t="shared" si="36"/>
        <v>3.8960354325009363</v>
      </c>
      <c r="AN49" s="154">
        <v>2012</v>
      </c>
      <c r="AO49" s="330">
        <f t="shared" ref="AO49" si="37">AO7/$A92</f>
        <v>1.7978759482331272</v>
      </c>
      <c r="AP49" s="330"/>
      <c r="AQ49" s="330"/>
      <c r="AR49" s="330"/>
      <c r="AS49" s="330"/>
    </row>
    <row r="50" spans="2:45">
      <c r="B50" s="154">
        <v>2013</v>
      </c>
      <c r="C50" s="331">
        <f t="shared" ref="C50:G50" si="38">C8/$A93</f>
        <v>130.96360800985471</v>
      </c>
      <c r="D50" s="331">
        <f t="shared" si="38"/>
        <v>211.991451814513</v>
      </c>
      <c r="E50" s="331">
        <f t="shared" si="38"/>
        <v>228.00858372938731</v>
      </c>
      <c r="F50" s="331">
        <f t="shared" si="38"/>
        <v>138.5010818521485</v>
      </c>
      <c r="G50" s="331">
        <f t="shared" si="38"/>
        <v>138.5010818521485</v>
      </c>
      <c r="I50" s="154">
        <v>2013</v>
      </c>
      <c r="J50" s="271">
        <f t="shared" ref="J50:N50" si="39">J8/$A93</f>
        <v>3.5803000750895526</v>
      </c>
      <c r="K50" s="271">
        <f t="shared" si="39"/>
        <v>4.710921151433622</v>
      </c>
      <c r="L50" s="271">
        <f t="shared" si="39"/>
        <v>5.2762316896056562</v>
      </c>
      <c r="M50" s="271">
        <f t="shared" si="39"/>
        <v>3.6745184981182253</v>
      </c>
      <c r="N50" s="271">
        <f t="shared" si="39"/>
        <v>3.6745184981182253</v>
      </c>
      <c r="P50" s="154">
        <v>2013</v>
      </c>
      <c r="Q50" s="271">
        <f t="shared" ref="Q50:U50" si="40">Q8/$A93</f>
        <v>6.124197496863709</v>
      </c>
      <c r="R50" s="271">
        <f t="shared" si="40"/>
        <v>12.531050262813435</v>
      </c>
      <c r="S50" s="271">
        <f t="shared" si="40"/>
        <v>11.023555494354676</v>
      </c>
      <c r="T50" s="271">
        <f t="shared" si="40"/>
        <v>6.5010711889783988</v>
      </c>
      <c r="U50" s="271">
        <f t="shared" si="40"/>
        <v>6.6895080350357432</v>
      </c>
      <c r="W50" s="154">
        <v>2013</v>
      </c>
      <c r="X50" s="286">
        <f t="shared" si="22"/>
        <v>9626.2962808394641</v>
      </c>
      <c r="Z50" s="154">
        <v>2013</v>
      </c>
      <c r="AA50" s="330">
        <f t="shared" ref="AA50:AE50" si="41">AA8/$A93</f>
        <v>6.4487799641974854</v>
      </c>
      <c r="AB50" s="330">
        <f t="shared" si="41"/>
        <v>13.195195926742546</v>
      </c>
      <c r="AC50" s="330">
        <f t="shared" si="41"/>
        <v>11.607803935555472</v>
      </c>
      <c r="AD50" s="330">
        <f t="shared" si="41"/>
        <v>6.8456279619942535</v>
      </c>
      <c r="AE50" s="330">
        <f t="shared" si="41"/>
        <v>7.0440519608926371</v>
      </c>
      <c r="AG50" s="154">
        <v>2013</v>
      </c>
      <c r="AH50" s="330">
        <f t="shared" ref="AH50:AL50" si="42">AH8/$A93</f>
        <v>3.4728910728368665</v>
      </c>
      <c r="AI50" s="330">
        <f t="shared" si="42"/>
        <v>4.5695935168906132</v>
      </c>
      <c r="AJ50" s="330">
        <f t="shared" si="42"/>
        <v>5.1179447389174868</v>
      </c>
      <c r="AK50" s="330">
        <f t="shared" si="42"/>
        <v>3.5642829431746788</v>
      </c>
      <c r="AL50" s="330">
        <f t="shared" si="42"/>
        <v>3.5642829431746788</v>
      </c>
      <c r="AN50" s="154">
        <v>2013</v>
      </c>
      <c r="AO50" s="330">
        <f t="shared" ref="AO50" si="43">AO8/$A93</f>
        <v>1.7713063529390418</v>
      </c>
      <c r="AP50" s="330"/>
      <c r="AQ50" s="330"/>
      <c r="AR50" s="330"/>
      <c r="AS50" s="330"/>
    </row>
    <row r="51" spans="2:45">
      <c r="B51" s="154">
        <v>2014</v>
      </c>
      <c r="C51" s="331">
        <f t="shared" ref="C51:G51" si="44">C9/$A94</f>
        <v>125.31514392976139</v>
      </c>
      <c r="D51" s="331">
        <f t="shared" si="44"/>
        <v>201.43249061302387</v>
      </c>
      <c r="E51" s="331">
        <f t="shared" si="44"/>
        <v>224.63899874816488</v>
      </c>
      <c r="F51" s="331">
        <f t="shared" si="44"/>
        <v>128.09992490597833</v>
      </c>
      <c r="G51" s="331">
        <f t="shared" si="44"/>
        <v>132.74122653300651</v>
      </c>
      <c r="I51" s="154">
        <v>2014</v>
      </c>
      <c r="J51" s="271">
        <f t="shared" ref="J51:N51" si="45">J9/$A94</f>
        <v>3.3417371714603039</v>
      </c>
      <c r="K51" s="271">
        <f t="shared" si="45"/>
        <v>4.4556495619470722</v>
      </c>
      <c r="L51" s="271">
        <f t="shared" si="45"/>
        <v>5.1982578222715832</v>
      </c>
      <c r="M51" s="271">
        <f t="shared" si="45"/>
        <v>3.3417371714603039</v>
      </c>
      <c r="N51" s="271">
        <f t="shared" si="45"/>
        <v>3.434563204000868</v>
      </c>
      <c r="P51" s="154">
        <v>2014</v>
      </c>
      <c r="Q51" s="271">
        <f t="shared" ref="Q51:U51" si="46">Q9/$A94</f>
        <v>5.6623879849744032</v>
      </c>
      <c r="R51" s="271">
        <f t="shared" si="46"/>
        <v>11.788906132651627</v>
      </c>
      <c r="S51" s="271">
        <f t="shared" si="46"/>
        <v>10.860645807245987</v>
      </c>
      <c r="T51" s="271">
        <f t="shared" si="46"/>
        <v>5.8480400500555314</v>
      </c>
      <c r="U51" s="271">
        <f t="shared" si="46"/>
        <v>6.2193441802177878</v>
      </c>
      <c r="W51" s="154">
        <v>2014</v>
      </c>
      <c r="X51" s="286">
        <f t="shared" si="22"/>
        <v>9484.0357446694234</v>
      </c>
      <c r="Z51" s="154">
        <v>2014</v>
      </c>
      <c r="AA51" s="330">
        <f t="shared" ref="AA51:AE51" si="47">AA9/$A94</f>
        <v>5.9624945481780465</v>
      </c>
      <c r="AB51" s="330">
        <f t="shared" si="47"/>
        <v>12.413718157682164</v>
      </c>
      <c r="AC51" s="330">
        <f t="shared" si="47"/>
        <v>11.436260035030024</v>
      </c>
      <c r="AD51" s="330">
        <f t="shared" si="47"/>
        <v>6.1579861727084744</v>
      </c>
      <c r="AE51" s="330">
        <f t="shared" si="47"/>
        <v>6.5489694217693302</v>
      </c>
      <c r="AG51" s="154">
        <v>2014</v>
      </c>
      <c r="AH51" s="330">
        <f t="shared" ref="AH51:AL51" si="48">AH9/$A94</f>
        <v>3.241485056316495</v>
      </c>
      <c r="AI51" s="330">
        <f t="shared" si="48"/>
        <v>4.3219800750886597</v>
      </c>
      <c r="AJ51" s="330">
        <f t="shared" si="48"/>
        <v>5.0423100876034361</v>
      </c>
      <c r="AK51" s="330">
        <f t="shared" si="48"/>
        <v>3.241485056316495</v>
      </c>
      <c r="AL51" s="330">
        <f t="shared" si="48"/>
        <v>3.3315263078808419</v>
      </c>
      <c r="AN51" s="154">
        <v>2014</v>
      </c>
      <c r="AO51" s="330">
        <f t="shared" ref="AO51" si="49">AO9/$A94</f>
        <v>1.7451294117626031</v>
      </c>
      <c r="AP51" s="330"/>
      <c r="AQ51" s="330"/>
      <c r="AR51" s="330"/>
      <c r="AS51" s="330"/>
    </row>
    <row r="52" spans="2:45">
      <c r="B52" s="154">
        <v>2015</v>
      </c>
      <c r="C52" s="331">
        <f t="shared" ref="C52:G52" si="50">C10/$A95</f>
        <v>117.97594283480549</v>
      </c>
      <c r="D52" s="331">
        <f t="shared" si="50"/>
        <v>196.62657139134251</v>
      </c>
      <c r="E52" s="331">
        <f t="shared" si="50"/>
        <v>219.49012620428931</v>
      </c>
      <c r="F52" s="331">
        <f t="shared" si="50"/>
        <v>119.80502721984124</v>
      </c>
      <c r="G52" s="331">
        <f t="shared" si="50"/>
        <v>125.29228037494848</v>
      </c>
      <c r="I52" s="154">
        <v>2015</v>
      </c>
      <c r="J52" s="271">
        <f t="shared" ref="J52:N52" si="51">J10/$A95</f>
        <v>3.1094434545607652</v>
      </c>
      <c r="K52" s="271">
        <f t="shared" si="51"/>
        <v>4.3898025240857859</v>
      </c>
      <c r="L52" s="271">
        <f t="shared" si="51"/>
        <v>5.0299820588482964</v>
      </c>
      <c r="M52" s="271">
        <f t="shared" si="51"/>
        <v>3.1094434545607652</v>
      </c>
      <c r="N52" s="271">
        <f t="shared" si="51"/>
        <v>3.2008976738125523</v>
      </c>
      <c r="P52" s="154">
        <v>2015</v>
      </c>
      <c r="Q52" s="271">
        <f t="shared" ref="Q52:U52" si="52">Q10/$A95</f>
        <v>5.2128904973518706</v>
      </c>
      <c r="R52" s="271">
        <f t="shared" si="52"/>
        <v>11.523231625725188</v>
      </c>
      <c r="S52" s="271">
        <f t="shared" si="52"/>
        <v>10.700143652459102</v>
      </c>
      <c r="T52" s="271">
        <f t="shared" si="52"/>
        <v>5.3043447166036577</v>
      </c>
      <c r="U52" s="271">
        <f t="shared" si="52"/>
        <v>5.7616158128625941</v>
      </c>
      <c r="W52" s="154">
        <v>2015</v>
      </c>
      <c r="X52" s="286">
        <f t="shared" si="22"/>
        <v>9343.8775809550989</v>
      </c>
      <c r="Z52" s="154">
        <v>2015</v>
      </c>
      <c r="AA52" s="330">
        <f t="shared" ref="AA52:AE52" si="53">AA10/$A95</f>
        <v>5.4891736937115194</v>
      </c>
      <c r="AB52" s="330">
        <f t="shared" si="53"/>
        <v>12.133962901888623</v>
      </c>
      <c r="AC52" s="330">
        <f t="shared" si="53"/>
        <v>11.267251266039434</v>
      </c>
      <c r="AD52" s="330">
        <f t="shared" si="53"/>
        <v>5.5854749865836517</v>
      </c>
      <c r="AE52" s="330">
        <f t="shared" si="53"/>
        <v>6.0669814509443114</v>
      </c>
      <c r="AG52" s="154">
        <v>2015</v>
      </c>
      <c r="AH52" s="330">
        <f t="shared" ref="AH52:AL52" si="54">AH10/$A95</f>
        <v>3.016160150923942</v>
      </c>
      <c r="AI52" s="330">
        <f t="shared" si="54"/>
        <v>4.2581084483632123</v>
      </c>
      <c r="AJ52" s="330">
        <f t="shared" si="54"/>
        <v>4.8790825970828475</v>
      </c>
      <c r="AK52" s="330">
        <f t="shared" si="54"/>
        <v>3.016160150923942</v>
      </c>
      <c r="AL52" s="330">
        <f t="shared" si="54"/>
        <v>3.1048707435981759</v>
      </c>
      <c r="AN52" s="154">
        <v>2015</v>
      </c>
      <c r="AO52" s="330">
        <f t="shared" ref="AO52" si="55">AO10/$A95</f>
        <v>1.7193393219335995</v>
      </c>
      <c r="AP52" s="330"/>
      <c r="AQ52" s="330"/>
      <c r="AR52" s="330"/>
      <c r="AS52" s="330"/>
    </row>
    <row r="53" spans="2:45">
      <c r="B53" s="154">
        <v>2016</v>
      </c>
      <c r="C53" s="331">
        <f t="shared" ref="C53:G53" si="56">C11/$A96</f>
        <v>109.02424166961826</v>
      </c>
      <c r="D53" s="331">
        <f t="shared" si="56"/>
        <v>187.41357245686444</v>
      </c>
      <c r="E53" s="331">
        <f t="shared" si="56"/>
        <v>215.34540296726252</v>
      </c>
      <c r="F53" s="331">
        <f t="shared" si="56"/>
        <v>107.22218808830226</v>
      </c>
      <c r="G53" s="331">
        <f t="shared" si="56"/>
        <v>116.23245599488229</v>
      </c>
      <c r="I53" s="154">
        <v>2016</v>
      </c>
      <c r="J53" s="271">
        <f t="shared" ref="J53:N53" si="57">J11/$A96</f>
        <v>2.793183051039807</v>
      </c>
      <c r="K53" s="271">
        <f t="shared" si="57"/>
        <v>4.1447232370268097</v>
      </c>
      <c r="L53" s="271">
        <f t="shared" si="57"/>
        <v>4.9556473486190118</v>
      </c>
      <c r="M53" s="271">
        <f t="shared" si="57"/>
        <v>2.793183051039807</v>
      </c>
      <c r="N53" s="271">
        <f t="shared" si="57"/>
        <v>2.9733884091714069</v>
      </c>
      <c r="P53" s="154">
        <v>2016</v>
      </c>
      <c r="Q53" s="271">
        <f t="shared" ref="Q53:U53" si="58">Q11/$A96</f>
        <v>4.5952366323558111</v>
      </c>
      <c r="R53" s="271">
        <f t="shared" si="58"/>
        <v>10.812321487896027</v>
      </c>
      <c r="S53" s="271">
        <f t="shared" si="58"/>
        <v>10.542013450698626</v>
      </c>
      <c r="T53" s="271">
        <f t="shared" si="58"/>
        <v>4.685339311421612</v>
      </c>
      <c r="U53" s="271">
        <f t="shared" si="58"/>
        <v>5.1358527067506126</v>
      </c>
      <c r="W53" s="154">
        <v>2016</v>
      </c>
      <c r="X53" s="286">
        <f t="shared" si="22"/>
        <v>9205.7907201528087</v>
      </c>
      <c r="Z53" s="154">
        <v>2016</v>
      </c>
      <c r="AA53" s="330">
        <f t="shared" ref="AA53:AE53" si="59">AA11/$A96</f>
        <v>4.8387841738706685</v>
      </c>
      <c r="AB53" s="330">
        <f t="shared" si="59"/>
        <v>11.385374526754514</v>
      </c>
      <c r="AC53" s="330">
        <f t="shared" si="59"/>
        <v>11.100740163585652</v>
      </c>
      <c r="AD53" s="330">
        <f t="shared" si="59"/>
        <v>4.9336622949269566</v>
      </c>
      <c r="AE53" s="330">
        <f t="shared" si="59"/>
        <v>5.4080529002083946</v>
      </c>
      <c r="AG53" s="154">
        <v>2016</v>
      </c>
      <c r="AH53" s="330">
        <f t="shared" ref="AH53:AL53" si="60">AH11/$A96</f>
        <v>2.7093875595086128</v>
      </c>
      <c r="AI53" s="330">
        <f t="shared" si="60"/>
        <v>4.0203815399160057</v>
      </c>
      <c r="AJ53" s="330">
        <f t="shared" si="60"/>
        <v>4.8069779281604417</v>
      </c>
      <c r="AK53" s="330">
        <f t="shared" si="60"/>
        <v>2.7093875595086128</v>
      </c>
      <c r="AL53" s="330">
        <f t="shared" si="60"/>
        <v>2.8841867568962645</v>
      </c>
      <c r="AN53" s="154">
        <v>2016</v>
      </c>
      <c r="AO53" s="330">
        <f t="shared" ref="AO53" si="61">AO11/$A96</f>
        <v>1.693930366437044</v>
      </c>
      <c r="AP53" s="330"/>
      <c r="AQ53" s="330"/>
      <c r="AR53" s="330"/>
      <c r="AS53" s="330"/>
    </row>
    <row r="54" spans="2:45">
      <c r="B54" s="154">
        <v>2017</v>
      </c>
      <c r="C54" s="331">
        <f t="shared" ref="C54:G54" si="62">C12/$A97</f>
        <v>101.19906811331256</v>
      </c>
      <c r="D54" s="331">
        <f t="shared" si="62"/>
        <v>182.86849150300341</v>
      </c>
      <c r="E54" s="331">
        <f t="shared" si="62"/>
        <v>210.38753634083403</v>
      </c>
      <c r="F54" s="331">
        <f t="shared" si="62"/>
        <v>99.423645865710597</v>
      </c>
      <c r="G54" s="331">
        <f t="shared" si="62"/>
        <v>108.30075710372047</v>
      </c>
      <c r="I54" s="154">
        <v>2017</v>
      </c>
      <c r="J54" s="271">
        <f t="shared" ref="J54:N54" si="63">J12/$A97</f>
        <v>2.5743622590228634</v>
      </c>
      <c r="K54" s="271">
        <f t="shared" si="63"/>
        <v>3.9947000571044433</v>
      </c>
      <c r="L54" s="271">
        <f t="shared" si="63"/>
        <v>4.7936400685253329</v>
      </c>
      <c r="M54" s="271">
        <f t="shared" si="63"/>
        <v>2.4855911466427645</v>
      </c>
      <c r="N54" s="271">
        <f t="shared" si="63"/>
        <v>2.6631333714029624</v>
      </c>
      <c r="P54" s="154">
        <v>2017</v>
      </c>
      <c r="Q54" s="271">
        <f t="shared" ref="Q54:U54" si="64">Q12/$A97</f>
        <v>4.0834711694845423</v>
      </c>
      <c r="R54" s="271">
        <f t="shared" si="64"/>
        <v>10.474991260851652</v>
      </c>
      <c r="S54" s="271">
        <f t="shared" si="64"/>
        <v>10.386220148471553</v>
      </c>
      <c r="T54" s="271">
        <f t="shared" si="64"/>
        <v>4.0834711694845423</v>
      </c>
      <c r="U54" s="271">
        <f t="shared" si="64"/>
        <v>4.616097843765135</v>
      </c>
      <c r="W54" s="154">
        <v>2017</v>
      </c>
      <c r="X54" s="286">
        <f t="shared" si="22"/>
        <v>9069.7445518746881</v>
      </c>
      <c r="Z54" s="154">
        <v>2017</v>
      </c>
      <c r="AA54" s="330">
        <f t="shared" ref="AA54:AE54" si="65">AA12/$A97</f>
        <v>4.2998951414672222</v>
      </c>
      <c r="AB54" s="330">
        <f t="shared" si="65"/>
        <v>11.030165797676789</v>
      </c>
      <c r="AC54" s="330">
        <f t="shared" si="65"/>
        <v>10.936689816340543</v>
      </c>
      <c r="AD54" s="330">
        <f t="shared" si="65"/>
        <v>4.2998951414672222</v>
      </c>
      <c r="AE54" s="330">
        <f t="shared" si="65"/>
        <v>4.8607510294846872</v>
      </c>
      <c r="AG54" s="154">
        <v>2017</v>
      </c>
      <c r="AH54" s="330">
        <f t="shared" ref="AH54:AL54" si="66">AH12/$A97</f>
        <v>2.4971313912521773</v>
      </c>
      <c r="AI54" s="330">
        <f t="shared" si="66"/>
        <v>3.8748590553913105</v>
      </c>
      <c r="AJ54" s="330">
        <f t="shared" si="66"/>
        <v>4.6498308664695722</v>
      </c>
      <c r="AK54" s="330">
        <f t="shared" si="66"/>
        <v>2.4110234122434817</v>
      </c>
      <c r="AL54" s="330">
        <f t="shared" si="66"/>
        <v>2.5832393702608738</v>
      </c>
      <c r="AN54" s="154">
        <v>2017</v>
      </c>
      <c r="AO54" s="330">
        <f t="shared" ref="AO54" si="67">AO12/$A97</f>
        <v>1.6688969127458564</v>
      </c>
      <c r="AP54" s="330"/>
      <c r="AQ54" s="330"/>
      <c r="AR54" s="330"/>
      <c r="AS54" s="330"/>
    </row>
    <row r="55" spans="2:45">
      <c r="B55" s="154">
        <v>2018</v>
      </c>
      <c r="C55" s="331">
        <f t="shared" ref="C55:G55" si="68">C13/$A98</f>
        <v>94.455961941385866</v>
      </c>
      <c r="D55" s="331">
        <f t="shared" si="68"/>
        <v>176.6676325199995</v>
      </c>
      <c r="E55" s="331">
        <f t="shared" si="68"/>
        <v>206.40376868673209</v>
      </c>
      <c r="F55" s="331">
        <f t="shared" si="68"/>
        <v>91.832185220791814</v>
      </c>
      <c r="G55" s="331">
        <f t="shared" si="68"/>
        <v>102.32729210316802</v>
      </c>
      <c r="I55" s="154">
        <v>2018</v>
      </c>
      <c r="J55" s="271">
        <f t="shared" ref="J55:N55" si="69">J13/$A98</f>
        <v>2.361399048534647</v>
      </c>
      <c r="K55" s="271">
        <f t="shared" si="69"/>
        <v>3.8482058568712763</v>
      </c>
      <c r="L55" s="271">
        <f t="shared" si="69"/>
        <v>4.722798097069294</v>
      </c>
      <c r="M55" s="271">
        <f t="shared" si="69"/>
        <v>2.2739398245148452</v>
      </c>
      <c r="N55" s="271">
        <f t="shared" si="69"/>
        <v>2.4488582725544483</v>
      </c>
      <c r="P55" s="154">
        <v>2018</v>
      </c>
      <c r="Q55" s="271">
        <f t="shared" ref="Q55:U55" si="70">Q13/$A98</f>
        <v>3.6732874088316727</v>
      </c>
      <c r="R55" s="271">
        <f t="shared" si="70"/>
        <v>10.0578107622772</v>
      </c>
      <c r="S55" s="271">
        <f t="shared" si="70"/>
        <v>10.232729210316801</v>
      </c>
      <c r="T55" s="271">
        <f t="shared" si="70"/>
        <v>3.5858281848118705</v>
      </c>
      <c r="U55" s="271">
        <f t="shared" si="70"/>
        <v>4.1980427529504825</v>
      </c>
      <c r="W55" s="154">
        <v>2018</v>
      </c>
      <c r="X55" s="286">
        <f t="shared" si="22"/>
        <v>8935.7089181031424</v>
      </c>
      <c r="Z55" s="154">
        <v>2018</v>
      </c>
      <c r="AA55" s="330">
        <f t="shared" ref="AA55:AE55" si="71">AA13/$A98</f>
        <v>3.8679716414997514</v>
      </c>
      <c r="AB55" s="330">
        <f t="shared" si="71"/>
        <v>10.590874732677889</v>
      </c>
      <c r="AC55" s="330">
        <f t="shared" si="71"/>
        <v>10.775063858463591</v>
      </c>
      <c r="AD55" s="330">
        <f t="shared" si="71"/>
        <v>3.7758770786068996</v>
      </c>
      <c r="AE55" s="330">
        <f t="shared" si="71"/>
        <v>4.4205390188568581</v>
      </c>
      <c r="AG55" s="154">
        <v>2018</v>
      </c>
      <c r="AH55" s="330">
        <f t="shared" ref="AH55:AL55" si="72">AH13/$A98</f>
        <v>2.2905570770786077</v>
      </c>
      <c r="AI55" s="330">
        <f t="shared" si="72"/>
        <v>3.7327596811651378</v>
      </c>
      <c r="AJ55" s="330">
        <f t="shared" si="72"/>
        <v>4.5811141541572153</v>
      </c>
      <c r="AK55" s="330">
        <f t="shared" si="72"/>
        <v>2.2057216297793993</v>
      </c>
      <c r="AL55" s="330">
        <f t="shared" si="72"/>
        <v>2.3753925243778147</v>
      </c>
      <c r="AN55" s="154">
        <v>2018</v>
      </c>
      <c r="AO55" s="330">
        <f t="shared" ref="AO55" si="73">AO13/$A98</f>
        <v>1.6442334115722725</v>
      </c>
      <c r="AP55" s="330"/>
      <c r="AQ55" s="330"/>
      <c r="AR55" s="330"/>
      <c r="AS55" s="330"/>
    </row>
    <row r="56" spans="2:45">
      <c r="B56" s="154">
        <v>2019</v>
      </c>
      <c r="C56" s="331">
        <f t="shared" ref="C56:G56" si="74">C14/$A99</f>
        <v>88.751724867385022</v>
      </c>
      <c r="D56" s="331">
        <f t="shared" si="74"/>
        <v>172.33344634443694</v>
      </c>
      <c r="E56" s="331">
        <f t="shared" si="74"/>
        <v>200.76846499126901</v>
      </c>
      <c r="F56" s="331">
        <f t="shared" si="74"/>
        <v>84.443388708774094</v>
      </c>
      <c r="G56" s="331">
        <f t="shared" si="74"/>
        <v>96.506729952884683</v>
      </c>
      <c r="I56" s="154">
        <v>2019</v>
      </c>
      <c r="J56" s="271">
        <f t="shared" ref="J56:N56" si="75">J14/$A99</f>
        <v>2.1541680793054616</v>
      </c>
      <c r="K56" s="271">
        <f t="shared" si="75"/>
        <v>3.7913358195776126</v>
      </c>
      <c r="L56" s="271">
        <f t="shared" si="75"/>
        <v>4.6530030512997973</v>
      </c>
      <c r="M56" s="271">
        <f t="shared" si="75"/>
        <v>1.9818346329610246</v>
      </c>
      <c r="N56" s="271">
        <f t="shared" si="75"/>
        <v>2.2403348024776801</v>
      </c>
      <c r="P56" s="154">
        <v>2019</v>
      </c>
      <c r="Q56" s="271">
        <f t="shared" ref="Q56:U56" si="76">Q14/$A99</f>
        <v>3.36050220371652</v>
      </c>
      <c r="R56" s="271">
        <f t="shared" si="76"/>
        <v>9.8230064416329057</v>
      </c>
      <c r="S56" s="271">
        <f t="shared" si="76"/>
        <v>10.08150661114956</v>
      </c>
      <c r="T56" s="271">
        <f t="shared" si="76"/>
        <v>3.0158353110276463</v>
      </c>
      <c r="U56" s="271">
        <f t="shared" si="76"/>
        <v>3.8775025427498306</v>
      </c>
      <c r="W56" s="154">
        <v>2019</v>
      </c>
      <c r="X56" s="286">
        <f t="shared" si="22"/>
        <v>8803.6541065055608</v>
      </c>
      <c r="Z56" s="154">
        <v>2019</v>
      </c>
      <c r="AA56" s="330">
        <f t="shared" ref="AA56:AE56" si="77">AA14/$A99</f>
        <v>3.5386088205134958</v>
      </c>
      <c r="AB56" s="330">
        <f t="shared" si="77"/>
        <v>10.343625783039448</v>
      </c>
      <c r="AC56" s="330">
        <f t="shared" si="77"/>
        <v>10.615826461540486</v>
      </c>
      <c r="AD56" s="330">
        <f t="shared" si="77"/>
        <v>3.1756745825121113</v>
      </c>
      <c r="AE56" s="330">
        <f t="shared" si="77"/>
        <v>4.0830101775155718</v>
      </c>
      <c r="AG56" s="154">
        <v>2019</v>
      </c>
      <c r="AH56" s="330">
        <f t="shared" ref="AH56:AL56" si="78">AH14/$A99</f>
        <v>2.0895430369262975</v>
      </c>
      <c r="AI56" s="330">
        <f t="shared" si="78"/>
        <v>3.6775957449902839</v>
      </c>
      <c r="AJ56" s="330">
        <f t="shared" si="78"/>
        <v>4.513412959760803</v>
      </c>
      <c r="AK56" s="330">
        <f t="shared" si="78"/>
        <v>1.9223795939721937</v>
      </c>
      <c r="AL56" s="330">
        <f t="shared" si="78"/>
        <v>2.1731247584033495</v>
      </c>
      <c r="AN56" s="154">
        <v>2019</v>
      </c>
      <c r="AO56" s="330">
        <f t="shared" ref="AO56" si="79">AO14/$A99</f>
        <v>1.619934395637707</v>
      </c>
      <c r="AP56" s="330"/>
      <c r="AQ56" s="330"/>
      <c r="AR56" s="330"/>
      <c r="AS56" s="330"/>
    </row>
    <row r="57" spans="2:45">
      <c r="B57" s="154">
        <v>2020</v>
      </c>
      <c r="C57" s="331">
        <f t="shared" ref="C57:G57" si="80">C15/$A100</f>
        <v>84.04439008915891</v>
      </c>
      <c r="D57" s="331">
        <f t="shared" si="80"/>
        <v>158.75051461285571</v>
      </c>
      <c r="E57" s="331">
        <f t="shared" si="80"/>
        <v>196.10357687470412</v>
      </c>
      <c r="F57" s="331">
        <f t="shared" si="80"/>
        <v>78.950790689815946</v>
      </c>
      <c r="G57" s="331">
        <f t="shared" si="80"/>
        <v>90.835855954949523</v>
      </c>
      <c r="I57" s="154">
        <v>2020</v>
      </c>
      <c r="J57" s="271">
        <f t="shared" ref="J57:N57" si="81">J15/$A100</f>
        <v>1.9525464364148026</v>
      </c>
      <c r="K57" s="271">
        <f t="shared" si="81"/>
        <v>3.4806262562176915</v>
      </c>
      <c r="L57" s="271">
        <f t="shared" si="81"/>
        <v>4.4993461360862845</v>
      </c>
      <c r="M57" s="271">
        <f t="shared" si="81"/>
        <v>1.7827597897700374</v>
      </c>
      <c r="N57" s="271">
        <f t="shared" si="81"/>
        <v>2.1223330830595684</v>
      </c>
      <c r="P57" s="154">
        <v>2020</v>
      </c>
      <c r="Q57" s="271">
        <f t="shared" ref="Q57:U57" si="82">Q15/$A100</f>
        <v>3.0561596396057786</v>
      </c>
      <c r="R57" s="271">
        <f t="shared" si="82"/>
        <v>8.9137989488501876</v>
      </c>
      <c r="S57" s="271">
        <f t="shared" si="82"/>
        <v>9.9325188287187789</v>
      </c>
      <c r="T57" s="271">
        <f t="shared" si="82"/>
        <v>2.6316930229938649</v>
      </c>
      <c r="U57" s="271">
        <f t="shared" si="82"/>
        <v>3.5655195795400747</v>
      </c>
      <c r="W57" s="154">
        <v>2020</v>
      </c>
      <c r="X57" s="286">
        <f t="shared" si="22"/>
        <v>8673.5508438478446</v>
      </c>
      <c r="Z57" s="154">
        <v>2020</v>
      </c>
      <c r="AA57" s="330">
        <f t="shared" ref="AA57:AE57" si="83">AA15/$A100</f>
        <v>3.2181361005048847</v>
      </c>
      <c r="AB57" s="330">
        <f t="shared" si="83"/>
        <v>9.3862302931392474</v>
      </c>
      <c r="AC57" s="330">
        <f t="shared" si="83"/>
        <v>10.458942326640873</v>
      </c>
      <c r="AD57" s="330">
        <f t="shared" si="83"/>
        <v>2.7711727532125394</v>
      </c>
      <c r="AE57" s="330">
        <f t="shared" si="83"/>
        <v>3.7544921172556989</v>
      </c>
      <c r="AG57" s="154">
        <v>2020</v>
      </c>
      <c r="AH57" s="330">
        <f t="shared" ref="AH57:AL57" si="84">AH15/$A100</f>
        <v>1.8939700433223587</v>
      </c>
      <c r="AI57" s="330">
        <f t="shared" si="84"/>
        <v>3.3762074685311609</v>
      </c>
      <c r="AJ57" s="330">
        <f t="shared" si="84"/>
        <v>4.364365752003696</v>
      </c>
      <c r="AK57" s="330">
        <f t="shared" si="84"/>
        <v>1.7292769960769361</v>
      </c>
      <c r="AL57" s="330">
        <f t="shared" si="84"/>
        <v>2.058663090567781</v>
      </c>
      <c r="AN57" s="154">
        <v>2020</v>
      </c>
      <c r="AO57" s="330">
        <f t="shared" ref="AO57" si="85">AO15/$A100</f>
        <v>1.5959944784607953</v>
      </c>
      <c r="AP57" s="330"/>
      <c r="AQ57" s="330"/>
      <c r="AR57" s="330"/>
      <c r="AS57" s="330"/>
    </row>
    <row r="58" spans="2:45">
      <c r="B58" s="154">
        <v>2021</v>
      </c>
      <c r="C58" s="331">
        <f t="shared" ref="C58:G58" si="86">C16/$A101</f>
        <v>78.620417658167256</v>
      </c>
      <c r="D58" s="331">
        <f t="shared" si="86"/>
        <v>154.73167305064834</v>
      </c>
      <c r="E58" s="331">
        <f t="shared" si="86"/>
        <v>190.69633219215038</v>
      </c>
      <c r="F58" s="331">
        <f t="shared" si="86"/>
        <v>73.602093126794884</v>
      </c>
      <c r="G58" s="331">
        <f t="shared" si="86"/>
        <v>85.311517033330432</v>
      </c>
      <c r="I58" s="154">
        <v>2021</v>
      </c>
      <c r="J58" s="271">
        <f t="shared" ref="J58:N58" si="87">J16/$A101</f>
        <v>1.8400523281698722</v>
      </c>
      <c r="K58" s="271">
        <f t="shared" si="87"/>
        <v>3.3455496875815856</v>
      </c>
      <c r="L58" s="271">
        <f t="shared" si="87"/>
        <v>4.4328533360456008</v>
      </c>
      <c r="M58" s="271">
        <f t="shared" si="87"/>
        <v>1.6727748437907928</v>
      </c>
      <c r="N58" s="271">
        <f t="shared" si="87"/>
        <v>2.0073298125489512</v>
      </c>
      <c r="P58" s="154">
        <v>2021</v>
      </c>
      <c r="Q58" s="271">
        <f t="shared" ref="Q58:U58" si="88">Q16/$A101</f>
        <v>2.8437172344443478</v>
      </c>
      <c r="R58" s="271">
        <f t="shared" si="88"/>
        <v>8.6984291877121223</v>
      </c>
      <c r="S58" s="271">
        <f t="shared" si="88"/>
        <v>9.7857328361761375</v>
      </c>
      <c r="T58" s="271">
        <f t="shared" si="88"/>
        <v>2.4255235234966497</v>
      </c>
      <c r="U58" s="271">
        <f t="shared" si="88"/>
        <v>3.3455496875815856</v>
      </c>
      <c r="W58" s="154">
        <v>2021</v>
      </c>
      <c r="X58" s="286">
        <f t="shared" si="22"/>
        <v>8545.3702895052647</v>
      </c>
      <c r="Z58" s="154">
        <v>2021</v>
      </c>
      <c r="AA58" s="330">
        <f t="shared" ref="AA58:AE58" si="89">AA16/$A101</f>
        <v>2.994434247869898</v>
      </c>
      <c r="AB58" s="330">
        <f t="shared" si="89"/>
        <v>9.1594459346608659</v>
      </c>
      <c r="AC58" s="330">
        <f t="shared" si="89"/>
        <v>10.304376676493472</v>
      </c>
      <c r="AD58" s="330">
        <f t="shared" si="89"/>
        <v>2.5540762702419717</v>
      </c>
      <c r="AE58" s="330">
        <f t="shared" si="89"/>
        <v>3.5228638210234093</v>
      </c>
      <c r="AG58" s="154">
        <v>2021</v>
      </c>
      <c r="AH58" s="330">
        <f t="shared" ref="AH58:AL58" si="90">AH16/$A101</f>
        <v>1.7848507583247759</v>
      </c>
      <c r="AI58" s="330">
        <f t="shared" si="90"/>
        <v>3.2451831969541378</v>
      </c>
      <c r="AJ58" s="330">
        <f t="shared" si="90"/>
        <v>4.2998677359642326</v>
      </c>
      <c r="AK58" s="330">
        <f t="shared" si="90"/>
        <v>1.6225915984770689</v>
      </c>
      <c r="AL58" s="330">
        <f t="shared" si="90"/>
        <v>1.9471099181724827</v>
      </c>
      <c r="AN58" s="154">
        <v>2021</v>
      </c>
      <c r="AO58" s="330">
        <f t="shared" ref="AO58" si="91">AO16/$A101</f>
        <v>1.572408353163345</v>
      </c>
      <c r="AP58" s="330"/>
      <c r="AQ58" s="330"/>
      <c r="AR58" s="330"/>
      <c r="AS58" s="330"/>
    </row>
    <row r="59" spans="2:45">
      <c r="B59" s="154">
        <v>2022</v>
      </c>
      <c r="C59" s="331">
        <f t="shared" ref="C59:G59" si="92">C17/$A102</f>
        <v>73.33840448146826</v>
      </c>
      <c r="D59" s="331">
        <f t="shared" si="92"/>
        <v>145.8527819462908</v>
      </c>
      <c r="E59" s="331">
        <f t="shared" si="92"/>
        <v>185.40607874528493</v>
      </c>
      <c r="F59" s="331">
        <f t="shared" si="92"/>
        <v>68.394242381593997</v>
      </c>
      <c r="G59" s="331">
        <f t="shared" si="92"/>
        <v>79.930620614633952</v>
      </c>
      <c r="I59" s="154">
        <v>2022</v>
      </c>
      <c r="J59" s="271">
        <f t="shared" ref="J59:N59" si="93">J17/$A102</f>
        <v>1.6480540332914215</v>
      </c>
      <c r="K59" s="271">
        <f t="shared" si="93"/>
        <v>3.2137053649182721</v>
      </c>
      <c r="L59" s="271">
        <f t="shared" si="93"/>
        <v>4.3673431882222671</v>
      </c>
      <c r="M59" s="271">
        <f t="shared" si="93"/>
        <v>1.4832486299622794</v>
      </c>
      <c r="N59" s="271">
        <f t="shared" si="93"/>
        <v>1.8128594366205639</v>
      </c>
      <c r="P59" s="154">
        <v>2022</v>
      </c>
      <c r="Q59" s="271">
        <f t="shared" ref="Q59:U59" si="94">Q17/$A102</f>
        <v>2.6368864532662748</v>
      </c>
      <c r="R59" s="271">
        <f t="shared" si="94"/>
        <v>8.0754647631279663</v>
      </c>
      <c r="S59" s="271">
        <f t="shared" si="94"/>
        <v>9.6411160947548158</v>
      </c>
      <c r="T59" s="271">
        <f t="shared" si="94"/>
        <v>2.2248729449434195</v>
      </c>
      <c r="U59" s="271">
        <f t="shared" si="94"/>
        <v>3.1313026632537007</v>
      </c>
      <c r="W59" s="154">
        <v>2022</v>
      </c>
      <c r="X59" s="286">
        <f t="shared" si="22"/>
        <v>8419.0840290692267</v>
      </c>
      <c r="Z59" s="154">
        <v>2022</v>
      </c>
      <c r="AA59" s="330">
        <f t="shared" ref="AA59:AE59" si="95">AA17/$A102</f>
        <v>2.7766414352893873</v>
      </c>
      <c r="AB59" s="330">
        <f t="shared" si="95"/>
        <v>8.5034643955737472</v>
      </c>
      <c r="AC59" s="330">
        <f t="shared" si="95"/>
        <v>10.15209524777682</v>
      </c>
      <c r="AD59" s="330">
        <f t="shared" si="95"/>
        <v>2.3427912110254203</v>
      </c>
      <c r="AE59" s="330">
        <f t="shared" si="95"/>
        <v>3.2972617044061465</v>
      </c>
      <c r="AG59" s="154">
        <v>2022</v>
      </c>
      <c r="AH59" s="330">
        <f t="shared" ref="AH59:AL59" si="96">AH17/$A102</f>
        <v>1.5986124122926788</v>
      </c>
      <c r="AI59" s="330">
        <f t="shared" si="96"/>
        <v>3.1172942039707237</v>
      </c>
      <c r="AJ59" s="330">
        <f t="shared" si="96"/>
        <v>4.2363228925755996</v>
      </c>
      <c r="AK59" s="330">
        <f t="shared" si="96"/>
        <v>1.4387511710634111</v>
      </c>
      <c r="AL59" s="330">
        <f t="shared" si="96"/>
        <v>1.7584736535219467</v>
      </c>
      <c r="AN59" s="154">
        <v>2022</v>
      </c>
      <c r="AO59" s="330">
        <f t="shared" ref="AO59" si="97">AO17/$A102</f>
        <v>1.5491707912939361</v>
      </c>
      <c r="AP59" s="330"/>
      <c r="AQ59" s="330"/>
      <c r="AR59" s="330"/>
      <c r="AS59" s="330"/>
    </row>
    <row r="60" spans="2:45">
      <c r="B60" s="154">
        <v>2023</v>
      </c>
      <c r="C60" s="331">
        <f t="shared" ref="C60:G60" si="98">C18/$A103</f>
        <v>68.195339308610556</v>
      </c>
      <c r="D60" s="331">
        <f t="shared" si="98"/>
        <v>139.63807572715496</v>
      </c>
      <c r="E60" s="331">
        <f t="shared" si="98"/>
        <v>181.04238887881135</v>
      </c>
      <c r="F60" s="331">
        <f t="shared" si="98"/>
        <v>63.324243643709799</v>
      </c>
      <c r="G60" s="331">
        <f t="shared" si="98"/>
        <v>74.690133528478228</v>
      </c>
      <c r="I60" s="154">
        <v>2023</v>
      </c>
      <c r="J60" s="271">
        <f t="shared" ref="J60:N60" si="99">J18/$A103</f>
        <v>1.542513627218572</v>
      </c>
      <c r="K60" s="271">
        <f t="shared" si="99"/>
        <v>3.0038423266887984</v>
      </c>
      <c r="L60" s="271">
        <f t="shared" si="99"/>
        <v>4.2216162429139867</v>
      </c>
      <c r="M60" s="271">
        <f t="shared" si="99"/>
        <v>1.3801437717218803</v>
      </c>
      <c r="N60" s="271">
        <f t="shared" si="99"/>
        <v>1.7048834827152639</v>
      </c>
      <c r="P60" s="154">
        <v>2023</v>
      </c>
      <c r="Q60" s="271">
        <f t="shared" ref="Q60:U60" si="100">Q18/$A103</f>
        <v>2.4355478324503768</v>
      </c>
      <c r="R60" s="271">
        <f t="shared" si="100"/>
        <v>7.7125681360928606</v>
      </c>
      <c r="S60" s="271">
        <f t="shared" si="100"/>
        <v>9.4986365465564688</v>
      </c>
      <c r="T60" s="271">
        <f t="shared" si="100"/>
        <v>1.9484382659603015</v>
      </c>
      <c r="U60" s="271">
        <f t="shared" si="100"/>
        <v>2.9226573989404523</v>
      </c>
      <c r="W60" s="154">
        <v>2023</v>
      </c>
      <c r="X60" s="286">
        <f t="shared" si="22"/>
        <v>8294.6640680484998</v>
      </c>
      <c r="Z60" s="154">
        <v>2023</v>
      </c>
      <c r="AA60" s="330">
        <f t="shared" ref="AA60:AE60" si="101">AA18/$A103</f>
        <v>2.5646318675702466</v>
      </c>
      <c r="AB60" s="330">
        <f t="shared" si="101"/>
        <v>8.1213342473057804</v>
      </c>
      <c r="AC60" s="330">
        <f t="shared" si="101"/>
        <v>10.002064283523961</v>
      </c>
      <c r="AD60" s="330">
        <f t="shared" si="101"/>
        <v>2.0517054940561974</v>
      </c>
      <c r="AE60" s="330">
        <f t="shared" si="101"/>
        <v>3.0775582410842963</v>
      </c>
      <c r="AG60" s="154">
        <v>2023</v>
      </c>
      <c r="AH60" s="330">
        <f t="shared" ref="AH60:AL60" si="102">AH18/$A103</f>
        <v>1.4962382184020149</v>
      </c>
      <c r="AI60" s="330">
        <f t="shared" si="102"/>
        <v>2.9137270568881344</v>
      </c>
      <c r="AJ60" s="330">
        <f t="shared" si="102"/>
        <v>4.0949677556265671</v>
      </c>
      <c r="AK60" s="330">
        <f t="shared" si="102"/>
        <v>1.3387394585702239</v>
      </c>
      <c r="AL60" s="330">
        <f t="shared" si="102"/>
        <v>1.6537369782338058</v>
      </c>
      <c r="AN60" s="154">
        <v>2023</v>
      </c>
      <c r="AO60" s="330">
        <f t="shared" ref="AO60" si="103">AO18/$A103</f>
        <v>1.5262766416689029</v>
      </c>
      <c r="AP60" s="330"/>
      <c r="AQ60" s="330"/>
      <c r="AR60" s="330"/>
      <c r="AS60" s="330"/>
    </row>
    <row r="61" spans="2:45">
      <c r="B61" s="154">
        <v>2024</v>
      </c>
      <c r="C61" s="331">
        <f t="shared" ref="C61:G61" si="104">C19/$A104</f>
        <v>63.18826888787514</v>
      </c>
      <c r="D61" s="331">
        <f t="shared" si="104"/>
        <v>129.57594379538952</v>
      </c>
      <c r="E61" s="331">
        <f t="shared" si="104"/>
        <v>175.96733108015863</v>
      </c>
      <c r="F61" s="331">
        <f t="shared" si="104"/>
        <v>58.389159858416271</v>
      </c>
      <c r="G61" s="331">
        <f t="shared" si="104"/>
        <v>69.587080927153636</v>
      </c>
      <c r="I61" s="154">
        <v>2024</v>
      </c>
      <c r="J61" s="271">
        <f t="shared" ref="J61:N61" si="105">J19/$A104</f>
        <v>1.3597475583466803</v>
      </c>
      <c r="K61" s="271">
        <f t="shared" si="105"/>
        <v>2.7994802671843417</v>
      </c>
      <c r="L61" s="271">
        <f t="shared" si="105"/>
        <v>4.1592278255310218</v>
      </c>
      <c r="M61" s="271">
        <f t="shared" si="105"/>
        <v>1.1997772573647179</v>
      </c>
      <c r="N61" s="271">
        <f t="shared" si="105"/>
        <v>1.5197178593286425</v>
      </c>
      <c r="P61" s="154">
        <v>2024</v>
      </c>
      <c r="Q61" s="271">
        <f t="shared" ref="Q61:U61" si="106">Q19/$A104</f>
        <v>2.2395842137474733</v>
      </c>
      <c r="R61" s="271">
        <f t="shared" si="106"/>
        <v>7.1186783936973264</v>
      </c>
      <c r="S61" s="271">
        <f t="shared" si="106"/>
        <v>9.3582626074447983</v>
      </c>
      <c r="T61" s="271">
        <f t="shared" si="106"/>
        <v>1.7596733108015863</v>
      </c>
      <c r="U61" s="271">
        <f t="shared" si="106"/>
        <v>2.7194951166933605</v>
      </c>
      <c r="W61" s="154">
        <v>2024</v>
      </c>
      <c r="X61" s="286">
        <f t="shared" si="22"/>
        <v>8172.0828256635477</v>
      </c>
      <c r="Z61" s="154">
        <v>2024</v>
      </c>
      <c r="AA61" s="330">
        <f t="shared" ref="AA61:AE61" si="107">AA19/$A104</f>
        <v>2.3582821770760889</v>
      </c>
      <c r="AB61" s="330">
        <f t="shared" si="107"/>
        <v>7.4959683485632844</v>
      </c>
      <c r="AC61" s="330">
        <f t="shared" si="107"/>
        <v>9.8542505256393724</v>
      </c>
      <c r="AD61" s="330">
        <f t="shared" si="107"/>
        <v>1.8529359962740704</v>
      </c>
      <c r="AE61" s="330">
        <f t="shared" si="107"/>
        <v>2.8636283578781083</v>
      </c>
      <c r="AG61" s="154">
        <v>2024</v>
      </c>
      <c r="AH61" s="330">
        <f t="shared" ref="AH61:AL61" si="108">AH19/$A104</f>
        <v>1.3189551315962798</v>
      </c>
      <c r="AI61" s="330">
        <f t="shared" si="108"/>
        <v>2.7154958591688114</v>
      </c>
      <c r="AJ61" s="330">
        <f t="shared" si="108"/>
        <v>4.0344509907650909</v>
      </c>
      <c r="AK61" s="330">
        <f t="shared" si="108"/>
        <v>1.1637839396437764</v>
      </c>
      <c r="AL61" s="330">
        <f t="shared" si="108"/>
        <v>1.4741263235487834</v>
      </c>
      <c r="AN61" s="154">
        <v>2024</v>
      </c>
      <c r="AO61" s="330">
        <f t="shared" ref="AO61" si="109">AO19/$A104</f>
        <v>1.5037208292304463</v>
      </c>
      <c r="AP61" s="330"/>
      <c r="AQ61" s="330"/>
      <c r="AR61" s="330"/>
      <c r="AS61" s="330"/>
    </row>
    <row r="62" spans="2:45">
      <c r="B62" s="154">
        <v>2025</v>
      </c>
      <c r="C62" s="331">
        <f t="shared" ref="C62:G62" si="110">C20/$A105</f>
        <v>58.314296909680877</v>
      </c>
      <c r="D62" s="331">
        <f t="shared" si="110"/>
        <v>118.20465589800177</v>
      </c>
      <c r="E62" s="331">
        <f t="shared" si="110"/>
        <v>171.00273553244256</v>
      </c>
      <c r="F62" s="331">
        <f t="shared" si="110"/>
        <v>53.586110673760807</v>
      </c>
      <c r="G62" s="331">
        <f t="shared" si="110"/>
        <v>63.830514184920958</v>
      </c>
      <c r="I62" s="154">
        <v>2025</v>
      </c>
      <c r="J62" s="271">
        <f t="shared" ref="J62:N62" si="111">J20/$A105</f>
        <v>1.2608496629120189</v>
      </c>
      <c r="K62" s="271">
        <f t="shared" si="111"/>
        <v>2.5216993258240379</v>
      </c>
      <c r="L62" s="271">
        <f t="shared" si="111"/>
        <v>4.0189583005320602</v>
      </c>
      <c r="M62" s="271">
        <f t="shared" si="111"/>
        <v>1.1032434550480166</v>
      </c>
      <c r="N62" s="271">
        <f t="shared" si="111"/>
        <v>1.4184558707760213</v>
      </c>
      <c r="P62" s="154">
        <v>2025</v>
      </c>
      <c r="Q62" s="271">
        <f t="shared" ref="Q62:U62" si="112">Q20/$A105</f>
        <v>2.0488807022320308</v>
      </c>
      <c r="R62" s="271">
        <f t="shared" si="112"/>
        <v>6.3042483145600947</v>
      </c>
      <c r="S62" s="271">
        <f t="shared" si="112"/>
        <v>9.2199631600441379</v>
      </c>
      <c r="T62" s="271">
        <f t="shared" si="112"/>
        <v>1.5760620786400237</v>
      </c>
      <c r="U62" s="271">
        <f t="shared" si="112"/>
        <v>2.4428962218920369</v>
      </c>
      <c r="W62" s="154">
        <v>2025</v>
      </c>
      <c r="X62" s="286">
        <f t="shared" si="22"/>
        <v>8051.3131287325605</v>
      </c>
      <c r="Z62" s="154">
        <v>2025</v>
      </c>
      <c r="AA62" s="330">
        <f t="shared" ref="AA62:AE62" si="113">AA20/$A105</f>
        <v>2.1574713794503286</v>
      </c>
      <c r="AB62" s="330">
        <f t="shared" si="113"/>
        <v>6.6383734752317789</v>
      </c>
      <c r="AC62" s="330">
        <f t="shared" si="113"/>
        <v>9.7086212075264768</v>
      </c>
      <c r="AD62" s="330">
        <f t="shared" si="113"/>
        <v>1.6595933688079447</v>
      </c>
      <c r="AE62" s="330">
        <f t="shared" si="113"/>
        <v>2.5723697216523145</v>
      </c>
      <c r="AG62" s="154">
        <v>2025</v>
      </c>
      <c r="AH62" s="330">
        <f t="shared" ref="AH62:AL62" si="114">AH20/$A105</f>
        <v>1.2230241730246585</v>
      </c>
      <c r="AI62" s="330">
        <f t="shared" si="114"/>
        <v>2.446048346049317</v>
      </c>
      <c r="AJ62" s="330">
        <f t="shared" si="114"/>
        <v>3.898389551516098</v>
      </c>
      <c r="AK62" s="330">
        <f t="shared" si="114"/>
        <v>1.070146151396576</v>
      </c>
      <c r="AL62" s="330">
        <f t="shared" si="114"/>
        <v>1.3759021946527408</v>
      </c>
      <c r="AN62" s="154">
        <v>2025</v>
      </c>
      <c r="AO62" s="330">
        <f t="shared" ref="AO62" si="115">AO20/$A105</f>
        <v>1.4814983539216222</v>
      </c>
      <c r="AP62" s="330"/>
      <c r="AQ62" s="330"/>
      <c r="AR62" s="330"/>
      <c r="AS62" s="330"/>
    </row>
    <row r="63" spans="2:45">
      <c r="B63" s="154">
        <v>2026</v>
      </c>
      <c r="C63" s="331">
        <f t="shared" ref="C63:G63" si="116">C21/$A106</f>
        <v>53.570582968552536</v>
      </c>
      <c r="D63" s="331">
        <f t="shared" si="116"/>
        <v>111.79947749958791</v>
      </c>
      <c r="E63" s="331">
        <f t="shared" si="116"/>
        <v>166.92283098896806</v>
      </c>
      <c r="F63" s="331">
        <f t="shared" si="116"/>
        <v>49.68865666648351</v>
      </c>
      <c r="G63" s="331">
        <f t="shared" si="116"/>
        <v>59.781665051862973</v>
      </c>
      <c r="I63" s="154">
        <v>2026</v>
      </c>
      <c r="J63" s="271">
        <f t="shared" ref="J63:N63" si="117">J21/$A106</f>
        <v>1.1645778906207074</v>
      </c>
      <c r="K63" s="271">
        <f t="shared" si="117"/>
        <v>2.4067943072827953</v>
      </c>
      <c r="L63" s="271">
        <f t="shared" si="117"/>
        <v>3.9595648281104046</v>
      </c>
      <c r="M63" s="271">
        <f t="shared" si="117"/>
        <v>0.93166231249656584</v>
      </c>
      <c r="N63" s="271">
        <f t="shared" si="117"/>
        <v>1.2422164166620879</v>
      </c>
      <c r="P63" s="154">
        <v>2026</v>
      </c>
      <c r="Q63" s="271">
        <f t="shared" ref="Q63:U63" si="118">Q21/$A106</f>
        <v>1.9409631510345122</v>
      </c>
      <c r="R63" s="271">
        <f t="shared" si="118"/>
        <v>5.9005279791449166</v>
      </c>
      <c r="S63" s="271">
        <f t="shared" si="118"/>
        <v>9.0837075468415165</v>
      </c>
      <c r="T63" s="271">
        <f t="shared" si="118"/>
        <v>1.3974934687448488</v>
      </c>
      <c r="U63" s="271">
        <f t="shared" si="118"/>
        <v>2.2515172552000342</v>
      </c>
      <c r="W63" s="154">
        <v>2026</v>
      </c>
      <c r="X63" s="286">
        <f t="shared" si="22"/>
        <v>7932.3282056478447</v>
      </c>
      <c r="Z63" s="154">
        <v>2026</v>
      </c>
      <c r="AA63" s="330">
        <f t="shared" ref="AA63:AE63" si="119">AA21/$A106</f>
        <v>2.0438341980393413</v>
      </c>
      <c r="AB63" s="330">
        <f t="shared" si="119"/>
        <v>6.2132559620395966</v>
      </c>
      <c r="AC63" s="330">
        <f t="shared" si="119"/>
        <v>9.5651440468241162</v>
      </c>
      <c r="AD63" s="330">
        <f t="shared" si="119"/>
        <v>1.4715606225883258</v>
      </c>
      <c r="AE63" s="330">
        <f t="shared" si="119"/>
        <v>2.3708476697256358</v>
      </c>
      <c r="AG63" s="154">
        <v>2026</v>
      </c>
      <c r="AH63" s="330">
        <f t="shared" ref="AH63:AL63" si="120">AH21/$A106</f>
        <v>1.1296405539020862</v>
      </c>
      <c r="AI63" s="330">
        <f t="shared" si="120"/>
        <v>2.3345904780643112</v>
      </c>
      <c r="AJ63" s="330">
        <f t="shared" si="120"/>
        <v>3.840777883267092</v>
      </c>
      <c r="AK63" s="330">
        <f t="shared" si="120"/>
        <v>0.90371244312166876</v>
      </c>
      <c r="AL63" s="330">
        <f t="shared" si="120"/>
        <v>1.2049499241622252</v>
      </c>
      <c r="AN63" s="154">
        <v>2026</v>
      </c>
      <c r="AO63" s="330">
        <f t="shared" ref="AO63" si="121">AO21/$A106</f>
        <v>1.4596042895779531</v>
      </c>
      <c r="AP63" s="330"/>
      <c r="AQ63" s="330"/>
      <c r="AR63" s="330"/>
      <c r="AS63" s="330"/>
    </row>
    <row r="64" spans="2:45">
      <c r="B64" s="154">
        <v>2027</v>
      </c>
      <c r="C64" s="331">
        <f t="shared" ref="C64:G64" si="122">C22/$A107</f>
        <v>49.7192531299481</v>
      </c>
      <c r="D64" s="331">
        <f t="shared" si="122"/>
        <v>105.55779895281289</v>
      </c>
      <c r="E64" s="331">
        <f t="shared" si="122"/>
        <v>162.16125636229225</v>
      </c>
      <c r="F64" s="331">
        <f t="shared" si="122"/>
        <v>45.894695196875169</v>
      </c>
      <c r="G64" s="331">
        <f t="shared" si="122"/>
        <v>55.0736342362502</v>
      </c>
      <c r="I64" s="154">
        <v>2027</v>
      </c>
      <c r="J64" s="271">
        <f t="shared" ref="J64:N64" si="123">J22/$A107</f>
        <v>1.0708762212604206</v>
      </c>
      <c r="K64" s="271">
        <f t="shared" si="123"/>
        <v>2.2947347598437586</v>
      </c>
      <c r="L64" s="271">
        <f t="shared" si="123"/>
        <v>3.901049091734389</v>
      </c>
      <c r="M64" s="271">
        <f t="shared" si="123"/>
        <v>0.84140274527604486</v>
      </c>
      <c r="N64" s="271">
        <f t="shared" si="123"/>
        <v>1.1473673799218793</v>
      </c>
      <c r="P64" s="154">
        <v>2027</v>
      </c>
      <c r="Q64" s="271">
        <f t="shared" ref="Q64:U64" si="124">Q22/$A107</f>
        <v>1.759296649213548</v>
      </c>
      <c r="R64" s="271">
        <f t="shared" si="124"/>
        <v>5.5838545822864791</v>
      </c>
      <c r="S64" s="271">
        <f t="shared" si="124"/>
        <v>8.9494655633906568</v>
      </c>
      <c r="T64" s="271">
        <f t="shared" si="124"/>
        <v>1.2238585385833378</v>
      </c>
      <c r="U64" s="271">
        <f t="shared" si="124"/>
        <v>2.1417524425208412</v>
      </c>
      <c r="W64" s="154">
        <v>2027</v>
      </c>
      <c r="X64" s="286">
        <f t="shared" si="22"/>
        <v>7815.1016804412266</v>
      </c>
      <c r="Z64" s="154">
        <v>2027</v>
      </c>
      <c r="AA64" s="330">
        <f t="shared" ref="AA64:AE64" si="125">AA22/$A107</f>
        <v>1.8525393716218659</v>
      </c>
      <c r="AB64" s="330">
        <f t="shared" si="125"/>
        <v>5.879798875147662</v>
      </c>
      <c r="AC64" s="330">
        <f t="shared" si="125"/>
        <v>9.4237872382503607</v>
      </c>
      <c r="AD64" s="330">
        <f t="shared" si="125"/>
        <v>1.2887230411282549</v>
      </c>
      <c r="AE64" s="330">
        <f t="shared" si="125"/>
        <v>2.2552653219744454</v>
      </c>
      <c r="AG64" s="154">
        <v>2027</v>
      </c>
      <c r="AH64" s="330">
        <f t="shared" ref="AH64:AL64" si="126">AH22/$A107</f>
        <v>1.0387499346226079</v>
      </c>
      <c r="AI64" s="330">
        <f t="shared" si="126"/>
        <v>2.2258927170484459</v>
      </c>
      <c r="AJ64" s="330">
        <f t="shared" si="126"/>
        <v>3.7840176189823569</v>
      </c>
      <c r="AK64" s="330">
        <f t="shared" si="126"/>
        <v>0.81616066291776335</v>
      </c>
      <c r="AL64" s="330">
        <f t="shared" si="126"/>
        <v>1.112946358524223</v>
      </c>
      <c r="AN64" s="154">
        <v>2027</v>
      </c>
      <c r="AO64" s="330">
        <f t="shared" ref="AO64" si="127">AO22/$A107</f>
        <v>1.4380337828354219</v>
      </c>
      <c r="AP64" s="330"/>
      <c r="AQ64" s="330"/>
      <c r="AR64" s="330"/>
      <c r="AS64" s="330"/>
    </row>
    <row r="65" spans="2:45">
      <c r="B65" s="154">
        <v>2028</v>
      </c>
      <c r="C65" s="331">
        <f t="shared" ref="C65:G65" si="128">C23/$A108</f>
        <v>45.970055944324884</v>
      </c>
      <c r="D65" s="331">
        <f t="shared" si="128"/>
        <v>99.476186633621069</v>
      </c>
      <c r="E65" s="331">
        <f t="shared" si="128"/>
        <v>157.50396216990001</v>
      </c>
      <c r="F65" s="331">
        <f t="shared" si="128"/>
        <v>42.20201857183924</v>
      </c>
      <c r="G65" s="331">
        <f t="shared" si="128"/>
        <v>51.245308265804788</v>
      </c>
      <c r="I65" s="154">
        <v>2028</v>
      </c>
      <c r="J65" s="271">
        <f t="shared" ref="J65:N65" si="129">J23/$A108</f>
        <v>0.97968971684626804</v>
      </c>
      <c r="K65" s="271">
        <f t="shared" si="129"/>
        <v>2.1101009285919616</v>
      </c>
      <c r="L65" s="271">
        <f t="shared" si="129"/>
        <v>3.7680373724856464</v>
      </c>
      <c r="M65" s="271">
        <f t="shared" si="129"/>
        <v>0.75360747449712928</v>
      </c>
      <c r="N65" s="271">
        <f t="shared" si="129"/>
        <v>1.0550504642959808</v>
      </c>
      <c r="P65" s="154">
        <v>2028</v>
      </c>
      <c r="Q65" s="271">
        <f t="shared" ref="Q65:U65" si="130">Q23/$A108</f>
        <v>1.5825756964439714</v>
      </c>
      <c r="R65" s="271">
        <f t="shared" si="130"/>
        <v>5.1998915740301923</v>
      </c>
      <c r="S65" s="271">
        <f t="shared" si="130"/>
        <v>8.8172074516164116</v>
      </c>
      <c r="T65" s="271">
        <f t="shared" si="130"/>
        <v>1.1304112117456939</v>
      </c>
      <c r="U65" s="271">
        <f t="shared" si="130"/>
        <v>1.9593794336925361</v>
      </c>
      <c r="W65" s="154">
        <v>2028</v>
      </c>
      <c r="X65" s="286">
        <f t="shared" si="22"/>
        <v>7699.6075669371694</v>
      </c>
      <c r="Z65" s="154">
        <v>2028</v>
      </c>
      <c r="AA65" s="330">
        <f t="shared" ref="AA65:AE65" si="131">AA23/$A108</f>
        <v>1.666452208355502</v>
      </c>
      <c r="AB65" s="330">
        <f t="shared" si="131"/>
        <v>5.4754858274537916</v>
      </c>
      <c r="AC65" s="330">
        <f t="shared" si="131"/>
        <v>9.2845194465520819</v>
      </c>
      <c r="AD65" s="330">
        <f t="shared" si="131"/>
        <v>1.1903230059682157</v>
      </c>
      <c r="AE65" s="330">
        <f t="shared" si="131"/>
        <v>2.0632265436782404</v>
      </c>
      <c r="AG65" s="154">
        <v>2028</v>
      </c>
      <c r="AH65" s="330">
        <f t="shared" ref="AH65:AL65" si="132">AH23/$A108</f>
        <v>0.95029902534087995</v>
      </c>
      <c r="AI65" s="330">
        <f t="shared" si="132"/>
        <v>2.046797900734203</v>
      </c>
      <c r="AJ65" s="330">
        <f t="shared" si="132"/>
        <v>3.6549962513110765</v>
      </c>
      <c r="AK65" s="330">
        <f t="shared" si="132"/>
        <v>0.73099925026221535</v>
      </c>
      <c r="AL65" s="330">
        <f t="shared" si="132"/>
        <v>1.0233989503671015</v>
      </c>
      <c r="AN65" s="154">
        <v>2028</v>
      </c>
      <c r="AO65" s="330">
        <f t="shared" ref="AO65" si="133">AO23/$A108</f>
        <v>1.4167820520546031</v>
      </c>
      <c r="AP65" s="330"/>
      <c r="AQ65" s="330"/>
      <c r="AR65" s="330"/>
      <c r="AS65" s="330"/>
    </row>
    <row r="66" spans="2:45">
      <c r="B66" s="154">
        <v>2029</v>
      </c>
      <c r="C66" s="331">
        <f t="shared" ref="C66:G66" si="134">C24/$A109</f>
        <v>42.320813838755051</v>
      </c>
      <c r="D66" s="331">
        <f t="shared" si="134"/>
        <v>93.551272696195369</v>
      </c>
      <c r="E66" s="331">
        <f t="shared" si="134"/>
        <v>152.94890615409719</v>
      </c>
      <c r="F66" s="331">
        <f t="shared" si="134"/>
        <v>38.608461747636184</v>
      </c>
      <c r="G66" s="331">
        <f t="shared" si="134"/>
        <v>47.518106766321459</v>
      </c>
      <c r="I66" s="154">
        <v>2029</v>
      </c>
      <c r="J66" s="271">
        <f t="shared" ref="J66:N66" si="135">J24/$A109</f>
        <v>0.8167174600461502</v>
      </c>
      <c r="K66" s="271">
        <f t="shared" si="135"/>
        <v>2.0046701292041869</v>
      </c>
      <c r="L66" s="271">
        <f t="shared" si="135"/>
        <v>3.7123520911188641</v>
      </c>
      <c r="M66" s="271">
        <f t="shared" si="135"/>
        <v>0.66822337640139551</v>
      </c>
      <c r="N66" s="271">
        <f t="shared" si="135"/>
        <v>0.96521154369090467</v>
      </c>
      <c r="P66" s="154">
        <v>2029</v>
      </c>
      <c r="Q66" s="271">
        <f t="shared" ref="Q66:U66" si="136">Q24/$A109</f>
        <v>1.4849408364475456</v>
      </c>
      <c r="R66" s="271">
        <f t="shared" si="136"/>
        <v>4.826057718454523</v>
      </c>
      <c r="S66" s="271">
        <f t="shared" si="136"/>
        <v>8.6869038932181404</v>
      </c>
      <c r="T66" s="271">
        <f t="shared" si="136"/>
        <v>0.96521154369090467</v>
      </c>
      <c r="U66" s="271">
        <f t="shared" si="136"/>
        <v>1.7819290037370548</v>
      </c>
      <c r="W66" s="154">
        <v>2029</v>
      </c>
      <c r="X66" s="286">
        <f t="shared" si="22"/>
        <v>7585.8202629922871</v>
      </c>
      <c r="Z66" s="154">
        <v>2029</v>
      </c>
      <c r="AA66" s="330">
        <f t="shared" ref="AA66:AE66" si="137">AA24/$A109</f>
        <v>1.5636427007792655</v>
      </c>
      <c r="AB66" s="330">
        <f t="shared" si="137"/>
        <v>5.0818387775326128</v>
      </c>
      <c r="AC66" s="330">
        <f t="shared" si="137"/>
        <v>9.1473097995587018</v>
      </c>
      <c r="AD66" s="330">
        <f t="shared" si="137"/>
        <v>1.0163677555065227</v>
      </c>
      <c r="AE66" s="330">
        <f t="shared" si="137"/>
        <v>1.8763712409351183</v>
      </c>
      <c r="AG66" s="154">
        <v>2029</v>
      </c>
      <c r="AH66" s="330">
        <f t="shared" ref="AH66:AL66" si="138">AH24/$A109</f>
        <v>0.7922159362447655</v>
      </c>
      <c r="AI66" s="330">
        <f t="shared" si="138"/>
        <v>1.9445300253280611</v>
      </c>
      <c r="AJ66" s="330">
        <f t="shared" si="138"/>
        <v>3.6009815283852977</v>
      </c>
      <c r="AK66" s="330">
        <f t="shared" si="138"/>
        <v>0.64817667510935362</v>
      </c>
      <c r="AL66" s="330">
        <f t="shared" si="138"/>
        <v>0.93625519738017737</v>
      </c>
      <c r="AN66" s="154">
        <v>2029</v>
      </c>
      <c r="AO66" s="330">
        <f t="shared" ref="AO66" si="139">AO24/$A109</f>
        <v>1.3958443862606928</v>
      </c>
      <c r="AP66" s="330"/>
      <c r="AQ66" s="330"/>
      <c r="AR66" s="330"/>
      <c r="AS66" s="330"/>
    </row>
    <row r="67" spans="2:45">
      <c r="B67" s="154">
        <v>2030</v>
      </c>
      <c r="C67" s="331">
        <f t="shared" ref="C67:G67" si="140">C25/$A110</f>
        <v>38.769391296413758</v>
      </c>
      <c r="D67" s="331">
        <f t="shared" si="140"/>
        <v>87.04825592968372</v>
      </c>
      <c r="E67" s="331">
        <f t="shared" si="140"/>
        <v>148.49408364475457</v>
      </c>
      <c r="F67" s="331">
        <f t="shared" si="140"/>
        <v>35.843399500457998</v>
      </c>
      <c r="G67" s="331">
        <f t="shared" si="140"/>
        <v>43.889876939336325</v>
      </c>
      <c r="I67" s="154">
        <v>2030</v>
      </c>
      <c r="J67" s="271">
        <f t="shared" ref="J67:N67" si="141">J25/$A110</f>
        <v>0.73149794898893883</v>
      </c>
      <c r="K67" s="271">
        <f t="shared" si="141"/>
        <v>1.828744872472347</v>
      </c>
      <c r="L67" s="271">
        <f t="shared" si="141"/>
        <v>3.5843399500458002</v>
      </c>
      <c r="M67" s="271">
        <f t="shared" si="141"/>
        <v>0.58519835919115104</v>
      </c>
      <c r="N67" s="271">
        <f t="shared" si="141"/>
        <v>0.87779753878672651</v>
      </c>
      <c r="P67" s="154">
        <v>2030</v>
      </c>
      <c r="Q67" s="271">
        <f t="shared" ref="Q67:U67" si="142">Q25/$A110</f>
        <v>1.3898461030789837</v>
      </c>
      <c r="R67" s="271">
        <f t="shared" si="142"/>
        <v>4.5352872837314209</v>
      </c>
      <c r="S67" s="271">
        <f t="shared" si="142"/>
        <v>8.5585260031705825</v>
      </c>
      <c r="T67" s="271">
        <f t="shared" si="142"/>
        <v>0.87779753878672651</v>
      </c>
      <c r="U67" s="271">
        <f t="shared" si="142"/>
        <v>1.6824452826745591</v>
      </c>
      <c r="W67" s="154">
        <v>2030</v>
      </c>
      <c r="X67" s="286">
        <f t="shared" si="22"/>
        <v>7473.7145448199872</v>
      </c>
      <c r="Z67" s="154">
        <v>2030</v>
      </c>
      <c r="AA67" s="330">
        <f t="shared" ref="AA67:AE67" si="143">AA25/$A110</f>
        <v>1.4635079465421696</v>
      </c>
      <c r="AB67" s="330">
        <f t="shared" si="143"/>
        <v>4.7756575097691858</v>
      </c>
      <c r="AC67" s="330">
        <f t="shared" si="143"/>
        <v>9.012127881338623</v>
      </c>
      <c r="AD67" s="330">
        <f t="shared" si="143"/>
        <v>0.92432080834242292</v>
      </c>
      <c r="AE67" s="330">
        <f t="shared" si="143"/>
        <v>1.7716148826563105</v>
      </c>
      <c r="AG67" s="154">
        <v>2030</v>
      </c>
      <c r="AH67" s="330">
        <f t="shared" ref="AH67:AL67" si="144">AH25/$A110</f>
        <v>0.70955301051927056</v>
      </c>
      <c r="AI67" s="330">
        <f t="shared" si="144"/>
        <v>1.7738825262981763</v>
      </c>
      <c r="AJ67" s="330">
        <f t="shared" si="144"/>
        <v>3.4768097515444261</v>
      </c>
      <c r="AK67" s="330">
        <f t="shared" si="144"/>
        <v>0.56764240841541647</v>
      </c>
      <c r="AL67" s="330">
        <f t="shared" si="144"/>
        <v>0.85146361262312464</v>
      </c>
      <c r="AN67" s="154">
        <v>2030</v>
      </c>
      <c r="AO67" s="330">
        <f t="shared" ref="AO67" si="145">AO25/$A110</f>
        <v>1.3752161440992048</v>
      </c>
      <c r="AP67" s="330"/>
      <c r="AQ67" s="330"/>
      <c r="AR67" s="330"/>
      <c r="AS67" s="330"/>
    </row>
    <row r="68" spans="2:45">
      <c r="B68" s="154">
        <v>2031</v>
      </c>
      <c r="C68" s="331">
        <f t="shared" ref="C68:G68" si="146">C26/$A111</f>
        <v>35.313694089121185</v>
      </c>
      <c r="D68" s="331">
        <f t="shared" si="146"/>
        <v>80.717015060848425</v>
      </c>
      <c r="E68" s="331">
        <f t="shared" si="146"/>
        <v>144.13752689437217</v>
      </c>
      <c r="F68" s="331">
        <f t="shared" si="146"/>
        <v>33.151631185705604</v>
      </c>
      <c r="G68" s="331">
        <f t="shared" si="146"/>
        <v>40.358507530424212</v>
      </c>
      <c r="I68" s="154">
        <v>2031</v>
      </c>
      <c r="J68" s="271">
        <f t="shared" ref="J68:N68" si="147">J26/$A111</f>
        <v>0.72068763447186091</v>
      </c>
      <c r="K68" s="271">
        <f t="shared" si="147"/>
        <v>1.7296503227324662</v>
      </c>
      <c r="L68" s="271">
        <f t="shared" si="147"/>
        <v>3.4593006454649324</v>
      </c>
      <c r="M68" s="271">
        <f t="shared" si="147"/>
        <v>0.50448134413030266</v>
      </c>
      <c r="N68" s="271">
        <f t="shared" si="147"/>
        <v>0.79275639791904706</v>
      </c>
      <c r="P68" s="154">
        <v>2031</v>
      </c>
      <c r="Q68" s="271">
        <f t="shared" ref="Q68:U68" si="148">Q26/$A111</f>
        <v>1.2251689786021636</v>
      </c>
      <c r="R68" s="271">
        <f t="shared" si="148"/>
        <v>4.1799882799367936</v>
      </c>
      <c r="S68" s="271">
        <f t="shared" si="148"/>
        <v>8.4320453233207715</v>
      </c>
      <c r="T68" s="271">
        <f t="shared" si="148"/>
        <v>0.79275639791904706</v>
      </c>
      <c r="U68" s="271">
        <f t="shared" si="148"/>
        <v>1.5855127958380941</v>
      </c>
      <c r="W68" s="154">
        <v>2031</v>
      </c>
      <c r="X68" s="286">
        <f t="shared" si="22"/>
        <v>7363.2655613990028</v>
      </c>
      <c r="Z68" s="154">
        <v>2031</v>
      </c>
      <c r="AA68" s="330">
        <f t="shared" ref="AA68:AE68" si="149">AA26/$A111</f>
        <v>1.2901029344680781</v>
      </c>
      <c r="AB68" s="330">
        <f t="shared" si="149"/>
        <v>4.4015276587734427</v>
      </c>
      <c r="AC68" s="330">
        <f t="shared" si="149"/>
        <v>8.8789437254567716</v>
      </c>
      <c r="AD68" s="330">
        <f t="shared" si="149"/>
        <v>0.83477248700875661</v>
      </c>
      <c r="AE68" s="330">
        <f t="shared" si="149"/>
        <v>1.6695449740175132</v>
      </c>
      <c r="AG68" s="154">
        <v>2031</v>
      </c>
      <c r="AH68" s="330">
        <f t="shared" ref="AH68:AL68" si="150">AH26/$A111</f>
        <v>0.69906700543770506</v>
      </c>
      <c r="AI68" s="330">
        <f t="shared" si="150"/>
        <v>1.6777608130504922</v>
      </c>
      <c r="AJ68" s="330">
        <f t="shared" si="150"/>
        <v>3.3555216261009844</v>
      </c>
      <c r="AK68" s="330">
        <f t="shared" si="150"/>
        <v>0.48934690380639351</v>
      </c>
      <c r="AL68" s="330">
        <f t="shared" si="150"/>
        <v>0.76897370598147552</v>
      </c>
      <c r="AN68" s="154">
        <v>2031</v>
      </c>
      <c r="AO68" s="330">
        <f t="shared" ref="AO68" si="151">AO26/$A111</f>
        <v>1.3548927528070984</v>
      </c>
      <c r="AP68" s="330"/>
      <c r="AQ68" s="330"/>
      <c r="AR68" s="330"/>
      <c r="AS68" s="330"/>
    </row>
    <row r="69" spans="2:45">
      <c r="B69" s="154">
        <v>2032</v>
      </c>
      <c r="C69" s="331">
        <f t="shared" ref="C69:G69" si="152">C27/$A112</f>
        <v>32.661705601680396</v>
      </c>
      <c r="D69" s="331">
        <f t="shared" si="152"/>
        <v>74.553893221227</v>
      </c>
      <c r="E69" s="331">
        <f t="shared" si="152"/>
        <v>139.87730442458781</v>
      </c>
      <c r="F69" s="331">
        <f t="shared" si="152"/>
        <v>29.821557288490798</v>
      </c>
      <c r="G69" s="331">
        <f t="shared" si="152"/>
        <v>36.921928071464798</v>
      </c>
      <c r="I69" s="154">
        <v>2032</v>
      </c>
      <c r="J69" s="271">
        <f t="shared" ref="J69:N69" si="153">J27/$A112</f>
        <v>0.63903337046765996</v>
      </c>
      <c r="K69" s="271">
        <f t="shared" si="153"/>
        <v>1.56208157225428</v>
      </c>
      <c r="L69" s="271">
        <f t="shared" si="153"/>
        <v>3.4081779758275195</v>
      </c>
      <c r="M69" s="271">
        <f t="shared" si="153"/>
        <v>0.49702595480817996</v>
      </c>
      <c r="N69" s="271">
        <f t="shared" si="153"/>
        <v>0.71003707829739993</v>
      </c>
      <c r="P69" s="154">
        <v>2032</v>
      </c>
      <c r="Q69" s="271">
        <f t="shared" ref="Q69:U69" si="154">Q27/$A112</f>
        <v>1.13605932527584</v>
      </c>
      <c r="R69" s="271">
        <f t="shared" si="154"/>
        <v>3.9052039306356998</v>
      </c>
      <c r="S69" s="271">
        <f t="shared" si="154"/>
        <v>8.3074338160795786</v>
      </c>
      <c r="T69" s="271">
        <f t="shared" si="154"/>
        <v>0.71003707829739993</v>
      </c>
      <c r="U69" s="271">
        <f t="shared" si="154"/>
        <v>1.4200741565947999</v>
      </c>
      <c r="W69" s="154">
        <v>2032</v>
      </c>
      <c r="X69" s="286">
        <f t="shared" si="22"/>
        <v>7254.4488289645351</v>
      </c>
      <c r="Z69" s="154">
        <v>2032</v>
      </c>
      <c r="AA69" s="330">
        <f t="shared" ref="AA69:AE69" si="155">AA27/$A112</f>
        <v>1.1962704695154596</v>
      </c>
      <c r="AB69" s="330">
        <f t="shared" si="155"/>
        <v>4.1121797389593917</v>
      </c>
      <c r="AC69" s="330">
        <f t="shared" si="155"/>
        <v>8.7477278083317955</v>
      </c>
      <c r="AD69" s="330">
        <f t="shared" si="155"/>
        <v>0.74766904344716212</v>
      </c>
      <c r="AE69" s="330">
        <f t="shared" si="155"/>
        <v>1.4953380868943242</v>
      </c>
      <c r="AG69" s="154">
        <v>2032</v>
      </c>
      <c r="AH69" s="330">
        <f t="shared" ref="AH69:AL69" si="156">AH27/$A112</f>
        <v>0.61986236935363015</v>
      </c>
      <c r="AI69" s="330">
        <f t="shared" si="156"/>
        <v>1.5152191250866514</v>
      </c>
      <c r="AJ69" s="330">
        <f t="shared" si="156"/>
        <v>3.305932636552694</v>
      </c>
      <c r="AK69" s="330">
        <f t="shared" si="156"/>
        <v>0.48211517616393451</v>
      </c>
      <c r="AL69" s="330">
        <f t="shared" si="156"/>
        <v>0.68873596594847797</v>
      </c>
      <c r="AN69" s="154">
        <v>2032</v>
      </c>
      <c r="AO69" s="330">
        <f t="shared" ref="AO69" si="157">AO27/$A112</f>
        <v>1.3348697071991118</v>
      </c>
      <c r="AP69" s="330"/>
      <c r="AQ69" s="330"/>
      <c r="AR69" s="330"/>
      <c r="AS69" s="330"/>
    </row>
    <row r="70" spans="2:45">
      <c r="B70" s="154">
        <v>2033</v>
      </c>
      <c r="C70" s="331">
        <f t="shared" ref="C70:G70" si="158">C28/$A113</f>
        <v>30.080388538707584</v>
      </c>
      <c r="D70" s="331">
        <f t="shared" si="158"/>
        <v>68.555304111473106</v>
      </c>
      <c r="E70" s="331">
        <f t="shared" si="158"/>
        <v>135.01197646443171</v>
      </c>
      <c r="F70" s="331">
        <f t="shared" si="158"/>
        <v>27.282212860688276</v>
      </c>
      <c r="G70" s="331">
        <f t="shared" si="158"/>
        <v>34.277652055736553</v>
      </c>
      <c r="I70" s="154">
        <v>2033</v>
      </c>
      <c r="J70" s="271">
        <f t="shared" ref="J70:N70" si="159">J28/$A113</f>
        <v>0.55963513560386213</v>
      </c>
      <c r="K70" s="271">
        <f t="shared" si="159"/>
        <v>1.4690422309601379</v>
      </c>
      <c r="L70" s="271">
        <f t="shared" si="159"/>
        <v>3.2878564216726898</v>
      </c>
      <c r="M70" s="271">
        <f t="shared" si="159"/>
        <v>0.41972635170289652</v>
      </c>
      <c r="N70" s="271">
        <f t="shared" si="159"/>
        <v>0.62958952755434483</v>
      </c>
      <c r="P70" s="154">
        <v>2033</v>
      </c>
      <c r="Q70" s="271">
        <f t="shared" ref="Q70:U70" si="160">Q28/$A113</f>
        <v>1.0493158792572412</v>
      </c>
      <c r="R70" s="271">
        <f t="shared" si="160"/>
        <v>3.5676739894746201</v>
      </c>
      <c r="S70" s="271">
        <f t="shared" si="160"/>
        <v>8.1846638582064823</v>
      </c>
      <c r="T70" s="271">
        <f t="shared" si="160"/>
        <v>0.62958952755434483</v>
      </c>
      <c r="U70" s="271">
        <f t="shared" si="160"/>
        <v>1.3291334470591722</v>
      </c>
      <c r="W70" s="154">
        <v>2033</v>
      </c>
      <c r="X70" s="286">
        <f t="shared" si="22"/>
        <v>7147.2402255808229</v>
      </c>
      <c r="Z70" s="154">
        <v>2033</v>
      </c>
      <c r="AA70" s="330">
        <f t="shared" ref="AA70:AE70" si="161">AA28/$A113</f>
        <v>1.1049296208578752</v>
      </c>
      <c r="AB70" s="330">
        <f t="shared" si="161"/>
        <v>3.7567607109167751</v>
      </c>
      <c r="AC70" s="330">
        <f t="shared" si="161"/>
        <v>8.618451042691424</v>
      </c>
      <c r="AD70" s="330">
        <f t="shared" si="161"/>
        <v>0.6629577725147251</v>
      </c>
      <c r="AE70" s="330">
        <f t="shared" si="161"/>
        <v>1.3995775197533082</v>
      </c>
      <c r="AG70" s="154">
        <v>2033</v>
      </c>
      <c r="AH70" s="330">
        <f t="shared" ref="AH70:AL70" si="162">AH28/$A113</f>
        <v>0.54284608153574621</v>
      </c>
      <c r="AI70" s="330">
        <f t="shared" si="162"/>
        <v>1.4249709640313337</v>
      </c>
      <c r="AJ70" s="330">
        <f t="shared" si="162"/>
        <v>3.1892207290225092</v>
      </c>
      <c r="AK70" s="330">
        <f t="shared" si="162"/>
        <v>0.40713456115180963</v>
      </c>
      <c r="AL70" s="330">
        <f t="shared" si="162"/>
        <v>0.61070184172771447</v>
      </c>
      <c r="AN70" s="154">
        <v>2033</v>
      </c>
      <c r="AO70" s="330">
        <f t="shared" ref="AO70" si="163">AO28/$A113</f>
        <v>1.3151425686690756</v>
      </c>
      <c r="AP70" s="330"/>
      <c r="AQ70" s="330"/>
      <c r="AR70" s="330"/>
      <c r="AS70" s="330"/>
    </row>
    <row r="71" spans="2:45">
      <c r="B71" s="154">
        <v>2034</v>
      </c>
      <c r="C71" s="331">
        <f t="shared" ref="C71:G71" si="164">C29/$A114</f>
        <v>27.568233280978426</v>
      </c>
      <c r="D71" s="331">
        <f t="shared" si="164"/>
        <v>62.717730714225922</v>
      </c>
      <c r="E71" s="331">
        <f t="shared" si="164"/>
        <v>130.94910808464752</v>
      </c>
      <c r="F71" s="331">
        <f t="shared" si="164"/>
        <v>24.811409952880584</v>
      </c>
      <c r="G71" s="331">
        <f t="shared" si="164"/>
        <v>31.703468273125193</v>
      </c>
      <c r="I71" s="154">
        <v>2034</v>
      </c>
      <c r="J71" s="271">
        <f t="shared" ref="J71:N71" si="165">J29/$A114</f>
        <v>0.48244408241712244</v>
      </c>
      <c r="K71" s="271">
        <f t="shared" si="165"/>
        <v>1.3094910808464753</v>
      </c>
      <c r="L71" s="271">
        <f t="shared" si="165"/>
        <v>3.1703468273125188</v>
      </c>
      <c r="M71" s="271">
        <f t="shared" si="165"/>
        <v>0.4135234992146764</v>
      </c>
      <c r="N71" s="271">
        <f t="shared" si="165"/>
        <v>0.62028524882201463</v>
      </c>
      <c r="P71" s="154">
        <v>2034</v>
      </c>
      <c r="Q71" s="271">
        <f t="shared" ref="Q71:U71" si="166">Q29/$A114</f>
        <v>0.96488816483424489</v>
      </c>
      <c r="R71" s="271">
        <f t="shared" si="166"/>
        <v>3.2392674105149655</v>
      </c>
      <c r="S71" s="271">
        <f t="shared" si="166"/>
        <v>8.0637082346861888</v>
      </c>
      <c r="T71" s="271">
        <f t="shared" si="166"/>
        <v>0.55136466561956854</v>
      </c>
      <c r="U71" s="271">
        <f t="shared" si="166"/>
        <v>1.2405704976440293</v>
      </c>
      <c r="W71" s="154">
        <v>2034</v>
      </c>
      <c r="X71" s="286">
        <f t="shared" si="22"/>
        <v>7041.6159857939147</v>
      </c>
      <c r="Z71" s="154">
        <v>2034</v>
      </c>
      <c r="AA71" s="330">
        <f t="shared" ref="AA71:AE71" si="167">AA29/$A114</f>
        <v>1.0160272375704598</v>
      </c>
      <c r="AB71" s="330">
        <f t="shared" si="167"/>
        <v>3.4109485832722579</v>
      </c>
      <c r="AC71" s="330">
        <f t="shared" si="167"/>
        <v>8.491084771124557</v>
      </c>
      <c r="AD71" s="330">
        <f t="shared" si="167"/>
        <v>0.58058699289740567</v>
      </c>
      <c r="AE71" s="330">
        <f t="shared" si="167"/>
        <v>1.3063207340191627</v>
      </c>
      <c r="AG71" s="154">
        <v>2034</v>
      </c>
      <c r="AH71" s="330">
        <f t="shared" ref="AH71:AL71" si="168">AH29/$A114</f>
        <v>0.46797075994460874</v>
      </c>
      <c r="AI71" s="330">
        <f t="shared" si="168"/>
        <v>1.270206348421081</v>
      </c>
      <c r="AJ71" s="330">
        <f t="shared" si="168"/>
        <v>3.0752364224931434</v>
      </c>
      <c r="AK71" s="330">
        <f t="shared" si="168"/>
        <v>0.40111779423823607</v>
      </c>
      <c r="AL71" s="330">
        <f t="shared" si="168"/>
        <v>0.60167669135735413</v>
      </c>
      <c r="AN71" s="154">
        <v>2034</v>
      </c>
      <c r="AO71" s="330">
        <f t="shared" ref="AO71" si="169">AO29/$A114</f>
        <v>1.295706964205986</v>
      </c>
      <c r="AP71" s="330"/>
      <c r="AQ71" s="330"/>
      <c r="AR71" s="330"/>
      <c r="AS71" s="330"/>
    </row>
    <row r="72" spans="2:45">
      <c r="B72" s="154">
        <v>2035</v>
      </c>
      <c r="C72" s="331">
        <f t="shared" ref="C72:G72" si="170">C30/$A115</f>
        <v>25.123759393995119</v>
      </c>
      <c r="D72" s="331">
        <f t="shared" si="170"/>
        <v>57.037724029610544</v>
      </c>
      <c r="E72" s="331">
        <f t="shared" si="170"/>
        <v>126.97683801829966</v>
      </c>
      <c r="F72" s="331">
        <f t="shared" si="170"/>
        <v>22.407677297346996</v>
      </c>
      <c r="G72" s="331">
        <f t="shared" si="170"/>
        <v>29.197882538967299</v>
      </c>
      <c r="I72" s="154">
        <v>2035</v>
      </c>
      <c r="J72" s="271">
        <f t="shared" ref="J72:N72" si="171">J30/$A115</f>
        <v>0.47531436691342116</v>
      </c>
      <c r="K72" s="271">
        <f t="shared" si="171"/>
        <v>1.1543348910754514</v>
      </c>
      <c r="L72" s="271">
        <f t="shared" si="171"/>
        <v>3.1234944111453391</v>
      </c>
      <c r="M72" s="271">
        <f t="shared" si="171"/>
        <v>0.33951026208101515</v>
      </c>
      <c r="N72" s="271">
        <f t="shared" si="171"/>
        <v>0.54321641932962428</v>
      </c>
      <c r="P72" s="154">
        <v>2035</v>
      </c>
      <c r="Q72" s="271">
        <f t="shared" ref="Q72:U72" si="172">Q30/$A115</f>
        <v>0.88272668141063937</v>
      </c>
      <c r="R72" s="271">
        <f t="shared" si="172"/>
        <v>2.9876903063129334</v>
      </c>
      <c r="S72" s="271">
        <f t="shared" si="172"/>
        <v>7.944540132695753</v>
      </c>
      <c r="T72" s="271">
        <f t="shared" si="172"/>
        <v>0.47531436691342116</v>
      </c>
      <c r="U72" s="271">
        <f t="shared" si="172"/>
        <v>1.1543348910754514</v>
      </c>
      <c r="W72" s="154">
        <v>2035</v>
      </c>
      <c r="X72" s="286">
        <f t="shared" si="22"/>
        <v>6937.5526953634626</v>
      </c>
      <c r="Z72" s="154">
        <v>2035</v>
      </c>
      <c r="AA72" s="330">
        <f t="shared" ref="AA72:AE72" si="173">AA30/$A115</f>
        <v>0.92951119552540318</v>
      </c>
      <c r="AB72" s="330">
        <f t="shared" si="173"/>
        <v>3.1460378925475188</v>
      </c>
      <c r="AC72" s="330">
        <f t="shared" si="173"/>
        <v>8.3656007597286273</v>
      </c>
      <c r="AD72" s="330">
        <f t="shared" si="173"/>
        <v>0.50050602835983238</v>
      </c>
      <c r="AE72" s="330">
        <f t="shared" si="173"/>
        <v>1.2155146403024502</v>
      </c>
      <c r="AG72" s="154">
        <v>2035</v>
      </c>
      <c r="AH72" s="330">
        <f t="shared" ref="AH72:AL72" si="174">AH30/$A115</f>
        <v>0.46105493590601848</v>
      </c>
      <c r="AI72" s="330">
        <f t="shared" si="174"/>
        <v>1.1197048443431878</v>
      </c>
      <c r="AJ72" s="330">
        <f t="shared" si="174"/>
        <v>3.0297895788109788</v>
      </c>
      <c r="AK72" s="330">
        <f t="shared" si="174"/>
        <v>0.32932495421858465</v>
      </c>
      <c r="AL72" s="330">
        <f t="shared" si="174"/>
        <v>0.52691992674973553</v>
      </c>
      <c r="AN72" s="154">
        <v>2035</v>
      </c>
      <c r="AO72" s="330">
        <f t="shared" ref="AO72" si="175">AO30/$A115</f>
        <v>1.2765585854246169</v>
      </c>
      <c r="AP72" s="330"/>
      <c r="AQ72" s="330"/>
      <c r="AR72" s="330"/>
      <c r="AS72" s="330"/>
    </row>
    <row r="73" spans="2:45">
      <c r="B73" s="154">
        <v>2036</v>
      </c>
      <c r="C73" s="331">
        <f t="shared" ref="C73:G73" si="176">C31/$A116</f>
        <v>23.414500833173459</v>
      </c>
      <c r="D73" s="331">
        <f t="shared" si="176"/>
        <v>51.511901832981607</v>
      </c>
      <c r="E73" s="331">
        <f t="shared" si="176"/>
        <v>123.09337580868333</v>
      </c>
      <c r="F73" s="331">
        <f t="shared" si="176"/>
        <v>20.069572142720109</v>
      </c>
      <c r="G73" s="331">
        <f t="shared" si="176"/>
        <v>26.75942952362681</v>
      </c>
      <c r="I73" s="154">
        <v>2036</v>
      </c>
      <c r="J73" s="271">
        <f t="shared" ref="J73:N73" si="177">J31/$A116</f>
        <v>0.40139144285440215</v>
      </c>
      <c r="K73" s="271">
        <f t="shared" si="177"/>
        <v>1.0703771809450724</v>
      </c>
      <c r="L73" s="271">
        <f t="shared" si="177"/>
        <v>3.010435821408016</v>
      </c>
      <c r="M73" s="271">
        <f t="shared" si="177"/>
        <v>0.33449286904533515</v>
      </c>
      <c r="N73" s="271">
        <f t="shared" si="177"/>
        <v>0.46829001666346914</v>
      </c>
      <c r="P73" s="154">
        <v>2036</v>
      </c>
      <c r="Q73" s="271">
        <f t="shared" ref="Q73:U73" si="178">Q31/$A116</f>
        <v>0.80278288570880429</v>
      </c>
      <c r="R73" s="271">
        <f t="shared" si="178"/>
        <v>2.6759429523626812</v>
      </c>
      <c r="S73" s="271">
        <f t="shared" si="178"/>
        <v>7.8271331356608416</v>
      </c>
      <c r="T73" s="271">
        <f t="shared" si="178"/>
        <v>0.46829001666346914</v>
      </c>
      <c r="U73" s="271">
        <f t="shared" si="178"/>
        <v>1.0703771809450724</v>
      </c>
      <c r="W73" s="154">
        <v>2036</v>
      </c>
      <c r="X73" s="286">
        <f t="shared" si="22"/>
        <v>6835.027286072378</v>
      </c>
      <c r="Z73" s="154">
        <v>2036</v>
      </c>
      <c r="AA73" s="330">
        <f t="shared" ref="AA73:AE73" si="179">AA31/$A116</f>
        <v>0.84533037865137084</v>
      </c>
      <c r="AB73" s="330">
        <f t="shared" si="179"/>
        <v>2.8177679288379029</v>
      </c>
      <c r="AC73" s="330">
        <f t="shared" si="179"/>
        <v>8.2419711918508654</v>
      </c>
      <c r="AD73" s="330">
        <f t="shared" si="179"/>
        <v>0.49310938754663297</v>
      </c>
      <c r="AE73" s="330">
        <f t="shared" si="179"/>
        <v>1.1271071715351613</v>
      </c>
      <c r="AG73" s="154">
        <v>2036</v>
      </c>
      <c r="AH73" s="330">
        <f t="shared" ref="AH73:AL73" si="180">AH31/$A116</f>
        <v>0.38934969956877008</v>
      </c>
      <c r="AI73" s="330">
        <f t="shared" si="180"/>
        <v>1.0382658655167203</v>
      </c>
      <c r="AJ73" s="330">
        <f t="shared" si="180"/>
        <v>2.920122746765776</v>
      </c>
      <c r="AK73" s="330">
        <f t="shared" si="180"/>
        <v>0.32445808297397505</v>
      </c>
      <c r="AL73" s="330">
        <f t="shared" si="180"/>
        <v>0.45424131616356506</v>
      </c>
      <c r="AN73" s="154">
        <v>2036</v>
      </c>
      <c r="AO73" s="330">
        <f t="shared" ref="AO73" si="181">AO31/$A116</f>
        <v>1.25769318761046</v>
      </c>
      <c r="AP73" s="330"/>
      <c r="AQ73" s="330"/>
      <c r="AR73" s="330"/>
      <c r="AS73" s="330"/>
    </row>
    <row r="74" spans="2:45">
      <c r="B74" s="154">
        <v>2037</v>
      </c>
      <c r="C74" s="331">
        <f t="shared" ref="C74:G74" si="182">C32/$A117</f>
        <v>21.750275228563666</v>
      </c>
      <c r="D74" s="331">
        <f t="shared" si="182"/>
        <v>46.796046703879405</v>
      </c>
      <c r="E74" s="331">
        <f t="shared" si="182"/>
        <v>118.63786488307454</v>
      </c>
      <c r="F74" s="331">
        <f t="shared" si="182"/>
        <v>18.454778981811597</v>
      </c>
      <c r="G74" s="331">
        <f t="shared" si="182"/>
        <v>25.045771475315739</v>
      </c>
      <c r="I74" s="154">
        <v>2037</v>
      </c>
      <c r="J74" s="271">
        <f t="shared" ref="J74:N74" si="183">J32/$A117</f>
        <v>0.39545954961024848</v>
      </c>
      <c r="K74" s="271">
        <f t="shared" si="183"/>
        <v>0.98864887402562118</v>
      </c>
      <c r="L74" s="271">
        <f t="shared" si="183"/>
        <v>2.9000366971418226</v>
      </c>
      <c r="M74" s="271">
        <f t="shared" si="183"/>
        <v>0.26363969974016566</v>
      </c>
      <c r="N74" s="271">
        <f t="shared" si="183"/>
        <v>0.46136947454528987</v>
      </c>
      <c r="P74" s="154">
        <v>2037</v>
      </c>
      <c r="Q74" s="271">
        <f t="shared" ref="Q74:U74" si="184">Q32/$A117</f>
        <v>0.79091909922049697</v>
      </c>
      <c r="R74" s="271">
        <f t="shared" si="184"/>
        <v>2.4386672225965325</v>
      </c>
      <c r="S74" s="271">
        <f t="shared" si="184"/>
        <v>7.7114612173998447</v>
      </c>
      <c r="T74" s="271">
        <f t="shared" si="184"/>
        <v>0.39545954961024848</v>
      </c>
      <c r="U74" s="271">
        <f t="shared" si="184"/>
        <v>0.98864887402562118</v>
      </c>
      <c r="W74" s="154">
        <v>2037</v>
      </c>
      <c r="X74" s="286">
        <f t="shared" si="22"/>
        <v>6734.0170306131813</v>
      </c>
      <c r="Z74" s="154">
        <v>2037</v>
      </c>
      <c r="AA74" s="330">
        <f t="shared" ref="AA74:AE74" si="185">AA32/$A117</f>
        <v>0.83283781147918323</v>
      </c>
      <c r="AB74" s="330">
        <f t="shared" si="185"/>
        <v>2.5679165853941486</v>
      </c>
      <c r="AC74" s="330">
        <f t="shared" si="185"/>
        <v>8.1201686619220368</v>
      </c>
      <c r="AD74" s="330">
        <f t="shared" si="185"/>
        <v>0.41641890573959162</v>
      </c>
      <c r="AE74" s="330">
        <f t="shared" si="185"/>
        <v>1.041047264348979</v>
      </c>
      <c r="AG74" s="154">
        <v>2037</v>
      </c>
      <c r="AH74" s="330">
        <f t="shared" ref="AH74:AL74" si="186">AH32/$A117</f>
        <v>0.38359576312194099</v>
      </c>
      <c r="AI74" s="330">
        <f t="shared" si="186"/>
        <v>0.95898940780485264</v>
      </c>
      <c r="AJ74" s="330">
        <f t="shared" si="186"/>
        <v>2.8130355962275675</v>
      </c>
      <c r="AK74" s="330">
        <f t="shared" si="186"/>
        <v>0.25573050874796072</v>
      </c>
      <c r="AL74" s="330">
        <f t="shared" si="186"/>
        <v>0.44752839030893116</v>
      </c>
      <c r="AN74" s="154">
        <v>2037</v>
      </c>
      <c r="AO74" s="330">
        <f t="shared" ref="AO74" si="187">AO32/$A117</f>
        <v>1.2391065887787784</v>
      </c>
      <c r="AP74" s="330"/>
      <c r="AQ74" s="330"/>
      <c r="AR74" s="330"/>
      <c r="AS74" s="330"/>
    </row>
    <row r="75" spans="2:45">
      <c r="B75" s="154">
        <v>2038</v>
      </c>
      <c r="C75" s="331">
        <f t="shared" ref="C75:G75" si="188">C33/$A118</f>
        <v>20.130124857007726</v>
      </c>
      <c r="D75" s="331">
        <f t="shared" si="188"/>
        <v>43.507044045790892</v>
      </c>
      <c r="E75" s="331">
        <f t="shared" si="188"/>
        <v>114.93651934485057</v>
      </c>
      <c r="F75" s="331">
        <f t="shared" si="188"/>
        <v>16.883330525232285</v>
      </c>
      <c r="G75" s="331">
        <f t="shared" si="188"/>
        <v>23.376919188783166</v>
      </c>
      <c r="I75" s="154">
        <v>2038</v>
      </c>
      <c r="J75" s="271">
        <f t="shared" ref="J75:N75" si="189">J33/$A118</f>
        <v>0.32467943317754394</v>
      </c>
      <c r="K75" s="271">
        <f t="shared" si="189"/>
        <v>0.90910241289712301</v>
      </c>
      <c r="L75" s="271">
        <f t="shared" si="189"/>
        <v>2.857179011962387</v>
      </c>
      <c r="M75" s="271">
        <f t="shared" si="189"/>
        <v>0.25974354654203519</v>
      </c>
      <c r="N75" s="271">
        <f t="shared" si="189"/>
        <v>0.38961531981305275</v>
      </c>
      <c r="P75" s="154">
        <v>2038</v>
      </c>
      <c r="Q75" s="271">
        <f t="shared" ref="Q75:U75" si="190">Q33/$A118</f>
        <v>0.71429475299059675</v>
      </c>
      <c r="R75" s="271">
        <f t="shared" si="190"/>
        <v>2.3376919188783165</v>
      </c>
      <c r="S75" s="271">
        <f t="shared" si="190"/>
        <v>7.5974987363545283</v>
      </c>
      <c r="T75" s="271">
        <f t="shared" si="190"/>
        <v>0.38961531981305275</v>
      </c>
      <c r="U75" s="271">
        <f t="shared" si="190"/>
        <v>0.90910241289712301</v>
      </c>
      <c r="W75" s="154">
        <v>2038</v>
      </c>
      <c r="X75" s="286">
        <f t="shared" si="22"/>
        <v>6634.4995375499329</v>
      </c>
      <c r="Z75" s="154">
        <v>2038</v>
      </c>
      <c r="AA75" s="330">
        <f t="shared" ref="AA75:AE75" si="191">AA33/$A118</f>
        <v>0.75215237489909836</v>
      </c>
      <c r="AB75" s="330">
        <f t="shared" si="191"/>
        <v>2.4615895905788672</v>
      </c>
      <c r="AC75" s="330">
        <f t="shared" si="191"/>
        <v>8.000166169381318</v>
      </c>
      <c r="AD75" s="330">
        <f t="shared" si="191"/>
        <v>0.41026493176314449</v>
      </c>
      <c r="AE75" s="330">
        <f t="shared" si="191"/>
        <v>0.95728484078067044</v>
      </c>
      <c r="AG75" s="154">
        <v>2038</v>
      </c>
      <c r="AH75" s="330">
        <f t="shared" ref="AH75:AL75" si="192">AH33/$A118</f>
        <v>0.31493905018221763</v>
      </c>
      <c r="AI75" s="330">
        <f t="shared" si="192"/>
        <v>0.88182934051020934</v>
      </c>
      <c r="AJ75" s="330">
        <f t="shared" si="192"/>
        <v>2.771463641603515</v>
      </c>
      <c r="AK75" s="330">
        <f t="shared" si="192"/>
        <v>0.25195124014577414</v>
      </c>
      <c r="AL75" s="330">
        <f t="shared" si="192"/>
        <v>0.37792686021866112</v>
      </c>
      <c r="AN75" s="154">
        <v>2038</v>
      </c>
      <c r="AO75" s="330">
        <f t="shared" ref="AO75" si="193">AO33/$A118</f>
        <v>1.2207946687475653</v>
      </c>
      <c r="AP75" s="330"/>
      <c r="AQ75" s="330"/>
      <c r="AR75" s="330"/>
      <c r="AS75" s="330"/>
    </row>
    <row r="76" spans="2:45">
      <c r="B76" s="154">
        <v>2039</v>
      </c>
      <c r="C76" s="331">
        <f t="shared" ref="C76:G76" si="194">C34/$A119</f>
        <v>18.553110467288228</v>
      </c>
      <c r="D76" s="331">
        <f t="shared" si="194"/>
        <v>40.305033084108913</v>
      </c>
      <c r="E76" s="331">
        <f t="shared" si="194"/>
        <v>111.31866280372938</v>
      </c>
      <c r="F76" s="331">
        <f t="shared" si="194"/>
        <v>15.354298317755775</v>
      </c>
      <c r="G76" s="331">
        <f t="shared" si="194"/>
        <v>21.751922616820682</v>
      </c>
      <c r="I76" s="154">
        <v>2039</v>
      </c>
      <c r="J76" s="271">
        <f t="shared" ref="J76:N76" si="195">J34/$A119</f>
        <v>0.31988121495324534</v>
      </c>
      <c r="K76" s="271">
        <f t="shared" si="195"/>
        <v>0.83169115887843792</v>
      </c>
      <c r="L76" s="271">
        <f t="shared" si="195"/>
        <v>2.7509784485979099</v>
      </c>
      <c r="M76" s="271">
        <f t="shared" si="195"/>
        <v>0.25590497196259626</v>
      </c>
      <c r="N76" s="271">
        <f t="shared" si="195"/>
        <v>0.38385745794389436</v>
      </c>
      <c r="P76" s="154">
        <v>2039</v>
      </c>
      <c r="Q76" s="271">
        <f t="shared" ref="Q76:U76" si="196">Q34/$A119</f>
        <v>0.70373867289713976</v>
      </c>
      <c r="R76" s="271">
        <f t="shared" si="196"/>
        <v>2.175192261682068</v>
      </c>
      <c r="S76" s="271">
        <f t="shared" si="196"/>
        <v>7.4852204299059402</v>
      </c>
      <c r="T76" s="271">
        <f t="shared" si="196"/>
        <v>0.31988121495324534</v>
      </c>
      <c r="U76" s="271">
        <f t="shared" si="196"/>
        <v>0.89566740186908689</v>
      </c>
      <c r="W76" s="154">
        <v>2039</v>
      </c>
      <c r="X76" s="286">
        <f t="shared" si="22"/>
        <v>6536.4527463546156</v>
      </c>
      <c r="Z76" s="154">
        <v>2039</v>
      </c>
      <c r="AA76" s="330">
        <f t="shared" ref="AA76:AE76" si="197">AA34/$A119</f>
        <v>0.74103682256068826</v>
      </c>
      <c r="AB76" s="330">
        <f t="shared" si="197"/>
        <v>2.2904774515512178</v>
      </c>
      <c r="AC76" s="330">
        <f t="shared" si="197"/>
        <v>7.881937112690955</v>
      </c>
      <c r="AD76" s="330">
        <f t="shared" si="197"/>
        <v>0.33683491934576731</v>
      </c>
      <c r="AE76" s="330">
        <f t="shared" si="197"/>
        <v>0.94313777416814837</v>
      </c>
      <c r="AG76" s="154">
        <v>2039</v>
      </c>
      <c r="AH76" s="330">
        <f t="shared" ref="AH76:AL76" si="198">AH34/$A119</f>
        <v>0.31028477850464797</v>
      </c>
      <c r="AI76" s="330">
        <f t="shared" si="198"/>
        <v>0.80674042411208469</v>
      </c>
      <c r="AJ76" s="330">
        <f t="shared" si="198"/>
        <v>2.6684490951399722</v>
      </c>
      <c r="AK76" s="330">
        <f t="shared" si="198"/>
        <v>0.24822782280371838</v>
      </c>
      <c r="AL76" s="330">
        <f t="shared" si="198"/>
        <v>0.37234173420557753</v>
      </c>
      <c r="AN76" s="154">
        <v>2039</v>
      </c>
      <c r="AO76" s="330">
        <f t="shared" ref="AO76" si="199">AO34/$A119</f>
        <v>1.2027533682242024</v>
      </c>
      <c r="AP76" s="330"/>
      <c r="AQ76" s="330"/>
      <c r="AR76" s="330"/>
      <c r="AS76" s="330"/>
    </row>
    <row r="77" spans="2:45">
      <c r="B77" s="154">
        <v>2040</v>
      </c>
      <c r="C77" s="331">
        <f t="shared" ref="C77:G77" si="200">C35/$A120</f>
        <v>17.648618756041124</v>
      </c>
      <c r="D77" s="331">
        <f t="shared" si="200"/>
        <v>37.818468762945265</v>
      </c>
      <c r="E77" s="331">
        <f t="shared" si="200"/>
        <v>107.78263597439401</v>
      </c>
      <c r="F77" s="331">
        <f t="shared" si="200"/>
        <v>14.497079692462352</v>
      </c>
      <c r="G77" s="331">
        <f t="shared" si="200"/>
        <v>20.169850006904142</v>
      </c>
      <c r="I77" s="154">
        <v>2040</v>
      </c>
      <c r="J77" s="271">
        <f t="shared" ref="J77:N77" si="201">J35/$A120</f>
        <v>0.2521231250863018</v>
      </c>
      <c r="K77" s="271">
        <f t="shared" si="201"/>
        <v>0.75636937525890524</v>
      </c>
      <c r="L77" s="271">
        <f t="shared" si="201"/>
        <v>2.6472928134061688</v>
      </c>
      <c r="M77" s="271">
        <f t="shared" si="201"/>
        <v>0.18909234381472631</v>
      </c>
      <c r="N77" s="271">
        <f t="shared" si="201"/>
        <v>0.31515390635787721</v>
      </c>
      <c r="P77" s="154">
        <v>2040</v>
      </c>
      <c r="Q77" s="271">
        <f t="shared" ref="Q77:U77" si="202">Q35/$A120</f>
        <v>0.63030781271575442</v>
      </c>
      <c r="R77" s="271">
        <f t="shared" si="202"/>
        <v>2.0169850006904144</v>
      </c>
      <c r="S77" s="271">
        <f t="shared" si="202"/>
        <v>7.3746014087743266</v>
      </c>
      <c r="T77" s="271">
        <f t="shared" si="202"/>
        <v>0.31515390635787721</v>
      </c>
      <c r="U77" s="271">
        <f t="shared" si="202"/>
        <v>0.81940015653048082</v>
      </c>
      <c r="W77" s="154">
        <v>2040</v>
      </c>
      <c r="X77" s="286">
        <f t="shared" si="22"/>
        <v>6439.8549225168626</v>
      </c>
      <c r="Z77" s="154">
        <v>2040</v>
      </c>
      <c r="AA77" s="330">
        <f t="shared" ref="AA77:AE77" si="203">AA35/$A120</f>
        <v>0.66371412678968933</v>
      </c>
      <c r="AB77" s="330">
        <f t="shared" si="203"/>
        <v>2.1238852057270061</v>
      </c>
      <c r="AC77" s="330">
        <f t="shared" si="203"/>
        <v>7.7654552834393646</v>
      </c>
      <c r="AD77" s="330">
        <f t="shared" si="203"/>
        <v>0.33185706339484466</v>
      </c>
      <c r="AE77" s="330">
        <f t="shared" si="203"/>
        <v>0.86282836482659619</v>
      </c>
      <c r="AG77" s="154">
        <v>2040</v>
      </c>
      <c r="AH77" s="330">
        <f t="shared" ref="AH77:AL77" si="204">AH35/$A120</f>
        <v>0.24455943133371272</v>
      </c>
      <c r="AI77" s="330">
        <f t="shared" si="204"/>
        <v>0.73367829400113815</v>
      </c>
      <c r="AJ77" s="330">
        <f t="shared" si="204"/>
        <v>2.5678740290039834</v>
      </c>
      <c r="AK77" s="330">
        <f t="shared" si="204"/>
        <v>0.18341957350028454</v>
      </c>
      <c r="AL77" s="330">
        <f t="shared" si="204"/>
        <v>0.3056992891671409</v>
      </c>
      <c r="AN77" s="154">
        <v>2040</v>
      </c>
      <c r="AO77" s="330">
        <f t="shared" ref="AO77" si="205">AO35/$A120</f>
        <v>1.1849786879056183</v>
      </c>
      <c r="AP77" s="330"/>
      <c r="AQ77" s="330"/>
      <c r="AR77" s="330"/>
      <c r="AS77" s="330"/>
    </row>
    <row r="78" spans="2:45">
      <c r="B78" s="154">
        <v>2041</v>
      </c>
      <c r="C78" s="331">
        <f t="shared" ref="C78:G78" si="206">C36/$A121</f>
        <v>17.387801730089777</v>
      </c>
      <c r="D78" s="331">
        <f t="shared" si="206"/>
        <v>37.259575135906665</v>
      </c>
      <c r="E78" s="331">
        <f t="shared" si="206"/>
        <v>106.189789137334</v>
      </c>
      <c r="F78" s="331">
        <f t="shared" si="206"/>
        <v>14.282837135430889</v>
      </c>
      <c r="G78" s="331">
        <f t="shared" si="206"/>
        <v>19.871773405816889</v>
      </c>
      <c r="I78" s="154">
        <v>2041</v>
      </c>
      <c r="J78" s="271">
        <f t="shared" ref="J78:N78" si="207">J36/$A121</f>
        <v>0.24839716757271113</v>
      </c>
      <c r="K78" s="271">
        <f t="shared" si="207"/>
        <v>0.74519150271813328</v>
      </c>
      <c r="L78" s="271">
        <f t="shared" si="207"/>
        <v>2.6081702595134666</v>
      </c>
      <c r="M78" s="271">
        <f t="shared" si="207"/>
        <v>0.18629787567953332</v>
      </c>
      <c r="N78" s="271">
        <f t="shared" si="207"/>
        <v>0.31049645946588889</v>
      </c>
      <c r="P78" s="154">
        <v>2041</v>
      </c>
      <c r="Q78" s="271">
        <f t="shared" ref="Q78:U78" si="208">Q36/$A121</f>
        <v>0.62099291893177777</v>
      </c>
      <c r="R78" s="271">
        <f t="shared" si="208"/>
        <v>1.987177340581689</v>
      </c>
      <c r="S78" s="271">
        <f t="shared" si="208"/>
        <v>7.2656171515017993</v>
      </c>
      <c r="T78" s="271">
        <f t="shared" si="208"/>
        <v>0.31049645946588889</v>
      </c>
      <c r="U78" s="271">
        <f t="shared" si="208"/>
        <v>0.80729079461131115</v>
      </c>
      <c r="W78" s="154">
        <v>2041</v>
      </c>
      <c r="X78" s="286">
        <f t="shared" si="22"/>
        <v>6344.6846527259731</v>
      </c>
      <c r="Z78" s="154">
        <v>2041</v>
      </c>
      <c r="AA78" s="330">
        <f t="shared" ref="AA78:AE78" si="209">AA36/$A121</f>
        <v>0.65390554363516196</v>
      </c>
      <c r="AB78" s="330">
        <f t="shared" si="209"/>
        <v>2.0924977396325186</v>
      </c>
      <c r="AC78" s="330">
        <f t="shared" si="209"/>
        <v>7.6506948605313942</v>
      </c>
      <c r="AD78" s="330">
        <f t="shared" si="209"/>
        <v>0.32695277181758098</v>
      </c>
      <c r="AE78" s="330">
        <f t="shared" si="209"/>
        <v>0.85007720672571063</v>
      </c>
      <c r="AG78" s="154">
        <v>2041</v>
      </c>
      <c r="AH78" s="330">
        <f t="shared" ref="AH78:AL78" si="210">AH36/$A121</f>
        <v>0.24094525254552979</v>
      </c>
      <c r="AI78" s="330">
        <f t="shared" si="210"/>
        <v>0.72283575763658925</v>
      </c>
      <c r="AJ78" s="330">
        <f t="shared" si="210"/>
        <v>2.5299251517280625</v>
      </c>
      <c r="AK78" s="330">
        <f t="shared" si="210"/>
        <v>0.18070893940914731</v>
      </c>
      <c r="AL78" s="330">
        <f t="shared" si="210"/>
        <v>0.30118156568191223</v>
      </c>
      <c r="AN78" s="154">
        <v>2041</v>
      </c>
      <c r="AO78" s="330">
        <f t="shared" ref="AO78" si="211">AO36/$A121</f>
        <v>1.1674666875917421</v>
      </c>
      <c r="AP78" s="330"/>
      <c r="AQ78" s="330"/>
      <c r="AR78" s="330"/>
      <c r="AS78" s="330"/>
    </row>
    <row r="79" spans="2:45">
      <c r="B79" s="154">
        <v>2042</v>
      </c>
      <c r="C79" s="331">
        <f t="shared" ref="C79:G79" si="212">C37/$A122</f>
        <v>17.130839142945597</v>
      </c>
      <c r="D79" s="331">
        <f t="shared" si="212"/>
        <v>36.708941020597706</v>
      </c>
      <c r="E79" s="331">
        <f t="shared" si="212"/>
        <v>104.62048190870347</v>
      </c>
      <c r="F79" s="331">
        <f t="shared" si="212"/>
        <v>14.071760724562454</v>
      </c>
      <c r="G79" s="331">
        <f t="shared" si="212"/>
        <v>19.578101877652109</v>
      </c>
      <c r="I79" s="154">
        <v>2042</v>
      </c>
      <c r="J79" s="271">
        <f t="shared" ref="J79:N79" si="213">J37/$A122</f>
        <v>0.2447262734706514</v>
      </c>
      <c r="K79" s="271">
        <f t="shared" si="213"/>
        <v>0.73417882041195415</v>
      </c>
      <c r="L79" s="271">
        <f t="shared" si="213"/>
        <v>2.5696258714418394</v>
      </c>
      <c r="M79" s="271">
        <f t="shared" si="213"/>
        <v>0.18354470510298854</v>
      </c>
      <c r="N79" s="271">
        <f t="shared" si="213"/>
        <v>0.30590784183831421</v>
      </c>
      <c r="P79" s="154">
        <v>2042</v>
      </c>
      <c r="Q79" s="271">
        <f t="shared" ref="Q79:U79" si="214">Q37/$A122</f>
        <v>0.61181568367662842</v>
      </c>
      <c r="R79" s="271">
        <f t="shared" si="214"/>
        <v>1.9578101877652112</v>
      </c>
      <c r="S79" s="271">
        <f t="shared" si="214"/>
        <v>7.1582434990165522</v>
      </c>
      <c r="T79" s="271">
        <f t="shared" si="214"/>
        <v>0.30590784183831421</v>
      </c>
      <c r="U79" s="271">
        <f t="shared" si="214"/>
        <v>0.79536038877961701</v>
      </c>
      <c r="W79" s="154">
        <v>2042</v>
      </c>
      <c r="X79" s="286">
        <f t="shared" si="22"/>
        <v>6250.9208401241131</v>
      </c>
      <c r="Z79" s="154">
        <v>2042</v>
      </c>
      <c r="AA79" s="330">
        <f t="shared" ref="AA79:AE79" si="215">AA37/$A122</f>
        <v>0.64424191491148974</v>
      </c>
      <c r="AB79" s="330">
        <f t="shared" si="215"/>
        <v>2.0615741277167672</v>
      </c>
      <c r="AC79" s="330">
        <f t="shared" si="215"/>
        <v>7.5376304044644291</v>
      </c>
      <c r="AD79" s="330">
        <f t="shared" si="215"/>
        <v>0.32212095745574487</v>
      </c>
      <c r="AE79" s="330">
        <f t="shared" si="215"/>
        <v>0.83751448938493667</v>
      </c>
      <c r="AG79" s="154">
        <v>2042</v>
      </c>
      <c r="AH79" s="330">
        <f t="shared" ref="AH79:AL79" si="216">AH37/$A122</f>
        <v>0.23738448526653186</v>
      </c>
      <c r="AI79" s="330">
        <f t="shared" si="216"/>
        <v>0.71215345579959544</v>
      </c>
      <c r="AJ79" s="330">
        <f t="shared" si="216"/>
        <v>2.4925370952985841</v>
      </c>
      <c r="AK79" s="330">
        <f t="shared" si="216"/>
        <v>0.17803836394989886</v>
      </c>
      <c r="AL79" s="330">
        <f t="shared" si="216"/>
        <v>0.2967306065831648</v>
      </c>
      <c r="AN79" s="154">
        <v>2042</v>
      </c>
      <c r="AO79" s="330">
        <f t="shared" ref="AO79" si="217">AO37/$A122</f>
        <v>1.1502134853120614</v>
      </c>
      <c r="AP79" s="330"/>
      <c r="AQ79" s="330"/>
      <c r="AR79" s="330"/>
      <c r="AS79" s="330"/>
    </row>
    <row r="80" spans="2:45">
      <c r="B80" s="154">
        <v>2043</v>
      </c>
      <c r="C80" s="331">
        <f t="shared" ref="C80:G80" si="218">C38/$A123</f>
        <v>16.877674032458717</v>
      </c>
      <c r="D80" s="331">
        <f t="shared" si="218"/>
        <v>36.166444355268681</v>
      </c>
      <c r="E80" s="331">
        <f t="shared" si="218"/>
        <v>103.07436641251573</v>
      </c>
      <c r="F80" s="331">
        <f t="shared" si="218"/>
        <v>13.86380366951966</v>
      </c>
      <c r="G80" s="331">
        <f t="shared" si="218"/>
        <v>19.288770322809963</v>
      </c>
      <c r="I80" s="154">
        <v>2043</v>
      </c>
      <c r="J80" s="271">
        <f t="shared" ref="J80:N80" si="219">J38/$A123</f>
        <v>0.24110962903512453</v>
      </c>
      <c r="K80" s="271">
        <f t="shared" si="219"/>
        <v>0.72332888710537357</v>
      </c>
      <c r="L80" s="271">
        <f t="shared" si="219"/>
        <v>2.5316511048688075</v>
      </c>
      <c r="M80" s="271">
        <f t="shared" si="219"/>
        <v>0.18083222177634339</v>
      </c>
      <c r="N80" s="271">
        <f t="shared" si="219"/>
        <v>0.30138703629390567</v>
      </c>
      <c r="P80" s="154">
        <v>2043</v>
      </c>
      <c r="Q80" s="271">
        <f t="shared" ref="Q80:U80" si="220">Q38/$A123</f>
        <v>0.60277407258781135</v>
      </c>
      <c r="R80" s="271">
        <f t="shared" si="220"/>
        <v>1.9288770322809963</v>
      </c>
      <c r="S80" s="271">
        <f t="shared" si="220"/>
        <v>7.0524566492773921</v>
      </c>
      <c r="T80" s="271">
        <f t="shared" si="220"/>
        <v>0.30138703629390567</v>
      </c>
      <c r="U80" s="271">
        <f t="shared" si="220"/>
        <v>0.78360629436415474</v>
      </c>
      <c r="W80" s="154">
        <v>2043</v>
      </c>
      <c r="X80" s="286">
        <f t="shared" si="22"/>
        <v>6158.5426996296683</v>
      </c>
      <c r="Z80" s="154">
        <v>2043</v>
      </c>
      <c r="AA80" s="330">
        <f t="shared" ref="AA80:AE80" si="221">AA38/$A123</f>
        <v>0.63472109843496527</v>
      </c>
      <c r="AB80" s="330">
        <f t="shared" si="221"/>
        <v>2.0311075149918891</v>
      </c>
      <c r="AC80" s="330">
        <f t="shared" si="221"/>
        <v>7.4262368516890929</v>
      </c>
      <c r="AD80" s="330">
        <f t="shared" si="221"/>
        <v>0.31736054921748263</v>
      </c>
      <c r="AE80" s="330">
        <f t="shared" si="221"/>
        <v>0.82513742796545486</v>
      </c>
      <c r="AG80" s="154">
        <v>2043</v>
      </c>
      <c r="AH80" s="330">
        <f t="shared" ref="AH80:AL80" si="222">AH38/$A123</f>
        <v>0.2338763401640708</v>
      </c>
      <c r="AI80" s="330">
        <f t="shared" si="222"/>
        <v>0.70162902049221232</v>
      </c>
      <c r="AJ80" s="330">
        <f t="shared" si="222"/>
        <v>2.4557015717227433</v>
      </c>
      <c r="AK80" s="330">
        <f t="shared" si="222"/>
        <v>0.17540725512305308</v>
      </c>
      <c r="AL80" s="330">
        <f t="shared" si="222"/>
        <v>0.29234542520508849</v>
      </c>
      <c r="AN80" s="154">
        <v>2043</v>
      </c>
      <c r="AO80" s="330">
        <f t="shared" ref="AO80" si="223">AO38/$A123</f>
        <v>1.1332152564650853</v>
      </c>
      <c r="AP80" s="330"/>
      <c r="AQ80" s="330"/>
      <c r="AR80" s="330"/>
      <c r="AS80" s="330"/>
    </row>
    <row r="81" spans="1:45">
      <c r="B81" s="154">
        <v>2044</v>
      </c>
      <c r="C81" s="331">
        <f t="shared" ref="C81:G81" si="224">C39/$A124</f>
        <v>16.628250278284451</v>
      </c>
      <c r="D81" s="331">
        <f t="shared" si="224"/>
        <v>35.631964882038112</v>
      </c>
      <c r="E81" s="331">
        <f t="shared" si="224"/>
        <v>101.55109991380861</v>
      </c>
      <c r="F81" s="331">
        <f t="shared" si="224"/>
        <v>13.658919871447942</v>
      </c>
      <c r="G81" s="331">
        <f t="shared" si="224"/>
        <v>19.003714603753657</v>
      </c>
      <c r="I81" s="154">
        <v>2044</v>
      </c>
      <c r="J81" s="271">
        <f t="shared" ref="J81:N81" si="225">J39/$A124</f>
        <v>0.23754643254692073</v>
      </c>
      <c r="K81" s="271">
        <f t="shared" si="225"/>
        <v>0.71263929764076217</v>
      </c>
      <c r="L81" s="271">
        <f t="shared" si="225"/>
        <v>2.4942375417426677</v>
      </c>
      <c r="M81" s="271">
        <f t="shared" si="225"/>
        <v>0.17815982441019054</v>
      </c>
      <c r="N81" s="271">
        <f t="shared" si="225"/>
        <v>0.2969330406836509</v>
      </c>
      <c r="P81" s="154">
        <v>2044</v>
      </c>
      <c r="Q81" s="271">
        <f t="shared" ref="Q81:U81" si="226">Q39/$A124</f>
        <v>0.59386608136730179</v>
      </c>
      <c r="R81" s="271">
        <f t="shared" si="226"/>
        <v>1.9003714603753659</v>
      </c>
      <c r="S81" s="271">
        <f t="shared" si="226"/>
        <v>6.9482331519974307</v>
      </c>
      <c r="T81" s="271">
        <f t="shared" si="226"/>
        <v>0.2969330406836509</v>
      </c>
      <c r="U81" s="271">
        <f t="shared" si="226"/>
        <v>0.77202590577749242</v>
      </c>
      <c r="W81" s="154">
        <v>2044</v>
      </c>
      <c r="X81" s="286">
        <f t="shared" si="22"/>
        <v>6067.5297533297226</v>
      </c>
      <c r="Z81" s="154">
        <v>2044</v>
      </c>
      <c r="AA81" s="330">
        <f t="shared" ref="AA81:AE81" si="227">AA39/$A124</f>
        <v>0.62534098367976876</v>
      </c>
      <c r="AB81" s="330">
        <f t="shared" si="227"/>
        <v>2.0010911477752602</v>
      </c>
      <c r="AC81" s="330">
        <f t="shared" si="227"/>
        <v>7.3164895090532935</v>
      </c>
      <c r="AD81" s="330">
        <f t="shared" si="227"/>
        <v>0.31267049183988438</v>
      </c>
      <c r="AE81" s="330">
        <f t="shared" si="227"/>
        <v>0.81294327878369943</v>
      </c>
      <c r="AG81" s="154">
        <v>2044</v>
      </c>
      <c r="AH81" s="330">
        <f t="shared" ref="AH81:AL81" si="228">AH39/$A124</f>
        <v>0.2304200395705131</v>
      </c>
      <c r="AI81" s="330">
        <f t="shared" si="228"/>
        <v>0.69126011871153925</v>
      </c>
      <c r="AJ81" s="330">
        <f t="shared" si="228"/>
        <v>2.4194104154903875</v>
      </c>
      <c r="AK81" s="330">
        <f t="shared" si="228"/>
        <v>0.17281502967788481</v>
      </c>
      <c r="AL81" s="330">
        <f t="shared" si="228"/>
        <v>0.28802504946314139</v>
      </c>
      <c r="AN81" s="154">
        <v>2044</v>
      </c>
      <c r="AO81" s="330">
        <f t="shared" ref="AO81" si="229">AO39/$A124</f>
        <v>1.1164682329705273</v>
      </c>
      <c r="AP81" s="330"/>
      <c r="AQ81" s="330"/>
      <c r="AR81" s="330"/>
      <c r="AS81" s="330"/>
    </row>
    <row r="82" spans="1:45">
      <c r="B82" s="154">
        <v>2045</v>
      </c>
      <c r="C82" s="331">
        <f t="shared" ref="C82:G82" si="230">C40/$A125</f>
        <v>16.382512589442811</v>
      </c>
      <c r="D82" s="331">
        <f t="shared" si="230"/>
        <v>35.105384120234596</v>
      </c>
      <c r="E82" s="331">
        <f t="shared" si="230"/>
        <v>100.0503447426686</v>
      </c>
      <c r="F82" s="331">
        <f t="shared" si="230"/>
        <v>13.457063912756595</v>
      </c>
      <c r="G82" s="331">
        <f t="shared" si="230"/>
        <v>18.722871530791785</v>
      </c>
      <c r="I82" s="154">
        <v>2045</v>
      </c>
      <c r="J82" s="271">
        <f t="shared" ref="J82:N82" si="231">J40/$A125</f>
        <v>0.23403589413489731</v>
      </c>
      <c r="K82" s="271">
        <f t="shared" si="231"/>
        <v>0.7021076824046919</v>
      </c>
      <c r="L82" s="271">
        <f t="shared" si="231"/>
        <v>2.4573768884164218</v>
      </c>
      <c r="M82" s="271">
        <f t="shared" si="231"/>
        <v>0.17552692060117298</v>
      </c>
      <c r="N82" s="271">
        <f t="shared" si="231"/>
        <v>0.29254486766862164</v>
      </c>
      <c r="P82" s="154">
        <v>2045</v>
      </c>
      <c r="Q82" s="271">
        <f t="shared" ref="Q82:U82" si="232">Q40/$A125</f>
        <v>0.58508973533724329</v>
      </c>
      <c r="R82" s="271">
        <f t="shared" si="232"/>
        <v>1.8722871530791785</v>
      </c>
      <c r="S82" s="271">
        <f t="shared" si="232"/>
        <v>6.8455499034457459</v>
      </c>
      <c r="T82" s="271">
        <f t="shared" si="232"/>
        <v>0.29254486766862164</v>
      </c>
      <c r="U82" s="271">
        <f t="shared" si="232"/>
        <v>0.76061665593841621</v>
      </c>
      <c r="W82" s="154">
        <v>2045</v>
      </c>
      <c r="X82" s="286">
        <f t="shared" si="22"/>
        <v>5977.8618259406139</v>
      </c>
      <c r="Z82" s="154">
        <v>2045</v>
      </c>
      <c r="AA82" s="330">
        <f t="shared" ref="AA82:AE82" si="233">AA40/$A125</f>
        <v>0.6160994913101171</v>
      </c>
      <c r="AB82" s="330">
        <f t="shared" si="233"/>
        <v>1.971518372192375</v>
      </c>
      <c r="AC82" s="330">
        <f t="shared" si="233"/>
        <v>7.2083640483283693</v>
      </c>
      <c r="AD82" s="330">
        <f t="shared" si="233"/>
        <v>0.30804974565505855</v>
      </c>
      <c r="AE82" s="330">
        <f t="shared" si="233"/>
        <v>0.8009293387031523</v>
      </c>
      <c r="AG82" s="154">
        <v>2045</v>
      </c>
      <c r="AH82" s="330">
        <f t="shared" ref="AH82:AL82" si="234">AH40/$A125</f>
        <v>0.22701481731085038</v>
      </c>
      <c r="AI82" s="330">
        <f t="shared" si="234"/>
        <v>0.68104445193255114</v>
      </c>
      <c r="AJ82" s="330">
        <f t="shared" si="234"/>
        <v>2.3836555817639291</v>
      </c>
      <c r="AK82" s="330">
        <f t="shared" si="234"/>
        <v>0.17026111298313779</v>
      </c>
      <c r="AL82" s="330">
        <f t="shared" si="234"/>
        <v>0.28376852163856298</v>
      </c>
      <c r="AN82" s="154">
        <v>2045</v>
      </c>
      <c r="AO82" s="330">
        <f t="shared" ref="AO82" si="235">AO40/$A125</f>
        <v>1.0999687024340172</v>
      </c>
      <c r="AP82" s="330"/>
      <c r="AQ82" s="330"/>
      <c r="AR82" s="330"/>
      <c r="AS82" s="330"/>
    </row>
    <row r="83" spans="1:45" ht="14.5" thickBot="1"/>
    <row r="84" spans="1:45" ht="42.5" thickBot="1">
      <c r="B84" s="161" t="s">
        <v>1</v>
      </c>
      <c r="C84" s="162" t="s">
        <v>283</v>
      </c>
      <c r="D84" s="163"/>
      <c r="E84" s="163"/>
      <c r="F84" s="163"/>
      <c r="G84" s="163"/>
      <c r="H84" s="163"/>
      <c r="I84" s="163"/>
      <c r="J84" s="163"/>
      <c r="K84" s="163"/>
      <c r="L84" s="163"/>
      <c r="M84" s="163"/>
      <c r="N84" s="163"/>
      <c r="O84" s="163"/>
      <c r="P84" s="163"/>
      <c r="Q84" s="163"/>
      <c r="R84" s="163"/>
      <c r="S84" s="163"/>
      <c r="T84" s="163"/>
      <c r="U84" s="164"/>
      <c r="Z84" s="267" t="s">
        <v>277</v>
      </c>
      <c r="AA84" s="160">
        <v>1.0529999999999999</v>
      </c>
      <c r="AG84" s="158" t="s">
        <v>278</v>
      </c>
      <c r="AH84" s="159">
        <v>0.97</v>
      </c>
    </row>
    <row r="85" spans="1:45" ht="14.5" thickBot="1">
      <c r="B85" s="165" t="s">
        <v>4</v>
      </c>
      <c r="C85" s="166" t="s">
        <v>364</v>
      </c>
      <c r="D85" s="167"/>
      <c r="E85" s="167"/>
      <c r="F85" s="167"/>
      <c r="G85" s="167"/>
      <c r="H85" s="167"/>
      <c r="I85" s="167"/>
      <c r="J85" s="167"/>
      <c r="K85" s="167"/>
      <c r="L85" s="167"/>
      <c r="M85" s="167"/>
      <c r="N85" s="167"/>
      <c r="O85" s="167"/>
      <c r="P85" s="167"/>
      <c r="Q85" s="167"/>
      <c r="R85" s="167"/>
      <c r="S85" s="167"/>
      <c r="T85" s="167"/>
      <c r="U85" s="168"/>
    </row>
    <row r="87" spans="1:45" ht="14.5" thickBot="1">
      <c r="B87" s="154" t="s">
        <v>299</v>
      </c>
      <c r="C87" s="155"/>
      <c r="D87" s="155"/>
      <c r="E87" s="155"/>
      <c r="F87" s="155"/>
      <c r="G87" s="155"/>
      <c r="I87" s="154" t="s">
        <v>300</v>
      </c>
      <c r="J87" s="155"/>
      <c r="K87" s="155"/>
      <c r="L87" s="155"/>
      <c r="M87" s="155"/>
      <c r="N87" s="155"/>
      <c r="P87" s="154" t="s">
        <v>302</v>
      </c>
      <c r="Q87" s="155"/>
      <c r="R87" s="155"/>
      <c r="S87" s="155"/>
      <c r="T87" s="155"/>
      <c r="U87" s="155"/>
      <c r="W87" s="154" t="s">
        <v>304</v>
      </c>
      <c r="X87" s="155"/>
      <c r="Z87" s="154" t="s">
        <v>303</v>
      </c>
      <c r="AA87" s="155"/>
      <c r="AB87" s="155"/>
      <c r="AC87" s="155"/>
      <c r="AD87" s="155"/>
      <c r="AE87" s="155"/>
      <c r="AG87" s="154" t="s">
        <v>301</v>
      </c>
      <c r="AH87" s="155"/>
      <c r="AI87" s="155"/>
      <c r="AJ87" s="155"/>
      <c r="AK87" s="155"/>
      <c r="AL87" s="155"/>
      <c r="AN87" s="154" t="s">
        <v>305</v>
      </c>
      <c r="AO87" s="155"/>
    </row>
    <row r="88" spans="1:45" s="1" customFormat="1">
      <c r="A88" s="169" t="s">
        <v>306</v>
      </c>
      <c r="B88" s="154" t="s">
        <v>7</v>
      </c>
      <c r="C88" s="154" t="s">
        <v>273</v>
      </c>
      <c r="D88" s="154" t="s">
        <v>1070</v>
      </c>
      <c r="E88" s="154" t="s">
        <v>274</v>
      </c>
      <c r="F88" s="154" t="s">
        <v>275</v>
      </c>
      <c r="G88" s="154" t="s">
        <v>276</v>
      </c>
      <c r="I88" s="154" t="s">
        <v>7</v>
      </c>
      <c r="J88" s="154" t="s">
        <v>273</v>
      </c>
      <c r="K88" s="154" t="s">
        <v>1070</v>
      </c>
      <c r="L88" s="154" t="s">
        <v>274</v>
      </c>
      <c r="M88" s="154" t="s">
        <v>275</v>
      </c>
      <c r="N88" s="154" t="s">
        <v>276</v>
      </c>
      <c r="P88" s="154" t="s">
        <v>7</v>
      </c>
      <c r="Q88" s="154" t="s">
        <v>273</v>
      </c>
      <c r="R88" s="154" t="s">
        <v>1070</v>
      </c>
      <c r="S88" s="154" t="s">
        <v>274</v>
      </c>
      <c r="T88" s="154" t="s">
        <v>275</v>
      </c>
      <c r="U88" s="154" t="s">
        <v>276</v>
      </c>
      <c r="W88" s="154" t="s">
        <v>7</v>
      </c>
      <c r="X88" s="154" t="s">
        <v>276</v>
      </c>
      <c r="Z88" s="154" t="s">
        <v>7</v>
      </c>
      <c r="AA88" s="154" t="s">
        <v>273</v>
      </c>
      <c r="AB88" s="154" t="s">
        <v>1070</v>
      </c>
      <c r="AC88" s="154" t="s">
        <v>274</v>
      </c>
      <c r="AD88" s="154" t="s">
        <v>275</v>
      </c>
      <c r="AE88" s="154" t="s">
        <v>276</v>
      </c>
      <c r="AG88" s="154" t="s">
        <v>7</v>
      </c>
      <c r="AH88" s="154" t="s">
        <v>273</v>
      </c>
      <c r="AI88" s="154" t="s">
        <v>1070</v>
      </c>
      <c r="AJ88" s="154" t="s">
        <v>274</v>
      </c>
      <c r="AK88" s="154" t="s">
        <v>275</v>
      </c>
      <c r="AL88" s="154" t="s">
        <v>276</v>
      </c>
      <c r="AN88" s="154" t="s">
        <v>7</v>
      </c>
      <c r="AO88" s="154"/>
    </row>
    <row r="89" spans="1:45">
      <c r="A89" s="170">
        <v>1</v>
      </c>
      <c r="B89" s="154">
        <v>2009</v>
      </c>
      <c r="C89" s="156">
        <f t="shared" ref="C89:G98" si="236">C4/(400*$A89)</f>
        <v>0.41249999999999998</v>
      </c>
      <c r="D89" s="156">
        <f t="shared" si="236"/>
        <v>0.60250000000000004</v>
      </c>
      <c r="E89" s="156">
        <f t="shared" si="236"/>
        <v>0.60499999999999998</v>
      </c>
      <c r="F89" s="156">
        <f t="shared" si="236"/>
        <v>0.5</v>
      </c>
      <c r="G89" s="156">
        <f t="shared" si="236"/>
        <v>0.43</v>
      </c>
      <c r="I89" s="154">
        <v>2009</v>
      </c>
      <c r="J89" s="156">
        <f t="shared" ref="J89:N98" si="237">J4/(400*$A89)</f>
        <v>1.225E-2</v>
      </c>
      <c r="K89" s="156">
        <f t="shared" si="237"/>
        <v>1.375E-2</v>
      </c>
      <c r="L89" s="156">
        <f t="shared" si="237"/>
        <v>1.4250000000000001E-2</v>
      </c>
      <c r="M89" s="156">
        <f t="shared" si="237"/>
        <v>1.2500000000000001E-2</v>
      </c>
      <c r="N89" s="156">
        <f t="shared" si="237"/>
        <v>1.225E-2</v>
      </c>
      <c r="P89" s="154">
        <v>2009</v>
      </c>
      <c r="Q89" s="156">
        <f t="shared" ref="Q89:U98" si="238">Q4/(400*$A89)</f>
        <v>2.1749999999999999E-2</v>
      </c>
      <c r="R89" s="156">
        <f t="shared" si="238"/>
        <v>3.6249999999999998E-2</v>
      </c>
      <c r="S89" s="156">
        <f t="shared" si="238"/>
        <v>2.9249999999999998E-2</v>
      </c>
      <c r="T89" s="156">
        <f t="shared" si="238"/>
        <v>2.2749999999999999E-2</v>
      </c>
      <c r="U89" s="156">
        <f t="shared" si="238"/>
        <v>2.2749999999999999E-2</v>
      </c>
      <c r="W89" s="154">
        <v>2009</v>
      </c>
      <c r="X89" s="157">
        <f t="shared" ref="X89:X125" si="239">X4/(400*$A89)</f>
        <v>25.5425</v>
      </c>
      <c r="Z89" s="154">
        <v>2009</v>
      </c>
      <c r="AA89" s="156">
        <f t="shared" ref="AA89:AE98" si="240">AA4/(400*$A89)</f>
        <v>2.2902749999999999E-2</v>
      </c>
      <c r="AB89" s="156">
        <f t="shared" si="240"/>
        <v>3.8171249999999997E-2</v>
      </c>
      <c r="AC89" s="156">
        <f t="shared" si="240"/>
        <v>3.0800249999999994E-2</v>
      </c>
      <c r="AD89" s="156">
        <f t="shared" si="240"/>
        <v>2.3955749999999994E-2</v>
      </c>
      <c r="AE89" s="156">
        <f t="shared" si="240"/>
        <v>2.3955749999999994E-2</v>
      </c>
      <c r="AG89" s="154">
        <v>2009</v>
      </c>
      <c r="AH89" s="156">
        <f t="shared" ref="AH89:AL98" si="241">AH4/(400*$A89)</f>
        <v>1.1882500000000001E-2</v>
      </c>
      <c r="AI89" s="156">
        <f t="shared" si="241"/>
        <v>1.33375E-2</v>
      </c>
      <c r="AJ89" s="156">
        <f t="shared" si="241"/>
        <v>1.38225E-2</v>
      </c>
      <c r="AK89" s="156">
        <f t="shared" si="241"/>
        <v>1.2124999999999999E-2</v>
      </c>
      <c r="AL89" s="156">
        <f t="shared" si="241"/>
        <v>1.1882500000000001E-2</v>
      </c>
      <c r="AN89" s="154">
        <v>2009</v>
      </c>
      <c r="AO89" s="157">
        <f t="shared" ref="AO89:AO125" si="242">AO4/(400*$A89)</f>
        <v>4.6999999999999993E-3</v>
      </c>
    </row>
    <row r="90" spans="1:45">
      <c r="A90" s="170">
        <f>A89*1.015</f>
        <v>1.0149999999999999</v>
      </c>
      <c r="B90" s="154">
        <v>2010</v>
      </c>
      <c r="C90" s="156">
        <f t="shared" si="236"/>
        <v>0.38669950738916259</v>
      </c>
      <c r="D90" s="156">
        <f t="shared" si="236"/>
        <v>0.58128078817733997</v>
      </c>
      <c r="E90" s="156">
        <f t="shared" si="236"/>
        <v>0.59605911330049266</v>
      </c>
      <c r="F90" s="156">
        <f t="shared" si="236"/>
        <v>0.4507389162561577</v>
      </c>
      <c r="G90" s="156">
        <f t="shared" si="236"/>
        <v>0.40640394088669957</v>
      </c>
      <c r="H90" s="332"/>
      <c r="I90" s="154">
        <v>2010</v>
      </c>
      <c r="J90" s="156">
        <f t="shared" si="237"/>
        <v>1.1576354679802957E-2</v>
      </c>
      <c r="K90" s="156">
        <f t="shared" si="237"/>
        <v>1.3300492610837442E-2</v>
      </c>
      <c r="L90" s="156">
        <f t="shared" si="237"/>
        <v>1.4039408866995076E-2</v>
      </c>
      <c r="M90" s="156">
        <f t="shared" si="237"/>
        <v>1.1822660098522168E-2</v>
      </c>
      <c r="N90" s="156">
        <f t="shared" si="237"/>
        <v>1.1576354679802957E-2</v>
      </c>
      <c r="P90" s="154">
        <v>2010</v>
      </c>
      <c r="Q90" s="156">
        <f t="shared" si="238"/>
        <v>2.0443349753694585E-2</v>
      </c>
      <c r="R90" s="156">
        <f t="shared" si="238"/>
        <v>3.4729064039408869E-2</v>
      </c>
      <c r="S90" s="156">
        <f t="shared" si="238"/>
        <v>2.8817733990147785E-2</v>
      </c>
      <c r="T90" s="156">
        <f t="shared" si="238"/>
        <v>2.1182266009852218E-2</v>
      </c>
      <c r="U90" s="156">
        <f t="shared" si="238"/>
        <v>2.1674876847290647E-2</v>
      </c>
      <c r="W90" s="154">
        <v>2010</v>
      </c>
      <c r="X90" s="157">
        <f t="shared" si="239"/>
        <v>25.165024630541875</v>
      </c>
      <c r="Z90" s="154">
        <v>2010</v>
      </c>
      <c r="AA90" s="156">
        <f t="shared" si="240"/>
        <v>2.1526847290640399E-2</v>
      </c>
      <c r="AB90" s="156">
        <f t="shared" si="240"/>
        <v>3.6569704433497538E-2</v>
      </c>
      <c r="AC90" s="156">
        <f t="shared" si="240"/>
        <v>3.0345073891625617E-2</v>
      </c>
      <c r="AD90" s="156">
        <f t="shared" si="240"/>
        <v>2.2304926108374385E-2</v>
      </c>
      <c r="AE90" s="156">
        <f t="shared" si="240"/>
        <v>2.2823645320197049E-2</v>
      </c>
      <c r="AG90" s="154">
        <v>2010</v>
      </c>
      <c r="AH90" s="156">
        <f t="shared" si="241"/>
        <v>1.1229064039408869E-2</v>
      </c>
      <c r="AI90" s="156">
        <f t="shared" si="241"/>
        <v>1.2901477832512318E-2</v>
      </c>
      <c r="AJ90" s="156">
        <f t="shared" si="241"/>
        <v>1.3618226600985224E-2</v>
      </c>
      <c r="AK90" s="156">
        <f t="shared" si="241"/>
        <v>1.1467980295566503E-2</v>
      </c>
      <c r="AL90" s="156">
        <f t="shared" si="241"/>
        <v>1.1229064039408869E-2</v>
      </c>
      <c r="AN90" s="154">
        <v>2010</v>
      </c>
      <c r="AO90" s="157">
        <f t="shared" si="242"/>
        <v>4.630541871921183E-3</v>
      </c>
    </row>
    <row r="91" spans="1:45">
      <c r="A91" s="170">
        <f t="shared" ref="A91:A125" si="243">A90*1.015</f>
        <v>1.0302249999999997</v>
      </c>
      <c r="B91" s="154">
        <v>2011</v>
      </c>
      <c r="C91" s="156">
        <f t="shared" si="236"/>
        <v>0.36157150137105981</v>
      </c>
      <c r="D91" s="156">
        <f t="shared" si="236"/>
        <v>0.57026377733019495</v>
      </c>
      <c r="E91" s="156">
        <f t="shared" si="236"/>
        <v>0.58725035793151992</v>
      </c>
      <c r="F91" s="156">
        <f t="shared" si="236"/>
        <v>0.40525128006018113</v>
      </c>
      <c r="G91" s="156">
        <f t="shared" si="236"/>
        <v>0.38098473634400259</v>
      </c>
      <c r="H91" s="332"/>
      <c r="I91" s="154">
        <v>2011</v>
      </c>
      <c r="J91" s="156">
        <f t="shared" si="237"/>
        <v>1.0677279235118546E-2</v>
      </c>
      <c r="K91" s="156">
        <f t="shared" si="237"/>
        <v>1.286126816957461E-2</v>
      </c>
      <c r="L91" s="156">
        <f t="shared" si="237"/>
        <v>1.383192991822175E-2</v>
      </c>
      <c r="M91" s="156">
        <f t="shared" si="237"/>
        <v>1.091994467228033E-2</v>
      </c>
      <c r="N91" s="156">
        <f t="shared" si="237"/>
        <v>1.091994467228033E-2</v>
      </c>
      <c r="P91" s="154">
        <v>2011</v>
      </c>
      <c r="Q91" s="156">
        <f t="shared" si="238"/>
        <v>1.8685238661457451E-2</v>
      </c>
      <c r="R91" s="156">
        <f t="shared" si="238"/>
        <v>3.3973161202649912E-2</v>
      </c>
      <c r="S91" s="156">
        <f t="shared" si="238"/>
        <v>2.8391856147928853E-2</v>
      </c>
      <c r="T91" s="156">
        <f t="shared" si="238"/>
        <v>1.9655900410104593E-2</v>
      </c>
      <c r="U91" s="156">
        <f t="shared" si="238"/>
        <v>1.9898565847266375E-2</v>
      </c>
      <c r="W91" s="154">
        <v>2011</v>
      </c>
      <c r="X91" s="157">
        <f t="shared" si="239"/>
        <v>24.793127714819583</v>
      </c>
      <c r="Z91" s="154">
        <v>2011</v>
      </c>
      <c r="AA91" s="156">
        <f t="shared" si="240"/>
        <v>1.9675556310514698E-2</v>
      </c>
      <c r="AB91" s="156">
        <f t="shared" si="240"/>
        <v>3.5773738746390359E-2</v>
      </c>
      <c r="AC91" s="156">
        <f t="shared" si="240"/>
        <v>2.989662452376908E-2</v>
      </c>
      <c r="AD91" s="156">
        <f t="shared" si="240"/>
        <v>2.0697663131840134E-2</v>
      </c>
      <c r="AE91" s="156">
        <f t="shared" si="240"/>
        <v>2.0953189837171492E-2</v>
      </c>
      <c r="AG91" s="154">
        <v>2011</v>
      </c>
      <c r="AH91" s="156">
        <f t="shared" si="241"/>
        <v>1.0356960858064987E-2</v>
      </c>
      <c r="AI91" s="156">
        <f t="shared" si="241"/>
        <v>1.2475430124487371E-2</v>
      </c>
      <c r="AJ91" s="156">
        <f t="shared" si="241"/>
        <v>1.3416972020675098E-2</v>
      </c>
      <c r="AK91" s="156">
        <f t="shared" si="241"/>
        <v>1.059234633211192E-2</v>
      </c>
      <c r="AL91" s="156">
        <f t="shared" si="241"/>
        <v>1.059234633211192E-2</v>
      </c>
      <c r="AN91" s="154">
        <v>2011</v>
      </c>
      <c r="AO91" s="157">
        <f t="shared" si="242"/>
        <v>4.5621102186415591E-3</v>
      </c>
    </row>
    <row r="92" spans="1:45">
      <c r="A92" s="170">
        <f t="shared" si="243"/>
        <v>1.0456783749999996</v>
      </c>
      <c r="B92" s="154">
        <v>2012</v>
      </c>
      <c r="C92" s="156">
        <f t="shared" si="236"/>
        <v>0.34427411774676903</v>
      </c>
      <c r="D92" s="156">
        <f t="shared" si="236"/>
        <v>0.54270989394803171</v>
      </c>
      <c r="E92" s="156">
        <f t="shared" si="236"/>
        <v>0.5785717812133202</v>
      </c>
      <c r="F92" s="156">
        <f t="shared" si="236"/>
        <v>0.37535442004335234</v>
      </c>
      <c r="G92" s="156">
        <f t="shared" si="236"/>
        <v>0.36340045762158957</v>
      </c>
      <c r="H92" s="332"/>
      <c r="I92" s="154">
        <v>2012</v>
      </c>
      <c r="J92" s="156">
        <f t="shared" si="237"/>
        <v>9.8022491858455064E-3</v>
      </c>
      <c r="K92" s="156">
        <f t="shared" si="237"/>
        <v>1.2193041670198069E-2</v>
      </c>
      <c r="L92" s="156">
        <f t="shared" si="237"/>
        <v>1.3627517160809609E-2</v>
      </c>
      <c r="M92" s="156">
        <f t="shared" si="237"/>
        <v>1.0041328434280765E-2</v>
      </c>
      <c r="N92" s="156">
        <f t="shared" si="237"/>
        <v>1.0041328434280765E-2</v>
      </c>
      <c r="P92" s="154">
        <v>2012</v>
      </c>
      <c r="Q92" s="156">
        <f t="shared" si="238"/>
        <v>1.6974626638903194E-2</v>
      </c>
      <c r="R92" s="156">
        <f t="shared" si="238"/>
        <v>3.1797540041889089E-2</v>
      </c>
      <c r="S92" s="156">
        <f t="shared" si="238"/>
        <v>2.7972272066924982E-2</v>
      </c>
      <c r="T92" s="156">
        <f t="shared" si="238"/>
        <v>1.793094363264422E-2</v>
      </c>
      <c r="U92" s="156">
        <f t="shared" si="238"/>
        <v>1.8170022881079478E-2</v>
      </c>
      <c r="W92" s="154">
        <v>2012</v>
      </c>
      <c r="X92" s="157">
        <f t="shared" si="239"/>
        <v>24.426726812630132</v>
      </c>
      <c r="Z92" s="154">
        <v>2012</v>
      </c>
      <c r="AA92" s="156">
        <f t="shared" si="240"/>
        <v>1.7874281850765065E-2</v>
      </c>
      <c r="AB92" s="156">
        <f t="shared" si="240"/>
        <v>3.3482809664109207E-2</v>
      </c>
      <c r="AC92" s="156">
        <f t="shared" si="240"/>
        <v>2.9454802486472004E-2</v>
      </c>
      <c r="AD92" s="156">
        <f t="shared" si="240"/>
        <v>1.8881283645174364E-2</v>
      </c>
      <c r="AE92" s="156">
        <f t="shared" si="240"/>
        <v>1.9133034093776688E-2</v>
      </c>
      <c r="AG92" s="154">
        <v>2012</v>
      </c>
      <c r="AH92" s="156">
        <f t="shared" si="241"/>
        <v>9.5081817102701405E-3</v>
      </c>
      <c r="AI92" s="156">
        <f t="shared" si="241"/>
        <v>1.1827250420092125E-2</v>
      </c>
      <c r="AJ92" s="156">
        <f t="shared" si="241"/>
        <v>1.321869164598532E-2</v>
      </c>
      <c r="AK92" s="156">
        <f t="shared" si="241"/>
        <v>9.7400885812523406E-3</v>
      </c>
      <c r="AL92" s="156">
        <f t="shared" si="241"/>
        <v>9.7400885812523406E-3</v>
      </c>
      <c r="AN92" s="154">
        <v>2012</v>
      </c>
      <c r="AO92" s="157">
        <f t="shared" si="242"/>
        <v>4.4946898705828181E-3</v>
      </c>
    </row>
    <row r="93" spans="1:45">
      <c r="A93" s="170">
        <f t="shared" si="243"/>
        <v>1.0613635506249994</v>
      </c>
      <c r="B93" s="154">
        <v>2013</v>
      </c>
      <c r="C93" s="156">
        <f t="shared" si="236"/>
        <v>0.32740902002463673</v>
      </c>
      <c r="D93" s="156">
        <f t="shared" si="236"/>
        <v>0.5299786295362825</v>
      </c>
      <c r="E93" s="156">
        <f t="shared" si="236"/>
        <v>0.57002145932346826</v>
      </c>
      <c r="F93" s="156">
        <f t="shared" si="236"/>
        <v>0.34625270463037122</v>
      </c>
      <c r="G93" s="156">
        <f t="shared" si="236"/>
        <v>0.34625270463037122</v>
      </c>
      <c r="H93" s="332"/>
      <c r="I93" s="154">
        <v>2013</v>
      </c>
      <c r="J93" s="156">
        <f t="shared" si="237"/>
        <v>8.950750187723882E-3</v>
      </c>
      <c r="K93" s="156">
        <f t="shared" si="237"/>
        <v>1.1777302878584056E-2</v>
      </c>
      <c r="L93" s="156">
        <f t="shared" si="237"/>
        <v>1.3190579224014141E-2</v>
      </c>
      <c r="M93" s="156">
        <f t="shared" si="237"/>
        <v>9.1862962452955634E-3</v>
      </c>
      <c r="N93" s="156">
        <f t="shared" si="237"/>
        <v>9.1862962452955634E-3</v>
      </c>
      <c r="P93" s="154">
        <v>2013</v>
      </c>
      <c r="Q93" s="156">
        <f t="shared" si="238"/>
        <v>1.5310493742159273E-2</v>
      </c>
      <c r="R93" s="156">
        <f t="shared" si="238"/>
        <v>3.1327625657033592E-2</v>
      </c>
      <c r="S93" s="156">
        <f t="shared" si="238"/>
        <v>2.7558888735886689E-2</v>
      </c>
      <c r="T93" s="156">
        <f t="shared" si="238"/>
        <v>1.6252677972445999E-2</v>
      </c>
      <c r="U93" s="156">
        <f t="shared" si="238"/>
        <v>1.6723770087589358E-2</v>
      </c>
      <c r="W93" s="154">
        <v>2013</v>
      </c>
      <c r="X93" s="157">
        <f t="shared" si="239"/>
        <v>24.065740702098658</v>
      </c>
      <c r="Z93" s="154">
        <v>2013</v>
      </c>
      <c r="AA93" s="156">
        <f t="shared" si="240"/>
        <v>1.6121949910493715E-2</v>
      </c>
      <c r="AB93" s="156">
        <f t="shared" si="240"/>
        <v>3.298798981685637E-2</v>
      </c>
      <c r="AC93" s="156">
        <f t="shared" si="240"/>
        <v>2.901950983888868E-2</v>
      </c>
      <c r="AD93" s="156">
        <f t="shared" si="240"/>
        <v>1.7114069904985634E-2</v>
      </c>
      <c r="AE93" s="156">
        <f t="shared" si="240"/>
        <v>1.7610129902231594E-2</v>
      </c>
      <c r="AG93" s="154">
        <v>2013</v>
      </c>
      <c r="AH93" s="156">
        <f t="shared" si="241"/>
        <v>8.6822276820921664E-3</v>
      </c>
      <c r="AI93" s="156">
        <f t="shared" si="241"/>
        <v>1.1423983792226533E-2</v>
      </c>
      <c r="AJ93" s="156">
        <f t="shared" si="241"/>
        <v>1.2794861847293717E-2</v>
      </c>
      <c r="AK93" s="156">
        <f t="shared" si="241"/>
        <v>8.9107073579366963E-3</v>
      </c>
      <c r="AL93" s="156">
        <f t="shared" si="241"/>
        <v>8.9107073579366963E-3</v>
      </c>
      <c r="AN93" s="154">
        <v>2013</v>
      </c>
      <c r="AO93" s="157">
        <f t="shared" si="242"/>
        <v>4.4282658823476045E-3</v>
      </c>
    </row>
    <row r="94" spans="1:45">
      <c r="A94" s="170">
        <f t="shared" si="243"/>
        <v>1.0772840038843743</v>
      </c>
      <c r="B94" s="154">
        <v>2014</v>
      </c>
      <c r="C94" s="156">
        <f t="shared" si="236"/>
        <v>0.31328785982440349</v>
      </c>
      <c r="D94" s="156">
        <f t="shared" si="236"/>
        <v>0.50358122653255977</v>
      </c>
      <c r="E94" s="156">
        <f t="shared" si="236"/>
        <v>0.56159749687041227</v>
      </c>
      <c r="F94" s="156">
        <f t="shared" si="236"/>
        <v>0.32024981226494581</v>
      </c>
      <c r="G94" s="156">
        <f t="shared" si="236"/>
        <v>0.33185306633251632</v>
      </c>
      <c r="H94" s="332"/>
      <c r="I94" s="154">
        <v>2014</v>
      </c>
      <c r="J94" s="156">
        <f t="shared" si="237"/>
        <v>8.3543429286507612E-3</v>
      </c>
      <c r="K94" s="156">
        <f t="shared" si="237"/>
        <v>1.113912390486768E-2</v>
      </c>
      <c r="L94" s="156">
        <f t="shared" si="237"/>
        <v>1.299564455567896E-2</v>
      </c>
      <c r="M94" s="156">
        <f t="shared" si="237"/>
        <v>8.3543429286507612E-3</v>
      </c>
      <c r="N94" s="156">
        <f t="shared" si="237"/>
        <v>8.5864080100021712E-3</v>
      </c>
      <c r="P94" s="154">
        <v>2014</v>
      </c>
      <c r="Q94" s="156">
        <f t="shared" si="238"/>
        <v>1.415596996243601E-2</v>
      </c>
      <c r="R94" s="156">
        <f t="shared" si="238"/>
        <v>2.9472265331629069E-2</v>
      </c>
      <c r="S94" s="156">
        <f t="shared" si="238"/>
        <v>2.7151614518114969E-2</v>
      </c>
      <c r="T94" s="156">
        <f t="shared" si="238"/>
        <v>1.462010012513883E-2</v>
      </c>
      <c r="U94" s="156">
        <f t="shared" si="238"/>
        <v>1.554836045054447E-2</v>
      </c>
      <c r="W94" s="154">
        <v>2014</v>
      </c>
      <c r="X94" s="157">
        <f t="shared" si="239"/>
        <v>23.71008936167356</v>
      </c>
      <c r="Z94" s="154">
        <v>2014</v>
      </c>
      <c r="AA94" s="156">
        <f t="shared" si="240"/>
        <v>1.4906236370445117E-2</v>
      </c>
      <c r="AB94" s="156">
        <f t="shared" si="240"/>
        <v>3.1034295394205411E-2</v>
      </c>
      <c r="AC94" s="156">
        <f t="shared" si="240"/>
        <v>2.859065008757506E-2</v>
      </c>
      <c r="AD94" s="156">
        <f t="shared" si="240"/>
        <v>1.5394965431771188E-2</v>
      </c>
      <c r="AE94" s="156">
        <f t="shared" si="240"/>
        <v>1.6372423554423327E-2</v>
      </c>
      <c r="AG94" s="154">
        <v>2014</v>
      </c>
      <c r="AH94" s="156">
        <f t="shared" si="241"/>
        <v>8.1037126407912368E-3</v>
      </c>
      <c r="AI94" s="156">
        <f t="shared" si="241"/>
        <v>1.080495018772165E-2</v>
      </c>
      <c r="AJ94" s="156">
        <f t="shared" si="241"/>
        <v>1.260577521900859E-2</v>
      </c>
      <c r="AK94" s="156">
        <f t="shared" si="241"/>
        <v>8.1037126407912368E-3</v>
      </c>
      <c r="AL94" s="156">
        <f t="shared" si="241"/>
        <v>8.3288157697021057E-3</v>
      </c>
      <c r="AN94" s="154">
        <v>2014</v>
      </c>
      <c r="AO94" s="157">
        <f t="shared" si="242"/>
        <v>4.3628235294065083E-3</v>
      </c>
    </row>
    <row r="95" spans="1:45">
      <c r="A95" s="170">
        <f t="shared" si="243"/>
        <v>1.0934432639426397</v>
      </c>
      <c r="B95" s="154">
        <v>2015</v>
      </c>
      <c r="C95" s="156">
        <f t="shared" si="236"/>
        <v>0.29493985708701376</v>
      </c>
      <c r="D95" s="156">
        <f t="shared" si="236"/>
        <v>0.49156642847835624</v>
      </c>
      <c r="E95" s="156">
        <f t="shared" si="236"/>
        <v>0.54872531551072323</v>
      </c>
      <c r="F95" s="156">
        <f t="shared" si="236"/>
        <v>0.29951256804960308</v>
      </c>
      <c r="G95" s="156">
        <f t="shared" si="236"/>
        <v>0.31323070093737115</v>
      </c>
      <c r="H95" s="332"/>
      <c r="I95" s="154">
        <v>2015</v>
      </c>
      <c r="J95" s="156">
        <f t="shared" si="237"/>
        <v>7.7736086364019125E-3</v>
      </c>
      <c r="K95" s="156">
        <f t="shared" si="237"/>
        <v>1.0974506310214464E-2</v>
      </c>
      <c r="L95" s="156">
        <f t="shared" si="237"/>
        <v>1.2574955147120741E-2</v>
      </c>
      <c r="M95" s="156">
        <f t="shared" si="237"/>
        <v>7.7736086364019125E-3</v>
      </c>
      <c r="N95" s="156">
        <f t="shared" si="237"/>
        <v>8.0022441845313801E-3</v>
      </c>
      <c r="P95" s="154">
        <v>2015</v>
      </c>
      <c r="Q95" s="156">
        <f t="shared" si="238"/>
        <v>1.3032226243379677E-2</v>
      </c>
      <c r="R95" s="156">
        <f t="shared" si="238"/>
        <v>2.8808079064312968E-2</v>
      </c>
      <c r="S95" s="156">
        <f t="shared" si="238"/>
        <v>2.6750359131147757E-2</v>
      </c>
      <c r="T95" s="156">
        <f t="shared" si="238"/>
        <v>1.3260861791509143E-2</v>
      </c>
      <c r="U95" s="156">
        <f t="shared" si="238"/>
        <v>1.4404039532156484E-2</v>
      </c>
      <c r="W95" s="154">
        <v>2015</v>
      </c>
      <c r="X95" s="157">
        <f t="shared" si="239"/>
        <v>23.359693952387747</v>
      </c>
      <c r="Z95" s="154">
        <v>2015</v>
      </c>
      <c r="AA95" s="156">
        <f t="shared" si="240"/>
        <v>1.3722934234278799E-2</v>
      </c>
      <c r="AB95" s="156">
        <f t="shared" si="240"/>
        <v>3.0334907254721554E-2</v>
      </c>
      <c r="AC95" s="156">
        <f t="shared" si="240"/>
        <v>2.8168128165098585E-2</v>
      </c>
      <c r="AD95" s="156">
        <f t="shared" si="240"/>
        <v>1.3963687466459127E-2</v>
      </c>
      <c r="AE95" s="156">
        <f t="shared" si="240"/>
        <v>1.5167453627360777E-2</v>
      </c>
      <c r="AG95" s="154">
        <v>2015</v>
      </c>
      <c r="AH95" s="156">
        <f t="shared" si="241"/>
        <v>7.5404003773098553E-3</v>
      </c>
      <c r="AI95" s="156">
        <f t="shared" si="241"/>
        <v>1.064527112090803E-2</v>
      </c>
      <c r="AJ95" s="156">
        <f t="shared" si="241"/>
        <v>1.2197706492707119E-2</v>
      </c>
      <c r="AK95" s="156">
        <f t="shared" si="241"/>
        <v>7.5404003773098553E-3</v>
      </c>
      <c r="AL95" s="156">
        <f t="shared" si="241"/>
        <v>7.762176858995439E-3</v>
      </c>
      <c r="AN95" s="154">
        <v>2015</v>
      </c>
      <c r="AO95" s="157">
        <f t="shared" si="242"/>
        <v>4.2983483048339988E-3</v>
      </c>
    </row>
    <row r="96" spans="1:45">
      <c r="A96" s="170">
        <f t="shared" si="243"/>
        <v>1.1098449129017791</v>
      </c>
      <c r="B96" s="154">
        <v>2016</v>
      </c>
      <c r="C96" s="156">
        <f t="shared" si="236"/>
        <v>0.27256060417404565</v>
      </c>
      <c r="D96" s="156">
        <f t="shared" si="236"/>
        <v>0.46853393114216113</v>
      </c>
      <c r="E96" s="156">
        <f t="shared" si="236"/>
        <v>0.53836350741815631</v>
      </c>
      <c r="F96" s="156">
        <f t="shared" si="236"/>
        <v>0.26805547022075565</v>
      </c>
      <c r="G96" s="156">
        <f t="shared" si="236"/>
        <v>0.29058113998720569</v>
      </c>
      <c r="H96" s="332"/>
      <c r="I96" s="154">
        <v>2016</v>
      </c>
      <c r="J96" s="156">
        <f t="shared" si="237"/>
        <v>6.9829576275995172E-3</v>
      </c>
      <c r="K96" s="156">
        <f t="shared" si="237"/>
        <v>1.0361808092567024E-2</v>
      </c>
      <c r="L96" s="156">
        <f t="shared" si="237"/>
        <v>1.238911837154753E-2</v>
      </c>
      <c r="M96" s="156">
        <f t="shared" si="237"/>
        <v>6.9829576275995172E-3</v>
      </c>
      <c r="N96" s="156">
        <f t="shared" si="237"/>
        <v>7.4334710229285172E-3</v>
      </c>
      <c r="P96" s="154">
        <v>2016</v>
      </c>
      <c r="Q96" s="156">
        <f t="shared" si="238"/>
        <v>1.1488091580889526E-2</v>
      </c>
      <c r="R96" s="156">
        <f t="shared" si="238"/>
        <v>2.7030803719740065E-2</v>
      </c>
      <c r="S96" s="156">
        <f t="shared" si="238"/>
        <v>2.6355033626746561E-2</v>
      </c>
      <c r="T96" s="156">
        <f t="shared" si="238"/>
        <v>1.1713348278554029E-2</v>
      </c>
      <c r="U96" s="156">
        <f t="shared" si="238"/>
        <v>1.2839631766876532E-2</v>
      </c>
      <c r="W96" s="154">
        <v>2016</v>
      </c>
      <c r="X96" s="157">
        <f t="shared" si="239"/>
        <v>23.01447680038202</v>
      </c>
      <c r="Z96" s="154">
        <v>2016</v>
      </c>
      <c r="AA96" s="156">
        <f t="shared" si="240"/>
        <v>1.2096960434676672E-2</v>
      </c>
      <c r="AB96" s="156">
        <f t="shared" si="240"/>
        <v>2.8463436316886286E-2</v>
      </c>
      <c r="AC96" s="156">
        <f t="shared" si="240"/>
        <v>2.7751850408964128E-2</v>
      </c>
      <c r="AD96" s="156">
        <f t="shared" si="240"/>
        <v>1.2334155737317392E-2</v>
      </c>
      <c r="AE96" s="156">
        <f t="shared" si="240"/>
        <v>1.3520132250520987E-2</v>
      </c>
      <c r="AG96" s="154">
        <v>2016</v>
      </c>
      <c r="AH96" s="156">
        <f t="shared" si="241"/>
        <v>6.7734688987715315E-3</v>
      </c>
      <c r="AI96" s="156">
        <f t="shared" si="241"/>
        <v>1.0050953849790014E-2</v>
      </c>
      <c r="AJ96" s="156">
        <f t="shared" si="241"/>
        <v>1.2017444820401103E-2</v>
      </c>
      <c r="AK96" s="156">
        <f t="shared" si="241"/>
        <v>6.7734688987715315E-3</v>
      </c>
      <c r="AL96" s="156">
        <f t="shared" si="241"/>
        <v>7.2104668922406611E-3</v>
      </c>
      <c r="AN96" s="154">
        <v>2016</v>
      </c>
      <c r="AO96" s="157">
        <f t="shared" si="242"/>
        <v>4.23482591609261E-3</v>
      </c>
    </row>
    <row r="97" spans="1:41">
      <c r="A97" s="170">
        <f t="shared" si="243"/>
        <v>1.1264925865953057</v>
      </c>
      <c r="B97" s="154">
        <v>2017</v>
      </c>
      <c r="C97" s="156">
        <f t="shared" si="236"/>
        <v>0.25299767028328141</v>
      </c>
      <c r="D97" s="156">
        <f t="shared" si="236"/>
        <v>0.45717122875750854</v>
      </c>
      <c r="E97" s="156">
        <f t="shared" si="236"/>
        <v>0.52596884085208506</v>
      </c>
      <c r="F97" s="156">
        <f t="shared" si="236"/>
        <v>0.24855911466427649</v>
      </c>
      <c r="G97" s="156">
        <f t="shared" si="236"/>
        <v>0.27075189275930117</v>
      </c>
      <c r="H97" s="332"/>
      <c r="I97" s="154">
        <v>2017</v>
      </c>
      <c r="J97" s="156">
        <f t="shared" si="237"/>
        <v>6.4359056475571585E-3</v>
      </c>
      <c r="K97" s="156">
        <f t="shared" si="237"/>
        <v>9.9867501427611093E-3</v>
      </c>
      <c r="L97" s="156">
        <f t="shared" si="237"/>
        <v>1.1984100171313331E-2</v>
      </c>
      <c r="M97" s="156">
        <f t="shared" si="237"/>
        <v>6.213977866606912E-3</v>
      </c>
      <c r="N97" s="156">
        <f t="shared" si="237"/>
        <v>6.6578334285074059E-3</v>
      </c>
      <c r="P97" s="154">
        <v>2017</v>
      </c>
      <c r="Q97" s="156">
        <f t="shared" si="238"/>
        <v>1.0208677923711355E-2</v>
      </c>
      <c r="R97" s="156">
        <f t="shared" si="238"/>
        <v>2.6187478152129132E-2</v>
      </c>
      <c r="S97" s="156">
        <f t="shared" si="238"/>
        <v>2.596555037117888E-2</v>
      </c>
      <c r="T97" s="156">
        <f t="shared" si="238"/>
        <v>1.0208677923711355E-2</v>
      </c>
      <c r="U97" s="156">
        <f t="shared" si="238"/>
        <v>1.1540244609412838E-2</v>
      </c>
      <c r="W97" s="154">
        <v>2017</v>
      </c>
      <c r="X97" s="157">
        <f t="shared" si="239"/>
        <v>22.674361379686722</v>
      </c>
      <c r="Z97" s="154">
        <v>2017</v>
      </c>
      <c r="AA97" s="156">
        <f t="shared" si="240"/>
        <v>1.0749737853668055E-2</v>
      </c>
      <c r="AB97" s="156">
        <f t="shared" si="240"/>
        <v>2.7575414494191972E-2</v>
      </c>
      <c r="AC97" s="156">
        <f t="shared" si="240"/>
        <v>2.7341724540851358E-2</v>
      </c>
      <c r="AD97" s="156">
        <f t="shared" si="240"/>
        <v>1.0749737853668055E-2</v>
      </c>
      <c r="AE97" s="156">
        <f t="shared" si="240"/>
        <v>1.2151877573711717E-2</v>
      </c>
      <c r="AG97" s="154">
        <v>2017</v>
      </c>
      <c r="AH97" s="156">
        <f t="shared" si="241"/>
        <v>6.2428284781304438E-3</v>
      </c>
      <c r="AI97" s="156">
        <f t="shared" si="241"/>
        <v>9.6871476384782756E-3</v>
      </c>
      <c r="AJ97" s="156">
        <f t="shared" si="241"/>
        <v>1.1624577166173931E-2</v>
      </c>
      <c r="AK97" s="156">
        <f t="shared" si="241"/>
        <v>6.0275585306087042E-3</v>
      </c>
      <c r="AL97" s="156">
        <f t="shared" si="241"/>
        <v>6.4580984256521834E-3</v>
      </c>
      <c r="AN97" s="154">
        <v>2017</v>
      </c>
      <c r="AO97" s="157">
        <f t="shared" si="242"/>
        <v>4.1722422818646406E-3</v>
      </c>
    </row>
    <row r="98" spans="1:41">
      <c r="A98" s="170">
        <f t="shared" si="243"/>
        <v>1.1433899753942351</v>
      </c>
      <c r="B98" s="154">
        <v>2018</v>
      </c>
      <c r="C98" s="156">
        <f t="shared" si="236"/>
        <v>0.23613990485346467</v>
      </c>
      <c r="D98" s="156">
        <f t="shared" si="236"/>
        <v>0.44166908129999871</v>
      </c>
      <c r="E98" s="156">
        <f t="shared" si="236"/>
        <v>0.51600942171683017</v>
      </c>
      <c r="F98" s="156">
        <f t="shared" si="236"/>
        <v>0.22958046305197954</v>
      </c>
      <c r="G98" s="156">
        <f t="shared" si="236"/>
        <v>0.25581823025792005</v>
      </c>
      <c r="H98" s="332"/>
      <c r="I98" s="154">
        <v>2018</v>
      </c>
      <c r="J98" s="156">
        <f t="shared" si="237"/>
        <v>5.9034976213366173E-3</v>
      </c>
      <c r="K98" s="156">
        <f t="shared" si="237"/>
        <v>9.620514642178191E-3</v>
      </c>
      <c r="L98" s="156">
        <f t="shared" si="237"/>
        <v>1.1806995242673235E-2</v>
      </c>
      <c r="M98" s="156">
        <f t="shared" si="237"/>
        <v>5.6848495612871128E-3</v>
      </c>
      <c r="N98" s="156">
        <f t="shared" si="237"/>
        <v>6.122145681386121E-3</v>
      </c>
      <c r="P98" s="154">
        <v>2018</v>
      </c>
      <c r="Q98" s="156">
        <f t="shared" si="238"/>
        <v>9.1832185220791819E-3</v>
      </c>
      <c r="R98" s="156">
        <f t="shared" si="238"/>
        <v>2.5144526905692997E-2</v>
      </c>
      <c r="S98" s="156">
        <f t="shared" si="238"/>
        <v>2.5581823025792004E-2</v>
      </c>
      <c r="T98" s="156">
        <f t="shared" si="238"/>
        <v>8.9645704620296765E-3</v>
      </c>
      <c r="U98" s="156">
        <f t="shared" si="238"/>
        <v>1.0495106882376207E-2</v>
      </c>
      <c r="W98" s="154">
        <v>2018</v>
      </c>
      <c r="X98" s="157">
        <f t="shared" si="239"/>
        <v>22.339272295257857</v>
      </c>
      <c r="Z98" s="154">
        <v>2018</v>
      </c>
      <c r="AA98" s="156">
        <f t="shared" si="240"/>
        <v>9.6699291037493779E-3</v>
      </c>
      <c r="AB98" s="156">
        <f t="shared" si="240"/>
        <v>2.6477186831694723E-2</v>
      </c>
      <c r="AC98" s="156">
        <f t="shared" si="240"/>
        <v>2.693765964615898E-2</v>
      </c>
      <c r="AD98" s="156">
        <f t="shared" si="240"/>
        <v>9.4396926965172497E-3</v>
      </c>
      <c r="AE98" s="156">
        <f t="shared" si="240"/>
        <v>1.1051347547142145E-2</v>
      </c>
      <c r="AG98" s="154">
        <v>2018</v>
      </c>
      <c r="AH98" s="156">
        <f t="shared" si="241"/>
        <v>5.7263926926965185E-3</v>
      </c>
      <c r="AI98" s="156">
        <f t="shared" si="241"/>
        <v>9.3318992029128439E-3</v>
      </c>
      <c r="AJ98" s="156">
        <f t="shared" si="241"/>
        <v>1.1452785385393037E-2</v>
      </c>
      <c r="AK98" s="156">
        <f t="shared" si="241"/>
        <v>5.5143040744484988E-3</v>
      </c>
      <c r="AL98" s="156">
        <f t="shared" si="241"/>
        <v>5.9384813109445373E-3</v>
      </c>
      <c r="AN98" s="154">
        <v>2018</v>
      </c>
      <c r="AO98" s="157">
        <f t="shared" si="242"/>
        <v>4.1105835289306806E-3</v>
      </c>
    </row>
    <row r="99" spans="1:41">
      <c r="A99" s="170">
        <f t="shared" si="243"/>
        <v>1.1605408250251485</v>
      </c>
      <c r="B99" s="154">
        <v>2019</v>
      </c>
      <c r="C99" s="156">
        <f t="shared" ref="C99:G108" si="244">C14/(400*$A99)</f>
        <v>0.22187931216846254</v>
      </c>
      <c r="D99" s="156">
        <f t="shared" si="244"/>
        <v>0.43083361586109231</v>
      </c>
      <c r="E99" s="156">
        <f t="shared" si="244"/>
        <v>0.50192116247817253</v>
      </c>
      <c r="F99" s="156">
        <f t="shared" si="244"/>
        <v>0.21110847177193523</v>
      </c>
      <c r="G99" s="156">
        <f t="shared" si="244"/>
        <v>0.24126682488221168</v>
      </c>
      <c r="H99" s="332"/>
      <c r="I99" s="154">
        <v>2019</v>
      </c>
      <c r="J99" s="156">
        <f t="shared" ref="J99:N108" si="245">J14/(400*$A99)</f>
        <v>5.3854201982636539E-3</v>
      </c>
      <c r="K99" s="156">
        <f t="shared" si="245"/>
        <v>9.4783395489440314E-3</v>
      </c>
      <c r="L99" s="156">
        <f t="shared" si="245"/>
        <v>1.1632507628249493E-2</v>
      </c>
      <c r="M99" s="156">
        <f t="shared" si="245"/>
        <v>4.9545865824025606E-3</v>
      </c>
      <c r="N99" s="156">
        <f t="shared" si="245"/>
        <v>5.6008370061941997E-3</v>
      </c>
      <c r="P99" s="154">
        <v>2019</v>
      </c>
      <c r="Q99" s="156">
        <f t="shared" ref="Q99:U108" si="246">Q14/(400*$A99)</f>
        <v>8.4012555092912999E-3</v>
      </c>
      <c r="R99" s="156">
        <f t="shared" si="246"/>
        <v>2.4557516104082262E-2</v>
      </c>
      <c r="S99" s="156">
        <f t="shared" si="246"/>
        <v>2.5203766527873896E-2</v>
      </c>
      <c r="T99" s="156">
        <f t="shared" si="246"/>
        <v>7.5395882775691151E-3</v>
      </c>
      <c r="U99" s="156">
        <f t="shared" si="246"/>
        <v>9.6937563568745763E-3</v>
      </c>
      <c r="W99" s="154">
        <v>2019</v>
      </c>
      <c r="X99" s="157">
        <f t="shared" si="239"/>
        <v>22.0091352662639</v>
      </c>
      <c r="Z99" s="154">
        <v>2019</v>
      </c>
      <c r="AA99" s="156">
        <f t="shared" ref="AA99:AE108" si="247">AA14/(400*$A99)</f>
        <v>8.8465220512837384E-3</v>
      </c>
      <c r="AB99" s="156">
        <f t="shared" si="247"/>
        <v>2.585906445759862E-2</v>
      </c>
      <c r="AC99" s="156">
        <f t="shared" si="247"/>
        <v>2.6539566153851214E-2</v>
      </c>
      <c r="AD99" s="156">
        <f t="shared" si="247"/>
        <v>7.9391864562802783E-3</v>
      </c>
      <c r="AE99" s="156">
        <f t="shared" si="247"/>
        <v>1.0207525443788929E-2</v>
      </c>
      <c r="AG99" s="154">
        <v>2019</v>
      </c>
      <c r="AH99" s="156">
        <f t="shared" ref="AH99:AL108" si="248">AH14/(400*$A99)</f>
        <v>5.2238575923157435E-3</v>
      </c>
      <c r="AI99" s="156">
        <f t="shared" si="248"/>
        <v>9.1939893624757088E-3</v>
      </c>
      <c r="AJ99" s="156">
        <f t="shared" si="248"/>
        <v>1.1283532399402009E-2</v>
      </c>
      <c r="AK99" s="156">
        <f t="shared" si="248"/>
        <v>4.8059489849304844E-3</v>
      </c>
      <c r="AL99" s="156">
        <f t="shared" si="248"/>
        <v>5.4328118960083735E-3</v>
      </c>
      <c r="AN99" s="154">
        <v>2019</v>
      </c>
      <c r="AO99" s="157">
        <f t="shared" si="242"/>
        <v>4.0498359890942673E-3</v>
      </c>
    </row>
    <row r="100" spans="1:41">
      <c r="A100" s="170">
        <f t="shared" si="243"/>
        <v>1.1779489374005256</v>
      </c>
      <c r="B100" s="154">
        <v>2020</v>
      </c>
      <c r="C100" s="156">
        <f t="shared" si="244"/>
        <v>0.21011097522289726</v>
      </c>
      <c r="D100" s="156">
        <f t="shared" si="244"/>
        <v>0.3968762865321393</v>
      </c>
      <c r="E100" s="156">
        <f t="shared" si="244"/>
        <v>0.4902589421867603</v>
      </c>
      <c r="F100" s="156">
        <f t="shared" si="244"/>
        <v>0.19737697672453985</v>
      </c>
      <c r="G100" s="156">
        <f t="shared" si="244"/>
        <v>0.22708963988737382</v>
      </c>
      <c r="H100" s="332"/>
      <c r="I100" s="154">
        <v>2020</v>
      </c>
      <c r="J100" s="156">
        <f t="shared" si="245"/>
        <v>4.8813660910370068E-3</v>
      </c>
      <c r="K100" s="156">
        <f t="shared" si="245"/>
        <v>8.7015656405442302E-3</v>
      </c>
      <c r="L100" s="156">
        <f t="shared" si="245"/>
        <v>1.1248365340215713E-2</v>
      </c>
      <c r="M100" s="156">
        <f t="shared" si="245"/>
        <v>4.4568994744250941E-3</v>
      </c>
      <c r="N100" s="156">
        <f t="shared" si="245"/>
        <v>5.3058327076489211E-3</v>
      </c>
      <c r="P100" s="154">
        <v>2020</v>
      </c>
      <c r="Q100" s="156">
        <f t="shared" si="246"/>
        <v>7.6403990990144468E-3</v>
      </c>
      <c r="R100" s="156">
        <f t="shared" si="246"/>
        <v>2.228449737212547E-2</v>
      </c>
      <c r="S100" s="156">
        <f t="shared" si="246"/>
        <v>2.4831297071796949E-2</v>
      </c>
      <c r="T100" s="156">
        <f t="shared" si="246"/>
        <v>6.5792325574846626E-3</v>
      </c>
      <c r="U100" s="156">
        <f t="shared" si="246"/>
        <v>8.9137989488501882E-3</v>
      </c>
      <c r="W100" s="154">
        <v>2020</v>
      </c>
      <c r="X100" s="157">
        <f t="shared" si="239"/>
        <v>21.683877109619612</v>
      </c>
      <c r="Z100" s="154">
        <v>2020</v>
      </c>
      <c r="AA100" s="156">
        <f t="shared" si="247"/>
        <v>8.0453402512622122E-3</v>
      </c>
      <c r="AB100" s="156">
        <f t="shared" si="247"/>
        <v>2.3465575732848118E-2</v>
      </c>
      <c r="AC100" s="156">
        <f t="shared" si="247"/>
        <v>2.6147355816602186E-2</v>
      </c>
      <c r="AD100" s="156">
        <f t="shared" si="247"/>
        <v>6.9279318830313494E-3</v>
      </c>
      <c r="AE100" s="156">
        <f t="shared" si="247"/>
        <v>9.3862302931392479E-3</v>
      </c>
      <c r="AG100" s="154">
        <v>2020</v>
      </c>
      <c r="AH100" s="156">
        <f t="shared" si="248"/>
        <v>4.7349251083058964E-3</v>
      </c>
      <c r="AI100" s="156">
        <f t="shared" si="248"/>
        <v>8.4405186713279023E-3</v>
      </c>
      <c r="AJ100" s="156">
        <f t="shared" si="248"/>
        <v>1.0910914380009242E-2</v>
      </c>
      <c r="AK100" s="156">
        <f t="shared" si="248"/>
        <v>4.3231924901923407E-3</v>
      </c>
      <c r="AL100" s="156">
        <f t="shared" si="248"/>
        <v>5.146657726419453E-3</v>
      </c>
      <c r="AN100" s="154">
        <v>2020</v>
      </c>
      <c r="AO100" s="157">
        <f t="shared" si="242"/>
        <v>3.9899861961519888E-3</v>
      </c>
    </row>
    <row r="101" spans="1:41">
      <c r="A101" s="170">
        <f t="shared" si="243"/>
        <v>1.1956181714615335</v>
      </c>
      <c r="B101" s="154">
        <v>2021</v>
      </c>
      <c r="C101" s="156">
        <f t="shared" si="244"/>
        <v>0.19655104414541816</v>
      </c>
      <c r="D101" s="156">
        <f t="shared" si="244"/>
        <v>0.38682918262662086</v>
      </c>
      <c r="E101" s="156">
        <f t="shared" si="244"/>
        <v>0.47674083048037597</v>
      </c>
      <c r="F101" s="156">
        <f t="shared" si="244"/>
        <v>0.18400523281698722</v>
      </c>
      <c r="G101" s="156">
        <f t="shared" si="244"/>
        <v>0.21327879258332608</v>
      </c>
      <c r="H101" s="332"/>
      <c r="I101" s="154">
        <v>2021</v>
      </c>
      <c r="J101" s="156">
        <f t="shared" si="245"/>
        <v>4.6001308204246805E-3</v>
      </c>
      <c r="K101" s="156">
        <f t="shared" si="245"/>
        <v>8.3638742189539646E-3</v>
      </c>
      <c r="L101" s="156">
        <f t="shared" si="245"/>
        <v>1.1082133340114002E-2</v>
      </c>
      <c r="M101" s="156">
        <f t="shared" si="245"/>
        <v>4.1819371094769823E-3</v>
      </c>
      <c r="N101" s="156">
        <f t="shared" si="245"/>
        <v>5.0183245313723786E-3</v>
      </c>
      <c r="P101" s="154">
        <v>2021</v>
      </c>
      <c r="Q101" s="156">
        <f t="shared" si="246"/>
        <v>7.1092930861108693E-3</v>
      </c>
      <c r="R101" s="156">
        <f t="shared" si="246"/>
        <v>2.1746072969280307E-2</v>
      </c>
      <c r="S101" s="156">
        <f t="shared" si="246"/>
        <v>2.4464332090440345E-2</v>
      </c>
      <c r="T101" s="156">
        <f t="shared" si="246"/>
        <v>6.0638088087416235E-3</v>
      </c>
      <c r="U101" s="156">
        <f t="shared" si="246"/>
        <v>8.3638742189539646E-3</v>
      </c>
      <c r="W101" s="154">
        <v>2021</v>
      </c>
      <c r="X101" s="157">
        <f t="shared" si="239"/>
        <v>21.363425723763164</v>
      </c>
      <c r="Z101" s="154">
        <v>2021</v>
      </c>
      <c r="AA101" s="156">
        <f t="shared" si="247"/>
        <v>7.4860856196747446E-3</v>
      </c>
      <c r="AB101" s="156">
        <f t="shared" si="247"/>
        <v>2.2898614836652162E-2</v>
      </c>
      <c r="AC101" s="156">
        <f t="shared" si="247"/>
        <v>2.576094169123368E-2</v>
      </c>
      <c r="AD101" s="156">
        <f t="shared" si="247"/>
        <v>6.3851906756049294E-3</v>
      </c>
      <c r="AE101" s="156">
        <f t="shared" si="247"/>
        <v>8.8071595525585234E-3</v>
      </c>
      <c r="AG101" s="154">
        <v>2021</v>
      </c>
      <c r="AH101" s="156">
        <f t="shared" si="248"/>
        <v>4.4621268958119397E-3</v>
      </c>
      <c r="AI101" s="156">
        <f t="shared" si="248"/>
        <v>8.1129579923853445E-3</v>
      </c>
      <c r="AJ101" s="156">
        <f t="shared" si="248"/>
        <v>1.0749669339910582E-2</v>
      </c>
      <c r="AK101" s="156">
        <f t="shared" si="248"/>
        <v>4.0564789961926723E-3</v>
      </c>
      <c r="AL101" s="156">
        <f t="shared" si="248"/>
        <v>4.8677747954312071E-3</v>
      </c>
      <c r="AN101" s="154">
        <v>2021</v>
      </c>
      <c r="AO101" s="157">
        <f t="shared" si="242"/>
        <v>3.9310208829083631E-3</v>
      </c>
    </row>
    <row r="102" spans="1:41">
      <c r="A102" s="170">
        <f t="shared" si="243"/>
        <v>1.2135524440334564</v>
      </c>
      <c r="B102" s="154">
        <v>2022</v>
      </c>
      <c r="C102" s="156">
        <f t="shared" si="244"/>
        <v>0.18334601120367067</v>
      </c>
      <c r="D102" s="156">
        <f t="shared" si="244"/>
        <v>0.36463195486572703</v>
      </c>
      <c r="E102" s="156">
        <f t="shared" si="244"/>
        <v>0.46351519686321235</v>
      </c>
      <c r="F102" s="156">
        <f t="shared" si="244"/>
        <v>0.17098560595398499</v>
      </c>
      <c r="G102" s="156">
        <f t="shared" si="244"/>
        <v>0.19982655153658488</v>
      </c>
      <c r="H102" s="332"/>
      <c r="I102" s="154">
        <v>2022</v>
      </c>
      <c r="J102" s="156">
        <f t="shared" si="245"/>
        <v>4.1201350832285539E-3</v>
      </c>
      <c r="K102" s="156">
        <f t="shared" si="245"/>
        <v>8.0342634122956801E-3</v>
      </c>
      <c r="L102" s="156">
        <f t="shared" si="245"/>
        <v>1.0918357970555667E-2</v>
      </c>
      <c r="M102" s="156">
        <f t="shared" si="245"/>
        <v>3.708121574905699E-3</v>
      </c>
      <c r="N102" s="156">
        <f t="shared" si="245"/>
        <v>4.53214859155141E-3</v>
      </c>
      <c r="P102" s="154">
        <v>2022</v>
      </c>
      <c r="Q102" s="156">
        <f t="shared" si="246"/>
        <v>6.5922161331656865E-3</v>
      </c>
      <c r="R102" s="156">
        <f t="shared" si="246"/>
        <v>2.0188661907819917E-2</v>
      </c>
      <c r="S102" s="156">
        <f t="shared" si="246"/>
        <v>2.410279023688704E-2</v>
      </c>
      <c r="T102" s="156">
        <f t="shared" si="246"/>
        <v>5.5621823623585483E-3</v>
      </c>
      <c r="U102" s="156">
        <f t="shared" si="246"/>
        <v>7.8282566581342524E-3</v>
      </c>
      <c r="W102" s="154">
        <v>2022</v>
      </c>
      <c r="X102" s="157">
        <f t="shared" si="239"/>
        <v>21.04771007267307</v>
      </c>
      <c r="Z102" s="154">
        <v>2022</v>
      </c>
      <c r="AA102" s="156">
        <f t="shared" si="247"/>
        <v>6.9416035882234684E-3</v>
      </c>
      <c r="AB102" s="156">
        <f t="shared" si="247"/>
        <v>2.1258660988934371E-2</v>
      </c>
      <c r="AC102" s="156">
        <f t="shared" si="247"/>
        <v>2.5380238119442053E-2</v>
      </c>
      <c r="AD102" s="156">
        <f t="shared" si="247"/>
        <v>5.8569780275635518E-3</v>
      </c>
      <c r="AE102" s="156">
        <f t="shared" si="247"/>
        <v>8.2431542610153664E-3</v>
      </c>
      <c r="AG102" s="154">
        <v>2022</v>
      </c>
      <c r="AH102" s="156">
        <f t="shared" si="248"/>
        <v>3.9965310307316978E-3</v>
      </c>
      <c r="AI102" s="156">
        <f t="shared" si="248"/>
        <v>7.7932355099268099E-3</v>
      </c>
      <c r="AJ102" s="156">
        <f t="shared" si="248"/>
        <v>1.0590807231438999E-2</v>
      </c>
      <c r="AK102" s="156">
        <f t="shared" si="248"/>
        <v>3.5968779276585277E-3</v>
      </c>
      <c r="AL102" s="156">
        <f t="shared" si="248"/>
        <v>4.3961841338048674E-3</v>
      </c>
      <c r="AN102" s="154">
        <v>2022</v>
      </c>
      <c r="AO102" s="157">
        <f t="shared" si="242"/>
        <v>3.8729269782348408E-3</v>
      </c>
    </row>
    <row r="103" spans="1:41">
      <c r="A103" s="170">
        <f t="shared" si="243"/>
        <v>1.2317557306939582</v>
      </c>
      <c r="B103" s="154">
        <v>2023</v>
      </c>
      <c r="C103" s="156">
        <f t="shared" si="244"/>
        <v>0.1704883482715264</v>
      </c>
      <c r="D103" s="156">
        <f t="shared" si="244"/>
        <v>0.34909518931788736</v>
      </c>
      <c r="E103" s="156">
        <f t="shared" si="244"/>
        <v>0.45260597219702842</v>
      </c>
      <c r="F103" s="156">
        <f t="shared" si="244"/>
        <v>0.1583106091092745</v>
      </c>
      <c r="G103" s="156">
        <f t="shared" si="244"/>
        <v>0.18672533382119558</v>
      </c>
      <c r="H103" s="332"/>
      <c r="I103" s="154">
        <v>2023</v>
      </c>
      <c r="J103" s="156">
        <f t="shared" si="245"/>
        <v>3.8562840680464302E-3</v>
      </c>
      <c r="K103" s="156">
        <f t="shared" si="245"/>
        <v>7.5096058167219964E-3</v>
      </c>
      <c r="L103" s="156">
        <f t="shared" si="245"/>
        <v>1.0554040607284968E-2</v>
      </c>
      <c r="M103" s="156">
        <f t="shared" si="245"/>
        <v>3.4503594293047008E-3</v>
      </c>
      <c r="N103" s="156">
        <f t="shared" si="245"/>
        <v>4.2622087067881601E-3</v>
      </c>
      <c r="P103" s="154">
        <v>2023</v>
      </c>
      <c r="Q103" s="156">
        <f t="shared" si="246"/>
        <v>6.0888695811259427E-3</v>
      </c>
      <c r="R103" s="156">
        <f t="shared" si="246"/>
        <v>1.9281420340232152E-2</v>
      </c>
      <c r="S103" s="156">
        <f t="shared" si="246"/>
        <v>2.3746591366391175E-2</v>
      </c>
      <c r="T103" s="156">
        <f t="shared" si="246"/>
        <v>4.871095664900754E-3</v>
      </c>
      <c r="U103" s="156">
        <f t="shared" si="246"/>
        <v>7.3066434973511315E-3</v>
      </c>
      <c r="W103" s="154">
        <v>2023</v>
      </c>
      <c r="X103" s="157">
        <f t="shared" si="239"/>
        <v>20.736660170121251</v>
      </c>
      <c r="Z103" s="154">
        <v>2023</v>
      </c>
      <c r="AA103" s="156">
        <f t="shared" si="247"/>
        <v>6.4115796689256169E-3</v>
      </c>
      <c r="AB103" s="156">
        <f t="shared" si="247"/>
        <v>2.0303335618264452E-2</v>
      </c>
      <c r="AC103" s="156">
        <f t="shared" si="247"/>
        <v>2.5005160708809905E-2</v>
      </c>
      <c r="AD103" s="156">
        <f t="shared" si="247"/>
        <v>5.129263735140493E-3</v>
      </c>
      <c r="AE103" s="156">
        <f t="shared" si="247"/>
        <v>7.6938956027107408E-3</v>
      </c>
      <c r="AG103" s="154">
        <v>2023</v>
      </c>
      <c r="AH103" s="156">
        <f t="shared" si="248"/>
        <v>3.7405955460050374E-3</v>
      </c>
      <c r="AI103" s="156">
        <f t="shared" si="248"/>
        <v>7.2843176422203362E-3</v>
      </c>
      <c r="AJ103" s="156">
        <f t="shared" si="248"/>
        <v>1.0237419389066417E-2</v>
      </c>
      <c r="AK103" s="156">
        <f t="shared" si="248"/>
        <v>3.3468486464255597E-3</v>
      </c>
      <c r="AL103" s="156">
        <f t="shared" si="248"/>
        <v>4.1343424455845146E-3</v>
      </c>
      <c r="AN103" s="154">
        <v>2023</v>
      </c>
      <c r="AO103" s="157">
        <f t="shared" si="242"/>
        <v>3.8156916041722573E-3</v>
      </c>
    </row>
    <row r="104" spans="1:41">
      <c r="A104" s="170">
        <f t="shared" si="243"/>
        <v>1.2502320666543674</v>
      </c>
      <c r="B104" s="154">
        <v>2024</v>
      </c>
      <c r="C104" s="156">
        <f t="shared" si="244"/>
        <v>0.15797067221968786</v>
      </c>
      <c r="D104" s="156">
        <f t="shared" si="244"/>
        <v>0.32393985948847381</v>
      </c>
      <c r="E104" s="156">
        <f t="shared" si="244"/>
        <v>0.43991832770039657</v>
      </c>
      <c r="F104" s="156">
        <f t="shared" si="244"/>
        <v>0.14597289964604068</v>
      </c>
      <c r="G104" s="156">
        <f t="shared" si="244"/>
        <v>0.17396770231788408</v>
      </c>
      <c r="H104" s="332"/>
      <c r="I104" s="154">
        <v>2024</v>
      </c>
      <c r="J104" s="156">
        <f t="shared" si="245"/>
        <v>3.3993688958667005E-3</v>
      </c>
      <c r="K104" s="156">
        <f t="shared" si="245"/>
        <v>6.9987006679608542E-3</v>
      </c>
      <c r="L104" s="156">
        <f t="shared" si="245"/>
        <v>1.0398069563827555E-2</v>
      </c>
      <c r="M104" s="156">
        <f t="shared" si="245"/>
        <v>2.9994431434117947E-3</v>
      </c>
      <c r="N104" s="156">
        <f t="shared" si="245"/>
        <v>3.7992946483216064E-3</v>
      </c>
      <c r="P104" s="154">
        <v>2024</v>
      </c>
      <c r="Q104" s="156">
        <f t="shared" si="246"/>
        <v>5.598960534368683E-3</v>
      </c>
      <c r="R104" s="156">
        <f t="shared" si="246"/>
        <v>1.7796695984243317E-2</v>
      </c>
      <c r="S104" s="156">
        <f t="shared" si="246"/>
        <v>2.3395656518611998E-2</v>
      </c>
      <c r="T104" s="156">
        <f t="shared" si="246"/>
        <v>4.3991832770039659E-3</v>
      </c>
      <c r="U104" s="156">
        <f t="shared" si="246"/>
        <v>6.7987377917334011E-3</v>
      </c>
      <c r="W104" s="154">
        <v>2024</v>
      </c>
      <c r="X104" s="157">
        <f t="shared" si="239"/>
        <v>20.430207064158871</v>
      </c>
      <c r="Z104" s="154">
        <v>2024</v>
      </c>
      <c r="AA104" s="156">
        <f t="shared" si="247"/>
        <v>5.8957054426902224E-3</v>
      </c>
      <c r="AB104" s="156">
        <f t="shared" si="247"/>
        <v>1.8739920871408213E-2</v>
      </c>
      <c r="AC104" s="156">
        <f t="shared" si="247"/>
        <v>2.4635626314098432E-2</v>
      </c>
      <c r="AD104" s="156">
        <f t="shared" si="247"/>
        <v>4.6323399906851763E-3</v>
      </c>
      <c r="AE104" s="156">
        <f t="shared" si="247"/>
        <v>7.159070894695271E-3</v>
      </c>
      <c r="AG104" s="154">
        <v>2024</v>
      </c>
      <c r="AH104" s="156">
        <f t="shared" si="248"/>
        <v>3.2973878289906996E-3</v>
      </c>
      <c r="AI104" s="156">
        <f t="shared" si="248"/>
        <v>6.7887396479220288E-3</v>
      </c>
      <c r="AJ104" s="156">
        <f t="shared" si="248"/>
        <v>1.0086127476912728E-2</v>
      </c>
      <c r="AK104" s="156">
        <f t="shared" si="248"/>
        <v>2.9094598491094408E-3</v>
      </c>
      <c r="AL104" s="156">
        <f t="shared" si="248"/>
        <v>3.6853158088719583E-3</v>
      </c>
      <c r="AN104" s="154">
        <v>2024</v>
      </c>
      <c r="AO104" s="157">
        <f t="shared" si="242"/>
        <v>3.7593020730761159E-3</v>
      </c>
    </row>
    <row r="105" spans="1:41">
      <c r="A105" s="170">
        <f t="shared" si="243"/>
        <v>1.2689855476541827</v>
      </c>
      <c r="B105" s="154">
        <v>2025</v>
      </c>
      <c r="C105" s="156">
        <f t="shared" si="244"/>
        <v>0.14578574227420218</v>
      </c>
      <c r="D105" s="156">
        <f t="shared" si="244"/>
        <v>0.29551163974500444</v>
      </c>
      <c r="E105" s="156">
        <f t="shared" si="244"/>
        <v>0.42750683883110641</v>
      </c>
      <c r="F105" s="156">
        <f t="shared" si="244"/>
        <v>0.133965276684402</v>
      </c>
      <c r="G105" s="156">
        <f t="shared" si="244"/>
        <v>0.1595762854623024</v>
      </c>
      <c r="H105" s="332"/>
      <c r="I105" s="154">
        <v>2025</v>
      </c>
      <c r="J105" s="156">
        <f t="shared" si="245"/>
        <v>3.1521241572800476E-3</v>
      </c>
      <c r="K105" s="156">
        <f t="shared" si="245"/>
        <v>6.3042483145600951E-3</v>
      </c>
      <c r="L105" s="156">
        <f t="shared" si="245"/>
        <v>1.004739575133015E-2</v>
      </c>
      <c r="M105" s="156">
        <f t="shared" si="245"/>
        <v>2.7581086376200414E-3</v>
      </c>
      <c r="N105" s="156">
        <f t="shared" si="245"/>
        <v>3.5461396769400533E-3</v>
      </c>
      <c r="P105" s="154">
        <v>2025</v>
      </c>
      <c r="Q105" s="156">
        <f t="shared" si="246"/>
        <v>5.1222017555800775E-3</v>
      </c>
      <c r="R105" s="156">
        <f t="shared" si="246"/>
        <v>1.5760620786400236E-2</v>
      </c>
      <c r="S105" s="156">
        <f t="shared" si="246"/>
        <v>2.3049907900110345E-2</v>
      </c>
      <c r="T105" s="156">
        <f t="shared" si="246"/>
        <v>3.940155196600059E-3</v>
      </c>
      <c r="U105" s="156">
        <f t="shared" si="246"/>
        <v>6.1072405547300916E-3</v>
      </c>
      <c r="W105" s="154">
        <v>2025</v>
      </c>
      <c r="X105" s="157">
        <f t="shared" si="239"/>
        <v>20.128282821831402</v>
      </c>
      <c r="Z105" s="154">
        <v>2025</v>
      </c>
      <c r="AA105" s="156">
        <f t="shared" si="247"/>
        <v>5.3936784486258212E-3</v>
      </c>
      <c r="AB105" s="156">
        <f t="shared" si="247"/>
        <v>1.6595933688079448E-2</v>
      </c>
      <c r="AC105" s="156">
        <f t="shared" si="247"/>
        <v>2.4271553018816193E-2</v>
      </c>
      <c r="AD105" s="156">
        <f t="shared" si="247"/>
        <v>4.1489834220198619E-3</v>
      </c>
      <c r="AE105" s="156">
        <f t="shared" si="247"/>
        <v>6.4309243041307867E-3</v>
      </c>
      <c r="AG105" s="154">
        <v>2025</v>
      </c>
      <c r="AH105" s="156">
        <f t="shared" si="248"/>
        <v>3.0575604325616462E-3</v>
      </c>
      <c r="AI105" s="156">
        <f t="shared" si="248"/>
        <v>6.1151208651232924E-3</v>
      </c>
      <c r="AJ105" s="156">
        <f t="shared" si="248"/>
        <v>9.7459738787902452E-3</v>
      </c>
      <c r="AK105" s="156">
        <f t="shared" si="248"/>
        <v>2.6753653784914399E-3</v>
      </c>
      <c r="AL105" s="156">
        <f t="shared" si="248"/>
        <v>3.4397554866318516E-3</v>
      </c>
      <c r="AN105" s="154">
        <v>2025</v>
      </c>
      <c r="AO105" s="157">
        <f t="shared" si="242"/>
        <v>3.7037458848040556E-3</v>
      </c>
    </row>
    <row r="106" spans="1:41">
      <c r="A106" s="170">
        <f t="shared" si="243"/>
        <v>1.2880203308689953</v>
      </c>
      <c r="B106" s="154">
        <v>2026</v>
      </c>
      <c r="C106" s="156">
        <f t="shared" si="244"/>
        <v>0.13392645742138135</v>
      </c>
      <c r="D106" s="156">
        <f t="shared" si="244"/>
        <v>0.2794986937489698</v>
      </c>
      <c r="E106" s="156">
        <f t="shared" si="244"/>
        <v>0.41730707747242018</v>
      </c>
      <c r="F106" s="156">
        <f t="shared" si="244"/>
        <v>0.12422164166620879</v>
      </c>
      <c r="G106" s="156">
        <f t="shared" si="244"/>
        <v>0.14945416262965747</v>
      </c>
      <c r="H106" s="332"/>
      <c r="I106" s="154">
        <v>2026</v>
      </c>
      <c r="J106" s="156">
        <f t="shared" si="245"/>
        <v>2.9114447265517684E-3</v>
      </c>
      <c r="K106" s="156">
        <f t="shared" si="245"/>
        <v>6.0169857682069883E-3</v>
      </c>
      <c r="L106" s="156">
        <f t="shared" si="245"/>
        <v>9.8989120702760117E-3</v>
      </c>
      <c r="M106" s="156">
        <f t="shared" si="245"/>
        <v>2.3291557812414147E-3</v>
      </c>
      <c r="N106" s="156">
        <f t="shared" si="245"/>
        <v>3.1055410416552199E-3</v>
      </c>
      <c r="P106" s="154">
        <v>2026</v>
      </c>
      <c r="Q106" s="156">
        <f t="shared" si="246"/>
        <v>4.852407877586281E-3</v>
      </c>
      <c r="R106" s="156">
        <f t="shared" si="246"/>
        <v>1.4751319947862293E-2</v>
      </c>
      <c r="S106" s="156">
        <f t="shared" si="246"/>
        <v>2.2709268867103793E-2</v>
      </c>
      <c r="T106" s="156">
        <f t="shared" si="246"/>
        <v>3.4937336718621225E-3</v>
      </c>
      <c r="U106" s="156">
        <f t="shared" si="246"/>
        <v>5.6287931380000853E-3</v>
      </c>
      <c r="W106" s="154">
        <v>2026</v>
      </c>
      <c r="X106" s="157">
        <f t="shared" si="239"/>
        <v>19.830820514119612</v>
      </c>
      <c r="Z106" s="154">
        <v>2026</v>
      </c>
      <c r="AA106" s="156">
        <f t="shared" si="247"/>
        <v>5.1095854950983536E-3</v>
      </c>
      <c r="AB106" s="156">
        <f t="shared" si="247"/>
        <v>1.5533139905098994E-2</v>
      </c>
      <c r="AC106" s="156">
        <f t="shared" si="247"/>
        <v>2.3912860117060293E-2</v>
      </c>
      <c r="AD106" s="156">
        <f t="shared" si="247"/>
        <v>3.6789015564708148E-3</v>
      </c>
      <c r="AE106" s="156">
        <f t="shared" si="247"/>
        <v>5.9271191743140899E-3</v>
      </c>
      <c r="AG106" s="154">
        <v>2026</v>
      </c>
      <c r="AH106" s="156">
        <f t="shared" si="248"/>
        <v>2.8241013847552158E-3</v>
      </c>
      <c r="AI106" s="156">
        <f t="shared" si="248"/>
        <v>5.8364761951607792E-3</v>
      </c>
      <c r="AJ106" s="156">
        <f t="shared" si="248"/>
        <v>9.6019447081677305E-3</v>
      </c>
      <c r="AK106" s="156">
        <f t="shared" si="248"/>
        <v>2.2592811078041724E-3</v>
      </c>
      <c r="AL106" s="156">
        <f t="shared" si="248"/>
        <v>3.0123748104055634E-3</v>
      </c>
      <c r="AN106" s="154">
        <v>2026</v>
      </c>
      <c r="AO106" s="157">
        <f t="shared" si="242"/>
        <v>3.649010723944883E-3</v>
      </c>
    </row>
    <row r="107" spans="1:41">
      <c r="A107" s="170">
        <f t="shared" si="243"/>
        <v>1.3073406358320301</v>
      </c>
      <c r="B107" s="154">
        <v>2027</v>
      </c>
      <c r="C107" s="156">
        <f t="shared" si="244"/>
        <v>0.12429813282487025</v>
      </c>
      <c r="D107" s="156">
        <f t="shared" si="244"/>
        <v>0.26389449738203219</v>
      </c>
      <c r="E107" s="156">
        <f t="shared" si="244"/>
        <v>0.40540314090573065</v>
      </c>
      <c r="F107" s="156">
        <f t="shared" si="244"/>
        <v>0.11473673799218792</v>
      </c>
      <c r="G107" s="156">
        <f t="shared" si="244"/>
        <v>0.1376840855906255</v>
      </c>
      <c r="H107" s="332"/>
      <c r="I107" s="154">
        <v>2027</v>
      </c>
      <c r="J107" s="156">
        <f t="shared" si="245"/>
        <v>2.6771905531510513E-3</v>
      </c>
      <c r="K107" s="156">
        <f t="shared" si="245"/>
        <v>5.736836899609396E-3</v>
      </c>
      <c r="L107" s="156">
        <f t="shared" si="245"/>
        <v>9.7526227293359725E-3</v>
      </c>
      <c r="M107" s="156">
        <f t="shared" si="245"/>
        <v>2.103506863190112E-3</v>
      </c>
      <c r="N107" s="156">
        <f t="shared" si="245"/>
        <v>2.868418449804698E-3</v>
      </c>
      <c r="P107" s="154">
        <v>2027</v>
      </c>
      <c r="Q107" s="156">
        <f t="shared" si="246"/>
        <v>4.3982416230338699E-3</v>
      </c>
      <c r="R107" s="156">
        <f t="shared" si="246"/>
        <v>1.3959636455716197E-2</v>
      </c>
      <c r="S107" s="156">
        <f t="shared" si="246"/>
        <v>2.2373663908476643E-2</v>
      </c>
      <c r="T107" s="156">
        <f t="shared" si="246"/>
        <v>3.0596463464583447E-3</v>
      </c>
      <c r="U107" s="156">
        <f t="shared" si="246"/>
        <v>5.3543811063021026E-3</v>
      </c>
      <c r="W107" s="154">
        <v>2027</v>
      </c>
      <c r="X107" s="157">
        <f t="shared" si="239"/>
        <v>19.537754201103066</v>
      </c>
      <c r="Z107" s="154">
        <v>2027</v>
      </c>
      <c r="AA107" s="156">
        <f t="shared" si="247"/>
        <v>4.6313484290546646E-3</v>
      </c>
      <c r="AB107" s="156">
        <f t="shared" si="247"/>
        <v>1.4699497187869155E-2</v>
      </c>
      <c r="AC107" s="156">
        <f t="shared" si="247"/>
        <v>2.3559468095625903E-2</v>
      </c>
      <c r="AD107" s="156">
        <f t="shared" si="247"/>
        <v>3.2218076028206369E-3</v>
      </c>
      <c r="AE107" s="156">
        <f t="shared" si="247"/>
        <v>5.6381633049361135E-3</v>
      </c>
      <c r="AG107" s="154">
        <v>2027</v>
      </c>
      <c r="AH107" s="156">
        <f t="shared" si="248"/>
        <v>2.5968748365565197E-3</v>
      </c>
      <c r="AI107" s="156">
        <f t="shared" si="248"/>
        <v>5.5647317926211144E-3</v>
      </c>
      <c r="AJ107" s="156">
        <f t="shared" si="248"/>
        <v>9.4600440474558924E-3</v>
      </c>
      <c r="AK107" s="156">
        <f t="shared" si="248"/>
        <v>2.0404016572944084E-3</v>
      </c>
      <c r="AL107" s="156">
        <f t="shared" si="248"/>
        <v>2.7823658963105572E-3</v>
      </c>
      <c r="AN107" s="154">
        <v>2027</v>
      </c>
      <c r="AO107" s="157">
        <f t="shared" si="242"/>
        <v>3.5950844570885546E-3</v>
      </c>
    </row>
    <row r="108" spans="1:41">
      <c r="A108" s="170">
        <f t="shared" si="243"/>
        <v>1.3269507453695104</v>
      </c>
      <c r="B108" s="154">
        <v>2028</v>
      </c>
      <c r="C108" s="156">
        <f t="shared" si="244"/>
        <v>0.11492513986081221</v>
      </c>
      <c r="D108" s="156">
        <f t="shared" si="244"/>
        <v>0.24869046658405267</v>
      </c>
      <c r="E108" s="156">
        <f t="shared" si="244"/>
        <v>0.39375990542475003</v>
      </c>
      <c r="F108" s="156">
        <f t="shared" si="244"/>
        <v>0.1055050464295981</v>
      </c>
      <c r="G108" s="156">
        <f t="shared" si="244"/>
        <v>0.12811327066451197</v>
      </c>
      <c r="H108" s="332"/>
      <c r="I108" s="154">
        <v>2028</v>
      </c>
      <c r="J108" s="156">
        <f t="shared" si="245"/>
        <v>2.44922429211567E-3</v>
      </c>
      <c r="K108" s="156">
        <f t="shared" si="245"/>
        <v>5.2752523214799046E-3</v>
      </c>
      <c r="L108" s="156">
        <f t="shared" si="245"/>
        <v>9.4200934312141157E-3</v>
      </c>
      <c r="M108" s="156">
        <f t="shared" si="245"/>
        <v>1.8840186862428233E-3</v>
      </c>
      <c r="N108" s="156">
        <f t="shared" si="245"/>
        <v>2.6376261607399523E-3</v>
      </c>
      <c r="P108" s="154">
        <v>2028</v>
      </c>
      <c r="Q108" s="156">
        <f t="shared" si="246"/>
        <v>3.9564392411099289E-3</v>
      </c>
      <c r="R108" s="156">
        <f t="shared" si="246"/>
        <v>1.2999728935075481E-2</v>
      </c>
      <c r="S108" s="156">
        <f t="shared" si="246"/>
        <v>2.2043018629041029E-2</v>
      </c>
      <c r="T108" s="156">
        <f t="shared" si="246"/>
        <v>2.826028029364235E-3</v>
      </c>
      <c r="U108" s="156">
        <f t="shared" si="246"/>
        <v>4.8984485842313401E-3</v>
      </c>
      <c r="W108" s="154">
        <v>2028</v>
      </c>
      <c r="X108" s="157">
        <f t="shared" si="239"/>
        <v>19.249018917342923</v>
      </c>
      <c r="Z108" s="154">
        <v>2028</v>
      </c>
      <c r="AA108" s="156">
        <f t="shared" si="247"/>
        <v>4.1661305208887554E-3</v>
      </c>
      <c r="AB108" s="156">
        <f t="shared" si="247"/>
        <v>1.3688714568634481E-2</v>
      </c>
      <c r="AC108" s="156">
        <f t="shared" si="247"/>
        <v>2.3211298616380202E-2</v>
      </c>
      <c r="AD108" s="156">
        <f t="shared" si="247"/>
        <v>2.975807514920539E-3</v>
      </c>
      <c r="AE108" s="156">
        <f t="shared" si="247"/>
        <v>5.1580663591956014E-3</v>
      </c>
      <c r="AG108" s="154">
        <v>2028</v>
      </c>
      <c r="AH108" s="156">
        <f t="shared" si="248"/>
        <v>2.3757475633522001E-3</v>
      </c>
      <c r="AI108" s="156">
        <f t="shared" si="248"/>
        <v>5.1169947518355076E-3</v>
      </c>
      <c r="AJ108" s="156">
        <f t="shared" si="248"/>
        <v>9.1374906282776919E-3</v>
      </c>
      <c r="AK108" s="156">
        <f t="shared" si="248"/>
        <v>1.8274981256555384E-3</v>
      </c>
      <c r="AL108" s="156">
        <f t="shared" si="248"/>
        <v>2.5584973759177538E-3</v>
      </c>
      <c r="AN108" s="154">
        <v>2028</v>
      </c>
      <c r="AO108" s="157">
        <f t="shared" si="242"/>
        <v>3.5419551301365073E-3</v>
      </c>
    </row>
    <row r="109" spans="1:41">
      <c r="A109" s="170">
        <f t="shared" si="243"/>
        <v>1.3468550065500529</v>
      </c>
      <c r="B109" s="154">
        <v>2029</v>
      </c>
      <c r="C109" s="156">
        <f t="shared" ref="C109:G118" si="249">C24/(400*$A109)</f>
        <v>0.10580203459688763</v>
      </c>
      <c r="D109" s="156">
        <f t="shared" si="249"/>
        <v>0.23387818174048844</v>
      </c>
      <c r="E109" s="156">
        <f t="shared" si="249"/>
        <v>0.38237226538524299</v>
      </c>
      <c r="F109" s="156">
        <f t="shared" si="249"/>
        <v>9.6521154369090464E-2</v>
      </c>
      <c r="G109" s="156">
        <f t="shared" si="249"/>
        <v>0.11879526691580365</v>
      </c>
      <c r="H109" s="332"/>
      <c r="I109" s="154">
        <v>2029</v>
      </c>
      <c r="J109" s="156">
        <f t="shared" ref="J109:N118" si="250">J24/(400*$A109)</f>
        <v>2.0417936501153752E-3</v>
      </c>
      <c r="K109" s="156">
        <f t="shared" si="250"/>
        <v>5.0116753230104666E-3</v>
      </c>
      <c r="L109" s="156">
        <f t="shared" si="250"/>
        <v>9.2808802277971596E-3</v>
      </c>
      <c r="M109" s="156">
        <f t="shared" si="250"/>
        <v>1.6705584410034889E-3</v>
      </c>
      <c r="N109" s="156">
        <f t="shared" si="250"/>
        <v>2.4130288592272616E-3</v>
      </c>
      <c r="P109" s="154">
        <v>2029</v>
      </c>
      <c r="Q109" s="156">
        <f t="shared" ref="Q109:U118" si="251">Q24/(400*$A109)</f>
        <v>3.7123520911188641E-3</v>
      </c>
      <c r="R109" s="156">
        <f t="shared" si="251"/>
        <v>1.2065144296136308E-2</v>
      </c>
      <c r="S109" s="156">
        <f t="shared" si="251"/>
        <v>2.1717259733045353E-2</v>
      </c>
      <c r="T109" s="156">
        <f t="shared" si="251"/>
        <v>2.4130288592272616E-3</v>
      </c>
      <c r="U109" s="156">
        <f t="shared" si="251"/>
        <v>4.4548225093426364E-3</v>
      </c>
      <c r="W109" s="154">
        <v>2029</v>
      </c>
      <c r="X109" s="157">
        <f t="shared" si="239"/>
        <v>18.964550657480718</v>
      </c>
      <c r="Z109" s="154">
        <v>2029</v>
      </c>
      <c r="AA109" s="156">
        <f t="shared" ref="AA109:AE118" si="252">AA24/(400*$A109)</f>
        <v>3.9091067519481633E-3</v>
      </c>
      <c r="AB109" s="156">
        <f t="shared" si="252"/>
        <v>1.2704596943831532E-2</v>
      </c>
      <c r="AC109" s="156">
        <f t="shared" si="252"/>
        <v>2.2868274498896755E-2</v>
      </c>
      <c r="AD109" s="156">
        <f t="shared" si="252"/>
        <v>2.5409193887663065E-3</v>
      </c>
      <c r="AE109" s="156">
        <f t="shared" si="252"/>
        <v>4.6909281023377958E-3</v>
      </c>
      <c r="AG109" s="154">
        <v>2029</v>
      </c>
      <c r="AH109" s="156">
        <f t="shared" ref="AH109:AL118" si="253">AH24/(400*$A109)</f>
        <v>1.9805398406119138E-3</v>
      </c>
      <c r="AI109" s="156">
        <f t="shared" si="253"/>
        <v>4.8613250633201526E-3</v>
      </c>
      <c r="AJ109" s="156">
        <f t="shared" si="253"/>
        <v>9.0024538209632441E-3</v>
      </c>
      <c r="AK109" s="156">
        <f t="shared" si="253"/>
        <v>1.6204416877733841E-3</v>
      </c>
      <c r="AL109" s="156">
        <f t="shared" si="253"/>
        <v>2.3406379934504434E-3</v>
      </c>
      <c r="AN109" s="154">
        <v>2029</v>
      </c>
      <c r="AO109" s="157">
        <f t="shared" si="242"/>
        <v>3.4896109656517319E-3</v>
      </c>
    </row>
    <row r="110" spans="1:41">
      <c r="A110" s="170">
        <f t="shared" si="243"/>
        <v>1.3670578316483035</v>
      </c>
      <c r="B110" s="154">
        <v>2030</v>
      </c>
      <c r="C110" s="156">
        <f t="shared" si="249"/>
        <v>9.692347824103438E-2</v>
      </c>
      <c r="D110" s="156">
        <f t="shared" si="249"/>
        <v>0.21762063982420926</v>
      </c>
      <c r="E110" s="156">
        <f t="shared" si="249"/>
        <v>0.3712352091118864</v>
      </c>
      <c r="F110" s="156">
        <f t="shared" si="249"/>
        <v>8.9608498751144988E-2</v>
      </c>
      <c r="G110" s="156">
        <f t="shared" si="249"/>
        <v>0.10972469234834081</v>
      </c>
      <c r="H110" s="332"/>
      <c r="I110" s="154">
        <v>2030</v>
      </c>
      <c r="J110" s="156">
        <f t="shared" si="250"/>
        <v>1.8287448724723467E-3</v>
      </c>
      <c r="K110" s="156">
        <f t="shared" si="250"/>
        <v>4.5718621811808666E-3</v>
      </c>
      <c r="L110" s="156">
        <f t="shared" si="250"/>
        <v>8.9608498751144999E-3</v>
      </c>
      <c r="M110" s="156">
        <f t="shared" si="250"/>
        <v>1.4629958979778775E-3</v>
      </c>
      <c r="N110" s="156">
        <f t="shared" si="250"/>
        <v>2.1944938469668162E-3</v>
      </c>
      <c r="P110" s="154">
        <v>2030</v>
      </c>
      <c r="Q110" s="156">
        <f t="shared" si="251"/>
        <v>3.4746152576974588E-3</v>
      </c>
      <c r="R110" s="156">
        <f t="shared" si="251"/>
        <v>1.133821820932855E-2</v>
      </c>
      <c r="S110" s="156">
        <f t="shared" si="251"/>
        <v>2.1396315007926457E-2</v>
      </c>
      <c r="T110" s="156">
        <f t="shared" si="251"/>
        <v>2.1944938469668162E-3</v>
      </c>
      <c r="U110" s="156">
        <f t="shared" si="251"/>
        <v>4.2061132066863972E-3</v>
      </c>
      <c r="W110" s="154">
        <v>2030</v>
      </c>
      <c r="X110" s="157">
        <f t="shared" si="239"/>
        <v>18.684286362049967</v>
      </c>
      <c r="Z110" s="154">
        <v>2030</v>
      </c>
      <c r="AA110" s="156">
        <f t="shared" si="252"/>
        <v>3.6587698663554237E-3</v>
      </c>
      <c r="AB110" s="156">
        <f t="shared" si="252"/>
        <v>1.1939143774422963E-2</v>
      </c>
      <c r="AC110" s="156">
        <f t="shared" si="252"/>
        <v>2.2530319703346558E-2</v>
      </c>
      <c r="AD110" s="156">
        <f t="shared" si="252"/>
        <v>2.3108020208560572E-3</v>
      </c>
      <c r="AE110" s="156">
        <f t="shared" si="252"/>
        <v>4.4290372066407759E-3</v>
      </c>
      <c r="AG110" s="154">
        <v>2030</v>
      </c>
      <c r="AH110" s="156">
        <f t="shared" si="253"/>
        <v>1.7738825262981763E-3</v>
      </c>
      <c r="AI110" s="156">
        <f t="shared" si="253"/>
        <v>4.4347063157454403E-3</v>
      </c>
      <c r="AJ110" s="156">
        <f t="shared" si="253"/>
        <v>8.6920243788610654E-3</v>
      </c>
      <c r="AK110" s="156">
        <f t="shared" si="253"/>
        <v>1.4191060210385412E-3</v>
      </c>
      <c r="AL110" s="156">
        <f t="shared" si="253"/>
        <v>2.1286590315578117E-3</v>
      </c>
      <c r="AN110" s="154">
        <v>2030</v>
      </c>
      <c r="AO110" s="157">
        <f t="shared" si="242"/>
        <v>3.4380403602480118E-3</v>
      </c>
    </row>
    <row r="111" spans="1:41">
      <c r="A111" s="170">
        <f t="shared" si="243"/>
        <v>1.387563699123028</v>
      </c>
      <c r="B111" s="154">
        <v>2031</v>
      </c>
      <c r="C111" s="156">
        <f t="shared" si="249"/>
        <v>8.8284235222802959E-2</v>
      </c>
      <c r="D111" s="156">
        <f t="shared" si="249"/>
        <v>0.20179253765212105</v>
      </c>
      <c r="E111" s="156">
        <f t="shared" si="249"/>
        <v>0.36034381723593045</v>
      </c>
      <c r="F111" s="156">
        <f t="shared" si="249"/>
        <v>8.2879077964263997E-2</v>
      </c>
      <c r="G111" s="156">
        <f t="shared" si="249"/>
        <v>0.10089626882606052</v>
      </c>
      <c r="I111" s="154">
        <v>2031</v>
      </c>
      <c r="J111" s="156">
        <f t="shared" si="250"/>
        <v>1.8017190861796522E-3</v>
      </c>
      <c r="K111" s="156">
        <f t="shared" si="250"/>
        <v>4.3241258068311651E-3</v>
      </c>
      <c r="L111" s="156">
        <f t="shared" si="250"/>
        <v>8.6482516136623302E-3</v>
      </c>
      <c r="M111" s="156">
        <f t="shared" si="250"/>
        <v>1.2612033603257564E-3</v>
      </c>
      <c r="N111" s="156">
        <f t="shared" si="250"/>
        <v>1.9818909947976176E-3</v>
      </c>
      <c r="P111" s="154">
        <v>2031</v>
      </c>
      <c r="Q111" s="156">
        <f t="shared" si="251"/>
        <v>3.0629224465054086E-3</v>
      </c>
      <c r="R111" s="156">
        <f t="shared" si="251"/>
        <v>1.0449970699841982E-2</v>
      </c>
      <c r="S111" s="156">
        <f t="shared" si="251"/>
        <v>2.108011330830193E-2</v>
      </c>
      <c r="T111" s="156">
        <f t="shared" si="251"/>
        <v>1.9818909947976176E-3</v>
      </c>
      <c r="U111" s="156">
        <f t="shared" si="251"/>
        <v>3.9637819895952352E-3</v>
      </c>
      <c r="W111" s="154">
        <v>2031</v>
      </c>
      <c r="X111" s="157">
        <f t="shared" si="239"/>
        <v>18.408163903497506</v>
      </c>
      <c r="Z111" s="154">
        <v>2031</v>
      </c>
      <c r="AA111" s="156">
        <f t="shared" si="252"/>
        <v>3.225257336170195E-3</v>
      </c>
      <c r="AB111" s="156">
        <f t="shared" si="252"/>
        <v>1.1003819146933607E-2</v>
      </c>
      <c r="AC111" s="156">
        <f t="shared" si="252"/>
        <v>2.2197359313641932E-2</v>
      </c>
      <c r="AD111" s="156">
        <f t="shared" si="252"/>
        <v>2.0869312175218913E-3</v>
      </c>
      <c r="AE111" s="156">
        <f t="shared" si="252"/>
        <v>4.1738624350437827E-3</v>
      </c>
      <c r="AG111" s="154">
        <v>2031</v>
      </c>
      <c r="AH111" s="156">
        <f t="shared" si="253"/>
        <v>1.7476675135942627E-3</v>
      </c>
      <c r="AI111" s="156">
        <f t="shared" si="253"/>
        <v>4.1944020326262306E-3</v>
      </c>
      <c r="AJ111" s="156">
        <f t="shared" si="253"/>
        <v>8.3888040652524611E-3</v>
      </c>
      <c r="AK111" s="156">
        <f t="shared" si="253"/>
        <v>1.2233672595159837E-3</v>
      </c>
      <c r="AL111" s="156">
        <f t="shared" si="253"/>
        <v>1.922434264953689E-3</v>
      </c>
      <c r="AN111" s="154">
        <v>2031</v>
      </c>
      <c r="AO111" s="157">
        <f t="shared" si="242"/>
        <v>3.3872318820177463E-3</v>
      </c>
    </row>
    <row r="112" spans="1:41">
      <c r="A112" s="170">
        <f t="shared" si="243"/>
        <v>1.4083771546098733</v>
      </c>
      <c r="B112" s="154">
        <v>2032</v>
      </c>
      <c r="C112" s="156">
        <f t="shared" si="249"/>
        <v>8.1654264004200991E-2</v>
      </c>
      <c r="D112" s="156">
        <f t="shared" si="249"/>
        <v>0.18638473305306749</v>
      </c>
      <c r="E112" s="156">
        <f t="shared" si="249"/>
        <v>0.34969326106146947</v>
      </c>
      <c r="F112" s="156">
        <f t="shared" si="249"/>
        <v>7.4553893221226991E-2</v>
      </c>
      <c r="G112" s="156">
        <f t="shared" si="249"/>
        <v>9.2304820178661984E-2</v>
      </c>
      <c r="I112" s="154">
        <v>2032</v>
      </c>
      <c r="J112" s="156">
        <f t="shared" si="250"/>
        <v>1.59758342616915E-3</v>
      </c>
      <c r="K112" s="156">
        <f t="shared" si="250"/>
        <v>3.9052039306356999E-3</v>
      </c>
      <c r="L112" s="156">
        <f t="shared" si="250"/>
        <v>8.520444939568798E-3</v>
      </c>
      <c r="M112" s="156">
        <f t="shared" si="250"/>
        <v>1.2425648870204498E-3</v>
      </c>
      <c r="N112" s="156">
        <f t="shared" si="250"/>
        <v>1.7750926957434997E-3</v>
      </c>
      <c r="P112" s="154">
        <v>2032</v>
      </c>
      <c r="Q112" s="156">
        <f t="shared" si="251"/>
        <v>2.8401483131895999E-3</v>
      </c>
      <c r="R112" s="156">
        <f t="shared" si="251"/>
        <v>9.7630098265892497E-3</v>
      </c>
      <c r="S112" s="156">
        <f t="shared" si="251"/>
        <v>2.0768584540198948E-2</v>
      </c>
      <c r="T112" s="156">
        <f t="shared" si="251"/>
        <v>1.7750926957434997E-3</v>
      </c>
      <c r="U112" s="156">
        <f t="shared" si="251"/>
        <v>3.5501853914869995E-3</v>
      </c>
      <c r="W112" s="154">
        <v>2032</v>
      </c>
      <c r="X112" s="157">
        <f t="shared" si="239"/>
        <v>18.136122072411336</v>
      </c>
      <c r="Z112" s="154">
        <v>2032</v>
      </c>
      <c r="AA112" s="156">
        <f t="shared" si="252"/>
        <v>2.9906761737886487E-3</v>
      </c>
      <c r="AB112" s="156">
        <f t="shared" si="252"/>
        <v>1.0280449347398479E-2</v>
      </c>
      <c r="AC112" s="156">
        <f t="shared" si="252"/>
        <v>2.1869319520829489E-2</v>
      </c>
      <c r="AD112" s="156">
        <f t="shared" si="252"/>
        <v>1.8691726086179051E-3</v>
      </c>
      <c r="AE112" s="156">
        <f t="shared" si="252"/>
        <v>3.7383452172358102E-3</v>
      </c>
      <c r="AG112" s="154">
        <v>2032</v>
      </c>
      <c r="AH112" s="156">
        <f t="shared" si="253"/>
        <v>1.5496559233840754E-3</v>
      </c>
      <c r="AI112" s="156">
        <f t="shared" si="253"/>
        <v>3.7880478127166285E-3</v>
      </c>
      <c r="AJ112" s="156">
        <f t="shared" si="253"/>
        <v>8.2648315913817338E-3</v>
      </c>
      <c r="AK112" s="156">
        <f t="shared" si="253"/>
        <v>1.2052879404098364E-3</v>
      </c>
      <c r="AL112" s="156">
        <f t="shared" si="253"/>
        <v>1.7218399148711948E-3</v>
      </c>
      <c r="AN112" s="154">
        <v>2032</v>
      </c>
      <c r="AO112" s="157">
        <f t="shared" si="242"/>
        <v>3.3371742679977794E-3</v>
      </c>
    </row>
    <row r="113" spans="1:41">
      <c r="A113" s="170">
        <f t="shared" si="243"/>
        <v>1.4295028119290214</v>
      </c>
      <c r="B113" s="154">
        <v>2033</v>
      </c>
      <c r="C113" s="156">
        <f t="shared" si="249"/>
        <v>7.5200971346768966E-2</v>
      </c>
      <c r="D113" s="156">
        <f t="shared" si="249"/>
        <v>0.17138826027868276</v>
      </c>
      <c r="E113" s="156">
        <f t="shared" si="249"/>
        <v>0.33752994116107932</v>
      </c>
      <c r="F113" s="156">
        <f t="shared" si="249"/>
        <v>6.8205532151720691E-2</v>
      </c>
      <c r="G113" s="156">
        <f t="shared" si="249"/>
        <v>8.5694130139341379E-2</v>
      </c>
      <c r="I113" s="154">
        <v>2033</v>
      </c>
      <c r="J113" s="156">
        <f t="shared" si="250"/>
        <v>1.3990878390096552E-3</v>
      </c>
      <c r="K113" s="156">
        <f t="shared" si="250"/>
        <v>3.6726055774003448E-3</v>
      </c>
      <c r="L113" s="156">
        <f t="shared" si="250"/>
        <v>8.2196410541817248E-3</v>
      </c>
      <c r="M113" s="156">
        <f t="shared" si="250"/>
        <v>1.0493158792572413E-3</v>
      </c>
      <c r="N113" s="156">
        <f t="shared" si="250"/>
        <v>1.5739738188858621E-3</v>
      </c>
      <c r="P113" s="154">
        <v>2033</v>
      </c>
      <c r="Q113" s="156">
        <f t="shared" si="251"/>
        <v>2.6232896981431032E-3</v>
      </c>
      <c r="R113" s="156">
        <f t="shared" si="251"/>
        <v>8.9191849736865517E-3</v>
      </c>
      <c r="S113" s="156">
        <f t="shared" si="251"/>
        <v>2.0461659645516207E-2</v>
      </c>
      <c r="T113" s="156">
        <f t="shared" si="251"/>
        <v>1.5739738188858621E-3</v>
      </c>
      <c r="U113" s="156">
        <f t="shared" si="251"/>
        <v>3.3228336176479309E-3</v>
      </c>
      <c r="W113" s="154">
        <v>2033</v>
      </c>
      <c r="X113" s="157">
        <f t="shared" si="239"/>
        <v>17.868100563952058</v>
      </c>
      <c r="Z113" s="154">
        <v>2033</v>
      </c>
      <c r="AA113" s="156">
        <f t="shared" si="252"/>
        <v>2.7623240521446879E-3</v>
      </c>
      <c r="AB113" s="156">
        <f t="shared" si="252"/>
        <v>9.3919017772919385E-3</v>
      </c>
      <c r="AC113" s="156">
        <f t="shared" si="252"/>
        <v>2.1546127606728561E-2</v>
      </c>
      <c r="AD113" s="156">
        <f t="shared" si="252"/>
        <v>1.6573944312868127E-3</v>
      </c>
      <c r="AE113" s="156">
        <f t="shared" si="252"/>
        <v>3.498943799383271E-3</v>
      </c>
      <c r="AG113" s="154">
        <v>2033</v>
      </c>
      <c r="AH113" s="156">
        <f t="shared" si="253"/>
        <v>1.3571152038393656E-3</v>
      </c>
      <c r="AI113" s="156">
        <f t="shared" si="253"/>
        <v>3.5624274100783341E-3</v>
      </c>
      <c r="AJ113" s="156">
        <f t="shared" si="253"/>
        <v>7.9730518225562732E-3</v>
      </c>
      <c r="AK113" s="156">
        <f t="shared" si="253"/>
        <v>1.0178364028795241E-3</v>
      </c>
      <c r="AL113" s="156">
        <f t="shared" si="253"/>
        <v>1.5267546043192862E-3</v>
      </c>
      <c r="AN113" s="154">
        <v>2033</v>
      </c>
      <c r="AO113" s="157">
        <f t="shared" si="242"/>
        <v>3.2878564216726894E-3</v>
      </c>
    </row>
    <row r="114" spans="1:41">
      <c r="A114" s="170">
        <f t="shared" si="243"/>
        <v>1.4509453541079567</v>
      </c>
      <c r="B114" s="154">
        <v>2034</v>
      </c>
      <c r="C114" s="156">
        <f t="shared" si="249"/>
        <v>6.8920583202446067E-2</v>
      </c>
      <c r="D114" s="156">
        <f t="shared" si="249"/>
        <v>0.15679432678556482</v>
      </c>
      <c r="E114" s="156">
        <f t="shared" si="249"/>
        <v>0.32737277021161887</v>
      </c>
      <c r="F114" s="156">
        <f t="shared" si="249"/>
        <v>6.2028524882201466E-2</v>
      </c>
      <c r="G114" s="156">
        <f t="shared" si="249"/>
        <v>7.9258670682812976E-2</v>
      </c>
      <c r="I114" s="154">
        <v>2034</v>
      </c>
      <c r="J114" s="156">
        <f t="shared" si="250"/>
        <v>1.2061102060428061E-3</v>
      </c>
      <c r="K114" s="156">
        <f t="shared" si="250"/>
        <v>3.2737277021161883E-3</v>
      </c>
      <c r="L114" s="156">
        <f t="shared" si="250"/>
        <v>7.9258670682812969E-3</v>
      </c>
      <c r="M114" s="156">
        <f t="shared" si="250"/>
        <v>1.033808748036691E-3</v>
      </c>
      <c r="N114" s="156">
        <f t="shared" si="250"/>
        <v>1.5507131220550367E-3</v>
      </c>
      <c r="P114" s="154">
        <v>2034</v>
      </c>
      <c r="Q114" s="156">
        <f t="shared" si="251"/>
        <v>2.4122204120856122E-3</v>
      </c>
      <c r="R114" s="156">
        <f t="shared" si="251"/>
        <v>8.098168526287414E-3</v>
      </c>
      <c r="S114" s="156">
        <f t="shared" si="251"/>
        <v>2.0159270586715475E-2</v>
      </c>
      <c r="T114" s="156">
        <f t="shared" si="251"/>
        <v>1.3784116640489215E-3</v>
      </c>
      <c r="U114" s="156">
        <f t="shared" si="251"/>
        <v>3.1014262441100733E-3</v>
      </c>
      <c r="W114" s="154">
        <v>2034</v>
      </c>
      <c r="X114" s="157">
        <f t="shared" si="239"/>
        <v>17.604039964484787</v>
      </c>
      <c r="Z114" s="154">
        <v>2034</v>
      </c>
      <c r="AA114" s="156">
        <f t="shared" si="252"/>
        <v>2.5400680939261493E-3</v>
      </c>
      <c r="AB114" s="156">
        <f t="shared" si="252"/>
        <v>8.5273714581806451E-3</v>
      </c>
      <c r="AC114" s="156">
        <f t="shared" si="252"/>
        <v>2.1227711927811393E-2</v>
      </c>
      <c r="AD114" s="156">
        <f t="shared" si="252"/>
        <v>1.4514674822435143E-3</v>
      </c>
      <c r="AE114" s="156">
        <f t="shared" si="252"/>
        <v>3.2658018350479072E-3</v>
      </c>
      <c r="AG114" s="154">
        <v>2034</v>
      </c>
      <c r="AH114" s="156">
        <f t="shared" si="253"/>
        <v>1.1699268998615221E-3</v>
      </c>
      <c r="AI114" s="156">
        <f t="shared" si="253"/>
        <v>3.1755158710527029E-3</v>
      </c>
      <c r="AJ114" s="156">
        <f t="shared" si="253"/>
        <v>7.6880910562328588E-3</v>
      </c>
      <c r="AK114" s="156">
        <f t="shared" si="253"/>
        <v>1.0027944855955902E-3</v>
      </c>
      <c r="AL114" s="156">
        <f t="shared" si="253"/>
        <v>1.5041917283933855E-3</v>
      </c>
      <c r="AN114" s="154">
        <v>2034</v>
      </c>
      <c r="AO114" s="157">
        <f t="shared" si="242"/>
        <v>3.239267410514965E-3</v>
      </c>
    </row>
    <row r="115" spans="1:41">
      <c r="A115" s="170">
        <f t="shared" si="243"/>
        <v>1.472709534419576</v>
      </c>
      <c r="B115" s="154">
        <v>2035</v>
      </c>
      <c r="C115" s="156">
        <f t="shared" si="249"/>
        <v>6.2809398484987802E-2</v>
      </c>
      <c r="D115" s="156">
        <f t="shared" si="249"/>
        <v>0.14259431007402634</v>
      </c>
      <c r="E115" s="156">
        <f t="shared" si="249"/>
        <v>0.31744209504574911</v>
      </c>
      <c r="F115" s="156">
        <f t="shared" si="249"/>
        <v>5.6019193243367495E-2</v>
      </c>
      <c r="G115" s="156">
        <f t="shared" si="249"/>
        <v>7.2994706347418253E-2</v>
      </c>
      <c r="I115" s="154">
        <v>2035</v>
      </c>
      <c r="J115" s="156">
        <f t="shared" si="250"/>
        <v>1.1882859172835528E-3</v>
      </c>
      <c r="K115" s="156">
        <f t="shared" si="250"/>
        <v>2.8858372276886284E-3</v>
      </c>
      <c r="L115" s="156">
        <f t="shared" si="250"/>
        <v>7.8087360278633472E-3</v>
      </c>
      <c r="M115" s="156">
        <f t="shared" si="250"/>
        <v>8.487756552025378E-4</v>
      </c>
      <c r="N115" s="156">
        <f t="shared" si="250"/>
        <v>1.3580410483240606E-3</v>
      </c>
      <c r="P115" s="154">
        <v>2035</v>
      </c>
      <c r="Q115" s="156">
        <f t="shared" si="251"/>
        <v>2.2068167035265984E-3</v>
      </c>
      <c r="R115" s="156">
        <f t="shared" si="251"/>
        <v>7.4692257657823329E-3</v>
      </c>
      <c r="S115" s="156">
        <f t="shared" si="251"/>
        <v>1.9861350331739382E-2</v>
      </c>
      <c r="T115" s="156">
        <f t="shared" si="251"/>
        <v>1.1882859172835528E-3</v>
      </c>
      <c r="U115" s="156">
        <f t="shared" si="251"/>
        <v>2.8858372276886284E-3</v>
      </c>
      <c r="W115" s="154">
        <v>2035</v>
      </c>
      <c r="X115" s="157">
        <f t="shared" si="239"/>
        <v>17.343881738408658</v>
      </c>
      <c r="Z115" s="154">
        <v>2035</v>
      </c>
      <c r="AA115" s="156">
        <f t="shared" si="252"/>
        <v>2.323777988813508E-3</v>
      </c>
      <c r="AB115" s="156">
        <f t="shared" si="252"/>
        <v>7.8650947313687967E-3</v>
      </c>
      <c r="AC115" s="156">
        <f t="shared" si="252"/>
        <v>2.091400189932157E-2</v>
      </c>
      <c r="AD115" s="156">
        <f t="shared" si="252"/>
        <v>1.251265070899581E-3</v>
      </c>
      <c r="AE115" s="156">
        <f t="shared" si="252"/>
        <v>3.0387866007561253E-3</v>
      </c>
      <c r="AG115" s="154">
        <v>2035</v>
      </c>
      <c r="AH115" s="156">
        <f t="shared" si="253"/>
        <v>1.1526373397650462E-3</v>
      </c>
      <c r="AI115" s="156">
        <f t="shared" si="253"/>
        <v>2.7992621108579698E-3</v>
      </c>
      <c r="AJ115" s="156">
        <f t="shared" si="253"/>
        <v>7.5744739470274469E-3</v>
      </c>
      <c r="AK115" s="156">
        <f t="shared" si="253"/>
        <v>8.233123855464616E-4</v>
      </c>
      <c r="AL115" s="156">
        <f t="shared" si="253"/>
        <v>1.3172998168743386E-3</v>
      </c>
      <c r="AN115" s="154">
        <v>2035</v>
      </c>
      <c r="AO115" s="157">
        <f t="shared" si="242"/>
        <v>3.191396463561542E-3</v>
      </c>
    </row>
    <row r="116" spans="1:41">
      <c r="A116" s="170">
        <f t="shared" si="243"/>
        <v>1.4948001774358695</v>
      </c>
      <c r="B116" s="154">
        <v>2036</v>
      </c>
      <c r="C116" s="156">
        <f t="shared" si="249"/>
        <v>5.8536252082933643E-2</v>
      </c>
      <c r="D116" s="156">
        <f t="shared" si="249"/>
        <v>0.12877975458245403</v>
      </c>
      <c r="E116" s="156">
        <f t="shared" si="249"/>
        <v>0.30773343952170829</v>
      </c>
      <c r="F116" s="156">
        <f t="shared" si="249"/>
        <v>5.0173930356800268E-2</v>
      </c>
      <c r="G116" s="156">
        <f t="shared" si="249"/>
        <v>6.6898573809067025E-2</v>
      </c>
      <c r="I116" s="154">
        <v>2036</v>
      </c>
      <c r="J116" s="156">
        <f t="shared" si="250"/>
        <v>1.0034786071360052E-3</v>
      </c>
      <c r="K116" s="156">
        <f t="shared" si="250"/>
        <v>2.6759429523626811E-3</v>
      </c>
      <c r="L116" s="156">
        <f t="shared" si="250"/>
        <v>7.5260895535200403E-3</v>
      </c>
      <c r="M116" s="156">
        <f t="shared" si="250"/>
        <v>8.3623217261333781E-4</v>
      </c>
      <c r="N116" s="156">
        <f t="shared" si="250"/>
        <v>1.1707250416586729E-3</v>
      </c>
      <c r="P116" s="154">
        <v>2036</v>
      </c>
      <c r="Q116" s="156">
        <f t="shared" si="251"/>
        <v>2.0069572142720105E-3</v>
      </c>
      <c r="R116" s="156">
        <f t="shared" si="251"/>
        <v>6.6898573809067025E-3</v>
      </c>
      <c r="S116" s="156">
        <f t="shared" si="251"/>
        <v>1.9567832839152102E-2</v>
      </c>
      <c r="T116" s="156">
        <f t="shared" si="251"/>
        <v>1.1707250416586729E-3</v>
      </c>
      <c r="U116" s="156">
        <f t="shared" si="251"/>
        <v>2.6759429523626811E-3</v>
      </c>
      <c r="W116" s="154">
        <v>2036</v>
      </c>
      <c r="X116" s="157">
        <f t="shared" si="239"/>
        <v>17.087568215180944</v>
      </c>
      <c r="Z116" s="154">
        <v>2036</v>
      </c>
      <c r="AA116" s="156">
        <f t="shared" si="252"/>
        <v>2.1133259466284268E-3</v>
      </c>
      <c r="AB116" s="156">
        <f t="shared" si="252"/>
        <v>7.0444198220947565E-3</v>
      </c>
      <c r="AC116" s="156">
        <f t="shared" si="252"/>
        <v>2.0604927979627163E-2</v>
      </c>
      <c r="AD116" s="156">
        <f t="shared" si="252"/>
        <v>1.2327734688665822E-3</v>
      </c>
      <c r="AE116" s="156">
        <f t="shared" si="252"/>
        <v>2.817767928837903E-3</v>
      </c>
      <c r="AG116" s="154">
        <v>2036</v>
      </c>
      <c r="AH116" s="156">
        <f t="shared" si="253"/>
        <v>9.7337424892192511E-4</v>
      </c>
      <c r="AI116" s="156">
        <f t="shared" si="253"/>
        <v>2.5956646637918007E-3</v>
      </c>
      <c r="AJ116" s="156">
        <f t="shared" si="253"/>
        <v>7.300306866914439E-3</v>
      </c>
      <c r="AK116" s="156">
        <f t="shared" si="253"/>
        <v>8.1114520743493759E-4</v>
      </c>
      <c r="AL116" s="156">
        <f t="shared" si="253"/>
        <v>1.1356032904089126E-3</v>
      </c>
      <c r="AN116" s="154">
        <v>2036</v>
      </c>
      <c r="AO116" s="157">
        <f t="shared" si="242"/>
        <v>3.14423296902615E-3</v>
      </c>
    </row>
    <row r="117" spans="1:41">
      <c r="A117" s="170">
        <f t="shared" si="243"/>
        <v>1.5172221800974073</v>
      </c>
      <c r="B117" s="154">
        <v>2037</v>
      </c>
      <c r="C117" s="156">
        <f t="shared" si="249"/>
        <v>5.4375688071409169E-2</v>
      </c>
      <c r="D117" s="156">
        <f t="shared" si="249"/>
        <v>0.11699011675969852</v>
      </c>
      <c r="E117" s="156">
        <f t="shared" si="249"/>
        <v>0.29659466220768638</v>
      </c>
      <c r="F117" s="156">
        <f t="shared" si="249"/>
        <v>4.6136947454528995E-2</v>
      </c>
      <c r="G117" s="156">
        <f t="shared" si="249"/>
        <v>6.2614428688289356E-2</v>
      </c>
      <c r="I117" s="154">
        <v>2037</v>
      </c>
      <c r="J117" s="156">
        <f t="shared" si="250"/>
        <v>9.8864887402562137E-4</v>
      </c>
      <c r="K117" s="156">
        <f t="shared" si="250"/>
        <v>2.4716221850640532E-3</v>
      </c>
      <c r="L117" s="156">
        <f t="shared" si="250"/>
        <v>7.2500917428545567E-3</v>
      </c>
      <c r="M117" s="156">
        <f t="shared" si="250"/>
        <v>6.5909924935041424E-4</v>
      </c>
      <c r="N117" s="156">
        <f t="shared" si="250"/>
        <v>1.1534236863632247E-3</v>
      </c>
      <c r="P117" s="154">
        <v>2037</v>
      </c>
      <c r="Q117" s="156">
        <f t="shared" si="251"/>
        <v>1.9772977480512427E-3</v>
      </c>
      <c r="R117" s="156">
        <f t="shared" si="251"/>
        <v>6.096668056491332E-3</v>
      </c>
      <c r="S117" s="156">
        <f t="shared" si="251"/>
        <v>1.9278653043499613E-2</v>
      </c>
      <c r="T117" s="156">
        <f t="shared" si="251"/>
        <v>9.8864887402562137E-4</v>
      </c>
      <c r="U117" s="156">
        <f t="shared" si="251"/>
        <v>2.4716221850640532E-3</v>
      </c>
      <c r="W117" s="154">
        <v>2037</v>
      </c>
      <c r="X117" s="157">
        <f t="shared" si="239"/>
        <v>16.835042576532956</v>
      </c>
      <c r="Z117" s="154">
        <v>2037</v>
      </c>
      <c r="AA117" s="156">
        <f t="shared" si="252"/>
        <v>2.0820945286979583E-3</v>
      </c>
      <c r="AB117" s="156">
        <f t="shared" si="252"/>
        <v>6.4197914634853718E-3</v>
      </c>
      <c r="AC117" s="156">
        <f t="shared" si="252"/>
        <v>2.0300421654805091E-2</v>
      </c>
      <c r="AD117" s="156">
        <f t="shared" si="252"/>
        <v>1.0410472643489791E-3</v>
      </c>
      <c r="AE117" s="156">
        <f t="shared" si="252"/>
        <v>2.6026181608724479E-3</v>
      </c>
      <c r="AG117" s="154">
        <v>2037</v>
      </c>
      <c r="AH117" s="156">
        <f t="shared" si="253"/>
        <v>9.5898940780485265E-4</v>
      </c>
      <c r="AI117" s="156">
        <f t="shared" si="253"/>
        <v>2.3974735195121319E-3</v>
      </c>
      <c r="AJ117" s="156">
        <f t="shared" si="253"/>
        <v>7.0325889905689196E-3</v>
      </c>
      <c r="AK117" s="156">
        <f t="shared" si="253"/>
        <v>6.3932627186990177E-4</v>
      </c>
      <c r="AL117" s="156">
        <f t="shared" si="253"/>
        <v>1.1188209757723279E-3</v>
      </c>
      <c r="AN117" s="154">
        <v>2037</v>
      </c>
      <c r="AO117" s="157">
        <f t="shared" si="242"/>
        <v>3.0977664719469464E-3</v>
      </c>
    </row>
    <row r="118" spans="1:41">
      <c r="A118" s="170">
        <f t="shared" si="243"/>
        <v>1.5399805127988682</v>
      </c>
      <c r="B118" s="154">
        <v>2038</v>
      </c>
      <c r="C118" s="156">
        <f t="shared" si="249"/>
        <v>5.0325312142519313E-2</v>
      </c>
      <c r="D118" s="156">
        <f t="shared" si="249"/>
        <v>0.10876761011447722</v>
      </c>
      <c r="E118" s="156">
        <f t="shared" si="249"/>
        <v>0.28734129836212641</v>
      </c>
      <c r="F118" s="156">
        <f t="shared" si="249"/>
        <v>4.2208326313080712E-2</v>
      </c>
      <c r="G118" s="156">
        <f t="shared" si="249"/>
        <v>5.8442297971957907E-2</v>
      </c>
      <c r="I118" s="154">
        <v>2038</v>
      </c>
      <c r="J118" s="156">
        <f t="shared" si="250"/>
        <v>8.1169858294385987E-4</v>
      </c>
      <c r="K118" s="156">
        <f t="shared" si="250"/>
        <v>2.2727560322428073E-3</v>
      </c>
      <c r="L118" s="156">
        <f t="shared" si="250"/>
        <v>7.1429475299059674E-3</v>
      </c>
      <c r="M118" s="156">
        <f t="shared" si="250"/>
        <v>6.4935886635508798E-4</v>
      </c>
      <c r="N118" s="156">
        <f t="shared" si="250"/>
        <v>9.7403829953263176E-4</v>
      </c>
      <c r="P118" s="154">
        <v>2038</v>
      </c>
      <c r="Q118" s="156">
        <f t="shared" si="251"/>
        <v>1.7857368824764918E-3</v>
      </c>
      <c r="R118" s="156">
        <f t="shared" si="251"/>
        <v>5.8442297971957914E-3</v>
      </c>
      <c r="S118" s="156">
        <f t="shared" si="251"/>
        <v>1.8993746840886321E-2</v>
      </c>
      <c r="T118" s="156">
        <f t="shared" si="251"/>
        <v>9.7403829953263176E-4</v>
      </c>
      <c r="U118" s="156">
        <f t="shared" si="251"/>
        <v>2.2727560322428073E-3</v>
      </c>
      <c r="W118" s="154">
        <v>2038</v>
      </c>
      <c r="X118" s="157">
        <f t="shared" si="239"/>
        <v>16.586248843874831</v>
      </c>
      <c r="Z118" s="154">
        <v>2038</v>
      </c>
      <c r="AA118" s="156">
        <f t="shared" si="252"/>
        <v>1.8803809372477458E-3</v>
      </c>
      <c r="AB118" s="156">
        <f t="shared" si="252"/>
        <v>6.153973976447168E-3</v>
      </c>
      <c r="AC118" s="156">
        <f t="shared" si="252"/>
        <v>2.0000415423453294E-2</v>
      </c>
      <c r="AD118" s="156">
        <f t="shared" si="252"/>
        <v>1.0256623294078611E-3</v>
      </c>
      <c r="AE118" s="156">
        <f t="shared" si="252"/>
        <v>2.3932121019516759E-3</v>
      </c>
      <c r="AG118" s="154">
        <v>2038</v>
      </c>
      <c r="AH118" s="156">
        <f t="shared" si="253"/>
        <v>7.87347625455544E-4</v>
      </c>
      <c r="AI118" s="156">
        <f t="shared" si="253"/>
        <v>2.204573351275523E-3</v>
      </c>
      <c r="AJ118" s="156">
        <f t="shared" si="253"/>
        <v>6.9286591040087879E-3</v>
      </c>
      <c r="AK118" s="156">
        <f t="shared" si="253"/>
        <v>6.2987810036443524E-4</v>
      </c>
      <c r="AL118" s="156">
        <f t="shared" si="253"/>
        <v>9.4481715054665287E-4</v>
      </c>
      <c r="AN118" s="154">
        <v>2038</v>
      </c>
      <c r="AO118" s="157">
        <f t="shared" si="242"/>
        <v>3.051986671868913E-3</v>
      </c>
    </row>
    <row r="119" spans="1:41">
      <c r="A119" s="170">
        <f t="shared" si="243"/>
        <v>1.5630802204908509</v>
      </c>
      <c r="B119" s="154">
        <v>2039</v>
      </c>
      <c r="C119" s="156">
        <f t="shared" ref="C119:G125" si="254">C34/(400*$A119)</f>
        <v>4.6382776168220577E-2</v>
      </c>
      <c r="D119" s="156">
        <f t="shared" si="254"/>
        <v>0.10076258271027229</v>
      </c>
      <c r="E119" s="156">
        <f t="shared" si="254"/>
        <v>0.27829665700932343</v>
      </c>
      <c r="F119" s="156">
        <f t="shared" si="254"/>
        <v>3.8385745794389442E-2</v>
      </c>
      <c r="G119" s="156">
        <f t="shared" si="254"/>
        <v>5.4379806542051712E-2</v>
      </c>
      <c r="I119" s="154">
        <v>2039</v>
      </c>
      <c r="J119" s="156">
        <f t="shared" ref="J119:N125" si="255">J34/(400*$A119)</f>
        <v>7.9970303738311345E-4</v>
      </c>
      <c r="K119" s="156">
        <f t="shared" si="255"/>
        <v>2.0792278971960951E-3</v>
      </c>
      <c r="L119" s="156">
        <f t="shared" si="255"/>
        <v>6.8774461214947749E-3</v>
      </c>
      <c r="M119" s="156">
        <f t="shared" si="255"/>
        <v>6.3976242990649071E-4</v>
      </c>
      <c r="N119" s="156">
        <f t="shared" si="255"/>
        <v>9.5964364485973607E-4</v>
      </c>
      <c r="P119" s="154">
        <v>2039</v>
      </c>
      <c r="Q119" s="156">
        <f t="shared" ref="Q119:U125" si="256">Q34/(400*$A119)</f>
        <v>1.7593466822428496E-3</v>
      </c>
      <c r="R119" s="156">
        <f t="shared" si="256"/>
        <v>5.4379806542051712E-3</v>
      </c>
      <c r="S119" s="156">
        <f t="shared" si="256"/>
        <v>1.8713051074764852E-2</v>
      </c>
      <c r="T119" s="156">
        <f t="shared" si="256"/>
        <v>7.9970303738311345E-4</v>
      </c>
      <c r="U119" s="156">
        <f t="shared" si="256"/>
        <v>2.2391685046727174E-3</v>
      </c>
      <c r="W119" s="154">
        <v>2039</v>
      </c>
      <c r="X119" s="157">
        <f t="shared" si="239"/>
        <v>16.341131865886538</v>
      </c>
      <c r="Z119" s="154">
        <v>2039</v>
      </c>
      <c r="AA119" s="156">
        <f t="shared" ref="AA119:AE125" si="257">AA34/(400*$A119)</f>
        <v>1.8525920564017207E-3</v>
      </c>
      <c r="AB119" s="156">
        <f t="shared" si="257"/>
        <v>5.7261936288780443E-3</v>
      </c>
      <c r="AC119" s="156">
        <f t="shared" si="257"/>
        <v>1.9704842781727388E-2</v>
      </c>
      <c r="AD119" s="156">
        <f t="shared" si="257"/>
        <v>8.4208729836441839E-4</v>
      </c>
      <c r="AE119" s="156">
        <f t="shared" si="257"/>
        <v>2.3578444354203712E-3</v>
      </c>
      <c r="AG119" s="154">
        <v>2039</v>
      </c>
      <c r="AH119" s="156">
        <f t="shared" ref="AH119:AL125" si="258">AH34/(400*$A119)</f>
        <v>7.7571194626161995E-4</v>
      </c>
      <c r="AI119" s="156">
        <f t="shared" si="258"/>
        <v>2.0168510602802119E-3</v>
      </c>
      <c r="AJ119" s="156">
        <f t="shared" si="258"/>
        <v>6.6711227378499311E-3</v>
      </c>
      <c r="AK119" s="156">
        <f t="shared" si="258"/>
        <v>6.2056955700929596E-4</v>
      </c>
      <c r="AL119" s="156">
        <f t="shared" si="258"/>
        <v>9.3085433551394394E-4</v>
      </c>
      <c r="AN119" s="154">
        <v>2039</v>
      </c>
      <c r="AO119" s="157">
        <f t="shared" si="242"/>
        <v>3.0068834205605063E-3</v>
      </c>
    </row>
    <row r="120" spans="1:41">
      <c r="A120" s="170">
        <f t="shared" si="243"/>
        <v>1.5865264237982135</v>
      </c>
      <c r="B120" s="154">
        <v>2040</v>
      </c>
      <c r="C120" s="156">
        <f t="shared" si="254"/>
        <v>4.4121546890102809E-2</v>
      </c>
      <c r="D120" s="156">
        <f t="shared" si="254"/>
        <v>9.4546171907363169E-2</v>
      </c>
      <c r="E120" s="156">
        <f t="shared" si="254"/>
        <v>0.26945658993598504</v>
      </c>
      <c r="F120" s="156">
        <f t="shared" si="254"/>
        <v>3.6242699231155882E-2</v>
      </c>
      <c r="G120" s="156">
        <f t="shared" si="254"/>
        <v>5.0424625017260354E-2</v>
      </c>
      <c r="I120" s="154">
        <v>2040</v>
      </c>
      <c r="J120" s="156">
        <f t="shared" si="255"/>
        <v>6.3030781271575448E-4</v>
      </c>
      <c r="K120" s="156">
        <f t="shared" si="255"/>
        <v>1.8909234381472633E-3</v>
      </c>
      <c r="L120" s="156">
        <f t="shared" si="255"/>
        <v>6.6182320335154221E-3</v>
      </c>
      <c r="M120" s="156">
        <f t="shared" si="255"/>
        <v>4.7273085953681584E-4</v>
      </c>
      <c r="N120" s="156">
        <f t="shared" si="255"/>
        <v>7.8788476589469302E-4</v>
      </c>
      <c r="P120" s="154">
        <v>2040</v>
      </c>
      <c r="Q120" s="156">
        <f t="shared" si="256"/>
        <v>1.575769531789386E-3</v>
      </c>
      <c r="R120" s="156">
        <f t="shared" si="256"/>
        <v>5.0424625017260359E-3</v>
      </c>
      <c r="S120" s="156">
        <f t="shared" si="256"/>
        <v>1.8436503521935817E-2</v>
      </c>
      <c r="T120" s="156">
        <f t="shared" si="256"/>
        <v>7.8788476589469302E-4</v>
      </c>
      <c r="U120" s="156">
        <f t="shared" si="256"/>
        <v>2.0485003913262019E-3</v>
      </c>
      <c r="W120" s="154">
        <v>2040</v>
      </c>
      <c r="X120" s="157">
        <f t="shared" si="239"/>
        <v>16.099637306292159</v>
      </c>
      <c r="Z120" s="154">
        <v>2040</v>
      </c>
      <c r="AA120" s="156">
        <f t="shared" si="257"/>
        <v>1.6592853169742235E-3</v>
      </c>
      <c r="AB120" s="156">
        <f t="shared" si="257"/>
        <v>5.3097130143175157E-3</v>
      </c>
      <c r="AC120" s="156">
        <f t="shared" si="257"/>
        <v>1.9413638208598413E-2</v>
      </c>
      <c r="AD120" s="156">
        <f t="shared" si="257"/>
        <v>8.2964265848711174E-4</v>
      </c>
      <c r="AE120" s="156">
        <f t="shared" si="257"/>
        <v>2.1570709120664906E-3</v>
      </c>
      <c r="AG120" s="154">
        <v>2040</v>
      </c>
      <c r="AH120" s="156">
        <f t="shared" si="258"/>
        <v>6.1139857833428181E-4</v>
      </c>
      <c r="AI120" s="156">
        <f t="shared" si="258"/>
        <v>1.8341957350028453E-3</v>
      </c>
      <c r="AJ120" s="156">
        <f t="shared" si="258"/>
        <v>6.4196850725099586E-3</v>
      </c>
      <c r="AK120" s="156">
        <f t="shared" si="258"/>
        <v>4.5854893375071133E-4</v>
      </c>
      <c r="AL120" s="156">
        <f t="shared" si="258"/>
        <v>7.6424822291785229E-4</v>
      </c>
      <c r="AN120" s="154">
        <v>2040</v>
      </c>
      <c r="AO120" s="157">
        <f t="shared" si="242"/>
        <v>2.9624467197640458E-3</v>
      </c>
    </row>
    <row r="121" spans="1:41">
      <c r="A121" s="170">
        <f t="shared" si="243"/>
        <v>1.6103243201551867</v>
      </c>
      <c r="B121" s="154">
        <v>2041</v>
      </c>
      <c r="C121" s="156">
        <f t="shared" si="254"/>
        <v>4.3469504325224444E-2</v>
      </c>
      <c r="D121" s="156">
        <f t="shared" si="254"/>
        <v>9.314893783976666E-2</v>
      </c>
      <c r="E121" s="156">
        <f t="shared" si="254"/>
        <v>0.26547447284333497</v>
      </c>
      <c r="F121" s="156">
        <f t="shared" si="254"/>
        <v>3.5707092838577217E-2</v>
      </c>
      <c r="G121" s="156">
        <f t="shared" si="254"/>
        <v>4.9679433514542216E-2</v>
      </c>
      <c r="I121" s="154">
        <v>2041</v>
      </c>
      <c r="J121" s="156">
        <f t="shared" si="255"/>
        <v>6.2099291893177779E-4</v>
      </c>
      <c r="K121" s="156">
        <f t="shared" si="255"/>
        <v>1.8629787567953332E-3</v>
      </c>
      <c r="L121" s="156">
        <f t="shared" si="255"/>
        <v>6.5204256487836664E-3</v>
      </c>
      <c r="M121" s="156">
        <f t="shared" si="255"/>
        <v>4.6574468919883329E-4</v>
      </c>
      <c r="N121" s="156">
        <f t="shared" si="255"/>
        <v>7.7624114866472213E-4</v>
      </c>
      <c r="P121" s="154">
        <v>2041</v>
      </c>
      <c r="Q121" s="156">
        <f t="shared" si="256"/>
        <v>1.5524822973294443E-3</v>
      </c>
      <c r="R121" s="156">
        <f t="shared" si="256"/>
        <v>4.9679433514542223E-3</v>
      </c>
      <c r="S121" s="156">
        <f t="shared" si="256"/>
        <v>1.8164042878754498E-2</v>
      </c>
      <c r="T121" s="156">
        <f t="shared" si="256"/>
        <v>7.7624114866472213E-4</v>
      </c>
      <c r="U121" s="156">
        <f t="shared" si="256"/>
        <v>2.0182269865282776E-3</v>
      </c>
      <c r="W121" s="154">
        <v>2041</v>
      </c>
      <c r="X121" s="157">
        <f t="shared" si="239"/>
        <v>15.861711631814932</v>
      </c>
      <c r="Z121" s="154">
        <v>2041</v>
      </c>
      <c r="AA121" s="156">
        <f t="shared" si="257"/>
        <v>1.6347638590879048E-3</v>
      </c>
      <c r="AB121" s="156">
        <f t="shared" si="257"/>
        <v>5.2312443490812955E-3</v>
      </c>
      <c r="AC121" s="156">
        <f t="shared" si="257"/>
        <v>1.9126737151328486E-2</v>
      </c>
      <c r="AD121" s="156">
        <f t="shared" si="257"/>
        <v>8.1738192954395239E-4</v>
      </c>
      <c r="AE121" s="156">
        <f t="shared" si="257"/>
        <v>2.1251930168142761E-3</v>
      </c>
      <c r="AG121" s="154">
        <v>2041</v>
      </c>
      <c r="AH121" s="156">
        <f t="shared" si="258"/>
        <v>6.0236313136382441E-4</v>
      </c>
      <c r="AI121" s="156">
        <f t="shared" si="258"/>
        <v>1.807089394091473E-3</v>
      </c>
      <c r="AJ121" s="156">
        <f t="shared" si="258"/>
        <v>6.3248128793201557E-3</v>
      </c>
      <c r="AK121" s="156">
        <f t="shared" si="258"/>
        <v>4.5177234852286825E-4</v>
      </c>
      <c r="AL121" s="156">
        <f t="shared" si="258"/>
        <v>7.5295391420478045E-4</v>
      </c>
      <c r="AN121" s="154">
        <v>2041</v>
      </c>
      <c r="AO121" s="157">
        <f t="shared" si="242"/>
        <v>2.9186667189793551E-3</v>
      </c>
    </row>
    <row r="122" spans="1:41">
      <c r="A122" s="170">
        <f t="shared" si="243"/>
        <v>1.6344791849575142</v>
      </c>
      <c r="B122" s="154">
        <v>2042</v>
      </c>
      <c r="C122" s="156">
        <f t="shared" si="254"/>
        <v>4.2827097857363994E-2</v>
      </c>
      <c r="D122" s="156">
        <f t="shared" si="254"/>
        <v>9.1772352551494268E-2</v>
      </c>
      <c r="E122" s="156">
        <f t="shared" si="254"/>
        <v>0.26155120477175864</v>
      </c>
      <c r="F122" s="156">
        <f t="shared" si="254"/>
        <v>3.5179401811406136E-2</v>
      </c>
      <c r="G122" s="156">
        <f t="shared" si="254"/>
        <v>4.8945254694130275E-2</v>
      </c>
      <c r="I122" s="154">
        <v>2042</v>
      </c>
      <c r="J122" s="156">
        <f t="shared" si="255"/>
        <v>6.1181568367662848E-4</v>
      </c>
      <c r="K122" s="156">
        <f t="shared" si="255"/>
        <v>1.8354470510298852E-3</v>
      </c>
      <c r="L122" s="156">
        <f t="shared" si="255"/>
        <v>6.4240646786045989E-3</v>
      </c>
      <c r="M122" s="156">
        <f t="shared" si="255"/>
        <v>4.588617627574713E-4</v>
      </c>
      <c r="N122" s="156">
        <f t="shared" si="255"/>
        <v>7.6476960459578554E-4</v>
      </c>
      <c r="P122" s="154">
        <v>2042</v>
      </c>
      <c r="Q122" s="156">
        <f t="shared" si="256"/>
        <v>1.5295392091915711E-3</v>
      </c>
      <c r="R122" s="156">
        <f t="shared" si="256"/>
        <v>4.8945254694130278E-3</v>
      </c>
      <c r="S122" s="156">
        <f t="shared" si="256"/>
        <v>1.789560874754138E-2</v>
      </c>
      <c r="T122" s="156">
        <f t="shared" si="256"/>
        <v>7.6476960459578554E-4</v>
      </c>
      <c r="U122" s="156">
        <f t="shared" si="256"/>
        <v>1.9884009719490425E-3</v>
      </c>
      <c r="W122" s="154">
        <v>2042</v>
      </c>
      <c r="X122" s="157">
        <f t="shared" si="239"/>
        <v>15.627302100310281</v>
      </c>
      <c r="Z122" s="154">
        <v>2042</v>
      </c>
      <c r="AA122" s="156">
        <f t="shared" si="257"/>
        <v>1.6106047872787243E-3</v>
      </c>
      <c r="AB122" s="156">
        <f t="shared" si="257"/>
        <v>5.1539353192919185E-3</v>
      </c>
      <c r="AC122" s="156">
        <f t="shared" si="257"/>
        <v>1.8844076011161073E-2</v>
      </c>
      <c r="AD122" s="156">
        <f t="shared" si="257"/>
        <v>8.0530239363936214E-4</v>
      </c>
      <c r="AE122" s="156">
        <f t="shared" si="257"/>
        <v>2.0937862234623418E-3</v>
      </c>
      <c r="AG122" s="154">
        <v>2042</v>
      </c>
      <c r="AH122" s="156">
        <f t="shared" si="258"/>
        <v>5.9346121316632963E-4</v>
      </c>
      <c r="AI122" s="156">
        <f t="shared" si="258"/>
        <v>1.7803836394989887E-3</v>
      </c>
      <c r="AJ122" s="156">
        <f t="shared" si="258"/>
        <v>6.2313427382464604E-3</v>
      </c>
      <c r="AK122" s="156">
        <f t="shared" si="258"/>
        <v>4.4509590987474717E-4</v>
      </c>
      <c r="AL122" s="156">
        <f t="shared" si="258"/>
        <v>7.4182651645791193E-4</v>
      </c>
      <c r="AN122" s="154">
        <v>2042</v>
      </c>
      <c r="AO122" s="157">
        <f t="shared" si="242"/>
        <v>2.8755337132801537E-3</v>
      </c>
    </row>
    <row r="123" spans="1:41">
      <c r="A123" s="170">
        <f t="shared" si="243"/>
        <v>1.6589963727318768</v>
      </c>
      <c r="B123" s="154">
        <v>2043</v>
      </c>
      <c r="C123" s="156">
        <f t="shared" si="254"/>
        <v>4.2194185081146793E-2</v>
      </c>
      <c r="D123" s="156">
        <f t="shared" si="254"/>
        <v>9.0416110888171697E-2</v>
      </c>
      <c r="E123" s="156">
        <f t="shared" si="254"/>
        <v>0.25768591603128932</v>
      </c>
      <c r="F123" s="156">
        <f t="shared" si="254"/>
        <v>3.4659509173799147E-2</v>
      </c>
      <c r="G123" s="156">
        <f t="shared" si="254"/>
        <v>4.8221925807024904E-2</v>
      </c>
      <c r="I123" s="154">
        <v>2043</v>
      </c>
      <c r="J123" s="156">
        <f t="shared" si="255"/>
        <v>6.0277407258781134E-4</v>
      </c>
      <c r="K123" s="156">
        <f t="shared" si="255"/>
        <v>1.8083222177634338E-3</v>
      </c>
      <c r="L123" s="156">
        <f t="shared" si="255"/>
        <v>6.3291277621720186E-3</v>
      </c>
      <c r="M123" s="156">
        <f t="shared" si="255"/>
        <v>4.5208055444085845E-4</v>
      </c>
      <c r="N123" s="156">
        <f t="shared" si="255"/>
        <v>7.5346759073476413E-4</v>
      </c>
      <c r="P123" s="154">
        <v>2043</v>
      </c>
      <c r="Q123" s="156">
        <f t="shared" si="256"/>
        <v>1.5069351814695283E-3</v>
      </c>
      <c r="R123" s="156">
        <f t="shared" si="256"/>
        <v>4.8221925807024908E-3</v>
      </c>
      <c r="S123" s="156">
        <f t="shared" si="256"/>
        <v>1.7631141623193479E-2</v>
      </c>
      <c r="T123" s="156">
        <f t="shared" si="256"/>
        <v>7.5346759073476413E-4</v>
      </c>
      <c r="U123" s="156">
        <f t="shared" si="256"/>
        <v>1.9590157359103866E-3</v>
      </c>
      <c r="W123" s="154">
        <v>2043</v>
      </c>
      <c r="X123" s="157">
        <f t="shared" si="239"/>
        <v>15.396356749074169</v>
      </c>
      <c r="Z123" s="154">
        <v>2043</v>
      </c>
      <c r="AA123" s="156">
        <f t="shared" si="257"/>
        <v>1.586802746087413E-3</v>
      </c>
      <c r="AB123" s="156">
        <f t="shared" si="257"/>
        <v>5.0777687874797228E-3</v>
      </c>
      <c r="AC123" s="156">
        <f t="shared" si="257"/>
        <v>1.8565592129222732E-2</v>
      </c>
      <c r="AD123" s="156">
        <f t="shared" si="257"/>
        <v>7.934013730437065E-4</v>
      </c>
      <c r="AE123" s="156">
        <f t="shared" si="257"/>
        <v>2.0628435699136371E-3</v>
      </c>
      <c r="AG123" s="154">
        <v>2043</v>
      </c>
      <c r="AH123" s="156">
        <f t="shared" si="258"/>
        <v>5.8469085041017697E-4</v>
      </c>
      <c r="AI123" s="156">
        <f t="shared" si="258"/>
        <v>1.7540725512305308E-3</v>
      </c>
      <c r="AJ123" s="156">
        <f t="shared" si="258"/>
        <v>6.1392539293068579E-3</v>
      </c>
      <c r="AK123" s="156">
        <f t="shared" si="258"/>
        <v>4.385181378076327E-4</v>
      </c>
      <c r="AL123" s="156">
        <f t="shared" si="258"/>
        <v>7.3086356301272119E-4</v>
      </c>
      <c r="AN123" s="154">
        <v>2043</v>
      </c>
      <c r="AO123" s="157">
        <f t="shared" si="242"/>
        <v>2.833038141162713E-3</v>
      </c>
    </row>
    <row r="124" spans="1:41">
      <c r="A124" s="170">
        <f t="shared" si="243"/>
        <v>1.6838813183228549</v>
      </c>
      <c r="B124" s="154">
        <v>2044</v>
      </c>
      <c r="C124" s="156">
        <f t="shared" si="254"/>
        <v>4.1570625695711128E-2</v>
      </c>
      <c r="D124" s="156">
        <f t="shared" si="254"/>
        <v>8.9079912205095271E-2</v>
      </c>
      <c r="E124" s="156">
        <f t="shared" si="254"/>
        <v>0.25387774978452154</v>
      </c>
      <c r="F124" s="156">
        <f t="shared" si="254"/>
        <v>3.4147299678619854E-2</v>
      </c>
      <c r="G124" s="156">
        <f t="shared" si="254"/>
        <v>4.7509286509384144E-2</v>
      </c>
      <c r="I124" s="154">
        <v>2044</v>
      </c>
      <c r="J124" s="156">
        <f t="shared" si="255"/>
        <v>5.9386608136730186E-4</v>
      </c>
      <c r="K124" s="156">
        <f t="shared" si="255"/>
        <v>1.7815982441019053E-3</v>
      </c>
      <c r="L124" s="156">
        <f t="shared" si="255"/>
        <v>6.235593854356669E-3</v>
      </c>
      <c r="M124" s="156">
        <f t="shared" si="255"/>
        <v>4.4539956102547632E-4</v>
      </c>
      <c r="N124" s="156">
        <f t="shared" si="255"/>
        <v>7.4233260170912725E-4</v>
      </c>
      <c r="P124" s="154">
        <v>2044</v>
      </c>
      <c r="Q124" s="156">
        <f t="shared" si="256"/>
        <v>1.4846652034182545E-3</v>
      </c>
      <c r="R124" s="156">
        <f t="shared" si="256"/>
        <v>4.7509286509384149E-3</v>
      </c>
      <c r="S124" s="156">
        <f t="shared" si="256"/>
        <v>1.7370582879993577E-2</v>
      </c>
      <c r="T124" s="156">
        <f t="shared" si="256"/>
        <v>7.4233260170912725E-4</v>
      </c>
      <c r="U124" s="156">
        <f t="shared" si="256"/>
        <v>1.930064764443731E-3</v>
      </c>
      <c r="W124" s="154">
        <v>2044</v>
      </c>
      <c r="X124" s="157">
        <f t="shared" si="239"/>
        <v>15.168824383324306</v>
      </c>
      <c r="Z124" s="154">
        <v>2044</v>
      </c>
      <c r="AA124" s="156">
        <f t="shared" si="257"/>
        <v>1.5633524591994218E-3</v>
      </c>
      <c r="AB124" s="156">
        <f t="shared" si="257"/>
        <v>5.0027278694381502E-3</v>
      </c>
      <c r="AC124" s="156">
        <f t="shared" si="257"/>
        <v>1.8291223772633234E-2</v>
      </c>
      <c r="AD124" s="156">
        <f t="shared" si="257"/>
        <v>7.8167622959971091E-4</v>
      </c>
      <c r="AE124" s="156">
        <f t="shared" si="257"/>
        <v>2.0323581969592486E-3</v>
      </c>
      <c r="AG124" s="154">
        <v>2044</v>
      </c>
      <c r="AH124" s="156">
        <f t="shared" si="258"/>
        <v>5.7605009892628279E-4</v>
      </c>
      <c r="AI124" s="156">
        <f t="shared" si="258"/>
        <v>1.7281502967788482E-3</v>
      </c>
      <c r="AJ124" s="156">
        <f t="shared" si="258"/>
        <v>6.0485260387259689E-3</v>
      </c>
      <c r="AK124" s="156">
        <f t="shared" si="258"/>
        <v>4.3203757419471204E-4</v>
      </c>
      <c r="AL124" s="156">
        <f t="shared" si="258"/>
        <v>7.2006262365785338E-4</v>
      </c>
      <c r="AN124" s="154">
        <v>2044</v>
      </c>
      <c r="AO124" s="157">
        <f t="shared" si="242"/>
        <v>2.7911705824263185E-3</v>
      </c>
    </row>
    <row r="125" spans="1:41" ht="12.75" customHeight="1" thickBot="1">
      <c r="A125" s="171">
        <f t="shared" si="243"/>
        <v>1.7091395380976975</v>
      </c>
      <c r="B125" s="154">
        <v>2045</v>
      </c>
      <c r="C125" s="156">
        <f t="shared" si="254"/>
        <v>4.0956281473607033E-2</v>
      </c>
      <c r="D125" s="156">
        <f t="shared" si="254"/>
        <v>8.7763460300586488E-2</v>
      </c>
      <c r="E125" s="156">
        <f t="shared" si="254"/>
        <v>0.25012586185667152</v>
      </c>
      <c r="F125" s="156">
        <f t="shared" si="254"/>
        <v>3.3642659781891487E-2</v>
      </c>
      <c r="G125" s="156">
        <f t="shared" si="254"/>
        <v>4.6807178826979462E-2</v>
      </c>
      <c r="I125" s="154">
        <v>2045</v>
      </c>
      <c r="J125" s="156">
        <f t="shared" si="255"/>
        <v>5.8508973533724336E-4</v>
      </c>
      <c r="K125" s="156">
        <f t="shared" si="255"/>
        <v>1.7552692060117299E-3</v>
      </c>
      <c r="L125" s="156">
        <f t="shared" si="255"/>
        <v>6.1434422210410551E-3</v>
      </c>
      <c r="M125" s="156">
        <f t="shared" si="255"/>
        <v>4.3881730150293247E-4</v>
      </c>
      <c r="N125" s="156">
        <f t="shared" si="255"/>
        <v>7.3136216917155409E-4</v>
      </c>
      <c r="P125" s="154">
        <v>2045</v>
      </c>
      <c r="Q125" s="156">
        <f t="shared" si="256"/>
        <v>1.4627243383431082E-3</v>
      </c>
      <c r="R125" s="156">
        <f t="shared" si="256"/>
        <v>4.6807178826979469E-3</v>
      </c>
      <c r="S125" s="156">
        <f t="shared" si="256"/>
        <v>1.7113874758614367E-2</v>
      </c>
      <c r="T125" s="156">
        <f t="shared" si="256"/>
        <v>7.3136216917155409E-4</v>
      </c>
      <c r="U125" s="156">
        <f t="shared" si="256"/>
        <v>1.9015416398460408E-3</v>
      </c>
      <c r="W125" s="154">
        <v>2045</v>
      </c>
      <c r="X125" s="157">
        <f t="shared" si="239"/>
        <v>14.944654564851536</v>
      </c>
      <c r="Z125" s="154">
        <v>2045</v>
      </c>
      <c r="AA125" s="156">
        <f t="shared" si="257"/>
        <v>1.5402487282752929E-3</v>
      </c>
      <c r="AB125" s="156">
        <f t="shared" si="257"/>
        <v>4.9287959304809377E-3</v>
      </c>
      <c r="AC125" s="156">
        <f t="shared" si="257"/>
        <v>1.8020910120820924E-2</v>
      </c>
      <c r="AD125" s="156">
        <f t="shared" si="257"/>
        <v>7.7012436413764643E-4</v>
      </c>
      <c r="AE125" s="156">
        <f t="shared" si="257"/>
        <v>2.002323346757881E-3</v>
      </c>
      <c r="AG125" s="154">
        <v>2045</v>
      </c>
      <c r="AH125" s="156">
        <f t="shared" si="258"/>
        <v>5.6753704327712603E-4</v>
      </c>
      <c r="AI125" s="156">
        <f t="shared" si="258"/>
        <v>1.7026111298313778E-3</v>
      </c>
      <c r="AJ125" s="156">
        <f t="shared" si="258"/>
        <v>5.959138954409823E-3</v>
      </c>
      <c r="AK125" s="156">
        <f t="shared" si="258"/>
        <v>4.2565278245784444E-4</v>
      </c>
      <c r="AL125" s="156">
        <f t="shared" si="258"/>
        <v>7.0942130409640746E-4</v>
      </c>
      <c r="AN125" s="154">
        <v>2045</v>
      </c>
      <c r="AO125" s="157">
        <f t="shared" si="242"/>
        <v>2.7499217560850433E-3</v>
      </c>
    </row>
    <row r="247" spans="3:7">
      <c r="C247" s="153"/>
      <c r="D247" s="153"/>
      <c r="E247" s="153"/>
      <c r="F247" s="153"/>
      <c r="G247" s="153"/>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tabColor theme="8" tint="0.79998168889431442"/>
    <pageSetUpPr fitToPage="1"/>
  </sheetPr>
  <dimension ref="A1:XFD106"/>
  <sheetViews>
    <sheetView showGridLines="0" topLeftCell="A5" workbookViewId="0">
      <selection activeCell="B5" sqref="B5"/>
    </sheetView>
  </sheetViews>
  <sheetFormatPr defaultColWidth="13.33203125" defaultRowHeight="10"/>
  <cols>
    <col min="1" max="1" width="0.83203125" style="83" customWidth="1"/>
    <col min="2" max="16384" width="13.33203125" style="83"/>
  </cols>
  <sheetData>
    <row r="1" spans="1:16" s="7" customFormat="1" ht="10.5">
      <c r="A1" s="4" t="s">
        <v>187</v>
      </c>
      <c r="C1" s="5"/>
      <c r="D1" s="5"/>
      <c r="E1" s="5"/>
      <c r="F1" s="5"/>
      <c r="G1" s="5"/>
      <c r="H1" s="6"/>
      <c r="I1" s="6"/>
    </row>
    <row r="3" spans="1:16" s="7" customFormat="1" ht="10.5">
      <c r="A3" s="4"/>
      <c r="B3" s="4" t="s">
        <v>1047</v>
      </c>
      <c r="C3" s="5"/>
      <c r="D3" s="5"/>
      <c r="E3" s="5"/>
      <c r="F3" s="5"/>
      <c r="G3" s="5"/>
      <c r="H3" s="6"/>
      <c r="I3" s="6"/>
    </row>
    <row r="4" spans="1:16" s="7" customFormat="1" ht="10.5">
      <c r="A4" s="4"/>
      <c r="B4" s="4" t="s">
        <v>188</v>
      </c>
      <c r="C4" s="5"/>
      <c r="D4" s="5"/>
      <c r="E4" s="5"/>
      <c r="F4" s="5"/>
      <c r="G4" s="5"/>
      <c r="H4" s="6"/>
      <c r="I4" s="6"/>
      <c r="J4" s="4" t="s">
        <v>189</v>
      </c>
    </row>
    <row r="5" spans="1:16">
      <c r="C5" s="235"/>
      <c r="D5" s="235"/>
      <c r="E5" s="235"/>
    </row>
    <row r="6" spans="1:16" ht="11.25" customHeight="1">
      <c r="B6" s="1469" t="s">
        <v>0</v>
      </c>
      <c r="C6" s="1471" t="s">
        <v>1191</v>
      </c>
      <c r="D6" s="1471"/>
      <c r="E6" s="1471"/>
      <c r="F6" s="1471" t="s">
        <v>1192</v>
      </c>
      <c r="G6" s="1471"/>
      <c r="H6" s="1471"/>
      <c r="J6" s="1471" t="s">
        <v>1193</v>
      </c>
      <c r="K6" s="1471"/>
      <c r="L6" s="1471"/>
      <c r="M6" s="1471" t="s">
        <v>1194</v>
      </c>
      <c r="N6" s="1471"/>
      <c r="O6" s="1471"/>
    </row>
    <row r="7" spans="1:16" ht="21">
      <c r="B7" s="1470"/>
      <c r="C7" s="335" t="s">
        <v>190</v>
      </c>
      <c r="D7" s="335" t="s">
        <v>191</v>
      </c>
      <c r="E7" s="335" t="s">
        <v>192</v>
      </c>
      <c r="F7" s="335" t="s">
        <v>190</v>
      </c>
      <c r="G7" s="335" t="s">
        <v>191</v>
      </c>
      <c r="H7" s="335" t="s">
        <v>192</v>
      </c>
      <c r="J7" s="335" t="s">
        <v>190</v>
      </c>
      <c r="K7" s="335" t="s">
        <v>191</v>
      </c>
      <c r="L7" s="335" t="s">
        <v>192</v>
      </c>
      <c r="M7" s="335" t="s">
        <v>190</v>
      </c>
      <c r="N7" s="335" t="s">
        <v>191</v>
      </c>
      <c r="O7" s="335" t="s">
        <v>192</v>
      </c>
    </row>
    <row r="8" spans="1:16">
      <c r="B8" s="86">
        <v>2019</v>
      </c>
      <c r="C8" s="88">
        <v>2.667821</v>
      </c>
      <c r="D8" s="88">
        <v>2.6678269999999999</v>
      </c>
      <c r="E8" s="88">
        <v>2.667818</v>
      </c>
      <c r="F8" s="88">
        <v>3.0399669999999999</v>
      </c>
      <c r="G8" s="88">
        <v>3.0405760000000002</v>
      </c>
      <c r="H8" s="88">
        <v>3.0392239999999999</v>
      </c>
      <c r="I8" s="1336">
        <f>J8/C8</f>
        <v>0.20415874978118848</v>
      </c>
      <c r="J8" s="87">
        <v>0.544659</v>
      </c>
      <c r="K8" s="87">
        <v>0.54466300000000001</v>
      </c>
      <c r="L8" s="87">
        <v>0.54466400000000004</v>
      </c>
      <c r="M8" s="87">
        <v>0.59106899999999996</v>
      </c>
      <c r="N8" s="87">
        <v>0.59118800000000005</v>
      </c>
      <c r="O8" s="87">
        <v>0.59092499999999992</v>
      </c>
      <c r="P8" s="1336">
        <f>M8/F8</f>
        <v>0.19443270272341773</v>
      </c>
    </row>
    <row r="9" spans="1:16">
      <c r="B9" s="86">
        <f t="shared" ref="B9:B39" si="0">B8+1</f>
        <v>2020</v>
      </c>
      <c r="C9" s="88">
        <v>2.64161</v>
      </c>
      <c r="D9" s="88">
        <v>2.1344509999999999</v>
      </c>
      <c r="E9" s="88">
        <v>3.2377250000000002</v>
      </c>
      <c r="F9" s="88">
        <v>2.9344049999999999</v>
      </c>
      <c r="G9" s="88">
        <v>2.3350270000000002</v>
      </c>
      <c r="H9" s="88">
        <v>3.5150359999999998</v>
      </c>
      <c r="I9" s="1336">
        <f>J9/C9</f>
        <v>0.20441435336783248</v>
      </c>
      <c r="J9" s="87">
        <v>0.53998299999999999</v>
      </c>
      <c r="K9" s="87">
        <v>0.53561599999999998</v>
      </c>
      <c r="L9" s="87">
        <v>0.545678</v>
      </c>
      <c r="M9" s="87">
        <v>0.58528500000000006</v>
      </c>
      <c r="N9" s="87">
        <v>0.58623400000000003</v>
      </c>
      <c r="O9" s="87">
        <v>0.58495799999999998</v>
      </c>
    </row>
    <row r="10" spans="1:16" ht="14">
      <c r="A10" s="150"/>
      <c r="B10" s="86">
        <f t="shared" si="0"/>
        <v>2021</v>
      </c>
      <c r="C10" s="88">
        <v>2.6443370000000002</v>
      </c>
      <c r="D10" s="88">
        <v>2.075056</v>
      </c>
      <c r="E10" s="88">
        <v>3.3522479999999999</v>
      </c>
      <c r="F10" s="88">
        <v>2.9493360000000002</v>
      </c>
      <c r="G10" s="88">
        <v>2.2773840000000001</v>
      </c>
      <c r="H10" s="88">
        <v>3.6748319999999999</v>
      </c>
      <c r="J10" s="88">
        <v>0.53533799999999998</v>
      </c>
      <c r="K10" s="88">
        <v>0.53084399999999998</v>
      </c>
      <c r="L10" s="88">
        <v>0.54128500000000002</v>
      </c>
      <c r="M10" s="88">
        <v>0.58262999999999998</v>
      </c>
      <c r="N10" s="88">
        <v>0.58421699999999999</v>
      </c>
      <c r="O10" s="88">
        <v>0.580341</v>
      </c>
    </row>
    <row r="11" spans="1:16" ht="14">
      <c r="A11" s="150"/>
      <c r="B11" s="86">
        <f t="shared" si="0"/>
        <v>2022</v>
      </c>
      <c r="C11" s="88">
        <v>2.6447820000000002</v>
      </c>
      <c r="D11" s="88">
        <v>2.0628139999999999</v>
      </c>
      <c r="E11" s="88">
        <v>3.5057879999999999</v>
      </c>
      <c r="F11" s="88">
        <v>2.9949479999999999</v>
      </c>
      <c r="G11" s="88">
        <v>2.3227669999999998</v>
      </c>
      <c r="H11" s="88">
        <v>3.9033250000000002</v>
      </c>
      <c r="J11" s="88">
        <v>0.53062799999999999</v>
      </c>
      <c r="K11" s="88">
        <v>0.52665399999999996</v>
      </c>
      <c r="L11" s="88">
        <v>0.53673400000000004</v>
      </c>
      <c r="M11" s="88">
        <v>0.57908400000000004</v>
      </c>
      <c r="N11" s="88">
        <v>0.58133100000000004</v>
      </c>
      <c r="O11" s="88">
        <v>0.57506699999999999</v>
      </c>
    </row>
    <row r="12" spans="1:16" ht="14">
      <c r="A12" s="150"/>
      <c r="B12" s="86">
        <f t="shared" si="0"/>
        <v>2023</v>
      </c>
      <c r="C12" s="88">
        <v>2.6339389999999998</v>
      </c>
      <c r="D12" s="88">
        <v>2.0465390000000001</v>
      </c>
      <c r="E12" s="88">
        <v>3.7273800000000001</v>
      </c>
      <c r="F12" s="88">
        <v>3.0121190000000002</v>
      </c>
      <c r="G12" s="88">
        <v>2.3277929999999998</v>
      </c>
      <c r="H12" s="88">
        <v>4.2083849999999998</v>
      </c>
      <c r="J12" s="88">
        <v>0.52584399999999998</v>
      </c>
      <c r="K12" s="88">
        <v>0.52251800000000004</v>
      </c>
      <c r="L12" s="88">
        <v>0.53241399999999994</v>
      </c>
      <c r="M12" s="88">
        <v>0.57305699999999993</v>
      </c>
      <c r="N12" s="88">
        <v>0.57647199999999998</v>
      </c>
      <c r="O12" s="88">
        <v>0.56666700000000003</v>
      </c>
    </row>
    <row r="13" spans="1:16" ht="14">
      <c r="A13" s="150"/>
      <c r="B13" s="86">
        <f t="shared" si="0"/>
        <v>2024</v>
      </c>
      <c r="C13" s="88">
        <v>2.5986470000000002</v>
      </c>
      <c r="D13" s="88">
        <v>2.0253930000000002</v>
      </c>
      <c r="E13" s="88">
        <v>3.8268300000000002</v>
      </c>
      <c r="F13" s="88">
        <v>3.0663870000000002</v>
      </c>
      <c r="G13" s="88">
        <v>2.3512870000000001</v>
      </c>
      <c r="H13" s="88">
        <v>4.357755</v>
      </c>
      <c r="J13" s="88">
        <v>0.52090400000000003</v>
      </c>
      <c r="K13" s="88">
        <v>0.518343</v>
      </c>
      <c r="L13" s="88">
        <v>0.52657399999999999</v>
      </c>
      <c r="M13" s="88">
        <v>0.56794999999999995</v>
      </c>
      <c r="N13" s="88">
        <v>0.57198599999999999</v>
      </c>
      <c r="O13" s="88">
        <v>0.55865799999999999</v>
      </c>
    </row>
    <row r="14" spans="1:16" ht="14">
      <c r="A14" s="150"/>
      <c r="B14" s="86">
        <f t="shared" si="0"/>
        <v>2025</v>
      </c>
      <c r="C14" s="88">
        <v>2.627421</v>
      </c>
      <c r="D14" s="88">
        <v>2.0112019999999999</v>
      </c>
      <c r="E14" s="88">
        <v>3.8748330000000002</v>
      </c>
      <c r="F14" s="88">
        <v>3.0845769999999999</v>
      </c>
      <c r="G14" s="88">
        <v>2.3726080000000001</v>
      </c>
      <c r="H14" s="88">
        <v>4.4595919999999998</v>
      </c>
      <c r="J14" s="88">
        <v>0.51654</v>
      </c>
      <c r="K14" s="88">
        <v>0.51419499999999996</v>
      </c>
      <c r="L14" s="88">
        <v>0.519845</v>
      </c>
      <c r="M14" s="88">
        <v>0.56306999999999996</v>
      </c>
      <c r="N14" s="88">
        <v>0.56779400000000002</v>
      </c>
      <c r="O14" s="88">
        <v>0.55047000000000001</v>
      </c>
    </row>
    <row r="15" spans="1:16" ht="14">
      <c r="A15" s="150"/>
      <c r="B15" s="86">
        <f t="shared" si="0"/>
        <v>2026</v>
      </c>
      <c r="C15" s="88">
        <v>2.6489530000000001</v>
      </c>
      <c r="D15" s="88">
        <v>2.015854</v>
      </c>
      <c r="E15" s="88">
        <v>3.938596</v>
      </c>
      <c r="F15" s="88">
        <v>3.1412900000000001</v>
      </c>
      <c r="G15" s="88">
        <v>2.3929870000000002</v>
      </c>
      <c r="H15" s="88">
        <v>4.5470969999999999</v>
      </c>
      <c r="J15" s="88">
        <v>0.51244200000000006</v>
      </c>
      <c r="K15" s="88">
        <v>0.51064799999999999</v>
      </c>
      <c r="L15" s="88">
        <v>0.51351799999999992</v>
      </c>
      <c r="M15" s="88">
        <v>0.55840899999999993</v>
      </c>
      <c r="N15" s="88">
        <v>0.56394</v>
      </c>
      <c r="O15" s="88">
        <v>0.54239499999999996</v>
      </c>
    </row>
    <row r="16" spans="1:16" ht="14">
      <c r="A16" s="150"/>
      <c r="B16" s="86">
        <f t="shared" si="0"/>
        <v>2027</v>
      </c>
      <c r="C16" s="88">
        <v>2.6805880000000002</v>
      </c>
      <c r="D16" s="88">
        <v>2.023088</v>
      </c>
      <c r="E16" s="88">
        <v>3.9491770000000002</v>
      </c>
      <c r="F16" s="88">
        <v>3.1493359999999999</v>
      </c>
      <c r="G16" s="88">
        <v>2.404782</v>
      </c>
      <c r="H16" s="88">
        <v>4.5466959999999998</v>
      </c>
      <c r="J16" s="88">
        <v>0.50853599999999999</v>
      </c>
      <c r="K16" s="88">
        <v>0.50717100000000004</v>
      </c>
      <c r="L16" s="88">
        <v>0.50709899999999997</v>
      </c>
      <c r="M16" s="88">
        <v>0.55371999999999999</v>
      </c>
      <c r="N16" s="88">
        <v>0.55998999999999999</v>
      </c>
      <c r="O16" s="88">
        <v>0.53466499999999995</v>
      </c>
    </row>
    <row r="17" spans="1:15" ht="14">
      <c r="A17" s="150"/>
      <c r="B17" s="86">
        <f t="shared" si="0"/>
        <v>2028</v>
      </c>
      <c r="C17" s="88">
        <v>2.6934100000000001</v>
      </c>
      <c r="D17" s="88">
        <v>2.0279889999999998</v>
      </c>
      <c r="E17" s="88">
        <v>3.9967299999999999</v>
      </c>
      <c r="F17" s="88">
        <v>3.1974529999999999</v>
      </c>
      <c r="G17" s="88">
        <v>2.404166</v>
      </c>
      <c r="H17" s="88">
        <v>4.6106939999999996</v>
      </c>
      <c r="J17" s="88">
        <v>0.504579</v>
      </c>
      <c r="K17" s="88">
        <v>0.50376299999999996</v>
      </c>
      <c r="L17" s="88">
        <v>0.50127499999999992</v>
      </c>
      <c r="M17" s="88">
        <v>0.54922599999999999</v>
      </c>
      <c r="N17" s="88">
        <v>0.55610499999999996</v>
      </c>
      <c r="O17" s="88">
        <v>0.52721899999999999</v>
      </c>
    </row>
    <row r="18" spans="1:15" ht="14">
      <c r="A18" s="150"/>
      <c r="B18" s="86">
        <f t="shared" si="0"/>
        <v>2029</v>
      </c>
      <c r="C18" s="88">
        <v>2.7282999999999999</v>
      </c>
      <c r="D18" s="88">
        <v>2.0311620000000001</v>
      </c>
      <c r="E18" s="88">
        <v>4.1457579999999998</v>
      </c>
      <c r="F18" s="88">
        <v>3.2269950000000001</v>
      </c>
      <c r="G18" s="88">
        <v>2.4100630000000001</v>
      </c>
      <c r="H18" s="88">
        <v>4.8153420000000002</v>
      </c>
      <c r="J18" s="88">
        <v>0.50087799999999993</v>
      </c>
      <c r="K18" s="88">
        <v>0.50037500000000001</v>
      </c>
      <c r="L18" s="88">
        <v>0.49616800000000005</v>
      </c>
      <c r="M18" s="88">
        <v>0.54462600000000005</v>
      </c>
      <c r="N18" s="88">
        <v>0.55228600000000005</v>
      </c>
      <c r="O18" s="88">
        <v>0.51998</v>
      </c>
    </row>
    <row r="19" spans="1:15" ht="14">
      <c r="A19" s="150"/>
      <c r="B19" s="86">
        <f t="shared" si="0"/>
        <v>2030</v>
      </c>
      <c r="C19" s="88">
        <v>2.8120669999999999</v>
      </c>
      <c r="D19" s="88">
        <v>2.0895030000000001</v>
      </c>
      <c r="E19" s="88">
        <v>4.1836209999999996</v>
      </c>
      <c r="F19" s="88">
        <v>3.2938559999999999</v>
      </c>
      <c r="G19" s="88">
        <v>2.4764080000000002</v>
      </c>
      <c r="H19" s="88">
        <v>4.8481120000000004</v>
      </c>
      <c r="J19" s="88">
        <v>0.49734299999999998</v>
      </c>
      <c r="K19" s="88">
        <v>0.49719199999999997</v>
      </c>
      <c r="L19" s="88">
        <v>0.49092400000000003</v>
      </c>
      <c r="M19" s="88">
        <v>0.54023599999999994</v>
      </c>
      <c r="N19" s="88">
        <v>0.54881199999999997</v>
      </c>
      <c r="O19" s="88">
        <v>0.51328700000000005</v>
      </c>
    </row>
    <row r="20" spans="1:15" ht="14">
      <c r="A20" s="150"/>
      <c r="B20" s="86">
        <f t="shared" si="0"/>
        <v>2031</v>
      </c>
      <c r="C20" s="88">
        <v>2.830978</v>
      </c>
      <c r="D20" s="88">
        <v>2.0893069999999998</v>
      </c>
      <c r="E20" s="88">
        <v>4.2484029999999997</v>
      </c>
      <c r="F20" s="88">
        <v>3.3310569999999999</v>
      </c>
      <c r="G20" s="88">
        <v>2.479984</v>
      </c>
      <c r="H20" s="88">
        <v>4.9344140000000003</v>
      </c>
      <c r="J20" s="88">
        <v>0.49384099999999997</v>
      </c>
      <c r="K20" s="88">
        <v>0.49412600000000001</v>
      </c>
      <c r="L20" s="88">
        <v>0.48603499999999999</v>
      </c>
      <c r="M20" s="88">
        <v>0.53619799999999995</v>
      </c>
      <c r="N20" s="88">
        <v>0.54555100000000001</v>
      </c>
      <c r="O20" s="88">
        <v>0.50708799999999998</v>
      </c>
    </row>
    <row r="21" spans="1:15" ht="14">
      <c r="A21" s="150"/>
      <c r="B21" s="86">
        <f t="shared" si="0"/>
        <v>2032</v>
      </c>
      <c r="C21" s="88">
        <v>2.8553410000000001</v>
      </c>
      <c r="D21" s="88">
        <v>2.1004330000000002</v>
      </c>
      <c r="E21" s="88">
        <v>4.3625150000000001</v>
      </c>
      <c r="F21" s="88">
        <v>3.3550689999999999</v>
      </c>
      <c r="G21" s="88">
        <v>2.4927250000000001</v>
      </c>
      <c r="H21" s="88">
        <v>5.1021640000000001</v>
      </c>
      <c r="J21" s="88">
        <v>0.49046900000000004</v>
      </c>
      <c r="K21" s="88">
        <v>0.491259</v>
      </c>
      <c r="L21" s="88">
        <v>0.48184399999999999</v>
      </c>
      <c r="M21" s="88">
        <v>0.532219</v>
      </c>
      <c r="N21" s="88">
        <v>0.54235500000000003</v>
      </c>
      <c r="O21" s="88">
        <v>0.50102599999999997</v>
      </c>
    </row>
    <row r="22" spans="1:15" ht="14">
      <c r="A22" s="150"/>
      <c r="B22" s="86">
        <f t="shared" si="0"/>
        <v>2033</v>
      </c>
      <c r="C22" s="88">
        <v>2.9054350000000002</v>
      </c>
      <c r="D22" s="88">
        <v>2.1180409999999998</v>
      </c>
      <c r="E22" s="88">
        <v>4.4457769999999996</v>
      </c>
      <c r="F22" s="88">
        <v>3.4091459999999998</v>
      </c>
      <c r="G22" s="88">
        <v>2.5046810000000002</v>
      </c>
      <c r="H22" s="88">
        <v>5.1249200000000004</v>
      </c>
      <c r="J22" s="88">
        <v>0.48736499999999999</v>
      </c>
      <c r="K22" s="88">
        <v>0.48852899999999999</v>
      </c>
      <c r="L22" s="88">
        <v>0.47754799999999997</v>
      </c>
      <c r="M22" s="88">
        <v>0.52834599999999998</v>
      </c>
      <c r="N22" s="88">
        <v>0.53924400000000006</v>
      </c>
      <c r="O22" s="88">
        <v>0.495224</v>
      </c>
    </row>
    <row r="23" spans="1:15" ht="14">
      <c r="A23" s="150"/>
      <c r="B23" s="86">
        <f t="shared" si="0"/>
        <v>2034</v>
      </c>
      <c r="C23" s="88">
        <v>2.9513189999999998</v>
      </c>
      <c r="D23" s="88">
        <v>2.1158079999999999</v>
      </c>
      <c r="E23" s="88">
        <v>4.477036</v>
      </c>
      <c r="F23" s="88">
        <v>3.4365450000000002</v>
      </c>
      <c r="G23" s="88">
        <v>2.4936759999999998</v>
      </c>
      <c r="H23" s="88">
        <v>5.1319239999999997</v>
      </c>
      <c r="J23" s="88">
        <v>0.48443800000000004</v>
      </c>
      <c r="K23" s="88">
        <v>0.48579100000000003</v>
      </c>
      <c r="L23" s="88">
        <v>0.47301100000000001</v>
      </c>
      <c r="M23" s="88">
        <v>0.52459999999999996</v>
      </c>
      <c r="N23" s="88">
        <v>0.53633900000000001</v>
      </c>
      <c r="O23" s="88">
        <v>0.48991799999999996</v>
      </c>
    </row>
    <row r="24" spans="1:15" ht="14">
      <c r="A24" s="150"/>
      <c r="B24" s="86">
        <f t="shared" si="0"/>
        <v>2035</v>
      </c>
      <c r="C24" s="88">
        <v>2.981379</v>
      </c>
      <c r="D24" s="88">
        <v>2.1253989999999998</v>
      </c>
      <c r="E24" s="88">
        <v>4.5329839999999999</v>
      </c>
      <c r="F24" s="88">
        <v>3.4674489999999998</v>
      </c>
      <c r="G24" s="88">
        <v>2.502078</v>
      </c>
      <c r="H24" s="88">
        <v>5.1816890000000004</v>
      </c>
      <c r="J24" s="88">
        <v>0.48133399999999998</v>
      </c>
      <c r="K24" s="88">
        <v>0.48315599999999997</v>
      </c>
      <c r="L24" s="88">
        <v>0.46867599999999998</v>
      </c>
      <c r="M24" s="88">
        <v>0.52101500000000001</v>
      </c>
      <c r="N24" s="88">
        <v>0.53355799999999998</v>
      </c>
      <c r="O24" s="88">
        <v>0.48494900000000002</v>
      </c>
    </row>
    <row r="25" spans="1:15" ht="14">
      <c r="A25" s="150"/>
      <c r="B25" s="86">
        <f t="shared" si="0"/>
        <v>2036</v>
      </c>
      <c r="C25" s="88">
        <v>3.0165229999999998</v>
      </c>
      <c r="D25" s="88">
        <v>2.1343320000000001</v>
      </c>
      <c r="E25" s="88">
        <v>4.5831569999999999</v>
      </c>
      <c r="F25" s="88">
        <v>3.5024649999999999</v>
      </c>
      <c r="G25" s="88">
        <v>2.5035090000000002</v>
      </c>
      <c r="H25" s="88">
        <v>5.2400599999999997</v>
      </c>
      <c r="J25" s="88">
        <v>0.47872300000000001</v>
      </c>
      <c r="K25" s="88">
        <v>0.48084700000000002</v>
      </c>
      <c r="L25" s="88">
        <v>0.465057</v>
      </c>
      <c r="M25" s="88">
        <v>0.51754100000000003</v>
      </c>
      <c r="N25" s="88">
        <v>0.53065399999999996</v>
      </c>
      <c r="O25" s="88">
        <v>0.48020000000000002</v>
      </c>
    </row>
    <row r="26" spans="1:15" ht="14">
      <c r="A26" s="150"/>
      <c r="B26" s="86">
        <f t="shared" si="0"/>
        <v>2037</v>
      </c>
      <c r="C26" s="88">
        <v>3.0252829999999999</v>
      </c>
      <c r="D26" s="88">
        <v>2.152269</v>
      </c>
      <c r="E26" s="88">
        <v>4.6203149999999997</v>
      </c>
      <c r="F26" s="88">
        <v>3.527104</v>
      </c>
      <c r="G26" s="88">
        <v>2.5194109999999998</v>
      </c>
      <c r="H26" s="88">
        <v>5.2862179999999999</v>
      </c>
      <c r="J26" s="88">
        <v>0.47585100000000002</v>
      </c>
      <c r="K26" s="88">
        <v>0.478576</v>
      </c>
      <c r="L26" s="88">
        <v>0.46160600000000002</v>
      </c>
      <c r="M26" s="88">
        <v>0.51416799999999996</v>
      </c>
      <c r="N26" s="88">
        <v>0.52785400000000005</v>
      </c>
      <c r="O26" s="88">
        <v>0.47599999999999998</v>
      </c>
    </row>
    <row r="27" spans="1:15" ht="14">
      <c r="A27" s="150"/>
      <c r="B27" s="86">
        <f t="shared" si="0"/>
        <v>2038</v>
      </c>
      <c r="C27" s="88">
        <v>3.0579109999999998</v>
      </c>
      <c r="D27" s="88">
        <v>2.1512720000000001</v>
      </c>
      <c r="E27" s="88">
        <v>4.6684999999999999</v>
      </c>
      <c r="F27" s="88">
        <v>3.5561530000000001</v>
      </c>
      <c r="G27" s="88">
        <v>2.5161950000000002</v>
      </c>
      <c r="H27" s="88">
        <v>5.3386290000000001</v>
      </c>
      <c r="J27" s="88">
        <v>0.47325600000000001</v>
      </c>
      <c r="K27" s="88">
        <v>0.476074</v>
      </c>
      <c r="L27" s="88">
        <v>0.45857300000000001</v>
      </c>
      <c r="M27" s="88">
        <v>0.51064899999999991</v>
      </c>
      <c r="N27" s="88">
        <v>0.52487399999999995</v>
      </c>
      <c r="O27" s="88">
        <v>0.47209599999999996</v>
      </c>
    </row>
    <row r="28" spans="1:15" ht="14">
      <c r="A28" s="150"/>
      <c r="B28" s="86">
        <f t="shared" si="0"/>
        <v>2039</v>
      </c>
      <c r="C28" s="88">
        <v>3.0983939999999999</v>
      </c>
      <c r="D28" s="88">
        <v>2.162042</v>
      </c>
      <c r="E28" s="88">
        <v>4.6977219999999997</v>
      </c>
      <c r="F28" s="88">
        <v>3.5872730000000002</v>
      </c>
      <c r="G28" s="88">
        <v>2.5276269999999998</v>
      </c>
      <c r="H28" s="88">
        <v>5.3960059999999999</v>
      </c>
      <c r="J28" s="88">
        <v>0.47082599999999997</v>
      </c>
      <c r="K28" s="88">
        <v>0.47365800000000002</v>
      </c>
      <c r="L28" s="88">
        <v>0.45572000000000001</v>
      </c>
      <c r="M28" s="88">
        <v>0.50737100000000002</v>
      </c>
      <c r="N28" s="88">
        <v>0.52183099999999993</v>
      </c>
      <c r="O28" s="88">
        <v>0.46858900000000003</v>
      </c>
    </row>
    <row r="29" spans="1:15" ht="14">
      <c r="A29" s="150"/>
      <c r="B29" s="86">
        <f t="shared" si="0"/>
        <v>2040</v>
      </c>
      <c r="C29" s="88">
        <v>3.108914</v>
      </c>
      <c r="D29" s="88">
        <v>2.176053</v>
      </c>
      <c r="E29" s="88">
        <v>4.7475420000000002</v>
      </c>
      <c r="F29" s="88">
        <v>3.5866609999999999</v>
      </c>
      <c r="G29" s="88">
        <v>2.536063</v>
      </c>
      <c r="H29" s="88">
        <v>5.4464750000000004</v>
      </c>
      <c r="J29" s="88">
        <v>0.46814700000000004</v>
      </c>
      <c r="K29" s="88">
        <v>0.47123800000000005</v>
      </c>
      <c r="L29" s="88">
        <v>0.45346500000000001</v>
      </c>
      <c r="M29" s="88">
        <v>0.50391700000000006</v>
      </c>
      <c r="N29" s="88">
        <v>0.51880799999999994</v>
      </c>
      <c r="O29" s="88">
        <v>0.46537499999999998</v>
      </c>
    </row>
    <row r="30" spans="1:15" ht="14">
      <c r="A30" s="150"/>
      <c r="B30" s="86">
        <f t="shared" si="0"/>
        <v>2041</v>
      </c>
      <c r="C30" s="88">
        <v>3.1306609999999999</v>
      </c>
      <c r="D30" s="88">
        <v>2.1816979999999999</v>
      </c>
      <c r="E30" s="88">
        <v>4.786181</v>
      </c>
      <c r="F30" s="88">
        <v>3.6097619999999999</v>
      </c>
      <c r="G30" s="88">
        <v>2.5381100000000001</v>
      </c>
      <c r="H30" s="88">
        <v>5.496632</v>
      </c>
      <c r="J30" s="88">
        <v>0.465609</v>
      </c>
      <c r="K30" s="88">
        <v>0.46869799999999995</v>
      </c>
      <c r="L30" s="88">
        <v>0.45122899999999999</v>
      </c>
      <c r="M30" s="88">
        <v>0.50061900000000004</v>
      </c>
      <c r="N30" s="88">
        <v>0.51576599999999995</v>
      </c>
      <c r="O30" s="88">
        <v>0.462563</v>
      </c>
    </row>
    <row r="31" spans="1:15" ht="14">
      <c r="A31" s="150"/>
      <c r="B31" s="86">
        <f t="shared" si="0"/>
        <v>2042</v>
      </c>
      <c r="C31" s="88">
        <v>3.178531</v>
      </c>
      <c r="D31" s="88">
        <v>2.1861619999999999</v>
      </c>
      <c r="E31" s="88">
        <v>4.8075109999999999</v>
      </c>
      <c r="F31" s="88">
        <v>3.662671</v>
      </c>
      <c r="G31" s="88">
        <v>2.5384259999999998</v>
      </c>
      <c r="H31" s="88">
        <v>5.5120110000000002</v>
      </c>
      <c r="J31" s="88">
        <v>0.46338400000000002</v>
      </c>
      <c r="K31" s="88">
        <v>0.46618300000000001</v>
      </c>
      <c r="L31" s="88">
        <v>0.44933899999999999</v>
      </c>
      <c r="M31" s="88">
        <v>0.49742500000000001</v>
      </c>
      <c r="N31" s="88">
        <v>0.51267099999999999</v>
      </c>
      <c r="O31" s="88">
        <v>0.46007600000000004</v>
      </c>
    </row>
    <row r="32" spans="1:15" ht="14">
      <c r="A32" s="150"/>
      <c r="B32" s="86">
        <f t="shared" si="0"/>
        <v>2043</v>
      </c>
      <c r="C32" s="88">
        <v>3.2038869999999999</v>
      </c>
      <c r="D32" s="88">
        <v>2.1850990000000001</v>
      </c>
      <c r="E32" s="88">
        <v>4.8439100000000002</v>
      </c>
      <c r="F32" s="88">
        <v>3.6861480000000002</v>
      </c>
      <c r="G32" s="88">
        <v>2.5361940000000001</v>
      </c>
      <c r="H32" s="88">
        <v>5.5784209999999996</v>
      </c>
      <c r="J32" s="88">
        <v>0.46096100000000001</v>
      </c>
      <c r="K32" s="88">
        <v>0.46360000000000001</v>
      </c>
      <c r="L32" s="88">
        <v>0.44756200000000002</v>
      </c>
      <c r="M32" s="88">
        <v>0.49441800000000002</v>
      </c>
      <c r="N32" s="88">
        <v>0.50960300000000003</v>
      </c>
      <c r="O32" s="88">
        <v>0.457924</v>
      </c>
    </row>
    <row r="33" spans="1:15" ht="14">
      <c r="A33" s="150"/>
      <c r="B33" s="86">
        <f t="shared" si="0"/>
        <v>2044</v>
      </c>
      <c r="C33" s="88">
        <v>3.228723</v>
      </c>
      <c r="D33" s="88">
        <v>2.191522</v>
      </c>
      <c r="E33" s="88">
        <v>4.8289200000000001</v>
      </c>
      <c r="F33" s="88">
        <v>3.7137150000000001</v>
      </c>
      <c r="G33" s="88">
        <v>2.5431620000000001</v>
      </c>
      <c r="H33" s="88">
        <v>5.6106509999999998</v>
      </c>
      <c r="J33" s="88">
        <v>0.45859899999999998</v>
      </c>
      <c r="K33" s="88">
        <v>0.46111499999999994</v>
      </c>
      <c r="L33" s="88">
        <v>0.44571099999999997</v>
      </c>
      <c r="M33" s="88">
        <v>0.49113499999999999</v>
      </c>
      <c r="N33" s="88">
        <v>0.50650600000000001</v>
      </c>
      <c r="O33" s="88">
        <v>0.45608399999999999</v>
      </c>
    </row>
    <row r="34" spans="1:15" ht="14">
      <c r="A34" s="150"/>
      <c r="B34" s="86">
        <f t="shared" si="0"/>
        <v>2045</v>
      </c>
      <c r="C34" s="88">
        <v>3.2699579999999999</v>
      </c>
      <c r="D34" s="88">
        <v>2.2022390000000001</v>
      </c>
      <c r="E34" s="88">
        <v>4.8501200000000004</v>
      </c>
      <c r="F34" s="88">
        <v>3.7645810000000002</v>
      </c>
      <c r="G34" s="88">
        <v>2.550459</v>
      </c>
      <c r="H34" s="88">
        <v>5.6792369999999996</v>
      </c>
      <c r="J34" s="88">
        <v>0.45640800000000004</v>
      </c>
      <c r="K34" s="88">
        <v>0.45866200000000001</v>
      </c>
      <c r="L34" s="88">
        <v>0.44430799999999998</v>
      </c>
      <c r="M34" s="88">
        <v>0.48804500000000001</v>
      </c>
      <c r="N34" s="88">
        <v>0.50341100000000005</v>
      </c>
      <c r="O34" s="88">
        <v>0.45450399999999996</v>
      </c>
    </row>
    <row r="35" spans="1:15" ht="14">
      <c r="A35" s="150"/>
      <c r="B35" s="86">
        <f t="shared" si="0"/>
        <v>2046</v>
      </c>
      <c r="C35" s="88">
        <v>3.2796799999999999</v>
      </c>
      <c r="D35" s="88">
        <v>2.1937630000000001</v>
      </c>
      <c r="E35" s="88">
        <v>4.8769080000000002</v>
      </c>
      <c r="F35" s="88">
        <v>3.7666650000000002</v>
      </c>
      <c r="G35" s="88">
        <v>2.5511409999999999</v>
      </c>
      <c r="H35" s="88">
        <v>5.6734099999999996</v>
      </c>
      <c r="J35" s="88">
        <v>0.45394100000000004</v>
      </c>
      <c r="K35" s="88">
        <v>0.45603899999999997</v>
      </c>
      <c r="L35" s="88">
        <v>0.443241</v>
      </c>
      <c r="M35" s="88">
        <v>0.484956</v>
      </c>
      <c r="N35" s="88">
        <v>0.500305</v>
      </c>
      <c r="O35" s="88">
        <v>0.45305099999999998</v>
      </c>
    </row>
    <row r="36" spans="1:15" ht="14">
      <c r="A36" s="150"/>
      <c r="B36" s="86">
        <f t="shared" si="0"/>
        <v>2047</v>
      </c>
      <c r="C36" s="88">
        <v>3.3363260000000001</v>
      </c>
      <c r="D36" s="88">
        <v>2.197292</v>
      </c>
      <c r="E36" s="88">
        <v>4.9187120000000002</v>
      </c>
      <c r="F36" s="88">
        <v>3.8030430000000002</v>
      </c>
      <c r="G36" s="88">
        <v>2.548575</v>
      </c>
      <c r="H36" s="88">
        <v>5.7107489999999999</v>
      </c>
      <c r="J36" s="88">
        <v>0.451963</v>
      </c>
      <c r="K36" s="88">
        <v>0.45338700000000004</v>
      </c>
      <c r="L36" s="88">
        <v>0.44237900000000002</v>
      </c>
      <c r="M36" s="88">
        <v>0.48214099999999999</v>
      </c>
      <c r="N36" s="88">
        <v>0.49702299999999999</v>
      </c>
      <c r="O36" s="88">
        <v>0.45185900000000001</v>
      </c>
    </row>
    <row r="37" spans="1:15" ht="14">
      <c r="A37" s="150"/>
      <c r="B37" s="86">
        <f t="shared" si="0"/>
        <v>2048</v>
      </c>
      <c r="C37" s="88">
        <v>3.374393</v>
      </c>
      <c r="D37" s="88">
        <v>2.2040359999999999</v>
      </c>
      <c r="E37" s="88">
        <v>4.9713599999999998</v>
      </c>
      <c r="F37" s="88">
        <v>3.8359009999999998</v>
      </c>
      <c r="G37" s="88">
        <v>2.5502570000000002</v>
      </c>
      <c r="H37" s="88">
        <v>5.7456849999999999</v>
      </c>
      <c r="J37" s="88">
        <v>0.44981300000000002</v>
      </c>
      <c r="K37" s="88">
        <v>0.45078799999999997</v>
      </c>
      <c r="L37" s="88">
        <v>0.441743</v>
      </c>
      <c r="M37" s="88">
        <v>0.47922900000000002</v>
      </c>
      <c r="N37" s="88">
        <v>0.49389899999999998</v>
      </c>
      <c r="O37" s="88">
        <v>0.45078299999999999</v>
      </c>
    </row>
    <row r="38" spans="1:15" ht="14">
      <c r="A38" s="150"/>
      <c r="B38" s="86">
        <f t="shared" si="0"/>
        <v>2049</v>
      </c>
      <c r="C38" s="88">
        <v>3.4033039999999999</v>
      </c>
      <c r="D38" s="88">
        <v>2.2023799999999998</v>
      </c>
      <c r="E38" s="88">
        <v>4.9774950000000002</v>
      </c>
      <c r="F38" s="88">
        <v>3.8594680000000001</v>
      </c>
      <c r="G38" s="88">
        <v>2.5532650000000001</v>
      </c>
      <c r="H38" s="88">
        <v>5.7819710000000004</v>
      </c>
      <c r="J38" s="88">
        <v>0.44762999999999997</v>
      </c>
      <c r="K38" s="88">
        <v>0.44803499999999996</v>
      </c>
      <c r="L38" s="88">
        <v>0.44076299999999996</v>
      </c>
      <c r="M38" s="88">
        <v>0.47628999999999999</v>
      </c>
      <c r="N38" s="88">
        <v>0.49057400000000001</v>
      </c>
      <c r="O38" s="88">
        <v>0.44974000000000003</v>
      </c>
    </row>
    <row r="39" spans="1:15" ht="14">
      <c r="A39" s="150"/>
      <c r="B39" s="86">
        <f t="shared" si="0"/>
        <v>2050</v>
      </c>
      <c r="C39" s="88">
        <v>3.4278719999999998</v>
      </c>
      <c r="D39" s="88">
        <v>2.2006130000000002</v>
      </c>
      <c r="E39" s="88">
        <v>5.0074059999999996</v>
      </c>
      <c r="F39" s="88">
        <v>3.8806039999999999</v>
      </c>
      <c r="G39" s="88">
        <v>2.565366</v>
      </c>
      <c r="H39" s="88">
        <v>5.7797640000000001</v>
      </c>
      <c r="J39" s="88">
        <v>0.44540099999999999</v>
      </c>
      <c r="K39" s="88">
        <v>0.44522899999999999</v>
      </c>
      <c r="L39" s="88">
        <v>0.43991599999999997</v>
      </c>
      <c r="M39" s="88">
        <v>0.47338199999999997</v>
      </c>
      <c r="N39" s="88">
        <v>0.48719499999999999</v>
      </c>
      <c r="O39" s="88">
        <v>0.44874900000000001</v>
      </c>
    </row>
    <row r="40" spans="1:15" ht="14">
      <c r="A40" s="236"/>
      <c r="B40" s="90" t="s">
        <v>549</v>
      </c>
      <c r="C40" s="1162">
        <f t="shared" ref="C40:H40" si="1">AVERAGE(C8:C39)</f>
        <v>2.9589589687499998</v>
      </c>
      <c r="D40" s="1162">
        <f t="shared" si="1"/>
        <v>2.1400199375000004</v>
      </c>
      <c r="E40" s="1162">
        <f t="shared" si="1"/>
        <v>4.3330930625000006</v>
      </c>
      <c r="F40" s="1162">
        <f t="shared" si="1"/>
        <v>3.4197546562500007</v>
      </c>
      <c r="G40" s="1162">
        <f t="shared" si="1"/>
        <v>2.4895860000000001</v>
      </c>
      <c r="H40" s="1162">
        <f t="shared" si="1"/>
        <v>4.9774100000000008</v>
      </c>
      <c r="I40" s="1163"/>
      <c r="J40" s="1164">
        <f t="shared" ref="J40:O40" si="2">AVERAGE(J8:J39)</f>
        <v>0.48736353125000004</v>
      </c>
      <c r="K40" s="1162">
        <f t="shared" si="2"/>
        <v>0.48771787500000002</v>
      </c>
      <c r="L40" s="1162">
        <f t="shared" si="2"/>
        <v>0.48074699999999992</v>
      </c>
      <c r="M40" s="1162">
        <f t="shared" si="2"/>
        <v>0.52662581249999985</v>
      </c>
      <c r="N40" s="1162">
        <f t="shared" si="2"/>
        <v>0.53682424999999989</v>
      </c>
      <c r="O40" s="1162">
        <f t="shared" si="2"/>
        <v>0.50095093750000008</v>
      </c>
    </row>
    <row r="41" spans="1:15" ht="10.5">
      <c r="B41" s="90" t="s">
        <v>550</v>
      </c>
      <c r="C41" s="91">
        <f>(C39/C8)^(1/($B39-$B8))-1</f>
        <v>8.1191580729087498E-3</v>
      </c>
      <c r="D41" s="91">
        <f t="shared" ref="D41:H41" si="3">(D39/D8)^(1/($B39-$B8))-1</f>
        <v>-6.1913452859040374E-3</v>
      </c>
      <c r="E41" s="91">
        <f t="shared" si="3"/>
        <v>2.0519202218238997E-2</v>
      </c>
      <c r="F41" s="91">
        <f t="shared" si="3"/>
        <v>7.9067120442026795E-3</v>
      </c>
      <c r="G41" s="91">
        <f t="shared" si="3"/>
        <v>-5.467123574620425E-3</v>
      </c>
      <c r="H41" s="91">
        <f t="shared" si="3"/>
        <v>2.0950661105904267E-2</v>
      </c>
      <c r="J41" s="1165">
        <f>(J39/J8)^(1/($B39-$B8))-1</f>
        <v>-6.4688223294212532E-3</v>
      </c>
      <c r="K41" s="1165">
        <f t="shared" ref="K41:O41" si="4">(K39/K8)^(1/($B39-$B8))-1</f>
        <v>-6.4814364887215703E-3</v>
      </c>
      <c r="L41" s="1165">
        <f t="shared" si="4"/>
        <v>-6.8661675156680424E-3</v>
      </c>
      <c r="M41" s="1165">
        <f t="shared" si="4"/>
        <v>-7.136673048185993E-3</v>
      </c>
      <c r="N41" s="1165">
        <f t="shared" si="4"/>
        <v>-6.2215211112203184E-3</v>
      </c>
      <c r="O41" s="1165">
        <f t="shared" si="4"/>
        <v>-8.8389433463866851E-3</v>
      </c>
    </row>
    <row r="42" spans="1:15">
      <c r="B42" s="86">
        <v>2051</v>
      </c>
      <c r="C42" s="1166">
        <f>C$8*(1+C$41)^($B42-$B$8)</f>
        <v>3.4557034346216895</v>
      </c>
      <c r="D42" s="1166">
        <f t="shared" ref="D42:H43" si="5">D$8*(1+D$41)^($B42-$B$8)</f>
        <v>2.1869882450763516</v>
      </c>
      <c r="E42" s="1166">
        <f t="shared" si="5"/>
        <v>5.1101539763028345</v>
      </c>
      <c r="F42" s="1166">
        <f t="shared" si="5"/>
        <v>3.9112868183855967</v>
      </c>
      <c r="G42" s="1166">
        <f t="shared" si="5"/>
        <v>2.5513408270638669</v>
      </c>
      <c r="H42" s="1166">
        <f t="shared" si="5"/>
        <v>5.9008538768360985</v>
      </c>
      <c r="J42" s="1167">
        <f>J$8*(1+J$41)^($B42-$B$8)</f>
        <v>0.4425197800656524</v>
      </c>
      <c r="K42" s="1167">
        <f t="shared" ref="K42:O42" si="6">K$8*(1+K$41)^($B42-$B$8)</f>
        <v>0.44234327651356364</v>
      </c>
      <c r="L42" s="1167">
        <f t="shared" si="6"/>
        <v>0.43689546305117799</v>
      </c>
      <c r="M42" s="1167">
        <f t="shared" si="6"/>
        <v>0.47000362743910329</v>
      </c>
      <c r="N42" s="1167">
        <f t="shared" si="6"/>
        <v>0.48416390602221976</v>
      </c>
      <c r="O42" s="1167">
        <f t="shared" si="6"/>
        <v>0.44478253301225273</v>
      </c>
    </row>
    <row r="43" spans="1:15">
      <c r="B43" s="86">
        <v>2052</v>
      </c>
      <c r="C43" s="1166">
        <f>C$8*(1+C$41)^($B43-$B$8)</f>
        <v>3.4837608370604767</v>
      </c>
      <c r="D43" s="1166">
        <f t="shared" si="5"/>
        <v>2.1734478457148705</v>
      </c>
      <c r="E43" s="1166">
        <f t="shared" si="5"/>
        <v>5.2150102591089302</v>
      </c>
      <c r="F43" s="1166">
        <f t="shared" si="5"/>
        <v>3.9422122369808572</v>
      </c>
      <c r="G43" s="1166">
        <f t="shared" si="5"/>
        <v>2.537392331481334</v>
      </c>
      <c r="H43" s="1166">
        <f t="shared" si="5"/>
        <v>6.0244806666451529</v>
      </c>
      <c r="J43" s="1167">
        <f t="shared" ref="J43:O46" si="7">J$8*(1+J$41)^($B43-$B$8)</f>
        <v>0.43965719823115312</v>
      </c>
      <c r="K43" s="1167">
        <f t="shared" si="7"/>
        <v>0.43947625666062801</v>
      </c>
      <c r="L43" s="1167">
        <f t="shared" si="7"/>
        <v>0.43389566561503323</v>
      </c>
      <c r="M43" s="1167">
        <f t="shared" si="7"/>
        <v>0.466649365218609</v>
      </c>
      <c r="N43" s="1167">
        <f t="shared" si="7"/>
        <v>0.48115167005961162</v>
      </c>
      <c r="O43" s="1167">
        <f t="shared" si="7"/>
        <v>0.44085112540149507</v>
      </c>
    </row>
    <row r="44" spans="1:15">
      <c r="B44" s="86">
        <v>2053</v>
      </c>
      <c r="C44" s="1166">
        <f t="shared" ref="C44:H46" si="8">C$8*(1+C$41)^($B44-$B$8)</f>
        <v>3.5120460419847794</v>
      </c>
      <c r="D44" s="1166">
        <f t="shared" si="8"/>
        <v>2.1599912796411456</v>
      </c>
      <c r="E44" s="1166">
        <f t="shared" si="8"/>
        <v>5.3220181091857777</v>
      </c>
      <c r="F44" s="1166">
        <f t="shared" si="8"/>
        <v>3.9733821739557973</v>
      </c>
      <c r="G44" s="1166">
        <f t="shared" si="8"/>
        <v>2.5235200940478313</v>
      </c>
      <c r="H44" s="1166">
        <f t="shared" si="8"/>
        <v>6.1506975194311062</v>
      </c>
      <c r="J44" s="1167">
        <f t="shared" si="7"/>
        <v>0.43681313392994464</v>
      </c>
      <c r="K44" s="1167">
        <f t="shared" si="7"/>
        <v>0.436627819214781</v>
      </c>
      <c r="L44" s="1167">
        <f t="shared" si="7"/>
        <v>0.43091646529059813</v>
      </c>
      <c r="M44" s="1167">
        <f t="shared" si="7"/>
        <v>0.46331904127090029</v>
      </c>
      <c r="N44" s="1167">
        <f t="shared" si="7"/>
        <v>0.4781581747866368</v>
      </c>
      <c r="O44" s="1167">
        <f t="shared" si="7"/>
        <v>0.43695446727988041</v>
      </c>
    </row>
    <row r="45" spans="1:15">
      <c r="B45" s="86">
        <v>2054</v>
      </c>
      <c r="C45" s="1166">
        <f t="shared" si="8"/>
        <v>3.5405608989589874</v>
      </c>
      <c r="D45" s="1166">
        <f t="shared" si="8"/>
        <v>2.1466180278143452</v>
      </c>
      <c r="E45" s="1166">
        <f t="shared" si="8"/>
        <v>5.4312216749772908</v>
      </c>
      <c r="F45" s="1166">
        <f t="shared" si="8"/>
        <v>4.0047985626468341</v>
      </c>
      <c r="G45" s="1166">
        <f t="shared" si="8"/>
        <v>2.5097236978506343</v>
      </c>
      <c r="H45" s="1166">
        <f t="shared" si="8"/>
        <v>6.2795586987256344</v>
      </c>
      <c r="J45" s="1167">
        <f t="shared" si="7"/>
        <v>0.43398746737539412</v>
      </c>
      <c r="K45" s="1167">
        <f t="shared" si="7"/>
        <v>0.43379784373533137</v>
      </c>
      <c r="L45" s="1167">
        <f t="shared" si="7"/>
        <v>0.42795772065465332</v>
      </c>
      <c r="M45" s="1167">
        <f t="shared" si="7"/>
        <v>0.46001248475635087</v>
      </c>
      <c r="N45" s="1167">
        <f t="shared" si="7"/>
        <v>0.47518330360769923</v>
      </c>
      <c r="O45" s="1167">
        <f t="shared" si="7"/>
        <v>0.43309225149864294</v>
      </c>
    </row>
    <row r="46" spans="1:15">
      <c r="B46" s="86">
        <v>2055</v>
      </c>
      <c r="C46" s="1166">
        <f t="shared" si="8"/>
        <v>3.5693072725643953</v>
      </c>
      <c r="D46" s="1166">
        <f t="shared" si="8"/>
        <v>2.1333275744072004</v>
      </c>
      <c r="E46" s="1166">
        <f t="shared" si="8"/>
        <v>5.5426660108182313</v>
      </c>
      <c r="F46" s="1166">
        <f t="shared" si="8"/>
        <v>4.0364633516767192</v>
      </c>
      <c r="G46" s="1166">
        <f t="shared" si="8"/>
        <v>2.4960027282563315</v>
      </c>
      <c r="H46" s="1166">
        <f t="shared" si="8"/>
        <v>6.4111196049172667</v>
      </c>
      <c r="J46" s="1167">
        <f t="shared" si="7"/>
        <v>0.43118007955574716</v>
      </c>
      <c r="K46" s="1167">
        <f t="shared" si="7"/>
        <v>0.43098621056221648</v>
      </c>
      <c r="L46" s="1167">
        <f t="shared" si="7"/>
        <v>0.42501929125501503</v>
      </c>
      <c r="M46" s="1167">
        <f t="shared" si="7"/>
        <v>0.45672952605456113</v>
      </c>
      <c r="N46" s="1167">
        <f t="shared" si="7"/>
        <v>0.47222694065260451</v>
      </c>
      <c r="O46" s="1167">
        <f t="shared" si="7"/>
        <v>0.42926417362388747</v>
      </c>
    </row>
    <row r="47" spans="1:15" ht="10.5">
      <c r="B47" s="1160"/>
      <c r="C47" s="1161"/>
      <c r="D47" s="1161"/>
      <c r="E47" s="1161"/>
      <c r="F47" s="1161"/>
      <c r="G47" s="1161"/>
      <c r="H47" s="1161"/>
    </row>
    <row r="48" spans="1:15" ht="10.5">
      <c r="B48" s="1160"/>
      <c r="C48" s="1161"/>
      <c r="D48" s="1161"/>
      <c r="E48" s="1161"/>
      <c r="F48" s="1161"/>
      <c r="G48" s="1161"/>
      <c r="H48" s="1161"/>
    </row>
    <row r="49" spans="1:12" ht="10.5">
      <c r="B49" s="1160"/>
      <c r="C49" s="1161"/>
      <c r="D49" s="1161"/>
      <c r="E49" s="1161"/>
      <c r="F49" s="1161"/>
      <c r="G49" s="1161"/>
      <c r="H49" s="1161"/>
    </row>
    <row r="50" spans="1:12">
      <c r="B50" s="92" t="s">
        <v>194</v>
      </c>
      <c r="J50" s="93" t="s">
        <v>195</v>
      </c>
    </row>
    <row r="51" spans="1:12">
      <c r="B51" s="93" t="s">
        <v>196</v>
      </c>
    </row>
    <row r="52" spans="1:12" ht="14.5">
      <c r="B52" s="247" t="s">
        <v>368</v>
      </c>
    </row>
    <row r="54" spans="1:12" s="22" customFormat="1" ht="10.5">
      <c r="A54" s="21"/>
      <c r="B54" s="84" t="s">
        <v>1274</v>
      </c>
      <c r="C54" s="94"/>
      <c r="D54" s="94"/>
      <c r="E54" s="94"/>
      <c r="F54" s="94"/>
      <c r="G54" s="94"/>
      <c r="H54" s="95"/>
      <c r="I54" s="95"/>
    </row>
    <row r="55" spans="1:12" s="22" customFormat="1" ht="10.5">
      <c r="A55" s="21"/>
      <c r="B55" s="84"/>
      <c r="C55" s="94"/>
      <c r="D55" s="94"/>
      <c r="E55" s="94"/>
      <c r="F55" s="94"/>
      <c r="G55" s="94"/>
      <c r="H55" s="95"/>
      <c r="I55" s="95"/>
    </row>
    <row r="57" spans="1:12" ht="21">
      <c r="B57" s="1150" t="s">
        <v>0</v>
      </c>
      <c r="C57" s="1150" t="s">
        <v>197</v>
      </c>
      <c r="D57" s="1150" t="s">
        <v>198</v>
      </c>
      <c r="F57" s="1150" t="s">
        <v>199</v>
      </c>
      <c r="G57" s="1150" t="s">
        <v>200</v>
      </c>
    </row>
    <row r="58" spans="1:12" ht="10.5">
      <c r="B58" s="1315">
        <v>2019</v>
      </c>
      <c r="C58" s="1322">
        <f>(C8-J8)*'Inflation Adjustment'!$C$35</f>
        <v>2.1231619999999998</v>
      </c>
      <c r="D58" s="1318">
        <f>(F8-M8)*'Inflation Adjustment'!$C$35</f>
        <v>2.4488979999999998</v>
      </c>
      <c r="F58" s="89"/>
      <c r="G58" s="89"/>
      <c r="I58" s="1151"/>
      <c r="J58" s="1152" t="s">
        <v>1009</v>
      </c>
      <c r="K58" s="127"/>
      <c r="L58" s="248"/>
    </row>
    <row r="59" spans="1:12" ht="10.5">
      <c r="B59" s="1316">
        <v>2020</v>
      </c>
      <c r="C59" s="1321">
        <f>(C9-J9)*'Inflation Adjustment'!$C$35</f>
        <v>2.1016270000000001</v>
      </c>
      <c r="D59" s="1319">
        <f>(F9-M9)*'Inflation Adjustment'!$C$35</f>
        <v>2.3491200000000001</v>
      </c>
      <c r="F59" s="89">
        <v>-1.0142890650831071E-2</v>
      </c>
      <c r="G59" s="89">
        <v>-4.0744040788958658E-2</v>
      </c>
      <c r="K59" s="127"/>
      <c r="L59" s="248"/>
    </row>
    <row r="60" spans="1:12" ht="10.5">
      <c r="B60" s="1316">
        <v>2021</v>
      </c>
      <c r="C60" s="1321">
        <f>(C10-J10)*'Inflation Adjustment'!$C$35</f>
        <v>2.1089990000000003</v>
      </c>
      <c r="D60" s="1319">
        <f>(F10-M10)*'Inflation Adjustment'!$C$35</f>
        <v>2.3667060000000002</v>
      </c>
      <c r="F60" s="89">
        <v>3.507758512809378E-3</v>
      </c>
      <c r="G60" s="89">
        <v>7.486207601144157E-3</v>
      </c>
    </row>
    <row r="61" spans="1:12" ht="10.5">
      <c r="B61" s="1316">
        <v>2022</v>
      </c>
      <c r="C61" s="1321">
        <f>(C11-J11)*'Inflation Adjustment'!$C$35</f>
        <v>2.1141540000000001</v>
      </c>
      <c r="D61" s="1319">
        <f>(F11-M11)*'Inflation Adjustment'!$C$35</f>
        <v>2.415864</v>
      </c>
      <c r="F61" s="89">
        <v>2.4442875506343054E-3</v>
      </c>
      <c r="G61" s="89">
        <v>2.0770640713295041E-2</v>
      </c>
    </row>
    <row r="62" spans="1:12" ht="10.5">
      <c r="B62" s="1316">
        <v>2023</v>
      </c>
      <c r="C62" s="1321">
        <f>(C12-J12)*'Inflation Adjustment'!$C$35</f>
        <v>2.1080949999999996</v>
      </c>
      <c r="D62" s="1319">
        <f>(F12-M12)*'Inflation Adjustment'!$C$35</f>
        <v>2.4390620000000003</v>
      </c>
      <c r="F62" s="89">
        <v>-2.8659217824249517E-3</v>
      </c>
      <c r="G62" s="89">
        <v>9.6023617223486291E-3</v>
      </c>
    </row>
    <row r="63" spans="1:12" ht="10.5">
      <c r="B63" s="1316">
        <v>2024</v>
      </c>
      <c r="C63" s="1321">
        <f>(C13-J13)*'Inflation Adjustment'!$C$35</f>
        <v>2.0777429999999999</v>
      </c>
      <c r="D63" s="1319">
        <f>(F13-M13)*'Inflation Adjustment'!$C$35</f>
        <v>2.498437</v>
      </c>
      <c r="F63" s="89">
        <v>-1.4397833114731196E-2</v>
      </c>
      <c r="G63" s="89">
        <v>2.4343374625163117E-2</v>
      </c>
    </row>
    <row r="64" spans="1:12" ht="10.5">
      <c r="B64" s="1316">
        <v>2025</v>
      </c>
      <c r="C64" s="1321">
        <f>(C14-J14)*'Inflation Adjustment'!$C$35</f>
        <v>2.110881</v>
      </c>
      <c r="D64" s="1319">
        <f>(F14-M14)*'Inflation Adjustment'!$C$35</f>
        <v>2.5215069999999997</v>
      </c>
      <c r="F64" s="89">
        <v>1.5949037007945366E-2</v>
      </c>
      <c r="G64" s="89">
        <v>9.2337729548512826E-3</v>
      </c>
    </row>
    <row r="65" spans="2:7" ht="10.5">
      <c r="B65" s="1316">
        <v>2026</v>
      </c>
      <c r="C65" s="1321">
        <f>(C15-J15)*'Inflation Adjustment'!$C$35</f>
        <v>2.136511</v>
      </c>
      <c r="D65" s="1319">
        <f>(F15-M15)*'Inflation Adjustment'!$C$35</f>
        <v>2.5828810000000004</v>
      </c>
      <c r="F65" s="89">
        <v>1.2141849777415059E-2</v>
      </c>
      <c r="G65" s="89">
        <v>2.4340206075176507E-2</v>
      </c>
    </row>
    <row r="66" spans="2:7" ht="10.5">
      <c r="B66" s="1316">
        <v>2027</v>
      </c>
      <c r="C66" s="1321">
        <f>(C16-J16)*'Inflation Adjustment'!$C$35</f>
        <v>2.1720520000000003</v>
      </c>
      <c r="D66" s="1319">
        <f>(F16-M16)*'Inflation Adjustment'!$C$35</f>
        <v>2.5956159999999997</v>
      </c>
      <c r="F66" s="89">
        <v>1.6635065300389495E-2</v>
      </c>
      <c r="G66" s="89">
        <v>4.9305407411337487E-3</v>
      </c>
    </row>
    <row r="67" spans="2:7" ht="10.5">
      <c r="B67" s="1316">
        <v>2028</v>
      </c>
      <c r="C67" s="1321">
        <f>(C17-J17)*'Inflation Adjustment'!$C$35</f>
        <v>2.188831</v>
      </c>
      <c r="D67" s="1319">
        <f>(F17-M17)*'Inflation Adjustment'!$C$35</f>
        <v>2.6482269999999999</v>
      </c>
      <c r="F67" s="89">
        <v>7.7249531779164382E-3</v>
      </c>
      <c r="G67" s="89">
        <v>2.026917695067354E-2</v>
      </c>
    </row>
    <row r="68" spans="2:7" ht="10.5">
      <c r="B68" s="1316">
        <v>2029</v>
      </c>
      <c r="C68" s="1321">
        <f>(C18-J18)*'Inflation Adjustment'!$C$35</f>
        <v>2.2274219999999998</v>
      </c>
      <c r="D68" s="1319">
        <f>(F18-M18)*'Inflation Adjustment'!$C$35</f>
        <v>2.682369</v>
      </c>
      <c r="F68" s="89">
        <v>1.7630872369771788E-2</v>
      </c>
      <c r="G68" s="89">
        <v>1.2892399329816007E-2</v>
      </c>
    </row>
    <row r="69" spans="2:7" ht="10.5">
      <c r="B69" s="1316">
        <v>2030</v>
      </c>
      <c r="C69" s="1321">
        <f>(C19-J19)*'Inflation Adjustment'!$C$35</f>
        <v>2.314724</v>
      </c>
      <c r="D69" s="1319">
        <f>(F19-M19)*'Inflation Adjustment'!$C$35</f>
        <v>2.7536199999999997</v>
      </c>
      <c r="F69" s="89">
        <v>3.9194189515951772E-2</v>
      </c>
      <c r="G69" s="89">
        <v>2.6562713780243996E-2</v>
      </c>
    </row>
    <row r="70" spans="2:7" ht="10.5">
      <c r="B70" s="1316">
        <v>2031</v>
      </c>
      <c r="C70" s="1321">
        <f>(C20-J20)*'Inflation Adjustment'!$C$35</f>
        <v>2.3371370000000002</v>
      </c>
      <c r="D70" s="1319">
        <f>(F20-M20)*'Inflation Adjustment'!$C$35</f>
        <v>2.7948589999999998</v>
      </c>
      <c r="F70" s="89">
        <v>9.6827958754475141E-3</v>
      </c>
      <c r="G70" s="89">
        <v>1.4976285762015262E-2</v>
      </c>
    </row>
    <row r="71" spans="2:7" ht="10.5">
      <c r="B71" s="1316">
        <v>2032</v>
      </c>
      <c r="C71" s="1321">
        <f>(C21-J21)*'Inflation Adjustment'!$C$35</f>
        <v>2.3648720000000001</v>
      </c>
      <c r="D71" s="1319">
        <f>(F21-M21)*'Inflation Adjustment'!$C$35</f>
        <v>2.8228499999999999</v>
      </c>
      <c r="F71" s="89">
        <v>1.1867083529977229E-2</v>
      </c>
      <c r="G71" s="89">
        <v>1.0015174289651041E-2</v>
      </c>
    </row>
    <row r="72" spans="2:7" ht="10.5">
      <c r="B72" s="1316">
        <v>2033</v>
      </c>
      <c r="C72" s="1321">
        <f>(C22-J22)*'Inflation Adjustment'!$C$35</f>
        <v>2.4180700000000002</v>
      </c>
      <c r="D72" s="1319">
        <f>(F22-M22)*'Inflation Adjustment'!$C$35</f>
        <v>2.8807999999999998</v>
      </c>
      <c r="F72" s="89">
        <v>2.2495086414825005E-2</v>
      </c>
      <c r="G72" s="89">
        <v>2.0528898099438475E-2</v>
      </c>
    </row>
    <row r="73" spans="2:7" ht="10.5">
      <c r="B73" s="1316">
        <v>2034</v>
      </c>
      <c r="C73" s="1321">
        <f>(C23-J23)*'Inflation Adjustment'!$C$35</f>
        <v>2.4668809999999999</v>
      </c>
      <c r="D73" s="1319">
        <f>(F23-M23)*'Inflation Adjustment'!$C$35</f>
        <v>2.9119450000000002</v>
      </c>
      <c r="F73" s="89">
        <v>2.0185933409702761E-2</v>
      </c>
      <c r="G73" s="89">
        <v>1.0811232990836084E-2</v>
      </c>
    </row>
    <row r="74" spans="2:7" ht="10.5">
      <c r="B74" s="1316">
        <v>2035</v>
      </c>
      <c r="C74" s="1321">
        <f>(C24-J24)*'Inflation Adjustment'!$C$35</f>
        <v>2.5000450000000001</v>
      </c>
      <c r="D74" s="1319">
        <f>(F24-M24)*'Inflation Adjustment'!$C$35</f>
        <v>2.946434</v>
      </c>
      <c r="F74" s="89">
        <v>1.3443696716623155E-2</v>
      </c>
      <c r="G74" s="89">
        <v>1.1843973701426203E-2</v>
      </c>
    </row>
    <row r="75" spans="2:7" ht="10.5">
      <c r="B75" s="1316">
        <v>2036</v>
      </c>
      <c r="C75" s="1321">
        <f>(C25-J25)*'Inflation Adjustment'!$C$35</f>
        <v>2.5377999999999998</v>
      </c>
      <c r="D75" s="1319">
        <f>(F25-M25)*'Inflation Adjustment'!$C$35</f>
        <v>2.9849239999999999</v>
      </c>
      <c r="F75" s="89">
        <v>1.510172816889277E-2</v>
      </c>
      <c r="G75" s="89">
        <v>1.3063248659227034E-2</v>
      </c>
    </row>
    <row r="76" spans="2:7" ht="10.5">
      <c r="B76" s="1316">
        <v>2037</v>
      </c>
      <c r="C76" s="1321">
        <f>(C26-J26)*'Inflation Adjustment'!$C$35</f>
        <v>2.5494319999999999</v>
      </c>
      <c r="D76" s="1319">
        <f>(F26-M26)*'Inflation Adjustment'!$C$35</f>
        <v>3.0129359999999998</v>
      </c>
      <c r="F76" s="89">
        <v>4.5834975175349513E-3</v>
      </c>
      <c r="G76" s="89">
        <v>9.3844935415439146E-3</v>
      </c>
    </row>
    <row r="77" spans="2:7" ht="10.5">
      <c r="B77" s="1316">
        <v>2038</v>
      </c>
      <c r="C77" s="1321">
        <f>(C27-J27)*'Inflation Adjustment'!$C$35</f>
        <v>2.5846549999999997</v>
      </c>
      <c r="D77" s="1319">
        <f>(F27-M27)*'Inflation Adjustment'!$C$35</f>
        <v>3.0455040000000002</v>
      </c>
      <c r="F77" s="89">
        <v>1.3816018626894078E-2</v>
      </c>
      <c r="G77" s="89">
        <v>1.0809389910705125E-2</v>
      </c>
    </row>
    <row r="78" spans="2:7" ht="10.5">
      <c r="B78" s="1316">
        <v>2039</v>
      </c>
      <c r="C78" s="1321">
        <f>(C28-J28)*'Inflation Adjustment'!$C$35</f>
        <v>2.6275680000000001</v>
      </c>
      <c r="D78" s="1319">
        <f>(F28-M28)*'Inflation Adjustment'!$C$35</f>
        <v>3.0799020000000001</v>
      </c>
      <c r="F78" s="89">
        <v>1.6602989567273019E-2</v>
      </c>
      <c r="G78" s="89">
        <v>1.1294682259488154E-2</v>
      </c>
    </row>
    <row r="79" spans="2:7" ht="10.5">
      <c r="B79" s="1316">
        <v>2040</v>
      </c>
      <c r="C79" s="1321">
        <f>(C29-J29)*'Inflation Adjustment'!$C$35</f>
        <v>2.6407669999999999</v>
      </c>
      <c r="D79" s="1319">
        <f>(F29-M29)*'Inflation Adjustment'!$C$35</f>
        <v>3.0827439999999999</v>
      </c>
      <c r="F79" s="89">
        <v>5.0232762767701278E-3</v>
      </c>
      <c r="G79" s="89">
        <v>9.2275663316554457E-4</v>
      </c>
    </row>
    <row r="80" spans="2:7" ht="10.5">
      <c r="B80" s="1316">
        <v>2041</v>
      </c>
      <c r="C80" s="1321">
        <f>(C30-J30)*'Inflation Adjustment'!$C$35</f>
        <v>2.6650519999999998</v>
      </c>
      <c r="D80" s="1319">
        <f>(F30-M30)*'Inflation Adjustment'!$C$35</f>
        <v>3.109143</v>
      </c>
      <c r="F80" s="89">
        <v>9.1961918639547058E-3</v>
      </c>
      <c r="G80" s="89">
        <v>8.5634746187164268E-3</v>
      </c>
    </row>
    <row r="81" spans="1:16384" ht="10.5">
      <c r="B81" s="1316">
        <v>2042</v>
      </c>
      <c r="C81" s="1321">
        <f>(C31-J31)*'Inflation Adjustment'!$C$35</f>
        <v>2.715147</v>
      </c>
      <c r="D81" s="1319">
        <f>(F31-M31)*'Inflation Adjustment'!$C$35</f>
        <v>3.1652459999999998</v>
      </c>
      <c r="F81" s="89">
        <v>1.8797006587488729E-2</v>
      </c>
      <c r="G81" s="89">
        <v>1.8044522236513316E-2</v>
      </c>
    </row>
    <row r="82" spans="1:16384" ht="10.5">
      <c r="B82" s="1316">
        <v>2043</v>
      </c>
      <c r="C82" s="1321">
        <f>(C32-J32)*'Inflation Adjustment'!$C$35</f>
        <v>2.7429259999999998</v>
      </c>
      <c r="D82" s="1319">
        <f>(F32-M32)*'Inflation Adjustment'!$C$35</f>
        <v>3.1917300000000002</v>
      </c>
      <c r="F82" s="89">
        <v>1.0231121924521691E-2</v>
      </c>
      <c r="G82" s="89">
        <v>8.3671221762859904E-3</v>
      </c>
    </row>
    <row r="83" spans="1:16384" ht="10.5">
      <c r="B83" s="1316">
        <v>2044</v>
      </c>
      <c r="C83" s="1321">
        <f>(C33-J33)*'Inflation Adjustment'!$C$35</f>
        <v>2.770124</v>
      </c>
      <c r="D83" s="1319">
        <f>(F33-M33)*'Inflation Adjustment'!$C$35</f>
        <v>3.2225800000000002</v>
      </c>
      <c r="F83" s="89">
        <v>9.9156885749014378E-3</v>
      </c>
      <c r="G83" s="89">
        <v>9.6656045467506946E-3</v>
      </c>
    </row>
    <row r="84" spans="1:16384" ht="10.5">
      <c r="B84" s="1316">
        <v>2045</v>
      </c>
      <c r="C84" s="1321">
        <f>(C34-J34)*'Inflation Adjustment'!$C$35</f>
        <v>2.8135499999999998</v>
      </c>
      <c r="D84" s="1319">
        <f>(F34-M34)*'Inflation Adjustment'!$C$35</f>
        <v>3.2765360000000001</v>
      </c>
      <c r="F84" s="89">
        <v>1.5676554551348643E-2</v>
      </c>
      <c r="G84" s="89">
        <v>1.6743106455076262E-2</v>
      </c>
    </row>
    <row r="85" spans="1:16384" ht="10.5">
      <c r="B85" s="1316">
        <v>2046</v>
      </c>
      <c r="C85" s="1321">
        <f>(C35-J35)*'Inflation Adjustment'!$C$35</f>
        <v>2.825739</v>
      </c>
      <c r="D85" s="1319">
        <f>(F35-M35)*'Inflation Adjustment'!$C$35</f>
        <v>3.2817090000000002</v>
      </c>
      <c r="F85" s="89">
        <v>4.3322492935968793E-3</v>
      </c>
      <c r="G85" s="89">
        <v>1.5788015147706336E-3</v>
      </c>
    </row>
    <row r="86" spans="1:16384" ht="10.5">
      <c r="B86" s="1316">
        <v>2047</v>
      </c>
      <c r="C86" s="1321">
        <f>(C36-J36)*'Inflation Adjustment'!$C$35</f>
        <v>2.884363</v>
      </c>
      <c r="D86" s="1319">
        <f>(F36-M36)*'Inflation Adjustment'!$C$35</f>
        <v>3.3209020000000002</v>
      </c>
      <c r="F86" s="89">
        <v>2.0746431287532285E-2</v>
      </c>
      <c r="G86" s="89">
        <v>1.194286269745426E-2</v>
      </c>
    </row>
    <row r="87" spans="1:16384" ht="10.5">
      <c r="B87" s="1316">
        <v>2048</v>
      </c>
      <c r="C87" s="1321">
        <f>(C37-J37)*'Inflation Adjustment'!$C$35</f>
        <v>2.9245799999999997</v>
      </c>
      <c r="D87" s="1319">
        <f>(F37-M37)*'Inflation Adjustment'!$C$35</f>
        <v>3.3566719999999997</v>
      </c>
      <c r="F87" s="89">
        <v>1.3943113262789852E-2</v>
      </c>
      <c r="G87" s="89">
        <v>1.0771170001403041E-2</v>
      </c>
    </row>
    <row r="88" spans="1:16384" ht="10.5">
      <c r="A88" s="1157"/>
      <c r="B88" s="100">
        <v>2049</v>
      </c>
      <c r="C88" s="1321">
        <f>(C38-J38)*'Inflation Adjustment'!$C$35</f>
        <v>2.9556740000000001</v>
      </c>
      <c r="D88" s="1319">
        <f>(F38-M38)*'Inflation Adjustment'!$C$35</f>
        <v>3.383178</v>
      </c>
      <c r="F88" s="89">
        <v>1.063195398997463E-2</v>
      </c>
      <c r="G88" s="89">
        <v>7.8965117830995801E-3</v>
      </c>
    </row>
    <row r="89" spans="1:16384" ht="10.5">
      <c r="A89" s="1157"/>
      <c r="B89" s="100">
        <v>2050</v>
      </c>
      <c r="C89" s="1321">
        <f>(C39-J39)*'Inflation Adjustment'!$C$35</f>
        <v>2.9824709999999999</v>
      </c>
      <c r="D89" s="1319">
        <f>(F39-M39)*'Inflation Adjustment'!$C$35</f>
        <v>3.407222</v>
      </c>
      <c r="F89" s="89">
        <v>9.0662908020302524E-3</v>
      </c>
      <c r="G89" s="89">
        <v>7.1069272737054323E-3</v>
      </c>
    </row>
    <row r="90" spans="1:16384" ht="10.5">
      <c r="A90" s="1157"/>
      <c r="B90" s="100">
        <f>B89+1</f>
        <v>2051</v>
      </c>
      <c r="C90" s="1321">
        <f>(C42-J42)*'Inflation Adjustment'!$C$35</f>
        <v>3.0131836545560371</v>
      </c>
      <c r="D90" s="1319">
        <f>(F42-M42)*'Inflation Adjustment'!$C$35</f>
        <v>3.4412831909464936</v>
      </c>
      <c r="F90" s="89">
        <v>9.0662908020302524E-3</v>
      </c>
      <c r="G90" s="89">
        <v>7.1069272737054323E-3</v>
      </c>
    </row>
    <row r="91" spans="1:16384" ht="10.5">
      <c r="A91" s="1157"/>
      <c r="B91" s="100">
        <f t="shared" ref="B91:B93" si="9">B90+1</f>
        <v>2052</v>
      </c>
      <c r="C91" s="1321">
        <f>(C43-J43)*'Inflation Adjustment'!$C$35</f>
        <v>3.0441036388293234</v>
      </c>
      <c r="D91" s="1319">
        <f>(F43-M43)*'Inflation Adjustment'!$C$35</f>
        <v>3.4755628717622482</v>
      </c>
      <c r="F91" s="89">
        <v>9.0662908020302524E-3</v>
      </c>
      <c r="G91" s="89">
        <v>7.1069272737054323E-3</v>
      </c>
    </row>
    <row r="92" spans="1:16384" ht="10.5">
      <c r="A92" s="1157"/>
      <c r="B92" s="100">
        <f t="shared" si="9"/>
        <v>2053</v>
      </c>
      <c r="C92" s="1321">
        <f>(C44-J44)*'Inflation Adjustment'!$C$35</f>
        <v>3.0752329080548346</v>
      </c>
      <c r="D92" s="1319">
        <f>(F44-M44)*'Inflation Adjustment'!$C$35</f>
        <v>3.510063132684897</v>
      </c>
      <c r="F92" s="89">
        <v>9.0662908020302524E-3</v>
      </c>
      <c r="G92" s="89">
        <v>7.1069272737054323E-3</v>
      </c>
    </row>
    <row r="93" spans="1:16384" ht="10.5">
      <c r="A93" s="1157"/>
      <c r="B93" s="100">
        <f t="shared" si="9"/>
        <v>2054</v>
      </c>
      <c r="C93" s="1321">
        <f>(C45-J45)*'Inflation Adjustment'!$C$35</f>
        <v>3.1065734315835933</v>
      </c>
      <c r="D93" s="1319">
        <f>(F45-M45)*'Inflation Adjustment'!$C$35</f>
        <v>3.5447860778904832</v>
      </c>
      <c r="F93" s="89">
        <v>9.0662908020302524E-3</v>
      </c>
      <c r="G93" s="89">
        <v>7.1069272737054323E-3</v>
      </c>
    </row>
    <row r="94" spans="1:16384" ht="10.5">
      <c r="A94" s="1157"/>
      <c r="B94" s="1317">
        <f>B93+1</f>
        <v>2055</v>
      </c>
      <c r="C94" s="1321">
        <f>(C46-J46)*'Inflation Adjustment'!$C$35</f>
        <v>3.1381271930086481</v>
      </c>
      <c r="D94" s="1320">
        <f>(F46-M46)*'Inflation Adjustment'!$C$35</f>
        <v>3.5797338256221582</v>
      </c>
      <c r="F94" s="89">
        <v>9.0662908020302524E-3</v>
      </c>
      <c r="G94" s="89">
        <v>7.1069272737054323E-3</v>
      </c>
    </row>
    <row r="95" spans="1:16384">
      <c r="C95" s="1323"/>
    </row>
    <row r="96" spans="1:16384" ht="10.5">
      <c r="A96" s="104"/>
      <c r="B96" s="101" t="s">
        <v>4</v>
      </c>
      <c r="C96" s="102"/>
      <c r="D96" s="102"/>
      <c r="E96" s="102"/>
      <c r="F96" s="102"/>
      <c r="G96" s="103"/>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c r="HV96" s="104"/>
      <c r="HW96" s="104"/>
      <c r="HX96" s="104"/>
      <c r="HY96" s="104"/>
      <c r="HZ96" s="104"/>
      <c r="IA96" s="104"/>
      <c r="IB96" s="104"/>
      <c r="IC96" s="104"/>
      <c r="ID96" s="104"/>
      <c r="IE96" s="104"/>
      <c r="IF96" s="104"/>
      <c r="IG96" s="104"/>
      <c r="IH96" s="104"/>
      <c r="II96" s="104"/>
      <c r="IJ96" s="104"/>
      <c r="IK96" s="104"/>
      <c r="IL96" s="104"/>
      <c r="IM96" s="104"/>
      <c r="IN96" s="104"/>
      <c r="IO96" s="104"/>
      <c r="IP96" s="104"/>
      <c r="IQ96" s="104"/>
      <c r="IR96" s="104"/>
      <c r="IS96" s="104"/>
      <c r="IT96" s="104"/>
      <c r="IU96" s="104"/>
      <c r="IV96" s="104"/>
      <c r="IW96" s="104"/>
      <c r="IX96" s="104"/>
      <c r="IY96" s="104"/>
      <c r="IZ96" s="104"/>
      <c r="JA96" s="104"/>
      <c r="JB96" s="104"/>
      <c r="JC96" s="104"/>
      <c r="JD96" s="104"/>
      <c r="JE96" s="104"/>
      <c r="JF96" s="104"/>
      <c r="JG96" s="104"/>
      <c r="JH96" s="104"/>
      <c r="JI96" s="104"/>
      <c r="JJ96" s="104"/>
      <c r="JK96" s="104"/>
      <c r="JL96" s="104"/>
      <c r="JM96" s="104"/>
      <c r="JN96" s="104"/>
      <c r="JO96" s="104"/>
      <c r="JP96" s="104"/>
      <c r="JQ96" s="104"/>
      <c r="JR96" s="104"/>
      <c r="JS96" s="104"/>
      <c r="JT96" s="104"/>
      <c r="JU96" s="104"/>
      <c r="JV96" s="104"/>
      <c r="JW96" s="104"/>
      <c r="JX96" s="104"/>
      <c r="JY96" s="104"/>
      <c r="JZ96" s="104"/>
      <c r="KA96" s="104"/>
      <c r="KB96" s="104"/>
      <c r="KC96" s="104"/>
      <c r="KD96" s="104"/>
      <c r="KE96" s="104"/>
      <c r="KF96" s="104"/>
      <c r="KG96" s="104"/>
      <c r="KH96" s="104"/>
      <c r="KI96" s="104"/>
      <c r="KJ96" s="104"/>
      <c r="KK96" s="104"/>
      <c r="KL96" s="104"/>
      <c r="KM96" s="104"/>
      <c r="KN96" s="104"/>
      <c r="KO96" s="104"/>
      <c r="KP96" s="104"/>
      <c r="KQ96" s="104"/>
      <c r="KR96" s="104"/>
      <c r="KS96" s="104"/>
      <c r="KT96" s="104"/>
      <c r="KU96" s="104"/>
      <c r="KV96" s="104"/>
      <c r="KW96" s="104"/>
      <c r="KX96" s="104"/>
      <c r="KY96" s="104"/>
      <c r="KZ96" s="104"/>
      <c r="LA96" s="104"/>
      <c r="LB96" s="104"/>
      <c r="LC96" s="104"/>
      <c r="LD96" s="104"/>
      <c r="LE96" s="104"/>
      <c r="LF96" s="104"/>
      <c r="LG96" s="104"/>
      <c r="LH96" s="104"/>
      <c r="LI96" s="104"/>
      <c r="LJ96" s="104"/>
      <c r="LK96" s="104"/>
      <c r="LL96" s="104"/>
      <c r="LM96" s="104"/>
      <c r="LN96" s="104"/>
      <c r="LO96" s="104"/>
      <c r="LP96" s="104"/>
      <c r="LQ96" s="104"/>
      <c r="LR96" s="104"/>
      <c r="LS96" s="104"/>
      <c r="LT96" s="104"/>
      <c r="LU96" s="104"/>
      <c r="LV96" s="104"/>
      <c r="LW96" s="104"/>
      <c r="LX96" s="104"/>
      <c r="LY96" s="104"/>
      <c r="LZ96" s="104"/>
      <c r="MA96" s="104"/>
      <c r="MB96" s="104"/>
      <c r="MC96" s="104"/>
      <c r="MD96" s="104"/>
      <c r="ME96" s="104"/>
      <c r="MF96" s="104"/>
      <c r="MG96" s="104"/>
      <c r="MH96" s="104"/>
      <c r="MI96" s="104"/>
      <c r="MJ96" s="104"/>
      <c r="MK96" s="104"/>
      <c r="ML96" s="104"/>
      <c r="MM96" s="104"/>
      <c r="MN96" s="104"/>
      <c r="MO96" s="104"/>
      <c r="MP96" s="104"/>
      <c r="MQ96" s="104"/>
      <c r="MR96" s="104"/>
      <c r="MS96" s="104"/>
      <c r="MT96" s="104"/>
      <c r="MU96" s="104"/>
      <c r="MV96" s="104"/>
      <c r="MW96" s="104"/>
      <c r="MX96" s="104"/>
      <c r="MY96" s="104"/>
      <c r="MZ96" s="104"/>
      <c r="NA96" s="104"/>
      <c r="NB96" s="104"/>
      <c r="NC96" s="104"/>
      <c r="ND96" s="104"/>
      <c r="NE96" s="104"/>
      <c r="NF96" s="104"/>
      <c r="NG96" s="104"/>
      <c r="NH96" s="104"/>
      <c r="NI96" s="104"/>
      <c r="NJ96" s="104"/>
      <c r="NK96" s="104"/>
      <c r="NL96" s="104"/>
      <c r="NM96" s="104"/>
      <c r="NN96" s="104"/>
      <c r="NO96" s="104"/>
      <c r="NP96" s="104"/>
      <c r="NQ96" s="104"/>
      <c r="NR96" s="104"/>
      <c r="NS96" s="104"/>
      <c r="NT96" s="104"/>
      <c r="NU96" s="104"/>
      <c r="NV96" s="104"/>
      <c r="NW96" s="104"/>
      <c r="NX96" s="104"/>
      <c r="NY96" s="104"/>
      <c r="NZ96" s="104"/>
      <c r="OA96" s="104"/>
      <c r="OB96" s="104"/>
      <c r="OC96" s="104"/>
      <c r="OD96" s="104"/>
      <c r="OE96" s="104"/>
      <c r="OF96" s="104"/>
      <c r="OG96" s="104"/>
      <c r="OH96" s="104"/>
      <c r="OI96" s="104"/>
      <c r="OJ96" s="104"/>
      <c r="OK96" s="104"/>
      <c r="OL96" s="104"/>
      <c r="OM96" s="104"/>
      <c r="ON96" s="104"/>
      <c r="OO96" s="104"/>
      <c r="OP96" s="104"/>
      <c r="OQ96" s="104"/>
      <c r="OR96" s="104"/>
      <c r="OS96" s="104"/>
      <c r="OT96" s="104"/>
      <c r="OU96" s="104"/>
      <c r="OV96" s="104"/>
      <c r="OW96" s="104"/>
      <c r="OX96" s="104"/>
      <c r="OY96" s="104"/>
      <c r="OZ96" s="104"/>
      <c r="PA96" s="104"/>
      <c r="PB96" s="104"/>
      <c r="PC96" s="104"/>
      <c r="PD96" s="104"/>
      <c r="PE96" s="104"/>
      <c r="PF96" s="104"/>
      <c r="PG96" s="104"/>
      <c r="PH96" s="104"/>
      <c r="PI96" s="104"/>
      <c r="PJ96" s="104"/>
      <c r="PK96" s="104"/>
      <c r="PL96" s="104"/>
      <c r="PM96" s="104"/>
      <c r="PN96" s="104"/>
      <c r="PO96" s="104"/>
      <c r="PP96" s="104"/>
      <c r="PQ96" s="104"/>
      <c r="PR96" s="104"/>
      <c r="PS96" s="104"/>
      <c r="PT96" s="104"/>
      <c r="PU96" s="104"/>
      <c r="PV96" s="104"/>
      <c r="PW96" s="104"/>
      <c r="PX96" s="104"/>
      <c r="PY96" s="104"/>
      <c r="PZ96" s="104"/>
      <c r="QA96" s="104"/>
      <c r="QB96" s="104"/>
      <c r="QC96" s="104"/>
      <c r="QD96" s="104"/>
      <c r="QE96" s="104"/>
      <c r="QF96" s="104"/>
      <c r="QG96" s="104"/>
      <c r="QH96" s="104"/>
      <c r="QI96" s="104"/>
      <c r="QJ96" s="104"/>
      <c r="QK96" s="104"/>
      <c r="QL96" s="104"/>
      <c r="QM96" s="104"/>
      <c r="QN96" s="104"/>
      <c r="QO96" s="104"/>
      <c r="QP96" s="104"/>
      <c r="QQ96" s="104"/>
      <c r="QR96" s="104"/>
      <c r="QS96" s="104"/>
      <c r="QT96" s="104"/>
      <c r="QU96" s="104"/>
      <c r="QV96" s="104"/>
      <c r="QW96" s="104"/>
      <c r="QX96" s="104"/>
      <c r="QY96" s="104"/>
      <c r="QZ96" s="104"/>
      <c r="RA96" s="104"/>
      <c r="RB96" s="104"/>
      <c r="RC96" s="104"/>
      <c r="RD96" s="104"/>
      <c r="RE96" s="104"/>
      <c r="RF96" s="104"/>
      <c r="RG96" s="104"/>
      <c r="RH96" s="104"/>
      <c r="RI96" s="104"/>
      <c r="RJ96" s="104"/>
      <c r="RK96" s="104"/>
      <c r="RL96" s="104"/>
      <c r="RM96" s="104"/>
      <c r="RN96" s="104"/>
      <c r="RO96" s="104"/>
      <c r="RP96" s="104"/>
      <c r="RQ96" s="104"/>
      <c r="RR96" s="104"/>
      <c r="RS96" s="104"/>
      <c r="RT96" s="104"/>
      <c r="RU96" s="104"/>
      <c r="RV96" s="104"/>
      <c r="RW96" s="104"/>
      <c r="RX96" s="104"/>
      <c r="RY96" s="104"/>
      <c r="RZ96" s="104"/>
      <c r="SA96" s="104"/>
      <c r="SB96" s="104"/>
      <c r="SC96" s="104"/>
      <c r="SD96" s="104"/>
      <c r="SE96" s="104"/>
      <c r="SF96" s="104"/>
      <c r="SG96" s="104"/>
      <c r="SH96" s="104"/>
      <c r="SI96" s="104"/>
      <c r="SJ96" s="104"/>
      <c r="SK96" s="104"/>
      <c r="SL96" s="104"/>
      <c r="SM96" s="104"/>
      <c r="SN96" s="104"/>
      <c r="SO96" s="104"/>
      <c r="SP96" s="104"/>
      <c r="SQ96" s="104"/>
      <c r="SR96" s="104"/>
      <c r="SS96" s="104"/>
      <c r="ST96" s="104"/>
      <c r="SU96" s="104"/>
      <c r="SV96" s="104"/>
      <c r="SW96" s="104"/>
      <c r="SX96" s="104"/>
      <c r="SY96" s="104"/>
      <c r="SZ96" s="104"/>
      <c r="TA96" s="104"/>
      <c r="TB96" s="104"/>
      <c r="TC96" s="104"/>
      <c r="TD96" s="104"/>
      <c r="TE96" s="104"/>
      <c r="TF96" s="104"/>
      <c r="TG96" s="104"/>
      <c r="TH96" s="104"/>
      <c r="TI96" s="104"/>
      <c r="TJ96" s="104"/>
      <c r="TK96" s="104"/>
      <c r="TL96" s="104"/>
      <c r="TM96" s="104"/>
      <c r="TN96" s="104"/>
      <c r="TO96" s="104"/>
      <c r="TP96" s="104"/>
      <c r="TQ96" s="104"/>
      <c r="TR96" s="104"/>
      <c r="TS96" s="104"/>
      <c r="TT96" s="104"/>
      <c r="TU96" s="104"/>
      <c r="TV96" s="104"/>
      <c r="TW96" s="104"/>
      <c r="TX96" s="104"/>
      <c r="TY96" s="104"/>
      <c r="TZ96" s="104"/>
      <c r="UA96" s="104"/>
      <c r="UB96" s="104"/>
      <c r="UC96" s="104"/>
      <c r="UD96" s="104"/>
      <c r="UE96" s="104"/>
      <c r="UF96" s="104"/>
      <c r="UG96" s="104"/>
      <c r="UH96" s="104"/>
      <c r="UI96" s="104"/>
      <c r="UJ96" s="104"/>
      <c r="UK96" s="104"/>
      <c r="UL96" s="104"/>
      <c r="UM96" s="104"/>
      <c r="UN96" s="104"/>
      <c r="UO96" s="104"/>
      <c r="UP96" s="104"/>
      <c r="UQ96" s="104"/>
      <c r="UR96" s="104"/>
      <c r="US96" s="104"/>
      <c r="UT96" s="104"/>
      <c r="UU96" s="104"/>
      <c r="UV96" s="104"/>
      <c r="UW96" s="104"/>
      <c r="UX96" s="104"/>
      <c r="UY96" s="104"/>
      <c r="UZ96" s="104"/>
      <c r="VA96" s="104"/>
      <c r="VB96" s="104"/>
      <c r="VC96" s="104"/>
      <c r="VD96" s="104"/>
      <c r="VE96" s="104"/>
      <c r="VF96" s="104"/>
      <c r="VG96" s="104"/>
      <c r="VH96" s="104"/>
      <c r="VI96" s="104"/>
      <c r="VJ96" s="104"/>
      <c r="VK96" s="104"/>
      <c r="VL96" s="104"/>
      <c r="VM96" s="104"/>
      <c r="VN96" s="104"/>
      <c r="VO96" s="104"/>
      <c r="VP96" s="104"/>
      <c r="VQ96" s="104"/>
      <c r="VR96" s="104"/>
      <c r="VS96" s="104"/>
      <c r="VT96" s="104"/>
      <c r="VU96" s="104"/>
      <c r="VV96" s="104"/>
      <c r="VW96" s="104"/>
      <c r="VX96" s="104"/>
      <c r="VY96" s="104"/>
      <c r="VZ96" s="104"/>
      <c r="WA96" s="104"/>
      <c r="WB96" s="104"/>
      <c r="WC96" s="104"/>
      <c r="WD96" s="104"/>
      <c r="WE96" s="104"/>
      <c r="WF96" s="104"/>
      <c r="WG96" s="104"/>
      <c r="WH96" s="104"/>
      <c r="WI96" s="104"/>
      <c r="WJ96" s="104"/>
      <c r="WK96" s="104"/>
      <c r="WL96" s="104"/>
      <c r="WM96" s="104"/>
      <c r="WN96" s="104"/>
      <c r="WO96" s="104"/>
      <c r="WP96" s="104"/>
      <c r="WQ96" s="104"/>
      <c r="WR96" s="104"/>
      <c r="WS96" s="104"/>
      <c r="WT96" s="104"/>
      <c r="WU96" s="104"/>
      <c r="WV96" s="104"/>
      <c r="WW96" s="104"/>
      <c r="WX96" s="104"/>
      <c r="WY96" s="104"/>
      <c r="WZ96" s="104"/>
      <c r="XA96" s="104"/>
      <c r="XB96" s="104"/>
      <c r="XC96" s="104"/>
      <c r="XD96" s="104"/>
      <c r="XE96" s="104"/>
      <c r="XF96" s="104"/>
      <c r="XG96" s="104"/>
      <c r="XH96" s="104"/>
      <c r="XI96" s="104"/>
      <c r="XJ96" s="104"/>
      <c r="XK96" s="104"/>
      <c r="XL96" s="104"/>
      <c r="XM96" s="104"/>
      <c r="XN96" s="104"/>
      <c r="XO96" s="104"/>
      <c r="XP96" s="104"/>
      <c r="XQ96" s="104"/>
      <c r="XR96" s="104"/>
      <c r="XS96" s="104"/>
      <c r="XT96" s="104"/>
      <c r="XU96" s="104"/>
      <c r="XV96" s="104"/>
      <c r="XW96" s="104"/>
      <c r="XX96" s="104"/>
      <c r="XY96" s="104"/>
      <c r="XZ96" s="104"/>
      <c r="YA96" s="104"/>
      <c r="YB96" s="104"/>
      <c r="YC96" s="104"/>
      <c r="YD96" s="104"/>
      <c r="YE96" s="104"/>
      <c r="YF96" s="104"/>
      <c r="YG96" s="104"/>
      <c r="YH96" s="104"/>
      <c r="YI96" s="104"/>
      <c r="YJ96" s="104"/>
      <c r="YK96" s="104"/>
      <c r="YL96" s="104"/>
      <c r="YM96" s="104"/>
      <c r="YN96" s="104"/>
      <c r="YO96" s="104"/>
      <c r="YP96" s="104"/>
      <c r="YQ96" s="104"/>
      <c r="YR96" s="104"/>
      <c r="YS96" s="104"/>
      <c r="YT96" s="104"/>
      <c r="YU96" s="104"/>
      <c r="YV96" s="104"/>
      <c r="YW96" s="104"/>
      <c r="YX96" s="104"/>
      <c r="YY96" s="104"/>
      <c r="YZ96" s="104"/>
      <c r="ZA96" s="104"/>
      <c r="ZB96" s="104"/>
      <c r="ZC96" s="104"/>
      <c r="ZD96" s="104"/>
      <c r="ZE96" s="104"/>
      <c r="ZF96" s="104"/>
      <c r="ZG96" s="104"/>
      <c r="ZH96" s="104"/>
      <c r="ZI96" s="104"/>
      <c r="ZJ96" s="104"/>
      <c r="ZK96" s="104"/>
      <c r="ZL96" s="104"/>
      <c r="ZM96" s="104"/>
      <c r="ZN96" s="104"/>
      <c r="ZO96" s="104"/>
      <c r="ZP96" s="104"/>
      <c r="ZQ96" s="104"/>
      <c r="ZR96" s="104"/>
      <c r="ZS96" s="104"/>
      <c r="ZT96" s="104"/>
      <c r="ZU96" s="104"/>
      <c r="ZV96" s="104"/>
      <c r="ZW96" s="104"/>
      <c r="ZX96" s="104"/>
      <c r="ZY96" s="104"/>
      <c r="ZZ96" s="104"/>
      <c r="AAA96" s="104"/>
      <c r="AAB96" s="104"/>
      <c r="AAC96" s="104"/>
      <c r="AAD96" s="104"/>
      <c r="AAE96" s="104"/>
      <c r="AAF96" s="104"/>
      <c r="AAG96" s="104"/>
      <c r="AAH96" s="104"/>
      <c r="AAI96" s="104"/>
      <c r="AAJ96" s="104"/>
      <c r="AAK96" s="104"/>
      <c r="AAL96" s="104"/>
      <c r="AAM96" s="104"/>
      <c r="AAN96" s="104"/>
      <c r="AAO96" s="104"/>
      <c r="AAP96" s="104"/>
      <c r="AAQ96" s="104"/>
      <c r="AAR96" s="104"/>
      <c r="AAS96" s="104"/>
      <c r="AAT96" s="104"/>
      <c r="AAU96" s="104"/>
      <c r="AAV96" s="104"/>
      <c r="AAW96" s="104"/>
      <c r="AAX96" s="104"/>
      <c r="AAY96" s="104"/>
      <c r="AAZ96" s="104"/>
      <c r="ABA96" s="104"/>
      <c r="ABB96" s="104"/>
      <c r="ABC96" s="104"/>
      <c r="ABD96" s="104"/>
      <c r="ABE96" s="104"/>
      <c r="ABF96" s="104"/>
      <c r="ABG96" s="104"/>
      <c r="ABH96" s="104"/>
      <c r="ABI96" s="104"/>
      <c r="ABJ96" s="104"/>
      <c r="ABK96" s="104"/>
      <c r="ABL96" s="104"/>
      <c r="ABM96" s="104"/>
      <c r="ABN96" s="104"/>
      <c r="ABO96" s="104"/>
      <c r="ABP96" s="104"/>
      <c r="ABQ96" s="104"/>
      <c r="ABR96" s="104"/>
      <c r="ABS96" s="104"/>
      <c r="ABT96" s="104"/>
      <c r="ABU96" s="104"/>
      <c r="ABV96" s="104"/>
      <c r="ABW96" s="104"/>
      <c r="ABX96" s="104"/>
      <c r="ABY96" s="104"/>
      <c r="ABZ96" s="104"/>
      <c r="ACA96" s="104"/>
      <c r="ACB96" s="104"/>
      <c r="ACC96" s="104"/>
      <c r="ACD96" s="104"/>
      <c r="ACE96" s="104"/>
      <c r="ACF96" s="104"/>
      <c r="ACG96" s="104"/>
      <c r="ACH96" s="104"/>
      <c r="ACI96" s="104"/>
      <c r="ACJ96" s="104"/>
      <c r="ACK96" s="104"/>
      <c r="ACL96" s="104"/>
      <c r="ACM96" s="104"/>
      <c r="ACN96" s="104"/>
      <c r="ACO96" s="104"/>
      <c r="ACP96" s="104"/>
      <c r="ACQ96" s="104"/>
      <c r="ACR96" s="104"/>
      <c r="ACS96" s="104"/>
      <c r="ACT96" s="104"/>
      <c r="ACU96" s="104"/>
      <c r="ACV96" s="104"/>
      <c r="ACW96" s="104"/>
      <c r="ACX96" s="104"/>
      <c r="ACY96" s="104"/>
      <c r="ACZ96" s="104"/>
      <c r="ADA96" s="104"/>
      <c r="ADB96" s="104"/>
      <c r="ADC96" s="104"/>
      <c r="ADD96" s="104"/>
      <c r="ADE96" s="104"/>
      <c r="ADF96" s="104"/>
      <c r="ADG96" s="104"/>
      <c r="ADH96" s="104"/>
      <c r="ADI96" s="104"/>
      <c r="ADJ96" s="104"/>
      <c r="ADK96" s="104"/>
      <c r="ADL96" s="104"/>
      <c r="ADM96" s="104"/>
      <c r="ADN96" s="104"/>
      <c r="ADO96" s="104"/>
      <c r="ADP96" s="104"/>
      <c r="ADQ96" s="104"/>
      <c r="ADR96" s="104"/>
      <c r="ADS96" s="104"/>
      <c r="ADT96" s="104"/>
      <c r="ADU96" s="104"/>
      <c r="ADV96" s="104"/>
      <c r="ADW96" s="104"/>
      <c r="ADX96" s="104"/>
      <c r="ADY96" s="104"/>
      <c r="ADZ96" s="104"/>
      <c r="AEA96" s="104"/>
      <c r="AEB96" s="104"/>
      <c r="AEC96" s="104"/>
      <c r="AED96" s="104"/>
      <c r="AEE96" s="104"/>
      <c r="AEF96" s="104"/>
      <c r="AEG96" s="104"/>
      <c r="AEH96" s="104"/>
      <c r="AEI96" s="104"/>
      <c r="AEJ96" s="104"/>
      <c r="AEK96" s="104"/>
      <c r="AEL96" s="104"/>
      <c r="AEM96" s="104"/>
      <c r="AEN96" s="104"/>
      <c r="AEO96" s="104"/>
      <c r="AEP96" s="104"/>
      <c r="AEQ96" s="104"/>
      <c r="AER96" s="104"/>
      <c r="AES96" s="104"/>
      <c r="AET96" s="104"/>
      <c r="AEU96" s="104"/>
      <c r="AEV96" s="104"/>
      <c r="AEW96" s="104"/>
      <c r="AEX96" s="104"/>
      <c r="AEY96" s="104"/>
      <c r="AEZ96" s="104"/>
      <c r="AFA96" s="104"/>
      <c r="AFB96" s="104"/>
      <c r="AFC96" s="104"/>
      <c r="AFD96" s="104"/>
      <c r="AFE96" s="104"/>
      <c r="AFF96" s="104"/>
      <c r="AFG96" s="104"/>
      <c r="AFH96" s="104"/>
      <c r="AFI96" s="104"/>
      <c r="AFJ96" s="104"/>
      <c r="AFK96" s="104"/>
      <c r="AFL96" s="104"/>
      <c r="AFM96" s="104"/>
      <c r="AFN96" s="104"/>
      <c r="AFO96" s="104"/>
      <c r="AFP96" s="104"/>
      <c r="AFQ96" s="104"/>
      <c r="AFR96" s="104"/>
      <c r="AFS96" s="104"/>
      <c r="AFT96" s="104"/>
      <c r="AFU96" s="104"/>
      <c r="AFV96" s="104"/>
      <c r="AFW96" s="104"/>
      <c r="AFX96" s="104"/>
      <c r="AFY96" s="104"/>
      <c r="AFZ96" s="104"/>
      <c r="AGA96" s="104"/>
      <c r="AGB96" s="104"/>
      <c r="AGC96" s="104"/>
      <c r="AGD96" s="104"/>
      <c r="AGE96" s="104"/>
      <c r="AGF96" s="104"/>
      <c r="AGG96" s="104"/>
      <c r="AGH96" s="104"/>
      <c r="AGI96" s="104"/>
      <c r="AGJ96" s="104"/>
      <c r="AGK96" s="104"/>
      <c r="AGL96" s="104"/>
      <c r="AGM96" s="104"/>
      <c r="AGN96" s="104"/>
      <c r="AGO96" s="104"/>
      <c r="AGP96" s="104"/>
      <c r="AGQ96" s="104"/>
      <c r="AGR96" s="104"/>
      <c r="AGS96" s="104"/>
      <c r="AGT96" s="104"/>
      <c r="AGU96" s="104"/>
      <c r="AGV96" s="104"/>
      <c r="AGW96" s="104"/>
      <c r="AGX96" s="104"/>
      <c r="AGY96" s="104"/>
      <c r="AGZ96" s="104"/>
      <c r="AHA96" s="104"/>
      <c r="AHB96" s="104"/>
      <c r="AHC96" s="104"/>
      <c r="AHD96" s="104"/>
      <c r="AHE96" s="104"/>
      <c r="AHF96" s="104"/>
      <c r="AHG96" s="104"/>
      <c r="AHH96" s="104"/>
      <c r="AHI96" s="104"/>
      <c r="AHJ96" s="104"/>
      <c r="AHK96" s="104"/>
      <c r="AHL96" s="104"/>
      <c r="AHM96" s="104"/>
      <c r="AHN96" s="104"/>
      <c r="AHO96" s="104"/>
      <c r="AHP96" s="104"/>
      <c r="AHQ96" s="104"/>
      <c r="AHR96" s="104"/>
      <c r="AHS96" s="104"/>
      <c r="AHT96" s="104"/>
      <c r="AHU96" s="104"/>
      <c r="AHV96" s="104"/>
      <c r="AHW96" s="104"/>
      <c r="AHX96" s="104"/>
      <c r="AHY96" s="104"/>
      <c r="AHZ96" s="104"/>
      <c r="AIA96" s="104"/>
      <c r="AIB96" s="104"/>
      <c r="AIC96" s="104"/>
      <c r="AID96" s="104"/>
      <c r="AIE96" s="104"/>
      <c r="AIF96" s="104"/>
      <c r="AIG96" s="104"/>
      <c r="AIH96" s="104"/>
      <c r="AII96" s="104"/>
      <c r="AIJ96" s="104"/>
      <c r="AIK96" s="104"/>
      <c r="AIL96" s="104"/>
      <c r="AIM96" s="104"/>
      <c r="AIN96" s="104"/>
      <c r="AIO96" s="104"/>
      <c r="AIP96" s="104"/>
      <c r="AIQ96" s="104"/>
      <c r="AIR96" s="104"/>
      <c r="AIS96" s="104"/>
      <c r="AIT96" s="104"/>
      <c r="AIU96" s="104"/>
      <c r="AIV96" s="104"/>
      <c r="AIW96" s="104"/>
      <c r="AIX96" s="104"/>
      <c r="AIY96" s="104"/>
      <c r="AIZ96" s="104"/>
      <c r="AJA96" s="104"/>
      <c r="AJB96" s="104"/>
      <c r="AJC96" s="104"/>
      <c r="AJD96" s="104"/>
      <c r="AJE96" s="104"/>
      <c r="AJF96" s="104"/>
      <c r="AJG96" s="104"/>
      <c r="AJH96" s="104"/>
      <c r="AJI96" s="104"/>
      <c r="AJJ96" s="104"/>
      <c r="AJK96" s="104"/>
      <c r="AJL96" s="104"/>
      <c r="AJM96" s="104"/>
      <c r="AJN96" s="104"/>
      <c r="AJO96" s="104"/>
      <c r="AJP96" s="104"/>
      <c r="AJQ96" s="104"/>
      <c r="AJR96" s="104"/>
      <c r="AJS96" s="104"/>
      <c r="AJT96" s="104"/>
      <c r="AJU96" s="104"/>
      <c r="AJV96" s="104"/>
      <c r="AJW96" s="104"/>
      <c r="AJX96" s="104"/>
      <c r="AJY96" s="104"/>
      <c r="AJZ96" s="104"/>
      <c r="AKA96" s="104"/>
      <c r="AKB96" s="104"/>
      <c r="AKC96" s="104"/>
      <c r="AKD96" s="104"/>
      <c r="AKE96" s="104"/>
      <c r="AKF96" s="104"/>
      <c r="AKG96" s="104"/>
      <c r="AKH96" s="104"/>
      <c r="AKI96" s="104"/>
      <c r="AKJ96" s="104"/>
      <c r="AKK96" s="104"/>
      <c r="AKL96" s="104"/>
      <c r="AKM96" s="104"/>
      <c r="AKN96" s="104"/>
      <c r="AKO96" s="104"/>
      <c r="AKP96" s="104"/>
      <c r="AKQ96" s="104"/>
      <c r="AKR96" s="104"/>
      <c r="AKS96" s="104"/>
      <c r="AKT96" s="104"/>
      <c r="AKU96" s="104"/>
      <c r="AKV96" s="104"/>
      <c r="AKW96" s="104"/>
      <c r="AKX96" s="104"/>
      <c r="AKY96" s="104"/>
      <c r="AKZ96" s="104"/>
      <c r="ALA96" s="104"/>
      <c r="ALB96" s="104"/>
      <c r="ALC96" s="104"/>
      <c r="ALD96" s="104"/>
      <c r="ALE96" s="104"/>
      <c r="ALF96" s="104"/>
      <c r="ALG96" s="104"/>
      <c r="ALH96" s="104"/>
      <c r="ALI96" s="104"/>
      <c r="ALJ96" s="104"/>
      <c r="ALK96" s="104"/>
      <c r="ALL96" s="104"/>
      <c r="ALM96" s="104"/>
      <c r="ALN96" s="104"/>
      <c r="ALO96" s="104"/>
      <c r="ALP96" s="104"/>
      <c r="ALQ96" s="104"/>
      <c r="ALR96" s="104"/>
      <c r="ALS96" s="104"/>
      <c r="ALT96" s="104"/>
      <c r="ALU96" s="104"/>
      <c r="ALV96" s="104"/>
      <c r="ALW96" s="104"/>
      <c r="ALX96" s="104"/>
      <c r="ALY96" s="104"/>
      <c r="ALZ96" s="104"/>
      <c r="AMA96" s="104"/>
      <c r="AMB96" s="104"/>
      <c r="AMC96" s="104"/>
      <c r="AMD96" s="104"/>
      <c r="AME96" s="104"/>
      <c r="AMF96" s="104"/>
      <c r="AMG96" s="104"/>
      <c r="AMH96" s="104"/>
      <c r="AMI96" s="104"/>
      <c r="AMJ96" s="104"/>
      <c r="AMK96" s="104"/>
      <c r="AML96" s="104"/>
      <c r="AMM96" s="104"/>
      <c r="AMN96" s="104"/>
      <c r="AMO96" s="104"/>
      <c r="AMP96" s="104"/>
      <c r="AMQ96" s="104"/>
      <c r="AMR96" s="104"/>
      <c r="AMS96" s="104"/>
      <c r="AMT96" s="104"/>
      <c r="AMU96" s="104"/>
      <c r="AMV96" s="104"/>
      <c r="AMW96" s="104"/>
      <c r="AMX96" s="104"/>
      <c r="AMY96" s="104"/>
      <c r="AMZ96" s="104"/>
      <c r="ANA96" s="104"/>
      <c r="ANB96" s="104"/>
      <c r="ANC96" s="104"/>
      <c r="AND96" s="104"/>
      <c r="ANE96" s="104"/>
      <c r="ANF96" s="104"/>
      <c r="ANG96" s="104"/>
      <c r="ANH96" s="104"/>
      <c r="ANI96" s="104"/>
      <c r="ANJ96" s="104"/>
      <c r="ANK96" s="104"/>
      <c r="ANL96" s="104"/>
      <c r="ANM96" s="104"/>
      <c r="ANN96" s="104"/>
      <c r="ANO96" s="104"/>
      <c r="ANP96" s="104"/>
      <c r="ANQ96" s="104"/>
      <c r="ANR96" s="104"/>
      <c r="ANS96" s="104"/>
      <c r="ANT96" s="104"/>
      <c r="ANU96" s="104"/>
      <c r="ANV96" s="104"/>
      <c r="ANW96" s="104"/>
      <c r="ANX96" s="104"/>
      <c r="ANY96" s="104"/>
      <c r="ANZ96" s="104"/>
      <c r="AOA96" s="104"/>
      <c r="AOB96" s="104"/>
      <c r="AOC96" s="104"/>
      <c r="AOD96" s="104"/>
      <c r="AOE96" s="104"/>
      <c r="AOF96" s="104"/>
      <c r="AOG96" s="104"/>
      <c r="AOH96" s="104"/>
      <c r="AOI96" s="104"/>
      <c r="AOJ96" s="104"/>
      <c r="AOK96" s="104"/>
      <c r="AOL96" s="104"/>
      <c r="AOM96" s="104"/>
      <c r="AON96" s="104"/>
      <c r="AOO96" s="104"/>
      <c r="AOP96" s="104"/>
      <c r="AOQ96" s="104"/>
      <c r="AOR96" s="104"/>
      <c r="AOS96" s="104"/>
      <c r="AOT96" s="104"/>
      <c r="AOU96" s="104"/>
      <c r="AOV96" s="104"/>
      <c r="AOW96" s="104"/>
      <c r="AOX96" s="104"/>
      <c r="AOY96" s="104"/>
      <c r="AOZ96" s="104"/>
      <c r="APA96" s="104"/>
      <c r="APB96" s="104"/>
      <c r="APC96" s="104"/>
      <c r="APD96" s="104"/>
      <c r="APE96" s="104"/>
      <c r="APF96" s="104"/>
      <c r="APG96" s="104"/>
      <c r="APH96" s="104"/>
      <c r="API96" s="104"/>
      <c r="APJ96" s="104"/>
      <c r="APK96" s="104"/>
      <c r="APL96" s="104"/>
      <c r="APM96" s="104"/>
      <c r="APN96" s="104"/>
      <c r="APO96" s="104"/>
      <c r="APP96" s="104"/>
      <c r="APQ96" s="104"/>
      <c r="APR96" s="104"/>
      <c r="APS96" s="104"/>
      <c r="APT96" s="104"/>
      <c r="APU96" s="104"/>
      <c r="APV96" s="104"/>
      <c r="APW96" s="104"/>
      <c r="APX96" s="104"/>
      <c r="APY96" s="104"/>
      <c r="APZ96" s="104"/>
      <c r="AQA96" s="104"/>
      <c r="AQB96" s="104"/>
      <c r="AQC96" s="104"/>
      <c r="AQD96" s="104"/>
      <c r="AQE96" s="104"/>
      <c r="AQF96" s="104"/>
      <c r="AQG96" s="104"/>
      <c r="AQH96" s="104"/>
      <c r="AQI96" s="104"/>
      <c r="AQJ96" s="104"/>
      <c r="AQK96" s="104"/>
      <c r="AQL96" s="104"/>
      <c r="AQM96" s="104"/>
      <c r="AQN96" s="104"/>
      <c r="AQO96" s="104"/>
      <c r="AQP96" s="104"/>
      <c r="AQQ96" s="104"/>
      <c r="AQR96" s="104"/>
      <c r="AQS96" s="104"/>
      <c r="AQT96" s="104"/>
      <c r="AQU96" s="104"/>
      <c r="AQV96" s="104"/>
      <c r="AQW96" s="104"/>
      <c r="AQX96" s="104"/>
      <c r="AQY96" s="104"/>
      <c r="AQZ96" s="104"/>
      <c r="ARA96" s="104"/>
      <c r="ARB96" s="104"/>
      <c r="ARC96" s="104"/>
      <c r="ARD96" s="104"/>
      <c r="ARE96" s="104"/>
      <c r="ARF96" s="104"/>
      <c r="ARG96" s="104"/>
      <c r="ARH96" s="104"/>
      <c r="ARI96" s="104"/>
      <c r="ARJ96" s="104"/>
      <c r="ARK96" s="104"/>
      <c r="ARL96" s="104"/>
      <c r="ARM96" s="104"/>
      <c r="ARN96" s="104"/>
      <c r="ARO96" s="104"/>
      <c r="ARP96" s="104"/>
      <c r="ARQ96" s="104"/>
      <c r="ARR96" s="104"/>
      <c r="ARS96" s="104"/>
      <c r="ART96" s="104"/>
      <c r="ARU96" s="104"/>
      <c r="ARV96" s="104"/>
      <c r="ARW96" s="104"/>
      <c r="ARX96" s="104"/>
      <c r="ARY96" s="104"/>
      <c r="ARZ96" s="104"/>
      <c r="ASA96" s="104"/>
      <c r="ASB96" s="104"/>
      <c r="ASC96" s="104"/>
      <c r="ASD96" s="104"/>
      <c r="ASE96" s="104"/>
      <c r="ASF96" s="104"/>
      <c r="ASG96" s="104"/>
      <c r="ASH96" s="104"/>
      <c r="ASI96" s="104"/>
      <c r="ASJ96" s="104"/>
      <c r="ASK96" s="104"/>
      <c r="ASL96" s="104"/>
      <c r="ASM96" s="104"/>
      <c r="ASN96" s="104"/>
      <c r="ASO96" s="104"/>
      <c r="ASP96" s="104"/>
      <c r="ASQ96" s="104"/>
      <c r="ASR96" s="104"/>
      <c r="ASS96" s="104"/>
      <c r="AST96" s="104"/>
      <c r="ASU96" s="104"/>
      <c r="ASV96" s="104"/>
      <c r="ASW96" s="104"/>
      <c r="ASX96" s="104"/>
      <c r="ASY96" s="104"/>
      <c r="ASZ96" s="104"/>
      <c r="ATA96" s="104"/>
      <c r="ATB96" s="104"/>
      <c r="ATC96" s="104"/>
      <c r="ATD96" s="104"/>
      <c r="ATE96" s="104"/>
      <c r="ATF96" s="104"/>
      <c r="ATG96" s="104"/>
      <c r="ATH96" s="104"/>
      <c r="ATI96" s="104"/>
      <c r="ATJ96" s="104"/>
      <c r="ATK96" s="104"/>
      <c r="ATL96" s="104"/>
      <c r="ATM96" s="104"/>
      <c r="ATN96" s="104"/>
      <c r="ATO96" s="104"/>
      <c r="ATP96" s="104"/>
      <c r="ATQ96" s="104"/>
      <c r="ATR96" s="104"/>
      <c r="ATS96" s="104"/>
      <c r="ATT96" s="104"/>
      <c r="ATU96" s="104"/>
      <c r="ATV96" s="104"/>
      <c r="ATW96" s="104"/>
      <c r="ATX96" s="104"/>
      <c r="ATY96" s="104"/>
      <c r="ATZ96" s="104"/>
      <c r="AUA96" s="104"/>
      <c r="AUB96" s="104"/>
      <c r="AUC96" s="104"/>
      <c r="AUD96" s="104"/>
      <c r="AUE96" s="104"/>
      <c r="AUF96" s="104"/>
      <c r="AUG96" s="104"/>
      <c r="AUH96" s="104"/>
      <c r="AUI96" s="104"/>
      <c r="AUJ96" s="104"/>
      <c r="AUK96" s="104"/>
      <c r="AUL96" s="104"/>
      <c r="AUM96" s="104"/>
      <c r="AUN96" s="104"/>
      <c r="AUO96" s="104"/>
      <c r="AUP96" s="104"/>
      <c r="AUQ96" s="104"/>
      <c r="AUR96" s="104"/>
      <c r="AUS96" s="104"/>
      <c r="AUT96" s="104"/>
      <c r="AUU96" s="104"/>
      <c r="AUV96" s="104"/>
      <c r="AUW96" s="104"/>
      <c r="AUX96" s="104"/>
      <c r="AUY96" s="104"/>
      <c r="AUZ96" s="104"/>
      <c r="AVA96" s="104"/>
      <c r="AVB96" s="104"/>
      <c r="AVC96" s="104"/>
      <c r="AVD96" s="104"/>
      <c r="AVE96" s="104"/>
      <c r="AVF96" s="104"/>
      <c r="AVG96" s="104"/>
      <c r="AVH96" s="104"/>
      <c r="AVI96" s="104"/>
      <c r="AVJ96" s="104"/>
      <c r="AVK96" s="104"/>
      <c r="AVL96" s="104"/>
      <c r="AVM96" s="104"/>
      <c r="AVN96" s="104"/>
      <c r="AVO96" s="104"/>
      <c r="AVP96" s="104"/>
      <c r="AVQ96" s="104"/>
      <c r="AVR96" s="104"/>
      <c r="AVS96" s="104"/>
      <c r="AVT96" s="104"/>
      <c r="AVU96" s="104"/>
      <c r="AVV96" s="104"/>
      <c r="AVW96" s="104"/>
      <c r="AVX96" s="104"/>
      <c r="AVY96" s="104"/>
      <c r="AVZ96" s="104"/>
      <c r="AWA96" s="104"/>
      <c r="AWB96" s="104"/>
      <c r="AWC96" s="104"/>
      <c r="AWD96" s="104"/>
      <c r="AWE96" s="104"/>
      <c r="AWF96" s="104"/>
      <c r="AWG96" s="104"/>
      <c r="AWH96" s="104"/>
      <c r="AWI96" s="104"/>
      <c r="AWJ96" s="104"/>
      <c r="AWK96" s="104"/>
      <c r="AWL96" s="104"/>
      <c r="AWM96" s="104"/>
      <c r="AWN96" s="104"/>
      <c r="AWO96" s="104"/>
      <c r="AWP96" s="104"/>
      <c r="AWQ96" s="104"/>
      <c r="AWR96" s="104"/>
      <c r="AWS96" s="104"/>
      <c r="AWT96" s="104"/>
      <c r="AWU96" s="104"/>
      <c r="AWV96" s="104"/>
      <c r="AWW96" s="104"/>
      <c r="AWX96" s="104"/>
      <c r="AWY96" s="104"/>
      <c r="AWZ96" s="104"/>
      <c r="AXA96" s="104"/>
      <c r="AXB96" s="104"/>
      <c r="AXC96" s="104"/>
      <c r="AXD96" s="104"/>
      <c r="AXE96" s="104"/>
      <c r="AXF96" s="104"/>
      <c r="AXG96" s="104"/>
      <c r="AXH96" s="104"/>
      <c r="AXI96" s="104"/>
      <c r="AXJ96" s="104"/>
      <c r="AXK96" s="104"/>
      <c r="AXL96" s="104"/>
      <c r="AXM96" s="104"/>
      <c r="AXN96" s="104"/>
      <c r="AXO96" s="104"/>
      <c r="AXP96" s="104"/>
      <c r="AXQ96" s="104"/>
      <c r="AXR96" s="104"/>
      <c r="AXS96" s="104"/>
      <c r="AXT96" s="104"/>
      <c r="AXU96" s="104"/>
      <c r="AXV96" s="104"/>
      <c r="AXW96" s="104"/>
      <c r="AXX96" s="104"/>
      <c r="AXY96" s="104"/>
      <c r="AXZ96" s="104"/>
      <c r="AYA96" s="104"/>
      <c r="AYB96" s="104"/>
      <c r="AYC96" s="104"/>
      <c r="AYD96" s="104"/>
      <c r="AYE96" s="104"/>
      <c r="AYF96" s="104"/>
      <c r="AYG96" s="104"/>
      <c r="AYH96" s="104"/>
      <c r="AYI96" s="104"/>
      <c r="AYJ96" s="104"/>
      <c r="AYK96" s="104"/>
      <c r="AYL96" s="104"/>
      <c r="AYM96" s="104"/>
      <c r="AYN96" s="104"/>
      <c r="AYO96" s="104"/>
      <c r="AYP96" s="104"/>
      <c r="AYQ96" s="104"/>
      <c r="AYR96" s="104"/>
      <c r="AYS96" s="104"/>
      <c r="AYT96" s="104"/>
      <c r="AYU96" s="104"/>
      <c r="AYV96" s="104"/>
      <c r="AYW96" s="104"/>
      <c r="AYX96" s="104"/>
      <c r="AYY96" s="104"/>
      <c r="AYZ96" s="104"/>
      <c r="AZA96" s="104"/>
      <c r="AZB96" s="104"/>
      <c r="AZC96" s="104"/>
      <c r="AZD96" s="104"/>
      <c r="AZE96" s="104"/>
      <c r="AZF96" s="104"/>
      <c r="AZG96" s="104"/>
      <c r="AZH96" s="104"/>
      <c r="AZI96" s="104"/>
      <c r="AZJ96" s="104"/>
      <c r="AZK96" s="104"/>
      <c r="AZL96" s="104"/>
      <c r="AZM96" s="104"/>
      <c r="AZN96" s="104"/>
      <c r="AZO96" s="104"/>
      <c r="AZP96" s="104"/>
      <c r="AZQ96" s="104"/>
      <c r="AZR96" s="104"/>
      <c r="AZS96" s="104"/>
      <c r="AZT96" s="104"/>
      <c r="AZU96" s="104"/>
      <c r="AZV96" s="104"/>
      <c r="AZW96" s="104"/>
      <c r="AZX96" s="104"/>
      <c r="AZY96" s="104"/>
      <c r="AZZ96" s="104"/>
      <c r="BAA96" s="104"/>
      <c r="BAB96" s="104"/>
      <c r="BAC96" s="104"/>
      <c r="BAD96" s="104"/>
      <c r="BAE96" s="104"/>
      <c r="BAF96" s="104"/>
      <c r="BAG96" s="104"/>
      <c r="BAH96" s="104"/>
      <c r="BAI96" s="104"/>
      <c r="BAJ96" s="104"/>
      <c r="BAK96" s="104"/>
      <c r="BAL96" s="104"/>
      <c r="BAM96" s="104"/>
      <c r="BAN96" s="104"/>
      <c r="BAO96" s="104"/>
      <c r="BAP96" s="104"/>
      <c r="BAQ96" s="104"/>
      <c r="BAR96" s="104"/>
      <c r="BAS96" s="104"/>
      <c r="BAT96" s="104"/>
      <c r="BAU96" s="104"/>
      <c r="BAV96" s="104"/>
      <c r="BAW96" s="104"/>
      <c r="BAX96" s="104"/>
      <c r="BAY96" s="104"/>
      <c r="BAZ96" s="104"/>
      <c r="BBA96" s="104"/>
      <c r="BBB96" s="104"/>
      <c r="BBC96" s="104"/>
      <c r="BBD96" s="104"/>
      <c r="BBE96" s="104"/>
      <c r="BBF96" s="104"/>
      <c r="BBG96" s="104"/>
      <c r="BBH96" s="104"/>
      <c r="BBI96" s="104"/>
      <c r="BBJ96" s="104"/>
      <c r="BBK96" s="104"/>
      <c r="BBL96" s="104"/>
      <c r="BBM96" s="104"/>
      <c r="BBN96" s="104"/>
      <c r="BBO96" s="104"/>
      <c r="BBP96" s="104"/>
      <c r="BBQ96" s="104"/>
      <c r="BBR96" s="104"/>
      <c r="BBS96" s="104"/>
      <c r="BBT96" s="104"/>
      <c r="BBU96" s="104"/>
      <c r="BBV96" s="104"/>
      <c r="BBW96" s="104"/>
      <c r="BBX96" s="104"/>
      <c r="BBY96" s="104"/>
      <c r="BBZ96" s="104"/>
      <c r="BCA96" s="104"/>
      <c r="BCB96" s="104"/>
      <c r="BCC96" s="104"/>
      <c r="BCD96" s="104"/>
      <c r="BCE96" s="104"/>
      <c r="BCF96" s="104"/>
      <c r="BCG96" s="104"/>
      <c r="BCH96" s="104"/>
      <c r="BCI96" s="104"/>
      <c r="BCJ96" s="104"/>
      <c r="BCK96" s="104"/>
      <c r="BCL96" s="104"/>
      <c r="BCM96" s="104"/>
      <c r="BCN96" s="104"/>
      <c r="BCO96" s="104"/>
      <c r="BCP96" s="104"/>
      <c r="BCQ96" s="104"/>
      <c r="BCR96" s="104"/>
      <c r="BCS96" s="104"/>
      <c r="BCT96" s="104"/>
      <c r="BCU96" s="104"/>
      <c r="BCV96" s="104"/>
      <c r="BCW96" s="104"/>
      <c r="BCX96" s="104"/>
      <c r="BCY96" s="104"/>
      <c r="BCZ96" s="104"/>
      <c r="BDA96" s="104"/>
      <c r="BDB96" s="104"/>
      <c r="BDC96" s="104"/>
      <c r="BDD96" s="104"/>
      <c r="BDE96" s="104"/>
      <c r="BDF96" s="104"/>
      <c r="BDG96" s="104"/>
      <c r="BDH96" s="104"/>
      <c r="BDI96" s="104"/>
      <c r="BDJ96" s="104"/>
      <c r="BDK96" s="104"/>
      <c r="BDL96" s="104"/>
      <c r="BDM96" s="104"/>
      <c r="BDN96" s="104"/>
      <c r="BDO96" s="104"/>
      <c r="BDP96" s="104"/>
      <c r="BDQ96" s="104"/>
      <c r="BDR96" s="104"/>
      <c r="BDS96" s="104"/>
      <c r="BDT96" s="104"/>
      <c r="BDU96" s="104"/>
      <c r="BDV96" s="104"/>
      <c r="BDW96" s="104"/>
      <c r="BDX96" s="104"/>
      <c r="BDY96" s="104"/>
      <c r="BDZ96" s="104"/>
      <c r="BEA96" s="104"/>
      <c r="BEB96" s="104"/>
      <c r="BEC96" s="104"/>
      <c r="BED96" s="104"/>
      <c r="BEE96" s="104"/>
      <c r="BEF96" s="104"/>
      <c r="BEG96" s="104"/>
      <c r="BEH96" s="104"/>
      <c r="BEI96" s="104"/>
      <c r="BEJ96" s="104"/>
      <c r="BEK96" s="104"/>
      <c r="BEL96" s="104"/>
      <c r="BEM96" s="104"/>
      <c r="BEN96" s="104"/>
      <c r="BEO96" s="104"/>
      <c r="BEP96" s="104"/>
      <c r="BEQ96" s="104"/>
      <c r="BER96" s="104"/>
      <c r="BES96" s="104"/>
      <c r="BET96" s="104"/>
      <c r="BEU96" s="104"/>
      <c r="BEV96" s="104"/>
      <c r="BEW96" s="104"/>
      <c r="BEX96" s="104"/>
      <c r="BEY96" s="104"/>
      <c r="BEZ96" s="104"/>
      <c r="BFA96" s="104"/>
      <c r="BFB96" s="104"/>
      <c r="BFC96" s="104"/>
      <c r="BFD96" s="104"/>
      <c r="BFE96" s="104"/>
      <c r="BFF96" s="104"/>
      <c r="BFG96" s="104"/>
      <c r="BFH96" s="104"/>
      <c r="BFI96" s="104"/>
      <c r="BFJ96" s="104"/>
      <c r="BFK96" s="104"/>
      <c r="BFL96" s="104"/>
      <c r="BFM96" s="104"/>
      <c r="BFN96" s="104"/>
      <c r="BFO96" s="104"/>
      <c r="BFP96" s="104"/>
      <c r="BFQ96" s="104"/>
      <c r="BFR96" s="104"/>
      <c r="BFS96" s="104"/>
      <c r="BFT96" s="104"/>
      <c r="BFU96" s="104"/>
      <c r="BFV96" s="104"/>
      <c r="BFW96" s="104"/>
      <c r="BFX96" s="104"/>
      <c r="BFY96" s="104"/>
      <c r="BFZ96" s="104"/>
      <c r="BGA96" s="104"/>
      <c r="BGB96" s="104"/>
      <c r="BGC96" s="104"/>
      <c r="BGD96" s="104"/>
      <c r="BGE96" s="104"/>
      <c r="BGF96" s="104"/>
      <c r="BGG96" s="104"/>
      <c r="BGH96" s="104"/>
      <c r="BGI96" s="104"/>
      <c r="BGJ96" s="104"/>
      <c r="BGK96" s="104"/>
      <c r="BGL96" s="104"/>
      <c r="BGM96" s="104"/>
      <c r="BGN96" s="104"/>
      <c r="BGO96" s="104"/>
      <c r="BGP96" s="104"/>
      <c r="BGQ96" s="104"/>
      <c r="BGR96" s="104"/>
      <c r="BGS96" s="104"/>
      <c r="BGT96" s="104"/>
      <c r="BGU96" s="104"/>
      <c r="BGV96" s="104"/>
      <c r="BGW96" s="104"/>
      <c r="BGX96" s="104"/>
      <c r="BGY96" s="104"/>
      <c r="BGZ96" s="104"/>
      <c r="BHA96" s="104"/>
      <c r="BHB96" s="104"/>
      <c r="BHC96" s="104"/>
      <c r="BHD96" s="104"/>
      <c r="BHE96" s="104"/>
      <c r="BHF96" s="104"/>
      <c r="BHG96" s="104"/>
      <c r="BHH96" s="104"/>
      <c r="BHI96" s="104"/>
      <c r="BHJ96" s="104"/>
      <c r="BHK96" s="104"/>
      <c r="BHL96" s="104"/>
      <c r="BHM96" s="104"/>
      <c r="BHN96" s="104"/>
      <c r="BHO96" s="104"/>
      <c r="BHP96" s="104"/>
      <c r="BHQ96" s="104"/>
      <c r="BHR96" s="104"/>
      <c r="BHS96" s="104"/>
      <c r="BHT96" s="104"/>
      <c r="BHU96" s="104"/>
      <c r="BHV96" s="104"/>
      <c r="BHW96" s="104"/>
      <c r="BHX96" s="104"/>
      <c r="BHY96" s="104"/>
      <c r="BHZ96" s="104"/>
      <c r="BIA96" s="104"/>
      <c r="BIB96" s="104"/>
      <c r="BIC96" s="104"/>
      <c r="BID96" s="104"/>
      <c r="BIE96" s="104"/>
      <c r="BIF96" s="104"/>
      <c r="BIG96" s="104"/>
      <c r="BIH96" s="104"/>
      <c r="BII96" s="104"/>
      <c r="BIJ96" s="104"/>
      <c r="BIK96" s="104"/>
      <c r="BIL96" s="104"/>
      <c r="BIM96" s="104"/>
      <c r="BIN96" s="104"/>
      <c r="BIO96" s="104"/>
      <c r="BIP96" s="104"/>
      <c r="BIQ96" s="104"/>
      <c r="BIR96" s="104"/>
      <c r="BIS96" s="104"/>
      <c r="BIT96" s="104"/>
      <c r="BIU96" s="104"/>
      <c r="BIV96" s="104"/>
      <c r="BIW96" s="104"/>
      <c r="BIX96" s="104"/>
      <c r="BIY96" s="104"/>
      <c r="BIZ96" s="104"/>
      <c r="BJA96" s="104"/>
      <c r="BJB96" s="104"/>
      <c r="BJC96" s="104"/>
      <c r="BJD96" s="104"/>
      <c r="BJE96" s="104"/>
      <c r="BJF96" s="104"/>
      <c r="BJG96" s="104"/>
      <c r="BJH96" s="104"/>
      <c r="BJI96" s="104"/>
      <c r="BJJ96" s="104"/>
      <c r="BJK96" s="104"/>
      <c r="BJL96" s="104"/>
      <c r="BJM96" s="104"/>
      <c r="BJN96" s="104"/>
      <c r="BJO96" s="104"/>
      <c r="BJP96" s="104"/>
      <c r="BJQ96" s="104"/>
      <c r="BJR96" s="104"/>
      <c r="BJS96" s="104"/>
      <c r="BJT96" s="104"/>
      <c r="BJU96" s="104"/>
      <c r="BJV96" s="104"/>
      <c r="BJW96" s="104"/>
      <c r="BJX96" s="104"/>
      <c r="BJY96" s="104"/>
      <c r="BJZ96" s="104"/>
      <c r="BKA96" s="104"/>
      <c r="BKB96" s="104"/>
      <c r="BKC96" s="104"/>
      <c r="BKD96" s="104"/>
      <c r="BKE96" s="104"/>
      <c r="BKF96" s="104"/>
      <c r="BKG96" s="104"/>
      <c r="BKH96" s="104"/>
      <c r="BKI96" s="104"/>
      <c r="BKJ96" s="104"/>
      <c r="BKK96" s="104"/>
      <c r="BKL96" s="104"/>
      <c r="BKM96" s="104"/>
      <c r="BKN96" s="104"/>
      <c r="BKO96" s="104"/>
      <c r="BKP96" s="104"/>
      <c r="BKQ96" s="104"/>
      <c r="BKR96" s="104"/>
      <c r="BKS96" s="104"/>
      <c r="BKT96" s="104"/>
      <c r="BKU96" s="104"/>
      <c r="BKV96" s="104"/>
      <c r="BKW96" s="104"/>
      <c r="BKX96" s="104"/>
      <c r="BKY96" s="104"/>
      <c r="BKZ96" s="104"/>
      <c r="BLA96" s="104"/>
      <c r="BLB96" s="104"/>
      <c r="BLC96" s="104"/>
      <c r="BLD96" s="104"/>
      <c r="BLE96" s="104"/>
      <c r="BLF96" s="104"/>
      <c r="BLG96" s="104"/>
      <c r="BLH96" s="104"/>
      <c r="BLI96" s="104"/>
      <c r="BLJ96" s="104"/>
      <c r="BLK96" s="104"/>
      <c r="BLL96" s="104"/>
      <c r="BLM96" s="104"/>
      <c r="BLN96" s="104"/>
      <c r="BLO96" s="104"/>
      <c r="BLP96" s="104"/>
      <c r="BLQ96" s="104"/>
      <c r="BLR96" s="104"/>
      <c r="BLS96" s="104"/>
      <c r="BLT96" s="104"/>
      <c r="BLU96" s="104"/>
      <c r="BLV96" s="104"/>
      <c r="BLW96" s="104"/>
      <c r="BLX96" s="104"/>
      <c r="BLY96" s="104"/>
      <c r="BLZ96" s="104"/>
      <c r="BMA96" s="104"/>
      <c r="BMB96" s="104"/>
      <c r="BMC96" s="104"/>
      <c r="BMD96" s="104"/>
      <c r="BME96" s="104"/>
      <c r="BMF96" s="104"/>
      <c r="BMG96" s="104"/>
      <c r="BMH96" s="104"/>
      <c r="BMI96" s="104"/>
      <c r="BMJ96" s="104"/>
      <c r="BMK96" s="104"/>
      <c r="BML96" s="104"/>
      <c r="BMM96" s="104"/>
      <c r="BMN96" s="104"/>
      <c r="BMO96" s="104"/>
      <c r="BMP96" s="104"/>
      <c r="BMQ96" s="104"/>
      <c r="BMR96" s="104"/>
      <c r="BMS96" s="104"/>
      <c r="BMT96" s="104"/>
      <c r="BMU96" s="104"/>
      <c r="BMV96" s="104"/>
      <c r="BMW96" s="104"/>
      <c r="BMX96" s="104"/>
      <c r="BMY96" s="104"/>
      <c r="BMZ96" s="104"/>
      <c r="BNA96" s="104"/>
      <c r="BNB96" s="104"/>
      <c r="BNC96" s="104"/>
      <c r="BND96" s="104"/>
      <c r="BNE96" s="104"/>
      <c r="BNF96" s="104"/>
      <c r="BNG96" s="104"/>
      <c r="BNH96" s="104"/>
      <c r="BNI96" s="104"/>
      <c r="BNJ96" s="104"/>
      <c r="BNK96" s="104"/>
      <c r="BNL96" s="104"/>
      <c r="BNM96" s="104"/>
      <c r="BNN96" s="104"/>
      <c r="BNO96" s="104"/>
      <c r="BNP96" s="104"/>
      <c r="BNQ96" s="104"/>
      <c r="BNR96" s="104"/>
      <c r="BNS96" s="104"/>
      <c r="BNT96" s="104"/>
      <c r="BNU96" s="104"/>
      <c r="BNV96" s="104"/>
      <c r="BNW96" s="104"/>
      <c r="BNX96" s="104"/>
      <c r="BNY96" s="104"/>
      <c r="BNZ96" s="104"/>
      <c r="BOA96" s="104"/>
      <c r="BOB96" s="104"/>
      <c r="BOC96" s="104"/>
      <c r="BOD96" s="104"/>
      <c r="BOE96" s="104"/>
      <c r="BOF96" s="104"/>
      <c r="BOG96" s="104"/>
      <c r="BOH96" s="104"/>
      <c r="BOI96" s="104"/>
      <c r="BOJ96" s="104"/>
      <c r="BOK96" s="104"/>
      <c r="BOL96" s="104"/>
      <c r="BOM96" s="104"/>
      <c r="BON96" s="104"/>
      <c r="BOO96" s="104"/>
      <c r="BOP96" s="104"/>
      <c r="BOQ96" s="104"/>
      <c r="BOR96" s="104"/>
      <c r="BOS96" s="104"/>
      <c r="BOT96" s="104"/>
      <c r="BOU96" s="104"/>
      <c r="BOV96" s="104"/>
      <c r="BOW96" s="104"/>
      <c r="BOX96" s="104"/>
      <c r="BOY96" s="104"/>
      <c r="BOZ96" s="104"/>
      <c r="BPA96" s="104"/>
      <c r="BPB96" s="104"/>
      <c r="BPC96" s="104"/>
      <c r="BPD96" s="104"/>
      <c r="BPE96" s="104"/>
      <c r="BPF96" s="104"/>
      <c r="BPG96" s="104"/>
      <c r="BPH96" s="104"/>
      <c r="BPI96" s="104"/>
      <c r="BPJ96" s="104"/>
      <c r="BPK96" s="104"/>
      <c r="BPL96" s="104"/>
      <c r="BPM96" s="104"/>
      <c r="BPN96" s="104"/>
      <c r="BPO96" s="104"/>
      <c r="BPP96" s="104"/>
      <c r="BPQ96" s="104"/>
      <c r="BPR96" s="104"/>
      <c r="BPS96" s="104"/>
      <c r="BPT96" s="104"/>
      <c r="BPU96" s="104"/>
      <c r="BPV96" s="104"/>
      <c r="BPW96" s="104"/>
      <c r="BPX96" s="104"/>
      <c r="BPY96" s="104"/>
      <c r="BPZ96" s="104"/>
      <c r="BQA96" s="104"/>
      <c r="BQB96" s="104"/>
      <c r="BQC96" s="104"/>
      <c r="BQD96" s="104"/>
      <c r="BQE96" s="104"/>
      <c r="BQF96" s="104"/>
      <c r="BQG96" s="104"/>
      <c r="BQH96" s="104"/>
      <c r="BQI96" s="104"/>
      <c r="BQJ96" s="104"/>
      <c r="BQK96" s="104"/>
      <c r="BQL96" s="104"/>
      <c r="BQM96" s="104"/>
      <c r="BQN96" s="104"/>
      <c r="BQO96" s="104"/>
      <c r="BQP96" s="104"/>
      <c r="BQQ96" s="104"/>
      <c r="BQR96" s="104"/>
      <c r="BQS96" s="104"/>
      <c r="BQT96" s="104"/>
      <c r="BQU96" s="104"/>
      <c r="BQV96" s="104"/>
      <c r="BQW96" s="104"/>
      <c r="BQX96" s="104"/>
      <c r="BQY96" s="104"/>
      <c r="BQZ96" s="104"/>
      <c r="BRA96" s="104"/>
      <c r="BRB96" s="104"/>
      <c r="BRC96" s="104"/>
      <c r="BRD96" s="104"/>
      <c r="BRE96" s="104"/>
      <c r="BRF96" s="104"/>
      <c r="BRG96" s="104"/>
      <c r="BRH96" s="104"/>
      <c r="BRI96" s="104"/>
      <c r="BRJ96" s="104"/>
      <c r="BRK96" s="104"/>
      <c r="BRL96" s="104"/>
      <c r="BRM96" s="104"/>
      <c r="BRN96" s="104"/>
      <c r="BRO96" s="104"/>
      <c r="BRP96" s="104"/>
      <c r="BRQ96" s="104"/>
      <c r="BRR96" s="104"/>
      <c r="BRS96" s="104"/>
      <c r="BRT96" s="104"/>
      <c r="BRU96" s="104"/>
      <c r="BRV96" s="104"/>
      <c r="BRW96" s="104"/>
      <c r="BRX96" s="104"/>
      <c r="BRY96" s="104"/>
      <c r="BRZ96" s="104"/>
      <c r="BSA96" s="104"/>
      <c r="BSB96" s="104"/>
      <c r="BSC96" s="104"/>
      <c r="BSD96" s="104"/>
      <c r="BSE96" s="104"/>
      <c r="BSF96" s="104"/>
      <c r="BSG96" s="104"/>
      <c r="BSH96" s="104"/>
      <c r="BSI96" s="104"/>
      <c r="BSJ96" s="104"/>
      <c r="BSK96" s="104"/>
      <c r="BSL96" s="104"/>
      <c r="BSM96" s="104"/>
      <c r="BSN96" s="104"/>
      <c r="BSO96" s="104"/>
      <c r="BSP96" s="104"/>
      <c r="BSQ96" s="104"/>
      <c r="BSR96" s="104"/>
      <c r="BSS96" s="104"/>
      <c r="BST96" s="104"/>
      <c r="BSU96" s="104"/>
      <c r="BSV96" s="104"/>
      <c r="BSW96" s="104"/>
      <c r="BSX96" s="104"/>
      <c r="BSY96" s="104"/>
      <c r="BSZ96" s="104"/>
      <c r="BTA96" s="104"/>
      <c r="BTB96" s="104"/>
      <c r="BTC96" s="104"/>
      <c r="BTD96" s="104"/>
      <c r="BTE96" s="104"/>
      <c r="BTF96" s="104"/>
      <c r="BTG96" s="104"/>
      <c r="BTH96" s="104"/>
      <c r="BTI96" s="104"/>
      <c r="BTJ96" s="104"/>
      <c r="BTK96" s="104"/>
      <c r="BTL96" s="104"/>
      <c r="BTM96" s="104"/>
      <c r="BTN96" s="104"/>
      <c r="BTO96" s="104"/>
      <c r="BTP96" s="104"/>
      <c r="BTQ96" s="104"/>
      <c r="BTR96" s="104"/>
      <c r="BTS96" s="104"/>
      <c r="BTT96" s="104"/>
      <c r="BTU96" s="104"/>
      <c r="BTV96" s="104"/>
      <c r="BTW96" s="104"/>
      <c r="BTX96" s="104"/>
      <c r="BTY96" s="104"/>
      <c r="BTZ96" s="104"/>
      <c r="BUA96" s="104"/>
      <c r="BUB96" s="104"/>
      <c r="BUC96" s="104"/>
      <c r="BUD96" s="104"/>
      <c r="BUE96" s="104"/>
      <c r="BUF96" s="104"/>
      <c r="BUG96" s="104"/>
      <c r="BUH96" s="104"/>
      <c r="BUI96" s="104"/>
      <c r="BUJ96" s="104"/>
      <c r="BUK96" s="104"/>
      <c r="BUL96" s="104"/>
      <c r="BUM96" s="104"/>
      <c r="BUN96" s="104"/>
      <c r="BUO96" s="104"/>
      <c r="BUP96" s="104"/>
      <c r="BUQ96" s="104"/>
      <c r="BUR96" s="104"/>
      <c r="BUS96" s="104"/>
      <c r="BUT96" s="104"/>
      <c r="BUU96" s="104"/>
      <c r="BUV96" s="104"/>
      <c r="BUW96" s="104"/>
      <c r="BUX96" s="104"/>
      <c r="BUY96" s="104"/>
      <c r="BUZ96" s="104"/>
      <c r="BVA96" s="104"/>
      <c r="BVB96" s="104"/>
      <c r="BVC96" s="104"/>
      <c r="BVD96" s="104"/>
      <c r="BVE96" s="104"/>
      <c r="BVF96" s="104"/>
      <c r="BVG96" s="104"/>
      <c r="BVH96" s="104"/>
      <c r="BVI96" s="104"/>
      <c r="BVJ96" s="104"/>
      <c r="BVK96" s="104"/>
      <c r="BVL96" s="104"/>
      <c r="BVM96" s="104"/>
      <c r="BVN96" s="104"/>
      <c r="BVO96" s="104"/>
      <c r="BVP96" s="104"/>
      <c r="BVQ96" s="104"/>
      <c r="BVR96" s="104"/>
      <c r="BVS96" s="104"/>
      <c r="BVT96" s="104"/>
      <c r="BVU96" s="104"/>
      <c r="BVV96" s="104"/>
      <c r="BVW96" s="104"/>
      <c r="BVX96" s="104"/>
      <c r="BVY96" s="104"/>
      <c r="BVZ96" s="104"/>
      <c r="BWA96" s="104"/>
      <c r="BWB96" s="104"/>
      <c r="BWC96" s="104"/>
      <c r="BWD96" s="104"/>
      <c r="BWE96" s="104"/>
      <c r="BWF96" s="104"/>
      <c r="BWG96" s="104"/>
      <c r="BWH96" s="104"/>
      <c r="BWI96" s="104"/>
      <c r="BWJ96" s="104"/>
      <c r="BWK96" s="104"/>
      <c r="BWL96" s="104"/>
      <c r="BWM96" s="104"/>
      <c r="BWN96" s="104"/>
      <c r="BWO96" s="104"/>
      <c r="BWP96" s="104"/>
      <c r="BWQ96" s="104"/>
      <c r="BWR96" s="104"/>
      <c r="BWS96" s="104"/>
      <c r="BWT96" s="104"/>
      <c r="BWU96" s="104"/>
      <c r="BWV96" s="104"/>
      <c r="BWW96" s="104"/>
      <c r="BWX96" s="104"/>
      <c r="BWY96" s="104"/>
      <c r="BWZ96" s="104"/>
      <c r="BXA96" s="104"/>
      <c r="BXB96" s="104"/>
      <c r="BXC96" s="104"/>
      <c r="BXD96" s="104"/>
      <c r="BXE96" s="104"/>
      <c r="BXF96" s="104"/>
      <c r="BXG96" s="104"/>
      <c r="BXH96" s="104"/>
      <c r="BXI96" s="104"/>
      <c r="BXJ96" s="104"/>
      <c r="BXK96" s="104"/>
      <c r="BXL96" s="104"/>
      <c r="BXM96" s="104"/>
      <c r="BXN96" s="104"/>
      <c r="BXO96" s="104"/>
      <c r="BXP96" s="104"/>
      <c r="BXQ96" s="104"/>
      <c r="BXR96" s="104"/>
      <c r="BXS96" s="104"/>
      <c r="BXT96" s="104"/>
      <c r="BXU96" s="104"/>
      <c r="BXV96" s="104"/>
      <c r="BXW96" s="104"/>
      <c r="BXX96" s="104"/>
      <c r="BXY96" s="104"/>
      <c r="BXZ96" s="104"/>
      <c r="BYA96" s="104"/>
      <c r="BYB96" s="104"/>
      <c r="BYC96" s="104"/>
      <c r="BYD96" s="104"/>
      <c r="BYE96" s="104"/>
      <c r="BYF96" s="104"/>
      <c r="BYG96" s="104"/>
      <c r="BYH96" s="104"/>
      <c r="BYI96" s="104"/>
      <c r="BYJ96" s="104"/>
      <c r="BYK96" s="104"/>
      <c r="BYL96" s="104"/>
      <c r="BYM96" s="104"/>
      <c r="BYN96" s="104"/>
      <c r="BYO96" s="104"/>
      <c r="BYP96" s="104"/>
      <c r="BYQ96" s="104"/>
      <c r="BYR96" s="104"/>
      <c r="BYS96" s="104"/>
      <c r="BYT96" s="104"/>
      <c r="BYU96" s="104"/>
      <c r="BYV96" s="104"/>
      <c r="BYW96" s="104"/>
      <c r="BYX96" s="104"/>
      <c r="BYY96" s="104"/>
      <c r="BYZ96" s="104"/>
      <c r="BZA96" s="104"/>
      <c r="BZB96" s="104"/>
      <c r="BZC96" s="104"/>
      <c r="BZD96" s="104"/>
      <c r="BZE96" s="104"/>
      <c r="BZF96" s="104"/>
      <c r="BZG96" s="104"/>
      <c r="BZH96" s="104"/>
      <c r="BZI96" s="104"/>
      <c r="BZJ96" s="104"/>
      <c r="BZK96" s="104"/>
      <c r="BZL96" s="104"/>
      <c r="BZM96" s="104"/>
      <c r="BZN96" s="104"/>
      <c r="BZO96" s="104"/>
      <c r="BZP96" s="104"/>
      <c r="BZQ96" s="104"/>
      <c r="BZR96" s="104"/>
      <c r="BZS96" s="104"/>
      <c r="BZT96" s="104"/>
      <c r="BZU96" s="104"/>
      <c r="BZV96" s="104"/>
      <c r="BZW96" s="104"/>
      <c r="BZX96" s="104"/>
      <c r="BZY96" s="104"/>
      <c r="BZZ96" s="104"/>
      <c r="CAA96" s="104"/>
      <c r="CAB96" s="104"/>
      <c r="CAC96" s="104"/>
      <c r="CAD96" s="104"/>
      <c r="CAE96" s="104"/>
      <c r="CAF96" s="104"/>
      <c r="CAG96" s="104"/>
      <c r="CAH96" s="104"/>
      <c r="CAI96" s="104"/>
      <c r="CAJ96" s="104"/>
      <c r="CAK96" s="104"/>
      <c r="CAL96" s="104"/>
      <c r="CAM96" s="104"/>
      <c r="CAN96" s="104"/>
      <c r="CAO96" s="104"/>
      <c r="CAP96" s="104"/>
      <c r="CAQ96" s="104"/>
      <c r="CAR96" s="104"/>
      <c r="CAS96" s="104"/>
      <c r="CAT96" s="104"/>
      <c r="CAU96" s="104"/>
      <c r="CAV96" s="104"/>
      <c r="CAW96" s="104"/>
      <c r="CAX96" s="104"/>
      <c r="CAY96" s="104"/>
      <c r="CAZ96" s="104"/>
      <c r="CBA96" s="104"/>
      <c r="CBB96" s="104"/>
      <c r="CBC96" s="104"/>
      <c r="CBD96" s="104"/>
      <c r="CBE96" s="104"/>
      <c r="CBF96" s="104"/>
      <c r="CBG96" s="104"/>
      <c r="CBH96" s="104"/>
      <c r="CBI96" s="104"/>
      <c r="CBJ96" s="104"/>
      <c r="CBK96" s="104"/>
      <c r="CBL96" s="104"/>
      <c r="CBM96" s="104"/>
      <c r="CBN96" s="104"/>
      <c r="CBO96" s="104"/>
      <c r="CBP96" s="104"/>
      <c r="CBQ96" s="104"/>
      <c r="CBR96" s="104"/>
      <c r="CBS96" s="104"/>
      <c r="CBT96" s="104"/>
      <c r="CBU96" s="104"/>
      <c r="CBV96" s="104"/>
      <c r="CBW96" s="104"/>
      <c r="CBX96" s="104"/>
      <c r="CBY96" s="104"/>
      <c r="CBZ96" s="104"/>
      <c r="CCA96" s="104"/>
      <c r="CCB96" s="104"/>
      <c r="CCC96" s="104"/>
      <c r="CCD96" s="104"/>
      <c r="CCE96" s="104"/>
      <c r="CCF96" s="104"/>
      <c r="CCG96" s="104"/>
      <c r="CCH96" s="104"/>
      <c r="CCI96" s="104"/>
      <c r="CCJ96" s="104"/>
      <c r="CCK96" s="104"/>
      <c r="CCL96" s="104"/>
      <c r="CCM96" s="104"/>
      <c r="CCN96" s="104"/>
      <c r="CCO96" s="104"/>
      <c r="CCP96" s="104"/>
      <c r="CCQ96" s="104"/>
      <c r="CCR96" s="104"/>
      <c r="CCS96" s="104"/>
      <c r="CCT96" s="104"/>
      <c r="CCU96" s="104"/>
      <c r="CCV96" s="104"/>
      <c r="CCW96" s="104"/>
      <c r="CCX96" s="104"/>
      <c r="CCY96" s="104"/>
      <c r="CCZ96" s="104"/>
      <c r="CDA96" s="104"/>
      <c r="CDB96" s="104"/>
      <c r="CDC96" s="104"/>
      <c r="CDD96" s="104"/>
      <c r="CDE96" s="104"/>
      <c r="CDF96" s="104"/>
      <c r="CDG96" s="104"/>
      <c r="CDH96" s="104"/>
      <c r="CDI96" s="104"/>
      <c r="CDJ96" s="104"/>
      <c r="CDK96" s="104"/>
      <c r="CDL96" s="104"/>
      <c r="CDM96" s="104"/>
      <c r="CDN96" s="104"/>
      <c r="CDO96" s="104"/>
      <c r="CDP96" s="104"/>
      <c r="CDQ96" s="104"/>
      <c r="CDR96" s="104"/>
      <c r="CDS96" s="104"/>
      <c r="CDT96" s="104"/>
      <c r="CDU96" s="104"/>
      <c r="CDV96" s="104"/>
      <c r="CDW96" s="104"/>
      <c r="CDX96" s="104"/>
      <c r="CDY96" s="104"/>
      <c r="CDZ96" s="104"/>
      <c r="CEA96" s="104"/>
      <c r="CEB96" s="104"/>
      <c r="CEC96" s="104"/>
      <c r="CED96" s="104"/>
      <c r="CEE96" s="104"/>
      <c r="CEF96" s="104"/>
      <c r="CEG96" s="104"/>
      <c r="CEH96" s="104"/>
      <c r="CEI96" s="104"/>
      <c r="CEJ96" s="104"/>
      <c r="CEK96" s="104"/>
      <c r="CEL96" s="104"/>
      <c r="CEM96" s="104"/>
      <c r="CEN96" s="104"/>
      <c r="CEO96" s="104"/>
      <c r="CEP96" s="104"/>
      <c r="CEQ96" s="104"/>
      <c r="CER96" s="104"/>
      <c r="CES96" s="104"/>
      <c r="CET96" s="104"/>
      <c r="CEU96" s="104"/>
      <c r="CEV96" s="104"/>
      <c r="CEW96" s="104"/>
      <c r="CEX96" s="104"/>
      <c r="CEY96" s="104"/>
      <c r="CEZ96" s="104"/>
      <c r="CFA96" s="104"/>
      <c r="CFB96" s="104"/>
      <c r="CFC96" s="104"/>
      <c r="CFD96" s="104"/>
      <c r="CFE96" s="104"/>
      <c r="CFF96" s="104"/>
      <c r="CFG96" s="104"/>
      <c r="CFH96" s="104"/>
      <c r="CFI96" s="104"/>
      <c r="CFJ96" s="104"/>
      <c r="CFK96" s="104"/>
      <c r="CFL96" s="104"/>
      <c r="CFM96" s="104"/>
      <c r="CFN96" s="104"/>
      <c r="CFO96" s="104"/>
      <c r="CFP96" s="104"/>
      <c r="CFQ96" s="104"/>
      <c r="CFR96" s="104"/>
      <c r="CFS96" s="104"/>
      <c r="CFT96" s="104"/>
      <c r="CFU96" s="104"/>
      <c r="CFV96" s="104"/>
      <c r="CFW96" s="104"/>
      <c r="CFX96" s="104"/>
      <c r="CFY96" s="104"/>
      <c r="CFZ96" s="104"/>
      <c r="CGA96" s="104"/>
      <c r="CGB96" s="104"/>
      <c r="CGC96" s="104"/>
      <c r="CGD96" s="104"/>
      <c r="CGE96" s="104"/>
      <c r="CGF96" s="104"/>
      <c r="CGG96" s="104"/>
      <c r="CGH96" s="104"/>
      <c r="CGI96" s="104"/>
      <c r="CGJ96" s="104"/>
      <c r="CGK96" s="104"/>
      <c r="CGL96" s="104"/>
      <c r="CGM96" s="104"/>
      <c r="CGN96" s="104"/>
      <c r="CGO96" s="104"/>
      <c r="CGP96" s="104"/>
      <c r="CGQ96" s="104"/>
      <c r="CGR96" s="104"/>
      <c r="CGS96" s="104"/>
      <c r="CGT96" s="104"/>
      <c r="CGU96" s="104"/>
      <c r="CGV96" s="104"/>
      <c r="CGW96" s="104"/>
      <c r="CGX96" s="104"/>
      <c r="CGY96" s="104"/>
      <c r="CGZ96" s="104"/>
      <c r="CHA96" s="104"/>
      <c r="CHB96" s="104"/>
      <c r="CHC96" s="104"/>
      <c r="CHD96" s="104"/>
      <c r="CHE96" s="104"/>
      <c r="CHF96" s="104"/>
      <c r="CHG96" s="104"/>
      <c r="CHH96" s="104"/>
      <c r="CHI96" s="104"/>
      <c r="CHJ96" s="104"/>
      <c r="CHK96" s="104"/>
      <c r="CHL96" s="104"/>
      <c r="CHM96" s="104"/>
      <c r="CHN96" s="104"/>
      <c r="CHO96" s="104"/>
      <c r="CHP96" s="104"/>
      <c r="CHQ96" s="104"/>
      <c r="CHR96" s="104"/>
      <c r="CHS96" s="104"/>
      <c r="CHT96" s="104"/>
      <c r="CHU96" s="104"/>
      <c r="CHV96" s="104"/>
      <c r="CHW96" s="104"/>
      <c r="CHX96" s="104"/>
      <c r="CHY96" s="104"/>
      <c r="CHZ96" s="104"/>
      <c r="CIA96" s="104"/>
      <c r="CIB96" s="104"/>
      <c r="CIC96" s="104"/>
      <c r="CID96" s="104"/>
      <c r="CIE96" s="104"/>
      <c r="CIF96" s="104"/>
      <c r="CIG96" s="104"/>
      <c r="CIH96" s="104"/>
      <c r="CII96" s="104"/>
      <c r="CIJ96" s="104"/>
      <c r="CIK96" s="104"/>
      <c r="CIL96" s="104"/>
      <c r="CIM96" s="104"/>
      <c r="CIN96" s="104"/>
      <c r="CIO96" s="104"/>
      <c r="CIP96" s="104"/>
      <c r="CIQ96" s="104"/>
      <c r="CIR96" s="104"/>
      <c r="CIS96" s="104"/>
      <c r="CIT96" s="104"/>
      <c r="CIU96" s="104"/>
      <c r="CIV96" s="104"/>
      <c r="CIW96" s="104"/>
      <c r="CIX96" s="104"/>
      <c r="CIY96" s="104"/>
      <c r="CIZ96" s="104"/>
      <c r="CJA96" s="104"/>
      <c r="CJB96" s="104"/>
      <c r="CJC96" s="104"/>
      <c r="CJD96" s="104"/>
      <c r="CJE96" s="104"/>
      <c r="CJF96" s="104"/>
      <c r="CJG96" s="104"/>
      <c r="CJH96" s="104"/>
      <c r="CJI96" s="104"/>
      <c r="CJJ96" s="104"/>
      <c r="CJK96" s="104"/>
      <c r="CJL96" s="104"/>
      <c r="CJM96" s="104"/>
      <c r="CJN96" s="104"/>
      <c r="CJO96" s="104"/>
      <c r="CJP96" s="104"/>
      <c r="CJQ96" s="104"/>
      <c r="CJR96" s="104"/>
      <c r="CJS96" s="104"/>
      <c r="CJT96" s="104"/>
      <c r="CJU96" s="104"/>
      <c r="CJV96" s="104"/>
      <c r="CJW96" s="104"/>
      <c r="CJX96" s="104"/>
      <c r="CJY96" s="104"/>
      <c r="CJZ96" s="104"/>
      <c r="CKA96" s="104"/>
      <c r="CKB96" s="104"/>
      <c r="CKC96" s="104"/>
      <c r="CKD96" s="104"/>
      <c r="CKE96" s="104"/>
      <c r="CKF96" s="104"/>
      <c r="CKG96" s="104"/>
      <c r="CKH96" s="104"/>
      <c r="CKI96" s="104"/>
      <c r="CKJ96" s="104"/>
      <c r="CKK96" s="104"/>
      <c r="CKL96" s="104"/>
      <c r="CKM96" s="104"/>
      <c r="CKN96" s="104"/>
      <c r="CKO96" s="104"/>
      <c r="CKP96" s="104"/>
      <c r="CKQ96" s="104"/>
      <c r="CKR96" s="104"/>
      <c r="CKS96" s="104"/>
      <c r="CKT96" s="104"/>
      <c r="CKU96" s="104"/>
      <c r="CKV96" s="104"/>
      <c r="CKW96" s="104"/>
      <c r="CKX96" s="104"/>
      <c r="CKY96" s="104"/>
      <c r="CKZ96" s="104"/>
      <c r="CLA96" s="104"/>
      <c r="CLB96" s="104"/>
      <c r="CLC96" s="104"/>
      <c r="CLD96" s="104"/>
      <c r="CLE96" s="104"/>
      <c r="CLF96" s="104"/>
      <c r="CLG96" s="104"/>
      <c r="CLH96" s="104"/>
      <c r="CLI96" s="104"/>
      <c r="CLJ96" s="104"/>
      <c r="CLK96" s="104"/>
      <c r="CLL96" s="104"/>
      <c r="CLM96" s="104"/>
      <c r="CLN96" s="104"/>
      <c r="CLO96" s="104"/>
      <c r="CLP96" s="104"/>
      <c r="CLQ96" s="104"/>
      <c r="CLR96" s="104"/>
      <c r="CLS96" s="104"/>
      <c r="CLT96" s="104"/>
      <c r="CLU96" s="104"/>
      <c r="CLV96" s="104"/>
      <c r="CLW96" s="104"/>
      <c r="CLX96" s="104"/>
      <c r="CLY96" s="104"/>
      <c r="CLZ96" s="104"/>
      <c r="CMA96" s="104"/>
      <c r="CMB96" s="104"/>
      <c r="CMC96" s="104"/>
      <c r="CMD96" s="104"/>
      <c r="CME96" s="104"/>
      <c r="CMF96" s="104"/>
      <c r="CMG96" s="104"/>
      <c r="CMH96" s="104"/>
      <c r="CMI96" s="104"/>
      <c r="CMJ96" s="104"/>
      <c r="CMK96" s="104"/>
      <c r="CML96" s="104"/>
      <c r="CMM96" s="104"/>
      <c r="CMN96" s="104"/>
      <c r="CMO96" s="104"/>
      <c r="CMP96" s="104"/>
      <c r="CMQ96" s="104"/>
      <c r="CMR96" s="104"/>
      <c r="CMS96" s="104"/>
      <c r="CMT96" s="104"/>
      <c r="CMU96" s="104"/>
      <c r="CMV96" s="104"/>
      <c r="CMW96" s="104"/>
      <c r="CMX96" s="104"/>
      <c r="CMY96" s="104"/>
      <c r="CMZ96" s="104"/>
      <c r="CNA96" s="104"/>
      <c r="CNB96" s="104"/>
      <c r="CNC96" s="104"/>
      <c r="CND96" s="104"/>
      <c r="CNE96" s="104"/>
      <c r="CNF96" s="104"/>
      <c r="CNG96" s="104"/>
      <c r="CNH96" s="104"/>
      <c r="CNI96" s="104"/>
      <c r="CNJ96" s="104"/>
      <c r="CNK96" s="104"/>
      <c r="CNL96" s="104"/>
      <c r="CNM96" s="104"/>
      <c r="CNN96" s="104"/>
      <c r="CNO96" s="104"/>
      <c r="CNP96" s="104"/>
      <c r="CNQ96" s="104"/>
      <c r="CNR96" s="104"/>
      <c r="CNS96" s="104"/>
      <c r="CNT96" s="104"/>
      <c r="CNU96" s="104"/>
      <c r="CNV96" s="104"/>
      <c r="CNW96" s="104"/>
      <c r="CNX96" s="104"/>
      <c r="CNY96" s="104"/>
      <c r="CNZ96" s="104"/>
      <c r="COA96" s="104"/>
      <c r="COB96" s="104"/>
      <c r="COC96" s="104"/>
      <c r="COD96" s="104"/>
      <c r="COE96" s="104"/>
      <c r="COF96" s="104"/>
      <c r="COG96" s="104"/>
      <c r="COH96" s="104"/>
      <c r="COI96" s="104"/>
      <c r="COJ96" s="104"/>
      <c r="COK96" s="104"/>
      <c r="COL96" s="104"/>
      <c r="COM96" s="104"/>
      <c r="CON96" s="104"/>
      <c r="COO96" s="104"/>
      <c r="COP96" s="104"/>
      <c r="COQ96" s="104"/>
      <c r="COR96" s="104"/>
      <c r="COS96" s="104"/>
      <c r="COT96" s="104"/>
      <c r="COU96" s="104"/>
      <c r="COV96" s="104"/>
      <c r="COW96" s="104"/>
      <c r="COX96" s="104"/>
      <c r="COY96" s="104"/>
      <c r="COZ96" s="104"/>
      <c r="CPA96" s="104"/>
      <c r="CPB96" s="104"/>
      <c r="CPC96" s="104"/>
      <c r="CPD96" s="104"/>
      <c r="CPE96" s="104"/>
      <c r="CPF96" s="104"/>
      <c r="CPG96" s="104"/>
      <c r="CPH96" s="104"/>
      <c r="CPI96" s="104"/>
      <c r="CPJ96" s="104"/>
      <c r="CPK96" s="104"/>
      <c r="CPL96" s="104"/>
      <c r="CPM96" s="104"/>
      <c r="CPN96" s="104"/>
      <c r="CPO96" s="104"/>
      <c r="CPP96" s="104"/>
      <c r="CPQ96" s="104"/>
      <c r="CPR96" s="104"/>
      <c r="CPS96" s="104"/>
      <c r="CPT96" s="104"/>
      <c r="CPU96" s="104"/>
      <c r="CPV96" s="104"/>
      <c r="CPW96" s="104"/>
      <c r="CPX96" s="104"/>
      <c r="CPY96" s="104"/>
      <c r="CPZ96" s="104"/>
      <c r="CQA96" s="104"/>
      <c r="CQB96" s="104"/>
      <c r="CQC96" s="104"/>
      <c r="CQD96" s="104"/>
      <c r="CQE96" s="104"/>
      <c r="CQF96" s="104"/>
      <c r="CQG96" s="104"/>
      <c r="CQH96" s="104"/>
      <c r="CQI96" s="104"/>
      <c r="CQJ96" s="104"/>
      <c r="CQK96" s="104"/>
      <c r="CQL96" s="104"/>
      <c r="CQM96" s="104"/>
      <c r="CQN96" s="104"/>
      <c r="CQO96" s="104"/>
      <c r="CQP96" s="104"/>
      <c r="CQQ96" s="104"/>
      <c r="CQR96" s="104"/>
      <c r="CQS96" s="104"/>
      <c r="CQT96" s="104"/>
      <c r="CQU96" s="104"/>
      <c r="CQV96" s="104"/>
      <c r="CQW96" s="104"/>
      <c r="CQX96" s="104"/>
      <c r="CQY96" s="104"/>
      <c r="CQZ96" s="104"/>
      <c r="CRA96" s="104"/>
      <c r="CRB96" s="104"/>
      <c r="CRC96" s="104"/>
      <c r="CRD96" s="104"/>
      <c r="CRE96" s="104"/>
      <c r="CRF96" s="104"/>
      <c r="CRG96" s="104"/>
      <c r="CRH96" s="104"/>
      <c r="CRI96" s="104"/>
      <c r="CRJ96" s="104"/>
      <c r="CRK96" s="104"/>
      <c r="CRL96" s="104"/>
      <c r="CRM96" s="104"/>
      <c r="CRN96" s="104"/>
      <c r="CRO96" s="104"/>
      <c r="CRP96" s="104"/>
      <c r="CRQ96" s="104"/>
      <c r="CRR96" s="104"/>
      <c r="CRS96" s="104"/>
      <c r="CRT96" s="104"/>
      <c r="CRU96" s="104"/>
      <c r="CRV96" s="104"/>
      <c r="CRW96" s="104"/>
      <c r="CRX96" s="104"/>
      <c r="CRY96" s="104"/>
      <c r="CRZ96" s="104"/>
      <c r="CSA96" s="104"/>
      <c r="CSB96" s="104"/>
      <c r="CSC96" s="104"/>
      <c r="CSD96" s="104"/>
      <c r="CSE96" s="104"/>
      <c r="CSF96" s="104"/>
      <c r="CSG96" s="104"/>
      <c r="CSH96" s="104"/>
      <c r="CSI96" s="104"/>
      <c r="CSJ96" s="104"/>
      <c r="CSK96" s="104"/>
      <c r="CSL96" s="104"/>
      <c r="CSM96" s="104"/>
      <c r="CSN96" s="104"/>
      <c r="CSO96" s="104"/>
      <c r="CSP96" s="104"/>
      <c r="CSQ96" s="104"/>
      <c r="CSR96" s="104"/>
      <c r="CSS96" s="104"/>
      <c r="CST96" s="104"/>
      <c r="CSU96" s="104"/>
      <c r="CSV96" s="104"/>
      <c r="CSW96" s="104"/>
      <c r="CSX96" s="104"/>
      <c r="CSY96" s="104"/>
      <c r="CSZ96" s="104"/>
      <c r="CTA96" s="104"/>
      <c r="CTB96" s="104"/>
      <c r="CTC96" s="104"/>
      <c r="CTD96" s="104"/>
      <c r="CTE96" s="104"/>
      <c r="CTF96" s="104"/>
      <c r="CTG96" s="104"/>
      <c r="CTH96" s="104"/>
      <c r="CTI96" s="104"/>
      <c r="CTJ96" s="104"/>
      <c r="CTK96" s="104"/>
      <c r="CTL96" s="104"/>
      <c r="CTM96" s="104"/>
      <c r="CTN96" s="104"/>
      <c r="CTO96" s="104"/>
      <c r="CTP96" s="104"/>
      <c r="CTQ96" s="104"/>
      <c r="CTR96" s="104"/>
      <c r="CTS96" s="104"/>
      <c r="CTT96" s="104"/>
      <c r="CTU96" s="104"/>
      <c r="CTV96" s="104"/>
      <c r="CTW96" s="104"/>
      <c r="CTX96" s="104"/>
      <c r="CTY96" s="104"/>
      <c r="CTZ96" s="104"/>
      <c r="CUA96" s="104"/>
      <c r="CUB96" s="104"/>
      <c r="CUC96" s="104"/>
      <c r="CUD96" s="104"/>
      <c r="CUE96" s="104"/>
      <c r="CUF96" s="104"/>
      <c r="CUG96" s="104"/>
      <c r="CUH96" s="104"/>
      <c r="CUI96" s="104"/>
      <c r="CUJ96" s="104"/>
      <c r="CUK96" s="104"/>
      <c r="CUL96" s="104"/>
      <c r="CUM96" s="104"/>
      <c r="CUN96" s="104"/>
      <c r="CUO96" s="104"/>
      <c r="CUP96" s="104"/>
      <c r="CUQ96" s="104"/>
      <c r="CUR96" s="104"/>
      <c r="CUS96" s="104"/>
      <c r="CUT96" s="104"/>
      <c r="CUU96" s="104"/>
      <c r="CUV96" s="104"/>
      <c r="CUW96" s="104"/>
      <c r="CUX96" s="104"/>
      <c r="CUY96" s="104"/>
      <c r="CUZ96" s="104"/>
      <c r="CVA96" s="104"/>
      <c r="CVB96" s="104"/>
      <c r="CVC96" s="104"/>
      <c r="CVD96" s="104"/>
      <c r="CVE96" s="104"/>
      <c r="CVF96" s="104"/>
      <c r="CVG96" s="104"/>
      <c r="CVH96" s="104"/>
      <c r="CVI96" s="104"/>
      <c r="CVJ96" s="104"/>
      <c r="CVK96" s="104"/>
      <c r="CVL96" s="104"/>
      <c r="CVM96" s="104"/>
      <c r="CVN96" s="104"/>
      <c r="CVO96" s="104"/>
      <c r="CVP96" s="104"/>
      <c r="CVQ96" s="104"/>
      <c r="CVR96" s="104"/>
      <c r="CVS96" s="104"/>
      <c r="CVT96" s="104"/>
      <c r="CVU96" s="104"/>
      <c r="CVV96" s="104"/>
      <c r="CVW96" s="104"/>
      <c r="CVX96" s="104"/>
      <c r="CVY96" s="104"/>
      <c r="CVZ96" s="104"/>
      <c r="CWA96" s="104"/>
      <c r="CWB96" s="104"/>
      <c r="CWC96" s="104"/>
      <c r="CWD96" s="104"/>
      <c r="CWE96" s="104"/>
      <c r="CWF96" s="104"/>
      <c r="CWG96" s="104"/>
      <c r="CWH96" s="104"/>
      <c r="CWI96" s="104"/>
      <c r="CWJ96" s="104"/>
      <c r="CWK96" s="104"/>
      <c r="CWL96" s="104"/>
      <c r="CWM96" s="104"/>
      <c r="CWN96" s="104"/>
      <c r="CWO96" s="104"/>
      <c r="CWP96" s="104"/>
      <c r="CWQ96" s="104"/>
      <c r="CWR96" s="104"/>
      <c r="CWS96" s="104"/>
      <c r="CWT96" s="104"/>
      <c r="CWU96" s="104"/>
      <c r="CWV96" s="104"/>
      <c r="CWW96" s="104"/>
      <c r="CWX96" s="104"/>
      <c r="CWY96" s="104"/>
      <c r="CWZ96" s="104"/>
      <c r="CXA96" s="104"/>
      <c r="CXB96" s="104"/>
      <c r="CXC96" s="104"/>
      <c r="CXD96" s="104"/>
      <c r="CXE96" s="104"/>
      <c r="CXF96" s="104"/>
      <c r="CXG96" s="104"/>
      <c r="CXH96" s="104"/>
      <c r="CXI96" s="104"/>
      <c r="CXJ96" s="104"/>
      <c r="CXK96" s="104"/>
      <c r="CXL96" s="104"/>
      <c r="CXM96" s="104"/>
      <c r="CXN96" s="104"/>
      <c r="CXO96" s="104"/>
      <c r="CXP96" s="104"/>
      <c r="CXQ96" s="104"/>
      <c r="CXR96" s="104"/>
      <c r="CXS96" s="104"/>
      <c r="CXT96" s="104"/>
      <c r="CXU96" s="104"/>
      <c r="CXV96" s="104"/>
      <c r="CXW96" s="104"/>
      <c r="CXX96" s="104"/>
      <c r="CXY96" s="104"/>
      <c r="CXZ96" s="104"/>
      <c r="CYA96" s="104"/>
      <c r="CYB96" s="104"/>
      <c r="CYC96" s="104"/>
      <c r="CYD96" s="104"/>
      <c r="CYE96" s="104"/>
      <c r="CYF96" s="104"/>
      <c r="CYG96" s="104"/>
      <c r="CYH96" s="104"/>
      <c r="CYI96" s="104"/>
      <c r="CYJ96" s="104"/>
      <c r="CYK96" s="104"/>
      <c r="CYL96" s="104"/>
      <c r="CYM96" s="104"/>
      <c r="CYN96" s="104"/>
      <c r="CYO96" s="104"/>
      <c r="CYP96" s="104"/>
      <c r="CYQ96" s="104"/>
      <c r="CYR96" s="104"/>
      <c r="CYS96" s="104"/>
      <c r="CYT96" s="104"/>
      <c r="CYU96" s="104"/>
      <c r="CYV96" s="104"/>
      <c r="CYW96" s="104"/>
      <c r="CYX96" s="104"/>
      <c r="CYY96" s="104"/>
      <c r="CYZ96" s="104"/>
      <c r="CZA96" s="104"/>
      <c r="CZB96" s="104"/>
      <c r="CZC96" s="104"/>
      <c r="CZD96" s="104"/>
      <c r="CZE96" s="104"/>
      <c r="CZF96" s="104"/>
      <c r="CZG96" s="104"/>
      <c r="CZH96" s="104"/>
      <c r="CZI96" s="104"/>
      <c r="CZJ96" s="104"/>
      <c r="CZK96" s="104"/>
      <c r="CZL96" s="104"/>
      <c r="CZM96" s="104"/>
      <c r="CZN96" s="104"/>
      <c r="CZO96" s="104"/>
      <c r="CZP96" s="104"/>
      <c r="CZQ96" s="104"/>
      <c r="CZR96" s="104"/>
      <c r="CZS96" s="104"/>
      <c r="CZT96" s="104"/>
      <c r="CZU96" s="104"/>
      <c r="CZV96" s="104"/>
      <c r="CZW96" s="104"/>
      <c r="CZX96" s="104"/>
      <c r="CZY96" s="104"/>
      <c r="CZZ96" s="104"/>
      <c r="DAA96" s="104"/>
      <c r="DAB96" s="104"/>
      <c r="DAC96" s="104"/>
      <c r="DAD96" s="104"/>
      <c r="DAE96" s="104"/>
      <c r="DAF96" s="104"/>
      <c r="DAG96" s="104"/>
      <c r="DAH96" s="104"/>
      <c r="DAI96" s="104"/>
      <c r="DAJ96" s="104"/>
      <c r="DAK96" s="104"/>
      <c r="DAL96" s="104"/>
      <c r="DAM96" s="104"/>
      <c r="DAN96" s="104"/>
      <c r="DAO96" s="104"/>
      <c r="DAP96" s="104"/>
      <c r="DAQ96" s="104"/>
      <c r="DAR96" s="104"/>
      <c r="DAS96" s="104"/>
      <c r="DAT96" s="104"/>
      <c r="DAU96" s="104"/>
      <c r="DAV96" s="104"/>
      <c r="DAW96" s="104"/>
      <c r="DAX96" s="104"/>
      <c r="DAY96" s="104"/>
      <c r="DAZ96" s="104"/>
      <c r="DBA96" s="104"/>
      <c r="DBB96" s="104"/>
      <c r="DBC96" s="104"/>
      <c r="DBD96" s="104"/>
      <c r="DBE96" s="104"/>
      <c r="DBF96" s="104"/>
      <c r="DBG96" s="104"/>
      <c r="DBH96" s="104"/>
      <c r="DBI96" s="104"/>
      <c r="DBJ96" s="104"/>
      <c r="DBK96" s="104"/>
      <c r="DBL96" s="104"/>
      <c r="DBM96" s="104"/>
      <c r="DBN96" s="104"/>
      <c r="DBO96" s="104"/>
      <c r="DBP96" s="104"/>
      <c r="DBQ96" s="104"/>
      <c r="DBR96" s="104"/>
      <c r="DBS96" s="104"/>
      <c r="DBT96" s="104"/>
      <c r="DBU96" s="104"/>
      <c r="DBV96" s="104"/>
      <c r="DBW96" s="104"/>
      <c r="DBX96" s="104"/>
      <c r="DBY96" s="104"/>
      <c r="DBZ96" s="104"/>
      <c r="DCA96" s="104"/>
      <c r="DCB96" s="104"/>
      <c r="DCC96" s="104"/>
      <c r="DCD96" s="104"/>
      <c r="DCE96" s="104"/>
      <c r="DCF96" s="104"/>
      <c r="DCG96" s="104"/>
      <c r="DCH96" s="104"/>
      <c r="DCI96" s="104"/>
      <c r="DCJ96" s="104"/>
      <c r="DCK96" s="104"/>
      <c r="DCL96" s="104"/>
      <c r="DCM96" s="104"/>
      <c r="DCN96" s="104"/>
      <c r="DCO96" s="104"/>
      <c r="DCP96" s="104"/>
      <c r="DCQ96" s="104"/>
      <c r="DCR96" s="104"/>
      <c r="DCS96" s="104"/>
      <c r="DCT96" s="104"/>
      <c r="DCU96" s="104"/>
      <c r="DCV96" s="104"/>
      <c r="DCW96" s="104"/>
      <c r="DCX96" s="104"/>
      <c r="DCY96" s="104"/>
      <c r="DCZ96" s="104"/>
      <c r="DDA96" s="104"/>
      <c r="DDB96" s="104"/>
      <c r="DDC96" s="104"/>
      <c r="DDD96" s="104"/>
      <c r="DDE96" s="104"/>
      <c r="DDF96" s="104"/>
      <c r="DDG96" s="104"/>
      <c r="DDH96" s="104"/>
      <c r="DDI96" s="104"/>
      <c r="DDJ96" s="104"/>
      <c r="DDK96" s="104"/>
      <c r="DDL96" s="104"/>
      <c r="DDM96" s="104"/>
      <c r="DDN96" s="104"/>
      <c r="DDO96" s="104"/>
      <c r="DDP96" s="104"/>
      <c r="DDQ96" s="104"/>
      <c r="DDR96" s="104"/>
      <c r="DDS96" s="104"/>
      <c r="DDT96" s="104"/>
      <c r="DDU96" s="104"/>
      <c r="DDV96" s="104"/>
      <c r="DDW96" s="104"/>
      <c r="DDX96" s="104"/>
      <c r="DDY96" s="104"/>
      <c r="DDZ96" s="104"/>
      <c r="DEA96" s="104"/>
      <c r="DEB96" s="104"/>
      <c r="DEC96" s="104"/>
      <c r="DED96" s="104"/>
      <c r="DEE96" s="104"/>
      <c r="DEF96" s="104"/>
      <c r="DEG96" s="104"/>
      <c r="DEH96" s="104"/>
      <c r="DEI96" s="104"/>
      <c r="DEJ96" s="104"/>
      <c r="DEK96" s="104"/>
      <c r="DEL96" s="104"/>
      <c r="DEM96" s="104"/>
      <c r="DEN96" s="104"/>
      <c r="DEO96" s="104"/>
      <c r="DEP96" s="104"/>
      <c r="DEQ96" s="104"/>
      <c r="DER96" s="104"/>
      <c r="DES96" s="104"/>
      <c r="DET96" s="104"/>
      <c r="DEU96" s="104"/>
      <c r="DEV96" s="104"/>
      <c r="DEW96" s="104"/>
      <c r="DEX96" s="104"/>
      <c r="DEY96" s="104"/>
      <c r="DEZ96" s="104"/>
      <c r="DFA96" s="104"/>
      <c r="DFB96" s="104"/>
      <c r="DFC96" s="104"/>
      <c r="DFD96" s="104"/>
      <c r="DFE96" s="104"/>
      <c r="DFF96" s="104"/>
      <c r="DFG96" s="104"/>
      <c r="DFH96" s="104"/>
      <c r="DFI96" s="104"/>
      <c r="DFJ96" s="104"/>
      <c r="DFK96" s="104"/>
      <c r="DFL96" s="104"/>
      <c r="DFM96" s="104"/>
      <c r="DFN96" s="104"/>
      <c r="DFO96" s="104"/>
      <c r="DFP96" s="104"/>
      <c r="DFQ96" s="104"/>
      <c r="DFR96" s="104"/>
      <c r="DFS96" s="104"/>
      <c r="DFT96" s="104"/>
      <c r="DFU96" s="104"/>
      <c r="DFV96" s="104"/>
      <c r="DFW96" s="104"/>
      <c r="DFX96" s="104"/>
      <c r="DFY96" s="104"/>
      <c r="DFZ96" s="104"/>
      <c r="DGA96" s="104"/>
      <c r="DGB96" s="104"/>
      <c r="DGC96" s="104"/>
      <c r="DGD96" s="104"/>
      <c r="DGE96" s="104"/>
      <c r="DGF96" s="104"/>
      <c r="DGG96" s="104"/>
      <c r="DGH96" s="104"/>
      <c r="DGI96" s="104"/>
      <c r="DGJ96" s="104"/>
      <c r="DGK96" s="104"/>
      <c r="DGL96" s="104"/>
      <c r="DGM96" s="104"/>
      <c r="DGN96" s="104"/>
      <c r="DGO96" s="104"/>
      <c r="DGP96" s="104"/>
      <c r="DGQ96" s="104"/>
      <c r="DGR96" s="104"/>
      <c r="DGS96" s="104"/>
      <c r="DGT96" s="104"/>
      <c r="DGU96" s="104"/>
      <c r="DGV96" s="104"/>
      <c r="DGW96" s="104"/>
      <c r="DGX96" s="104"/>
      <c r="DGY96" s="104"/>
      <c r="DGZ96" s="104"/>
      <c r="DHA96" s="104"/>
      <c r="DHB96" s="104"/>
      <c r="DHC96" s="104"/>
      <c r="DHD96" s="104"/>
      <c r="DHE96" s="104"/>
      <c r="DHF96" s="104"/>
      <c r="DHG96" s="104"/>
      <c r="DHH96" s="104"/>
      <c r="DHI96" s="104"/>
      <c r="DHJ96" s="104"/>
      <c r="DHK96" s="104"/>
      <c r="DHL96" s="104"/>
      <c r="DHM96" s="104"/>
      <c r="DHN96" s="104"/>
      <c r="DHO96" s="104"/>
      <c r="DHP96" s="104"/>
      <c r="DHQ96" s="104"/>
      <c r="DHR96" s="104"/>
      <c r="DHS96" s="104"/>
      <c r="DHT96" s="104"/>
      <c r="DHU96" s="104"/>
      <c r="DHV96" s="104"/>
      <c r="DHW96" s="104"/>
      <c r="DHX96" s="104"/>
      <c r="DHY96" s="104"/>
      <c r="DHZ96" s="104"/>
      <c r="DIA96" s="104"/>
      <c r="DIB96" s="104"/>
      <c r="DIC96" s="104"/>
      <c r="DID96" s="104"/>
      <c r="DIE96" s="104"/>
      <c r="DIF96" s="104"/>
      <c r="DIG96" s="104"/>
      <c r="DIH96" s="104"/>
      <c r="DII96" s="104"/>
      <c r="DIJ96" s="104"/>
      <c r="DIK96" s="104"/>
      <c r="DIL96" s="104"/>
      <c r="DIM96" s="104"/>
      <c r="DIN96" s="104"/>
      <c r="DIO96" s="104"/>
      <c r="DIP96" s="104"/>
      <c r="DIQ96" s="104"/>
      <c r="DIR96" s="104"/>
      <c r="DIS96" s="104"/>
      <c r="DIT96" s="104"/>
      <c r="DIU96" s="104"/>
      <c r="DIV96" s="104"/>
      <c r="DIW96" s="104"/>
      <c r="DIX96" s="104"/>
      <c r="DIY96" s="104"/>
      <c r="DIZ96" s="104"/>
      <c r="DJA96" s="104"/>
      <c r="DJB96" s="104"/>
      <c r="DJC96" s="104"/>
      <c r="DJD96" s="104"/>
      <c r="DJE96" s="104"/>
      <c r="DJF96" s="104"/>
      <c r="DJG96" s="104"/>
      <c r="DJH96" s="104"/>
      <c r="DJI96" s="104"/>
      <c r="DJJ96" s="104"/>
      <c r="DJK96" s="104"/>
      <c r="DJL96" s="104"/>
      <c r="DJM96" s="104"/>
      <c r="DJN96" s="104"/>
      <c r="DJO96" s="104"/>
      <c r="DJP96" s="104"/>
      <c r="DJQ96" s="104"/>
      <c r="DJR96" s="104"/>
      <c r="DJS96" s="104"/>
      <c r="DJT96" s="104"/>
      <c r="DJU96" s="104"/>
      <c r="DJV96" s="104"/>
      <c r="DJW96" s="104"/>
      <c r="DJX96" s="104"/>
      <c r="DJY96" s="104"/>
      <c r="DJZ96" s="104"/>
      <c r="DKA96" s="104"/>
      <c r="DKB96" s="104"/>
      <c r="DKC96" s="104"/>
      <c r="DKD96" s="104"/>
      <c r="DKE96" s="104"/>
      <c r="DKF96" s="104"/>
      <c r="DKG96" s="104"/>
      <c r="DKH96" s="104"/>
      <c r="DKI96" s="104"/>
      <c r="DKJ96" s="104"/>
      <c r="DKK96" s="104"/>
      <c r="DKL96" s="104"/>
      <c r="DKM96" s="104"/>
      <c r="DKN96" s="104"/>
      <c r="DKO96" s="104"/>
      <c r="DKP96" s="104"/>
      <c r="DKQ96" s="104"/>
      <c r="DKR96" s="104"/>
      <c r="DKS96" s="104"/>
      <c r="DKT96" s="104"/>
      <c r="DKU96" s="104"/>
      <c r="DKV96" s="104"/>
      <c r="DKW96" s="104"/>
      <c r="DKX96" s="104"/>
      <c r="DKY96" s="104"/>
      <c r="DKZ96" s="104"/>
      <c r="DLA96" s="104"/>
      <c r="DLB96" s="104"/>
      <c r="DLC96" s="104"/>
      <c r="DLD96" s="104"/>
      <c r="DLE96" s="104"/>
      <c r="DLF96" s="104"/>
      <c r="DLG96" s="104"/>
      <c r="DLH96" s="104"/>
      <c r="DLI96" s="104"/>
      <c r="DLJ96" s="104"/>
      <c r="DLK96" s="104"/>
      <c r="DLL96" s="104"/>
      <c r="DLM96" s="104"/>
      <c r="DLN96" s="104"/>
      <c r="DLO96" s="104"/>
      <c r="DLP96" s="104"/>
      <c r="DLQ96" s="104"/>
      <c r="DLR96" s="104"/>
      <c r="DLS96" s="104"/>
      <c r="DLT96" s="104"/>
      <c r="DLU96" s="104"/>
      <c r="DLV96" s="104"/>
      <c r="DLW96" s="104"/>
      <c r="DLX96" s="104"/>
      <c r="DLY96" s="104"/>
      <c r="DLZ96" s="104"/>
      <c r="DMA96" s="104"/>
      <c r="DMB96" s="104"/>
      <c r="DMC96" s="104"/>
      <c r="DMD96" s="104"/>
      <c r="DME96" s="104"/>
      <c r="DMF96" s="104"/>
      <c r="DMG96" s="104"/>
      <c r="DMH96" s="104"/>
      <c r="DMI96" s="104"/>
      <c r="DMJ96" s="104"/>
      <c r="DMK96" s="104"/>
      <c r="DML96" s="104"/>
      <c r="DMM96" s="104"/>
      <c r="DMN96" s="104"/>
      <c r="DMO96" s="104"/>
      <c r="DMP96" s="104"/>
      <c r="DMQ96" s="104"/>
      <c r="DMR96" s="104"/>
      <c r="DMS96" s="104"/>
      <c r="DMT96" s="104"/>
      <c r="DMU96" s="104"/>
      <c r="DMV96" s="104"/>
      <c r="DMW96" s="104"/>
      <c r="DMX96" s="104"/>
      <c r="DMY96" s="104"/>
      <c r="DMZ96" s="104"/>
      <c r="DNA96" s="104"/>
      <c r="DNB96" s="104"/>
      <c r="DNC96" s="104"/>
      <c r="DND96" s="104"/>
      <c r="DNE96" s="104"/>
      <c r="DNF96" s="104"/>
      <c r="DNG96" s="104"/>
      <c r="DNH96" s="104"/>
      <c r="DNI96" s="104"/>
      <c r="DNJ96" s="104"/>
      <c r="DNK96" s="104"/>
      <c r="DNL96" s="104"/>
      <c r="DNM96" s="104"/>
      <c r="DNN96" s="104"/>
      <c r="DNO96" s="104"/>
      <c r="DNP96" s="104"/>
      <c r="DNQ96" s="104"/>
      <c r="DNR96" s="104"/>
      <c r="DNS96" s="104"/>
      <c r="DNT96" s="104"/>
      <c r="DNU96" s="104"/>
      <c r="DNV96" s="104"/>
      <c r="DNW96" s="104"/>
      <c r="DNX96" s="104"/>
      <c r="DNY96" s="104"/>
      <c r="DNZ96" s="104"/>
      <c r="DOA96" s="104"/>
      <c r="DOB96" s="104"/>
      <c r="DOC96" s="104"/>
      <c r="DOD96" s="104"/>
      <c r="DOE96" s="104"/>
      <c r="DOF96" s="104"/>
      <c r="DOG96" s="104"/>
      <c r="DOH96" s="104"/>
      <c r="DOI96" s="104"/>
      <c r="DOJ96" s="104"/>
      <c r="DOK96" s="104"/>
      <c r="DOL96" s="104"/>
      <c r="DOM96" s="104"/>
      <c r="DON96" s="104"/>
      <c r="DOO96" s="104"/>
      <c r="DOP96" s="104"/>
      <c r="DOQ96" s="104"/>
      <c r="DOR96" s="104"/>
      <c r="DOS96" s="104"/>
      <c r="DOT96" s="104"/>
      <c r="DOU96" s="104"/>
      <c r="DOV96" s="104"/>
      <c r="DOW96" s="104"/>
      <c r="DOX96" s="104"/>
      <c r="DOY96" s="104"/>
      <c r="DOZ96" s="104"/>
      <c r="DPA96" s="104"/>
      <c r="DPB96" s="104"/>
      <c r="DPC96" s="104"/>
      <c r="DPD96" s="104"/>
      <c r="DPE96" s="104"/>
      <c r="DPF96" s="104"/>
      <c r="DPG96" s="104"/>
      <c r="DPH96" s="104"/>
      <c r="DPI96" s="104"/>
      <c r="DPJ96" s="104"/>
      <c r="DPK96" s="104"/>
      <c r="DPL96" s="104"/>
      <c r="DPM96" s="104"/>
      <c r="DPN96" s="104"/>
      <c r="DPO96" s="104"/>
      <c r="DPP96" s="104"/>
      <c r="DPQ96" s="104"/>
      <c r="DPR96" s="104"/>
      <c r="DPS96" s="104"/>
      <c r="DPT96" s="104"/>
      <c r="DPU96" s="104"/>
      <c r="DPV96" s="104"/>
      <c r="DPW96" s="104"/>
      <c r="DPX96" s="104"/>
      <c r="DPY96" s="104"/>
      <c r="DPZ96" s="104"/>
      <c r="DQA96" s="104"/>
      <c r="DQB96" s="104"/>
      <c r="DQC96" s="104"/>
      <c r="DQD96" s="104"/>
      <c r="DQE96" s="104"/>
      <c r="DQF96" s="104"/>
      <c r="DQG96" s="104"/>
      <c r="DQH96" s="104"/>
      <c r="DQI96" s="104"/>
      <c r="DQJ96" s="104"/>
      <c r="DQK96" s="104"/>
      <c r="DQL96" s="104"/>
      <c r="DQM96" s="104"/>
      <c r="DQN96" s="104"/>
      <c r="DQO96" s="104"/>
      <c r="DQP96" s="104"/>
      <c r="DQQ96" s="104"/>
      <c r="DQR96" s="104"/>
      <c r="DQS96" s="104"/>
      <c r="DQT96" s="104"/>
      <c r="DQU96" s="104"/>
      <c r="DQV96" s="104"/>
      <c r="DQW96" s="104"/>
      <c r="DQX96" s="104"/>
      <c r="DQY96" s="104"/>
      <c r="DQZ96" s="104"/>
      <c r="DRA96" s="104"/>
      <c r="DRB96" s="104"/>
      <c r="DRC96" s="104"/>
      <c r="DRD96" s="104"/>
      <c r="DRE96" s="104"/>
      <c r="DRF96" s="104"/>
      <c r="DRG96" s="104"/>
      <c r="DRH96" s="104"/>
      <c r="DRI96" s="104"/>
      <c r="DRJ96" s="104"/>
      <c r="DRK96" s="104"/>
      <c r="DRL96" s="104"/>
      <c r="DRM96" s="104"/>
      <c r="DRN96" s="104"/>
      <c r="DRO96" s="104"/>
      <c r="DRP96" s="104"/>
      <c r="DRQ96" s="104"/>
      <c r="DRR96" s="104"/>
      <c r="DRS96" s="104"/>
      <c r="DRT96" s="104"/>
      <c r="DRU96" s="104"/>
      <c r="DRV96" s="104"/>
      <c r="DRW96" s="104"/>
      <c r="DRX96" s="104"/>
      <c r="DRY96" s="104"/>
      <c r="DRZ96" s="104"/>
      <c r="DSA96" s="104"/>
      <c r="DSB96" s="104"/>
      <c r="DSC96" s="104"/>
      <c r="DSD96" s="104"/>
      <c r="DSE96" s="104"/>
      <c r="DSF96" s="104"/>
      <c r="DSG96" s="104"/>
      <c r="DSH96" s="104"/>
      <c r="DSI96" s="104"/>
      <c r="DSJ96" s="104"/>
      <c r="DSK96" s="104"/>
      <c r="DSL96" s="104"/>
      <c r="DSM96" s="104"/>
      <c r="DSN96" s="104"/>
      <c r="DSO96" s="104"/>
      <c r="DSP96" s="104"/>
      <c r="DSQ96" s="104"/>
      <c r="DSR96" s="104"/>
      <c r="DSS96" s="104"/>
      <c r="DST96" s="104"/>
      <c r="DSU96" s="104"/>
      <c r="DSV96" s="104"/>
      <c r="DSW96" s="104"/>
      <c r="DSX96" s="104"/>
      <c r="DSY96" s="104"/>
      <c r="DSZ96" s="104"/>
      <c r="DTA96" s="104"/>
      <c r="DTB96" s="104"/>
      <c r="DTC96" s="104"/>
      <c r="DTD96" s="104"/>
      <c r="DTE96" s="104"/>
      <c r="DTF96" s="104"/>
      <c r="DTG96" s="104"/>
      <c r="DTH96" s="104"/>
      <c r="DTI96" s="104"/>
      <c r="DTJ96" s="104"/>
      <c r="DTK96" s="104"/>
      <c r="DTL96" s="104"/>
      <c r="DTM96" s="104"/>
      <c r="DTN96" s="104"/>
      <c r="DTO96" s="104"/>
      <c r="DTP96" s="104"/>
      <c r="DTQ96" s="104"/>
      <c r="DTR96" s="104"/>
      <c r="DTS96" s="104"/>
      <c r="DTT96" s="104"/>
      <c r="DTU96" s="104"/>
      <c r="DTV96" s="104"/>
      <c r="DTW96" s="104"/>
      <c r="DTX96" s="104"/>
      <c r="DTY96" s="104"/>
      <c r="DTZ96" s="104"/>
      <c r="DUA96" s="104"/>
      <c r="DUB96" s="104"/>
      <c r="DUC96" s="104"/>
      <c r="DUD96" s="104"/>
      <c r="DUE96" s="104"/>
      <c r="DUF96" s="104"/>
      <c r="DUG96" s="104"/>
      <c r="DUH96" s="104"/>
      <c r="DUI96" s="104"/>
      <c r="DUJ96" s="104"/>
      <c r="DUK96" s="104"/>
      <c r="DUL96" s="104"/>
      <c r="DUM96" s="104"/>
      <c r="DUN96" s="104"/>
      <c r="DUO96" s="104"/>
      <c r="DUP96" s="104"/>
      <c r="DUQ96" s="104"/>
      <c r="DUR96" s="104"/>
      <c r="DUS96" s="104"/>
      <c r="DUT96" s="104"/>
      <c r="DUU96" s="104"/>
      <c r="DUV96" s="104"/>
      <c r="DUW96" s="104"/>
      <c r="DUX96" s="104"/>
      <c r="DUY96" s="104"/>
      <c r="DUZ96" s="104"/>
      <c r="DVA96" s="104"/>
      <c r="DVB96" s="104"/>
      <c r="DVC96" s="104"/>
      <c r="DVD96" s="104"/>
      <c r="DVE96" s="104"/>
      <c r="DVF96" s="104"/>
      <c r="DVG96" s="104"/>
      <c r="DVH96" s="104"/>
      <c r="DVI96" s="104"/>
      <c r="DVJ96" s="104"/>
      <c r="DVK96" s="104"/>
      <c r="DVL96" s="104"/>
      <c r="DVM96" s="104"/>
      <c r="DVN96" s="104"/>
      <c r="DVO96" s="104"/>
      <c r="DVP96" s="104"/>
      <c r="DVQ96" s="104"/>
      <c r="DVR96" s="104"/>
      <c r="DVS96" s="104"/>
      <c r="DVT96" s="104"/>
      <c r="DVU96" s="104"/>
      <c r="DVV96" s="104"/>
      <c r="DVW96" s="104"/>
      <c r="DVX96" s="104"/>
      <c r="DVY96" s="104"/>
      <c r="DVZ96" s="104"/>
      <c r="DWA96" s="104"/>
      <c r="DWB96" s="104"/>
      <c r="DWC96" s="104"/>
      <c r="DWD96" s="104"/>
      <c r="DWE96" s="104"/>
      <c r="DWF96" s="104"/>
      <c r="DWG96" s="104"/>
      <c r="DWH96" s="104"/>
      <c r="DWI96" s="104"/>
      <c r="DWJ96" s="104"/>
      <c r="DWK96" s="104"/>
      <c r="DWL96" s="104"/>
      <c r="DWM96" s="104"/>
      <c r="DWN96" s="104"/>
      <c r="DWO96" s="104"/>
      <c r="DWP96" s="104"/>
      <c r="DWQ96" s="104"/>
      <c r="DWR96" s="104"/>
      <c r="DWS96" s="104"/>
      <c r="DWT96" s="104"/>
      <c r="DWU96" s="104"/>
      <c r="DWV96" s="104"/>
      <c r="DWW96" s="104"/>
      <c r="DWX96" s="104"/>
      <c r="DWY96" s="104"/>
      <c r="DWZ96" s="104"/>
      <c r="DXA96" s="104"/>
      <c r="DXB96" s="104"/>
      <c r="DXC96" s="104"/>
      <c r="DXD96" s="104"/>
      <c r="DXE96" s="104"/>
      <c r="DXF96" s="104"/>
      <c r="DXG96" s="104"/>
      <c r="DXH96" s="104"/>
      <c r="DXI96" s="104"/>
      <c r="DXJ96" s="104"/>
      <c r="DXK96" s="104"/>
      <c r="DXL96" s="104"/>
      <c r="DXM96" s="104"/>
      <c r="DXN96" s="104"/>
      <c r="DXO96" s="104"/>
      <c r="DXP96" s="104"/>
      <c r="DXQ96" s="104"/>
      <c r="DXR96" s="104"/>
      <c r="DXS96" s="104"/>
      <c r="DXT96" s="104"/>
      <c r="DXU96" s="104"/>
      <c r="DXV96" s="104"/>
      <c r="DXW96" s="104"/>
      <c r="DXX96" s="104"/>
      <c r="DXY96" s="104"/>
      <c r="DXZ96" s="104"/>
      <c r="DYA96" s="104"/>
      <c r="DYB96" s="104"/>
      <c r="DYC96" s="104"/>
      <c r="DYD96" s="104"/>
      <c r="DYE96" s="104"/>
      <c r="DYF96" s="104"/>
      <c r="DYG96" s="104"/>
      <c r="DYH96" s="104"/>
      <c r="DYI96" s="104"/>
      <c r="DYJ96" s="104"/>
      <c r="DYK96" s="104"/>
      <c r="DYL96" s="104"/>
      <c r="DYM96" s="104"/>
      <c r="DYN96" s="104"/>
      <c r="DYO96" s="104"/>
      <c r="DYP96" s="104"/>
      <c r="DYQ96" s="104"/>
      <c r="DYR96" s="104"/>
      <c r="DYS96" s="104"/>
      <c r="DYT96" s="104"/>
      <c r="DYU96" s="104"/>
      <c r="DYV96" s="104"/>
      <c r="DYW96" s="104"/>
      <c r="DYX96" s="104"/>
      <c r="DYY96" s="104"/>
      <c r="DYZ96" s="104"/>
      <c r="DZA96" s="104"/>
      <c r="DZB96" s="104"/>
      <c r="DZC96" s="104"/>
      <c r="DZD96" s="104"/>
      <c r="DZE96" s="104"/>
      <c r="DZF96" s="104"/>
      <c r="DZG96" s="104"/>
      <c r="DZH96" s="104"/>
      <c r="DZI96" s="104"/>
      <c r="DZJ96" s="104"/>
      <c r="DZK96" s="104"/>
      <c r="DZL96" s="104"/>
      <c r="DZM96" s="104"/>
      <c r="DZN96" s="104"/>
      <c r="DZO96" s="104"/>
      <c r="DZP96" s="104"/>
      <c r="DZQ96" s="104"/>
      <c r="DZR96" s="104"/>
      <c r="DZS96" s="104"/>
      <c r="DZT96" s="104"/>
      <c r="DZU96" s="104"/>
      <c r="DZV96" s="104"/>
      <c r="DZW96" s="104"/>
      <c r="DZX96" s="104"/>
      <c r="DZY96" s="104"/>
      <c r="DZZ96" s="104"/>
      <c r="EAA96" s="104"/>
      <c r="EAB96" s="104"/>
      <c r="EAC96" s="104"/>
      <c r="EAD96" s="104"/>
      <c r="EAE96" s="104"/>
      <c r="EAF96" s="104"/>
      <c r="EAG96" s="104"/>
      <c r="EAH96" s="104"/>
      <c r="EAI96" s="104"/>
      <c r="EAJ96" s="104"/>
      <c r="EAK96" s="104"/>
      <c r="EAL96" s="104"/>
      <c r="EAM96" s="104"/>
      <c r="EAN96" s="104"/>
      <c r="EAO96" s="104"/>
      <c r="EAP96" s="104"/>
      <c r="EAQ96" s="104"/>
      <c r="EAR96" s="104"/>
      <c r="EAS96" s="104"/>
      <c r="EAT96" s="104"/>
      <c r="EAU96" s="104"/>
      <c r="EAV96" s="104"/>
      <c r="EAW96" s="104"/>
      <c r="EAX96" s="104"/>
      <c r="EAY96" s="104"/>
      <c r="EAZ96" s="104"/>
      <c r="EBA96" s="104"/>
      <c r="EBB96" s="104"/>
      <c r="EBC96" s="104"/>
      <c r="EBD96" s="104"/>
      <c r="EBE96" s="104"/>
      <c r="EBF96" s="104"/>
      <c r="EBG96" s="104"/>
      <c r="EBH96" s="104"/>
      <c r="EBI96" s="104"/>
      <c r="EBJ96" s="104"/>
      <c r="EBK96" s="104"/>
      <c r="EBL96" s="104"/>
      <c r="EBM96" s="104"/>
      <c r="EBN96" s="104"/>
      <c r="EBO96" s="104"/>
      <c r="EBP96" s="104"/>
      <c r="EBQ96" s="104"/>
      <c r="EBR96" s="104"/>
      <c r="EBS96" s="104"/>
      <c r="EBT96" s="104"/>
      <c r="EBU96" s="104"/>
      <c r="EBV96" s="104"/>
      <c r="EBW96" s="104"/>
      <c r="EBX96" s="104"/>
      <c r="EBY96" s="104"/>
      <c r="EBZ96" s="104"/>
      <c r="ECA96" s="104"/>
      <c r="ECB96" s="104"/>
      <c r="ECC96" s="104"/>
      <c r="ECD96" s="104"/>
      <c r="ECE96" s="104"/>
      <c r="ECF96" s="104"/>
      <c r="ECG96" s="104"/>
      <c r="ECH96" s="104"/>
      <c r="ECI96" s="104"/>
      <c r="ECJ96" s="104"/>
      <c r="ECK96" s="104"/>
      <c r="ECL96" s="104"/>
      <c r="ECM96" s="104"/>
      <c r="ECN96" s="104"/>
      <c r="ECO96" s="104"/>
      <c r="ECP96" s="104"/>
      <c r="ECQ96" s="104"/>
      <c r="ECR96" s="104"/>
      <c r="ECS96" s="104"/>
      <c r="ECT96" s="104"/>
      <c r="ECU96" s="104"/>
      <c r="ECV96" s="104"/>
      <c r="ECW96" s="104"/>
      <c r="ECX96" s="104"/>
      <c r="ECY96" s="104"/>
      <c r="ECZ96" s="104"/>
      <c r="EDA96" s="104"/>
      <c r="EDB96" s="104"/>
      <c r="EDC96" s="104"/>
      <c r="EDD96" s="104"/>
      <c r="EDE96" s="104"/>
      <c r="EDF96" s="104"/>
      <c r="EDG96" s="104"/>
      <c r="EDH96" s="104"/>
      <c r="EDI96" s="104"/>
      <c r="EDJ96" s="104"/>
      <c r="EDK96" s="104"/>
      <c r="EDL96" s="104"/>
      <c r="EDM96" s="104"/>
      <c r="EDN96" s="104"/>
      <c r="EDO96" s="104"/>
      <c r="EDP96" s="104"/>
      <c r="EDQ96" s="104"/>
      <c r="EDR96" s="104"/>
      <c r="EDS96" s="104"/>
      <c r="EDT96" s="104"/>
      <c r="EDU96" s="104"/>
      <c r="EDV96" s="104"/>
      <c r="EDW96" s="104"/>
      <c r="EDX96" s="104"/>
      <c r="EDY96" s="104"/>
      <c r="EDZ96" s="104"/>
      <c r="EEA96" s="104"/>
      <c r="EEB96" s="104"/>
      <c r="EEC96" s="104"/>
      <c r="EED96" s="104"/>
      <c r="EEE96" s="104"/>
      <c r="EEF96" s="104"/>
      <c r="EEG96" s="104"/>
      <c r="EEH96" s="104"/>
      <c r="EEI96" s="104"/>
      <c r="EEJ96" s="104"/>
      <c r="EEK96" s="104"/>
      <c r="EEL96" s="104"/>
      <c r="EEM96" s="104"/>
      <c r="EEN96" s="104"/>
      <c r="EEO96" s="104"/>
      <c r="EEP96" s="104"/>
      <c r="EEQ96" s="104"/>
      <c r="EER96" s="104"/>
      <c r="EES96" s="104"/>
      <c r="EET96" s="104"/>
      <c r="EEU96" s="104"/>
      <c r="EEV96" s="104"/>
      <c r="EEW96" s="104"/>
      <c r="EEX96" s="104"/>
      <c r="EEY96" s="104"/>
      <c r="EEZ96" s="104"/>
      <c r="EFA96" s="104"/>
      <c r="EFB96" s="104"/>
      <c r="EFC96" s="104"/>
      <c r="EFD96" s="104"/>
      <c r="EFE96" s="104"/>
      <c r="EFF96" s="104"/>
      <c r="EFG96" s="104"/>
      <c r="EFH96" s="104"/>
      <c r="EFI96" s="104"/>
      <c r="EFJ96" s="104"/>
      <c r="EFK96" s="104"/>
      <c r="EFL96" s="104"/>
      <c r="EFM96" s="104"/>
      <c r="EFN96" s="104"/>
      <c r="EFO96" s="104"/>
      <c r="EFP96" s="104"/>
      <c r="EFQ96" s="104"/>
      <c r="EFR96" s="104"/>
      <c r="EFS96" s="104"/>
      <c r="EFT96" s="104"/>
      <c r="EFU96" s="104"/>
      <c r="EFV96" s="104"/>
      <c r="EFW96" s="104"/>
      <c r="EFX96" s="104"/>
      <c r="EFY96" s="104"/>
      <c r="EFZ96" s="104"/>
      <c r="EGA96" s="104"/>
      <c r="EGB96" s="104"/>
      <c r="EGC96" s="104"/>
      <c r="EGD96" s="104"/>
      <c r="EGE96" s="104"/>
      <c r="EGF96" s="104"/>
      <c r="EGG96" s="104"/>
      <c r="EGH96" s="104"/>
      <c r="EGI96" s="104"/>
      <c r="EGJ96" s="104"/>
      <c r="EGK96" s="104"/>
      <c r="EGL96" s="104"/>
      <c r="EGM96" s="104"/>
      <c r="EGN96" s="104"/>
      <c r="EGO96" s="104"/>
      <c r="EGP96" s="104"/>
      <c r="EGQ96" s="104"/>
      <c r="EGR96" s="104"/>
      <c r="EGS96" s="104"/>
      <c r="EGT96" s="104"/>
      <c r="EGU96" s="104"/>
      <c r="EGV96" s="104"/>
      <c r="EGW96" s="104"/>
      <c r="EGX96" s="104"/>
      <c r="EGY96" s="104"/>
      <c r="EGZ96" s="104"/>
      <c r="EHA96" s="104"/>
      <c r="EHB96" s="104"/>
      <c r="EHC96" s="104"/>
      <c r="EHD96" s="104"/>
      <c r="EHE96" s="104"/>
      <c r="EHF96" s="104"/>
      <c r="EHG96" s="104"/>
      <c r="EHH96" s="104"/>
      <c r="EHI96" s="104"/>
      <c r="EHJ96" s="104"/>
      <c r="EHK96" s="104"/>
      <c r="EHL96" s="104"/>
      <c r="EHM96" s="104"/>
      <c r="EHN96" s="104"/>
      <c r="EHO96" s="104"/>
      <c r="EHP96" s="104"/>
      <c r="EHQ96" s="104"/>
      <c r="EHR96" s="104"/>
      <c r="EHS96" s="104"/>
      <c r="EHT96" s="104"/>
      <c r="EHU96" s="104"/>
      <c r="EHV96" s="104"/>
      <c r="EHW96" s="104"/>
      <c r="EHX96" s="104"/>
      <c r="EHY96" s="104"/>
      <c r="EHZ96" s="104"/>
      <c r="EIA96" s="104"/>
      <c r="EIB96" s="104"/>
      <c r="EIC96" s="104"/>
      <c r="EID96" s="104"/>
      <c r="EIE96" s="104"/>
      <c r="EIF96" s="104"/>
      <c r="EIG96" s="104"/>
      <c r="EIH96" s="104"/>
      <c r="EII96" s="104"/>
      <c r="EIJ96" s="104"/>
      <c r="EIK96" s="104"/>
      <c r="EIL96" s="104"/>
      <c r="EIM96" s="104"/>
      <c r="EIN96" s="104"/>
      <c r="EIO96" s="104"/>
      <c r="EIP96" s="104"/>
      <c r="EIQ96" s="104"/>
      <c r="EIR96" s="104"/>
      <c r="EIS96" s="104"/>
      <c r="EIT96" s="104"/>
      <c r="EIU96" s="104"/>
      <c r="EIV96" s="104"/>
      <c r="EIW96" s="104"/>
      <c r="EIX96" s="104"/>
      <c r="EIY96" s="104"/>
      <c r="EIZ96" s="104"/>
      <c r="EJA96" s="104"/>
      <c r="EJB96" s="104"/>
      <c r="EJC96" s="104"/>
      <c r="EJD96" s="104"/>
      <c r="EJE96" s="104"/>
      <c r="EJF96" s="104"/>
      <c r="EJG96" s="104"/>
      <c r="EJH96" s="104"/>
      <c r="EJI96" s="104"/>
      <c r="EJJ96" s="104"/>
      <c r="EJK96" s="104"/>
      <c r="EJL96" s="104"/>
      <c r="EJM96" s="104"/>
      <c r="EJN96" s="104"/>
      <c r="EJO96" s="104"/>
      <c r="EJP96" s="104"/>
      <c r="EJQ96" s="104"/>
      <c r="EJR96" s="104"/>
      <c r="EJS96" s="104"/>
      <c r="EJT96" s="104"/>
      <c r="EJU96" s="104"/>
      <c r="EJV96" s="104"/>
      <c r="EJW96" s="104"/>
      <c r="EJX96" s="104"/>
      <c r="EJY96" s="104"/>
      <c r="EJZ96" s="104"/>
      <c r="EKA96" s="104"/>
      <c r="EKB96" s="104"/>
      <c r="EKC96" s="104"/>
      <c r="EKD96" s="104"/>
      <c r="EKE96" s="104"/>
      <c r="EKF96" s="104"/>
      <c r="EKG96" s="104"/>
      <c r="EKH96" s="104"/>
      <c r="EKI96" s="104"/>
      <c r="EKJ96" s="104"/>
      <c r="EKK96" s="104"/>
      <c r="EKL96" s="104"/>
      <c r="EKM96" s="104"/>
      <c r="EKN96" s="104"/>
      <c r="EKO96" s="104"/>
      <c r="EKP96" s="104"/>
      <c r="EKQ96" s="104"/>
      <c r="EKR96" s="104"/>
      <c r="EKS96" s="104"/>
      <c r="EKT96" s="104"/>
      <c r="EKU96" s="104"/>
      <c r="EKV96" s="104"/>
      <c r="EKW96" s="104"/>
      <c r="EKX96" s="104"/>
      <c r="EKY96" s="104"/>
      <c r="EKZ96" s="104"/>
      <c r="ELA96" s="104"/>
      <c r="ELB96" s="104"/>
      <c r="ELC96" s="104"/>
      <c r="ELD96" s="104"/>
      <c r="ELE96" s="104"/>
      <c r="ELF96" s="104"/>
      <c r="ELG96" s="104"/>
      <c r="ELH96" s="104"/>
      <c r="ELI96" s="104"/>
      <c r="ELJ96" s="104"/>
      <c r="ELK96" s="104"/>
      <c r="ELL96" s="104"/>
      <c r="ELM96" s="104"/>
      <c r="ELN96" s="104"/>
      <c r="ELO96" s="104"/>
      <c r="ELP96" s="104"/>
      <c r="ELQ96" s="104"/>
      <c r="ELR96" s="104"/>
      <c r="ELS96" s="104"/>
      <c r="ELT96" s="104"/>
      <c r="ELU96" s="104"/>
      <c r="ELV96" s="104"/>
      <c r="ELW96" s="104"/>
      <c r="ELX96" s="104"/>
      <c r="ELY96" s="104"/>
      <c r="ELZ96" s="104"/>
      <c r="EMA96" s="104"/>
      <c r="EMB96" s="104"/>
      <c r="EMC96" s="104"/>
      <c r="EMD96" s="104"/>
      <c r="EME96" s="104"/>
      <c r="EMF96" s="104"/>
      <c r="EMG96" s="104"/>
      <c r="EMH96" s="104"/>
      <c r="EMI96" s="104"/>
      <c r="EMJ96" s="104"/>
      <c r="EMK96" s="104"/>
      <c r="EML96" s="104"/>
      <c r="EMM96" s="104"/>
      <c r="EMN96" s="104"/>
      <c r="EMO96" s="104"/>
      <c r="EMP96" s="104"/>
      <c r="EMQ96" s="104"/>
      <c r="EMR96" s="104"/>
      <c r="EMS96" s="104"/>
      <c r="EMT96" s="104"/>
      <c r="EMU96" s="104"/>
      <c r="EMV96" s="104"/>
      <c r="EMW96" s="104"/>
      <c r="EMX96" s="104"/>
      <c r="EMY96" s="104"/>
      <c r="EMZ96" s="104"/>
      <c r="ENA96" s="104"/>
      <c r="ENB96" s="104"/>
      <c r="ENC96" s="104"/>
      <c r="END96" s="104"/>
      <c r="ENE96" s="104"/>
      <c r="ENF96" s="104"/>
      <c r="ENG96" s="104"/>
      <c r="ENH96" s="104"/>
      <c r="ENI96" s="104"/>
      <c r="ENJ96" s="104"/>
      <c r="ENK96" s="104"/>
      <c r="ENL96" s="104"/>
      <c r="ENM96" s="104"/>
      <c r="ENN96" s="104"/>
      <c r="ENO96" s="104"/>
      <c r="ENP96" s="104"/>
      <c r="ENQ96" s="104"/>
      <c r="ENR96" s="104"/>
      <c r="ENS96" s="104"/>
      <c r="ENT96" s="104"/>
      <c r="ENU96" s="104"/>
      <c r="ENV96" s="104"/>
      <c r="ENW96" s="104"/>
      <c r="ENX96" s="104"/>
      <c r="ENY96" s="104"/>
      <c r="ENZ96" s="104"/>
      <c r="EOA96" s="104"/>
      <c r="EOB96" s="104"/>
      <c r="EOC96" s="104"/>
      <c r="EOD96" s="104"/>
      <c r="EOE96" s="104"/>
      <c r="EOF96" s="104"/>
      <c r="EOG96" s="104"/>
      <c r="EOH96" s="104"/>
      <c r="EOI96" s="104"/>
      <c r="EOJ96" s="104"/>
      <c r="EOK96" s="104"/>
      <c r="EOL96" s="104"/>
      <c r="EOM96" s="104"/>
      <c r="EON96" s="104"/>
      <c r="EOO96" s="104"/>
      <c r="EOP96" s="104"/>
      <c r="EOQ96" s="104"/>
      <c r="EOR96" s="104"/>
      <c r="EOS96" s="104"/>
      <c r="EOT96" s="104"/>
      <c r="EOU96" s="104"/>
      <c r="EOV96" s="104"/>
      <c r="EOW96" s="104"/>
      <c r="EOX96" s="104"/>
      <c r="EOY96" s="104"/>
      <c r="EOZ96" s="104"/>
      <c r="EPA96" s="104"/>
      <c r="EPB96" s="104"/>
      <c r="EPC96" s="104"/>
      <c r="EPD96" s="104"/>
      <c r="EPE96" s="104"/>
      <c r="EPF96" s="104"/>
      <c r="EPG96" s="104"/>
      <c r="EPH96" s="104"/>
      <c r="EPI96" s="104"/>
      <c r="EPJ96" s="104"/>
      <c r="EPK96" s="104"/>
      <c r="EPL96" s="104"/>
      <c r="EPM96" s="104"/>
      <c r="EPN96" s="104"/>
      <c r="EPO96" s="104"/>
      <c r="EPP96" s="104"/>
      <c r="EPQ96" s="104"/>
      <c r="EPR96" s="104"/>
      <c r="EPS96" s="104"/>
      <c r="EPT96" s="104"/>
      <c r="EPU96" s="104"/>
      <c r="EPV96" s="104"/>
      <c r="EPW96" s="104"/>
      <c r="EPX96" s="104"/>
      <c r="EPY96" s="104"/>
      <c r="EPZ96" s="104"/>
      <c r="EQA96" s="104"/>
      <c r="EQB96" s="104"/>
      <c r="EQC96" s="104"/>
      <c r="EQD96" s="104"/>
      <c r="EQE96" s="104"/>
      <c r="EQF96" s="104"/>
      <c r="EQG96" s="104"/>
      <c r="EQH96" s="104"/>
      <c r="EQI96" s="104"/>
      <c r="EQJ96" s="104"/>
      <c r="EQK96" s="104"/>
      <c r="EQL96" s="104"/>
      <c r="EQM96" s="104"/>
      <c r="EQN96" s="104"/>
      <c r="EQO96" s="104"/>
      <c r="EQP96" s="104"/>
      <c r="EQQ96" s="104"/>
      <c r="EQR96" s="104"/>
      <c r="EQS96" s="104"/>
      <c r="EQT96" s="104"/>
      <c r="EQU96" s="104"/>
      <c r="EQV96" s="104"/>
      <c r="EQW96" s="104"/>
      <c r="EQX96" s="104"/>
      <c r="EQY96" s="104"/>
      <c r="EQZ96" s="104"/>
      <c r="ERA96" s="104"/>
      <c r="ERB96" s="104"/>
      <c r="ERC96" s="104"/>
      <c r="ERD96" s="104"/>
      <c r="ERE96" s="104"/>
      <c r="ERF96" s="104"/>
      <c r="ERG96" s="104"/>
      <c r="ERH96" s="104"/>
      <c r="ERI96" s="104"/>
      <c r="ERJ96" s="104"/>
      <c r="ERK96" s="104"/>
      <c r="ERL96" s="104"/>
      <c r="ERM96" s="104"/>
      <c r="ERN96" s="104"/>
      <c r="ERO96" s="104"/>
      <c r="ERP96" s="104"/>
      <c r="ERQ96" s="104"/>
      <c r="ERR96" s="104"/>
      <c r="ERS96" s="104"/>
      <c r="ERT96" s="104"/>
      <c r="ERU96" s="104"/>
      <c r="ERV96" s="104"/>
      <c r="ERW96" s="104"/>
      <c r="ERX96" s="104"/>
      <c r="ERY96" s="104"/>
      <c r="ERZ96" s="104"/>
      <c r="ESA96" s="104"/>
      <c r="ESB96" s="104"/>
      <c r="ESC96" s="104"/>
      <c r="ESD96" s="104"/>
      <c r="ESE96" s="104"/>
      <c r="ESF96" s="104"/>
      <c r="ESG96" s="104"/>
      <c r="ESH96" s="104"/>
      <c r="ESI96" s="104"/>
      <c r="ESJ96" s="104"/>
      <c r="ESK96" s="104"/>
      <c r="ESL96" s="104"/>
      <c r="ESM96" s="104"/>
      <c r="ESN96" s="104"/>
      <c r="ESO96" s="104"/>
      <c r="ESP96" s="104"/>
      <c r="ESQ96" s="104"/>
      <c r="ESR96" s="104"/>
      <c r="ESS96" s="104"/>
      <c r="EST96" s="104"/>
      <c r="ESU96" s="104"/>
      <c r="ESV96" s="104"/>
      <c r="ESW96" s="104"/>
      <c r="ESX96" s="104"/>
      <c r="ESY96" s="104"/>
      <c r="ESZ96" s="104"/>
      <c r="ETA96" s="104"/>
      <c r="ETB96" s="104"/>
      <c r="ETC96" s="104"/>
      <c r="ETD96" s="104"/>
      <c r="ETE96" s="104"/>
      <c r="ETF96" s="104"/>
      <c r="ETG96" s="104"/>
      <c r="ETH96" s="104"/>
      <c r="ETI96" s="104"/>
      <c r="ETJ96" s="104"/>
      <c r="ETK96" s="104"/>
      <c r="ETL96" s="104"/>
      <c r="ETM96" s="104"/>
      <c r="ETN96" s="104"/>
      <c r="ETO96" s="104"/>
      <c r="ETP96" s="104"/>
      <c r="ETQ96" s="104"/>
      <c r="ETR96" s="104"/>
      <c r="ETS96" s="104"/>
      <c r="ETT96" s="104"/>
      <c r="ETU96" s="104"/>
      <c r="ETV96" s="104"/>
      <c r="ETW96" s="104"/>
      <c r="ETX96" s="104"/>
      <c r="ETY96" s="104"/>
      <c r="ETZ96" s="104"/>
      <c r="EUA96" s="104"/>
      <c r="EUB96" s="104"/>
      <c r="EUC96" s="104"/>
      <c r="EUD96" s="104"/>
      <c r="EUE96" s="104"/>
      <c r="EUF96" s="104"/>
      <c r="EUG96" s="104"/>
      <c r="EUH96" s="104"/>
      <c r="EUI96" s="104"/>
      <c r="EUJ96" s="104"/>
      <c r="EUK96" s="104"/>
      <c r="EUL96" s="104"/>
      <c r="EUM96" s="104"/>
      <c r="EUN96" s="104"/>
      <c r="EUO96" s="104"/>
      <c r="EUP96" s="104"/>
      <c r="EUQ96" s="104"/>
      <c r="EUR96" s="104"/>
      <c r="EUS96" s="104"/>
      <c r="EUT96" s="104"/>
      <c r="EUU96" s="104"/>
      <c r="EUV96" s="104"/>
      <c r="EUW96" s="104"/>
      <c r="EUX96" s="104"/>
      <c r="EUY96" s="104"/>
      <c r="EUZ96" s="104"/>
      <c r="EVA96" s="104"/>
      <c r="EVB96" s="104"/>
      <c r="EVC96" s="104"/>
      <c r="EVD96" s="104"/>
      <c r="EVE96" s="104"/>
      <c r="EVF96" s="104"/>
      <c r="EVG96" s="104"/>
      <c r="EVH96" s="104"/>
      <c r="EVI96" s="104"/>
      <c r="EVJ96" s="104"/>
      <c r="EVK96" s="104"/>
      <c r="EVL96" s="104"/>
      <c r="EVM96" s="104"/>
      <c r="EVN96" s="104"/>
      <c r="EVO96" s="104"/>
      <c r="EVP96" s="104"/>
      <c r="EVQ96" s="104"/>
      <c r="EVR96" s="104"/>
      <c r="EVS96" s="104"/>
      <c r="EVT96" s="104"/>
      <c r="EVU96" s="104"/>
      <c r="EVV96" s="104"/>
      <c r="EVW96" s="104"/>
      <c r="EVX96" s="104"/>
      <c r="EVY96" s="104"/>
      <c r="EVZ96" s="104"/>
      <c r="EWA96" s="104"/>
      <c r="EWB96" s="104"/>
      <c r="EWC96" s="104"/>
      <c r="EWD96" s="104"/>
      <c r="EWE96" s="104"/>
      <c r="EWF96" s="104"/>
      <c r="EWG96" s="104"/>
      <c r="EWH96" s="104"/>
      <c r="EWI96" s="104"/>
      <c r="EWJ96" s="104"/>
      <c r="EWK96" s="104"/>
      <c r="EWL96" s="104"/>
      <c r="EWM96" s="104"/>
      <c r="EWN96" s="104"/>
      <c r="EWO96" s="104"/>
      <c r="EWP96" s="104"/>
      <c r="EWQ96" s="104"/>
      <c r="EWR96" s="104"/>
      <c r="EWS96" s="104"/>
      <c r="EWT96" s="104"/>
      <c r="EWU96" s="104"/>
      <c r="EWV96" s="104"/>
      <c r="EWW96" s="104"/>
      <c r="EWX96" s="104"/>
      <c r="EWY96" s="104"/>
      <c r="EWZ96" s="104"/>
      <c r="EXA96" s="104"/>
      <c r="EXB96" s="104"/>
      <c r="EXC96" s="104"/>
      <c r="EXD96" s="104"/>
      <c r="EXE96" s="104"/>
      <c r="EXF96" s="104"/>
      <c r="EXG96" s="104"/>
      <c r="EXH96" s="104"/>
      <c r="EXI96" s="104"/>
      <c r="EXJ96" s="104"/>
      <c r="EXK96" s="104"/>
      <c r="EXL96" s="104"/>
      <c r="EXM96" s="104"/>
      <c r="EXN96" s="104"/>
      <c r="EXO96" s="104"/>
      <c r="EXP96" s="104"/>
      <c r="EXQ96" s="104"/>
      <c r="EXR96" s="104"/>
      <c r="EXS96" s="104"/>
      <c r="EXT96" s="104"/>
      <c r="EXU96" s="104"/>
      <c r="EXV96" s="104"/>
      <c r="EXW96" s="104"/>
      <c r="EXX96" s="104"/>
      <c r="EXY96" s="104"/>
      <c r="EXZ96" s="104"/>
      <c r="EYA96" s="104"/>
      <c r="EYB96" s="104"/>
      <c r="EYC96" s="104"/>
      <c r="EYD96" s="104"/>
      <c r="EYE96" s="104"/>
      <c r="EYF96" s="104"/>
      <c r="EYG96" s="104"/>
      <c r="EYH96" s="104"/>
      <c r="EYI96" s="104"/>
      <c r="EYJ96" s="104"/>
      <c r="EYK96" s="104"/>
      <c r="EYL96" s="104"/>
      <c r="EYM96" s="104"/>
      <c r="EYN96" s="104"/>
      <c r="EYO96" s="104"/>
      <c r="EYP96" s="104"/>
      <c r="EYQ96" s="104"/>
      <c r="EYR96" s="104"/>
      <c r="EYS96" s="104"/>
      <c r="EYT96" s="104"/>
      <c r="EYU96" s="104"/>
      <c r="EYV96" s="104"/>
      <c r="EYW96" s="104"/>
      <c r="EYX96" s="104"/>
      <c r="EYY96" s="104"/>
      <c r="EYZ96" s="104"/>
      <c r="EZA96" s="104"/>
      <c r="EZB96" s="104"/>
      <c r="EZC96" s="104"/>
      <c r="EZD96" s="104"/>
      <c r="EZE96" s="104"/>
      <c r="EZF96" s="104"/>
      <c r="EZG96" s="104"/>
      <c r="EZH96" s="104"/>
      <c r="EZI96" s="104"/>
      <c r="EZJ96" s="104"/>
      <c r="EZK96" s="104"/>
      <c r="EZL96" s="104"/>
      <c r="EZM96" s="104"/>
      <c r="EZN96" s="104"/>
      <c r="EZO96" s="104"/>
      <c r="EZP96" s="104"/>
      <c r="EZQ96" s="104"/>
      <c r="EZR96" s="104"/>
      <c r="EZS96" s="104"/>
      <c r="EZT96" s="104"/>
      <c r="EZU96" s="104"/>
      <c r="EZV96" s="104"/>
      <c r="EZW96" s="104"/>
      <c r="EZX96" s="104"/>
      <c r="EZY96" s="104"/>
      <c r="EZZ96" s="104"/>
      <c r="FAA96" s="104"/>
      <c r="FAB96" s="104"/>
      <c r="FAC96" s="104"/>
      <c r="FAD96" s="104"/>
      <c r="FAE96" s="104"/>
      <c r="FAF96" s="104"/>
      <c r="FAG96" s="104"/>
      <c r="FAH96" s="104"/>
      <c r="FAI96" s="104"/>
      <c r="FAJ96" s="104"/>
      <c r="FAK96" s="104"/>
      <c r="FAL96" s="104"/>
      <c r="FAM96" s="104"/>
      <c r="FAN96" s="104"/>
      <c r="FAO96" s="104"/>
      <c r="FAP96" s="104"/>
      <c r="FAQ96" s="104"/>
      <c r="FAR96" s="104"/>
      <c r="FAS96" s="104"/>
      <c r="FAT96" s="104"/>
      <c r="FAU96" s="104"/>
      <c r="FAV96" s="104"/>
      <c r="FAW96" s="104"/>
      <c r="FAX96" s="104"/>
      <c r="FAY96" s="104"/>
      <c r="FAZ96" s="104"/>
      <c r="FBA96" s="104"/>
      <c r="FBB96" s="104"/>
      <c r="FBC96" s="104"/>
      <c r="FBD96" s="104"/>
      <c r="FBE96" s="104"/>
      <c r="FBF96" s="104"/>
      <c r="FBG96" s="104"/>
      <c r="FBH96" s="104"/>
      <c r="FBI96" s="104"/>
      <c r="FBJ96" s="104"/>
      <c r="FBK96" s="104"/>
      <c r="FBL96" s="104"/>
      <c r="FBM96" s="104"/>
      <c r="FBN96" s="104"/>
      <c r="FBO96" s="104"/>
      <c r="FBP96" s="104"/>
      <c r="FBQ96" s="104"/>
      <c r="FBR96" s="104"/>
      <c r="FBS96" s="104"/>
      <c r="FBT96" s="104"/>
      <c r="FBU96" s="104"/>
      <c r="FBV96" s="104"/>
      <c r="FBW96" s="104"/>
      <c r="FBX96" s="104"/>
      <c r="FBY96" s="104"/>
      <c r="FBZ96" s="104"/>
      <c r="FCA96" s="104"/>
      <c r="FCB96" s="104"/>
      <c r="FCC96" s="104"/>
      <c r="FCD96" s="104"/>
      <c r="FCE96" s="104"/>
      <c r="FCF96" s="104"/>
      <c r="FCG96" s="104"/>
      <c r="FCH96" s="104"/>
      <c r="FCI96" s="104"/>
      <c r="FCJ96" s="104"/>
      <c r="FCK96" s="104"/>
      <c r="FCL96" s="104"/>
      <c r="FCM96" s="104"/>
      <c r="FCN96" s="104"/>
      <c r="FCO96" s="104"/>
      <c r="FCP96" s="104"/>
      <c r="FCQ96" s="104"/>
      <c r="FCR96" s="104"/>
      <c r="FCS96" s="104"/>
      <c r="FCT96" s="104"/>
      <c r="FCU96" s="104"/>
      <c r="FCV96" s="104"/>
      <c r="FCW96" s="104"/>
      <c r="FCX96" s="104"/>
      <c r="FCY96" s="104"/>
      <c r="FCZ96" s="104"/>
      <c r="FDA96" s="104"/>
      <c r="FDB96" s="104"/>
      <c r="FDC96" s="104"/>
      <c r="FDD96" s="104"/>
      <c r="FDE96" s="104"/>
      <c r="FDF96" s="104"/>
      <c r="FDG96" s="104"/>
      <c r="FDH96" s="104"/>
      <c r="FDI96" s="104"/>
      <c r="FDJ96" s="104"/>
      <c r="FDK96" s="104"/>
      <c r="FDL96" s="104"/>
      <c r="FDM96" s="104"/>
      <c r="FDN96" s="104"/>
      <c r="FDO96" s="104"/>
      <c r="FDP96" s="104"/>
      <c r="FDQ96" s="104"/>
      <c r="FDR96" s="104"/>
      <c r="FDS96" s="104"/>
      <c r="FDT96" s="104"/>
      <c r="FDU96" s="104"/>
      <c r="FDV96" s="104"/>
      <c r="FDW96" s="104"/>
      <c r="FDX96" s="104"/>
      <c r="FDY96" s="104"/>
      <c r="FDZ96" s="104"/>
      <c r="FEA96" s="104"/>
      <c r="FEB96" s="104"/>
      <c r="FEC96" s="104"/>
      <c r="FED96" s="104"/>
      <c r="FEE96" s="104"/>
      <c r="FEF96" s="104"/>
      <c r="FEG96" s="104"/>
      <c r="FEH96" s="104"/>
      <c r="FEI96" s="104"/>
      <c r="FEJ96" s="104"/>
      <c r="FEK96" s="104"/>
      <c r="FEL96" s="104"/>
      <c r="FEM96" s="104"/>
      <c r="FEN96" s="104"/>
      <c r="FEO96" s="104"/>
      <c r="FEP96" s="104"/>
      <c r="FEQ96" s="104"/>
      <c r="FER96" s="104"/>
      <c r="FES96" s="104"/>
      <c r="FET96" s="104"/>
      <c r="FEU96" s="104"/>
      <c r="FEV96" s="104"/>
      <c r="FEW96" s="104"/>
      <c r="FEX96" s="104"/>
      <c r="FEY96" s="104"/>
      <c r="FEZ96" s="104"/>
      <c r="FFA96" s="104"/>
      <c r="FFB96" s="104"/>
      <c r="FFC96" s="104"/>
      <c r="FFD96" s="104"/>
      <c r="FFE96" s="104"/>
      <c r="FFF96" s="104"/>
      <c r="FFG96" s="104"/>
      <c r="FFH96" s="104"/>
      <c r="FFI96" s="104"/>
      <c r="FFJ96" s="104"/>
      <c r="FFK96" s="104"/>
      <c r="FFL96" s="104"/>
      <c r="FFM96" s="104"/>
      <c r="FFN96" s="104"/>
      <c r="FFO96" s="104"/>
      <c r="FFP96" s="104"/>
      <c r="FFQ96" s="104"/>
      <c r="FFR96" s="104"/>
      <c r="FFS96" s="104"/>
      <c r="FFT96" s="104"/>
      <c r="FFU96" s="104"/>
      <c r="FFV96" s="104"/>
      <c r="FFW96" s="104"/>
      <c r="FFX96" s="104"/>
      <c r="FFY96" s="104"/>
      <c r="FFZ96" s="104"/>
      <c r="FGA96" s="104"/>
      <c r="FGB96" s="104"/>
      <c r="FGC96" s="104"/>
      <c r="FGD96" s="104"/>
      <c r="FGE96" s="104"/>
      <c r="FGF96" s="104"/>
      <c r="FGG96" s="104"/>
      <c r="FGH96" s="104"/>
      <c r="FGI96" s="104"/>
      <c r="FGJ96" s="104"/>
      <c r="FGK96" s="104"/>
      <c r="FGL96" s="104"/>
      <c r="FGM96" s="104"/>
      <c r="FGN96" s="104"/>
      <c r="FGO96" s="104"/>
      <c r="FGP96" s="104"/>
      <c r="FGQ96" s="104"/>
      <c r="FGR96" s="104"/>
      <c r="FGS96" s="104"/>
      <c r="FGT96" s="104"/>
      <c r="FGU96" s="104"/>
      <c r="FGV96" s="104"/>
      <c r="FGW96" s="104"/>
      <c r="FGX96" s="104"/>
      <c r="FGY96" s="104"/>
      <c r="FGZ96" s="104"/>
      <c r="FHA96" s="104"/>
      <c r="FHB96" s="104"/>
      <c r="FHC96" s="104"/>
      <c r="FHD96" s="104"/>
      <c r="FHE96" s="104"/>
      <c r="FHF96" s="104"/>
      <c r="FHG96" s="104"/>
      <c r="FHH96" s="104"/>
      <c r="FHI96" s="104"/>
      <c r="FHJ96" s="104"/>
      <c r="FHK96" s="104"/>
      <c r="FHL96" s="104"/>
      <c r="FHM96" s="104"/>
      <c r="FHN96" s="104"/>
      <c r="FHO96" s="104"/>
      <c r="FHP96" s="104"/>
      <c r="FHQ96" s="104"/>
      <c r="FHR96" s="104"/>
      <c r="FHS96" s="104"/>
      <c r="FHT96" s="104"/>
      <c r="FHU96" s="104"/>
      <c r="FHV96" s="104"/>
      <c r="FHW96" s="104"/>
      <c r="FHX96" s="104"/>
      <c r="FHY96" s="104"/>
      <c r="FHZ96" s="104"/>
      <c r="FIA96" s="104"/>
      <c r="FIB96" s="104"/>
      <c r="FIC96" s="104"/>
      <c r="FID96" s="104"/>
      <c r="FIE96" s="104"/>
      <c r="FIF96" s="104"/>
      <c r="FIG96" s="104"/>
      <c r="FIH96" s="104"/>
      <c r="FII96" s="104"/>
      <c r="FIJ96" s="104"/>
      <c r="FIK96" s="104"/>
      <c r="FIL96" s="104"/>
      <c r="FIM96" s="104"/>
      <c r="FIN96" s="104"/>
      <c r="FIO96" s="104"/>
      <c r="FIP96" s="104"/>
      <c r="FIQ96" s="104"/>
      <c r="FIR96" s="104"/>
      <c r="FIS96" s="104"/>
      <c r="FIT96" s="104"/>
      <c r="FIU96" s="104"/>
      <c r="FIV96" s="104"/>
      <c r="FIW96" s="104"/>
      <c r="FIX96" s="104"/>
      <c r="FIY96" s="104"/>
      <c r="FIZ96" s="104"/>
      <c r="FJA96" s="104"/>
      <c r="FJB96" s="104"/>
      <c r="FJC96" s="104"/>
      <c r="FJD96" s="104"/>
      <c r="FJE96" s="104"/>
      <c r="FJF96" s="104"/>
      <c r="FJG96" s="104"/>
      <c r="FJH96" s="104"/>
      <c r="FJI96" s="104"/>
      <c r="FJJ96" s="104"/>
      <c r="FJK96" s="104"/>
      <c r="FJL96" s="104"/>
      <c r="FJM96" s="104"/>
      <c r="FJN96" s="104"/>
      <c r="FJO96" s="104"/>
      <c r="FJP96" s="104"/>
      <c r="FJQ96" s="104"/>
      <c r="FJR96" s="104"/>
      <c r="FJS96" s="104"/>
      <c r="FJT96" s="104"/>
      <c r="FJU96" s="104"/>
      <c r="FJV96" s="104"/>
      <c r="FJW96" s="104"/>
      <c r="FJX96" s="104"/>
      <c r="FJY96" s="104"/>
      <c r="FJZ96" s="104"/>
      <c r="FKA96" s="104"/>
      <c r="FKB96" s="104"/>
      <c r="FKC96" s="104"/>
      <c r="FKD96" s="104"/>
      <c r="FKE96" s="104"/>
      <c r="FKF96" s="104"/>
      <c r="FKG96" s="104"/>
      <c r="FKH96" s="104"/>
      <c r="FKI96" s="104"/>
      <c r="FKJ96" s="104"/>
      <c r="FKK96" s="104"/>
      <c r="FKL96" s="104"/>
      <c r="FKM96" s="104"/>
      <c r="FKN96" s="104"/>
      <c r="FKO96" s="104"/>
      <c r="FKP96" s="104"/>
      <c r="FKQ96" s="104"/>
      <c r="FKR96" s="104"/>
      <c r="FKS96" s="104"/>
      <c r="FKT96" s="104"/>
      <c r="FKU96" s="104"/>
      <c r="FKV96" s="104"/>
      <c r="FKW96" s="104"/>
      <c r="FKX96" s="104"/>
      <c r="FKY96" s="104"/>
      <c r="FKZ96" s="104"/>
      <c r="FLA96" s="104"/>
      <c r="FLB96" s="104"/>
      <c r="FLC96" s="104"/>
      <c r="FLD96" s="104"/>
      <c r="FLE96" s="104"/>
      <c r="FLF96" s="104"/>
      <c r="FLG96" s="104"/>
      <c r="FLH96" s="104"/>
      <c r="FLI96" s="104"/>
      <c r="FLJ96" s="104"/>
      <c r="FLK96" s="104"/>
      <c r="FLL96" s="104"/>
      <c r="FLM96" s="104"/>
      <c r="FLN96" s="104"/>
      <c r="FLO96" s="104"/>
      <c r="FLP96" s="104"/>
      <c r="FLQ96" s="104"/>
      <c r="FLR96" s="104"/>
      <c r="FLS96" s="104"/>
      <c r="FLT96" s="104"/>
      <c r="FLU96" s="104"/>
      <c r="FLV96" s="104"/>
      <c r="FLW96" s="104"/>
      <c r="FLX96" s="104"/>
      <c r="FLY96" s="104"/>
      <c r="FLZ96" s="104"/>
      <c r="FMA96" s="104"/>
      <c r="FMB96" s="104"/>
      <c r="FMC96" s="104"/>
      <c r="FMD96" s="104"/>
      <c r="FME96" s="104"/>
      <c r="FMF96" s="104"/>
      <c r="FMG96" s="104"/>
      <c r="FMH96" s="104"/>
      <c r="FMI96" s="104"/>
      <c r="FMJ96" s="104"/>
      <c r="FMK96" s="104"/>
      <c r="FML96" s="104"/>
      <c r="FMM96" s="104"/>
      <c r="FMN96" s="104"/>
      <c r="FMO96" s="104"/>
      <c r="FMP96" s="104"/>
      <c r="FMQ96" s="104"/>
      <c r="FMR96" s="104"/>
      <c r="FMS96" s="104"/>
      <c r="FMT96" s="104"/>
      <c r="FMU96" s="104"/>
      <c r="FMV96" s="104"/>
      <c r="FMW96" s="104"/>
      <c r="FMX96" s="104"/>
      <c r="FMY96" s="104"/>
      <c r="FMZ96" s="104"/>
      <c r="FNA96" s="104"/>
      <c r="FNB96" s="104"/>
      <c r="FNC96" s="104"/>
      <c r="FND96" s="104"/>
      <c r="FNE96" s="104"/>
      <c r="FNF96" s="104"/>
      <c r="FNG96" s="104"/>
      <c r="FNH96" s="104"/>
      <c r="FNI96" s="104"/>
      <c r="FNJ96" s="104"/>
      <c r="FNK96" s="104"/>
      <c r="FNL96" s="104"/>
      <c r="FNM96" s="104"/>
      <c r="FNN96" s="104"/>
      <c r="FNO96" s="104"/>
      <c r="FNP96" s="104"/>
      <c r="FNQ96" s="104"/>
      <c r="FNR96" s="104"/>
      <c r="FNS96" s="104"/>
      <c r="FNT96" s="104"/>
      <c r="FNU96" s="104"/>
      <c r="FNV96" s="104"/>
      <c r="FNW96" s="104"/>
      <c r="FNX96" s="104"/>
      <c r="FNY96" s="104"/>
      <c r="FNZ96" s="104"/>
      <c r="FOA96" s="104"/>
      <c r="FOB96" s="104"/>
      <c r="FOC96" s="104"/>
      <c r="FOD96" s="104"/>
      <c r="FOE96" s="104"/>
      <c r="FOF96" s="104"/>
      <c r="FOG96" s="104"/>
      <c r="FOH96" s="104"/>
      <c r="FOI96" s="104"/>
      <c r="FOJ96" s="104"/>
      <c r="FOK96" s="104"/>
      <c r="FOL96" s="104"/>
      <c r="FOM96" s="104"/>
      <c r="FON96" s="104"/>
      <c r="FOO96" s="104"/>
      <c r="FOP96" s="104"/>
      <c r="FOQ96" s="104"/>
      <c r="FOR96" s="104"/>
      <c r="FOS96" s="104"/>
      <c r="FOT96" s="104"/>
      <c r="FOU96" s="104"/>
      <c r="FOV96" s="104"/>
      <c r="FOW96" s="104"/>
      <c r="FOX96" s="104"/>
      <c r="FOY96" s="104"/>
      <c r="FOZ96" s="104"/>
      <c r="FPA96" s="104"/>
      <c r="FPB96" s="104"/>
      <c r="FPC96" s="104"/>
      <c r="FPD96" s="104"/>
      <c r="FPE96" s="104"/>
      <c r="FPF96" s="104"/>
      <c r="FPG96" s="104"/>
      <c r="FPH96" s="104"/>
      <c r="FPI96" s="104"/>
      <c r="FPJ96" s="104"/>
      <c r="FPK96" s="104"/>
      <c r="FPL96" s="104"/>
      <c r="FPM96" s="104"/>
      <c r="FPN96" s="104"/>
      <c r="FPO96" s="104"/>
      <c r="FPP96" s="104"/>
      <c r="FPQ96" s="104"/>
      <c r="FPR96" s="104"/>
      <c r="FPS96" s="104"/>
      <c r="FPT96" s="104"/>
      <c r="FPU96" s="104"/>
      <c r="FPV96" s="104"/>
      <c r="FPW96" s="104"/>
      <c r="FPX96" s="104"/>
      <c r="FPY96" s="104"/>
      <c r="FPZ96" s="104"/>
      <c r="FQA96" s="104"/>
      <c r="FQB96" s="104"/>
      <c r="FQC96" s="104"/>
      <c r="FQD96" s="104"/>
      <c r="FQE96" s="104"/>
      <c r="FQF96" s="104"/>
      <c r="FQG96" s="104"/>
      <c r="FQH96" s="104"/>
      <c r="FQI96" s="104"/>
      <c r="FQJ96" s="104"/>
      <c r="FQK96" s="104"/>
      <c r="FQL96" s="104"/>
      <c r="FQM96" s="104"/>
      <c r="FQN96" s="104"/>
      <c r="FQO96" s="104"/>
      <c r="FQP96" s="104"/>
      <c r="FQQ96" s="104"/>
      <c r="FQR96" s="104"/>
      <c r="FQS96" s="104"/>
      <c r="FQT96" s="104"/>
      <c r="FQU96" s="104"/>
      <c r="FQV96" s="104"/>
      <c r="FQW96" s="104"/>
      <c r="FQX96" s="104"/>
      <c r="FQY96" s="104"/>
      <c r="FQZ96" s="104"/>
      <c r="FRA96" s="104"/>
      <c r="FRB96" s="104"/>
      <c r="FRC96" s="104"/>
      <c r="FRD96" s="104"/>
      <c r="FRE96" s="104"/>
      <c r="FRF96" s="104"/>
      <c r="FRG96" s="104"/>
      <c r="FRH96" s="104"/>
      <c r="FRI96" s="104"/>
      <c r="FRJ96" s="104"/>
      <c r="FRK96" s="104"/>
      <c r="FRL96" s="104"/>
      <c r="FRM96" s="104"/>
      <c r="FRN96" s="104"/>
      <c r="FRO96" s="104"/>
      <c r="FRP96" s="104"/>
      <c r="FRQ96" s="104"/>
      <c r="FRR96" s="104"/>
      <c r="FRS96" s="104"/>
      <c r="FRT96" s="104"/>
      <c r="FRU96" s="104"/>
      <c r="FRV96" s="104"/>
      <c r="FRW96" s="104"/>
      <c r="FRX96" s="104"/>
      <c r="FRY96" s="104"/>
      <c r="FRZ96" s="104"/>
      <c r="FSA96" s="104"/>
      <c r="FSB96" s="104"/>
      <c r="FSC96" s="104"/>
      <c r="FSD96" s="104"/>
      <c r="FSE96" s="104"/>
      <c r="FSF96" s="104"/>
      <c r="FSG96" s="104"/>
      <c r="FSH96" s="104"/>
      <c r="FSI96" s="104"/>
      <c r="FSJ96" s="104"/>
      <c r="FSK96" s="104"/>
      <c r="FSL96" s="104"/>
      <c r="FSM96" s="104"/>
      <c r="FSN96" s="104"/>
      <c r="FSO96" s="104"/>
      <c r="FSP96" s="104"/>
      <c r="FSQ96" s="104"/>
      <c r="FSR96" s="104"/>
      <c r="FSS96" s="104"/>
      <c r="FST96" s="104"/>
      <c r="FSU96" s="104"/>
      <c r="FSV96" s="104"/>
      <c r="FSW96" s="104"/>
      <c r="FSX96" s="104"/>
      <c r="FSY96" s="104"/>
      <c r="FSZ96" s="104"/>
      <c r="FTA96" s="104"/>
      <c r="FTB96" s="104"/>
      <c r="FTC96" s="104"/>
      <c r="FTD96" s="104"/>
      <c r="FTE96" s="104"/>
      <c r="FTF96" s="104"/>
      <c r="FTG96" s="104"/>
      <c r="FTH96" s="104"/>
      <c r="FTI96" s="104"/>
      <c r="FTJ96" s="104"/>
      <c r="FTK96" s="104"/>
      <c r="FTL96" s="104"/>
      <c r="FTM96" s="104"/>
      <c r="FTN96" s="104"/>
      <c r="FTO96" s="104"/>
      <c r="FTP96" s="104"/>
      <c r="FTQ96" s="104"/>
      <c r="FTR96" s="104"/>
      <c r="FTS96" s="104"/>
      <c r="FTT96" s="104"/>
      <c r="FTU96" s="104"/>
      <c r="FTV96" s="104"/>
      <c r="FTW96" s="104"/>
      <c r="FTX96" s="104"/>
      <c r="FTY96" s="104"/>
      <c r="FTZ96" s="104"/>
      <c r="FUA96" s="104"/>
      <c r="FUB96" s="104"/>
      <c r="FUC96" s="104"/>
      <c r="FUD96" s="104"/>
      <c r="FUE96" s="104"/>
      <c r="FUF96" s="104"/>
      <c r="FUG96" s="104"/>
      <c r="FUH96" s="104"/>
      <c r="FUI96" s="104"/>
      <c r="FUJ96" s="104"/>
      <c r="FUK96" s="104"/>
      <c r="FUL96" s="104"/>
      <c r="FUM96" s="104"/>
      <c r="FUN96" s="104"/>
      <c r="FUO96" s="104"/>
      <c r="FUP96" s="104"/>
      <c r="FUQ96" s="104"/>
      <c r="FUR96" s="104"/>
      <c r="FUS96" s="104"/>
      <c r="FUT96" s="104"/>
      <c r="FUU96" s="104"/>
      <c r="FUV96" s="104"/>
      <c r="FUW96" s="104"/>
      <c r="FUX96" s="104"/>
      <c r="FUY96" s="104"/>
      <c r="FUZ96" s="104"/>
      <c r="FVA96" s="104"/>
      <c r="FVB96" s="104"/>
      <c r="FVC96" s="104"/>
      <c r="FVD96" s="104"/>
      <c r="FVE96" s="104"/>
      <c r="FVF96" s="104"/>
      <c r="FVG96" s="104"/>
      <c r="FVH96" s="104"/>
      <c r="FVI96" s="104"/>
      <c r="FVJ96" s="104"/>
      <c r="FVK96" s="104"/>
      <c r="FVL96" s="104"/>
      <c r="FVM96" s="104"/>
      <c r="FVN96" s="104"/>
      <c r="FVO96" s="104"/>
      <c r="FVP96" s="104"/>
      <c r="FVQ96" s="104"/>
      <c r="FVR96" s="104"/>
      <c r="FVS96" s="104"/>
      <c r="FVT96" s="104"/>
      <c r="FVU96" s="104"/>
      <c r="FVV96" s="104"/>
      <c r="FVW96" s="104"/>
      <c r="FVX96" s="104"/>
      <c r="FVY96" s="104"/>
      <c r="FVZ96" s="104"/>
      <c r="FWA96" s="104"/>
      <c r="FWB96" s="104"/>
      <c r="FWC96" s="104"/>
      <c r="FWD96" s="104"/>
      <c r="FWE96" s="104"/>
      <c r="FWF96" s="104"/>
      <c r="FWG96" s="104"/>
      <c r="FWH96" s="104"/>
      <c r="FWI96" s="104"/>
      <c r="FWJ96" s="104"/>
      <c r="FWK96" s="104"/>
      <c r="FWL96" s="104"/>
      <c r="FWM96" s="104"/>
      <c r="FWN96" s="104"/>
      <c r="FWO96" s="104"/>
      <c r="FWP96" s="104"/>
      <c r="FWQ96" s="104"/>
      <c r="FWR96" s="104"/>
      <c r="FWS96" s="104"/>
      <c r="FWT96" s="104"/>
      <c r="FWU96" s="104"/>
      <c r="FWV96" s="104"/>
      <c r="FWW96" s="104"/>
      <c r="FWX96" s="104"/>
      <c r="FWY96" s="104"/>
      <c r="FWZ96" s="104"/>
      <c r="FXA96" s="104"/>
      <c r="FXB96" s="104"/>
      <c r="FXC96" s="104"/>
      <c r="FXD96" s="104"/>
      <c r="FXE96" s="104"/>
      <c r="FXF96" s="104"/>
      <c r="FXG96" s="104"/>
      <c r="FXH96" s="104"/>
      <c r="FXI96" s="104"/>
      <c r="FXJ96" s="104"/>
      <c r="FXK96" s="104"/>
      <c r="FXL96" s="104"/>
      <c r="FXM96" s="104"/>
      <c r="FXN96" s="104"/>
      <c r="FXO96" s="104"/>
      <c r="FXP96" s="104"/>
      <c r="FXQ96" s="104"/>
      <c r="FXR96" s="104"/>
      <c r="FXS96" s="104"/>
      <c r="FXT96" s="104"/>
      <c r="FXU96" s="104"/>
      <c r="FXV96" s="104"/>
      <c r="FXW96" s="104"/>
      <c r="FXX96" s="104"/>
      <c r="FXY96" s="104"/>
      <c r="FXZ96" s="104"/>
      <c r="FYA96" s="104"/>
      <c r="FYB96" s="104"/>
      <c r="FYC96" s="104"/>
      <c r="FYD96" s="104"/>
      <c r="FYE96" s="104"/>
      <c r="FYF96" s="104"/>
      <c r="FYG96" s="104"/>
      <c r="FYH96" s="104"/>
      <c r="FYI96" s="104"/>
      <c r="FYJ96" s="104"/>
      <c r="FYK96" s="104"/>
      <c r="FYL96" s="104"/>
      <c r="FYM96" s="104"/>
      <c r="FYN96" s="104"/>
      <c r="FYO96" s="104"/>
      <c r="FYP96" s="104"/>
      <c r="FYQ96" s="104"/>
      <c r="FYR96" s="104"/>
      <c r="FYS96" s="104"/>
      <c r="FYT96" s="104"/>
      <c r="FYU96" s="104"/>
      <c r="FYV96" s="104"/>
      <c r="FYW96" s="104"/>
      <c r="FYX96" s="104"/>
      <c r="FYY96" s="104"/>
      <c r="FYZ96" s="104"/>
      <c r="FZA96" s="104"/>
      <c r="FZB96" s="104"/>
      <c r="FZC96" s="104"/>
      <c r="FZD96" s="104"/>
      <c r="FZE96" s="104"/>
      <c r="FZF96" s="104"/>
      <c r="FZG96" s="104"/>
      <c r="FZH96" s="104"/>
      <c r="FZI96" s="104"/>
      <c r="FZJ96" s="104"/>
      <c r="FZK96" s="104"/>
      <c r="FZL96" s="104"/>
      <c r="FZM96" s="104"/>
      <c r="FZN96" s="104"/>
      <c r="FZO96" s="104"/>
      <c r="FZP96" s="104"/>
      <c r="FZQ96" s="104"/>
      <c r="FZR96" s="104"/>
      <c r="FZS96" s="104"/>
      <c r="FZT96" s="104"/>
      <c r="FZU96" s="104"/>
      <c r="FZV96" s="104"/>
      <c r="FZW96" s="104"/>
      <c r="FZX96" s="104"/>
      <c r="FZY96" s="104"/>
      <c r="FZZ96" s="104"/>
      <c r="GAA96" s="104"/>
      <c r="GAB96" s="104"/>
      <c r="GAC96" s="104"/>
      <c r="GAD96" s="104"/>
      <c r="GAE96" s="104"/>
      <c r="GAF96" s="104"/>
      <c r="GAG96" s="104"/>
      <c r="GAH96" s="104"/>
      <c r="GAI96" s="104"/>
      <c r="GAJ96" s="104"/>
      <c r="GAK96" s="104"/>
      <c r="GAL96" s="104"/>
      <c r="GAM96" s="104"/>
      <c r="GAN96" s="104"/>
      <c r="GAO96" s="104"/>
      <c r="GAP96" s="104"/>
      <c r="GAQ96" s="104"/>
      <c r="GAR96" s="104"/>
      <c r="GAS96" s="104"/>
      <c r="GAT96" s="104"/>
      <c r="GAU96" s="104"/>
      <c r="GAV96" s="104"/>
      <c r="GAW96" s="104"/>
      <c r="GAX96" s="104"/>
      <c r="GAY96" s="104"/>
      <c r="GAZ96" s="104"/>
      <c r="GBA96" s="104"/>
      <c r="GBB96" s="104"/>
      <c r="GBC96" s="104"/>
      <c r="GBD96" s="104"/>
      <c r="GBE96" s="104"/>
      <c r="GBF96" s="104"/>
      <c r="GBG96" s="104"/>
      <c r="GBH96" s="104"/>
      <c r="GBI96" s="104"/>
      <c r="GBJ96" s="104"/>
      <c r="GBK96" s="104"/>
      <c r="GBL96" s="104"/>
      <c r="GBM96" s="104"/>
      <c r="GBN96" s="104"/>
      <c r="GBO96" s="104"/>
      <c r="GBP96" s="104"/>
      <c r="GBQ96" s="104"/>
      <c r="GBR96" s="104"/>
      <c r="GBS96" s="104"/>
      <c r="GBT96" s="104"/>
      <c r="GBU96" s="104"/>
      <c r="GBV96" s="104"/>
      <c r="GBW96" s="104"/>
      <c r="GBX96" s="104"/>
      <c r="GBY96" s="104"/>
      <c r="GBZ96" s="104"/>
      <c r="GCA96" s="104"/>
      <c r="GCB96" s="104"/>
      <c r="GCC96" s="104"/>
      <c r="GCD96" s="104"/>
      <c r="GCE96" s="104"/>
      <c r="GCF96" s="104"/>
      <c r="GCG96" s="104"/>
      <c r="GCH96" s="104"/>
      <c r="GCI96" s="104"/>
      <c r="GCJ96" s="104"/>
      <c r="GCK96" s="104"/>
      <c r="GCL96" s="104"/>
      <c r="GCM96" s="104"/>
      <c r="GCN96" s="104"/>
      <c r="GCO96" s="104"/>
      <c r="GCP96" s="104"/>
      <c r="GCQ96" s="104"/>
      <c r="GCR96" s="104"/>
      <c r="GCS96" s="104"/>
      <c r="GCT96" s="104"/>
      <c r="GCU96" s="104"/>
      <c r="GCV96" s="104"/>
      <c r="GCW96" s="104"/>
      <c r="GCX96" s="104"/>
      <c r="GCY96" s="104"/>
      <c r="GCZ96" s="104"/>
      <c r="GDA96" s="104"/>
      <c r="GDB96" s="104"/>
      <c r="GDC96" s="104"/>
      <c r="GDD96" s="104"/>
      <c r="GDE96" s="104"/>
      <c r="GDF96" s="104"/>
      <c r="GDG96" s="104"/>
      <c r="GDH96" s="104"/>
      <c r="GDI96" s="104"/>
      <c r="GDJ96" s="104"/>
      <c r="GDK96" s="104"/>
      <c r="GDL96" s="104"/>
      <c r="GDM96" s="104"/>
      <c r="GDN96" s="104"/>
      <c r="GDO96" s="104"/>
      <c r="GDP96" s="104"/>
      <c r="GDQ96" s="104"/>
      <c r="GDR96" s="104"/>
      <c r="GDS96" s="104"/>
      <c r="GDT96" s="104"/>
      <c r="GDU96" s="104"/>
      <c r="GDV96" s="104"/>
      <c r="GDW96" s="104"/>
      <c r="GDX96" s="104"/>
      <c r="GDY96" s="104"/>
      <c r="GDZ96" s="104"/>
      <c r="GEA96" s="104"/>
      <c r="GEB96" s="104"/>
      <c r="GEC96" s="104"/>
      <c r="GED96" s="104"/>
      <c r="GEE96" s="104"/>
      <c r="GEF96" s="104"/>
      <c r="GEG96" s="104"/>
      <c r="GEH96" s="104"/>
      <c r="GEI96" s="104"/>
      <c r="GEJ96" s="104"/>
      <c r="GEK96" s="104"/>
      <c r="GEL96" s="104"/>
      <c r="GEM96" s="104"/>
      <c r="GEN96" s="104"/>
      <c r="GEO96" s="104"/>
      <c r="GEP96" s="104"/>
      <c r="GEQ96" s="104"/>
      <c r="GER96" s="104"/>
      <c r="GES96" s="104"/>
      <c r="GET96" s="104"/>
      <c r="GEU96" s="104"/>
      <c r="GEV96" s="104"/>
      <c r="GEW96" s="104"/>
      <c r="GEX96" s="104"/>
      <c r="GEY96" s="104"/>
      <c r="GEZ96" s="104"/>
      <c r="GFA96" s="104"/>
      <c r="GFB96" s="104"/>
      <c r="GFC96" s="104"/>
      <c r="GFD96" s="104"/>
      <c r="GFE96" s="104"/>
      <c r="GFF96" s="104"/>
      <c r="GFG96" s="104"/>
      <c r="GFH96" s="104"/>
      <c r="GFI96" s="104"/>
      <c r="GFJ96" s="104"/>
      <c r="GFK96" s="104"/>
      <c r="GFL96" s="104"/>
      <c r="GFM96" s="104"/>
      <c r="GFN96" s="104"/>
      <c r="GFO96" s="104"/>
      <c r="GFP96" s="104"/>
      <c r="GFQ96" s="104"/>
      <c r="GFR96" s="104"/>
      <c r="GFS96" s="104"/>
      <c r="GFT96" s="104"/>
      <c r="GFU96" s="104"/>
      <c r="GFV96" s="104"/>
      <c r="GFW96" s="104"/>
      <c r="GFX96" s="104"/>
      <c r="GFY96" s="104"/>
      <c r="GFZ96" s="104"/>
      <c r="GGA96" s="104"/>
      <c r="GGB96" s="104"/>
      <c r="GGC96" s="104"/>
      <c r="GGD96" s="104"/>
      <c r="GGE96" s="104"/>
      <c r="GGF96" s="104"/>
      <c r="GGG96" s="104"/>
      <c r="GGH96" s="104"/>
      <c r="GGI96" s="104"/>
      <c r="GGJ96" s="104"/>
      <c r="GGK96" s="104"/>
      <c r="GGL96" s="104"/>
      <c r="GGM96" s="104"/>
      <c r="GGN96" s="104"/>
      <c r="GGO96" s="104"/>
      <c r="GGP96" s="104"/>
      <c r="GGQ96" s="104"/>
      <c r="GGR96" s="104"/>
      <c r="GGS96" s="104"/>
      <c r="GGT96" s="104"/>
      <c r="GGU96" s="104"/>
      <c r="GGV96" s="104"/>
      <c r="GGW96" s="104"/>
      <c r="GGX96" s="104"/>
      <c r="GGY96" s="104"/>
      <c r="GGZ96" s="104"/>
      <c r="GHA96" s="104"/>
      <c r="GHB96" s="104"/>
      <c r="GHC96" s="104"/>
      <c r="GHD96" s="104"/>
      <c r="GHE96" s="104"/>
      <c r="GHF96" s="104"/>
      <c r="GHG96" s="104"/>
      <c r="GHH96" s="104"/>
      <c r="GHI96" s="104"/>
      <c r="GHJ96" s="104"/>
      <c r="GHK96" s="104"/>
      <c r="GHL96" s="104"/>
      <c r="GHM96" s="104"/>
      <c r="GHN96" s="104"/>
      <c r="GHO96" s="104"/>
      <c r="GHP96" s="104"/>
      <c r="GHQ96" s="104"/>
      <c r="GHR96" s="104"/>
      <c r="GHS96" s="104"/>
      <c r="GHT96" s="104"/>
      <c r="GHU96" s="104"/>
      <c r="GHV96" s="104"/>
      <c r="GHW96" s="104"/>
      <c r="GHX96" s="104"/>
      <c r="GHY96" s="104"/>
      <c r="GHZ96" s="104"/>
      <c r="GIA96" s="104"/>
      <c r="GIB96" s="104"/>
      <c r="GIC96" s="104"/>
      <c r="GID96" s="104"/>
      <c r="GIE96" s="104"/>
      <c r="GIF96" s="104"/>
      <c r="GIG96" s="104"/>
      <c r="GIH96" s="104"/>
      <c r="GII96" s="104"/>
      <c r="GIJ96" s="104"/>
      <c r="GIK96" s="104"/>
      <c r="GIL96" s="104"/>
      <c r="GIM96" s="104"/>
      <c r="GIN96" s="104"/>
      <c r="GIO96" s="104"/>
      <c r="GIP96" s="104"/>
      <c r="GIQ96" s="104"/>
      <c r="GIR96" s="104"/>
      <c r="GIS96" s="104"/>
      <c r="GIT96" s="104"/>
      <c r="GIU96" s="104"/>
      <c r="GIV96" s="104"/>
      <c r="GIW96" s="104"/>
      <c r="GIX96" s="104"/>
      <c r="GIY96" s="104"/>
      <c r="GIZ96" s="104"/>
      <c r="GJA96" s="104"/>
      <c r="GJB96" s="104"/>
      <c r="GJC96" s="104"/>
      <c r="GJD96" s="104"/>
      <c r="GJE96" s="104"/>
      <c r="GJF96" s="104"/>
      <c r="GJG96" s="104"/>
      <c r="GJH96" s="104"/>
      <c r="GJI96" s="104"/>
      <c r="GJJ96" s="104"/>
      <c r="GJK96" s="104"/>
      <c r="GJL96" s="104"/>
      <c r="GJM96" s="104"/>
      <c r="GJN96" s="104"/>
      <c r="GJO96" s="104"/>
      <c r="GJP96" s="104"/>
      <c r="GJQ96" s="104"/>
      <c r="GJR96" s="104"/>
      <c r="GJS96" s="104"/>
      <c r="GJT96" s="104"/>
      <c r="GJU96" s="104"/>
      <c r="GJV96" s="104"/>
      <c r="GJW96" s="104"/>
      <c r="GJX96" s="104"/>
      <c r="GJY96" s="104"/>
      <c r="GJZ96" s="104"/>
      <c r="GKA96" s="104"/>
      <c r="GKB96" s="104"/>
      <c r="GKC96" s="104"/>
      <c r="GKD96" s="104"/>
      <c r="GKE96" s="104"/>
      <c r="GKF96" s="104"/>
      <c r="GKG96" s="104"/>
      <c r="GKH96" s="104"/>
      <c r="GKI96" s="104"/>
      <c r="GKJ96" s="104"/>
      <c r="GKK96" s="104"/>
      <c r="GKL96" s="104"/>
      <c r="GKM96" s="104"/>
      <c r="GKN96" s="104"/>
      <c r="GKO96" s="104"/>
      <c r="GKP96" s="104"/>
      <c r="GKQ96" s="104"/>
      <c r="GKR96" s="104"/>
      <c r="GKS96" s="104"/>
      <c r="GKT96" s="104"/>
      <c r="GKU96" s="104"/>
      <c r="GKV96" s="104"/>
      <c r="GKW96" s="104"/>
      <c r="GKX96" s="104"/>
      <c r="GKY96" s="104"/>
      <c r="GKZ96" s="104"/>
      <c r="GLA96" s="104"/>
      <c r="GLB96" s="104"/>
      <c r="GLC96" s="104"/>
      <c r="GLD96" s="104"/>
      <c r="GLE96" s="104"/>
      <c r="GLF96" s="104"/>
      <c r="GLG96" s="104"/>
      <c r="GLH96" s="104"/>
      <c r="GLI96" s="104"/>
      <c r="GLJ96" s="104"/>
      <c r="GLK96" s="104"/>
      <c r="GLL96" s="104"/>
      <c r="GLM96" s="104"/>
      <c r="GLN96" s="104"/>
      <c r="GLO96" s="104"/>
      <c r="GLP96" s="104"/>
      <c r="GLQ96" s="104"/>
      <c r="GLR96" s="104"/>
      <c r="GLS96" s="104"/>
      <c r="GLT96" s="104"/>
      <c r="GLU96" s="104"/>
      <c r="GLV96" s="104"/>
      <c r="GLW96" s="104"/>
      <c r="GLX96" s="104"/>
      <c r="GLY96" s="104"/>
      <c r="GLZ96" s="104"/>
      <c r="GMA96" s="104"/>
      <c r="GMB96" s="104"/>
      <c r="GMC96" s="104"/>
      <c r="GMD96" s="104"/>
      <c r="GME96" s="104"/>
      <c r="GMF96" s="104"/>
      <c r="GMG96" s="104"/>
      <c r="GMH96" s="104"/>
      <c r="GMI96" s="104"/>
      <c r="GMJ96" s="104"/>
      <c r="GMK96" s="104"/>
      <c r="GML96" s="104"/>
      <c r="GMM96" s="104"/>
      <c r="GMN96" s="104"/>
      <c r="GMO96" s="104"/>
      <c r="GMP96" s="104"/>
      <c r="GMQ96" s="104"/>
      <c r="GMR96" s="104"/>
      <c r="GMS96" s="104"/>
      <c r="GMT96" s="104"/>
      <c r="GMU96" s="104"/>
      <c r="GMV96" s="104"/>
      <c r="GMW96" s="104"/>
      <c r="GMX96" s="104"/>
      <c r="GMY96" s="104"/>
      <c r="GMZ96" s="104"/>
      <c r="GNA96" s="104"/>
      <c r="GNB96" s="104"/>
      <c r="GNC96" s="104"/>
      <c r="GND96" s="104"/>
      <c r="GNE96" s="104"/>
      <c r="GNF96" s="104"/>
      <c r="GNG96" s="104"/>
      <c r="GNH96" s="104"/>
      <c r="GNI96" s="104"/>
      <c r="GNJ96" s="104"/>
      <c r="GNK96" s="104"/>
      <c r="GNL96" s="104"/>
      <c r="GNM96" s="104"/>
      <c r="GNN96" s="104"/>
      <c r="GNO96" s="104"/>
      <c r="GNP96" s="104"/>
      <c r="GNQ96" s="104"/>
      <c r="GNR96" s="104"/>
      <c r="GNS96" s="104"/>
      <c r="GNT96" s="104"/>
      <c r="GNU96" s="104"/>
      <c r="GNV96" s="104"/>
      <c r="GNW96" s="104"/>
      <c r="GNX96" s="104"/>
      <c r="GNY96" s="104"/>
      <c r="GNZ96" s="104"/>
      <c r="GOA96" s="104"/>
      <c r="GOB96" s="104"/>
      <c r="GOC96" s="104"/>
      <c r="GOD96" s="104"/>
      <c r="GOE96" s="104"/>
      <c r="GOF96" s="104"/>
      <c r="GOG96" s="104"/>
      <c r="GOH96" s="104"/>
      <c r="GOI96" s="104"/>
      <c r="GOJ96" s="104"/>
      <c r="GOK96" s="104"/>
      <c r="GOL96" s="104"/>
      <c r="GOM96" s="104"/>
      <c r="GON96" s="104"/>
      <c r="GOO96" s="104"/>
      <c r="GOP96" s="104"/>
      <c r="GOQ96" s="104"/>
      <c r="GOR96" s="104"/>
      <c r="GOS96" s="104"/>
      <c r="GOT96" s="104"/>
      <c r="GOU96" s="104"/>
      <c r="GOV96" s="104"/>
      <c r="GOW96" s="104"/>
      <c r="GOX96" s="104"/>
      <c r="GOY96" s="104"/>
      <c r="GOZ96" s="104"/>
      <c r="GPA96" s="104"/>
      <c r="GPB96" s="104"/>
      <c r="GPC96" s="104"/>
      <c r="GPD96" s="104"/>
      <c r="GPE96" s="104"/>
      <c r="GPF96" s="104"/>
      <c r="GPG96" s="104"/>
      <c r="GPH96" s="104"/>
      <c r="GPI96" s="104"/>
      <c r="GPJ96" s="104"/>
      <c r="GPK96" s="104"/>
      <c r="GPL96" s="104"/>
      <c r="GPM96" s="104"/>
      <c r="GPN96" s="104"/>
      <c r="GPO96" s="104"/>
      <c r="GPP96" s="104"/>
      <c r="GPQ96" s="104"/>
      <c r="GPR96" s="104"/>
      <c r="GPS96" s="104"/>
      <c r="GPT96" s="104"/>
      <c r="GPU96" s="104"/>
      <c r="GPV96" s="104"/>
      <c r="GPW96" s="104"/>
      <c r="GPX96" s="104"/>
      <c r="GPY96" s="104"/>
      <c r="GPZ96" s="104"/>
      <c r="GQA96" s="104"/>
      <c r="GQB96" s="104"/>
      <c r="GQC96" s="104"/>
      <c r="GQD96" s="104"/>
      <c r="GQE96" s="104"/>
      <c r="GQF96" s="104"/>
      <c r="GQG96" s="104"/>
      <c r="GQH96" s="104"/>
      <c r="GQI96" s="104"/>
      <c r="GQJ96" s="104"/>
      <c r="GQK96" s="104"/>
      <c r="GQL96" s="104"/>
      <c r="GQM96" s="104"/>
      <c r="GQN96" s="104"/>
      <c r="GQO96" s="104"/>
      <c r="GQP96" s="104"/>
      <c r="GQQ96" s="104"/>
      <c r="GQR96" s="104"/>
      <c r="GQS96" s="104"/>
      <c r="GQT96" s="104"/>
      <c r="GQU96" s="104"/>
      <c r="GQV96" s="104"/>
      <c r="GQW96" s="104"/>
      <c r="GQX96" s="104"/>
      <c r="GQY96" s="104"/>
      <c r="GQZ96" s="104"/>
      <c r="GRA96" s="104"/>
      <c r="GRB96" s="104"/>
      <c r="GRC96" s="104"/>
      <c r="GRD96" s="104"/>
      <c r="GRE96" s="104"/>
      <c r="GRF96" s="104"/>
      <c r="GRG96" s="104"/>
      <c r="GRH96" s="104"/>
      <c r="GRI96" s="104"/>
      <c r="GRJ96" s="104"/>
      <c r="GRK96" s="104"/>
      <c r="GRL96" s="104"/>
      <c r="GRM96" s="104"/>
      <c r="GRN96" s="104"/>
      <c r="GRO96" s="104"/>
      <c r="GRP96" s="104"/>
      <c r="GRQ96" s="104"/>
      <c r="GRR96" s="104"/>
      <c r="GRS96" s="104"/>
      <c r="GRT96" s="104"/>
      <c r="GRU96" s="104"/>
      <c r="GRV96" s="104"/>
      <c r="GRW96" s="104"/>
      <c r="GRX96" s="104"/>
      <c r="GRY96" s="104"/>
      <c r="GRZ96" s="104"/>
      <c r="GSA96" s="104"/>
      <c r="GSB96" s="104"/>
      <c r="GSC96" s="104"/>
      <c r="GSD96" s="104"/>
      <c r="GSE96" s="104"/>
      <c r="GSF96" s="104"/>
      <c r="GSG96" s="104"/>
      <c r="GSH96" s="104"/>
      <c r="GSI96" s="104"/>
      <c r="GSJ96" s="104"/>
      <c r="GSK96" s="104"/>
      <c r="GSL96" s="104"/>
      <c r="GSM96" s="104"/>
      <c r="GSN96" s="104"/>
      <c r="GSO96" s="104"/>
      <c r="GSP96" s="104"/>
      <c r="GSQ96" s="104"/>
      <c r="GSR96" s="104"/>
      <c r="GSS96" s="104"/>
      <c r="GST96" s="104"/>
      <c r="GSU96" s="104"/>
      <c r="GSV96" s="104"/>
      <c r="GSW96" s="104"/>
      <c r="GSX96" s="104"/>
      <c r="GSY96" s="104"/>
      <c r="GSZ96" s="104"/>
      <c r="GTA96" s="104"/>
      <c r="GTB96" s="104"/>
      <c r="GTC96" s="104"/>
      <c r="GTD96" s="104"/>
      <c r="GTE96" s="104"/>
      <c r="GTF96" s="104"/>
      <c r="GTG96" s="104"/>
      <c r="GTH96" s="104"/>
      <c r="GTI96" s="104"/>
      <c r="GTJ96" s="104"/>
      <c r="GTK96" s="104"/>
      <c r="GTL96" s="104"/>
      <c r="GTM96" s="104"/>
      <c r="GTN96" s="104"/>
      <c r="GTO96" s="104"/>
      <c r="GTP96" s="104"/>
      <c r="GTQ96" s="104"/>
      <c r="GTR96" s="104"/>
      <c r="GTS96" s="104"/>
      <c r="GTT96" s="104"/>
      <c r="GTU96" s="104"/>
      <c r="GTV96" s="104"/>
      <c r="GTW96" s="104"/>
      <c r="GTX96" s="104"/>
      <c r="GTY96" s="104"/>
      <c r="GTZ96" s="104"/>
      <c r="GUA96" s="104"/>
      <c r="GUB96" s="104"/>
      <c r="GUC96" s="104"/>
      <c r="GUD96" s="104"/>
      <c r="GUE96" s="104"/>
      <c r="GUF96" s="104"/>
      <c r="GUG96" s="104"/>
      <c r="GUH96" s="104"/>
      <c r="GUI96" s="104"/>
      <c r="GUJ96" s="104"/>
      <c r="GUK96" s="104"/>
      <c r="GUL96" s="104"/>
      <c r="GUM96" s="104"/>
      <c r="GUN96" s="104"/>
      <c r="GUO96" s="104"/>
      <c r="GUP96" s="104"/>
      <c r="GUQ96" s="104"/>
      <c r="GUR96" s="104"/>
      <c r="GUS96" s="104"/>
      <c r="GUT96" s="104"/>
      <c r="GUU96" s="104"/>
      <c r="GUV96" s="104"/>
      <c r="GUW96" s="104"/>
      <c r="GUX96" s="104"/>
      <c r="GUY96" s="104"/>
      <c r="GUZ96" s="104"/>
      <c r="GVA96" s="104"/>
      <c r="GVB96" s="104"/>
      <c r="GVC96" s="104"/>
      <c r="GVD96" s="104"/>
      <c r="GVE96" s="104"/>
      <c r="GVF96" s="104"/>
      <c r="GVG96" s="104"/>
      <c r="GVH96" s="104"/>
      <c r="GVI96" s="104"/>
      <c r="GVJ96" s="104"/>
      <c r="GVK96" s="104"/>
      <c r="GVL96" s="104"/>
      <c r="GVM96" s="104"/>
      <c r="GVN96" s="104"/>
      <c r="GVO96" s="104"/>
      <c r="GVP96" s="104"/>
      <c r="GVQ96" s="104"/>
      <c r="GVR96" s="104"/>
      <c r="GVS96" s="104"/>
      <c r="GVT96" s="104"/>
      <c r="GVU96" s="104"/>
      <c r="GVV96" s="104"/>
      <c r="GVW96" s="104"/>
      <c r="GVX96" s="104"/>
      <c r="GVY96" s="104"/>
      <c r="GVZ96" s="104"/>
      <c r="GWA96" s="104"/>
      <c r="GWB96" s="104"/>
      <c r="GWC96" s="104"/>
      <c r="GWD96" s="104"/>
      <c r="GWE96" s="104"/>
      <c r="GWF96" s="104"/>
      <c r="GWG96" s="104"/>
      <c r="GWH96" s="104"/>
      <c r="GWI96" s="104"/>
      <c r="GWJ96" s="104"/>
      <c r="GWK96" s="104"/>
      <c r="GWL96" s="104"/>
      <c r="GWM96" s="104"/>
      <c r="GWN96" s="104"/>
      <c r="GWO96" s="104"/>
      <c r="GWP96" s="104"/>
      <c r="GWQ96" s="104"/>
      <c r="GWR96" s="104"/>
      <c r="GWS96" s="104"/>
      <c r="GWT96" s="104"/>
      <c r="GWU96" s="104"/>
      <c r="GWV96" s="104"/>
      <c r="GWW96" s="104"/>
      <c r="GWX96" s="104"/>
      <c r="GWY96" s="104"/>
      <c r="GWZ96" s="104"/>
      <c r="GXA96" s="104"/>
      <c r="GXB96" s="104"/>
      <c r="GXC96" s="104"/>
      <c r="GXD96" s="104"/>
      <c r="GXE96" s="104"/>
      <c r="GXF96" s="104"/>
      <c r="GXG96" s="104"/>
      <c r="GXH96" s="104"/>
      <c r="GXI96" s="104"/>
      <c r="GXJ96" s="104"/>
      <c r="GXK96" s="104"/>
      <c r="GXL96" s="104"/>
      <c r="GXM96" s="104"/>
      <c r="GXN96" s="104"/>
      <c r="GXO96" s="104"/>
      <c r="GXP96" s="104"/>
      <c r="GXQ96" s="104"/>
      <c r="GXR96" s="104"/>
      <c r="GXS96" s="104"/>
      <c r="GXT96" s="104"/>
      <c r="GXU96" s="104"/>
      <c r="GXV96" s="104"/>
      <c r="GXW96" s="104"/>
      <c r="GXX96" s="104"/>
      <c r="GXY96" s="104"/>
      <c r="GXZ96" s="104"/>
      <c r="GYA96" s="104"/>
      <c r="GYB96" s="104"/>
      <c r="GYC96" s="104"/>
      <c r="GYD96" s="104"/>
      <c r="GYE96" s="104"/>
      <c r="GYF96" s="104"/>
      <c r="GYG96" s="104"/>
      <c r="GYH96" s="104"/>
      <c r="GYI96" s="104"/>
      <c r="GYJ96" s="104"/>
      <c r="GYK96" s="104"/>
      <c r="GYL96" s="104"/>
      <c r="GYM96" s="104"/>
      <c r="GYN96" s="104"/>
      <c r="GYO96" s="104"/>
      <c r="GYP96" s="104"/>
      <c r="GYQ96" s="104"/>
      <c r="GYR96" s="104"/>
      <c r="GYS96" s="104"/>
      <c r="GYT96" s="104"/>
      <c r="GYU96" s="104"/>
      <c r="GYV96" s="104"/>
      <c r="GYW96" s="104"/>
      <c r="GYX96" s="104"/>
      <c r="GYY96" s="104"/>
      <c r="GYZ96" s="104"/>
      <c r="GZA96" s="104"/>
      <c r="GZB96" s="104"/>
      <c r="GZC96" s="104"/>
      <c r="GZD96" s="104"/>
      <c r="GZE96" s="104"/>
      <c r="GZF96" s="104"/>
      <c r="GZG96" s="104"/>
      <c r="GZH96" s="104"/>
      <c r="GZI96" s="104"/>
      <c r="GZJ96" s="104"/>
      <c r="GZK96" s="104"/>
      <c r="GZL96" s="104"/>
      <c r="GZM96" s="104"/>
      <c r="GZN96" s="104"/>
      <c r="GZO96" s="104"/>
      <c r="GZP96" s="104"/>
      <c r="GZQ96" s="104"/>
      <c r="GZR96" s="104"/>
      <c r="GZS96" s="104"/>
      <c r="GZT96" s="104"/>
      <c r="GZU96" s="104"/>
      <c r="GZV96" s="104"/>
      <c r="GZW96" s="104"/>
      <c r="GZX96" s="104"/>
      <c r="GZY96" s="104"/>
      <c r="GZZ96" s="104"/>
      <c r="HAA96" s="104"/>
      <c r="HAB96" s="104"/>
      <c r="HAC96" s="104"/>
      <c r="HAD96" s="104"/>
      <c r="HAE96" s="104"/>
      <c r="HAF96" s="104"/>
      <c r="HAG96" s="104"/>
      <c r="HAH96" s="104"/>
      <c r="HAI96" s="104"/>
      <c r="HAJ96" s="104"/>
      <c r="HAK96" s="104"/>
      <c r="HAL96" s="104"/>
      <c r="HAM96" s="104"/>
      <c r="HAN96" s="104"/>
      <c r="HAO96" s="104"/>
      <c r="HAP96" s="104"/>
      <c r="HAQ96" s="104"/>
      <c r="HAR96" s="104"/>
      <c r="HAS96" s="104"/>
      <c r="HAT96" s="104"/>
      <c r="HAU96" s="104"/>
      <c r="HAV96" s="104"/>
      <c r="HAW96" s="104"/>
      <c r="HAX96" s="104"/>
      <c r="HAY96" s="104"/>
      <c r="HAZ96" s="104"/>
      <c r="HBA96" s="104"/>
      <c r="HBB96" s="104"/>
      <c r="HBC96" s="104"/>
      <c r="HBD96" s="104"/>
      <c r="HBE96" s="104"/>
      <c r="HBF96" s="104"/>
      <c r="HBG96" s="104"/>
      <c r="HBH96" s="104"/>
      <c r="HBI96" s="104"/>
      <c r="HBJ96" s="104"/>
      <c r="HBK96" s="104"/>
      <c r="HBL96" s="104"/>
      <c r="HBM96" s="104"/>
      <c r="HBN96" s="104"/>
      <c r="HBO96" s="104"/>
      <c r="HBP96" s="104"/>
      <c r="HBQ96" s="104"/>
      <c r="HBR96" s="104"/>
      <c r="HBS96" s="104"/>
      <c r="HBT96" s="104"/>
      <c r="HBU96" s="104"/>
      <c r="HBV96" s="104"/>
      <c r="HBW96" s="104"/>
      <c r="HBX96" s="104"/>
      <c r="HBY96" s="104"/>
      <c r="HBZ96" s="104"/>
      <c r="HCA96" s="104"/>
      <c r="HCB96" s="104"/>
      <c r="HCC96" s="104"/>
      <c r="HCD96" s="104"/>
      <c r="HCE96" s="104"/>
      <c r="HCF96" s="104"/>
      <c r="HCG96" s="104"/>
      <c r="HCH96" s="104"/>
      <c r="HCI96" s="104"/>
      <c r="HCJ96" s="104"/>
      <c r="HCK96" s="104"/>
      <c r="HCL96" s="104"/>
      <c r="HCM96" s="104"/>
      <c r="HCN96" s="104"/>
      <c r="HCO96" s="104"/>
      <c r="HCP96" s="104"/>
      <c r="HCQ96" s="104"/>
      <c r="HCR96" s="104"/>
      <c r="HCS96" s="104"/>
      <c r="HCT96" s="104"/>
      <c r="HCU96" s="104"/>
      <c r="HCV96" s="104"/>
      <c r="HCW96" s="104"/>
      <c r="HCX96" s="104"/>
      <c r="HCY96" s="104"/>
      <c r="HCZ96" s="104"/>
      <c r="HDA96" s="104"/>
      <c r="HDB96" s="104"/>
      <c r="HDC96" s="104"/>
      <c r="HDD96" s="104"/>
      <c r="HDE96" s="104"/>
      <c r="HDF96" s="104"/>
      <c r="HDG96" s="104"/>
      <c r="HDH96" s="104"/>
      <c r="HDI96" s="104"/>
      <c r="HDJ96" s="104"/>
      <c r="HDK96" s="104"/>
      <c r="HDL96" s="104"/>
      <c r="HDM96" s="104"/>
      <c r="HDN96" s="104"/>
      <c r="HDO96" s="104"/>
      <c r="HDP96" s="104"/>
      <c r="HDQ96" s="104"/>
      <c r="HDR96" s="104"/>
      <c r="HDS96" s="104"/>
      <c r="HDT96" s="104"/>
      <c r="HDU96" s="104"/>
      <c r="HDV96" s="104"/>
      <c r="HDW96" s="104"/>
      <c r="HDX96" s="104"/>
      <c r="HDY96" s="104"/>
      <c r="HDZ96" s="104"/>
      <c r="HEA96" s="104"/>
      <c r="HEB96" s="104"/>
      <c r="HEC96" s="104"/>
      <c r="HED96" s="104"/>
      <c r="HEE96" s="104"/>
      <c r="HEF96" s="104"/>
      <c r="HEG96" s="104"/>
      <c r="HEH96" s="104"/>
      <c r="HEI96" s="104"/>
      <c r="HEJ96" s="104"/>
      <c r="HEK96" s="104"/>
      <c r="HEL96" s="104"/>
      <c r="HEM96" s="104"/>
      <c r="HEN96" s="104"/>
      <c r="HEO96" s="104"/>
      <c r="HEP96" s="104"/>
      <c r="HEQ96" s="104"/>
      <c r="HER96" s="104"/>
      <c r="HES96" s="104"/>
      <c r="HET96" s="104"/>
      <c r="HEU96" s="104"/>
      <c r="HEV96" s="104"/>
      <c r="HEW96" s="104"/>
      <c r="HEX96" s="104"/>
      <c r="HEY96" s="104"/>
      <c r="HEZ96" s="104"/>
      <c r="HFA96" s="104"/>
      <c r="HFB96" s="104"/>
      <c r="HFC96" s="104"/>
      <c r="HFD96" s="104"/>
      <c r="HFE96" s="104"/>
      <c r="HFF96" s="104"/>
      <c r="HFG96" s="104"/>
      <c r="HFH96" s="104"/>
      <c r="HFI96" s="104"/>
      <c r="HFJ96" s="104"/>
      <c r="HFK96" s="104"/>
      <c r="HFL96" s="104"/>
      <c r="HFM96" s="104"/>
      <c r="HFN96" s="104"/>
      <c r="HFO96" s="104"/>
      <c r="HFP96" s="104"/>
      <c r="HFQ96" s="104"/>
      <c r="HFR96" s="104"/>
      <c r="HFS96" s="104"/>
      <c r="HFT96" s="104"/>
      <c r="HFU96" s="104"/>
      <c r="HFV96" s="104"/>
      <c r="HFW96" s="104"/>
      <c r="HFX96" s="104"/>
      <c r="HFY96" s="104"/>
      <c r="HFZ96" s="104"/>
      <c r="HGA96" s="104"/>
      <c r="HGB96" s="104"/>
      <c r="HGC96" s="104"/>
      <c r="HGD96" s="104"/>
      <c r="HGE96" s="104"/>
      <c r="HGF96" s="104"/>
      <c r="HGG96" s="104"/>
      <c r="HGH96" s="104"/>
      <c r="HGI96" s="104"/>
      <c r="HGJ96" s="104"/>
      <c r="HGK96" s="104"/>
      <c r="HGL96" s="104"/>
      <c r="HGM96" s="104"/>
      <c r="HGN96" s="104"/>
      <c r="HGO96" s="104"/>
      <c r="HGP96" s="104"/>
      <c r="HGQ96" s="104"/>
      <c r="HGR96" s="104"/>
      <c r="HGS96" s="104"/>
      <c r="HGT96" s="104"/>
      <c r="HGU96" s="104"/>
      <c r="HGV96" s="104"/>
      <c r="HGW96" s="104"/>
      <c r="HGX96" s="104"/>
      <c r="HGY96" s="104"/>
      <c r="HGZ96" s="104"/>
      <c r="HHA96" s="104"/>
      <c r="HHB96" s="104"/>
      <c r="HHC96" s="104"/>
      <c r="HHD96" s="104"/>
      <c r="HHE96" s="104"/>
      <c r="HHF96" s="104"/>
      <c r="HHG96" s="104"/>
      <c r="HHH96" s="104"/>
      <c r="HHI96" s="104"/>
      <c r="HHJ96" s="104"/>
      <c r="HHK96" s="104"/>
      <c r="HHL96" s="104"/>
      <c r="HHM96" s="104"/>
      <c r="HHN96" s="104"/>
      <c r="HHO96" s="104"/>
      <c r="HHP96" s="104"/>
      <c r="HHQ96" s="104"/>
      <c r="HHR96" s="104"/>
      <c r="HHS96" s="104"/>
      <c r="HHT96" s="104"/>
      <c r="HHU96" s="104"/>
      <c r="HHV96" s="104"/>
      <c r="HHW96" s="104"/>
      <c r="HHX96" s="104"/>
      <c r="HHY96" s="104"/>
      <c r="HHZ96" s="104"/>
      <c r="HIA96" s="104"/>
      <c r="HIB96" s="104"/>
      <c r="HIC96" s="104"/>
      <c r="HID96" s="104"/>
      <c r="HIE96" s="104"/>
      <c r="HIF96" s="104"/>
      <c r="HIG96" s="104"/>
      <c r="HIH96" s="104"/>
      <c r="HII96" s="104"/>
      <c r="HIJ96" s="104"/>
      <c r="HIK96" s="104"/>
      <c r="HIL96" s="104"/>
      <c r="HIM96" s="104"/>
      <c r="HIN96" s="104"/>
      <c r="HIO96" s="104"/>
      <c r="HIP96" s="104"/>
      <c r="HIQ96" s="104"/>
      <c r="HIR96" s="104"/>
      <c r="HIS96" s="104"/>
      <c r="HIT96" s="104"/>
      <c r="HIU96" s="104"/>
      <c r="HIV96" s="104"/>
      <c r="HIW96" s="104"/>
      <c r="HIX96" s="104"/>
      <c r="HIY96" s="104"/>
      <c r="HIZ96" s="104"/>
      <c r="HJA96" s="104"/>
      <c r="HJB96" s="104"/>
      <c r="HJC96" s="104"/>
      <c r="HJD96" s="104"/>
      <c r="HJE96" s="104"/>
      <c r="HJF96" s="104"/>
      <c r="HJG96" s="104"/>
      <c r="HJH96" s="104"/>
      <c r="HJI96" s="104"/>
      <c r="HJJ96" s="104"/>
      <c r="HJK96" s="104"/>
      <c r="HJL96" s="104"/>
      <c r="HJM96" s="104"/>
      <c r="HJN96" s="104"/>
      <c r="HJO96" s="104"/>
      <c r="HJP96" s="104"/>
      <c r="HJQ96" s="104"/>
      <c r="HJR96" s="104"/>
      <c r="HJS96" s="104"/>
      <c r="HJT96" s="104"/>
      <c r="HJU96" s="104"/>
      <c r="HJV96" s="104"/>
      <c r="HJW96" s="104"/>
      <c r="HJX96" s="104"/>
      <c r="HJY96" s="104"/>
      <c r="HJZ96" s="104"/>
      <c r="HKA96" s="104"/>
      <c r="HKB96" s="104"/>
      <c r="HKC96" s="104"/>
      <c r="HKD96" s="104"/>
      <c r="HKE96" s="104"/>
      <c r="HKF96" s="104"/>
      <c r="HKG96" s="104"/>
      <c r="HKH96" s="104"/>
      <c r="HKI96" s="104"/>
      <c r="HKJ96" s="104"/>
      <c r="HKK96" s="104"/>
      <c r="HKL96" s="104"/>
      <c r="HKM96" s="104"/>
      <c r="HKN96" s="104"/>
      <c r="HKO96" s="104"/>
      <c r="HKP96" s="104"/>
      <c r="HKQ96" s="104"/>
      <c r="HKR96" s="104"/>
      <c r="HKS96" s="104"/>
      <c r="HKT96" s="104"/>
      <c r="HKU96" s="104"/>
      <c r="HKV96" s="104"/>
      <c r="HKW96" s="104"/>
      <c r="HKX96" s="104"/>
      <c r="HKY96" s="104"/>
      <c r="HKZ96" s="104"/>
      <c r="HLA96" s="104"/>
      <c r="HLB96" s="104"/>
      <c r="HLC96" s="104"/>
      <c r="HLD96" s="104"/>
      <c r="HLE96" s="104"/>
      <c r="HLF96" s="104"/>
      <c r="HLG96" s="104"/>
      <c r="HLH96" s="104"/>
      <c r="HLI96" s="104"/>
      <c r="HLJ96" s="104"/>
      <c r="HLK96" s="104"/>
      <c r="HLL96" s="104"/>
      <c r="HLM96" s="104"/>
      <c r="HLN96" s="104"/>
      <c r="HLO96" s="104"/>
      <c r="HLP96" s="104"/>
      <c r="HLQ96" s="104"/>
      <c r="HLR96" s="104"/>
      <c r="HLS96" s="104"/>
      <c r="HLT96" s="104"/>
      <c r="HLU96" s="104"/>
      <c r="HLV96" s="104"/>
      <c r="HLW96" s="104"/>
      <c r="HLX96" s="104"/>
      <c r="HLY96" s="104"/>
      <c r="HLZ96" s="104"/>
      <c r="HMA96" s="104"/>
      <c r="HMB96" s="104"/>
      <c r="HMC96" s="104"/>
      <c r="HMD96" s="104"/>
      <c r="HME96" s="104"/>
      <c r="HMF96" s="104"/>
      <c r="HMG96" s="104"/>
      <c r="HMH96" s="104"/>
      <c r="HMI96" s="104"/>
      <c r="HMJ96" s="104"/>
      <c r="HMK96" s="104"/>
      <c r="HML96" s="104"/>
      <c r="HMM96" s="104"/>
      <c r="HMN96" s="104"/>
      <c r="HMO96" s="104"/>
      <c r="HMP96" s="104"/>
      <c r="HMQ96" s="104"/>
      <c r="HMR96" s="104"/>
      <c r="HMS96" s="104"/>
      <c r="HMT96" s="104"/>
      <c r="HMU96" s="104"/>
      <c r="HMV96" s="104"/>
      <c r="HMW96" s="104"/>
      <c r="HMX96" s="104"/>
      <c r="HMY96" s="104"/>
      <c r="HMZ96" s="104"/>
      <c r="HNA96" s="104"/>
      <c r="HNB96" s="104"/>
      <c r="HNC96" s="104"/>
      <c r="HND96" s="104"/>
      <c r="HNE96" s="104"/>
      <c r="HNF96" s="104"/>
      <c r="HNG96" s="104"/>
      <c r="HNH96" s="104"/>
      <c r="HNI96" s="104"/>
      <c r="HNJ96" s="104"/>
      <c r="HNK96" s="104"/>
      <c r="HNL96" s="104"/>
      <c r="HNM96" s="104"/>
      <c r="HNN96" s="104"/>
      <c r="HNO96" s="104"/>
      <c r="HNP96" s="104"/>
      <c r="HNQ96" s="104"/>
      <c r="HNR96" s="104"/>
      <c r="HNS96" s="104"/>
      <c r="HNT96" s="104"/>
      <c r="HNU96" s="104"/>
      <c r="HNV96" s="104"/>
      <c r="HNW96" s="104"/>
      <c r="HNX96" s="104"/>
      <c r="HNY96" s="104"/>
      <c r="HNZ96" s="104"/>
      <c r="HOA96" s="104"/>
      <c r="HOB96" s="104"/>
      <c r="HOC96" s="104"/>
      <c r="HOD96" s="104"/>
      <c r="HOE96" s="104"/>
      <c r="HOF96" s="104"/>
      <c r="HOG96" s="104"/>
      <c r="HOH96" s="104"/>
      <c r="HOI96" s="104"/>
      <c r="HOJ96" s="104"/>
      <c r="HOK96" s="104"/>
      <c r="HOL96" s="104"/>
      <c r="HOM96" s="104"/>
      <c r="HON96" s="104"/>
      <c r="HOO96" s="104"/>
      <c r="HOP96" s="104"/>
      <c r="HOQ96" s="104"/>
      <c r="HOR96" s="104"/>
      <c r="HOS96" s="104"/>
      <c r="HOT96" s="104"/>
      <c r="HOU96" s="104"/>
      <c r="HOV96" s="104"/>
      <c r="HOW96" s="104"/>
      <c r="HOX96" s="104"/>
      <c r="HOY96" s="104"/>
      <c r="HOZ96" s="104"/>
      <c r="HPA96" s="104"/>
      <c r="HPB96" s="104"/>
      <c r="HPC96" s="104"/>
      <c r="HPD96" s="104"/>
      <c r="HPE96" s="104"/>
      <c r="HPF96" s="104"/>
      <c r="HPG96" s="104"/>
      <c r="HPH96" s="104"/>
      <c r="HPI96" s="104"/>
      <c r="HPJ96" s="104"/>
      <c r="HPK96" s="104"/>
      <c r="HPL96" s="104"/>
      <c r="HPM96" s="104"/>
      <c r="HPN96" s="104"/>
      <c r="HPO96" s="104"/>
      <c r="HPP96" s="104"/>
      <c r="HPQ96" s="104"/>
      <c r="HPR96" s="104"/>
      <c r="HPS96" s="104"/>
      <c r="HPT96" s="104"/>
      <c r="HPU96" s="104"/>
      <c r="HPV96" s="104"/>
      <c r="HPW96" s="104"/>
      <c r="HPX96" s="104"/>
      <c r="HPY96" s="104"/>
      <c r="HPZ96" s="104"/>
      <c r="HQA96" s="104"/>
      <c r="HQB96" s="104"/>
      <c r="HQC96" s="104"/>
      <c r="HQD96" s="104"/>
      <c r="HQE96" s="104"/>
      <c r="HQF96" s="104"/>
      <c r="HQG96" s="104"/>
      <c r="HQH96" s="104"/>
      <c r="HQI96" s="104"/>
      <c r="HQJ96" s="104"/>
      <c r="HQK96" s="104"/>
      <c r="HQL96" s="104"/>
      <c r="HQM96" s="104"/>
      <c r="HQN96" s="104"/>
      <c r="HQO96" s="104"/>
      <c r="HQP96" s="104"/>
      <c r="HQQ96" s="104"/>
      <c r="HQR96" s="104"/>
      <c r="HQS96" s="104"/>
      <c r="HQT96" s="104"/>
      <c r="HQU96" s="104"/>
      <c r="HQV96" s="104"/>
      <c r="HQW96" s="104"/>
      <c r="HQX96" s="104"/>
      <c r="HQY96" s="104"/>
      <c r="HQZ96" s="104"/>
      <c r="HRA96" s="104"/>
      <c r="HRB96" s="104"/>
      <c r="HRC96" s="104"/>
      <c r="HRD96" s="104"/>
      <c r="HRE96" s="104"/>
      <c r="HRF96" s="104"/>
      <c r="HRG96" s="104"/>
      <c r="HRH96" s="104"/>
      <c r="HRI96" s="104"/>
      <c r="HRJ96" s="104"/>
      <c r="HRK96" s="104"/>
      <c r="HRL96" s="104"/>
      <c r="HRM96" s="104"/>
      <c r="HRN96" s="104"/>
      <c r="HRO96" s="104"/>
      <c r="HRP96" s="104"/>
      <c r="HRQ96" s="104"/>
      <c r="HRR96" s="104"/>
      <c r="HRS96" s="104"/>
      <c r="HRT96" s="104"/>
      <c r="HRU96" s="104"/>
      <c r="HRV96" s="104"/>
      <c r="HRW96" s="104"/>
      <c r="HRX96" s="104"/>
      <c r="HRY96" s="104"/>
      <c r="HRZ96" s="104"/>
      <c r="HSA96" s="104"/>
      <c r="HSB96" s="104"/>
      <c r="HSC96" s="104"/>
      <c r="HSD96" s="104"/>
      <c r="HSE96" s="104"/>
      <c r="HSF96" s="104"/>
      <c r="HSG96" s="104"/>
      <c r="HSH96" s="104"/>
      <c r="HSI96" s="104"/>
      <c r="HSJ96" s="104"/>
      <c r="HSK96" s="104"/>
      <c r="HSL96" s="104"/>
      <c r="HSM96" s="104"/>
      <c r="HSN96" s="104"/>
      <c r="HSO96" s="104"/>
      <c r="HSP96" s="104"/>
      <c r="HSQ96" s="104"/>
      <c r="HSR96" s="104"/>
      <c r="HSS96" s="104"/>
      <c r="HST96" s="104"/>
      <c r="HSU96" s="104"/>
      <c r="HSV96" s="104"/>
      <c r="HSW96" s="104"/>
      <c r="HSX96" s="104"/>
      <c r="HSY96" s="104"/>
      <c r="HSZ96" s="104"/>
      <c r="HTA96" s="104"/>
      <c r="HTB96" s="104"/>
      <c r="HTC96" s="104"/>
      <c r="HTD96" s="104"/>
      <c r="HTE96" s="104"/>
      <c r="HTF96" s="104"/>
      <c r="HTG96" s="104"/>
      <c r="HTH96" s="104"/>
      <c r="HTI96" s="104"/>
      <c r="HTJ96" s="104"/>
      <c r="HTK96" s="104"/>
      <c r="HTL96" s="104"/>
      <c r="HTM96" s="104"/>
      <c r="HTN96" s="104"/>
      <c r="HTO96" s="104"/>
      <c r="HTP96" s="104"/>
      <c r="HTQ96" s="104"/>
      <c r="HTR96" s="104"/>
      <c r="HTS96" s="104"/>
      <c r="HTT96" s="104"/>
      <c r="HTU96" s="104"/>
      <c r="HTV96" s="104"/>
      <c r="HTW96" s="104"/>
      <c r="HTX96" s="104"/>
      <c r="HTY96" s="104"/>
      <c r="HTZ96" s="104"/>
      <c r="HUA96" s="104"/>
      <c r="HUB96" s="104"/>
      <c r="HUC96" s="104"/>
      <c r="HUD96" s="104"/>
      <c r="HUE96" s="104"/>
      <c r="HUF96" s="104"/>
      <c r="HUG96" s="104"/>
      <c r="HUH96" s="104"/>
      <c r="HUI96" s="104"/>
      <c r="HUJ96" s="104"/>
      <c r="HUK96" s="104"/>
      <c r="HUL96" s="104"/>
      <c r="HUM96" s="104"/>
      <c r="HUN96" s="104"/>
      <c r="HUO96" s="104"/>
      <c r="HUP96" s="104"/>
      <c r="HUQ96" s="104"/>
      <c r="HUR96" s="104"/>
      <c r="HUS96" s="104"/>
      <c r="HUT96" s="104"/>
      <c r="HUU96" s="104"/>
      <c r="HUV96" s="104"/>
      <c r="HUW96" s="104"/>
      <c r="HUX96" s="104"/>
      <c r="HUY96" s="104"/>
      <c r="HUZ96" s="104"/>
      <c r="HVA96" s="104"/>
      <c r="HVB96" s="104"/>
      <c r="HVC96" s="104"/>
      <c r="HVD96" s="104"/>
      <c r="HVE96" s="104"/>
      <c r="HVF96" s="104"/>
      <c r="HVG96" s="104"/>
      <c r="HVH96" s="104"/>
      <c r="HVI96" s="104"/>
      <c r="HVJ96" s="104"/>
      <c r="HVK96" s="104"/>
      <c r="HVL96" s="104"/>
      <c r="HVM96" s="104"/>
      <c r="HVN96" s="104"/>
      <c r="HVO96" s="104"/>
      <c r="HVP96" s="104"/>
      <c r="HVQ96" s="104"/>
      <c r="HVR96" s="104"/>
      <c r="HVS96" s="104"/>
      <c r="HVT96" s="104"/>
      <c r="HVU96" s="104"/>
      <c r="HVV96" s="104"/>
      <c r="HVW96" s="104"/>
      <c r="HVX96" s="104"/>
      <c r="HVY96" s="104"/>
      <c r="HVZ96" s="104"/>
      <c r="HWA96" s="104"/>
      <c r="HWB96" s="104"/>
      <c r="HWC96" s="104"/>
      <c r="HWD96" s="104"/>
      <c r="HWE96" s="104"/>
      <c r="HWF96" s="104"/>
      <c r="HWG96" s="104"/>
      <c r="HWH96" s="104"/>
      <c r="HWI96" s="104"/>
      <c r="HWJ96" s="104"/>
      <c r="HWK96" s="104"/>
      <c r="HWL96" s="104"/>
      <c r="HWM96" s="104"/>
      <c r="HWN96" s="104"/>
      <c r="HWO96" s="104"/>
      <c r="HWP96" s="104"/>
      <c r="HWQ96" s="104"/>
      <c r="HWR96" s="104"/>
      <c r="HWS96" s="104"/>
      <c r="HWT96" s="104"/>
      <c r="HWU96" s="104"/>
      <c r="HWV96" s="104"/>
      <c r="HWW96" s="104"/>
      <c r="HWX96" s="104"/>
      <c r="HWY96" s="104"/>
      <c r="HWZ96" s="104"/>
      <c r="HXA96" s="104"/>
      <c r="HXB96" s="104"/>
      <c r="HXC96" s="104"/>
      <c r="HXD96" s="104"/>
      <c r="HXE96" s="104"/>
      <c r="HXF96" s="104"/>
      <c r="HXG96" s="104"/>
      <c r="HXH96" s="104"/>
      <c r="HXI96" s="104"/>
      <c r="HXJ96" s="104"/>
      <c r="HXK96" s="104"/>
      <c r="HXL96" s="104"/>
      <c r="HXM96" s="104"/>
      <c r="HXN96" s="104"/>
      <c r="HXO96" s="104"/>
      <c r="HXP96" s="104"/>
      <c r="HXQ96" s="104"/>
      <c r="HXR96" s="104"/>
      <c r="HXS96" s="104"/>
      <c r="HXT96" s="104"/>
      <c r="HXU96" s="104"/>
      <c r="HXV96" s="104"/>
      <c r="HXW96" s="104"/>
      <c r="HXX96" s="104"/>
      <c r="HXY96" s="104"/>
      <c r="HXZ96" s="104"/>
      <c r="HYA96" s="104"/>
      <c r="HYB96" s="104"/>
      <c r="HYC96" s="104"/>
      <c r="HYD96" s="104"/>
      <c r="HYE96" s="104"/>
      <c r="HYF96" s="104"/>
      <c r="HYG96" s="104"/>
      <c r="HYH96" s="104"/>
      <c r="HYI96" s="104"/>
      <c r="HYJ96" s="104"/>
      <c r="HYK96" s="104"/>
      <c r="HYL96" s="104"/>
      <c r="HYM96" s="104"/>
      <c r="HYN96" s="104"/>
      <c r="HYO96" s="104"/>
      <c r="HYP96" s="104"/>
      <c r="HYQ96" s="104"/>
      <c r="HYR96" s="104"/>
      <c r="HYS96" s="104"/>
      <c r="HYT96" s="104"/>
      <c r="HYU96" s="104"/>
      <c r="HYV96" s="104"/>
      <c r="HYW96" s="104"/>
      <c r="HYX96" s="104"/>
      <c r="HYY96" s="104"/>
      <c r="HYZ96" s="104"/>
      <c r="HZA96" s="104"/>
      <c r="HZB96" s="104"/>
      <c r="HZC96" s="104"/>
      <c r="HZD96" s="104"/>
      <c r="HZE96" s="104"/>
      <c r="HZF96" s="104"/>
      <c r="HZG96" s="104"/>
      <c r="HZH96" s="104"/>
      <c r="HZI96" s="104"/>
      <c r="HZJ96" s="104"/>
      <c r="HZK96" s="104"/>
      <c r="HZL96" s="104"/>
      <c r="HZM96" s="104"/>
      <c r="HZN96" s="104"/>
      <c r="HZO96" s="104"/>
      <c r="HZP96" s="104"/>
      <c r="HZQ96" s="104"/>
      <c r="HZR96" s="104"/>
      <c r="HZS96" s="104"/>
      <c r="HZT96" s="104"/>
      <c r="HZU96" s="104"/>
      <c r="HZV96" s="104"/>
      <c r="HZW96" s="104"/>
      <c r="HZX96" s="104"/>
      <c r="HZY96" s="104"/>
      <c r="HZZ96" s="104"/>
      <c r="IAA96" s="104"/>
      <c r="IAB96" s="104"/>
      <c r="IAC96" s="104"/>
      <c r="IAD96" s="104"/>
      <c r="IAE96" s="104"/>
      <c r="IAF96" s="104"/>
      <c r="IAG96" s="104"/>
      <c r="IAH96" s="104"/>
      <c r="IAI96" s="104"/>
      <c r="IAJ96" s="104"/>
      <c r="IAK96" s="104"/>
      <c r="IAL96" s="104"/>
      <c r="IAM96" s="104"/>
      <c r="IAN96" s="104"/>
      <c r="IAO96" s="104"/>
      <c r="IAP96" s="104"/>
      <c r="IAQ96" s="104"/>
      <c r="IAR96" s="104"/>
      <c r="IAS96" s="104"/>
      <c r="IAT96" s="104"/>
      <c r="IAU96" s="104"/>
      <c r="IAV96" s="104"/>
      <c r="IAW96" s="104"/>
      <c r="IAX96" s="104"/>
      <c r="IAY96" s="104"/>
      <c r="IAZ96" s="104"/>
      <c r="IBA96" s="104"/>
      <c r="IBB96" s="104"/>
      <c r="IBC96" s="104"/>
      <c r="IBD96" s="104"/>
      <c r="IBE96" s="104"/>
      <c r="IBF96" s="104"/>
      <c r="IBG96" s="104"/>
      <c r="IBH96" s="104"/>
      <c r="IBI96" s="104"/>
      <c r="IBJ96" s="104"/>
      <c r="IBK96" s="104"/>
      <c r="IBL96" s="104"/>
      <c r="IBM96" s="104"/>
      <c r="IBN96" s="104"/>
      <c r="IBO96" s="104"/>
      <c r="IBP96" s="104"/>
      <c r="IBQ96" s="104"/>
      <c r="IBR96" s="104"/>
      <c r="IBS96" s="104"/>
      <c r="IBT96" s="104"/>
      <c r="IBU96" s="104"/>
      <c r="IBV96" s="104"/>
      <c r="IBW96" s="104"/>
      <c r="IBX96" s="104"/>
      <c r="IBY96" s="104"/>
      <c r="IBZ96" s="104"/>
      <c r="ICA96" s="104"/>
      <c r="ICB96" s="104"/>
      <c r="ICC96" s="104"/>
      <c r="ICD96" s="104"/>
      <c r="ICE96" s="104"/>
      <c r="ICF96" s="104"/>
      <c r="ICG96" s="104"/>
      <c r="ICH96" s="104"/>
      <c r="ICI96" s="104"/>
      <c r="ICJ96" s="104"/>
      <c r="ICK96" s="104"/>
      <c r="ICL96" s="104"/>
      <c r="ICM96" s="104"/>
      <c r="ICN96" s="104"/>
      <c r="ICO96" s="104"/>
      <c r="ICP96" s="104"/>
      <c r="ICQ96" s="104"/>
      <c r="ICR96" s="104"/>
      <c r="ICS96" s="104"/>
      <c r="ICT96" s="104"/>
      <c r="ICU96" s="104"/>
      <c r="ICV96" s="104"/>
      <c r="ICW96" s="104"/>
      <c r="ICX96" s="104"/>
      <c r="ICY96" s="104"/>
      <c r="ICZ96" s="104"/>
      <c r="IDA96" s="104"/>
      <c r="IDB96" s="104"/>
      <c r="IDC96" s="104"/>
      <c r="IDD96" s="104"/>
      <c r="IDE96" s="104"/>
      <c r="IDF96" s="104"/>
      <c r="IDG96" s="104"/>
      <c r="IDH96" s="104"/>
      <c r="IDI96" s="104"/>
      <c r="IDJ96" s="104"/>
      <c r="IDK96" s="104"/>
      <c r="IDL96" s="104"/>
      <c r="IDM96" s="104"/>
      <c r="IDN96" s="104"/>
      <c r="IDO96" s="104"/>
      <c r="IDP96" s="104"/>
      <c r="IDQ96" s="104"/>
      <c r="IDR96" s="104"/>
      <c r="IDS96" s="104"/>
      <c r="IDT96" s="104"/>
      <c r="IDU96" s="104"/>
      <c r="IDV96" s="104"/>
      <c r="IDW96" s="104"/>
      <c r="IDX96" s="104"/>
      <c r="IDY96" s="104"/>
      <c r="IDZ96" s="104"/>
      <c r="IEA96" s="104"/>
      <c r="IEB96" s="104"/>
      <c r="IEC96" s="104"/>
      <c r="IED96" s="104"/>
      <c r="IEE96" s="104"/>
      <c r="IEF96" s="104"/>
      <c r="IEG96" s="104"/>
      <c r="IEH96" s="104"/>
      <c r="IEI96" s="104"/>
      <c r="IEJ96" s="104"/>
      <c r="IEK96" s="104"/>
      <c r="IEL96" s="104"/>
      <c r="IEM96" s="104"/>
      <c r="IEN96" s="104"/>
      <c r="IEO96" s="104"/>
      <c r="IEP96" s="104"/>
      <c r="IEQ96" s="104"/>
      <c r="IER96" s="104"/>
      <c r="IES96" s="104"/>
      <c r="IET96" s="104"/>
      <c r="IEU96" s="104"/>
      <c r="IEV96" s="104"/>
      <c r="IEW96" s="104"/>
      <c r="IEX96" s="104"/>
      <c r="IEY96" s="104"/>
      <c r="IEZ96" s="104"/>
      <c r="IFA96" s="104"/>
      <c r="IFB96" s="104"/>
      <c r="IFC96" s="104"/>
      <c r="IFD96" s="104"/>
      <c r="IFE96" s="104"/>
      <c r="IFF96" s="104"/>
      <c r="IFG96" s="104"/>
      <c r="IFH96" s="104"/>
      <c r="IFI96" s="104"/>
      <c r="IFJ96" s="104"/>
      <c r="IFK96" s="104"/>
      <c r="IFL96" s="104"/>
      <c r="IFM96" s="104"/>
      <c r="IFN96" s="104"/>
      <c r="IFO96" s="104"/>
      <c r="IFP96" s="104"/>
      <c r="IFQ96" s="104"/>
      <c r="IFR96" s="104"/>
      <c r="IFS96" s="104"/>
      <c r="IFT96" s="104"/>
      <c r="IFU96" s="104"/>
      <c r="IFV96" s="104"/>
      <c r="IFW96" s="104"/>
      <c r="IFX96" s="104"/>
      <c r="IFY96" s="104"/>
      <c r="IFZ96" s="104"/>
      <c r="IGA96" s="104"/>
      <c r="IGB96" s="104"/>
      <c r="IGC96" s="104"/>
      <c r="IGD96" s="104"/>
      <c r="IGE96" s="104"/>
      <c r="IGF96" s="104"/>
      <c r="IGG96" s="104"/>
      <c r="IGH96" s="104"/>
      <c r="IGI96" s="104"/>
      <c r="IGJ96" s="104"/>
      <c r="IGK96" s="104"/>
      <c r="IGL96" s="104"/>
      <c r="IGM96" s="104"/>
      <c r="IGN96" s="104"/>
      <c r="IGO96" s="104"/>
      <c r="IGP96" s="104"/>
      <c r="IGQ96" s="104"/>
      <c r="IGR96" s="104"/>
      <c r="IGS96" s="104"/>
      <c r="IGT96" s="104"/>
      <c r="IGU96" s="104"/>
      <c r="IGV96" s="104"/>
      <c r="IGW96" s="104"/>
      <c r="IGX96" s="104"/>
      <c r="IGY96" s="104"/>
      <c r="IGZ96" s="104"/>
      <c r="IHA96" s="104"/>
      <c r="IHB96" s="104"/>
      <c r="IHC96" s="104"/>
      <c r="IHD96" s="104"/>
      <c r="IHE96" s="104"/>
      <c r="IHF96" s="104"/>
      <c r="IHG96" s="104"/>
      <c r="IHH96" s="104"/>
      <c r="IHI96" s="104"/>
      <c r="IHJ96" s="104"/>
      <c r="IHK96" s="104"/>
      <c r="IHL96" s="104"/>
      <c r="IHM96" s="104"/>
      <c r="IHN96" s="104"/>
      <c r="IHO96" s="104"/>
      <c r="IHP96" s="104"/>
      <c r="IHQ96" s="104"/>
      <c r="IHR96" s="104"/>
      <c r="IHS96" s="104"/>
      <c r="IHT96" s="104"/>
      <c r="IHU96" s="104"/>
      <c r="IHV96" s="104"/>
      <c r="IHW96" s="104"/>
      <c r="IHX96" s="104"/>
      <c r="IHY96" s="104"/>
      <c r="IHZ96" s="104"/>
      <c r="IIA96" s="104"/>
      <c r="IIB96" s="104"/>
      <c r="IIC96" s="104"/>
      <c r="IID96" s="104"/>
      <c r="IIE96" s="104"/>
      <c r="IIF96" s="104"/>
      <c r="IIG96" s="104"/>
      <c r="IIH96" s="104"/>
      <c r="III96" s="104"/>
      <c r="IIJ96" s="104"/>
      <c r="IIK96" s="104"/>
      <c r="IIL96" s="104"/>
      <c r="IIM96" s="104"/>
      <c r="IIN96" s="104"/>
      <c r="IIO96" s="104"/>
      <c r="IIP96" s="104"/>
      <c r="IIQ96" s="104"/>
      <c r="IIR96" s="104"/>
      <c r="IIS96" s="104"/>
      <c r="IIT96" s="104"/>
      <c r="IIU96" s="104"/>
      <c r="IIV96" s="104"/>
      <c r="IIW96" s="104"/>
      <c r="IIX96" s="104"/>
      <c r="IIY96" s="104"/>
      <c r="IIZ96" s="104"/>
      <c r="IJA96" s="104"/>
      <c r="IJB96" s="104"/>
      <c r="IJC96" s="104"/>
      <c r="IJD96" s="104"/>
      <c r="IJE96" s="104"/>
      <c r="IJF96" s="104"/>
      <c r="IJG96" s="104"/>
      <c r="IJH96" s="104"/>
      <c r="IJI96" s="104"/>
      <c r="IJJ96" s="104"/>
      <c r="IJK96" s="104"/>
      <c r="IJL96" s="104"/>
      <c r="IJM96" s="104"/>
      <c r="IJN96" s="104"/>
      <c r="IJO96" s="104"/>
      <c r="IJP96" s="104"/>
      <c r="IJQ96" s="104"/>
      <c r="IJR96" s="104"/>
      <c r="IJS96" s="104"/>
      <c r="IJT96" s="104"/>
      <c r="IJU96" s="104"/>
      <c r="IJV96" s="104"/>
      <c r="IJW96" s="104"/>
      <c r="IJX96" s="104"/>
      <c r="IJY96" s="104"/>
      <c r="IJZ96" s="104"/>
      <c r="IKA96" s="104"/>
      <c r="IKB96" s="104"/>
      <c r="IKC96" s="104"/>
      <c r="IKD96" s="104"/>
      <c r="IKE96" s="104"/>
      <c r="IKF96" s="104"/>
      <c r="IKG96" s="104"/>
      <c r="IKH96" s="104"/>
      <c r="IKI96" s="104"/>
      <c r="IKJ96" s="104"/>
      <c r="IKK96" s="104"/>
      <c r="IKL96" s="104"/>
      <c r="IKM96" s="104"/>
      <c r="IKN96" s="104"/>
      <c r="IKO96" s="104"/>
      <c r="IKP96" s="104"/>
      <c r="IKQ96" s="104"/>
      <c r="IKR96" s="104"/>
      <c r="IKS96" s="104"/>
      <c r="IKT96" s="104"/>
      <c r="IKU96" s="104"/>
      <c r="IKV96" s="104"/>
      <c r="IKW96" s="104"/>
      <c r="IKX96" s="104"/>
      <c r="IKY96" s="104"/>
      <c r="IKZ96" s="104"/>
      <c r="ILA96" s="104"/>
      <c r="ILB96" s="104"/>
      <c r="ILC96" s="104"/>
      <c r="ILD96" s="104"/>
      <c r="ILE96" s="104"/>
      <c r="ILF96" s="104"/>
      <c r="ILG96" s="104"/>
      <c r="ILH96" s="104"/>
      <c r="ILI96" s="104"/>
      <c r="ILJ96" s="104"/>
      <c r="ILK96" s="104"/>
      <c r="ILL96" s="104"/>
      <c r="ILM96" s="104"/>
      <c r="ILN96" s="104"/>
      <c r="ILO96" s="104"/>
      <c r="ILP96" s="104"/>
      <c r="ILQ96" s="104"/>
      <c r="ILR96" s="104"/>
      <c r="ILS96" s="104"/>
      <c r="ILT96" s="104"/>
      <c r="ILU96" s="104"/>
      <c r="ILV96" s="104"/>
      <c r="ILW96" s="104"/>
      <c r="ILX96" s="104"/>
      <c r="ILY96" s="104"/>
      <c r="ILZ96" s="104"/>
      <c r="IMA96" s="104"/>
      <c r="IMB96" s="104"/>
      <c r="IMC96" s="104"/>
      <c r="IMD96" s="104"/>
      <c r="IME96" s="104"/>
      <c r="IMF96" s="104"/>
      <c r="IMG96" s="104"/>
      <c r="IMH96" s="104"/>
      <c r="IMI96" s="104"/>
      <c r="IMJ96" s="104"/>
      <c r="IMK96" s="104"/>
      <c r="IML96" s="104"/>
      <c r="IMM96" s="104"/>
      <c r="IMN96" s="104"/>
      <c r="IMO96" s="104"/>
      <c r="IMP96" s="104"/>
      <c r="IMQ96" s="104"/>
      <c r="IMR96" s="104"/>
      <c r="IMS96" s="104"/>
      <c r="IMT96" s="104"/>
      <c r="IMU96" s="104"/>
      <c r="IMV96" s="104"/>
      <c r="IMW96" s="104"/>
      <c r="IMX96" s="104"/>
      <c r="IMY96" s="104"/>
      <c r="IMZ96" s="104"/>
      <c r="INA96" s="104"/>
      <c r="INB96" s="104"/>
      <c r="INC96" s="104"/>
      <c r="IND96" s="104"/>
      <c r="INE96" s="104"/>
      <c r="INF96" s="104"/>
      <c r="ING96" s="104"/>
      <c r="INH96" s="104"/>
      <c r="INI96" s="104"/>
      <c r="INJ96" s="104"/>
      <c r="INK96" s="104"/>
      <c r="INL96" s="104"/>
      <c r="INM96" s="104"/>
      <c r="INN96" s="104"/>
      <c r="INO96" s="104"/>
      <c r="INP96" s="104"/>
      <c r="INQ96" s="104"/>
      <c r="INR96" s="104"/>
      <c r="INS96" s="104"/>
      <c r="INT96" s="104"/>
      <c r="INU96" s="104"/>
      <c r="INV96" s="104"/>
      <c r="INW96" s="104"/>
      <c r="INX96" s="104"/>
      <c r="INY96" s="104"/>
      <c r="INZ96" s="104"/>
      <c r="IOA96" s="104"/>
      <c r="IOB96" s="104"/>
      <c r="IOC96" s="104"/>
      <c r="IOD96" s="104"/>
      <c r="IOE96" s="104"/>
      <c r="IOF96" s="104"/>
      <c r="IOG96" s="104"/>
      <c r="IOH96" s="104"/>
      <c r="IOI96" s="104"/>
      <c r="IOJ96" s="104"/>
      <c r="IOK96" s="104"/>
      <c r="IOL96" s="104"/>
      <c r="IOM96" s="104"/>
      <c r="ION96" s="104"/>
      <c r="IOO96" s="104"/>
      <c r="IOP96" s="104"/>
      <c r="IOQ96" s="104"/>
      <c r="IOR96" s="104"/>
      <c r="IOS96" s="104"/>
      <c r="IOT96" s="104"/>
      <c r="IOU96" s="104"/>
      <c r="IOV96" s="104"/>
      <c r="IOW96" s="104"/>
      <c r="IOX96" s="104"/>
      <c r="IOY96" s="104"/>
      <c r="IOZ96" s="104"/>
      <c r="IPA96" s="104"/>
      <c r="IPB96" s="104"/>
      <c r="IPC96" s="104"/>
      <c r="IPD96" s="104"/>
      <c r="IPE96" s="104"/>
      <c r="IPF96" s="104"/>
      <c r="IPG96" s="104"/>
      <c r="IPH96" s="104"/>
      <c r="IPI96" s="104"/>
      <c r="IPJ96" s="104"/>
      <c r="IPK96" s="104"/>
      <c r="IPL96" s="104"/>
      <c r="IPM96" s="104"/>
      <c r="IPN96" s="104"/>
      <c r="IPO96" s="104"/>
      <c r="IPP96" s="104"/>
      <c r="IPQ96" s="104"/>
      <c r="IPR96" s="104"/>
      <c r="IPS96" s="104"/>
      <c r="IPT96" s="104"/>
      <c r="IPU96" s="104"/>
      <c r="IPV96" s="104"/>
      <c r="IPW96" s="104"/>
      <c r="IPX96" s="104"/>
      <c r="IPY96" s="104"/>
      <c r="IPZ96" s="104"/>
      <c r="IQA96" s="104"/>
      <c r="IQB96" s="104"/>
      <c r="IQC96" s="104"/>
      <c r="IQD96" s="104"/>
      <c r="IQE96" s="104"/>
      <c r="IQF96" s="104"/>
      <c r="IQG96" s="104"/>
      <c r="IQH96" s="104"/>
      <c r="IQI96" s="104"/>
      <c r="IQJ96" s="104"/>
      <c r="IQK96" s="104"/>
      <c r="IQL96" s="104"/>
      <c r="IQM96" s="104"/>
      <c r="IQN96" s="104"/>
      <c r="IQO96" s="104"/>
      <c r="IQP96" s="104"/>
      <c r="IQQ96" s="104"/>
      <c r="IQR96" s="104"/>
      <c r="IQS96" s="104"/>
      <c r="IQT96" s="104"/>
      <c r="IQU96" s="104"/>
      <c r="IQV96" s="104"/>
      <c r="IQW96" s="104"/>
      <c r="IQX96" s="104"/>
      <c r="IQY96" s="104"/>
      <c r="IQZ96" s="104"/>
      <c r="IRA96" s="104"/>
      <c r="IRB96" s="104"/>
      <c r="IRC96" s="104"/>
      <c r="IRD96" s="104"/>
      <c r="IRE96" s="104"/>
      <c r="IRF96" s="104"/>
      <c r="IRG96" s="104"/>
      <c r="IRH96" s="104"/>
      <c r="IRI96" s="104"/>
      <c r="IRJ96" s="104"/>
      <c r="IRK96" s="104"/>
      <c r="IRL96" s="104"/>
      <c r="IRM96" s="104"/>
      <c r="IRN96" s="104"/>
      <c r="IRO96" s="104"/>
      <c r="IRP96" s="104"/>
      <c r="IRQ96" s="104"/>
      <c r="IRR96" s="104"/>
      <c r="IRS96" s="104"/>
      <c r="IRT96" s="104"/>
      <c r="IRU96" s="104"/>
      <c r="IRV96" s="104"/>
      <c r="IRW96" s="104"/>
      <c r="IRX96" s="104"/>
      <c r="IRY96" s="104"/>
      <c r="IRZ96" s="104"/>
      <c r="ISA96" s="104"/>
      <c r="ISB96" s="104"/>
      <c r="ISC96" s="104"/>
      <c r="ISD96" s="104"/>
      <c r="ISE96" s="104"/>
      <c r="ISF96" s="104"/>
      <c r="ISG96" s="104"/>
      <c r="ISH96" s="104"/>
      <c r="ISI96" s="104"/>
      <c r="ISJ96" s="104"/>
      <c r="ISK96" s="104"/>
      <c r="ISL96" s="104"/>
      <c r="ISM96" s="104"/>
      <c r="ISN96" s="104"/>
      <c r="ISO96" s="104"/>
      <c r="ISP96" s="104"/>
      <c r="ISQ96" s="104"/>
      <c r="ISR96" s="104"/>
      <c r="ISS96" s="104"/>
      <c r="IST96" s="104"/>
      <c r="ISU96" s="104"/>
      <c r="ISV96" s="104"/>
      <c r="ISW96" s="104"/>
      <c r="ISX96" s="104"/>
      <c r="ISY96" s="104"/>
      <c r="ISZ96" s="104"/>
      <c r="ITA96" s="104"/>
      <c r="ITB96" s="104"/>
      <c r="ITC96" s="104"/>
      <c r="ITD96" s="104"/>
      <c r="ITE96" s="104"/>
      <c r="ITF96" s="104"/>
      <c r="ITG96" s="104"/>
      <c r="ITH96" s="104"/>
      <c r="ITI96" s="104"/>
      <c r="ITJ96" s="104"/>
      <c r="ITK96" s="104"/>
      <c r="ITL96" s="104"/>
      <c r="ITM96" s="104"/>
      <c r="ITN96" s="104"/>
      <c r="ITO96" s="104"/>
      <c r="ITP96" s="104"/>
      <c r="ITQ96" s="104"/>
      <c r="ITR96" s="104"/>
      <c r="ITS96" s="104"/>
      <c r="ITT96" s="104"/>
      <c r="ITU96" s="104"/>
      <c r="ITV96" s="104"/>
      <c r="ITW96" s="104"/>
      <c r="ITX96" s="104"/>
      <c r="ITY96" s="104"/>
      <c r="ITZ96" s="104"/>
      <c r="IUA96" s="104"/>
      <c r="IUB96" s="104"/>
      <c r="IUC96" s="104"/>
      <c r="IUD96" s="104"/>
      <c r="IUE96" s="104"/>
      <c r="IUF96" s="104"/>
      <c r="IUG96" s="104"/>
      <c r="IUH96" s="104"/>
      <c r="IUI96" s="104"/>
      <c r="IUJ96" s="104"/>
      <c r="IUK96" s="104"/>
      <c r="IUL96" s="104"/>
      <c r="IUM96" s="104"/>
      <c r="IUN96" s="104"/>
      <c r="IUO96" s="104"/>
      <c r="IUP96" s="104"/>
      <c r="IUQ96" s="104"/>
      <c r="IUR96" s="104"/>
      <c r="IUS96" s="104"/>
      <c r="IUT96" s="104"/>
      <c r="IUU96" s="104"/>
      <c r="IUV96" s="104"/>
      <c r="IUW96" s="104"/>
      <c r="IUX96" s="104"/>
      <c r="IUY96" s="104"/>
      <c r="IUZ96" s="104"/>
      <c r="IVA96" s="104"/>
      <c r="IVB96" s="104"/>
      <c r="IVC96" s="104"/>
      <c r="IVD96" s="104"/>
      <c r="IVE96" s="104"/>
      <c r="IVF96" s="104"/>
      <c r="IVG96" s="104"/>
      <c r="IVH96" s="104"/>
      <c r="IVI96" s="104"/>
      <c r="IVJ96" s="104"/>
      <c r="IVK96" s="104"/>
      <c r="IVL96" s="104"/>
      <c r="IVM96" s="104"/>
      <c r="IVN96" s="104"/>
      <c r="IVO96" s="104"/>
      <c r="IVP96" s="104"/>
      <c r="IVQ96" s="104"/>
      <c r="IVR96" s="104"/>
      <c r="IVS96" s="104"/>
      <c r="IVT96" s="104"/>
      <c r="IVU96" s="104"/>
      <c r="IVV96" s="104"/>
      <c r="IVW96" s="104"/>
      <c r="IVX96" s="104"/>
      <c r="IVY96" s="104"/>
      <c r="IVZ96" s="104"/>
      <c r="IWA96" s="104"/>
      <c r="IWB96" s="104"/>
      <c r="IWC96" s="104"/>
      <c r="IWD96" s="104"/>
      <c r="IWE96" s="104"/>
      <c r="IWF96" s="104"/>
      <c r="IWG96" s="104"/>
      <c r="IWH96" s="104"/>
      <c r="IWI96" s="104"/>
      <c r="IWJ96" s="104"/>
      <c r="IWK96" s="104"/>
      <c r="IWL96" s="104"/>
      <c r="IWM96" s="104"/>
      <c r="IWN96" s="104"/>
      <c r="IWO96" s="104"/>
      <c r="IWP96" s="104"/>
      <c r="IWQ96" s="104"/>
      <c r="IWR96" s="104"/>
      <c r="IWS96" s="104"/>
      <c r="IWT96" s="104"/>
      <c r="IWU96" s="104"/>
      <c r="IWV96" s="104"/>
      <c r="IWW96" s="104"/>
      <c r="IWX96" s="104"/>
      <c r="IWY96" s="104"/>
      <c r="IWZ96" s="104"/>
      <c r="IXA96" s="104"/>
      <c r="IXB96" s="104"/>
      <c r="IXC96" s="104"/>
      <c r="IXD96" s="104"/>
      <c r="IXE96" s="104"/>
      <c r="IXF96" s="104"/>
      <c r="IXG96" s="104"/>
      <c r="IXH96" s="104"/>
      <c r="IXI96" s="104"/>
      <c r="IXJ96" s="104"/>
      <c r="IXK96" s="104"/>
      <c r="IXL96" s="104"/>
      <c r="IXM96" s="104"/>
      <c r="IXN96" s="104"/>
      <c r="IXO96" s="104"/>
      <c r="IXP96" s="104"/>
      <c r="IXQ96" s="104"/>
      <c r="IXR96" s="104"/>
      <c r="IXS96" s="104"/>
      <c r="IXT96" s="104"/>
      <c r="IXU96" s="104"/>
      <c r="IXV96" s="104"/>
      <c r="IXW96" s="104"/>
      <c r="IXX96" s="104"/>
      <c r="IXY96" s="104"/>
      <c r="IXZ96" s="104"/>
      <c r="IYA96" s="104"/>
      <c r="IYB96" s="104"/>
      <c r="IYC96" s="104"/>
      <c r="IYD96" s="104"/>
      <c r="IYE96" s="104"/>
      <c r="IYF96" s="104"/>
      <c r="IYG96" s="104"/>
      <c r="IYH96" s="104"/>
      <c r="IYI96" s="104"/>
      <c r="IYJ96" s="104"/>
      <c r="IYK96" s="104"/>
      <c r="IYL96" s="104"/>
      <c r="IYM96" s="104"/>
      <c r="IYN96" s="104"/>
      <c r="IYO96" s="104"/>
      <c r="IYP96" s="104"/>
      <c r="IYQ96" s="104"/>
      <c r="IYR96" s="104"/>
      <c r="IYS96" s="104"/>
      <c r="IYT96" s="104"/>
      <c r="IYU96" s="104"/>
      <c r="IYV96" s="104"/>
      <c r="IYW96" s="104"/>
      <c r="IYX96" s="104"/>
      <c r="IYY96" s="104"/>
      <c r="IYZ96" s="104"/>
      <c r="IZA96" s="104"/>
      <c r="IZB96" s="104"/>
      <c r="IZC96" s="104"/>
      <c r="IZD96" s="104"/>
      <c r="IZE96" s="104"/>
      <c r="IZF96" s="104"/>
      <c r="IZG96" s="104"/>
      <c r="IZH96" s="104"/>
      <c r="IZI96" s="104"/>
      <c r="IZJ96" s="104"/>
      <c r="IZK96" s="104"/>
      <c r="IZL96" s="104"/>
      <c r="IZM96" s="104"/>
      <c r="IZN96" s="104"/>
      <c r="IZO96" s="104"/>
      <c r="IZP96" s="104"/>
      <c r="IZQ96" s="104"/>
      <c r="IZR96" s="104"/>
      <c r="IZS96" s="104"/>
      <c r="IZT96" s="104"/>
      <c r="IZU96" s="104"/>
      <c r="IZV96" s="104"/>
      <c r="IZW96" s="104"/>
      <c r="IZX96" s="104"/>
      <c r="IZY96" s="104"/>
      <c r="IZZ96" s="104"/>
      <c r="JAA96" s="104"/>
      <c r="JAB96" s="104"/>
      <c r="JAC96" s="104"/>
      <c r="JAD96" s="104"/>
      <c r="JAE96" s="104"/>
      <c r="JAF96" s="104"/>
      <c r="JAG96" s="104"/>
      <c r="JAH96" s="104"/>
      <c r="JAI96" s="104"/>
      <c r="JAJ96" s="104"/>
      <c r="JAK96" s="104"/>
      <c r="JAL96" s="104"/>
      <c r="JAM96" s="104"/>
      <c r="JAN96" s="104"/>
      <c r="JAO96" s="104"/>
      <c r="JAP96" s="104"/>
      <c r="JAQ96" s="104"/>
      <c r="JAR96" s="104"/>
      <c r="JAS96" s="104"/>
      <c r="JAT96" s="104"/>
      <c r="JAU96" s="104"/>
      <c r="JAV96" s="104"/>
      <c r="JAW96" s="104"/>
      <c r="JAX96" s="104"/>
      <c r="JAY96" s="104"/>
      <c r="JAZ96" s="104"/>
      <c r="JBA96" s="104"/>
      <c r="JBB96" s="104"/>
      <c r="JBC96" s="104"/>
      <c r="JBD96" s="104"/>
      <c r="JBE96" s="104"/>
      <c r="JBF96" s="104"/>
      <c r="JBG96" s="104"/>
      <c r="JBH96" s="104"/>
      <c r="JBI96" s="104"/>
      <c r="JBJ96" s="104"/>
      <c r="JBK96" s="104"/>
      <c r="JBL96" s="104"/>
      <c r="JBM96" s="104"/>
      <c r="JBN96" s="104"/>
      <c r="JBO96" s="104"/>
      <c r="JBP96" s="104"/>
      <c r="JBQ96" s="104"/>
      <c r="JBR96" s="104"/>
      <c r="JBS96" s="104"/>
      <c r="JBT96" s="104"/>
      <c r="JBU96" s="104"/>
      <c r="JBV96" s="104"/>
      <c r="JBW96" s="104"/>
      <c r="JBX96" s="104"/>
      <c r="JBY96" s="104"/>
      <c r="JBZ96" s="104"/>
      <c r="JCA96" s="104"/>
      <c r="JCB96" s="104"/>
      <c r="JCC96" s="104"/>
      <c r="JCD96" s="104"/>
      <c r="JCE96" s="104"/>
      <c r="JCF96" s="104"/>
      <c r="JCG96" s="104"/>
      <c r="JCH96" s="104"/>
      <c r="JCI96" s="104"/>
      <c r="JCJ96" s="104"/>
      <c r="JCK96" s="104"/>
      <c r="JCL96" s="104"/>
      <c r="JCM96" s="104"/>
      <c r="JCN96" s="104"/>
      <c r="JCO96" s="104"/>
      <c r="JCP96" s="104"/>
      <c r="JCQ96" s="104"/>
      <c r="JCR96" s="104"/>
      <c r="JCS96" s="104"/>
      <c r="JCT96" s="104"/>
      <c r="JCU96" s="104"/>
      <c r="JCV96" s="104"/>
      <c r="JCW96" s="104"/>
      <c r="JCX96" s="104"/>
      <c r="JCY96" s="104"/>
      <c r="JCZ96" s="104"/>
      <c r="JDA96" s="104"/>
      <c r="JDB96" s="104"/>
      <c r="JDC96" s="104"/>
      <c r="JDD96" s="104"/>
      <c r="JDE96" s="104"/>
      <c r="JDF96" s="104"/>
      <c r="JDG96" s="104"/>
      <c r="JDH96" s="104"/>
      <c r="JDI96" s="104"/>
      <c r="JDJ96" s="104"/>
      <c r="JDK96" s="104"/>
      <c r="JDL96" s="104"/>
      <c r="JDM96" s="104"/>
      <c r="JDN96" s="104"/>
      <c r="JDO96" s="104"/>
      <c r="JDP96" s="104"/>
      <c r="JDQ96" s="104"/>
      <c r="JDR96" s="104"/>
      <c r="JDS96" s="104"/>
      <c r="JDT96" s="104"/>
      <c r="JDU96" s="104"/>
      <c r="JDV96" s="104"/>
      <c r="JDW96" s="104"/>
      <c r="JDX96" s="104"/>
      <c r="JDY96" s="104"/>
      <c r="JDZ96" s="104"/>
      <c r="JEA96" s="104"/>
      <c r="JEB96" s="104"/>
      <c r="JEC96" s="104"/>
      <c r="JED96" s="104"/>
      <c r="JEE96" s="104"/>
      <c r="JEF96" s="104"/>
      <c r="JEG96" s="104"/>
      <c r="JEH96" s="104"/>
      <c r="JEI96" s="104"/>
      <c r="JEJ96" s="104"/>
      <c r="JEK96" s="104"/>
      <c r="JEL96" s="104"/>
      <c r="JEM96" s="104"/>
      <c r="JEN96" s="104"/>
      <c r="JEO96" s="104"/>
      <c r="JEP96" s="104"/>
      <c r="JEQ96" s="104"/>
      <c r="JER96" s="104"/>
      <c r="JES96" s="104"/>
      <c r="JET96" s="104"/>
      <c r="JEU96" s="104"/>
      <c r="JEV96" s="104"/>
      <c r="JEW96" s="104"/>
      <c r="JEX96" s="104"/>
      <c r="JEY96" s="104"/>
      <c r="JEZ96" s="104"/>
      <c r="JFA96" s="104"/>
      <c r="JFB96" s="104"/>
      <c r="JFC96" s="104"/>
      <c r="JFD96" s="104"/>
      <c r="JFE96" s="104"/>
      <c r="JFF96" s="104"/>
      <c r="JFG96" s="104"/>
      <c r="JFH96" s="104"/>
      <c r="JFI96" s="104"/>
      <c r="JFJ96" s="104"/>
      <c r="JFK96" s="104"/>
      <c r="JFL96" s="104"/>
      <c r="JFM96" s="104"/>
      <c r="JFN96" s="104"/>
      <c r="JFO96" s="104"/>
      <c r="JFP96" s="104"/>
      <c r="JFQ96" s="104"/>
      <c r="JFR96" s="104"/>
      <c r="JFS96" s="104"/>
      <c r="JFT96" s="104"/>
      <c r="JFU96" s="104"/>
      <c r="JFV96" s="104"/>
      <c r="JFW96" s="104"/>
      <c r="JFX96" s="104"/>
      <c r="JFY96" s="104"/>
      <c r="JFZ96" s="104"/>
      <c r="JGA96" s="104"/>
      <c r="JGB96" s="104"/>
      <c r="JGC96" s="104"/>
      <c r="JGD96" s="104"/>
      <c r="JGE96" s="104"/>
      <c r="JGF96" s="104"/>
      <c r="JGG96" s="104"/>
      <c r="JGH96" s="104"/>
      <c r="JGI96" s="104"/>
      <c r="JGJ96" s="104"/>
      <c r="JGK96" s="104"/>
      <c r="JGL96" s="104"/>
      <c r="JGM96" s="104"/>
      <c r="JGN96" s="104"/>
      <c r="JGO96" s="104"/>
      <c r="JGP96" s="104"/>
      <c r="JGQ96" s="104"/>
      <c r="JGR96" s="104"/>
      <c r="JGS96" s="104"/>
      <c r="JGT96" s="104"/>
      <c r="JGU96" s="104"/>
      <c r="JGV96" s="104"/>
      <c r="JGW96" s="104"/>
      <c r="JGX96" s="104"/>
      <c r="JGY96" s="104"/>
      <c r="JGZ96" s="104"/>
      <c r="JHA96" s="104"/>
      <c r="JHB96" s="104"/>
      <c r="JHC96" s="104"/>
      <c r="JHD96" s="104"/>
      <c r="JHE96" s="104"/>
      <c r="JHF96" s="104"/>
      <c r="JHG96" s="104"/>
      <c r="JHH96" s="104"/>
      <c r="JHI96" s="104"/>
      <c r="JHJ96" s="104"/>
      <c r="JHK96" s="104"/>
      <c r="JHL96" s="104"/>
      <c r="JHM96" s="104"/>
      <c r="JHN96" s="104"/>
      <c r="JHO96" s="104"/>
      <c r="JHP96" s="104"/>
      <c r="JHQ96" s="104"/>
      <c r="JHR96" s="104"/>
      <c r="JHS96" s="104"/>
      <c r="JHT96" s="104"/>
      <c r="JHU96" s="104"/>
      <c r="JHV96" s="104"/>
      <c r="JHW96" s="104"/>
      <c r="JHX96" s="104"/>
      <c r="JHY96" s="104"/>
      <c r="JHZ96" s="104"/>
      <c r="JIA96" s="104"/>
      <c r="JIB96" s="104"/>
      <c r="JIC96" s="104"/>
      <c r="JID96" s="104"/>
      <c r="JIE96" s="104"/>
      <c r="JIF96" s="104"/>
      <c r="JIG96" s="104"/>
      <c r="JIH96" s="104"/>
      <c r="JII96" s="104"/>
      <c r="JIJ96" s="104"/>
      <c r="JIK96" s="104"/>
      <c r="JIL96" s="104"/>
      <c r="JIM96" s="104"/>
      <c r="JIN96" s="104"/>
      <c r="JIO96" s="104"/>
      <c r="JIP96" s="104"/>
      <c r="JIQ96" s="104"/>
      <c r="JIR96" s="104"/>
      <c r="JIS96" s="104"/>
      <c r="JIT96" s="104"/>
      <c r="JIU96" s="104"/>
      <c r="JIV96" s="104"/>
      <c r="JIW96" s="104"/>
      <c r="JIX96" s="104"/>
      <c r="JIY96" s="104"/>
      <c r="JIZ96" s="104"/>
      <c r="JJA96" s="104"/>
      <c r="JJB96" s="104"/>
      <c r="JJC96" s="104"/>
      <c r="JJD96" s="104"/>
      <c r="JJE96" s="104"/>
      <c r="JJF96" s="104"/>
      <c r="JJG96" s="104"/>
      <c r="JJH96" s="104"/>
      <c r="JJI96" s="104"/>
      <c r="JJJ96" s="104"/>
      <c r="JJK96" s="104"/>
      <c r="JJL96" s="104"/>
      <c r="JJM96" s="104"/>
      <c r="JJN96" s="104"/>
      <c r="JJO96" s="104"/>
      <c r="JJP96" s="104"/>
      <c r="JJQ96" s="104"/>
      <c r="JJR96" s="104"/>
      <c r="JJS96" s="104"/>
      <c r="JJT96" s="104"/>
      <c r="JJU96" s="104"/>
      <c r="JJV96" s="104"/>
      <c r="JJW96" s="104"/>
      <c r="JJX96" s="104"/>
      <c r="JJY96" s="104"/>
      <c r="JJZ96" s="104"/>
      <c r="JKA96" s="104"/>
      <c r="JKB96" s="104"/>
      <c r="JKC96" s="104"/>
      <c r="JKD96" s="104"/>
      <c r="JKE96" s="104"/>
      <c r="JKF96" s="104"/>
      <c r="JKG96" s="104"/>
      <c r="JKH96" s="104"/>
      <c r="JKI96" s="104"/>
      <c r="JKJ96" s="104"/>
      <c r="JKK96" s="104"/>
      <c r="JKL96" s="104"/>
      <c r="JKM96" s="104"/>
      <c r="JKN96" s="104"/>
      <c r="JKO96" s="104"/>
      <c r="JKP96" s="104"/>
      <c r="JKQ96" s="104"/>
      <c r="JKR96" s="104"/>
      <c r="JKS96" s="104"/>
      <c r="JKT96" s="104"/>
      <c r="JKU96" s="104"/>
      <c r="JKV96" s="104"/>
      <c r="JKW96" s="104"/>
      <c r="JKX96" s="104"/>
      <c r="JKY96" s="104"/>
      <c r="JKZ96" s="104"/>
      <c r="JLA96" s="104"/>
      <c r="JLB96" s="104"/>
      <c r="JLC96" s="104"/>
      <c r="JLD96" s="104"/>
      <c r="JLE96" s="104"/>
      <c r="JLF96" s="104"/>
      <c r="JLG96" s="104"/>
      <c r="JLH96" s="104"/>
      <c r="JLI96" s="104"/>
      <c r="JLJ96" s="104"/>
      <c r="JLK96" s="104"/>
      <c r="JLL96" s="104"/>
      <c r="JLM96" s="104"/>
      <c r="JLN96" s="104"/>
      <c r="JLO96" s="104"/>
      <c r="JLP96" s="104"/>
      <c r="JLQ96" s="104"/>
      <c r="JLR96" s="104"/>
      <c r="JLS96" s="104"/>
      <c r="JLT96" s="104"/>
      <c r="JLU96" s="104"/>
      <c r="JLV96" s="104"/>
      <c r="JLW96" s="104"/>
      <c r="JLX96" s="104"/>
      <c r="JLY96" s="104"/>
      <c r="JLZ96" s="104"/>
      <c r="JMA96" s="104"/>
      <c r="JMB96" s="104"/>
      <c r="JMC96" s="104"/>
      <c r="JMD96" s="104"/>
      <c r="JME96" s="104"/>
      <c r="JMF96" s="104"/>
      <c r="JMG96" s="104"/>
      <c r="JMH96" s="104"/>
      <c r="JMI96" s="104"/>
      <c r="JMJ96" s="104"/>
      <c r="JMK96" s="104"/>
      <c r="JML96" s="104"/>
      <c r="JMM96" s="104"/>
      <c r="JMN96" s="104"/>
      <c r="JMO96" s="104"/>
      <c r="JMP96" s="104"/>
      <c r="JMQ96" s="104"/>
      <c r="JMR96" s="104"/>
      <c r="JMS96" s="104"/>
      <c r="JMT96" s="104"/>
      <c r="JMU96" s="104"/>
      <c r="JMV96" s="104"/>
      <c r="JMW96" s="104"/>
      <c r="JMX96" s="104"/>
      <c r="JMY96" s="104"/>
      <c r="JMZ96" s="104"/>
      <c r="JNA96" s="104"/>
      <c r="JNB96" s="104"/>
      <c r="JNC96" s="104"/>
      <c r="JND96" s="104"/>
      <c r="JNE96" s="104"/>
      <c r="JNF96" s="104"/>
      <c r="JNG96" s="104"/>
      <c r="JNH96" s="104"/>
      <c r="JNI96" s="104"/>
      <c r="JNJ96" s="104"/>
      <c r="JNK96" s="104"/>
      <c r="JNL96" s="104"/>
      <c r="JNM96" s="104"/>
      <c r="JNN96" s="104"/>
      <c r="JNO96" s="104"/>
      <c r="JNP96" s="104"/>
      <c r="JNQ96" s="104"/>
      <c r="JNR96" s="104"/>
      <c r="JNS96" s="104"/>
      <c r="JNT96" s="104"/>
      <c r="JNU96" s="104"/>
      <c r="JNV96" s="104"/>
      <c r="JNW96" s="104"/>
      <c r="JNX96" s="104"/>
      <c r="JNY96" s="104"/>
      <c r="JNZ96" s="104"/>
      <c r="JOA96" s="104"/>
      <c r="JOB96" s="104"/>
      <c r="JOC96" s="104"/>
      <c r="JOD96" s="104"/>
      <c r="JOE96" s="104"/>
      <c r="JOF96" s="104"/>
      <c r="JOG96" s="104"/>
      <c r="JOH96" s="104"/>
      <c r="JOI96" s="104"/>
      <c r="JOJ96" s="104"/>
      <c r="JOK96" s="104"/>
      <c r="JOL96" s="104"/>
      <c r="JOM96" s="104"/>
      <c r="JON96" s="104"/>
      <c r="JOO96" s="104"/>
      <c r="JOP96" s="104"/>
      <c r="JOQ96" s="104"/>
      <c r="JOR96" s="104"/>
      <c r="JOS96" s="104"/>
      <c r="JOT96" s="104"/>
      <c r="JOU96" s="104"/>
      <c r="JOV96" s="104"/>
      <c r="JOW96" s="104"/>
      <c r="JOX96" s="104"/>
      <c r="JOY96" s="104"/>
      <c r="JOZ96" s="104"/>
      <c r="JPA96" s="104"/>
      <c r="JPB96" s="104"/>
      <c r="JPC96" s="104"/>
      <c r="JPD96" s="104"/>
      <c r="JPE96" s="104"/>
      <c r="JPF96" s="104"/>
      <c r="JPG96" s="104"/>
      <c r="JPH96" s="104"/>
      <c r="JPI96" s="104"/>
      <c r="JPJ96" s="104"/>
      <c r="JPK96" s="104"/>
      <c r="JPL96" s="104"/>
      <c r="JPM96" s="104"/>
      <c r="JPN96" s="104"/>
      <c r="JPO96" s="104"/>
      <c r="JPP96" s="104"/>
      <c r="JPQ96" s="104"/>
      <c r="JPR96" s="104"/>
      <c r="JPS96" s="104"/>
      <c r="JPT96" s="104"/>
      <c r="JPU96" s="104"/>
      <c r="JPV96" s="104"/>
      <c r="JPW96" s="104"/>
      <c r="JPX96" s="104"/>
      <c r="JPY96" s="104"/>
      <c r="JPZ96" s="104"/>
      <c r="JQA96" s="104"/>
      <c r="JQB96" s="104"/>
      <c r="JQC96" s="104"/>
      <c r="JQD96" s="104"/>
      <c r="JQE96" s="104"/>
      <c r="JQF96" s="104"/>
      <c r="JQG96" s="104"/>
      <c r="JQH96" s="104"/>
      <c r="JQI96" s="104"/>
      <c r="JQJ96" s="104"/>
      <c r="JQK96" s="104"/>
      <c r="JQL96" s="104"/>
      <c r="JQM96" s="104"/>
      <c r="JQN96" s="104"/>
      <c r="JQO96" s="104"/>
      <c r="JQP96" s="104"/>
      <c r="JQQ96" s="104"/>
      <c r="JQR96" s="104"/>
      <c r="JQS96" s="104"/>
      <c r="JQT96" s="104"/>
      <c r="JQU96" s="104"/>
      <c r="JQV96" s="104"/>
      <c r="JQW96" s="104"/>
      <c r="JQX96" s="104"/>
      <c r="JQY96" s="104"/>
      <c r="JQZ96" s="104"/>
      <c r="JRA96" s="104"/>
      <c r="JRB96" s="104"/>
      <c r="JRC96" s="104"/>
      <c r="JRD96" s="104"/>
      <c r="JRE96" s="104"/>
      <c r="JRF96" s="104"/>
      <c r="JRG96" s="104"/>
      <c r="JRH96" s="104"/>
      <c r="JRI96" s="104"/>
      <c r="JRJ96" s="104"/>
      <c r="JRK96" s="104"/>
      <c r="JRL96" s="104"/>
      <c r="JRM96" s="104"/>
      <c r="JRN96" s="104"/>
      <c r="JRO96" s="104"/>
      <c r="JRP96" s="104"/>
      <c r="JRQ96" s="104"/>
      <c r="JRR96" s="104"/>
      <c r="JRS96" s="104"/>
      <c r="JRT96" s="104"/>
      <c r="JRU96" s="104"/>
      <c r="JRV96" s="104"/>
      <c r="JRW96" s="104"/>
      <c r="JRX96" s="104"/>
      <c r="JRY96" s="104"/>
      <c r="JRZ96" s="104"/>
      <c r="JSA96" s="104"/>
      <c r="JSB96" s="104"/>
      <c r="JSC96" s="104"/>
      <c r="JSD96" s="104"/>
      <c r="JSE96" s="104"/>
      <c r="JSF96" s="104"/>
      <c r="JSG96" s="104"/>
      <c r="JSH96" s="104"/>
      <c r="JSI96" s="104"/>
      <c r="JSJ96" s="104"/>
      <c r="JSK96" s="104"/>
      <c r="JSL96" s="104"/>
      <c r="JSM96" s="104"/>
      <c r="JSN96" s="104"/>
      <c r="JSO96" s="104"/>
      <c r="JSP96" s="104"/>
      <c r="JSQ96" s="104"/>
      <c r="JSR96" s="104"/>
      <c r="JSS96" s="104"/>
      <c r="JST96" s="104"/>
      <c r="JSU96" s="104"/>
      <c r="JSV96" s="104"/>
      <c r="JSW96" s="104"/>
      <c r="JSX96" s="104"/>
      <c r="JSY96" s="104"/>
      <c r="JSZ96" s="104"/>
      <c r="JTA96" s="104"/>
      <c r="JTB96" s="104"/>
      <c r="JTC96" s="104"/>
      <c r="JTD96" s="104"/>
      <c r="JTE96" s="104"/>
      <c r="JTF96" s="104"/>
      <c r="JTG96" s="104"/>
      <c r="JTH96" s="104"/>
      <c r="JTI96" s="104"/>
      <c r="JTJ96" s="104"/>
      <c r="JTK96" s="104"/>
      <c r="JTL96" s="104"/>
      <c r="JTM96" s="104"/>
      <c r="JTN96" s="104"/>
      <c r="JTO96" s="104"/>
      <c r="JTP96" s="104"/>
      <c r="JTQ96" s="104"/>
      <c r="JTR96" s="104"/>
      <c r="JTS96" s="104"/>
      <c r="JTT96" s="104"/>
      <c r="JTU96" s="104"/>
      <c r="JTV96" s="104"/>
      <c r="JTW96" s="104"/>
      <c r="JTX96" s="104"/>
      <c r="JTY96" s="104"/>
      <c r="JTZ96" s="104"/>
      <c r="JUA96" s="104"/>
      <c r="JUB96" s="104"/>
      <c r="JUC96" s="104"/>
      <c r="JUD96" s="104"/>
      <c r="JUE96" s="104"/>
      <c r="JUF96" s="104"/>
      <c r="JUG96" s="104"/>
      <c r="JUH96" s="104"/>
      <c r="JUI96" s="104"/>
      <c r="JUJ96" s="104"/>
      <c r="JUK96" s="104"/>
      <c r="JUL96" s="104"/>
      <c r="JUM96" s="104"/>
      <c r="JUN96" s="104"/>
      <c r="JUO96" s="104"/>
      <c r="JUP96" s="104"/>
      <c r="JUQ96" s="104"/>
      <c r="JUR96" s="104"/>
      <c r="JUS96" s="104"/>
      <c r="JUT96" s="104"/>
      <c r="JUU96" s="104"/>
      <c r="JUV96" s="104"/>
      <c r="JUW96" s="104"/>
      <c r="JUX96" s="104"/>
      <c r="JUY96" s="104"/>
      <c r="JUZ96" s="104"/>
      <c r="JVA96" s="104"/>
      <c r="JVB96" s="104"/>
      <c r="JVC96" s="104"/>
      <c r="JVD96" s="104"/>
      <c r="JVE96" s="104"/>
      <c r="JVF96" s="104"/>
      <c r="JVG96" s="104"/>
      <c r="JVH96" s="104"/>
      <c r="JVI96" s="104"/>
      <c r="JVJ96" s="104"/>
      <c r="JVK96" s="104"/>
      <c r="JVL96" s="104"/>
      <c r="JVM96" s="104"/>
      <c r="JVN96" s="104"/>
      <c r="JVO96" s="104"/>
      <c r="JVP96" s="104"/>
      <c r="JVQ96" s="104"/>
      <c r="JVR96" s="104"/>
      <c r="JVS96" s="104"/>
      <c r="JVT96" s="104"/>
      <c r="JVU96" s="104"/>
      <c r="JVV96" s="104"/>
      <c r="JVW96" s="104"/>
      <c r="JVX96" s="104"/>
      <c r="JVY96" s="104"/>
      <c r="JVZ96" s="104"/>
      <c r="JWA96" s="104"/>
      <c r="JWB96" s="104"/>
      <c r="JWC96" s="104"/>
      <c r="JWD96" s="104"/>
      <c r="JWE96" s="104"/>
      <c r="JWF96" s="104"/>
      <c r="JWG96" s="104"/>
      <c r="JWH96" s="104"/>
      <c r="JWI96" s="104"/>
      <c r="JWJ96" s="104"/>
      <c r="JWK96" s="104"/>
      <c r="JWL96" s="104"/>
      <c r="JWM96" s="104"/>
      <c r="JWN96" s="104"/>
      <c r="JWO96" s="104"/>
      <c r="JWP96" s="104"/>
      <c r="JWQ96" s="104"/>
      <c r="JWR96" s="104"/>
      <c r="JWS96" s="104"/>
      <c r="JWT96" s="104"/>
      <c r="JWU96" s="104"/>
      <c r="JWV96" s="104"/>
      <c r="JWW96" s="104"/>
      <c r="JWX96" s="104"/>
      <c r="JWY96" s="104"/>
      <c r="JWZ96" s="104"/>
      <c r="JXA96" s="104"/>
      <c r="JXB96" s="104"/>
      <c r="JXC96" s="104"/>
      <c r="JXD96" s="104"/>
      <c r="JXE96" s="104"/>
      <c r="JXF96" s="104"/>
      <c r="JXG96" s="104"/>
      <c r="JXH96" s="104"/>
      <c r="JXI96" s="104"/>
      <c r="JXJ96" s="104"/>
      <c r="JXK96" s="104"/>
      <c r="JXL96" s="104"/>
      <c r="JXM96" s="104"/>
      <c r="JXN96" s="104"/>
      <c r="JXO96" s="104"/>
      <c r="JXP96" s="104"/>
      <c r="JXQ96" s="104"/>
      <c r="JXR96" s="104"/>
      <c r="JXS96" s="104"/>
      <c r="JXT96" s="104"/>
      <c r="JXU96" s="104"/>
      <c r="JXV96" s="104"/>
      <c r="JXW96" s="104"/>
      <c r="JXX96" s="104"/>
      <c r="JXY96" s="104"/>
      <c r="JXZ96" s="104"/>
      <c r="JYA96" s="104"/>
      <c r="JYB96" s="104"/>
      <c r="JYC96" s="104"/>
      <c r="JYD96" s="104"/>
      <c r="JYE96" s="104"/>
      <c r="JYF96" s="104"/>
      <c r="JYG96" s="104"/>
      <c r="JYH96" s="104"/>
      <c r="JYI96" s="104"/>
      <c r="JYJ96" s="104"/>
      <c r="JYK96" s="104"/>
      <c r="JYL96" s="104"/>
      <c r="JYM96" s="104"/>
      <c r="JYN96" s="104"/>
      <c r="JYO96" s="104"/>
      <c r="JYP96" s="104"/>
      <c r="JYQ96" s="104"/>
      <c r="JYR96" s="104"/>
      <c r="JYS96" s="104"/>
      <c r="JYT96" s="104"/>
      <c r="JYU96" s="104"/>
      <c r="JYV96" s="104"/>
      <c r="JYW96" s="104"/>
      <c r="JYX96" s="104"/>
      <c r="JYY96" s="104"/>
      <c r="JYZ96" s="104"/>
      <c r="JZA96" s="104"/>
      <c r="JZB96" s="104"/>
      <c r="JZC96" s="104"/>
      <c r="JZD96" s="104"/>
      <c r="JZE96" s="104"/>
      <c r="JZF96" s="104"/>
      <c r="JZG96" s="104"/>
      <c r="JZH96" s="104"/>
      <c r="JZI96" s="104"/>
      <c r="JZJ96" s="104"/>
      <c r="JZK96" s="104"/>
      <c r="JZL96" s="104"/>
      <c r="JZM96" s="104"/>
      <c r="JZN96" s="104"/>
      <c r="JZO96" s="104"/>
      <c r="JZP96" s="104"/>
      <c r="JZQ96" s="104"/>
      <c r="JZR96" s="104"/>
      <c r="JZS96" s="104"/>
      <c r="JZT96" s="104"/>
      <c r="JZU96" s="104"/>
      <c r="JZV96" s="104"/>
      <c r="JZW96" s="104"/>
      <c r="JZX96" s="104"/>
      <c r="JZY96" s="104"/>
      <c r="JZZ96" s="104"/>
      <c r="KAA96" s="104"/>
      <c r="KAB96" s="104"/>
      <c r="KAC96" s="104"/>
      <c r="KAD96" s="104"/>
      <c r="KAE96" s="104"/>
      <c r="KAF96" s="104"/>
      <c r="KAG96" s="104"/>
      <c r="KAH96" s="104"/>
      <c r="KAI96" s="104"/>
      <c r="KAJ96" s="104"/>
      <c r="KAK96" s="104"/>
      <c r="KAL96" s="104"/>
      <c r="KAM96" s="104"/>
      <c r="KAN96" s="104"/>
      <c r="KAO96" s="104"/>
      <c r="KAP96" s="104"/>
      <c r="KAQ96" s="104"/>
      <c r="KAR96" s="104"/>
      <c r="KAS96" s="104"/>
      <c r="KAT96" s="104"/>
      <c r="KAU96" s="104"/>
      <c r="KAV96" s="104"/>
      <c r="KAW96" s="104"/>
      <c r="KAX96" s="104"/>
      <c r="KAY96" s="104"/>
      <c r="KAZ96" s="104"/>
      <c r="KBA96" s="104"/>
      <c r="KBB96" s="104"/>
      <c r="KBC96" s="104"/>
      <c r="KBD96" s="104"/>
      <c r="KBE96" s="104"/>
      <c r="KBF96" s="104"/>
      <c r="KBG96" s="104"/>
      <c r="KBH96" s="104"/>
      <c r="KBI96" s="104"/>
      <c r="KBJ96" s="104"/>
      <c r="KBK96" s="104"/>
      <c r="KBL96" s="104"/>
      <c r="KBM96" s="104"/>
      <c r="KBN96" s="104"/>
      <c r="KBO96" s="104"/>
      <c r="KBP96" s="104"/>
      <c r="KBQ96" s="104"/>
      <c r="KBR96" s="104"/>
      <c r="KBS96" s="104"/>
      <c r="KBT96" s="104"/>
      <c r="KBU96" s="104"/>
      <c r="KBV96" s="104"/>
      <c r="KBW96" s="104"/>
      <c r="KBX96" s="104"/>
      <c r="KBY96" s="104"/>
      <c r="KBZ96" s="104"/>
      <c r="KCA96" s="104"/>
      <c r="KCB96" s="104"/>
      <c r="KCC96" s="104"/>
      <c r="KCD96" s="104"/>
      <c r="KCE96" s="104"/>
      <c r="KCF96" s="104"/>
      <c r="KCG96" s="104"/>
      <c r="KCH96" s="104"/>
      <c r="KCI96" s="104"/>
      <c r="KCJ96" s="104"/>
      <c r="KCK96" s="104"/>
      <c r="KCL96" s="104"/>
      <c r="KCM96" s="104"/>
      <c r="KCN96" s="104"/>
      <c r="KCO96" s="104"/>
      <c r="KCP96" s="104"/>
      <c r="KCQ96" s="104"/>
      <c r="KCR96" s="104"/>
      <c r="KCS96" s="104"/>
      <c r="KCT96" s="104"/>
      <c r="KCU96" s="104"/>
      <c r="KCV96" s="104"/>
      <c r="KCW96" s="104"/>
      <c r="KCX96" s="104"/>
      <c r="KCY96" s="104"/>
      <c r="KCZ96" s="104"/>
      <c r="KDA96" s="104"/>
      <c r="KDB96" s="104"/>
      <c r="KDC96" s="104"/>
      <c r="KDD96" s="104"/>
      <c r="KDE96" s="104"/>
      <c r="KDF96" s="104"/>
      <c r="KDG96" s="104"/>
      <c r="KDH96" s="104"/>
      <c r="KDI96" s="104"/>
      <c r="KDJ96" s="104"/>
      <c r="KDK96" s="104"/>
      <c r="KDL96" s="104"/>
      <c r="KDM96" s="104"/>
      <c r="KDN96" s="104"/>
      <c r="KDO96" s="104"/>
      <c r="KDP96" s="104"/>
      <c r="KDQ96" s="104"/>
      <c r="KDR96" s="104"/>
      <c r="KDS96" s="104"/>
      <c r="KDT96" s="104"/>
      <c r="KDU96" s="104"/>
      <c r="KDV96" s="104"/>
      <c r="KDW96" s="104"/>
      <c r="KDX96" s="104"/>
      <c r="KDY96" s="104"/>
      <c r="KDZ96" s="104"/>
      <c r="KEA96" s="104"/>
      <c r="KEB96" s="104"/>
      <c r="KEC96" s="104"/>
      <c r="KED96" s="104"/>
      <c r="KEE96" s="104"/>
      <c r="KEF96" s="104"/>
      <c r="KEG96" s="104"/>
      <c r="KEH96" s="104"/>
      <c r="KEI96" s="104"/>
      <c r="KEJ96" s="104"/>
      <c r="KEK96" s="104"/>
      <c r="KEL96" s="104"/>
      <c r="KEM96" s="104"/>
      <c r="KEN96" s="104"/>
      <c r="KEO96" s="104"/>
      <c r="KEP96" s="104"/>
      <c r="KEQ96" s="104"/>
      <c r="KER96" s="104"/>
      <c r="KES96" s="104"/>
      <c r="KET96" s="104"/>
      <c r="KEU96" s="104"/>
      <c r="KEV96" s="104"/>
      <c r="KEW96" s="104"/>
      <c r="KEX96" s="104"/>
      <c r="KEY96" s="104"/>
      <c r="KEZ96" s="104"/>
      <c r="KFA96" s="104"/>
      <c r="KFB96" s="104"/>
      <c r="KFC96" s="104"/>
      <c r="KFD96" s="104"/>
      <c r="KFE96" s="104"/>
      <c r="KFF96" s="104"/>
      <c r="KFG96" s="104"/>
      <c r="KFH96" s="104"/>
      <c r="KFI96" s="104"/>
      <c r="KFJ96" s="104"/>
      <c r="KFK96" s="104"/>
      <c r="KFL96" s="104"/>
      <c r="KFM96" s="104"/>
      <c r="KFN96" s="104"/>
      <c r="KFO96" s="104"/>
      <c r="KFP96" s="104"/>
      <c r="KFQ96" s="104"/>
      <c r="KFR96" s="104"/>
      <c r="KFS96" s="104"/>
      <c r="KFT96" s="104"/>
      <c r="KFU96" s="104"/>
      <c r="KFV96" s="104"/>
      <c r="KFW96" s="104"/>
      <c r="KFX96" s="104"/>
      <c r="KFY96" s="104"/>
      <c r="KFZ96" s="104"/>
      <c r="KGA96" s="104"/>
      <c r="KGB96" s="104"/>
      <c r="KGC96" s="104"/>
      <c r="KGD96" s="104"/>
      <c r="KGE96" s="104"/>
      <c r="KGF96" s="104"/>
      <c r="KGG96" s="104"/>
      <c r="KGH96" s="104"/>
      <c r="KGI96" s="104"/>
      <c r="KGJ96" s="104"/>
      <c r="KGK96" s="104"/>
      <c r="KGL96" s="104"/>
      <c r="KGM96" s="104"/>
      <c r="KGN96" s="104"/>
      <c r="KGO96" s="104"/>
      <c r="KGP96" s="104"/>
      <c r="KGQ96" s="104"/>
      <c r="KGR96" s="104"/>
      <c r="KGS96" s="104"/>
      <c r="KGT96" s="104"/>
      <c r="KGU96" s="104"/>
      <c r="KGV96" s="104"/>
      <c r="KGW96" s="104"/>
      <c r="KGX96" s="104"/>
      <c r="KGY96" s="104"/>
      <c r="KGZ96" s="104"/>
      <c r="KHA96" s="104"/>
      <c r="KHB96" s="104"/>
      <c r="KHC96" s="104"/>
      <c r="KHD96" s="104"/>
      <c r="KHE96" s="104"/>
      <c r="KHF96" s="104"/>
      <c r="KHG96" s="104"/>
      <c r="KHH96" s="104"/>
      <c r="KHI96" s="104"/>
      <c r="KHJ96" s="104"/>
      <c r="KHK96" s="104"/>
      <c r="KHL96" s="104"/>
      <c r="KHM96" s="104"/>
      <c r="KHN96" s="104"/>
      <c r="KHO96" s="104"/>
      <c r="KHP96" s="104"/>
      <c r="KHQ96" s="104"/>
      <c r="KHR96" s="104"/>
      <c r="KHS96" s="104"/>
      <c r="KHT96" s="104"/>
      <c r="KHU96" s="104"/>
      <c r="KHV96" s="104"/>
      <c r="KHW96" s="104"/>
      <c r="KHX96" s="104"/>
      <c r="KHY96" s="104"/>
      <c r="KHZ96" s="104"/>
      <c r="KIA96" s="104"/>
      <c r="KIB96" s="104"/>
      <c r="KIC96" s="104"/>
      <c r="KID96" s="104"/>
      <c r="KIE96" s="104"/>
      <c r="KIF96" s="104"/>
      <c r="KIG96" s="104"/>
      <c r="KIH96" s="104"/>
      <c r="KII96" s="104"/>
      <c r="KIJ96" s="104"/>
      <c r="KIK96" s="104"/>
      <c r="KIL96" s="104"/>
      <c r="KIM96" s="104"/>
      <c r="KIN96" s="104"/>
      <c r="KIO96" s="104"/>
      <c r="KIP96" s="104"/>
      <c r="KIQ96" s="104"/>
      <c r="KIR96" s="104"/>
      <c r="KIS96" s="104"/>
      <c r="KIT96" s="104"/>
      <c r="KIU96" s="104"/>
      <c r="KIV96" s="104"/>
      <c r="KIW96" s="104"/>
      <c r="KIX96" s="104"/>
      <c r="KIY96" s="104"/>
      <c r="KIZ96" s="104"/>
      <c r="KJA96" s="104"/>
      <c r="KJB96" s="104"/>
      <c r="KJC96" s="104"/>
      <c r="KJD96" s="104"/>
      <c r="KJE96" s="104"/>
      <c r="KJF96" s="104"/>
      <c r="KJG96" s="104"/>
      <c r="KJH96" s="104"/>
      <c r="KJI96" s="104"/>
      <c r="KJJ96" s="104"/>
      <c r="KJK96" s="104"/>
      <c r="KJL96" s="104"/>
      <c r="KJM96" s="104"/>
      <c r="KJN96" s="104"/>
      <c r="KJO96" s="104"/>
      <c r="KJP96" s="104"/>
      <c r="KJQ96" s="104"/>
      <c r="KJR96" s="104"/>
      <c r="KJS96" s="104"/>
      <c r="KJT96" s="104"/>
      <c r="KJU96" s="104"/>
      <c r="KJV96" s="104"/>
      <c r="KJW96" s="104"/>
      <c r="KJX96" s="104"/>
      <c r="KJY96" s="104"/>
      <c r="KJZ96" s="104"/>
      <c r="KKA96" s="104"/>
      <c r="KKB96" s="104"/>
      <c r="KKC96" s="104"/>
      <c r="KKD96" s="104"/>
      <c r="KKE96" s="104"/>
      <c r="KKF96" s="104"/>
      <c r="KKG96" s="104"/>
      <c r="KKH96" s="104"/>
      <c r="KKI96" s="104"/>
      <c r="KKJ96" s="104"/>
      <c r="KKK96" s="104"/>
      <c r="KKL96" s="104"/>
      <c r="KKM96" s="104"/>
      <c r="KKN96" s="104"/>
      <c r="KKO96" s="104"/>
      <c r="KKP96" s="104"/>
      <c r="KKQ96" s="104"/>
      <c r="KKR96" s="104"/>
      <c r="KKS96" s="104"/>
      <c r="KKT96" s="104"/>
      <c r="KKU96" s="104"/>
      <c r="KKV96" s="104"/>
      <c r="KKW96" s="104"/>
      <c r="KKX96" s="104"/>
      <c r="KKY96" s="104"/>
      <c r="KKZ96" s="104"/>
      <c r="KLA96" s="104"/>
      <c r="KLB96" s="104"/>
      <c r="KLC96" s="104"/>
      <c r="KLD96" s="104"/>
      <c r="KLE96" s="104"/>
      <c r="KLF96" s="104"/>
      <c r="KLG96" s="104"/>
      <c r="KLH96" s="104"/>
      <c r="KLI96" s="104"/>
      <c r="KLJ96" s="104"/>
      <c r="KLK96" s="104"/>
      <c r="KLL96" s="104"/>
      <c r="KLM96" s="104"/>
      <c r="KLN96" s="104"/>
      <c r="KLO96" s="104"/>
      <c r="KLP96" s="104"/>
      <c r="KLQ96" s="104"/>
      <c r="KLR96" s="104"/>
      <c r="KLS96" s="104"/>
      <c r="KLT96" s="104"/>
      <c r="KLU96" s="104"/>
      <c r="KLV96" s="104"/>
      <c r="KLW96" s="104"/>
      <c r="KLX96" s="104"/>
      <c r="KLY96" s="104"/>
      <c r="KLZ96" s="104"/>
      <c r="KMA96" s="104"/>
      <c r="KMB96" s="104"/>
      <c r="KMC96" s="104"/>
      <c r="KMD96" s="104"/>
      <c r="KME96" s="104"/>
      <c r="KMF96" s="104"/>
      <c r="KMG96" s="104"/>
      <c r="KMH96" s="104"/>
      <c r="KMI96" s="104"/>
      <c r="KMJ96" s="104"/>
      <c r="KMK96" s="104"/>
      <c r="KML96" s="104"/>
      <c r="KMM96" s="104"/>
      <c r="KMN96" s="104"/>
      <c r="KMO96" s="104"/>
      <c r="KMP96" s="104"/>
      <c r="KMQ96" s="104"/>
      <c r="KMR96" s="104"/>
      <c r="KMS96" s="104"/>
      <c r="KMT96" s="104"/>
      <c r="KMU96" s="104"/>
      <c r="KMV96" s="104"/>
      <c r="KMW96" s="104"/>
      <c r="KMX96" s="104"/>
      <c r="KMY96" s="104"/>
      <c r="KMZ96" s="104"/>
      <c r="KNA96" s="104"/>
      <c r="KNB96" s="104"/>
      <c r="KNC96" s="104"/>
      <c r="KND96" s="104"/>
      <c r="KNE96" s="104"/>
      <c r="KNF96" s="104"/>
      <c r="KNG96" s="104"/>
      <c r="KNH96" s="104"/>
      <c r="KNI96" s="104"/>
      <c r="KNJ96" s="104"/>
      <c r="KNK96" s="104"/>
      <c r="KNL96" s="104"/>
      <c r="KNM96" s="104"/>
      <c r="KNN96" s="104"/>
      <c r="KNO96" s="104"/>
      <c r="KNP96" s="104"/>
      <c r="KNQ96" s="104"/>
      <c r="KNR96" s="104"/>
      <c r="KNS96" s="104"/>
      <c r="KNT96" s="104"/>
      <c r="KNU96" s="104"/>
      <c r="KNV96" s="104"/>
      <c r="KNW96" s="104"/>
      <c r="KNX96" s="104"/>
      <c r="KNY96" s="104"/>
      <c r="KNZ96" s="104"/>
      <c r="KOA96" s="104"/>
      <c r="KOB96" s="104"/>
      <c r="KOC96" s="104"/>
      <c r="KOD96" s="104"/>
      <c r="KOE96" s="104"/>
      <c r="KOF96" s="104"/>
      <c r="KOG96" s="104"/>
      <c r="KOH96" s="104"/>
      <c r="KOI96" s="104"/>
      <c r="KOJ96" s="104"/>
      <c r="KOK96" s="104"/>
      <c r="KOL96" s="104"/>
      <c r="KOM96" s="104"/>
      <c r="KON96" s="104"/>
      <c r="KOO96" s="104"/>
      <c r="KOP96" s="104"/>
      <c r="KOQ96" s="104"/>
      <c r="KOR96" s="104"/>
      <c r="KOS96" s="104"/>
      <c r="KOT96" s="104"/>
      <c r="KOU96" s="104"/>
      <c r="KOV96" s="104"/>
      <c r="KOW96" s="104"/>
      <c r="KOX96" s="104"/>
      <c r="KOY96" s="104"/>
      <c r="KOZ96" s="104"/>
      <c r="KPA96" s="104"/>
      <c r="KPB96" s="104"/>
      <c r="KPC96" s="104"/>
      <c r="KPD96" s="104"/>
      <c r="KPE96" s="104"/>
      <c r="KPF96" s="104"/>
      <c r="KPG96" s="104"/>
      <c r="KPH96" s="104"/>
      <c r="KPI96" s="104"/>
      <c r="KPJ96" s="104"/>
      <c r="KPK96" s="104"/>
      <c r="KPL96" s="104"/>
      <c r="KPM96" s="104"/>
      <c r="KPN96" s="104"/>
      <c r="KPO96" s="104"/>
      <c r="KPP96" s="104"/>
      <c r="KPQ96" s="104"/>
      <c r="KPR96" s="104"/>
      <c r="KPS96" s="104"/>
      <c r="KPT96" s="104"/>
      <c r="KPU96" s="104"/>
      <c r="KPV96" s="104"/>
      <c r="KPW96" s="104"/>
      <c r="KPX96" s="104"/>
      <c r="KPY96" s="104"/>
      <c r="KPZ96" s="104"/>
      <c r="KQA96" s="104"/>
      <c r="KQB96" s="104"/>
      <c r="KQC96" s="104"/>
      <c r="KQD96" s="104"/>
      <c r="KQE96" s="104"/>
      <c r="KQF96" s="104"/>
      <c r="KQG96" s="104"/>
      <c r="KQH96" s="104"/>
      <c r="KQI96" s="104"/>
      <c r="KQJ96" s="104"/>
      <c r="KQK96" s="104"/>
      <c r="KQL96" s="104"/>
      <c r="KQM96" s="104"/>
      <c r="KQN96" s="104"/>
      <c r="KQO96" s="104"/>
      <c r="KQP96" s="104"/>
      <c r="KQQ96" s="104"/>
      <c r="KQR96" s="104"/>
      <c r="KQS96" s="104"/>
      <c r="KQT96" s="104"/>
      <c r="KQU96" s="104"/>
      <c r="KQV96" s="104"/>
      <c r="KQW96" s="104"/>
      <c r="KQX96" s="104"/>
      <c r="KQY96" s="104"/>
      <c r="KQZ96" s="104"/>
      <c r="KRA96" s="104"/>
      <c r="KRB96" s="104"/>
      <c r="KRC96" s="104"/>
      <c r="KRD96" s="104"/>
      <c r="KRE96" s="104"/>
      <c r="KRF96" s="104"/>
      <c r="KRG96" s="104"/>
      <c r="KRH96" s="104"/>
      <c r="KRI96" s="104"/>
      <c r="KRJ96" s="104"/>
      <c r="KRK96" s="104"/>
      <c r="KRL96" s="104"/>
      <c r="KRM96" s="104"/>
      <c r="KRN96" s="104"/>
      <c r="KRO96" s="104"/>
      <c r="KRP96" s="104"/>
      <c r="KRQ96" s="104"/>
      <c r="KRR96" s="104"/>
      <c r="KRS96" s="104"/>
      <c r="KRT96" s="104"/>
      <c r="KRU96" s="104"/>
      <c r="KRV96" s="104"/>
      <c r="KRW96" s="104"/>
      <c r="KRX96" s="104"/>
      <c r="KRY96" s="104"/>
      <c r="KRZ96" s="104"/>
      <c r="KSA96" s="104"/>
      <c r="KSB96" s="104"/>
      <c r="KSC96" s="104"/>
      <c r="KSD96" s="104"/>
      <c r="KSE96" s="104"/>
      <c r="KSF96" s="104"/>
      <c r="KSG96" s="104"/>
      <c r="KSH96" s="104"/>
      <c r="KSI96" s="104"/>
      <c r="KSJ96" s="104"/>
      <c r="KSK96" s="104"/>
      <c r="KSL96" s="104"/>
      <c r="KSM96" s="104"/>
      <c r="KSN96" s="104"/>
      <c r="KSO96" s="104"/>
      <c r="KSP96" s="104"/>
      <c r="KSQ96" s="104"/>
      <c r="KSR96" s="104"/>
      <c r="KSS96" s="104"/>
      <c r="KST96" s="104"/>
      <c r="KSU96" s="104"/>
      <c r="KSV96" s="104"/>
      <c r="KSW96" s="104"/>
      <c r="KSX96" s="104"/>
      <c r="KSY96" s="104"/>
      <c r="KSZ96" s="104"/>
      <c r="KTA96" s="104"/>
      <c r="KTB96" s="104"/>
      <c r="KTC96" s="104"/>
      <c r="KTD96" s="104"/>
      <c r="KTE96" s="104"/>
      <c r="KTF96" s="104"/>
      <c r="KTG96" s="104"/>
      <c r="KTH96" s="104"/>
      <c r="KTI96" s="104"/>
      <c r="KTJ96" s="104"/>
      <c r="KTK96" s="104"/>
      <c r="KTL96" s="104"/>
      <c r="KTM96" s="104"/>
      <c r="KTN96" s="104"/>
      <c r="KTO96" s="104"/>
      <c r="KTP96" s="104"/>
      <c r="KTQ96" s="104"/>
      <c r="KTR96" s="104"/>
      <c r="KTS96" s="104"/>
      <c r="KTT96" s="104"/>
      <c r="KTU96" s="104"/>
      <c r="KTV96" s="104"/>
      <c r="KTW96" s="104"/>
      <c r="KTX96" s="104"/>
      <c r="KTY96" s="104"/>
      <c r="KTZ96" s="104"/>
      <c r="KUA96" s="104"/>
      <c r="KUB96" s="104"/>
      <c r="KUC96" s="104"/>
      <c r="KUD96" s="104"/>
      <c r="KUE96" s="104"/>
      <c r="KUF96" s="104"/>
      <c r="KUG96" s="104"/>
      <c r="KUH96" s="104"/>
      <c r="KUI96" s="104"/>
      <c r="KUJ96" s="104"/>
      <c r="KUK96" s="104"/>
      <c r="KUL96" s="104"/>
      <c r="KUM96" s="104"/>
      <c r="KUN96" s="104"/>
      <c r="KUO96" s="104"/>
      <c r="KUP96" s="104"/>
      <c r="KUQ96" s="104"/>
      <c r="KUR96" s="104"/>
      <c r="KUS96" s="104"/>
      <c r="KUT96" s="104"/>
      <c r="KUU96" s="104"/>
      <c r="KUV96" s="104"/>
      <c r="KUW96" s="104"/>
      <c r="KUX96" s="104"/>
      <c r="KUY96" s="104"/>
      <c r="KUZ96" s="104"/>
      <c r="KVA96" s="104"/>
      <c r="KVB96" s="104"/>
      <c r="KVC96" s="104"/>
      <c r="KVD96" s="104"/>
      <c r="KVE96" s="104"/>
      <c r="KVF96" s="104"/>
      <c r="KVG96" s="104"/>
      <c r="KVH96" s="104"/>
      <c r="KVI96" s="104"/>
      <c r="KVJ96" s="104"/>
      <c r="KVK96" s="104"/>
      <c r="KVL96" s="104"/>
      <c r="KVM96" s="104"/>
      <c r="KVN96" s="104"/>
      <c r="KVO96" s="104"/>
      <c r="KVP96" s="104"/>
      <c r="KVQ96" s="104"/>
      <c r="KVR96" s="104"/>
      <c r="KVS96" s="104"/>
      <c r="KVT96" s="104"/>
      <c r="KVU96" s="104"/>
      <c r="KVV96" s="104"/>
      <c r="KVW96" s="104"/>
      <c r="KVX96" s="104"/>
      <c r="KVY96" s="104"/>
      <c r="KVZ96" s="104"/>
      <c r="KWA96" s="104"/>
      <c r="KWB96" s="104"/>
      <c r="KWC96" s="104"/>
      <c r="KWD96" s="104"/>
      <c r="KWE96" s="104"/>
      <c r="KWF96" s="104"/>
      <c r="KWG96" s="104"/>
      <c r="KWH96" s="104"/>
      <c r="KWI96" s="104"/>
      <c r="KWJ96" s="104"/>
      <c r="KWK96" s="104"/>
      <c r="KWL96" s="104"/>
      <c r="KWM96" s="104"/>
      <c r="KWN96" s="104"/>
      <c r="KWO96" s="104"/>
      <c r="KWP96" s="104"/>
      <c r="KWQ96" s="104"/>
      <c r="KWR96" s="104"/>
      <c r="KWS96" s="104"/>
      <c r="KWT96" s="104"/>
      <c r="KWU96" s="104"/>
      <c r="KWV96" s="104"/>
      <c r="KWW96" s="104"/>
      <c r="KWX96" s="104"/>
      <c r="KWY96" s="104"/>
      <c r="KWZ96" s="104"/>
      <c r="KXA96" s="104"/>
      <c r="KXB96" s="104"/>
      <c r="KXC96" s="104"/>
      <c r="KXD96" s="104"/>
      <c r="KXE96" s="104"/>
      <c r="KXF96" s="104"/>
      <c r="KXG96" s="104"/>
      <c r="KXH96" s="104"/>
      <c r="KXI96" s="104"/>
      <c r="KXJ96" s="104"/>
      <c r="KXK96" s="104"/>
      <c r="KXL96" s="104"/>
      <c r="KXM96" s="104"/>
      <c r="KXN96" s="104"/>
      <c r="KXO96" s="104"/>
      <c r="KXP96" s="104"/>
      <c r="KXQ96" s="104"/>
      <c r="KXR96" s="104"/>
      <c r="KXS96" s="104"/>
      <c r="KXT96" s="104"/>
      <c r="KXU96" s="104"/>
      <c r="KXV96" s="104"/>
      <c r="KXW96" s="104"/>
      <c r="KXX96" s="104"/>
      <c r="KXY96" s="104"/>
      <c r="KXZ96" s="104"/>
      <c r="KYA96" s="104"/>
      <c r="KYB96" s="104"/>
      <c r="KYC96" s="104"/>
      <c r="KYD96" s="104"/>
      <c r="KYE96" s="104"/>
      <c r="KYF96" s="104"/>
      <c r="KYG96" s="104"/>
      <c r="KYH96" s="104"/>
      <c r="KYI96" s="104"/>
      <c r="KYJ96" s="104"/>
      <c r="KYK96" s="104"/>
      <c r="KYL96" s="104"/>
      <c r="KYM96" s="104"/>
      <c r="KYN96" s="104"/>
      <c r="KYO96" s="104"/>
      <c r="KYP96" s="104"/>
      <c r="KYQ96" s="104"/>
      <c r="KYR96" s="104"/>
      <c r="KYS96" s="104"/>
      <c r="KYT96" s="104"/>
      <c r="KYU96" s="104"/>
      <c r="KYV96" s="104"/>
      <c r="KYW96" s="104"/>
      <c r="KYX96" s="104"/>
      <c r="KYY96" s="104"/>
      <c r="KYZ96" s="104"/>
      <c r="KZA96" s="104"/>
      <c r="KZB96" s="104"/>
      <c r="KZC96" s="104"/>
      <c r="KZD96" s="104"/>
      <c r="KZE96" s="104"/>
      <c r="KZF96" s="104"/>
      <c r="KZG96" s="104"/>
      <c r="KZH96" s="104"/>
      <c r="KZI96" s="104"/>
      <c r="KZJ96" s="104"/>
      <c r="KZK96" s="104"/>
      <c r="KZL96" s="104"/>
      <c r="KZM96" s="104"/>
      <c r="KZN96" s="104"/>
      <c r="KZO96" s="104"/>
      <c r="KZP96" s="104"/>
      <c r="KZQ96" s="104"/>
      <c r="KZR96" s="104"/>
      <c r="KZS96" s="104"/>
      <c r="KZT96" s="104"/>
      <c r="KZU96" s="104"/>
      <c r="KZV96" s="104"/>
      <c r="KZW96" s="104"/>
      <c r="KZX96" s="104"/>
      <c r="KZY96" s="104"/>
      <c r="KZZ96" s="104"/>
      <c r="LAA96" s="104"/>
      <c r="LAB96" s="104"/>
      <c r="LAC96" s="104"/>
      <c r="LAD96" s="104"/>
      <c r="LAE96" s="104"/>
      <c r="LAF96" s="104"/>
      <c r="LAG96" s="104"/>
      <c r="LAH96" s="104"/>
      <c r="LAI96" s="104"/>
      <c r="LAJ96" s="104"/>
      <c r="LAK96" s="104"/>
      <c r="LAL96" s="104"/>
      <c r="LAM96" s="104"/>
      <c r="LAN96" s="104"/>
      <c r="LAO96" s="104"/>
      <c r="LAP96" s="104"/>
      <c r="LAQ96" s="104"/>
      <c r="LAR96" s="104"/>
      <c r="LAS96" s="104"/>
      <c r="LAT96" s="104"/>
      <c r="LAU96" s="104"/>
      <c r="LAV96" s="104"/>
      <c r="LAW96" s="104"/>
      <c r="LAX96" s="104"/>
      <c r="LAY96" s="104"/>
      <c r="LAZ96" s="104"/>
      <c r="LBA96" s="104"/>
      <c r="LBB96" s="104"/>
      <c r="LBC96" s="104"/>
      <c r="LBD96" s="104"/>
      <c r="LBE96" s="104"/>
      <c r="LBF96" s="104"/>
      <c r="LBG96" s="104"/>
      <c r="LBH96" s="104"/>
      <c r="LBI96" s="104"/>
      <c r="LBJ96" s="104"/>
      <c r="LBK96" s="104"/>
      <c r="LBL96" s="104"/>
      <c r="LBM96" s="104"/>
      <c r="LBN96" s="104"/>
      <c r="LBO96" s="104"/>
      <c r="LBP96" s="104"/>
      <c r="LBQ96" s="104"/>
      <c r="LBR96" s="104"/>
      <c r="LBS96" s="104"/>
      <c r="LBT96" s="104"/>
      <c r="LBU96" s="104"/>
      <c r="LBV96" s="104"/>
      <c r="LBW96" s="104"/>
      <c r="LBX96" s="104"/>
      <c r="LBY96" s="104"/>
      <c r="LBZ96" s="104"/>
      <c r="LCA96" s="104"/>
      <c r="LCB96" s="104"/>
      <c r="LCC96" s="104"/>
      <c r="LCD96" s="104"/>
      <c r="LCE96" s="104"/>
      <c r="LCF96" s="104"/>
      <c r="LCG96" s="104"/>
      <c r="LCH96" s="104"/>
      <c r="LCI96" s="104"/>
      <c r="LCJ96" s="104"/>
      <c r="LCK96" s="104"/>
      <c r="LCL96" s="104"/>
      <c r="LCM96" s="104"/>
      <c r="LCN96" s="104"/>
      <c r="LCO96" s="104"/>
      <c r="LCP96" s="104"/>
      <c r="LCQ96" s="104"/>
      <c r="LCR96" s="104"/>
      <c r="LCS96" s="104"/>
      <c r="LCT96" s="104"/>
      <c r="LCU96" s="104"/>
      <c r="LCV96" s="104"/>
      <c r="LCW96" s="104"/>
      <c r="LCX96" s="104"/>
      <c r="LCY96" s="104"/>
      <c r="LCZ96" s="104"/>
      <c r="LDA96" s="104"/>
      <c r="LDB96" s="104"/>
      <c r="LDC96" s="104"/>
      <c r="LDD96" s="104"/>
      <c r="LDE96" s="104"/>
      <c r="LDF96" s="104"/>
      <c r="LDG96" s="104"/>
      <c r="LDH96" s="104"/>
      <c r="LDI96" s="104"/>
      <c r="LDJ96" s="104"/>
      <c r="LDK96" s="104"/>
      <c r="LDL96" s="104"/>
      <c r="LDM96" s="104"/>
      <c r="LDN96" s="104"/>
      <c r="LDO96" s="104"/>
      <c r="LDP96" s="104"/>
      <c r="LDQ96" s="104"/>
      <c r="LDR96" s="104"/>
      <c r="LDS96" s="104"/>
      <c r="LDT96" s="104"/>
      <c r="LDU96" s="104"/>
      <c r="LDV96" s="104"/>
      <c r="LDW96" s="104"/>
      <c r="LDX96" s="104"/>
      <c r="LDY96" s="104"/>
      <c r="LDZ96" s="104"/>
      <c r="LEA96" s="104"/>
      <c r="LEB96" s="104"/>
      <c r="LEC96" s="104"/>
      <c r="LED96" s="104"/>
      <c r="LEE96" s="104"/>
      <c r="LEF96" s="104"/>
      <c r="LEG96" s="104"/>
      <c r="LEH96" s="104"/>
      <c r="LEI96" s="104"/>
      <c r="LEJ96" s="104"/>
      <c r="LEK96" s="104"/>
      <c r="LEL96" s="104"/>
      <c r="LEM96" s="104"/>
      <c r="LEN96" s="104"/>
      <c r="LEO96" s="104"/>
      <c r="LEP96" s="104"/>
      <c r="LEQ96" s="104"/>
      <c r="LER96" s="104"/>
      <c r="LES96" s="104"/>
      <c r="LET96" s="104"/>
      <c r="LEU96" s="104"/>
      <c r="LEV96" s="104"/>
      <c r="LEW96" s="104"/>
      <c r="LEX96" s="104"/>
      <c r="LEY96" s="104"/>
      <c r="LEZ96" s="104"/>
      <c r="LFA96" s="104"/>
      <c r="LFB96" s="104"/>
      <c r="LFC96" s="104"/>
      <c r="LFD96" s="104"/>
      <c r="LFE96" s="104"/>
      <c r="LFF96" s="104"/>
      <c r="LFG96" s="104"/>
      <c r="LFH96" s="104"/>
      <c r="LFI96" s="104"/>
      <c r="LFJ96" s="104"/>
      <c r="LFK96" s="104"/>
      <c r="LFL96" s="104"/>
      <c r="LFM96" s="104"/>
      <c r="LFN96" s="104"/>
      <c r="LFO96" s="104"/>
      <c r="LFP96" s="104"/>
      <c r="LFQ96" s="104"/>
      <c r="LFR96" s="104"/>
      <c r="LFS96" s="104"/>
      <c r="LFT96" s="104"/>
      <c r="LFU96" s="104"/>
      <c r="LFV96" s="104"/>
      <c r="LFW96" s="104"/>
      <c r="LFX96" s="104"/>
      <c r="LFY96" s="104"/>
      <c r="LFZ96" s="104"/>
      <c r="LGA96" s="104"/>
      <c r="LGB96" s="104"/>
      <c r="LGC96" s="104"/>
      <c r="LGD96" s="104"/>
      <c r="LGE96" s="104"/>
      <c r="LGF96" s="104"/>
      <c r="LGG96" s="104"/>
      <c r="LGH96" s="104"/>
      <c r="LGI96" s="104"/>
      <c r="LGJ96" s="104"/>
      <c r="LGK96" s="104"/>
      <c r="LGL96" s="104"/>
      <c r="LGM96" s="104"/>
      <c r="LGN96" s="104"/>
      <c r="LGO96" s="104"/>
      <c r="LGP96" s="104"/>
      <c r="LGQ96" s="104"/>
      <c r="LGR96" s="104"/>
      <c r="LGS96" s="104"/>
      <c r="LGT96" s="104"/>
      <c r="LGU96" s="104"/>
      <c r="LGV96" s="104"/>
      <c r="LGW96" s="104"/>
      <c r="LGX96" s="104"/>
      <c r="LGY96" s="104"/>
      <c r="LGZ96" s="104"/>
      <c r="LHA96" s="104"/>
      <c r="LHB96" s="104"/>
      <c r="LHC96" s="104"/>
      <c r="LHD96" s="104"/>
      <c r="LHE96" s="104"/>
      <c r="LHF96" s="104"/>
      <c r="LHG96" s="104"/>
      <c r="LHH96" s="104"/>
      <c r="LHI96" s="104"/>
      <c r="LHJ96" s="104"/>
      <c r="LHK96" s="104"/>
      <c r="LHL96" s="104"/>
      <c r="LHM96" s="104"/>
      <c r="LHN96" s="104"/>
      <c r="LHO96" s="104"/>
      <c r="LHP96" s="104"/>
      <c r="LHQ96" s="104"/>
      <c r="LHR96" s="104"/>
      <c r="LHS96" s="104"/>
      <c r="LHT96" s="104"/>
      <c r="LHU96" s="104"/>
      <c r="LHV96" s="104"/>
      <c r="LHW96" s="104"/>
      <c r="LHX96" s="104"/>
      <c r="LHY96" s="104"/>
      <c r="LHZ96" s="104"/>
      <c r="LIA96" s="104"/>
      <c r="LIB96" s="104"/>
      <c r="LIC96" s="104"/>
      <c r="LID96" s="104"/>
      <c r="LIE96" s="104"/>
      <c r="LIF96" s="104"/>
      <c r="LIG96" s="104"/>
      <c r="LIH96" s="104"/>
      <c r="LII96" s="104"/>
      <c r="LIJ96" s="104"/>
      <c r="LIK96" s="104"/>
      <c r="LIL96" s="104"/>
      <c r="LIM96" s="104"/>
      <c r="LIN96" s="104"/>
      <c r="LIO96" s="104"/>
      <c r="LIP96" s="104"/>
      <c r="LIQ96" s="104"/>
      <c r="LIR96" s="104"/>
      <c r="LIS96" s="104"/>
      <c r="LIT96" s="104"/>
      <c r="LIU96" s="104"/>
      <c r="LIV96" s="104"/>
      <c r="LIW96" s="104"/>
      <c r="LIX96" s="104"/>
      <c r="LIY96" s="104"/>
      <c r="LIZ96" s="104"/>
      <c r="LJA96" s="104"/>
      <c r="LJB96" s="104"/>
      <c r="LJC96" s="104"/>
      <c r="LJD96" s="104"/>
      <c r="LJE96" s="104"/>
      <c r="LJF96" s="104"/>
      <c r="LJG96" s="104"/>
      <c r="LJH96" s="104"/>
      <c r="LJI96" s="104"/>
      <c r="LJJ96" s="104"/>
      <c r="LJK96" s="104"/>
      <c r="LJL96" s="104"/>
      <c r="LJM96" s="104"/>
      <c r="LJN96" s="104"/>
      <c r="LJO96" s="104"/>
      <c r="LJP96" s="104"/>
      <c r="LJQ96" s="104"/>
      <c r="LJR96" s="104"/>
      <c r="LJS96" s="104"/>
      <c r="LJT96" s="104"/>
      <c r="LJU96" s="104"/>
      <c r="LJV96" s="104"/>
      <c r="LJW96" s="104"/>
      <c r="LJX96" s="104"/>
      <c r="LJY96" s="104"/>
      <c r="LJZ96" s="104"/>
      <c r="LKA96" s="104"/>
      <c r="LKB96" s="104"/>
      <c r="LKC96" s="104"/>
      <c r="LKD96" s="104"/>
      <c r="LKE96" s="104"/>
      <c r="LKF96" s="104"/>
      <c r="LKG96" s="104"/>
      <c r="LKH96" s="104"/>
      <c r="LKI96" s="104"/>
      <c r="LKJ96" s="104"/>
      <c r="LKK96" s="104"/>
      <c r="LKL96" s="104"/>
      <c r="LKM96" s="104"/>
      <c r="LKN96" s="104"/>
      <c r="LKO96" s="104"/>
      <c r="LKP96" s="104"/>
      <c r="LKQ96" s="104"/>
      <c r="LKR96" s="104"/>
      <c r="LKS96" s="104"/>
      <c r="LKT96" s="104"/>
      <c r="LKU96" s="104"/>
      <c r="LKV96" s="104"/>
      <c r="LKW96" s="104"/>
      <c r="LKX96" s="104"/>
      <c r="LKY96" s="104"/>
      <c r="LKZ96" s="104"/>
      <c r="LLA96" s="104"/>
      <c r="LLB96" s="104"/>
      <c r="LLC96" s="104"/>
      <c r="LLD96" s="104"/>
      <c r="LLE96" s="104"/>
      <c r="LLF96" s="104"/>
      <c r="LLG96" s="104"/>
      <c r="LLH96" s="104"/>
      <c r="LLI96" s="104"/>
      <c r="LLJ96" s="104"/>
      <c r="LLK96" s="104"/>
      <c r="LLL96" s="104"/>
      <c r="LLM96" s="104"/>
      <c r="LLN96" s="104"/>
      <c r="LLO96" s="104"/>
      <c r="LLP96" s="104"/>
      <c r="LLQ96" s="104"/>
      <c r="LLR96" s="104"/>
      <c r="LLS96" s="104"/>
      <c r="LLT96" s="104"/>
      <c r="LLU96" s="104"/>
      <c r="LLV96" s="104"/>
      <c r="LLW96" s="104"/>
      <c r="LLX96" s="104"/>
      <c r="LLY96" s="104"/>
      <c r="LLZ96" s="104"/>
      <c r="LMA96" s="104"/>
      <c r="LMB96" s="104"/>
      <c r="LMC96" s="104"/>
      <c r="LMD96" s="104"/>
      <c r="LME96" s="104"/>
      <c r="LMF96" s="104"/>
      <c r="LMG96" s="104"/>
      <c r="LMH96" s="104"/>
      <c r="LMI96" s="104"/>
      <c r="LMJ96" s="104"/>
      <c r="LMK96" s="104"/>
      <c r="LML96" s="104"/>
      <c r="LMM96" s="104"/>
      <c r="LMN96" s="104"/>
      <c r="LMO96" s="104"/>
      <c r="LMP96" s="104"/>
      <c r="LMQ96" s="104"/>
      <c r="LMR96" s="104"/>
      <c r="LMS96" s="104"/>
      <c r="LMT96" s="104"/>
      <c r="LMU96" s="104"/>
      <c r="LMV96" s="104"/>
      <c r="LMW96" s="104"/>
      <c r="LMX96" s="104"/>
      <c r="LMY96" s="104"/>
      <c r="LMZ96" s="104"/>
      <c r="LNA96" s="104"/>
      <c r="LNB96" s="104"/>
      <c r="LNC96" s="104"/>
      <c r="LND96" s="104"/>
      <c r="LNE96" s="104"/>
      <c r="LNF96" s="104"/>
      <c r="LNG96" s="104"/>
      <c r="LNH96" s="104"/>
      <c r="LNI96" s="104"/>
      <c r="LNJ96" s="104"/>
      <c r="LNK96" s="104"/>
      <c r="LNL96" s="104"/>
      <c r="LNM96" s="104"/>
      <c r="LNN96" s="104"/>
      <c r="LNO96" s="104"/>
      <c r="LNP96" s="104"/>
      <c r="LNQ96" s="104"/>
      <c r="LNR96" s="104"/>
      <c r="LNS96" s="104"/>
      <c r="LNT96" s="104"/>
      <c r="LNU96" s="104"/>
      <c r="LNV96" s="104"/>
      <c r="LNW96" s="104"/>
      <c r="LNX96" s="104"/>
      <c r="LNY96" s="104"/>
      <c r="LNZ96" s="104"/>
      <c r="LOA96" s="104"/>
      <c r="LOB96" s="104"/>
      <c r="LOC96" s="104"/>
      <c r="LOD96" s="104"/>
      <c r="LOE96" s="104"/>
      <c r="LOF96" s="104"/>
      <c r="LOG96" s="104"/>
      <c r="LOH96" s="104"/>
      <c r="LOI96" s="104"/>
      <c r="LOJ96" s="104"/>
      <c r="LOK96" s="104"/>
      <c r="LOL96" s="104"/>
      <c r="LOM96" s="104"/>
      <c r="LON96" s="104"/>
      <c r="LOO96" s="104"/>
      <c r="LOP96" s="104"/>
      <c r="LOQ96" s="104"/>
      <c r="LOR96" s="104"/>
      <c r="LOS96" s="104"/>
      <c r="LOT96" s="104"/>
      <c r="LOU96" s="104"/>
      <c r="LOV96" s="104"/>
      <c r="LOW96" s="104"/>
      <c r="LOX96" s="104"/>
      <c r="LOY96" s="104"/>
      <c r="LOZ96" s="104"/>
      <c r="LPA96" s="104"/>
      <c r="LPB96" s="104"/>
      <c r="LPC96" s="104"/>
      <c r="LPD96" s="104"/>
      <c r="LPE96" s="104"/>
      <c r="LPF96" s="104"/>
      <c r="LPG96" s="104"/>
      <c r="LPH96" s="104"/>
      <c r="LPI96" s="104"/>
      <c r="LPJ96" s="104"/>
      <c r="LPK96" s="104"/>
      <c r="LPL96" s="104"/>
      <c r="LPM96" s="104"/>
      <c r="LPN96" s="104"/>
      <c r="LPO96" s="104"/>
      <c r="LPP96" s="104"/>
      <c r="LPQ96" s="104"/>
      <c r="LPR96" s="104"/>
      <c r="LPS96" s="104"/>
      <c r="LPT96" s="104"/>
      <c r="LPU96" s="104"/>
      <c r="LPV96" s="104"/>
      <c r="LPW96" s="104"/>
      <c r="LPX96" s="104"/>
      <c r="LPY96" s="104"/>
      <c r="LPZ96" s="104"/>
      <c r="LQA96" s="104"/>
      <c r="LQB96" s="104"/>
      <c r="LQC96" s="104"/>
      <c r="LQD96" s="104"/>
      <c r="LQE96" s="104"/>
      <c r="LQF96" s="104"/>
      <c r="LQG96" s="104"/>
      <c r="LQH96" s="104"/>
      <c r="LQI96" s="104"/>
      <c r="LQJ96" s="104"/>
      <c r="LQK96" s="104"/>
      <c r="LQL96" s="104"/>
      <c r="LQM96" s="104"/>
      <c r="LQN96" s="104"/>
      <c r="LQO96" s="104"/>
      <c r="LQP96" s="104"/>
      <c r="LQQ96" s="104"/>
      <c r="LQR96" s="104"/>
      <c r="LQS96" s="104"/>
      <c r="LQT96" s="104"/>
      <c r="LQU96" s="104"/>
      <c r="LQV96" s="104"/>
      <c r="LQW96" s="104"/>
      <c r="LQX96" s="104"/>
      <c r="LQY96" s="104"/>
      <c r="LQZ96" s="104"/>
      <c r="LRA96" s="104"/>
      <c r="LRB96" s="104"/>
      <c r="LRC96" s="104"/>
      <c r="LRD96" s="104"/>
      <c r="LRE96" s="104"/>
      <c r="LRF96" s="104"/>
      <c r="LRG96" s="104"/>
      <c r="LRH96" s="104"/>
      <c r="LRI96" s="104"/>
      <c r="LRJ96" s="104"/>
      <c r="LRK96" s="104"/>
      <c r="LRL96" s="104"/>
      <c r="LRM96" s="104"/>
      <c r="LRN96" s="104"/>
      <c r="LRO96" s="104"/>
      <c r="LRP96" s="104"/>
      <c r="LRQ96" s="104"/>
      <c r="LRR96" s="104"/>
      <c r="LRS96" s="104"/>
      <c r="LRT96" s="104"/>
      <c r="LRU96" s="104"/>
      <c r="LRV96" s="104"/>
      <c r="LRW96" s="104"/>
      <c r="LRX96" s="104"/>
      <c r="LRY96" s="104"/>
      <c r="LRZ96" s="104"/>
      <c r="LSA96" s="104"/>
      <c r="LSB96" s="104"/>
      <c r="LSC96" s="104"/>
      <c r="LSD96" s="104"/>
      <c r="LSE96" s="104"/>
      <c r="LSF96" s="104"/>
      <c r="LSG96" s="104"/>
      <c r="LSH96" s="104"/>
      <c r="LSI96" s="104"/>
      <c r="LSJ96" s="104"/>
      <c r="LSK96" s="104"/>
      <c r="LSL96" s="104"/>
      <c r="LSM96" s="104"/>
      <c r="LSN96" s="104"/>
      <c r="LSO96" s="104"/>
      <c r="LSP96" s="104"/>
      <c r="LSQ96" s="104"/>
      <c r="LSR96" s="104"/>
      <c r="LSS96" s="104"/>
      <c r="LST96" s="104"/>
      <c r="LSU96" s="104"/>
      <c r="LSV96" s="104"/>
      <c r="LSW96" s="104"/>
      <c r="LSX96" s="104"/>
      <c r="LSY96" s="104"/>
      <c r="LSZ96" s="104"/>
      <c r="LTA96" s="104"/>
      <c r="LTB96" s="104"/>
      <c r="LTC96" s="104"/>
      <c r="LTD96" s="104"/>
      <c r="LTE96" s="104"/>
      <c r="LTF96" s="104"/>
      <c r="LTG96" s="104"/>
      <c r="LTH96" s="104"/>
      <c r="LTI96" s="104"/>
      <c r="LTJ96" s="104"/>
      <c r="LTK96" s="104"/>
      <c r="LTL96" s="104"/>
      <c r="LTM96" s="104"/>
      <c r="LTN96" s="104"/>
      <c r="LTO96" s="104"/>
      <c r="LTP96" s="104"/>
      <c r="LTQ96" s="104"/>
      <c r="LTR96" s="104"/>
      <c r="LTS96" s="104"/>
      <c r="LTT96" s="104"/>
      <c r="LTU96" s="104"/>
      <c r="LTV96" s="104"/>
      <c r="LTW96" s="104"/>
      <c r="LTX96" s="104"/>
      <c r="LTY96" s="104"/>
      <c r="LTZ96" s="104"/>
      <c r="LUA96" s="104"/>
      <c r="LUB96" s="104"/>
      <c r="LUC96" s="104"/>
      <c r="LUD96" s="104"/>
      <c r="LUE96" s="104"/>
      <c r="LUF96" s="104"/>
      <c r="LUG96" s="104"/>
      <c r="LUH96" s="104"/>
      <c r="LUI96" s="104"/>
      <c r="LUJ96" s="104"/>
      <c r="LUK96" s="104"/>
      <c r="LUL96" s="104"/>
      <c r="LUM96" s="104"/>
      <c r="LUN96" s="104"/>
      <c r="LUO96" s="104"/>
      <c r="LUP96" s="104"/>
      <c r="LUQ96" s="104"/>
      <c r="LUR96" s="104"/>
      <c r="LUS96" s="104"/>
      <c r="LUT96" s="104"/>
      <c r="LUU96" s="104"/>
      <c r="LUV96" s="104"/>
      <c r="LUW96" s="104"/>
      <c r="LUX96" s="104"/>
      <c r="LUY96" s="104"/>
      <c r="LUZ96" s="104"/>
      <c r="LVA96" s="104"/>
      <c r="LVB96" s="104"/>
      <c r="LVC96" s="104"/>
      <c r="LVD96" s="104"/>
      <c r="LVE96" s="104"/>
      <c r="LVF96" s="104"/>
      <c r="LVG96" s="104"/>
      <c r="LVH96" s="104"/>
      <c r="LVI96" s="104"/>
      <c r="LVJ96" s="104"/>
      <c r="LVK96" s="104"/>
      <c r="LVL96" s="104"/>
      <c r="LVM96" s="104"/>
      <c r="LVN96" s="104"/>
      <c r="LVO96" s="104"/>
      <c r="LVP96" s="104"/>
      <c r="LVQ96" s="104"/>
      <c r="LVR96" s="104"/>
      <c r="LVS96" s="104"/>
      <c r="LVT96" s="104"/>
      <c r="LVU96" s="104"/>
      <c r="LVV96" s="104"/>
      <c r="LVW96" s="104"/>
      <c r="LVX96" s="104"/>
      <c r="LVY96" s="104"/>
      <c r="LVZ96" s="104"/>
      <c r="LWA96" s="104"/>
      <c r="LWB96" s="104"/>
      <c r="LWC96" s="104"/>
      <c r="LWD96" s="104"/>
      <c r="LWE96" s="104"/>
      <c r="LWF96" s="104"/>
      <c r="LWG96" s="104"/>
      <c r="LWH96" s="104"/>
      <c r="LWI96" s="104"/>
      <c r="LWJ96" s="104"/>
      <c r="LWK96" s="104"/>
      <c r="LWL96" s="104"/>
      <c r="LWM96" s="104"/>
      <c r="LWN96" s="104"/>
      <c r="LWO96" s="104"/>
      <c r="LWP96" s="104"/>
      <c r="LWQ96" s="104"/>
      <c r="LWR96" s="104"/>
      <c r="LWS96" s="104"/>
      <c r="LWT96" s="104"/>
      <c r="LWU96" s="104"/>
      <c r="LWV96" s="104"/>
      <c r="LWW96" s="104"/>
      <c r="LWX96" s="104"/>
      <c r="LWY96" s="104"/>
      <c r="LWZ96" s="104"/>
      <c r="LXA96" s="104"/>
      <c r="LXB96" s="104"/>
      <c r="LXC96" s="104"/>
      <c r="LXD96" s="104"/>
      <c r="LXE96" s="104"/>
      <c r="LXF96" s="104"/>
      <c r="LXG96" s="104"/>
      <c r="LXH96" s="104"/>
      <c r="LXI96" s="104"/>
      <c r="LXJ96" s="104"/>
      <c r="LXK96" s="104"/>
      <c r="LXL96" s="104"/>
      <c r="LXM96" s="104"/>
      <c r="LXN96" s="104"/>
      <c r="LXO96" s="104"/>
      <c r="LXP96" s="104"/>
      <c r="LXQ96" s="104"/>
      <c r="LXR96" s="104"/>
      <c r="LXS96" s="104"/>
      <c r="LXT96" s="104"/>
      <c r="LXU96" s="104"/>
      <c r="LXV96" s="104"/>
      <c r="LXW96" s="104"/>
      <c r="LXX96" s="104"/>
      <c r="LXY96" s="104"/>
      <c r="LXZ96" s="104"/>
      <c r="LYA96" s="104"/>
      <c r="LYB96" s="104"/>
      <c r="LYC96" s="104"/>
      <c r="LYD96" s="104"/>
      <c r="LYE96" s="104"/>
      <c r="LYF96" s="104"/>
      <c r="LYG96" s="104"/>
      <c r="LYH96" s="104"/>
      <c r="LYI96" s="104"/>
      <c r="LYJ96" s="104"/>
      <c r="LYK96" s="104"/>
      <c r="LYL96" s="104"/>
      <c r="LYM96" s="104"/>
      <c r="LYN96" s="104"/>
      <c r="LYO96" s="104"/>
      <c r="LYP96" s="104"/>
      <c r="LYQ96" s="104"/>
      <c r="LYR96" s="104"/>
      <c r="LYS96" s="104"/>
      <c r="LYT96" s="104"/>
      <c r="LYU96" s="104"/>
      <c r="LYV96" s="104"/>
      <c r="LYW96" s="104"/>
      <c r="LYX96" s="104"/>
      <c r="LYY96" s="104"/>
      <c r="LYZ96" s="104"/>
      <c r="LZA96" s="104"/>
      <c r="LZB96" s="104"/>
      <c r="LZC96" s="104"/>
      <c r="LZD96" s="104"/>
      <c r="LZE96" s="104"/>
      <c r="LZF96" s="104"/>
      <c r="LZG96" s="104"/>
      <c r="LZH96" s="104"/>
      <c r="LZI96" s="104"/>
      <c r="LZJ96" s="104"/>
      <c r="LZK96" s="104"/>
      <c r="LZL96" s="104"/>
      <c r="LZM96" s="104"/>
      <c r="LZN96" s="104"/>
      <c r="LZO96" s="104"/>
      <c r="LZP96" s="104"/>
      <c r="LZQ96" s="104"/>
      <c r="LZR96" s="104"/>
      <c r="LZS96" s="104"/>
      <c r="LZT96" s="104"/>
      <c r="LZU96" s="104"/>
      <c r="LZV96" s="104"/>
      <c r="LZW96" s="104"/>
      <c r="LZX96" s="104"/>
      <c r="LZY96" s="104"/>
      <c r="LZZ96" s="104"/>
      <c r="MAA96" s="104"/>
      <c r="MAB96" s="104"/>
      <c r="MAC96" s="104"/>
      <c r="MAD96" s="104"/>
      <c r="MAE96" s="104"/>
      <c r="MAF96" s="104"/>
      <c r="MAG96" s="104"/>
      <c r="MAH96" s="104"/>
      <c r="MAI96" s="104"/>
      <c r="MAJ96" s="104"/>
      <c r="MAK96" s="104"/>
      <c r="MAL96" s="104"/>
      <c r="MAM96" s="104"/>
      <c r="MAN96" s="104"/>
      <c r="MAO96" s="104"/>
      <c r="MAP96" s="104"/>
      <c r="MAQ96" s="104"/>
      <c r="MAR96" s="104"/>
      <c r="MAS96" s="104"/>
      <c r="MAT96" s="104"/>
      <c r="MAU96" s="104"/>
      <c r="MAV96" s="104"/>
      <c r="MAW96" s="104"/>
      <c r="MAX96" s="104"/>
      <c r="MAY96" s="104"/>
      <c r="MAZ96" s="104"/>
      <c r="MBA96" s="104"/>
      <c r="MBB96" s="104"/>
      <c r="MBC96" s="104"/>
      <c r="MBD96" s="104"/>
      <c r="MBE96" s="104"/>
      <c r="MBF96" s="104"/>
      <c r="MBG96" s="104"/>
      <c r="MBH96" s="104"/>
      <c r="MBI96" s="104"/>
      <c r="MBJ96" s="104"/>
      <c r="MBK96" s="104"/>
      <c r="MBL96" s="104"/>
      <c r="MBM96" s="104"/>
      <c r="MBN96" s="104"/>
      <c r="MBO96" s="104"/>
      <c r="MBP96" s="104"/>
      <c r="MBQ96" s="104"/>
      <c r="MBR96" s="104"/>
      <c r="MBS96" s="104"/>
      <c r="MBT96" s="104"/>
      <c r="MBU96" s="104"/>
      <c r="MBV96" s="104"/>
      <c r="MBW96" s="104"/>
      <c r="MBX96" s="104"/>
      <c r="MBY96" s="104"/>
      <c r="MBZ96" s="104"/>
      <c r="MCA96" s="104"/>
      <c r="MCB96" s="104"/>
      <c r="MCC96" s="104"/>
      <c r="MCD96" s="104"/>
      <c r="MCE96" s="104"/>
      <c r="MCF96" s="104"/>
      <c r="MCG96" s="104"/>
      <c r="MCH96" s="104"/>
      <c r="MCI96" s="104"/>
      <c r="MCJ96" s="104"/>
      <c r="MCK96" s="104"/>
      <c r="MCL96" s="104"/>
      <c r="MCM96" s="104"/>
      <c r="MCN96" s="104"/>
      <c r="MCO96" s="104"/>
      <c r="MCP96" s="104"/>
      <c r="MCQ96" s="104"/>
      <c r="MCR96" s="104"/>
      <c r="MCS96" s="104"/>
      <c r="MCT96" s="104"/>
      <c r="MCU96" s="104"/>
      <c r="MCV96" s="104"/>
      <c r="MCW96" s="104"/>
      <c r="MCX96" s="104"/>
      <c r="MCY96" s="104"/>
      <c r="MCZ96" s="104"/>
      <c r="MDA96" s="104"/>
      <c r="MDB96" s="104"/>
      <c r="MDC96" s="104"/>
      <c r="MDD96" s="104"/>
      <c r="MDE96" s="104"/>
      <c r="MDF96" s="104"/>
      <c r="MDG96" s="104"/>
      <c r="MDH96" s="104"/>
      <c r="MDI96" s="104"/>
      <c r="MDJ96" s="104"/>
      <c r="MDK96" s="104"/>
      <c r="MDL96" s="104"/>
      <c r="MDM96" s="104"/>
      <c r="MDN96" s="104"/>
      <c r="MDO96" s="104"/>
      <c r="MDP96" s="104"/>
      <c r="MDQ96" s="104"/>
      <c r="MDR96" s="104"/>
      <c r="MDS96" s="104"/>
      <c r="MDT96" s="104"/>
      <c r="MDU96" s="104"/>
      <c r="MDV96" s="104"/>
      <c r="MDW96" s="104"/>
      <c r="MDX96" s="104"/>
      <c r="MDY96" s="104"/>
      <c r="MDZ96" s="104"/>
      <c r="MEA96" s="104"/>
      <c r="MEB96" s="104"/>
      <c r="MEC96" s="104"/>
      <c r="MED96" s="104"/>
      <c r="MEE96" s="104"/>
      <c r="MEF96" s="104"/>
      <c r="MEG96" s="104"/>
      <c r="MEH96" s="104"/>
      <c r="MEI96" s="104"/>
      <c r="MEJ96" s="104"/>
      <c r="MEK96" s="104"/>
      <c r="MEL96" s="104"/>
      <c r="MEM96" s="104"/>
      <c r="MEN96" s="104"/>
      <c r="MEO96" s="104"/>
      <c r="MEP96" s="104"/>
      <c r="MEQ96" s="104"/>
      <c r="MER96" s="104"/>
      <c r="MES96" s="104"/>
      <c r="MET96" s="104"/>
      <c r="MEU96" s="104"/>
      <c r="MEV96" s="104"/>
      <c r="MEW96" s="104"/>
      <c r="MEX96" s="104"/>
      <c r="MEY96" s="104"/>
      <c r="MEZ96" s="104"/>
      <c r="MFA96" s="104"/>
      <c r="MFB96" s="104"/>
      <c r="MFC96" s="104"/>
      <c r="MFD96" s="104"/>
      <c r="MFE96" s="104"/>
      <c r="MFF96" s="104"/>
      <c r="MFG96" s="104"/>
      <c r="MFH96" s="104"/>
      <c r="MFI96" s="104"/>
      <c r="MFJ96" s="104"/>
      <c r="MFK96" s="104"/>
      <c r="MFL96" s="104"/>
      <c r="MFM96" s="104"/>
      <c r="MFN96" s="104"/>
      <c r="MFO96" s="104"/>
      <c r="MFP96" s="104"/>
      <c r="MFQ96" s="104"/>
      <c r="MFR96" s="104"/>
      <c r="MFS96" s="104"/>
      <c r="MFT96" s="104"/>
      <c r="MFU96" s="104"/>
      <c r="MFV96" s="104"/>
      <c r="MFW96" s="104"/>
      <c r="MFX96" s="104"/>
      <c r="MFY96" s="104"/>
      <c r="MFZ96" s="104"/>
      <c r="MGA96" s="104"/>
      <c r="MGB96" s="104"/>
      <c r="MGC96" s="104"/>
      <c r="MGD96" s="104"/>
      <c r="MGE96" s="104"/>
      <c r="MGF96" s="104"/>
      <c r="MGG96" s="104"/>
      <c r="MGH96" s="104"/>
      <c r="MGI96" s="104"/>
      <c r="MGJ96" s="104"/>
      <c r="MGK96" s="104"/>
      <c r="MGL96" s="104"/>
      <c r="MGM96" s="104"/>
      <c r="MGN96" s="104"/>
      <c r="MGO96" s="104"/>
      <c r="MGP96" s="104"/>
      <c r="MGQ96" s="104"/>
      <c r="MGR96" s="104"/>
      <c r="MGS96" s="104"/>
      <c r="MGT96" s="104"/>
      <c r="MGU96" s="104"/>
      <c r="MGV96" s="104"/>
      <c r="MGW96" s="104"/>
      <c r="MGX96" s="104"/>
      <c r="MGY96" s="104"/>
      <c r="MGZ96" s="104"/>
      <c r="MHA96" s="104"/>
      <c r="MHB96" s="104"/>
      <c r="MHC96" s="104"/>
      <c r="MHD96" s="104"/>
      <c r="MHE96" s="104"/>
      <c r="MHF96" s="104"/>
      <c r="MHG96" s="104"/>
      <c r="MHH96" s="104"/>
      <c r="MHI96" s="104"/>
      <c r="MHJ96" s="104"/>
      <c r="MHK96" s="104"/>
      <c r="MHL96" s="104"/>
      <c r="MHM96" s="104"/>
      <c r="MHN96" s="104"/>
      <c r="MHO96" s="104"/>
      <c r="MHP96" s="104"/>
      <c r="MHQ96" s="104"/>
      <c r="MHR96" s="104"/>
      <c r="MHS96" s="104"/>
      <c r="MHT96" s="104"/>
      <c r="MHU96" s="104"/>
      <c r="MHV96" s="104"/>
      <c r="MHW96" s="104"/>
      <c r="MHX96" s="104"/>
      <c r="MHY96" s="104"/>
      <c r="MHZ96" s="104"/>
      <c r="MIA96" s="104"/>
      <c r="MIB96" s="104"/>
      <c r="MIC96" s="104"/>
      <c r="MID96" s="104"/>
      <c r="MIE96" s="104"/>
      <c r="MIF96" s="104"/>
      <c r="MIG96" s="104"/>
      <c r="MIH96" s="104"/>
      <c r="MII96" s="104"/>
      <c r="MIJ96" s="104"/>
      <c r="MIK96" s="104"/>
      <c r="MIL96" s="104"/>
      <c r="MIM96" s="104"/>
      <c r="MIN96" s="104"/>
      <c r="MIO96" s="104"/>
      <c r="MIP96" s="104"/>
      <c r="MIQ96" s="104"/>
      <c r="MIR96" s="104"/>
      <c r="MIS96" s="104"/>
      <c r="MIT96" s="104"/>
      <c r="MIU96" s="104"/>
      <c r="MIV96" s="104"/>
      <c r="MIW96" s="104"/>
      <c r="MIX96" s="104"/>
      <c r="MIY96" s="104"/>
      <c r="MIZ96" s="104"/>
      <c r="MJA96" s="104"/>
      <c r="MJB96" s="104"/>
      <c r="MJC96" s="104"/>
      <c r="MJD96" s="104"/>
      <c r="MJE96" s="104"/>
      <c r="MJF96" s="104"/>
      <c r="MJG96" s="104"/>
      <c r="MJH96" s="104"/>
      <c r="MJI96" s="104"/>
      <c r="MJJ96" s="104"/>
      <c r="MJK96" s="104"/>
      <c r="MJL96" s="104"/>
      <c r="MJM96" s="104"/>
      <c r="MJN96" s="104"/>
      <c r="MJO96" s="104"/>
      <c r="MJP96" s="104"/>
      <c r="MJQ96" s="104"/>
      <c r="MJR96" s="104"/>
      <c r="MJS96" s="104"/>
      <c r="MJT96" s="104"/>
      <c r="MJU96" s="104"/>
      <c r="MJV96" s="104"/>
      <c r="MJW96" s="104"/>
      <c r="MJX96" s="104"/>
      <c r="MJY96" s="104"/>
      <c r="MJZ96" s="104"/>
      <c r="MKA96" s="104"/>
      <c r="MKB96" s="104"/>
      <c r="MKC96" s="104"/>
      <c r="MKD96" s="104"/>
      <c r="MKE96" s="104"/>
      <c r="MKF96" s="104"/>
      <c r="MKG96" s="104"/>
      <c r="MKH96" s="104"/>
      <c r="MKI96" s="104"/>
      <c r="MKJ96" s="104"/>
      <c r="MKK96" s="104"/>
      <c r="MKL96" s="104"/>
      <c r="MKM96" s="104"/>
      <c r="MKN96" s="104"/>
      <c r="MKO96" s="104"/>
      <c r="MKP96" s="104"/>
      <c r="MKQ96" s="104"/>
      <c r="MKR96" s="104"/>
      <c r="MKS96" s="104"/>
      <c r="MKT96" s="104"/>
      <c r="MKU96" s="104"/>
      <c r="MKV96" s="104"/>
      <c r="MKW96" s="104"/>
      <c r="MKX96" s="104"/>
      <c r="MKY96" s="104"/>
      <c r="MKZ96" s="104"/>
      <c r="MLA96" s="104"/>
      <c r="MLB96" s="104"/>
      <c r="MLC96" s="104"/>
      <c r="MLD96" s="104"/>
      <c r="MLE96" s="104"/>
      <c r="MLF96" s="104"/>
      <c r="MLG96" s="104"/>
      <c r="MLH96" s="104"/>
      <c r="MLI96" s="104"/>
      <c r="MLJ96" s="104"/>
      <c r="MLK96" s="104"/>
      <c r="MLL96" s="104"/>
      <c r="MLM96" s="104"/>
      <c r="MLN96" s="104"/>
      <c r="MLO96" s="104"/>
      <c r="MLP96" s="104"/>
      <c r="MLQ96" s="104"/>
      <c r="MLR96" s="104"/>
      <c r="MLS96" s="104"/>
      <c r="MLT96" s="104"/>
      <c r="MLU96" s="104"/>
      <c r="MLV96" s="104"/>
      <c r="MLW96" s="104"/>
      <c r="MLX96" s="104"/>
      <c r="MLY96" s="104"/>
      <c r="MLZ96" s="104"/>
      <c r="MMA96" s="104"/>
      <c r="MMB96" s="104"/>
      <c r="MMC96" s="104"/>
      <c r="MMD96" s="104"/>
      <c r="MME96" s="104"/>
      <c r="MMF96" s="104"/>
      <c r="MMG96" s="104"/>
      <c r="MMH96" s="104"/>
      <c r="MMI96" s="104"/>
      <c r="MMJ96" s="104"/>
      <c r="MMK96" s="104"/>
      <c r="MML96" s="104"/>
      <c r="MMM96" s="104"/>
      <c r="MMN96" s="104"/>
      <c r="MMO96" s="104"/>
      <c r="MMP96" s="104"/>
      <c r="MMQ96" s="104"/>
      <c r="MMR96" s="104"/>
      <c r="MMS96" s="104"/>
      <c r="MMT96" s="104"/>
      <c r="MMU96" s="104"/>
      <c r="MMV96" s="104"/>
      <c r="MMW96" s="104"/>
      <c r="MMX96" s="104"/>
      <c r="MMY96" s="104"/>
      <c r="MMZ96" s="104"/>
      <c r="MNA96" s="104"/>
      <c r="MNB96" s="104"/>
      <c r="MNC96" s="104"/>
      <c r="MND96" s="104"/>
      <c r="MNE96" s="104"/>
      <c r="MNF96" s="104"/>
      <c r="MNG96" s="104"/>
      <c r="MNH96" s="104"/>
      <c r="MNI96" s="104"/>
      <c r="MNJ96" s="104"/>
      <c r="MNK96" s="104"/>
      <c r="MNL96" s="104"/>
      <c r="MNM96" s="104"/>
      <c r="MNN96" s="104"/>
      <c r="MNO96" s="104"/>
      <c r="MNP96" s="104"/>
      <c r="MNQ96" s="104"/>
      <c r="MNR96" s="104"/>
      <c r="MNS96" s="104"/>
      <c r="MNT96" s="104"/>
      <c r="MNU96" s="104"/>
      <c r="MNV96" s="104"/>
      <c r="MNW96" s="104"/>
      <c r="MNX96" s="104"/>
      <c r="MNY96" s="104"/>
      <c r="MNZ96" s="104"/>
      <c r="MOA96" s="104"/>
      <c r="MOB96" s="104"/>
      <c r="MOC96" s="104"/>
      <c r="MOD96" s="104"/>
      <c r="MOE96" s="104"/>
      <c r="MOF96" s="104"/>
      <c r="MOG96" s="104"/>
      <c r="MOH96" s="104"/>
      <c r="MOI96" s="104"/>
      <c r="MOJ96" s="104"/>
      <c r="MOK96" s="104"/>
      <c r="MOL96" s="104"/>
      <c r="MOM96" s="104"/>
      <c r="MON96" s="104"/>
      <c r="MOO96" s="104"/>
      <c r="MOP96" s="104"/>
      <c r="MOQ96" s="104"/>
      <c r="MOR96" s="104"/>
      <c r="MOS96" s="104"/>
      <c r="MOT96" s="104"/>
      <c r="MOU96" s="104"/>
      <c r="MOV96" s="104"/>
      <c r="MOW96" s="104"/>
      <c r="MOX96" s="104"/>
      <c r="MOY96" s="104"/>
      <c r="MOZ96" s="104"/>
      <c r="MPA96" s="104"/>
      <c r="MPB96" s="104"/>
      <c r="MPC96" s="104"/>
      <c r="MPD96" s="104"/>
      <c r="MPE96" s="104"/>
      <c r="MPF96" s="104"/>
      <c r="MPG96" s="104"/>
      <c r="MPH96" s="104"/>
      <c r="MPI96" s="104"/>
      <c r="MPJ96" s="104"/>
      <c r="MPK96" s="104"/>
      <c r="MPL96" s="104"/>
      <c r="MPM96" s="104"/>
      <c r="MPN96" s="104"/>
      <c r="MPO96" s="104"/>
      <c r="MPP96" s="104"/>
      <c r="MPQ96" s="104"/>
      <c r="MPR96" s="104"/>
      <c r="MPS96" s="104"/>
      <c r="MPT96" s="104"/>
      <c r="MPU96" s="104"/>
      <c r="MPV96" s="104"/>
      <c r="MPW96" s="104"/>
      <c r="MPX96" s="104"/>
      <c r="MPY96" s="104"/>
      <c r="MPZ96" s="104"/>
      <c r="MQA96" s="104"/>
      <c r="MQB96" s="104"/>
      <c r="MQC96" s="104"/>
      <c r="MQD96" s="104"/>
      <c r="MQE96" s="104"/>
      <c r="MQF96" s="104"/>
      <c r="MQG96" s="104"/>
      <c r="MQH96" s="104"/>
      <c r="MQI96" s="104"/>
      <c r="MQJ96" s="104"/>
      <c r="MQK96" s="104"/>
      <c r="MQL96" s="104"/>
      <c r="MQM96" s="104"/>
      <c r="MQN96" s="104"/>
      <c r="MQO96" s="104"/>
      <c r="MQP96" s="104"/>
      <c r="MQQ96" s="104"/>
      <c r="MQR96" s="104"/>
      <c r="MQS96" s="104"/>
      <c r="MQT96" s="104"/>
      <c r="MQU96" s="104"/>
      <c r="MQV96" s="104"/>
      <c r="MQW96" s="104"/>
      <c r="MQX96" s="104"/>
      <c r="MQY96" s="104"/>
      <c r="MQZ96" s="104"/>
      <c r="MRA96" s="104"/>
      <c r="MRB96" s="104"/>
      <c r="MRC96" s="104"/>
      <c r="MRD96" s="104"/>
      <c r="MRE96" s="104"/>
      <c r="MRF96" s="104"/>
      <c r="MRG96" s="104"/>
      <c r="MRH96" s="104"/>
      <c r="MRI96" s="104"/>
      <c r="MRJ96" s="104"/>
      <c r="MRK96" s="104"/>
      <c r="MRL96" s="104"/>
      <c r="MRM96" s="104"/>
      <c r="MRN96" s="104"/>
      <c r="MRO96" s="104"/>
      <c r="MRP96" s="104"/>
      <c r="MRQ96" s="104"/>
      <c r="MRR96" s="104"/>
      <c r="MRS96" s="104"/>
      <c r="MRT96" s="104"/>
      <c r="MRU96" s="104"/>
      <c r="MRV96" s="104"/>
      <c r="MRW96" s="104"/>
      <c r="MRX96" s="104"/>
      <c r="MRY96" s="104"/>
      <c r="MRZ96" s="104"/>
      <c r="MSA96" s="104"/>
      <c r="MSB96" s="104"/>
      <c r="MSC96" s="104"/>
      <c r="MSD96" s="104"/>
      <c r="MSE96" s="104"/>
      <c r="MSF96" s="104"/>
      <c r="MSG96" s="104"/>
      <c r="MSH96" s="104"/>
      <c r="MSI96" s="104"/>
      <c r="MSJ96" s="104"/>
      <c r="MSK96" s="104"/>
      <c r="MSL96" s="104"/>
      <c r="MSM96" s="104"/>
      <c r="MSN96" s="104"/>
      <c r="MSO96" s="104"/>
      <c r="MSP96" s="104"/>
      <c r="MSQ96" s="104"/>
      <c r="MSR96" s="104"/>
      <c r="MSS96" s="104"/>
      <c r="MST96" s="104"/>
      <c r="MSU96" s="104"/>
      <c r="MSV96" s="104"/>
      <c r="MSW96" s="104"/>
      <c r="MSX96" s="104"/>
      <c r="MSY96" s="104"/>
      <c r="MSZ96" s="104"/>
      <c r="MTA96" s="104"/>
      <c r="MTB96" s="104"/>
      <c r="MTC96" s="104"/>
      <c r="MTD96" s="104"/>
      <c r="MTE96" s="104"/>
      <c r="MTF96" s="104"/>
      <c r="MTG96" s="104"/>
      <c r="MTH96" s="104"/>
      <c r="MTI96" s="104"/>
      <c r="MTJ96" s="104"/>
      <c r="MTK96" s="104"/>
      <c r="MTL96" s="104"/>
      <c r="MTM96" s="104"/>
      <c r="MTN96" s="104"/>
      <c r="MTO96" s="104"/>
      <c r="MTP96" s="104"/>
      <c r="MTQ96" s="104"/>
      <c r="MTR96" s="104"/>
      <c r="MTS96" s="104"/>
      <c r="MTT96" s="104"/>
      <c r="MTU96" s="104"/>
      <c r="MTV96" s="104"/>
      <c r="MTW96" s="104"/>
      <c r="MTX96" s="104"/>
      <c r="MTY96" s="104"/>
      <c r="MTZ96" s="104"/>
      <c r="MUA96" s="104"/>
      <c r="MUB96" s="104"/>
      <c r="MUC96" s="104"/>
      <c r="MUD96" s="104"/>
      <c r="MUE96" s="104"/>
      <c r="MUF96" s="104"/>
      <c r="MUG96" s="104"/>
      <c r="MUH96" s="104"/>
      <c r="MUI96" s="104"/>
      <c r="MUJ96" s="104"/>
      <c r="MUK96" s="104"/>
      <c r="MUL96" s="104"/>
      <c r="MUM96" s="104"/>
      <c r="MUN96" s="104"/>
      <c r="MUO96" s="104"/>
      <c r="MUP96" s="104"/>
      <c r="MUQ96" s="104"/>
      <c r="MUR96" s="104"/>
      <c r="MUS96" s="104"/>
      <c r="MUT96" s="104"/>
      <c r="MUU96" s="104"/>
      <c r="MUV96" s="104"/>
      <c r="MUW96" s="104"/>
      <c r="MUX96" s="104"/>
      <c r="MUY96" s="104"/>
      <c r="MUZ96" s="104"/>
      <c r="MVA96" s="104"/>
      <c r="MVB96" s="104"/>
      <c r="MVC96" s="104"/>
      <c r="MVD96" s="104"/>
      <c r="MVE96" s="104"/>
      <c r="MVF96" s="104"/>
      <c r="MVG96" s="104"/>
      <c r="MVH96" s="104"/>
      <c r="MVI96" s="104"/>
      <c r="MVJ96" s="104"/>
      <c r="MVK96" s="104"/>
      <c r="MVL96" s="104"/>
      <c r="MVM96" s="104"/>
      <c r="MVN96" s="104"/>
      <c r="MVO96" s="104"/>
      <c r="MVP96" s="104"/>
      <c r="MVQ96" s="104"/>
      <c r="MVR96" s="104"/>
      <c r="MVS96" s="104"/>
      <c r="MVT96" s="104"/>
      <c r="MVU96" s="104"/>
      <c r="MVV96" s="104"/>
      <c r="MVW96" s="104"/>
      <c r="MVX96" s="104"/>
      <c r="MVY96" s="104"/>
      <c r="MVZ96" s="104"/>
      <c r="MWA96" s="104"/>
      <c r="MWB96" s="104"/>
      <c r="MWC96" s="104"/>
      <c r="MWD96" s="104"/>
      <c r="MWE96" s="104"/>
      <c r="MWF96" s="104"/>
      <c r="MWG96" s="104"/>
      <c r="MWH96" s="104"/>
      <c r="MWI96" s="104"/>
      <c r="MWJ96" s="104"/>
      <c r="MWK96" s="104"/>
      <c r="MWL96" s="104"/>
      <c r="MWM96" s="104"/>
      <c r="MWN96" s="104"/>
      <c r="MWO96" s="104"/>
      <c r="MWP96" s="104"/>
      <c r="MWQ96" s="104"/>
      <c r="MWR96" s="104"/>
      <c r="MWS96" s="104"/>
      <c r="MWT96" s="104"/>
      <c r="MWU96" s="104"/>
      <c r="MWV96" s="104"/>
      <c r="MWW96" s="104"/>
      <c r="MWX96" s="104"/>
      <c r="MWY96" s="104"/>
      <c r="MWZ96" s="104"/>
      <c r="MXA96" s="104"/>
      <c r="MXB96" s="104"/>
      <c r="MXC96" s="104"/>
      <c r="MXD96" s="104"/>
      <c r="MXE96" s="104"/>
      <c r="MXF96" s="104"/>
      <c r="MXG96" s="104"/>
      <c r="MXH96" s="104"/>
      <c r="MXI96" s="104"/>
      <c r="MXJ96" s="104"/>
      <c r="MXK96" s="104"/>
      <c r="MXL96" s="104"/>
      <c r="MXM96" s="104"/>
      <c r="MXN96" s="104"/>
      <c r="MXO96" s="104"/>
      <c r="MXP96" s="104"/>
      <c r="MXQ96" s="104"/>
      <c r="MXR96" s="104"/>
      <c r="MXS96" s="104"/>
      <c r="MXT96" s="104"/>
      <c r="MXU96" s="104"/>
      <c r="MXV96" s="104"/>
      <c r="MXW96" s="104"/>
      <c r="MXX96" s="104"/>
      <c r="MXY96" s="104"/>
      <c r="MXZ96" s="104"/>
      <c r="MYA96" s="104"/>
      <c r="MYB96" s="104"/>
      <c r="MYC96" s="104"/>
      <c r="MYD96" s="104"/>
      <c r="MYE96" s="104"/>
      <c r="MYF96" s="104"/>
      <c r="MYG96" s="104"/>
      <c r="MYH96" s="104"/>
      <c r="MYI96" s="104"/>
      <c r="MYJ96" s="104"/>
      <c r="MYK96" s="104"/>
      <c r="MYL96" s="104"/>
      <c r="MYM96" s="104"/>
      <c r="MYN96" s="104"/>
      <c r="MYO96" s="104"/>
      <c r="MYP96" s="104"/>
      <c r="MYQ96" s="104"/>
      <c r="MYR96" s="104"/>
      <c r="MYS96" s="104"/>
      <c r="MYT96" s="104"/>
      <c r="MYU96" s="104"/>
      <c r="MYV96" s="104"/>
      <c r="MYW96" s="104"/>
      <c r="MYX96" s="104"/>
      <c r="MYY96" s="104"/>
      <c r="MYZ96" s="104"/>
      <c r="MZA96" s="104"/>
      <c r="MZB96" s="104"/>
      <c r="MZC96" s="104"/>
      <c r="MZD96" s="104"/>
      <c r="MZE96" s="104"/>
      <c r="MZF96" s="104"/>
      <c r="MZG96" s="104"/>
      <c r="MZH96" s="104"/>
      <c r="MZI96" s="104"/>
      <c r="MZJ96" s="104"/>
      <c r="MZK96" s="104"/>
      <c r="MZL96" s="104"/>
      <c r="MZM96" s="104"/>
      <c r="MZN96" s="104"/>
      <c r="MZO96" s="104"/>
      <c r="MZP96" s="104"/>
      <c r="MZQ96" s="104"/>
      <c r="MZR96" s="104"/>
      <c r="MZS96" s="104"/>
      <c r="MZT96" s="104"/>
      <c r="MZU96" s="104"/>
      <c r="MZV96" s="104"/>
      <c r="MZW96" s="104"/>
      <c r="MZX96" s="104"/>
      <c r="MZY96" s="104"/>
      <c r="MZZ96" s="104"/>
      <c r="NAA96" s="104"/>
      <c r="NAB96" s="104"/>
      <c r="NAC96" s="104"/>
      <c r="NAD96" s="104"/>
      <c r="NAE96" s="104"/>
      <c r="NAF96" s="104"/>
      <c r="NAG96" s="104"/>
      <c r="NAH96" s="104"/>
      <c r="NAI96" s="104"/>
      <c r="NAJ96" s="104"/>
      <c r="NAK96" s="104"/>
      <c r="NAL96" s="104"/>
      <c r="NAM96" s="104"/>
      <c r="NAN96" s="104"/>
      <c r="NAO96" s="104"/>
      <c r="NAP96" s="104"/>
      <c r="NAQ96" s="104"/>
      <c r="NAR96" s="104"/>
      <c r="NAS96" s="104"/>
      <c r="NAT96" s="104"/>
      <c r="NAU96" s="104"/>
      <c r="NAV96" s="104"/>
      <c r="NAW96" s="104"/>
      <c r="NAX96" s="104"/>
      <c r="NAY96" s="104"/>
      <c r="NAZ96" s="104"/>
      <c r="NBA96" s="104"/>
      <c r="NBB96" s="104"/>
      <c r="NBC96" s="104"/>
      <c r="NBD96" s="104"/>
      <c r="NBE96" s="104"/>
      <c r="NBF96" s="104"/>
      <c r="NBG96" s="104"/>
      <c r="NBH96" s="104"/>
      <c r="NBI96" s="104"/>
      <c r="NBJ96" s="104"/>
      <c r="NBK96" s="104"/>
      <c r="NBL96" s="104"/>
      <c r="NBM96" s="104"/>
      <c r="NBN96" s="104"/>
      <c r="NBO96" s="104"/>
      <c r="NBP96" s="104"/>
      <c r="NBQ96" s="104"/>
      <c r="NBR96" s="104"/>
      <c r="NBS96" s="104"/>
      <c r="NBT96" s="104"/>
      <c r="NBU96" s="104"/>
      <c r="NBV96" s="104"/>
      <c r="NBW96" s="104"/>
      <c r="NBX96" s="104"/>
      <c r="NBY96" s="104"/>
      <c r="NBZ96" s="104"/>
      <c r="NCA96" s="104"/>
      <c r="NCB96" s="104"/>
      <c r="NCC96" s="104"/>
      <c r="NCD96" s="104"/>
      <c r="NCE96" s="104"/>
      <c r="NCF96" s="104"/>
      <c r="NCG96" s="104"/>
      <c r="NCH96" s="104"/>
      <c r="NCI96" s="104"/>
      <c r="NCJ96" s="104"/>
      <c r="NCK96" s="104"/>
      <c r="NCL96" s="104"/>
      <c r="NCM96" s="104"/>
      <c r="NCN96" s="104"/>
      <c r="NCO96" s="104"/>
      <c r="NCP96" s="104"/>
      <c r="NCQ96" s="104"/>
      <c r="NCR96" s="104"/>
      <c r="NCS96" s="104"/>
      <c r="NCT96" s="104"/>
      <c r="NCU96" s="104"/>
      <c r="NCV96" s="104"/>
      <c r="NCW96" s="104"/>
      <c r="NCX96" s="104"/>
      <c r="NCY96" s="104"/>
      <c r="NCZ96" s="104"/>
      <c r="NDA96" s="104"/>
      <c r="NDB96" s="104"/>
      <c r="NDC96" s="104"/>
      <c r="NDD96" s="104"/>
      <c r="NDE96" s="104"/>
      <c r="NDF96" s="104"/>
      <c r="NDG96" s="104"/>
      <c r="NDH96" s="104"/>
      <c r="NDI96" s="104"/>
      <c r="NDJ96" s="104"/>
      <c r="NDK96" s="104"/>
      <c r="NDL96" s="104"/>
      <c r="NDM96" s="104"/>
      <c r="NDN96" s="104"/>
      <c r="NDO96" s="104"/>
      <c r="NDP96" s="104"/>
      <c r="NDQ96" s="104"/>
      <c r="NDR96" s="104"/>
      <c r="NDS96" s="104"/>
      <c r="NDT96" s="104"/>
      <c r="NDU96" s="104"/>
      <c r="NDV96" s="104"/>
      <c r="NDW96" s="104"/>
      <c r="NDX96" s="104"/>
      <c r="NDY96" s="104"/>
      <c r="NDZ96" s="104"/>
      <c r="NEA96" s="104"/>
      <c r="NEB96" s="104"/>
      <c r="NEC96" s="104"/>
      <c r="NED96" s="104"/>
      <c r="NEE96" s="104"/>
      <c r="NEF96" s="104"/>
      <c r="NEG96" s="104"/>
      <c r="NEH96" s="104"/>
      <c r="NEI96" s="104"/>
      <c r="NEJ96" s="104"/>
      <c r="NEK96" s="104"/>
      <c r="NEL96" s="104"/>
      <c r="NEM96" s="104"/>
      <c r="NEN96" s="104"/>
      <c r="NEO96" s="104"/>
      <c r="NEP96" s="104"/>
      <c r="NEQ96" s="104"/>
      <c r="NER96" s="104"/>
      <c r="NES96" s="104"/>
      <c r="NET96" s="104"/>
      <c r="NEU96" s="104"/>
      <c r="NEV96" s="104"/>
      <c r="NEW96" s="104"/>
      <c r="NEX96" s="104"/>
      <c r="NEY96" s="104"/>
      <c r="NEZ96" s="104"/>
      <c r="NFA96" s="104"/>
      <c r="NFB96" s="104"/>
      <c r="NFC96" s="104"/>
      <c r="NFD96" s="104"/>
      <c r="NFE96" s="104"/>
      <c r="NFF96" s="104"/>
      <c r="NFG96" s="104"/>
      <c r="NFH96" s="104"/>
      <c r="NFI96" s="104"/>
      <c r="NFJ96" s="104"/>
      <c r="NFK96" s="104"/>
      <c r="NFL96" s="104"/>
      <c r="NFM96" s="104"/>
      <c r="NFN96" s="104"/>
      <c r="NFO96" s="104"/>
      <c r="NFP96" s="104"/>
      <c r="NFQ96" s="104"/>
      <c r="NFR96" s="104"/>
      <c r="NFS96" s="104"/>
      <c r="NFT96" s="104"/>
      <c r="NFU96" s="104"/>
      <c r="NFV96" s="104"/>
      <c r="NFW96" s="104"/>
      <c r="NFX96" s="104"/>
      <c r="NFY96" s="104"/>
      <c r="NFZ96" s="104"/>
      <c r="NGA96" s="104"/>
      <c r="NGB96" s="104"/>
      <c r="NGC96" s="104"/>
      <c r="NGD96" s="104"/>
      <c r="NGE96" s="104"/>
      <c r="NGF96" s="104"/>
      <c r="NGG96" s="104"/>
      <c r="NGH96" s="104"/>
      <c r="NGI96" s="104"/>
      <c r="NGJ96" s="104"/>
      <c r="NGK96" s="104"/>
      <c r="NGL96" s="104"/>
      <c r="NGM96" s="104"/>
      <c r="NGN96" s="104"/>
      <c r="NGO96" s="104"/>
      <c r="NGP96" s="104"/>
      <c r="NGQ96" s="104"/>
      <c r="NGR96" s="104"/>
      <c r="NGS96" s="104"/>
      <c r="NGT96" s="104"/>
      <c r="NGU96" s="104"/>
      <c r="NGV96" s="104"/>
      <c r="NGW96" s="104"/>
      <c r="NGX96" s="104"/>
      <c r="NGY96" s="104"/>
      <c r="NGZ96" s="104"/>
      <c r="NHA96" s="104"/>
      <c r="NHB96" s="104"/>
      <c r="NHC96" s="104"/>
      <c r="NHD96" s="104"/>
      <c r="NHE96" s="104"/>
      <c r="NHF96" s="104"/>
      <c r="NHG96" s="104"/>
      <c r="NHH96" s="104"/>
      <c r="NHI96" s="104"/>
      <c r="NHJ96" s="104"/>
      <c r="NHK96" s="104"/>
      <c r="NHL96" s="104"/>
      <c r="NHM96" s="104"/>
      <c r="NHN96" s="104"/>
      <c r="NHO96" s="104"/>
      <c r="NHP96" s="104"/>
      <c r="NHQ96" s="104"/>
      <c r="NHR96" s="104"/>
      <c r="NHS96" s="104"/>
      <c r="NHT96" s="104"/>
      <c r="NHU96" s="104"/>
      <c r="NHV96" s="104"/>
      <c r="NHW96" s="104"/>
      <c r="NHX96" s="104"/>
      <c r="NHY96" s="104"/>
      <c r="NHZ96" s="104"/>
      <c r="NIA96" s="104"/>
      <c r="NIB96" s="104"/>
      <c r="NIC96" s="104"/>
      <c r="NID96" s="104"/>
      <c r="NIE96" s="104"/>
      <c r="NIF96" s="104"/>
      <c r="NIG96" s="104"/>
      <c r="NIH96" s="104"/>
      <c r="NII96" s="104"/>
      <c r="NIJ96" s="104"/>
      <c r="NIK96" s="104"/>
      <c r="NIL96" s="104"/>
      <c r="NIM96" s="104"/>
      <c r="NIN96" s="104"/>
      <c r="NIO96" s="104"/>
      <c r="NIP96" s="104"/>
      <c r="NIQ96" s="104"/>
      <c r="NIR96" s="104"/>
      <c r="NIS96" s="104"/>
      <c r="NIT96" s="104"/>
      <c r="NIU96" s="104"/>
      <c r="NIV96" s="104"/>
      <c r="NIW96" s="104"/>
      <c r="NIX96" s="104"/>
      <c r="NIY96" s="104"/>
      <c r="NIZ96" s="104"/>
      <c r="NJA96" s="104"/>
      <c r="NJB96" s="104"/>
      <c r="NJC96" s="104"/>
      <c r="NJD96" s="104"/>
      <c r="NJE96" s="104"/>
      <c r="NJF96" s="104"/>
      <c r="NJG96" s="104"/>
      <c r="NJH96" s="104"/>
      <c r="NJI96" s="104"/>
      <c r="NJJ96" s="104"/>
      <c r="NJK96" s="104"/>
      <c r="NJL96" s="104"/>
      <c r="NJM96" s="104"/>
      <c r="NJN96" s="104"/>
      <c r="NJO96" s="104"/>
      <c r="NJP96" s="104"/>
      <c r="NJQ96" s="104"/>
      <c r="NJR96" s="104"/>
      <c r="NJS96" s="104"/>
      <c r="NJT96" s="104"/>
      <c r="NJU96" s="104"/>
      <c r="NJV96" s="104"/>
      <c r="NJW96" s="104"/>
      <c r="NJX96" s="104"/>
      <c r="NJY96" s="104"/>
      <c r="NJZ96" s="104"/>
      <c r="NKA96" s="104"/>
      <c r="NKB96" s="104"/>
      <c r="NKC96" s="104"/>
      <c r="NKD96" s="104"/>
      <c r="NKE96" s="104"/>
      <c r="NKF96" s="104"/>
      <c r="NKG96" s="104"/>
      <c r="NKH96" s="104"/>
      <c r="NKI96" s="104"/>
      <c r="NKJ96" s="104"/>
      <c r="NKK96" s="104"/>
      <c r="NKL96" s="104"/>
      <c r="NKM96" s="104"/>
      <c r="NKN96" s="104"/>
      <c r="NKO96" s="104"/>
      <c r="NKP96" s="104"/>
      <c r="NKQ96" s="104"/>
      <c r="NKR96" s="104"/>
      <c r="NKS96" s="104"/>
      <c r="NKT96" s="104"/>
      <c r="NKU96" s="104"/>
      <c r="NKV96" s="104"/>
      <c r="NKW96" s="104"/>
      <c r="NKX96" s="104"/>
      <c r="NKY96" s="104"/>
      <c r="NKZ96" s="104"/>
      <c r="NLA96" s="104"/>
      <c r="NLB96" s="104"/>
      <c r="NLC96" s="104"/>
      <c r="NLD96" s="104"/>
      <c r="NLE96" s="104"/>
      <c r="NLF96" s="104"/>
      <c r="NLG96" s="104"/>
      <c r="NLH96" s="104"/>
      <c r="NLI96" s="104"/>
      <c r="NLJ96" s="104"/>
      <c r="NLK96" s="104"/>
      <c r="NLL96" s="104"/>
      <c r="NLM96" s="104"/>
      <c r="NLN96" s="104"/>
      <c r="NLO96" s="104"/>
      <c r="NLP96" s="104"/>
      <c r="NLQ96" s="104"/>
      <c r="NLR96" s="104"/>
      <c r="NLS96" s="104"/>
      <c r="NLT96" s="104"/>
      <c r="NLU96" s="104"/>
      <c r="NLV96" s="104"/>
      <c r="NLW96" s="104"/>
      <c r="NLX96" s="104"/>
      <c r="NLY96" s="104"/>
      <c r="NLZ96" s="104"/>
      <c r="NMA96" s="104"/>
      <c r="NMB96" s="104"/>
      <c r="NMC96" s="104"/>
      <c r="NMD96" s="104"/>
      <c r="NME96" s="104"/>
      <c r="NMF96" s="104"/>
      <c r="NMG96" s="104"/>
      <c r="NMH96" s="104"/>
      <c r="NMI96" s="104"/>
      <c r="NMJ96" s="104"/>
      <c r="NMK96" s="104"/>
      <c r="NML96" s="104"/>
      <c r="NMM96" s="104"/>
      <c r="NMN96" s="104"/>
      <c r="NMO96" s="104"/>
      <c r="NMP96" s="104"/>
      <c r="NMQ96" s="104"/>
      <c r="NMR96" s="104"/>
      <c r="NMS96" s="104"/>
      <c r="NMT96" s="104"/>
      <c r="NMU96" s="104"/>
      <c r="NMV96" s="104"/>
      <c r="NMW96" s="104"/>
      <c r="NMX96" s="104"/>
      <c r="NMY96" s="104"/>
      <c r="NMZ96" s="104"/>
      <c r="NNA96" s="104"/>
      <c r="NNB96" s="104"/>
      <c r="NNC96" s="104"/>
      <c r="NND96" s="104"/>
      <c r="NNE96" s="104"/>
      <c r="NNF96" s="104"/>
      <c r="NNG96" s="104"/>
      <c r="NNH96" s="104"/>
      <c r="NNI96" s="104"/>
      <c r="NNJ96" s="104"/>
      <c r="NNK96" s="104"/>
      <c r="NNL96" s="104"/>
      <c r="NNM96" s="104"/>
      <c r="NNN96" s="104"/>
      <c r="NNO96" s="104"/>
      <c r="NNP96" s="104"/>
      <c r="NNQ96" s="104"/>
      <c r="NNR96" s="104"/>
      <c r="NNS96" s="104"/>
      <c r="NNT96" s="104"/>
      <c r="NNU96" s="104"/>
      <c r="NNV96" s="104"/>
      <c r="NNW96" s="104"/>
      <c r="NNX96" s="104"/>
      <c r="NNY96" s="104"/>
      <c r="NNZ96" s="104"/>
      <c r="NOA96" s="104"/>
      <c r="NOB96" s="104"/>
      <c r="NOC96" s="104"/>
      <c r="NOD96" s="104"/>
      <c r="NOE96" s="104"/>
      <c r="NOF96" s="104"/>
      <c r="NOG96" s="104"/>
      <c r="NOH96" s="104"/>
      <c r="NOI96" s="104"/>
      <c r="NOJ96" s="104"/>
      <c r="NOK96" s="104"/>
      <c r="NOL96" s="104"/>
      <c r="NOM96" s="104"/>
      <c r="NON96" s="104"/>
      <c r="NOO96" s="104"/>
      <c r="NOP96" s="104"/>
      <c r="NOQ96" s="104"/>
      <c r="NOR96" s="104"/>
      <c r="NOS96" s="104"/>
      <c r="NOT96" s="104"/>
      <c r="NOU96" s="104"/>
      <c r="NOV96" s="104"/>
      <c r="NOW96" s="104"/>
      <c r="NOX96" s="104"/>
      <c r="NOY96" s="104"/>
      <c r="NOZ96" s="104"/>
      <c r="NPA96" s="104"/>
      <c r="NPB96" s="104"/>
      <c r="NPC96" s="104"/>
      <c r="NPD96" s="104"/>
      <c r="NPE96" s="104"/>
      <c r="NPF96" s="104"/>
      <c r="NPG96" s="104"/>
      <c r="NPH96" s="104"/>
      <c r="NPI96" s="104"/>
      <c r="NPJ96" s="104"/>
      <c r="NPK96" s="104"/>
      <c r="NPL96" s="104"/>
      <c r="NPM96" s="104"/>
      <c r="NPN96" s="104"/>
      <c r="NPO96" s="104"/>
      <c r="NPP96" s="104"/>
      <c r="NPQ96" s="104"/>
      <c r="NPR96" s="104"/>
      <c r="NPS96" s="104"/>
      <c r="NPT96" s="104"/>
      <c r="NPU96" s="104"/>
      <c r="NPV96" s="104"/>
      <c r="NPW96" s="104"/>
      <c r="NPX96" s="104"/>
      <c r="NPY96" s="104"/>
      <c r="NPZ96" s="104"/>
      <c r="NQA96" s="104"/>
      <c r="NQB96" s="104"/>
      <c r="NQC96" s="104"/>
      <c r="NQD96" s="104"/>
      <c r="NQE96" s="104"/>
      <c r="NQF96" s="104"/>
      <c r="NQG96" s="104"/>
      <c r="NQH96" s="104"/>
      <c r="NQI96" s="104"/>
      <c r="NQJ96" s="104"/>
      <c r="NQK96" s="104"/>
      <c r="NQL96" s="104"/>
      <c r="NQM96" s="104"/>
      <c r="NQN96" s="104"/>
      <c r="NQO96" s="104"/>
      <c r="NQP96" s="104"/>
      <c r="NQQ96" s="104"/>
      <c r="NQR96" s="104"/>
      <c r="NQS96" s="104"/>
      <c r="NQT96" s="104"/>
      <c r="NQU96" s="104"/>
      <c r="NQV96" s="104"/>
      <c r="NQW96" s="104"/>
      <c r="NQX96" s="104"/>
      <c r="NQY96" s="104"/>
      <c r="NQZ96" s="104"/>
      <c r="NRA96" s="104"/>
      <c r="NRB96" s="104"/>
      <c r="NRC96" s="104"/>
      <c r="NRD96" s="104"/>
      <c r="NRE96" s="104"/>
      <c r="NRF96" s="104"/>
      <c r="NRG96" s="104"/>
      <c r="NRH96" s="104"/>
      <c r="NRI96" s="104"/>
      <c r="NRJ96" s="104"/>
      <c r="NRK96" s="104"/>
      <c r="NRL96" s="104"/>
      <c r="NRM96" s="104"/>
      <c r="NRN96" s="104"/>
      <c r="NRO96" s="104"/>
      <c r="NRP96" s="104"/>
      <c r="NRQ96" s="104"/>
      <c r="NRR96" s="104"/>
      <c r="NRS96" s="104"/>
      <c r="NRT96" s="104"/>
      <c r="NRU96" s="104"/>
      <c r="NRV96" s="104"/>
      <c r="NRW96" s="104"/>
      <c r="NRX96" s="104"/>
      <c r="NRY96" s="104"/>
      <c r="NRZ96" s="104"/>
      <c r="NSA96" s="104"/>
      <c r="NSB96" s="104"/>
      <c r="NSC96" s="104"/>
      <c r="NSD96" s="104"/>
      <c r="NSE96" s="104"/>
      <c r="NSF96" s="104"/>
      <c r="NSG96" s="104"/>
      <c r="NSH96" s="104"/>
      <c r="NSI96" s="104"/>
      <c r="NSJ96" s="104"/>
      <c r="NSK96" s="104"/>
      <c r="NSL96" s="104"/>
      <c r="NSM96" s="104"/>
      <c r="NSN96" s="104"/>
      <c r="NSO96" s="104"/>
      <c r="NSP96" s="104"/>
      <c r="NSQ96" s="104"/>
      <c r="NSR96" s="104"/>
      <c r="NSS96" s="104"/>
      <c r="NST96" s="104"/>
      <c r="NSU96" s="104"/>
      <c r="NSV96" s="104"/>
      <c r="NSW96" s="104"/>
      <c r="NSX96" s="104"/>
      <c r="NSY96" s="104"/>
      <c r="NSZ96" s="104"/>
      <c r="NTA96" s="104"/>
      <c r="NTB96" s="104"/>
      <c r="NTC96" s="104"/>
      <c r="NTD96" s="104"/>
      <c r="NTE96" s="104"/>
      <c r="NTF96" s="104"/>
      <c r="NTG96" s="104"/>
      <c r="NTH96" s="104"/>
      <c r="NTI96" s="104"/>
      <c r="NTJ96" s="104"/>
      <c r="NTK96" s="104"/>
      <c r="NTL96" s="104"/>
      <c r="NTM96" s="104"/>
      <c r="NTN96" s="104"/>
      <c r="NTO96" s="104"/>
      <c r="NTP96" s="104"/>
      <c r="NTQ96" s="104"/>
      <c r="NTR96" s="104"/>
      <c r="NTS96" s="104"/>
      <c r="NTT96" s="104"/>
      <c r="NTU96" s="104"/>
      <c r="NTV96" s="104"/>
      <c r="NTW96" s="104"/>
      <c r="NTX96" s="104"/>
      <c r="NTY96" s="104"/>
      <c r="NTZ96" s="104"/>
      <c r="NUA96" s="104"/>
      <c r="NUB96" s="104"/>
      <c r="NUC96" s="104"/>
      <c r="NUD96" s="104"/>
      <c r="NUE96" s="104"/>
      <c r="NUF96" s="104"/>
      <c r="NUG96" s="104"/>
      <c r="NUH96" s="104"/>
      <c r="NUI96" s="104"/>
      <c r="NUJ96" s="104"/>
      <c r="NUK96" s="104"/>
      <c r="NUL96" s="104"/>
      <c r="NUM96" s="104"/>
      <c r="NUN96" s="104"/>
      <c r="NUO96" s="104"/>
      <c r="NUP96" s="104"/>
      <c r="NUQ96" s="104"/>
      <c r="NUR96" s="104"/>
      <c r="NUS96" s="104"/>
      <c r="NUT96" s="104"/>
      <c r="NUU96" s="104"/>
      <c r="NUV96" s="104"/>
      <c r="NUW96" s="104"/>
      <c r="NUX96" s="104"/>
      <c r="NUY96" s="104"/>
      <c r="NUZ96" s="104"/>
      <c r="NVA96" s="104"/>
      <c r="NVB96" s="104"/>
      <c r="NVC96" s="104"/>
      <c r="NVD96" s="104"/>
      <c r="NVE96" s="104"/>
      <c r="NVF96" s="104"/>
      <c r="NVG96" s="104"/>
      <c r="NVH96" s="104"/>
      <c r="NVI96" s="104"/>
      <c r="NVJ96" s="104"/>
      <c r="NVK96" s="104"/>
      <c r="NVL96" s="104"/>
      <c r="NVM96" s="104"/>
      <c r="NVN96" s="104"/>
      <c r="NVO96" s="104"/>
      <c r="NVP96" s="104"/>
      <c r="NVQ96" s="104"/>
      <c r="NVR96" s="104"/>
      <c r="NVS96" s="104"/>
      <c r="NVT96" s="104"/>
      <c r="NVU96" s="104"/>
      <c r="NVV96" s="104"/>
      <c r="NVW96" s="104"/>
      <c r="NVX96" s="104"/>
      <c r="NVY96" s="104"/>
      <c r="NVZ96" s="104"/>
      <c r="NWA96" s="104"/>
      <c r="NWB96" s="104"/>
      <c r="NWC96" s="104"/>
      <c r="NWD96" s="104"/>
      <c r="NWE96" s="104"/>
      <c r="NWF96" s="104"/>
      <c r="NWG96" s="104"/>
      <c r="NWH96" s="104"/>
      <c r="NWI96" s="104"/>
      <c r="NWJ96" s="104"/>
      <c r="NWK96" s="104"/>
      <c r="NWL96" s="104"/>
      <c r="NWM96" s="104"/>
      <c r="NWN96" s="104"/>
      <c r="NWO96" s="104"/>
      <c r="NWP96" s="104"/>
      <c r="NWQ96" s="104"/>
      <c r="NWR96" s="104"/>
      <c r="NWS96" s="104"/>
      <c r="NWT96" s="104"/>
      <c r="NWU96" s="104"/>
      <c r="NWV96" s="104"/>
      <c r="NWW96" s="104"/>
      <c r="NWX96" s="104"/>
      <c r="NWY96" s="104"/>
      <c r="NWZ96" s="104"/>
      <c r="NXA96" s="104"/>
      <c r="NXB96" s="104"/>
      <c r="NXC96" s="104"/>
      <c r="NXD96" s="104"/>
      <c r="NXE96" s="104"/>
      <c r="NXF96" s="104"/>
      <c r="NXG96" s="104"/>
      <c r="NXH96" s="104"/>
      <c r="NXI96" s="104"/>
      <c r="NXJ96" s="104"/>
      <c r="NXK96" s="104"/>
      <c r="NXL96" s="104"/>
      <c r="NXM96" s="104"/>
      <c r="NXN96" s="104"/>
      <c r="NXO96" s="104"/>
      <c r="NXP96" s="104"/>
      <c r="NXQ96" s="104"/>
      <c r="NXR96" s="104"/>
      <c r="NXS96" s="104"/>
      <c r="NXT96" s="104"/>
      <c r="NXU96" s="104"/>
      <c r="NXV96" s="104"/>
      <c r="NXW96" s="104"/>
      <c r="NXX96" s="104"/>
      <c r="NXY96" s="104"/>
      <c r="NXZ96" s="104"/>
      <c r="NYA96" s="104"/>
      <c r="NYB96" s="104"/>
      <c r="NYC96" s="104"/>
      <c r="NYD96" s="104"/>
      <c r="NYE96" s="104"/>
      <c r="NYF96" s="104"/>
      <c r="NYG96" s="104"/>
      <c r="NYH96" s="104"/>
      <c r="NYI96" s="104"/>
      <c r="NYJ96" s="104"/>
      <c r="NYK96" s="104"/>
      <c r="NYL96" s="104"/>
      <c r="NYM96" s="104"/>
      <c r="NYN96" s="104"/>
      <c r="NYO96" s="104"/>
      <c r="NYP96" s="104"/>
      <c r="NYQ96" s="104"/>
      <c r="NYR96" s="104"/>
      <c r="NYS96" s="104"/>
      <c r="NYT96" s="104"/>
      <c r="NYU96" s="104"/>
      <c r="NYV96" s="104"/>
      <c r="NYW96" s="104"/>
      <c r="NYX96" s="104"/>
      <c r="NYY96" s="104"/>
      <c r="NYZ96" s="104"/>
      <c r="NZA96" s="104"/>
      <c r="NZB96" s="104"/>
      <c r="NZC96" s="104"/>
      <c r="NZD96" s="104"/>
      <c r="NZE96" s="104"/>
      <c r="NZF96" s="104"/>
      <c r="NZG96" s="104"/>
      <c r="NZH96" s="104"/>
      <c r="NZI96" s="104"/>
      <c r="NZJ96" s="104"/>
      <c r="NZK96" s="104"/>
      <c r="NZL96" s="104"/>
      <c r="NZM96" s="104"/>
      <c r="NZN96" s="104"/>
      <c r="NZO96" s="104"/>
      <c r="NZP96" s="104"/>
      <c r="NZQ96" s="104"/>
      <c r="NZR96" s="104"/>
      <c r="NZS96" s="104"/>
      <c r="NZT96" s="104"/>
      <c r="NZU96" s="104"/>
      <c r="NZV96" s="104"/>
      <c r="NZW96" s="104"/>
      <c r="NZX96" s="104"/>
      <c r="NZY96" s="104"/>
      <c r="NZZ96" s="104"/>
      <c r="OAA96" s="104"/>
      <c r="OAB96" s="104"/>
      <c r="OAC96" s="104"/>
      <c r="OAD96" s="104"/>
      <c r="OAE96" s="104"/>
      <c r="OAF96" s="104"/>
      <c r="OAG96" s="104"/>
      <c r="OAH96" s="104"/>
      <c r="OAI96" s="104"/>
      <c r="OAJ96" s="104"/>
      <c r="OAK96" s="104"/>
      <c r="OAL96" s="104"/>
      <c r="OAM96" s="104"/>
      <c r="OAN96" s="104"/>
      <c r="OAO96" s="104"/>
      <c r="OAP96" s="104"/>
      <c r="OAQ96" s="104"/>
      <c r="OAR96" s="104"/>
      <c r="OAS96" s="104"/>
      <c r="OAT96" s="104"/>
      <c r="OAU96" s="104"/>
      <c r="OAV96" s="104"/>
      <c r="OAW96" s="104"/>
      <c r="OAX96" s="104"/>
      <c r="OAY96" s="104"/>
      <c r="OAZ96" s="104"/>
      <c r="OBA96" s="104"/>
      <c r="OBB96" s="104"/>
      <c r="OBC96" s="104"/>
      <c r="OBD96" s="104"/>
      <c r="OBE96" s="104"/>
      <c r="OBF96" s="104"/>
      <c r="OBG96" s="104"/>
      <c r="OBH96" s="104"/>
      <c r="OBI96" s="104"/>
      <c r="OBJ96" s="104"/>
      <c r="OBK96" s="104"/>
      <c r="OBL96" s="104"/>
      <c r="OBM96" s="104"/>
      <c r="OBN96" s="104"/>
      <c r="OBO96" s="104"/>
      <c r="OBP96" s="104"/>
      <c r="OBQ96" s="104"/>
      <c r="OBR96" s="104"/>
      <c r="OBS96" s="104"/>
      <c r="OBT96" s="104"/>
      <c r="OBU96" s="104"/>
      <c r="OBV96" s="104"/>
      <c r="OBW96" s="104"/>
      <c r="OBX96" s="104"/>
      <c r="OBY96" s="104"/>
      <c r="OBZ96" s="104"/>
      <c r="OCA96" s="104"/>
      <c r="OCB96" s="104"/>
      <c r="OCC96" s="104"/>
      <c r="OCD96" s="104"/>
      <c r="OCE96" s="104"/>
      <c r="OCF96" s="104"/>
      <c r="OCG96" s="104"/>
      <c r="OCH96" s="104"/>
      <c r="OCI96" s="104"/>
      <c r="OCJ96" s="104"/>
      <c r="OCK96" s="104"/>
      <c r="OCL96" s="104"/>
      <c r="OCM96" s="104"/>
      <c r="OCN96" s="104"/>
      <c r="OCO96" s="104"/>
      <c r="OCP96" s="104"/>
      <c r="OCQ96" s="104"/>
      <c r="OCR96" s="104"/>
      <c r="OCS96" s="104"/>
      <c r="OCT96" s="104"/>
      <c r="OCU96" s="104"/>
      <c r="OCV96" s="104"/>
      <c r="OCW96" s="104"/>
      <c r="OCX96" s="104"/>
      <c r="OCY96" s="104"/>
      <c r="OCZ96" s="104"/>
      <c r="ODA96" s="104"/>
      <c r="ODB96" s="104"/>
      <c r="ODC96" s="104"/>
      <c r="ODD96" s="104"/>
      <c r="ODE96" s="104"/>
      <c r="ODF96" s="104"/>
      <c r="ODG96" s="104"/>
      <c r="ODH96" s="104"/>
      <c r="ODI96" s="104"/>
      <c r="ODJ96" s="104"/>
      <c r="ODK96" s="104"/>
      <c r="ODL96" s="104"/>
      <c r="ODM96" s="104"/>
      <c r="ODN96" s="104"/>
      <c r="ODO96" s="104"/>
      <c r="ODP96" s="104"/>
      <c r="ODQ96" s="104"/>
      <c r="ODR96" s="104"/>
      <c r="ODS96" s="104"/>
      <c r="ODT96" s="104"/>
      <c r="ODU96" s="104"/>
      <c r="ODV96" s="104"/>
      <c r="ODW96" s="104"/>
      <c r="ODX96" s="104"/>
      <c r="ODY96" s="104"/>
      <c r="ODZ96" s="104"/>
      <c r="OEA96" s="104"/>
      <c r="OEB96" s="104"/>
      <c r="OEC96" s="104"/>
      <c r="OED96" s="104"/>
      <c r="OEE96" s="104"/>
      <c r="OEF96" s="104"/>
      <c r="OEG96" s="104"/>
      <c r="OEH96" s="104"/>
      <c r="OEI96" s="104"/>
      <c r="OEJ96" s="104"/>
      <c r="OEK96" s="104"/>
      <c r="OEL96" s="104"/>
      <c r="OEM96" s="104"/>
      <c r="OEN96" s="104"/>
      <c r="OEO96" s="104"/>
      <c r="OEP96" s="104"/>
      <c r="OEQ96" s="104"/>
      <c r="OER96" s="104"/>
      <c r="OES96" s="104"/>
      <c r="OET96" s="104"/>
      <c r="OEU96" s="104"/>
      <c r="OEV96" s="104"/>
      <c r="OEW96" s="104"/>
      <c r="OEX96" s="104"/>
      <c r="OEY96" s="104"/>
      <c r="OEZ96" s="104"/>
      <c r="OFA96" s="104"/>
      <c r="OFB96" s="104"/>
      <c r="OFC96" s="104"/>
      <c r="OFD96" s="104"/>
      <c r="OFE96" s="104"/>
      <c r="OFF96" s="104"/>
      <c r="OFG96" s="104"/>
      <c r="OFH96" s="104"/>
      <c r="OFI96" s="104"/>
      <c r="OFJ96" s="104"/>
      <c r="OFK96" s="104"/>
      <c r="OFL96" s="104"/>
      <c r="OFM96" s="104"/>
      <c r="OFN96" s="104"/>
      <c r="OFO96" s="104"/>
      <c r="OFP96" s="104"/>
      <c r="OFQ96" s="104"/>
      <c r="OFR96" s="104"/>
      <c r="OFS96" s="104"/>
      <c r="OFT96" s="104"/>
      <c r="OFU96" s="104"/>
      <c r="OFV96" s="104"/>
      <c r="OFW96" s="104"/>
      <c r="OFX96" s="104"/>
      <c r="OFY96" s="104"/>
      <c r="OFZ96" s="104"/>
      <c r="OGA96" s="104"/>
      <c r="OGB96" s="104"/>
      <c r="OGC96" s="104"/>
      <c r="OGD96" s="104"/>
      <c r="OGE96" s="104"/>
      <c r="OGF96" s="104"/>
      <c r="OGG96" s="104"/>
      <c r="OGH96" s="104"/>
      <c r="OGI96" s="104"/>
      <c r="OGJ96" s="104"/>
      <c r="OGK96" s="104"/>
      <c r="OGL96" s="104"/>
      <c r="OGM96" s="104"/>
      <c r="OGN96" s="104"/>
      <c r="OGO96" s="104"/>
      <c r="OGP96" s="104"/>
      <c r="OGQ96" s="104"/>
      <c r="OGR96" s="104"/>
      <c r="OGS96" s="104"/>
      <c r="OGT96" s="104"/>
      <c r="OGU96" s="104"/>
      <c r="OGV96" s="104"/>
      <c r="OGW96" s="104"/>
      <c r="OGX96" s="104"/>
      <c r="OGY96" s="104"/>
      <c r="OGZ96" s="104"/>
      <c r="OHA96" s="104"/>
      <c r="OHB96" s="104"/>
      <c r="OHC96" s="104"/>
      <c r="OHD96" s="104"/>
      <c r="OHE96" s="104"/>
      <c r="OHF96" s="104"/>
      <c r="OHG96" s="104"/>
      <c r="OHH96" s="104"/>
      <c r="OHI96" s="104"/>
      <c r="OHJ96" s="104"/>
      <c r="OHK96" s="104"/>
      <c r="OHL96" s="104"/>
      <c r="OHM96" s="104"/>
      <c r="OHN96" s="104"/>
      <c r="OHO96" s="104"/>
      <c r="OHP96" s="104"/>
      <c r="OHQ96" s="104"/>
      <c r="OHR96" s="104"/>
      <c r="OHS96" s="104"/>
      <c r="OHT96" s="104"/>
      <c r="OHU96" s="104"/>
      <c r="OHV96" s="104"/>
      <c r="OHW96" s="104"/>
      <c r="OHX96" s="104"/>
      <c r="OHY96" s="104"/>
      <c r="OHZ96" s="104"/>
      <c r="OIA96" s="104"/>
      <c r="OIB96" s="104"/>
      <c r="OIC96" s="104"/>
      <c r="OID96" s="104"/>
      <c r="OIE96" s="104"/>
      <c r="OIF96" s="104"/>
      <c r="OIG96" s="104"/>
      <c r="OIH96" s="104"/>
      <c r="OII96" s="104"/>
      <c r="OIJ96" s="104"/>
      <c r="OIK96" s="104"/>
      <c r="OIL96" s="104"/>
      <c r="OIM96" s="104"/>
      <c r="OIN96" s="104"/>
      <c r="OIO96" s="104"/>
      <c r="OIP96" s="104"/>
      <c r="OIQ96" s="104"/>
      <c r="OIR96" s="104"/>
      <c r="OIS96" s="104"/>
      <c r="OIT96" s="104"/>
      <c r="OIU96" s="104"/>
      <c r="OIV96" s="104"/>
      <c r="OIW96" s="104"/>
      <c r="OIX96" s="104"/>
      <c r="OIY96" s="104"/>
      <c r="OIZ96" s="104"/>
      <c r="OJA96" s="104"/>
      <c r="OJB96" s="104"/>
      <c r="OJC96" s="104"/>
      <c r="OJD96" s="104"/>
      <c r="OJE96" s="104"/>
      <c r="OJF96" s="104"/>
      <c r="OJG96" s="104"/>
      <c r="OJH96" s="104"/>
      <c r="OJI96" s="104"/>
      <c r="OJJ96" s="104"/>
      <c r="OJK96" s="104"/>
      <c r="OJL96" s="104"/>
      <c r="OJM96" s="104"/>
      <c r="OJN96" s="104"/>
      <c r="OJO96" s="104"/>
      <c r="OJP96" s="104"/>
      <c r="OJQ96" s="104"/>
      <c r="OJR96" s="104"/>
      <c r="OJS96" s="104"/>
      <c r="OJT96" s="104"/>
      <c r="OJU96" s="104"/>
      <c r="OJV96" s="104"/>
      <c r="OJW96" s="104"/>
      <c r="OJX96" s="104"/>
      <c r="OJY96" s="104"/>
      <c r="OJZ96" s="104"/>
      <c r="OKA96" s="104"/>
      <c r="OKB96" s="104"/>
      <c r="OKC96" s="104"/>
      <c r="OKD96" s="104"/>
      <c r="OKE96" s="104"/>
      <c r="OKF96" s="104"/>
      <c r="OKG96" s="104"/>
      <c r="OKH96" s="104"/>
      <c r="OKI96" s="104"/>
      <c r="OKJ96" s="104"/>
      <c r="OKK96" s="104"/>
      <c r="OKL96" s="104"/>
      <c r="OKM96" s="104"/>
      <c r="OKN96" s="104"/>
      <c r="OKO96" s="104"/>
      <c r="OKP96" s="104"/>
      <c r="OKQ96" s="104"/>
      <c r="OKR96" s="104"/>
      <c r="OKS96" s="104"/>
      <c r="OKT96" s="104"/>
      <c r="OKU96" s="104"/>
      <c r="OKV96" s="104"/>
      <c r="OKW96" s="104"/>
      <c r="OKX96" s="104"/>
      <c r="OKY96" s="104"/>
      <c r="OKZ96" s="104"/>
      <c r="OLA96" s="104"/>
      <c r="OLB96" s="104"/>
      <c r="OLC96" s="104"/>
      <c r="OLD96" s="104"/>
      <c r="OLE96" s="104"/>
      <c r="OLF96" s="104"/>
      <c r="OLG96" s="104"/>
      <c r="OLH96" s="104"/>
      <c r="OLI96" s="104"/>
      <c r="OLJ96" s="104"/>
      <c r="OLK96" s="104"/>
      <c r="OLL96" s="104"/>
      <c r="OLM96" s="104"/>
      <c r="OLN96" s="104"/>
      <c r="OLO96" s="104"/>
      <c r="OLP96" s="104"/>
      <c r="OLQ96" s="104"/>
      <c r="OLR96" s="104"/>
      <c r="OLS96" s="104"/>
      <c r="OLT96" s="104"/>
      <c r="OLU96" s="104"/>
      <c r="OLV96" s="104"/>
      <c r="OLW96" s="104"/>
      <c r="OLX96" s="104"/>
      <c r="OLY96" s="104"/>
      <c r="OLZ96" s="104"/>
      <c r="OMA96" s="104"/>
      <c r="OMB96" s="104"/>
      <c r="OMC96" s="104"/>
      <c r="OMD96" s="104"/>
      <c r="OME96" s="104"/>
      <c r="OMF96" s="104"/>
      <c r="OMG96" s="104"/>
      <c r="OMH96" s="104"/>
      <c r="OMI96" s="104"/>
      <c r="OMJ96" s="104"/>
      <c r="OMK96" s="104"/>
      <c r="OML96" s="104"/>
      <c r="OMM96" s="104"/>
      <c r="OMN96" s="104"/>
      <c r="OMO96" s="104"/>
      <c r="OMP96" s="104"/>
      <c r="OMQ96" s="104"/>
      <c r="OMR96" s="104"/>
      <c r="OMS96" s="104"/>
      <c r="OMT96" s="104"/>
      <c r="OMU96" s="104"/>
      <c r="OMV96" s="104"/>
      <c r="OMW96" s="104"/>
      <c r="OMX96" s="104"/>
      <c r="OMY96" s="104"/>
      <c r="OMZ96" s="104"/>
      <c r="ONA96" s="104"/>
      <c r="ONB96" s="104"/>
      <c r="ONC96" s="104"/>
      <c r="OND96" s="104"/>
      <c r="ONE96" s="104"/>
      <c r="ONF96" s="104"/>
      <c r="ONG96" s="104"/>
      <c r="ONH96" s="104"/>
      <c r="ONI96" s="104"/>
      <c r="ONJ96" s="104"/>
      <c r="ONK96" s="104"/>
      <c r="ONL96" s="104"/>
      <c r="ONM96" s="104"/>
      <c r="ONN96" s="104"/>
      <c r="ONO96" s="104"/>
      <c r="ONP96" s="104"/>
      <c r="ONQ96" s="104"/>
      <c r="ONR96" s="104"/>
      <c r="ONS96" s="104"/>
      <c r="ONT96" s="104"/>
      <c r="ONU96" s="104"/>
      <c r="ONV96" s="104"/>
      <c r="ONW96" s="104"/>
      <c r="ONX96" s="104"/>
      <c r="ONY96" s="104"/>
      <c r="ONZ96" s="104"/>
      <c r="OOA96" s="104"/>
      <c r="OOB96" s="104"/>
      <c r="OOC96" s="104"/>
      <c r="OOD96" s="104"/>
      <c r="OOE96" s="104"/>
      <c r="OOF96" s="104"/>
      <c r="OOG96" s="104"/>
      <c r="OOH96" s="104"/>
      <c r="OOI96" s="104"/>
      <c r="OOJ96" s="104"/>
      <c r="OOK96" s="104"/>
      <c r="OOL96" s="104"/>
      <c r="OOM96" s="104"/>
      <c r="OON96" s="104"/>
      <c r="OOO96" s="104"/>
      <c r="OOP96" s="104"/>
      <c r="OOQ96" s="104"/>
      <c r="OOR96" s="104"/>
      <c r="OOS96" s="104"/>
      <c r="OOT96" s="104"/>
      <c r="OOU96" s="104"/>
      <c r="OOV96" s="104"/>
      <c r="OOW96" s="104"/>
      <c r="OOX96" s="104"/>
      <c r="OOY96" s="104"/>
      <c r="OOZ96" s="104"/>
      <c r="OPA96" s="104"/>
      <c r="OPB96" s="104"/>
      <c r="OPC96" s="104"/>
      <c r="OPD96" s="104"/>
      <c r="OPE96" s="104"/>
      <c r="OPF96" s="104"/>
      <c r="OPG96" s="104"/>
      <c r="OPH96" s="104"/>
      <c r="OPI96" s="104"/>
      <c r="OPJ96" s="104"/>
      <c r="OPK96" s="104"/>
      <c r="OPL96" s="104"/>
      <c r="OPM96" s="104"/>
      <c r="OPN96" s="104"/>
      <c r="OPO96" s="104"/>
      <c r="OPP96" s="104"/>
      <c r="OPQ96" s="104"/>
      <c r="OPR96" s="104"/>
      <c r="OPS96" s="104"/>
      <c r="OPT96" s="104"/>
      <c r="OPU96" s="104"/>
      <c r="OPV96" s="104"/>
      <c r="OPW96" s="104"/>
      <c r="OPX96" s="104"/>
      <c r="OPY96" s="104"/>
      <c r="OPZ96" s="104"/>
      <c r="OQA96" s="104"/>
      <c r="OQB96" s="104"/>
      <c r="OQC96" s="104"/>
      <c r="OQD96" s="104"/>
      <c r="OQE96" s="104"/>
      <c r="OQF96" s="104"/>
      <c r="OQG96" s="104"/>
      <c r="OQH96" s="104"/>
      <c r="OQI96" s="104"/>
      <c r="OQJ96" s="104"/>
      <c r="OQK96" s="104"/>
      <c r="OQL96" s="104"/>
      <c r="OQM96" s="104"/>
      <c r="OQN96" s="104"/>
      <c r="OQO96" s="104"/>
      <c r="OQP96" s="104"/>
      <c r="OQQ96" s="104"/>
      <c r="OQR96" s="104"/>
      <c r="OQS96" s="104"/>
      <c r="OQT96" s="104"/>
      <c r="OQU96" s="104"/>
      <c r="OQV96" s="104"/>
      <c r="OQW96" s="104"/>
      <c r="OQX96" s="104"/>
      <c r="OQY96" s="104"/>
      <c r="OQZ96" s="104"/>
      <c r="ORA96" s="104"/>
      <c r="ORB96" s="104"/>
      <c r="ORC96" s="104"/>
      <c r="ORD96" s="104"/>
      <c r="ORE96" s="104"/>
      <c r="ORF96" s="104"/>
      <c r="ORG96" s="104"/>
      <c r="ORH96" s="104"/>
      <c r="ORI96" s="104"/>
      <c r="ORJ96" s="104"/>
      <c r="ORK96" s="104"/>
      <c r="ORL96" s="104"/>
      <c r="ORM96" s="104"/>
      <c r="ORN96" s="104"/>
      <c r="ORO96" s="104"/>
      <c r="ORP96" s="104"/>
      <c r="ORQ96" s="104"/>
      <c r="ORR96" s="104"/>
      <c r="ORS96" s="104"/>
      <c r="ORT96" s="104"/>
      <c r="ORU96" s="104"/>
      <c r="ORV96" s="104"/>
      <c r="ORW96" s="104"/>
      <c r="ORX96" s="104"/>
      <c r="ORY96" s="104"/>
      <c r="ORZ96" s="104"/>
      <c r="OSA96" s="104"/>
      <c r="OSB96" s="104"/>
      <c r="OSC96" s="104"/>
      <c r="OSD96" s="104"/>
      <c r="OSE96" s="104"/>
      <c r="OSF96" s="104"/>
      <c r="OSG96" s="104"/>
      <c r="OSH96" s="104"/>
      <c r="OSI96" s="104"/>
      <c r="OSJ96" s="104"/>
      <c r="OSK96" s="104"/>
      <c r="OSL96" s="104"/>
      <c r="OSM96" s="104"/>
      <c r="OSN96" s="104"/>
      <c r="OSO96" s="104"/>
      <c r="OSP96" s="104"/>
      <c r="OSQ96" s="104"/>
      <c r="OSR96" s="104"/>
      <c r="OSS96" s="104"/>
      <c r="OST96" s="104"/>
      <c r="OSU96" s="104"/>
      <c r="OSV96" s="104"/>
      <c r="OSW96" s="104"/>
      <c r="OSX96" s="104"/>
      <c r="OSY96" s="104"/>
      <c r="OSZ96" s="104"/>
      <c r="OTA96" s="104"/>
      <c r="OTB96" s="104"/>
      <c r="OTC96" s="104"/>
      <c r="OTD96" s="104"/>
      <c r="OTE96" s="104"/>
      <c r="OTF96" s="104"/>
      <c r="OTG96" s="104"/>
      <c r="OTH96" s="104"/>
      <c r="OTI96" s="104"/>
      <c r="OTJ96" s="104"/>
      <c r="OTK96" s="104"/>
      <c r="OTL96" s="104"/>
      <c r="OTM96" s="104"/>
      <c r="OTN96" s="104"/>
      <c r="OTO96" s="104"/>
      <c r="OTP96" s="104"/>
      <c r="OTQ96" s="104"/>
      <c r="OTR96" s="104"/>
      <c r="OTS96" s="104"/>
      <c r="OTT96" s="104"/>
      <c r="OTU96" s="104"/>
      <c r="OTV96" s="104"/>
      <c r="OTW96" s="104"/>
      <c r="OTX96" s="104"/>
      <c r="OTY96" s="104"/>
      <c r="OTZ96" s="104"/>
      <c r="OUA96" s="104"/>
      <c r="OUB96" s="104"/>
      <c r="OUC96" s="104"/>
      <c r="OUD96" s="104"/>
      <c r="OUE96" s="104"/>
      <c r="OUF96" s="104"/>
      <c r="OUG96" s="104"/>
      <c r="OUH96" s="104"/>
      <c r="OUI96" s="104"/>
      <c r="OUJ96" s="104"/>
      <c r="OUK96" s="104"/>
      <c r="OUL96" s="104"/>
      <c r="OUM96" s="104"/>
      <c r="OUN96" s="104"/>
      <c r="OUO96" s="104"/>
      <c r="OUP96" s="104"/>
      <c r="OUQ96" s="104"/>
      <c r="OUR96" s="104"/>
      <c r="OUS96" s="104"/>
      <c r="OUT96" s="104"/>
      <c r="OUU96" s="104"/>
      <c r="OUV96" s="104"/>
      <c r="OUW96" s="104"/>
      <c r="OUX96" s="104"/>
      <c r="OUY96" s="104"/>
      <c r="OUZ96" s="104"/>
      <c r="OVA96" s="104"/>
      <c r="OVB96" s="104"/>
      <c r="OVC96" s="104"/>
      <c r="OVD96" s="104"/>
      <c r="OVE96" s="104"/>
      <c r="OVF96" s="104"/>
      <c r="OVG96" s="104"/>
      <c r="OVH96" s="104"/>
      <c r="OVI96" s="104"/>
      <c r="OVJ96" s="104"/>
      <c r="OVK96" s="104"/>
      <c r="OVL96" s="104"/>
      <c r="OVM96" s="104"/>
      <c r="OVN96" s="104"/>
      <c r="OVO96" s="104"/>
      <c r="OVP96" s="104"/>
      <c r="OVQ96" s="104"/>
      <c r="OVR96" s="104"/>
      <c r="OVS96" s="104"/>
      <c r="OVT96" s="104"/>
      <c r="OVU96" s="104"/>
      <c r="OVV96" s="104"/>
      <c r="OVW96" s="104"/>
      <c r="OVX96" s="104"/>
      <c r="OVY96" s="104"/>
      <c r="OVZ96" s="104"/>
      <c r="OWA96" s="104"/>
      <c r="OWB96" s="104"/>
      <c r="OWC96" s="104"/>
      <c r="OWD96" s="104"/>
      <c r="OWE96" s="104"/>
      <c r="OWF96" s="104"/>
      <c r="OWG96" s="104"/>
      <c r="OWH96" s="104"/>
      <c r="OWI96" s="104"/>
      <c r="OWJ96" s="104"/>
      <c r="OWK96" s="104"/>
      <c r="OWL96" s="104"/>
      <c r="OWM96" s="104"/>
      <c r="OWN96" s="104"/>
      <c r="OWO96" s="104"/>
      <c r="OWP96" s="104"/>
      <c r="OWQ96" s="104"/>
      <c r="OWR96" s="104"/>
      <c r="OWS96" s="104"/>
      <c r="OWT96" s="104"/>
      <c r="OWU96" s="104"/>
      <c r="OWV96" s="104"/>
      <c r="OWW96" s="104"/>
      <c r="OWX96" s="104"/>
      <c r="OWY96" s="104"/>
      <c r="OWZ96" s="104"/>
      <c r="OXA96" s="104"/>
      <c r="OXB96" s="104"/>
      <c r="OXC96" s="104"/>
      <c r="OXD96" s="104"/>
      <c r="OXE96" s="104"/>
      <c r="OXF96" s="104"/>
      <c r="OXG96" s="104"/>
      <c r="OXH96" s="104"/>
      <c r="OXI96" s="104"/>
      <c r="OXJ96" s="104"/>
      <c r="OXK96" s="104"/>
      <c r="OXL96" s="104"/>
      <c r="OXM96" s="104"/>
      <c r="OXN96" s="104"/>
      <c r="OXO96" s="104"/>
      <c r="OXP96" s="104"/>
      <c r="OXQ96" s="104"/>
      <c r="OXR96" s="104"/>
      <c r="OXS96" s="104"/>
      <c r="OXT96" s="104"/>
      <c r="OXU96" s="104"/>
      <c r="OXV96" s="104"/>
      <c r="OXW96" s="104"/>
      <c r="OXX96" s="104"/>
      <c r="OXY96" s="104"/>
      <c r="OXZ96" s="104"/>
      <c r="OYA96" s="104"/>
      <c r="OYB96" s="104"/>
      <c r="OYC96" s="104"/>
      <c r="OYD96" s="104"/>
      <c r="OYE96" s="104"/>
      <c r="OYF96" s="104"/>
      <c r="OYG96" s="104"/>
      <c r="OYH96" s="104"/>
      <c r="OYI96" s="104"/>
      <c r="OYJ96" s="104"/>
      <c r="OYK96" s="104"/>
      <c r="OYL96" s="104"/>
      <c r="OYM96" s="104"/>
      <c r="OYN96" s="104"/>
      <c r="OYO96" s="104"/>
      <c r="OYP96" s="104"/>
      <c r="OYQ96" s="104"/>
      <c r="OYR96" s="104"/>
      <c r="OYS96" s="104"/>
      <c r="OYT96" s="104"/>
      <c r="OYU96" s="104"/>
      <c r="OYV96" s="104"/>
      <c r="OYW96" s="104"/>
      <c r="OYX96" s="104"/>
      <c r="OYY96" s="104"/>
      <c r="OYZ96" s="104"/>
      <c r="OZA96" s="104"/>
      <c r="OZB96" s="104"/>
      <c r="OZC96" s="104"/>
      <c r="OZD96" s="104"/>
      <c r="OZE96" s="104"/>
      <c r="OZF96" s="104"/>
      <c r="OZG96" s="104"/>
      <c r="OZH96" s="104"/>
      <c r="OZI96" s="104"/>
      <c r="OZJ96" s="104"/>
      <c r="OZK96" s="104"/>
      <c r="OZL96" s="104"/>
      <c r="OZM96" s="104"/>
      <c r="OZN96" s="104"/>
      <c r="OZO96" s="104"/>
      <c r="OZP96" s="104"/>
      <c r="OZQ96" s="104"/>
      <c r="OZR96" s="104"/>
      <c r="OZS96" s="104"/>
      <c r="OZT96" s="104"/>
      <c r="OZU96" s="104"/>
      <c r="OZV96" s="104"/>
      <c r="OZW96" s="104"/>
      <c r="OZX96" s="104"/>
      <c r="OZY96" s="104"/>
      <c r="OZZ96" s="104"/>
      <c r="PAA96" s="104"/>
      <c r="PAB96" s="104"/>
      <c r="PAC96" s="104"/>
      <c r="PAD96" s="104"/>
      <c r="PAE96" s="104"/>
      <c r="PAF96" s="104"/>
      <c r="PAG96" s="104"/>
      <c r="PAH96" s="104"/>
      <c r="PAI96" s="104"/>
      <c r="PAJ96" s="104"/>
      <c r="PAK96" s="104"/>
      <c r="PAL96" s="104"/>
      <c r="PAM96" s="104"/>
      <c r="PAN96" s="104"/>
      <c r="PAO96" s="104"/>
      <c r="PAP96" s="104"/>
      <c r="PAQ96" s="104"/>
      <c r="PAR96" s="104"/>
      <c r="PAS96" s="104"/>
      <c r="PAT96" s="104"/>
      <c r="PAU96" s="104"/>
      <c r="PAV96" s="104"/>
      <c r="PAW96" s="104"/>
      <c r="PAX96" s="104"/>
      <c r="PAY96" s="104"/>
      <c r="PAZ96" s="104"/>
      <c r="PBA96" s="104"/>
      <c r="PBB96" s="104"/>
      <c r="PBC96" s="104"/>
      <c r="PBD96" s="104"/>
      <c r="PBE96" s="104"/>
      <c r="PBF96" s="104"/>
      <c r="PBG96" s="104"/>
      <c r="PBH96" s="104"/>
      <c r="PBI96" s="104"/>
      <c r="PBJ96" s="104"/>
      <c r="PBK96" s="104"/>
      <c r="PBL96" s="104"/>
      <c r="PBM96" s="104"/>
      <c r="PBN96" s="104"/>
      <c r="PBO96" s="104"/>
      <c r="PBP96" s="104"/>
      <c r="PBQ96" s="104"/>
      <c r="PBR96" s="104"/>
      <c r="PBS96" s="104"/>
      <c r="PBT96" s="104"/>
      <c r="PBU96" s="104"/>
      <c r="PBV96" s="104"/>
      <c r="PBW96" s="104"/>
      <c r="PBX96" s="104"/>
      <c r="PBY96" s="104"/>
      <c r="PBZ96" s="104"/>
      <c r="PCA96" s="104"/>
      <c r="PCB96" s="104"/>
      <c r="PCC96" s="104"/>
      <c r="PCD96" s="104"/>
      <c r="PCE96" s="104"/>
      <c r="PCF96" s="104"/>
      <c r="PCG96" s="104"/>
      <c r="PCH96" s="104"/>
      <c r="PCI96" s="104"/>
      <c r="PCJ96" s="104"/>
      <c r="PCK96" s="104"/>
      <c r="PCL96" s="104"/>
      <c r="PCM96" s="104"/>
      <c r="PCN96" s="104"/>
      <c r="PCO96" s="104"/>
      <c r="PCP96" s="104"/>
      <c r="PCQ96" s="104"/>
      <c r="PCR96" s="104"/>
      <c r="PCS96" s="104"/>
      <c r="PCT96" s="104"/>
      <c r="PCU96" s="104"/>
      <c r="PCV96" s="104"/>
      <c r="PCW96" s="104"/>
      <c r="PCX96" s="104"/>
      <c r="PCY96" s="104"/>
      <c r="PCZ96" s="104"/>
      <c r="PDA96" s="104"/>
      <c r="PDB96" s="104"/>
      <c r="PDC96" s="104"/>
      <c r="PDD96" s="104"/>
      <c r="PDE96" s="104"/>
      <c r="PDF96" s="104"/>
      <c r="PDG96" s="104"/>
      <c r="PDH96" s="104"/>
      <c r="PDI96" s="104"/>
      <c r="PDJ96" s="104"/>
      <c r="PDK96" s="104"/>
      <c r="PDL96" s="104"/>
      <c r="PDM96" s="104"/>
      <c r="PDN96" s="104"/>
      <c r="PDO96" s="104"/>
      <c r="PDP96" s="104"/>
      <c r="PDQ96" s="104"/>
      <c r="PDR96" s="104"/>
      <c r="PDS96" s="104"/>
      <c r="PDT96" s="104"/>
      <c r="PDU96" s="104"/>
      <c r="PDV96" s="104"/>
      <c r="PDW96" s="104"/>
      <c r="PDX96" s="104"/>
      <c r="PDY96" s="104"/>
      <c r="PDZ96" s="104"/>
      <c r="PEA96" s="104"/>
      <c r="PEB96" s="104"/>
      <c r="PEC96" s="104"/>
      <c r="PED96" s="104"/>
      <c r="PEE96" s="104"/>
      <c r="PEF96" s="104"/>
      <c r="PEG96" s="104"/>
      <c r="PEH96" s="104"/>
      <c r="PEI96" s="104"/>
      <c r="PEJ96" s="104"/>
      <c r="PEK96" s="104"/>
      <c r="PEL96" s="104"/>
      <c r="PEM96" s="104"/>
      <c r="PEN96" s="104"/>
      <c r="PEO96" s="104"/>
      <c r="PEP96" s="104"/>
      <c r="PEQ96" s="104"/>
      <c r="PER96" s="104"/>
      <c r="PES96" s="104"/>
      <c r="PET96" s="104"/>
      <c r="PEU96" s="104"/>
      <c r="PEV96" s="104"/>
      <c r="PEW96" s="104"/>
      <c r="PEX96" s="104"/>
      <c r="PEY96" s="104"/>
      <c r="PEZ96" s="104"/>
      <c r="PFA96" s="104"/>
      <c r="PFB96" s="104"/>
      <c r="PFC96" s="104"/>
      <c r="PFD96" s="104"/>
      <c r="PFE96" s="104"/>
      <c r="PFF96" s="104"/>
      <c r="PFG96" s="104"/>
      <c r="PFH96" s="104"/>
      <c r="PFI96" s="104"/>
      <c r="PFJ96" s="104"/>
      <c r="PFK96" s="104"/>
      <c r="PFL96" s="104"/>
      <c r="PFM96" s="104"/>
      <c r="PFN96" s="104"/>
      <c r="PFO96" s="104"/>
      <c r="PFP96" s="104"/>
      <c r="PFQ96" s="104"/>
      <c r="PFR96" s="104"/>
      <c r="PFS96" s="104"/>
      <c r="PFT96" s="104"/>
      <c r="PFU96" s="104"/>
      <c r="PFV96" s="104"/>
      <c r="PFW96" s="104"/>
      <c r="PFX96" s="104"/>
      <c r="PFY96" s="104"/>
      <c r="PFZ96" s="104"/>
      <c r="PGA96" s="104"/>
      <c r="PGB96" s="104"/>
      <c r="PGC96" s="104"/>
      <c r="PGD96" s="104"/>
      <c r="PGE96" s="104"/>
      <c r="PGF96" s="104"/>
      <c r="PGG96" s="104"/>
      <c r="PGH96" s="104"/>
      <c r="PGI96" s="104"/>
      <c r="PGJ96" s="104"/>
      <c r="PGK96" s="104"/>
      <c r="PGL96" s="104"/>
      <c r="PGM96" s="104"/>
      <c r="PGN96" s="104"/>
      <c r="PGO96" s="104"/>
      <c r="PGP96" s="104"/>
      <c r="PGQ96" s="104"/>
      <c r="PGR96" s="104"/>
      <c r="PGS96" s="104"/>
      <c r="PGT96" s="104"/>
      <c r="PGU96" s="104"/>
      <c r="PGV96" s="104"/>
      <c r="PGW96" s="104"/>
      <c r="PGX96" s="104"/>
      <c r="PGY96" s="104"/>
      <c r="PGZ96" s="104"/>
      <c r="PHA96" s="104"/>
      <c r="PHB96" s="104"/>
      <c r="PHC96" s="104"/>
      <c r="PHD96" s="104"/>
      <c r="PHE96" s="104"/>
      <c r="PHF96" s="104"/>
      <c r="PHG96" s="104"/>
      <c r="PHH96" s="104"/>
      <c r="PHI96" s="104"/>
      <c r="PHJ96" s="104"/>
      <c r="PHK96" s="104"/>
      <c r="PHL96" s="104"/>
      <c r="PHM96" s="104"/>
      <c r="PHN96" s="104"/>
      <c r="PHO96" s="104"/>
      <c r="PHP96" s="104"/>
      <c r="PHQ96" s="104"/>
      <c r="PHR96" s="104"/>
      <c r="PHS96" s="104"/>
      <c r="PHT96" s="104"/>
      <c r="PHU96" s="104"/>
      <c r="PHV96" s="104"/>
      <c r="PHW96" s="104"/>
      <c r="PHX96" s="104"/>
      <c r="PHY96" s="104"/>
      <c r="PHZ96" s="104"/>
      <c r="PIA96" s="104"/>
      <c r="PIB96" s="104"/>
      <c r="PIC96" s="104"/>
      <c r="PID96" s="104"/>
      <c r="PIE96" s="104"/>
      <c r="PIF96" s="104"/>
      <c r="PIG96" s="104"/>
      <c r="PIH96" s="104"/>
      <c r="PII96" s="104"/>
      <c r="PIJ96" s="104"/>
      <c r="PIK96" s="104"/>
      <c r="PIL96" s="104"/>
      <c r="PIM96" s="104"/>
      <c r="PIN96" s="104"/>
      <c r="PIO96" s="104"/>
      <c r="PIP96" s="104"/>
      <c r="PIQ96" s="104"/>
      <c r="PIR96" s="104"/>
      <c r="PIS96" s="104"/>
      <c r="PIT96" s="104"/>
      <c r="PIU96" s="104"/>
      <c r="PIV96" s="104"/>
      <c r="PIW96" s="104"/>
      <c r="PIX96" s="104"/>
      <c r="PIY96" s="104"/>
      <c r="PIZ96" s="104"/>
      <c r="PJA96" s="104"/>
      <c r="PJB96" s="104"/>
      <c r="PJC96" s="104"/>
      <c r="PJD96" s="104"/>
      <c r="PJE96" s="104"/>
      <c r="PJF96" s="104"/>
      <c r="PJG96" s="104"/>
      <c r="PJH96" s="104"/>
      <c r="PJI96" s="104"/>
      <c r="PJJ96" s="104"/>
      <c r="PJK96" s="104"/>
      <c r="PJL96" s="104"/>
      <c r="PJM96" s="104"/>
      <c r="PJN96" s="104"/>
      <c r="PJO96" s="104"/>
      <c r="PJP96" s="104"/>
      <c r="PJQ96" s="104"/>
      <c r="PJR96" s="104"/>
      <c r="PJS96" s="104"/>
      <c r="PJT96" s="104"/>
      <c r="PJU96" s="104"/>
      <c r="PJV96" s="104"/>
      <c r="PJW96" s="104"/>
      <c r="PJX96" s="104"/>
      <c r="PJY96" s="104"/>
      <c r="PJZ96" s="104"/>
      <c r="PKA96" s="104"/>
      <c r="PKB96" s="104"/>
      <c r="PKC96" s="104"/>
      <c r="PKD96" s="104"/>
      <c r="PKE96" s="104"/>
      <c r="PKF96" s="104"/>
      <c r="PKG96" s="104"/>
      <c r="PKH96" s="104"/>
      <c r="PKI96" s="104"/>
      <c r="PKJ96" s="104"/>
      <c r="PKK96" s="104"/>
      <c r="PKL96" s="104"/>
      <c r="PKM96" s="104"/>
      <c r="PKN96" s="104"/>
      <c r="PKO96" s="104"/>
      <c r="PKP96" s="104"/>
      <c r="PKQ96" s="104"/>
      <c r="PKR96" s="104"/>
      <c r="PKS96" s="104"/>
      <c r="PKT96" s="104"/>
      <c r="PKU96" s="104"/>
      <c r="PKV96" s="104"/>
      <c r="PKW96" s="104"/>
      <c r="PKX96" s="104"/>
      <c r="PKY96" s="104"/>
      <c r="PKZ96" s="104"/>
      <c r="PLA96" s="104"/>
      <c r="PLB96" s="104"/>
      <c r="PLC96" s="104"/>
      <c r="PLD96" s="104"/>
      <c r="PLE96" s="104"/>
      <c r="PLF96" s="104"/>
      <c r="PLG96" s="104"/>
      <c r="PLH96" s="104"/>
      <c r="PLI96" s="104"/>
      <c r="PLJ96" s="104"/>
      <c r="PLK96" s="104"/>
      <c r="PLL96" s="104"/>
      <c r="PLM96" s="104"/>
      <c r="PLN96" s="104"/>
      <c r="PLO96" s="104"/>
      <c r="PLP96" s="104"/>
      <c r="PLQ96" s="104"/>
      <c r="PLR96" s="104"/>
      <c r="PLS96" s="104"/>
      <c r="PLT96" s="104"/>
      <c r="PLU96" s="104"/>
      <c r="PLV96" s="104"/>
      <c r="PLW96" s="104"/>
      <c r="PLX96" s="104"/>
      <c r="PLY96" s="104"/>
      <c r="PLZ96" s="104"/>
      <c r="PMA96" s="104"/>
      <c r="PMB96" s="104"/>
      <c r="PMC96" s="104"/>
      <c r="PMD96" s="104"/>
      <c r="PME96" s="104"/>
      <c r="PMF96" s="104"/>
      <c r="PMG96" s="104"/>
      <c r="PMH96" s="104"/>
      <c r="PMI96" s="104"/>
      <c r="PMJ96" s="104"/>
      <c r="PMK96" s="104"/>
      <c r="PML96" s="104"/>
      <c r="PMM96" s="104"/>
      <c r="PMN96" s="104"/>
      <c r="PMO96" s="104"/>
      <c r="PMP96" s="104"/>
      <c r="PMQ96" s="104"/>
      <c r="PMR96" s="104"/>
      <c r="PMS96" s="104"/>
      <c r="PMT96" s="104"/>
      <c r="PMU96" s="104"/>
      <c r="PMV96" s="104"/>
      <c r="PMW96" s="104"/>
      <c r="PMX96" s="104"/>
      <c r="PMY96" s="104"/>
      <c r="PMZ96" s="104"/>
      <c r="PNA96" s="104"/>
      <c r="PNB96" s="104"/>
      <c r="PNC96" s="104"/>
      <c r="PND96" s="104"/>
      <c r="PNE96" s="104"/>
      <c r="PNF96" s="104"/>
      <c r="PNG96" s="104"/>
      <c r="PNH96" s="104"/>
      <c r="PNI96" s="104"/>
      <c r="PNJ96" s="104"/>
      <c r="PNK96" s="104"/>
      <c r="PNL96" s="104"/>
      <c r="PNM96" s="104"/>
      <c r="PNN96" s="104"/>
      <c r="PNO96" s="104"/>
      <c r="PNP96" s="104"/>
      <c r="PNQ96" s="104"/>
      <c r="PNR96" s="104"/>
      <c r="PNS96" s="104"/>
      <c r="PNT96" s="104"/>
      <c r="PNU96" s="104"/>
      <c r="PNV96" s="104"/>
      <c r="PNW96" s="104"/>
      <c r="PNX96" s="104"/>
      <c r="PNY96" s="104"/>
      <c r="PNZ96" s="104"/>
      <c r="POA96" s="104"/>
      <c r="POB96" s="104"/>
      <c r="POC96" s="104"/>
      <c r="POD96" s="104"/>
      <c r="POE96" s="104"/>
      <c r="POF96" s="104"/>
      <c r="POG96" s="104"/>
      <c r="POH96" s="104"/>
      <c r="POI96" s="104"/>
      <c r="POJ96" s="104"/>
      <c r="POK96" s="104"/>
      <c r="POL96" s="104"/>
      <c r="POM96" s="104"/>
      <c r="PON96" s="104"/>
      <c r="POO96" s="104"/>
      <c r="POP96" s="104"/>
      <c r="POQ96" s="104"/>
      <c r="POR96" s="104"/>
      <c r="POS96" s="104"/>
      <c r="POT96" s="104"/>
      <c r="POU96" s="104"/>
      <c r="POV96" s="104"/>
      <c r="POW96" s="104"/>
      <c r="POX96" s="104"/>
      <c r="POY96" s="104"/>
      <c r="POZ96" s="104"/>
      <c r="PPA96" s="104"/>
      <c r="PPB96" s="104"/>
      <c r="PPC96" s="104"/>
      <c r="PPD96" s="104"/>
      <c r="PPE96" s="104"/>
      <c r="PPF96" s="104"/>
      <c r="PPG96" s="104"/>
      <c r="PPH96" s="104"/>
      <c r="PPI96" s="104"/>
      <c r="PPJ96" s="104"/>
      <c r="PPK96" s="104"/>
      <c r="PPL96" s="104"/>
      <c r="PPM96" s="104"/>
      <c r="PPN96" s="104"/>
      <c r="PPO96" s="104"/>
      <c r="PPP96" s="104"/>
      <c r="PPQ96" s="104"/>
      <c r="PPR96" s="104"/>
      <c r="PPS96" s="104"/>
      <c r="PPT96" s="104"/>
      <c r="PPU96" s="104"/>
      <c r="PPV96" s="104"/>
      <c r="PPW96" s="104"/>
      <c r="PPX96" s="104"/>
      <c r="PPY96" s="104"/>
      <c r="PPZ96" s="104"/>
      <c r="PQA96" s="104"/>
      <c r="PQB96" s="104"/>
      <c r="PQC96" s="104"/>
      <c r="PQD96" s="104"/>
      <c r="PQE96" s="104"/>
      <c r="PQF96" s="104"/>
      <c r="PQG96" s="104"/>
      <c r="PQH96" s="104"/>
      <c r="PQI96" s="104"/>
      <c r="PQJ96" s="104"/>
      <c r="PQK96" s="104"/>
      <c r="PQL96" s="104"/>
      <c r="PQM96" s="104"/>
      <c r="PQN96" s="104"/>
      <c r="PQO96" s="104"/>
      <c r="PQP96" s="104"/>
      <c r="PQQ96" s="104"/>
      <c r="PQR96" s="104"/>
      <c r="PQS96" s="104"/>
      <c r="PQT96" s="104"/>
      <c r="PQU96" s="104"/>
      <c r="PQV96" s="104"/>
      <c r="PQW96" s="104"/>
      <c r="PQX96" s="104"/>
      <c r="PQY96" s="104"/>
      <c r="PQZ96" s="104"/>
      <c r="PRA96" s="104"/>
      <c r="PRB96" s="104"/>
      <c r="PRC96" s="104"/>
      <c r="PRD96" s="104"/>
      <c r="PRE96" s="104"/>
      <c r="PRF96" s="104"/>
      <c r="PRG96" s="104"/>
      <c r="PRH96" s="104"/>
      <c r="PRI96" s="104"/>
      <c r="PRJ96" s="104"/>
      <c r="PRK96" s="104"/>
      <c r="PRL96" s="104"/>
      <c r="PRM96" s="104"/>
      <c r="PRN96" s="104"/>
      <c r="PRO96" s="104"/>
      <c r="PRP96" s="104"/>
      <c r="PRQ96" s="104"/>
      <c r="PRR96" s="104"/>
      <c r="PRS96" s="104"/>
      <c r="PRT96" s="104"/>
      <c r="PRU96" s="104"/>
      <c r="PRV96" s="104"/>
      <c r="PRW96" s="104"/>
      <c r="PRX96" s="104"/>
      <c r="PRY96" s="104"/>
      <c r="PRZ96" s="104"/>
      <c r="PSA96" s="104"/>
      <c r="PSB96" s="104"/>
      <c r="PSC96" s="104"/>
      <c r="PSD96" s="104"/>
      <c r="PSE96" s="104"/>
      <c r="PSF96" s="104"/>
      <c r="PSG96" s="104"/>
      <c r="PSH96" s="104"/>
      <c r="PSI96" s="104"/>
      <c r="PSJ96" s="104"/>
      <c r="PSK96" s="104"/>
      <c r="PSL96" s="104"/>
      <c r="PSM96" s="104"/>
      <c r="PSN96" s="104"/>
      <c r="PSO96" s="104"/>
      <c r="PSP96" s="104"/>
      <c r="PSQ96" s="104"/>
      <c r="PSR96" s="104"/>
      <c r="PSS96" s="104"/>
      <c r="PST96" s="104"/>
      <c r="PSU96" s="104"/>
      <c r="PSV96" s="104"/>
      <c r="PSW96" s="104"/>
      <c r="PSX96" s="104"/>
      <c r="PSY96" s="104"/>
      <c r="PSZ96" s="104"/>
      <c r="PTA96" s="104"/>
      <c r="PTB96" s="104"/>
      <c r="PTC96" s="104"/>
      <c r="PTD96" s="104"/>
      <c r="PTE96" s="104"/>
      <c r="PTF96" s="104"/>
      <c r="PTG96" s="104"/>
      <c r="PTH96" s="104"/>
      <c r="PTI96" s="104"/>
      <c r="PTJ96" s="104"/>
      <c r="PTK96" s="104"/>
      <c r="PTL96" s="104"/>
      <c r="PTM96" s="104"/>
      <c r="PTN96" s="104"/>
      <c r="PTO96" s="104"/>
      <c r="PTP96" s="104"/>
      <c r="PTQ96" s="104"/>
      <c r="PTR96" s="104"/>
      <c r="PTS96" s="104"/>
      <c r="PTT96" s="104"/>
      <c r="PTU96" s="104"/>
      <c r="PTV96" s="104"/>
      <c r="PTW96" s="104"/>
      <c r="PTX96" s="104"/>
      <c r="PTY96" s="104"/>
      <c r="PTZ96" s="104"/>
      <c r="PUA96" s="104"/>
      <c r="PUB96" s="104"/>
      <c r="PUC96" s="104"/>
      <c r="PUD96" s="104"/>
      <c r="PUE96" s="104"/>
      <c r="PUF96" s="104"/>
      <c r="PUG96" s="104"/>
      <c r="PUH96" s="104"/>
      <c r="PUI96" s="104"/>
      <c r="PUJ96" s="104"/>
      <c r="PUK96" s="104"/>
      <c r="PUL96" s="104"/>
      <c r="PUM96" s="104"/>
      <c r="PUN96" s="104"/>
      <c r="PUO96" s="104"/>
      <c r="PUP96" s="104"/>
      <c r="PUQ96" s="104"/>
      <c r="PUR96" s="104"/>
      <c r="PUS96" s="104"/>
      <c r="PUT96" s="104"/>
      <c r="PUU96" s="104"/>
      <c r="PUV96" s="104"/>
      <c r="PUW96" s="104"/>
      <c r="PUX96" s="104"/>
      <c r="PUY96" s="104"/>
      <c r="PUZ96" s="104"/>
      <c r="PVA96" s="104"/>
      <c r="PVB96" s="104"/>
      <c r="PVC96" s="104"/>
      <c r="PVD96" s="104"/>
      <c r="PVE96" s="104"/>
      <c r="PVF96" s="104"/>
      <c r="PVG96" s="104"/>
      <c r="PVH96" s="104"/>
      <c r="PVI96" s="104"/>
      <c r="PVJ96" s="104"/>
      <c r="PVK96" s="104"/>
      <c r="PVL96" s="104"/>
      <c r="PVM96" s="104"/>
      <c r="PVN96" s="104"/>
      <c r="PVO96" s="104"/>
      <c r="PVP96" s="104"/>
      <c r="PVQ96" s="104"/>
      <c r="PVR96" s="104"/>
      <c r="PVS96" s="104"/>
      <c r="PVT96" s="104"/>
      <c r="PVU96" s="104"/>
      <c r="PVV96" s="104"/>
      <c r="PVW96" s="104"/>
      <c r="PVX96" s="104"/>
      <c r="PVY96" s="104"/>
      <c r="PVZ96" s="104"/>
      <c r="PWA96" s="104"/>
      <c r="PWB96" s="104"/>
      <c r="PWC96" s="104"/>
      <c r="PWD96" s="104"/>
      <c r="PWE96" s="104"/>
      <c r="PWF96" s="104"/>
      <c r="PWG96" s="104"/>
      <c r="PWH96" s="104"/>
      <c r="PWI96" s="104"/>
      <c r="PWJ96" s="104"/>
      <c r="PWK96" s="104"/>
      <c r="PWL96" s="104"/>
      <c r="PWM96" s="104"/>
      <c r="PWN96" s="104"/>
      <c r="PWO96" s="104"/>
      <c r="PWP96" s="104"/>
      <c r="PWQ96" s="104"/>
      <c r="PWR96" s="104"/>
      <c r="PWS96" s="104"/>
      <c r="PWT96" s="104"/>
      <c r="PWU96" s="104"/>
      <c r="PWV96" s="104"/>
      <c r="PWW96" s="104"/>
      <c r="PWX96" s="104"/>
      <c r="PWY96" s="104"/>
      <c r="PWZ96" s="104"/>
      <c r="PXA96" s="104"/>
      <c r="PXB96" s="104"/>
      <c r="PXC96" s="104"/>
      <c r="PXD96" s="104"/>
      <c r="PXE96" s="104"/>
      <c r="PXF96" s="104"/>
      <c r="PXG96" s="104"/>
      <c r="PXH96" s="104"/>
      <c r="PXI96" s="104"/>
      <c r="PXJ96" s="104"/>
      <c r="PXK96" s="104"/>
      <c r="PXL96" s="104"/>
      <c r="PXM96" s="104"/>
      <c r="PXN96" s="104"/>
      <c r="PXO96" s="104"/>
      <c r="PXP96" s="104"/>
      <c r="PXQ96" s="104"/>
      <c r="PXR96" s="104"/>
      <c r="PXS96" s="104"/>
      <c r="PXT96" s="104"/>
      <c r="PXU96" s="104"/>
      <c r="PXV96" s="104"/>
      <c r="PXW96" s="104"/>
      <c r="PXX96" s="104"/>
      <c r="PXY96" s="104"/>
      <c r="PXZ96" s="104"/>
      <c r="PYA96" s="104"/>
      <c r="PYB96" s="104"/>
      <c r="PYC96" s="104"/>
      <c r="PYD96" s="104"/>
      <c r="PYE96" s="104"/>
      <c r="PYF96" s="104"/>
      <c r="PYG96" s="104"/>
      <c r="PYH96" s="104"/>
      <c r="PYI96" s="104"/>
      <c r="PYJ96" s="104"/>
      <c r="PYK96" s="104"/>
      <c r="PYL96" s="104"/>
      <c r="PYM96" s="104"/>
      <c r="PYN96" s="104"/>
      <c r="PYO96" s="104"/>
      <c r="PYP96" s="104"/>
      <c r="PYQ96" s="104"/>
      <c r="PYR96" s="104"/>
      <c r="PYS96" s="104"/>
      <c r="PYT96" s="104"/>
      <c r="PYU96" s="104"/>
      <c r="PYV96" s="104"/>
      <c r="PYW96" s="104"/>
      <c r="PYX96" s="104"/>
      <c r="PYY96" s="104"/>
      <c r="PYZ96" s="104"/>
      <c r="PZA96" s="104"/>
      <c r="PZB96" s="104"/>
      <c r="PZC96" s="104"/>
      <c r="PZD96" s="104"/>
      <c r="PZE96" s="104"/>
      <c r="PZF96" s="104"/>
      <c r="PZG96" s="104"/>
      <c r="PZH96" s="104"/>
      <c r="PZI96" s="104"/>
      <c r="PZJ96" s="104"/>
      <c r="PZK96" s="104"/>
      <c r="PZL96" s="104"/>
      <c r="PZM96" s="104"/>
      <c r="PZN96" s="104"/>
      <c r="PZO96" s="104"/>
      <c r="PZP96" s="104"/>
      <c r="PZQ96" s="104"/>
      <c r="PZR96" s="104"/>
      <c r="PZS96" s="104"/>
      <c r="PZT96" s="104"/>
      <c r="PZU96" s="104"/>
      <c r="PZV96" s="104"/>
      <c r="PZW96" s="104"/>
      <c r="PZX96" s="104"/>
      <c r="PZY96" s="104"/>
      <c r="PZZ96" s="104"/>
      <c r="QAA96" s="104"/>
      <c r="QAB96" s="104"/>
      <c r="QAC96" s="104"/>
      <c r="QAD96" s="104"/>
      <c r="QAE96" s="104"/>
      <c r="QAF96" s="104"/>
      <c r="QAG96" s="104"/>
      <c r="QAH96" s="104"/>
      <c r="QAI96" s="104"/>
      <c r="QAJ96" s="104"/>
      <c r="QAK96" s="104"/>
      <c r="QAL96" s="104"/>
      <c r="QAM96" s="104"/>
      <c r="QAN96" s="104"/>
      <c r="QAO96" s="104"/>
      <c r="QAP96" s="104"/>
      <c r="QAQ96" s="104"/>
      <c r="QAR96" s="104"/>
      <c r="QAS96" s="104"/>
      <c r="QAT96" s="104"/>
      <c r="QAU96" s="104"/>
      <c r="QAV96" s="104"/>
      <c r="QAW96" s="104"/>
      <c r="QAX96" s="104"/>
      <c r="QAY96" s="104"/>
      <c r="QAZ96" s="104"/>
      <c r="QBA96" s="104"/>
      <c r="QBB96" s="104"/>
      <c r="QBC96" s="104"/>
      <c r="QBD96" s="104"/>
      <c r="QBE96" s="104"/>
      <c r="QBF96" s="104"/>
      <c r="QBG96" s="104"/>
      <c r="QBH96" s="104"/>
      <c r="QBI96" s="104"/>
      <c r="QBJ96" s="104"/>
      <c r="QBK96" s="104"/>
      <c r="QBL96" s="104"/>
      <c r="QBM96" s="104"/>
      <c r="QBN96" s="104"/>
      <c r="QBO96" s="104"/>
      <c r="QBP96" s="104"/>
      <c r="QBQ96" s="104"/>
      <c r="QBR96" s="104"/>
      <c r="QBS96" s="104"/>
      <c r="QBT96" s="104"/>
      <c r="QBU96" s="104"/>
      <c r="QBV96" s="104"/>
      <c r="QBW96" s="104"/>
      <c r="QBX96" s="104"/>
      <c r="QBY96" s="104"/>
      <c r="QBZ96" s="104"/>
      <c r="QCA96" s="104"/>
      <c r="QCB96" s="104"/>
      <c r="QCC96" s="104"/>
      <c r="QCD96" s="104"/>
      <c r="QCE96" s="104"/>
      <c r="QCF96" s="104"/>
      <c r="QCG96" s="104"/>
      <c r="QCH96" s="104"/>
      <c r="QCI96" s="104"/>
      <c r="QCJ96" s="104"/>
      <c r="QCK96" s="104"/>
      <c r="QCL96" s="104"/>
      <c r="QCM96" s="104"/>
      <c r="QCN96" s="104"/>
      <c r="QCO96" s="104"/>
      <c r="QCP96" s="104"/>
      <c r="QCQ96" s="104"/>
      <c r="QCR96" s="104"/>
      <c r="QCS96" s="104"/>
      <c r="QCT96" s="104"/>
      <c r="QCU96" s="104"/>
      <c r="QCV96" s="104"/>
      <c r="QCW96" s="104"/>
      <c r="QCX96" s="104"/>
      <c r="QCY96" s="104"/>
      <c r="QCZ96" s="104"/>
      <c r="QDA96" s="104"/>
      <c r="QDB96" s="104"/>
      <c r="QDC96" s="104"/>
      <c r="QDD96" s="104"/>
      <c r="QDE96" s="104"/>
      <c r="QDF96" s="104"/>
      <c r="QDG96" s="104"/>
      <c r="QDH96" s="104"/>
      <c r="QDI96" s="104"/>
      <c r="QDJ96" s="104"/>
      <c r="QDK96" s="104"/>
      <c r="QDL96" s="104"/>
      <c r="QDM96" s="104"/>
      <c r="QDN96" s="104"/>
      <c r="QDO96" s="104"/>
      <c r="QDP96" s="104"/>
      <c r="QDQ96" s="104"/>
      <c r="QDR96" s="104"/>
      <c r="QDS96" s="104"/>
      <c r="QDT96" s="104"/>
      <c r="QDU96" s="104"/>
      <c r="QDV96" s="104"/>
      <c r="QDW96" s="104"/>
      <c r="QDX96" s="104"/>
      <c r="QDY96" s="104"/>
      <c r="QDZ96" s="104"/>
      <c r="QEA96" s="104"/>
      <c r="QEB96" s="104"/>
      <c r="QEC96" s="104"/>
      <c r="QED96" s="104"/>
      <c r="QEE96" s="104"/>
      <c r="QEF96" s="104"/>
      <c r="QEG96" s="104"/>
      <c r="QEH96" s="104"/>
      <c r="QEI96" s="104"/>
      <c r="QEJ96" s="104"/>
      <c r="QEK96" s="104"/>
      <c r="QEL96" s="104"/>
      <c r="QEM96" s="104"/>
      <c r="QEN96" s="104"/>
      <c r="QEO96" s="104"/>
      <c r="QEP96" s="104"/>
      <c r="QEQ96" s="104"/>
      <c r="QER96" s="104"/>
      <c r="QES96" s="104"/>
      <c r="QET96" s="104"/>
      <c r="QEU96" s="104"/>
      <c r="QEV96" s="104"/>
      <c r="QEW96" s="104"/>
      <c r="QEX96" s="104"/>
      <c r="QEY96" s="104"/>
      <c r="QEZ96" s="104"/>
      <c r="QFA96" s="104"/>
      <c r="QFB96" s="104"/>
      <c r="QFC96" s="104"/>
      <c r="QFD96" s="104"/>
      <c r="QFE96" s="104"/>
      <c r="QFF96" s="104"/>
      <c r="QFG96" s="104"/>
      <c r="QFH96" s="104"/>
      <c r="QFI96" s="104"/>
      <c r="QFJ96" s="104"/>
      <c r="QFK96" s="104"/>
      <c r="QFL96" s="104"/>
      <c r="QFM96" s="104"/>
      <c r="QFN96" s="104"/>
      <c r="QFO96" s="104"/>
      <c r="QFP96" s="104"/>
      <c r="QFQ96" s="104"/>
      <c r="QFR96" s="104"/>
      <c r="QFS96" s="104"/>
      <c r="QFT96" s="104"/>
      <c r="QFU96" s="104"/>
      <c r="QFV96" s="104"/>
      <c r="QFW96" s="104"/>
      <c r="QFX96" s="104"/>
      <c r="QFY96" s="104"/>
      <c r="QFZ96" s="104"/>
      <c r="QGA96" s="104"/>
      <c r="QGB96" s="104"/>
      <c r="QGC96" s="104"/>
      <c r="QGD96" s="104"/>
      <c r="QGE96" s="104"/>
      <c r="QGF96" s="104"/>
      <c r="QGG96" s="104"/>
      <c r="QGH96" s="104"/>
      <c r="QGI96" s="104"/>
      <c r="QGJ96" s="104"/>
      <c r="QGK96" s="104"/>
      <c r="QGL96" s="104"/>
      <c r="QGM96" s="104"/>
      <c r="QGN96" s="104"/>
      <c r="QGO96" s="104"/>
      <c r="QGP96" s="104"/>
      <c r="QGQ96" s="104"/>
      <c r="QGR96" s="104"/>
      <c r="QGS96" s="104"/>
      <c r="QGT96" s="104"/>
      <c r="QGU96" s="104"/>
      <c r="QGV96" s="104"/>
      <c r="QGW96" s="104"/>
      <c r="QGX96" s="104"/>
      <c r="QGY96" s="104"/>
      <c r="QGZ96" s="104"/>
      <c r="QHA96" s="104"/>
      <c r="QHB96" s="104"/>
      <c r="QHC96" s="104"/>
      <c r="QHD96" s="104"/>
      <c r="QHE96" s="104"/>
      <c r="QHF96" s="104"/>
      <c r="QHG96" s="104"/>
      <c r="QHH96" s="104"/>
      <c r="QHI96" s="104"/>
      <c r="QHJ96" s="104"/>
      <c r="QHK96" s="104"/>
      <c r="QHL96" s="104"/>
      <c r="QHM96" s="104"/>
      <c r="QHN96" s="104"/>
      <c r="QHO96" s="104"/>
      <c r="QHP96" s="104"/>
      <c r="QHQ96" s="104"/>
      <c r="QHR96" s="104"/>
      <c r="QHS96" s="104"/>
      <c r="QHT96" s="104"/>
      <c r="QHU96" s="104"/>
      <c r="QHV96" s="104"/>
      <c r="QHW96" s="104"/>
      <c r="QHX96" s="104"/>
      <c r="QHY96" s="104"/>
      <c r="QHZ96" s="104"/>
      <c r="QIA96" s="104"/>
      <c r="QIB96" s="104"/>
      <c r="QIC96" s="104"/>
      <c r="QID96" s="104"/>
      <c r="QIE96" s="104"/>
      <c r="QIF96" s="104"/>
      <c r="QIG96" s="104"/>
      <c r="QIH96" s="104"/>
      <c r="QII96" s="104"/>
      <c r="QIJ96" s="104"/>
      <c r="QIK96" s="104"/>
      <c r="QIL96" s="104"/>
      <c r="QIM96" s="104"/>
      <c r="QIN96" s="104"/>
      <c r="QIO96" s="104"/>
      <c r="QIP96" s="104"/>
      <c r="QIQ96" s="104"/>
      <c r="QIR96" s="104"/>
      <c r="QIS96" s="104"/>
      <c r="QIT96" s="104"/>
      <c r="QIU96" s="104"/>
      <c r="QIV96" s="104"/>
      <c r="QIW96" s="104"/>
      <c r="QIX96" s="104"/>
      <c r="QIY96" s="104"/>
      <c r="QIZ96" s="104"/>
      <c r="QJA96" s="104"/>
      <c r="QJB96" s="104"/>
      <c r="QJC96" s="104"/>
      <c r="QJD96" s="104"/>
      <c r="QJE96" s="104"/>
      <c r="QJF96" s="104"/>
      <c r="QJG96" s="104"/>
      <c r="QJH96" s="104"/>
      <c r="QJI96" s="104"/>
      <c r="QJJ96" s="104"/>
      <c r="QJK96" s="104"/>
      <c r="QJL96" s="104"/>
      <c r="QJM96" s="104"/>
      <c r="QJN96" s="104"/>
      <c r="QJO96" s="104"/>
      <c r="QJP96" s="104"/>
      <c r="QJQ96" s="104"/>
      <c r="QJR96" s="104"/>
      <c r="QJS96" s="104"/>
      <c r="QJT96" s="104"/>
      <c r="QJU96" s="104"/>
      <c r="QJV96" s="104"/>
      <c r="QJW96" s="104"/>
      <c r="QJX96" s="104"/>
      <c r="QJY96" s="104"/>
      <c r="QJZ96" s="104"/>
      <c r="QKA96" s="104"/>
      <c r="QKB96" s="104"/>
      <c r="QKC96" s="104"/>
      <c r="QKD96" s="104"/>
      <c r="QKE96" s="104"/>
      <c r="QKF96" s="104"/>
      <c r="QKG96" s="104"/>
      <c r="QKH96" s="104"/>
      <c r="QKI96" s="104"/>
      <c r="QKJ96" s="104"/>
      <c r="QKK96" s="104"/>
      <c r="QKL96" s="104"/>
      <c r="QKM96" s="104"/>
      <c r="QKN96" s="104"/>
      <c r="QKO96" s="104"/>
      <c r="QKP96" s="104"/>
      <c r="QKQ96" s="104"/>
      <c r="QKR96" s="104"/>
      <c r="QKS96" s="104"/>
      <c r="QKT96" s="104"/>
      <c r="QKU96" s="104"/>
      <c r="QKV96" s="104"/>
      <c r="QKW96" s="104"/>
      <c r="QKX96" s="104"/>
      <c r="QKY96" s="104"/>
      <c r="QKZ96" s="104"/>
      <c r="QLA96" s="104"/>
      <c r="QLB96" s="104"/>
      <c r="QLC96" s="104"/>
      <c r="QLD96" s="104"/>
      <c r="QLE96" s="104"/>
      <c r="QLF96" s="104"/>
      <c r="QLG96" s="104"/>
      <c r="QLH96" s="104"/>
      <c r="QLI96" s="104"/>
      <c r="QLJ96" s="104"/>
      <c r="QLK96" s="104"/>
      <c r="QLL96" s="104"/>
      <c r="QLM96" s="104"/>
      <c r="QLN96" s="104"/>
      <c r="QLO96" s="104"/>
      <c r="QLP96" s="104"/>
      <c r="QLQ96" s="104"/>
      <c r="QLR96" s="104"/>
      <c r="QLS96" s="104"/>
      <c r="QLT96" s="104"/>
      <c r="QLU96" s="104"/>
      <c r="QLV96" s="104"/>
      <c r="QLW96" s="104"/>
      <c r="QLX96" s="104"/>
      <c r="QLY96" s="104"/>
      <c r="QLZ96" s="104"/>
      <c r="QMA96" s="104"/>
      <c r="QMB96" s="104"/>
      <c r="QMC96" s="104"/>
      <c r="QMD96" s="104"/>
      <c r="QME96" s="104"/>
      <c r="QMF96" s="104"/>
      <c r="QMG96" s="104"/>
      <c r="QMH96" s="104"/>
      <c r="QMI96" s="104"/>
      <c r="QMJ96" s="104"/>
      <c r="QMK96" s="104"/>
      <c r="QML96" s="104"/>
      <c r="QMM96" s="104"/>
      <c r="QMN96" s="104"/>
      <c r="QMO96" s="104"/>
      <c r="QMP96" s="104"/>
      <c r="QMQ96" s="104"/>
      <c r="QMR96" s="104"/>
      <c r="QMS96" s="104"/>
      <c r="QMT96" s="104"/>
      <c r="QMU96" s="104"/>
      <c r="QMV96" s="104"/>
      <c r="QMW96" s="104"/>
      <c r="QMX96" s="104"/>
      <c r="QMY96" s="104"/>
      <c r="QMZ96" s="104"/>
      <c r="QNA96" s="104"/>
      <c r="QNB96" s="104"/>
      <c r="QNC96" s="104"/>
      <c r="QND96" s="104"/>
      <c r="QNE96" s="104"/>
      <c r="QNF96" s="104"/>
      <c r="QNG96" s="104"/>
      <c r="QNH96" s="104"/>
      <c r="QNI96" s="104"/>
      <c r="QNJ96" s="104"/>
      <c r="QNK96" s="104"/>
      <c r="QNL96" s="104"/>
      <c r="QNM96" s="104"/>
      <c r="QNN96" s="104"/>
      <c r="QNO96" s="104"/>
      <c r="QNP96" s="104"/>
      <c r="QNQ96" s="104"/>
      <c r="QNR96" s="104"/>
      <c r="QNS96" s="104"/>
      <c r="QNT96" s="104"/>
      <c r="QNU96" s="104"/>
      <c r="QNV96" s="104"/>
      <c r="QNW96" s="104"/>
      <c r="QNX96" s="104"/>
      <c r="QNY96" s="104"/>
      <c r="QNZ96" s="104"/>
      <c r="QOA96" s="104"/>
      <c r="QOB96" s="104"/>
      <c r="QOC96" s="104"/>
      <c r="QOD96" s="104"/>
      <c r="QOE96" s="104"/>
      <c r="QOF96" s="104"/>
      <c r="QOG96" s="104"/>
      <c r="QOH96" s="104"/>
      <c r="QOI96" s="104"/>
      <c r="QOJ96" s="104"/>
      <c r="QOK96" s="104"/>
      <c r="QOL96" s="104"/>
      <c r="QOM96" s="104"/>
      <c r="QON96" s="104"/>
      <c r="QOO96" s="104"/>
      <c r="QOP96" s="104"/>
      <c r="QOQ96" s="104"/>
      <c r="QOR96" s="104"/>
      <c r="QOS96" s="104"/>
      <c r="QOT96" s="104"/>
      <c r="QOU96" s="104"/>
      <c r="QOV96" s="104"/>
      <c r="QOW96" s="104"/>
      <c r="QOX96" s="104"/>
      <c r="QOY96" s="104"/>
      <c r="QOZ96" s="104"/>
      <c r="QPA96" s="104"/>
      <c r="QPB96" s="104"/>
      <c r="QPC96" s="104"/>
      <c r="QPD96" s="104"/>
      <c r="QPE96" s="104"/>
      <c r="QPF96" s="104"/>
      <c r="QPG96" s="104"/>
      <c r="QPH96" s="104"/>
      <c r="QPI96" s="104"/>
      <c r="QPJ96" s="104"/>
      <c r="QPK96" s="104"/>
      <c r="QPL96" s="104"/>
      <c r="QPM96" s="104"/>
      <c r="QPN96" s="104"/>
      <c r="QPO96" s="104"/>
      <c r="QPP96" s="104"/>
      <c r="QPQ96" s="104"/>
      <c r="QPR96" s="104"/>
      <c r="QPS96" s="104"/>
      <c r="QPT96" s="104"/>
      <c r="QPU96" s="104"/>
      <c r="QPV96" s="104"/>
      <c r="QPW96" s="104"/>
      <c r="QPX96" s="104"/>
      <c r="QPY96" s="104"/>
      <c r="QPZ96" s="104"/>
      <c r="QQA96" s="104"/>
      <c r="QQB96" s="104"/>
      <c r="QQC96" s="104"/>
      <c r="QQD96" s="104"/>
      <c r="QQE96" s="104"/>
      <c r="QQF96" s="104"/>
      <c r="QQG96" s="104"/>
      <c r="QQH96" s="104"/>
      <c r="QQI96" s="104"/>
      <c r="QQJ96" s="104"/>
      <c r="QQK96" s="104"/>
      <c r="QQL96" s="104"/>
      <c r="QQM96" s="104"/>
      <c r="QQN96" s="104"/>
      <c r="QQO96" s="104"/>
      <c r="QQP96" s="104"/>
      <c r="QQQ96" s="104"/>
      <c r="QQR96" s="104"/>
      <c r="QQS96" s="104"/>
      <c r="QQT96" s="104"/>
      <c r="QQU96" s="104"/>
      <c r="QQV96" s="104"/>
      <c r="QQW96" s="104"/>
      <c r="QQX96" s="104"/>
      <c r="QQY96" s="104"/>
      <c r="QQZ96" s="104"/>
      <c r="QRA96" s="104"/>
      <c r="QRB96" s="104"/>
      <c r="QRC96" s="104"/>
      <c r="QRD96" s="104"/>
      <c r="QRE96" s="104"/>
      <c r="QRF96" s="104"/>
      <c r="QRG96" s="104"/>
      <c r="QRH96" s="104"/>
      <c r="QRI96" s="104"/>
      <c r="QRJ96" s="104"/>
      <c r="QRK96" s="104"/>
      <c r="QRL96" s="104"/>
      <c r="QRM96" s="104"/>
      <c r="QRN96" s="104"/>
      <c r="QRO96" s="104"/>
      <c r="QRP96" s="104"/>
      <c r="QRQ96" s="104"/>
      <c r="QRR96" s="104"/>
      <c r="QRS96" s="104"/>
      <c r="QRT96" s="104"/>
      <c r="QRU96" s="104"/>
      <c r="QRV96" s="104"/>
      <c r="QRW96" s="104"/>
      <c r="QRX96" s="104"/>
      <c r="QRY96" s="104"/>
      <c r="QRZ96" s="104"/>
      <c r="QSA96" s="104"/>
      <c r="QSB96" s="104"/>
      <c r="QSC96" s="104"/>
      <c r="QSD96" s="104"/>
      <c r="QSE96" s="104"/>
      <c r="QSF96" s="104"/>
      <c r="QSG96" s="104"/>
      <c r="QSH96" s="104"/>
      <c r="QSI96" s="104"/>
      <c r="QSJ96" s="104"/>
      <c r="QSK96" s="104"/>
      <c r="QSL96" s="104"/>
      <c r="QSM96" s="104"/>
      <c r="QSN96" s="104"/>
      <c r="QSO96" s="104"/>
      <c r="QSP96" s="104"/>
      <c r="QSQ96" s="104"/>
      <c r="QSR96" s="104"/>
      <c r="QSS96" s="104"/>
      <c r="QST96" s="104"/>
      <c r="QSU96" s="104"/>
      <c r="QSV96" s="104"/>
      <c r="QSW96" s="104"/>
      <c r="QSX96" s="104"/>
      <c r="QSY96" s="104"/>
      <c r="QSZ96" s="104"/>
      <c r="QTA96" s="104"/>
      <c r="QTB96" s="104"/>
      <c r="QTC96" s="104"/>
      <c r="QTD96" s="104"/>
      <c r="QTE96" s="104"/>
      <c r="QTF96" s="104"/>
      <c r="QTG96" s="104"/>
      <c r="QTH96" s="104"/>
      <c r="QTI96" s="104"/>
      <c r="QTJ96" s="104"/>
      <c r="QTK96" s="104"/>
      <c r="QTL96" s="104"/>
      <c r="QTM96" s="104"/>
      <c r="QTN96" s="104"/>
      <c r="QTO96" s="104"/>
      <c r="QTP96" s="104"/>
      <c r="QTQ96" s="104"/>
      <c r="QTR96" s="104"/>
      <c r="QTS96" s="104"/>
      <c r="QTT96" s="104"/>
      <c r="QTU96" s="104"/>
      <c r="QTV96" s="104"/>
      <c r="QTW96" s="104"/>
      <c r="QTX96" s="104"/>
      <c r="QTY96" s="104"/>
      <c r="QTZ96" s="104"/>
      <c r="QUA96" s="104"/>
      <c r="QUB96" s="104"/>
      <c r="QUC96" s="104"/>
      <c r="QUD96" s="104"/>
      <c r="QUE96" s="104"/>
      <c r="QUF96" s="104"/>
      <c r="QUG96" s="104"/>
      <c r="QUH96" s="104"/>
      <c r="QUI96" s="104"/>
      <c r="QUJ96" s="104"/>
      <c r="QUK96" s="104"/>
      <c r="QUL96" s="104"/>
      <c r="QUM96" s="104"/>
      <c r="QUN96" s="104"/>
      <c r="QUO96" s="104"/>
      <c r="QUP96" s="104"/>
      <c r="QUQ96" s="104"/>
      <c r="QUR96" s="104"/>
      <c r="QUS96" s="104"/>
      <c r="QUT96" s="104"/>
      <c r="QUU96" s="104"/>
      <c r="QUV96" s="104"/>
      <c r="QUW96" s="104"/>
      <c r="QUX96" s="104"/>
      <c r="QUY96" s="104"/>
      <c r="QUZ96" s="104"/>
      <c r="QVA96" s="104"/>
      <c r="QVB96" s="104"/>
      <c r="QVC96" s="104"/>
      <c r="QVD96" s="104"/>
      <c r="QVE96" s="104"/>
      <c r="QVF96" s="104"/>
      <c r="QVG96" s="104"/>
      <c r="QVH96" s="104"/>
      <c r="QVI96" s="104"/>
      <c r="QVJ96" s="104"/>
      <c r="QVK96" s="104"/>
      <c r="QVL96" s="104"/>
      <c r="QVM96" s="104"/>
      <c r="QVN96" s="104"/>
      <c r="QVO96" s="104"/>
      <c r="QVP96" s="104"/>
      <c r="QVQ96" s="104"/>
      <c r="QVR96" s="104"/>
      <c r="QVS96" s="104"/>
      <c r="QVT96" s="104"/>
      <c r="QVU96" s="104"/>
      <c r="QVV96" s="104"/>
      <c r="QVW96" s="104"/>
      <c r="QVX96" s="104"/>
      <c r="QVY96" s="104"/>
      <c r="QVZ96" s="104"/>
      <c r="QWA96" s="104"/>
      <c r="QWB96" s="104"/>
      <c r="QWC96" s="104"/>
      <c r="QWD96" s="104"/>
      <c r="QWE96" s="104"/>
      <c r="QWF96" s="104"/>
      <c r="QWG96" s="104"/>
      <c r="QWH96" s="104"/>
      <c r="QWI96" s="104"/>
      <c r="QWJ96" s="104"/>
      <c r="QWK96" s="104"/>
      <c r="QWL96" s="104"/>
      <c r="QWM96" s="104"/>
      <c r="QWN96" s="104"/>
      <c r="QWO96" s="104"/>
      <c r="QWP96" s="104"/>
      <c r="QWQ96" s="104"/>
      <c r="QWR96" s="104"/>
      <c r="QWS96" s="104"/>
      <c r="QWT96" s="104"/>
      <c r="QWU96" s="104"/>
      <c r="QWV96" s="104"/>
      <c r="QWW96" s="104"/>
      <c r="QWX96" s="104"/>
      <c r="QWY96" s="104"/>
      <c r="QWZ96" s="104"/>
      <c r="QXA96" s="104"/>
      <c r="QXB96" s="104"/>
      <c r="QXC96" s="104"/>
      <c r="QXD96" s="104"/>
      <c r="QXE96" s="104"/>
      <c r="QXF96" s="104"/>
      <c r="QXG96" s="104"/>
      <c r="QXH96" s="104"/>
      <c r="QXI96" s="104"/>
      <c r="QXJ96" s="104"/>
      <c r="QXK96" s="104"/>
      <c r="QXL96" s="104"/>
      <c r="QXM96" s="104"/>
      <c r="QXN96" s="104"/>
      <c r="QXO96" s="104"/>
      <c r="QXP96" s="104"/>
      <c r="QXQ96" s="104"/>
      <c r="QXR96" s="104"/>
      <c r="QXS96" s="104"/>
      <c r="QXT96" s="104"/>
      <c r="QXU96" s="104"/>
      <c r="QXV96" s="104"/>
      <c r="QXW96" s="104"/>
      <c r="QXX96" s="104"/>
      <c r="QXY96" s="104"/>
      <c r="QXZ96" s="104"/>
      <c r="QYA96" s="104"/>
      <c r="QYB96" s="104"/>
      <c r="QYC96" s="104"/>
      <c r="QYD96" s="104"/>
      <c r="QYE96" s="104"/>
      <c r="QYF96" s="104"/>
      <c r="QYG96" s="104"/>
      <c r="QYH96" s="104"/>
      <c r="QYI96" s="104"/>
      <c r="QYJ96" s="104"/>
      <c r="QYK96" s="104"/>
      <c r="QYL96" s="104"/>
      <c r="QYM96" s="104"/>
      <c r="QYN96" s="104"/>
      <c r="QYO96" s="104"/>
      <c r="QYP96" s="104"/>
      <c r="QYQ96" s="104"/>
      <c r="QYR96" s="104"/>
      <c r="QYS96" s="104"/>
      <c r="QYT96" s="104"/>
      <c r="QYU96" s="104"/>
      <c r="QYV96" s="104"/>
      <c r="QYW96" s="104"/>
      <c r="QYX96" s="104"/>
      <c r="QYY96" s="104"/>
      <c r="QYZ96" s="104"/>
      <c r="QZA96" s="104"/>
      <c r="QZB96" s="104"/>
      <c r="QZC96" s="104"/>
      <c r="QZD96" s="104"/>
      <c r="QZE96" s="104"/>
      <c r="QZF96" s="104"/>
      <c r="QZG96" s="104"/>
      <c r="QZH96" s="104"/>
      <c r="QZI96" s="104"/>
      <c r="QZJ96" s="104"/>
      <c r="QZK96" s="104"/>
      <c r="QZL96" s="104"/>
      <c r="QZM96" s="104"/>
      <c r="QZN96" s="104"/>
      <c r="QZO96" s="104"/>
      <c r="QZP96" s="104"/>
      <c r="QZQ96" s="104"/>
      <c r="QZR96" s="104"/>
      <c r="QZS96" s="104"/>
      <c r="QZT96" s="104"/>
      <c r="QZU96" s="104"/>
      <c r="QZV96" s="104"/>
      <c r="QZW96" s="104"/>
      <c r="QZX96" s="104"/>
      <c r="QZY96" s="104"/>
      <c r="QZZ96" s="104"/>
      <c r="RAA96" s="104"/>
      <c r="RAB96" s="104"/>
      <c r="RAC96" s="104"/>
      <c r="RAD96" s="104"/>
      <c r="RAE96" s="104"/>
      <c r="RAF96" s="104"/>
      <c r="RAG96" s="104"/>
      <c r="RAH96" s="104"/>
      <c r="RAI96" s="104"/>
      <c r="RAJ96" s="104"/>
      <c r="RAK96" s="104"/>
      <c r="RAL96" s="104"/>
      <c r="RAM96" s="104"/>
      <c r="RAN96" s="104"/>
      <c r="RAO96" s="104"/>
      <c r="RAP96" s="104"/>
      <c r="RAQ96" s="104"/>
      <c r="RAR96" s="104"/>
      <c r="RAS96" s="104"/>
      <c r="RAT96" s="104"/>
      <c r="RAU96" s="104"/>
      <c r="RAV96" s="104"/>
      <c r="RAW96" s="104"/>
      <c r="RAX96" s="104"/>
      <c r="RAY96" s="104"/>
      <c r="RAZ96" s="104"/>
      <c r="RBA96" s="104"/>
      <c r="RBB96" s="104"/>
      <c r="RBC96" s="104"/>
      <c r="RBD96" s="104"/>
      <c r="RBE96" s="104"/>
      <c r="RBF96" s="104"/>
      <c r="RBG96" s="104"/>
      <c r="RBH96" s="104"/>
      <c r="RBI96" s="104"/>
      <c r="RBJ96" s="104"/>
      <c r="RBK96" s="104"/>
      <c r="RBL96" s="104"/>
      <c r="RBM96" s="104"/>
      <c r="RBN96" s="104"/>
      <c r="RBO96" s="104"/>
      <c r="RBP96" s="104"/>
      <c r="RBQ96" s="104"/>
      <c r="RBR96" s="104"/>
      <c r="RBS96" s="104"/>
      <c r="RBT96" s="104"/>
      <c r="RBU96" s="104"/>
      <c r="RBV96" s="104"/>
      <c r="RBW96" s="104"/>
      <c r="RBX96" s="104"/>
      <c r="RBY96" s="104"/>
      <c r="RBZ96" s="104"/>
      <c r="RCA96" s="104"/>
      <c r="RCB96" s="104"/>
      <c r="RCC96" s="104"/>
      <c r="RCD96" s="104"/>
      <c r="RCE96" s="104"/>
      <c r="RCF96" s="104"/>
      <c r="RCG96" s="104"/>
      <c r="RCH96" s="104"/>
      <c r="RCI96" s="104"/>
      <c r="RCJ96" s="104"/>
      <c r="RCK96" s="104"/>
      <c r="RCL96" s="104"/>
      <c r="RCM96" s="104"/>
      <c r="RCN96" s="104"/>
      <c r="RCO96" s="104"/>
      <c r="RCP96" s="104"/>
      <c r="RCQ96" s="104"/>
      <c r="RCR96" s="104"/>
      <c r="RCS96" s="104"/>
      <c r="RCT96" s="104"/>
      <c r="RCU96" s="104"/>
      <c r="RCV96" s="104"/>
      <c r="RCW96" s="104"/>
      <c r="RCX96" s="104"/>
      <c r="RCY96" s="104"/>
      <c r="RCZ96" s="104"/>
      <c r="RDA96" s="104"/>
      <c r="RDB96" s="104"/>
      <c r="RDC96" s="104"/>
      <c r="RDD96" s="104"/>
      <c r="RDE96" s="104"/>
      <c r="RDF96" s="104"/>
      <c r="RDG96" s="104"/>
      <c r="RDH96" s="104"/>
      <c r="RDI96" s="104"/>
      <c r="RDJ96" s="104"/>
      <c r="RDK96" s="104"/>
      <c r="RDL96" s="104"/>
      <c r="RDM96" s="104"/>
      <c r="RDN96" s="104"/>
      <c r="RDO96" s="104"/>
      <c r="RDP96" s="104"/>
      <c r="RDQ96" s="104"/>
      <c r="RDR96" s="104"/>
      <c r="RDS96" s="104"/>
      <c r="RDT96" s="104"/>
      <c r="RDU96" s="104"/>
      <c r="RDV96" s="104"/>
      <c r="RDW96" s="104"/>
      <c r="RDX96" s="104"/>
      <c r="RDY96" s="104"/>
      <c r="RDZ96" s="104"/>
      <c r="REA96" s="104"/>
      <c r="REB96" s="104"/>
      <c r="REC96" s="104"/>
      <c r="RED96" s="104"/>
      <c r="REE96" s="104"/>
      <c r="REF96" s="104"/>
      <c r="REG96" s="104"/>
      <c r="REH96" s="104"/>
      <c r="REI96" s="104"/>
      <c r="REJ96" s="104"/>
      <c r="REK96" s="104"/>
      <c r="REL96" s="104"/>
      <c r="REM96" s="104"/>
      <c r="REN96" s="104"/>
      <c r="REO96" s="104"/>
      <c r="REP96" s="104"/>
      <c r="REQ96" s="104"/>
      <c r="RER96" s="104"/>
      <c r="RES96" s="104"/>
      <c r="RET96" s="104"/>
      <c r="REU96" s="104"/>
      <c r="REV96" s="104"/>
      <c r="REW96" s="104"/>
      <c r="REX96" s="104"/>
      <c r="REY96" s="104"/>
      <c r="REZ96" s="104"/>
      <c r="RFA96" s="104"/>
      <c r="RFB96" s="104"/>
      <c r="RFC96" s="104"/>
      <c r="RFD96" s="104"/>
      <c r="RFE96" s="104"/>
      <c r="RFF96" s="104"/>
      <c r="RFG96" s="104"/>
      <c r="RFH96" s="104"/>
      <c r="RFI96" s="104"/>
      <c r="RFJ96" s="104"/>
      <c r="RFK96" s="104"/>
      <c r="RFL96" s="104"/>
      <c r="RFM96" s="104"/>
      <c r="RFN96" s="104"/>
      <c r="RFO96" s="104"/>
      <c r="RFP96" s="104"/>
      <c r="RFQ96" s="104"/>
      <c r="RFR96" s="104"/>
      <c r="RFS96" s="104"/>
      <c r="RFT96" s="104"/>
      <c r="RFU96" s="104"/>
      <c r="RFV96" s="104"/>
      <c r="RFW96" s="104"/>
      <c r="RFX96" s="104"/>
      <c r="RFY96" s="104"/>
      <c r="RFZ96" s="104"/>
      <c r="RGA96" s="104"/>
      <c r="RGB96" s="104"/>
      <c r="RGC96" s="104"/>
      <c r="RGD96" s="104"/>
      <c r="RGE96" s="104"/>
      <c r="RGF96" s="104"/>
      <c r="RGG96" s="104"/>
      <c r="RGH96" s="104"/>
      <c r="RGI96" s="104"/>
      <c r="RGJ96" s="104"/>
      <c r="RGK96" s="104"/>
      <c r="RGL96" s="104"/>
      <c r="RGM96" s="104"/>
      <c r="RGN96" s="104"/>
      <c r="RGO96" s="104"/>
      <c r="RGP96" s="104"/>
      <c r="RGQ96" s="104"/>
      <c r="RGR96" s="104"/>
      <c r="RGS96" s="104"/>
      <c r="RGT96" s="104"/>
      <c r="RGU96" s="104"/>
      <c r="RGV96" s="104"/>
      <c r="RGW96" s="104"/>
      <c r="RGX96" s="104"/>
      <c r="RGY96" s="104"/>
      <c r="RGZ96" s="104"/>
      <c r="RHA96" s="104"/>
      <c r="RHB96" s="104"/>
      <c r="RHC96" s="104"/>
      <c r="RHD96" s="104"/>
      <c r="RHE96" s="104"/>
      <c r="RHF96" s="104"/>
      <c r="RHG96" s="104"/>
      <c r="RHH96" s="104"/>
      <c r="RHI96" s="104"/>
      <c r="RHJ96" s="104"/>
      <c r="RHK96" s="104"/>
      <c r="RHL96" s="104"/>
      <c r="RHM96" s="104"/>
      <c r="RHN96" s="104"/>
      <c r="RHO96" s="104"/>
      <c r="RHP96" s="104"/>
      <c r="RHQ96" s="104"/>
      <c r="RHR96" s="104"/>
      <c r="RHS96" s="104"/>
      <c r="RHT96" s="104"/>
      <c r="RHU96" s="104"/>
      <c r="RHV96" s="104"/>
      <c r="RHW96" s="104"/>
      <c r="RHX96" s="104"/>
      <c r="RHY96" s="104"/>
      <c r="RHZ96" s="104"/>
      <c r="RIA96" s="104"/>
      <c r="RIB96" s="104"/>
      <c r="RIC96" s="104"/>
      <c r="RID96" s="104"/>
      <c r="RIE96" s="104"/>
      <c r="RIF96" s="104"/>
      <c r="RIG96" s="104"/>
      <c r="RIH96" s="104"/>
      <c r="RII96" s="104"/>
      <c r="RIJ96" s="104"/>
      <c r="RIK96" s="104"/>
      <c r="RIL96" s="104"/>
      <c r="RIM96" s="104"/>
      <c r="RIN96" s="104"/>
      <c r="RIO96" s="104"/>
      <c r="RIP96" s="104"/>
      <c r="RIQ96" s="104"/>
      <c r="RIR96" s="104"/>
      <c r="RIS96" s="104"/>
      <c r="RIT96" s="104"/>
      <c r="RIU96" s="104"/>
      <c r="RIV96" s="104"/>
      <c r="RIW96" s="104"/>
      <c r="RIX96" s="104"/>
      <c r="RIY96" s="104"/>
      <c r="RIZ96" s="104"/>
      <c r="RJA96" s="104"/>
      <c r="RJB96" s="104"/>
      <c r="RJC96" s="104"/>
      <c r="RJD96" s="104"/>
      <c r="RJE96" s="104"/>
      <c r="RJF96" s="104"/>
      <c r="RJG96" s="104"/>
      <c r="RJH96" s="104"/>
      <c r="RJI96" s="104"/>
      <c r="RJJ96" s="104"/>
      <c r="RJK96" s="104"/>
      <c r="RJL96" s="104"/>
      <c r="RJM96" s="104"/>
      <c r="RJN96" s="104"/>
      <c r="RJO96" s="104"/>
      <c r="RJP96" s="104"/>
      <c r="RJQ96" s="104"/>
      <c r="RJR96" s="104"/>
      <c r="RJS96" s="104"/>
      <c r="RJT96" s="104"/>
      <c r="RJU96" s="104"/>
      <c r="RJV96" s="104"/>
      <c r="RJW96" s="104"/>
      <c r="RJX96" s="104"/>
      <c r="RJY96" s="104"/>
      <c r="RJZ96" s="104"/>
      <c r="RKA96" s="104"/>
      <c r="RKB96" s="104"/>
      <c r="RKC96" s="104"/>
      <c r="RKD96" s="104"/>
      <c r="RKE96" s="104"/>
      <c r="RKF96" s="104"/>
      <c r="RKG96" s="104"/>
      <c r="RKH96" s="104"/>
      <c r="RKI96" s="104"/>
      <c r="RKJ96" s="104"/>
      <c r="RKK96" s="104"/>
      <c r="RKL96" s="104"/>
      <c r="RKM96" s="104"/>
      <c r="RKN96" s="104"/>
      <c r="RKO96" s="104"/>
      <c r="RKP96" s="104"/>
      <c r="RKQ96" s="104"/>
      <c r="RKR96" s="104"/>
      <c r="RKS96" s="104"/>
      <c r="RKT96" s="104"/>
      <c r="RKU96" s="104"/>
      <c r="RKV96" s="104"/>
      <c r="RKW96" s="104"/>
      <c r="RKX96" s="104"/>
      <c r="RKY96" s="104"/>
      <c r="RKZ96" s="104"/>
      <c r="RLA96" s="104"/>
      <c r="RLB96" s="104"/>
      <c r="RLC96" s="104"/>
      <c r="RLD96" s="104"/>
      <c r="RLE96" s="104"/>
      <c r="RLF96" s="104"/>
      <c r="RLG96" s="104"/>
      <c r="RLH96" s="104"/>
      <c r="RLI96" s="104"/>
      <c r="RLJ96" s="104"/>
      <c r="RLK96" s="104"/>
      <c r="RLL96" s="104"/>
      <c r="RLM96" s="104"/>
      <c r="RLN96" s="104"/>
      <c r="RLO96" s="104"/>
      <c r="RLP96" s="104"/>
      <c r="RLQ96" s="104"/>
      <c r="RLR96" s="104"/>
      <c r="RLS96" s="104"/>
      <c r="RLT96" s="104"/>
      <c r="RLU96" s="104"/>
      <c r="RLV96" s="104"/>
      <c r="RLW96" s="104"/>
      <c r="RLX96" s="104"/>
      <c r="RLY96" s="104"/>
      <c r="RLZ96" s="104"/>
      <c r="RMA96" s="104"/>
      <c r="RMB96" s="104"/>
      <c r="RMC96" s="104"/>
      <c r="RMD96" s="104"/>
      <c r="RME96" s="104"/>
      <c r="RMF96" s="104"/>
      <c r="RMG96" s="104"/>
      <c r="RMH96" s="104"/>
      <c r="RMI96" s="104"/>
      <c r="RMJ96" s="104"/>
      <c r="RMK96" s="104"/>
      <c r="RML96" s="104"/>
      <c r="RMM96" s="104"/>
      <c r="RMN96" s="104"/>
      <c r="RMO96" s="104"/>
      <c r="RMP96" s="104"/>
      <c r="RMQ96" s="104"/>
      <c r="RMR96" s="104"/>
      <c r="RMS96" s="104"/>
      <c r="RMT96" s="104"/>
      <c r="RMU96" s="104"/>
      <c r="RMV96" s="104"/>
      <c r="RMW96" s="104"/>
      <c r="RMX96" s="104"/>
      <c r="RMY96" s="104"/>
      <c r="RMZ96" s="104"/>
      <c r="RNA96" s="104"/>
      <c r="RNB96" s="104"/>
      <c r="RNC96" s="104"/>
      <c r="RND96" s="104"/>
      <c r="RNE96" s="104"/>
      <c r="RNF96" s="104"/>
      <c r="RNG96" s="104"/>
      <c r="RNH96" s="104"/>
      <c r="RNI96" s="104"/>
      <c r="RNJ96" s="104"/>
      <c r="RNK96" s="104"/>
      <c r="RNL96" s="104"/>
      <c r="RNM96" s="104"/>
      <c r="RNN96" s="104"/>
      <c r="RNO96" s="104"/>
      <c r="RNP96" s="104"/>
      <c r="RNQ96" s="104"/>
      <c r="RNR96" s="104"/>
      <c r="RNS96" s="104"/>
      <c r="RNT96" s="104"/>
      <c r="RNU96" s="104"/>
      <c r="RNV96" s="104"/>
      <c r="RNW96" s="104"/>
      <c r="RNX96" s="104"/>
      <c r="RNY96" s="104"/>
      <c r="RNZ96" s="104"/>
      <c r="ROA96" s="104"/>
      <c r="ROB96" s="104"/>
      <c r="ROC96" s="104"/>
      <c r="ROD96" s="104"/>
      <c r="ROE96" s="104"/>
      <c r="ROF96" s="104"/>
      <c r="ROG96" s="104"/>
      <c r="ROH96" s="104"/>
      <c r="ROI96" s="104"/>
      <c r="ROJ96" s="104"/>
      <c r="ROK96" s="104"/>
      <c r="ROL96" s="104"/>
      <c r="ROM96" s="104"/>
      <c r="RON96" s="104"/>
      <c r="ROO96" s="104"/>
      <c r="ROP96" s="104"/>
      <c r="ROQ96" s="104"/>
      <c r="ROR96" s="104"/>
      <c r="ROS96" s="104"/>
      <c r="ROT96" s="104"/>
      <c r="ROU96" s="104"/>
      <c r="ROV96" s="104"/>
      <c r="ROW96" s="104"/>
      <c r="ROX96" s="104"/>
      <c r="ROY96" s="104"/>
      <c r="ROZ96" s="104"/>
      <c r="RPA96" s="104"/>
      <c r="RPB96" s="104"/>
      <c r="RPC96" s="104"/>
      <c r="RPD96" s="104"/>
      <c r="RPE96" s="104"/>
      <c r="RPF96" s="104"/>
      <c r="RPG96" s="104"/>
      <c r="RPH96" s="104"/>
      <c r="RPI96" s="104"/>
      <c r="RPJ96" s="104"/>
      <c r="RPK96" s="104"/>
      <c r="RPL96" s="104"/>
      <c r="RPM96" s="104"/>
      <c r="RPN96" s="104"/>
      <c r="RPO96" s="104"/>
      <c r="RPP96" s="104"/>
      <c r="RPQ96" s="104"/>
      <c r="RPR96" s="104"/>
      <c r="RPS96" s="104"/>
      <c r="RPT96" s="104"/>
      <c r="RPU96" s="104"/>
      <c r="RPV96" s="104"/>
      <c r="RPW96" s="104"/>
      <c r="RPX96" s="104"/>
      <c r="RPY96" s="104"/>
      <c r="RPZ96" s="104"/>
      <c r="RQA96" s="104"/>
      <c r="RQB96" s="104"/>
      <c r="RQC96" s="104"/>
      <c r="RQD96" s="104"/>
      <c r="RQE96" s="104"/>
      <c r="RQF96" s="104"/>
      <c r="RQG96" s="104"/>
      <c r="RQH96" s="104"/>
      <c r="RQI96" s="104"/>
      <c r="RQJ96" s="104"/>
      <c r="RQK96" s="104"/>
      <c r="RQL96" s="104"/>
      <c r="RQM96" s="104"/>
      <c r="RQN96" s="104"/>
      <c r="RQO96" s="104"/>
      <c r="RQP96" s="104"/>
      <c r="RQQ96" s="104"/>
      <c r="RQR96" s="104"/>
      <c r="RQS96" s="104"/>
      <c r="RQT96" s="104"/>
      <c r="RQU96" s="104"/>
      <c r="RQV96" s="104"/>
      <c r="RQW96" s="104"/>
      <c r="RQX96" s="104"/>
      <c r="RQY96" s="104"/>
      <c r="RQZ96" s="104"/>
      <c r="RRA96" s="104"/>
      <c r="RRB96" s="104"/>
      <c r="RRC96" s="104"/>
      <c r="RRD96" s="104"/>
      <c r="RRE96" s="104"/>
      <c r="RRF96" s="104"/>
      <c r="RRG96" s="104"/>
      <c r="RRH96" s="104"/>
      <c r="RRI96" s="104"/>
      <c r="RRJ96" s="104"/>
      <c r="RRK96" s="104"/>
      <c r="RRL96" s="104"/>
      <c r="RRM96" s="104"/>
      <c r="RRN96" s="104"/>
      <c r="RRO96" s="104"/>
      <c r="RRP96" s="104"/>
      <c r="RRQ96" s="104"/>
      <c r="RRR96" s="104"/>
      <c r="RRS96" s="104"/>
      <c r="RRT96" s="104"/>
      <c r="RRU96" s="104"/>
      <c r="RRV96" s="104"/>
      <c r="RRW96" s="104"/>
      <c r="RRX96" s="104"/>
      <c r="RRY96" s="104"/>
      <c r="RRZ96" s="104"/>
      <c r="RSA96" s="104"/>
      <c r="RSB96" s="104"/>
      <c r="RSC96" s="104"/>
      <c r="RSD96" s="104"/>
      <c r="RSE96" s="104"/>
      <c r="RSF96" s="104"/>
      <c r="RSG96" s="104"/>
      <c r="RSH96" s="104"/>
      <c r="RSI96" s="104"/>
      <c r="RSJ96" s="104"/>
      <c r="RSK96" s="104"/>
      <c r="RSL96" s="104"/>
      <c r="RSM96" s="104"/>
      <c r="RSN96" s="104"/>
      <c r="RSO96" s="104"/>
      <c r="RSP96" s="104"/>
      <c r="RSQ96" s="104"/>
      <c r="RSR96" s="104"/>
      <c r="RSS96" s="104"/>
      <c r="RST96" s="104"/>
      <c r="RSU96" s="104"/>
      <c r="RSV96" s="104"/>
      <c r="RSW96" s="104"/>
      <c r="RSX96" s="104"/>
      <c r="RSY96" s="104"/>
      <c r="RSZ96" s="104"/>
      <c r="RTA96" s="104"/>
      <c r="RTB96" s="104"/>
      <c r="RTC96" s="104"/>
      <c r="RTD96" s="104"/>
      <c r="RTE96" s="104"/>
      <c r="RTF96" s="104"/>
      <c r="RTG96" s="104"/>
      <c r="RTH96" s="104"/>
      <c r="RTI96" s="104"/>
      <c r="RTJ96" s="104"/>
      <c r="RTK96" s="104"/>
      <c r="RTL96" s="104"/>
      <c r="RTM96" s="104"/>
      <c r="RTN96" s="104"/>
      <c r="RTO96" s="104"/>
      <c r="RTP96" s="104"/>
      <c r="RTQ96" s="104"/>
      <c r="RTR96" s="104"/>
      <c r="RTS96" s="104"/>
      <c r="RTT96" s="104"/>
      <c r="RTU96" s="104"/>
      <c r="RTV96" s="104"/>
      <c r="RTW96" s="104"/>
      <c r="RTX96" s="104"/>
      <c r="RTY96" s="104"/>
      <c r="RTZ96" s="104"/>
      <c r="RUA96" s="104"/>
      <c r="RUB96" s="104"/>
      <c r="RUC96" s="104"/>
      <c r="RUD96" s="104"/>
      <c r="RUE96" s="104"/>
      <c r="RUF96" s="104"/>
      <c r="RUG96" s="104"/>
      <c r="RUH96" s="104"/>
      <c r="RUI96" s="104"/>
      <c r="RUJ96" s="104"/>
      <c r="RUK96" s="104"/>
      <c r="RUL96" s="104"/>
      <c r="RUM96" s="104"/>
      <c r="RUN96" s="104"/>
      <c r="RUO96" s="104"/>
      <c r="RUP96" s="104"/>
      <c r="RUQ96" s="104"/>
      <c r="RUR96" s="104"/>
      <c r="RUS96" s="104"/>
      <c r="RUT96" s="104"/>
      <c r="RUU96" s="104"/>
      <c r="RUV96" s="104"/>
      <c r="RUW96" s="104"/>
      <c r="RUX96" s="104"/>
      <c r="RUY96" s="104"/>
      <c r="RUZ96" s="104"/>
      <c r="RVA96" s="104"/>
      <c r="RVB96" s="104"/>
      <c r="RVC96" s="104"/>
      <c r="RVD96" s="104"/>
      <c r="RVE96" s="104"/>
      <c r="RVF96" s="104"/>
      <c r="RVG96" s="104"/>
      <c r="RVH96" s="104"/>
      <c r="RVI96" s="104"/>
      <c r="RVJ96" s="104"/>
      <c r="RVK96" s="104"/>
      <c r="RVL96" s="104"/>
      <c r="RVM96" s="104"/>
      <c r="RVN96" s="104"/>
      <c r="RVO96" s="104"/>
      <c r="RVP96" s="104"/>
      <c r="RVQ96" s="104"/>
      <c r="RVR96" s="104"/>
      <c r="RVS96" s="104"/>
      <c r="RVT96" s="104"/>
      <c r="RVU96" s="104"/>
      <c r="RVV96" s="104"/>
      <c r="RVW96" s="104"/>
      <c r="RVX96" s="104"/>
      <c r="RVY96" s="104"/>
      <c r="RVZ96" s="104"/>
      <c r="RWA96" s="104"/>
      <c r="RWB96" s="104"/>
      <c r="RWC96" s="104"/>
      <c r="RWD96" s="104"/>
      <c r="RWE96" s="104"/>
      <c r="RWF96" s="104"/>
      <c r="RWG96" s="104"/>
      <c r="RWH96" s="104"/>
      <c r="RWI96" s="104"/>
      <c r="RWJ96" s="104"/>
      <c r="RWK96" s="104"/>
      <c r="RWL96" s="104"/>
      <c r="RWM96" s="104"/>
      <c r="RWN96" s="104"/>
      <c r="RWO96" s="104"/>
      <c r="RWP96" s="104"/>
      <c r="RWQ96" s="104"/>
      <c r="RWR96" s="104"/>
      <c r="RWS96" s="104"/>
      <c r="RWT96" s="104"/>
      <c r="RWU96" s="104"/>
      <c r="RWV96" s="104"/>
      <c r="RWW96" s="104"/>
      <c r="RWX96" s="104"/>
      <c r="RWY96" s="104"/>
      <c r="RWZ96" s="104"/>
      <c r="RXA96" s="104"/>
      <c r="RXB96" s="104"/>
      <c r="RXC96" s="104"/>
      <c r="RXD96" s="104"/>
      <c r="RXE96" s="104"/>
      <c r="RXF96" s="104"/>
      <c r="RXG96" s="104"/>
      <c r="RXH96" s="104"/>
      <c r="RXI96" s="104"/>
      <c r="RXJ96" s="104"/>
      <c r="RXK96" s="104"/>
      <c r="RXL96" s="104"/>
      <c r="RXM96" s="104"/>
      <c r="RXN96" s="104"/>
      <c r="RXO96" s="104"/>
      <c r="RXP96" s="104"/>
      <c r="RXQ96" s="104"/>
      <c r="RXR96" s="104"/>
      <c r="RXS96" s="104"/>
      <c r="RXT96" s="104"/>
      <c r="RXU96" s="104"/>
      <c r="RXV96" s="104"/>
      <c r="RXW96" s="104"/>
      <c r="RXX96" s="104"/>
      <c r="RXY96" s="104"/>
      <c r="RXZ96" s="104"/>
      <c r="RYA96" s="104"/>
      <c r="RYB96" s="104"/>
      <c r="RYC96" s="104"/>
      <c r="RYD96" s="104"/>
      <c r="RYE96" s="104"/>
      <c r="RYF96" s="104"/>
      <c r="RYG96" s="104"/>
      <c r="RYH96" s="104"/>
      <c r="RYI96" s="104"/>
      <c r="RYJ96" s="104"/>
      <c r="RYK96" s="104"/>
      <c r="RYL96" s="104"/>
      <c r="RYM96" s="104"/>
      <c r="RYN96" s="104"/>
      <c r="RYO96" s="104"/>
      <c r="RYP96" s="104"/>
      <c r="RYQ96" s="104"/>
      <c r="RYR96" s="104"/>
      <c r="RYS96" s="104"/>
      <c r="RYT96" s="104"/>
      <c r="RYU96" s="104"/>
      <c r="RYV96" s="104"/>
      <c r="RYW96" s="104"/>
      <c r="RYX96" s="104"/>
      <c r="RYY96" s="104"/>
      <c r="RYZ96" s="104"/>
      <c r="RZA96" s="104"/>
      <c r="RZB96" s="104"/>
      <c r="RZC96" s="104"/>
      <c r="RZD96" s="104"/>
      <c r="RZE96" s="104"/>
      <c r="RZF96" s="104"/>
      <c r="RZG96" s="104"/>
      <c r="RZH96" s="104"/>
      <c r="RZI96" s="104"/>
      <c r="RZJ96" s="104"/>
      <c r="RZK96" s="104"/>
      <c r="RZL96" s="104"/>
      <c r="RZM96" s="104"/>
      <c r="RZN96" s="104"/>
      <c r="RZO96" s="104"/>
      <c r="RZP96" s="104"/>
      <c r="RZQ96" s="104"/>
      <c r="RZR96" s="104"/>
      <c r="RZS96" s="104"/>
      <c r="RZT96" s="104"/>
      <c r="RZU96" s="104"/>
      <c r="RZV96" s="104"/>
      <c r="RZW96" s="104"/>
      <c r="RZX96" s="104"/>
      <c r="RZY96" s="104"/>
      <c r="RZZ96" s="104"/>
      <c r="SAA96" s="104"/>
      <c r="SAB96" s="104"/>
      <c r="SAC96" s="104"/>
      <c r="SAD96" s="104"/>
      <c r="SAE96" s="104"/>
      <c r="SAF96" s="104"/>
      <c r="SAG96" s="104"/>
      <c r="SAH96" s="104"/>
      <c r="SAI96" s="104"/>
      <c r="SAJ96" s="104"/>
      <c r="SAK96" s="104"/>
      <c r="SAL96" s="104"/>
      <c r="SAM96" s="104"/>
      <c r="SAN96" s="104"/>
      <c r="SAO96" s="104"/>
      <c r="SAP96" s="104"/>
      <c r="SAQ96" s="104"/>
      <c r="SAR96" s="104"/>
      <c r="SAS96" s="104"/>
      <c r="SAT96" s="104"/>
      <c r="SAU96" s="104"/>
      <c r="SAV96" s="104"/>
      <c r="SAW96" s="104"/>
      <c r="SAX96" s="104"/>
      <c r="SAY96" s="104"/>
      <c r="SAZ96" s="104"/>
      <c r="SBA96" s="104"/>
      <c r="SBB96" s="104"/>
      <c r="SBC96" s="104"/>
      <c r="SBD96" s="104"/>
      <c r="SBE96" s="104"/>
      <c r="SBF96" s="104"/>
      <c r="SBG96" s="104"/>
      <c r="SBH96" s="104"/>
      <c r="SBI96" s="104"/>
      <c r="SBJ96" s="104"/>
      <c r="SBK96" s="104"/>
      <c r="SBL96" s="104"/>
      <c r="SBM96" s="104"/>
      <c r="SBN96" s="104"/>
      <c r="SBO96" s="104"/>
      <c r="SBP96" s="104"/>
      <c r="SBQ96" s="104"/>
      <c r="SBR96" s="104"/>
      <c r="SBS96" s="104"/>
      <c r="SBT96" s="104"/>
      <c r="SBU96" s="104"/>
      <c r="SBV96" s="104"/>
      <c r="SBW96" s="104"/>
      <c r="SBX96" s="104"/>
      <c r="SBY96" s="104"/>
      <c r="SBZ96" s="104"/>
      <c r="SCA96" s="104"/>
      <c r="SCB96" s="104"/>
      <c r="SCC96" s="104"/>
      <c r="SCD96" s="104"/>
      <c r="SCE96" s="104"/>
      <c r="SCF96" s="104"/>
      <c r="SCG96" s="104"/>
      <c r="SCH96" s="104"/>
      <c r="SCI96" s="104"/>
      <c r="SCJ96" s="104"/>
      <c r="SCK96" s="104"/>
      <c r="SCL96" s="104"/>
      <c r="SCM96" s="104"/>
      <c r="SCN96" s="104"/>
      <c r="SCO96" s="104"/>
      <c r="SCP96" s="104"/>
      <c r="SCQ96" s="104"/>
      <c r="SCR96" s="104"/>
      <c r="SCS96" s="104"/>
      <c r="SCT96" s="104"/>
      <c r="SCU96" s="104"/>
      <c r="SCV96" s="104"/>
      <c r="SCW96" s="104"/>
      <c r="SCX96" s="104"/>
      <c r="SCY96" s="104"/>
      <c r="SCZ96" s="104"/>
      <c r="SDA96" s="104"/>
      <c r="SDB96" s="104"/>
      <c r="SDC96" s="104"/>
      <c r="SDD96" s="104"/>
      <c r="SDE96" s="104"/>
      <c r="SDF96" s="104"/>
      <c r="SDG96" s="104"/>
      <c r="SDH96" s="104"/>
      <c r="SDI96" s="104"/>
      <c r="SDJ96" s="104"/>
      <c r="SDK96" s="104"/>
      <c r="SDL96" s="104"/>
      <c r="SDM96" s="104"/>
      <c r="SDN96" s="104"/>
      <c r="SDO96" s="104"/>
      <c r="SDP96" s="104"/>
      <c r="SDQ96" s="104"/>
      <c r="SDR96" s="104"/>
      <c r="SDS96" s="104"/>
      <c r="SDT96" s="104"/>
      <c r="SDU96" s="104"/>
      <c r="SDV96" s="104"/>
      <c r="SDW96" s="104"/>
      <c r="SDX96" s="104"/>
      <c r="SDY96" s="104"/>
      <c r="SDZ96" s="104"/>
      <c r="SEA96" s="104"/>
      <c r="SEB96" s="104"/>
      <c r="SEC96" s="104"/>
      <c r="SED96" s="104"/>
      <c r="SEE96" s="104"/>
      <c r="SEF96" s="104"/>
      <c r="SEG96" s="104"/>
      <c r="SEH96" s="104"/>
      <c r="SEI96" s="104"/>
      <c r="SEJ96" s="104"/>
      <c r="SEK96" s="104"/>
      <c r="SEL96" s="104"/>
      <c r="SEM96" s="104"/>
      <c r="SEN96" s="104"/>
      <c r="SEO96" s="104"/>
      <c r="SEP96" s="104"/>
      <c r="SEQ96" s="104"/>
      <c r="SER96" s="104"/>
      <c r="SES96" s="104"/>
      <c r="SET96" s="104"/>
      <c r="SEU96" s="104"/>
      <c r="SEV96" s="104"/>
      <c r="SEW96" s="104"/>
      <c r="SEX96" s="104"/>
      <c r="SEY96" s="104"/>
      <c r="SEZ96" s="104"/>
      <c r="SFA96" s="104"/>
      <c r="SFB96" s="104"/>
      <c r="SFC96" s="104"/>
      <c r="SFD96" s="104"/>
      <c r="SFE96" s="104"/>
      <c r="SFF96" s="104"/>
      <c r="SFG96" s="104"/>
      <c r="SFH96" s="104"/>
      <c r="SFI96" s="104"/>
      <c r="SFJ96" s="104"/>
      <c r="SFK96" s="104"/>
      <c r="SFL96" s="104"/>
      <c r="SFM96" s="104"/>
      <c r="SFN96" s="104"/>
      <c r="SFO96" s="104"/>
      <c r="SFP96" s="104"/>
      <c r="SFQ96" s="104"/>
      <c r="SFR96" s="104"/>
      <c r="SFS96" s="104"/>
      <c r="SFT96" s="104"/>
      <c r="SFU96" s="104"/>
      <c r="SFV96" s="104"/>
      <c r="SFW96" s="104"/>
      <c r="SFX96" s="104"/>
      <c r="SFY96" s="104"/>
      <c r="SFZ96" s="104"/>
      <c r="SGA96" s="104"/>
      <c r="SGB96" s="104"/>
      <c r="SGC96" s="104"/>
      <c r="SGD96" s="104"/>
      <c r="SGE96" s="104"/>
      <c r="SGF96" s="104"/>
      <c r="SGG96" s="104"/>
      <c r="SGH96" s="104"/>
      <c r="SGI96" s="104"/>
      <c r="SGJ96" s="104"/>
      <c r="SGK96" s="104"/>
      <c r="SGL96" s="104"/>
      <c r="SGM96" s="104"/>
      <c r="SGN96" s="104"/>
      <c r="SGO96" s="104"/>
      <c r="SGP96" s="104"/>
      <c r="SGQ96" s="104"/>
      <c r="SGR96" s="104"/>
      <c r="SGS96" s="104"/>
      <c r="SGT96" s="104"/>
      <c r="SGU96" s="104"/>
      <c r="SGV96" s="104"/>
      <c r="SGW96" s="104"/>
      <c r="SGX96" s="104"/>
      <c r="SGY96" s="104"/>
      <c r="SGZ96" s="104"/>
      <c r="SHA96" s="104"/>
      <c r="SHB96" s="104"/>
      <c r="SHC96" s="104"/>
      <c r="SHD96" s="104"/>
      <c r="SHE96" s="104"/>
      <c r="SHF96" s="104"/>
      <c r="SHG96" s="104"/>
      <c r="SHH96" s="104"/>
      <c r="SHI96" s="104"/>
      <c r="SHJ96" s="104"/>
      <c r="SHK96" s="104"/>
      <c r="SHL96" s="104"/>
      <c r="SHM96" s="104"/>
      <c r="SHN96" s="104"/>
      <c r="SHO96" s="104"/>
      <c r="SHP96" s="104"/>
      <c r="SHQ96" s="104"/>
      <c r="SHR96" s="104"/>
      <c r="SHS96" s="104"/>
      <c r="SHT96" s="104"/>
      <c r="SHU96" s="104"/>
      <c r="SHV96" s="104"/>
      <c r="SHW96" s="104"/>
      <c r="SHX96" s="104"/>
      <c r="SHY96" s="104"/>
      <c r="SHZ96" s="104"/>
      <c r="SIA96" s="104"/>
      <c r="SIB96" s="104"/>
      <c r="SIC96" s="104"/>
      <c r="SID96" s="104"/>
      <c r="SIE96" s="104"/>
      <c r="SIF96" s="104"/>
      <c r="SIG96" s="104"/>
      <c r="SIH96" s="104"/>
      <c r="SII96" s="104"/>
      <c r="SIJ96" s="104"/>
      <c r="SIK96" s="104"/>
      <c r="SIL96" s="104"/>
      <c r="SIM96" s="104"/>
      <c r="SIN96" s="104"/>
      <c r="SIO96" s="104"/>
      <c r="SIP96" s="104"/>
      <c r="SIQ96" s="104"/>
      <c r="SIR96" s="104"/>
      <c r="SIS96" s="104"/>
      <c r="SIT96" s="104"/>
      <c r="SIU96" s="104"/>
      <c r="SIV96" s="104"/>
      <c r="SIW96" s="104"/>
      <c r="SIX96" s="104"/>
      <c r="SIY96" s="104"/>
      <c r="SIZ96" s="104"/>
      <c r="SJA96" s="104"/>
      <c r="SJB96" s="104"/>
      <c r="SJC96" s="104"/>
      <c r="SJD96" s="104"/>
      <c r="SJE96" s="104"/>
      <c r="SJF96" s="104"/>
      <c r="SJG96" s="104"/>
      <c r="SJH96" s="104"/>
      <c r="SJI96" s="104"/>
      <c r="SJJ96" s="104"/>
      <c r="SJK96" s="104"/>
      <c r="SJL96" s="104"/>
      <c r="SJM96" s="104"/>
      <c r="SJN96" s="104"/>
      <c r="SJO96" s="104"/>
      <c r="SJP96" s="104"/>
      <c r="SJQ96" s="104"/>
      <c r="SJR96" s="104"/>
      <c r="SJS96" s="104"/>
      <c r="SJT96" s="104"/>
      <c r="SJU96" s="104"/>
      <c r="SJV96" s="104"/>
      <c r="SJW96" s="104"/>
      <c r="SJX96" s="104"/>
      <c r="SJY96" s="104"/>
      <c r="SJZ96" s="104"/>
      <c r="SKA96" s="104"/>
      <c r="SKB96" s="104"/>
      <c r="SKC96" s="104"/>
      <c r="SKD96" s="104"/>
      <c r="SKE96" s="104"/>
      <c r="SKF96" s="104"/>
      <c r="SKG96" s="104"/>
      <c r="SKH96" s="104"/>
      <c r="SKI96" s="104"/>
      <c r="SKJ96" s="104"/>
      <c r="SKK96" s="104"/>
      <c r="SKL96" s="104"/>
      <c r="SKM96" s="104"/>
      <c r="SKN96" s="104"/>
      <c r="SKO96" s="104"/>
      <c r="SKP96" s="104"/>
      <c r="SKQ96" s="104"/>
      <c r="SKR96" s="104"/>
      <c r="SKS96" s="104"/>
      <c r="SKT96" s="104"/>
      <c r="SKU96" s="104"/>
      <c r="SKV96" s="104"/>
      <c r="SKW96" s="104"/>
      <c r="SKX96" s="104"/>
      <c r="SKY96" s="104"/>
      <c r="SKZ96" s="104"/>
      <c r="SLA96" s="104"/>
      <c r="SLB96" s="104"/>
      <c r="SLC96" s="104"/>
      <c r="SLD96" s="104"/>
      <c r="SLE96" s="104"/>
      <c r="SLF96" s="104"/>
      <c r="SLG96" s="104"/>
      <c r="SLH96" s="104"/>
      <c r="SLI96" s="104"/>
      <c r="SLJ96" s="104"/>
      <c r="SLK96" s="104"/>
      <c r="SLL96" s="104"/>
      <c r="SLM96" s="104"/>
      <c r="SLN96" s="104"/>
      <c r="SLO96" s="104"/>
      <c r="SLP96" s="104"/>
      <c r="SLQ96" s="104"/>
      <c r="SLR96" s="104"/>
      <c r="SLS96" s="104"/>
      <c r="SLT96" s="104"/>
      <c r="SLU96" s="104"/>
      <c r="SLV96" s="104"/>
      <c r="SLW96" s="104"/>
      <c r="SLX96" s="104"/>
      <c r="SLY96" s="104"/>
      <c r="SLZ96" s="104"/>
      <c r="SMA96" s="104"/>
      <c r="SMB96" s="104"/>
      <c r="SMC96" s="104"/>
      <c r="SMD96" s="104"/>
      <c r="SME96" s="104"/>
      <c r="SMF96" s="104"/>
      <c r="SMG96" s="104"/>
      <c r="SMH96" s="104"/>
      <c r="SMI96" s="104"/>
      <c r="SMJ96" s="104"/>
      <c r="SMK96" s="104"/>
      <c r="SML96" s="104"/>
      <c r="SMM96" s="104"/>
      <c r="SMN96" s="104"/>
      <c r="SMO96" s="104"/>
      <c r="SMP96" s="104"/>
      <c r="SMQ96" s="104"/>
      <c r="SMR96" s="104"/>
      <c r="SMS96" s="104"/>
      <c r="SMT96" s="104"/>
      <c r="SMU96" s="104"/>
      <c r="SMV96" s="104"/>
      <c r="SMW96" s="104"/>
      <c r="SMX96" s="104"/>
      <c r="SMY96" s="104"/>
      <c r="SMZ96" s="104"/>
      <c r="SNA96" s="104"/>
      <c r="SNB96" s="104"/>
      <c r="SNC96" s="104"/>
      <c r="SND96" s="104"/>
      <c r="SNE96" s="104"/>
      <c r="SNF96" s="104"/>
      <c r="SNG96" s="104"/>
      <c r="SNH96" s="104"/>
      <c r="SNI96" s="104"/>
      <c r="SNJ96" s="104"/>
      <c r="SNK96" s="104"/>
      <c r="SNL96" s="104"/>
      <c r="SNM96" s="104"/>
      <c r="SNN96" s="104"/>
      <c r="SNO96" s="104"/>
      <c r="SNP96" s="104"/>
      <c r="SNQ96" s="104"/>
      <c r="SNR96" s="104"/>
      <c r="SNS96" s="104"/>
      <c r="SNT96" s="104"/>
      <c r="SNU96" s="104"/>
      <c r="SNV96" s="104"/>
      <c r="SNW96" s="104"/>
      <c r="SNX96" s="104"/>
      <c r="SNY96" s="104"/>
      <c r="SNZ96" s="104"/>
      <c r="SOA96" s="104"/>
      <c r="SOB96" s="104"/>
      <c r="SOC96" s="104"/>
      <c r="SOD96" s="104"/>
      <c r="SOE96" s="104"/>
      <c r="SOF96" s="104"/>
      <c r="SOG96" s="104"/>
      <c r="SOH96" s="104"/>
      <c r="SOI96" s="104"/>
      <c r="SOJ96" s="104"/>
      <c r="SOK96" s="104"/>
      <c r="SOL96" s="104"/>
      <c r="SOM96" s="104"/>
      <c r="SON96" s="104"/>
      <c r="SOO96" s="104"/>
      <c r="SOP96" s="104"/>
      <c r="SOQ96" s="104"/>
      <c r="SOR96" s="104"/>
      <c r="SOS96" s="104"/>
      <c r="SOT96" s="104"/>
      <c r="SOU96" s="104"/>
      <c r="SOV96" s="104"/>
      <c r="SOW96" s="104"/>
      <c r="SOX96" s="104"/>
      <c r="SOY96" s="104"/>
      <c r="SOZ96" s="104"/>
      <c r="SPA96" s="104"/>
      <c r="SPB96" s="104"/>
      <c r="SPC96" s="104"/>
      <c r="SPD96" s="104"/>
      <c r="SPE96" s="104"/>
      <c r="SPF96" s="104"/>
      <c r="SPG96" s="104"/>
      <c r="SPH96" s="104"/>
      <c r="SPI96" s="104"/>
      <c r="SPJ96" s="104"/>
      <c r="SPK96" s="104"/>
      <c r="SPL96" s="104"/>
      <c r="SPM96" s="104"/>
      <c r="SPN96" s="104"/>
      <c r="SPO96" s="104"/>
      <c r="SPP96" s="104"/>
      <c r="SPQ96" s="104"/>
      <c r="SPR96" s="104"/>
      <c r="SPS96" s="104"/>
      <c r="SPT96" s="104"/>
      <c r="SPU96" s="104"/>
      <c r="SPV96" s="104"/>
      <c r="SPW96" s="104"/>
      <c r="SPX96" s="104"/>
      <c r="SPY96" s="104"/>
      <c r="SPZ96" s="104"/>
      <c r="SQA96" s="104"/>
      <c r="SQB96" s="104"/>
      <c r="SQC96" s="104"/>
      <c r="SQD96" s="104"/>
      <c r="SQE96" s="104"/>
      <c r="SQF96" s="104"/>
      <c r="SQG96" s="104"/>
      <c r="SQH96" s="104"/>
      <c r="SQI96" s="104"/>
      <c r="SQJ96" s="104"/>
      <c r="SQK96" s="104"/>
      <c r="SQL96" s="104"/>
      <c r="SQM96" s="104"/>
      <c r="SQN96" s="104"/>
      <c r="SQO96" s="104"/>
      <c r="SQP96" s="104"/>
      <c r="SQQ96" s="104"/>
      <c r="SQR96" s="104"/>
      <c r="SQS96" s="104"/>
      <c r="SQT96" s="104"/>
      <c r="SQU96" s="104"/>
      <c r="SQV96" s="104"/>
      <c r="SQW96" s="104"/>
      <c r="SQX96" s="104"/>
      <c r="SQY96" s="104"/>
      <c r="SQZ96" s="104"/>
      <c r="SRA96" s="104"/>
      <c r="SRB96" s="104"/>
      <c r="SRC96" s="104"/>
      <c r="SRD96" s="104"/>
      <c r="SRE96" s="104"/>
      <c r="SRF96" s="104"/>
      <c r="SRG96" s="104"/>
      <c r="SRH96" s="104"/>
      <c r="SRI96" s="104"/>
      <c r="SRJ96" s="104"/>
      <c r="SRK96" s="104"/>
      <c r="SRL96" s="104"/>
      <c r="SRM96" s="104"/>
      <c r="SRN96" s="104"/>
      <c r="SRO96" s="104"/>
      <c r="SRP96" s="104"/>
      <c r="SRQ96" s="104"/>
      <c r="SRR96" s="104"/>
      <c r="SRS96" s="104"/>
      <c r="SRT96" s="104"/>
      <c r="SRU96" s="104"/>
      <c r="SRV96" s="104"/>
      <c r="SRW96" s="104"/>
      <c r="SRX96" s="104"/>
      <c r="SRY96" s="104"/>
      <c r="SRZ96" s="104"/>
      <c r="SSA96" s="104"/>
      <c r="SSB96" s="104"/>
      <c r="SSC96" s="104"/>
      <c r="SSD96" s="104"/>
      <c r="SSE96" s="104"/>
      <c r="SSF96" s="104"/>
      <c r="SSG96" s="104"/>
      <c r="SSH96" s="104"/>
      <c r="SSI96" s="104"/>
      <c r="SSJ96" s="104"/>
      <c r="SSK96" s="104"/>
      <c r="SSL96" s="104"/>
      <c r="SSM96" s="104"/>
      <c r="SSN96" s="104"/>
      <c r="SSO96" s="104"/>
      <c r="SSP96" s="104"/>
      <c r="SSQ96" s="104"/>
      <c r="SSR96" s="104"/>
      <c r="SSS96" s="104"/>
      <c r="SST96" s="104"/>
      <c r="SSU96" s="104"/>
      <c r="SSV96" s="104"/>
      <c r="SSW96" s="104"/>
      <c r="SSX96" s="104"/>
      <c r="SSY96" s="104"/>
      <c r="SSZ96" s="104"/>
      <c r="STA96" s="104"/>
      <c r="STB96" s="104"/>
      <c r="STC96" s="104"/>
      <c r="STD96" s="104"/>
      <c r="STE96" s="104"/>
      <c r="STF96" s="104"/>
      <c r="STG96" s="104"/>
      <c r="STH96" s="104"/>
      <c r="STI96" s="104"/>
      <c r="STJ96" s="104"/>
      <c r="STK96" s="104"/>
      <c r="STL96" s="104"/>
      <c r="STM96" s="104"/>
      <c r="STN96" s="104"/>
      <c r="STO96" s="104"/>
      <c r="STP96" s="104"/>
      <c r="STQ96" s="104"/>
      <c r="STR96" s="104"/>
      <c r="STS96" s="104"/>
      <c r="STT96" s="104"/>
      <c r="STU96" s="104"/>
      <c r="STV96" s="104"/>
      <c r="STW96" s="104"/>
      <c r="STX96" s="104"/>
      <c r="STY96" s="104"/>
      <c r="STZ96" s="104"/>
      <c r="SUA96" s="104"/>
      <c r="SUB96" s="104"/>
      <c r="SUC96" s="104"/>
      <c r="SUD96" s="104"/>
      <c r="SUE96" s="104"/>
      <c r="SUF96" s="104"/>
      <c r="SUG96" s="104"/>
      <c r="SUH96" s="104"/>
      <c r="SUI96" s="104"/>
      <c r="SUJ96" s="104"/>
      <c r="SUK96" s="104"/>
      <c r="SUL96" s="104"/>
      <c r="SUM96" s="104"/>
      <c r="SUN96" s="104"/>
      <c r="SUO96" s="104"/>
      <c r="SUP96" s="104"/>
      <c r="SUQ96" s="104"/>
      <c r="SUR96" s="104"/>
      <c r="SUS96" s="104"/>
      <c r="SUT96" s="104"/>
      <c r="SUU96" s="104"/>
      <c r="SUV96" s="104"/>
      <c r="SUW96" s="104"/>
      <c r="SUX96" s="104"/>
      <c r="SUY96" s="104"/>
      <c r="SUZ96" s="104"/>
      <c r="SVA96" s="104"/>
      <c r="SVB96" s="104"/>
      <c r="SVC96" s="104"/>
      <c r="SVD96" s="104"/>
      <c r="SVE96" s="104"/>
      <c r="SVF96" s="104"/>
      <c r="SVG96" s="104"/>
      <c r="SVH96" s="104"/>
      <c r="SVI96" s="104"/>
      <c r="SVJ96" s="104"/>
      <c r="SVK96" s="104"/>
      <c r="SVL96" s="104"/>
      <c r="SVM96" s="104"/>
      <c r="SVN96" s="104"/>
      <c r="SVO96" s="104"/>
      <c r="SVP96" s="104"/>
      <c r="SVQ96" s="104"/>
      <c r="SVR96" s="104"/>
      <c r="SVS96" s="104"/>
      <c r="SVT96" s="104"/>
      <c r="SVU96" s="104"/>
      <c r="SVV96" s="104"/>
      <c r="SVW96" s="104"/>
      <c r="SVX96" s="104"/>
      <c r="SVY96" s="104"/>
      <c r="SVZ96" s="104"/>
      <c r="SWA96" s="104"/>
      <c r="SWB96" s="104"/>
      <c r="SWC96" s="104"/>
      <c r="SWD96" s="104"/>
      <c r="SWE96" s="104"/>
      <c r="SWF96" s="104"/>
      <c r="SWG96" s="104"/>
      <c r="SWH96" s="104"/>
      <c r="SWI96" s="104"/>
      <c r="SWJ96" s="104"/>
      <c r="SWK96" s="104"/>
      <c r="SWL96" s="104"/>
      <c r="SWM96" s="104"/>
      <c r="SWN96" s="104"/>
      <c r="SWO96" s="104"/>
      <c r="SWP96" s="104"/>
      <c r="SWQ96" s="104"/>
      <c r="SWR96" s="104"/>
      <c r="SWS96" s="104"/>
      <c r="SWT96" s="104"/>
      <c r="SWU96" s="104"/>
      <c r="SWV96" s="104"/>
      <c r="SWW96" s="104"/>
      <c r="SWX96" s="104"/>
      <c r="SWY96" s="104"/>
      <c r="SWZ96" s="104"/>
      <c r="SXA96" s="104"/>
      <c r="SXB96" s="104"/>
      <c r="SXC96" s="104"/>
      <c r="SXD96" s="104"/>
      <c r="SXE96" s="104"/>
      <c r="SXF96" s="104"/>
      <c r="SXG96" s="104"/>
      <c r="SXH96" s="104"/>
      <c r="SXI96" s="104"/>
      <c r="SXJ96" s="104"/>
      <c r="SXK96" s="104"/>
      <c r="SXL96" s="104"/>
      <c r="SXM96" s="104"/>
      <c r="SXN96" s="104"/>
      <c r="SXO96" s="104"/>
      <c r="SXP96" s="104"/>
      <c r="SXQ96" s="104"/>
      <c r="SXR96" s="104"/>
      <c r="SXS96" s="104"/>
      <c r="SXT96" s="104"/>
      <c r="SXU96" s="104"/>
      <c r="SXV96" s="104"/>
      <c r="SXW96" s="104"/>
      <c r="SXX96" s="104"/>
      <c r="SXY96" s="104"/>
      <c r="SXZ96" s="104"/>
      <c r="SYA96" s="104"/>
      <c r="SYB96" s="104"/>
      <c r="SYC96" s="104"/>
      <c r="SYD96" s="104"/>
      <c r="SYE96" s="104"/>
      <c r="SYF96" s="104"/>
      <c r="SYG96" s="104"/>
      <c r="SYH96" s="104"/>
      <c r="SYI96" s="104"/>
      <c r="SYJ96" s="104"/>
      <c r="SYK96" s="104"/>
      <c r="SYL96" s="104"/>
      <c r="SYM96" s="104"/>
      <c r="SYN96" s="104"/>
      <c r="SYO96" s="104"/>
      <c r="SYP96" s="104"/>
      <c r="SYQ96" s="104"/>
      <c r="SYR96" s="104"/>
      <c r="SYS96" s="104"/>
      <c r="SYT96" s="104"/>
      <c r="SYU96" s="104"/>
      <c r="SYV96" s="104"/>
      <c r="SYW96" s="104"/>
      <c r="SYX96" s="104"/>
      <c r="SYY96" s="104"/>
      <c r="SYZ96" s="104"/>
      <c r="SZA96" s="104"/>
      <c r="SZB96" s="104"/>
      <c r="SZC96" s="104"/>
      <c r="SZD96" s="104"/>
      <c r="SZE96" s="104"/>
      <c r="SZF96" s="104"/>
      <c r="SZG96" s="104"/>
      <c r="SZH96" s="104"/>
      <c r="SZI96" s="104"/>
      <c r="SZJ96" s="104"/>
      <c r="SZK96" s="104"/>
      <c r="SZL96" s="104"/>
      <c r="SZM96" s="104"/>
      <c r="SZN96" s="104"/>
      <c r="SZO96" s="104"/>
      <c r="SZP96" s="104"/>
      <c r="SZQ96" s="104"/>
      <c r="SZR96" s="104"/>
      <c r="SZS96" s="104"/>
      <c r="SZT96" s="104"/>
      <c r="SZU96" s="104"/>
      <c r="SZV96" s="104"/>
      <c r="SZW96" s="104"/>
      <c r="SZX96" s="104"/>
      <c r="SZY96" s="104"/>
      <c r="SZZ96" s="104"/>
      <c r="TAA96" s="104"/>
      <c r="TAB96" s="104"/>
      <c r="TAC96" s="104"/>
      <c r="TAD96" s="104"/>
      <c r="TAE96" s="104"/>
      <c r="TAF96" s="104"/>
      <c r="TAG96" s="104"/>
      <c r="TAH96" s="104"/>
      <c r="TAI96" s="104"/>
      <c r="TAJ96" s="104"/>
      <c r="TAK96" s="104"/>
      <c r="TAL96" s="104"/>
      <c r="TAM96" s="104"/>
      <c r="TAN96" s="104"/>
      <c r="TAO96" s="104"/>
      <c r="TAP96" s="104"/>
      <c r="TAQ96" s="104"/>
      <c r="TAR96" s="104"/>
      <c r="TAS96" s="104"/>
      <c r="TAT96" s="104"/>
      <c r="TAU96" s="104"/>
      <c r="TAV96" s="104"/>
      <c r="TAW96" s="104"/>
      <c r="TAX96" s="104"/>
      <c r="TAY96" s="104"/>
      <c r="TAZ96" s="104"/>
      <c r="TBA96" s="104"/>
      <c r="TBB96" s="104"/>
      <c r="TBC96" s="104"/>
      <c r="TBD96" s="104"/>
      <c r="TBE96" s="104"/>
      <c r="TBF96" s="104"/>
      <c r="TBG96" s="104"/>
      <c r="TBH96" s="104"/>
      <c r="TBI96" s="104"/>
      <c r="TBJ96" s="104"/>
      <c r="TBK96" s="104"/>
      <c r="TBL96" s="104"/>
      <c r="TBM96" s="104"/>
      <c r="TBN96" s="104"/>
      <c r="TBO96" s="104"/>
      <c r="TBP96" s="104"/>
      <c r="TBQ96" s="104"/>
      <c r="TBR96" s="104"/>
      <c r="TBS96" s="104"/>
      <c r="TBT96" s="104"/>
      <c r="TBU96" s="104"/>
      <c r="TBV96" s="104"/>
      <c r="TBW96" s="104"/>
      <c r="TBX96" s="104"/>
      <c r="TBY96" s="104"/>
      <c r="TBZ96" s="104"/>
      <c r="TCA96" s="104"/>
      <c r="TCB96" s="104"/>
      <c r="TCC96" s="104"/>
      <c r="TCD96" s="104"/>
      <c r="TCE96" s="104"/>
      <c r="TCF96" s="104"/>
      <c r="TCG96" s="104"/>
      <c r="TCH96" s="104"/>
      <c r="TCI96" s="104"/>
      <c r="TCJ96" s="104"/>
      <c r="TCK96" s="104"/>
      <c r="TCL96" s="104"/>
      <c r="TCM96" s="104"/>
      <c r="TCN96" s="104"/>
      <c r="TCO96" s="104"/>
      <c r="TCP96" s="104"/>
      <c r="TCQ96" s="104"/>
      <c r="TCR96" s="104"/>
      <c r="TCS96" s="104"/>
      <c r="TCT96" s="104"/>
      <c r="TCU96" s="104"/>
      <c r="TCV96" s="104"/>
      <c r="TCW96" s="104"/>
      <c r="TCX96" s="104"/>
      <c r="TCY96" s="104"/>
      <c r="TCZ96" s="104"/>
      <c r="TDA96" s="104"/>
      <c r="TDB96" s="104"/>
      <c r="TDC96" s="104"/>
      <c r="TDD96" s="104"/>
      <c r="TDE96" s="104"/>
      <c r="TDF96" s="104"/>
      <c r="TDG96" s="104"/>
      <c r="TDH96" s="104"/>
      <c r="TDI96" s="104"/>
      <c r="TDJ96" s="104"/>
      <c r="TDK96" s="104"/>
      <c r="TDL96" s="104"/>
      <c r="TDM96" s="104"/>
      <c r="TDN96" s="104"/>
      <c r="TDO96" s="104"/>
      <c r="TDP96" s="104"/>
      <c r="TDQ96" s="104"/>
      <c r="TDR96" s="104"/>
      <c r="TDS96" s="104"/>
      <c r="TDT96" s="104"/>
      <c r="TDU96" s="104"/>
      <c r="TDV96" s="104"/>
      <c r="TDW96" s="104"/>
      <c r="TDX96" s="104"/>
      <c r="TDY96" s="104"/>
      <c r="TDZ96" s="104"/>
      <c r="TEA96" s="104"/>
      <c r="TEB96" s="104"/>
      <c r="TEC96" s="104"/>
      <c r="TED96" s="104"/>
      <c r="TEE96" s="104"/>
      <c r="TEF96" s="104"/>
      <c r="TEG96" s="104"/>
      <c r="TEH96" s="104"/>
      <c r="TEI96" s="104"/>
      <c r="TEJ96" s="104"/>
      <c r="TEK96" s="104"/>
      <c r="TEL96" s="104"/>
      <c r="TEM96" s="104"/>
      <c r="TEN96" s="104"/>
      <c r="TEO96" s="104"/>
      <c r="TEP96" s="104"/>
      <c r="TEQ96" s="104"/>
      <c r="TER96" s="104"/>
      <c r="TES96" s="104"/>
      <c r="TET96" s="104"/>
      <c r="TEU96" s="104"/>
      <c r="TEV96" s="104"/>
      <c r="TEW96" s="104"/>
      <c r="TEX96" s="104"/>
      <c r="TEY96" s="104"/>
      <c r="TEZ96" s="104"/>
      <c r="TFA96" s="104"/>
      <c r="TFB96" s="104"/>
      <c r="TFC96" s="104"/>
      <c r="TFD96" s="104"/>
      <c r="TFE96" s="104"/>
      <c r="TFF96" s="104"/>
      <c r="TFG96" s="104"/>
      <c r="TFH96" s="104"/>
      <c r="TFI96" s="104"/>
      <c r="TFJ96" s="104"/>
      <c r="TFK96" s="104"/>
      <c r="TFL96" s="104"/>
      <c r="TFM96" s="104"/>
      <c r="TFN96" s="104"/>
      <c r="TFO96" s="104"/>
      <c r="TFP96" s="104"/>
      <c r="TFQ96" s="104"/>
      <c r="TFR96" s="104"/>
      <c r="TFS96" s="104"/>
      <c r="TFT96" s="104"/>
      <c r="TFU96" s="104"/>
      <c r="TFV96" s="104"/>
      <c r="TFW96" s="104"/>
      <c r="TFX96" s="104"/>
      <c r="TFY96" s="104"/>
      <c r="TFZ96" s="104"/>
      <c r="TGA96" s="104"/>
      <c r="TGB96" s="104"/>
      <c r="TGC96" s="104"/>
      <c r="TGD96" s="104"/>
      <c r="TGE96" s="104"/>
      <c r="TGF96" s="104"/>
      <c r="TGG96" s="104"/>
      <c r="TGH96" s="104"/>
      <c r="TGI96" s="104"/>
      <c r="TGJ96" s="104"/>
      <c r="TGK96" s="104"/>
      <c r="TGL96" s="104"/>
      <c r="TGM96" s="104"/>
      <c r="TGN96" s="104"/>
      <c r="TGO96" s="104"/>
      <c r="TGP96" s="104"/>
      <c r="TGQ96" s="104"/>
      <c r="TGR96" s="104"/>
      <c r="TGS96" s="104"/>
      <c r="TGT96" s="104"/>
      <c r="TGU96" s="104"/>
      <c r="TGV96" s="104"/>
      <c r="TGW96" s="104"/>
      <c r="TGX96" s="104"/>
      <c r="TGY96" s="104"/>
      <c r="TGZ96" s="104"/>
      <c r="THA96" s="104"/>
      <c r="THB96" s="104"/>
      <c r="THC96" s="104"/>
      <c r="THD96" s="104"/>
      <c r="THE96" s="104"/>
      <c r="THF96" s="104"/>
      <c r="THG96" s="104"/>
      <c r="THH96" s="104"/>
      <c r="THI96" s="104"/>
      <c r="THJ96" s="104"/>
      <c r="THK96" s="104"/>
      <c r="THL96" s="104"/>
      <c r="THM96" s="104"/>
      <c r="THN96" s="104"/>
      <c r="THO96" s="104"/>
      <c r="THP96" s="104"/>
      <c r="THQ96" s="104"/>
      <c r="THR96" s="104"/>
      <c r="THS96" s="104"/>
      <c r="THT96" s="104"/>
      <c r="THU96" s="104"/>
      <c r="THV96" s="104"/>
      <c r="THW96" s="104"/>
      <c r="THX96" s="104"/>
      <c r="THY96" s="104"/>
      <c r="THZ96" s="104"/>
      <c r="TIA96" s="104"/>
      <c r="TIB96" s="104"/>
      <c r="TIC96" s="104"/>
      <c r="TID96" s="104"/>
      <c r="TIE96" s="104"/>
      <c r="TIF96" s="104"/>
      <c r="TIG96" s="104"/>
      <c r="TIH96" s="104"/>
      <c r="TII96" s="104"/>
      <c r="TIJ96" s="104"/>
      <c r="TIK96" s="104"/>
      <c r="TIL96" s="104"/>
      <c r="TIM96" s="104"/>
      <c r="TIN96" s="104"/>
      <c r="TIO96" s="104"/>
      <c r="TIP96" s="104"/>
      <c r="TIQ96" s="104"/>
      <c r="TIR96" s="104"/>
      <c r="TIS96" s="104"/>
      <c r="TIT96" s="104"/>
      <c r="TIU96" s="104"/>
      <c r="TIV96" s="104"/>
      <c r="TIW96" s="104"/>
      <c r="TIX96" s="104"/>
      <c r="TIY96" s="104"/>
      <c r="TIZ96" s="104"/>
      <c r="TJA96" s="104"/>
      <c r="TJB96" s="104"/>
      <c r="TJC96" s="104"/>
      <c r="TJD96" s="104"/>
      <c r="TJE96" s="104"/>
      <c r="TJF96" s="104"/>
      <c r="TJG96" s="104"/>
      <c r="TJH96" s="104"/>
      <c r="TJI96" s="104"/>
      <c r="TJJ96" s="104"/>
      <c r="TJK96" s="104"/>
      <c r="TJL96" s="104"/>
      <c r="TJM96" s="104"/>
      <c r="TJN96" s="104"/>
      <c r="TJO96" s="104"/>
      <c r="TJP96" s="104"/>
      <c r="TJQ96" s="104"/>
      <c r="TJR96" s="104"/>
      <c r="TJS96" s="104"/>
      <c r="TJT96" s="104"/>
      <c r="TJU96" s="104"/>
      <c r="TJV96" s="104"/>
      <c r="TJW96" s="104"/>
      <c r="TJX96" s="104"/>
      <c r="TJY96" s="104"/>
      <c r="TJZ96" s="104"/>
      <c r="TKA96" s="104"/>
      <c r="TKB96" s="104"/>
      <c r="TKC96" s="104"/>
      <c r="TKD96" s="104"/>
      <c r="TKE96" s="104"/>
      <c r="TKF96" s="104"/>
      <c r="TKG96" s="104"/>
      <c r="TKH96" s="104"/>
      <c r="TKI96" s="104"/>
      <c r="TKJ96" s="104"/>
      <c r="TKK96" s="104"/>
      <c r="TKL96" s="104"/>
      <c r="TKM96" s="104"/>
      <c r="TKN96" s="104"/>
      <c r="TKO96" s="104"/>
      <c r="TKP96" s="104"/>
      <c r="TKQ96" s="104"/>
      <c r="TKR96" s="104"/>
      <c r="TKS96" s="104"/>
      <c r="TKT96" s="104"/>
      <c r="TKU96" s="104"/>
      <c r="TKV96" s="104"/>
      <c r="TKW96" s="104"/>
      <c r="TKX96" s="104"/>
      <c r="TKY96" s="104"/>
      <c r="TKZ96" s="104"/>
      <c r="TLA96" s="104"/>
      <c r="TLB96" s="104"/>
      <c r="TLC96" s="104"/>
      <c r="TLD96" s="104"/>
      <c r="TLE96" s="104"/>
      <c r="TLF96" s="104"/>
      <c r="TLG96" s="104"/>
      <c r="TLH96" s="104"/>
      <c r="TLI96" s="104"/>
      <c r="TLJ96" s="104"/>
      <c r="TLK96" s="104"/>
      <c r="TLL96" s="104"/>
      <c r="TLM96" s="104"/>
      <c r="TLN96" s="104"/>
      <c r="TLO96" s="104"/>
      <c r="TLP96" s="104"/>
      <c r="TLQ96" s="104"/>
      <c r="TLR96" s="104"/>
      <c r="TLS96" s="104"/>
      <c r="TLT96" s="104"/>
      <c r="TLU96" s="104"/>
      <c r="TLV96" s="104"/>
      <c r="TLW96" s="104"/>
      <c r="TLX96" s="104"/>
      <c r="TLY96" s="104"/>
      <c r="TLZ96" s="104"/>
      <c r="TMA96" s="104"/>
      <c r="TMB96" s="104"/>
      <c r="TMC96" s="104"/>
      <c r="TMD96" s="104"/>
      <c r="TME96" s="104"/>
      <c r="TMF96" s="104"/>
      <c r="TMG96" s="104"/>
      <c r="TMH96" s="104"/>
      <c r="TMI96" s="104"/>
      <c r="TMJ96" s="104"/>
      <c r="TMK96" s="104"/>
      <c r="TML96" s="104"/>
      <c r="TMM96" s="104"/>
      <c r="TMN96" s="104"/>
      <c r="TMO96" s="104"/>
      <c r="TMP96" s="104"/>
      <c r="TMQ96" s="104"/>
      <c r="TMR96" s="104"/>
      <c r="TMS96" s="104"/>
      <c r="TMT96" s="104"/>
      <c r="TMU96" s="104"/>
      <c r="TMV96" s="104"/>
      <c r="TMW96" s="104"/>
      <c r="TMX96" s="104"/>
      <c r="TMY96" s="104"/>
      <c r="TMZ96" s="104"/>
      <c r="TNA96" s="104"/>
      <c r="TNB96" s="104"/>
      <c r="TNC96" s="104"/>
      <c r="TND96" s="104"/>
      <c r="TNE96" s="104"/>
      <c r="TNF96" s="104"/>
      <c r="TNG96" s="104"/>
      <c r="TNH96" s="104"/>
      <c r="TNI96" s="104"/>
      <c r="TNJ96" s="104"/>
      <c r="TNK96" s="104"/>
      <c r="TNL96" s="104"/>
      <c r="TNM96" s="104"/>
      <c r="TNN96" s="104"/>
      <c r="TNO96" s="104"/>
      <c r="TNP96" s="104"/>
      <c r="TNQ96" s="104"/>
      <c r="TNR96" s="104"/>
      <c r="TNS96" s="104"/>
      <c r="TNT96" s="104"/>
      <c r="TNU96" s="104"/>
      <c r="TNV96" s="104"/>
      <c r="TNW96" s="104"/>
      <c r="TNX96" s="104"/>
      <c r="TNY96" s="104"/>
      <c r="TNZ96" s="104"/>
      <c r="TOA96" s="104"/>
      <c r="TOB96" s="104"/>
      <c r="TOC96" s="104"/>
      <c r="TOD96" s="104"/>
      <c r="TOE96" s="104"/>
      <c r="TOF96" s="104"/>
      <c r="TOG96" s="104"/>
      <c r="TOH96" s="104"/>
      <c r="TOI96" s="104"/>
      <c r="TOJ96" s="104"/>
      <c r="TOK96" s="104"/>
      <c r="TOL96" s="104"/>
      <c r="TOM96" s="104"/>
      <c r="TON96" s="104"/>
      <c r="TOO96" s="104"/>
      <c r="TOP96" s="104"/>
      <c r="TOQ96" s="104"/>
      <c r="TOR96" s="104"/>
      <c r="TOS96" s="104"/>
      <c r="TOT96" s="104"/>
      <c r="TOU96" s="104"/>
      <c r="TOV96" s="104"/>
      <c r="TOW96" s="104"/>
      <c r="TOX96" s="104"/>
      <c r="TOY96" s="104"/>
      <c r="TOZ96" s="104"/>
      <c r="TPA96" s="104"/>
      <c r="TPB96" s="104"/>
      <c r="TPC96" s="104"/>
      <c r="TPD96" s="104"/>
      <c r="TPE96" s="104"/>
      <c r="TPF96" s="104"/>
      <c r="TPG96" s="104"/>
      <c r="TPH96" s="104"/>
      <c r="TPI96" s="104"/>
      <c r="TPJ96" s="104"/>
      <c r="TPK96" s="104"/>
      <c r="TPL96" s="104"/>
      <c r="TPM96" s="104"/>
      <c r="TPN96" s="104"/>
      <c r="TPO96" s="104"/>
      <c r="TPP96" s="104"/>
      <c r="TPQ96" s="104"/>
      <c r="TPR96" s="104"/>
      <c r="TPS96" s="104"/>
      <c r="TPT96" s="104"/>
      <c r="TPU96" s="104"/>
      <c r="TPV96" s="104"/>
      <c r="TPW96" s="104"/>
      <c r="TPX96" s="104"/>
      <c r="TPY96" s="104"/>
      <c r="TPZ96" s="104"/>
      <c r="TQA96" s="104"/>
      <c r="TQB96" s="104"/>
      <c r="TQC96" s="104"/>
      <c r="TQD96" s="104"/>
      <c r="TQE96" s="104"/>
      <c r="TQF96" s="104"/>
      <c r="TQG96" s="104"/>
      <c r="TQH96" s="104"/>
      <c r="TQI96" s="104"/>
      <c r="TQJ96" s="104"/>
      <c r="TQK96" s="104"/>
      <c r="TQL96" s="104"/>
      <c r="TQM96" s="104"/>
      <c r="TQN96" s="104"/>
      <c r="TQO96" s="104"/>
      <c r="TQP96" s="104"/>
      <c r="TQQ96" s="104"/>
      <c r="TQR96" s="104"/>
      <c r="TQS96" s="104"/>
      <c r="TQT96" s="104"/>
      <c r="TQU96" s="104"/>
      <c r="TQV96" s="104"/>
      <c r="TQW96" s="104"/>
      <c r="TQX96" s="104"/>
      <c r="TQY96" s="104"/>
      <c r="TQZ96" s="104"/>
      <c r="TRA96" s="104"/>
      <c r="TRB96" s="104"/>
      <c r="TRC96" s="104"/>
      <c r="TRD96" s="104"/>
      <c r="TRE96" s="104"/>
      <c r="TRF96" s="104"/>
      <c r="TRG96" s="104"/>
      <c r="TRH96" s="104"/>
      <c r="TRI96" s="104"/>
      <c r="TRJ96" s="104"/>
      <c r="TRK96" s="104"/>
      <c r="TRL96" s="104"/>
      <c r="TRM96" s="104"/>
      <c r="TRN96" s="104"/>
      <c r="TRO96" s="104"/>
      <c r="TRP96" s="104"/>
      <c r="TRQ96" s="104"/>
      <c r="TRR96" s="104"/>
      <c r="TRS96" s="104"/>
      <c r="TRT96" s="104"/>
      <c r="TRU96" s="104"/>
      <c r="TRV96" s="104"/>
      <c r="TRW96" s="104"/>
      <c r="TRX96" s="104"/>
      <c r="TRY96" s="104"/>
      <c r="TRZ96" s="104"/>
      <c r="TSA96" s="104"/>
      <c r="TSB96" s="104"/>
      <c r="TSC96" s="104"/>
      <c r="TSD96" s="104"/>
      <c r="TSE96" s="104"/>
      <c r="TSF96" s="104"/>
      <c r="TSG96" s="104"/>
      <c r="TSH96" s="104"/>
      <c r="TSI96" s="104"/>
      <c r="TSJ96" s="104"/>
      <c r="TSK96" s="104"/>
      <c r="TSL96" s="104"/>
      <c r="TSM96" s="104"/>
      <c r="TSN96" s="104"/>
      <c r="TSO96" s="104"/>
      <c r="TSP96" s="104"/>
      <c r="TSQ96" s="104"/>
      <c r="TSR96" s="104"/>
      <c r="TSS96" s="104"/>
      <c r="TST96" s="104"/>
      <c r="TSU96" s="104"/>
      <c r="TSV96" s="104"/>
      <c r="TSW96" s="104"/>
      <c r="TSX96" s="104"/>
      <c r="TSY96" s="104"/>
      <c r="TSZ96" s="104"/>
      <c r="TTA96" s="104"/>
      <c r="TTB96" s="104"/>
      <c r="TTC96" s="104"/>
      <c r="TTD96" s="104"/>
      <c r="TTE96" s="104"/>
      <c r="TTF96" s="104"/>
      <c r="TTG96" s="104"/>
      <c r="TTH96" s="104"/>
      <c r="TTI96" s="104"/>
      <c r="TTJ96" s="104"/>
      <c r="TTK96" s="104"/>
      <c r="TTL96" s="104"/>
      <c r="TTM96" s="104"/>
      <c r="TTN96" s="104"/>
      <c r="TTO96" s="104"/>
      <c r="TTP96" s="104"/>
      <c r="TTQ96" s="104"/>
      <c r="TTR96" s="104"/>
      <c r="TTS96" s="104"/>
      <c r="TTT96" s="104"/>
      <c r="TTU96" s="104"/>
      <c r="TTV96" s="104"/>
      <c r="TTW96" s="104"/>
      <c r="TTX96" s="104"/>
      <c r="TTY96" s="104"/>
      <c r="TTZ96" s="104"/>
      <c r="TUA96" s="104"/>
      <c r="TUB96" s="104"/>
      <c r="TUC96" s="104"/>
      <c r="TUD96" s="104"/>
      <c r="TUE96" s="104"/>
      <c r="TUF96" s="104"/>
      <c r="TUG96" s="104"/>
      <c r="TUH96" s="104"/>
      <c r="TUI96" s="104"/>
      <c r="TUJ96" s="104"/>
      <c r="TUK96" s="104"/>
      <c r="TUL96" s="104"/>
      <c r="TUM96" s="104"/>
      <c r="TUN96" s="104"/>
      <c r="TUO96" s="104"/>
      <c r="TUP96" s="104"/>
      <c r="TUQ96" s="104"/>
      <c r="TUR96" s="104"/>
      <c r="TUS96" s="104"/>
      <c r="TUT96" s="104"/>
      <c r="TUU96" s="104"/>
      <c r="TUV96" s="104"/>
      <c r="TUW96" s="104"/>
      <c r="TUX96" s="104"/>
      <c r="TUY96" s="104"/>
      <c r="TUZ96" s="104"/>
      <c r="TVA96" s="104"/>
      <c r="TVB96" s="104"/>
      <c r="TVC96" s="104"/>
      <c r="TVD96" s="104"/>
      <c r="TVE96" s="104"/>
      <c r="TVF96" s="104"/>
      <c r="TVG96" s="104"/>
      <c r="TVH96" s="104"/>
      <c r="TVI96" s="104"/>
      <c r="TVJ96" s="104"/>
      <c r="TVK96" s="104"/>
      <c r="TVL96" s="104"/>
      <c r="TVM96" s="104"/>
      <c r="TVN96" s="104"/>
      <c r="TVO96" s="104"/>
      <c r="TVP96" s="104"/>
      <c r="TVQ96" s="104"/>
      <c r="TVR96" s="104"/>
      <c r="TVS96" s="104"/>
      <c r="TVT96" s="104"/>
      <c r="TVU96" s="104"/>
      <c r="TVV96" s="104"/>
      <c r="TVW96" s="104"/>
      <c r="TVX96" s="104"/>
      <c r="TVY96" s="104"/>
      <c r="TVZ96" s="104"/>
      <c r="TWA96" s="104"/>
      <c r="TWB96" s="104"/>
      <c r="TWC96" s="104"/>
      <c r="TWD96" s="104"/>
      <c r="TWE96" s="104"/>
      <c r="TWF96" s="104"/>
      <c r="TWG96" s="104"/>
      <c r="TWH96" s="104"/>
      <c r="TWI96" s="104"/>
      <c r="TWJ96" s="104"/>
      <c r="TWK96" s="104"/>
      <c r="TWL96" s="104"/>
      <c r="TWM96" s="104"/>
      <c r="TWN96" s="104"/>
      <c r="TWO96" s="104"/>
      <c r="TWP96" s="104"/>
      <c r="TWQ96" s="104"/>
      <c r="TWR96" s="104"/>
      <c r="TWS96" s="104"/>
      <c r="TWT96" s="104"/>
      <c r="TWU96" s="104"/>
      <c r="TWV96" s="104"/>
      <c r="TWW96" s="104"/>
      <c r="TWX96" s="104"/>
      <c r="TWY96" s="104"/>
      <c r="TWZ96" s="104"/>
      <c r="TXA96" s="104"/>
      <c r="TXB96" s="104"/>
      <c r="TXC96" s="104"/>
      <c r="TXD96" s="104"/>
      <c r="TXE96" s="104"/>
      <c r="TXF96" s="104"/>
      <c r="TXG96" s="104"/>
      <c r="TXH96" s="104"/>
      <c r="TXI96" s="104"/>
      <c r="TXJ96" s="104"/>
      <c r="TXK96" s="104"/>
      <c r="TXL96" s="104"/>
      <c r="TXM96" s="104"/>
      <c r="TXN96" s="104"/>
      <c r="TXO96" s="104"/>
      <c r="TXP96" s="104"/>
      <c r="TXQ96" s="104"/>
      <c r="TXR96" s="104"/>
      <c r="TXS96" s="104"/>
      <c r="TXT96" s="104"/>
      <c r="TXU96" s="104"/>
      <c r="TXV96" s="104"/>
      <c r="TXW96" s="104"/>
      <c r="TXX96" s="104"/>
      <c r="TXY96" s="104"/>
      <c r="TXZ96" s="104"/>
      <c r="TYA96" s="104"/>
      <c r="TYB96" s="104"/>
      <c r="TYC96" s="104"/>
      <c r="TYD96" s="104"/>
      <c r="TYE96" s="104"/>
      <c r="TYF96" s="104"/>
      <c r="TYG96" s="104"/>
      <c r="TYH96" s="104"/>
      <c r="TYI96" s="104"/>
      <c r="TYJ96" s="104"/>
      <c r="TYK96" s="104"/>
      <c r="TYL96" s="104"/>
      <c r="TYM96" s="104"/>
      <c r="TYN96" s="104"/>
      <c r="TYO96" s="104"/>
      <c r="TYP96" s="104"/>
      <c r="TYQ96" s="104"/>
      <c r="TYR96" s="104"/>
      <c r="TYS96" s="104"/>
      <c r="TYT96" s="104"/>
      <c r="TYU96" s="104"/>
      <c r="TYV96" s="104"/>
      <c r="TYW96" s="104"/>
      <c r="TYX96" s="104"/>
      <c r="TYY96" s="104"/>
      <c r="TYZ96" s="104"/>
      <c r="TZA96" s="104"/>
      <c r="TZB96" s="104"/>
      <c r="TZC96" s="104"/>
      <c r="TZD96" s="104"/>
      <c r="TZE96" s="104"/>
      <c r="TZF96" s="104"/>
      <c r="TZG96" s="104"/>
      <c r="TZH96" s="104"/>
      <c r="TZI96" s="104"/>
      <c r="TZJ96" s="104"/>
      <c r="TZK96" s="104"/>
      <c r="TZL96" s="104"/>
      <c r="TZM96" s="104"/>
      <c r="TZN96" s="104"/>
      <c r="TZO96" s="104"/>
      <c r="TZP96" s="104"/>
      <c r="TZQ96" s="104"/>
      <c r="TZR96" s="104"/>
      <c r="TZS96" s="104"/>
      <c r="TZT96" s="104"/>
      <c r="TZU96" s="104"/>
      <c r="TZV96" s="104"/>
      <c r="TZW96" s="104"/>
      <c r="TZX96" s="104"/>
      <c r="TZY96" s="104"/>
      <c r="TZZ96" s="104"/>
      <c r="UAA96" s="104"/>
      <c r="UAB96" s="104"/>
      <c r="UAC96" s="104"/>
      <c r="UAD96" s="104"/>
      <c r="UAE96" s="104"/>
      <c r="UAF96" s="104"/>
      <c r="UAG96" s="104"/>
      <c r="UAH96" s="104"/>
      <c r="UAI96" s="104"/>
      <c r="UAJ96" s="104"/>
      <c r="UAK96" s="104"/>
      <c r="UAL96" s="104"/>
      <c r="UAM96" s="104"/>
      <c r="UAN96" s="104"/>
      <c r="UAO96" s="104"/>
      <c r="UAP96" s="104"/>
      <c r="UAQ96" s="104"/>
      <c r="UAR96" s="104"/>
      <c r="UAS96" s="104"/>
      <c r="UAT96" s="104"/>
      <c r="UAU96" s="104"/>
      <c r="UAV96" s="104"/>
      <c r="UAW96" s="104"/>
      <c r="UAX96" s="104"/>
      <c r="UAY96" s="104"/>
      <c r="UAZ96" s="104"/>
      <c r="UBA96" s="104"/>
      <c r="UBB96" s="104"/>
      <c r="UBC96" s="104"/>
      <c r="UBD96" s="104"/>
      <c r="UBE96" s="104"/>
      <c r="UBF96" s="104"/>
      <c r="UBG96" s="104"/>
      <c r="UBH96" s="104"/>
      <c r="UBI96" s="104"/>
      <c r="UBJ96" s="104"/>
      <c r="UBK96" s="104"/>
      <c r="UBL96" s="104"/>
      <c r="UBM96" s="104"/>
      <c r="UBN96" s="104"/>
      <c r="UBO96" s="104"/>
      <c r="UBP96" s="104"/>
      <c r="UBQ96" s="104"/>
      <c r="UBR96" s="104"/>
      <c r="UBS96" s="104"/>
      <c r="UBT96" s="104"/>
      <c r="UBU96" s="104"/>
      <c r="UBV96" s="104"/>
      <c r="UBW96" s="104"/>
      <c r="UBX96" s="104"/>
      <c r="UBY96" s="104"/>
      <c r="UBZ96" s="104"/>
      <c r="UCA96" s="104"/>
      <c r="UCB96" s="104"/>
      <c r="UCC96" s="104"/>
      <c r="UCD96" s="104"/>
      <c r="UCE96" s="104"/>
      <c r="UCF96" s="104"/>
      <c r="UCG96" s="104"/>
      <c r="UCH96" s="104"/>
      <c r="UCI96" s="104"/>
      <c r="UCJ96" s="104"/>
      <c r="UCK96" s="104"/>
      <c r="UCL96" s="104"/>
      <c r="UCM96" s="104"/>
      <c r="UCN96" s="104"/>
      <c r="UCO96" s="104"/>
      <c r="UCP96" s="104"/>
      <c r="UCQ96" s="104"/>
      <c r="UCR96" s="104"/>
      <c r="UCS96" s="104"/>
      <c r="UCT96" s="104"/>
      <c r="UCU96" s="104"/>
      <c r="UCV96" s="104"/>
      <c r="UCW96" s="104"/>
      <c r="UCX96" s="104"/>
      <c r="UCY96" s="104"/>
      <c r="UCZ96" s="104"/>
      <c r="UDA96" s="104"/>
      <c r="UDB96" s="104"/>
      <c r="UDC96" s="104"/>
      <c r="UDD96" s="104"/>
      <c r="UDE96" s="104"/>
      <c r="UDF96" s="104"/>
      <c r="UDG96" s="104"/>
      <c r="UDH96" s="104"/>
      <c r="UDI96" s="104"/>
      <c r="UDJ96" s="104"/>
      <c r="UDK96" s="104"/>
      <c r="UDL96" s="104"/>
      <c r="UDM96" s="104"/>
      <c r="UDN96" s="104"/>
      <c r="UDO96" s="104"/>
      <c r="UDP96" s="104"/>
      <c r="UDQ96" s="104"/>
      <c r="UDR96" s="104"/>
      <c r="UDS96" s="104"/>
      <c r="UDT96" s="104"/>
      <c r="UDU96" s="104"/>
      <c r="UDV96" s="104"/>
      <c r="UDW96" s="104"/>
      <c r="UDX96" s="104"/>
      <c r="UDY96" s="104"/>
      <c r="UDZ96" s="104"/>
      <c r="UEA96" s="104"/>
      <c r="UEB96" s="104"/>
      <c r="UEC96" s="104"/>
      <c r="UED96" s="104"/>
      <c r="UEE96" s="104"/>
      <c r="UEF96" s="104"/>
      <c r="UEG96" s="104"/>
      <c r="UEH96" s="104"/>
      <c r="UEI96" s="104"/>
      <c r="UEJ96" s="104"/>
      <c r="UEK96" s="104"/>
      <c r="UEL96" s="104"/>
      <c r="UEM96" s="104"/>
      <c r="UEN96" s="104"/>
      <c r="UEO96" s="104"/>
      <c r="UEP96" s="104"/>
      <c r="UEQ96" s="104"/>
      <c r="UER96" s="104"/>
      <c r="UES96" s="104"/>
      <c r="UET96" s="104"/>
      <c r="UEU96" s="104"/>
      <c r="UEV96" s="104"/>
      <c r="UEW96" s="104"/>
      <c r="UEX96" s="104"/>
      <c r="UEY96" s="104"/>
      <c r="UEZ96" s="104"/>
      <c r="UFA96" s="104"/>
      <c r="UFB96" s="104"/>
      <c r="UFC96" s="104"/>
      <c r="UFD96" s="104"/>
      <c r="UFE96" s="104"/>
      <c r="UFF96" s="104"/>
      <c r="UFG96" s="104"/>
      <c r="UFH96" s="104"/>
      <c r="UFI96" s="104"/>
      <c r="UFJ96" s="104"/>
      <c r="UFK96" s="104"/>
      <c r="UFL96" s="104"/>
      <c r="UFM96" s="104"/>
      <c r="UFN96" s="104"/>
      <c r="UFO96" s="104"/>
      <c r="UFP96" s="104"/>
      <c r="UFQ96" s="104"/>
      <c r="UFR96" s="104"/>
      <c r="UFS96" s="104"/>
      <c r="UFT96" s="104"/>
      <c r="UFU96" s="104"/>
      <c r="UFV96" s="104"/>
      <c r="UFW96" s="104"/>
      <c r="UFX96" s="104"/>
      <c r="UFY96" s="104"/>
      <c r="UFZ96" s="104"/>
      <c r="UGA96" s="104"/>
      <c r="UGB96" s="104"/>
      <c r="UGC96" s="104"/>
      <c r="UGD96" s="104"/>
      <c r="UGE96" s="104"/>
      <c r="UGF96" s="104"/>
      <c r="UGG96" s="104"/>
      <c r="UGH96" s="104"/>
      <c r="UGI96" s="104"/>
      <c r="UGJ96" s="104"/>
      <c r="UGK96" s="104"/>
      <c r="UGL96" s="104"/>
      <c r="UGM96" s="104"/>
      <c r="UGN96" s="104"/>
      <c r="UGO96" s="104"/>
      <c r="UGP96" s="104"/>
      <c r="UGQ96" s="104"/>
      <c r="UGR96" s="104"/>
      <c r="UGS96" s="104"/>
      <c r="UGT96" s="104"/>
      <c r="UGU96" s="104"/>
      <c r="UGV96" s="104"/>
      <c r="UGW96" s="104"/>
      <c r="UGX96" s="104"/>
      <c r="UGY96" s="104"/>
      <c r="UGZ96" s="104"/>
      <c r="UHA96" s="104"/>
      <c r="UHB96" s="104"/>
      <c r="UHC96" s="104"/>
      <c r="UHD96" s="104"/>
      <c r="UHE96" s="104"/>
      <c r="UHF96" s="104"/>
      <c r="UHG96" s="104"/>
      <c r="UHH96" s="104"/>
      <c r="UHI96" s="104"/>
      <c r="UHJ96" s="104"/>
      <c r="UHK96" s="104"/>
      <c r="UHL96" s="104"/>
      <c r="UHM96" s="104"/>
      <c r="UHN96" s="104"/>
      <c r="UHO96" s="104"/>
      <c r="UHP96" s="104"/>
      <c r="UHQ96" s="104"/>
      <c r="UHR96" s="104"/>
      <c r="UHS96" s="104"/>
      <c r="UHT96" s="104"/>
      <c r="UHU96" s="104"/>
      <c r="UHV96" s="104"/>
      <c r="UHW96" s="104"/>
      <c r="UHX96" s="104"/>
      <c r="UHY96" s="104"/>
      <c r="UHZ96" s="104"/>
      <c r="UIA96" s="104"/>
      <c r="UIB96" s="104"/>
      <c r="UIC96" s="104"/>
      <c r="UID96" s="104"/>
      <c r="UIE96" s="104"/>
      <c r="UIF96" s="104"/>
      <c r="UIG96" s="104"/>
      <c r="UIH96" s="104"/>
      <c r="UII96" s="104"/>
      <c r="UIJ96" s="104"/>
      <c r="UIK96" s="104"/>
      <c r="UIL96" s="104"/>
      <c r="UIM96" s="104"/>
      <c r="UIN96" s="104"/>
      <c r="UIO96" s="104"/>
      <c r="UIP96" s="104"/>
      <c r="UIQ96" s="104"/>
      <c r="UIR96" s="104"/>
      <c r="UIS96" s="104"/>
      <c r="UIT96" s="104"/>
      <c r="UIU96" s="104"/>
      <c r="UIV96" s="104"/>
      <c r="UIW96" s="104"/>
      <c r="UIX96" s="104"/>
      <c r="UIY96" s="104"/>
      <c r="UIZ96" s="104"/>
      <c r="UJA96" s="104"/>
      <c r="UJB96" s="104"/>
      <c r="UJC96" s="104"/>
      <c r="UJD96" s="104"/>
      <c r="UJE96" s="104"/>
      <c r="UJF96" s="104"/>
      <c r="UJG96" s="104"/>
      <c r="UJH96" s="104"/>
      <c r="UJI96" s="104"/>
      <c r="UJJ96" s="104"/>
      <c r="UJK96" s="104"/>
      <c r="UJL96" s="104"/>
      <c r="UJM96" s="104"/>
      <c r="UJN96" s="104"/>
      <c r="UJO96" s="104"/>
      <c r="UJP96" s="104"/>
      <c r="UJQ96" s="104"/>
      <c r="UJR96" s="104"/>
      <c r="UJS96" s="104"/>
      <c r="UJT96" s="104"/>
      <c r="UJU96" s="104"/>
      <c r="UJV96" s="104"/>
      <c r="UJW96" s="104"/>
      <c r="UJX96" s="104"/>
      <c r="UJY96" s="104"/>
      <c r="UJZ96" s="104"/>
      <c r="UKA96" s="104"/>
      <c r="UKB96" s="104"/>
      <c r="UKC96" s="104"/>
      <c r="UKD96" s="104"/>
      <c r="UKE96" s="104"/>
      <c r="UKF96" s="104"/>
      <c r="UKG96" s="104"/>
      <c r="UKH96" s="104"/>
      <c r="UKI96" s="104"/>
      <c r="UKJ96" s="104"/>
      <c r="UKK96" s="104"/>
      <c r="UKL96" s="104"/>
      <c r="UKM96" s="104"/>
      <c r="UKN96" s="104"/>
      <c r="UKO96" s="104"/>
      <c r="UKP96" s="104"/>
      <c r="UKQ96" s="104"/>
      <c r="UKR96" s="104"/>
      <c r="UKS96" s="104"/>
      <c r="UKT96" s="104"/>
      <c r="UKU96" s="104"/>
      <c r="UKV96" s="104"/>
      <c r="UKW96" s="104"/>
      <c r="UKX96" s="104"/>
      <c r="UKY96" s="104"/>
      <c r="UKZ96" s="104"/>
      <c r="ULA96" s="104"/>
      <c r="ULB96" s="104"/>
      <c r="ULC96" s="104"/>
      <c r="ULD96" s="104"/>
      <c r="ULE96" s="104"/>
      <c r="ULF96" s="104"/>
      <c r="ULG96" s="104"/>
      <c r="ULH96" s="104"/>
      <c r="ULI96" s="104"/>
      <c r="ULJ96" s="104"/>
      <c r="ULK96" s="104"/>
      <c r="ULL96" s="104"/>
      <c r="ULM96" s="104"/>
      <c r="ULN96" s="104"/>
      <c r="ULO96" s="104"/>
      <c r="ULP96" s="104"/>
      <c r="ULQ96" s="104"/>
      <c r="ULR96" s="104"/>
      <c r="ULS96" s="104"/>
      <c r="ULT96" s="104"/>
      <c r="ULU96" s="104"/>
      <c r="ULV96" s="104"/>
      <c r="ULW96" s="104"/>
      <c r="ULX96" s="104"/>
      <c r="ULY96" s="104"/>
      <c r="ULZ96" s="104"/>
      <c r="UMA96" s="104"/>
      <c r="UMB96" s="104"/>
      <c r="UMC96" s="104"/>
      <c r="UMD96" s="104"/>
      <c r="UME96" s="104"/>
      <c r="UMF96" s="104"/>
      <c r="UMG96" s="104"/>
      <c r="UMH96" s="104"/>
      <c r="UMI96" s="104"/>
      <c r="UMJ96" s="104"/>
      <c r="UMK96" s="104"/>
      <c r="UML96" s="104"/>
      <c r="UMM96" s="104"/>
      <c r="UMN96" s="104"/>
      <c r="UMO96" s="104"/>
      <c r="UMP96" s="104"/>
      <c r="UMQ96" s="104"/>
      <c r="UMR96" s="104"/>
      <c r="UMS96" s="104"/>
      <c r="UMT96" s="104"/>
      <c r="UMU96" s="104"/>
      <c r="UMV96" s="104"/>
      <c r="UMW96" s="104"/>
      <c r="UMX96" s="104"/>
      <c r="UMY96" s="104"/>
      <c r="UMZ96" s="104"/>
      <c r="UNA96" s="104"/>
      <c r="UNB96" s="104"/>
      <c r="UNC96" s="104"/>
      <c r="UND96" s="104"/>
      <c r="UNE96" s="104"/>
      <c r="UNF96" s="104"/>
      <c r="UNG96" s="104"/>
      <c r="UNH96" s="104"/>
      <c r="UNI96" s="104"/>
      <c r="UNJ96" s="104"/>
      <c r="UNK96" s="104"/>
      <c r="UNL96" s="104"/>
      <c r="UNM96" s="104"/>
      <c r="UNN96" s="104"/>
      <c r="UNO96" s="104"/>
      <c r="UNP96" s="104"/>
      <c r="UNQ96" s="104"/>
      <c r="UNR96" s="104"/>
      <c r="UNS96" s="104"/>
      <c r="UNT96" s="104"/>
      <c r="UNU96" s="104"/>
      <c r="UNV96" s="104"/>
      <c r="UNW96" s="104"/>
      <c r="UNX96" s="104"/>
      <c r="UNY96" s="104"/>
      <c r="UNZ96" s="104"/>
      <c r="UOA96" s="104"/>
      <c r="UOB96" s="104"/>
      <c r="UOC96" s="104"/>
      <c r="UOD96" s="104"/>
      <c r="UOE96" s="104"/>
      <c r="UOF96" s="104"/>
      <c r="UOG96" s="104"/>
      <c r="UOH96" s="104"/>
      <c r="UOI96" s="104"/>
      <c r="UOJ96" s="104"/>
      <c r="UOK96" s="104"/>
      <c r="UOL96" s="104"/>
      <c r="UOM96" s="104"/>
      <c r="UON96" s="104"/>
      <c r="UOO96" s="104"/>
      <c r="UOP96" s="104"/>
      <c r="UOQ96" s="104"/>
      <c r="UOR96" s="104"/>
      <c r="UOS96" s="104"/>
      <c r="UOT96" s="104"/>
      <c r="UOU96" s="104"/>
      <c r="UOV96" s="104"/>
      <c r="UOW96" s="104"/>
      <c r="UOX96" s="104"/>
      <c r="UOY96" s="104"/>
      <c r="UOZ96" s="104"/>
      <c r="UPA96" s="104"/>
      <c r="UPB96" s="104"/>
      <c r="UPC96" s="104"/>
      <c r="UPD96" s="104"/>
      <c r="UPE96" s="104"/>
      <c r="UPF96" s="104"/>
      <c r="UPG96" s="104"/>
      <c r="UPH96" s="104"/>
      <c r="UPI96" s="104"/>
      <c r="UPJ96" s="104"/>
      <c r="UPK96" s="104"/>
      <c r="UPL96" s="104"/>
      <c r="UPM96" s="104"/>
      <c r="UPN96" s="104"/>
      <c r="UPO96" s="104"/>
      <c r="UPP96" s="104"/>
      <c r="UPQ96" s="104"/>
      <c r="UPR96" s="104"/>
      <c r="UPS96" s="104"/>
      <c r="UPT96" s="104"/>
      <c r="UPU96" s="104"/>
      <c r="UPV96" s="104"/>
      <c r="UPW96" s="104"/>
      <c r="UPX96" s="104"/>
      <c r="UPY96" s="104"/>
      <c r="UPZ96" s="104"/>
      <c r="UQA96" s="104"/>
      <c r="UQB96" s="104"/>
      <c r="UQC96" s="104"/>
      <c r="UQD96" s="104"/>
      <c r="UQE96" s="104"/>
      <c r="UQF96" s="104"/>
      <c r="UQG96" s="104"/>
      <c r="UQH96" s="104"/>
      <c r="UQI96" s="104"/>
      <c r="UQJ96" s="104"/>
      <c r="UQK96" s="104"/>
      <c r="UQL96" s="104"/>
      <c r="UQM96" s="104"/>
      <c r="UQN96" s="104"/>
      <c r="UQO96" s="104"/>
      <c r="UQP96" s="104"/>
      <c r="UQQ96" s="104"/>
      <c r="UQR96" s="104"/>
      <c r="UQS96" s="104"/>
      <c r="UQT96" s="104"/>
      <c r="UQU96" s="104"/>
      <c r="UQV96" s="104"/>
      <c r="UQW96" s="104"/>
      <c r="UQX96" s="104"/>
      <c r="UQY96" s="104"/>
      <c r="UQZ96" s="104"/>
      <c r="URA96" s="104"/>
      <c r="URB96" s="104"/>
      <c r="URC96" s="104"/>
      <c r="URD96" s="104"/>
      <c r="URE96" s="104"/>
      <c r="URF96" s="104"/>
      <c r="URG96" s="104"/>
      <c r="URH96" s="104"/>
      <c r="URI96" s="104"/>
      <c r="URJ96" s="104"/>
      <c r="URK96" s="104"/>
      <c r="URL96" s="104"/>
      <c r="URM96" s="104"/>
      <c r="URN96" s="104"/>
      <c r="URO96" s="104"/>
      <c r="URP96" s="104"/>
      <c r="URQ96" s="104"/>
      <c r="URR96" s="104"/>
      <c r="URS96" s="104"/>
      <c r="URT96" s="104"/>
      <c r="URU96" s="104"/>
      <c r="URV96" s="104"/>
      <c r="URW96" s="104"/>
      <c r="URX96" s="104"/>
      <c r="URY96" s="104"/>
      <c r="URZ96" s="104"/>
      <c r="USA96" s="104"/>
      <c r="USB96" s="104"/>
      <c r="USC96" s="104"/>
      <c r="USD96" s="104"/>
      <c r="USE96" s="104"/>
      <c r="USF96" s="104"/>
      <c r="USG96" s="104"/>
      <c r="USH96" s="104"/>
      <c r="USI96" s="104"/>
      <c r="USJ96" s="104"/>
      <c r="USK96" s="104"/>
      <c r="USL96" s="104"/>
      <c r="USM96" s="104"/>
      <c r="USN96" s="104"/>
      <c r="USO96" s="104"/>
      <c r="USP96" s="104"/>
      <c r="USQ96" s="104"/>
      <c r="USR96" s="104"/>
      <c r="USS96" s="104"/>
      <c r="UST96" s="104"/>
      <c r="USU96" s="104"/>
      <c r="USV96" s="104"/>
      <c r="USW96" s="104"/>
      <c r="USX96" s="104"/>
      <c r="USY96" s="104"/>
      <c r="USZ96" s="104"/>
      <c r="UTA96" s="104"/>
      <c r="UTB96" s="104"/>
      <c r="UTC96" s="104"/>
      <c r="UTD96" s="104"/>
      <c r="UTE96" s="104"/>
      <c r="UTF96" s="104"/>
      <c r="UTG96" s="104"/>
      <c r="UTH96" s="104"/>
      <c r="UTI96" s="104"/>
      <c r="UTJ96" s="104"/>
      <c r="UTK96" s="104"/>
      <c r="UTL96" s="104"/>
      <c r="UTM96" s="104"/>
      <c r="UTN96" s="104"/>
      <c r="UTO96" s="104"/>
      <c r="UTP96" s="104"/>
      <c r="UTQ96" s="104"/>
      <c r="UTR96" s="104"/>
      <c r="UTS96" s="104"/>
      <c r="UTT96" s="104"/>
      <c r="UTU96" s="104"/>
      <c r="UTV96" s="104"/>
      <c r="UTW96" s="104"/>
      <c r="UTX96" s="104"/>
      <c r="UTY96" s="104"/>
      <c r="UTZ96" s="104"/>
      <c r="UUA96" s="104"/>
      <c r="UUB96" s="104"/>
      <c r="UUC96" s="104"/>
      <c r="UUD96" s="104"/>
      <c r="UUE96" s="104"/>
      <c r="UUF96" s="104"/>
      <c r="UUG96" s="104"/>
      <c r="UUH96" s="104"/>
      <c r="UUI96" s="104"/>
      <c r="UUJ96" s="104"/>
      <c r="UUK96" s="104"/>
      <c r="UUL96" s="104"/>
      <c r="UUM96" s="104"/>
      <c r="UUN96" s="104"/>
      <c r="UUO96" s="104"/>
      <c r="UUP96" s="104"/>
      <c r="UUQ96" s="104"/>
      <c r="UUR96" s="104"/>
      <c r="UUS96" s="104"/>
      <c r="UUT96" s="104"/>
      <c r="UUU96" s="104"/>
      <c r="UUV96" s="104"/>
      <c r="UUW96" s="104"/>
      <c r="UUX96" s="104"/>
      <c r="UUY96" s="104"/>
      <c r="UUZ96" s="104"/>
      <c r="UVA96" s="104"/>
      <c r="UVB96" s="104"/>
      <c r="UVC96" s="104"/>
      <c r="UVD96" s="104"/>
      <c r="UVE96" s="104"/>
      <c r="UVF96" s="104"/>
      <c r="UVG96" s="104"/>
      <c r="UVH96" s="104"/>
      <c r="UVI96" s="104"/>
      <c r="UVJ96" s="104"/>
      <c r="UVK96" s="104"/>
      <c r="UVL96" s="104"/>
      <c r="UVM96" s="104"/>
      <c r="UVN96" s="104"/>
      <c r="UVO96" s="104"/>
      <c r="UVP96" s="104"/>
      <c r="UVQ96" s="104"/>
      <c r="UVR96" s="104"/>
      <c r="UVS96" s="104"/>
      <c r="UVT96" s="104"/>
      <c r="UVU96" s="104"/>
      <c r="UVV96" s="104"/>
      <c r="UVW96" s="104"/>
      <c r="UVX96" s="104"/>
      <c r="UVY96" s="104"/>
      <c r="UVZ96" s="104"/>
      <c r="UWA96" s="104"/>
      <c r="UWB96" s="104"/>
      <c r="UWC96" s="104"/>
      <c r="UWD96" s="104"/>
      <c r="UWE96" s="104"/>
      <c r="UWF96" s="104"/>
      <c r="UWG96" s="104"/>
      <c r="UWH96" s="104"/>
      <c r="UWI96" s="104"/>
      <c r="UWJ96" s="104"/>
      <c r="UWK96" s="104"/>
      <c r="UWL96" s="104"/>
      <c r="UWM96" s="104"/>
      <c r="UWN96" s="104"/>
      <c r="UWO96" s="104"/>
      <c r="UWP96" s="104"/>
      <c r="UWQ96" s="104"/>
      <c r="UWR96" s="104"/>
      <c r="UWS96" s="104"/>
      <c r="UWT96" s="104"/>
      <c r="UWU96" s="104"/>
      <c r="UWV96" s="104"/>
      <c r="UWW96" s="104"/>
      <c r="UWX96" s="104"/>
      <c r="UWY96" s="104"/>
      <c r="UWZ96" s="104"/>
      <c r="UXA96" s="104"/>
      <c r="UXB96" s="104"/>
      <c r="UXC96" s="104"/>
      <c r="UXD96" s="104"/>
      <c r="UXE96" s="104"/>
      <c r="UXF96" s="104"/>
      <c r="UXG96" s="104"/>
      <c r="UXH96" s="104"/>
      <c r="UXI96" s="104"/>
      <c r="UXJ96" s="104"/>
      <c r="UXK96" s="104"/>
      <c r="UXL96" s="104"/>
      <c r="UXM96" s="104"/>
      <c r="UXN96" s="104"/>
      <c r="UXO96" s="104"/>
      <c r="UXP96" s="104"/>
      <c r="UXQ96" s="104"/>
      <c r="UXR96" s="104"/>
      <c r="UXS96" s="104"/>
      <c r="UXT96" s="104"/>
      <c r="UXU96" s="104"/>
      <c r="UXV96" s="104"/>
      <c r="UXW96" s="104"/>
      <c r="UXX96" s="104"/>
      <c r="UXY96" s="104"/>
      <c r="UXZ96" s="104"/>
      <c r="UYA96" s="104"/>
      <c r="UYB96" s="104"/>
      <c r="UYC96" s="104"/>
      <c r="UYD96" s="104"/>
      <c r="UYE96" s="104"/>
      <c r="UYF96" s="104"/>
      <c r="UYG96" s="104"/>
      <c r="UYH96" s="104"/>
      <c r="UYI96" s="104"/>
      <c r="UYJ96" s="104"/>
      <c r="UYK96" s="104"/>
      <c r="UYL96" s="104"/>
      <c r="UYM96" s="104"/>
      <c r="UYN96" s="104"/>
      <c r="UYO96" s="104"/>
      <c r="UYP96" s="104"/>
      <c r="UYQ96" s="104"/>
      <c r="UYR96" s="104"/>
      <c r="UYS96" s="104"/>
      <c r="UYT96" s="104"/>
      <c r="UYU96" s="104"/>
      <c r="UYV96" s="104"/>
      <c r="UYW96" s="104"/>
      <c r="UYX96" s="104"/>
      <c r="UYY96" s="104"/>
      <c r="UYZ96" s="104"/>
      <c r="UZA96" s="104"/>
      <c r="UZB96" s="104"/>
      <c r="UZC96" s="104"/>
      <c r="UZD96" s="104"/>
      <c r="UZE96" s="104"/>
      <c r="UZF96" s="104"/>
      <c r="UZG96" s="104"/>
      <c r="UZH96" s="104"/>
      <c r="UZI96" s="104"/>
      <c r="UZJ96" s="104"/>
      <c r="UZK96" s="104"/>
      <c r="UZL96" s="104"/>
      <c r="UZM96" s="104"/>
      <c r="UZN96" s="104"/>
      <c r="UZO96" s="104"/>
      <c r="UZP96" s="104"/>
      <c r="UZQ96" s="104"/>
      <c r="UZR96" s="104"/>
      <c r="UZS96" s="104"/>
      <c r="UZT96" s="104"/>
      <c r="UZU96" s="104"/>
      <c r="UZV96" s="104"/>
      <c r="UZW96" s="104"/>
      <c r="UZX96" s="104"/>
      <c r="UZY96" s="104"/>
      <c r="UZZ96" s="104"/>
      <c r="VAA96" s="104"/>
      <c r="VAB96" s="104"/>
      <c r="VAC96" s="104"/>
      <c r="VAD96" s="104"/>
      <c r="VAE96" s="104"/>
      <c r="VAF96" s="104"/>
      <c r="VAG96" s="104"/>
      <c r="VAH96" s="104"/>
      <c r="VAI96" s="104"/>
      <c r="VAJ96" s="104"/>
      <c r="VAK96" s="104"/>
      <c r="VAL96" s="104"/>
      <c r="VAM96" s="104"/>
      <c r="VAN96" s="104"/>
      <c r="VAO96" s="104"/>
      <c r="VAP96" s="104"/>
      <c r="VAQ96" s="104"/>
      <c r="VAR96" s="104"/>
      <c r="VAS96" s="104"/>
      <c r="VAT96" s="104"/>
      <c r="VAU96" s="104"/>
      <c r="VAV96" s="104"/>
      <c r="VAW96" s="104"/>
      <c r="VAX96" s="104"/>
      <c r="VAY96" s="104"/>
      <c r="VAZ96" s="104"/>
      <c r="VBA96" s="104"/>
      <c r="VBB96" s="104"/>
      <c r="VBC96" s="104"/>
      <c r="VBD96" s="104"/>
      <c r="VBE96" s="104"/>
      <c r="VBF96" s="104"/>
      <c r="VBG96" s="104"/>
      <c r="VBH96" s="104"/>
      <c r="VBI96" s="104"/>
      <c r="VBJ96" s="104"/>
      <c r="VBK96" s="104"/>
      <c r="VBL96" s="104"/>
      <c r="VBM96" s="104"/>
      <c r="VBN96" s="104"/>
      <c r="VBO96" s="104"/>
      <c r="VBP96" s="104"/>
      <c r="VBQ96" s="104"/>
      <c r="VBR96" s="104"/>
      <c r="VBS96" s="104"/>
      <c r="VBT96" s="104"/>
      <c r="VBU96" s="104"/>
      <c r="VBV96" s="104"/>
      <c r="VBW96" s="104"/>
      <c r="VBX96" s="104"/>
      <c r="VBY96" s="104"/>
      <c r="VBZ96" s="104"/>
      <c r="VCA96" s="104"/>
      <c r="VCB96" s="104"/>
      <c r="VCC96" s="104"/>
      <c r="VCD96" s="104"/>
      <c r="VCE96" s="104"/>
      <c r="VCF96" s="104"/>
      <c r="VCG96" s="104"/>
      <c r="VCH96" s="104"/>
      <c r="VCI96" s="104"/>
      <c r="VCJ96" s="104"/>
      <c r="VCK96" s="104"/>
      <c r="VCL96" s="104"/>
      <c r="VCM96" s="104"/>
      <c r="VCN96" s="104"/>
      <c r="VCO96" s="104"/>
      <c r="VCP96" s="104"/>
      <c r="VCQ96" s="104"/>
      <c r="VCR96" s="104"/>
      <c r="VCS96" s="104"/>
      <c r="VCT96" s="104"/>
      <c r="VCU96" s="104"/>
      <c r="VCV96" s="104"/>
      <c r="VCW96" s="104"/>
      <c r="VCX96" s="104"/>
      <c r="VCY96" s="104"/>
      <c r="VCZ96" s="104"/>
      <c r="VDA96" s="104"/>
      <c r="VDB96" s="104"/>
      <c r="VDC96" s="104"/>
      <c r="VDD96" s="104"/>
      <c r="VDE96" s="104"/>
      <c r="VDF96" s="104"/>
      <c r="VDG96" s="104"/>
      <c r="VDH96" s="104"/>
      <c r="VDI96" s="104"/>
      <c r="VDJ96" s="104"/>
      <c r="VDK96" s="104"/>
      <c r="VDL96" s="104"/>
      <c r="VDM96" s="104"/>
      <c r="VDN96" s="104"/>
      <c r="VDO96" s="104"/>
      <c r="VDP96" s="104"/>
      <c r="VDQ96" s="104"/>
      <c r="VDR96" s="104"/>
      <c r="VDS96" s="104"/>
      <c r="VDT96" s="104"/>
      <c r="VDU96" s="104"/>
      <c r="VDV96" s="104"/>
      <c r="VDW96" s="104"/>
      <c r="VDX96" s="104"/>
      <c r="VDY96" s="104"/>
      <c r="VDZ96" s="104"/>
      <c r="VEA96" s="104"/>
      <c r="VEB96" s="104"/>
      <c r="VEC96" s="104"/>
      <c r="VED96" s="104"/>
      <c r="VEE96" s="104"/>
      <c r="VEF96" s="104"/>
      <c r="VEG96" s="104"/>
      <c r="VEH96" s="104"/>
      <c r="VEI96" s="104"/>
      <c r="VEJ96" s="104"/>
      <c r="VEK96" s="104"/>
      <c r="VEL96" s="104"/>
      <c r="VEM96" s="104"/>
      <c r="VEN96" s="104"/>
      <c r="VEO96" s="104"/>
      <c r="VEP96" s="104"/>
      <c r="VEQ96" s="104"/>
      <c r="VER96" s="104"/>
      <c r="VES96" s="104"/>
      <c r="VET96" s="104"/>
      <c r="VEU96" s="104"/>
      <c r="VEV96" s="104"/>
      <c r="VEW96" s="104"/>
      <c r="VEX96" s="104"/>
      <c r="VEY96" s="104"/>
      <c r="VEZ96" s="104"/>
      <c r="VFA96" s="104"/>
      <c r="VFB96" s="104"/>
      <c r="VFC96" s="104"/>
      <c r="VFD96" s="104"/>
      <c r="VFE96" s="104"/>
      <c r="VFF96" s="104"/>
      <c r="VFG96" s="104"/>
      <c r="VFH96" s="104"/>
      <c r="VFI96" s="104"/>
      <c r="VFJ96" s="104"/>
      <c r="VFK96" s="104"/>
      <c r="VFL96" s="104"/>
      <c r="VFM96" s="104"/>
      <c r="VFN96" s="104"/>
      <c r="VFO96" s="104"/>
      <c r="VFP96" s="104"/>
      <c r="VFQ96" s="104"/>
      <c r="VFR96" s="104"/>
      <c r="VFS96" s="104"/>
      <c r="VFT96" s="104"/>
      <c r="VFU96" s="104"/>
      <c r="VFV96" s="104"/>
      <c r="VFW96" s="104"/>
      <c r="VFX96" s="104"/>
      <c r="VFY96" s="104"/>
      <c r="VFZ96" s="104"/>
      <c r="VGA96" s="104"/>
      <c r="VGB96" s="104"/>
      <c r="VGC96" s="104"/>
      <c r="VGD96" s="104"/>
      <c r="VGE96" s="104"/>
      <c r="VGF96" s="104"/>
      <c r="VGG96" s="104"/>
      <c r="VGH96" s="104"/>
      <c r="VGI96" s="104"/>
      <c r="VGJ96" s="104"/>
      <c r="VGK96" s="104"/>
      <c r="VGL96" s="104"/>
      <c r="VGM96" s="104"/>
      <c r="VGN96" s="104"/>
      <c r="VGO96" s="104"/>
      <c r="VGP96" s="104"/>
      <c r="VGQ96" s="104"/>
      <c r="VGR96" s="104"/>
      <c r="VGS96" s="104"/>
      <c r="VGT96" s="104"/>
      <c r="VGU96" s="104"/>
      <c r="VGV96" s="104"/>
      <c r="VGW96" s="104"/>
      <c r="VGX96" s="104"/>
      <c r="VGY96" s="104"/>
      <c r="VGZ96" s="104"/>
      <c r="VHA96" s="104"/>
      <c r="VHB96" s="104"/>
      <c r="VHC96" s="104"/>
      <c r="VHD96" s="104"/>
      <c r="VHE96" s="104"/>
      <c r="VHF96" s="104"/>
      <c r="VHG96" s="104"/>
      <c r="VHH96" s="104"/>
      <c r="VHI96" s="104"/>
      <c r="VHJ96" s="104"/>
      <c r="VHK96" s="104"/>
      <c r="VHL96" s="104"/>
      <c r="VHM96" s="104"/>
      <c r="VHN96" s="104"/>
      <c r="VHO96" s="104"/>
      <c r="VHP96" s="104"/>
      <c r="VHQ96" s="104"/>
      <c r="VHR96" s="104"/>
      <c r="VHS96" s="104"/>
      <c r="VHT96" s="104"/>
      <c r="VHU96" s="104"/>
      <c r="VHV96" s="104"/>
      <c r="VHW96" s="104"/>
      <c r="VHX96" s="104"/>
      <c r="VHY96" s="104"/>
      <c r="VHZ96" s="104"/>
      <c r="VIA96" s="104"/>
      <c r="VIB96" s="104"/>
      <c r="VIC96" s="104"/>
      <c r="VID96" s="104"/>
      <c r="VIE96" s="104"/>
      <c r="VIF96" s="104"/>
      <c r="VIG96" s="104"/>
      <c r="VIH96" s="104"/>
      <c r="VII96" s="104"/>
      <c r="VIJ96" s="104"/>
      <c r="VIK96" s="104"/>
      <c r="VIL96" s="104"/>
      <c r="VIM96" s="104"/>
      <c r="VIN96" s="104"/>
      <c r="VIO96" s="104"/>
      <c r="VIP96" s="104"/>
      <c r="VIQ96" s="104"/>
      <c r="VIR96" s="104"/>
      <c r="VIS96" s="104"/>
      <c r="VIT96" s="104"/>
      <c r="VIU96" s="104"/>
      <c r="VIV96" s="104"/>
      <c r="VIW96" s="104"/>
      <c r="VIX96" s="104"/>
      <c r="VIY96" s="104"/>
      <c r="VIZ96" s="104"/>
      <c r="VJA96" s="104"/>
      <c r="VJB96" s="104"/>
      <c r="VJC96" s="104"/>
      <c r="VJD96" s="104"/>
      <c r="VJE96" s="104"/>
      <c r="VJF96" s="104"/>
      <c r="VJG96" s="104"/>
      <c r="VJH96" s="104"/>
      <c r="VJI96" s="104"/>
      <c r="VJJ96" s="104"/>
      <c r="VJK96" s="104"/>
      <c r="VJL96" s="104"/>
      <c r="VJM96" s="104"/>
      <c r="VJN96" s="104"/>
      <c r="VJO96" s="104"/>
      <c r="VJP96" s="104"/>
      <c r="VJQ96" s="104"/>
      <c r="VJR96" s="104"/>
      <c r="VJS96" s="104"/>
      <c r="VJT96" s="104"/>
      <c r="VJU96" s="104"/>
      <c r="VJV96" s="104"/>
      <c r="VJW96" s="104"/>
      <c r="VJX96" s="104"/>
      <c r="VJY96" s="104"/>
      <c r="VJZ96" s="104"/>
      <c r="VKA96" s="104"/>
      <c r="VKB96" s="104"/>
      <c r="VKC96" s="104"/>
      <c r="VKD96" s="104"/>
      <c r="VKE96" s="104"/>
      <c r="VKF96" s="104"/>
      <c r="VKG96" s="104"/>
      <c r="VKH96" s="104"/>
      <c r="VKI96" s="104"/>
      <c r="VKJ96" s="104"/>
      <c r="VKK96" s="104"/>
      <c r="VKL96" s="104"/>
      <c r="VKM96" s="104"/>
      <c r="VKN96" s="104"/>
      <c r="VKO96" s="104"/>
      <c r="VKP96" s="104"/>
      <c r="VKQ96" s="104"/>
      <c r="VKR96" s="104"/>
      <c r="VKS96" s="104"/>
      <c r="VKT96" s="104"/>
      <c r="VKU96" s="104"/>
      <c r="VKV96" s="104"/>
      <c r="VKW96" s="104"/>
      <c r="VKX96" s="104"/>
      <c r="VKY96" s="104"/>
      <c r="VKZ96" s="104"/>
      <c r="VLA96" s="104"/>
      <c r="VLB96" s="104"/>
      <c r="VLC96" s="104"/>
      <c r="VLD96" s="104"/>
      <c r="VLE96" s="104"/>
      <c r="VLF96" s="104"/>
      <c r="VLG96" s="104"/>
      <c r="VLH96" s="104"/>
      <c r="VLI96" s="104"/>
      <c r="VLJ96" s="104"/>
      <c r="VLK96" s="104"/>
      <c r="VLL96" s="104"/>
      <c r="VLM96" s="104"/>
      <c r="VLN96" s="104"/>
      <c r="VLO96" s="104"/>
      <c r="VLP96" s="104"/>
      <c r="VLQ96" s="104"/>
      <c r="VLR96" s="104"/>
      <c r="VLS96" s="104"/>
      <c r="VLT96" s="104"/>
      <c r="VLU96" s="104"/>
      <c r="VLV96" s="104"/>
      <c r="VLW96" s="104"/>
      <c r="VLX96" s="104"/>
      <c r="VLY96" s="104"/>
      <c r="VLZ96" s="104"/>
      <c r="VMA96" s="104"/>
      <c r="VMB96" s="104"/>
      <c r="VMC96" s="104"/>
      <c r="VMD96" s="104"/>
      <c r="VME96" s="104"/>
      <c r="VMF96" s="104"/>
      <c r="VMG96" s="104"/>
      <c r="VMH96" s="104"/>
      <c r="VMI96" s="104"/>
      <c r="VMJ96" s="104"/>
      <c r="VMK96" s="104"/>
      <c r="VML96" s="104"/>
      <c r="VMM96" s="104"/>
      <c r="VMN96" s="104"/>
      <c r="VMO96" s="104"/>
      <c r="VMP96" s="104"/>
      <c r="VMQ96" s="104"/>
      <c r="VMR96" s="104"/>
      <c r="VMS96" s="104"/>
      <c r="VMT96" s="104"/>
      <c r="VMU96" s="104"/>
      <c r="VMV96" s="104"/>
      <c r="VMW96" s="104"/>
      <c r="VMX96" s="104"/>
      <c r="VMY96" s="104"/>
      <c r="VMZ96" s="104"/>
      <c r="VNA96" s="104"/>
      <c r="VNB96" s="104"/>
      <c r="VNC96" s="104"/>
      <c r="VND96" s="104"/>
      <c r="VNE96" s="104"/>
      <c r="VNF96" s="104"/>
      <c r="VNG96" s="104"/>
      <c r="VNH96" s="104"/>
      <c r="VNI96" s="104"/>
      <c r="VNJ96" s="104"/>
      <c r="VNK96" s="104"/>
      <c r="VNL96" s="104"/>
      <c r="VNM96" s="104"/>
      <c r="VNN96" s="104"/>
      <c r="VNO96" s="104"/>
      <c r="VNP96" s="104"/>
      <c r="VNQ96" s="104"/>
      <c r="VNR96" s="104"/>
      <c r="VNS96" s="104"/>
      <c r="VNT96" s="104"/>
      <c r="VNU96" s="104"/>
      <c r="VNV96" s="104"/>
      <c r="VNW96" s="104"/>
      <c r="VNX96" s="104"/>
      <c r="VNY96" s="104"/>
      <c r="VNZ96" s="104"/>
      <c r="VOA96" s="104"/>
      <c r="VOB96" s="104"/>
      <c r="VOC96" s="104"/>
      <c r="VOD96" s="104"/>
      <c r="VOE96" s="104"/>
      <c r="VOF96" s="104"/>
      <c r="VOG96" s="104"/>
      <c r="VOH96" s="104"/>
      <c r="VOI96" s="104"/>
      <c r="VOJ96" s="104"/>
      <c r="VOK96" s="104"/>
      <c r="VOL96" s="104"/>
      <c r="VOM96" s="104"/>
      <c r="VON96" s="104"/>
      <c r="VOO96" s="104"/>
      <c r="VOP96" s="104"/>
      <c r="VOQ96" s="104"/>
      <c r="VOR96" s="104"/>
      <c r="VOS96" s="104"/>
      <c r="VOT96" s="104"/>
      <c r="VOU96" s="104"/>
      <c r="VOV96" s="104"/>
      <c r="VOW96" s="104"/>
      <c r="VOX96" s="104"/>
      <c r="VOY96" s="104"/>
      <c r="VOZ96" s="104"/>
      <c r="VPA96" s="104"/>
      <c r="VPB96" s="104"/>
      <c r="VPC96" s="104"/>
      <c r="VPD96" s="104"/>
      <c r="VPE96" s="104"/>
      <c r="VPF96" s="104"/>
      <c r="VPG96" s="104"/>
      <c r="VPH96" s="104"/>
      <c r="VPI96" s="104"/>
      <c r="VPJ96" s="104"/>
      <c r="VPK96" s="104"/>
      <c r="VPL96" s="104"/>
      <c r="VPM96" s="104"/>
      <c r="VPN96" s="104"/>
      <c r="VPO96" s="104"/>
      <c r="VPP96" s="104"/>
      <c r="VPQ96" s="104"/>
      <c r="VPR96" s="104"/>
      <c r="VPS96" s="104"/>
      <c r="VPT96" s="104"/>
      <c r="VPU96" s="104"/>
      <c r="VPV96" s="104"/>
      <c r="VPW96" s="104"/>
      <c r="VPX96" s="104"/>
      <c r="VPY96" s="104"/>
      <c r="VPZ96" s="104"/>
      <c r="VQA96" s="104"/>
      <c r="VQB96" s="104"/>
      <c r="VQC96" s="104"/>
      <c r="VQD96" s="104"/>
      <c r="VQE96" s="104"/>
      <c r="VQF96" s="104"/>
      <c r="VQG96" s="104"/>
      <c r="VQH96" s="104"/>
      <c r="VQI96" s="104"/>
      <c r="VQJ96" s="104"/>
      <c r="VQK96" s="104"/>
      <c r="VQL96" s="104"/>
      <c r="VQM96" s="104"/>
      <c r="VQN96" s="104"/>
      <c r="VQO96" s="104"/>
      <c r="VQP96" s="104"/>
      <c r="VQQ96" s="104"/>
      <c r="VQR96" s="104"/>
      <c r="VQS96" s="104"/>
      <c r="VQT96" s="104"/>
      <c r="VQU96" s="104"/>
      <c r="VQV96" s="104"/>
      <c r="VQW96" s="104"/>
      <c r="VQX96" s="104"/>
      <c r="VQY96" s="104"/>
      <c r="VQZ96" s="104"/>
      <c r="VRA96" s="104"/>
      <c r="VRB96" s="104"/>
      <c r="VRC96" s="104"/>
      <c r="VRD96" s="104"/>
      <c r="VRE96" s="104"/>
      <c r="VRF96" s="104"/>
      <c r="VRG96" s="104"/>
      <c r="VRH96" s="104"/>
      <c r="VRI96" s="104"/>
      <c r="VRJ96" s="104"/>
      <c r="VRK96" s="104"/>
      <c r="VRL96" s="104"/>
      <c r="VRM96" s="104"/>
      <c r="VRN96" s="104"/>
      <c r="VRO96" s="104"/>
      <c r="VRP96" s="104"/>
      <c r="VRQ96" s="104"/>
      <c r="VRR96" s="104"/>
      <c r="VRS96" s="104"/>
      <c r="VRT96" s="104"/>
      <c r="VRU96" s="104"/>
      <c r="VRV96" s="104"/>
      <c r="VRW96" s="104"/>
      <c r="VRX96" s="104"/>
      <c r="VRY96" s="104"/>
      <c r="VRZ96" s="104"/>
      <c r="VSA96" s="104"/>
      <c r="VSB96" s="104"/>
      <c r="VSC96" s="104"/>
      <c r="VSD96" s="104"/>
      <c r="VSE96" s="104"/>
      <c r="VSF96" s="104"/>
      <c r="VSG96" s="104"/>
      <c r="VSH96" s="104"/>
      <c r="VSI96" s="104"/>
      <c r="VSJ96" s="104"/>
      <c r="VSK96" s="104"/>
      <c r="VSL96" s="104"/>
      <c r="VSM96" s="104"/>
      <c r="VSN96" s="104"/>
      <c r="VSO96" s="104"/>
      <c r="VSP96" s="104"/>
      <c r="VSQ96" s="104"/>
      <c r="VSR96" s="104"/>
      <c r="VSS96" s="104"/>
      <c r="VST96" s="104"/>
      <c r="VSU96" s="104"/>
      <c r="VSV96" s="104"/>
      <c r="VSW96" s="104"/>
      <c r="VSX96" s="104"/>
      <c r="VSY96" s="104"/>
      <c r="VSZ96" s="104"/>
      <c r="VTA96" s="104"/>
      <c r="VTB96" s="104"/>
      <c r="VTC96" s="104"/>
      <c r="VTD96" s="104"/>
      <c r="VTE96" s="104"/>
      <c r="VTF96" s="104"/>
      <c r="VTG96" s="104"/>
      <c r="VTH96" s="104"/>
      <c r="VTI96" s="104"/>
      <c r="VTJ96" s="104"/>
      <c r="VTK96" s="104"/>
      <c r="VTL96" s="104"/>
      <c r="VTM96" s="104"/>
      <c r="VTN96" s="104"/>
      <c r="VTO96" s="104"/>
      <c r="VTP96" s="104"/>
      <c r="VTQ96" s="104"/>
      <c r="VTR96" s="104"/>
      <c r="VTS96" s="104"/>
      <c r="VTT96" s="104"/>
      <c r="VTU96" s="104"/>
      <c r="VTV96" s="104"/>
      <c r="VTW96" s="104"/>
      <c r="VTX96" s="104"/>
      <c r="VTY96" s="104"/>
      <c r="VTZ96" s="104"/>
      <c r="VUA96" s="104"/>
      <c r="VUB96" s="104"/>
      <c r="VUC96" s="104"/>
      <c r="VUD96" s="104"/>
      <c r="VUE96" s="104"/>
      <c r="VUF96" s="104"/>
      <c r="VUG96" s="104"/>
      <c r="VUH96" s="104"/>
      <c r="VUI96" s="104"/>
      <c r="VUJ96" s="104"/>
      <c r="VUK96" s="104"/>
      <c r="VUL96" s="104"/>
      <c r="VUM96" s="104"/>
      <c r="VUN96" s="104"/>
      <c r="VUO96" s="104"/>
      <c r="VUP96" s="104"/>
      <c r="VUQ96" s="104"/>
      <c r="VUR96" s="104"/>
      <c r="VUS96" s="104"/>
      <c r="VUT96" s="104"/>
      <c r="VUU96" s="104"/>
      <c r="VUV96" s="104"/>
      <c r="VUW96" s="104"/>
      <c r="VUX96" s="104"/>
      <c r="VUY96" s="104"/>
      <c r="VUZ96" s="104"/>
      <c r="VVA96" s="104"/>
      <c r="VVB96" s="104"/>
      <c r="VVC96" s="104"/>
      <c r="VVD96" s="104"/>
      <c r="VVE96" s="104"/>
      <c r="VVF96" s="104"/>
      <c r="VVG96" s="104"/>
      <c r="VVH96" s="104"/>
      <c r="VVI96" s="104"/>
      <c r="VVJ96" s="104"/>
      <c r="VVK96" s="104"/>
      <c r="VVL96" s="104"/>
      <c r="VVM96" s="104"/>
      <c r="VVN96" s="104"/>
      <c r="VVO96" s="104"/>
      <c r="VVP96" s="104"/>
      <c r="VVQ96" s="104"/>
      <c r="VVR96" s="104"/>
      <c r="VVS96" s="104"/>
      <c r="VVT96" s="104"/>
      <c r="VVU96" s="104"/>
      <c r="VVV96" s="104"/>
      <c r="VVW96" s="104"/>
      <c r="VVX96" s="104"/>
      <c r="VVY96" s="104"/>
      <c r="VVZ96" s="104"/>
      <c r="VWA96" s="104"/>
      <c r="VWB96" s="104"/>
      <c r="VWC96" s="104"/>
      <c r="VWD96" s="104"/>
      <c r="VWE96" s="104"/>
      <c r="VWF96" s="104"/>
      <c r="VWG96" s="104"/>
      <c r="VWH96" s="104"/>
      <c r="VWI96" s="104"/>
      <c r="VWJ96" s="104"/>
      <c r="VWK96" s="104"/>
      <c r="VWL96" s="104"/>
      <c r="VWM96" s="104"/>
      <c r="VWN96" s="104"/>
      <c r="VWO96" s="104"/>
      <c r="VWP96" s="104"/>
      <c r="VWQ96" s="104"/>
      <c r="VWR96" s="104"/>
      <c r="VWS96" s="104"/>
      <c r="VWT96" s="104"/>
      <c r="VWU96" s="104"/>
      <c r="VWV96" s="104"/>
      <c r="VWW96" s="104"/>
      <c r="VWX96" s="104"/>
      <c r="VWY96" s="104"/>
      <c r="VWZ96" s="104"/>
      <c r="VXA96" s="104"/>
      <c r="VXB96" s="104"/>
      <c r="VXC96" s="104"/>
      <c r="VXD96" s="104"/>
      <c r="VXE96" s="104"/>
      <c r="VXF96" s="104"/>
      <c r="VXG96" s="104"/>
      <c r="VXH96" s="104"/>
      <c r="VXI96" s="104"/>
      <c r="VXJ96" s="104"/>
      <c r="VXK96" s="104"/>
      <c r="VXL96" s="104"/>
      <c r="VXM96" s="104"/>
      <c r="VXN96" s="104"/>
      <c r="VXO96" s="104"/>
      <c r="VXP96" s="104"/>
      <c r="VXQ96" s="104"/>
      <c r="VXR96" s="104"/>
      <c r="VXS96" s="104"/>
      <c r="VXT96" s="104"/>
      <c r="VXU96" s="104"/>
      <c r="VXV96" s="104"/>
      <c r="VXW96" s="104"/>
      <c r="VXX96" s="104"/>
      <c r="VXY96" s="104"/>
      <c r="VXZ96" s="104"/>
      <c r="VYA96" s="104"/>
      <c r="VYB96" s="104"/>
      <c r="VYC96" s="104"/>
      <c r="VYD96" s="104"/>
      <c r="VYE96" s="104"/>
      <c r="VYF96" s="104"/>
      <c r="VYG96" s="104"/>
      <c r="VYH96" s="104"/>
      <c r="VYI96" s="104"/>
      <c r="VYJ96" s="104"/>
      <c r="VYK96" s="104"/>
      <c r="VYL96" s="104"/>
      <c r="VYM96" s="104"/>
      <c r="VYN96" s="104"/>
      <c r="VYO96" s="104"/>
      <c r="VYP96" s="104"/>
      <c r="VYQ96" s="104"/>
      <c r="VYR96" s="104"/>
      <c r="VYS96" s="104"/>
      <c r="VYT96" s="104"/>
      <c r="VYU96" s="104"/>
      <c r="VYV96" s="104"/>
      <c r="VYW96" s="104"/>
      <c r="VYX96" s="104"/>
      <c r="VYY96" s="104"/>
      <c r="VYZ96" s="104"/>
      <c r="VZA96" s="104"/>
      <c r="VZB96" s="104"/>
      <c r="VZC96" s="104"/>
      <c r="VZD96" s="104"/>
      <c r="VZE96" s="104"/>
      <c r="VZF96" s="104"/>
      <c r="VZG96" s="104"/>
      <c r="VZH96" s="104"/>
      <c r="VZI96" s="104"/>
      <c r="VZJ96" s="104"/>
      <c r="VZK96" s="104"/>
      <c r="VZL96" s="104"/>
      <c r="VZM96" s="104"/>
      <c r="VZN96" s="104"/>
      <c r="VZO96" s="104"/>
      <c r="VZP96" s="104"/>
      <c r="VZQ96" s="104"/>
      <c r="VZR96" s="104"/>
      <c r="VZS96" s="104"/>
      <c r="VZT96" s="104"/>
      <c r="VZU96" s="104"/>
      <c r="VZV96" s="104"/>
      <c r="VZW96" s="104"/>
      <c r="VZX96" s="104"/>
      <c r="VZY96" s="104"/>
      <c r="VZZ96" s="104"/>
      <c r="WAA96" s="104"/>
      <c r="WAB96" s="104"/>
      <c r="WAC96" s="104"/>
      <c r="WAD96" s="104"/>
      <c r="WAE96" s="104"/>
      <c r="WAF96" s="104"/>
      <c r="WAG96" s="104"/>
      <c r="WAH96" s="104"/>
      <c r="WAI96" s="104"/>
      <c r="WAJ96" s="104"/>
      <c r="WAK96" s="104"/>
      <c r="WAL96" s="104"/>
      <c r="WAM96" s="104"/>
      <c r="WAN96" s="104"/>
      <c r="WAO96" s="104"/>
      <c r="WAP96" s="104"/>
      <c r="WAQ96" s="104"/>
      <c r="WAR96" s="104"/>
      <c r="WAS96" s="104"/>
      <c r="WAT96" s="104"/>
      <c r="WAU96" s="104"/>
      <c r="WAV96" s="104"/>
      <c r="WAW96" s="104"/>
      <c r="WAX96" s="104"/>
      <c r="WAY96" s="104"/>
      <c r="WAZ96" s="104"/>
      <c r="WBA96" s="104"/>
      <c r="WBB96" s="104"/>
      <c r="WBC96" s="104"/>
      <c r="WBD96" s="104"/>
      <c r="WBE96" s="104"/>
      <c r="WBF96" s="104"/>
      <c r="WBG96" s="104"/>
      <c r="WBH96" s="104"/>
      <c r="WBI96" s="104"/>
      <c r="WBJ96" s="104"/>
      <c r="WBK96" s="104"/>
      <c r="WBL96" s="104"/>
      <c r="WBM96" s="104"/>
      <c r="WBN96" s="104"/>
      <c r="WBO96" s="104"/>
      <c r="WBP96" s="104"/>
      <c r="WBQ96" s="104"/>
      <c r="WBR96" s="104"/>
      <c r="WBS96" s="104"/>
      <c r="WBT96" s="104"/>
      <c r="WBU96" s="104"/>
      <c r="WBV96" s="104"/>
      <c r="WBW96" s="104"/>
      <c r="WBX96" s="104"/>
      <c r="WBY96" s="104"/>
      <c r="WBZ96" s="104"/>
      <c r="WCA96" s="104"/>
      <c r="WCB96" s="104"/>
      <c r="WCC96" s="104"/>
      <c r="WCD96" s="104"/>
      <c r="WCE96" s="104"/>
      <c r="WCF96" s="104"/>
      <c r="WCG96" s="104"/>
      <c r="WCH96" s="104"/>
      <c r="WCI96" s="104"/>
      <c r="WCJ96" s="104"/>
      <c r="WCK96" s="104"/>
      <c r="WCL96" s="104"/>
      <c r="WCM96" s="104"/>
      <c r="WCN96" s="104"/>
      <c r="WCO96" s="104"/>
      <c r="WCP96" s="104"/>
      <c r="WCQ96" s="104"/>
      <c r="WCR96" s="104"/>
      <c r="WCS96" s="104"/>
      <c r="WCT96" s="104"/>
      <c r="WCU96" s="104"/>
      <c r="WCV96" s="104"/>
      <c r="WCW96" s="104"/>
      <c r="WCX96" s="104"/>
      <c r="WCY96" s="104"/>
      <c r="WCZ96" s="104"/>
      <c r="WDA96" s="104"/>
      <c r="WDB96" s="104"/>
      <c r="WDC96" s="104"/>
      <c r="WDD96" s="104"/>
      <c r="WDE96" s="104"/>
      <c r="WDF96" s="104"/>
      <c r="WDG96" s="104"/>
      <c r="WDH96" s="104"/>
      <c r="WDI96" s="104"/>
      <c r="WDJ96" s="104"/>
      <c r="WDK96" s="104"/>
      <c r="WDL96" s="104"/>
      <c r="WDM96" s="104"/>
      <c r="WDN96" s="104"/>
      <c r="WDO96" s="104"/>
      <c r="WDP96" s="104"/>
      <c r="WDQ96" s="104"/>
      <c r="WDR96" s="104"/>
      <c r="WDS96" s="104"/>
      <c r="WDT96" s="104"/>
      <c r="WDU96" s="104"/>
      <c r="WDV96" s="104"/>
      <c r="WDW96" s="104"/>
      <c r="WDX96" s="104"/>
      <c r="WDY96" s="104"/>
      <c r="WDZ96" s="104"/>
      <c r="WEA96" s="104"/>
      <c r="WEB96" s="104"/>
      <c r="WEC96" s="104"/>
      <c r="WED96" s="104"/>
      <c r="WEE96" s="104"/>
      <c r="WEF96" s="104"/>
      <c r="WEG96" s="104"/>
      <c r="WEH96" s="104"/>
      <c r="WEI96" s="104"/>
      <c r="WEJ96" s="104"/>
      <c r="WEK96" s="104"/>
      <c r="WEL96" s="104"/>
      <c r="WEM96" s="104"/>
      <c r="WEN96" s="104"/>
      <c r="WEO96" s="104"/>
      <c r="WEP96" s="104"/>
      <c r="WEQ96" s="104"/>
      <c r="WER96" s="104"/>
      <c r="WES96" s="104"/>
      <c r="WET96" s="104"/>
      <c r="WEU96" s="104"/>
      <c r="WEV96" s="104"/>
      <c r="WEW96" s="104"/>
      <c r="WEX96" s="104"/>
      <c r="WEY96" s="104"/>
      <c r="WEZ96" s="104"/>
      <c r="WFA96" s="104"/>
      <c r="WFB96" s="104"/>
      <c r="WFC96" s="104"/>
      <c r="WFD96" s="104"/>
      <c r="WFE96" s="104"/>
      <c r="WFF96" s="104"/>
      <c r="WFG96" s="104"/>
      <c r="WFH96" s="104"/>
      <c r="WFI96" s="104"/>
      <c r="WFJ96" s="104"/>
      <c r="WFK96" s="104"/>
      <c r="WFL96" s="104"/>
      <c r="WFM96" s="104"/>
      <c r="WFN96" s="104"/>
      <c r="WFO96" s="104"/>
      <c r="WFP96" s="104"/>
      <c r="WFQ96" s="104"/>
      <c r="WFR96" s="104"/>
      <c r="WFS96" s="104"/>
      <c r="WFT96" s="104"/>
      <c r="WFU96" s="104"/>
      <c r="WFV96" s="104"/>
      <c r="WFW96" s="104"/>
      <c r="WFX96" s="104"/>
      <c r="WFY96" s="104"/>
      <c r="WFZ96" s="104"/>
      <c r="WGA96" s="104"/>
      <c r="WGB96" s="104"/>
      <c r="WGC96" s="104"/>
      <c r="WGD96" s="104"/>
      <c r="WGE96" s="104"/>
      <c r="WGF96" s="104"/>
      <c r="WGG96" s="104"/>
      <c r="WGH96" s="104"/>
      <c r="WGI96" s="104"/>
      <c r="WGJ96" s="104"/>
      <c r="WGK96" s="104"/>
      <c r="WGL96" s="104"/>
      <c r="WGM96" s="104"/>
      <c r="WGN96" s="104"/>
      <c r="WGO96" s="104"/>
      <c r="WGP96" s="104"/>
      <c r="WGQ96" s="104"/>
      <c r="WGR96" s="104"/>
      <c r="WGS96" s="104"/>
      <c r="WGT96" s="104"/>
      <c r="WGU96" s="104"/>
      <c r="WGV96" s="104"/>
      <c r="WGW96" s="104"/>
      <c r="WGX96" s="104"/>
      <c r="WGY96" s="104"/>
      <c r="WGZ96" s="104"/>
      <c r="WHA96" s="104"/>
      <c r="WHB96" s="104"/>
      <c r="WHC96" s="104"/>
      <c r="WHD96" s="104"/>
      <c r="WHE96" s="104"/>
      <c r="WHF96" s="104"/>
      <c r="WHG96" s="104"/>
      <c r="WHH96" s="104"/>
      <c r="WHI96" s="104"/>
      <c r="WHJ96" s="104"/>
      <c r="WHK96" s="104"/>
      <c r="WHL96" s="104"/>
      <c r="WHM96" s="104"/>
      <c r="WHN96" s="104"/>
      <c r="WHO96" s="104"/>
      <c r="WHP96" s="104"/>
      <c r="WHQ96" s="104"/>
      <c r="WHR96" s="104"/>
      <c r="WHS96" s="104"/>
      <c r="WHT96" s="104"/>
      <c r="WHU96" s="104"/>
      <c r="WHV96" s="104"/>
      <c r="WHW96" s="104"/>
      <c r="WHX96" s="104"/>
      <c r="WHY96" s="104"/>
      <c r="WHZ96" s="104"/>
      <c r="WIA96" s="104"/>
      <c r="WIB96" s="104"/>
      <c r="WIC96" s="104"/>
      <c r="WID96" s="104"/>
      <c r="WIE96" s="104"/>
      <c r="WIF96" s="104"/>
      <c r="WIG96" s="104"/>
      <c r="WIH96" s="104"/>
      <c r="WII96" s="104"/>
      <c r="WIJ96" s="104"/>
      <c r="WIK96" s="104"/>
      <c r="WIL96" s="104"/>
      <c r="WIM96" s="104"/>
      <c r="WIN96" s="104"/>
      <c r="WIO96" s="104"/>
      <c r="WIP96" s="104"/>
      <c r="WIQ96" s="104"/>
      <c r="WIR96" s="104"/>
      <c r="WIS96" s="104"/>
      <c r="WIT96" s="104"/>
      <c r="WIU96" s="104"/>
      <c r="WIV96" s="104"/>
      <c r="WIW96" s="104"/>
      <c r="WIX96" s="104"/>
      <c r="WIY96" s="104"/>
      <c r="WIZ96" s="104"/>
      <c r="WJA96" s="104"/>
      <c r="WJB96" s="104"/>
      <c r="WJC96" s="104"/>
      <c r="WJD96" s="104"/>
      <c r="WJE96" s="104"/>
      <c r="WJF96" s="104"/>
      <c r="WJG96" s="104"/>
      <c r="WJH96" s="104"/>
      <c r="WJI96" s="104"/>
      <c r="WJJ96" s="104"/>
      <c r="WJK96" s="104"/>
      <c r="WJL96" s="104"/>
      <c r="WJM96" s="104"/>
      <c r="WJN96" s="104"/>
      <c r="WJO96" s="104"/>
      <c r="WJP96" s="104"/>
      <c r="WJQ96" s="104"/>
      <c r="WJR96" s="104"/>
      <c r="WJS96" s="104"/>
      <c r="WJT96" s="104"/>
      <c r="WJU96" s="104"/>
      <c r="WJV96" s="104"/>
      <c r="WJW96" s="104"/>
      <c r="WJX96" s="104"/>
      <c r="WJY96" s="104"/>
      <c r="WJZ96" s="104"/>
      <c r="WKA96" s="104"/>
      <c r="WKB96" s="104"/>
      <c r="WKC96" s="104"/>
      <c r="WKD96" s="104"/>
      <c r="WKE96" s="104"/>
      <c r="WKF96" s="104"/>
      <c r="WKG96" s="104"/>
      <c r="WKH96" s="104"/>
      <c r="WKI96" s="104"/>
      <c r="WKJ96" s="104"/>
      <c r="WKK96" s="104"/>
      <c r="WKL96" s="104"/>
      <c r="WKM96" s="104"/>
      <c r="WKN96" s="104"/>
      <c r="WKO96" s="104"/>
      <c r="WKP96" s="104"/>
      <c r="WKQ96" s="104"/>
      <c r="WKR96" s="104"/>
      <c r="WKS96" s="104"/>
      <c r="WKT96" s="104"/>
      <c r="WKU96" s="104"/>
      <c r="WKV96" s="104"/>
      <c r="WKW96" s="104"/>
      <c r="WKX96" s="104"/>
      <c r="WKY96" s="104"/>
      <c r="WKZ96" s="104"/>
      <c r="WLA96" s="104"/>
      <c r="WLB96" s="104"/>
      <c r="WLC96" s="104"/>
      <c r="WLD96" s="104"/>
      <c r="WLE96" s="104"/>
      <c r="WLF96" s="104"/>
      <c r="WLG96" s="104"/>
      <c r="WLH96" s="104"/>
      <c r="WLI96" s="104"/>
      <c r="WLJ96" s="104"/>
      <c r="WLK96" s="104"/>
      <c r="WLL96" s="104"/>
      <c r="WLM96" s="104"/>
      <c r="WLN96" s="104"/>
      <c r="WLO96" s="104"/>
      <c r="WLP96" s="104"/>
      <c r="WLQ96" s="104"/>
      <c r="WLR96" s="104"/>
      <c r="WLS96" s="104"/>
      <c r="WLT96" s="104"/>
      <c r="WLU96" s="104"/>
      <c r="WLV96" s="104"/>
      <c r="WLW96" s="104"/>
      <c r="WLX96" s="104"/>
      <c r="WLY96" s="104"/>
      <c r="WLZ96" s="104"/>
      <c r="WMA96" s="104"/>
      <c r="WMB96" s="104"/>
      <c r="WMC96" s="104"/>
      <c r="WMD96" s="104"/>
      <c r="WME96" s="104"/>
      <c r="WMF96" s="104"/>
      <c r="WMG96" s="104"/>
      <c r="WMH96" s="104"/>
      <c r="WMI96" s="104"/>
      <c r="WMJ96" s="104"/>
      <c r="WMK96" s="104"/>
      <c r="WML96" s="104"/>
      <c r="WMM96" s="104"/>
      <c r="WMN96" s="104"/>
      <c r="WMO96" s="104"/>
      <c r="WMP96" s="104"/>
      <c r="WMQ96" s="104"/>
      <c r="WMR96" s="104"/>
      <c r="WMS96" s="104"/>
      <c r="WMT96" s="104"/>
      <c r="WMU96" s="104"/>
      <c r="WMV96" s="104"/>
      <c r="WMW96" s="104"/>
      <c r="WMX96" s="104"/>
      <c r="WMY96" s="104"/>
      <c r="WMZ96" s="104"/>
      <c r="WNA96" s="104"/>
      <c r="WNB96" s="104"/>
      <c r="WNC96" s="104"/>
      <c r="WND96" s="104"/>
      <c r="WNE96" s="104"/>
      <c r="WNF96" s="104"/>
      <c r="WNG96" s="104"/>
      <c r="WNH96" s="104"/>
      <c r="WNI96" s="104"/>
      <c r="WNJ96" s="104"/>
      <c r="WNK96" s="104"/>
      <c r="WNL96" s="104"/>
      <c r="WNM96" s="104"/>
      <c r="WNN96" s="104"/>
      <c r="WNO96" s="104"/>
      <c r="WNP96" s="104"/>
      <c r="WNQ96" s="104"/>
      <c r="WNR96" s="104"/>
      <c r="WNS96" s="104"/>
      <c r="WNT96" s="104"/>
      <c r="WNU96" s="104"/>
      <c r="WNV96" s="104"/>
      <c r="WNW96" s="104"/>
      <c r="WNX96" s="104"/>
      <c r="WNY96" s="104"/>
      <c r="WNZ96" s="104"/>
      <c r="WOA96" s="104"/>
      <c r="WOB96" s="104"/>
      <c r="WOC96" s="104"/>
      <c r="WOD96" s="104"/>
      <c r="WOE96" s="104"/>
      <c r="WOF96" s="104"/>
      <c r="WOG96" s="104"/>
      <c r="WOH96" s="104"/>
      <c r="WOI96" s="104"/>
      <c r="WOJ96" s="104"/>
      <c r="WOK96" s="104"/>
      <c r="WOL96" s="104"/>
      <c r="WOM96" s="104"/>
      <c r="WON96" s="104"/>
      <c r="WOO96" s="104"/>
      <c r="WOP96" s="104"/>
      <c r="WOQ96" s="104"/>
      <c r="WOR96" s="104"/>
      <c r="WOS96" s="104"/>
      <c r="WOT96" s="104"/>
      <c r="WOU96" s="104"/>
      <c r="WOV96" s="104"/>
      <c r="WOW96" s="104"/>
      <c r="WOX96" s="104"/>
      <c r="WOY96" s="104"/>
      <c r="WOZ96" s="104"/>
      <c r="WPA96" s="104"/>
      <c r="WPB96" s="104"/>
      <c r="WPC96" s="104"/>
      <c r="WPD96" s="104"/>
      <c r="WPE96" s="104"/>
      <c r="WPF96" s="104"/>
      <c r="WPG96" s="104"/>
      <c r="WPH96" s="104"/>
      <c r="WPI96" s="104"/>
      <c r="WPJ96" s="104"/>
      <c r="WPK96" s="104"/>
      <c r="WPL96" s="104"/>
      <c r="WPM96" s="104"/>
      <c r="WPN96" s="104"/>
      <c r="WPO96" s="104"/>
      <c r="WPP96" s="104"/>
      <c r="WPQ96" s="104"/>
      <c r="WPR96" s="104"/>
      <c r="WPS96" s="104"/>
      <c r="WPT96" s="104"/>
      <c r="WPU96" s="104"/>
      <c r="WPV96" s="104"/>
      <c r="WPW96" s="104"/>
      <c r="WPX96" s="104"/>
      <c r="WPY96" s="104"/>
      <c r="WPZ96" s="104"/>
      <c r="WQA96" s="104"/>
      <c r="WQB96" s="104"/>
      <c r="WQC96" s="104"/>
      <c r="WQD96" s="104"/>
      <c r="WQE96" s="104"/>
      <c r="WQF96" s="104"/>
      <c r="WQG96" s="104"/>
      <c r="WQH96" s="104"/>
      <c r="WQI96" s="104"/>
      <c r="WQJ96" s="104"/>
      <c r="WQK96" s="104"/>
      <c r="WQL96" s="104"/>
      <c r="WQM96" s="104"/>
      <c r="WQN96" s="104"/>
      <c r="WQO96" s="104"/>
      <c r="WQP96" s="104"/>
      <c r="WQQ96" s="104"/>
      <c r="WQR96" s="104"/>
      <c r="WQS96" s="104"/>
      <c r="WQT96" s="104"/>
      <c r="WQU96" s="104"/>
      <c r="WQV96" s="104"/>
      <c r="WQW96" s="104"/>
      <c r="WQX96" s="104"/>
      <c r="WQY96" s="104"/>
      <c r="WQZ96" s="104"/>
      <c r="WRA96" s="104"/>
      <c r="WRB96" s="104"/>
      <c r="WRC96" s="104"/>
      <c r="WRD96" s="104"/>
      <c r="WRE96" s="104"/>
      <c r="WRF96" s="104"/>
      <c r="WRG96" s="104"/>
      <c r="WRH96" s="104"/>
      <c r="WRI96" s="104"/>
      <c r="WRJ96" s="104"/>
      <c r="WRK96" s="104"/>
      <c r="WRL96" s="104"/>
      <c r="WRM96" s="104"/>
      <c r="WRN96" s="104"/>
      <c r="WRO96" s="104"/>
      <c r="WRP96" s="104"/>
      <c r="WRQ96" s="104"/>
      <c r="WRR96" s="104"/>
      <c r="WRS96" s="104"/>
      <c r="WRT96" s="104"/>
      <c r="WRU96" s="104"/>
      <c r="WRV96" s="104"/>
      <c r="WRW96" s="104"/>
      <c r="WRX96" s="104"/>
      <c r="WRY96" s="104"/>
      <c r="WRZ96" s="104"/>
      <c r="WSA96" s="104"/>
      <c r="WSB96" s="104"/>
      <c r="WSC96" s="104"/>
      <c r="WSD96" s="104"/>
      <c r="WSE96" s="104"/>
      <c r="WSF96" s="104"/>
      <c r="WSG96" s="104"/>
      <c r="WSH96" s="104"/>
      <c r="WSI96" s="104"/>
      <c r="WSJ96" s="104"/>
      <c r="WSK96" s="104"/>
      <c r="WSL96" s="104"/>
      <c r="WSM96" s="104"/>
      <c r="WSN96" s="104"/>
      <c r="WSO96" s="104"/>
      <c r="WSP96" s="104"/>
      <c r="WSQ96" s="104"/>
      <c r="WSR96" s="104"/>
      <c r="WSS96" s="104"/>
      <c r="WST96" s="104"/>
      <c r="WSU96" s="104"/>
      <c r="WSV96" s="104"/>
      <c r="WSW96" s="104"/>
      <c r="WSX96" s="104"/>
      <c r="WSY96" s="104"/>
      <c r="WSZ96" s="104"/>
      <c r="WTA96" s="104"/>
      <c r="WTB96" s="104"/>
      <c r="WTC96" s="104"/>
      <c r="WTD96" s="104"/>
      <c r="WTE96" s="104"/>
      <c r="WTF96" s="104"/>
      <c r="WTG96" s="104"/>
      <c r="WTH96" s="104"/>
      <c r="WTI96" s="104"/>
      <c r="WTJ96" s="104"/>
      <c r="WTK96" s="104"/>
      <c r="WTL96" s="104"/>
      <c r="WTM96" s="104"/>
      <c r="WTN96" s="104"/>
      <c r="WTO96" s="104"/>
      <c r="WTP96" s="104"/>
      <c r="WTQ96" s="104"/>
      <c r="WTR96" s="104"/>
      <c r="WTS96" s="104"/>
      <c r="WTT96" s="104"/>
      <c r="WTU96" s="104"/>
      <c r="WTV96" s="104"/>
      <c r="WTW96" s="104"/>
      <c r="WTX96" s="104"/>
      <c r="WTY96" s="104"/>
      <c r="WTZ96" s="104"/>
      <c r="WUA96" s="104"/>
      <c r="WUB96" s="104"/>
      <c r="WUC96" s="104"/>
      <c r="WUD96" s="104"/>
      <c r="WUE96" s="104"/>
      <c r="WUF96" s="104"/>
      <c r="WUG96" s="104"/>
      <c r="WUH96" s="104"/>
      <c r="WUI96" s="104"/>
      <c r="WUJ96" s="104"/>
      <c r="WUK96" s="104"/>
      <c r="WUL96" s="104"/>
      <c r="WUM96" s="104"/>
      <c r="WUN96" s="104"/>
      <c r="WUO96" s="104"/>
      <c r="WUP96" s="104"/>
      <c r="WUQ96" s="104"/>
      <c r="WUR96" s="104"/>
      <c r="WUS96" s="104"/>
      <c r="WUT96" s="104"/>
      <c r="WUU96" s="104"/>
      <c r="WUV96" s="104"/>
      <c r="WUW96" s="104"/>
      <c r="WUX96" s="104"/>
      <c r="WUY96" s="104"/>
      <c r="WUZ96" s="104"/>
      <c r="WVA96" s="104"/>
      <c r="WVB96" s="104"/>
      <c r="WVC96" s="104"/>
      <c r="WVD96" s="104"/>
      <c r="WVE96" s="104"/>
      <c r="WVF96" s="104"/>
      <c r="WVG96" s="104"/>
      <c r="WVH96" s="104"/>
      <c r="WVI96" s="104"/>
      <c r="WVJ96" s="104"/>
      <c r="WVK96" s="104"/>
      <c r="WVL96" s="104"/>
      <c r="WVM96" s="104"/>
      <c r="WVN96" s="104"/>
      <c r="WVO96" s="104"/>
      <c r="WVP96" s="104"/>
      <c r="WVQ96" s="104"/>
      <c r="WVR96" s="104"/>
      <c r="WVS96" s="104"/>
      <c r="WVT96" s="104"/>
      <c r="WVU96" s="104"/>
      <c r="WVV96" s="104"/>
      <c r="WVW96" s="104"/>
      <c r="WVX96" s="104"/>
      <c r="WVY96" s="104"/>
      <c r="WVZ96" s="104"/>
      <c r="WWA96" s="104"/>
      <c r="WWB96" s="104"/>
      <c r="WWC96" s="104"/>
      <c r="WWD96" s="104"/>
      <c r="WWE96" s="104"/>
      <c r="WWF96" s="104"/>
      <c r="WWG96" s="104"/>
      <c r="WWH96" s="104"/>
      <c r="WWI96" s="104"/>
      <c r="WWJ96" s="104"/>
      <c r="WWK96" s="104"/>
      <c r="WWL96" s="104"/>
      <c r="WWM96" s="104"/>
      <c r="WWN96" s="104"/>
      <c r="WWO96" s="104"/>
      <c r="WWP96" s="104"/>
      <c r="WWQ96" s="104"/>
      <c r="WWR96" s="104"/>
      <c r="WWS96" s="104"/>
      <c r="WWT96" s="104"/>
      <c r="WWU96" s="104"/>
      <c r="WWV96" s="104"/>
      <c r="WWW96" s="104"/>
      <c r="WWX96" s="104"/>
      <c r="WWY96" s="104"/>
      <c r="WWZ96" s="104"/>
      <c r="WXA96" s="104"/>
      <c r="WXB96" s="104"/>
      <c r="WXC96" s="104"/>
      <c r="WXD96" s="104"/>
      <c r="WXE96" s="104"/>
      <c r="WXF96" s="104"/>
      <c r="WXG96" s="104"/>
      <c r="WXH96" s="104"/>
      <c r="WXI96" s="104"/>
      <c r="WXJ96" s="104"/>
      <c r="WXK96" s="104"/>
      <c r="WXL96" s="104"/>
      <c r="WXM96" s="104"/>
      <c r="WXN96" s="104"/>
      <c r="WXO96" s="104"/>
      <c r="WXP96" s="104"/>
      <c r="WXQ96" s="104"/>
      <c r="WXR96" s="104"/>
      <c r="WXS96" s="104"/>
      <c r="WXT96" s="104"/>
      <c r="WXU96" s="104"/>
      <c r="WXV96" s="104"/>
      <c r="WXW96" s="104"/>
      <c r="WXX96" s="104"/>
      <c r="WXY96" s="104"/>
      <c r="WXZ96" s="104"/>
      <c r="WYA96" s="104"/>
      <c r="WYB96" s="104"/>
      <c r="WYC96" s="104"/>
      <c r="WYD96" s="104"/>
      <c r="WYE96" s="104"/>
      <c r="WYF96" s="104"/>
      <c r="WYG96" s="104"/>
      <c r="WYH96" s="104"/>
      <c r="WYI96" s="104"/>
      <c r="WYJ96" s="104"/>
      <c r="WYK96" s="104"/>
      <c r="WYL96" s="104"/>
      <c r="WYM96" s="104"/>
      <c r="WYN96" s="104"/>
      <c r="WYO96" s="104"/>
      <c r="WYP96" s="104"/>
      <c r="WYQ96" s="104"/>
      <c r="WYR96" s="104"/>
      <c r="WYS96" s="104"/>
      <c r="WYT96" s="104"/>
      <c r="WYU96" s="104"/>
      <c r="WYV96" s="104"/>
      <c r="WYW96" s="104"/>
      <c r="WYX96" s="104"/>
      <c r="WYY96" s="104"/>
      <c r="WYZ96" s="104"/>
      <c r="WZA96" s="104"/>
      <c r="WZB96" s="104"/>
      <c r="WZC96" s="104"/>
      <c r="WZD96" s="104"/>
      <c r="WZE96" s="104"/>
      <c r="WZF96" s="104"/>
      <c r="WZG96" s="104"/>
      <c r="WZH96" s="104"/>
      <c r="WZI96" s="104"/>
      <c r="WZJ96" s="104"/>
      <c r="WZK96" s="104"/>
      <c r="WZL96" s="104"/>
      <c r="WZM96" s="104"/>
      <c r="WZN96" s="104"/>
      <c r="WZO96" s="104"/>
      <c r="WZP96" s="104"/>
      <c r="WZQ96" s="104"/>
      <c r="WZR96" s="104"/>
      <c r="WZS96" s="104"/>
      <c r="WZT96" s="104"/>
      <c r="WZU96" s="104"/>
      <c r="WZV96" s="104"/>
      <c r="WZW96" s="104"/>
      <c r="WZX96" s="104"/>
      <c r="WZY96" s="104"/>
      <c r="WZZ96" s="104"/>
      <c r="XAA96" s="104"/>
      <c r="XAB96" s="104"/>
      <c r="XAC96" s="104"/>
      <c r="XAD96" s="104"/>
      <c r="XAE96" s="104"/>
      <c r="XAF96" s="104"/>
      <c r="XAG96" s="104"/>
      <c r="XAH96" s="104"/>
      <c r="XAI96" s="104"/>
      <c r="XAJ96" s="104"/>
      <c r="XAK96" s="104"/>
      <c r="XAL96" s="104"/>
      <c r="XAM96" s="104"/>
      <c r="XAN96" s="104"/>
      <c r="XAO96" s="104"/>
      <c r="XAP96" s="104"/>
      <c r="XAQ96" s="104"/>
      <c r="XAR96" s="104"/>
      <c r="XAS96" s="104"/>
      <c r="XAT96" s="104"/>
      <c r="XAU96" s="104"/>
      <c r="XAV96" s="104"/>
      <c r="XAW96" s="104"/>
      <c r="XAX96" s="104"/>
      <c r="XAY96" s="104"/>
      <c r="XAZ96" s="104"/>
      <c r="XBA96" s="104"/>
      <c r="XBB96" s="104"/>
      <c r="XBC96" s="104"/>
      <c r="XBD96" s="104"/>
      <c r="XBE96" s="104"/>
      <c r="XBF96" s="104"/>
      <c r="XBG96" s="104"/>
      <c r="XBH96" s="104"/>
      <c r="XBI96" s="104"/>
      <c r="XBJ96" s="104"/>
      <c r="XBK96" s="104"/>
      <c r="XBL96" s="104"/>
      <c r="XBM96" s="104"/>
      <c r="XBN96" s="104"/>
      <c r="XBO96" s="104"/>
      <c r="XBP96" s="104"/>
      <c r="XBQ96" s="104"/>
      <c r="XBR96" s="104"/>
      <c r="XBS96" s="104"/>
      <c r="XBT96" s="104"/>
      <c r="XBU96" s="104"/>
      <c r="XBV96" s="104"/>
      <c r="XBW96" s="104"/>
      <c r="XBX96" s="104"/>
      <c r="XBY96" s="104"/>
      <c r="XBZ96" s="104"/>
      <c r="XCA96" s="104"/>
      <c r="XCB96" s="104"/>
      <c r="XCC96" s="104"/>
      <c r="XCD96" s="104"/>
      <c r="XCE96" s="104"/>
      <c r="XCF96" s="104"/>
      <c r="XCG96" s="104"/>
      <c r="XCH96" s="104"/>
      <c r="XCI96" s="104"/>
      <c r="XCJ96" s="104"/>
      <c r="XCK96" s="104"/>
      <c r="XCL96" s="104"/>
      <c r="XCM96" s="104"/>
      <c r="XCN96" s="104"/>
      <c r="XCO96" s="104"/>
      <c r="XCP96" s="104"/>
      <c r="XCQ96" s="104"/>
      <c r="XCR96" s="104"/>
      <c r="XCS96" s="104"/>
      <c r="XCT96" s="104"/>
      <c r="XCU96" s="104"/>
      <c r="XCV96" s="104"/>
      <c r="XCW96" s="104"/>
      <c r="XCX96" s="104"/>
      <c r="XCY96" s="104"/>
      <c r="XCZ96" s="104"/>
      <c r="XDA96" s="104"/>
      <c r="XDB96" s="104"/>
      <c r="XDC96" s="104"/>
      <c r="XDD96" s="104"/>
      <c r="XDE96" s="104"/>
      <c r="XDF96" s="104"/>
      <c r="XDG96" s="104"/>
      <c r="XDH96" s="104"/>
      <c r="XDI96" s="104"/>
      <c r="XDJ96" s="104"/>
      <c r="XDK96" s="104"/>
      <c r="XDL96" s="104"/>
      <c r="XDM96" s="104"/>
      <c r="XDN96" s="104"/>
      <c r="XDO96" s="104"/>
      <c r="XDP96" s="104"/>
      <c r="XDQ96" s="104"/>
      <c r="XDR96" s="104"/>
      <c r="XDS96" s="104"/>
      <c r="XDT96" s="104"/>
      <c r="XDU96" s="104"/>
      <c r="XDV96" s="104"/>
      <c r="XDW96" s="104"/>
      <c r="XDX96" s="104"/>
      <c r="XDY96" s="104"/>
      <c r="XDZ96" s="104"/>
      <c r="XEA96" s="104"/>
      <c r="XEB96" s="104"/>
      <c r="XEC96" s="104"/>
      <c r="XED96" s="104"/>
      <c r="XEE96" s="104"/>
      <c r="XEF96" s="104"/>
      <c r="XEG96" s="104"/>
      <c r="XEH96" s="104"/>
      <c r="XEI96" s="104"/>
      <c r="XEJ96" s="104"/>
      <c r="XEK96" s="104"/>
      <c r="XEL96" s="104"/>
      <c r="XEM96" s="104"/>
      <c r="XEN96" s="104"/>
      <c r="XEO96" s="104"/>
      <c r="XEP96" s="104"/>
      <c r="XEQ96" s="104"/>
      <c r="XER96" s="104"/>
      <c r="XES96" s="104"/>
      <c r="XET96" s="104"/>
      <c r="XEU96" s="104"/>
      <c r="XEV96" s="104"/>
      <c r="XEW96" s="104"/>
      <c r="XEX96" s="104"/>
      <c r="XEY96" s="104"/>
      <c r="XEZ96" s="104"/>
      <c r="XFA96" s="104"/>
      <c r="XFB96" s="104"/>
      <c r="XFC96" s="104"/>
      <c r="XFD96" s="104"/>
    </row>
    <row r="98" spans="1:16384" s="104" customFormat="1">
      <c r="A98" s="105"/>
      <c r="B98" s="105" t="s">
        <v>201</v>
      </c>
      <c r="C98" s="105"/>
      <c r="D98" s="105"/>
      <c r="E98" s="105"/>
      <c r="F98" s="105"/>
      <c r="G98" s="105"/>
      <c r="H98" s="105"/>
      <c r="I98" s="105"/>
      <c r="J98" s="105"/>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c r="IW98" s="83"/>
      <c r="IX98" s="83"/>
      <c r="IY98" s="83"/>
      <c r="IZ98" s="83"/>
      <c r="JA98" s="83"/>
      <c r="JB98" s="83"/>
      <c r="JC98" s="83"/>
      <c r="JD98" s="83"/>
      <c r="JE98" s="83"/>
      <c r="JF98" s="83"/>
      <c r="JG98" s="83"/>
      <c r="JH98" s="83"/>
      <c r="JI98" s="83"/>
      <c r="JJ98" s="83"/>
      <c r="JK98" s="83"/>
      <c r="JL98" s="83"/>
      <c r="JM98" s="83"/>
      <c r="JN98" s="83"/>
      <c r="JO98" s="83"/>
      <c r="JP98" s="83"/>
      <c r="JQ98" s="83"/>
      <c r="JR98" s="83"/>
      <c r="JS98" s="83"/>
      <c r="JT98" s="83"/>
      <c r="JU98" s="83"/>
      <c r="JV98" s="83"/>
      <c r="JW98" s="83"/>
      <c r="JX98" s="83"/>
      <c r="JY98" s="83"/>
      <c r="JZ98" s="83"/>
      <c r="KA98" s="83"/>
      <c r="KB98" s="83"/>
      <c r="KC98" s="83"/>
      <c r="KD98" s="83"/>
      <c r="KE98" s="83"/>
      <c r="KF98" s="83"/>
      <c r="KG98" s="83"/>
      <c r="KH98" s="83"/>
      <c r="KI98" s="83"/>
      <c r="KJ98" s="83"/>
      <c r="KK98" s="83"/>
      <c r="KL98" s="83"/>
      <c r="KM98" s="83"/>
      <c r="KN98" s="83"/>
      <c r="KO98" s="83"/>
      <c r="KP98" s="83"/>
      <c r="KQ98" s="83"/>
      <c r="KR98" s="83"/>
      <c r="KS98" s="83"/>
      <c r="KT98" s="83"/>
      <c r="KU98" s="83"/>
      <c r="KV98" s="83"/>
      <c r="KW98" s="83"/>
      <c r="KX98" s="83"/>
      <c r="KY98" s="83"/>
      <c r="KZ98" s="83"/>
      <c r="LA98" s="83"/>
      <c r="LB98" s="83"/>
      <c r="LC98" s="83"/>
      <c r="LD98" s="83"/>
      <c r="LE98" s="83"/>
      <c r="LF98" s="83"/>
      <c r="LG98" s="83"/>
      <c r="LH98" s="83"/>
      <c r="LI98" s="83"/>
      <c r="LJ98" s="83"/>
      <c r="LK98" s="83"/>
      <c r="LL98" s="83"/>
      <c r="LM98" s="83"/>
      <c r="LN98" s="83"/>
      <c r="LO98" s="83"/>
      <c r="LP98" s="83"/>
      <c r="LQ98" s="83"/>
      <c r="LR98" s="83"/>
      <c r="LS98" s="83"/>
      <c r="LT98" s="83"/>
      <c r="LU98" s="83"/>
      <c r="LV98" s="83"/>
      <c r="LW98" s="83"/>
      <c r="LX98" s="83"/>
      <c r="LY98" s="83"/>
      <c r="LZ98" s="83"/>
      <c r="MA98" s="83"/>
      <c r="MB98" s="83"/>
      <c r="MC98" s="83"/>
      <c r="MD98" s="83"/>
      <c r="ME98" s="83"/>
      <c r="MF98" s="83"/>
      <c r="MG98" s="83"/>
      <c r="MH98" s="83"/>
      <c r="MI98" s="83"/>
      <c r="MJ98" s="83"/>
      <c r="MK98" s="83"/>
      <c r="ML98" s="83"/>
      <c r="MM98" s="83"/>
      <c r="MN98" s="83"/>
      <c r="MO98" s="83"/>
      <c r="MP98" s="83"/>
      <c r="MQ98" s="83"/>
      <c r="MR98" s="83"/>
      <c r="MS98" s="83"/>
      <c r="MT98" s="83"/>
      <c r="MU98" s="83"/>
      <c r="MV98" s="83"/>
      <c r="MW98" s="83"/>
      <c r="MX98" s="83"/>
      <c r="MY98" s="83"/>
      <c r="MZ98" s="83"/>
      <c r="NA98" s="83"/>
      <c r="NB98" s="83"/>
      <c r="NC98" s="83"/>
      <c r="ND98" s="83"/>
      <c r="NE98" s="83"/>
      <c r="NF98" s="83"/>
      <c r="NG98" s="83"/>
      <c r="NH98" s="83"/>
      <c r="NI98" s="83"/>
      <c r="NJ98" s="83"/>
      <c r="NK98" s="83"/>
      <c r="NL98" s="83"/>
      <c r="NM98" s="83"/>
      <c r="NN98" s="83"/>
      <c r="NO98" s="83"/>
      <c r="NP98" s="83"/>
      <c r="NQ98" s="83"/>
      <c r="NR98" s="83"/>
      <c r="NS98" s="83"/>
      <c r="NT98" s="83"/>
      <c r="NU98" s="83"/>
      <c r="NV98" s="83"/>
      <c r="NW98" s="83"/>
      <c r="NX98" s="83"/>
      <c r="NY98" s="83"/>
      <c r="NZ98" s="83"/>
      <c r="OA98" s="83"/>
      <c r="OB98" s="83"/>
      <c r="OC98" s="83"/>
      <c r="OD98" s="83"/>
      <c r="OE98" s="83"/>
      <c r="OF98" s="83"/>
      <c r="OG98" s="83"/>
      <c r="OH98" s="83"/>
      <c r="OI98" s="83"/>
      <c r="OJ98" s="83"/>
      <c r="OK98" s="83"/>
      <c r="OL98" s="83"/>
      <c r="OM98" s="83"/>
      <c r="ON98" s="83"/>
      <c r="OO98" s="83"/>
      <c r="OP98" s="83"/>
      <c r="OQ98" s="83"/>
      <c r="OR98" s="83"/>
      <c r="OS98" s="83"/>
      <c r="OT98" s="83"/>
      <c r="OU98" s="83"/>
      <c r="OV98" s="83"/>
      <c r="OW98" s="83"/>
      <c r="OX98" s="83"/>
      <c r="OY98" s="83"/>
      <c r="OZ98" s="83"/>
      <c r="PA98" s="83"/>
      <c r="PB98" s="83"/>
      <c r="PC98" s="83"/>
      <c r="PD98" s="83"/>
      <c r="PE98" s="83"/>
      <c r="PF98" s="83"/>
      <c r="PG98" s="83"/>
      <c r="PH98" s="83"/>
      <c r="PI98" s="83"/>
      <c r="PJ98" s="83"/>
      <c r="PK98" s="83"/>
      <c r="PL98" s="83"/>
      <c r="PM98" s="83"/>
      <c r="PN98" s="83"/>
      <c r="PO98" s="83"/>
      <c r="PP98" s="83"/>
      <c r="PQ98" s="83"/>
      <c r="PR98" s="83"/>
      <c r="PS98" s="83"/>
      <c r="PT98" s="83"/>
      <c r="PU98" s="83"/>
      <c r="PV98" s="83"/>
      <c r="PW98" s="83"/>
      <c r="PX98" s="83"/>
      <c r="PY98" s="83"/>
      <c r="PZ98" s="83"/>
      <c r="QA98" s="83"/>
      <c r="QB98" s="83"/>
      <c r="QC98" s="83"/>
      <c r="QD98" s="83"/>
      <c r="QE98" s="83"/>
      <c r="QF98" s="83"/>
      <c r="QG98" s="83"/>
      <c r="QH98" s="83"/>
      <c r="QI98" s="83"/>
      <c r="QJ98" s="83"/>
      <c r="QK98" s="83"/>
      <c r="QL98" s="83"/>
      <c r="QM98" s="83"/>
      <c r="QN98" s="83"/>
      <c r="QO98" s="83"/>
      <c r="QP98" s="83"/>
      <c r="QQ98" s="83"/>
      <c r="QR98" s="83"/>
      <c r="QS98" s="83"/>
      <c r="QT98" s="83"/>
      <c r="QU98" s="83"/>
      <c r="QV98" s="83"/>
      <c r="QW98" s="83"/>
      <c r="QX98" s="83"/>
      <c r="QY98" s="83"/>
      <c r="QZ98" s="83"/>
      <c r="RA98" s="83"/>
      <c r="RB98" s="83"/>
      <c r="RC98" s="83"/>
      <c r="RD98" s="83"/>
      <c r="RE98" s="83"/>
      <c r="RF98" s="83"/>
      <c r="RG98" s="83"/>
      <c r="RH98" s="83"/>
      <c r="RI98" s="83"/>
      <c r="RJ98" s="83"/>
      <c r="RK98" s="83"/>
      <c r="RL98" s="83"/>
      <c r="RM98" s="83"/>
      <c r="RN98" s="83"/>
      <c r="RO98" s="83"/>
      <c r="RP98" s="83"/>
      <c r="RQ98" s="83"/>
      <c r="RR98" s="83"/>
      <c r="RS98" s="83"/>
      <c r="RT98" s="83"/>
      <c r="RU98" s="83"/>
      <c r="RV98" s="83"/>
      <c r="RW98" s="83"/>
      <c r="RX98" s="83"/>
      <c r="RY98" s="83"/>
      <c r="RZ98" s="83"/>
      <c r="SA98" s="83"/>
      <c r="SB98" s="83"/>
      <c r="SC98" s="83"/>
      <c r="SD98" s="83"/>
      <c r="SE98" s="83"/>
      <c r="SF98" s="83"/>
      <c r="SG98" s="83"/>
      <c r="SH98" s="83"/>
      <c r="SI98" s="83"/>
      <c r="SJ98" s="83"/>
      <c r="SK98" s="83"/>
      <c r="SL98" s="83"/>
      <c r="SM98" s="83"/>
      <c r="SN98" s="83"/>
      <c r="SO98" s="83"/>
      <c r="SP98" s="83"/>
      <c r="SQ98" s="83"/>
      <c r="SR98" s="83"/>
      <c r="SS98" s="83"/>
      <c r="ST98" s="83"/>
      <c r="SU98" s="83"/>
      <c r="SV98" s="83"/>
      <c r="SW98" s="83"/>
      <c r="SX98" s="83"/>
      <c r="SY98" s="83"/>
      <c r="SZ98" s="83"/>
      <c r="TA98" s="83"/>
      <c r="TB98" s="83"/>
      <c r="TC98" s="83"/>
      <c r="TD98" s="83"/>
      <c r="TE98" s="83"/>
      <c r="TF98" s="83"/>
      <c r="TG98" s="83"/>
      <c r="TH98" s="83"/>
      <c r="TI98" s="83"/>
      <c r="TJ98" s="83"/>
      <c r="TK98" s="83"/>
      <c r="TL98" s="83"/>
      <c r="TM98" s="83"/>
      <c r="TN98" s="83"/>
      <c r="TO98" s="83"/>
      <c r="TP98" s="83"/>
      <c r="TQ98" s="83"/>
      <c r="TR98" s="83"/>
      <c r="TS98" s="83"/>
      <c r="TT98" s="83"/>
      <c r="TU98" s="83"/>
      <c r="TV98" s="83"/>
      <c r="TW98" s="83"/>
      <c r="TX98" s="83"/>
      <c r="TY98" s="83"/>
      <c r="TZ98" s="83"/>
      <c r="UA98" s="83"/>
      <c r="UB98" s="83"/>
      <c r="UC98" s="83"/>
      <c r="UD98" s="83"/>
      <c r="UE98" s="83"/>
      <c r="UF98" s="83"/>
      <c r="UG98" s="83"/>
      <c r="UH98" s="83"/>
      <c r="UI98" s="83"/>
      <c r="UJ98" s="83"/>
      <c r="UK98" s="83"/>
      <c r="UL98" s="83"/>
      <c r="UM98" s="83"/>
      <c r="UN98" s="83"/>
      <c r="UO98" s="83"/>
      <c r="UP98" s="83"/>
      <c r="UQ98" s="83"/>
      <c r="UR98" s="83"/>
      <c r="US98" s="83"/>
      <c r="UT98" s="83"/>
      <c r="UU98" s="83"/>
      <c r="UV98" s="83"/>
      <c r="UW98" s="83"/>
      <c r="UX98" s="83"/>
      <c r="UY98" s="83"/>
      <c r="UZ98" s="83"/>
      <c r="VA98" s="83"/>
      <c r="VB98" s="83"/>
      <c r="VC98" s="83"/>
      <c r="VD98" s="83"/>
      <c r="VE98" s="83"/>
      <c r="VF98" s="83"/>
      <c r="VG98" s="83"/>
      <c r="VH98" s="83"/>
      <c r="VI98" s="83"/>
      <c r="VJ98" s="83"/>
      <c r="VK98" s="83"/>
      <c r="VL98" s="83"/>
      <c r="VM98" s="83"/>
      <c r="VN98" s="83"/>
      <c r="VO98" s="83"/>
      <c r="VP98" s="83"/>
      <c r="VQ98" s="83"/>
      <c r="VR98" s="83"/>
      <c r="VS98" s="83"/>
      <c r="VT98" s="83"/>
      <c r="VU98" s="83"/>
      <c r="VV98" s="83"/>
      <c r="VW98" s="83"/>
      <c r="VX98" s="83"/>
      <c r="VY98" s="83"/>
      <c r="VZ98" s="83"/>
      <c r="WA98" s="83"/>
      <c r="WB98" s="83"/>
      <c r="WC98" s="83"/>
      <c r="WD98" s="83"/>
      <c r="WE98" s="83"/>
      <c r="WF98" s="83"/>
      <c r="WG98" s="83"/>
      <c r="WH98" s="83"/>
      <c r="WI98" s="83"/>
      <c r="WJ98" s="83"/>
      <c r="WK98" s="83"/>
      <c r="WL98" s="83"/>
      <c r="WM98" s="83"/>
      <c r="WN98" s="83"/>
      <c r="WO98" s="83"/>
      <c r="WP98" s="83"/>
      <c r="WQ98" s="83"/>
      <c r="WR98" s="83"/>
      <c r="WS98" s="83"/>
      <c r="WT98" s="83"/>
      <c r="WU98" s="83"/>
      <c r="WV98" s="83"/>
      <c r="WW98" s="83"/>
      <c r="WX98" s="83"/>
      <c r="WY98" s="83"/>
      <c r="WZ98" s="83"/>
      <c r="XA98" s="83"/>
      <c r="XB98" s="83"/>
      <c r="XC98" s="83"/>
      <c r="XD98" s="83"/>
      <c r="XE98" s="83"/>
      <c r="XF98" s="83"/>
      <c r="XG98" s="83"/>
      <c r="XH98" s="83"/>
      <c r="XI98" s="83"/>
      <c r="XJ98" s="83"/>
      <c r="XK98" s="83"/>
      <c r="XL98" s="83"/>
      <c r="XM98" s="83"/>
      <c r="XN98" s="83"/>
      <c r="XO98" s="83"/>
      <c r="XP98" s="83"/>
      <c r="XQ98" s="83"/>
      <c r="XR98" s="83"/>
      <c r="XS98" s="83"/>
      <c r="XT98" s="83"/>
      <c r="XU98" s="83"/>
      <c r="XV98" s="83"/>
      <c r="XW98" s="83"/>
      <c r="XX98" s="83"/>
      <c r="XY98" s="83"/>
      <c r="XZ98" s="83"/>
      <c r="YA98" s="83"/>
      <c r="YB98" s="83"/>
      <c r="YC98" s="83"/>
      <c r="YD98" s="83"/>
      <c r="YE98" s="83"/>
      <c r="YF98" s="83"/>
      <c r="YG98" s="83"/>
      <c r="YH98" s="83"/>
      <c r="YI98" s="83"/>
      <c r="YJ98" s="83"/>
      <c r="YK98" s="83"/>
      <c r="YL98" s="83"/>
      <c r="YM98" s="83"/>
      <c r="YN98" s="83"/>
      <c r="YO98" s="83"/>
      <c r="YP98" s="83"/>
      <c r="YQ98" s="83"/>
      <c r="YR98" s="83"/>
      <c r="YS98" s="83"/>
      <c r="YT98" s="83"/>
      <c r="YU98" s="83"/>
      <c r="YV98" s="83"/>
      <c r="YW98" s="83"/>
      <c r="YX98" s="83"/>
      <c r="YY98" s="83"/>
      <c r="YZ98" s="83"/>
      <c r="ZA98" s="83"/>
      <c r="ZB98" s="83"/>
      <c r="ZC98" s="83"/>
      <c r="ZD98" s="83"/>
      <c r="ZE98" s="83"/>
      <c r="ZF98" s="83"/>
      <c r="ZG98" s="83"/>
      <c r="ZH98" s="83"/>
      <c r="ZI98" s="83"/>
      <c r="ZJ98" s="83"/>
      <c r="ZK98" s="83"/>
      <c r="ZL98" s="83"/>
      <c r="ZM98" s="83"/>
      <c r="ZN98" s="83"/>
      <c r="ZO98" s="83"/>
      <c r="ZP98" s="83"/>
      <c r="ZQ98" s="83"/>
      <c r="ZR98" s="83"/>
      <c r="ZS98" s="83"/>
      <c r="ZT98" s="83"/>
      <c r="ZU98" s="83"/>
      <c r="ZV98" s="83"/>
      <c r="ZW98" s="83"/>
      <c r="ZX98" s="83"/>
      <c r="ZY98" s="83"/>
      <c r="ZZ98" s="83"/>
      <c r="AAA98" s="83"/>
      <c r="AAB98" s="83"/>
      <c r="AAC98" s="83"/>
      <c r="AAD98" s="83"/>
      <c r="AAE98" s="83"/>
      <c r="AAF98" s="83"/>
      <c r="AAG98" s="83"/>
      <c r="AAH98" s="83"/>
      <c r="AAI98" s="83"/>
      <c r="AAJ98" s="83"/>
      <c r="AAK98" s="83"/>
      <c r="AAL98" s="83"/>
      <c r="AAM98" s="83"/>
      <c r="AAN98" s="83"/>
      <c r="AAO98" s="83"/>
      <c r="AAP98" s="83"/>
      <c r="AAQ98" s="83"/>
      <c r="AAR98" s="83"/>
      <c r="AAS98" s="83"/>
      <c r="AAT98" s="83"/>
      <c r="AAU98" s="83"/>
      <c r="AAV98" s="83"/>
      <c r="AAW98" s="83"/>
      <c r="AAX98" s="83"/>
      <c r="AAY98" s="83"/>
      <c r="AAZ98" s="83"/>
      <c r="ABA98" s="83"/>
      <c r="ABB98" s="83"/>
      <c r="ABC98" s="83"/>
      <c r="ABD98" s="83"/>
      <c r="ABE98" s="83"/>
      <c r="ABF98" s="83"/>
      <c r="ABG98" s="83"/>
      <c r="ABH98" s="83"/>
      <c r="ABI98" s="83"/>
      <c r="ABJ98" s="83"/>
      <c r="ABK98" s="83"/>
      <c r="ABL98" s="83"/>
      <c r="ABM98" s="83"/>
      <c r="ABN98" s="83"/>
      <c r="ABO98" s="83"/>
      <c r="ABP98" s="83"/>
      <c r="ABQ98" s="83"/>
      <c r="ABR98" s="83"/>
      <c r="ABS98" s="83"/>
      <c r="ABT98" s="83"/>
      <c r="ABU98" s="83"/>
      <c r="ABV98" s="83"/>
      <c r="ABW98" s="83"/>
      <c r="ABX98" s="83"/>
      <c r="ABY98" s="83"/>
      <c r="ABZ98" s="83"/>
      <c r="ACA98" s="83"/>
      <c r="ACB98" s="83"/>
      <c r="ACC98" s="83"/>
      <c r="ACD98" s="83"/>
      <c r="ACE98" s="83"/>
      <c r="ACF98" s="83"/>
      <c r="ACG98" s="83"/>
      <c r="ACH98" s="83"/>
      <c r="ACI98" s="83"/>
      <c r="ACJ98" s="83"/>
      <c r="ACK98" s="83"/>
      <c r="ACL98" s="83"/>
      <c r="ACM98" s="83"/>
      <c r="ACN98" s="83"/>
      <c r="ACO98" s="83"/>
      <c r="ACP98" s="83"/>
      <c r="ACQ98" s="83"/>
      <c r="ACR98" s="83"/>
      <c r="ACS98" s="83"/>
      <c r="ACT98" s="83"/>
      <c r="ACU98" s="83"/>
      <c r="ACV98" s="83"/>
      <c r="ACW98" s="83"/>
      <c r="ACX98" s="83"/>
      <c r="ACY98" s="83"/>
      <c r="ACZ98" s="83"/>
      <c r="ADA98" s="83"/>
      <c r="ADB98" s="83"/>
      <c r="ADC98" s="83"/>
      <c r="ADD98" s="83"/>
      <c r="ADE98" s="83"/>
      <c r="ADF98" s="83"/>
      <c r="ADG98" s="83"/>
      <c r="ADH98" s="83"/>
      <c r="ADI98" s="83"/>
      <c r="ADJ98" s="83"/>
      <c r="ADK98" s="83"/>
      <c r="ADL98" s="83"/>
      <c r="ADM98" s="83"/>
      <c r="ADN98" s="83"/>
      <c r="ADO98" s="83"/>
      <c r="ADP98" s="83"/>
      <c r="ADQ98" s="83"/>
      <c r="ADR98" s="83"/>
      <c r="ADS98" s="83"/>
      <c r="ADT98" s="83"/>
      <c r="ADU98" s="83"/>
      <c r="ADV98" s="83"/>
      <c r="ADW98" s="83"/>
      <c r="ADX98" s="83"/>
      <c r="ADY98" s="83"/>
      <c r="ADZ98" s="83"/>
      <c r="AEA98" s="83"/>
      <c r="AEB98" s="83"/>
      <c r="AEC98" s="83"/>
      <c r="AED98" s="83"/>
      <c r="AEE98" s="83"/>
      <c r="AEF98" s="83"/>
      <c r="AEG98" s="83"/>
      <c r="AEH98" s="83"/>
      <c r="AEI98" s="83"/>
      <c r="AEJ98" s="83"/>
      <c r="AEK98" s="83"/>
      <c r="AEL98" s="83"/>
      <c r="AEM98" s="83"/>
      <c r="AEN98" s="83"/>
      <c r="AEO98" s="83"/>
      <c r="AEP98" s="83"/>
      <c r="AEQ98" s="83"/>
      <c r="AER98" s="83"/>
      <c r="AES98" s="83"/>
      <c r="AET98" s="83"/>
      <c r="AEU98" s="83"/>
      <c r="AEV98" s="83"/>
      <c r="AEW98" s="83"/>
      <c r="AEX98" s="83"/>
      <c r="AEY98" s="83"/>
      <c r="AEZ98" s="83"/>
      <c r="AFA98" s="83"/>
      <c r="AFB98" s="83"/>
      <c r="AFC98" s="83"/>
      <c r="AFD98" s="83"/>
      <c r="AFE98" s="83"/>
      <c r="AFF98" s="83"/>
      <c r="AFG98" s="83"/>
      <c r="AFH98" s="83"/>
      <c r="AFI98" s="83"/>
      <c r="AFJ98" s="83"/>
      <c r="AFK98" s="83"/>
      <c r="AFL98" s="83"/>
      <c r="AFM98" s="83"/>
      <c r="AFN98" s="83"/>
      <c r="AFO98" s="83"/>
      <c r="AFP98" s="83"/>
      <c r="AFQ98" s="83"/>
      <c r="AFR98" s="83"/>
      <c r="AFS98" s="83"/>
      <c r="AFT98" s="83"/>
      <c r="AFU98" s="83"/>
      <c r="AFV98" s="83"/>
      <c r="AFW98" s="83"/>
      <c r="AFX98" s="83"/>
      <c r="AFY98" s="83"/>
      <c r="AFZ98" s="83"/>
      <c r="AGA98" s="83"/>
      <c r="AGB98" s="83"/>
      <c r="AGC98" s="83"/>
      <c r="AGD98" s="83"/>
      <c r="AGE98" s="83"/>
      <c r="AGF98" s="83"/>
      <c r="AGG98" s="83"/>
      <c r="AGH98" s="83"/>
      <c r="AGI98" s="83"/>
      <c r="AGJ98" s="83"/>
      <c r="AGK98" s="83"/>
      <c r="AGL98" s="83"/>
      <c r="AGM98" s="83"/>
      <c r="AGN98" s="83"/>
      <c r="AGO98" s="83"/>
      <c r="AGP98" s="83"/>
      <c r="AGQ98" s="83"/>
      <c r="AGR98" s="83"/>
      <c r="AGS98" s="83"/>
      <c r="AGT98" s="83"/>
      <c r="AGU98" s="83"/>
      <c r="AGV98" s="83"/>
      <c r="AGW98" s="83"/>
      <c r="AGX98" s="83"/>
      <c r="AGY98" s="83"/>
      <c r="AGZ98" s="83"/>
      <c r="AHA98" s="83"/>
      <c r="AHB98" s="83"/>
      <c r="AHC98" s="83"/>
      <c r="AHD98" s="83"/>
      <c r="AHE98" s="83"/>
      <c r="AHF98" s="83"/>
      <c r="AHG98" s="83"/>
      <c r="AHH98" s="83"/>
      <c r="AHI98" s="83"/>
      <c r="AHJ98" s="83"/>
      <c r="AHK98" s="83"/>
      <c r="AHL98" s="83"/>
      <c r="AHM98" s="83"/>
      <c r="AHN98" s="83"/>
      <c r="AHO98" s="83"/>
      <c r="AHP98" s="83"/>
      <c r="AHQ98" s="83"/>
      <c r="AHR98" s="83"/>
      <c r="AHS98" s="83"/>
      <c r="AHT98" s="83"/>
      <c r="AHU98" s="83"/>
      <c r="AHV98" s="83"/>
      <c r="AHW98" s="83"/>
      <c r="AHX98" s="83"/>
      <c r="AHY98" s="83"/>
      <c r="AHZ98" s="83"/>
      <c r="AIA98" s="83"/>
      <c r="AIB98" s="83"/>
      <c r="AIC98" s="83"/>
      <c r="AID98" s="83"/>
      <c r="AIE98" s="83"/>
      <c r="AIF98" s="83"/>
      <c r="AIG98" s="83"/>
      <c r="AIH98" s="83"/>
      <c r="AII98" s="83"/>
      <c r="AIJ98" s="83"/>
      <c r="AIK98" s="83"/>
      <c r="AIL98" s="83"/>
      <c r="AIM98" s="83"/>
      <c r="AIN98" s="83"/>
      <c r="AIO98" s="83"/>
      <c r="AIP98" s="83"/>
      <c r="AIQ98" s="83"/>
      <c r="AIR98" s="83"/>
      <c r="AIS98" s="83"/>
      <c r="AIT98" s="83"/>
      <c r="AIU98" s="83"/>
      <c r="AIV98" s="83"/>
      <c r="AIW98" s="83"/>
      <c r="AIX98" s="83"/>
      <c r="AIY98" s="83"/>
      <c r="AIZ98" s="83"/>
      <c r="AJA98" s="83"/>
      <c r="AJB98" s="83"/>
      <c r="AJC98" s="83"/>
      <c r="AJD98" s="83"/>
      <c r="AJE98" s="83"/>
      <c r="AJF98" s="83"/>
      <c r="AJG98" s="83"/>
      <c r="AJH98" s="83"/>
      <c r="AJI98" s="83"/>
      <c r="AJJ98" s="83"/>
      <c r="AJK98" s="83"/>
      <c r="AJL98" s="83"/>
      <c r="AJM98" s="83"/>
      <c r="AJN98" s="83"/>
      <c r="AJO98" s="83"/>
      <c r="AJP98" s="83"/>
      <c r="AJQ98" s="83"/>
      <c r="AJR98" s="83"/>
      <c r="AJS98" s="83"/>
      <c r="AJT98" s="83"/>
      <c r="AJU98" s="83"/>
      <c r="AJV98" s="83"/>
      <c r="AJW98" s="83"/>
      <c r="AJX98" s="83"/>
      <c r="AJY98" s="83"/>
      <c r="AJZ98" s="83"/>
      <c r="AKA98" s="83"/>
      <c r="AKB98" s="83"/>
      <c r="AKC98" s="83"/>
      <c r="AKD98" s="83"/>
      <c r="AKE98" s="83"/>
      <c r="AKF98" s="83"/>
      <c r="AKG98" s="83"/>
      <c r="AKH98" s="83"/>
      <c r="AKI98" s="83"/>
      <c r="AKJ98" s="83"/>
      <c r="AKK98" s="83"/>
      <c r="AKL98" s="83"/>
      <c r="AKM98" s="83"/>
      <c r="AKN98" s="83"/>
      <c r="AKO98" s="83"/>
      <c r="AKP98" s="83"/>
      <c r="AKQ98" s="83"/>
      <c r="AKR98" s="83"/>
      <c r="AKS98" s="83"/>
      <c r="AKT98" s="83"/>
      <c r="AKU98" s="83"/>
      <c r="AKV98" s="83"/>
      <c r="AKW98" s="83"/>
      <c r="AKX98" s="83"/>
      <c r="AKY98" s="83"/>
      <c r="AKZ98" s="83"/>
      <c r="ALA98" s="83"/>
      <c r="ALB98" s="83"/>
      <c r="ALC98" s="83"/>
      <c r="ALD98" s="83"/>
      <c r="ALE98" s="83"/>
      <c r="ALF98" s="83"/>
      <c r="ALG98" s="83"/>
      <c r="ALH98" s="83"/>
      <c r="ALI98" s="83"/>
      <c r="ALJ98" s="83"/>
      <c r="ALK98" s="83"/>
      <c r="ALL98" s="83"/>
      <c r="ALM98" s="83"/>
      <c r="ALN98" s="83"/>
      <c r="ALO98" s="83"/>
      <c r="ALP98" s="83"/>
      <c r="ALQ98" s="83"/>
      <c r="ALR98" s="83"/>
      <c r="ALS98" s="83"/>
      <c r="ALT98" s="83"/>
      <c r="ALU98" s="83"/>
      <c r="ALV98" s="83"/>
      <c r="ALW98" s="83"/>
      <c r="ALX98" s="83"/>
      <c r="ALY98" s="83"/>
      <c r="ALZ98" s="83"/>
      <c r="AMA98" s="83"/>
      <c r="AMB98" s="83"/>
      <c r="AMC98" s="83"/>
      <c r="AMD98" s="83"/>
      <c r="AME98" s="83"/>
      <c r="AMF98" s="83"/>
      <c r="AMG98" s="83"/>
      <c r="AMH98" s="83"/>
      <c r="AMI98" s="83"/>
      <c r="AMJ98" s="83"/>
      <c r="AMK98" s="83"/>
      <c r="AML98" s="83"/>
      <c r="AMM98" s="83"/>
      <c r="AMN98" s="83"/>
      <c r="AMO98" s="83"/>
      <c r="AMP98" s="83"/>
      <c r="AMQ98" s="83"/>
      <c r="AMR98" s="83"/>
      <c r="AMS98" s="83"/>
      <c r="AMT98" s="83"/>
      <c r="AMU98" s="83"/>
      <c r="AMV98" s="83"/>
      <c r="AMW98" s="83"/>
      <c r="AMX98" s="83"/>
      <c r="AMY98" s="83"/>
      <c r="AMZ98" s="83"/>
      <c r="ANA98" s="83"/>
      <c r="ANB98" s="83"/>
      <c r="ANC98" s="83"/>
      <c r="AND98" s="83"/>
      <c r="ANE98" s="83"/>
      <c r="ANF98" s="83"/>
      <c r="ANG98" s="83"/>
      <c r="ANH98" s="83"/>
      <c r="ANI98" s="83"/>
      <c r="ANJ98" s="83"/>
      <c r="ANK98" s="83"/>
      <c r="ANL98" s="83"/>
      <c r="ANM98" s="83"/>
      <c r="ANN98" s="83"/>
      <c r="ANO98" s="83"/>
      <c r="ANP98" s="83"/>
      <c r="ANQ98" s="83"/>
      <c r="ANR98" s="83"/>
      <c r="ANS98" s="83"/>
      <c r="ANT98" s="83"/>
      <c r="ANU98" s="83"/>
      <c r="ANV98" s="83"/>
      <c r="ANW98" s="83"/>
      <c r="ANX98" s="83"/>
      <c r="ANY98" s="83"/>
      <c r="ANZ98" s="83"/>
      <c r="AOA98" s="83"/>
      <c r="AOB98" s="83"/>
      <c r="AOC98" s="83"/>
      <c r="AOD98" s="83"/>
      <c r="AOE98" s="83"/>
      <c r="AOF98" s="83"/>
      <c r="AOG98" s="83"/>
      <c r="AOH98" s="83"/>
      <c r="AOI98" s="83"/>
      <c r="AOJ98" s="83"/>
      <c r="AOK98" s="83"/>
      <c r="AOL98" s="83"/>
      <c r="AOM98" s="83"/>
      <c r="AON98" s="83"/>
      <c r="AOO98" s="83"/>
      <c r="AOP98" s="83"/>
      <c r="AOQ98" s="83"/>
      <c r="AOR98" s="83"/>
      <c r="AOS98" s="83"/>
      <c r="AOT98" s="83"/>
      <c r="AOU98" s="83"/>
      <c r="AOV98" s="83"/>
      <c r="AOW98" s="83"/>
      <c r="AOX98" s="83"/>
      <c r="AOY98" s="83"/>
      <c r="AOZ98" s="83"/>
      <c r="APA98" s="83"/>
      <c r="APB98" s="83"/>
      <c r="APC98" s="83"/>
      <c r="APD98" s="83"/>
      <c r="APE98" s="83"/>
      <c r="APF98" s="83"/>
      <c r="APG98" s="83"/>
      <c r="APH98" s="83"/>
      <c r="API98" s="83"/>
      <c r="APJ98" s="83"/>
      <c r="APK98" s="83"/>
      <c r="APL98" s="83"/>
      <c r="APM98" s="83"/>
      <c r="APN98" s="83"/>
      <c r="APO98" s="83"/>
      <c r="APP98" s="83"/>
      <c r="APQ98" s="83"/>
      <c r="APR98" s="83"/>
      <c r="APS98" s="83"/>
      <c r="APT98" s="83"/>
      <c r="APU98" s="83"/>
      <c r="APV98" s="83"/>
      <c r="APW98" s="83"/>
      <c r="APX98" s="83"/>
      <c r="APY98" s="83"/>
      <c r="APZ98" s="83"/>
      <c r="AQA98" s="83"/>
      <c r="AQB98" s="83"/>
      <c r="AQC98" s="83"/>
      <c r="AQD98" s="83"/>
      <c r="AQE98" s="83"/>
      <c r="AQF98" s="83"/>
      <c r="AQG98" s="83"/>
      <c r="AQH98" s="83"/>
      <c r="AQI98" s="83"/>
      <c r="AQJ98" s="83"/>
      <c r="AQK98" s="83"/>
      <c r="AQL98" s="83"/>
      <c r="AQM98" s="83"/>
      <c r="AQN98" s="83"/>
      <c r="AQO98" s="83"/>
      <c r="AQP98" s="83"/>
      <c r="AQQ98" s="83"/>
      <c r="AQR98" s="83"/>
      <c r="AQS98" s="83"/>
      <c r="AQT98" s="83"/>
      <c r="AQU98" s="83"/>
      <c r="AQV98" s="83"/>
      <c r="AQW98" s="83"/>
      <c r="AQX98" s="83"/>
      <c r="AQY98" s="83"/>
      <c r="AQZ98" s="83"/>
      <c r="ARA98" s="83"/>
      <c r="ARB98" s="83"/>
      <c r="ARC98" s="83"/>
      <c r="ARD98" s="83"/>
      <c r="ARE98" s="83"/>
      <c r="ARF98" s="83"/>
      <c r="ARG98" s="83"/>
      <c r="ARH98" s="83"/>
      <c r="ARI98" s="83"/>
      <c r="ARJ98" s="83"/>
      <c r="ARK98" s="83"/>
      <c r="ARL98" s="83"/>
      <c r="ARM98" s="83"/>
      <c r="ARN98" s="83"/>
      <c r="ARO98" s="83"/>
      <c r="ARP98" s="83"/>
      <c r="ARQ98" s="83"/>
      <c r="ARR98" s="83"/>
      <c r="ARS98" s="83"/>
      <c r="ART98" s="83"/>
      <c r="ARU98" s="83"/>
      <c r="ARV98" s="83"/>
      <c r="ARW98" s="83"/>
      <c r="ARX98" s="83"/>
      <c r="ARY98" s="83"/>
      <c r="ARZ98" s="83"/>
      <c r="ASA98" s="83"/>
      <c r="ASB98" s="83"/>
      <c r="ASC98" s="83"/>
      <c r="ASD98" s="83"/>
      <c r="ASE98" s="83"/>
      <c r="ASF98" s="83"/>
      <c r="ASG98" s="83"/>
      <c r="ASH98" s="83"/>
      <c r="ASI98" s="83"/>
      <c r="ASJ98" s="83"/>
      <c r="ASK98" s="83"/>
      <c r="ASL98" s="83"/>
      <c r="ASM98" s="83"/>
      <c r="ASN98" s="83"/>
      <c r="ASO98" s="83"/>
      <c r="ASP98" s="83"/>
      <c r="ASQ98" s="83"/>
      <c r="ASR98" s="83"/>
      <c r="ASS98" s="83"/>
      <c r="AST98" s="83"/>
      <c r="ASU98" s="83"/>
      <c r="ASV98" s="83"/>
      <c r="ASW98" s="83"/>
      <c r="ASX98" s="83"/>
      <c r="ASY98" s="83"/>
      <c r="ASZ98" s="83"/>
      <c r="ATA98" s="83"/>
      <c r="ATB98" s="83"/>
      <c r="ATC98" s="83"/>
      <c r="ATD98" s="83"/>
      <c r="ATE98" s="83"/>
      <c r="ATF98" s="83"/>
      <c r="ATG98" s="83"/>
      <c r="ATH98" s="83"/>
      <c r="ATI98" s="83"/>
      <c r="ATJ98" s="83"/>
      <c r="ATK98" s="83"/>
      <c r="ATL98" s="83"/>
      <c r="ATM98" s="83"/>
      <c r="ATN98" s="83"/>
      <c r="ATO98" s="83"/>
      <c r="ATP98" s="83"/>
      <c r="ATQ98" s="83"/>
      <c r="ATR98" s="83"/>
      <c r="ATS98" s="83"/>
      <c r="ATT98" s="83"/>
      <c r="ATU98" s="83"/>
      <c r="ATV98" s="83"/>
      <c r="ATW98" s="83"/>
      <c r="ATX98" s="83"/>
      <c r="ATY98" s="83"/>
      <c r="ATZ98" s="83"/>
      <c r="AUA98" s="83"/>
      <c r="AUB98" s="83"/>
      <c r="AUC98" s="83"/>
      <c r="AUD98" s="83"/>
      <c r="AUE98" s="83"/>
      <c r="AUF98" s="83"/>
      <c r="AUG98" s="83"/>
      <c r="AUH98" s="83"/>
      <c r="AUI98" s="83"/>
      <c r="AUJ98" s="83"/>
      <c r="AUK98" s="83"/>
      <c r="AUL98" s="83"/>
      <c r="AUM98" s="83"/>
      <c r="AUN98" s="83"/>
      <c r="AUO98" s="83"/>
      <c r="AUP98" s="83"/>
      <c r="AUQ98" s="83"/>
      <c r="AUR98" s="83"/>
      <c r="AUS98" s="83"/>
      <c r="AUT98" s="83"/>
      <c r="AUU98" s="83"/>
      <c r="AUV98" s="83"/>
      <c r="AUW98" s="83"/>
      <c r="AUX98" s="83"/>
      <c r="AUY98" s="83"/>
      <c r="AUZ98" s="83"/>
      <c r="AVA98" s="83"/>
      <c r="AVB98" s="83"/>
      <c r="AVC98" s="83"/>
      <c r="AVD98" s="83"/>
      <c r="AVE98" s="83"/>
      <c r="AVF98" s="83"/>
      <c r="AVG98" s="83"/>
      <c r="AVH98" s="83"/>
      <c r="AVI98" s="83"/>
      <c r="AVJ98" s="83"/>
      <c r="AVK98" s="83"/>
      <c r="AVL98" s="83"/>
      <c r="AVM98" s="83"/>
      <c r="AVN98" s="83"/>
      <c r="AVO98" s="83"/>
      <c r="AVP98" s="83"/>
      <c r="AVQ98" s="83"/>
      <c r="AVR98" s="83"/>
      <c r="AVS98" s="83"/>
      <c r="AVT98" s="83"/>
      <c r="AVU98" s="83"/>
      <c r="AVV98" s="83"/>
      <c r="AVW98" s="83"/>
      <c r="AVX98" s="83"/>
      <c r="AVY98" s="83"/>
      <c r="AVZ98" s="83"/>
      <c r="AWA98" s="83"/>
      <c r="AWB98" s="83"/>
      <c r="AWC98" s="83"/>
      <c r="AWD98" s="83"/>
      <c r="AWE98" s="83"/>
      <c r="AWF98" s="83"/>
      <c r="AWG98" s="83"/>
      <c r="AWH98" s="83"/>
      <c r="AWI98" s="83"/>
      <c r="AWJ98" s="83"/>
      <c r="AWK98" s="83"/>
      <c r="AWL98" s="83"/>
      <c r="AWM98" s="83"/>
      <c r="AWN98" s="83"/>
      <c r="AWO98" s="83"/>
      <c r="AWP98" s="83"/>
      <c r="AWQ98" s="83"/>
      <c r="AWR98" s="83"/>
      <c r="AWS98" s="83"/>
      <c r="AWT98" s="83"/>
      <c r="AWU98" s="83"/>
      <c r="AWV98" s="83"/>
      <c r="AWW98" s="83"/>
      <c r="AWX98" s="83"/>
      <c r="AWY98" s="83"/>
      <c r="AWZ98" s="83"/>
      <c r="AXA98" s="83"/>
      <c r="AXB98" s="83"/>
      <c r="AXC98" s="83"/>
      <c r="AXD98" s="83"/>
      <c r="AXE98" s="83"/>
      <c r="AXF98" s="83"/>
      <c r="AXG98" s="83"/>
      <c r="AXH98" s="83"/>
      <c r="AXI98" s="83"/>
      <c r="AXJ98" s="83"/>
      <c r="AXK98" s="83"/>
      <c r="AXL98" s="83"/>
      <c r="AXM98" s="83"/>
      <c r="AXN98" s="83"/>
      <c r="AXO98" s="83"/>
      <c r="AXP98" s="83"/>
      <c r="AXQ98" s="83"/>
      <c r="AXR98" s="83"/>
      <c r="AXS98" s="83"/>
      <c r="AXT98" s="83"/>
      <c r="AXU98" s="83"/>
      <c r="AXV98" s="83"/>
      <c r="AXW98" s="83"/>
      <c r="AXX98" s="83"/>
      <c r="AXY98" s="83"/>
      <c r="AXZ98" s="83"/>
      <c r="AYA98" s="83"/>
      <c r="AYB98" s="83"/>
      <c r="AYC98" s="83"/>
      <c r="AYD98" s="83"/>
      <c r="AYE98" s="83"/>
      <c r="AYF98" s="83"/>
      <c r="AYG98" s="83"/>
      <c r="AYH98" s="83"/>
      <c r="AYI98" s="83"/>
      <c r="AYJ98" s="83"/>
      <c r="AYK98" s="83"/>
      <c r="AYL98" s="83"/>
      <c r="AYM98" s="83"/>
      <c r="AYN98" s="83"/>
      <c r="AYO98" s="83"/>
      <c r="AYP98" s="83"/>
      <c r="AYQ98" s="83"/>
      <c r="AYR98" s="83"/>
      <c r="AYS98" s="83"/>
      <c r="AYT98" s="83"/>
      <c r="AYU98" s="83"/>
      <c r="AYV98" s="83"/>
      <c r="AYW98" s="83"/>
      <c r="AYX98" s="83"/>
      <c r="AYY98" s="83"/>
      <c r="AYZ98" s="83"/>
      <c r="AZA98" s="83"/>
      <c r="AZB98" s="83"/>
      <c r="AZC98" s="83"/>
      <c r="AZD98" s="83"/>
      <c r="AZE98" s="83"/>
      <c r="AZF98" s="83"/>
      <c r="AZG98" s="83"/>
      <c r="AZH98" s="83"/>
      <c r="AZI98" s="83"/>
      <c r="AZJ98" s="83"/>
      <c r="AZK98" s="83"/>
      <c r="AZL98" s="83"/>
      <c r="AZM98" s="83"/>
      <c r="AZN98" s="83"/>
      <c r="AZO98" s="83"/>
      <c r="AZP98" s="83"/>
      <c r="AZQ98" s="83"/>
      <c r="AZR98" s="83"/>
      <c r="AZS98" s="83"/>
      <c r="AZT98" s="83"/>
      <c r="AZU98" s="83"/>
      <c r="AZV98" s="83"/>
      <c r="AZW98" s="83"/>
      <c r="AZX98" s="83"/>
      <c r="AZY98" s="83"/>
      <c r="AZZ98" s="83"/>
      <c r="BAA98" s="83"/>
      <c r="BAB98" s="83"/>
      <c r="BAC98" s="83"/>
      <c r="BAD98" s="83"/>
      <c r="BAE98" s="83"/>
      <c r="BAF98" s="83"/>
      <c r="BAG98" s="83"/>
      <c r="BAH98" s="83"/>
      <c r="BAI98" s="83"/>
      <c r="BAJ98" s="83"/>
      <c r="BAK98" s="83"/>
      <c r="BAL98" s="83"/>
      <c r="BAM98" s="83"/>
      <c r="BAN98" s="83"/>
      <c r="BAO98" s="83"/>
      <c r="BAP98" s="83"/>
      <c r="BAQ98" s="83"/>
      <c r="BAR98" s="83"/>
      <c r="BAS98" s="83"/>
      <c r="BAT98" s="83"/>
      <c r="BAU98" s="83"/>
      <c r="BAV98" s="83"/>
      <c r="BAW98" s="83"/>
      <c r="BAX98" s="83"/>
      <c r="BAY98" s="83"/>
      <c r="BAZ98" s="83"/>
      <c r="BBA98" s="83"/>
      <c r="BBB98" s="83"/>
      <c r="BBC98" s="83"/>
      <c r="BBD98" s="83"/>
      <c r="BBE98" s="83"/>
      <c r="BBF98" s="83"/>
      <c r="BBG98" s="83"/>
      <c r="BBH98" s="83"/>
      <c r="BBI98" s="83"/>
      <c r="BBJ98" s="83"/>
      <c r="BBK98" s="83"/>
      <c r="BBL98" s="83"/>
      <c r="BBM98" s="83"/>
      <c r="BBN98" s="83"/>
      <c r="BBO98" s="83"/>
      <c r="BBP98" s="83"/>
      <c r="BBQ98" s="83"/>
      <c r="BBR98" s="83"/>
      <c r="BBS98" s="83"/>
      <c r="BBT98" s="83"/>
      <c r="BBU98" s="83"/>
      <c r="BBV98" s="83"/>
      <c r="BBW98" s="83"/>
      <c r="BBX98" s="83"/>
      <c r="BBY98" s="83"/>
      <c r="BBZ98" s="83"/>
      <c r="BCA98" s="83"/>
      <c r="BCB98" s="83"/>
      <c r="BCC98" s="83"/>
      <c r="BCD98" s="83"/>
      <c r="BCE98" s="83"/>
      <c r="BCF98" s="83"/>
      <c r="BCG98" s="83"/>
      <c r="BCH98" s="83"/>
      <c r="BCI98" s="83"/>
      <c r="BCJ98" s="83"/>
      <c r="BCK98" s="83"/>
      <c r="BCL98" s="83"/>
      <c r="BCM98" s="83"/>
      <c r="BCN98" s="83"/>
      <c r="BCO98" s="83"/>
      <c r="BCP98" s="83"/>
      <c r="BCQ98" s="83"/>
      <c r="BCR98" s="83"/>
      <c r="BCS98" s="83"/>
      <c r="BCT98" s="83"/>
      <c r="BCU98" s="83"/>
      <c r="BCV98" s="83"/>
      <c r="BCW98" s="83"/>
      <c r="BCX98" s="83"/>
      <c r="BCY98" s="83"/>
      <c r="BCZ98" s="83"/>
      <c r="BDA98" s="83"/>
      <c r="BDB98" s="83"/>
      <c r="BDC98" s="83"/>
      <c r="BDD98" s="83"/>
      <c r="BDE98" s="83"/>
      <c r="BDF98" s="83"/>
      <c r="BDG98" s="83"/>
      <c r="BDH98" s="83"/>
      <c r="BDI98" s="83"/>
      <c r="BDJ98" s="83"/>
      <c r="BDK98" s="83"/>
      <c r="BDL98" s="83"/>
      <c r="BDM98" s="83"/>
      <c r="BDN98" s="83"/>
      <c r="BDO98" s="83"/>
      <c r="BDP98" s="83"/>
      <c r="BDQ98" s="83"/>
      <c r="BDR98" s="83"/>
      <c r="BDS98" s="83"/>
      <c r="BDT98" s="83"/>
      <c r="BDU98" s="83"/>
      <c r="BDV98" s="83"/>
      <c r="BDW98" s="83"/>
      <c r="BDX98" s="83"/>
      <c r="BDY98" s="83"/>
      <c r="BDZ98" s="83"/>
      <c r="BEA98" s="83"/>
      <c r="BEB98" s="83"/>
      <c r="BEC98" s="83"/>
      <c r="BED98" s="83"/>
      <c r="BEE98" s="83"/>
      <c r="BEF98" s="83"/>
      <c r="BEG98" s="83"/>
      <c r="BEH98" s="83"/>
      <c r="BEI98" s="83"/>
      <c r="BEJ98" s="83"/>
      <c r="BEK98" s="83"/>
      <c r="BEL98" s="83"/>
      <c r="BEM98" s="83"/>
      <c r="BEN98" s="83"/>
      <c r="BEO98" s="83"/>
      <c r="BEP98" s="83"/>
      <c r="BEQ98" s="83"/>
      <c r="BER98" s="83"/>
      <c r="BES98" s="83"/>
      <c r="BET98" s="83"/>
      <c r="BEU98" s="83"/>
      <c r="BEV98" s="83"/>
      <c r="BEW98" s="83"/>
      <c r="BEX98" s="83"/>
      <c r="BEY98" s="83"/>
      <c r="BEZ98" s="83"/>
      <c r="BFA98" s="83"/>
      <c r="BFB98" s="83"/>
      <c r="BFC98" s="83"/>
      <c r="BFD98" s="83"/>
      <c r="BFE98" s="83"/>
      <c r="BFF98" s="83"/>
      <c r="BFG98" s="83"/>
      <c r="BFH98" s="83"/>
      <c r="BFI98" s="83"/>
      <c r="BFJ98" s="83"/>
      <c r="BFK98" s="83"/>
      <c r="BFL98" s="83"/>
      <c r="BFM98" s="83"/>
      <c r="BFN98" s="83"/>
      <c r="BFO98" s="83"/>
      <c r="BFP98" s="83"/>
      <c r="BFQ98" s="83"/>
      <c r="BFR98" s="83"/>
      <c r="BFS98" s="83"/>
      <c r="BFT98" s="83"/>
      <c r="BFU98" s="83"/>
      <c r="BFV98" s="83"/>
      <c r="BFW98" s="83"/>
      <c r="BFX98" s="83"/>
      <c r="BFY98" s="83"/>
      <c r="BFZ98" s="83"/>
      <c r="BGA98" s="83"/>
      <c r="BGB98" s="83"/>
      <c r="BGC98" s="83"/>
      <c r="BGD98" s="83"/>
      <c r="BGE98" s="83"/>
      <c r="BGF98" s="83"/>
      <c r="BGG98" s="83"/>
      <c r="BGH98" s="83"/>
      <c r="BGI98" s="83"/>
      <c r="BGJ98" s="83"/>
      <c r="BGK98" s="83"/>
      <c r="BGL98" s="83"/>
      <c r="BGM98" s="83"/>
      <c r="BGN98" s="83"/>
      <c r="BGO98" s="83"/>
      <c r="BGP98" s="83"/>
      <c r="BGQ98" s="83"/>
      <c r="BGR98" s="83"/>
      <c r="BGS98" s="83"/>
      <c r="BGT98" s="83"/>
      <c r="BGU98" s="83"/>
      <c r="BGV98" s="83"/>
      <c r="BGW98" s="83"/>
      <c r="BGX98" s="83"/>
      <c r="BGY98" s="83"/>
      <c r="BGZ98" s="83"/>
      <c r="BHA98" s="83"/>
      <c r="BHB98" s="83"/>
      <c r="BHC98" s="83"/>
      <c r="BHD98" s="83"/>
      <c r="BHE98" s="83"/>
      <c r="BHF98" s="83"/>
      <c r="BHG98" s="83"/>
      <c r="BHH98" s="83"/>
      <c r="BHI98" s="83"/>
      <c r="BHJ98" s="83"/>
      <c r="BHK98" s="83"/>
      <c r="BHL98" s="83"/>
      <c r="BHM98" s="83"/>
      <c r="BHN98" s="83"/>
      <c r="BHO98" s="83"/>
      <c r="BHP98" s="83"/>
      <c r="BHQ98" s="83"/>
      <c r="BHR98" s="83"/>
      <c r="BHS98" s="83"/>
      <c r="BHT98" s="83"/>
      <c r="BHU98" s="83"/>
      <c r="BHV98" s="83"/>
      <c r="BHW98" s="83"/>
      <c r="BHX98" s="83"/>
      <c r="BHY98" s="83"/>
      <c r="BHZ98" s="83"/>
      <c r="BIA98" s="83"/>
      <c r="BIB98" s="83"/>
      <c r="BIC98" s="83"/>
      <c r="BID98" s="83"/>
      <c r="BIE98" s="83"/>
      <c r="BIF98" s="83"/>
      <c r="BIG98" s="83"/>
      <c r="BIH98" s="83"/>
      <c r="BII98" s="83"/>
      <c r="BIJ98" s="83"/>
      <c r="BIK98" s="83"/>
      <c r="BIL98" s="83"/>
      <c r="BIM98" s="83"/>
      <c r="BIN98" s="83"/>
      <c r="BIO98" s="83"/>
      <c r="BIP98" s="83"/>
      <c r="BIQ98" s="83"/>
      <c r="BIR98" s="83"/>
      <c r="BIS98" s="83"/>
      <c r="BIT98" s="83"/>
      <c r="BIU98" s="83"/>
      <c r="BIV98" s="83"/>
      <c r="BIW98" s="83"/>
      <c r="BIX98" s="83"/>
      <c r="BIY98" s="83"/>
      <c r="BIZ98" s="83"/>
      <c r="BJA98" s="83"/>
      <c r="BJB98" s="83"/>
      <c r="BJC98" s="83"/>
      <c r="BJD98" s="83"/>
      <c r="BJE98" s="83"/>
      <c r="BJF98" s="83"/>
      <c r="BJG98" s="83"/>
      <c r="BJH98" s="83"/>
      <c r="BJI98" s="83"/>
      <c r="BJJ98" s="83"/>
      <c r="BJK98" s="83"/>
      <c r="BJL98" s="83"/>
      <c r="BJM98" s="83"/>
      <c r="BJN98" s="83"/>
      <c r="BJO98" s="83"/>
      <c r="BJP98" s="83"/>
      <c r="BJQ98" s="83"/>
      <c r="BJR98" s="83"/>
      <c r="BJS98" s="83"/>
      <c r="BJT98" s="83"/>
      <c r="BJU98" s="83"/>
      <c r="BJV98" s="83"/>
      <c r="BJW98" s="83"/>
      <c r="BJX98" s="83"/>
      <c r="BJY98" s="83"/>
      <c r="BJZ98" s="83"/>
      <c r="BKA98" s="83"/>
      <c r="BKB98" s="83"/>
      <c r="BKC98" s="83"/>
      <c r="BKD98" s="83"/>
      <c r="BKE98" s="83"/>
      <c r="BKF98" s="83"/>
      <c r="BKG98" s="83"/>
      <c r="BKH98" s="83"/>
      <c r="BKI98" s="83"/>
      <c r="BKJ98" s="83"/>
      <c r="BKK98" s="83"/>
      <c r="BKL98" s="83"/>
      <c r="BKM98" s="83"/>
      <c r="BKN98" s="83"/>
      <c r="BKO98" s="83"/>
      <c r="BKP98" s="83"/>
      <c r="BKQ98" s="83"/>
      <c r="BKR98" s="83"/>
      <c r="BKS98" s="83"/>
      <c r="BKT98" s="83"/>
      <c r="BKU98" s="83"/>
      <c r="BKV98" s="83"/>
      <c r="BKW98" s="83"/>
      <c r="BKX98" s="83"/>
      <c r="BKY98" s="83"/>
      <c r="BKZ98" s="83"/>
      <c r="BLA98" s="83"/>
      <c r="BLB98" s="83"/>
      <c r="BLC98" s="83"/>
      <c r="BLD98" s="83"/>
      <c r="BLE98" s="83"/>
      <c r="BLF98" s="83"/>
      <c r="BLG98" s="83"/>
      <c r="BLH98" s="83"/>
      <c r="BLI98" s="83"/>
      <c r="BLJ98" s="83"/>
      <c r="BLK98" s="83"/>
      <c r="BLL98" s="83"/>
      <c r="BLM98" s="83"/>
      <c r="BLN98" s="83"/>
      <c r="BLO98" s="83"/>
      <c r="BLP98" s="83"/>
      <c r="BLQ98" s="83"/>
      <c r="BLR98" s="83"/>
      <c r="BLS98" s="83"/>
      <c r="BLT98" s="83"/>
      <c r="BLU98" s="83"/>
      <c r="BLV98" s="83"/>
      <c r="BLW98" s="83"/>
      <c r="BLX98" s="83"/>
      <c r="BLY98" s="83"/>
      <c r="BLZ98" s="83"/>
      <c r="BMA98" s="83"/>
      <c r="BMB98" s="83"/>
      <c r="BMC98" s="83"/>
      <c r="BMD98" s="83"/>
      <c r="BME98" s="83"/>
      <c r="BMF98" s="83"/>
      <c r="BMG98" s="83"/>
      <c r="BMH98" s="83"/>
      <c r="BMI98" s="83"/>
      <c r="BMJ98" s="83"/>
      <c r="BMK98" s="83"/>
      <c r="BML98" s="83"/>
      <c r="BMM98" s="83"/>
      <c r="BMN98" s="83"/>
      <c r="BMO98" s="83"/>
      <c r="BMP98" s="83"/>
      <c r="BMQ98" s="83"/>
      <c r="BMR98" s="83"/>
      <c r="BMS98" s="83"/>
      <c r="BMT98" s="83"/>
      <c r="BMU98" s="83"/>
      <c r="BMV98" s="83"/>
      <c r="BMW98" s="83"/>
      <c r="BMX98" s="83"/>
      <c r="BMY98" s="83"/>
      <c r="BMZ98" s="83"/>
      <c r="BNA98" s="83"/>
      <c r="BNB98" s="83"/>
      <c r="BNC98" s="83"/>
      <c r="BND98" s="83"/>
      <c r="BNE98" s="83"/>
      <c r="BNF98" s="83"/>
      <c r="BNG98" s="83"/>
      <c r="BNH98" s="83"/>
      <c r="BNI98" s="83"/>
      <c r="BNJ98" s="83"/>
      <c r="BNK98" s="83"/>
      <c r="BNL98" s="83"/>
      <c r="BNM98" s="83"/>
      <c r="BNN98" s="83"/>
      <c r="BNO98" s="83"/>
      <c r="BNP98" s="83"/>
      <c r="BNQ98" s="83"/>
      <c r="BNR98" s="83"/>
      <c r="BNS98" s="83"/>
      <c r="BNT98" s="83"/>
      <c r="BNU98" s="83"/>
      <c r="BNV98" s="83"/>
      <c r="BNW98" s="83"/>
      <c r="BNX98" s="83"/>
      <c r="BNY98" s="83"/>
      <c r="BNZ98" s="83"/>
      <c r="BOA98" s="83"/>
      <c r="BOB98" s="83"/>
      <c r="BOC98" s="83"/>
      <c r="BOD98" s="83"/>
      <c r="BOE98" s="83"/>
      <c r="BOF98" s="83"/>
      <c r="BOG98" s="83"/>
      <c r="BOH98" s="83"/>
      <c r="BOI98" s="83"/>
      <c r="BOJ98" s="83"/>
      <c r="BOK98" s="83"/>
      <c r="BOL98" s="83"/>
      <c r="BOM98" s="83"/>
      <c r="BON98" s="83"/>
      <c r="BOO98" s="83"/>
      <c r="BOP98" s="83"/>
      <c r="BOQ98" s="83"/>
      <c r="BOR98" s="83"/>
      <c r="BOS98" s="83"/>
      <c r="BOT98" s="83"/>
      <c r="BOU98" s="83"/>
      <c r="BOV98" s="83"/>
      <c r="BOW98" s="83"/>
      <c r="BOX98" s="83"/>
      <c r="BOY98" s="83"/>
      <c r="BOZ98" s="83"/>
      <c r="BPA98" s="83"/>
      <c r="BPB98" s="83"/>
      <c r="BPC98" s="83"/>
      <c r="BPD98" s="83"/>
      <c r="BPE98" s="83"/>
      <c r="BPF98" s="83"/>
      <c r="BPG98" s="83"/>
      <c r="BPH98" s="83"/>
      <c r="BPI98" s="83"/>
      <c r="BPJ98" s="83"/>
      <c r="BPK98" s="83"/>
      <c r="BPL98" s="83"/>
      <c r="BPM98" s="83"/>
      <c r="BPN98" s="83"/>
      <c r="BPO98" s="83"/>
      <c r="BPP98" s="83"/>
      <c r="BPQ98" s="83"/>
      <c r="BPR98" s="83"/>
      <c r="BPS98" s="83"/>
      <c r="BPT98" s="83"/>
      <c r="BPU98" s="83"/>
      <c r="BPV98" s="83"/>
      <c r="BPW98" s="83"/>
      <c r="BPX98" s="83"/>
      <c r="BPY98" s="83"/>
      <c r="BPZ98" s="83"/>
      <c r="BQA98" s="83"/>
      <c r="BQB98" s="83"/>
      <c r="BQC98" s="83"/>
      <c r="BQD98" s="83"/>
      <c r="BQE98" s="83"/>
      <c r="BQF98" s="83"/>
      <c r="BQG98" s="83"/>
      <c r="BQH98" s="83"/>
      <c r="BQI98" s="83"/>
      <c r="BQJ98" s="83"/>
      <c r="BQK98" s="83"/>
      <c r="BQL98" s="83"/>
      <c r="BQM98" s="83"/>
      <c r="BQN98" s="83"/>
      <c r="BQO98" s="83"/>
      <c r="BQP98" s="83"/>
      <c r="BQQ98" s="83"/>
      <c r="BQR98" s="83"/>
      <c r="BQS98" s="83"/>
      <c r="BQT98" s="83"/>
      <c r="BQU98" s="83"/>
      <c r="BQV98" s="83"/>
      <c r="BQW98" s="83"/>
      <c r="BQX98" s="83"/>
      <c r="BQY98" s="83"/>
      <c r="BQZ98" s="83"/>
      <c r="BRA98" s="83"/>
      <c r="BRB98" s="83"/>
      <c r="BRC98" s="83"/>
      <c r="BRD98" s="83"/>
      <c r="BRE98" s="83"/>
      <c r="BRF98" s="83"/>
      <c r="BRG98" s="83"/>
      <c r="BRH98" s="83"/>
      <c r="BRI98" s="83"/>
      <c r="BRJ98" s="83"/>
      <c r="BRK98" s="83"/>
      <c r="BRL98" s="83"/>
      <c r="BRM98" s="83"/>
      <c r="BRN98" s="83"/>
      <c r="BRO98" s="83"/>
      <c r="BRP98" s="83"/>
      <c r="BRQ98" s="83"/>
      <c r="BRR98" s="83"/>
      <c r="BRS98" s="83"/>
      <c r="BRT98" s="83"/>
      <c r="BRU98" s="83"/>
      <c r="BRV98" s="83"/>
      <c r="BRW98" s="83"/>
      <c r="BRX98" s="83"/>
      <c r="BRY98" s="83"/>
      <c r="BRZ98" s="83"/>
      <c r="BSA98" s="83"/>
      <c r="BSB98" s="83"/>
      <c r="BSC98" s="83"/>
      <c r="BSD98" s="83"/>
      <c r="BSE98" s="83"/>
      <c r="BSF98" s="83"/>
      <c r="BSG98" s="83"/>
      <c r="BSH98" s="83"/>
      <c r="BSI98" s="83"/>
      <c r="BSJ98" s="83"/>
      <c r="BSK98" s="83"/>
      <c r="BSL98" s="83"/>
      <c r="BSM98" s="83"/>
      <c r="BSN98" s="83"/>
      <c r="BSO98" s="83"/>
      <c r="BSP98" s="83"/>
      <c r="BSQ98" s="83"/>
      <c r="BSR98" s="83"/>
      <c r="BSS98" s="83"/>
      <c r="BST98" s="83"/>
      <c r="BSU98" s="83"/>
      <c r="BSV98" s="83"/>
      <c r="BSW98" s="83"/>
      <c r="BSX98" s="83"/>
      <c r="BSY98" s="83"/>
      <c r="BSZ98" s="83"/>
      <c r="BTA98" s="83"/>
      <c r="BTB98" s="83"/>
      <c r="BTC98" s="83"/>
      <c r="BTD98" s="83"/>
      <c r="BTE98" s="83"/>
      <c r="BTF98" s="83"/>
      <c r="BTG98" s="83"/>
      <c r="BTH98" s="83"/>
      <c r="BTI98" s="83"/>
      <c r="BTJ98" s="83"/>
      <c r="BTK98" s="83"/>
      <c r="BTL98" s="83"/>
      <c r="BTM98" s="83"/>
      <c r="BTN98" s="83"/>
      <c r="BTO98" s="83"/>
      <c r="BTP98" s="83"/>
      <c r="BTQ98" s="83"/>
      <c r="BTR98" s="83"/>
      <c r="BTS98" s="83"/>
      <c r="BTT98" s="83"/>
      <c r="BTU98" s="83"/>
      <c r="BTV98" s="83"/>
      <c r="BTW98" s="83"/>
      <c r="BTX98" s="83"/>
      <c r="BTY98" s="83"/>
      <c r="BTZ98" s="83"/>
      <c r="BUA98" s="83"/>
      <c r="BUB98" s="83"/>
      <c r="BUC98" s="83"/>
      <c r="BUD98" s="83"/>
      <c r="BUE98" s="83"/>
      <c r="BUF98" s="83"/>
      <c r="BUG98" s="83"/>
      <c r="BUH98" s="83"/>
      <c r="BUI98" s="83"/>
      <c r="BUJ98" s="83"/>
      <c r="BUK98" s="83"/>
      <c r="BUL98" s="83"/>
      <c r="BUM98" s="83"/>
      <c r="BUN98" s="83"/>
      <c r="BUO98" s="83"/>
      <c r="BUP98" s="83"/>
      <c r="BUQ98" s="83"/>
      <c r="BUR98" s="83"/>
      <c r="BUS98" s="83"/>
      <c r="BUT98" s="83"/>
      <c r="BUU98" s="83"/>
      <c r="BUV98" s="83"/>
      <c r="BUW98" s="83"/>
      <c r="BUX98" s="83"/>
      <c r="BUY98" s="83"/>
      <c r="BUZ98" s="83"/>
      <c r="BVA98" s="83"/>
      <c r="BVB98" s="83"/>
      <c r="BVC98" s="83"/>
      <c r="BVD98" s="83"/>
      <c r="BVE98" s="83"/>
      <c r="BVF98" s="83"/>
      <c r="BVG98" s="83"/>
      <c r="BVH98" s="83"/>
      <c r="BVI98" s="83"/>
      <c r="BVJ98" s="83"/>
      <c r="BVK98" s="83"/>
      <c r="BVL98" s="83"/>
      <c r="BVM98" s="83"/>
      <c r="BVN98" s="83"/>
      <c r="BVO98" s="83"/>
      <c r="BVP98" s="83"/>
      <c r="BVQ98" s="83"/>
      <c r="BVR98" s="83"/>
      <c r="BVS98" s="83"/>
      <c r="BVT98" s="83"/>
      <c r="BVU98" s="83"/>
      <c r="BVV98" s="83"/>
      <c r="BVW98" s="83"/>
      <c r="BVX98" s="83"/>
      <c r="BVY98" s="83"/>
      <c r="BVZ98" s="83"/>
      <c r="BWA98" s="83"/>
      <c r="BWB98" s="83"/>
      <c r="BWC98" s="83"/>
      <c r="BWD98" s="83"/>
      <c r="BWE98" s="83"/>
      <c r="BWF98" s="83"/>
      <c r="BWG98" s="83"/>
      <c r="BWH98" s="83"/>
      <c r="BWI98" s="83"/>
      <c r="BWJ98" s="83"/>
      <c r="BWK98" s="83"/>
      <c r="BWL98" s="83"/>
      <c r="BWM98" s="83"/>
      <c r="BWN98" s="83"/>
      <c r="BWO98" s="83"/>
      <c r="BWP98" s="83"/>
      <c r="BWQ98" s="83"/>
      <c r="BWR98" s="83"/>
      <c r="BWS98" s="83"/>
      <c r="BWT98" s="83"/>
      <c r="BWU98" s="83"/>
      <c r="BWV98" s="83"/>
      <c r="BWW98" s="83"/>
      <c r="BWX98" s="83"/>
      <c r="BWY98" s="83"/>
      <c r="BWZ98" s="83"/>
      <c r="BXA98" s="83"/>
      <c r="BXB98" s="83"/>
      <c r="BXC98" s="83"/>
      <c r="BXD98" s="83"/>
      <c r="BXE98" s="83"/>
      <c r="BXF98" s="83"/>
      <c r="BXG98" s="83"/>
      <c r="BXH98" s="83"/>
      <c r="BXI98" s="83"/>
      <c r="BXJ98" s="83"/>
      <c r="BXK98" s="83"/>
      <c r="BXL98" s="83"/>
      <c r="BXM98" s="83"/>
      <c r="BXN98" s="83"/>
      <c r="BXO98" s="83"/>
      <c r="BXP98" s="83"/>
      <c r="BXQ98" s="83"/>
      <c r="BXR98" s="83"/>
      <c r="BXS98" s="83"/>
      <c r="BXT98" s="83"/>
      <c r="BXU98" s="83"/>
      <c r="BXV98" s="83"/>
      <c r="BXW98" s="83"/>
      <c r="BXX98" s="83"/>
      <c r="BXY98" s="83"/>
      <c r="BXZ98" s="83"/>
      <c r="BYA98" s="83"/>
      <c r="BYB98" s="83"/>
      <c r="BYC98" s="83"/>
      <c r="BYD98" s="83"/>
      <c r="BYE98" s="83"/>
      <c r="BYF98" s="83"/>
      <c r="BYG98" s="83"/>
      <c r="BYH98" s="83"/>
      <c r="BYI98" s="83"/>
      <c r="BYJ98" s="83"/>
      <c r="BYK98" s="83"/>
      <c r="BYL98" s="83"/>
      <c r="BYM98" s="83"/>
      <c r="BYN98" s="83"/>
      <c r="BYO98" s="83"/>
      <c r="BYP98" s="83"/>
      <c r="BYQ98" s="83"/>
      <c r="BYR98" s="83"/>
      <c r="BYS98" s="83"/>
      <c r="BYT98" s="83"/>
      <c r="BYU98" s="83"/>
      <c r="BYV98" s="83"/>
      <c r="BYW98" s="83"/>
      <c r="BYX98" s="83"/>
      <c r="BYY98" s="83"/>
      <c r="BYZ98" s="83"/>
      <c r="BZA98" s="83"/>
      <c r="BZB98" s="83"/>
      <c r="BZC98" s="83"/>
      <c r="BZD98" s="83"/>
      <c r="BZE98" s="83"/>
      <c r="BZF98" s="83"/>
      <c r="BZG98" s="83"/>
      <c r="BZH98" s="83"/>
      <c r="BZI98" s="83"/>
      <c r="BZJ98" s="83"/>
      <c r="BZK98" s="83"/>
      <c r="BZL98" s="83"/>
      <c r="BZM98" s="83"/>
      <c r="BZN98" s="83"/>
      <c r="BZO98" s="83"/>
      <c r="BZP98" s="83"/>
      <c r="BZQ98" s="83"/>
      <c r="BZR98" s="83"/>
      <c r="BZS98" s="83"/>
      <c r="BZT98" s="83"/>
      <c r="BZU98" s="83"/>
      <c r="BZV98" s="83"/>
      <c r="BZW98" s="83"/>
      <c r="BZX98" s="83"/>
      <c r="BZY98" s="83"/>
      <c r="BZZ98" s="83"/>
      <c r="CAA98" s="83"/>
      <c r="CAB98" s="83"/>
      <c r="CAC98" s="83"/>
      <c r="CAD98" s="83"/>
      <c r="CAE98" s="83"/>
      <c r="CAF98" s="83"/>
      <c r="CAG98" s="83"/>
      <c r="CAH98" s="83"/>
      <c r="CAI98" s="83"/>
      <c r="CAJ98" s="83"/>
      <c r="CAK98" s="83"/>
      <c r="CAL98" s="83"/>
      <c r="CAM98" s="83"/>
      <c r="CAN98" s="83"/>
      <c r="CAO98" s="83"/>
      <c r="CAP98" s="83"/>
      <c r="CAQ98" s="83"/>
      <c r="CAR98" s="83"/>
      <c r="CAS98" s="83"/>
      <c r="CAT98" s="83"/>
      <c r="CAU98" s="83"/>
      <c r="CAV98" s="83"/>
      <c r="CAW98" s="83"/>
      <c r="CAX98" s="83"/>
      <c r="CAY98" s="83"/>
      <c r="CAZ98" s="83"/>
      <c r="CBA98" s="83"/>
      <c r="CBB98" s="83"/>
      <c r="CBC98" s="83"/>
      <c r="CBD98" s="83"/>
      <c r="CBE98" s="83"/>
      <c r="CBF98" s="83"/>
      <c r="CBG98" s="83"/>
      <c r="CBH98" s="83"/>
      <c r="CBI98" s="83"/>
      <c r="CBJ98" s="83"/>
      <c r="CBK98" s="83"/>
      <c r="CBL98" s="83"/>
      <c r="CBM98" s="83"/>
      <c r="CBN98" s="83"/>
      <c r="CBO98" s="83"/>
      <c r="CBP98" s="83"/>
      <c r="CBQ98" s="83"/>
      <c r="CBR98" s="83"/>
      <c r="CBS98" s="83"/>
      <c r="CBT98" s="83"/>
      <c r="CBU98" s="83"/>
      <c r="CBV98" s="83"/>
      <c r="CBW98" s="83"/>
      <c r="CBX98" s="83"/>
      <c r="CBY98" s="83"/>
      <c r="CBZ98" s="83"/>
      <c r="CCA98" s="83"/>
      <c r="CCB98" s="83"/>
      <c r="CCC98" s="83"/>
      <c r="CCD98" s="83"/>
      <c r="CCE98" s="83"/>
      <c r="CCF98" s="83"/>
      <c r="CCG98" s="83"/>
      <c r="CCH98" s="83"/>
      <c r="CCI98" s="83"/>
      <c r="CCJ98" s="83"/>
      <c r="CCK98" s="83"/>
      <c r="CCL98" s="83"/>
      <c r="CCM98" s="83"/>
      <c r="CCN98" s="83"/>
      <c r="CCO98" s="83"/>
      <c r="CCP98" s="83"/>
      <c r="CCQ98" s="83"/>
      <c r="CCR98" s="83"/>
      <c r="CCS98" s="83"/>
      <c r="CCT98" s="83"/>
      <c r="CCU98" s="83"/>
      <c r="CCV98" s="83"/>
      <c r="CCW98" s="83"/>
      <c r="CCX98" s="83"/>
      <c r="CCY98" s="83"/>
      <c r="CCZ98" s="83"/>
      <c r="CDA98" s="83"/>
      <c r="CDB98" s="83"/>
      <c r="CDC98" s="83"/>
      <c r="CDD98" s="83"/>
      <c r="CDE98" s="83"/>
      <c r="CDF98" s="83"/>
      <c r="CDG98" s="83"/>
      <c r="CDH98" s="83"/>
      <c r="CDI98" s="83"/>
      <c r="CDJ98" s="83"/>
      <c r="CDK98" s="83"/>
      <c r="CDL98" s="83"/>
      <c r="CDM98" s="83"/>
      <c r="CDN98" s="83"/>
      <c r="CDO98" s="83"/>
      <c r="CDP98" s="83"/>
      <c r="CDQ98" s="83"/>
      <c r="CDR98" s="83"/>
      <c r="CDS98" s="83"/>
      <c r="CDT98" s="83"/>
      <c r="CDU98" s="83"/>
      <c r="CDV98" s="83"/>
      <c r="CDW98" s="83"/>
      <c r="CDX98" s="83"/>
      <c r="CDY98" s="83"/>
      <c r="CDZ98" s="83"/>
      <c r="CEA98" s="83"/>
      <c r="CEB98" s="83"/>
      <c r="CEC98" s="83"/>
      <c r="CED98" s="83"/>
      <c r="CEE98" s="83"/>
      <c r="CEF98" s="83"/>
      <c r="CEG98" s="83"/>
      <c r="CEH98" s="83"/>
      <c r="CEI98" s="83"/>
      <c r="CEJ98" s="83"/>
      <c r="CEK98" s="83"/>
      <c r="CEL98" s="83"/>
      <c r="CEM98" s="83"/>
      <c r="CEN98" s="83"/>
      <c r="CEO98" s="83"/>
      <c r="CEP98" s="83"/>
      <c r="CEQ98" s="83"/>
      <c r="CER98" s="83"/>
      <c r="CES98" s="83"/>
      <c r="CET98" s="83"/>
      <c r="CEU98" s="83"/>
      <c r="CEV98" s="83"/>
      <c r="CEW98" s="83"/>
      <c r="CEX98" s="83"/>
      <c r="CEY98" s="83"/>
      <c r="CEZ98" s="83"/>
      <c r="CFA98" s="83"/>
      <c r="CFB98" s="83"/>
      <c r="CFC98" s="83"/>
      <c r="CFD98" s="83"/>
      <c r="CFE98" s="83"/>
      <c r="CFF98" s="83"/>
      <c r="CFG98" s="83"/>
      <c r="CFH98" s="83"/>
      <c r="CFI98" s="83"/>
      <c r="CFJ98" s="83"/>
      <c r="CFK98" s="83"/>
      <c r="CFL98" s="83"/>
      <c r="CFM98" s="83"/>
      <c r="CFN98" s="83"/>
      <c r="CFO98" s="83"/>
      <c r="CFP98" s="83"/>
      <c r="CFQ98" s="83"/>
      <c r="CFR98" s="83"/>
      <c r="CFS98" s="83"/>
      <c r="CFT98" s="83"/>
      <c r="CFU98" s="83"/>
      <c r="CFV98" s="83"/>
      <c r="CFW98" s="83"/>
      <c r="CFX98" s="83"/>
      <c r="CFY98" s="83"/>
      <c r="CFZ98" s="83"/>
      <c r="CGA98" s="83"/>
      <c r="CGB98" s="83"/>
      <c r="CGC98" s="83"/>
      <c r="CGD98" s="83"/>
      <c r="CGE98" s="83"/>
      <c r="CGF98" s="83"/>
      <c r="CGG98" s="83"/>
      <c r="CGH98" s="83"/>
      <c r="CGI98" s="83"/>
      <c r="CGJ98" s="83"/>
      <c r="CGK98" s="83"/>
      <c r="CGL98" s="83"/>
      <c r="CGM98" s="83"/>
      <c r="CGN98" s="83"/>
      <c r="CGO98" s="83"/>
      <c r="CGP98" s="83"/>
      <c r="CGQ98" s="83"/>
      <c r="CGR98" s="83"/>
      <c r="CGS98" s="83"/>
      <c r="CGT98" s="83"/>
      <c r="CGU98" s="83"/>
      <c r="CGV98" s="83"/>
      <c r="CGW98" s="83"/>
      <c r="CGX98" s="83"/>
      <c r="CGY98" s="83"/>
      <c r="CGZ98" s="83"/>
      <c r="CHA98" s="83"/>
      <c r="CHB98" s="83"/>
      <c r="CHC98" s="83"/>
      <c r="CHD98" s="83"/>
      <c r="CHE98" s="83"/>
      <c r="CHF98" s="83"/>
      <c r="CHG98" s="83"/>
      <c r="CHH98" s="83"/>
      <c r="CHI98" s="83"/>
      <c r="CHJ98" s="83"/>
      <c r="CHK98" s="83"/>
      <c r="CHL98" s="83"/>
      <c r="CHM98" s="83"/>
      <c r="CHN98" s="83"/>
      <c r="CHO98" s="83"/>
      <c r="CHP98" s="83"/>
      <c r="CHQ98" s="83"/>
      <c r="CHR98" s="83"/>
      <c r="CHS98" s="83"/>
      <c r="CHT98" s="83"/>
      <c r="CHU98" s="83"/>
      <c r="CHV98" s="83"/>
      <c r="CHW98" s="83"/>
      <c r="CHX98" s="83"/>
      <c r="CHY98" s="83"/>
      <c r="CHZ98" s="83"/>
      <c r="CIA98" s="83"/>
      <c r="CIB98" s="83"/>
      <c r="CIC98" s="83"/>
      <c r="CID98" s="83"/>
      <c r="CIE98" s="83"/>
      <c r="CIF98" s="83"/>
      <c r="CIG98" s="83"/>
      <c r="CIH98" s="83"/>
      <c r="CII98" s="83"/>
      <c r="CIJ98" s="83"/>
      <c r="CIK98" s="83"/>
      <c r="CIL98" s="83"/>
      <c r="CIM98" s="83"/>
      <c r="CIN98" s="83"/>
      <c r="CIO98" s="83"/>
      <c r="CIP98" s="83"/>
      <c r="CIQ98" s="83"/>
      <c r="CIR98" s="83"/>
      <c r="CIS98" s="83"/>
      <c r="CIT98" s="83"/>
      <c r="CIU98" s="83"/>
      <c r="CIV98" s="83"/>
      <c r="CIW98" s="83"/>
      <c r="CIX98" s="83"/>
      <c r="CIY98" s="83"/>
      <c r="CIZ98" s="83"/>
      <c r="CJA98" s="83"/>
      <c r="CJB98" s="83"/>
      <c r="CJC98" s="83"/>
      <c r="CJD98" s="83"/>
      <c r="CJE98" s="83"/>
      <c r="CJF98" s="83"/>
      <c r="CJG98" s="83"/>
      <c r="CJH98" s="83"/>
      <c r="CJI98" s="83"/>
      <c r="CJJ98" s="83"/>
      <c r="CJK98" s="83"/>
      <c r="CJL98" s="83"/>
      <c r="CJM98" s="83"/>
      <c r="CJN98" s="83"/>
      <c r="CJO98" s="83"/>
      <c r="CJP98" s="83"/>
      <c r="CJQ98" s="83"/>
      <c r="CJR98" s="83"/>
      <c r="CJS98" s="83"/>
      <c r="CJT98" s="83"/>
      <c r="CJU98" s="83"/>
      <c r="CJV98" s="83"/>
      <c r="CJW98" s="83"/>
      <c r="CJX98" s="83"/>
      <c r="CJY98" s="83"/>
      <c r="CJZ98" s="83"/>
      <c r="CKA98" s="83"/>
      <c r="CKB98" s="83"/>
      <c r="CKC98" s="83"/>
      <c r="CKD98" s="83"/>
      <c r="CKE98" s="83"/>
      <c r="CKF98" s="83"/>
      <c r="CKG98" s="83"/>
      <c r="CKH98" s="83"/>
      <c r="CKI98" s="83"/>
      <c r="CKJ98" s="83"/>
      <c r="CKK98" s="83"/>
      <c r="CKL98" s="83"/>
      <c r="CKM98" s="83"/>
      <c r="CKN98" s="83"/>
      <c r="CKO98" s="83"/>
      <c r="CKP98" s="83"/>
      <c r="CKQ98" s="83"/>
      <c r="CKR98" s="83"/>
      <c r="CKS98" s="83"/>
      <c r="CKT98" s="83"/>
      <c r="CKU98" s="83"/>
      <c r="CKV98" s="83"/>
      <c r="CKW98" s="83"/>
      <c r="CKX98" s="83"/>
      <c r="CKY98" s="83"/>
      <c r="CKZ98" s="83"/>
      <c r="CLA98" s="83"/>
      <c r="CLB98" s="83"/>
      <c r="CLC98" s="83"/>
      <c r="CLD98" s="83"/>
      <c r="CLE98" s="83"/>
      <c r="CLF98" s="83"/>
      <c r="CLG98" s="83"/>
      <c r="CLH98" s="83"/>
      <c r="CLI98" s="83"/>
      <c r="CLJ98" s="83"/>
      <c r="CLK98" s="83"/>
      <c r="CLL98" s="83"/>
      <c r="CLM98" s="83"/>
      <c r="CLN98" s="83"/>
      <c r="CLO98" s="83"/>
      <c r="CLP98" s="83"/>
      <c r="CLQ98" s="83"/>
      <c r="CLR98" s="83"/>
      <c r="CLS98" s="83"/>
      <c r="CLT98" s="83"/>
      <c r="CLU98" s="83"/>
      <c r="CLV98" s="83"/>
      <c r="CLW98" s="83"/>
      <c r="CLX98" s="83"/>
      <c r="CLY98" s="83"/>
      <c r="CLZ98" s="83"/>
      <c r="CMA98" s="83"/>
      <c r="CMB98" s="83"/>
      <c r="CMC98" s="83"/>
      <c r="CMD98" s="83"/>
      <c r="CME98" s="83"/>
      <c r="CMF98" s="83"/>
      <c r="CMG98" s="83"/>
      <c r="CMH98" s="83"/>
      <c r="CMI98" s="83"/>
      <c r="CMJ98" s="83"/>
      <c r="CMK98" s="83"/>
      <c r="CML98" s="83"/>
      <c r="CMM98" s="83"/>
      <c r="CMN98" s="83"/>
      <c r="CMO98" s="83"/>
      <c r="CMP98" s="83"/>
      <c r="CMQ98" s="83"/>
      <c r="CMR98" s="83"/>
      <c r="CMS98" s="83"/>
      <c r="CMT98" s="83"/>
      <c r="CMU98" s="83"/>
      <c r="CMV98" s="83"/>
      <c r="CMW98" s="83"/>
      <c r="CMX98" s="83"/>
      <c r="CMY98" s="83"/>
      <c r="CMZ98" s="83"/>
      <c r="CNA98" s="83"/>
      <c r="CNB98" s="83"/>
      <c r="CNC98" s="83"/>
      <c r="CND98" s="83"/>
      <c r="CNE98" s="83"/>
      <c r="CNF98" s="83"/>
      <c r="CNG98" s="83"/>
      <c r="CNH98" s="83"/>
      <c r="CNI98" s="83"/>
      <c r="CNJ98" s="83"/>
      <c r="CNK98" s="83"/>
      <c r="CNL98" s="83"/>
      <c r="CNM98" s="83"/>
      <c r="CNN98" s="83"/>
      <c r="CNO98" s="83"/>
      <c r="CNP98" s="83"/>
      <c r="CNQ98" s="83"/>
      <c r="CNR98" s="83"/>
      <c r="CNS98" s="83"/>
      <c r="CNT98" s="83"/>
      <c r="CNU98" s="83"/>
      <c r="CNV98" s="83"/>
      <c r="CNW98" s="83"/>
      <c r="CNX98" s="83"/>
      <c r="CNY98" s="83"/>
      <c r="CNZ98" s="83"/>
      <c r="COA98" s="83"/>
      <c r="COB98" s="83"/>
      <c r="COC98" s="83"/>
      <c r="COD98" s="83"/>
      <c r="COE98" s="83"/>
      <c r="COF98" s="83"/>
      <c r="COG98" s="83"/>
      <c r="COH98" s="83"/>
      <c r="COI98" s="83"/>
      <c r="COJ98" s="83"/>
      <c r="COK98" s="83"/>
      <c r="COL98" s="83"/>
      <c r="COM98" s="83"/>
      <c r="CON98" s="83"/>
      <c r="COO98" s="83"/>
      <c r="COP98" s="83"/>
      <c r="COQ98" s="83"/>
      <c r="COR98" s="83"/>
      <c r="COS98" s="83"/>
      <c r="COT98" s="83"/>
      <c r="COU98" s="83"/>
      <c r="COV98" s="83"/>
      <c r="COW98" s="83"/>
      <c r="COX98" s="83"/>
      <c r="COY98" s="83"/>
      <c r="COZ98" s="83"/>
      <c r="CPA98" s="83"/>
      <c r="CPB98" s="83"/>
      <c r="CPC98" s="83"/>
      <c r="CPD98" s="83"/>
      <c r="CPE98" s="83"/>
      <c r="CPF98" s="83"/>
      <c r="CPG98" s="83"/>
      <c r="CPH98" s="83"/>
      <c r="CPI98" s="83"/>
      <c r="CPJ98" s="83"/>
      <c r="CPK98" s="83"/>
      <c r="CPL98" s="83"/>
      <c r="CPM98" s="83"/>
      <c r="CPN98" s="83"/>
      <c r="CPO98" s="83"/>
      <c r="CPP98" s="83"/>
      <c r="CPQ98" s="83"/>
      <c r="CPR98" s="83"/>
      <c r="CPS98" s="83"/>
      <c r="CPT98" s="83"/>
      <c r="CPU98" s="83"/>
      <c r="CPV98" s="83"/>
      <c r="CPW98" s="83"/>
      <c r="CPX98" s="83"/>
      <c r="CPY98" s="83"/>
      <c r="CPZ98" s="83"/>
      <c r="CQA98" s="83"/>
      <c r="CQB98" s="83"/>
      <c r="CQC98" s="83"/>
      <c r="CQD98" s="83"/>
      <c r="CQE98" s="83"/>
      <c r="CQF98" s="83"/>
      <c r="CQG98" s="83"/>
      <c r="CQH98" s="83"/>
      <c r="CQI98" s="83"/>
      <c r="CQJ98" s="83"/>
      <c r="CQK98" s="83"/>
      <c r="CQL98" s="83"/>
      <c r="CQM98" s="83"/>
      <c r="CQN98" s="83"/>
      <c r="CQO98" s="83"/>
      <c r="CQP98" s="83"/>
      <c r="CQQ98" s="83"/>
      <c r="CQR98" s="83"/>
      <c r="CQS98" s="83"/>
      <c r="CQT98" s="83"/>
      <c r="CQU98" s="83"/>
      <c r="CQV98" s="83"/>
      <c r="CQW98" s="83"/>
      <c r="CQX98" s="83"/>
      <c r="CQY98" s="83"/>
      <c r="CQZ98" s="83"/>
      <c r="CRA98" s="83"/>
      <c r="CRB98" s="83"/>
      <c r="CRC98" s="83"/>
      <c r="CRD98" s="83"/>
      <c r="CRE98" s="83"/>
      <c r="CRF98" s="83"/>
      <c r="CRG98" s="83"/>
      <c r="CRH98" s="83"/>
      <c r="CRI98" s="83"/>
      <c r="CRJ98" s="83"/>
      <c r="CRK98" s="83"/>
      <c r="CRL98" s="83"/>
      <c r="CRM98" s="83"/>
      <c r="CRN98" s="83"/>
      <c r="CRO98" s="83"/>
      <c r="CRP98" s="83"/>
      <c r="CRQ98" s="83"/>
      <c r="CRR98" s="83"/>
      <c r="CRS98" s="83"/>
      <c r="CRT98" s="83"/>
      <c r="CRU98" s="83"/>
      <c r="CRV98" s="83"/>
      <c r="CRW98" s="83"/>
      <c r="CRX98" s="83"/>
      <c r="CRY98" s="83"/>
      <c r="CRZ98" s="83"/>
      <c r="CSA98" s="83"/>
      <c r="CSB98" s="83"/>
      <c r="CSC98" s="83"/>
      <c r="CSD98" s="83"/>
      <c r="CSE98" s="83"/>
      <c r="CSF98" s="83"/>
      <c r="CSG98" s="83"/>
      <c r="CSH98" s="83"/>
      <c r="CSI98" s="83"/>
      <c r="CSJ98" s="83"/>
      <c r="CSK98" s="83"/>
      <c r="CSL98" s="83"/>
      <c r="CSM98" s="83"/>
      <c r="CSN98" s="83"/>
      <c r="CSO98" s="83"/>
      <c r="CSP98" s="83"/>
      <c r="CSQ98" s="83"/>
      <c r="CSR98" s="83"/>
      <c r="CSS98" s="83"/>
      <c r="CST98" s="83"/>
      <c r="CSU98" s="83"/>
      <c r="CSV98" s="83"/>
      <c r="CSW98" s="83"/>
      <c r="CSX98" s="83"/>
      <c r="CSY98" s="83"/>
      <c r="CSZ98" s="83"/>
      <c r="CTA98" s="83"/>
      <c r="CTB98" s="83"/>
      <c r="CTC98" s="83"/>
      <c r="CTD98" s="83"/>
      <c r="CTE98" s="83"/>
      <c r="CTF98" s="83"/>
      <c r="CTG98" s="83"/>
      <c r="CTH98" s="83"/>
      <c r="CTI98" s="83"/>
      <c r="CTJ98" s="83"/>
      <c r="CTK98" s="83"/>
      <c r="CTL98" s="83"/>
      <c r="CTM98" s="83"/>
      <c r="CTN98" s="83"/>
      <c r="CTO98" s="83"/>
      <c r="CTP98" s="83"/>
      <c r="CTQ98" s="83"/>
      <c r="CTR98" s="83"/>
      <c r="CTS98" s="83"/>
      <c r="CTT98" s="83"/>
      <c r="CTU98" s="83"/>
      <c r="CTV98" s="83"/>
      <c r="CTW98" s="83"/>
      <c r="CTX98" s="83"/>
      <c r="CTY98" s="83"/>
      <c r="CTZ98" s="83"/>
      <c r="CUA98" s="83"/>
      <c r="CUB98" s="83"/>
      <c r="CUC98" s="83"/>
      <c r="CUD98" s="83"/>
      <c r="CUE98" s="83"/>
      <c r="CUF98" s="83"/>
      <c r="CUG98" s="83"/>
      <c r="CUH98" s="83"/>
      <c r="CUI98" s="83"/>
      <c r="CUJ98" s="83"/>
      <c r="CUK98" s="83"/>
      <c r="CUL98" s="83"/>
      <c r="CUM98" s="83"/>
      <c r="CUN98" s="83"/>
      <c r="CUO98" s="83"/>
      <c r="CUP98" s="83"/>
      <c r="CUQ98" s="83"/>
      <c r="CUR98" s="83"/>
      <c r="CUS98" s="83"/>
      <c r="CUT98" s="83"/>
      <c r="CUU98" s="83"/>
      <c r="CUV98" s="83"/>
      <c r="CUW98" s="83"/>
      <c r="CUX98" s="83"/>
      <c r="CUY98" s="83"/>
      <c r="CUZ98" s="83"/>
      <c r="CVA98" s="83"/>
      <c r="CVB98" s="83"/>
      <c r="CVC98" s="83"/>
      <c r="CVD98" s="83"/>
      <c r="CVE98" s="83"/>
      <c r="CVF98" s="83"/>
      <c r="CVG98" s="83"/>
      <c r="CVH98" s="83"/>
      <c r="CVI98" s="83"/>
      <c r="CVJ98" s="83"/>
      <c r="CVK98" s="83"/>
      <c r="CVL98" s="83"/>
      <c r="CVM98" s="83"/>
      <c r="CVN98" s="83"/>
      <c r="CVO98" s="83"/>
      <c r="CVP98" s="83"/>
      <c r="CVQ98" s="83"/>
      <c r="CVR98" s="83"/>
      <c r="CVS98" s="83"/>
      <c r="CVT98" s="83"/>
      <c r="CVU98" s="83"/>
      <c r="CVV98" s="83"/>
      <c r="CVW98" s="83"/>
      <c r="CVX98" s="83"/>
      <c r="CVY98" s="83"/>
      <c r="CVZ98" s="83"/>
      <c r="CWA98" s="83"/>
      <c r="CWB98" s="83"/>
      <c r="CWC98" s="83"/>
      <c r="CWD98" s="83"/>
      <c r="CWE98" s="83"/>
      <c r="CWF98" s="83"/>
      <c r="CWG98" s="83"/>
      <c r="CWH98" s="83"/>
      <c r="CWI98" s="83"/>
      <c r="CWJ98" s="83"/>
      <c r="CWK98" s="83"/>
      <c r="CWL98" s="83"/>
      <c r="CWM98" s="83"/>
      <c r="CWN98" s="83"/>
      <c r="CWO98" s="83"/>
      <c r="CWP98" s="83"/>
      <c r="CWQ98" s="83"/>
      <c r="CWR98" s="83"/>
      <c r="CWS98" s="83"/>
      <c r="CWT98" s="83"/>
      <c r="CWU98" s="83"/>
      <c r="CWV98" s="83"/>
      <c r="CWW98" s="83"/>
      <c r="CWX98" s="83"/>
      <c r="CWY98" s="83"/>
      <c r="CWZ98" s="83"/>
      <c r="CXA98" s="83"/>
      <c r="CXB98" s="83"/>
      <c r="CXC98" s="83"/>
      <c r="CXD98" s="83"/>
      <c r="CXE98" s="83"/>
      <c r="CXF98" s="83"/>
      <c r="CXG98" s="83"/>
      <c r="CXH98" s="83"/>
      <c r="CXI98" s="83"/>
      <c r="CXJ98" s="83"/>
      <c r="CXK98" s="83"/>
      <c r="CXL98" s="83"/>
      <c r="CXM98" s="83"/>
      <c r="CXN98" s="83"/>
      <c r="CXO98" s="83"/>
      <c r="CXP98" s="83"/>
      <c r="CXQ98" s="83"/>
      <c r="CXR98" s="83"/>
      <c r="CXS98" s="83"/>
      <c r="CXT98" s="83"/>
      <c r="CXU98" s="83"/>
      <c r="CXV98" s="83"/>
      <c r="CXW98" s="83"/>
      <c r="CXX98" s="83"/>
      <c r="CXY98" s="83"/>
      <c r="CXZ98" s="83"/>
      <c r="CYA98" s="83"/>
      <c r="CYB98" s="83"/>
      <c r="CYC98" s="83"/>
      <c r="CYD98" s="83"/>
      <c r="CYE98" s="83"/>
      <c r="CYF98" s="83"/>
      <c r="CYG98" s="83"/>
      <c r="CYH98" s="83"/>
      <c r="CYI98" s="83"/>
      <c r="CYJ98" s="83"/>
      <c r="CYK98" s="83"/>
      <c r="CYL98" s="83"/>
      <c r="CYM98" s="83"/>
      <c r="CYN98" s="83"/>
      <c r="CYO98" s="83"/>
      <c r="CYP98" s="83"/>
      <c r="CYQ98" s="83"/>
      <c r="CYR98" s="83"/>
      <c r="CYS98" s="83"/>
      <c r="CYT98" s="83"/>
      <c r="CYU98" s="83"/>
      <c r="CYV98" s="83"/>
      <c r="CYW98" s="83"/>
      <c r="CYX98" s="83"/>
      <c r="CYY98" s="83"/>
      <c r="CYZ98" s="83"/>
      <c r="CZA98" s="83"/>
      <c r="CZB98" s="83"/>
      <c r="CZC98" s="83"/>
      <c r="CZD98" s="83"/>
      <c r="CZE98" s="83"/>
      <c r="CZF98" s="83"/>
      <c r="CZG98" s="83"/>
      <c r="CZH98" s="83"/>
      <c r="CZI98" s="83"/>
      <c r="CZJ98" s="83"/>
      <c r="CZK98" s="83"/>
      <c r="CZL98" s="83"/>
      <c r="CZM98" s="83"/>
      <c r="CZN98" s="83"/>
      <c r="CZO98" s="83"/>
      <c r="CZP98" s="83"/>
      <c r="CZQ98" s="83"/>
      <c r="CZR98" s="83"/>
      <c r="CZS98" s="83"/>
      <c r="CZT98" s="83"/>
      <c r="CZU98" s="83"/>
      <c r="CZV98" s="83"/>
      <c r="CZW98" s="83"/>
      <c r="CZX98" s="83"/>
      <c r="CZY98" s="83"/>
      <c r="CZZ98" s="83"/>
      <c r="DAA98" s="83"/>
      <c r="DAB98" s="83"/>
      <c r="DAC98" s="83"/>
      <c r="DAD98" s="83"/>
      <c r="DAE98" s="83"/>
      <c r="DAF98" s="83"/>
      <c r="DAG98" s="83"/>
      <c r="DAH98" s="83"/>
      <c r="DAI98" s="83"/>
      <c r="DAJ98" s="83"/>
      <c r="DAK98" s="83"/>
      <c r="DAL98" s="83"/>
      <c r="DAM98" s="83"/>
      <c r="DAN98" s="83"/>
      <c r="DAO98" s="83"/>
      <c r="DAP98" s="83"/>
      <c r="DAQ98" s="83"/>
      <c r="DAR98" s="83"/>
      <c r="DAS98" s="83"/>
      <c r="DAT98" s="83"/>
      <c r="DAU98" s="83"/>
      <c r="DAV98" s="83"/>
      <c r="DAW98" s="83"/>
      <c r="DAX98" s="83"/>
      <c r="DAY98" s="83"/>
      <c r="DAZ98" s="83"/>
      <c r="DBA98" s="83"/>
      <c r="DBB98" s="83"/>
      <c r="DBC98" s="83"/>
      <c r="DBD98" s="83"/>
      <c r="DBE98" s="83"/>
      <c r="DBF98" s="83"/>
      <c r="DBG98" s="83"/>
      <c r="DBH98" s="83"/>
      <c r="DBI98" s="83"/>
      <c r="DBJ98" s="83"/>
      <c r="DBK98" s="83"/>
      <c r="DBL98" s="83"/>
      <c r="DBM98" s="83"/>
      <c r="DBN98" s="83"/>
      <c r="DBO98" s="83"/>
      <c r="DBP98" s="83"/>
      <c r="DBQ98" s="83"/>
      <c r="DBR98" s="83"/>
      <c r="DBS98" s="83"/>
      <c r="DBT98" s="83"/>
      <c r="DBU98" s="83"/>
      <c r="DBV98" s="83"/>
      <c r="DBW98" s="83"/>
      <c r="DBX98" s="83"/>
      <c r="DBY98" s="83"/>
      <c r="DBZ98" s="83"/>
      <c r="DCA98" s="83"/>
      <c r="DCB98" s="83"/>
      <c r="DCC98" s="83"/>
      <c r="DCD98" s="83"/>
      <c r="DCE98" s="83"/>
      <c r="DCF98" s="83"/>
      <c r="DCG98" s="83"/>
      <c r="DCH98" s="83"/>
      <c r="DCI98" s="83"/>
      <c r="DCJ98" s="83"/>
      <c r="DCK98" s="83"/>
      <c r="DCL98" s="83"/>
      <c r="DCM98" s="83"/>
      <c r="DCN98" s="83"/>
      <c r="DCO98" s="83"/>
      <c r="DCP98" s="83"/>
      <c r="DCQ98" s="83"/>
      <c r="DCR98" s="83"/>
      <c r="DCS98" s="83"/>
      <c r="DCT98" s="83"/>
      <c r="DCU98" s="83"/>
      <c r="DCV98" s="83"/>
      <c r="DCW98" s="83"/>
      <c r="DCX98" s="83"/>
      <c r="DCY98" s="83"/>
      <c r="DCZ98" s="83"/>
      <c r="DDA98" s="83"/>
      <c r="DDB98" s="83"/>
      <c r="DDC98" s="83"/>
      <c r="DDD98" s="83"/>
      <c r="DDE98" s="83"/>
      <c r="DDF98" s="83"/>
      <c r="DDG98" s="83"/>
      <c r="DDH98" s="83"/>
      <c r="DDI98" s="83"/>
      <c r="DDJ98" s="83"/>
      <c r="DDK98" s="83"/>
      <c r="DDL98" s="83"/>
      <c r="DDM98" s="83"/>
      <c r="DDN98" s="83"/>
      <c r="DDO98" s="83"/>
      <c r="DDP98" s="83"/>
      <c r="DDQ98" s="83"/>
      <c r="DDR98" s="83"/>
      <c r="DDS98" s="83"/>
      <c r="DDT98" s="83"/>
      <c r="DDU98" s="83"/>
      <c r="DDV98" s="83"/>
      <c r="DDW98" s="83"/>
      <c r="DDX98" s="83"/>
      <c r="DDY98" s="83"/>
      <c r="DDZ98" s="83"/>
      <c r="DEA98" s="83"/>
      <c r="DEB98" s="83"/>
      <c r="DEC98" s="83"/>
      <c r="DED98" s="83"/>
      <c r="DEE98" s="83"/>
      <c r="DEF98" s="83"/>
      <c r="DEG98" s="83"/>
      <c r="DEH98" s="83"/>
      <c r="DEI98" s="83"/>
      <c r="DEJ98" s="83"/>
      <c r="DEK98" s="83"/>
      <c r="DEL98" s="83"/>
      <c r="DEM98" s="83"/>
      <c r="DEN98" s="83"/>
      <c r="DEO98" s="83"/>
      <c r="DEP98" s="83"/>
      <c r="DEQ98" s="83"/>
      <c r="DER98" s="83"/>
      <c r="DES98" s="83"/>
      <c r="DET98" s="83"/>
      <c r="DEU98" s="83"/>
      <c r="DEV98" s="83"/>
      <c r="DEW98" s="83"/>
      <c r="DEX98" s="83"/>
      <c r="DEY98" s="83"/>
      <c r="DEZ98" s="83"/>
      <c r="DFA98" s="83"/>
      <c r="DFB98" s="83"/>
      <c r="DFC98" s="83"/>
      <c r="DFD98" s="83"/>
      <c r="DFE98" s="83"/>
      <c r="DFF98" s="83"/>
      <c r="DFG98" s="83"/>
      <c r="DFH98" s="83"/>
      <c r="DFI98" s="83"/>
      <c r="DFJ98" s="83"/>
      <c r="DFK98" s="83"/>
      <c r="DFL98" s="83"/>
      <c r="DFM98" s="83"/>
      <c r="DFN98" s="83"/>
      <c r="DFO98" s="83"/>
      <c r="DFP98" s="83"/>
      <c r="DFQ98" s="83"/>
      <c r="DFR98" s="83"/>
      <c r="DFS98" s="83"/>
      <c r="DFT98" s="83"/>
      <c r="DFU98" s="83"/>
      <c r="DFV98" s="83"/>
      <c r="DFW98" s="83"/>
      <c r="DFX98" s="83"/>
      <c r="DFY98" s="83"/>
      <c r="DFZ98" s="83"/>
      <c r="DGA98" s="83"/>
      <c r="DGB98" s="83"/>
      <c r="DGC98" s="83"/>
      <c r="DGD98" s="83"/>
      <c r="DGE98" s="83"/>
      <c r="DGF98" s="83"/>
      <c r="DGG98" s="83"/>
      <c r="DGH98" s="83"/>
      <c r="DGI98" s="83"/>
      <c r="DGJ98" s="83"/>
      <c r="DGK98" s="83"/>
      <c r="DGL98" s="83"/>
      <c r="DGM98" s="83"/>
      <c r="DGN98" s="83"/>
      <c r="DGO98" s="83"/>
      <c r="DGP98" s="83"/>
      <c r="DGQ98" s="83"/>
      <c r="DGR98" s="83"/>
      <c r="DGS98" s="83"/>
      <c r="DGT98" s="83"/>
      <c r="DGU98" s="83"/>
      <c r="DGV98" s="83"/>
      <c r="DGW98" s="83"/>
      <c r="DGX98" s="83"/>
      <c r="DGY98" s="83"/>
      <c r="DGZ98" s="83"/>
      <c r="DHA98" s="83"/>
      <c r="DHB98" s="83"/>
      <c r="DHC98" s="83"/>
      <c r="DHD98" s="83"/>
      <c r="DHE98" s="83"/>
      <c r="DHF98" s="83"/>
      <c r="DHG98" s="83"/>
      <c r="DHH98" s="83"/>
      <c r="DHI98" s="83"/>
      <c r="DHJ98" s="83"/>
      <c r="DHK98" s="83"/>
      <c r="DHL98" s="83"/>
      <c r="DHM98" s="83"/>
      <c r="DHN98" s="83"/>
      <c r="DHO98" s="83"/>
      <c r="DHP98" s="83"/>
      <c r="DHQ98" s="83"/>
      <c r="DHR98" s="83"/>
      <c r="DHS98" s="83"/>
      <c r="DHT98" s="83"/>
      <c r="DHU98" s="83"/>
      <c r="DHV98" s="83"/>
      <c r="DHW98" s="83"/>
      <c r="DHX98" s="83"/>
      <c r="DHY98" s="83"/>
      <c r="DHZ98" s="83"/>
      <c r="DIA98" s="83"/>
      <c r="DIB98" s="83"/>
      <c r="DIC98" s="83"/>
      <c r="DID98" s="83"/>
      <c r="DIE98" s="83"/>
      <c r="DIF98" s="83"/>
      <c r="DIG98" s="83"/>
      <c r="DIH98" s="83"/>
      <c r="DII98" s="83"/>
      <c r="DIJ98" s="83"/>
      <c r="DIK98" s="83"/>
      <c r="DIL98" s="83"/>
      <c r="DIM98" s="83"/>
      <c r="DIN98" s="83"/>
      <c r="DIO98" s="83"/>
      <c r="DIP98" s="83"/>
      <c r="DIQ98" s="83"/>
      <c r="DIR98" s="83"/>
      <c r="DIS98" s="83"/>
      <c r="DIT98" s="83"/>
      <c r="DIU98" s="83"/>
      <c r="DIV98" s="83"/>
      <c r="DIW98" s="83"/>
      <c r="DIX98" s="83"/>
      <c r="DIY98" s="83"/>
      <c r="DIZ98" s="83"/>
      <c r="DJA98" s="83"/>
      <c r="DJB98" s="83"/>
      <c r="DJC98" s="83"/>
      <c r="DJD98" s="83"/>
      <c r="DJE98" s="83"/>
      <c r="DJF98" s="83"/>
      <c r="DJG98" s="83"/>
      <c r="DJH98" s="83"/>
      <c r="DJI98" s="83"/>
      <c r="DJJ98" s="83"/>
      <c r="DJK98" s="83"/>
      <c r="DJL98" s="83"/>
      <c r="DJM98" s="83"/>
      <c r="DJN98" s="83"/>
      <c r="DJO98" s="83"/>
      <c r="DJP98" s="83"/>
      <c r="DJQ98" s="83"/>
      <c r="DJR98" s="83"/>
      <c r="DJS98" s="83"/>
      <c r="DJT98" s="83"/>
      <c r="DJU98" s="83"/>
      <c r="DJV98" s="83"/>
      <c r="DJW98" s="83"/>
      <c r="DJX98" s="83"/>
      <c r="DJY98" s="83"/>
      <c r="DJZ98" s="83"/>
      <c r="DKA98" s="83"/>
      <c r="DKB98" s="83"/>
      <c r="DKC98" s="83"/>
      <c r="DKD98" s="83"/>
      <c r="DKE98" s="83"/>
      <c r="DKF98" s="83"/>
      <c r="DKG98" s="83"/>
      <c r="DKH98" s="83"/>
      <c r="DKI98" s="83"/>
      <c r="DKJ98" s="83"/>
      <c r="DKK98" s="83"/>
      <c r="DKL98" s="83"/>
      <c r="DKM98" s="83"/>
      <c r="DKN98" s="83"/>
      <c r="DKO98" s="83"/>
      <c r="DKP98" s="83"/>
      <c r="DKQ98" s="83"/>
      <c r="DKR98" s="83"/>
      <c r="DKS98" s="83"/>
      <c r="DKT98" s="83"/>
      <c r="DKU98" s="83"/>
      <c r="DKV98" s="83"/>
      <c r="DKW98" s="83"/>
      <c r="DKX98" s="83"/>
      <c r="DKY98" s="83"/>
      <c r="DKZ98" s="83"/>
      <c r="DLA98" s="83"/>
      <c r="DLB98" s="83"/>
      <c r="DLC98" s="83"/>
      <c r="DLD98" s="83"/>
      <c r="DLE98" s="83"/>
      <c r="DLF98" s="83"/>
      <c r="DLG98" s="83"/>
      <c r="DLH98" s="83"/>
      <c r="DLI98" s="83"/>
      <c r="DLJ98" s="83"/>
      <c r="DLK98" s="83"/>
      <c r="DLL98" s="83"/>
      <c r="DLM98" s="83"/>
      <c r="DLN98" s="83"/>
      <c r="DLO98" s="83"/>
      <c r="DLP98" s="83"/>
      <c r="DLQ98" s="83"/>
      <c r="DLR98" s="83"/>
      <c r="DLS98" s="83"/>
      <c r="DLT98" s="83"/>
      <c r="DLU98" s="83"/>
      <c r="DLV98" s="83"/>
      <c r="DLW98" s="83"/>
      <c r="DLX98" s="83"/>
      <c r="DLY98" s="83"/>
      <c r="DLZ98" s="83"/>
      <c r="DMA98" s="83"/>
      <c r="DMB98" s="83"/>
      <c r="DMC98" s="83"/>
      <c r="DMD98" s="83"/>
      <c r="DME98" s="83"/>
      <c r="DMF98" s="83"/>
      <c r="DMG98" s="83"/>
      <c r="DMH98" s="83"/>
      <c r="DMI98" s="83"/>
      <c r="DMJ98" s="83"/>
      <c r="DMK98" s="83"/>
      <c r="DML98" s="83"/>
      <c r="DMM98" s="83"/>
      <c r="DMN98" s="83"/>
      <c r="DMO98" s="83"/>
      <c r="DMP98" s="83"/>
      <c r="DMQ98" s="83"/>
      <c r="DMR98" s="83"/>
      <c r="DMS98" s="83"/>
      <c r="DMT98" s="83"/>
      <c r="DMU98" s="83"/>
      <c r="DMV98" s="83"/>
      <c r="DMW98" s="83"/>
      <c r="DMX98" s="83"/>
      <c r="DMY98" s="83"/>
      <c r="DMZ98" s="83"/>
      <c r="DNA98" s="83"/>
      <c r="DNB98" s="83"/>
      <c r="DNC98" s="83"/>
      <c r="DND98" s="83"/>
      <c r="DNE98" s="83"/>
      <c r="DNF98" s="83"/>
      <c r="DNG98" s="83"/>
      <c r="DNH98" s="83"/>
      <c r="DNI98" s="83"/>
      <c r="DNJ98" s="83"/>
      <c r="DNK98" s="83"/>
      <c r="DNL98" s="83"/>
      <c r="DNM98" s="83"/>
      <c r="DNN98" s="83"/>
      <c r="DNO98" s="83"/>
      <c r="DNP98" s="83"/>
      <c r="DNQ98" s="83"/>
      <c r="DNR98" s="83"/>
      <c r="DNS98" s="83"/>
      <c r="DNT98" s="83"/>
      <c r="DNU98" s="83"/>
      <c r="DNV98" s="83"/>
      <c r="DNW98" s="83"/>
      <c r="DNX98" s="83"/>
      <c r="DNY98" s="83"/>
      <c r="DNZ98" s="83"/>
      <c r="DOA98" s="83"/>
      <c r="DOB98" s="83"/>
      <c r="DOC98" s="83"/>
      <c r="DOD98" s="83"/>
      <c r="DOE98" s="83"/>
      <c r="DOF98" s="83"/>
      <c r="DOG98" s="83"/>
      <c r="DOH98" s="83"/>
      <c r="DOI98" s="83"/>
      <c r="DOJ98" s="83"/>
      <c r="DOK98" s="83"/>
      <c r="DOL98" s="83"/>
      <c r="DOM98" s="83"/>
      <c r="DON98" s="83"/>
      <c r="DOO98" s="83"/>
      <c r="DOP98" s="83"/>
      <c r="DOQ98" s="83"/>
      <c r="DOR98" s="83"/>
      <c r="DOS98" s="83"/>
      <c r="DOT98" s="83"/>
      <c r="DOU98" s="83"/>
      <c r="DOV98" s="83"/>
      <c r="DOW98" s="83"/>
      <c r="DOX98" s="83"/>
      <c r="DOY98" s="83"/>
      <c r="DOZ98" s="83"/>
      <c r="DPA98" s="83"/>
      <c r="DPB98" s="83"/>
      <c r="DPC98" s="83"/>
      <c r="DPD98" s="83"/>
      <c r="DPE98" s="83"/>
      <c r="DPF98" s="83"/>
      <c r="DPG98" s="83"/>
      <c r="DPH98" s="83"/>
      <c r="DPI98" s="83"/>
      <c r="DPJ98" s="83"/>
      <c r="DPK98" s="83"/>
      <c r="DPL98" s="83"/>
      <c r="DPM98" s="83"/>
      <c r="DPN98" s="83"/>
      <c r="DPO98" s="83"/>
      <c r="DPP98" s="83"/>
      <c r="DPQ98" s="83"/>
      <c r="DPR98" s="83"/>
      <c r="DPS98" s="83"/>
      <c r="DPT98" s="83"/>
      <c r="DPU98" s="83"/>
      <c r="DPV98" s="83"/>
      <c r="DPW98" s="83"/>
      <c r="DPX98" s="83"/>
      <c r="DPY98" s="83"/>
      <c r="DPZ98" s="83"/>
      <c r="DQA98" s="83"/>
      <c r="DQB98" s="83"/>
      <c r="DQC98" s="83"/>
      <c r="DQD98" s="83"/>
      <c r="DQE98" s="83"/>
      <c r="DQF98" s="83"/>
      <c r="DQG98" s="83"/>
      <c r="DQH98" s="83"/>
      <c r="DQI98" s="83"/>
      <c r="DQJ98" s="83"/>
      <c r="DQK98" s="83"/>
      <c r="DQL98" s="83"/>
      <c r="DQM98" s="83"/>
      <c r="DQN98" s="83"/>
      <c r="DQO98" s="83"/>
      <c r="DQP98" s="83"/>
      <c r="DQQ98" s="83"/>
      <c r="DQR98" s="83"/>
      <c r="DQS98" s="83"/>
      <c r="DQT98" s="83"/>
      <c r="DQU98" s="83"/>
      <c r="DQV98" s="83"/>
      <c r="DQW98" s="83"/>
      <c r="DQX98" s="83"/>
      <c r="DQY98" s="83"/>
      <c r="DQZ98" s="83"/>
      <c r="DRA98" s="83"/>
      <c r="DRB98" s="83"/>
      <c r="DRC98" s="83"/>
      <c r="DRD98" s="83"/>
      <c r="DRE98" s="83"/>
      <c r="DRF98" s="83"/>
      <c r="DRG98" s="83"/>
      <c r="DRH98" s="83"/>
      <c r="DRI98" s="83"/>
      <c r="DRJ98" s="83"/>
      <c r="DRK98" s="83"/>
      <c r="DRL98" s="83"/>
      <c r="DRM98" s="83"/>
      <c r="DRN98" s="83"/>
      <c r="DRO98" s="83"/>
      <c r="DRP98" s="83"/>
      <c r="DRQ98" s="83"/>
      <c r="DRR98" s="83"/>
      <c r="DRS98" s="83"/>
      <c r="DRT98" s="83"/>
      <c r="DRU98" s="83"/>
      <c r="DRV98" s="83"/>
      <c r="DRW98" s="83"/>
      <c r="DRX98" s="83"/>
      <c r="DRY98" s="83"/>
      <c r="DRZ98" s="83"/>
      <c r="DSA98" s="83"/>
      <c r="DSB98" s="83"/>
      <c r="DSC98" s="83"/>
      <c r="DSD98" s="83"/>
      <c r="DSE98" s="83"/>
      <c r="DSF98" s="83"/>
      <c r="DSG98" s="83"/>
      <c r="DSH98" s="83"/>
      <c r="DSI98" s="83"/>
      <c r="DSJ98" s="83"/>
      <c r="DSK98" s="83"/>
      <c r="DSL98" s="83"/>
      <c r="DSM98" s="83"/>
      <c r="DSN98" s="83"/>
      <c r="DSO98" s="83"/>
      <c r="DSP98" s="83"/>
      <c r="DSQ98" s="83"/>
      <c r="DSR98" s="83"/>
      <c r="DSS98" s="83"/>
      <c r="DST98" s="83"/>
      <c r="DSU98" s="83"/>
      <c r="DSV98" s="83"/>
      <c r="DSW98" s="83"/>
      <c r="DSX98" s="83"/>
      <c r="DSY98" s="83"/>
      <c r="DSZ98" s="83"/>
      <c r="DTA98" s="83"/>
      <c r="DTB98" s="83"/>
      <c r="DTC98" s="83"/>
      <c r="DTD98" s="83"/>
      <c r="DTE98" s="83"/>
      <c r="DTF98" s="83"/>
      <c r="DTG98" s="83"/>
      <c r="DTH98" s="83"/>
      <c r="DTI98" s="83"/>
      <c r="DTJ98" s="83"/>
      <c r="DTK98" s="83"/>
      <c r="DTL98" s="83"/>
      <c r="DTM98" s="83"/>
      <c r="DTN98" s="83"/>
      <c r="DTO98" s="83"/>
      <c r="DTP98" s="83"/>
      <c r="DTQ98" s="83"/>
      <c r="DTR98" s="83"/>
      <c r="DTS98" s="83"/>
      <c r="DTT98" s="83"/>
      <c r="DTU98" s="83"/>
      <c r="DTV98" s="83"/>
      <c r="DTW98" s="83"/>
      <c r="DTX98" s="83"/>
      <c r="DTY98" s="83"/>
      <c r="DTZ98" s="83"/>
      <c r="DUA98" s="83"/>
      <c r="DUB98" s="83"/>
      <c r="DUC98" s="83"/>
      <c r="DUD98" s="83"/>
      <c r="DUE98" s="83"/>
      <c r="DUF98" s="83"/>
      <c r="DUG98" s="83"/>
      <c r="DUH98" s="83"/>
      <c r="DUI98" s="83"/>
      <c r="DUJ98" s="83"/>
      <c r="DUK98" s="83"/>
      <c r="DUL98" s="83"/>
      <c r="DUM98" s="83"/>
      <c r="DUN98" s="83"/>
      <c r="DUO98" s="83"/>
      <c r="DUP98" s="83"/>
      <c r="DUQ98" s="83"/>
      <c r="DUR98" s="83"/>
      <c r="DUS98" s="83"/>
      <c r="DUT98" s="83"/>
      <c r="DUU98" s="83"/>
      <c r="DUV98" s="83"/>
      <c r="DUW98" s="83"/>
      <c r="DUX98" s="83"/>
      <c r="DUY98" s="83"/>
      <c r="DUZ98" s="83"/>
      <c r="DVA98" s="83"/>
      <c r="DVB98" s="83"/>
      <c r="DVC98" s="83"/>
      <c r="DVD98" s="83"/>
      <c r="DVE98" s="83"/>
      <c r="DVF98" s="83"/>
      <c r="DVG98" s="83"/>
      <c r="DVH98" s="83"/>
      <c r="DVI98" s="83"/>
      <c r="DVJ98" s="83"/>
      <c r="DVK98" s="83"/>
      <c r="DVL98" s="83"/>
      <c r="DVM98" s="83"/>
      <c r="DVN98" s="83"/>
      <c r="DVO98" s="83"/>
      <c r="DVP98" s="83"/>
      <c r="DVQ98" s="83"/>
      <c r="DVR98" s="83"/>
      <c r="DVS98" s="83"/>
      <c r="DVT98" s="83"/>
      <c r="DVU98" s="83"/>
      <c r="DVV98" s="83"/>
      <c r="DVW98" s="83"/>
      <c r="DVX98" s="83"/>
      <c r="DVY98" s="83"/>
      <c r="DVZ98" s="83"/>
      <c r="DWA98" s="83"/>
      <c r="DWB98" s="83"/>
      <c r="DWC98" s="83"/>
      <c r="DWD98" s="83"/>
      <c r="DWE98" s="83"/>
      <c r="DWF98" s="83"/>
      <c r="DWG98" s="83"/>
      <c r="DWH98" s="83"/>
      <c r="DWI98" s="83"/>
      <c r="DWJ98" s="83"/>
      <c r="DWK98" s="83"/>
      <c r="DWL98" s="83"/>
      <c r="DWM98" s="83"/>
      <c r="DWN98" s="83"/>
      <c r="DWO98" s="83"/>
      <c r="DWP98" s="83"/>
      <c r="DWQ98" s="83"/>
      <c r="DWR98" s="83"/>
      <c r="DWS98" s="83"/>
      <c r="DWT98" s="83"/>
      <c r="DWU98" s="83"/>
      <c r="DWV98" s="83"/>
      <c r="DWW98" s="83"/>
      <c r="DWX98" s="83"/>
      <c r="DWY98" s="83"/>
      <c r="DWZ98" s="83"/>
      <c r="DXA98" s="83"/>
      <c r="DXB98" s="83"/>
      <c r="DXC98" s="83"/>
      <c r="DXD98" s="83"/>
      <c r="DXE98" s="83"/>
      <c r="DXF98" s="83"/>
      <c r="DXG98" s="83"/>
      <c r="DXH98" s="83"/>
      <c r="DXI98" s="83"/>
      <c r="DXJ98" s="83"/>
      <c r="DXK98" s="83"/>
      <c r="DXL98" s="83"/>
      <c r="DXM98" s="83"/>
      <c r="DXN98" s="83"/>
      <c r="DXO98" s="83"/>
      <c r="DXP98" s="83"/>
      <c r="DXQ98" s="83"/>
      <c r="DXR98" s="83"/>
      <c r="DXS98" s="83"/>
      <c r="DXT98" s="83"/>
      <c r="DXU98" s="83"/>
      <c r="DXV98" s="83"/>
      <c r="DXW98" s="83"/>
      <c r="DXX98" s="83"/>
      <c r="DXY98" s="83"/>
      <c r="DXZ98" s="83"/>
      <c r="DYA98" s="83"/>
      <c r="DYB98" s="83"/>
      <c r="DYC98" s="83"/>
      <c r="DYD98" s="83"/>
      <c r="DYE98" s="83"/>
      <c r="DYF98" s="83"/>
      <c r="DYG98" s="83"/>
      <c r="DYH98" s="83"/>
      <c r="DYI98" s="83"/>
      <c r="DYJ98" s="83"/>
      <c r="DYK98" s="83"/>
      <c r="DYL98" s="83"/>
      <c r="DYM98" s="83"/>
      <c r="DYN98" s="83"/>
      <c r="DYO98" s="83"/>
      <c r="DYP98" s="83"/>
      <c r="DYQ98" s="83"/>
      <c r="DYR98" s="83"/>
      <c r="DYS98" s="83"/>
      <c r="DYT98" s="83"/>
      <c r="DYU98" s="83"/>
      <c r="DYV98" s="83"/>
      <c r="DYW98" s="83"/>
      <c r="DYX98" s="83"/>
      <c r="DYY98" s="83"/>
      <c r="DYZ98" s="83"/>
      <c r="DZA98" s="83"/>
      <c r="DZB98" s="83"/>
      <c r="DZC98" s="83"/>
      <c r="DZD98" s="83"/>
      <c r="DZE98" s="83"/>
      <c r="DZF98" s="83"/>
      <c r="DZG98" s="83"/>
      <c r="DZH98" s="83"/>
      <c r="DZI98" s="83"/>
      <c r="DZJ98" s="83"/>
      <c r="DZK98" s="83"/>
      <c r="DZL98" s="83"/>
      <c r="DZM98" s="83"/>
      <c r="DZN98" s="83"/>
      <c r="DZO98" s="83"/>
      <c r="DZP98" s="83"/>
      <c r="DZQ98" s="83"/>
      <c r="DZR98" s="83"/>
      <c r="DZS98" s="83"/>
      <c r="DZT98" s="83"/>
      <c r="DZU98" s="83"/>
      <c r="DZV98" s="83"/>
      <c r="DZW98" s="83"/>
      <c r="DZX98" s="83"/>
      <c r="DZY98" s="83"/>
      <c r="DZZ98" s="83"/>
      <c r="EAA98" s="83"/>
      <c r="EAB98" s="83"/>
      <c r="EAC98" s="83"/>
      <c r="EAD98" s="83"/>
      <c r="EAE98" s="83"/>
      <c r="EAF98" s="83"/>
      <c r="EAG98" s="83"/>
      <c r="EAH98" s="83"/>
      <c r="EAI98" s="83"/>
      <c r="EAJ98" s="83"/>
      <c r="EAK98" s="83"/>
      <c r="EAL98" s="83"/>
      <c r="EAM98" s="83"/>
      <c r="EAN98" s="83"/>
      <c r="EAO98" s="83"/>
      <c r="EAP98" s="83"/>
      <c r="EAQ98" s="83"/>
      <c r="EAR98" s="83"/>
      <c r="EAS98" s="83"/>
      <c r="EAT98" s="83"/>
      <c r="EAU98" s="83"/>
      <c r="EAV98" s="83"/>
      <c r="EAW98" s="83"/>
      <c r="EAX98" s="83"/>
      <c r="EAY98" s="83"/>
      <c r="EAZ98" s="83"/>
      <c r="EBA98" s="83"/>
      <c r="EBB98" s="83"/>
      <c r="EBC98" s="83"/>
      <c r="EBD98" s="83"/>
      <c r="EBE98" s="83"/>
      <c r="EBF98" s="83"/>
      <c r="EBG98" s="83"/>
      <c r="EBH98" s="83"/>
      <c r="EBI98" s="83"/>
      <c r="EBJ98" s="83"/>
      <c r="EBK98" s="83"/>
      <c r="EBL98" s="83"/>
      <c r="EBM98" s="83"/>
      <c r="EBN98" s="83"/>
      <c r="EBO98" s="83"/>
      <c r="EBP98" s="83"/>
      <c r="EBQ98" s="83"/>
      <c r="EBR98" s="83"/>
      <c r="EBS98" s="83"/>
      <c r="EBT98" s="83"/>
      <c r="EBU98" s="83"/>
      <c r="EBV98" s="83"/>
      <c r="EBW98" s="83"/>
      <c r="EBX98" s="83"/>
      <c r="EBY98" s="83"/>
      <c r="EBZ98" s="83"/>
      <c r="ECA98" s="83"/>
      <c r="ECB98" s="83"/>
      <c r="ECC98" s="83"/>
      <c r="ECD98" s="83"/>
      <c r="ECE98" s="83"/>
      <c r="ECF98" s="83"/>
      <c r="ECG98" s="83"/>
      <c r="ECH98" s="83"/>
      <c r="ECI98" s="83"/>
      <c r="ECJ98" s="83"/>
      <c r="ECK98" s="83"/>
      <c r="ECL98" s="83"/>
      <c r="ECM98" s="83"/>
      <c r="ECN98" s="83"/>
      <c r="ECO98" s="83"/>
      <c r="ECP98" s="83"/>
      <c r="ECQ98" s="83"/>
      <c r="ECR98" s="83"/>
      <c r="ECS98" s="83"/>
      <c r="ECT98" s="83"/>
      <c r="ECU98" s="83"/>
      <c r="ECV98" s="83"/>
      <c r="ECW98" s="83"/>
      <c r="ECX98" s="83"/>
      <c r="ECY98" s="83"/>
      <c r="ECZ98" s="83"/>
      <c r="EDA98" s="83"/>
      <c r="EDB98" s="83"/>
      <c r="EDC98" s="83"/>
      <c r="EDD98" s="83"/>
      <c r="EDE98" s="83"/>
      <c r="EDF98" s="83"/>
      <c r="EDG98" s="83"/>
      <c r="EDH98" s="83"/>
      <c r="EDI98" s="83"/>
      <c r="EDJ98" s="83"/>
      <c r="EDK98" s="83"/>
      <c r="EDL98" s="83"/>
      <c r="EDM98" s="83"/>
      <c r="EDN98" s="83"/>
      <c r="EDO98" s="83"/>
      <c r="EDP98" s="83"/>
      <c r="EDQ98" s="83"/>
      <c r="EDR98" s="83"/>
      <c r="EDS98" s="83"/>
      <c r="EDT98" s="83"/>
      <c r="EDU98" s="83"/>
      <c r="EDV98" s="83"/>
      <c r="EDW98" s="83"/>
      <c r="EDX98" s="83"/>
      <c r="EDY98" s="83"/>
      <c r="EDZ98" s="83"/>
      <c r="EEA98" s="83"/>
      <c r="EEB98" s="83"/>
      <c r="EEC98" s="83"/>
      <c r="EED98" s="83"/>
      <c r="EEE98" s="83"/>
      <c r="EEF98" s="83"/>
      <c r="EEG98" s="83"/>
      <c r="EEH98" s="83"/>
      <c r="EEI98" s="83"/>
      <c r="EEJ98" s="83"/>
      <c r="EEK98" s="83"/>
      <c r="EEL98" s="83"/>
      <c r="EEM98" s="83"/>
      <c r="EEN98" s="83"/>
      <c r="EEO98" s="83"/>
      <c r="EEP98" s="83"/>
      <c r="EEQ98" s="83"/>
      <c r="EER98" s="83"/>
      <c r="EES98" s="83"/>
      <c r="EET98" s="83"/>
      <c r="EEU98" s="83"/>
      <c r="EEV98" s="83"/>
      <c r="EEW98" s="83"/>
      <c r="EEX98" s="83"/>
      <c r="EEY98" s="83"/>
      <c r="EEZ98" s="83"/>
      <c r="EFA98" s="83"/>
      <c r="EFB98" s="83"/>
      <c r="EFC98" s="83"/>
      <c r="EFD98" s="83"/>
      <c r="EFE98" s="83"/>
      <c r="EFF98" s="83"/>
      <c r="EFG98" s="83"/>
      <c r="EFH98" s="83"/>
      <c r="EFI98" s="83"/>
      <c r="EFJ98" s="83"/>
      <c r="EFK98" s="83"/>
      <c r="EFL98" s="83"/>
      <c r="EFM98" s="83"/>
      <c r="EFN98" s="83"/>
      <c r="EFO98" s="83"/>
      <c r="EFP98" s="83"/>
      <c r="EFQ98" s="83"/>
      <c r="EFR98" s="83"/>
      <c r="EFS98" s="83"/>
      <c r="EFT98" s="83"/>
      <c r="EFU98" s="83"/>
      <c r="EFV98" s="83"/>
      <c r="EFW98" s="83"/>
      <c r="EFX98" s="83"/>
      <c r="EFY98" s="83"/>
      <c r="EFZ98" s="83"/>
      <c r="EGA98" s="83"/>
      <c r="EGB98" s="83"/>
      <c r="EGC98" s="83"/>
      <c r="EGD98" s="83"/>
      <c r="EGE98" s="83"/>
      <c r="EGF98" s="83"/>
      <c r="EGG98" s="83"/>
      <c r="EGH98" s="83"/>
      <c r="EGI98" s="83"/>
      <c r="EGJ98" s="83"/>
      <c r="EGK98" s="83"/>
      <c r="EGL98" s="83"/>
      <c r="EGM98" s="83"/>
      <c r="EGN98" s="83"/>
      <c r="EGO98" s="83"/>
      <c r="EGP98" s="83"/>
      <c r="EGQ98" s="83"/>
      <c r="EGR98" s="83"/>
      <c r="EGS98" s="83"/>
      <c r="EGT98" s="83"/>
      <c r="EGU98" s="83"/>
      <c r="EGV98" s="83"/>
      <c r="EGW98" s="83"/>
      <c r="EGX98" s="83"/>
      <c r="EGY98" s="83"/>
      <c r="EGZ98" s="83"/>
      <c r="EHA98" s="83"/>
      <c r="EHB98" s="83"/>
      <c r="EHC98" s="83"/>
      <c r="EHD98" s="83"/>
      <c r="EHE98" s="83"/>
      <c r="EHF98" s="83"/>
      <c r="EHG98" s="83"/>
      <c r="EHH98" s="83"/>
      <c r="EHI98" s="83"/>
      <c r="EHJ98" s="83"/>
      <c r="EHK98" s="83"/>
      <c r="EHL98" s="83"/>
      <c r="EHM98" s="83"/>
      <c r="EHN98" s="83"/>
      <c r="EHO98" s="83"/>
      <c r="EHP98" s="83"/>
      <c r="EHQ98" s="83"/>
      <c r="EHR98" s="83"/>
      <c r="EHS98" s="83"/>
      <c r="EHT98" s="83"/>
      <c r="EHU98" s="83"/>
      <c r="EHV98" s="83"/>
      <c r="EHW98" s="83"/>
      <c r="EHX98" s="83"/>
      <c r="EHY98" s="83"/>
      <c r="EHZ98" s="83"/>
      <c r="EIA98" s="83"/>
      <c r="EIB98" s="83"/>
      <c r="EIC98" s="83"/>
      <c r="EID98" s="83"/>
      <c r="EIE98" s="83"/>
      <c r="EIF98" s="83"/>
      <c r="EIG98" s="83"/>
      <c r="EIH98" s="83"/>
      <c r="EII98" s="83"/>
      <c r="EIJ98" s="83"/>
      <c r="EIK98" s="83"/>
      <c r="EIL98" s="83"/>
      <c r="EIM98" s="83"/>
      <c r="EIN98" s="83"/>
      <c r="EIO98" s="83"/>
      <c r="EIP98" s="83"/>
      <c r="EIQ98" s="83"/>
      <c r="EIR98" s="83"/>
      <c r="EIS98" s="83"/>
      <c r="EIT98" s="83"/>
      <c r="EIU98" s="83"/>
      <c r="EIV98" s="83"/>
      <c r="EIW98" s="83"/>
      <c r="EIX98" s="83"/>
      <c r="EIY98" s="83"/>
      <c r="EIZ98" s="83"/>
      <c r="EJA98" s="83"/>
      <c r="EJB98" s="83"/>
      <c r="EJC98" s="83"/>
      <c r="EJD98" s="83"/>
      <c r="EJE98" s="83"/>
      <c r="EJF98" s="83"/>
      <c r="EJG98" s="83"/>
      <c r="EJH98" s="83"/>
      <c r="EJI98" s="83"/>
      <c r="EJJ98" s="83"/>
      <c r="EJK98" s="83"/>
      <c r="EJL98" s="83"/>
      <c r="EJM98" s="83"/>
      <c r="EJN98" s="83"/>
      <c r="EJO98" s="83"/>
      <c r="EJP98" s="83"/>
      <c r="EJQ98" s="83"/>
      <c r="EJR98" s="83"/>
      <c r="EJS98" s="83"/>
      <c r="EJT98" s="83"/>
      <c r="EJU98" s="83"/>
      <c r="EJV98" s="83"/>
      <c r="EJW98" s="83"/>
      <c r="EJX98" s="83"/>
      <c r="EJY98" s="83"/>
      <c r="EJZ98" s="83"/>
      <c r="EKA98" s="83"/>
      <c r="EKB98" s="83"/>
      <c r="EKC98" s="83"/>
      <c r="EKD98" s="83"/>
      <c r="EKE98" s="83"/>
      <c r="EKF98" s="83"/>
      <c r="EKG98" s="83"/>
      <c r="EKH98" s="83"/>
      <c r="EKI98" s="83"/>
      <c r="EKJ98" s="83"/>
      <c r="EKK98" s="83"/>
      <c r="EKL98" s="83"/>
      <c r="EKM98" s="83"/>
      <c r="EKN98" s="83"/>
      <c r="EKO98" s="83"/>
      <c r="EKP98" s="83"/>
      <c r="EKQ98" s="83"/>
      <c r="EKR98" s="83"/>
      <c r="EKS98" s="83"/>
      <c r="EKT98" s="83"/>
      <c r="EKU98" s="83"/>
      <c r="EKV98" s="83"/>
      <c r="EKW98" s="83"/>
      <c r="EKX98" s="83"/>
      <c r="EKY98" s="83"/>
      <c r="EKZ98" s="83"/>
      <c r="ELA98" s="83"/>
      <c r="ELB98" s="83"/>
      <c r="ELC98" s="83"/>
      <c r="ELD98" s="83"/>
      <c r="ELE98" s="83"/>
      <c r="ELF98" s="83"/>
      <c r="ELG98" s="83"/>
      <c r="ELH98" s="83"/>
      <c r="ELI98" s="83"/>
      <c r="ELJ98" s="83"/>
      <c r="ELK98" s="83"/>
      <c r="ELL98" s="83"/>
      <c r="ELM98" s="83"/>
      <c r="ELN98" s="83"/>
      <c r="ELO98" s="83"/>
      <c r="ELP98" s="83"/>
      <c r="ELQ98" s="83"/>
      <c r="ELR98" s="83"/>
      <c r="ELS98" s="83"/>
      <c r="ELT98" s="83"/>
      <c r="ELU98" s="83"/>
      <c r="ELV98" s="83"/>
      <c r="ELW98" s="83"/>
      <c r="ELX98" s="83"/>
      <c r="ELY98" s="83"/>
      <c r="ELZ98" s="83"/>
      <c r="EMA98" s="83"/>
      <c r="EMB98" s="83"/>
      <c r="EMC98" s="83"/>
      <c r="EMD98" s="83"/>
      <c r="EME98" s="83"/>
      <c r="EMF98" s="83"/>
      <c r="EMG98" s="83"/>
      <c r="EMH98" s="83"/>
      <c r="EMI98" s="83"/>
      <c r="EMJ98" s="83"/>
      <c r="EMK98" s="83"/>
      <c r="EML98" s="83"/>
      <c r="EMM98" s="83"/>
      <c r="EMN98" s="83"/>
      <c r="EMO98" s="83"/>
      <c r="EMP98" s="83"/>
      <c r="EMQ98" s="83"/>
      <c r="EMR98" s="83"/>
      <c r="EMS98" s="83"/>
      <c r="EMT98" s="83"/>
      <c r="EMU98" s="83"/>
      <c r="EMV98" s="83"/>
      <c r="EMW98" s="83"/>
      <c r="EMX98" s="83"/>
      <c r="EMY98" s="83"/>
      <c r="EMZ98" s="83"/>
      <c r="ENA98" s="83"/>
      <c r="ENB98" s="83"/>
      <c r="ENC98" s="83"/>
      <c r="END98" s="83"/>
      <c r="ENE98" s="83"/>
      <c r="ENF98" s="83"/>
      <c r="ENG98" s="83"/>
      <c r="ENH98" s="83"/>
      <c r="ENI98" s="83"/>
      <c r="ENJ98" s="83"/>
      <c r="ENK98" s="83"/>
      <c r="ENL98" s="83"/>
      <c r="ENM98" s="83"/>
      <c r="ENN98" s="83"/>
      <c r="ENO98" s="83"/>
      <c r="ENP98" s="83"/>
      <c r="ENQ98" s="83"/>
      <c r="ENR98" s="83"/>
      <c r="ENS98" s="83"/>
      <c r="ENT98" s="83"/>
      <c r="ENU98" s="83"/>
      <c r="ENV98" s="83"/>
      <c r="ENW98" s="83"/>
      <c r="ENX98" s="83"/>
      <c r="ENY98" s="83"/>
      <c r="ENZ98" s="83"/>
      <c r="EOA98" s="83"/>
      <c r="EOB98" s="83"/>
      <c r="EOC98" s="83"/>
      <c r="EOD98" s="83"/>
      <c r="EOE98" s="83"/>
      <c r="EOF98" s="83"/>
      <c r="EOG98" s="83"/>
      <c r="EOH98" s="83"/>
      <c r="EOI98" s="83"/>
      <c r="EOJ98" s="83"/>
      <c r="EOK98" s="83"/>
      <c r="EOL98" s="83"/>
      <c r="EOM98" s="83"/>
      <c r="EON98" s="83"/>
      <c r="EOO98" s="83"/>
      <c r="EOP98" s="83"/>
      <c r="EOQ98" s="83"/>
      <c r="EOR98" s="83"/>
      <c r="EOS98" s="83"/>
      <c r="EOT98" s="83"/>
      <c r="EOU98" s="83"/>
      <c r="EOV98" s="83"/>
      <c r="EOW98" s="83"/>
      <c r="EOX98" s="83"/>
      <c r="EOY98" s="83"/>
      <c r="EOZ98" s="83"/>
      <c r="EPA98" s="83"/>
      <c r="EPB98" s="83"/>
      <c r="EPC98" s="83"/>
      <c r="EPD98" s="83"/>
      <c r="EPE98" s="83"/>
      <c r="EPF98" s="83"/>
      <c r="EPG98" s="83"/>
      <c r="EPH98" s="83"/>
      <c r="EPI98" s="83"/>
      <c r="EPJ98" s="83"/>
      <c r="EPK98" s="83"/>
      <c r="EPL98" s="83"/>
      <c r="EPM98" s="83"/>
      <c r="EPN98" s="83"/>
      <c r="EPO98" s="83"/>
      <c r="EPP98" s="83"/>
      <c r="EPQ98" s="83"/>
      <c r="EPR98" s="83"/>
      <c r="EPS98" s="83"/>
      <c r="EPT98" s="83"/>
      <c r="EPU98" s="83"/>
      <c r="EPV98" s="83"/>
      <c r="EPW98" s="83"/>
      <c r="EPX98" s="83"/>
      <c r="EPY98" s="83"/>
      <c r="EPZ98" s="83"/>
      <c r="EQA98" s="83"/>
      <c r="EQB98" s="83"/>
      <c r="EQC98" s="83"/>
      <c r="EQD98" s="83"/>
      <c r="EQE98" s="83"/>
      <c r="EQF98" s="83"/>
      <c r="EQG98" s="83"/>
      <c r="EQH98" s="83"/>
      <c r="EQI98" s="83"/>
      <c r="EQJ98" s="83"/>
      <c r="EQK98" s="83"/>
      <c r="EQL98" s="83"/>
      <c r="EQM98" s="83"/>
      <c r="EQN98" s="83"/>
      <c r="EQO98" s="83"/>
      <c r="EQP98" s="83"/>
      <c r="EQQ98" s="83"/>
      <c r="EQR98" s="83"/>
      <c r="EQS98" s="83"/>
      <c r="EQT98" s="83"/>
      <c r="EQU98" s="83"/>
      <c r="EQV98" s="83"/>
      <c r="EQW98" s="83"/>
      <c r="EQX98" s="83"/>
      <c r="EQY98" s="83"/>
      <c r="EQZ98" s="83"/>
      <c r="ERA98" s="83"/>
      <c r="ERB98" s="83"/>
      <c r="ERC98" s="83"/>
      <c r="ERD98" s="83"/>
      <c r="ERE98" s="83"/>
      <c r="ERF98" s="83"/>
      <c r="ERG98" s="83"/>
      <c r="ERH98" s="83"/>
      <c r="ERI98" s="83"/>
      <c r="ERJ98" s="83"/>
      <c r="ERK98" s="83"/>
      <c r="ERL98" s="83"/>
      <c r="ERM98" s="83"/>
      <c r="ERN98" s="83"/>
      <c r="ERO98" s="83"/>
      <c r="ERP98" s="83"/>
      <c r="ERQ98" s="83"/>
      <c r="ERR98" s="83"/>
      <c r="ERS98" s="83"/>
      <c r="ERT98" s="83"/>
      <c r="ERU98" s="83"/>
      <c r="ERV98" s="83"/>
      <c r="ERW98" s="83"/>
      <c r="ERX98" s="83"/>
      <c r="ERY98" s="83"/>
      <c r="ERZ98" s="83"/>
      <c r="ESA98" s="83"/>
      <c r="ESB98" s="83"/>
      <c r="ESC98" s="83"/>
      <c r="ESD98" s="83"/>
      <c r="ESE98" s="83"/>
      <c r="ESF98" s="83"/>
      <c r="ESG98" s="83"/>
      <c r="ESH98" s="83"/>
      <c r="ESI98" s="83"/>
      <c r="ESJ98" s="83"/>
      <c r="ESK98" s="83"/>
      <c r="ESL98" s="83"/>
      <c r="ESM98" s="83"/>
      <c r="ESN98" s="83"/>
      <c r="ESO98" s="83"/>
      <c r="ESP98" s="83"/>
      <c r="ESQ98" s="83"/>
      <c r="ESR98" s="83"/>
      <c r="ESS98" s="83"/>
      <c r="EST98" s="83"/>
      <c r="ESU98" s="83"/>
      <c r="ESV98" s="83"/>
      <c r="ESW98" s="83"/>
      <c r="ESX98" s="83"/>
      <c r="ESY98" s="83"/>
      <c r="ESZ98" s="83"/>
      <c r="ETA98" s="83"/>
      <c r="ETB98" s="83"/>
      <c r="ETC98" s="83"/>
      <c r="ETD98" s="83"/>
      <c r="ETE98" s="83"/>
      <c r="ETF98" s="83"/>
      <c r="ETG98" s="83"/>
      <c r="ETH98" s="83"/>
      <c r="ETI98" s="83"/>
      <c r="ETJ98" s="83"/>
      <c r="ETK98" s="83"/>
      <c r="ETL98" s="83"/>
      <c r="ETM98" s="83"/>
      <c r="ETN98" s="83"/>
      <c r="ETO98" s="83"/>
      <c r="ETP98" s="83"/>
      <c r="ETQ98" s="83"/>
      <c r="ETR98" s="83"/>
      <c r="ETS98" s="83"/>
      <c r="ETT98" s="83"/>
      <c r="ETU98" s="83"/>
      <c r="ETV98" s="83"/>
      <c r="ETW98" s="83"/>
      <c r="ETX98" s="83"/>
      <c r="ETY98" s="83"/>
      <c r="ETZ98" s="83"/>
      <c r="EUA98" s="83"/>
      <c r="EUB98" s="83"/>
      <c r="EUC98" s="83"/>
      <c r="EUD98" s="83"/>
      <c r="EUE98" s="83"/>
      <c r="EUF98" s="83"/>
      <c r="EUG98" s="83"/>
      <c r="EUH98" s="83"/>
      <c r="EUI98" s="83"/>
      <c r="EUJ98" s="83"/>
      <c r="EUK98" s="83"/>
      <c r="EUL98" s="83"/>
      <c r="EUM98" s="83"/>
      <c r="EUN98" s="83"/>
      <c r="EUO98" s="83"/>
      <c r="EUP98" s="83"/>
      <c r="EUQ98" s="83"/>
      <c r="EUR98" s="83"/>
      <c r="EUS98" s="83"/>
      <c r="EUT98" s="83"/>
      <c r="EUU98" s="83"/>
      <c r="EUV98" s="83"/>
      <c r="EUW98" s="83"/>
      <c r="EUX98" s="83"/>
      <c r="EUY98" s="83"/>
      <c r="EUZ98" s="83"/>
      <c r="EVA98" s="83"/>
      <c r="EVB98" s="83"/>
      <c r="EVC98" s="83"/>
      <c r="EVD98" s="83"/>
      <c r="EVE98" s="83"/>
      <c r="EVF98" s="83"/>
      <c r="EVG98" s="83"/>
      <c r="EVH98" s="83"/>
      <c r="EVI98" s="83"/>
      <c r="EVJ98" s="83"/>
      <c r="EVK98" s="83"/>
      <c r="EVL98" s="83"/>
      <c r="EVM98" s="83"/>
      <c r="EVN98" s="83"/>
      <c r="EVO98" s="83"/>
      <c r="EVP98" s="83"/>
      <c r="EVQ98" s="83"/>
      <c r="EVR98" s="83"/>
      <c r="EVS98" s="83"/>
      <c r="EVT98" s="83"/>
      <c r="EVU98" s="83"/>
      <c r="EVV98" s="83"/>
      <c r="EVW98" s="83"/>
      <c r="EVX98" s="83"/>
      <c r="EVY98" s="83"/>
      <c r="EVZ98" s="83"/>
      <c r="EWA98" s="83"/>
      <c r="EWB98" s="83"/>
      <c r="EWC98" s="83"/>
      <c r="EWD98" s="83"/>
      <c r="EWE98" s="83"/>
      <c r="EWF98" s="83"/>
      <c r="EWG98" s="83"/>
      <c r="EWH98" s="83"/>
      <c r="EWI98" s="83"/>
      <c r="EWJ98" s="83"/>
      <c r="EWK98" s="83"/>
      <c r="EWL98" s="83"/>
      <c r="EWM98" s="83"/>
      <c r="EWN98" s="83"/>
      <c r="EWO98" s="83"/>
      <c r="EWP98" s="83"/>
      <c r="EWQ98" s="83"/>
      <c r="EWR98" s="83"/>
      <c r="EWS98" s="83"/>
      <c r="EWT98" s="83"/>
      <c r="EWU98" s="83"/>
      <c r="EWV98" s="83"/>
      <c r="EWW98" s="83"/>
      <c r="EWX98" s="83"/>
      <c r="EWY98" s="83"/>
      <c r="EWZ98" s="83"/>
      <c r="EXA98" s="83"/>
      <c r="EXB98" s="83"/>
      <c r="EXC98" s="83"/>
      <c r="EXD98" s="83"/>
      <c r="EXE98" s="83"/>
      <c r="EXF98" s="83"/>
      <c r="EXG98" s="83"/>
      <c r="EXH98" s="83"/>
      <c r="EXI98" s="83"/>
      <c r="EXJ98" s="83"/>
      <c r="EXK98" s="83"/>
      <c r="EXL98" s="83"/>
      <c r="EXM98" s="83"/>
      <c r="EXN98" s="83"/>
      <c r="EXO98" s="83"/>
      <c r="EXP98" s="83"/>
      <c r="EXQ98" s="83"/>
      <c r="EXR98" s="83"/>
      <c r="EXS98" s="83"/>
      <c r="EXT98" s="83"/>
      <c r="EXU98" s="83"/>
      <c r="EXV98" s="83"/>
      <c r="EXW98" s="83"/>
      <c r="EXX98" s="83"/>
      <c r="EXY98" s="83"/>
      <c r="EXZ98" s="83"/>
      <c r="EYA98" s="83"/>
      <c r="EYB98" s="83"/>
      <c r="EYC98" s="83"/>
      <c r="EYD98" s="83"/>
      <c r="EYE98" s="83"/>
      <c r="EYF98" s="83"/>
      <c r="EYG98" s="83"/>
      <c r="EYH98" s="83"/>
      <c r="EYI98" s="83"/>
      <c r="EYJ98" s="83"/>
      <c r="EYK98" s="83"/>
      <c r="EYL98" s="83"/>
      <c r="EYM98" s="83"/>
      <c r="EYN98" s="83"/>
      <c r="EYO98" s="83"/>
      <c r="EYP98" s="83"/>
      <c r="EYQ98" s="83"/>
      <c r="EYR98" s="83"/>
      <c r="EYS98" s="83"/>
      <c r="EYT98" s="83"/>
      <c r="EYU98" s="83"/>
      <c r="EYV98" s="83"/>
      <c r="EYW98" s="83"/>
      <c r="EYX98" s="83"/>
      <c r="EYY98" s="83"/>
      <c r="EYZ98" s="83"/>
      <c r="EZA98" s="83"/>
      <c r="EZB98" s="83"/>
      <c r="EZC98" s="83"/>
      <c r="EZD98" s="83"/>
      <c r="EZE98" s="83"/>
      <c r="EZF98" s="83"/>
      <c r="EZG98" s="83"/>
      <c r="EZH98" s="83"/>
      <c r="EZI98" s="83"/>
      <c r="EZJ98" s="83"/>
      <c r="EZK98" s="83"/>
      <c r="EZL98" s="83"/>
      <c r="EZM98" s="83"/>
      <c r="EZN98" s="83"/>
      <c r="EZO98" s="83"/>
      <c r="EZP98" s="83"/>
      <c r="EZQ98" s="83"/>
      <c r="EZR98" s="83"/>
      <c r="EZS98" s="83"/>
      <c r="EZT98" s="83"/>
      <c r="EZU98" s="83"/>
      <c r="EZV98" s="83"/>
      <c r="EZW98" s="83"/>
      <c r="EZX98" s="83"/>
      <c r="EZY98" s="83"/>
      <c r="EZZ98" s="83"/>
      <c r="FAA98" s="83"/>
      <c r="FAB98" s="83"/>
      <c r="FAC98" s="83"/>
      <c r="FAD98" s="83"/>
      <c r="FAE98" s="83"/>
      <c r="FAF98" s="83"/>
      <c r="FAG98" s="83"/>
      <c r="FAH98" s="83"/>
      <c r="FAI98" s="83"/>
      <c r="FAJ98" s="83"/>
      <c r="FAK98" s="83"/>
      <c r="FAL98" s="83"/>
      <c r="FAM98" s="83"/>
      <c r="FAN98" s="83"/>
      <c r="FAO98" s="83"/>
      <c r="FAP98" s="83"/>
      <c r="FAQ98" s="83"/>
      <c r="FAR98" s="83"/>
      <c r="FAS98" s="83"/>
      <c r="FAT98" s="83"/>
      <c r="FAU98" s="83"/>
      <c r="FAV98" s="83"/>
      <c r="FAW98" s="83"/>
      <c r="FAX98" s="83"/>
      <c r="FAY98" s="83"/>
      <c r="FAZ98" s="83"/>
      <c r="FBA98" s="83"/>
      <c r="FBB98" s="83"/>
      <c r="FBC98" s="83"/>
      <c r="FBD98" s="83"/>
      <c r="FBE98" s="83"/>
      <c r="FBF98" s="83"/>
      <c r="FBG98" s="83"/>
      <c r="FBH98" s="83"/>
      <c r="FBI98" s="83"/>
      <c r="FBJ98" s="83"/>
      <c r="FBK98" s="83"/>
      <c r="FBL98" s="83"/>
      <c r="FBM98" s="83"/>
      <c r="FBN98" s="83"/>
      <c r="FBO98" s="83"/>
      <c r="FBP98" s="83"/>
      <c r="FBQ98" s="83"/>
      <c r="FBR98" s="83"/>
      <c r="FBS98" s="83"/>
      <c r="FBT98" s="83"/>
      <c r="FBU98" s="83"/>
      <c r="FBV98" s="83"/>
      <c r="FBW98" s="83"/>
      <c r="FBX98" s="83"/>
      <c r="FBY98" s="83"/>
      <c r="FBZ98" s="83"/>
      <c r="FCA98" s="83"/>
      <c r="FCB98" s="83"/>
      <c r="FCC98" s="83"/>
      <c r="FCD98" s="83"/>
      <c r="FCE98" s="83"/>
      <c r="FCF98" s="83"/>
      <c r="FCG98" s="83"/>
      <c r="FCH98" s="83"/>
      <c r="FCI98" s="83"/>
      <c r="FCJ98" s="83"/>
      <c r="FCK98" s="83"/>
      <c r="FCL98" s="83"/>
      <c r="FCM98" s="83"/>
      <c r="FCN98" s="83"/>
      <c r="FCO98" s="83"/>
      <c r="FCP98" s="83"/>
      <c r="FCQ98" s="83"/>
      <c r="FCR98" s="83"/>
      <c r="FCS98" s="83"/>
      <c r="FCT98" s="83"/>
      <c r="FCU98" s="83"/>
      <c r="FCV98" s="83"/>
      <c r="FCW98" s="83"/>
      <c r="FCX98" s="83"/>
      <c r="FCY98" s="83"/>
      <c r="FCZ98" s="83"/>
      <c r="FDA98" s="83"/>
      <c r="FDB98" s="83"/>
      <c r="FDC98" s="83"/>
      <c r="FDD98" s="83"/>
      <c r="FDE98" s="83"/>
      <c r="FDF98" s="83"/>
      <c r="FDG98" s="83"/>
      <c r="FDH98" s="83"/>
      <c r="FDI98" s="83"/>
      <c r="FDJ98" s="83"/>
      <c r="FDK98" s="83"/>
      <c r="FDL98" s="83"/>
      <c r="FDM98" s="83"/>
      <c r="FDN98" s="83"/>
      <c r="FDO98" s="83"/>
      <c r="FDP98" s="83"/>
      <c r="FDQ98" s="83"/>
      <c r="FDR98" s="83"/>
      <c r="FDS98" s="83"/>
      <c r="FDT98" s="83"/>
      <c r="FDU98" s="83"/>
      <c r="FDV98" s="83"/>
      <c r="FDW98" s="83"/>
      <c r="FDX98" s="83"/>
      <c r="FDY98" s="83"/>
      <c r="FDZ98" s="83"/>
      <c r="FEA98" s="83"/>
      <c r="FEB98" s="83"/>
      <c r="FEC98" s="83"/>
      <c r="FED98" s="83"/>
      <c r="FEE98" s="83"/>
      <c r="FEF98" s="83"/>
      <c r="FEG98" s="83"/>
      <c r="FEH98" s="83"/>
      <c r="FEI98" s="83"/>
      <c r="FEJ98" s="83"/>
      <c r="FEK98" s="83"/>
      <c r="FEL98" s="83"/>
      <c r="FEM98" s="83"/>
      <c r="FEN98" s="83"/>
      <c r="FEO98" s="83"/>
      <c r="FEP98" s="83"/>
      <c r="FEQ98" s="83"/>
      <c r="FER98" s="83"/>
      <c r="FES98" s="83"/>
      <c r="FET98" s="83"/>
      <c r="FEU98" s="83"/>
      <c r="FEV98" s="83"/>
      <c r="FEW98" s="83"/>
      <c r="FEX98" s="83"/>
      <c r="FEY98" s="83"/>
      <c r="FEZ98" s="83"/>
      <c r="FFA98" s="83"/>
      <c r="FFB98" s="83"/>
      <c r="FFC98" s="83"/>
      <c r="FFD98" s="83"/>
      <c r="FFE98" s="83"/>
      <c r="FFF98" s="83"/>
      <c r="FFG98" s="83"/>
      <c r="FFH98" s="83"/>
      <c r="FFI98" s="83"/>
      <c r="FFJ98" s="83"/>
      <c r="FFK98" s="83"/>
      <c r="FFL98" s="83"/>
      <c r="FFM98" s="83"/>
      <c r="FFN98" s="83"/>
      <c r="FFO98" s="83"/>
      <c r="FFP98" s="83"/>
      <c r="FFQ98" s="83"/>
      <c r="FFR98" s="83"/>
      <c r="FFS98" s="83"/>
      <c r="FFT98" s="83"/>
      <c r="FFU98" s="83"/>
      <c r="FFV98" s="83"/>
      <c r="FFW98" s="83"/>
      <c r="FFX98" s="83"/>
      <c r="FFY98" s="83"/>
      <c r="FFZ98" s="83"/>
      <c r="FGA98" s="83"/>
      <c r="FGB98" s="83"/>
      <c r="FGC98" s="83"/>
      <c r="FGD98" s="83"/>
      <c r="FGE98" s="83"/>
      <c r="FGF98" s="83"/>
      <c r="FGG98" s="83"/>
      <c r="FGH98" s="83"/>
      <c r="FGI98" s="83"/>
      <c r="FGJ98" s="83"/>
      <c r="FGK98" s="83"/>
      <c r="FGL98" s="83"/>
      <c r="FGM98" s="83"/>
      <c r="FGN98" s="83"/>
      <c r="FGO98" s="83"/>
      <c r="FGP98" s="83"/>
      <c r="FGQ98" s="83"/>
      <c r="FGR98" s="83"/>
      <c r="FGS98" s="83"/>
      <c r="FGT98" s="83"/>
      <c r="FGU98" s="83"/>
      <c r="FGV98" s="83"/>
      <c r="FGW98" s="83"/>
      <c r="FGX98" s="83"/>
      <c r="FGY98" s="83"/>
      <c r="FGZ98" s="83"/>
      <c r="FHA98" s="83"/>
      <c r="FHB98" s="83"/>
      <c r="FHC98" s="83"/>
      <c r="FHD98" s="83"/>
      <c r="FHE98" s="83"/>
      <c r="FHF98" s="83"/>
      <c r="FHG98" s="83"/>
      <c r="FHH98" s="83"/>
      <c r="FHI98" s="83"/>
      <c r="FHJ98" s="83"/>
      <c r="FHK98" s="83"/>
      <c r="FHL98" s="83"/>
      <c r="FHM98" s="83"/>
      <c r="FHN98" s="83"/>
      <c r="FHO98" s="83"/>
      <c r="FHP98" s="83"/>
      <c r="FHQ98" s="83"/>
      <c r="FHR98" s="83"/>
      <c r="FHS98" s="83"/>
      <c r="FHT98" s="83"/>
      <c r="FHU98" s="83"/>
      <c r="FHV98" s="83"/>
      <c r="FHW98" s="83"/>
      <c r="FHX98" s="83"/>
      <c r="FHY98" s="83"/>
      <c r="FHZ98" s="83"/>
      <c r="FIA98" s="83"/>
      <c r="FIB98" s="83"/>
      <c r="FIC98" s="83"/>
      <c r="FID98" s="83"/>
      <c r="FIE98" s="83"/>
      <c r="FIF98" s="83"/>
      <c r="FIG98" s="83"/>
      <c r="FIH98" s="83"/>
      <c r="FII98" s="83"/>
      <c r="FIJ98" s="83"/>
      <c r="FIK98" s="83"/>
      <c r="FIL98" s="83"/>
      <c r="FIM98" s="83"/>
      <c r="FIN98" s="83"/>
      <c r="FIO98" s="83"/>
      <c r="FIP98" s="83"/>
      <c r="FIQ98" s="83"/>
      <c r="FIR98" s="83"/>
      <c r="FIS98" s="83"/>
      <c r="FIT98" s="83"/>
      <c r="FIU98" s="83"/>
      <c r="FIV98" s="83"/>
      <c r="FIW98" s="83"/>
      <c r="FIX98" s="83"/>
      <c r="FIY98" s="83"/>
      <c r="FIZ98" s="83"/>
      <c r="FJA98" s="83"/>
      <c r="FJB98" s="83"/>
      <c r="FJC98" s="83"/>
      <c r="FJD98" s="83"/>
      <c r="FJE98" s="83"/>
      <c r="FJF98" s="83"/>
      <c r="FJG98" s="83"/>
      <c r="FJH98" s="83"/>
      <c r="FJI98" s="83"/>
      <c r="FJJ98" s="83"/>
      <c r="FJK98" s="83"/>
      <c r="FJL98" s="83"/>
      <c r="FJM98" s="83"/>
      <c r="FJN98" s="83"/>
      <c r="FJO98" s="83"/>
      <c r="FJP98" s="83"/>
      <c r="FJQ98" s="83"/>
      <c r="FJR98" s="83"/>
      <c r="FJS98" s="83"/>
      <c r="FJT98" s="83"/>
      <c r="FJU98" s="83"/>
      <c r="FJV98" s="83"/>
      <c r="FJW98" s="83"/>
      <c r="FJX98" s="83"/>
      <c r="FJY98" s="83"/>
      <c r="FJZ98" s="83"/>
      <c r="FKA98" s="83"/>
      <c r="FKB98" s="83"/>
      <c r="FKC98" s="83"/>
      <c r="FKD98" s="83"/>
      <c r="FKE98" s="83"/>
      <c r="FKF98" s="83"/>
      <c r="FKG98" s="83"/>
      <c r="FKH98" s="83"/>
      <c r="FKI98" s="83"/>
      <c r="FKJ98" s="83"/>
      <c r="FKK98" s="83"/>
      <c r="FKL98" s="83"/>
      <c r="FKM98" s="83"/>
      <c r="FKN98" s="83"/>
      <c r="FKO98" s="83"/>
      <c r="FKP98" s="83"/>
      <c r="FKQ98" s="83"/>
      <c r="FKR98" s="83"/>
      <c r="FKS98" s="83"/>
      <c r="FKT98" s="83"/>
      <c r="FKU98" s="83"/>
      <c r="FKV98" s="83"/>
      <c r="FKW98" s="83"/>
      <c r="FKX98" s="83"/>
      <c r="FKY98" s="83"/>
      <c r="FKZ98" s="83"/>
      <c r="FLA98" s="83"/>
      <c r="FLB98" s="83"/>
      <c r="FLC98" s="83"/>
      <c r="FLD98" s="83"/>
      <c r="FLE98" s="83"/>
      <c r="FLF98" s="83"/>
      <c r="FLG98" s="83"/>
      <c r="FLH98" s="83"/>
      <c r="FLI98" s="83"/>
      <c r="FLJ98" s="83"/>
      <c r="FLK98" s="83"/>
      <c r="FLL98" s="83"/>
      <c r="FLM98" s="83"/>
      <c r="FLN98" s="83"/>
      <c r="FLO98" s="83"/>
      <c r="FLP98" s="83"/>
      <c r="FLQ98" s="83"/>
      <c r="FLR98" s="83"/>
      <c r="FLS98" s="83"/>
      <c r="FLT98" s="83"/>
      <c r="FLU98" s="83"/>
      <c r="FLV98" s="83"/>
      <c r="FLW98" s="83"/>
      <c r="FLX98" s="83"/>
      <c r="FLY98" s="83"/>
      <c r="FLZ98" s="83"/>
      <c r="FMA98" s="83"/>
      <c r="FMB98" s="83"/>
      <c r="FMC98" s="83"/>
      <c r="FMD98" s="83"/>
      <c r="FME98" s="83"/>
      <c r="FMF98" s="83"/>
      <c r="FMG98" s="83"/>
      <c r="FMH98" s="83"/>
      <c r="FMI98" s="83"/>
      <c r="FMJ98" s="83"/>
      <c r="FMK98" s="83"/>
      <c r="FML98" s="83"/>
      <c r="FMM98" s="83"/>
      <c r="FMN98" s="83"/>
      <c r="FMO98" s="83"/>
      <c r="FMP98" s="83"/>
      <c r="FMQ98" s="83"/>
      <c r="FMR98" s="83"/>
      <c r="FMS98" s="83"/>
      <c r="FMT98" s="83"/>
      <c r="FMU98" s="83"/>
      <c r="FMV98" s="83"/>
      <c r="FMW98" s="83"/>
      <c r="FMX98" s="83"/>
      <c r="FMY98" s="83"/>
      <c r="FMZ98" s="83"/>
      <c r="FNA98" s="83"/>
      <c r="FNB98" s="83"/>
      <c r="FNC98" s="83"/>
      <c r="FND98" s="83"/>
      <c r="FNE98" s="83"/>
      <c r="FNF98" s="83"/>
      <c r="FNG98" s="83"/>
      <c r="FNH98" s="83"/>
      <c r="FNI98" s="83"/>
      <c r="FNJ98" s="83"/>
      <c r="FNK98" s="83"/>
      <c r="FNL98" s="83"/>
      <c r="FNM98" s="83"/>
      <c r="FNN98" s="83"/>
      <c r="FNO98" s="83"/>
      <c r="FNP98" s="83"/>
      <c r="FNQ98" s="83"/>
      <c r="FNR98" s="83"/>
      <c r="FNS98" s="83"/>
      <c r="FNT98" s="83"/>
      <c r="FNU98" s="83"/>
      <c r="FNV98" s="83"/>
      <c r="FNW98" s="83"/>
      <c r="FNX98" s="83"/>
      <c r="FNY98" s="83"/>
      <c r="FNZ98" s="83"/>
      <c r="FOA98" s="83"/>
      <c r="FOB98" s="83"/>
      <c r="FOC98" s="83"/>
      <c r="FOD98" s="83"/>
      <c r="FOE98" s="83"/>
      <c r="FOF98" s="83"/>
      <c r="FOG98" s="83"/>
      <c r="FOH98" s="83"/>
      <c r="FOI98" s="83"/>
      <c r="FOJ98" s="83"/>
      <c r="FOK98" s="83"/>
      <c r="FOL98" s="83"/>
      <c r="FOM98" s="83"/>
      <c r="FON98" s="83"/>
      <c r="FOO98" s="83"/>
      <c r="FOP98" s="83"/>
      <c r="FOQ98" s="83"/>
      <c r="FOR98" s="83"/>
      <c r="FOS98" s="83"/>
      <c r="FOT98" s="83"/>
      <c r="FOU98" s="83"/>
      <c r="FOV98" s="83"/>
      <c r="FOW98" s="83"/>
      <c r="FOX98" s="83"/>
      <c r="FOY98" s="83"/>
      <c r="FOZ98" s="83"/>
      <c r="FPA98" s="83"/>
      <c r="FPB98" s="83"/>
      <c r="FPC98" s="83"/>
      <c r="FPD98" s="83"/>
      <c r="FPE98" s="83"/>
      <c r="FPF98" s="83"/>
      <c r="FPG98" s="83"/>
      <c r="FPH98" s="83"/>
      <c r="FPI98" s="83"/>
      <c r="FPJ98" s="83"/>
      <c r="FPK98" s="83"/>
      <c r="FPL98" s="83"/>
      <c r="FPM98" s="83"/>
      <c r="FPN98" s="83"/>
      <c r="FPO98" s="83"/>
      <c r="FPP98" s="83"/>
      <c r="FPQ98" s="83"/>
      <c r="FPR98" s="83"/>
      <c r="FPS98" s="83"/>
      <c r="FPT98" s="83"/>
      <c r="FPU98" s="83"/>
      <c r="FPV98" s="83"/>
      <c r="FPW98" s="83"/>
      <c r="FPX98" s="83"/>
      <c r="FPY98" s="83"/>
      <c r="FPZ98" s="83"/>
      <c r="FQA98" s="83"/>
      <c r="FQB98" s="83"/>
      <c r="FQC98" s="83"/>
      <c r="FQD98" s="83"/>
      <c r="FQE98" s="83"/>
      <c r="FQF98" s="83"/>
      <c r="FQG98" s="83"/>
      <c r="FQH98" s="83"/>
      <c r="FQI98" s="83"/>
      <c r="FQJ98" s="83"/>
      <c r="FQK98" s="83"/>
      <c r="FQL98" s="83"/>
      <c r="FQM98" s="83"/>
      <c r="FQN98" s="83"/>
      <c r="FQO98" s="83"/>
      <c r="FQP98" s="83"/>
      <c r="FQQ98" s="83"/>
      <c r="FQR98" s="83"/>
      <c r="FQS98" s="83"/>
      <c r="FQT98" s="83"/>
      <c r="FQU98" s="83"/>
      <c r="FQV98" s="83"/>
      <c r="FQW98" s="83"/>
      <c r="FQX98" s="83"/>
      <c r="FQY98" s="83"/>
      <c r="FQZ98" s="83"/>
      <c r="FRA98" s="83"/>
      <c r="FRB98" s="83"/>
      <c r="FRC98" s="83"/>
      <c r="FRD98" s="83"/>
      <c r="FRE98" s="83"/>
      <c r="FRF98" s="83"/>
      <c r="FRG98" s="83"/>
      <c r="FRH98" s="83"/>
      <c r="FRI98" s="83"/>
      <c r="FRJ98" s="83"/>
      <c r="FRK98" s="83"/>
      <c r="FRL98" s="83"/>
      <c r="FRM98" s="83"/>
      <c r="FRN98" s="83"/>
      <c r="FRO98" s="83"/>
      <c r="FRP98" s="83"/>
      <c r="FRQ98" s="83"/>
      <c r="FRR98" s="83"/>
      <c r="FRS98" s="83"/>
      <c r="FRT98" s="83"/>
      <c r="FRU98" s="83"/>
      <c r="FRV98" s="83"/>
      <c r="FRW98" s="83"/>
      <c r="FRX98" s="83"/>
      <c r="FRY98" s="83"/>
      <c r="FRZ98" s="83"/>
      <c r="FSA98" s="83"/>
      <c r="FSB98" s="83"/>
      <c r="FSC98" s="83"/>
      <c r="FSD98" s="83"/>
      <c r="FSE98" s="83"/>
      <c r="FSF98" s="83"/>
      <c r="FSG98" s="83"/>
      <c r="FSH98" s="83"/>
      <c r="FSI98" s="83"/>
      <c r="FSJ98" s="83"/>
      <c r="FSK98" s="83"/>
      <c r="FSL98" s="83"/>
      <c r="FSM98" s="83"/>
      <c r="FSN98" s="83"/>
      <c r="FSO98" s="83"/>
      <c r="FSP98" s="83"/>
      <c r="FSQ98" s="83"/>
      <c r="FSR98" s="83"/>
      <c r="FSS98" s="83"/>
      <c r="FST98" s="83"/>
      <c r="FSU98" s="83"/>
      <c r="FSV98" s="83"/>
      <c r="FSW98" s="83"/>
      <c r="FSX98" s="83"/>
      <c r="FSY98" s="83"/>
      <c r="FSZ98" s="83"/>
      <c r="FTA98" s="83"/>
      <c r="FTB98" s="83"/>
      <c r="FTC98" s="83"/>
      <c r="FTD98" s="83"/>
      <c r="FTE98" s="83"/>
      <c r="FTF98" s="83"/>
      <c r="FTG98" s="83"/>
      <c r="FTH98" s="83"/>
      <c r="FTI98" s="83"/>
      <c r="FTJ98" s="83"/>
      <c r="FTK98" s="83"/>
      <c r="FTL98" s="83"/>
      <c r="FTM98" s="83"/>
      <c r="FTN98" s="83"/>
      <c r="FTO98" s="83"/>
      <c r="FTP98" s="83"/>
      <c r="FTQ98" s="83"/>
      <c r="FTR98" s="83"/>
      <c r="FTS98" s="83"/>
      <c r="FTT98" s="83"/>
      <c r="FTU98" s="83"/>
      <c r="FTV98" s="83"/>
      <c r="FTW98" s="83"/>
      <c r="FTX98" s="83"/>
      <c r="FTY98" s="83"/>
      <c r="FTZ98" s="83"/>
      <c r="FUA98" s="83"/>
      <c r="FUB98" s="83"/>
      <c r="FUC98" s="83"/>
      <c r="FUD98" s="83"/>
      <c r="FUE98" s="83"/>
      <c r="FUF98" s="83"/>
      <c r="FUG98" s="83"/>
      <c r="FUH98" s="83"/>
      <c r="FUI98" s="83"/>
      <c r="FUJ98" s="83"/>
      <c r="FUK98" s="83"/>
      <c r="FUL98" s="83"/>
      <c r="FUM98" s="83"/>
      <c r="FUN98" s="83"/>
      <c r="FUO98" s="83"/>
      <c r="FUP98" s="83"/>
      <c r="FUQ98" s="83"/>
      <c r="FUR98" s="83"/>
      <c r="FUS98" s="83"/>
      <c r="FUT98" s="83"/>
      <c r="FUU98" s="83"/>
      <c r="FUV98" s="83"/>
      <c r="FUW98" s="83"/>
      <c r="FUX98" s="83"/>
      <c r="FUY98" s="83"/>
      <c r="FUZ98" s="83"/>
      <c r="FVA98" s="83"/>
      <c r="FVB98" s="83"/>
      <c r="FVC98" s="83"/>
      <c r="FVD98" s="83"/>
      <c r="FVE98" s="83"/>
      <c r="FVF98" s="83"/>
      <c r="FVG98" s="83"/>
      <c r="FVH98" s="83"/>
      <c r="FVI98" s="83"/>
      <c r="FVJ98" s="83"/>
      <c r="FVK98" s="83"/>
      <c r="FVL98" s="83"/>
      <c r="FVM98" s="83"/>
      <c r="FVN98" s="83"/>
      <c r="FVO98" s="83"/>
      <c r="FVP98" s="83"/>
      <c r="FVQ98" s="83"/>
      <c r="FVR98" s="83"/>
      <c r="FVS98" s="83"/>
      <c r="FVT98" s="83"/>
      <c r="FVU98" s="83"/>
      <c r="FVV98" s="83"/>
      <c r="FVW98" s="83"/>
      <c r="FVX98" s="83"/>
      <c r="FVY98" s="83"/>
      <c r="FVZ98" s="83"/>
      <c r="FWA98" s="83"/>
      <c r="FWB98" s="83"/>
      <c r="FWC98" s="83"/>
      <c r="FWD98" s="83"/>
      <c r="FWE98" s="83"/>
      <c r="FWF98" s="83"/>
      <c r="FWG98" s="83"/>
      <c r="FWH98" s="83"/>
      <c r="FWI98" s="83"/>
      <c r="FWJ98" s="83"/>
      <c r="FWK98" s="83"/>
      <c r="FWL98" s="83"/>
      <c r="FWM98" s="83"/>
      <c r="FWN98" s="83"/>
      <c r="FWO98" s="83"/>
      <c r="FWP98" s="83"/>
      <c r="FWQ98" s="83"/>
      <c r="FWR98" s="83"/>
      <c r="FWS98" s="83"/>
      <c r="FWT98" s="83"/>
      <c r="FWU98" s="83"/>
      <c r="FWV98" s="83"/>
      <c r="FWW98" s="83"/>
      <c r="FWX98" s="83"/>
      <c r="FWY98" s="83"/>
      <c r="FWZ98" s="83"/>
      <c r="FXA98" s="83"/>
      <c r="FXB98" s="83"/>
      <c r="FXC98" s="83"/>
      <c r="FXD98" s="83"/>
      <c r="FXE98" s="83"/>
      <c r="FXF98" s="83"/>
      <c r="FXG98" s="83"/>
      <c r="FXH98" s="83"/>
      <c r="FXI98" s="83"/>
      <c r="FXJ98" s="83"/>
      <c r="FXK98" s="83"/>
      <c r="FXL98" s="83"/>
      <c r="FXM98" s="83"/>
      <c r="FXN98" s="83"/>
      <c r="FXO98" s="83"/>
      <c r="FXP98" s="83"/>
      <c r="FXQ98" s="83"/>
      <c r="FXR98" s="83"/>
      <c r="FXS98" s="83"/>
      <c r="FXT98" s="83"/>
      <c r="FXU98" s="83"/>
      <c r="FXV98" s="83"/>
      <c r="FXW98" s="83"/>
      <c r="FXX98" s="83"/>
      <c r="FXY98" s="83"/>
      <c r="FXZ98" s="83"/>
      <c r="FYA98" s="83"/>
      <c r="FYB98" s="83"/>
      <c r="FYC98" s="83"/>
      <c r="FYD98" s="83"/>
      <c r="FYE98" s="83"/>
      <c r="FYF98" s="83"/>
      <c r="FYG98" s="83"/>
      <c r="FYH98" s="83"/>
      <c r="FYI98" s="83"/>
      <c r="FYJ98" s="83"/>
      <c r="FYK98" s="83"/>
      <c r="FYL98" s="83"/>
      <c r="FYM98" s="83"/>
      <c r="FYN98" s="83"/>
      <c r="FYO98" s="83"/>
      <c r="FYP98" s="83"/>
      <c r="FYQ98" s="83"/>
      <c r="FYR98" s="83"/>
      <c r="FYS98" s="83"/>
      <c r="FYT98" s="83"/>
      <c r="FYU98" s="83"/>
      <c r="FYV98" s="83"/>
      <c r="FYW98" s="83"/>
      <c r="FYX98" s="83"/>
      <c r="FYY98" s="83"/>
      <c r="FYZ98" s="83"/>
      <c r="FZA98" s="83"/>
      <c r="FZB98" s="83"/>
      <c r="FZC98" s="83"/>
      <c r="FZD98" s="83"/>
      <c r="FZE98" s="83"/>
      <c r="FZF98" s="83"/>
      <c r="FZG98" s="83"/>
      <c r="FZH98" s="83"/>
      <c r="FZI98" s="83"/>
      <c r="FZJ98" s="83"/>
      <c r="FZK98" s="83"/>
      <c r="FZL98" s="83"/>
      <c r="FZM98" s="83"/>
      <c r="FZN98" s="83"/>
      <c r="FZO98" s="83"/>
      <c r="FZP98" s="83"/>
      <c r="FZQ98" s="83"/>
      <c r="FZR98" s="83"/>
      <c r="FZS98" s="83"/>
      <c r="FZT98" s="83"/>
      <c r="FZU98" s="83"/>
      <c r="FZV98" s="83"/>
      <c r="FZW98" s="83"/>
      <c r="FZX98" s="83"/>
      <c r="FZY98" s="83"/>
      <c r="FZZ98" s="83"/>
      <c r="GAA98" s="83"/>
      <c r="GAB98" s="83"/>
      <c r="GAC98" s="83"/>
      <c r="GAD98" s="83"/>
      <c r="GAE98" s="83"/>
      <c r="GAF98" s="83"/>
      <c r="GAG98" s="83"/>
      <c r="GAH98" s="83"/>
      <c r="GAI98" s="83"/>
      <c r="GAJ98" s="83"/>
      <c r="GAK98" s="83"/>
      <c r="GAL98" s="83"/>
      <c r="GAM98" s="83"/>
      <c r="GAN98" s="83"/>
      <c r="GAO98" s="83"/>
      <c r="GAP98" s="83"/>
      <c r="GAQ98" s="83"/>
      <c r="GAR98" s="83"/>
      <c r="GAS98" s="83"/>
      <c r="GAT98" s="83"/>
      <c r="GAU98" s="83"/>
      <c r="GAV98" s="83"/>
      <c r="GAW98" s="83"/>
      <c r="GAX98" s="83"/>
      <c r="GAY98" s="83"/>
      <c r="GAZ98" s="83"/>
      <c r="GBA98" s="83"/>
      <c r="GBB98" s="83"/>
      <c r="GBC98" s="83"/>
      <c r="GBD98" s="83"/>
      <c r="GBE98" s="83"/>
      <c r="GBF98" s="83"/>
      <c r="GBG98" s="83"/>
      <c r="GBH98" s="83"/>
      <c r="GBI98" s="83"/>
      <c r="GBJ98" s="83"/>
      <c r="GBK98" s="83"/>
      <c r="GBL98" s="83"/>
      <c r="GBM98" s="83"/>
      <c r="GBN98" s="83"/>
      <c r="GBO98" s="83"/>
      <c r="GBP98" s="83"/>
      <c r="GBQ98" s="83"/>
      <c r="GBR98" s="83"/>
      <c r="GBS98" s="83"/>
      <c r="GBT98" s="83"/>
      <c r="GBU98" s="83"/>
      <c r="GBV98" s="83"/>
      <c r="GBW98" s="83"/>
      <c r="GBX98" s="83"/>
      <c r="GBY98" s="83"/>
      <c r="GBZ98" s="83"/>
      <c r="GCA98" s="83"/>
      <c r="GCB98" s="83"/>
      <c r="GCC98" s="83"/>
      <c r="GCD98" s="83"/>
      <c r="GCE98" s="83"/>
      <c r="GCF98" s="83"/>
      <c r="GCG98" s="83"/>
      <c r="GCH98" s="83"/>
      <c r="GCI98" s="83"/>
      <c r="GCJ98" s="83"/>
      <c r="GCK98" s="83"/>
      <c r="GCL98" s="83"/>
      <c r="GCM98" s="83"/>
      <c r="GCN98" s="83"/>
      <c r="GCO98" s="83"/>
      <c r="GCP98" s="83"/>
      <c r="GCQ98" s="83"/>
      <c r="GCR98" s="83"/>
      <c r="GCS98" s="83"/>
      <c r="GCT98" s="83"/>
      <c r="GCU98" s="83"/>
      <c r="GCV98" s="83"/>
      <c r="GCW98" s="83"/>
      <c r="GCX98" s="83"/>
      <c r="GCY98" s="83"/>
      <c r="GCZ98" s="83"/>
      <c r="GDA98" s="83"/>
      <c r="GDB98" s="83"/>
      <c r="GDC98" s="83"/>
      <c r="GDD98" s="83"/>
      <c r="GDE98" s="83"/>
      <c r="GDF98" s="83"/>
      <c r="GDG98" s="83"/>
      <c r="GDH98" s="83"/>
      <c r="GDI98" s="83"/>
      <c r="GDJ98" s="83"/>
      <c r="GDK98" s="83"/>
      <c r="GDL98" s="83"/>
      <c r="GDM98" s="83"/>
      <c r="GDN98" s="83"/>
      <c r="GDO98" s="83"/>
      <c r="GDP98" s="83"/>
      <c r="GDQ98" s="83"/>
      <c r="GDR98" s="83"/>
      <c r="GDS98" s="83"/>
      <c r="GDT98" s="83"/>
      <c r="GDU98" s="83"/>
      <c r="GDV98" s="83"/>
      <c r="GDW98" s="83"/>
      <c r="GDX98" s="83"/>
      <c r="GDY98" s="83"/>
      <c r="GDZ98" s="83"/>
      <c r="GEA98" s="83"/>
      <c r="GEB98" s="83"/>
      <c r="GEC98" s="83"/>
      <c r="GED98" s="83"/>
      <c r="GEE98" s="83"/>
      <c r="GEF98" s="83"/>
      <c r="GEG98" s="83"/>
      <c r="GEH98" s="83"/>
      <c r="GEI98" s="83"/>
      <c r="GEJ98" s="83"/>
      <c r="GEK98" s="83"/>
      <c r="GEL98" s="83"/>
      <c r="GEM98" s="83"/>
      <c r="GEN98" s="83"/>
      <c r="GEO98" s="83"/>
      <c r="GEP98" s="83"/>
      <c r="GEQ98" s="83"/>
      <c r="GER98" s="83"/>
      <c r="GES98" s="83"/>
      <c r="GET98" s="83"/>
      <c r="GEU98" s="83"/>
      <c r="GEV98" s="83"/>
      <c r="GEW98" s="83"/>
      <c r="GEX98" s="83"/>
      <c r="GEY98" s="83"/>
      <c r="GEZ98" s="83"/>
      <c r="GFA98" s="83"/>
      <c r="GFB98" s="83"/>
      <c r="GFC98" s="83"/>
      <c r="GFD98" s="83"/>
      <c r="GFE98" s="83"/>
      <c r="GFF98" s="83"/>
      <c r="GFG98" s="83"/>
      <c r="GFH98" s="83"/>
      <c r="GFI98" s="83"/>
      <c r="GFJ98" s="83"/>
      <c r="GFK98" s="83"/>
      <c r="GFL98" s="83"/>
      <c r="GFM98" s="83"/>
      <c r="GFN98" s="83"/>
      <c r="GFO98" s="83"/>
      <c r="GFP98" s="83"/>
      <c r="GFQ98" s="83"/>
      <c r="GFR98" s="83"/>
      <c r="GFS98" s="83"/>
      <c r="GFT98" s="83"/>
      <c r="GFU98" s="83"/>
      <c r="GFV98" s="83"/>
      <c r="GFW98" s="83"/>
      <c r="GFX98" s="83"/>
      <c r="GFY98" s="83"/>
      <c r="GFZ98" s="83"/>
      <c r="GGA98" s="83"/>
      <c r="GGB98" s="83"/>
      <c r="GGC98" s="83"/>
      <c r="GGD98" s="83"/>
      <c r="GGE98" s="83"/>
      <c r="GGF98" s="83"/>
      <c r="GGG98" s="83"/>
      <c r="GGH98" s="83"/>
      <c r="GGI98" s="83"/>
      <c r="GGJ98" s="83"/>
      <c r="GGK98" s="83"/>
      <c r="GGL98" s="83"/>
      <c r="GGM98" s="83"/>
      <c r="GGN98" s="83"/>
      <c r="GGO98" s="83"/>
      <c r="GGP98" s="83"/>
      <c r="GGQ98" s="83"/>
      <c r="GGR98" s="83"/>
      <c r="GGS98" s="83"/>
      <c r="GGT98" s="83"/>
      <c r="GGU98" s="83"/>
      <c r="GGV98" s="83"/>
      <c r="GGW98" s="83"/>
      <c r="GGX98" s="83"/>
      <c r="GGY98" s="83"/>
      <c r="GGZ98" s="83"/>
      <c r="GHA98" s="83"/>
      <c r="GHB98" s="83"/>
      <c r="GHC98" s="83"/>
      <c r="GHD98" s="83"/>
      <c r="GHE98" s="83"/>
      <c r="GHF98" s="83"/>
      <c r="GHG98" s="83"/>
      <c r="GHH98" s="83"/>
      <c r="GHI98" s="83"/>
      <c r="GHJ98" s="83"/>
      <c r="GHK98" s="83"/>
      <c r="GHL98" s="83"/>
      <c r="GHM98" s="83"/>
      <c r="GHN98" s="83"/>
      <c r="GHO98" s="83"/>
      <c r="GHP98" s="83"/>
      <c r="GHQ98" s="83"/>
      <c r="GHR98" s="83"/>
      <c r="GHS98" s="83"/>
      <c r="GHT98" s="83"/>
      <c r="GHU98" s="83"/>
      <c r="GHV98" s="83"/>
      <c r="GHW98" s="83"/>
      <c r="GHX98" s="83"/>
      <c r="GHY98" s="83"/>
      <c r="GHZ98" s="83"/>
      <c r="GIA98" s="83"/>
      <c r="GIB98" s="83"/>
      <c r="GIC98" s="83"/>
      <c r="GID98" s="83"/>
      <c r="GIE98" s="83"/>
      <c r="GIF98" s="83"/>
      <c r="GIG98" s="83"/>
      <c r="GIH98" s="83"/>
      <c r="GII98" s="83"/>
      <c r="GIJ98" s="83"/>
      <c r="GIK98" s="83"/>
      <c r="GIL98" s="83"/>
      <c r="GIM98" s="83"/>
      <c r="GIN98" s="83"/>
      <c r="GIO98" s="83"/>
      <c r="GIP98" s="83"/>
      <c r="GIQ98" s="83"/>
      <c r="GIR98" s="83"/>
      <c r="GIS98" s="83"/>
      <c r="GIT98" s="83"/>
      <c r="GIU98" s="83"/>
      <c r="GIV98" s="83"/>
      <c r="GIW98" s="83"/>
      <c r="GIX98" s="83"/>
      <c r="GIY98" s="83"/>
      <c r="GIZ98" s="83"/>
      <c r="GJA98" s="83"/>
      <c r="GJB98" s="83"/>
      <c r="GJC98" s="83"/>
      <c r="GJD98" s="83"/>
      <c r="GJE98" s="83"/>
      <c r="GJF98" s="83"/>
      <c r="GJG98" s="83"/>
      <c r="GJH98" s="83"/>
      <c r="GJI98" s="83"/>
      <c r="GJJ98" s="83"/>
      <c r="GJK98" s="83"/>
      <c r="GJL98" s="83"/>
      <c r="GJM98" s="83"/>
      <c r="GJN98" s="83"/>
      <c r="GJO98" s="83"/>
      <c r="GJP98" s="83"/>
      <c r="GJQ98" s="83"/>
      <c r="GJR98" s="83"/>
      <c r="GJS98" s="83"/>
      <c r="GJT98" s="83"/>
      <c r="GJU98" s="83"/>
      <c r="GJV98" s="83"/>
      <c r="GJW98" s="83"/>
      <c r="GJX98" s="83"/>
      <c r="GJY98" s="83"/>
      <c r="GJZ98" s="83"/>
      <c r="GKA98" s="83"/>
      <c r="GKB98" s="83"/>
      <c r="GKC98" s="83"/>
      <c r="GKD98" s="83"/>
      <c r="GKE98" s="83"/>
      <c r="GKF98" s="83"/>
      <c r="GKG98" s="83"/>
      <c r="GKH98" s="83"/>
      <c r="GKI98" s="83"/>
      <c r="GKJ98" s="83"/>
      <c r="GKK98" s="83"/>
      <c r="GKL98" s="83"/>
      <c r="GKM98" s="83"/>
      <c r="GKN98" s="83"/>
      <c r="GKO98" s="83"/>
      <c r="GKP98" s="83"/>
      <c r="GKQ98" s="83"/>
      <c r="GKR98" s="83"/>
      <c r="GKS98" s="83"/>
      <c r="GKT98" s="83"/>
      <c r="GKU98" s="83"/>
      <c r="GKV98" s="83"/>
      <c r="GKW98" s="83"/>
      <c r="GKX98" s="83"/>
      <c r="GKY98" s="83"/>
      <c r="GKZ98" s="83"/>
      <c r="GLA98" s="83"/>
      <c r="GLB98" s="83"/>
      <c r="GLC98" s="83"/>
      <c r="GLD98" s="83"/>
      <c r="GLE98" s="83"/>
      <c r="GLF98" s="83"/>
      <c r="GLG98" s="83"/>
      <c r="GLH98" s="83"/>
      <c r="GLI98" s="83"/>
      <c r="GLJ98" s="83"/>
      <c r="GLK98" s="83"/>
      <c r="GLL98" s="83"/>
      <c r="GLM98" s="83"/>
      <c r="GLN98" s="83"/>
      <c r="GLO98" s="83"/>
      <c r="GLP98" s="83"/>
      <c r="GLQ98" s="83"/>
      <c r="GLR98" s="83"/>
      <c r="GLS98" s="83"/>
      <c r="GLT98" s="83"/>
      <c r="GLU98" s="83"/>
      <c r="GLV98" s="83"/>
      <c r="GLW98" s="83"/>
      <c r="GLX98" s="83"/>
      <c r="GLY98" s="83"/>
      <c r="GLZ98" s="83"/>
      <c r="GMA98" s="83"/>
      <c r="GMB98" s="83"/>
      <c r="GMC98" s="83"/>
      <c r="GMD98" s="83"/>
      <c r="GME98" s="83"/>
      <c r="GMF98" s="83"/>
      <c r="GMG98" s="83"/>
      <c r="GMH98" s="83"/>
      <c r="GMI98" s="83"/>
      <c r="GMJ98" s="83"/>
      <c r="GMK98" s="83"/>
      <c r="GML98" s="83"/>
      <c r="GMM98" s="83"/>
      <c r="GMN98" s="83"/>
      <c r="GMO98" s="83"/>
      <c r="GMP98" s="83"/>
      <c r="GMQ98" s="83"/>
      <c r="GMR98" s="83"/>
      <c r="GMS98" s="83"/>
      <c r="GMT98" s="83"/>
      <c r="GMU98" s="83"/>
      <c r="GMV98" s="83"/>
      <c r="GMW98" s="83"/>
      <c r="GMX98" s="83"/>
      <c r="GMY98" s="83"/>
      <c r="GMZ98" s="83"/>
      <c r="GNA98" s="83"/>
      <c r="GNB98" s="83"/>
      <c r="GNC98" s="83"/>
      <c r="GND98" s="83"/>
      <c r="GNE98" s="83"/>
      <c r="GNF98" s="83"/>
      <c r="GNG98" s="83"/>
      <c r="GNH98" s="83"/>
      <c r="GNI98" s="83"/>
      <c r="GNJ98" s="83"/>
      <c r="GNK98" s="83"/>
      <c r="GNL98" s="83"/>
      <c r="GNM98" s="83"/>
      <c r="GNN98" s="83"/>
      <c r="GNO98" s="83"/>
      <c r="GNP98" s="83"/>
      <c r="GNQ98" s="83"/>
      <c r="GNR98" s="83"/>
      <c r="GNS98" s="83"/>
      <c r="GNT98" s="83"/>
      <c r="GNU98" s="83"/>
      <c r="GNV98" s="83"/>
      <c r="GNW98" s="83"/>
      <c r="GNX98" s="83"/>
      <c r="GNY98" s="83"/>
      <c r="GNZ98" s="83"/>
      <c r="GOA98" s="83"/>
      <c r="GOB98" s="83"/>
      <c r="GOC98" s="83"/>
      <c r="GOD98" s="83"/>
      <c r="GOE98" s="83"/>
      <c r="GOF98" s="83"/>
      <c r="GOG98" s="83"/>
      <c r="GOH98" s="83"/>
      <c r="GOI98" s="83"/>
      <c r="GOJ98" s="83"/>
      <c r="GOK98" s="83"/>
      <c r="GOL98" s="83"/>
      <c r="GOM98" s="83"/>
      <c r="GON98" s="83"/>
      <c r="GOO98" s="83"/>
      <c r="GOP98" s="83"/>
      <c r="GOQ98" s="83"/>
      <c r="GOR98" s="83"/>
      <c r="GOS98" s="83"/>
      <c r="GOT98" s="83"/>
      <c r="GOU98" s="83"/>
      <c r="GOV98" s="83"/>
      <c r="GOW98" s="83"/>
      <c r="GOX98" s="83"/>
      <c r="GOY98" s="83"/>
      <c r="GOZ98" s="83"/>
      <c r="GPA98" s="83"/>
      <c r="GPB98" s="83"/>
      <c r="GPC98" s="83"/>
      <c r="GPD98" s="83"/>
      <c r="GPE98" s="83"/>
      <c r="GPF98" s="83"/>
      <c r="GPG98" s="83"/>
      <c r="GPH98" s="83"/>
      <c r="GPI98" s="83"/>
      <c r="GPJ98" s="83"/>
      <c r="GPK98" s="83"/>
      <c r="GPL98" s="83"/>
      <c r="GPM98" s="83"/>
      <c r="GPN98" s="83"/>
      <c r="GPO98" s="83"/>
      <c r="GPP98" s="83"/>
      <c r="GPQ98" s="83"/>
      <c r="GPR98" s="83"/>
      <c r="GPS98" s="83"/>
      <c r="GPT98" s="83"/>
      <c r="GPU98" s="83"/>
      <c r="GPV98" s="83"/>
      <c r="GPW98" s="83"/>
      <c r="GPX98" s="83"/>
      <c r="GPY98" s="83"/>
      <c r="GPZ98" s="83"/>
      <c r="GQA98" s="83"/>
      <c r="GQB98" s="83"/>
      <c r="GQC98" s="83"/>
      <c r="GQD98" s="83"/>
      <c r="GQE98" s="83"/>
      <c r="GQF98" s="83"/>
      <c r="GQG98" s="83"/>
      <c r="GQH98" s="83"/>
      <c r="GQI98" s="83"/>
      <c r="GQJ98" s="83"/>
      <c r="GQK98" s="83"/>
      <c r="GQL98" s="83"/>
      <c r="GQM98" s="83"/>
      <c r="GQN98" s="83"/>
      <c r="GQO98" s="83"/>
      <c r="GQP98" s="83"/>
      <c r="GQQ98" s="83"/>
      <c r="GQR98" s="83"/>
      <c r="GQS98" s="83"/>
      <c r="GQT98" s="83"/>
      <c r="GQU98" s="83"/>
      <c r="GQV98" s="83"/>
      <c r="GQW98" s="83"/>
      <c r="GQX98" s="83"/>
      <c r="GQY98" s="83"/>
      <c r="GQZ98" s="83"/>
      <c r="GRA98" s="83"/>
      <c r="GRB98" s="83"/>
      <c r="GRC98" s="83"/>
      <c r="GRD98" s="83"/>
      <c r="GRE98" s="83"/>
      <c r="GRF98" s="83"/>
      <c r="GRG98" s="83"/>
      <c r="GRH98" s="83"/>
      <c r="GRI98" s="83"/>
      <c r="GRJ98" s="83"/>
      <c r="GRK98" s="83"/>
      <c r="GRL98" s="83"/>
      <c r="GRM98" s="83"/>
      <c r="GRN98" s="83"/>
      <c r="GRO98" s="83"/>
      <c r="GRP98" s="83"/>
      <c r="GRQ98" s="83"/>
      <c r="GRR98" s="83"/>
      <c r="GRS98" s="83"/>
      <c r="GRT98" s="83"/>
      <c r="GRU98" s="83"/>
      <c r="GRV98" s="83"/>
      <c r="GRW98" s="83"/>
      <c r="GRX98" s="83"/>
      <c r="GRY98" s="83"/>
      <c r="GRZ98" s="83"/>
      <c r="GSA98" s="83"/>
      <c r="GSB98" s="83"/>
      <c r="GSC98" s="83"/>
      <c r="GSD98" s="83"/>
      <c r="GSE98" s="83"/>
      <c r="GSF98" s="83"/>
      <c r="GSG98" s="83"/>
      <c r="GSH98" s="83"/>
      <c r="GSI98" s="83"/>
      <c r="GSJ98" s="83"/>
      <c r="GSK98" s="83"/>
      <c r="GSL98" s="83"/>
      <c r="GSM98" s="83"/>
      <c r="GSN98" s="83"/>
      <c r="GSO98" s="83"/>
      <c r="GSP98" s="83"/>
      <c r="GSQ98" s="83"/>
      <c r="GSR98" s="83"/>
      <c r="GSS98" s="83"/>
      <c r="GST98" s="83"/>
      <c r="GSU98" s="83"/>
      <c r="GSV98" s="83"/>
      <c r="GSW98" s="83"/>
      <c r="GSX98" s="83"/>
      <c r="GSY98" s="83"/>
      <c r="GSZ98" s="83"/>
      <c r="GTA98" s="83"/>
      <c r="GTB98" s="83"/>
      <c r="GTC98" s="83"/>
      <c r="GTD98" s="83"/>
      <c r="GTE98" s="83"/>
      <c r="GTF98" s="83"/>
      <c r="GTG98" s="83"/>
      <c r="GTH98" s="83"/>
      <c r="GTI98" s="83"/>
      <c r="GTJ98" s="83"/>
      <c r="GTK98" s="83"/>
      <c r="GTL98" s="83"/>
      <c r="GTM98" s="83"/>
      <c r="GTN98" s="83"/>
      <c r="GTO98" s="83"/>
      <c r="GTP98" s="83"/>
      <c r="GTQ98" s="83"/>
      <c r="GTR98" s="83"/>
      <c r="GTS98" s="83"/>
      <c r="GTT98" s="83"/>
      <c r="GTU98" s="83"/>
      <c r="GTV98" s="83"/>
      <c r="GTW98" s="83"/>
      <c r="GTX98" s="83"/>
      <c r="GTY98" s="83"/>
      <c r="GTZ98" s="83"/>
      <c r="GUA98" s="83"/>
      <c r="GUB98" s="83"/>
      <c r="GUC98" s="83"/>
      <c r="GUD98" s="83"/>
      <c r="GUE98" s="83"/>
      <c r="GUF98" s="83"/>
      <c r="GUG98" s="83"/>
      <c r="GUH98" s="83"/>
      <c r="GUI98" s="83"/>
      <c r="GUJ98" s="83"/>
      <c r="GUK98" s="83"/>
      <c r="GUL98" s="83"/>
      <c r="GUM98" s="83"/>
      <c r="GUN98" s="83"/>
      <c r="GUO98" s="83"/>
      <c r="GUP98" s="83"/>
      <c r="GUQ98" s="83"/>
      <c r="GUR98" s="83"/>
      <c r="GUS98" s="83"/>
      <c r="GUT98" s="83"/>
      <c r="GUU98" s="83"/>
      <c r="GUV98" s="83"/>
      <c r="GUW98" s="83"/>
      <c r="GUX98" s="83"/>
      <c r="GUY98" s="83"/>
      <c r="GUZ98" s="83"/>
      <c r="GVA98" s="83"/>
      <c r="GVB98" s="83"/>
      <c r="GVC98" s="83"/>
      <c r="GVD98" s="83"/>
      <c r="GVE98" s="83"/>
      <c r="GVF98" s="83"/>
      <c r="GVG98" s="83"/>
      <c r="GVH98" s="83"/>
      <c r="GVI98" s="83"/>
      <c r="GVJ98" s="83"/>
      <c r="GVK98" s="83"/>
      <c r="GVL98" s="83"/>
      <c r="GVM98" s="83"/>
      <c r="GVN98" s="83"/>
      <c r="GVO98" s="83"/>
      <c r="GVP98" s="83"/>
      <c r="GVQ98" s="83"/>
      <c r="GVR98" s="83"/>
      <c r="GVS98" s="83"/>
      <c r="GVT98" s="83"/>
      <c r="GVU98" s="83"/>
      <c r="GVV98" s="83"/>
      <c r="GVW98" s="83"/>
      <c r="GVX98" s="83"/>
      <c r="GVY98" s="83"/>
      <c r="GVZ98" s="83"/>
      <c r="GWA98" s="83"/>
      <c r="GWB98" s="83"/>
      <c r="GWC98" s="83"/>
      <c r="GWD98" s="83"/>
      <c r="GWE98" s="83"/>
      <c r="GWF98" s="83"/>
      <c r="GWG98" s="83"/>
      <c r="GWH98" s="83"/>
      <c r="GWI98" s="83"/>
      <c r="GWJ98" s="83"/>
      <c r="GWK98" s="83"/>
      <c r="GWL98" s="83"/>
      <c r="GWM98" s="83"/>
      <c r="GWN98" s="83"/>
      <c r="GWO98" s="83"/>
      <c r="GWP98" s="83"/>
      <c r="GWQ98" s="83"/>
      <c r="GWR98" s="83"/>
      <c r="GWS98" s="83"/>
      <c r="GWT98" s="83"/>
      <c r="GWU98" s="83"/>
      <c r="GWV98" s="83"/>
      <c r="GWW98" s="83"/>
      <c r="GWX98" s="83"/>
      <c r="GWY98" s="83"/>
      <c r="GWZ98" s="83"/>
      <c r="GXA98" s="83"/>
      <c r="GXB98" s="83"/>
      <c r="GXC98" s="83"/>
      <c r="GXD98" s="83"/>
      <c r="GXE98" s="83"/>
      <c r="GXF98" s="83"/>
      <c r="GXG98" s="83"/>
      <c r="GXH98" s="83"/>
      <c r="GXI98" s="83"/>
      <c r="GXJ98" s="83"/>
      <c r="GXK98" s="83"/>
      <c r="GXL98" s="83"/>
      <c r="GXM98" s="83"/>
      <c r="GXN98" s="83"/>
      <c r="GXO98" s="83"/>
      <c r="GXP98" s="83"/>
      <c r="GXQ98" s="83"/>
      <c r="GXR98" s="83"/>
      <c r="GXS98" s="83"/>
      <c r="GXT98" s="83"/>
      <c r="GXU98" s="83"/>
      <c r="GXV98" s="83"/>
      <c r="GXW98" s="83"/>
      <c r="GXX98" s="83"/>
      <c r="GXY98" s="83"/>
      <c r="GXZ98" s="83"/>
      <c r="GYA98" s="83"/>
      <c r="GYB98" s="83"/>
      <c r="GYC98" s="83"/>
      <c r="GYD98" s="83"/>
      <c r="GYE98" s="83"/>
      <c r="GYF98" s="83"/>
      <c r="GYG98" s="83"/>
      <c r="GYH98" s="83"/>
      <c r="GYI98" s="83"/>
      <c r="GYJ98" s="83"/>
      <c r="GYK98" s="83"/>
      <c r="GYL98" s="83"/>
      <c r="GYM98" s="83"/>
      <c r="GYN98" s="83"/>
      <c r="GYO98" s="83"/>
      <c r="GYP98" s="83"/>
      <c r="GYQ98" s="83"/>
      <c r="GYR98" s="83"/>
      <c r="GYS98" s="83"/>
      <c r="GYT98" s="83"/>
      <c r="GYU98" s="83"/>
      <c r="GYV98" s="83"/>
      <c r="GYW98" s="83"/>
      <c r="GYX98" s="83"/>
      <c r="GYY98" s="83"/>
      <c r="GYZ98" s="83"/>
      <c r="GZA98" s="83"/>
      <c r="GZB98" s="83"/>
      <c r="GZC98" s="83"/>
      <c r="GZD98" s="83"/>
      <c r="GZE98" s="83"/>
      <c r="GZF98" s="83"/>
      <c r="GZG98" s="83"/>
      <c r="GZH98" s="83"/>
      <c r="GZI98" s="83"/>
      <c r="GZJ98" s="83"/>
      <c r="GZK98" s="83"/>
      <c r="GZL98" s="83"/>
      <c r="GZM98" s="83"/>
      <c r="GZN98" s="83"/>
      <c r="GZO98" s="83"/>
      <c r="GZP98" s="83"/>
      <c r="GZQ98" s="83"/>
      <c r="GZR98" s="83"/>
      <c r="GZS98" s="83"/>
      <c r="GZT98" s="83"/>
      <c r="GZU98" s="83"/>
      <c r="GZV98" s="83"/>
      <c r="GZW98" s="83"/>
      <c r="GZX98" s="83"/>
      <c r="GZY98" s="83"/>
      <c r="GZZ98" s="83"/>
      <c r="HAA98" s="83"/>
      <c r="HAB98" s="83"/>
      <c r="HAC98" s="83"/>
      <c r="HAD98" s="83"/>
      <c r="HAE98" s="83"/>
      <c r="HAF98" s="83"/>
      <c r="HAG98" s="83"/>
      <c r="HAH98" s="83"/>
      <c r="HAI98" s="83"/>
      <c r="HAJ98" s="83"/>
      <c r="HAK98" s="83"/>
      <c r="HAL98" s="83"/>
      <c r="HAM98" s="83"/>
      <c r="HAN98" s="83"/>
      <c r="HAO98" s="83"/>
      <c r="HAP98" s="83"/>
      <c r="HAQ98" s="83"/>
      <c r="HAR98" s="83"/>
      <c r="HAS98" s="83"/>
      <c r="HAT98" s="83"/>
      <c r="HAU98" s="83"/>
      <c r="HAV98" s="83"/>
      <c r="HAW98" s="83"/>
      <c r="HAX98" s="83"/>
      <c r="HAY98" s="83"/>
      <c r="HAZ98" s="83"/>
      <c r="HBA98" s="83"/>
      <c r="HBB98" s="83"/>
      <c r="HBC98" s="83"/>
      <c r="HBD98" s="83"/>
      <c r="HBE98" s="83"/>
      <c r="HBF98" s="83"/>
      <c r="HBG98" s="83"/>
      <c r="HBH98" s="83"/>
      <c r="HBI98" s="83"/>
      <c r="HBJ98" s="83"/>
      <c r="HBK98" s="83"/>
      <c r="HBL98" s="83"/>
      <c r="HBM98" s="83"/>
      <c r="HBN98" s="83"/>
      <c r="HBO98" s="83"/>
      <c r="HBP98" s="83"/>
      <c r="HBQ98" s="83"/>
      <c r="HBR98" s="83"/>
      <c r="HBS98" s="83"/>
      <c r="HBT98" s="83"/>
      <c r="HBU98" s="83"/>
      <c r="HBV98" s="83"/>
      <c r="HBW98" s="83"/>
      <c r="HBX98" s="83"/>
      <c r="HBY98" s="83"/>
      <c r="HBZ98" s="83"/>
      <c r="HCA98" s="83"/>
      <c r="HCB98" s="83"/>
      <c r="HCC98" s="83"/>
      <c r="HCD98" s="83"/>
      <c r="HCE98" s="83"/>
      <c r="HCF98" s="83"/>
      <c r="HCG98" s="83"/>
      <c r="HCH98" s="83"/>
      <c r="HCI98" s="83"/>
      <c r="HCJ98" s="83"/>
      <c r="HCK98" s="83"/>
      <c r="HCL98" s="83"/>
      <c r="HCM98" s="83"/>
      <c r="HCN98" s="83"/>
      <c r="HCO98" s="83"/>
      <c r="HCP98" s="83"/>
      <c r="HCQ98" s="83"/>
      <c r="HCR98" s="83"/>
      <c r="HCS98" s="83"/>
      <c r="HCT98" s="83"/>
      <c r="HCU98" s="83"/>
      <c r="HCV98" s="83"/>
      <c r="HCW98" s="83"/>
      <c r="HCX98" s="83"/>
      <c r="HCY98" s="83"/>
      <c r="HCZ98" s="83"/>
      <c r="HDA98" s="83"/>
      <c r="HDB98" s="83"/>
      <c r="HDC98" s="83"/>
      <c r="HDD98" s="83"/>
      <c r="HDE98" s="83"/>
      <c r="HDF98" s="83"/>
      <c r="HDG98" s="83"/>
      <c r="HDH98" s="83"/>
      <c r="HDI98" s="83"/>
      <c r="HDJ98" s="83"/>
      <c r="HDK98" s="83"/>
      <c r="HDL98" s="83"/>
      <c r="HDM98" s="83"/>
      <c r="HDN98" s="83"/>
      <c r="HDO98" s="83"/>
      <c r="HDP98" s="83"/>
      <c r="HDQ98" s="83"/>
      <c r="HDR98" s="83"/>
      <c r="HDS98" s="83"/>
      <c r="HDT98" s="83"/>
      <c r="HDU98" s="83"/>
      <c r="HDV98" s="83"/>
      <c r="HDW98" s="83"/>
      <c r="HDX98" s="83"/>
      <c r="HDY98" s="83"/>
      <c r="HDZ98" s="83"/>
      <c r="HEA98" s="83"/>
      <c r="HEB98" s="83"/>
      <c r="HEC98" s="83"/>
      <c r="HED98" s="83"/>
      <c r="HEE98" s="83"/>
      <c r="HEF98" s="83"/>
      <c r="HEG98" s="83"/>
      <c r="HEH98" s="83"/>
      <c r="HEI98" s="83"/>
      <c r="HEJ98" s="83"/>
      <c r="HEK98" s="83"/>
      <c r="HEL98" s="83"/>
      <c r="HEM98" s="83"/>
      <c r="HEN98" s="83"/>
      <c r="HEO98" s="83"/>
      <c r="HEP98" s="83"/>
      <c r="HEQ98" s="83"/>
      <c r="HER98" s="83"/>
      <c r="HES98" s="83"/>
      <c r="HET98" s="83"/>
      <c r="HEU98" s="83"/>
      <c r="HEV98" s="83"/>
      <c r="HEW98" s="83"/>
      <c r="HEX98" s="83"/>
      <c r="HEY98" s="83"/>
      <c r="HEZ98" s="83"/>
      <c r="HFA98" s="83"/>
      <c r="HFB98" s="83"/>
      <c r="HFC98" s="83"/>
      <c r="HFD98" s="83"/>
      <c r="HFE98" s="83"/>
      <c r="HFF98" s="83"/>
      <c r="HFG98" s="83"/>
      <c r="HFH98" s="83"/>
      <c r="HFI98" s="83"/>
      <c r="HFJ98" s="83"/>
      <c r="HFK98" s="83"/>
      <c r="HFL98" s="83"/>
      <c r="HFM98" s="83"/>
      <c r="HFN98" s="83"/>
      <c r="HFO98" s="83"/>
      <c r="HFP98" s="83"/>
      <c r="HFQ98" s="83"/>
      <c r="HFR98" s="83"/>
      <c r="HFS98" s="83"/>
      <c r="HFT98" s="83"/>
      <c r="HFU98" s="83"/>
      <c r="HFV98" s="83"/>
      <c r="HFW98" s="83"/>
      <c r="HFX98" s="83"/>
      <c r="HFY98" s="83"/>
      <c r="HFZ98" s="83"/>
      <c r="HGA98" s="83"/>
      <c r="HGB98" s="83"/>
      <c r="HGC98" s="83"/>
      <c r="HGD98" s="83"/>
      <c r="HGE98" s="83"/>
      <c r="HGF98" s="83"/>
      <c r="HGG98" s="83"/>
      <c r="HGH98" s="83"/>
      <c r="HGI98" s="83"/>
      <c r="HGJ98" s="83"/>
      <c r="HGK98" s="83"/>
      <c r="HGL98" s="83"/>
      <c r="HGM98" s="83"/>
      <c r="HGN98" s="83"/>
      <c r="HGO98" s="83"/>
      <c r="HGP98" s="83"/>
      <c r="HGQ98" s="83"/>
      <c r="HGR98" s="83"/>
      <c r="HGS98" s="83"/>
      <c r="HGT98" s="83"/>
      <c r="HGU98" s="83"/>
      <c r="HGV98" s="83"/>
      <c r="HGW98" s="83"/>
      <c r="HGX98" s="83"/>
      <c r="HGY98" s="83"/>
      <c r="HGZ98" s="83"/>
      <c r="HHA98" s="83"/>
      <c r="HHB98" s="83"/>
      <c r="HHC98" s="83"/>
      <c r="HHD98" s="83"/>
      <c r="HHE98" s="83"/>
      <c r="HHF98" s="83"/>
      <c r="HHG98" s="83"/>
      <c r="HHH98" s="83"/>
      <c r="HHI98" s="83"/>
      <c r="HHJ98" s="83"/>
      <c r="HHK98" s="83"/>
      <c r="HHL98" s="83"/>
      <c r="HHM98" s="83"/>
      <c r="HHN98" s="83"/>
      <c r="HHO98" s="83"/>
      <c r="HHP98" s="83"/>
      <c r="HHQ98" s="83"/>
      <c r="HHR98" s="83"/>
      <c r="HHS98" s="83"/>
      <c r="HHT98" s="83"/>
      <c r="HHU98" s="83"/>
      <c r="HHV98" s="83"/>
      <c r="HHW98" s="83"/>
      <c r="HHX98" s="83"/>
      <c r="HHY98" s="83"/>
      <c r="HHZ98" s="83"/>
      <c r="HIA98" s="83"/>
      <c r="HIB98" s="83"/>
      <c r="HIC98" s="83"/>
      <c r="HID98" s="83"/>
      <c r="HIE98" s="83"/>
      <c r="HIF98" s="83"/>
      <c r="HIG98" s="83"/>
      <c r="HIH98" s="83"/>
      <c r="HII98" s="83"/>
      <c r="HIJ98" s="83"/>
      <c r="HIK98" s="83"/>
      <c r="HIL98" s="83"/>
      <c r="HIM98" s="83"/>
      <c r="HIN98" s="83"/>
      <c r="HIO98" s="83"/>
      <c r="HIP98" s="83"/>
      <c r="HIQ98" s="83"/>
      <c r="HIR98" s="83"/>
      <c r="HIS98" s="83"/>
      <c r="HIT98" s="83"/>
      <c r="HIU98" s="83"/>
      <c r="HIV98" s="83"/>
      <c r="HIW98" s="83"/>
      <c r="HIX98" s="83"/>
      <c r="HIY98" s="83"/>
      <c r="HIZ98" s="83"/>
      <c r="HJA98" s="83"/>
      <c r="HJB98" s="83"/>
      <c r="HJC98" s="83"/>
      <c r="HJD98" s="83"/>
      <c r="HJE98" s="83"/>
      <c r="HJF98" s="83"/>
      <c r="HJG98" s="83"/>
      <c r="HJH98" s="83"/>
      <c r="HJI98" s="83"/>
      <c r="HJJ98" s="83"/>
      <c r="HJK98" s="83"/>
      <c r="HJL98" s="83"/>
      <c r="HJM98" s="83"/>
      <c r="HJN98" s="83"/>
      <c r="HJO98" s="83"/>
      <c r="HJP98" s="83"/>
      <c r="HJQ98" s="83"/>
      <c r="HJR98" s="83"/>
      <c r="HJS98" s="83"/>
      <c r="HJT98" s="83"/>
      <c r="HJU98" s="83"/>
      <c r="HJV98" s="83"/>
      <c r="HJW98" s="83"/>
      <c r="HJX98" s="83"/>
      <c r="HJY98" s="83"/>
      <c r="HJZ98" s="83"/>
      <c r="HKA98" s="83"/>
      <c r="HKB98" s="83"/>
      <c r="HKC98" s="83"/>
      <c r="HKD98" s="83"/>
      <c r="HKE98" s="83"/>
      <c r="HKF98" s="83"/>
      <c r="HKG98" s="83"/>
      <c r="HKH98" s="83"/>
      <c r="HKI98" s="83"/>
      <c r="HKJ98" s="83"/>
      <c r="HKK98" s="83"/>
      <c r="HKL98" s="83"/>
      <c r="HKM98" s="83"/>
      <c r="HKN98" s="83"/>
      <c r="HKO98" s="83"/>
      <c r="HKP98" s="83"/>
      <c r="HKQ98" s="83"/>
      <c r="HKR98" s="83"/>
      <c r="HKS98" s="83"/>
      <c r="HKT98" s="83"/>
      <c r="HKU98" s="83"/>
      <c r="HKV98" s="83"/>
      <c r="HKW98" s="83"/>
      <c r="HKX98" s="83"/>
      <c r="HKY98" s="83"/>
      <c r="HKZ98" s="83"/>
      <c r="HLA98" s="83"/>
      <c r="HLB98" s="83"/>
      <c r="HLC98" s="83"/>
      <c r="HLD98" s="83"/>
      <c r="HLE98" s="83"/>
      <c r="HLF98" s="83"/>
      <c r="HLG98" s="83"/>
      <c r="HLH98" s="83"/>
      <c r="HLI98" s="83"/>
      <c r="HLJ98" s="83"/>
      <c r="HLK98" s="83"/>
      <c r="HLL98" s="83"/>
      <c r="HLM98" s="83"/>
      <c r="HLN98" s="83"/>
      <c r="HLO98" s="83"/>
      <c r="HLP98" s="83"/>
      <c r="HLQ98" s="83"/>
      <c r="HLR98" s="83"/>
      <c r="HLS98" s="83"/>
      <c r="HLT98" s="83"/>
      <c r="HLU98" s="83"/>
      <c r="HLV98" s="83"/>
      <c r="HLW98" s="83"/>
      <c r="HLX98" s="83"/>
      <c r="HLY98" s="83"/>
      <c r="HLZ98" s="83"/>
      <c r="HMA98" s="83"/>
      <c r="HMB98" s="83"/>
      <c r="HMC98" s="83"/>
      <c r="HMD98" s="83"/>
      <c r="HME98" s="83"/>
      <c r="HMF98" s="83"/>
      <c r="HMG98" s="83"/>
      <c r="HMH98" s="83"/>
      <c r="HMI98" s="83"/>
      <c r="HMJ98" s="83"/>
      <c r="HMK98" s="83"/>
      <c r="HML98" s="83"/>
      <c r="HMM98" s="83"/>
      <c r="HMN98" s="83"/>
      <c r="HMO98" s="83"/>
      <c r="HMP98" s="83"/>
      <c r="HMQ98" s="83"/>
      <c r="HMR98" s="83"/>
      <c r="HMS98" s="83"/>
      <c r="HMT98" s="83"/>
      <c r="HMU98" s="83"/>
      <c r="HMV98" s="83"/>
      <c r="HMW98" s="83"/>
      <c r="HMX98" s="83"/>
      <c r="HMY98" s="83"/>
      <c r="HMZ98" s="83"/>
      <c r="HNA98" s="83"/>
      <c r="HNB98" s="83"/>
      <c r="HNC98" s="83"/>
      <c r="HND98" s="83"/>
      <c r="HNE98" s="83"/>
      <c r="HNF98" s="83"/>
      <c r="HNG98" s="83"/>
      <c r="HNH98" s="83"/>
      <c r="HNI98" s="83"/>
      <c r="HNJ98" s="83"/>
      <c r="HNK98" s="83"/>
      <c r="HNL98" s="83"/>
      <c r="HNM98" s="83"/>
      <c r="HNN98" s="83"/>
      <c r="HNO98" s="83"/>
      <c r="HNP98" s="83"/>
      <c r="HNQ98" s="83"/>
      <c r="HNR98" s="83"/>
      <c r="HNS98" s="83"/>
      <c r="HNT98" s="83"/>
      <c r="HNU98" s="83"/>
      <c r="HNV98" s="83"/>
      <c r="HNW98" s="83"/>
      <c r="HNX98" s="83"/>
      <c r="HNY98" s="83"/>
      <c r="HNZ98" s="83"/>
      <c r="HOA98" s="83"/>
      <c r="HOB98" s="83"/>
      <c r="HOC98" s="83"/>
      <c r="HOD98" s="83"/>
      <c r="HOE98" s="83"/>
      <c r="HOF98" s="83"/>
      <c r="HOG98" s="83"/>
      <c r="HOH98" s="83"/>
      <c r="HOI98" s="83"/>
      <c r="HOJ98" s="83"/>
      <c r="HOK98" s="83"/>
      <c r="HOL98" s="83"/>
      <c r="HOM98" s="83"/>
      <c r="HON98" s="83"/>
      <c r="HOO98" s="83"/>
      <c r="HOP98" s="83"/>
      <c r="HOQ98" s="83"/>
      <c r="HOR98" s="83"/>
      <c r="HOS98" s="83"/>
      <c r="HOT98" s="83"/>
      <c r="HOU98" s="83"/>
      <c r="HOV98" s="83"/>
      <c r="HOW98" s="83"/>
      <c r="HOX98" s="83"/>
      <c r="HOY98" s="83"/>
      <c r="HOZ98" s="83"/>
      <c r="HPA98" s="83"/>
      <c r="HPB98" s="83"/>
      <c r="HPC98" s="83"/>
      <c r="HPD98" s="83"/>
      <c r="HPE98" s="83"/>
      <c r="HPF98" s="83"/>
      <c r="HPG98" s="83"/>
      <c r="HPH98" s="83"/>
      <c r="HPI98" s="83"/>
      <c r="HPJ98" s="83"/>
      <c r="HPK98" s="83"/>
      <c r="HPL98" s="83"/>
      <c r="HPM98" s="83"/>
      <c r="HPN98" s="83"/>
      <c r="HPO98" s="83"/>
      <c r="HPP98" s="83"/>
      <c r="HPQ98" s="83"/>
      <c r="HPR98" s="83"/>
      <c r="HPS98" s="83"/>
      <c r="HPT98" s="83"/>
      <c r="HPU98" s="83"/>
      <c r="HPV98" s="83"/>
      <c r="HPW98" s="83"/>
      <c r="HPX98" s="83"/>
      <c r="HPY98" s="83"/>
      <c r="HPZ98" s="83"/>
      <c r="HQA98" s="83"/>
      <c r="HQB98" s="83"/>
      <c r="HQC98" s="83"/>
      <c r="HQD98" s="83"/>
      <c r="HQE98" s="83"/>
      <c r="HQF98" s="83"/>
      <c r="HQG98" s="83"/>
      <c r="HQH98" s="83"/>
      <c r="HQI98" s="83"/>
      <c r="HQJ98" s="83"/>
      <c r="HQK98" s="83"/>
      <c r="HQL98" s="83"/>
      <c r="HQM98" s="83"/>
      <c r="HQN98" s="83"/>
      <c r="HQO98" s="83"/>
      <c r="HQP98" s="83"/>
      <c r="HQQ98" s="83"/>
      <c r="HQR98" s="83"/>
      <c r="HQS98" s="83"/>
      <c r="HQT98" s="83"/>
      <c r="HQU98" s="83"/>
      <c r="HQV98" s="83"/>
      <c r="HQW98" s="83"/>
      <c r="HQX98" s="83"/>
      <c r="HQY98" s="83"/>
      <c r="HQZ98" s="83"/>
      <c r="HRA98" s="83"/>
      <c r="HRB98" s="83"/>
      <c r="HRC98" s="83"/>
      <c r="HRD98" s="83"/>
      <c r="HRE98" s="83"/>
      <c r="HRF98" s="83"/>
      <c r="HRG98" s="83"/>
      <c r="HRH98" s="83"/>
      <c r="HRI98" s="83"/>
      <c r="HRJ98" s="83"/>
      <c r="HRK98" s="83"/>
      <c r="HRL98" s="83"/>
      <c r="HRM98" s="83"/>
      <c r="HRN98" s="83"/>
      <c r="HRO98" s="83"/>
      <c r="HRP98" s="83"/>
      <c r="HRQ98" s="83"/>
      <c r="HRR98" s="83"/>
      <c r="HRS98" s="83"/>
      <c r="HRT98" s="83"/>
      <c r="HRU98" s="83"/>
      <c r="HRV98" s="83"/>
      <c r="HRW98" s="83"/>
      <c r="HRX98" s="83"/>
      <c r="HRY98" s="83"/>
      <c r="HRZ98" s="83"/>
      <c r="HSA98" s="83"/>
      <c r="HSB98" s="83"/>
      <c r="HSC98" s="83"/>
      <c r="HSD98" s="83"/>
      <c r="HSE98" s="83"/>
      <c r="HSF98" s="83"/>
      <c r="HSG98" s="83"/>
      <c r="HSH98" s="83"/>
      <c r="HSI98" s="83"/>
      <c r="HSJ98" s="83"/>
      <c r="HSK98" s="83"/>
      <c r="HSL98" s="83"/>
      <c r="HSM98" s="83"/>
      <c r="HSN98" s="83"/>
      <c r="HSO98" s="83"/>
      <c r="HSP98" s="83"/>
      <c r="HSQ98" s="83"/>
      <c r="HSR98" s="83"/>
      <c r="HSS98" s="83"/>
      <c r="HST98" s="83"/>
      <c r="HSU98" s="83"/>
      <c r="HSV98" s="83"/>
      <c r="HSW98" s="83"/>
      <c r="HSX98" s="83"/>
      <c r="HSY98" s="83"/>
      <c r="HSZ98" s="83"/>
      <c r="HTA98" s="83"/>
      <c r="HTB98" s="83"/>
      <c r="HTC98" s="83"/>
      <c r="HTD98" s="83"/>
      <c r="HTE98" s="83"/>
      <c r="HTF98" s="83"/>
      <c r="HTG98" s="83"/>
      <c r="HTH98" s="83"/>
      <c r="HTI98" s="83"/>
      <c r="HTJ98" s="83"/>
      <c r="HTK98" s="83"/>
      <c r="HTL98" s="83"/>
      <c r="HTM98" s="83"/>
      <c r="HTN98" s="83"/>
      <c r="HTO98" s="83"/>
      <c r="HTP98" s="83"/>
      <c r="HTQ98" s="83"/>
      <c r="HTR98" s="83"/>
      <c r="HTS98" s="83"/>
      <c r="HTT98" s="83"/>
      <c r="HTU98" s="83"/>
      <c r="HTV98" s="83"/>
      <c r="HTW98" s="83"/>
      <c r="HTX98" s="83"/>
      <c r="HTY98" s="83"/>
      <c r="HTZ98" s="83"/>
      <c r="HUA98" s="83"/>
      <c r="HUB98" s="83"/>
      <c r="HUC98" s="83"/>
      <c r="HUD98" s="83"/>
      <c r="HUE98" s="83"/>
      <c r="HUF98" s="83"/>
      <c r="HUG98" s="83"/>
      <c r="HUH98" s="83"/>
      <c r="HUI98" s="83"/>
      <c r="HUJ98" s="83"/>
      <c r="HUK98" s="83"/>
      <c r="HUL98" s="83"/>
      <c r="HUM98" s="83"/>
      <c r="HUN98" s="83"/>
      <c r="HUO98" s="83"/>
      <c r="HUP98" s="83"/>
      <c r="HUQ98" s="83"/>
      <c r="HUR98" s="83"/>
      <c r="HUS98" s="83"/>
      <c r="HUT98" s="83"/>
      <c r="HUU98" s="83"/>
      <c r="HUV98" s="83"/>
      <c r="HUW98" s="83"/>
      <c r="HUX98" s="83"/>
      <c r="HUY98" s="83"/>
      <c r="HUZ98" s="83"/>
      <c r="HVA98" s="83"/>
      <c r="HVB98" s="83"/>
      <c r="HVC98" s="83"/>
      <c r="HVD98" s="83"/>
      <c r="HVE98" s="83"/>
      <c r="HVF98" s="83"/>
      <c r="HVG98" s="83"/>
      <c r="HVH98" s="83"/>
      <c r="HVI98" s="83"/>
      <c r="HVJ98" s="83"/>
      <c r="HVK98" s="83"/>
      <c r="HVL98" s="83"/>
      <c r="HVM98" s="83"/>
      <c r="HVN98" s="83"/>
      <c r="HVO98" s="83"/>
      <c r="HVP98" s="83"/>
      <c r="HVQ98" s="83"/>
      <c r="HVR98" s="83"/>
      <c r="HVS98" s="83"/>
      <c r="HVT98" s="83"/>
      <c r="HVU98" s="83"/>
      <c r="HVV98" s="83"/>
      <c r="HVW98" s="83"/>
      <c r="HVX98" s="83"/>
      <c r="HVY98" s="83"/>
      <c r="HVZ98" s="83"/>
      <c r="HWA98" s="83"/>
      <c r="HWB98" s="83"/>
      <c r="HWC98" s="83"/>
      <c r="HWD98" s="83"/>
      <c r="HWE98" s="83"/>
      <c r="HWF98" s="83"/>
      <c r="HWG98" s="83"/>
      <c r="HWH98" s="83"/>
      <c r="HWI98" s="83"/>
      <c r="HWJ98" s="83"/>
      <c r="HWK98" s="83"/>
      <c r="HWL98" s="83"/>
      <c r="HWM98" s="83"/>
      <c r="HWN98" s="83"/>
      <c r="HWO98" s="83"/>
      <c r="HWP98" s="83"/>
      <c r="HWQ98" s="83"/>
      <c r="HWR98" s="83"/>
      <c r="HWS98" s="83"/>
      <c r="HWT98" s="83"/>
      <c r="HWU98" s="83"/>
      <c r="HWV98" s="83"/>
      <c r="HWW98" s="83"/>
      <c r="HWX98" s="83"/>
      <c r="HWY98" s="83"/>
      <c r="HWZ98" s="83"/>
      <c r="HXA98" s="83"/>
      <c r="HXB98" s="83"/>
      <c r="HXC98" s="83"/>
      <c r="HXD98" s="83"/>
      <c r="HXE98" s="83"/>
      <c r="HXF98" s="83"/>
      <c r="HXG98" s="83"/>
      <c r="HXH98" s="83"/>
      <c r="HXI98" s="83"/>
      <c r="HXJ98" s="83"/>
      <c r="HXK98" s="83"/>
      <c r="HXL98" s="83"/>
      <c r="HXM98" s="83"/>
      <c r="HXN98" s="83"/>
      <c r="HXO98" s="83"/>
      <c r="HXP98" s="83"/>
      <c r="HXQ98" s="83"/>
      <c r="HXR98" s="83"/>
      <c r="HXS98" s="83"/>
      <c r="HXT98" s="83"/>
      <c r="HXU98" s="83"/>
      <c r="HXV98" s="83"/>
      <c r="HXW98" s="83"/>
      <c r="HXX98" s="83"/>
      <c r="HXY98" s="83"/>
      <c r="HXZ98" s="83"/>
      <c r="HYA98" s="83"/>
      <c r="HYB98" s="83"/>
      <c r="HYC98" s="83"/>
      <c r="HYD98" s="83"/>
      <c r="HYE98" s="83"/>
      <c r="HYF98" s="83"/>
      <c r="HYG98" s="83"/>
      <c r="HYH98" s="83"/>
      <c r="HYI98" s="83"/>
      <c r="HYJ98" s="83"/>
      <c r="HYK98" s="83"/>
      <c r="HYL98" s="83"/>
      <c r="HYM98" s="83"/>
      <c r="HYN98" s="83"/>
      <c r="HYO98" s="83"/>
      <c r="HYP98" s="83"/>
      <c r="HYQ98" s="83"/>
      <c r="HYR98" s="83"/>
      <c r="HYS98" s="83"/>
      <c r="HYT98" s="83"/>
      <c r="HYU98" s="83"/>
      <c r="HYV98" s="83"/>
      <c r="HYW98" s="83"/>
      <c r="HYX98" s="83"/>
      <c r="HYY98" s="83"/>
      <c r="HYZ98" s="83"/>
      <c r="HZA98" s="83"/>
      <c r="HZB98" s="83"/>
      <c r="HZC98" s="83"/>
      <c r="HZD98" s="83"/>
      <c r="HZE98" s="83"/>
      <c r="HZF98" s="83"/>
      <c r="HZG98" s="83"/>
      <c r="HZH98" s="83"/>
      <c r="HZI98" s="83"/>
      <c r="HZJ98" s="83"/>
      <c r="HZK98" s="83"/>
      <c r="HZL98" s="83"/>
      <c r="HZM98" s="83"/>
      <c r="HZN98" s="83"/>
      <c r="HZO98" s="83"/>
      <c r="HZP98" s="83"/>
      <c r="HZQ98" s="83"/>
      <c r="HZR98" s="83"/>
      <c r="HZS98" s="83"/>
      <c r="HZT98" s="83"/>
      <c r="HZU98" s="83"/>
      <c r="HZV98" s="83"/>
      <c r="HZW98" s="83"/>
      <c r="HZX98" s="83"/>
      <c r="HZY98" s="83"/>
      <c r="HZZ98" s="83"/>
      <c r="IAA98" s="83"/>
      <c r="IAB98" s="83"/>
      <c r="IAC98" s="83"/>
      <c r="IAD98" s="83"/>
      <c r="IAE98" s="83"/>
      <c r="IAF98" s="83"/>
      <c r="IAG98" s="83"/>
      <c r="IAH98" s="83"/>
      <c r="IAI98" s="83"/>
      <c r="IAJ98" s="83"/>
      <c r="IAK98" s="83"/>
      <c r="IAL98" s="83"/>
      <c r="IAM98" s="83"/>
      <c r="IAN98" s="83"/>
      <c r="IAO98" s="83"/>
      <c r="IAP98" s="83"/>
      <c r="IAQ98" s="83"/>
      <c r="IAR98" s="83"/>
      <c r="IAS98" s="83"/>
      <c r="IAT98" s="83"/>
      <c r="IAU98" s="83"/>
      <c r="IAV98" s="83"/>
      <c r="IAW98" s="83"/>
      <c r="IAX98" s="83"/>
      <c r="IAY98" s="83"/>
      <c r="IAZ98" s="83"/>
      <c r="IBA98" s="83"/>
      <c r="IBB98" s="83"/>
      <c r="IBC98" s="83"/>
      <c r="IBD98" s="83"/>
      <c r="IBE98" s="83"/>
      <c r="IBF98" s="83"/>
      <c r="IBG98" s="83"/>
      <c r="IBH98" s="83"/>
      <c r="IBI98" s="83"/>
      <c r="IBJ98" s="83"/>
      <c r="IBK98" s="83"/>
      <c r="IBL98" s="83"/>
      <c r="IBM98" s="83"/>
      <c r="IBN98" s="83"/>
      <c r="IBO98" s="83"/>
      <c r="IBP98" s="83"/>
      <c r="IBQ98" s="83"/>
      <c r="IBR98" s="83"/>
      <c r="IBS98" s="83"/>
      <c r="IBT98" s="83"/>
      <c r="IBU98" s="83"/>
      <c r="IBV98" s="83"/>
      <c r="IBW98" s="83"/>
      <c r="IBX98" s="83"/>
      <c r="IBY98" s="83"/>
      <c r="IBZ98" s="83"/>
      <c r="ICA98" s="83"/>
      <c r="ICB98" s="83"/>
      <c r="ICC98" s="83"/>
      <c r="ICD98" s="83"/>
      <c r="ICE98" s="83"/>
      <c r="ICF98" s="83"/>
      <c r="ICG98" s="83"/>
      <c r="ICH98" s="83"/>
      <c r="ICI98" s="83"/>
      <c r="ICJ98" s="83"/>
      <c r="ICK98" s="83"/>
      <c r="ICL98" s="83"/>
      <c r="ICM98" s="83"/>
      <c r="ICN98" s="83"/>
      <c r="ICO98" s="83"/>
      <c r="ICP98" s="83"/>
      <c r="ICQ98" s="83"/>
      <c r="ICR98" s="83"/>
      <c r="ICS98" s="83"/>
      <c r="ICT98" s="83"/>
      <c r="ICU98" s="83"/>
      <c r="ICV98" s="83"/>
      <c r="ICW98" s="83"/>
      <c r="ICX98" s="83"/>
      <c r="ICY98" s="83"/>
      <c r="ICZ98" s="83"/>
      <c r="IDA98" s="83"/>
      <c r="IDB98" s="83"/>
      <c r="IDC98" s="83"/>
      <c r="IDD98" s="83"/>
      <c r="IDE98" s="83"/>
      <c r="IDF98" s="83"/>
      <c r="IDG98" s="83"/>
      <c r="IDH98" s="83"/>
      <c r="IDI98" s="83"/>
      <c r="IDJ98" s="83"/>
      <c r="IDK98" s="83"/>
      <c r="IDL98" s="83"/>
      <c r="IDM98" s="83"/>
      <c r="IDN98" s="83"/>
      <c r="IDO98" s="83"/>
      <c r="IDP98" s="83"/>
      <c r="IDQ98" s="83"/>
      <c r="IDR98" s="83"/>
      <c r="IDS98" s="83"/>
      <c r="IDT98" s="83"/>
      <c r="IDU98" s="83"/>
      <c r="IDV98" s="83"/>
      <c r="IDW98" s="83"/>
      <c r="IDX98" s="83"/>
      <c r="IDY98" s="83"/>
      <c r="IDZ98" s="83"/>
      <c r="IEA98" s="83"/>
      <c r="IEB98" s="83"/>
      <c r="IEC98" s="83"/>
      <c r="IED98" s="83"/>
      <c r="IEE98" s="83"/>
      <c r="IEF98" s="83"/>
      <c r="IEG98" s="83"/>
      <c r="IEH98" s="83"/>
      <c r="IEI98" s="83"/>
      <c r="IEJ98" s="83"/>
      <c r="IEK98" s="83"/>
      <c r="IEL98" s="83"/>
      <c r="IEM98" s="83"/>
      <c r="IEN98" s="83"/>
      <c r="IEO98" s="83"/>
      <c r="IEP98" s="83"/>
      <c r="IEQ98" s="83"/>
      <c r="IER98" s="83"/>
      <c r="IES98" s="83"/>
      <c r="IET98" s="83"/>
      <c r="IEU98" s="83"/>
      <c r="IEV98" s="83"/>
      <c r="IEW98" s="83"/>
      <c r="IEX98" s="83"/>
      <c r="IEY98" s="83"/>
      <c r="IEZ98" s="83"/>
      <c r="IFA98" s="83"/>
      <c r="IFB98" s="83"/>
      <c r="IFC98" s="83"/>
      <c r="IFD98" s="83"/>
      <c r="IFE98" s="83"/>
      <c r="IFF98" s="83"/>
      <c r="IFG98" s="83"/>
      <c r="IFH98" s="83"/>
      <c r="IFI98" s="83"/>
      <c r="IFJ98" s="83"/>
      <c r="IFK98" s="83"/>
      <c r="IFL98" s="83"/>
      <c r="IFM98" s="83"/>
      <c r="IFN98" s="83"/>
      <c r="IFO98" s="83"/>
      <c r="IFP98" s="83"/>
      <c r="IFQ98" s="83"/>
      <c r="IFR98" s="83"/>
      <c r="IFS98" s="83"/>
      <c r="IFT98" s="83"/>
      <c r="IFU98" s="83"/>
      <c r="IFV98" s="83"/>
      <c r="IFW98" s="83"/>
      <c r="IFX98" s="83"/>
      <c r="IFY98" s="83"/>
      <c r="IFZ98" s="83"/>
      <c r="IGA98" s="83"/>
      <c r="IGB98" s="83"/>
      <c r="IGC98" s="83"/>
      <c r="IGD98" s="83"/>
      <c r="IGE98" s="83"/>
      <c r="IGF98" s="83"/>
      <c r="IGG98" s="83"/>
      <c r="IGH98" s="83"/>
      <c r="IGI98" s="83"/>
      <c r="IGJ98" s="83"/>
      <c r="IGK98" s="83"/>
      <c r="IGL98" s="83"/>
      <c r="IGM98" s="83"/>
      <c r="IGN98" s="83"/>
      <c r="IGO98" s="83"/>
      <c r="IGP98" s="83"/>
      <c r="IGQ98" s="83"/>
      <c r="IGR98" s="83"/>
      <c r="IGS98" s="83"/>
      <c r="IGT98" s="83"/>
      <c r="IGU98" s="83"/>
      <c r="IGV98" s="83"/>
      <c r="IGW98" s="83"/>
      <c r="IGX98" s="83"/>
      <c r="IGY98" s="83"/>
      <c r="IGZ98" s="83"/>
      <c r="IHA98" s="83"/>
      <c r="IHB98" s="83"/>
      <c r="IHC98" s="83"/>
      <c r="IHD98" s="83"/>
      <c r="IHE98" s="83"/>
      <c r="IHF98" s="83"/>
      <c r="IHG98" s="83"/>
      <c r="IHH98" s="83"/>
      <c r="IHI98" s="83"/>
      <c r="IHJ98" s="83"/>
      <c r="IHK98" s="83"/>
      <c r="IHL98" s="83"/>
      <c r="IHM98" s="83"/>
      <c r="IHN98" s="83"/>
      <c r="IHO98" s="83"/>
      <c r="IHP98" s="83"/>
      <c r="IHQ98" s="83"/>
      <c r="IHR98" s="83"/>
      <c r="IHS98" s="83"/>
      <c r="IHT98" s="83"/>
      <c r="IHU98" s="83"/>
      <c r="IHV98" s="83"/>
      <c r="IHW98" s="83"/>
      <c r="IHX98" s="83"/>
      <c r="IHY98" s="83"/>
      <c r="IHZ98" s="83"/>
      <c r="IIA98" s="83"/>
      <c r="IIB98" s="83"/>
      <c r="IIC98" s="83"/>
      <c r="IID98" s="83"/>
      <c r="IIE98" s="83"/>
      <c r="IIF98" s="83"/>
      <c r="IIG98" s="83"/>
      <c r="IIH98" s="83"/>
      <c r="III98" s="83"/>
      <c r="IIJ98" s="83"/>
      <c r="IIK98" s="83"/>
      <c r="IIL98" s="83"/>
      <c r="IIM98" s="83"/>
      <c r="IIN98" s="83"/>
      <c r="IIO98" s="83"/>
      <c r="IIP98" s="83"/>
      <c r="IIQ98" s="83"/>
      <c r="IIR98" s="83"/>
      <c r="IIS98" s="83"/>
      <c r="IIT98" s="83"/>
      <c r="IIU98" s="83"/>
      <c r="IIV98" s="83"/>
      <c r="IIW98" s="83"/>
      <c r="IIX98" s="83"/>
      <c r="IIY98" s="83"/>
      <c r="IIZ98" s="83"/>
      <c r="IJA98" s="83"/>
      <c r="IJB98" s="83"/>
      <c r="IJC98" s="83"/>
      <c r="IJD98" s="83"/>
      <c r="IJE98" s="83"/>
      <c r="IJF98" s="83"/>
      <c r="IJG98" s="83"/>
      <c r="IJH98" s="83"/>
      <c r="IJI98" s="83"/>
      <c r="IJJ98" s="83"/>
      <c r="IJK98" s="83"/>
      <c r="IJL98" s="83"/>
      <c r="IJM98" s="83"/>
      <c r="IJN98" s="83"/>
      <c r="IJO98" s="83"/>
      <c r="IJP98" s="83"/>
      <c r="IJQ98" s="83"/>
      <c r="IJR98" s="83"/>
      <c r="IJS98" s="83"/>
      <c r="IJT98" s="83"/>
      <c r="IJU98" s="83"/>
      <c r="IJV98" s="83"/>
      <c r="IJW98" s="83"/>
      <c r="IJX98" s="83"/>
      <c r="IJY98" s="83"/>
      <c r="IJZ98" s="83"/>
      <c r="IKA98" s="83"/>
      <c r="IKB98" s="83"/>
      <c r="IKC98" s="83"/>
      <c r="IKD98" s="83"/>
      <c r="IKE98" s="83"/>
      <c r="IKF98" s="83"/>
      <c r="IKG98" s="83"/>
      <c r="IKH98" s="83"/>
      <c r="IKI98" s="83"/>
      <c r="IKJ98" s="83"/>
      <c r="IKK98" s="83"/>
      <c r="IKL98" s="83"/>
      <c r="IKM98" s="83"/>
      <c r="IKN98" s="83"/>
      <c r="IKO98" s="83"/>
      <c r="IKP98" s="83"/>
      <c r="IKQ98" s="83"/>
      <c r="IKR98" s="83"/>
      <c r="IKS98" s="83"/>
      <c r="IKT98" s="83"/>
      <c r="IKU98" s="83"/>
      <c r="IKV98" s="83"/>
      <c r="IKW98" s="83"/>
      <c r="IKX98" s="83"/>
      <c r="IKY98" s="83"/>
      <c r="IKZ98" s="83"/>
      <c r="ILA98" s="83"/>
      <c r="ILB98" s="83"/>
      <c r="ILC98" s="83"/>
      <c r="ILD98" s="83"/>
      <c r="ILE98" s="83"/>
      <c r="ILF98" s="83"/>
      <c r="ILG98" s="83"/>
      <c r="ILH98" s="83"/>
      <c r="ILI98" s="83"/>
      <c r="ILJ98" s="83"/>
      <c r="ILK98" s="83"/>
      <c r="ILL98" s="83"/>
      <c r="ILM98" s="83"/>
      <c r="ILN98" s="83"/>
      <c r="ILO98" s="83"/>
      <c r="ILP98" s="83"/>
      <c r="ILQ98" s="83"/>
      <c r="ILR98" s="83"/>
      <c r="ILS98" s="83"/>
      <c r="ILT98" s="83"/>
      <c r="ILU98" s="83"/>
      <c r="ILV98" s="83"/>
      <c r="ILW98" s="83"/>
      <c r="ILX98" s="83"/>
      <c r="ILY98" s="83"/>
      <c r="ILZ98" s="83"/>
      <c r="IMA98" s="83"/>
      <c r="IMB98" s="83"/>
      <c r="IMC98" s="83"/>
      <c r="IMD98" s="83"/>
      <c r="IME98" s="83"/>
      <c r="IMF98" s="83"/>
      <c r="IMG98" s="83"/>
      <c r="IMH98" s="83"/>
      <c r="IMI98" s="83"/>
      <c r="IMJ98" s="83"/>
      <c r="IMK98" s="83"/>
      <c r="IML98" s="83"/>
      <c r="IMM98" s="83"/>
      <c r="IMN98" s="83"/>
      <c r="IMO98" s="83"/>
      <c r="IMP98" s="83"/>
      <c r="IMQ98" s="83"/>
      <c r="IMR98" s="83"/>
      <c r="IMS98" s="83"/>
      <c r="IMT98" s="83"/>
      <c r="IMU98" s="83"/>
      <c r="IMV98" s="83"/>
      <c r="IMW98" s="83"/>
      <c r="IMX98" s="83"/>
      <c r="IMY98" s="83"/>
      <c r="IMZ98" s="83"/>
      <c r="INA98" s="83"/>
      <c r="INB98" s="83"/>
      <c r="INC98" s="83"/>
      <c r="IND98" s="83"/>
      <c r="INE98" s="83"/>
      <c r="INF98" s="83"/>
      <c r="ING98" s="83"/>
      <c r="INH98" s="83"/>
      <c r="INI98" s="83"/>
      <c r="INJ98" s="83"/>
      <c r="INK98" s="83"/>
      <c r="INL98" s="83"/>
      <c r="INM98" s="83"/>
      <c r="INN98" s="83"/>
      <c r="INO98" s="83"/>
      <c r="INP98" s="83"/>
      <c r="INQ98" s="83"/>
      <c r="INR98" s="83"/>
      <c r="INS98" s="83"/>
      <c r="INT98" s="83"/>
      <c r="INU98" s="83"/>
      <c r="INV98" s="83"/>
      <c r="INW98" s="83"/>
      <c r="INX98" s="83"/>
      <c r="INY98" s="83"/>
      <c r="INZ98" s="83"/>
      <c r="IOA98" s="83"/>
      <c r="IOB98" s="83"/>
      <c r="IOC98" s="83"/>
      <c r="IOD98" s="83"/>
      <c r="IOE98" s="83"/>
      <c r="IOF98" s="83"/>
      <c r="IOG98" s="83"/>
      <c r="IOH98" s="83"/>
      <c r="IOI98" s="83"/>
      <c r="IOJ98" s="83"/>
      <c r="IOK98" s="83"/>
      <c r="IOL98" s="83"/>
      <c r="IOM98" s="83"/>
      <c r="ION98" s="83"/>
      <c r="IOO98" s="83"/>
      <c r="IOP98" s="83"/>
      <c r="IOQ98" s="83"/>
      <c r="IOR98" s="83"/>
      <c r="IOS98" s="83"/>
      <c r="IOT98" s="83"/>
      <c r="IOU98" s="83"/>
      <c r="IOV98" s="83"/>
      <c r="IOW98" s="83"/>
      <c r="IOX98" s="83"/>
      <c r="IOY98" s="83"/>
      <c r="IOZ98" s="83"/>
      <c r="IPA98" s="83"/>
      <c r="IPB98" s="83"/>
      <c r="IPC98" s="83"/>
      <c r="IPD98" s="83"/>
      <c r="IPE98" s="83"/>
      <c r="IPF98" s="83"/>
      <c r="IPG98" s="83"/>
      <c r="IPH98" s="83"/>
      <c r="IPI98" s="83"/>
      <c r="IPJ98" s="83"/>
      <c r="IPK98" s="83"/>
      <c r="IPL98" s="83"/>
      <c r="IPM98" s="83"/>
      <c r="IPN98" s="83"/>
      <c r="IPO98" s="83"/>
      <c r="IPP98" s="83"/>
      <c r="IPQ98" s="83"/>
      <c r="IPR98" s="83"/>
      <c r="IPS98" s="83"/>
      <c r="IPT98" s="83"/>
      <c r="IPU98" s="83"/>
      <c r="IPV98" s="83"/>
      <c r="IPW98" s="83"/>
      <c r="IPX98" s="83"/>
      <c r="IPY98" s="83"/>
      <c r="IPZ98" s="83"/>
      <c r="IQA98" s="83"/>
      <c r="IQB98" s="83"/>
      <c r="IQC98" s="83"/>
      <c r="IQD98" s="83"/>
      <c r="IQE98" s="83"/>
      <c r="IQF98" s="83"/>
      <c r="IQG98" s="83"/>
      <c r="IQH98" s="83"/>
      <c r="IQI98" s="83"/>
      <c r="IQJ98" s="83"/>
      <c r="IQK98" s="83"/>
      <c r="IQL98" s="83"/>
      <c r="IQM98" s="83"/>
      <c r="IQN98" s="83"/>
      <c r="IQO98" s="83"/>
      <c r="IQP98" s="83"/>
      <c r="IQQ98" s="83"/>
      <c r="IQR98" s="83"/>
      <c r="IQS98" s="83"/>
      <c r="IQT98" s="83"/>
      <c r="IQU98" s="83"/>
      <c r="IQV98" s="83"/>
      <c r="IQW98" s="83"/>
      <c r="IQX98" s="83"/>
      <c r="IQY98" s="83"/>
      <c r="IQZ98" s="83"/>
      <c r="IRA98" s="83"/>
      <c r="IRB98" s="83"/>
      <c r="IRC98" s="83"/>
      <c r="IRD98" s="83"/>
      <c r="IRE98" s="83"/>
      <c r="IRF98" s="83"/>
      <c r="IRG98" s="83"/>
      <c r="IRH98" s="83"/>
      <c r="IRI98" s="83"/>
      <c r="IRJ98" s="83"/>
      <c r="IRK98" s="83"/>
      <c r="IRL98" s="83"/>
      <c r="IRM98" s="83"/>
      <c r="IRN98" s="83"/>
      <c r="IRO98" s="83"/>
      <c r="IRP98" s="83"/>
      <c r="IRQ98" s="83"/>
      <c r="IRR98" s="83"/>
      <c r="IRS98" s="83"/>
      <c r="IRT98" s="83"/>
      <c r="IRU98" s="83"/>
      <c r="IRV98" s="83"/>
      <c r="IRW98" s="83"/>
      <c r="IRX98" s="83"/>
      <c r="IRY98" s="83"/>
      <c r="IRZ98" s="83"/>
      <c r="ISA98" s="83"/>
      <c r="ISB98" s="83"/>
      <c r="ISC98" s="83"/>
      <c r="ISD98" s="83"/>
      <c r="ISE98" s="83"/>
      <c r="ISF98" s="83"/>
      <c r="ISG98" s="83"/>
      <c r="ISH98" s="83"/>
      <c r="ISI98" s="83"/>
      <c r="ISJ98" s="83"/>
      <c r="ISK98" s="83"/>
      <c r="ISL98" s="83"/>
      <c r="ISM98" s="83"/>
      <c r="ISN98" s="83"/>
      <c r="ISO98" s="83"/>
      <c r="ISP98" s="83"/>
      <c r="ISQ98" s="83"/>
      <c r="ISR98" s="83"/>
      <c r="ISS98" s="83"/>
      <c r="IST98" s="83"/>
      <c r="ISU98" s="83"/>
      <c r="ISV98" s="83"/>
      <c r="ISW98" s="83"/>
      <c r="ISX98" s="83"/>
      <c r="ISY98" s="83"/>
      <c r="ISZ98" s="83"/>
      <c r="ITA98" s="83"/>
      <c r="ITB98" s="83"/>
      <c r="ITC98" s="83"/>
      <c r="ITD98" s="83"/>
      <c r="ITE98" s="83"/>
      <c r="ITF98" s="83"/>
      <c r="ITG98" s="83"/>
      <c r="ITH98" s="83"/>
      <c r="ITI98" s="83"/>
      <c r="ITJ98" s="83"/>
      <c r="ITK98" s="83"/>
      <c r="ITL98" s="83"/>
      <c r="ITM98" s="83"/>
      <c r="ITN98" s="83"/>
      <c r="ITO98" s="83"/>
      <c r="ITP98" s="83"/>
      <c r="ITQ98" s="83"/>
      <c r="ITR98" s="83"/>
      <c r="ITS98" s="83"/>
      <c r="ITT98" s="83"/>
      <c r="ITU98" s="83"/>
      <c r="ITV98" s="83"/>
      <c r="ITW98" s="83"/>
      <c r="ITX98" s="83"/>
      <c r="ITY98" s="83"/>
      <c r="ITZ98" s="83"/>
      <c r="IUA98" s="83"/>
      <c r="IUB98" s="83"/>
      <c r="IUC98" s="83"/>
      <c r="IUD98" s="83"/>
      <c r="IUE98" s="83"/>
      <c r="IUF98" s="83"/>
      <c r="IUG98" s="83"/>
      <c r="IUH98" s="83"/>
      <c r="IUI98" s="83"/>
      <c r="IUJ98" s="83"/>
      <c r="IUK98" s="83"/>
      <c r="IUL98" s="83"/>
      <c r="IUM98" s="83"/>
      <c r="IUN98" s="83"/>
      <c r="IUO98" s="83"/>
      <c r="IUP98" s="83"/>
      <c r="IUQ98" s="83"/>
      <c r="IUR98" s="83"/>
      <c r="IUS98" s="83"/>
      <c r="IUT98" s="83"/>
      <c r="IUU98" s="83"/>
      <c r="IUV98" s="83"/>
      <c r="IUW98" s="83"/>
      <c r="IUX98" s="83"/>
      <c r="IUY98" s="83"/>
      <c r="IUZ98" s="83"/>
      <c r="IVA98" s="83"/>
      <c r="IVB98" s="83"/>
      <c r="IVC98" s="83"/>
      <c r="IVD98" s="83"/>
      <c r="IVE98" s="83"/>
      <c r="IVF98" s="83"/>
      <c r="IVG98" s="83"/>
      <c r="IVH98" s="83"/>
      <c r="IVI98" s="83"/>
      <c r="IVJ98" s="83"/>
      <c r="IVK98" s="83"/>
      <c r="IVL98" s="83"/>
      <c r="IVM98" s="83"/>
      <c r="IVN98" s="83"/>
      <c r="IVO98" s="83"/>
      <c r="IVP98" s="83"/>
      <c r="IVQ98" s="83"/>
      <c r="IVR98" s="83"/>
      <c r="IVS98" s="83"/>
      <c r="IVT98" s="83"/>
      <c r="IVU98" s="83"/>
      <c r="IVV98" s="83"/>
      <c r="IVW98" s="83"/>
      <c r="IVX98" s="83"/>
      <c r="IVY98" s="83"/>
      <c r="IVZ98" s="83"/>
      <c r="IWA98" s="83"/>
      <c r="IWB98" s="83"/>
      <c r="IWC98" s="83"/>
      <c r="IWD98" s="83"/>
      <c r="IWE98" s="83"/>
      <c r="IWF98" s="83"/>
      <c r="IWG98" s="83"/>
      <c r="IWH98" s="83"/>
      <c r="IWI98" s="83"/>
      <c r="IWJ98" s="83"/>
      <c r="IWK98" s="83"/>
      <c r="IWL98" s="83"/>
      <c r="IWM98" s="83"/>
      <c r="IWN98" s="83"/>
      <c r="IWO98" s="83"/>
      <c r="IWP98" s="83"/>
      <c r="IWQ98" s="83"/>
      <c r="IWR98" s="83"/>
      <c r="IWS98" s="83"/>
      <c r="IWT98" s="83"/>
      <c r="IWU98" s="83"/>
      <c r="IWV98" s="83"/>
      <c r="IWW98" s="83"/>
      <c r="IWX98" s="83"/>
      <c r="IWY98" s="83"/>
      <c r="IWZ98" s="83"/>
      <c r="IXA98" s="83"/>
      <c r="IXB98" s="83"/>
      <c r="IXC98" s="83"/>
      <c r="IXD98" s="83"/>
      <c r="IXE98" s="83"/>
      <c r="IXF98" s="83"/>
      <c r="IXG98" s="83"/>
      <c r="IXH98" s="83"/>
      <c r="IXI98" s="83"/>
      <c r="IXJ98" s="83"/>
      <c r="IXK98" s="83"/>
      <c r="IXL98" s="83"/>
      <c r="IXM98" s="83"/>
      <c r="IXN98" s="83"/>
      <c r="IXO98" s="83"/>
      <c r="IXP98" s="83"/>
      <c r="IXQ98" s="83"/>
      <c r="IXR98" s="83"/>
      <c r="IXS98" s="83"/>
      <c r="IXT98" s="83"/>
      <c r="IXU98" s="83"/>
      <c r="IXV98" s="83"/>
      <c r="IXW98" s="83"/>
      <c r="IXX98" s="83"/>
      <c r="IXY98" s="83"/>
      <c r="IXZ98" s="83"/>
      <c r="IYA98" s="83"/>
      <c r="IYB98" s="83"/>
      <c r="IYC98" s="83"/>
      <c r="IYD98" s="83"/>
      <c r="IYE98" s="83"/>
      <c r="IYF98" s="83"/>
      <c r="IYG98" s="83"/>
      <c r="IYH98" s="83"/>
      <c r="IYI98" s="83"/>
      <c r="IYJ98" s="83"/>
      <c r="IYK98" s="83"/>
      <c r="IYL98" s="83"/>
      <c r="IYM98" s="83"/>
      <c r="IYN98" s="83"/>
      <c r="IYO98" s="83"/>
      <c r="IYP98" s="83"/>
      <c r="IYQ98" s="83"/>
      <c r="IYR98" s="83"/>
      <c r="IYS98" s="83"/>
      <c r="IYT98" s="83"/>
      <c r="IYU98" s="83"/>
      <c r="IYV98" s="83"/>
      <c r="IYW98" s="83"/>
      <c r="IYX98" s="83"/>
      <c r="IYY98" s="83"/>
      <c r="IYZ98" s="83"/>
      <c r="IZA98" s="83"/>
      <c r="IZB98" s="83"/>
      <c r="IZC98" s="83"/>
      <c r="IZD98" s="83"/>
      <c r="IZE98" s="83"/>
      <c r="IZF98" s="83"/>
      <c r="IZG98" s="83"/>
      <c r="IZH98" s="83"/>
      <c r="IZI98" s="83"/>
      <c r="IZJ98" s="83"/>
      <c r="IZK98" s="83"/>
      <c r="IZL98" s="83"/>
      <c r="IZM98" s="83"/>
      <c r="IZN98" s="83"/>
      <c r="IZO98" s="83"/>
      <c r="IZP98" s="83"/>
      <c r="IZQ98" s="83"/>
      <c r="IZR98" s="83"/>
      <c r="IZS98" s="83"/>
      <c r="IZT98" s="83"/>
      <c r="IZU98" s="83"/>
      <c r="IZV98" s="83"/>
      <c r="IZW98" s="83"/>
      <c r="IZX98" s="83"/>
      <c r="IZY98" s="83"/>
      <c r="IZZ98" s="83"/>
      <c r="JAA98" s="83"/>
      <c r="JAB98" s="83"/>
      <c r="JAC98" s="83"/>
      <c r="JAD98" s="83"/>
      <c r="JAE98" s="83"/>
      <c r="JAF98" s="83"/>
      <c r="JAG98" s="83"/>
      <c r="JAH98" s="83"/>
      <c r="JAI98" s="83"/>
      <c r="JAJ98" s="83"/>
      <c r="JAK98" s="83"/>
      <c r="JAL98" s="83"/>
      <c r="JAM98" s="83"/>
      <c r="JAN98" s="83"/>
      <c r="JAO98" s="83"/>
      <c r="JAP98" s="83"/>
      <c r="JAQ98" s="83"/>
      <c r="JAR98" s="83"/>
      <c r="JAS98" s="83"/>
      <c r="JAT98" s="83"/>
      <c r="JAU98" s="83"/>
      <c r="JAV98" s="83"/>
      <c r="JAW98" s="83"/>
      <c r="JAX98" s="83"/>
      <c r="JAY98" s="83"/>
      <c r="JAZ98" s="83"/>
      <c r="JBA98" s="83"/>
      <c r="JBB98" s="83"/>
      <c r="JBC98" s="83"/>
      <c r="JBD98" s="83"/>
      <c r="JBE98" s="83"/>
      <c r="JBF98" s="83"/>
      <c r="JBG98" s="83"/>
      <c r="JBH98" s="83"/>
      <c r="JBI98" s="83"/>
      <c r="JBJ98" s="83"/>
      <c r="JBK98" s="83"/>
      <c r="JBL98" s="83"/>
      <c r="JBM98" s="83"/>
      <c r="JBN98" s="83"/>
      <c r="JBO98" s="83"/>
      <c r="JBP98" s="83"/>
      <c r="JBQ98" s="83"/>
      <c r="JBR98" s="83"/>
      <c r="JBS98" s="83"/>
      <c r="JBT98" s="83"/>
      <c r="JBU98" s="83"/>
      <c r="JBV98" s="83"/>
      <c r="JBW98" s="83"/>
      <c r="JBX98" s="83"/>
      <c r="JBY98" s="83"/>
      <c r="JBZ98" s="83"/>
      <c r="JCA98" s="83"/>
      <c r="JCB98" s="83"/>
      <c r="JCC98" s="83"/>
      <c r="JCD98" s="83"/>
      <c r="JCE98" s="83"/>
      <c r="JCF98" s="83"/>
      <c r="JCG98" s="83"/>
      <c r="JCH98" s="83"/>
      <c r="JCI98" s="83"/>
      <c r="JCJ98" s="83"/>
      <c r="JCK98" s="83"/>
      <c r="JCL98" s="83"/>
      <c r="JCM98" s="83"/>
      <c r="JCN98" s="83"/>
      <c r="JCO98" s="83"/>
      <c r="JCP98" s="83"/>
      <c r="JCQ98" s="83"/>
      <c r="JCR98" s="83"/>
      <c r="JCS98" s="83"/>
      <c r="JCT98" s="83"/>
      <c r="JCU98" s="83"/>
      <c r="JCV98" s="83"/>
      <c r="JCW98" s="83"/>
      <c r="JCX98" s="83"/>
      <c r="JCY98" s="83"/>
      <c r="JCZ98" s="83"/>
      <c r="JDA98" s="83"/>
      <c r="JDB98" s="83"/>
      <c r="JDC98" s="83"/>
      <c r="JDD98" s="83"/>
      <c r="JDE98" s="83"/>
      <c r="JDF98" s="83"/>
      <c r="JDG98" s="83"/>
      <c r="JDH98" s="83"/>
      <c r="JDI98" s="83"/>
      <c r="JDJ98" s="83"/>
      <c r="JDK98" s="83"/>
      <c r="JDL98" s="83"/>
      <c r="JDM98" s="83"/>
      <c r="JDN98" s="83"/>
      <c r="JDO98" s="83"/>
      <c r="JDP98" s="83"/>
      <c r="JDQ98" s="83"/>
      <c r="JDR98" s="83"/>
      <c r="JDS98" s="83"/>
      <c r="JDT98" s="83"/>
      <c r="JDU98" s="83"/>
      <c r="JDV98" s="83"/>
      <c r="JDW98" s="83"/>
      <c r="JDX98" s="83"/>
      <c r="JDY98" s="83"/>
      <c r="JDZ98" s="83"/>
      <c r="JEA98" s="83"/>
      <c r="JEB98" s="83"/>
      <c r="JEC98" s="83"/>
      <c r="JED98" s="83"/>
      <c r="JEE98" s="83"/>
      <c r="JEF98" s="83"/>
      <c r="JEG98" s="83"/>
      <c r="JEH98" s="83"/>
      <c r="JEI98" s="83"/>
      <c r="JEJ98" s="83"/>
      <c r="JEK98" s="83"/>
      <c r="JEL98" s="83"/>
      <c r="JEM98" s="83"/>
      <c r="JEN98" s="83"/>
      <c r="JEO98" s="83"/>
      <c r="JEP98" s="83"/>
      <c r="JEQ98" s="83"/>
      <c r="JER98" s="83"/>
      <c r="JES98" s="83"/>
      <c r="JET98" s="83"/>
      <c r="JEU98" s="83"/>
      <c r="JEV98" s="83"/>
      <c r="JEW98" s="83"/>
      <c r="JEX98" s="83"/>
      <c r="JEY98" s="83"/>
      <c r="JEZ98" s="83"/>
      <c r="JFA98" s="83"/>
      <c r="JFB98" s="83"/>
      <c r="JFC98" s="83"/>
      <c r="JFD98" s="83"/>
      <c r="JFE98" s="83"/>
      <c r="JFF98" s="83"/>
      <c r="JFG98" s="83"/>
      <c r="JFH98" s="83"/>
      <c r="JFI98" s="83"/>
      <c r="JFJ98" s="83"/>
      <c r="JFK98" s="83"/>
      <c r="JFL98" s="83"/>
      <c r="JFM98" s="83"/>
      <c r="JFN98" s="83"/>
      <c r="JFO98" s="83"/>
      <c r="JFP98" s="83"/>
      <c r="JFQ98" s="83"/>
      <c r="JFR98" s="83"/>
      <c r="JFS98" s="83"/>
      <c r="JFT98" s="83"/>
      <c r="JFU98" s="83"/>
      <c r="JFV98" s="83"/>
      <c r="JFW98" s="83"/>
      <c r="JFX98" s="83"/>
      <c r="JFY98" s="83"/>
      <c r="JFZ98" s="83"/>
      <c r="JGA98" s="83"/>
      <c r="JGB98" s="83"/>
      <c r="JGC98" s="83"/>
      <c r="JGD98" s="83"/>
      <c r="JGE98" s="83"/>
      <c r="JGF98" s="83"/>
      <c r="JGG98" s="83"/>
      <c r="JGH98" s="83"/>
      <c r="JGI98" s="83"/>
      <c r="JGJ98" s="83"/>
      <c r="JGK98" s="83"/>
      <c r="JGL98" s="83"/>
      <c r="JGM98" s="83"/>
      <c r="JGN98" s="83"/>
      <c r="JGO98" s="83"/>
      <c r="JGP98" s="83"/>
      <c r="JGQ98" s="83"/>
      <c r="JGR98" s="83"/>
      <c r="JGS98" s="83"/>
      <c r="JGT98" s="83"/>
      <c r="JGU98" s="83"/>
      <c r="JGV98" s="83"/>
      <c r="JGW98" s="83"/>
      <c r="JGX98" s="83"/>
      <c r="JGY98" s="83"/>
      <c r="JGZ98" s="83"/>
      <c r="JHA98" s="83"/>
      <c r="JHB98" s="83"/>
      <c r="JHC98" s="83"/>
      <c r="JHD98" s="83"/>
      <c r="JHE98" s="83"/>
      <c r="JHF98" s="83"/>
      <c r="JHG98" s="83"/>
      <c r="JHH98" s="83"/>
      <c r="JHI98" s="83"/>
      <c r="JHJ98" s="83"/>
      <c r="JHK98" s="83"/>
      <c r="JHL98" s="83"/>
      <c r="JHM98" s="83"/>
      <c r="JHN98" s="83"/>
      <c r="JHO98" s="83"/>
      <c r="JHP98" s="83"/>
      <c r="JHQ98" s="83"/>
      <c r="JHR98" s="83"/>
      <c r="JHS98" s="83"/>
      <c r="JHT98" s="83"/>
      <c r="JHU98" s="83"/>
      <c r="JHV98" s="83"/>
      <c r="JHW98" s="83"/>
      <c r="JHX98" s="83"/>
      <c r="JHY98" s="83"/>
      <c r="JHZ98" s="83"/>
      <c r="JIA98" s="83"/>
      <c r="JIB98" s="83"/>
      <c r="JIC98" s="83"/>
      <c r="JID98" s="83"/>
      <c r="JIE98" s="83"/>
      <c r="JIF98" s="83"/>
      <c r="JIG98" s="83"/>
      <c r="JIH98" s="83"/>
      <c r="JII98" s="83"/>
      <c r="JIJ98" s="83"/>
      <c r="JIK98" s="83"/>
      <c r="JIL98" s="83"/>
      <c r="JIM98" s="83"/>
      <c r="JIN98" s="83"/>
      <c r="JIO98" s="83"/>
      <c r="JIP98" s="83"/>
      <c r="JIQ98" s="83"/>
      <c r="JIR98" s="83"/>
      <c r="JIS98" s="83"/>
      <c r="JIT98" s="83"/>
      <c r="JIU98" s="83"/>
      <c r="JIV98" s="83"/>
      <c r="JIW98" s="83"/>
      <c r="JIX98" s="83"/>
      <c r="JIY98" s="83"/>
      <c r="JIZ98" s="83"/>
      <c r="JJA98" s="83"/>
      <c r="JJB98" s="83"/>
      <c r="JJC98" s="83"/>
      <c r="JJD98" s="83"/>
      <c r="JJE98" s="83"/>
      <c r="JJF98" s="83"/>
      <c r="JJG98" s="83"/>
      <c r="JJH98" s="83"/>
      <c r="JJI98" s="83"/>
      <c r="JJJ98" s="83"/>
      <c r="JJK98" s="83"/>
      <c r="JJL98" s="83"/>
      <c r="JJM98" s="83"/>
      <c r="JJN98" s="83"/>
      <c r="JJO98" s="83"/>
      <c r="JJP98" s="83"/>
      <c r="JJQ98" s="83"/>
      <c r="JJR98" s="83"/>
      <c r="JJS98" s="83"/>
      <c r="JJT98" s="83"/>
      <c r="JJU98" s="83"/>
      <c r="JJV98" s="83"/>
      <c r="JJW98" s="83"/>
      <c r="JJX98" s="83"/>
      <c r="JJY98" s="83"/>
      <c r="JJZ98" s="83"/>
      <c r="JKA98" s="83"/>
      <c r="JKB98" s="83"/>
      <c r="JKC98" s="83"/>
      <c r="JKD98" s="83"/>
      <c r="JKE98" s="83"/>
      <c r="JKF98" s="83"/>
      <c r="JKG98" s="83"/>
      <c r="JKH98" s="83"/>
      <c r="JKI98" s="83"/>
      <c r="JKJ98" s="83"/>
      <c r="JKK98" s="83"/>
      <c r="JKL98" s="83"/>
      <c r="JKM98" s="83"/>
      <c r="JKN98" s="83"/>
      <c r="JKO98" s="83"/>
      <c r="JKP98" s="83"/>
      <c r="JKQ98" s="83"/>
      <c r="JKR98" s="83"/>
      <c r="JKS98" s="83"/>
      <c r="JKT98" s="83"/>
      <c r="JKU98" s="83"/>
      <c r="JKV98" s="83"/>
      <c r="JKW98" s="83"/>
      <c r="JKX98" s="83"/>
      <c r="JKY98" s="83"/>
      <c r="JKZ98" s="83"/>
      <c r="JLA98" s="83"/>
      <c r="JLB98" s="83"/>
      <c r="JLC98" s="83"/>
      <c r="JLD98" s="83"/>
      <c r="JLE98" s="83"/>
      <c r="JLF98" s="83"/>
      <c r="JLG98" s="83"/>
      <c r="JLH98" s="83"/>
      <c r="JLI98" s="83"/>
      <c r="JLJ98" s="83"/>
      <c r="JLK98" s="83"/>
      <c r="JLL98" s="83"/>
      <c r="JLM98" s="83"/>
      <c r="JLN98" s="83"/>
      <c r="JLO98" s="83"/>
      <c r="JLP98" s="83"/>
      <c r="JLQ98" s="83"/>
      <c r="JLR98" s="83"/>
      <c r="JLS98" s="83"/>
      <c r="JLT98" s="83"/>
      <c r="JLU98" s="83"/>
      <c r="JLV98" s="83"/>
      <c r="JLW98" s="83"/>
      <c r="JLX98" s="83"/>
      <c r="JLY98" s="83"/>
      <c r="JLZ98" s="83"/>
      <c r="JMA98" s="83"/>
      <c r="JMB98" s="83"/>
      <c r="JMC98" s="83"/>
      <c r="JMD98" s="83"/>
      <c r="JME98" s="83"/>
      <c r="JMF98" s="83"/>
      <c r="JMG98" s="83"/>
      <c r="JMH98" s="83"/>
      <c r="JMI98" s="83"/>
      <c r="JMJ98" s="83"/>
      <c r="JMK98" s="83"/>
      <c r="JML98" s="83"/>
      <c r="JMM98" s="83"/>
      <c r="JMN98" s="83"/>
      <c r="JMO98" s="83"/>
      <c r="JMP98" s="83"/>
      <c r="JMQ98" s="83"/>
      <c r="JMR98" s="83"/>
      <c r="JMS98" s="83"/>
      <c r="JMT98" s="83"/>
      <c r="JMU98" s="83"/>
      <c r="JMV98" s="83"/>
      <c r="JMW98" s="83"/>
      <c r="JMX98" s="83"/>
      <c r="JMY98" s="83"/>
      <c r="JMZ98" s="83"/>
      <c r="JNA98" s="83"/>
      <c r="JNB98" s="83"/>
      <c r="JNC98" s="83"/>
      <c r="JND98" s="83"/>
      <c r="JNE98" s="83"/>
      <c r="JNF98" s="83"/>
      <c r="JNG98" s="83"/>
      <c r="JNH98" s="83"/>
      <c r="JNI98" s="83"/>
      <c r="JNJ98" s="83"/>
      <c r="JNK98" s="83"/>
      <c r="JNL98" s="83"/>
      <c r="JNM98" s="83"/>
      <c r="JNN98" s="83"/>
      <c r="JNO98" s="83"/>
      <c r="JNP98" s="83"/>
      <c r="JNQ98" s="83"/>
      <c r="JNR98" s="83"/>
      <c r="JNS98" s="83"/>
      <c r="JNT98" s="83"/>
      <c r="JNU98" s="83"/>
      <c r="JNV98" s="83"/>
      <c r="JNW98" s="83"/>
      <c r="JNX98" s="83"/>
      <c r="JNY98" s="83"/>
      <c r="JNZ98" s="83"/>
      <c r="JOA98" s="83"/>
      <c r="JOB98" s="83"/>
      <c r="JOC98" s="83"/>
      <c r="JOD98" s="83"/>
      <c r="JOE98" s="83"/>
      <c r="JOF98" s="83"/>
      <c r="JOG98" s="83"/>
      <c r="JOH98" s="83"/>
      <c r="JOI98" s="83"/>
      <c r="JOJ98" s="83"/>
      <c r="JOK98" s="83"/>
      <c r="JOL98" s="83"/>
      <c r="JOM98" s="83"/>
      <c r="JON98" s="83"/>
      <c r="JOO98" s="83"/>
      <c r="JOP98" s="83"/>
      <c r="JOQ98" s="83"/>
      <c r="JOR98" s="83"/>
      <c r="JOS98" s="83"/>
      <c r="JOT98" s="83"/>
      <c r="JOU98" s="83"/>
      <c r="JOV98" s="83"/>
      <c r="JOW98" s="83"/>
      <c r="JOX98" s="83"/>
      <c r="JOY98" s="83"/>
      <c r="JOZ98" s="83"/>
      <c r="JPA98" s="83"/>
      <c r="JPB98" s="83"/>
      <c r="JPC98" s="83"/>
      <c r="JPD98" s="83"/>
      <c r="JPE98" s="83"/>
      <c r="JPF98" s="83"/>
      <c r="JPG98" s="83"/>
      <c r="JPH98" s="83"/>
      <c r="JPI98" s="83"/>
      <c r="JPJ98" s="83"/>
      <c r="JPK98" s="83"/>
      <c r="JPL98" s="83"/>
      <c r="JPM98" s="83"/>
      <c r="JPN98" s="83"/>
      <c r="JPO98" s="83"/>
      <c r="JPP98" s="83"/>
      <c r="JPQ98" s="83"/>
      <c r="JPR98" s="83"/>
      <c r="JPS98" s="83"/>
      <c r="JPT98" s="83"/>
      <c r="JPU98" s="83"/>
      <c r="JPV98" s="83"/>
      <c r="JPW98" s="83"/>
      <c r="JPX98" s="83"/>
      <c r="JPY98" s="83"/>
      <c r="JPZ98" s="83"/>
      <c r="JQA98" s="83"/>
      <c r="JQB98" s="83"/>
      <c r="JQC98" s="83"/>
      <c r="JQD98" s="83"/>
      <c r="JQE98" s="83"/>
      <c r="JQF98" s="83"/>
      <c r="JQG98" s="83"/>
      <c r="JQH98" s="83"/>
      <c r="JQI98" s="83"/>
      <c r="JQJ98" s="83"/>
      <c r="JQK98" s="83"/>
      <c r="JQL98" s="83"/>
      <c r="JQM98" s="83"/>
      <c r="JQN98" s="83"/>
      <c r="JQO98" s="83"/>
      <c r="JQP98" s="83"/>
      <c r="JQQ98" s="83"/>
      <c r="JQR98" s="83"/>
      <c r="JQS98" s="83"/>
      <c r="JQT98" s="83"/>
      <c r="JQU98" s="83"/>
      <c r="JQV98" s="83"/>
      <c r="JQW98" s="83"/>
      <c r="JQX98" s="83"/>
      <c r="JQY98" s="83"/>
      <c r="JQZ98" s="83"/>
      <c r="JRA98" s="83"/>
      <c r="JRB98" s="83"/>
      <c r="JRC98" s="83"/>
      <c r="JRD98" s="83"/>
      <c r="JRE98" s="83"/>
      <c r="JRF98" s="83"/>
      <c r="JRG98" s="83"/>
      <c r="JRH98" s="83"/>
      <c r="JRI98" s="83"/>
      <c r="JRJ98" s="83"/>
      <c r="JRK98" s="83"/>
      <c r="JRL98" s="83"/>
      <c r="JRM98" s="83"/>
      <c r="JRN98" s="83"/>
      <c r="JRO98" s="83"/>
      <c r="JRP98" s="83"/>
      <c r="JRQ98" s="83"/>
      <c r="JRR98" s="83"/>
      <c r="JRS98" s="83"/>
      <c r="JRT98" s="83"/>
      <c r="JRU98" s="83"/>
      <c r="JRV98" s="83"/>
      <c r="JRW98" s="83"/>
      <c r="JRX98" s="83"/>
      <c r="JRY98" s="83"/>
      <c r="JRZ98" s="83"/>
      <c r="JSA98" s="83"/>
      <c r="JSB98" s="83"/>
      <c r="JSC98" s="83"/>
      <c r="JSD98" s="83"/>
      <c r="JSE98" s="83"/>
      <c r="JSF98" s="83"/>
      <c r="JSG98" s="83"/>
      <c r="JSH98" s="83"/>
      <c r="JSI98" s="83"/>
      <c r="JSJ98" s="83"/>
      <c r="JSK98" s="83"/>
      <c r="JSL98" s="83"/>
      <c r="JSM98" s="83"/>
      <c r="JSN98" s="83"/>
      <c r="JSO98" s="83"/>
      <c r="JSP98" s="83"/>
      <c r="JSQ98" s="83"/>
      <c r="JSR98" s="83"/>
      <c r="JSS98" s="83"/>
      <c r="JST98" s="83"/>
      <c r="JSU98" s="83"/>
      <c r="JSV98" s="83"/>
      <c r="JSW98" s="83"/>
      <c r="JSX98" s="83"/>
      <c r="JSY98" s="83"/>
      <c r="JSZ98" s="83"/>
      <c r="JTA98" s="83"/>
      <c r="JTB98" s="83"/>
      <c r="JTC98" s="83"/>
      <c r="JTD98" s="83"/>
      <c r="JTE98" s="83"/>
      <c r="JTF98" s="83"/>
      <c r="JTG98" s="83"/>
      <c r="JTH98" s="83"/>
      <c r="JTI98" s="83"/>
      <c r="JTJ98" s="83"/>
      <c r="JTK98" s="83"/>
      <c r="JTL98" s="83"/>
      <c r="JTM98" s="83"/>
      <c r="JTN98" s="83"/>
      <c r="JTO98" s="83"/>
      <c r="JTP98" s="83"/>
      <c r="JTQ98" s="83"/>
      <c r="JTR98" s="83"/>
      <c r="JTS98" s="83"/>
      <c r="JTT98" s="83"/>
      <c r="JTU98" s="83"/>
      <c r="JTV98" s="83"/>
      <c r="JTW98" s="83"/>
      <c r="JTX98" s="83"/>
      <c r="JTY98" s="83"/>
      <c r="JTZ98" s="83"/>
      <c r="JUA98" s="83"/>
      <c r="JUB98" s="83"/>
      <c r="JUC98" s="83"/>
      <c r="JUD98" s="83"/>
      <c r="JUE98" s="83"/>
      <c r="JUF98" s="83"/>
      <c r="JUG98" s="83"/>
      <c r="JUH98" s="83"/>
      <c r="JUI98" s="83"/>
      <c r="JUJ98" s="83"/>
      <c r="JUK98" s="83"/>
      <c r="JUL98" s="83"/>
      <c r="JUM98" s="83"/>
      <c r="JUN98" s="83"/>
      <c r="JUO98" s="83"/>
      <c r="JUP98" s="83"/>
      <c r="JUQ98" s="83"/>
      <c r="JUR98" s="83"/>
      <c r="JUS98" s="83"/>
      <c r="JUT98" s="83"/>
      <c r="JUU98" s="83"/>
      <c r="JUV98" s="83"/>
      <c r="JUW98" s="83"/>
      <c r="JUX98" s="83"/>
      <c r="JUY98" s="83"/>
      <c r="JUZ98" s="83"/>
      <c r="JVA98" s="83"/>
      <c r="JVB98" s="83"/>
      <c r="JVC98" s="83"/>
      <c r="JVD98" s="83"/>
      <c r="JVE98" s="83"/>
      <c r="JVF98" s="83"/>
      <c r="JVG98" s="83"/>
      <c r="JVH98" s="83"/>
      <c r="JVI98" s="83"/>
      <c r="JVJ98" s="83"/>
      <c r="JVK98" s="83"/>
      <c r="JVL98" s="83"/>
      <c r="JVM98" s="83"/>
      <c r="JVN98" s="83"/>
      <c r="JVO98" s="83"/>
      <c r="JVP98" s="83"/>
      <c r="JVQ98" s="83"/>
      <c r="JVR98" s="83"/>
      <c r="JVS98" s="83"/>
      <c r="JVT98" s="83"/>
      <c r="JVU98" s="83"/>
      <c r="JVV98" s="83"/>
      <c r="JVW98" s="83"/>
      <c r="JVX98" s="83"/>
      <c r="JVY98" s="83"/>
      <c r="JVZ98" s="83"/>
      <c r="JWA98" s="83"/>
      <c r="JWB98" s="83"/>
      <c r="JWC98" s="83"/>
      <c r="JWD98" s="83"/>
      <c r="JWE98" s="83"/>
      <c r="JWF98" s="83"/>
      <c r="JWG98" s="83"/>
      <c r="JWH98" s="83"/>
      <c r="JWI98" s="83"/>
      <c r="JWJ98" s="83"/>
      <c r="JWK98" s="83"/>
      <c r="JWL98" s="83"/>
      <c r="JWM98" s="83"/>
      <c r="JWN98" s="83"/>
      <c r="JWO98" s="83"/>
      <c r="JWP98" s="83"/>
      <c r="JWQ98" s="83"/>
      <c r="JWR98" s="83"/>
      <c r="JWS98" s="83"/>
      <c r="JWT98" s="83"/>
      <c r="JWU98" s="83"/>
      <c r="JWV98" s="83"/>
      <c r="JWW98" s="83"/>
      <c r="JWX98" s="83"/>
      <c r="JWY98" s="83"/>
      <c r="JWZ98" s="83"/>
      <c r="JXA98" s="83"/>
      <c r="JXB98" s="83"/>
      <c r="JXC98" s="83"/>
      <c r="JXD98" s="83"/>
      <c r="JXE98" s="83"/>
      <c r="JXF98" s="83"/>
      <c r="JXG98" s="83"/>
      <c r="JXH98" s="83"/>
      <c r="JXI98" s="83"/>
      <c r="JXJ98" s="83"/>
      <c r="JXK98" s="83"/>
      <c r="JXL98" s="83"/>
      <c r="JXM98" s="83"/>
      <c r="JXN98" s="83"/>
      <c r="JXO98" s="83"/>
      <c r="JXP98" s="83"/>
      <c r="JXQ98" s="83"/>
      <c r="JXR98" s="83"/>
      <c r="JXS98" s="83"/>
      <c r="JXT98" s="83"/>
      <c r="JXU98" s="83"/>
      <c r="JXV98" s="83"/>
      <c r="JXW98" s="83"/>
      <c r="JXX98" s="83"/>
      <c r="JXY98" s="83"/>
      <c r="JXZ98" s="83"/>
      <c r="JYA98" s="83"/>
      <c r="JYB98" s="83"/>
      <c r="JYC98" s="83"/>
      <c r="JYD98" s="83"/>
      <c r="JYE98" s="83"/>
      <c r="JYF98" s="83"/>
      <c r="JYG98" s="83"/>
      <c r="JYH98" s="83"/>
      <c r="JYI98" s="83"/>
      <c r="JYJ98" s="83"/>
      <c r="JYK98" s="83"/>
      <c r="JYL98" s="83"/>
      <c r="JYM98" s="83"/>
      <c r="JYN98" s="83"/>
      <c r="JYO98" s="83"/>
      <c r="JYP98" s="83"/>
      <c r="JYQ98" s="83"/>
      <c r="JYR98" s="83"/>
      <c r="JYS98" s="83"/>
      <c r="JYT98" s="83"/>
      <c r="JYU98" s="83"/>
      <c r="JYV98" s="83"/>
      <c r="JYW98" s="83"/>
      <c r="JYX98" s="83"/>
      <c r="JYY98" s="83"/>
      <c r="JYZ98" s="83"/>
      <c r="JZA98" s="83"/>
      <c r="JZB98" s="83"/>
      <c r="JZC98" s="83"/>
      <c r="JZD98" s="83"/>
      <c r="JZE98" s="83"/>
      <c r="JZF98" s="83"/>
      <c r="JZG98" s="83"/>
      <c r="JZH98" s="83"/>
      <c r="JZI98" s="83"/>
      <c r="JZJ98" s="83"/>
      <c r="JZK98" s="83"/>
      <c r="JZL98" s="83"/>
      <c r="JZM98" s="83"/>
      <c r="JZN98" s="83"/>
      <c r="JZO98" s="83"/>
      <c r="JZP98" s="83"/>
      <c r="JZQ98" s="83"/>
      <c r="JZR98" s="83"/>
      <c r="JZS98" s="83"/>
      <c r="JZT98" s="83"/>
      <c r="JZU98" s="83"/>
      <c r="JZV98" s="83"/>
      <c r="JZW98" s="83"/>
      <c r="JZX98" s="83"/>
      <c r="JZY98" s="83"/>
      <c r="JZZ98" s="83"/>
      <c r="KAA98" s="83"/>
      <c r="KAB98" s="83"/>
      <c r="KAC98" s="83"/>
      <c r="KAD98" s="83"/>
      <c r="KAE98" s="83"/>
      <c r="KAF98" s="83"/>
      <c r="KAG98" s="83"/>
      <c r="KAH98" s="83"/>
      <c r="KAI98" s="83"/>
      <c r="KAJ98" s="83"/>
      <c r="KAK98" s="83"/>
      <c r="KAL98" s="83"/>
      <c r="KAM98" s="83"/>
      <c r="KAN98" s="83"/>
      <c r="KAO98" s="83"/>
      <c r="KAP98" s="83"/>
      <c r="KAQ98" s="83"/>
      <c r="KAR98" s="83"/>
      <c r="KAS98" s="83"/>
      <c r="KAT98" s="83"/>
      <c r="KAU98" s="83"/>
      <c r="KAV98" s="83"/>
      <c r="KAW98" s="83"/>
      <c r="KAX98" s="83"/>
      <c r="KAY98" s="83"/>
      <c r="KAZ98" s="83"/>
      <c r="KBA98" s="83"/>
      <c r="KBB98" s="83"/>
      <c r="KBC98" s="83"/>
      <c r="KBD98" s="83"/>
      <c r="KBE98" s="83"/>
      <c r="KBF98" s="83"/>
      <c r="KBG98" s="83"/>
      <c r="KBH98" s="83"/>
      <c r="KBI98" s="83"/>
      <c r="KBJ98" s="83"/>
      <c r="KBK98" s="83"/>
      <c r="KBL98" s="83"/>
      <c r="KBM98" s="83"/>
      <c r="KBN98" s="83"/>
      <c r="KBO98" s="83"/>
      <c r="KBP98" s="83"/>
      <c r="KBQ98" s="83"/>
      <c r="KBR98" s="83"/>
      <c r="KBS98" s="83"/>
      <c r="KBT98" s="83"/>
      <c r="KBU98" s="83"/>
      <c r="KBV98" s="83"/>
      <c r="KBW98" s="83"/>
      <c r="KBX98" s="83"/>
      <c r="KBY98" s="83"/>
      <c r="KBZ98" s="83"/>
      <c r="KCA98" s="83"/>
      <c r="KCB98" s="83"/>
      <c r="KCC98" s="83"/>
      <c r="KCD98" s="83"/>
      <c r="KCE98" s="83"/>
      <c r="KCF98" s="83"/>
      <c r="KCG98" s="83"/>
      <c r="KCH98" s="83"/>
      <c r="KCI98" s="83"/>
      <c r="KCJ98" s="83"/>
      <c r="KCK98" s="83"/>
      <c r="KCL98" s="83"/>
      <c r="KCM98" s="83"/>
      <c r="KCN98" s="83"/>
      <c r="KCO98" s="83"/>
      <c r="KCP98" s="83"/>
      <c r="KCQ98" s="83"/>
      <c r="KCR98" s="83"/>
      <c r="KCS98" s="83"/>
      <c r="KCT98" s="83"/>
      <c r="KCU98" s="83"/>
      <c r="KCV98" s="83"/>
      <c r="KCW98" s="83"/>
      <c r="KCX98" s="83"/>
      <c r="KCY98" s="83"/>
      <c r="KCZ98" s="83"/>
      <c r="KDA98" s="83"/>
      <c r="KDB98" s="83"/>
      <c r="KDC98" s="83"/>
      <c r="KDD98" s="83"/>
      <c r="KDE98" s="83"/>
      <c r="KDF98" s="83"/>
      <c r="KDG98" s="83"/>
      <c r="KDH98" s="83"/>
      <c r="KDI98" s="83"/>
      <c r="KDJ98" s="83"/>
      <c r="KDK98" s="83"/>
      <c r="KDL98" s="83"/>
      <c r="KDM98" s="83"/>
      <c r="KDN98" s="83"/>
      <c r="KDO98" s="83"/>
      <c r="KDP98" s="83"/>
      <c r="KDQ98" s="83"/>
      <c r="KDR98" s="83"/>
      <c r="KDS98" s="83"/>
      <c r="KDT98" s="83"/>
      <c r="KDU98" s="83"/>
      <c r="KDV98" s="83"/>
      <c r="KDW98" s="83"/>
      <c r="KDX98" s="83"/>
      <c r="KDY98" s="83"/>
      <c r="KDZ98" s="83"/>
      <c r="KEA98" s="83"/>
      <c r="KEB98" s="83"/>
      <c r="KEC98" s="83"/>
      <c r="KED98" s="83"/>
      <c r="KEE98" s="83"/>
      <c r="KEF98" s="83"/>
      <c r="KEG98" s="83"/>
      <c r="KEH98" s="83"/>
      <c r="KEI98" s="83"/>
      <c r="KEJ98" s="83"/>
      <c r="KEK98" s="83"/>
      <c r="KEL98" s="83"/>
      <c r="KEM98" s="83"/>
      <c r="KEN98" s="83"/>
      <c r="KEO98" s="83"/>
      <c r="KEP98" s="83"/>
      <c r="KEQ98" s="83"/>
      <c r="KER98" s="83"/>
      <c r="KES98" s="83"/>
      <c r="KET98" s="83"/>
      <c r="KEU98" s="83"/>
      <c r="KEV98" s="83"/>
      <c r="KEW98" s="83"/>
      <c r="KEX98" s="83"/>
      <c r="KEY98" s="83"/>
      <c r="KEZ98" s="83"/>
      <c r="KFA98" s="83"/>
      <c r="KFB98" s="83"/>
      <c r="KFC98" s="83"/>
      <c r="KFD98" s="83"/>
      <c r="KFE98" s="83"/>
      <c r="KFF98" s="83"/>
      <c r="KFG98" s="83"/>
      <c r="KFH98" s="83"/>
      <c r="KFI98" s="83"/>
      <c r="KFJ98" s="83"/>
      <c r="KFK98" s="83"/>
      <c r="KFL98" s="83"/>
      <c r="KFM98" s="83"/>
      <c r="KFN98" s="83"/>
      <c r="KFO98" s="83"/>
      <c r="KFP98" s="83"/>
      <c r="KFQ98" s="83"/>
      <c r="KFR98" s="83"/>
      <c r="KFS98" s="83"/>
      <c r="KFT98" s="83"/>
      <c r="KFU98" s="83"/>
      <c r="KFV98" s="83"/>
      <c r="KFW98" s="83"/>
      <c r="KFX98" s="83"/>
      <c r="KFY98" s="83"/>
      <c r="KFZ98" s="83"/>
      <c r="KGA98" s="83"/>
      <c r="KGB98" s="83"/>
      <c r="KGC98" s="83"/>
      <c r="KGD98" s="83"/>
      <c r="KGE98" s="83"/>
      <c r="KGF98" s="83"/>
      <c r="KGG98" s="83"/>
      <c r="KGH98" s="83"/>
      <c r="KGI98" s="83"/>
      <c r="KGJ98" s="83"/>
      <c r="KGK98" s="83"/>
      <c r="KGL98" s="83"/>
      <c r="KGM98" s="83"/>
      <c r="KGN98" s="83"/>
      <c r="KGO98" s="83"/>
      <c r="KGP98" s="83"/>
      <c r="KGQ98" s="83"/>
      <c r="KGR98" s="83"/>
      <c r="KGS98" s="83"/>
      <c r="KGT98" s="83"/>
      <c r="KGU98" s="83"/>
      <c r="KGV98" s="83"/>
      <c r="KGW98" s="83"/>
      <c r="KGX98" s="83"/>
      <c r="KGY98" s="83"/>
      <c r="KGZ98" s="83"/>
      <c r="KHA98" s="83"/>
      <c r="KHB98" s="83"/>
      <c r="KHC98" s="83"/>
      <c r="KHD98" s="83"/>
      <c r="KHE98" s="83"/>
      <c r="KHF98" s="83"/>
      <c r="KHG98" s="83"/>
      <c r="KHH98" s="83"/>
      <c r="KHI98" s="83"/>
      <c r="KHJ98" s="83"/>
      <c r="KHK98" s="83"/>
      <c r="KHL98" s="83"/>
      <c r="KHM98" s="83"/>
      <c r="KHN98" s="83"/>
      <c r="KHO98" s="83"/>
      <c r="KHP98" s="83"/>
      <c r="KHQ98" s="83"/>
      <c r="KHR98" s="83"/>
      <c r="KHS98" s="83"/>
      <c r="KHT98" s="83"/>
      <c r="KHU98" s="83"/>
      <c r="KHV98" s="83"/>
      <c r="KHW98" s="83"/>
      <c r="KHX98" s="83"/>
      <c r="KHY98" s="83"/>
      <c r="KHZ98" s="83"/>
      <c r="KIA98" s="83"/>
      <c r="KIB98" s="83"/>
      <c r="KIC98" s="83"/>
      <c r="KID98" s="83"/>
      <c r="KIE98" s="83"/>
      <c r="KIF98" s="83"/>
      <c r="KIG98" s="83"/>
      <c r="KIH98" s="83"/>
      <c r="KII98" s="83"/>
      <c r="KIJ98" s="83"/>
      <c r="KIK98" s="83"/>
      <c r="KIL98" s="83"/>
      <c r="KIM98" s="83"/>
      <c r="KIN98" s="83"/>
      <c r="KIO98" s="83"/>
      <c r="KIP98" s="83"/>
      <c r="KIQ98" s="83"/>
      <c r="KIR98" s="83"/>
      <c r="KIS98" s="83"/>
      <c r="KIT98" s="83"/>
      <c r="KIU98" s="83"/>
      <c r="KIV98" s="83"/>
      <c r="KIW98" s="83"/>
      <c r="KIX98" s="83"/>
      <c r="KIY98" s="83"/>
      <c r="KIZ98" s="83"/>
      <c r="KJA98" s="83"/>
      <c r="KJB98" s="83"/>
      <c r="KJC98" s="83"/>
      <c r="KJD98" s="83"/>
      <c r="KJE98" s="83"/>
      <c r="KJF98" s="83"/>
      <c r="KJG98" s="83"/>
      <c r="KJH98" s="83"/>
      <c r="KJI98" s="83"/>
      <c r="KJJ98" s="83"/>
      <c r="KJK98" s="83"/>
      <c r="KJL98" s="83"/>
      <c r="KJM98" s="83"/>
      <c r="KJN98" s="83"/>
      <c r="KJO98" s="83"/>
      <c r="KJP98" s="83"/>
      <c r="KJQ98" s="83"/>
      <c r="KJR98" s="83"/>
      <c r="KJS98" s="83"/>
      <c r="KJT98" s="83"/>
      <c r="KJU98" s="83"/>
      <c r="KJV98" s="83"/>
      <c r="KJW98" s="83"/>
      <c r="KJX98" s="83"/>
      <c r="KJY98" s="83"/>
      <c r="KJZ98" s="83"/>
      <c r="KKA98" s="83"/>
      <c r="KKB98" s="83"/>
      <c r="KKC98" s="83"/>
      <c r="KKD98" s="83"/>
      <c r="KKE98" s="83"/>
      <c r="KKF98" s="83"/>
      <c r="KKG98" s="83"/>
      <c r="KKH98" s="83"/>
      <c r="KKI98" s="83"/>
      <c r="KKJ98" s="83"/>
      <c r="KKK98" s="83"/>
      <c r="KKL98" s="83"/>
      <c r="KKM98" s="83"/>
      <c r="KKN98" s="83"/>
      <c r="KKO98" s="83"/>
      <c r="KKP98" s="83"/>
      <c r="KKQ98" s="83"/>
      <c r="KKR98" s="83"/>
      <c r="KKS98" s="83"/>
      <c r="KKT98" s="83"/>
      <c r="KKU98" s="83"/>
      <c r="KKV98" s="83"/>
      <c r="KKW98" s="83"/>
      <c r="KKX98" s="83"/>
      <c r="KKY98" s="83"/>
      <c r="KKZ98" s="83"/>
      <c r="KLA98" s="83"/>
      <c r="KLB98" s="83"/>
      <c r="KLC98" s="83"/>
      <c r="KLD98" s="83"/>
      <c r="KLE98" s="83"/>
      <c r="KLF98" s="83"/>
      <c r="KLG98" s="83"/>
      <c r="KLH98" s="83"/>
      <c r="KLI98" s="83"/>
      <c r="KLJ98" s="83"/>
      <c r="KLK98" s="83"/>
      <c r="KLL98" s="83"/>
      <c r="KLM98" s="83"/>
      <c r="KLN98" s="83"/>
      <c r="KLO98" s="83"/>
      <c r="KLP98" s="83"/>
      <c r="KLQ98" s="83"/>
      <c r="KLR98" s="83"/>
      <c r="KLS98" s="83"/>
      <c r="KLT98" s="83"/>
      <c r="KLU98" s="83"/>
      <c r="KLV98" s="83"/>
      <c r="KLW98" s="83"/>
      <c r="KLX98" s="83"/>
      <c r="KLY98" s="83"/>
      <c r="KLZ98" s="83"/>
      <c r="KMA98" s="83"/>
      <c r="KMB98" s="83"/>
      <c r="KMC98" s="83"/>
      <c r="KMD98" s="83"/>
      <c r="KME98" s="83"/>
      <c r="KMF98" s="83"/>
      <c r="KMG98" s="83"/>
      <c r="KMH98" s="83"/>
      <c r="KMI98" s="83"/>
      <c r="KMJ98" s="83"/>
      <c r="KMK98" s="83"/>
      <c r="KML98" s="83"/>
      <c r="KMM98" s="83"/>
      <c r="KMN98" s="83"/>
      <c r="KMO98" s="83"/>
      <c r="KMP98" s="83"/>
      <c r="KMQ98" s="83"/>
      <c r="KMR98" s="83"/>
      <c r="KMS98" s="83"/>
      <c r="KMT98" s="83"/>
      <c r="KMU98" s="83"/>
      <c r="KMV98" s="83"/>
      <c r="KMW98" s="83"/>
      <c r="KMX98" s="83"/>
      <c r="KMY98" s="83"/>
      <c r="KMZ98" s="83"/>
      <c r="KNA98" s="83"/>
      <c r="KNB98" s="83"/>
      <c r="KNC98" s="83"/>
      <c r="KND98" s="83"/>
      <c r="KNE98" s="83"/>
      <c r="KNF98" s="83"/>
      <c r="KNG98" s="83"/>
      <c r="KNH98" s="83"/>
      <c r="KNI98" s="83"/>
      <c r="KNJ98" s="83"/>
      <c r="KNK98" s="83"/>
      <c r="KNL98" s="83"/>
      <c r="KNM98" s="83"/>
      <c r="KNN98" s="83"/>
      <c r="KNO98" s="83"/>
      <c r="KNP98" s="83"/>
      <c r="KNQ98" s="83"/>
      <c r="KNR98" s="83"/>
      <c r="KNS98" s="83"/>
      <c r="KNT98" s="83"/>
      <c r="KNU98" s="83"/>
      <c r="KNV98" s="83"/>
      <c r="KNW98" s="83"/>
      <c r="KNX98" s="83"/>
      <c r="KNY98" s="83"/>
      <c r="KNZ98" s="83"/>
      <c r="KOA98" s="83"/>
      <c r="KOB98" s="83"/>
      <c r="KOC98" s="83"/>
      <c r="KOD98" s="83"/>
      <c r="KOE98" s="83"/>
      <c r="KOF98" s="83"/>
      <c r="KOG98" s="83"/>
      <c r="KOH98" s="83"/>
      <c r="KOI98" s="83"/>
      <c r="KOJ98" s="83"/>
      <c r="KOK98" s="83"/>
      <c r="KOL98" s="83"/>
      <c r="KOM98" s="83"/>
      <c r="KON98" s="83"/>
      <c r="KOO98" s="83"/>
      <c r="KOP98" s="83"/>
      <c r="KOQ98" s="83"/>
      <c r="KOR98" s="83"/>
      <c r="KOS98" s="83"/>
      <c r="KOT98" s="83"/>
      <c r="KOU98" s="83"/>
      <c r="KOV98" s="83"/>
      <c r="KOW98" s="83"/>
      <c r="KOX98" s="83"/>
      <c r="KOY98" s="83"/>
      <c r="KOZ98" s="83"/>
      <c r="KPA98" s="83"/>
      <c r="KPB98" s="83"/>
      <c r="KPC98" s="83"/>
      <c r="KPD98" s="83"/>
      <c r="KPE98" s="83"/>
      <c r="KPF98" s="83"/>
      <c r="KPG98" s="83"/>
      <c r="KPH98" s="83"/>
      <c r="KPI98" s="83"/>
      <c r="KPJ98" s="83"/>
      <c r="KPK98" s="83"/>
      <c r="KPL98" s="83"/>
      <c r="KPM98" s="83"/>
      <c r="KPN98" s="83"/>
      <c r="KPO98" s="83"/>
      <c r="KPP98" s="83"/>
      <c r="KPQ98" s="83"/>
      <c r="KPR98" s="83"/>
      <c r="KPS98" s="83"/>
      <c r="KPT98" s="83"/>
      <c r="KPU98" s="83"/>
      <c r="KPV98" s="83"/>
      <c r="KPW98" s="83"/>
      <c r="KPX98" s="83"/>
      <c r="KPY98" s="83"/>
      <c r="KPZ98" s="83"/>
      <c r="KQA98" s="83"/>
      <c r="KQB98" s="83"/>
      <c r="KQC98" s="83"/>
      <c r="KQD98" s="83"/>
      <c r="KQE98" s="83"/>
      <c r="KQF98" s="83"/>
      <c r="KQG98" s="83"/>
      <c r="KQH98" s="83"/>
      <c r="KQI98" s="83"/>
      <c r="KQJ98" s="83"/>
      <c r="KQK98" s="83"/>
      <c r="KQL98" s="83"/>
      <c r="KQM98" s="83"/>
      <c r="KQN98" s="83"/>
      <c r="KQO98" s="83"/>
      <c r="KQP98" s="83"/>
      <c r="KQQ98" s="83"/>
      <c r="KQR98" s="83"/>
      <c r="KQS98" s="83"/>
      <c r="KQT98" s="83"/>
      <c r="KQU98" s="83"/>
      <c r="KQV98" s="83"/>
      <c r="KQW98" s="83"/>
      <c r="KQX98" s="83"/>
      <c r="KQY98" s="83"/>
      <c r="KQZ98" s="83"/>
      <c r="KRA98" s="83"/>
      <c r="KRB98" s="83"/>
      <c r="KRC98" s="83"/>
      <c r="KRD98" s="83"/>
      <c r="KRE98" s="83"/>
      <c r="KRF98" s="83"/>
      <c r="KRG98" s="83"/>
      <c r="KRH98" s="83"/>
      <c r="KRI98" s="83"/>
      <c r="KRJ98" s="83"/>
      <c r="KRK98" s="83"/>
      <c r="KRL98" s="83"/>
      <c r="KRM98" s="83"/>
      <c r="KRN98" s="83"/>
      <c r="KRO98" s="83"/>
      <c r="KRP98" s="83"/>
      <c r="KRQ98" s="83"/>
      <c r="KRR98" s="83"/>
      <c r="KRS98" s="83"/>
      <c r="KRT98" s="83"/>
      <c r="KRU98" s="83"/>
      <c r="KRV98" s="83"/>
      <c r="KRW98" s="83"/>
      <c r="KRX98" s="83"/>
      <c r="KRY98" s="83"/>
      <c r="KRZ98" s="83"/>
      <c r="KSA98" s="83"/>
      <c r="KSB98" s="83"/>
      <c r="KSC98" s="83"/>
      <c r="KSD98" s="83"/>
      <c r="KSE98" s="83"/>
      <c r="KSF98" s="83"/>
      <c r="KSG98" s="83"/>
      <c r="KSH98" s="83"/>
      <c r="KSI98" s="83"/>
      <c r="KSJ98" s="83"/>
      <c r="KSK98" s="83"/>
      <c r="KSL98" s="83"/>
      <c r="KSM98" s="83"/>
      <c r="KSN98" s="83"/>
      <c r="KSO98" s="83"/>
      <c r="KSP98" s="83"/>
      <c r="KSQ98" s="83"/>
      <c r="KSR98" s="83"/>
      <c r="KSS98" s="83"/>
      <c r="KST98" s="83"/>
      <c r="KSU98" s="83"/>
      <c r="KSV98" s="83"/>
      <c r="KSW98" s="83"/>
      <c r="KSX98" s="83"/>
      <c r="KSY98" s="83"/>
      <c r="KSZ98" s="83"/>
      <c r="KTA98" s="83"/>
      <c r="KTB98" s="83"/>
      <c r="KTC98" s="83"/>
      <c r="KTD98" s="83"/>
      <c r="KTE98" s="83"/>
      <c r="KTF98" s="83"/>
      <c r="KTG98" s="83"/>
      <c r="KTH98" s="83"/>
      <c r="KTI98" s="83"/>
      <c r="KTJ98" s="83"/>
      <c r="KTK98" s="83"/>
      <c r="KTL98" s="83"/>
      <c r="KTM98" s="83"/>
      <c r="KTN98" s="83"/>
      <c r="KTO98" s="83"/>
      <c r="KTP98" s="83"/>
      <c r="KTQ98" s="83"/>
      <c r="KTR98" s="83"/>
      <c r="KTS98" s="83"/>
      <c r="KTT98" s="83"/>
      <c r="KTU98" s="83"/>
      <c r="KTV98" s="83"/>
      <c r="KTW98" s="83"/>
      <c r="KTX98" s="83"/>
      <c r="KTY98" s="83"/>
      <c r="KTZ98" s="83"/>
      <c r="KUA98" s="83"/>
      <c r="KUB98" s="83"/>
      <c r="KUC98" s="83"/>
      <c r="KUD98" s="83"/>
      <c r="KUE98" s="83"/>
      <c r="KUF98" s="83"/>
      <c r="KUG98" s="83"/>
      <c r="KUH98" s="83"/>
      <c r="KUI98" s="83"/>
      <c r="KUJ98" s="83"/>
      <c r="KUK98" s="83"/>
      <c r="KUL98" s="83"/>
      <c r="KUM98" s="83"/>
      <c r="KUN98" s="83"/>
      <c r="KUO98" s="83"/>
      <c r="KUP98" s="83"/>
      <c r="KUQ98" s="83"/>
      <c r="KUR98" s="83"/>
      <c r="KUS98" s="83"/>
      <c r="KUT98" s="83"/>
      <c r="KUU98" s="83"/>
      <c r="KUV98" s="83"/>
      <c r="KUW98" s="83"/>
      <c r="KUX98" s="83"/>
      <c r="KUY98" s="83"/>
      <c r="KUZ98" s="83"/>
      <c r="KVA98" s="83"/>
      <c r="KVB98" s="83"/>
      <c r="KVC98" s="83"/>
      <c r="KVD98" s="83"/>
      <c r="KVE98" s="83"/>
      <c r="KVF98" s="83"/>
      <c r="KVG98" s="83"/>
      <c r="KVH98" s="83"/>
      <c r="KVI98" s="83"/>
      <c r="KVJ98" s="83"/>
      <c r="KVK98" s="83"/>
      <c r="KVL98" s="83"/>
      <c r="KVM98" s="83"/>
      <c r="KVN98" s="83"/>
      <c r="KVO98" s="83"/>
      <c r="KVP98" s="83"/>
      <c r="KVQ98" s="83"/>
      <c r="KVR98" s="83"/>
      <c r="KVS98" s="83"/>
      <c r="KVT98" s="83"/>
      <c r="KVU98" s="83"/>
      <c r="KVV98" s="83"/>
      <c r="KVW98" s="83"/>
      <c r="KVX98" s="83"/>
      <c r="KVY98" s="83"/>
      <c r="KVZ98" s="83"/>
      <c r="KWA98" s="83"/>
      <c r="KWB98" s="83"/>
      <c r="KWC98" s="83"/>
      <c r="KWD98" s="83"/>
      <c r="KWE98" s="83"/>
      <c r="KWF98" s="83"/>
      <c r="KWG98" s="83"/>
      <c r="KWH98" s="83"/>
      <c r="KWI98" s="83"/>
      <c r="KWJ98" s="83"/>
      <c r="KWK98" s="83"/>
      <c r="KWL98" s="83"/>
      <c r="KWM98" s="83"/>
      <c r="KWN98" s="83"/>
      <c r="KWO98" s="83"/>
      <c r="KWP98" s="83"/>
      <c r="KWQ98" s="83"/>
      <c r="KWR98" s="83"/>
      <c r="KWS98" s="83"/>
      <c r="KWT98" s="83"/>
      <c r="KWU98" s="83"/>
      <c r="KWV98" s="83"/>
      <c r="KWW98" s="83"/>
      <c r="KWX98" s="83"/>
      <c r="KWY98" s="83"/>
      <c r="KWZ98" s="83"/>
      <c r="KXA98" s="83"/>
      <c r="KXB98" s="83"/>
      <c r="KXC98" s="83"/>
      <c r="KXD98" s="83"/>
      <c r="KXE98" s="83"/>
      <c r="KXF98" s="83"/>
      <c r="KXG98" s="83"/>
      <c r="KXH98" s="83"/>
      <c r="KXI98" s="83"/>
      <c r="KXJ98" s="83"/>
      <c r="KXK98" s="83"/>
      <c r="KXL98" s="83"/>
      <c r="KXM98" s="83"/>
      <c r="KXN98" s="83"/>
      <c r="KXO98" s="83"/>
      <c r="KXP98" s="83"/>
      <c r="KXQ98" s="83"/>
      <c r="KXR98" s="83"/>
      <c r="KXS98" s="83"/>
      <c r="KXT98" s="83"/>
      <c r="KXU98" s="83"/>
      <c r="KXV98" s="83"/>
      <c r="KXW98" s="83"/>
      <c r="KXX98" s="83"/>
      <c r="KXY98" s="83"/>
      <c r="KXZ98" s="83"/>
      <c r="KYA98" s="83"/>
      <c r="KYB98" s="83"/>
      <c r="KYC98" s="83"/>
      <c r="KYD98" s="83"/>
      <c r="KYE98" s="83"/>
      <c r="KYF98" s="83"/>
      <c r="KYG98" s="83"/>
      <c r="KYH98" s="83"/>
      <c r="KYI98" s="83"/>
      <c r="KYJ98" s="83"/>
      <c r="KYK98" s="83"/>
      <c r="KYL98" s="83"/>
      <c r="KYM98" s="83"/>
      <c r="KYN98" s="83"/>
      <c r="KYO98" s="83"/>
      <c r="KYP98" s="83"/>
      <c r="KYQ98" s="83"/>
      <c r="KYR98" s="83"/>
      <c r="KYS98" s="83"/>
      <c r="KYT98" s="83"/>
      <c r="KYU98" s="83"/>
      <c r="KYV98" s="83"/>
      <c r="KYW98" s="83"/>
      <c r="KYX98" s="83"/>
      <c r="KYY98" s="83"/>
      <c r="KYZ98" s="83"/>
      <c r="KZA98" s="83"/>
      <c r="KZB98" s="83"/>
      <c r="KZC98" s="83"/>
      <c r="KZD98" s="83"/>
      <c r="KZE98" s="83"/>
      <c r="KZF98" s="83"/>
      <c r="KZG98" s="83"/>
      <c r="KZH98" s="83"/>
      <c r="KZI98" s="83"/>
      <c r="KZJ98" s="83"/>
      <c r="KZK98" s="83"/>
      <c r="KZL98" s="83"/>
      <c r="KZM98" s="83"/>
      <c r="KZN98" s="83"/>
      <c r="KZO98" s="83"/>
      <c r="KZP98" s="83"/>
      <c r="KZQ98" s="83"/>
      <c r="KZR98" s="83"/>
      <c r="KZS98" s="83"/>
      <c r="KZT98" s="83"/>
      <c r="KZU98" s="83"/>
      <c r="KZV98" s="83"/>
      <c r="KZW98" s="83"/>
      <c r="KZX98" s="83"/>
      <c r="KZY98" s="83"/>
      <c r="KZZ98" s="83"/>
      <c r="LAA98" s="83"/>
      <c r="LAB98" s="83"/>
      <c r="LAC98" s="83"/>
      <c r="LAD98" s="83"/>
      <c r="LAE98" s="83"/>
      <c r="LAF98" s="83"/>
      <c r="LAG98" s="83"/>
      <c r="LAH98" s="83"/>
      <c r="LAI98" s="83"/>
      <c r="LAJ98" s="83"/>
      <c r="LAK98" s="83"/>
      <c r="LAL98" s="83"/>
      <c r="LAM98" s="83"/>
      <c r="LAN98" s="83"/>
      <c r="LAO98" s="83"/>
      <c r="LAP98" s="83"/>
      <c r="LAQ98" s="83"/>
      <c r="LAR98" s="83"/>
      <c r="LAS98" s="83"/>
      <c r="LAT98" s="83"/>
      <c r="LAU98" s="83"/>
      <c r="LAV98" s="83"/>
      <c r="LAW98" s="83"/>
      <c r="LAX98" s="83"/>
      <c r="LAY98" s="83"/>
      <c r="LAZ98" s="83"/>
      <c r="LBA98" s="83"/>
      <c r="LBB98" s="83"/>
      <c r="LBC98" s="83"/>
      <c r="LBD98" s="83"/>
      <c r="LBE98" s="83"/>
      <c r="LBF98" s="83"/>
      <c r="LBG98" s="83"/>
      <c r="LBH98" s="83"/>
      <c r="LBI98" s="83"/>
      <c r="LBJ98" s="83"/>
      <c r="LBK98" s="83"/>
      <c r="LBL98" s="83"/>
      <c r="LBM98" s="83"/>
      <c r="LBN98" s="83"/>
      <c r="LBO98" s="83"/>
      <c r="LBP98" s="83"/>
      <c r="LBQ98" s="83"/>
      <c r="LBR98" s="83"/>
      <c r="LBS98" s="83"/>
      <c r="LBT98" s="83"/>
      <c r="LBU98" s="83"/>
      <c r="LBV98" s="83"/>
      <c r="LBW98" s="83"/>
      <c r="LBX98" s="83"/>
      <c r="LBY98" s="83"/>
      <c r="LBZ98" s="83"/>
      <c r="LCA98" s="83"/>
      <c r="LCB98" s="83"/>
      <c r="LCC98" s="83"/>
      <c r="LCD98" s="83"/>
      <c r="LCE98" s="83"/>
      <c r="LCF98" s="83"/>
      <c r="LCG98" s="83"/>
      <c r="LCH98" s="83"/>
      <c r="LCI98" s="83"/>
      <c r="LCJ98" s="83"/>
      <c r="LCK98" s="83"/>
      <c r="LCL98" s="83"/>
      <c r="LCM98" s="83"/>
      <c r="LCN98" s="83"/>
      <c r="LCO98" s="83"/>
      <c r="LCP98" s="83"/>
      <c r="LCQ98" s="83"/>
      <c r="LCR98" s="83"/>
      <c r="LCS98" s="83"/>
      <c r="LCT98" s="83"/>
      <c r="LCU98" s="83"/>
      <c r="LCV98" s="83"/>
      <c r="LCW98" s="83"/>
      <c r="LCX98" s="83"/>
      <c r="LCY98" s="83"/>
      <c r="LCZ98" s="83"/>
      <c r="LDA98" s="83"/>
      <c r="LDB98" s="83"/>
      <c r="LDC98" s="83"/>
      <c r="LDD98" s="83"/>
      <c r="LDE98" s="83"/>
      <c r="LDF98" s="83"/>
      <c r="LDG98" s="83"/>
      <c r="LDH98" s="83"/>
      <c r="LDI98" s="83"/>
      <c r="LDJ98" s="83"/>
      <c r="LDK98" s="83"/>
      <c r="LDL98" s="83"/>
      <c r="LDM98" s="83"/>
      <c r="LDN98" s="83"/>
      <c r="LDO98" s="83"/>
      <c r="LDP98" s="83"/>
      <c r="LDQ98" s="83"/>
      <c r="LDR98" s="83"/>
      <c r="LDS98" s="83"/>
      <c r="LDT98" s="83"/>
      <c r="LDU98" s="83"/>
      <c r="LDV98" s="83"/>
      <c r="LDW98" s="83"/>
      <c r="LDX98" s="83"/>
      <c r="LDY98" s="83"/>
      <c r="LDZ98" s="83"/>
      <c r="LEA98" s="83"/>
      <c r="LEB98" s="83"/>
      <c r="LEC98" s="83"/>
      <c r="LED98" s="83"/>
      <c r="LEE98" s="83"/>
      <c r="LEF98" s="83"/>
      <c r="LEG98" s="83"/>
      <c r="LEH98" s="83"/>
      <c r="LEI98" s="83"/>
      <c r="LEJ98" s="83"/>
      <c r="LEK98" s="83"/>
      <c r="LEL98" s="83"/>
      <c r="LEM98" s="83"/>
      <c r="LEN98" s="83"/>
      <c r="LEO98" s="83"/>
      <c r="LEP98" s="83"/>
      <c r="LEQ98" s="83"/>
      <c r="LER98" s="83"/>
      <c r="LES98" s="83"/>
      <c r="LET98" s="83"/>
      <c r="LEU98" s="83"/>
      <c r="LEV98" s="83"/>
      <c r="LEW98" s="83"/>
      <c r="LEX98" s="83"/>
      <c r="LEY98" s="83"/>
      <c r="LEZ98" s="83"/>
      <c r="LFA98" s="83"/>
      <c r="LFB98" s="83"/>
      <c r="LFC98" s="83"/>
      <c r="LFD98" s="83"/>
      <c r="LFE98" s="83"/>
      <c r="LFF98" s="83"/>
      <c r="LFG98" s="83"/>
      <c r="LFH98" s="83"/>
      <c r="LFI98" s="83"/>
      <c r="LFJ98" s="83"/>
      <c r="LFK98" s="83"/>
      <c r="LFL98" s="83"/>
      <c r="LFM98" s="83"/>
      <c r="LFN98" s="83"/>
      <c r="LFO98" s="83"/>
      <c r="LFP98" s="83"/>
      <c r="LFQ98" s="83"/>
      <c r="LFR98" s="83"/>
      <c r="LFS98" s="83"/>
      <c r="LFT98" s="83"/>
      <c r="LFU98" s="83"/>
      <c r="LFV98" s="83"/>
      <c r="LFW98" s="83"/>
      <c r="LFX98" s="83"/>
      <c r="LFY98" s="83"/>
      <c r="LFZ98" s="83"/>
      <c r="LGA98" s="83"/>
      <c r="LGB98" s="83"/>
      <c r="LGC98" s="83"/>
      <c r="LGD98" s="83"/>
      <c r="LGE98" s="83"/>
      <c r="LGF98" s="83"/>
      <c r="LGG98" s="83"/>
      <c r="LGH98" s="83"/>
      <c r="LGI98" s="83"/>
      <c r="LGJ98" s="83"/>
      <c r="LGK98" s="83"/>
      <c r="LGL98" s="83"/>
      <c r="LGM98" s="83"/>
      <c r="LGN98" s="83"/>
      <c r="LGO98" s="83"/>
      <c r="LGP98" s="83"/>
      <c r="LGQ98" s="83"/>
      <c r="LGR98" s="83"/>
      <c r="LGS98" s="83"/>
      <c r="LGT98" s="83"/>
      <c r="LGU98" s="83"/>
      <c r="LGV98" s="83"/>
      <c r="LGW98" s="83"/>
      <c r="LGX98" s="83"/>
      <c r="LGY98" s="83"/>
      <c r="LGZ98" s="83"/>
      <c r="LHA98" s="83"/>
      <c r="LHB98" s="83"/>
      <c r="LHC98" s="83"/>
      <c r="LHD98" s="83"/>
      <c r="LHE98" s="83"/>
      <c r="LHF98" s="83"/>
      <c r="LHG98" s="83"/>
      <c r="LHH98" s="83"/>
      <c r="LHI98" s="83"/>
      <c r="LHJ98" s="83"/>
      <c r="LHK98" s="83"/>
      <c r="LHL98" s="83"/>
      <c r="LHM98" s="83"/>
      <c r="LHN98" s="83"/>
      <c r="LHO98" s="83"/>
      <c r="LHP98" s="83"/>
      <c r="LHQ98" s="83"/>
      <c r="LHR98" s="83"/>
      <c r="LHS98" s="83"/>
      <c r="LHT98" s="83"/>
      <c r="LHU98" s="83"/>
      <c r="LHV98" s="83"/>
      <c r="LHW98" s="83"/>
      <c r="LHX98" s="83"/>
      <c r="LHY98" s="83"/>
      <c r="LHZ98" s="83"/>
      <c r="LIA98" s="83"/>
      <c r="LIB98" s="83"/>
      <c r="LIC98" s="83"/>
      <c r="LID98" s="83"/>
      <c r="LIE98" s="83"/>
      <c r="LIF98" s="83"/>
      <c r="LIG98" s="83"/>
      <c r="LIH98" s="83"/>
      <c r="LII98" s="83"/>
      <c r="LIJ98" s="83"/>
      <c r="LIK98" s="83"/>
      <c r="LIL98" s="83"/>
      <c r="LIM98" s="83"/>
      <c r="LIN98" s="83"/>
      <c r="LIO98" s="83"/>
      <c r="LIP98" s="83"/>
      <c r="LIQ98" s="83"/>
      <c r="LIR98" s="83"/>
      <c r="LIS98" s="83"/>
      <c r="LIT98" s="83"/>
      <c r="LIU98" s="83"/>
      <c r="LIV98" s="83"/>
      <c r="LIW98" s="83"/>
      <c r="LIX98" s="83"/>
      <c r="LIY98" s="83"/>
      <c r="LIZ98" s="83"/>
      <c r="LJA98" s="83"/>
      <c r="LJB98" s="83"/>
      <c r="LJC98" s="83"/>
      <c r="LJD98" s="83"/>
      <c r="LJE98" s="83"/>
      <c r="LJF98" s="83"/>
      <c r="LJG98" s="83"/>
      <c r="LJH98" s="83"/>
      <c r="LJI98" s="83"/>
      <c r="LJJ98" s="83"/>
      <c r="LJK98" s="83"/>
      <c r="LJL98" s="83"/>
      <c r="LJM98" s="83"/>
      <c r="LJN98" s="83"/>
      <c r="LJO98" s="83"/>
      <c r="LJP98" s="83"/>
      <c r="LJQ98" s="83"/>
      <c r="LJR98" s="83"/>
      <c r="LJS98" s="83"/>
      <c r="LJT98" s="83"/>
      <c r="LJU98" s="83"/>
      <c r="LJV98" s="83"/>
      <c r="LJW98" s="83"/>
      <c r="LJX98" s="83"/>
      <c r="LJY98" s="83"/>
      <c r="LJZ98" s="83"/>
      <c r="LKA98" s="83"/>
      <c r="LKB98" s="83"/>
      <c r="LKC98" s="83"/>
      <c r="LKD98" s="83"/>
      <c r="LKE98" s="83"/>
      <c r="LKF98" s="83"/>
      <c r="LKG98" s="83"/>
      <c r="LKH98" s="83"/>
      <c r="LKI98" s="83"/>
      <c r="LKJ98" s="83"/>
      <c r="LKK98" s="83"/>
      <c r="LKL98" s="83"/>
      <c r="LKM98" s="83"/>
      <c r="LKN98" s="83"/>
      <c r="LKO98" s="83"/>
      <c r="LKP98" s="83"/>
      <c r="LKQ98" s="83"/>
      <c r="LKR98" s="83"/>
      <c r="LKS98" s="83"/>
      <c r="LKT98" s="83"/>
      <c r="LKU98" s="83"/>
      <c r="LKV98" s="83"/>
      <c r="LKW98" s="83"/>
      <c r="LKX98" s="83"/>
      <c r="LKY98" s="83"/>
      <c r="LKZ98" s="83"/>
      <c r="LLA98" s="83"/>
      <c r="LLB98" s="83"/>
      <c r="LLC98" s="83"/>
      <c r="LLD98" s="83"/>
      <c r="LLE98" s="83"/>
      <c r="LLF98" s="83"/>
      <c r="LLG98" s="83"/>
      <c r="LLH98" s="83"/>
      <c r="LLI98" s="83"/>
      <c r="LLJ98" s="83"/>
      <c r="LLK98" s="83"/>
      <c r="LLL98" s="83"/>
      <c r="LLM98" s="83"/>
      <c r="LLN98" s="83"/>
      <c r="LLO98" s="83"/>
      <c r="LLP98" s="83"/>
      <c r="LLQ98" s="83"/>
      <c r="LLR98" s="83"/>
      <c r="LLS98" s="83"/>
      <c r="LLT98" s="83"/>
      <c r="LLU98" s="83"/>
      <c r="LLV98" s="83"/>
      <c r="LLW98" s="83"/>
      <c r="LLX98" s="83"/>
      <c r="LLY98" s="83"/>
      <c r="LLZ98" s="83"/>
      <c r="LMA98" s="83"/>
      <c r="LMB98" s="83"/>
      <c r="LMC98" s="83"/>
      <c r="LMD98" s="83"/>
      <c r="LME98" s="83"/>
      <c r="LMF98" s="83"/>
      <c r="LMG98" s="83"/>
      <c r="LMH98" s="83"/>
      <c r="LMI98" s="83"/>
      <c r="LMJ98" s="83"/>
      <c r="LMK98" s="83"/>
      <c r="LML98" s="83"/>
      <c r="LMM98" s="83"/>
      <c r="LMN98" s="83"/>
      <c r="LMO98" s="83"/>
      <c r="LMP98" s="83"/>
      <c r="LMQ98" s="83"/>
      <c r="LMR98" s="83"/>
      <c r="LMS98" s="83"/>
      <c r="LMT98" s="83"/>
      <c r="LMU98" s="83"/>
      <c r="LMV98" s="83"/>
      <c r="LMW98" s="83"/>
      <c r="LMX98" s="83"/>
      <c r="LMY98" s="83"/>
      <c r="LMZ98" s="83"/>
      <c r="LNA98" s="83"/>
      <c r="LNB98" s="83"/>
      <c r="LNC98" s="83"/>
      <c r="LND98" s="83"/>
      <c r="LNE98" s="83"/>
      <c r="LNF98" s="83"/>
      <c r="LNG98" s="83"/>
      <c r="LNH98" s="83"/>
      <c r="LNI98" s="83"/>
      <c r="LNJ98" s="83"/>
      <c r="LNK98" s="83"/>
      <c r="LNL98" s="83"/>
      <c r="LNM98" s="83"/>
      <c r="LNN98" s="83"/>
      <c r="LNO98" s="83"/>
      <c r="LNP98" s="83"/>
      <c r="LNQ98" s="83"/>
      <c r="LNR98" s="83"/>
      <c r="LNS98" s="83"/>
      <c r="LNT98" s="83"/>
      <c r="LNU98" s="83"/>
      <c r="LNV98" s="83"/>
      <c r="LNW98" s="83"/>
      <c r="LNX98" s="83"/>
      <c r="LNY98" s="83"/>
      <c r="LNZ98" s="83"/>
      <c r="LOA98" s="83"/>
      <c r="LOB98" s="83"/>
      <c r="LOC98" s="83"/>
      <c r="LOD98" s="83"/>
      <c r="LOE98" s="83"/>
      <c r="LOF98" s="83"/>
      <c r="LOG98" s="83"/>
      <c r="LOH98" s="83"/>
      <c r="LOI98" s="83"/>
      <c r="LOJ98" s="83"/>
      <c r="LOK98" s="83"/>
      <c r="LOL98" s="83"/>
      <c r="LOM98" s="83"/>
      <c r="LON98" s="83"/>
      <c r="LOO98" s="83"/>
      <c r="LOP98" s="83"/>
      <c r="LOQ98" s="83"/>
      <c r="LOR98" s="83"/>
      <c r="LOS98" s="83"/>
      <c r="LOT98" s="83"/>
      <c r="LOU98" s="83"/>
      <c r="LOV98" s="83"/>
      <c r="LOW98" s="83"/>
      <c r="LOX98" s="83"/>
      <c r="LOY98" s="83"/>
      <c r="LOZ98" s="83"/>
      <c r="LPA98" s="83"/>
      <c r="LPB98" s="83"/>
      <c r="LPC98" s="83"/>
      <c r="LPD98" s="83"/>
      <c r="LPE98" s="83"/>
      <c r="LPF98" s="83"/>
      <c r="LPG98" s="83"/>
      <c r="LPH98" s="83"/>
      <c r="LPI98" s="83"/>
      <c r="LPJ98" s="83"/>
      <c r="LPK98" s="83"/>
      <c r="LPL98" s="83"/>
      <c r="LPM98" s="83"/>
      <c r="LPN98" s="83"/>
      <c r="LPO98" s="83"/>
      <c r="LPP98" s="83"/>
      <c r="LPQ98" s="83"/>
      <c r="LPR98" s="83"/>
      <c r="LPS98" s="83"/>
      <c r="LPT98" s="83"/>
      <c r="LPU98" s="83"/>
      <c r="LPV98" s="83"/>
      <c r="LPW98" s="83"/>
      <c r="LPX98" s="83"/>
      <c r="LPY98" s="83"/>
      <c r="LPZ98" s="83"/>
      <c r="LQA98" s="83"/>
      <c r="LQB98" s="83"/>
      <c r="LQC98" s="83"/>
      <c r="LQD98" s="83"/>
      <c r="LQE98" s="83"/>
      <c r="LQF98" s="83"/>
      <c r="LQG98" s="83"/>
      <c r="LQH98" s="83"/>
      <c r="LQI98" s="83"/>
      <c r="LQJ98" s="83"/>
      <c r="LQK98" s="83"/>
      <c r="LQL98" s="83"/>
      <c r="LQM98" s="83"/>
      <c r="LQN98" s="83"/>
      <c r="LQO98" s="83"/>
      <c r="LQP98" s="83"/>
      <c r="LQQ98" s="83"/>
      <c r="LQR98" s="83"/>
      <c r="LQS98" s="83"/>
      <c r="LQT98" s="83"/>
      <c r="LQU98" s="83"/>
      <c r="LQV98" s="83"/>
      <c r="LQW98" s="83"/>
      <c r="LQX98" s="83"/>
      <c r="LQY98" s="83"/>
      <c r="LQZ98" s="83"/>
      <c r="LRA98" s="83"/>
      <c r="LRB98" s="83"/>
      <c r="LRC98" s="83"/>
      <c r="LRD98" s="83"/>
      <c r="LRE98" s="83"/>
      <c r="LRF98" s="83"/>
      <c r="LRG98" s="83"/>
      <c r="LRH98" s="83"/>
      <c r="LRI98" s="83"/>
      <c r="LRJ98" s="83"/>
      <c r="LRK98" s="83"/>
      <c r="LRL98" s="83"/>
      <c r="LRM98" s="83"/>
      <c r="LRN98" s="83"/>
      <c r="LRO98" s="83"/>
      <c r="LRP98" s="83"/>
      <c r="LRQ98" s="83"/>
      <c r="LRR98" s="83"/>
      <c r="LRS98" s="83"/>
      <c r="LRT98" s="83"/>
      <c r="LRU98" s="83"/>
      <c r="LRV98" s="83"/>
      <c r="LRW98" s="83"/>
      <c r="LRX98" s="83"/>
      <c r="LRY98" s="83"/>
      <c r="LRZ98" s="83"/>
      <c r="LSA98" s="83"/>
      <c r="LSB98" s="83"/>
      <c r="LSC98" s="83"/>
      <c r="LSD98" s="83"/>
      <c r="LSE98" s="83"/>
      <c r="LSF98" s="83"/>
      <c r="LSG98" s="83"/>
      <c r="LSH98" s="83"/>
      <c r="LSI98" s="83"/>
      <c r="LSJ98" s="83"/>
      <c r="LSK98" s="83"/>
      <c r="LSL98" s="83"/>
      <c r="LSM98" s="83"/>
      <c r="LSN98" s="83"/>
      <c r="LSO98" s="83"/>
      <c r="LSP98" s="83"/>
      <c r="LSQ98" s="83"/>
      <c r="LSR98" s="83"/>
      <c r="LSS98" s="83"/>
      <c r="LST98" s="83"/>
      <c r="LSU98" s="83"/>
      <c r="LSV98" s="83"/>
      <c r="LSW98" s="83"/>
      <c r="LSX98" s="83"/>
      <c r="LSY98" s="83"/>
      <c r="LSZ98" s="83"/>
      <c r="LTA98" s="83"/>
      <c r="LTB98" s="83"/>
      <c r="LTC98" s="83"/>
      <c r="LTD98" s="83"/>
      <c r="LTE98" s="83"/>
      <c r="LTF98" s="83"/>
      <c r="LTG98" s="83"/>
      <c r="LTH98" s="83"/>
      <c r="LTI98" s="83"/>
      <c r="LTJ98" s="83"/>
      <c r="LTK98" s="83"/>
      <c r="LTL98" s="83"/>
      <c r="LTM98" s="83"/>
      <c r="LTN98" s="83"/>
      <c r="LTO98" s="83"/>
      <c r="LTP98" s="83"/>
      <c r="LTQ98" s="83"/>
      <c r="LTR98" s="83"/>
      <c r="LTS98" s="83"/>
      <c r="LTT98" s="83"/>
      <c r="LTU98" s="83"/>
      <c r="LTV98" s="83"/>
      <c r="LTW98" s="83"/>
      <c r="LTX98" s="83"/>
      <c r="LTY98" s="83"/>
      <c r="LTZ98" s="83"/>
      <c r="LUA98" s="83"/>
      <c r="LUB98" s="83"/>
      <c r="LUC98" s="83"/>
      <c r="LUD98" s="83"/>
      <c r="LUE98" s="83"/>
      <c r="LUF98" s="83"/>
      <c r="LUG98" s="83"/>
      <c r="LUH98" s="83"/>
      <c r="LUI98" s="83"/>
      <c r="LUJ98" s="83"/>
      <c r="LUK98" s="83"/>
      <c r="LUL98" s="83"/>
      <c r="LUM98" s="83"/>
      <c r="LUN98" s="83"/>
      <c r="LUO98" s="83"/>
      <c r="LUP98" s="83"/>
      <c r="LUQ98" s="83"/>
      <c r="LUR98" s="83"/>
      <c r="LUS98" s="83"/>
      <c r="LUT98" s="83"/>
      <c r="LUU98" s="83"/>
      <c r="LUV98" s="83"/>
      <c r="LUW98" s="83"/>
      <c r="LUX98" s="83"/>
      <c r="LUY98" s="83"/>
      <c r="LUZ98" s="83"/>
      <c r="LVA98" s="83"/>
      <c r="LVB98" s="83"/>
      <c r="LVC98" s="83"/>
      <c r="LVD98" s="83"/>
      <c r="LVE98" s="83"/>
      <c r="LVF98" s="83"/>
      <c r="LVG98" s="83"/>
      <c r="LVH98" s="83"/>
      <c r="LVI98" s="83"/>
      <c r="LVJ98" s="83"/>
      <c r="LVK98" s="83"/>
      <c r="LVL98" s="83"/>
      <c r="LVM98" s="83"/>
      <c r="LVN98" s="83"/>
      <c r="LVO98" s="83"/>
      <c r="LVP98" s="83"/>
      <c r="LVQ98" s="83"/>
      <c r="LVR98" s="83"/>
      <c r="LVS98" s="83"/>
      <c r="LVT98" s="83"/>
      <c r="LVU98" s="83"/>
      <c r="LVV98" s="83"/>
      <c r="LVW98" s="83"/>
      <c r="LVX98" s="83"/>
      <c r="LVY98" s="83"/>
      <c r="LVZ98" s="83"/>
      <c r="LWA98" s="83"/>
      <c r="LWB98" s="83"/>
      <c r="LWC98" s="83"/>
      <c r="LWD98" s="83"/>
      <c r="LWE98" s="83"/>
      <c r="LWF98" s="83"/>
      <c r="LWG98" s="83"/>
      <c r="LWH98" s="83"/>
      <c r="LWI98" s="83"/>
      <c r="LWJ98" s="83"/>
      <c r="LWK98" s="83"/>
      <c r="LWL98" s="83"/>
      <c r="LWM98" s="83"/>
      <c r="LWN98" s="83"/>
      <c r="LWO98" s="83"/>
      <c r="LWP98" s="83"/>
      <c r="LWQ98" s="83"/>
      <c r="LWR98" s="83"/>
      <c r="LWS98" s="83"/>
      <c r="LWT98" s="83"/>
      <c r="LWU98" s="83"/>
      <c r="LWV98" s="83"/>
      <c r="LWW98" s="83"/>
      <c r="LWX98" s="83"/>
      <c r="LWY98" s="83"/>
      <c r="LWZ98" s="83"/>
      <c r="LXA98" s="83"/>
      <c r="LXB98" s="83"/>
      <c r="LXC98" s="83"/>
      <c r="LXD98" s="83"/>
      <c r="LXE98" s="83"/>
      <c r="LXF98" s="83"/>
      <c r="LXG98" s="83"/>
      <c r="LXH98" s="83"/>
      <c r="LXI98" s="83"/>
      <c r="LXJ98" s="83"/>
      <c r="LXK98" s="83"/>
      <c r="LXL98" s="83"/>
      <c r="LXM98" s="83"/>
      <c r="LXN98" s="83"/>
      <c r="LXO98" s="83"/>
      <c r="LXP98" s="83"/>
      <c r="LXQ98" s="83"/>
      <c r="LXR98" s="83"/>
      <c r="LXS98" s="83"/>
      <c r="LXT98" s="83"/>
      <c r="LXU98" s="83"/>
      <c r="LXV98" s="83"/>
      <c r="LXW98" s="83"/>
      <c r="LXX98" s="83"/>
      <c r="LXY98" s="83"/>
      <c r="LXZ98" s="83"/>
      <c r="LYA98" s="83"/>
      <c r="LYB98" s="83"/>
      <c r="LYC98" s="83"/>
      <c r="LYD98" s="83"/>
      <c r="LYE98" s="83"/>
      <c r="LYF98" s="83"/>
      <c r="LYG98" s="83"/>
      <c r="LYH98" s="83"/>
      <c r="LYI98" s="83"/>
      <c r="LYJ98" s="83"/>
      <c r="LYK98" s="83"/>
      <c r="LYL98" s="83"/>
      <c r="LYM98" s="83"/>
      <c r="LYN98" s="83"/>
      <c r="LYO98" s="83"/>
      <c r="LYP98" s="83"/>
      <c r="LYQ98" s="83"/>
      <c r="LYR98" s="83"/>
      <c r="LYS98" s="83"/>
      <c r="LYT98" s="83"/>
      <c r="LYU98" s="83"/>
      <c r="LYV98" s="83"/>
      <c r="LYW98" s="83"/>
      <c r="LYX98" s="83"/>
      <c r="LYY98" s="83"/>
      <c r="LYZ98" s="83"/>
      <c r="LZA98" s="83"/>
      <c r="LZB98" s="83"/>
      <c r="LZC98" s="83"/>
      <c r="LZD98" s="83"/>
      <c r="LZE98" s="83"/>
      <c r="LZF98" s="83"/>
      <c r="LZG98" s="83"/>
      <c r="LZH98" s="83"/>
      <c r="LZI98" s="83"/>
      <c r="LZJ98" s="83"/>
      <c r="LZK98" s="83"/>
      <c r="LZL98" s="83"/>
      <c r="LZM98" s="83"/>
      <c r="LZN98" s="83"/>
      <c r="LZO98" s="83"/>
      <c r="LZP98" s="83"/>
      <c r="LZQ98" s="83"/>
      <c r="LZR98" s="83"/>
      <c r="LZS98" s="83"/>
      <c r="LZT98" s="83"/>
      <c r="LZU98" s="83"/>
      <c r="LZV98" s="83"/>
      <c r="LZW98" s="83"/>
      <c r="LZX98" s="83"/>
      <c r="LZY98" s="83"/>
      <c r="LZZ98" s="83"/>
      <c r="MAA98" s="83"/>
      <c r="MAB98" s="83"/>
      <c r="MAC98" s="83"/>
      <c r="MAD98" s="83"/>
      <c r="MAE98" s="83"/>
      <c r="MAF98" s="83"/>
      <c r="MAG98" s="83"/>
      <c r="MAH98" s="83"/>
      <c r="MAI98" s="83"/>
      <c r="MAJ98" s="83"/>
      <c r="MAK98" s="83"/>
      <c r="MAL98" s="83"/>
      <c r="MAM98" s="83"/>
      <c r="MAN98" s="83"/>
      <c r="MAO98" s="83"/>
      <c r="MAP98" s="83"/>
      <c r="MAQ98" s="83"/>
      <c r="MAR98" s="83"/>
      <c r="MAS98" s="83"/>
      <c r="MAT98" s="83"/>
      <c r="MAU98" s="83"/>
      <c r="MAV98" s="83"/>
      <c r="MAW98" s="83"/>
      <c r="MAX98" s="83"/>
      <c r="MAY98" s="83"/>
      <c r="MAZ98" s="83"/>
      <c r="MBA98" s="83"/>
      <c r="MBB98" s="83"/>
      <c r="MBC98" s="83"/>
      <c r="MBD98" s="83"/>
      <c r="MBE98" s="83"/>
      <c r="MBF98" s="83"/>
      <c r="MBG98" s="83"/>
      <c r="MBH98" s="83"/>
      <c r="MBI98" s="83"/>
      <c r="MBJ98" s="83"/>
      <c r="MBK98" s="83"/>
      <c r="MBL98" s="83"/>
      <c r="MBM98" s="83"/>
      <c r="MBN98" s="83"/>
      <c r="MBO98" s="83"/>
      <c r="MBP98" s="83"/>
      <c r="MBQ98" s="83"/>
      <c r="MBR98" s="83"/>
      <c r="MBS98" s="83"/>
      <c r="MBT98" s="83"/>
      <c r="MBU98" s="83"/>
      <c r="MBV98" s="83"/>
      <c r="MBW98" s="83"/>
      <c r="MBX98" s="83"/>
      <c r="MBY98" s="83"/>
      <c r="MBZ98" s="83"/>
      <c r="MCA98" s="83"/>
      <c r="MCB98" s="83"/>
      <c r="MCC98" s="83"/>
      <c r="MCD98" s="83"/>
      <c r="MCE98" s="83"/>
      <c r="MCF98" s="83"/>
      <c r="MCG98" s="83"/>
      <c r="MCH98" s="83"/>
      <c r="MCI98" s="83"/>
      <c r="MCJ98" s="83"/>
      <c r="MCK98" s="83"/>
      <c r="MCL98" s="83"/>
      <c r="MCM98" s="83"/>
      <c r="MCN98" s="83"/>
      <c r="MCO98" s="83"/>
      <c r="MCP98" s="83"/>
      <c r="MCQ98" s="83"/>
      <c r="MCR98" s="83"/>
      <c r="MCS98" s="83"/>
      <c r="MCT98" s="83"/>
      <c r="MCU98" s="83"/>
      <c r="MCV98" s="83"/>
      <c r="MCW98" s="83"/>
      <c r="MCX98" s="83"/>
      <c r="MCY98" s="83"/>
      <c r="MCZ98" s="83"/>
      <c r="MDA98" s="83"/>
      <c r="MDB98" s="83"/>
      <c r="MDC98" s="83"/>
      <c r="MDD98" s="83"/>
      <c r="MDE98" s="83"/>
      <c r="MDF98" s="83"/>
      <c r="MDG98" s="83"/>
      <c r="MDH98" s="83"/>
      <c r="MDI98" s="83"/>
      <c r="MDJ98" s="83"/>
      <c r="MDK98" s="83"/>
      <c r="MDL98" s="83"/>
      <c r="MDM98" s="83"/>
      <c r="MDN98" s="83"/>
      <c r="MDO98" s="83"/>
      <c r="MDP98" s="83"/>
      <c r="MDQ98" s="83"/>
      <c r="MDR98" s="83"/>
      <c r="MDS98" s="83"/>
      <c r="MDT98" s="83"/>
      <c r="MDU98" s="83"/>
      <c r="MDV98" s="83"/>
      <c r="MDW98" s="83"/>
      <c r="MDX98" s="83"/>
      <c r="MDY98" s="83"/>
      <c r="MDZ98" s="83"/>
      <c r="MEA98" s="83"/>
      <c r="MEB98" s="83"/>
      <c r="MEC98" s="83"/>
      <c r="MED98" s="83"/>
      <c r="MEE98" s="83"/>
      <c r="MEF98" s="83"/>
      <c r="MEG98" s="83"/>
      <c r="MEH98" s="83"/>
      <c r="MEI98" s="83"/>
      <c r="MEJ98" s="83"/>
      <c r="MEK98" s="83"/>
      <c r="MEL98" s="83"/>
      <c r="MEM98" s="83"/>
      <c r="MEN98" s="83"/>
      <c r="MEO98" s="83"/>
      <c r="MEP98" s="83"/>
      <c r="MEQ98" s="83"/>
      <c r="MER98" s="83"/>
      <c r="MES98" s="83"/>
      <c r="MET98" s="83"/>
      <c r="MEU98" s="83"/>
      <c r="MEV98" s="83"/>
      <c r="MEW98" s="83"/>
      <c r="MEX98" s="83"/>
      <c r="MEY98" s="83"/>
      <c r="MEZ98" s="83"/>
      <c r="MFA98" s="83"/>
      <c r="MFB98" s="83"/>
      <c r="MFC98" s="83"/>
      <c r="MFD98" s="83"/>
      <c r="MFE98" s="83"/>
      <c r="MFF98" s="83"/>
      <c r="MFG98" s="83"/>
      <c r="MFH98" s="83"/>
      <c r="MFI98" s="83"/>
      <c r="MFJ98" s="83"/>
      <c r="MFK98" s="83"/>
      <c r="MFL98" s="83"/>
      <c r="MFM98" s="83"/>
      <c r="MFN98" s="83"/>
      <c r="MFO98" s="83"/>
      <c r="MFP98" s="83"/>
      <c r="MFQ98" s="83"/>
      <c r="MFR98" s="83"/>
      <c r="MFS98" s="83"/>
      <c r="MFT98" s="83"/>
      <c r="MFU98" s="83"/>
      <c r="MFV98" s="83"/>
      <c r="MFW98" s="83"/>
      <c r="MFX98" s="83"/>
      <c r="MFY98" s="83"/>
      <c r="MFZ98" s="83"/>
      <c r="MGA98" s="83"/>
      <c r="MGB98" s="83"/>
      <c r="MGC98" s="83"/>
      <c r="MGD98" s="83"/>
      <c r="MGE98" s="83"/>
      <c r="MGF98" s="83"/>
      <c r="MGG98" s="83"/>
      <c r="MGH98" s="83"/>
      <c r="MGI98" s="83"/>
      <c r="MGJ98" s="83"/>
      <c r="MGK98" s="83"/>
      <c r="MGL98" s="83"/>
      <c r="MGM98" s="83"/>
      <c r="MGN98" s="83"/>
      <c r="MGO98" s="83"/>
      <c r="MGP98" s="83"/>
      <c r="MGQ98" s="83"/>
      <c r="MGR98" s="83"/>
      <c r="MGS98" s="83"/>
      <c r="MGT98" s="83"/>
      <c r="MGU98" s="83"/>
      <c r="MGV98" s="83"/>
      <c r="MGW98" s="83"/>
      <c r="MGX98" s="83"/>
      <c r="MGY98" s="83"/>
      <c r="MGZ98" s="83"/>
      <c r="MHA98" s="83"/>
      <c r="MHB98" s="83"/>
      <c r="MHC98" s="83"/>
      <c r="MHD98" s="83"/>
      <c r="MHE98" s="83"/>
      <c r="MHF98" s="83"/>
      <c r="MHG98" s="83"/>
      <c r="MHH98" s="83"/>
      <c r="MHI98" s="83"/>
      <c r="MHJ98" s="83"/>
      <c r="MHK98" s="83"/>
      <c r="MHL98" s="83"/>
      <c r="MHM98" s="83"/>
      <c r="MHN98" s="83"/>
      <c r="MHO98" s="83"/>
      <c r="MHP98" s="83"/>
      <c r="MHQ98" s="83"/>
      <c r="MHR98" s="83"/>
      <c r="MHS98" s="83"/>
      <c r="MHT98" s="83"/>
      <c r="MHU98" s="83"/>
      <c r="MHV98" s="83"/>
      <c r="MHW98" s="83"/>
      <c r="MHX98" s="83"/>
      <c r="MHY98" s="83"/>
      <c r="MHZ98" s="83"/>
      <c r="MIA98" s="83"/>
      <c r="MIB98" s="83"/>
      <c r="MIC98" s="83"/>
      <c r="MID98" s="83"/>
      <c r="MIE98" s="83"/>
      <c r="MIF98" s="83"/>
      <c r="MIG98" s="83"/>
      <c r="MIH98" s="83"/>
      <c r="MII98" s="83"/>
      <c r="MIJ98" s="83"/>
      <c r="MIK98" s="83"/>
      <c r="MIL98" s="83"/>
      <c r="MIM98" s="83"/>
      <c r="MIN98" s="83"/>
      <c r="MIO98" s="83"/>
      <c r="MIP98" s="83"/>
      <c r="MIQ98" s="83"/>
      <c r="MIR98" s="83"/>
      <c r="MIS98" s="83"/>
      <c r="MIT98" s="83"/>
      <c r="MIU98" s="83"/>
      <c r="MIV98" s="83"/>
      <c r="MIW98" s="83"/>
      <c r="MIX98" s="83"/>
      <c r="MIY98" s="83"/>
      <c r="MIZ98" s="83"/>
      <c r="MJA98" s="83"/>
      <c r="MJB98" s="83"/>
      <c r="MJC98" s="83"/>
      <c r="MJD98" s="83"/>
      <c r="MJE98" s="83"/>
      <c r="MJF98" s="83"/>
      <c r="MJG98" s="83"/>
      <c r="MJH98" s="83"/>
      <c r="MJI98" s="83"/>
      <c r="MJJ98" s="83"/>
      <c r="MJK98" s="83"/>
      <c r="MJL98" s="83"/>
      <c r="MJM98" s="83"/>
      <c r="MJN98" s="83"/>
      <c r="MJO98" s="83"/>
      <c r="MJP98" s="83"/>
      <c r="MJQ98" s="83"/>
      <c r="MJR98" s="83"/>
      <c r="MJS98" s="83"/>
      <c r="MJT98" s="83"/>
      <c r="MJU98" s="83"/>
      <c r="MJV98" s="83"/>
      <c r="MJW98" s="83"/>
      <c r="MJX98" s="83"/>
      <c r="MJY98" s="83"/>
      <c r="MJZ98" s="83"/>
      <c r="MKA98" s="83"/>
      <c r="MKB98" s="83"/>
      <c r="MKC98" s="83"/>
      <c r="MKD98" s="83"/>
      <c r="MKE98" s="83"/>
      <c r="MKF98" s="83"/>
      <c r="MKG98" s="83"/>
      <c r="MKH98" s="83"/>
      <c r="MKI98" s="83"/>
      <c r="MKJ98" s="83"/>
      <c r="MKK98" s="83"/>
      <c r="MKL98" s="83"/>
      <c r="MKM98" s="83"/>
      <c r="MKN98" s="83"/>
      <c r="MKO98" s="83"/>
      <c r="MKP98" s="83"/>
      <c r="MKQ98" s="83"/>
      <c r="MKR98" s="83"/>
      <c r="MKS98" s="83"/>
      <c r="MKT98" s="83"/>
      <c r="MKU98" s="83"/>
      <c r="MKV98" s="83"/>
      <c r="MKW98" s="83"/>
      <c r="MKX98" s="83"/>
      <c r="MKY98" s="83"/>
      <c r="MKZ98" s="83"/>
      <c r="MLA98" s="83"/>
      <c r="MLB98" s="83"/>
      <c r="MLC98" s="83"/>
      <c r="MLD98" s="83"/>
      <c r="MLE98" s="83"/>
      <c r="MLF98" s="83"/>
      <c r="MLG98" s="83"/>
      <c r="MLH98" s="83"/>
      <c r="MLI98" s="83"/>
      <c r="MLJ98" s="83"/>
      <c r="MLK98" s="83"/>
      <c r="MLL98" s="83"/>
      <c r="MLM98" s="83"/>
      <c r="MLN98" s="83"/>
      <c r="MLO98" s="83"/>
      <c r="MLP98" s="83"/>
      <c r="MLQ98" s="83"/>
      <c r="MLR98" s="83"/>
      <c r="MLS98" s="83"/>
      <c r="MLT98" s="83"/>
      <c r="MLU98" s="83"/>
      <c r="MLV98" s="83"/>
      <c r="MLW98" s="83"/>
      <c r="MLX98" s="83"/>
      <c r="MLY98" s="83"/>
      <c r="MLZ98" s="83"/>
      <c r="MMA98" s="83"/>
      <c r="MMB98" s="83"/>
      <c r="MMC98" s="83"/>
      <c r="MMD98" s="83"/>
      <c r="MME98" s="83"/>
      <c r="MMF98" s="83"/>
      <c r="MMG98" s="83"/>
      <c r="MMH98" s="83"/>
      <c r="MMI98" s="83"/>
      <c r="MMJ98" s="83"/>
      <c r="MMK98" s="83"/>
      <c r="MML98" s="83"/>
      <c r="MMM98" s="83"/>
      <c r="MMN98" s="83"/>
      <c r="MMO98" s="83"/>
      <c r="MMP98" s="83"/>
      <c r="MMQ98" s="83"/>
      <c r="MMR98" s="83"/>
      <c r="MMS98" s="83"/>
      <c r="MMT98" s="83"/>
      <c r="MMU98" s="83"/>
      <c r="MMV98" s="83"/>
      <c r="MMW98" s="83"/>
      <c r="MMX98" s="83"/>
      <c r="MMY98" s="83"/>
      <c r="MMZ98" s="83"/>
      <c r="MNA98" s="83"/>
      <c r="MNB98" s="83"/>
      <c r="MNC98" s="83"/>
      <c r="MND98" s="83"/>
      <c r="MNE98" s="83"/>
      <c r="MNF98" s="83"/>
      <c r="MNG98" s="83"/>
      <c r="MNH98" s="83"/>
      <c r="MNI98" s="83"/>
      <c r="MNJ98" s="83"/>
      <c r="MNK98" s="83"/>
      <c r="MNL98" s="83"/>
      <c r="MNM98" s="83"/>
      <c r="MNN98" s="83"/>
      <c r="MNO98" s="83"/>
      <c r="MNP98" s="83"/>
      <c r="MNQ98" s="83"/>
      <c r="MNR98" s="83"/>
      <c r="MNS98" s="83"/>
      <c r="MNT98" s="83"/>
      <c r="MNU98" s="83"/>
      <c r="MNV98" s="83"/>
      <c r="MNW98" s="83"/>
      <c r="MNX98" s="83"/>
      <c r="MNY98" s="83"/>
      <c r="MNZ98" s="83"/>
      <c r="MOA98" s="83"/>
      <c r="MOB98" s="83"/>
      <c r="MOC98" s="83"/>
      <c r="MOD98" s="83"/>
      <c r="MOE98" s="83"/>
      <c r="MOF98" s="83"/>
      <c r="MOG98" s="83"/>
      <c r="MOH98" s="83"/>
      <c r="MOI98" s="83"/>
      <c r="MOJ98" s="83"/>
      <c r="MOK98" s="83"/>
      <c r="MOL98" s="83"/>
      <c r="MOM98" s="83"/>
      <c r="MON98" s="83"/>
      <c r="MOO98" s="83"/>
      <c r="MOP98" s="83"/>
      <c r="MOQ98" s="83"/>
      <c r="MOR98" s="83"/>
      <c r="MOS98" s="83"/>
      <c r="MOT98" s="83"/>
      <c r="MOU98" s="83"/>
      <c r="MOV98" s="83"/>
      <c r="MOW98" s="83"/>
      <c r="MOX98" s="83"/>
      <c r="MOY98" s="83"/>
      <c r="MOZ98" s="83"/>
      <c r="MPA98" s="83"/>
      <c r="MPB98" s="83"/>
      <c r="MPC98" s="83"/>
      <c r="MPD98" s="83"/>
      <c r="MPE98" s="83"/>
      <c r="MPF98" s="83"/>
      <c r="MPG98" s="83"/>
      <c r="MPH98" s="83"/>
      <c r="MPI98" s="83"/>
      <c r="MPJ98" s="83"/>
      <c r="MPK98" s="83"/>
      <c r="MPL98" s="83"/>
      <c r="MPM98" s="83"/>
      <c r="MPN98" s="83"/>
      <c r="MPO98" s="83"/>
      <c r="MPP98" s="83"/>
      <c r="MPQ98" s="83"/>
      <c r="MPR98" s="83"/>
      <c r="MPS98" s="83"/>
      <c r="MPT98" s="83"/>
      <c r="MPU98" s="83"/>
      <c r="MPV98" s="83"/>
      <c r="MPW98" s="83"/>
      <c r="MPX98" s="83"/>
      <c r="MPY98" s="83"/>
      <c r="MPZ98" s="83"/>
      <c r="MQA98" s="83"/>
      <c r="MQB98" s="83"/>
      <c r="MQC98" s="83"/>
      <c r="MQD98" s="83"/>
      <c r="MQE98" s="83"/>
      <c r="MQF98" s="83"/>
      <c r="MQG98" s="83"/>
      <c r="MQH98" s="83"/>
      <c r="MQI98" s="83"/>
      <c r="MQJ98" s="83"/>
      <c r="MQK98" s="83"/>
      <c r="MQL98" s="83"/>
      <c r="MQM98" s="83"/>
      <c r="MQN98" s="83"/>
      <c r="MQO98" s="83"/>
      <c r="MQP98" s="83"/>
      <c r="MQQ98" s="83"/>
      <c r="MQR98" s="83"/>
      <c r="MQS98" s="83"/>
      <c r="MQT98" s="83"/>
      <c r="MQU98" s="83"/>
      <c r="MQV98" s="83"/>
      <c r="MQW98" s="83"/>
      <c r="MQX98" s="83"/>
      <c r="MQY98" s="83"/>
      <c r="MQZ98" s="83"/>
      <c r="MRA98" s="83"/>
      <c r="MRB98" s="83"/>
      <c r="MRC98" s="83"/>
      <c r="MRD98" s="83"/>
      <c r="MRE98" s="83"/>
      <c r="MRF98" s="83"/>
      <c r="MRG98" s="83"/>
      <c r="MRH98" s="83"/>
      <c r="MRI98" s="83"/>
      <c r="MRJ98" s="83"/>
      <c r="MRK98" s="83"/>
      <c r="MRL98" s="83"/>
      <c r="MRM98" s="83"/>
      <c r="MRN98" s="83"/>
      <c r="MRO98" s="83"/>
      <c r="MRP98" s="83"/>
      <c r="MRQ98" s="83"/>
      <c r="MRR98" s="83"/>
      <c r="MRS98" s="83"/>
      <c r="MRT98" s="83"/>
      <c r="MRU98" s="83"/>
      <c r="MRV98" s="83"/>
      <c r="MRW98" s="83"/>
      <c r="MRX98" s="83"/>
      <c r="MRY98" s="83"/>
      <c r="MRZ98" s="83"/>
      <c r="MSA98" s="83"/>
      <c r="MSB98" s="83"/>
      <c r="MSC98" s="83"/>
      <c r="MSD98" s="83"/>
      <c r="MSE98" s="83"/>
      <c r="MSF98" s="83"/>
      <c r="MSG98" s="83"/>
      <c r="MSH98" s="83"/>
      <c r="MSI98" s="83"/>
      <c r="MSJ98" s="83"/>
      <c r="MSK98" s="83"/>
      <c r="MSL98" s="83"/>
      <c r="MSM98" s="83"/>
      <c r="MSN98" s="83"/>
      <c r="MSO98" s="83"/>
      <c r="MSP98" s="83"/>
      <c r="MSQ98" s="83"/>
      <c r="MSR98" s="83"/>
      <c r="MSS98" s="83"/>
      <c r="MST98" s="83"/>
      <c r="MSU98" s="83"/>
      <c r="MSV98" s="83"/>
      <c r="MSW98" s="83"/>
      <c r="MSX98" s="83"/>
      <c r="MSY98" s="83"/>
      <c r="MSZ98" s="83"/>
      <c r="MTA98" s="83"/>
      <c r="MTB98" s="83"/>
      <c r="MTC98" s="83"/>
      <c r="MTD98" s="83"/>
      <c r="MTE98" s="83"/>
      <c r="MTF98" s="83"/>
      <c r="MTG98" s="83"/>
      <c r="MTH98" s="83"/>
      <c r="MTI98" s="83"/>
      <c r="MTJ98" s="83"/>
      <c r="MTK98" s="83"/>
      <c r="MTL98" s="83"/>
      <c r="MTM98" s="83"/>
      <c r="MTN98" s="83"/>
      <c r="MTO98" s="83"/>
      <c r="MTP98" s="83"/>
      <c r="MTQ98" s="83"/>
      <c r="MTR98" s="83"/>
      <c r="MTS98" s="83"/>
      <c r="MTT98" s="83"/>
      <c r="MTU98" s="83"/>
      <c r="MTV98" s="83"/>
      <c r="MTW98" s="83"/>
      <c r="MTX98" s="83"/>
      <c r="MTY98" s="83"/>
      <c r="MTZ98" s="83"/>
      <c r="MUA98" s="83"/>
      <c r="MUB98" s="83"/>
      <c r="MUC98" s="83"/>
      <c r="MUD98" s="83"/>
      <c r="MUE98" s="83"/>
      <c r="MUF98" s="83"/>
      <c r="MUG98" s="83"/>
      <c r="MUH98" s="83"/>
      <c r="MUI98" s="83"/>
      <c r="MUJ98" s="83"/>
      <c r="MUK98" s="83"/>
      <c r="MUL98" s="83"/>
      <c r="MUM98" s="83"/>
      <c r="MUN98" s="83"/>
      <c r="MUO98" s="83"/>
      <c r="MUP98" s="83"/>
      <c r="MUQ98" s="83"/>
      <c r="MUR98" s="83"/>
      <c r="MUS98" s="83"/>
      <c r="MUT98" s="83"/>
      <c r="MUU98" s="83"/>
      <c r="MUV98" s="83"/>
      <c r="MUW98" s="83"/>
      <c r="MUX98" s="83"/>
      <c r="MUY98" s="83"/>
      <c r="MUZ98" s="83"/>
      <c r="MVA98" s="83"/>
      <c r="MVB98" s="83"/>
      <c r="MVC98" s="83"/>
      <c r="MVD98" s="83"/>
      <c r="MVE98" s="83"/>
      <c r="MVF98" s="83"/>
      <c r="MVG98" s="83"/>
      <c r="MVH98" s="83"/>
      <c r="MVI98" s="83"/>
      <c r="MVJ98" s="83"/>
      <c r="MVK98" s="83"/>
      <c r="MVL98" s="83"/>
      <c r="MVM98" s="83"/>
      <c r="MVN98" s="83"/>
      <c r="MVO98" s="83"/>
      <c r="MVP98" s="83"/>
      <c r="MVQ98" s="83"/>
      <c r="MVR98" s="83"/>
      <c r="MVS98" s="83"/>
      <c r="MVT98" s="83"/>
      <c r="MVU98" s="83"/>
      <c r="MVV98" s="83"/>
      <c r="MVW98" s="83"/>
      <c r="MVX98" s="83"/>
      <c r="MVY98" s="83"/>
      <c r="MVZ98" s="83"/>
      <c r="MWA98" s="83"/>
      <c r="MWB98" s="83"/>
      <c r="MWC98" s="83"/>
      <c r="MWD98" s="83"/>
      <c r="MWE98" s="83"/>
      <c r="MWF98" s="83"/>
      <c r="MWG98" s="83"/>
      <c r="MWH98" s="83"/>
      <c r="MWI98" s="83"/>
      <c r="MWJ98" s="83"/>
      <c r="MWK98" s="83"/>
      <c r="MWL98" s="83"/>
      <c r="MWM98" s="83"/>
      <c r="MWN98" s="83"/>
      <c r="MWO98" s="83"/>
      <c r="MWP98" s="83"/>
      <c r="MWQ98" s="83"/>
      <c r="MWR98" s="83"/>
      <c r="MWS98" s="83"/>
      <c r="MWT98" s="83"/>
      <c r="MWU98" s="83"/>
      <c r="MWV98" s="83"/>
      <c r="MWW98" s="83"/>
      <c r="MWX98" s="83"/>
      <c r="MWY98" s="83"/>
      <c r="MWZ98" s="83"/>
      <c r="MXA98" s="83"/>
      <c r="MXB98" s="83"/>
      <c r="MXC98" s="83"/>
      <c r="MXD98" s="83"/>
      <c r="MXE98" s="83"/>
      <c r="MXF98" s="83"/>
      <c r="MXG98" s="83"/>
      <c r="MXH98" s="83"/>
      <c r="MXI98" s="83"/>
      <c r="MXJ98" s="83"/>
      <c r="MXK98" s="83"/>
      <c r="MXL98" s="83"/>
      <c r="MXM98" s="83"/>
      <c r="MXN98" s="83"/>
      <c r="MXO98" s="83"/>
      <c r="MXP98" s="83"/>
      <c r="MXQ98" s="83"/>
      <c r="MXR98" s="83"/>
      <c r="MXS98" s="83"/>
      <c r="MXT98" s="83"/>
      <c r="MXU98" s="83"/>
      <c r="MXV98" s="83"/>
      <c r="MXW98" s="83"/>
      <c r="MXX98" s="83"/>
      <c r="MXY98" s="83"/>
      <c r="MXZ98" s="83"/>
      <c r="MYA98" s="83"/>
      <c r="MYB98" s="83"/>
      <c r="MYC98" s="83"/>
      <c r="MYD98" s="83"/>
      <c r="MYE98" s="83"/>
      <c r="MYF98" s="83"/>
      <c r="MYG98" s="83"/>
      <c r="MYH98" s="83"/>
      <c r="MYI98" s="83"/>
      <c r="MYJ98" s="83"/>
      <c r="MYK98" s="83"/>
      <c r="MYL98" s="83"/>
      <c r="MYM98" s="83"/>
      <c r="MYN98" s="83"/>
      <c r="MYO98" s="83"/>
      <c r="MYP98" s="83"/>
      <c r="MYQ98" s="83"/>
      <c r="MYR98" s="83"/>
      <c r="MYS98" s="83"/>
      <c r="MYT98" s="83"/>
      <c r="MYU98" s="83"/>
      <c r="MYV98" s="83"/>
      <c r="MYW98" s="83"/>
      <c r="MYX98" s="83"/>
      <c r="MYY98" s="83"/>
      <c r="MYZ98" s="83"/>
      <c r="MZA98" s="83"/>
      <c r="MZB98" s="83"/>
      <c r="MZC98" s="83"/>
      <c r="MZD98" s="83"/>
      <c r="MZE98" s="83"/>
      <c r="MZF98" s="83"/>
      <c r="MZG98" s="83"/>
      <c r="MZH98" s="83"/>
      <c r="MZI98" s="83"/>
      <c r="MZJ98" s="83"/>
      <c r="MZK98" s="83"/>
      <c r="MZL98" s="83"/>
      <c r="MZM98" s="83"/>
      <c r="MZN98" s="83"/>
      <c r="MZO98" s="83"/>
      <c r="MZP98" s="83"/>
      <c r="MZQ98" s="83"/>
      <c r="MZR98" s="83"/>
      <c r="MZS98" s="83"/>
      <c r="MZT98" s="83"/>
      <c r="MZU98" s="83"/>
      <c r="MZV98" s="83"/>
      <c r="MZW98" s="83"/>
      <c r="MZX98" s="83"/>
      <c r="MZY98" s="83"/>
      <c r="MZZ98" s="83"/>
      <c r="NAA98" s="83"/>
      <c r="NAB98" s="83"/>
      <c r="NAC98" s="83"/>
      <c r="NAD98" s="83"/>
      <c r="NAE98" s="83"/>
      <c r="NAF98" s="83"/>
      <c r="NAG98" s="83"/>
      <c r="NAH98" s="83"/>
      <c r="NAI98" s="83"/>
      <c r="NAJ98" s="83"/>
      <c r="NAK98" s="83"/>
      <c r="NAL98" s="83"/>
      <c r="NAM98" s="83"/>
      <c r="NAN98" s="83"/>
      <c r="NAO98" s="83"/>
      <c r="NAP98" s="83"/>
      <c r="NAQ98" s="83"/>
      <c r="NAR98" s="83"/>
      <c r="NAS98" s="83"/>
      <c r="NAT98" s="83"/>
      <c r="NAU98" s="83"/>
      <c r="NAV98" s="83"/>
      <c r="NAW98" s="83"/>
      <c r="NAX98" s="83"/>
      <c r="NAY98" s="83"/>
      <c r="NAZ98" s="83"/>
      <c r="NBA98" s="83"/>
      <c r="NBB98" s="83"/>
      <c r="NBC98" s="83"/>
      <c r="NBD98" s="83"/>
      <c r="NBE98" s="83"/>
      <c r="NBF98" s="83"/>
      <c r="NBG98" s="83"/>
      <c r="NBH98" s="83"/>
      <c r="NBI98" s="83"/>
      <c r="NBJ98" s="83"/>
      <c r="NBK98" s="83"/>
      <c r="NBL98" s="83"/>
      <c r="NBM98" s="83"/>
      <c r="NBN98" s="83"/>
      <c r="NBO98" s="83"/>
      <c r="NBP98" s="83"/>
      <c r="NBQ98" s="83"/>
      <c r="NBR98" s="83"/>
      <c r="NBS98" s="83"/>
      <c r="NBT98" s="83"/>
      <c r="NBU98" s="83"/>
      <c r="NBV98" s="83"/>
      <c r="NBW98" s="83"/>
      <c r="NBX98" s="83"/>
      <c r="NBY98" s="83"/>
      <c r="NBZ98" s="83"/>
      <c r="NCA98" s="83"/>
      <c r="NCB98" s="83"/>
      <c r="NCC98" s="83"/>
      <c r="NCD98" s="83"/>
      <c r="NCE98" s="83"/>
      <c r="NCF98" s="83"/>
      <c r="NCG98" s="83"/>
      <c r="NCH98" s="83"/>
      <c r="NCI98" s="83"/>
      <c r="NCJ98" s="83"/>
      <c r="NCK98" s="83"/>
      <c r="NCL98" s="83"/>
      <c r="NCM98" s="83"/>
      <c r="NCN98" s="83"/>
      <c r="NCO98" s="83"/>
      <c r="NCP98" s="83"/>
      <c r="NCQ98" s="83"/>
      <c r="NCR98" s="83"/>
      <c r="NCS98" s="83"/>
      <c r="NCT98" s="83"/>
      <c r="NCU98" s="83"/>
      <c r="NCV98" s="83"/>
      <c r="NCW98" s="83"/>
      <c r="NCX98" s="83"/>
      <c r="NCY98" s="83"/>
      <c r="NCZ98" s="83"/>
      <c r="NDA98" s="83"/>
      <c r="NDB98" s="83"/>
      <c r="NDC98" s="83"/>
      <c r="NDD98" s="83"/>
      <c r="NDE98" s="83"/>
      <c r="NDF98" s="83"/>
      <c r="NDG98" s="83"/>
      <c r="NDH98" s="83"/>
      <c r="NDI98" s="83"/>
      <c r="NDJ98" s="83"/>
      <c r="NDK98" s="83"/>
      <c r="NDL98" s="83"/>
      <c r="NDM98" s="83"/>
      <c r="NDN98" s="83"/>
      <c r="NDO98" s="83"/>
      <c r="NDP98" s="83"/>
      <c r="NDQ98" s="83"/>
      <c r="NDR98" s="83"/>
      <c r="NDS98" s="83"/>
      <c r="NDT98" s="83"/>
      <c r="NDU98" s="83"/>
      <c r="NDV98" s="83"/>
      <c r="NDW98" s="83"/>
      <c r="NDX98" s="83"/>
      <c r="NDY98" s="83"/>
      <c r="NDZ98" s="83"/>
      <c r="NEA98" s="83"/>
      <c r="NEB98" s="83"/>
      <c r="NEC98" s="83"/>
      <c r="NED98" s="83"/>
      <c r="NEE98" s="83"/>
      <c r="NEF98" s="83"/>
      <c r="NEG98" s="83"/>
      <c r="NEH98" s="83"/>
      <c r="NEI98" s="83"/>
      <c r="NEJ98" s="83"/>
      <c r="NEK98" s="83"/>
      <c r="NEL98" s="83"/>
      <c r="NEM98" s="83"/>
      <c r="NEN98" s="83"/>
      <c r="NEO98" s="83"/>
      <c r="NEP98" s="83"/>
      <c r="NEQ98" s="83"/>
      <c r="NER98" s="83"/>
      <c r="NES98" s="83"/>
      <c r="NET98" s="83"/>
      <c r="NEU98" s="83"/>
      <c r="NEV98" s="83"/>
      <c r="NEW98" s="83"/>
      <c r="NEX98" s="83"/>
      <c r="NEY98" s="83"/>
      <c r="NEZ98" s="83"/>
      <c r="NFA98" s="83"/>
      <c r="NFB98" s="83"/>
      <c r="NFC98" s="83"/>
      <c r="NFD98" s="83"/>
      <c r="NFE98" s="83"/>
      <c r="NFF98" s="83"/>
      <c r="NFG98" s="83"/>
      <c r="NFH98" s="83"/>
      <c r="NFI98" s="83"/>
      <c r="NFJ98" s="83"/>
      <c r="NFK98" s="83"/>
      <c r="NFL98" s="83"/>
      <c r="NFM98" s="83"/>
      <c r="NFN98" s="83"/>
      <c r="NFO98" s="83"/>
      <c r="NFP98" s="83"/>
      <c r="NFQ98" s="83"/>
      <c r="NFR98" s="83"/>
      <c r="NFS98" s="83"/>
      <c r="NFT98" s="83"/>
      <c r="NFU98" s="83"/>
      <c r="NFV98" s="83"/>
      <c r="NFW98" s="83"/>
      <c r="NFX98" s="83"/>
      <c r="NFY98" s="83"/>
      <c r="NFZ98" s="83"/>
      <c r="NGA98" s="83"/>
      <c r="NGB98" s="83"/>
      <c r="NGC98" s="83"/>
      <c r="NGD98" s="83"/>
      <c r="NGE98" s="83"/>
      <c r="NGF98" s="83"/>
      <c r="NGG98" s="83"/>
      <c r="NGH98" s="83"/>
      <c r="NGI98" s="83"/>
      <c r="NGJ98" s="83"/>
      <c r="NGK98" s="83"/>
      <c r="NGL98" s="83"/>
      <c r="NGM98" s="83"/>
      <c r="NGN98" s="83"/>
      <c r="NGO98" s="83"/>
      <c r="NGP98" s="83"/>
      <c r="NGQ98" s="83"/>
      <c r="NGR98" s="83"/>
      <c r="NGS98" s="83"/>
      <c r="NGT98" s="83"/>
      <c r="NGU98" s="83"/>
      <c r="NGV98" s="83"/>
      <c r="NGW98" s="83"/>
      <c r="NGX98" s="83"/>
      <c r="NGY98" s="83"/>
      <c r="NGZ98" s="83"/>
      <c r="NHA98" s="83"/>
      <c r="NHB98" s="83"/>
      <c r="NHC98" s="83"/>
      <c r="NHD98" s="83"/>
      <c r="NHE98" s="83"/>
      <c r="NHF98" s="83"/>
      <c r="NHG98" s="83"/>
      <c r="NHH98" s="83"/>
      <c r="NHI98" s="83"/>
      <c r="NHJ98" s="83"/>
      <c r="NHK98" s="83"/>
      <c r="NHL98" s="83"/>
      <c r="NHM98" s="83"/>
      <c r="NHN98" s="83"/>
      <c r="NHO98" s="83"/>
      <c r="NHP98" s="83"/>
      <c r="NHQ98" s="83"/>
      <c r="NHR98" s="83"/>
      <c r="NHS98" s="83"/>
      <c r="NHT98" s="83"/>
      <c r="NHU98" s="83"/>
      <c r="NHV98" s="83"/>
      <c r="NHW98" s="83"/>
      <c r="NHX98" s="83"/>
      <c r="NHY98" s="83"/>
      <c r="NHZ98" s="83"/>
      <c r="NIA98" s="83"/>
      <c r="NIB98" s="83"/>
      <c r="NIC98" s="83"/>
      <c r="NID98" s="83"/>
      <c r="NIE98" s="83"/>
      <c r="NIF98" s="83"/>
      <c r="NIG98" s="83"/>
      <c r="NIH98" s="83"/>
      <c r="NII98" s="83"/>
      <c r="NIJ98" s="83"/>
      <c r="NIK98" s="83"/>
      <c r="NIL98" s="83"/>
      <c r="NIM98" s="83"/>
      <c r="NIN98" s="83"/>
      <c r="NIO98" s="83"/>
      <c r="NIP98" s="83"/>
      <c r="NIQ98" s="83"/>
      <c r="NIR98" s="83"/>
      <c r="NIS98" s="83"/>
      <c r="NIT98" s="83"/>
      <c r="NIU98" s="83"/>
      <c r="NIV98" s="83"/>
      <c r="NIW98" s="83"/>
      <c r="NIX98" s="83"/>
      <c r="NIY98" s="83"/>
      <c r="NIZ98" s="83"/>
      <c r="NJA98" s="83"/>
      <c r="NJB98" s="83"/>
      <c r="NJC98" s="83"/>
      <c r="NJD98" s="83"/>
      <c r="NJE98" s="83"/>
      <c r="NJF98" s="83"/>
      <c r="NJG98" s="83"/>
      <c r="NJH98" s="83"/>
      <c r="NJI98" s="83"/>
      <c r="NJJ98" s="83"/>
      <c r="NJK98" s="83"/>
      <c r="NJL98" s="83"/>
      <c r="NJM98" s="83"/>
      <c r="NJN98" s="83"/>
      <c r="NJO98" s="83"/>
      <c r="NJP98" s="83"/>
      <c r="NJQ98" s="83"/>
      <c r="NJR98" s="83"/>
      <c r="NJS98" s="83"/>
      <c r="NJT98" s="83"/>
      <c r="NJU98" s="83"/>
      <c r="NJV98" s="83"/>
      <c r="NJW98" s="83"/>
      <c r="NJX98" s="83"/>
      <c r="NJY98" s="83"/>
      <c r="NJZ98" s="83"/>
      <c r="NKA98" s="83"/>
      <c r="NKB98" s="83"/>
      <c r="NKC98" s="83"/>
      <c r="NKD98" s="83"/>
      <c r="NKE98" s="83"/>
      <c r="NKF98" s="83"/>
      <c r="NKG98" s="83"/>
      <c r="NKH98" s="83"/>
      <c r="NKI98" s="83"/>
      <c r="NKJ98" s="83"/>
      <c r="NKK98" s="83"/>
      <c r="NKL98" s="83"/>
      <c r="NKM98" s="83"/>
      <c r="NKN98" s="83"/>
      <c r="NKO98" s="83"/>
      <c r="NKP98" s="83"/>
      <c r="NKQ98" s="83"/>
      <c r="NKR98" s="83"/>
      <c r="NKS98" s="83"/>
      <c r="NKT98" s="83"/>
      <c r="NKU98" s="83"/>
      <c r="NKV98" s="83"/>
      <c r="NKW98" s="83"/>
      <c r="NKX98" s="83"/>
      <c r="NKY98" s="83"/>
      <c r="NKZ98" s="83"/>
      <c r="NLA98" s="83"/>
      <c r="NLB98" s="83"/>
      <c r="NLC98" s="83"/>
      <c r="NLD98" s="83"/>
      <c r="NLE98" s="83"/>
      <c r="NLF98" s="83"/>
      <c r="NLG98" s="83"/>
      <c r="NLH98" s="83"/>
      <c r="NLI98" s="83"/>
      <c r="NLJ98" s="83"/>
      <c r="NLK98" s="83"/>
      <c r="NLL98" s="83"/>
      <c r="NLM98" s="83"/>
      <c r="NLN98" s="83"/>
      <c r="NLO98" s="83"/>
      <c r="NLP98" s="83"/>
      <c r="NLQ98" s="83"/>
      <c r="NLR98" s="83"/>
      <c r="NLS98" s="83"/>
      <c r="NLT98" s="83"/>
      <c r="NLU98" s="83"/>
      <c r="NLV98" s="83"/>
      <c r="NLW98" s="83"/>
      <c r="NLX98" s="83"/>
      <c r="NLY98" s="83"/>
      <c r="NLZ98" s="83"/>
      <c r="NMA98" s="83"/>
      <c r="NMB98" s="83"/>
      <c r="NMC98" s="83"/>
      <c r="NMD98" s="83"/>
      <c r="NME98" s="83"/>
      <c r="NMF98" s="83"/>
      <c r="NMG98" s="83"/>
      <c r="NMH98" s="83"/>
      <c r="NMI98" s="83"/>
      <c r="NMJ98" s="83"/>
      <c r="NMK98" s="83"/>
      <c r="NML98" s="83"/>
      <c r="NMM98" s="83"/>
      <c r="NMN98" s="83"/>
      <c r="NMO98" s="83"/>
      <c r="NMP98" s="83"/>
      <c r="NMQ98" s="83"/>
      <c r="NMR98" s="83"/>
      <c r="NMS98" s="83"/>
      <c r="NMT98" s="83"/>
      <c r="NMU98" s="83"/>
      <c r="NMV98" s="83"/>
      <c r="NMW98" s="83"/>
      <c r="NMX98" s="83"/>
      <c r="NMY98" s="83"/>
      <c r="NMZ98" s="83"/>
      <c r="NNA98" s="83"/>
      <c r="NNB98" s="83"/>
      <c r="NNC98" s="83"/>
      <c r="NND98" s="83"/>
      <c r="NNE98" s="83"/>
      <c r="NNF98" s="83"/>
      <c r="NNG98" s="83"/>
      <c r="NNH98" s="83"/>
      <c r="NNI98" s="83"/>
      <c r="NNJ98" s="83"/>
      <c r="NNK98" s="83"/>
      <c r="NNL98" s="83"/>
      <c r="NNM98" s="83"/>
      <c r="NNN98" s="83"/>
      <c r="NNO98" s="83"/>
      <c r="NNP98" s="83"/>
      <c r="NNQ98" s="83"/>
      <c r="NNR98" s="83"/>
      <c r="NNS98" s="83"/>
      <c r="NNT98" s="83"/>
      <c r="NNU98" s="83"/>
      <c r="NNV98" s="83"/>
      <c r="NNW98" s="83"/>
      <c r="NNX98" s="83"/>
      <c r="NNY98" s="83"/>
      <c r="NNZ98" s="83"/>
      <c r="NOA98" s="83"/>
      <c r="NOB98" s="83"/>
      <c r="NOC98" s="83"/>
      <c r="NOD98" s="83"/>
      <c r="NOE98" s="83"/>
      <c r="NOF98" s="83"/>
      <c r="NOG98" s="83"/>
      <c r="NOH98" s="83"/>
      <c r="NOI98" s="83"/>
      <c r="NOJ98" s="83"/>
      <c r="NOK98" s="83"/>
      <c r="NOL98" s="83"/>
      <c r="NOM98" s="83"/>
      <c r="NON98" s="83"/>
      <c r="NOO98" s="83"/>
      <c r="NOP98" s="83"/>
      <c r="NOQ98" s="83"/>
      <c r="NOR98" s="83"/>
      <c r="NOS98" s="83"/>
      <c r="NOT98" s="83"/>
      <c r="NOU98" s="83"/>
      <c r="NOV98" s="83"/>
      <c r="NOW98" s="83"/>
      <c r="NOX98" s="83"/>
      <c r="NOY98" s="83"/>
      <c r="NOZ98" s="83"/>
      <c r="NPA98" s="83"/>
      <c r="NPB98" s="83"/>
      <c r="NPC98" s="83"/>
      <c r="NPD98" s="83"/>
      <c r="NPE98" s="83"/>
      <c r="NPF98" s="83"/>
      <c r="NPG98" s="83"/>
      <c r="NPH98" s="83"/>
      <c r="NPI98" s="83"/>
      <c r="NPJ98" s="83"/>
      <c r="NPK98" s="83"/>
      <c r="NPL98" s="83"/>
      <c r="NPM98" s="83"/>
      <c r="NPN98" s="83"/>
      <c r="NPO98" s="83"/>
      <c r="NPP98" s="83"/>
      <c r="NPQ98" s="83"/>
      <c r="NPR98" s="83"/>
      <c r="NPS98" s="83"/>
      <c r="NPT98" s="83"/>
      <c r="NPU98" s="83"/>
      <c r="NPV98" s="83"/>
      <c r="NPW98" s="83"/>
      <c r="NPX98" s="83"/>
      <c r="NPY98" s="83"/>
      <c r="NPZ98" s="83"/>
      <c r="NQA98" s="83"/>
      <c r="NQB98" s="83"/>
      <c r="NQC98" s="83"/>
      <c r="NQD98" s="83"/>
      <c r="NQE98" s="83"/>
      <c r="NQF98" s="83"/>
      <c r="NQG98" s="83"/>
      <c r="NQH98" s="83"/>
      <c r="NQI98" s="83"/>
      <c r="NQJ98" s="83"/>
      <c r="NQK98" s="83"/>
      <c r="NQL98" s="83"/>
      <c r="NQM98" s="83"/>
      <c r="NQN98" s="83"/>
      <c r="NQO98" s="83"/>
      <c r="NQP98" s="83"/>
      <c r="NQQ98" s="83"/>
      <c r="NQR98" s="83"/>
      <c r="NQS98" s="83"/>
      <c r="NQT98" s="83"/>
      <c r="NQU98" s="83"/>
      <c r="NQV98" s="83"/>
      <c r="NQW98" s="83"/>
      <c r="NQX98" s="83"/>
      <c r="NQY98" s="83"/>
      <c r="NQZ98" s="83"/>
      <c r="NRA98" s="83"/>
      <c r="NRB98" s="83"/>
      <c r="NRC98" s="83"/>
      <c r="NRD98" s="83"/>
      <c r="NRE98" s="83"/>
      <c r="NRF98" s="83"/>
      <c r="NRG98" s="83"/>
      <c r="NRH98" s="83"/>
      <c r="NRI98" s="83"/>
      <c r="NRJ98" s="83"/>
      <c r="NRK98" s="83"/>
      <c r="NRL98" s="83"/>
      <c r="NRM98" s="83"/>
      <c r="NRN98" s="83"/>
      <c r="NRO98" s="83"/>
      <c r="NRP98" s="83"/>
      <c r="NRQ98" s="83"/>
      <c r="NRR98" s="83"/>
      <c r="NRS98" s="83"/>
      <c r="NRT98" s="83"/>
      <c r="NRU98" s="83"/>
      <c r="NRV98" s="83"/>
      <c r="NRW98" s="83"/>
      <c r="NRX98" s="83"/>
      <c r="NRY98" s="83"/>
      <c r="NRZ98" s="83"/>
      <c r="NSA98" s="83"/>
      <c r="NSB98" s="83"/>
      <c r="NSC98" s="83"/>
      <c r="NSD98" s="83"/>
      <c r="NSE98" s="83"/>
      <c r="NSF98" s="83"/>
      <c r="NSG98" s="83"/>
      <c r="NSH98" s="83"/>
      <c r="NSI98" s="83"/>
      <c r="NSJ98" s="83"/>
      <c r="NSK98" s="83"/>
      <c r="NSL98" s="83"/>
      <c r="NSM98" s="83"/>
      <c r="NSN98" s="83"/>
      <c r="NSO98" s="83"/>
      <c r="NSP98" s="83"/>
      <c r="NSQ98" s="83"/>
      <c r="NSR98" s="83"/>
      <c r="NSS98" s="83"/>
      <c r="NST98" s="83"/>
      <c r="NSU98" s="83"/>
      <c r="NSV98" s="83"/>
      <c r="NSW98" s="83"/>
      <c r="NSX98" s="83"/>
      <c r="NSY98" s="83"/>
      <c r="NSZ98" s="83"/>
      <c r="NTA98" s="83"/>
      <c r="NTB98" s="83"/>
      <c r="NTC98" s="83"/>
      <c r="NTD98" s="83"/>
      <c r="NTE98" s="83"/>
      <c r="NTF98" s="83"/>
      <c r="NTG98" s="83"/>
      <c r="NTH98" s="83"/>
      <c r="NTI98" s="83"/>
      <c r="NTJ98" s="83"/>
      <c r="NTK98" s="83"/>
      <c r="NTL98" s="83"/>
      <c r="NTM98" s="83"/>
      <c r="NTN98" s="83"/>
      <c r="NTO98" s="83"/>
      <c r="NTP98" s="83"/>
      <c r="NTQ98" s="83"/>
      <c r="NTR98" s="83"/>
      <c r="NTS98" s="83"/>
      <c r="NTT98" s="83"/>
      <c r="NTU98" s="83"/>
      <c r="NTV98" s="83"/>
      <c r="NTW98" s="83"/>
      <c r="NTX98" s="83"/>
      <c r="NTY98" s="83"/>
      <c r="NTZ98" s="83"/>
      <c r="NUA98" s="83"/>
      <c r="NUB98" s="83"/>
      <c r="NUC98" s="83"/>
      <c r="NUD98" s="83"/>
      <c r="NUE98" s="83"/>
      <c r="NUF98" s="83"/>
      <c r="NUG98" s="83"/>
      <c r="NUH98" s="83"/>
      <c r="NUI98" s="83"/>
      <c r="NUJ98" s="83"/>
      <c r="NUK98" s="83"/>
      <c r="NUL98" s="83"/>
      <c r="NUM98" s="83"/>
      <c r="NUN98" s="83"/>
      <c r="NUO98" s="83"/>
      <c r="NUP98" s="83"/>
      <c r="NUQ98" s="83"/>
      <c r="NUR98" s="83"/>
      <c r="NUS98" s="83"/>
      <c r="NUT98" s="83"/>
      <c r="NUU98" s="83"/>
      <c r="NUV98" s="83"/>
      <c r="NUW98" s="83"/>
      <c r="NUX98" s="83"/>
      <c r="NUY98" s="83"/>
      <c r="NUZ98" s="83"/>
      <c r="NVA98" s="83"/>
      <c r="NVB98" s="83"/>
      <c r="NVC98" s="83"/>
      <c r="NVD98" s="83"/>
      <c r="NVE98" s="83"/>
      <c r="NVF98" s="83"/>
      <c r="NVG98" s="83"/>
      <c r="NVH98" s="83"/>
      <c r="NVI98" s="83"/>
      <c r="NVJ98" s="83"/>
      <c r="NVK98" s="83"/>
      <c r="NVL98" s="83"/>
      <c r="NVM98" s="83"/>
      <c r="NVN98" s="83"/>
      <c r="NVO98" s="83"/>
      <c r="NVP98" s="83"/>
      <c r="NVQ98" s="83"/>
      <c r="NVR98" s="83"/>
      <c r="NVS98" s="83"/>
      <c r="NVT98" s="83"/>
      <c r="NVU98" s="83"/>
      <c r="NVV98" s="83"/>
      <c r="NVW98" s="83"/>
      <c r="NVX98" s="83"/>
      <c r="NVY98" s="83"/>
      <c r="NVZ98" s="83"/>
      <c r="NWA98" s="83"/>
      <c r="NWB98" s="83"/>
      <c r="NWC98" s="83"/>
      <c r="NWD98" s="83"/>
      <c r="NWE98" s="83"/>
      <c r="NWF98" s="83"/>
      <c r="NWG98" s="83"/>
      <c r="NWH98" s="83"/>
      <c r="NWI98" s="83"/>
      <c r="NWJ98" s="83"/>
      <c r="NWK98" s="83"/>
      <c r="NWL98" s="83"/>
      <c r="NWM98" s="83"/>
      <c r="NWN98" s="83"/>
      <c r="NWO98" s="83"/>
      <c r="NWP98" s="83"/>
      <c r="NWQ98" s="83"/>
      <c r="NWR98" s="83"/>
      <c r="NWS98" s="83"/>
      <c r="NWT98" s="83"/>
      <c r="NWU98" s="83"/>
      <c r="NWV98" s="83"/>
      <c r="NWW98" s="83"/>
      <c r="NWX98" s="83"/>
      <c r="NWY98" s="83"/>
      <c r="NWZ98" s="83"/>
      <c r="NXA98" s="83"/>
      <c r="NXB98" s="83"/>
      <c r="NXC98" s="83"/>
      <c r="NXD98" s="83"/>
      <c r="NXE98" s="83"/>
      <c r="NXF98" s="83"/>
      <c r="NXG98" s="83"/>
      <c r="NXH98" s="83"/>
      <c r="NXI98" s="83"/>
      <c r="NXJ98" s="83"/>
      <c r="NXK98" s="83"/>
      <c r="NXL98" s="83"/>
      <c r="NXM98" s="83"/>
      <c r="NXN98" s="83"/>
      <c r="NXO98" s="83"/>
      <c r="NXP98" s="83"/>
      <c r="NXQ98" s="83"/>
      <c r="NXR98" s="83"/>
      <c r="NXS98" s="83"/>
      <c r="NXT98" s="83"/>
      <c r="NXU98" s="83"/>
      <c r="NXV98" s="83"/>
      <c r="NXW98" s="83"/>
      <c r="NXX98" s="83"/>
      <c r="NXY98" s="83"/>
      <c r="NXZ98" s="83"/>
      <c r="NYA98" s="83"/>
      <c r="NYB98" s="83"/>
      <c r="NYC98" s="83"/>
      <c r="NYD98" s="83"/>
      <c r="NYE98" s="83"/>
      <c r="NYF98" s="83"/>
      <c r="NYG98" s="83"/>
      <c r="NYH98" s="83"/>
      <c r="NYI98" s="83"/>
      <c r="NYJ98" s="83"/>
      <c r="NYK98" s="83"/>
      <c r="NYL98" s="83"/>
      <c r="NYM98" s="83"/>
      <c r="NYN98" s="83"/>
      <c r="NYO98" s="83"/>
      <c r="NYP98" s="83"/>
      <c r="NYQ98" s="83"/>
      <c r="NYR98" s="83"/>
      <c r="NYS98" s="83"/>
      <c r="NYT98" s="83"/>
      <c r="NYU98" s="83"/>
      <c r="NYV98" s="83"/>
      <c r="NYW98" s="83"/>
      <c r="NYX98" s="83"/>
      <c r="NYY98" s="83"/>
      <c r="NYZ98" s="83"/>
      <c r="NZA98" s="83"/>
      <c r="NZB98" s="83"/>
      <c r="NZC98" s="83"/>
      <c r="NZD98" s="83"/>
      <c r="NZE98" s="83"/>
      <c r="NZF98" s="83"/>
      <c r="NZG98" s="83"/>
      <c r="NZH98" s="83"/>
      <c r="NZI98" s="83"/>
      <c r="NZJ98" s="83"/>
      <c r="NZK98" s="83"/>
      <c r="NZL98" s="83"/>
      <c r="NZM98" s="83"/>
      <c r="NZN98" s="83"/>
      <c r="NZO98" s="83"/>
      <c r="NZP98" s="83"/>
      <c r="NZQ98" s="83"/>
      <c r="NZR98" s="83"/>
      <c r="NZS98" s="83"/>
      <c r="NZT98" s="83"/>
      <c r="NZU98" s="83"/>
      <c r="NZV98" s="83"/>
      <c r="NZW98" s="83"/>
      <c r="NZX98" s="83"/>
      <c r="NZY98" s="83"/>
      <c r="NZZ98" s="83"/>
      <c r="OAA98" s="83"/>
      <c r="OAB98" s="83"/>
      <c r="OAC98" s="83"/>
      <c r="OAD98" s="83"/>
      <c r="OAE98" s="83"/>
      <c r="OAF98" s="83"/>
      <c r="OAG98" s="83"/>
      <c r="OAH98" s="83"/>
      <c r="OAI98" s="83"/>
      <c r="OAJ98" s="83"/>
      <c r="OAK98" s="83"/>
      <c r="OAL98" s="83"/>
      <c r="OAM98" s="83"/>
      <c r="OAN98" s="83"/>
      <c r="OAO98" s="83"/>
      <c r="OAP98" s="83"/>
      <c r="OAQ98" s="83"/>
      <c r="OAR98" s="83"/>
      <c r="OAS98" s="83"/>
      <c r="OAT98" s="83"/>
      <c r="OAU98" s="83"/>
      <c r="OAV98" s="83"/>
      <c r="OAW98" s="83"/>
      <c r="OAX98" s="83"/>
      <c r="OAY98" s="83"/>
      <c r="OAZ98" s="83"/>
      <c r="OBA98" s="83"/>
      <c r="OBB98" s="83"/>
      <c r="OBC98" s="83"/>
      <c r="OBD98" s="83"/>
      <c r="OBE98" s="83"/>
      <c r="OBF98" s="83"/>
      <c r="OBG98" s="83"/>
      <c r="OBH98" s="83"/>
      <c r="OBI98" s="83"/>
      <c r="OBJ98" s="83"/>
      <c r="OBK98" s="83"/>
      <c r="OBL98" s="83"/>
      <c r="OBM98" s="83"/>
      <c r="OBN98" s="83"/>
      <c r="OBO98" s="83"/>
      <c r="OBP98" s="83"/>
      <c r="OBQ98" s="83"/>
      <c r="OBR98" s="83"/>
      <c r="OBS98" s="83"/>
      <c r="OBT98" s="83"/>
      <c r="OBU98" s="83"/>
      <c r="OBV98" s="83"/>
      <c r="OBW98" s="83"/>
      <c r="OBX98" s="83"/>
      <c r="OBY98" s="83"/>
      <c r="OBZ98" s="83"/>
      <c r="OCA98" s="83"/>
      <c r="OCB98" s="83"/>
      <c r="OCC98" s="83"/>
      <c r="OCD98" s="83"/>
      <c r="OCE98" s="83"/>
      <c r="OCF98" s="83"/>
      <c r="OCG98" s="83"/>
      <c r="OCH98" s="83"/>
      <c r="OCI98" s="83"/>
      <c r="OCJ98" s="83"/>
      <c r="OCK98" s="83"/>
      <c r="OCL98" s="83"/>
      <c r="OCM98" s="83"/>
      <c r="OCN98" s="83"/>
      <c r="OCO98" s="83"/>
      <c r="OCP98" s="83"/>
      <c r="OCQ98" s="83"/>
      <c r="OCR98" s="83"/>
      <c r="OCS98" s="83"/>
      <c r="OCT98" s="83"/>
      <c r="OCU98" s="83"/>
      <c r="OCV98" s="83"/>
      <c r="OCW98" s="83"/>
      <c r="OCX98" s="83"/>
      <c r="OCY98" s="83"/>
      <c r="OCZ98" s="83"/>
      <c r="ODA98" s="83"/>
      <c r="ODB98" s="83"/>
      <c r="ODC98" s="83"/>
      <c r="ODD98" s="83"/>
      <c r="ODE98" s="83"/>
      <c r="ODF98" s="83"/>
      <c r="ODG98" s="83"/>
      <c r="ODH98" s="83"/>
      <c r="ODI98" s="83"/>
      <c r="ODJ98" s="83"/>
      <c r="ODK98" s="83"/>
      <c r="ODL98" s="83"/>
      <c r="ODM98" s="83"/>
      <c r="ODN98" s="83"/>
      <c r="ODO98" s="83"/>
      <c r="ODP98" s="83"/>
      <c r="ODQ98" s="83"/>
      <c r="ODR98" s="83"/>
      <c r="ODS98" s="83"/>
      <c r="ODT98" s="83"/>
      <c r="ODU98" s="83"/>
      <c r="ODV98" s="83"/>
      <c r="ODW98" s="83"/>
      <c r="ODX98" s="83"/>
      <c r="ODY98" s="83"/>
      <c r="ODZ98" s="83"/>
      <c r="OEA98" s="83"/>
      <c r="OEB98" s="83"/>
      <c r="OEC98" s="83"/>
      <c r="OED98" s="83"/>
      <c r="OEE98" s="83"/>
      <c r="OEF98" s="83"/>
      <c r="OEG98" s="83"/>
      <c r="OEH98" s="83"/>
      <c r="OEI98" s="83"/>
      <c r="OEJ98" s="83"/>
      <c r="OEK98" s="83"/>
      <c r="OEL98" s="83"/>
      <c r="OEM98" s="83"/>
      <c r="OEN98" s="83"/>
      <c r="OEO98" s="83"/>
      <c r="OEP98" s="83"/>
      <c r="OEQ98" s="83"/>
      <c r="OER98" s="83"/>
      <c r="OES98" s="83"/>
      <c r="OET98" s="83"/>
      <c r="OEU98" s="83"/>
      <c r="OEV98" s="83"/>
      <c r="OEW98" s="83"/>
      <c r="OEX98" s="83"/>
      <c r="OEY98" s="83"/>
      <c r="OEZ98" s="83"/>
      <c r="OFA98" s="83"/>
      <c r="OFB98" s="83"/>
      <c r="OFC98" s="83"/>
      <c r="OFD98" s="83"/>
      <c r="OFE98" s="83"/>
      <c r="OFF98" s="83"/>
      <c r="OFG98" s="83"/>
      <c r="OFH98" s="83"/>
      <c r="OFI98" s="83"/>
      <c r="OFJ98" s="83"/>
      <c r="OFK98" s="83"/>
      <c r="OFL98" s="83"/>
      <c r="OFM98" s="83"/>
      <c r="OFN98" s="83"/>
      <c r="OFO98" s="83"/>
      <c r="OFP98" s="83"/>
      <c r="OFQ98" s="83"/>
      <c r="OFR98" s="83"/>
      <c r="OFS98" s="83"/>
      <c r="OFT98" s="83"/>
      <c r="OFU98" s="83"/>
      <c r="OFV98" s="83"/>
      <c r="OFW98" s="83"/>
      <c r="OFX98" s="83"/>
      <c r="OFY98" s="83"/>
      <c r="OFZ98" s="83"/>
      <c r="OGA98" s="83"/>
      <c r="OGB98" s="83"/>
      <c r="OGC98" s="83"/>
      <c r="OGD98" s="83"/>
      <c r="OGE98" s="83"/>
      <c r="OGF98" s="83"/>
      <c r="OGG98" s="83"/>
      <c r="OGH98" s="83"/>
      <c r="OGI98" s="83"/>
      <c r="OGJ98" s="83"/>
      <c r="OGK98" s="83"/>
      <c r="OGL98" s="83"/>
      <c r="OGM98" s="83"/>
      <c r="OGN98" s="83"/>
      <c r="OGO98" s="83"/>
      <c r="OGP98" s="83"/>
      <c r="OGQ98" s="83"/>
      <c r="OGR98" s="83"/>
      <c r="OGS98" s="83"/>
      <c r="OGT98" s="83"/>
      <c r="OGU98" s="83"/>
      <c r="OGV98" s="83"/>
      <c r="OGW98" s="83"/>
      <c r="OGX98" s="83"/>
      <c r="OGY98" s="83"/>
      <c r="OGZ98" s="83"/>
      <c r="OHA98" s="83"/>
      <c r="OHB98" s="83"/>
      <c r="OHC98" s="83"/>
      <c r="OHD98" s="83"/>
      <c r="OHE98" s="83"/>
      <c r="OHF98" s="83"/>
      <c r="OHG98" s="83"/>
      <c r="OHH98" s="83"/>
      <c r="OHI98" s="83"/>
      <c r="OHJ98" s="83"/>
      <c r="OHK98" s="83"/>
      <c r="OHL98" s="83"/>
      <c r="OHM98" s="83"/>
      <c r="OHN98" s="83"/>
      <c r="OHO98" s="83"/>
      <c r="OHP98" s="83"/>
      <c r="OHQ98" s="83"/>
      <c r="OHR98" s="83"/>
      <c r="OHS98" s="83"/>
      <c r="OHT98" s="83"/>
      <c r="OHU98" s="83"/>
      <c r="OHV98" s="83"/>
      <c r="OHW98" s="83"/>
      <c r="OHX98" s="83"/>
      <c r="OHY98" s="83"/>
      <c r="OHZ98" s="83"/>
      <c r="OIA98" s="83"/>
      <c r="OIB98" s="83"/>
      <c r="OIC98" s="83"/>
      <c r="OID98" s="83"/>
      <c r="OIE98" s="83"/>
      <c r="OIF98" s="83"/>
      <c r="OIG98" s="83"/>
      <c r="OIH98" s="83"/>
      <c r="OII98" s="83"/>
      <c r="OIJ98" s="83"/>
      <c r="OIK98" s="83"/>
      <c r="OIL98" s="83"/>
      <c r="OIM98" s="83"/>
      <c r="OIN98" s="83"/>
      <c r="OIO98" s="83"/>
      <c r="OIP98" s="83"/>
      <c r="OIQ98" s="83"/>
      <c r="OIR98" s="83"/>
      <c r="OIS98" s="83"/>
      <c r="OIT98" s="83"/>
      <c r="OIU98" s="83"/>
      <c r="OIV98" s="83"/>
      <c r="OIW98" s="83"/>
      <c r="OIX98" s="83"/>
      <c r="OIY98" s="83"/>
      <c r="OIZ98" s="83"/>
      <c r="OJA98" s="83"/>
      <c r="OJB98" s="83"/>
      <c r="OJC98" s="83"/>
      <c r="OJD98" s="83"/>
      <c r="OJE98" s="83"/>
      <c r="OJF98" s="83"/>
      <c r="OJG98" s="83"/>
      <c r="OJH98" s="83"/>
      <c r="OJI98" s="83"/>
      <c r="OJJ98" s="83"/>
      <c r="OJK98" s="83"/>
      <c r="OJL98" s="83"/>
      <c r="OJM98" s="83"/>
      <c r="OJN98" s="83"/>
      <c r="OJO98" s="83"/>
      <c r="OJP98" s="83"/>
      <c r="OJQ98" s="83"/>
      <c r="OJR98" s="83"/>
      <c r="OJS98" s="83"/>
      <c r="OJT98" s="83"/>
      <c r="OJU98" s="83"/>
      <c r="OJV98" s="83"/>
      <c r="OJW98" s="83"/>
      <c r="OJX98" s="83"/>
      <c r="OJY98" s="83"/>
      <c r="OJZ98" s="83"/>
      <c r="OKA98" s="83"/>
      <c r="OKB98" s="83"/>
      <c r="OKC98" s="83"/>
      <c r="OKD98" s="83"/>
      <c r="OKE98" s="83"/>
      <c r="OKF98" s="83"/>
      <c r="OKG98" s="83"/>
      <c r="OKH98" s="83"/>
      <c r="OKI98" s="83"/>
      <c r="OKJ98" s="83"/>
      <c r="OKK98" s="83"/>
      <c r="OKL98" s="83"/>
      <c r="OKM98" s="83"/>
      <c r="OKN98" s="83"/>
      <c r="OKO98" s="83"/>
      <c r="OKP98" s="83"/>
      <c r="OKQ98" s="83"/>
      <c r="OKR98" s="83"/>
      <c r="OKS98" s="83"/>
      <c r="OKT98" s="83"/>
      <c r="OKU98" s="83"/>
      <c r="OKV98" s="83"/>
      <c r="OKW98" s="83"/>
      <c r="OKX98" s="83"/>
      <c r="OKY98" s="83"/>
      <c r="OKZ98" s="83"/>
      <c r="OLA98" s="83"/>
      <c r="OLB98" s="83"/>
      <c r="OLC98" s="83"/>
      <c r="OLD98" s="83"/>
      <c r="OLE98" s="83"/>
      <c r="OLF98" s="83"/>
      <c r="OLG98" s="83"/>
      <c r="OLH98" s="83"/>
      <c r="OLI98" s="83"/>
      <c r="OLJ98" s="83"/>
      <c r="OLK98" s="83"/>
      <c r="OLL98" s="83"/>
      <c r="OLM98" s="83"/>
      <c r="OLN98" s="83"/>
      <c r="OLO98" s="83"/>
      <c r="OLP98" s="83"/>
      <c r="OLQ98" s="83"/>
      <c r="OLR98" s="83"/>
      <c r="OLS98" s="83"/>
      <c r="OLT98" s="83"/>
      <c r="OLU98" s="83"/>
      <c r="OLV98" s="83"/>
      <c r="OLW98" s="83"/>
      <c r="OLX98" s="83"/>
      <c r="OLY98" s="83"/>
      <c r="OLZ98" s="83"/>
      <c r="OMA98" s="83"/>
      <c r="OMB98" s="83"/>
      <c r="OMC98" s="83"/>
      <c r="OMD98" s="83"/>
      <c r="OME98" s="83"/>
      <c r="OMF98" s="83"/>
      <c r="OMG98" s="83"/>
      <c r="OMH98" s="83"/>
      <c r="OMI98" s="83"/>
      <c r="OMJ98" s="83"/>
      <c r="OMK98" s="83"/>
      <c r="OML98" s="83"/>
      <c r="OMM98" s="83"/>
      <c r="OMN98" s="83"/>
      <c r="OMO98" s="83"/>
      <c r="OMP98" s="83"/>
      <c r="OMQ98" s="83"/>
      <c r="OMR98" s="83"/>
      <c r="OMS98" s="83"/>
      <c r="OMT98" s="83"/>
      <c r="OMU98" s="83"/>
      <c r="OMV98" s="83"/>
      <c r="OMW98" s="83"/>
      <c r="OMX98" s="83"/>
      <c r="OMY98" s="83"/>
      <c r="OMZ98" s="83"/>
      <c r="ONA98" s="83"/>
      <c r="ONB98" s="83"/>
      <c r="ONC98" s="83"/>
      <c r="OND98" s="83"/>
      <c r="ONE98" s="83"/>
      <c r="ONF98" s="83"/>
      <c r="ONG98" s="83"/>
      <c r="ONH98" s="83"/>
      <c r="ONI98" s="83"/>
      <c r="ONJ98" s="83"/>
      <c r="ONK98" s="83"/>
      <c r="ONL98" s="83"/>
      <c r="ONM98" s="83"/>
      <c r="ONN98" s="83"/>
      <c r="ONO98" s="83"/>
      <c r="ONP98" s="83"/>
      <c r="ONQ98" s="83"/>
      <c r="ONR98" s="83"/>
      <c r="ONS98" s="83"/>
      <c r="ONT98" s="83"/>
      <c r="ONU98" s="83"/>
      <c r="ONV98" s="83"/>
      <c r="ONW98" s="83"/>
      <c r="ONX98" s="83"/>
      <c r="ONY98" s="83"/>
      <c r="ONZ98" s="83"/>
      <c r="OOA98" s="83"/>
      <c r="OOB98" s="83"/>
      <c r="OOC98" s="83"/>
      <c r="OOD98" s="83"/>
      <c r="OOE98" s="83"/>
      <c r="OOF98" s="83"/>
      <c r="OOG98" s="83"/>
      <c r="OOH98" s="83"/>
      <c r="OOI98" s="83"/>
      <c r="OOJ98" s="83"/>
      <c r="OOK98" s="83"/>
      <c r="OOL98" s="83"/>
      <c r="OOM98" s="83"/>
      <c r="OON98" s="83"/>
      <c r="OOO98" s="83"/>
      <c r="OOP98" s="83"/>
      <c r="OOQ98" s="83"/>
      <c r="OOR98" s="83"/>
      <c r="OOS98" s="83"/>
      <c r="OOT98" s="83"/>
      <c r="OOU98" s="83"/>
      <c r="OOV98" s="83"/>
      <c r="OOW98" s="83"/>
      <c r="OOX98" s="83"/>
      <c r="OOY98" s="83"/>
      <c r="OOZ98" s="83"/>
      <c r="OPA98" s="83"/>
      <c r="OPB98" s="83"/>
      <c r="OPC98" s="83"/>
      <c r="OPD98" s="83"/>
      <c r="OPE98" s="83"/>
      <c r="OPF98" s="83"/>
      <c r="OPG98" s="83"/>
      <c r="OPH98" s="83"/>
      <c r="OPI98" s="83"/>
      <c r="OPJ98" s="83"/>
      <c r="OPK98" s="83"/>
      <c r="OPL98" s="83"/>
      <c r="OPM98" s="83"/>
      <c r="OPN98" s="83"/>
      <c r="OPO98" s="83"/>
      <c r="OPP98" s="83"/>
      <c r="OPQ98" s="83"/>
      <c r="OPR98" s="83"/>
      <c r="OPS98" s="83"/>
      <c r="OPT98" s="83"/>
      <c r="OPU98" s="83"/>
      <c r="OPV98" s="83"/>
      <c r="OPW98" s="83"/>
      <c r="OPX98" s="83"/>
      <c r="OPY98" s="83"/>
      <c r="OPZ98" s="83"/>
      <c r="OQA98" s="83"/>
      <c r="OQB98" s="83"/>
      <c r="OQC98" s="83"/>
      <c r="OQD98" s="83"/>
      <c r="OQE98" s="83"/>
      <c r="OQF98" s="83"/>
      <c r="OQG98" s="83"/>
      <c r="OQH98" s="83"/>
      <c r="OQI98" s="83"/>
      <c r="OQJ98" s="83"/>
      <c r="OQK98" s="83"/>
      <c r="OQL98" s="83"/>
      <c r="OQM98" s="83"/>
      <c r="OQN98" s="83"/>
      <c r="OQO98" s="83"/>
      <c r="OQP98" s="83"/>
      <c r="OQQ98" s="83"/>
      <c r="OQR98" s="83"/>
      <c r="OQS98" s="83"/>
      <c r="OQT98" s="83"/>
      <c r="OQU98" s="83"/>
      <c r="OQV98" s="83"/>
      <c r="OQW98" s="83"/>
      <c r="OQX98" s="83"/>
      <c r="OQY98" s="83"/>
      <c r="OQZ98" s="83"/>
      <c r="ORA98" s="83"/>
      <c r="ORB98" s="83"/>
      <c r="ORC98" s="83"/>
      <c r="ORD98" s="83"/>
      <c r="ORE98" s="83"/>
      <c r="ORF98" s="83"/>
      <c r="ORG98" s="83"/>
      <c r="ORH98" s="83"/>
      <c r="ORI98" s="83"/>
      <c r="ORJ98" s="83"/>
      <c r="ORK98" s="83"/>
      <c r="ORL98" s="83"/>
      <c r="ORM98" s="83"/>
      <c r="ORN98" s="83"/>
      <c r="ORO98" s="83"/>
      <c r="ORP98" s="83"/>
      <c r="ORQ98" s="83"/>
      <c r="ORR98" s="83"/>
      <c r="ORS98" s="83"/>
      <c r="ORT98" s="83"/>
      <c r="ORU98" s="83"/>
      <c r="ORV98" s="83"/>
      <c r="ORW98" s="83"/>
      <c r="ORX98" s="83"/>
      <c r="ORY98" s="83"/>
      <c r="ORZ98" s="83"/>
      <c r="OSA98" s="83"/>
      <c r="OSB98" s="83"/>
      <c r="OSC98" s="83"/>
      <c r="OSD98" s="83"/>
      <c r="OSE98" s="83"/>
      <c r="OSF98" s="83"/>
      <c r="OSG98" s="83"/>
      <c r="OSH98" s="83"/>
      <c r="OSI98" s="83"/>
      <c r="OSJ98" s="83"/>
      <c r="OSK98" s="83"/>
      <c r="OSL98" s="83"/>
      <c r="OSM98" s="83"/>
      <c r="OSN98" s="83"/>
      <c r="OSO98" s="83"/>
      <c r="OSP98" s="83"/>
      <c r="OSQ98" s="83"/>
      <c r="OSR98" s="83"/>
      <c r="OSS98" s="83"/>
      <c r="OST98" s="83"/>
      <c r="OSU98" s="83"/>
      <c r="OSV98" s="83"/>
      <c r="OSW98" s="83"/>
      <c r="OSX98" s="83"/>
      <c r="OSY98" s="83"/>
      <c r="OSZ98" s="83"/>
      <c r="OTA98" s="83"/>
      <c r="OTB98" s="83"/>
      <c r="OTC98" s="83"/>
      <c r="OTD98" s="83"/>
      <c r="OTE98" s="83"/>
      <c r="OTF98" s="83"/>
      <c r="OTG98" s="83"/>
      <c r="OTH98" s="83"/>
      <c r="OTI98" s="83"/>
      <c r="OTJ98" s="83"/>
      <c r="OTK98" s="83"/>
      <c r="OTL98" s="83"/>
      <c r="OTM98" s="83"/>
      <c r="OTN98" s="83"/>
      <c r="OTO98" s="83"/>
      <c r="OTP98" s="83"/>
      <c r="OTQ98" s="83"/>
      <c r="OTR98" s="83"/>
      <c r="OTS98" s="83"/>
      <c r="OTT98" s="83"/>
      <c r="OTU98" s="83"/>
      <c r="OTV98" s="83"/>
      <c r="OTW98" s="83"/>
      <c r="OTX98" s="83"/>
      <c r="OTY98" s="83"/>
      <c r="OTZ98" s="83"/>
      <c r="OUA98" s="83"/>
      <c r="OUB98" s="83"/>
      <c r="OUC98" s="83"/>
      <c r="OUD98" s="83"/>
      <c r="OUE98" s="83"/>
      <c r="OUF98" s="83"/>
      <c r="OUG98" s="83"/>
      <c r="OUH98" s="83"/>
      <c r="OUI98" s="83"/>
      <c r="OUJ98" s="83"/>
      <c r="OUK98" s="83"/>
      <c r="OUL98" s="83"/>
      <c r="OUM98" s="83"/>
      <c r="OUN98" s="83"/>
      <c r="OUO98" s="83"/>
      <c r="OUP98" s="83"/>
      <c r="OUQ98" s="83"/>
      <c r="OUR98" s="83"/>
      <c r="OUS98" s="83"/>
      <c r="OUT98" s="83"/>
      <c r="OUU98" s="83"/>
      <c r="OUV98" s="83"/>
      <c r="OUW98" s="83"/>
      <c r="OUX98" s="83"/>
      <c r="OUY98" s="83"/>
      <c r="OUZ98" s="83"/>
      <c r="OVA98" s="83"/>
      <c r="OVB98" s="83"/>
      <c r="OVC98" s="83"/>
      <c r="OVD98" s="83"/>
      <c r="OVE98" s="83"/>
      <c r="OVF98" s="83"/>
      <c r="OVG98" s="83"/>
      <c r="OVH98" s="83"/>
      <c r="OVI98" s="83"/>
      <c r="OVJ98" s="83"/>
      <c r="OVK98" s="83"/>
      <c r="OVL98" s="83"/>
      <c r="OVM98" s="83"/>
      <c r="OVN98" s="83"/>
      <c r="OVO98" s="83"/>
      <c r="OVP98" s="83"/>
      <c r="OVQ98" s="83"/>
      <c r="OVR98" s="83"/>
      <c r="OVS98" s="83"/>
      <c r="OVT98" s="83"/>
      <c r="OVU98" s="83"/>
      <c r="OVV98" s="83"/>
      <c r="OVW98" s="83"/>
      <c r="OVX98" s="83"/>
      <c r="OVY98" s="83"/>
      <c r="OVZ98" s="83"/>
      <c r="OWA98" s="83"/>
      <c r="OWB98" s="83"/>
      <c r="OWC98" s="83"/>
      <c r="OWD98" s="83"/>
      <c r="OWE98" s="83"/>
      <c r="OWF98" s="83"/>
      <c r="OWG98" s="83"/>
      <c r="OWH98" s="83"/>
      <c r="OWI98" s="83"/>
      <c r="OWJ98" s="83"/>
      <c r="OWK98" s="83"/>
      <c r="OWL98" s="83"/>
      <c r="OWM98" s="83"/>
      <c r="OWN98" s="83"/>
      <c r="OWO98" s="83"/>
      <c r="OWP98" s="83"/>
      <c r="OWQ98" s="83"/>
      <c r="OWR98" s="83"/>
      <c r="OWS98" s="83"/>
      <c r="OWT98" s="83"/>
      <c r="OWU98" s="83"/>
      <c r="OWV98" s="83"/>
      <c r="OWW98" s="83"/>
      <c r="OWX98" s="83"/>
      <c r="OWY98" s="83"/>
      <c r="OWZ98" s="83"/>
      <c r="OXA98" s="83"/>
      <c r="OXB98" s="83"/>
      <c r="OXC98" s="83"/>
      <c r="OXD98" s="83"/>
      <c r="OXE98" s="83"/>
      <c r="OXF98" s="83"/>
      <c r="OXG98" s="83"/>
      <c r="OXH98" s="83"/>
      <c r="OXI98" s="83"/>
      <c r="OXJ98" s="83"/>
      <c r="OXK98" s="83"/>
      <c r="OXL98" s="83"/>
      <c r="OXM98" s="83"/>
      <c r="OXN98" s="83"/>
      <c r="OXO98" s="83"/>
      <c r="OXP98" s="83"/>
      <c r="OXQ98" s="83"/>
      <c r="OXR98" s="83"/>
      <c r="OXS98" s="83"/>
      <c r="OXT98" s="83"/>
      <c r="OXU98" s="83"/>
      <c r="OXV98" s="83"/>
      <c r="OXW98" s="83"/>
      <c r="OXX98" s="83"/>
      <c r="OXY98" s="83"/>
      <c r="OXZ98" s="83"/>
      <c r="OYA98" s="83"/>
      <c r="OYB98" s="83"/>
      <c r="OYC98" s="83"/>
      <c r="OYD98" s="83"/>
      <c r="OYE98" s="83"/>
      <c r="OYF98" s="83"/>
      <c r="OYG98" s="83"/>
      <c r="OYH98" s="83"/>
      <c r="OYI98" s="83"/>
      <c r="OYJ98" s="83"/>
      <c r="OYK98" s="83"/>
      <c r="OYL98" s="83"/>
      <c r="OYM98" s="83"/>
      <c r="OYN98" s="83"/>
      <c r="OYO98" s="83"/>
      <c r="OYP98" s="83"/>
      <c r="OYQ98" s="83"/>
      <c r="OYR98" s="83"/>
      <c r="OYS98" s="83"/>
      <c r="OYT98" s="83"/>
      <c r="OYU98" s="83"/>
      <c r="OYV98" s="83"/>
      <c r="OYW98" s="83"/>
      <c r="OYX98" s="83"/>
      <c r="OYY98" s="83"/>
      <c r="OYZ98" s="83"/>
      <c r="OZA98" s="83"/>
      <c r="OZB98" s="83"/>
      <c r="OZC98" s="83"/>
      <c r="OZD98" s="83"/>
      <c r="OZE98" s="83"/>
      <c r="OZF98" s="83"/>
      <c r="OZG98" s="83"/>
      <c r="OZH98" s="83"/>
      <c r="OZI98" s="83"/>
      <c r="OZJ98" s="83"/>
      <c r="OZK98" s="83"/>
      <c r="OZL98" s="83"/>
      <c r="OZM98" s="83"/>
      <c r="OZN98" s="83"/>
      <c r="OZO98" s="83"/>
      <c r="OZP98" s="83"/>
      <c r="OZQ98" s="83"/>
      <c r="OZR98" s="83"/>
      <c r="OZS98" s="83"/>
      <c r="OZT98" s="83"/>
      <c r="OZU98" s="83"/>
      <c r="OZV98" s="83"/>
      <c r="OZW98" s="83"/>
      <c r="OZX98" s="83"/>
      <c r="OZY98" s="83"/>
      <c r="OZZ98" s="83"/>
      <c r="PAA98" s="83"/>
      <c r="PAB98" s="83"/>
      <c r="PAC98" s="83"/>
      <c r="PAD98" s="83"/>
      <c r="PAE98" s="83"/>
      <c r="PAF98" s="83"/>
      <c r="PAG98" s="83"/>
      <c r="PAH98" s="83"/>
      <c r="PAI98" s="83"/>
      <c r="PAJ98" s="83"/>
      <c r="PAK98" s="83"/>
      <c r="PAL98" s="83"/>
      <c r="PAM98" s="83"/>
      <c r="PAN98" s="83"/>
      <c r="PAO98" s="83"/>
      <c r="PAP98" s="83"/>
      <c r="PAQ98" s="83"/>
      <c r="PAR98" s="83"/>
      <c r="PAS98" s="83"/>
      <c r="PAT98" s="83"/>
      <c r="PAU98" s="83"/>
      <c r="PAV98" s="83"/>
      <c r="PAW98" s="83"/>
      <c r="PAX98" s="83"/>
      <c r="PAY98" s="83"/>
      <c r="PAZ98" s="83"/>
      <c r="PBA98" s="83"/>
      <c r="PBB98" s="83"/>
      <c r="PBC98" s="83"/>
      <c r="PBD98" s="83"/>
      <c r="PBE98" s="83"/>
      <c r="PBF98" s="83"/>
      <c r="PBG98" s="83"/>
      <c r="PBH98" s="83"/>
      <c r="PBI98" s="83"/>
      <c r="PBJ98" s="83"/>
      <c r="PBK98" s="83"/>
      <c r="PBL98" s="83"/>
      <c r="PBM98" s="83"/>
      <c r="PBN98" s="83"/>
      <c r="PBO98" s="83"/>
      <c r="PBP98" s="83"/>
      <c r="PBQ98" s="83"/>
      <c r="PBR98" s="83"/>
      <c r="PBS98" s="83"/>
      <c r="PBT98" s="83"/>
      <c r="PBU98" s="83"/>
      <c r="PBV98" s="83"/>
      <c r="PBW98" s="83"/>
      <c r="PBX98" s="83"/>
      <c r="PBY98" s="83"/>
      <c r="PBZ98" s="83"/>
      <c r="PCA98" s="83"/>
      <c r="PCB98" s="83"/>
      <c r="PCC98" s="83"/>
      <c r="PCD98" s="83"/>
      <c r="PCE98" s="83"/>
      <c r="PCF98" s="83"/>
      <c r="PCG98" s="83"/>
      <c r="PCH98" s="83"/>
      <c r="PCI98" s="83"/>
      <c r="PCJ98" s="83"/>
      <c r="PCK98" s="83"/>
      <c r="PCL98" s="83"/>
      <c r="PCM98" s="83"/>
      <c r="PCN98" s="83"/>
      <c r="PCO98" s="83"/>
      <c r="PCP98" s="83"/>
      <c r="PCQ98" s="83"/>
      <c r="PCR98" s="83"/>
      <c r="PCS98" s="83"/>
      <c r="PCT98" s="83"/>
      <c r="PCU98" s="83"/>
      <c r="PCV98" s="83"/>
      <c r="PCW98" s="83"/>
      <c r="PCX98" s="83"/>
      <c r="PCY98" s="83"/>
      <c r="PCZ98" s="83"/>
      <c r="PDA98" s="83"/>
      <c r="PDB98" s="83"/>
      <c r="PDC98" s="83"/>
      <c r="PDD98" s="83"/>
      <c r="PDE98" s="83"/>
      <c r="PDF98" s="83"/>
      <c r="PDG98" s="83"/>
      <c r="PDH98" s="83"/>
      <c r="PDI98" s="83"/>
      <c r="PDJ98" s="83"/>
      <c r="PDK98" s="83"/>
      <c r="PDL98" s="83"/>
      <c r="PDM98" s="83"/>
      <c r="PDN98" s="83"/>
      <c r="PDO98" s="83"/>
      <c r="PDP98" s="83"/>
      <c r="PDQ98" s="83"/>
      <c r="PDR98" s="83"/>
      <c r="PDS98" s="83"/>
      <c r="PDT98" s="83"/>
      <c r="PDU98" s="83"/>
      <c r="PDV98" s="83"/>
      <c r="PDW98" s="83"/>
      <c r="PDX98" s="83"/>
      <c r="PDY98" s="83"/>
      <c r="PDZ98" s="83"/>
      <c r="PEA98" s="83"/>
      <c r="PEB98" s="83"/>
      <c r="PEC98" s="83"/>
      <c r="PED98" s="83"/>
      <c r="PEE98" s="83"/>
      <c r="PEF98" s="83"/>
      <c r="PEG98" s="83"/>
      <c r="PEH98" s="83"/>
      <c r="PEI98" s="83"/>
      <c r="PEJ98" s="83"/>
      <c r="PEK98" s="83"/>
      <c r="PEL98" s="83"/>
      <c r="PEM98" s="83"/>
      <c r="PEN98" s="83"/>
      <c r="PEO98" s="83"/>
      <c r="PEP98" s="83"/>
      <c r="PEQ98" s="83"/>
      <c r="PER98" s="83"/>
      <c r="PES98" s="83"/>
      <c r="PET98" s="83"/>
      <c r="PEU98" s="83"/>
      <c r="PEV98" s="83"/>
      <c r="PEW98" s="83"/>
      <c r="PEX98" s="83"/>
      <c r="PEY98" s="83"/>
      <c r="PEZ98" s="83"/>
      <c r="PFA98" s="83"/>
      <c r="PFB98" s="83"/>
      <c r="PFC98" s="83"/>
      <c r="PFD98" s="83"/>
      <c r="PFE98" s="83"/>
      <c r="PFF98" s="83"/>
      <c r="PFG98" s="83"/>
      <c r="PFH98" s="83"/>
      <c r="PFI98" s="83"/>
      <c r="PFJ98" s="83"/>
      <c r="PFK98" s="83"/>
      <c r="PFL98" s="83"/>
      <c r="PFM98" s="83"/>
      <c r="PFN98" s="83"/>
      <c r="PFO98" s="83"/>
      <c r="PFP98" s="83"/>
      <c r="PFQ98" s="83"/>
      <c r="PFR98" s="83"/>
      <c r="PFS98" s="83"/>
      <c r="PFT98" s="83"/>
      <c r="PFU98" s="83"/>
      <c r="PFV98" s="83"/>
      <c r="PFW98" s="83"/>
      <c r="PFX98" s="83"/>
      <c r="PFY98" s="83"/>
      <c r="PFZ98" s="83"/>
      <c r="PGA98" s="83"/>
      <c r="PGB98" s="83"/>
      <c r="PGC98" s="83"/>
      <c r="PGD98" s="83"/>
      <c r="PGE98" s="83"/>
      <c r="PGF98" s="83"/>
      <c r="PGG98" s="83"/>
      <c r="PGH98" s="83"/>
      <c r="PGI98" s="83"/>
      <c r="PGJ98" s="83"/>
      <c r="PGK98" s="83"/>
      <c r="PGL98" s="83"/>
      <c r="PGM98" s="83"/>
      <c r="PGN98" s="83"/>
      <c r="PGO98" s="83"/>
      <c r="PGP98" s="83"/>
      <c r="PGQ98" s="83"/>
      <c r="PGR98" s="83"/>
      <c r="PGS98" s="83"/>
      <c r="PGT98" s="83"/>
      <c r="PGU98" s="83"/>
      <c r="PGV98" s="83"/>
      <c r="PGW98" s="83"/>
      <c r="PGX98" s="83"/>
      <c r="PGY98" s="83"/>
      <c r="PGZ98" s="83"/>
      <c r="PHA98" s="83"/>
      <c r="PHB98" s="83"/>
      <c r="PHC98" s="83"/>
      <c r="PHD98" s="83"/>
      <c r="PHE98" s="83"/>
      <c r="PHF98" s="83"/>
      <c r="PHG98" s="83"/>
      <c r="PHH98" s="83"/>
      <c r="PHI98" s="83"/>
      <c r="PHJ98" s="83"/>
      <c r="PHK98" s="83"/>
      <c r="PHL98" s="83"/>
      <c r="PHM98" s="83"/>
      <c r="PHN98" s="83"/>
      <c r="PHO98" s="83"/>
      <c r="PHP98" s="83"/>
      <c r="PHQ98" s="83"/>
      <c r="PHR98" s="83"/>
      <c r="PHS98" s="83"/>
      <c r="PHT98" s="83"/>
      <c r="PHU98" s="83"/>
      <c r="PHV98" s="83"/>
      <c r="PHW98" s="83"/>
      <c r="PHX98" s="83"/>
      <c r="PHY98" s="83"/>
      <c r="PHZ98" s="83"/>
      <c r="PIA98" s="83"/>
      <c r="PIB98" s="83"/>
      <c r="PIC98" s="83"/>
      <c r="PID98" s="83"/>
      <c r="PIE98" s="83"/>
      <c r="PIF98" s="83"/>
      <c r="PIG98" s="83"/>
      <c r="PIH98" s="83"/>
      <c r="PII98" s="83"/>
      <c r="PIJ98" s="83"/>
      <c r="PIK98" s="83"/>
      <c r="PIL98" s="83"/>
      <c r="PIM98" s="83"/>
      <c r="PIN98" s="83"/>
      <c r="PIO98" s="83"/>
      <c r="PIP98" s="83"/>
      <c r="PIQ98" s="83"/>
      <c r="PIR98" s="83"/>
      <c r="PIS98" s="83"/>
      <c r="PIT98" s="83"/>
      <c r="PIU98" s="83"/>
      <c r="PIV98" s="83"/>
      <c r="PIW98" s="83"/>
      <c r="PIX98" s="83"/>
      <c r="PIY98" s="83"/>
      <c r="PIZ98" s="83"/>
      <c r="PJA98" s="83"/>
      <c r="PJB98" s="83"/>
      <c r="PJC98" s="83"/>
      <c r="PJD98" s="83"/>
      <c r="PJE98" s="83"/>
      <c r="PJF98" s="83"/>
      <c r="PJG98" s="83"/>
      <c r="PJH98" s="83"/>
      <c r="PJI98" s="83"/>
      <c r="PJJ98" s="83"/>
      <c r="PJK98" s="83"/>
      <c r="PJL98" s="83"/>
      <c r="PJM98" s="83"/>
      <c r="PJN98" s="83"/>
      <c r="PJO98" s="83"/>
      <c r="PJP98" s="83"/>
      <c r="PJQ98" s="83"/>
      <c r="PJR98" s="83"/>
      <c r="PJS98" s="83"/>
      <c r="PJT98" s="83"/>
      <c r="PJU98" s="83"/>
      <c r="PJV98" s="83"/>
      <c r="PJW98" s="83"/>
      <c r="PJX98" s="83"/>
      <c r="PJY98" s="83"/>
      <c r="PJZ98" s="83"/>
      <c r="PKA98" s="83"/>
      <c r="PKB98" s="83"/>
      <c r="PKC98" s="83"/>
      <c r="PKD98" s="83"/>
      <c r="PKE98" s="83"/>
      <c r="PKF98" s="83"/>
      <c r="PKG98" s="83"/>
      <c r="PKH98" s="83"/>
      <c r="PKI98" s="83"/>
      <c r="PKJ98" s="83"/>
      <c r="PKK98" s="83"/>
      <c r="PKL98" s="83"/>
      <c r="PKM98" s="83"/>
      <c r="PKN98" s="83"/>
      <c r="PKO98" s="83"/>
      <c r="PKP98" s="83"/>
      <c r="PKQ98" s="83"/>
      <c r="PKR98" s="83"/>
      <c r="PKS98" s="83"/>
      <c r="PKT98" s="83"/>
      <c r="PKU98" s="83"/>
      <c r="PKV98" s="83"/>
      <c r="PKW98" s="83"/>
      <c r="PKX98" s="83"/>
      <c r="PKY98" s="83"/>
      <c r="PKZ98" s="83"/>
      <c r="PLA98" s="83"/>
      <c r="PLB98" s="83"/>
      <c r="PLC98" s="83"/>
      <c r="PLD98" s="83"/>
      <c r="PLE98" s="83"/>
      <c r="PLF98" s="83"/>
      <c r="PLG98" s="83"/>
      <c r="PLH98" s="83"/>
      <c r="PLI98" s="83"/>
      <c r="PLJ98" s="83"/>
      <c r="PLK98" s="83"/>
      <c r="PLL98" s="83"/>
      <c r="PLM98" s="83"/>
      <c r="PLN98" s="83"/>
      <c r="PLO98" s="83"/>
      <c r="PLP98" s="83"/>
      <c r="PLQ98" s="83"/>
      <c r="PLR98" s="83"/>
      <c r="PLS98" s="83"/>
      <c r="PLT98" s="83"/>
      <c r="PLU98" s="83"/>
      <c r="PLV98" s="83"/>
      <c r="PLW98" s="83"/>
      <c r="PLX98" s="83"/>
      <c r="PLY98" s="83"/>
      <c r="PLZ98" s="83"/>
      <c r="PMA98" s="83"/>
      <c r="PMB98" s="83"/>
      <c r="PMC98" s="83"/>
      <c r="PMD98" s="83"/>
      <c r="PME98" s="83"/>
      <c r="PMF98" s="83"/>
      <c r="PMG98" s="83"/>
      <c r="PMH98" s="83"/>
      <c r="PMI98" s="83"/>
      <c r="PMJ98" s="83"/>
      <c r="PMK98" s="83"/>
      <c r="PML98" s="83"/>
      <c r="PMM98" s="83"/>
      <c r="PMN98" s="83"/>
      <c r="PMO98" s="83"/>
      <c r="PMP98" s="83"/>
      <c r="PMQ98" s="83"/>
      <c r="PMR98" s="83"/>
      <c r="PMS98" s="83"/>
      <c r="PMT98" s="83"/>
      <c r="PMU98" s="83"/>
      <c r="PMV98" s="83"/>
      <c r="PMW98" s="83"/>
      <c r="PMX98" s="83"/>
      <c r="PMY98" s="83"/>
      <c r="PMZ98" s="83"/>
      <c r="PNA98" s="83"/>
      <c r="PNB98" s="83"/>
      <c r="PNC98" s="83"/>
      <c r="PND98" s="83"/>
      <c r="PNE98" s="83"/>
      <c r="PNF98" s="83"/>
      <c r="PNG98" s="83"/>
      <c r="PNH98" s="83"/>
      <c r="PNI98" s="83"/>
      <c r="PNJ98" s="83"/>
      <c r="PNK98" s="83"/>
      <c r="PNL98" s="83"/>
      <c r="PNM98" s="83"/>
      <c r="PNN98" s="83"/>
      <c r="PNO98" s="83"/>
      <c r="PNP98" s="83"/>
      <c r="PNQ98" s="83"/>
      <c r="PNR98" s="83"/>
      <c r="PNS98" s="83"/>
      <c r="PNT98" s="83"/>
      <c r="PNU98" s="83"/>
      <c r="PNV98" s="83"/>
      <c r="PNW98" s="83"/>
      <c r="PNX98" s="83"/>
      <c r="PNY98" s="83"/>
      <c r="PNZ98" s="83"/>
      <c r="POA98" s="83"/>
      <c r="POB98" s="83"/>
      <c r="POC98" s="83"/>
      <c r="POD98" s="83"/>
      <c r="POE98" s="83"/>
      <c r="POF98" s="83"/>
      <c r="POG98" s="83"/>
      <c r="POH98" s="83"/>
      <c r="POI98" s="83"/>
      <c r="POJ98" s="83"/>
      <c r="POK98" s="83"/>
      <c r="POL98" s="83"/>
      <c r="POM98" s="83"/>
      <c r="PON98" s="83"/>
      <c r="POO98" s="83"/>
      <c r="POP98" s="83"/>
      <c r="POQ98" s="83"/>
      <c r="POR98" s="83"/>
      <c r="POS98" s="83"/>
      <c r="POT98" s="83"/>
      <c r="POU98" s="83"/>
      <c r="POV98" s="83"/>
      <c r="POW98" s="83"/>
      <c r="POX98" s="83"/>
      <c r="POY98" s="83"/>
      <c r="POZ98" s="83"/>
      <c r="PPA98" s="83"/>
      <c r="PPB98" s="83"/>
      <c r="PPC98" s="83"/>
      <c r="PPD98" s="83"/>
      <c r="PPE98" s="83"/>
      <c r="PPF98" s="83"/>
      <c r="PPG98" s="83"/>
      <c r="PPH98" s="83"/>
      <c r="PPI98" s="83"/>
      <c r="PPJ98" s="83"/>
      <c r="PPK98" s="83"/>
      <c r="PPL98" s="83"/>
      <c r="PPM98" s="83"/>
      <c r="PPN98" s="83"/>
      <c r="PPO98" s="83"/>
      <c r="PPP98" s="83"/>
      <c r="PPQ98" s="83"/>
      <c r="PPR98" s="83"/>
      <c r="PPS98" s="83"/>
      <c r="PPT98" s="83"/>
      <c r="PPU98" s="83"/>
      <c r="PPV98" s="83"/>
      <c r="PPW98" s="83"/>
      <c r="PPX98" s="83"/>
      <c r="PPY98" s="83"/>
      <c r="PPZ98" s="83"/>
      <c r="PQA98" s="83"/>
      <c r="PQB98" s="83"/>
      <c r="PQC98" s="83"/>
      <c r="PQD98" s="83"/>
      <c r="PQE98" s="83"/>
      <c r="PQF98" s="83"/>
      <c r="PQG98" s="83"/>
      <c r="PQH98" s="83"/>
      <c r="PQI98" s="83"/>
      <c r="PQJ98" s="83"/>
      <c r="PQK98" s="83"/>
      <c r="PQL98" s="83"/>
      <c r="PQM98" s="83"/>
      <c r="PQN98" s="83"/>
      <c r="PQO98" s="83"/>
      <c r="PQP98" s="83"/>
      <c r="PQQ98" s="83"/>
      <c r="PQR98" s="83"/>
      <c r="PQS98" s="83"/>
      <c r="PQT98" s="83"/>
      <c r="PQU98" s="83"/>
      <c r="PQV98" s="83"/>
      <c r="PQW98" s="83"/>
      <c r="PQX98" s="83"/>
      <c r="PQY98" s="83"/>
      <c r="PQZ98" s="83"/>
      <c r="PRA98" s="83"/>
      <c r="PRB98" s="83"/>
      <c r="PRC98" s="83"/>
      <c r="PRD98" s="83"/>
      <c r="PRE98" s="83"/>
      <c r="PRF98" s="83"/>
      <c r="PRG98" s="83"/>
      <c r="PRH98" s="83"/>
      <c r="PRI98" s="83"/>
      <c r="PRJ98" s="83"/>
      <c r="PRK98" s="83"/>
      <c r="PRL98" s="83"/>
      <c r="PRM98" s="83"/>
      <c r="PRN98" s="83"/>
      <c r="PRO98" s="83"/>
      <c r="PRP98" s="83"/>
      <c r="PRQ98" s="83"/>
      <c r="PRR98" s="83"/>
      <c r="PRS98" s="83"/>
      <c r="PRT98" s="83"/>
      <c r="PRU98" s="83"/>
      <c r="PRV98" s="83"/>
      <c r="PRW98" s="83"/>
      <c r="PRX98" s="83"/>
      <c r="PRY98" s="83"/>
      <c r="PRZ98" s="83"/>
      <c r="PSA98" s="83"/>
      <c r="PSB98" s="83"/>
      <c r="PSC98" s="83"/>
      <c r="PSD98" s="83"/>
      <c r="PSE98" s="83"/>
      <c r="PSF98" s="83"/>
      <c r="PSG98" s="83"/>
      <c r="PSH98" s="83"/>
      <c r="PSI98" s="83"/>
      <c r="PSJ98" s="83"/>
      <c r="PSK98" s="83"/>
      <c r="PSL98" s="83"/>
      <c r="PSM98" s="83"/>
      <c r="PSN98" s="83"/>
      <c r="PSO98" s="83"/>
      <c r="PSP98" s="83"/>
      <c r="PSQ98" s="83"/>
      <c r="PSR98" s="83"/>
      <c r="PSS98" s="83"/>
      <c r="PST98" s="83"/>
      <c r="PSU98" s="83"/>
      <c r="PSV98" s="83"/>
      <c r="PSW98" s="83"/>
      <c r="PSX98" s="83"/>
      <c r="PSY98" s="83"/>
      <c r="PSZ98" s="83"/>
      <c r="PTA98" s="83"/>
      <c r="PTB98" s="83"/>
      <c r="PTC98" s="83"/>
      <c r="PTD98" s="83"/>
      <c r="PTE98" s="83"/>
      <c r="PTF98" s="83"/>
      <c r="PTG98" s="83"/>
      <c r="PTH98" s="83"/>
      <c r="PTI98" s="83"/>
      <c r="PTJ98" s="83"/>
      <c r="PTK98" s="83"/>
      <c r="PTL98" s="83"/>
      <c r="PTM98" s="83"/>
      <c r="PTN98" s="83"/>
      <c r="PTO98" s="83"/>
      <c r="PTP98" s="83"/>
      <c r="PTQ98" s="83"/>
      <c r="PTR98" s="83"/>
      <c r="PTS98" s="83"/>
      <c r="PTT98" s="83"/>
      <c r="PTU98" s="83"/>
      <c r="PTV98" s="83"/>
      <c r="PTW98" s="83"/>
      <c r="PTX98" s="83"/>
      <c r="PTY98" s="83"/>
      <c r="PTZ98" s="83"/>
      <c r="PUA98" s="83"/>
      <c r="PUB98" s="83"/>
      <c r="PUC98" s="83"/>
      <c r="PUD98" s="83"/>
      <c r="PUE98" s="83"/>
      <c r="PUF98" s="83"/>
      <c r="PUG98" s="83"/>
      <c r="PUH98" s="83"/>
      <c r="PUI98" s="83"/>
      <c r="PUJ98" s="83"/>
      <c r="PUK98" s="83"/>
      <c r="PUL98" s="83"/>
      <c r="PUM98" s="83"/>
      <c r="PUN98" s="83"/>
      <c r="PUO98" s="83"/>
      <c r="PUP98" s="83"/>
      <c r="PUQ98" s="83"/>
      <c r="PUR98" s="83"/>
      <c r="PUS98" s="83"/>
      <c r="PUT98" s="83"/>
      <c r="PUU98" s="83"/>
      <c r="PUV98" s="83"/>
      <c r="PUW98" s="83"/>
      <c r="PUX98" s="83"/>
      <c r="PUY98" s="83"/>
      <c r="PUZ98" s="83"/>
      <c r="PVA98" s="83"/>
      <c r="PVB98" s="83"/>
      <c r="PVC98" s="83"/>
      <c r="PVD98" s="83"/>
      <c r="PVE98" s="83"/>
      <c r="PVF98" s="83"/>
      <c r="PVG98" s="83"/>
      <c r="PVH98" s="83"/>
      <c r="PVI98" s="83"/>
      <c r="PVJ98" s="83"/>
      <c r="PVK98" s="83"/>
      <c r="PVL98" s="83"/>
      <c r="PVM98" s="83"/>
      <c r="PVN98" s="83"/>
      <c r="PVO98" s="83"/>
      <c r="PVP98" s="83"/>
      <c r="PVQ98" s="83"/>
      <c r="PVR98" s="83"/>
      <c r="PVS98" s="83"/>
      <c r="PVT98" s="83"/>
      <c r="PVU98" s="83"/>
      <c r="PVV98" s="83"/>
      <c r="PVW98" s="83"/>
      <c r="PVX98" s="83"/>
      <c r="PVY98" s="83"/>
      <c r="PVZ98" s="83"/>
      <c r="PWA98" s="83"/>
      <c r="PWB98" s="83"/>
      <c r="PWC98" s="83"/>
      <c r="PWD98" s="83"/>
      <c r="PWE98" s="83"/>
      <c r="PWF98" s="83"/>
      <c r="PWG98" s="83"/>
      <c r="PWH98" s="83"/>
      <c r="PWI98" s="83"/>
      <c r="PWJ98" s="83"/>
      <c r="PWK98" s="83"/>
      <c r="PWL98" s="83"/>
      <c r="PWM98" s="83"/>
      <c r="PWN98" s="83"/>
      <c r="PWO98" s="83"/>
      <c r="PWP98" s="83"/>
      <c r="PWQ98" s="83"/>
      <c r="PWR98" s="83"/>
      <c r="PWS98" s="83"/>
      <c r="PWT98" s="83"/>
      <c r="PWU98" s="83"/>
      <c r="PWV98" s="83"/>
      <c r="PWW98" s="83"/>
      <c r="PWX98" s="83"/>
      <c r="PWY98" s="83"/>
      <c r="PWZ98" s="83"/>
      <c r="PXA98" s="83"/>
      <c r="PXB98" s="83"/>
      <c r="PXC98" s="83"/>
      <c r="PXD98" s="83"/>
      <c r="PXE98" s="83"/>
      <c r="PXF98" s="83"/>
      <c r="PXG98" s="83"/>
      <c r="PXH98" s="83"/>
      <c r="PXI98" s="83"/>
      <c r="PXJ98" s="83"/>
      <c r="PXK98" s="83"/>
      <c r="PXL98" s="83"/>
      <c r="PXM98" s="83"/>
      <c r="PXN98" s="83"/>
      <c r="PXO98" s="83"/>
      <c r="PXP98" s="83"/>
      <c r="PXQ98" s="83"/>
      <c r="PXR98" s="83"/>
      <c r="PXS98" s="83"/>
      <c r="PXT98" s="83"/>
      <c r="PXU98" s="83"/>
      <c r="PXV98" s="83"/>
      <c r="PXW98" s="83"/>
      <c r="PXX98" s="83"/>
      <c r="PXY98" s="83"/>
      <c r="PXZ98" s="83"/>
      <c r="PYA98" s="83"/>
      <c r="PYB98" s="83"/>
      <c r="PYC98" s="83"/>
      <c r="PYD98" s="83"/>
      <c r="PYE98" s="83"/>
      <c r="PYF98" s="83"/>
      <c r="PYG98" s="83"/>
      <c r="PYH98" s="83"/>
      <c r="PYI98" s="83"/>
      <c r="PYJ98" s="83"/>
      <c r="PYK98" s="83"/>
      <c r="PYL98" s="83"/>
      <c r="PYM98" s="83"/>
      <c r="PYN98" s="83"/>
      <c r="PYO98" s="83"/>
      <c r="PYP98" s="83"/>
      <c r="PYQ98" s="83"/>
      <c r="PYR98" s="83"/>
      <c r="PYS98" s="83"/>
      <c r="PYT98" s="83"/>
      <c r="PYU98" s="83"/>
      <c r="PYV98" s="83"/>
      <c r="PYW98" s="83"/>
      <c r="PYX98" s="83"/>
      <c r="PYY98" s="83"/>
      <c r="PYZ98" s="83"/>
      <c r="PZA98" s="83"/>
      <c r="PZB98" s="83"/>
      <c r="PZC98" s="83"/>
      <c r="PZD98" s="83"/>
      <c r="PZE98" s="83"/>
      <c r="PZF98" s="83"/>
      <c r="PZG98" s="83"/>
      <c r="PZH98" s="83"/>
      <c r="PZI98" s="83"/>
      <c r="PZJ98" s="83"/>
      <c r="PZK98" s="83"/>
      <c r="PZL98" s="83"/>
      <c r="PZM98" s="83"/>
      <c r="PZN98" s="83"/>
      <c r="PZO98" s="83"/>
      <c r="PZP98" s="83"/>
      <c r="PZQ98" s="83"/>
      <c r="PZR98" s="83"/>
      <c r="PZS98" s="83"/>
      <c r="PZT98" s="83"/>
      <c r="PZU98" s="83"/>
      <c r="PZV98" s="83"/>
      <c r="PZW98" s="83"/>
      <c r="PZX98" s="83"/>
      <c r="PZY98" s="83"/>
      <c r="PZZ98" s="83"/>
      <c r="QAA98" s="83"/>
      <c r="QAB98" s="83"/>
      <c r="QAC98" s="83"/>
      <c r="QAD98" s="83"/>
      <c r="QAE98" s="83"/>
      <c r="QAF98" s="83"/>
      <c r="QAG98" s="83"/>
      <c r="QAH98" s="83"/>
      <c r="QAI98" s="83"/>
      <c r="QAJ98" s="83"/>
      <c r="QAK98" s="83"/>
      <c r="QAL98" s="83"/>
      <c r="QAM98" s="83"/>
      <c r="QAN98" s="83"/>
      <c r="QAO98" s="83"/>
      <c r="QAP98" s="83"/>
      <c r="QAQ98" s="83"/>
      <c r="QAR98" s="83"/>
      <c r="QAS98" s="83"/>
      <c r="QAT98" s="83"/>
      <c r="QAU98" s="83"/>
      <c r="QAV98" s="83"/>
      <c r="QAW98" s="83"/>
      <c r="QAX98" s="83"/>
      <c r="QAY98" s="83"/>
      <c r="QAZ98" s="83"/>
      <c r="QBA98" s="83"/>
      <c r="QBB98" s="83"/>
      <c r="QBC98" s="83"/>
      <c r="QBD98" s="83"/>
      <c r="QBE98" s="83"/>
      <c r="QBF98" s="83"/>
      <c r="QBG98" s="83"/>
      <c r="QBH98" s="83"/>
      <c r="QBI98" s="83"/>
      <c r="QBJ98" s="83"/>
      <c r="QBK98" s="83"/>
      <c r="QBL98" s="83"/>
      <c r="QBM98" s="83"/>
      <c r="QBN98" s="83"/>
      <c r="QBO98" s="83"/>
      <c r="QBP98" s="83"/>
      <c r="QBQ98" s="83"/>
      <c r="QBR98" s="83"/>
      <c r="QBS98" s="83"/>
      <c r="QBT98" s="83"/>
      <c r="QBU98" s="83"/>
      <c r="QBV98" s="83"/>
      <c r="QBW98" s="83"/>
      <c r="QBX98" s="83"/>
      <c r="QBY98" s="83"/>
      <c r="QBZ98" s="83"/>
      <c r="QCA98" s="83"/>
      <c r="QCB98" s="83"/>
      <c r="QCC98" s="83"/>
      <c r="QCD98" s="83"/>
      <c r="QCE98" s="83"/>
      <c r="QCF98" s="83"/>
      <c r="QCG98" s="83"/>
      <c r="QCH98" s="83"/>
      <c r="QCI98" s="83"/>
      <c r="QCJ98" s="83"/>
      <c r="QCK98" s="83"/>
      <c r="QCL98" s="83"/>
      <c r="QCM98" s="83"/>
      <c r="QCN98" s="83"/>
      <c r="QCO98" s="83"/>
      <c r="QCP98" s="83"/>
      <c r="QCQ98" s="83"/>
      <c r="QCR98" s="83"/>
      <c r="QCS98" s="83"/>
      <c r="QCT98" s="83"/>
      <c r="QCU98" s="83"/>
      <c r="QCV98" s="83"/>
      <c r="QCW98" s="83"/>
      <c r="QCX98" s="83"/>
      <c r="QCY98" s="83"/>
      <c r="QCZ98" s="83"/>
      <c r="QDA98" s="83"/>
      <c r="QDB98" s="83"/>
      <c r="QDC98" s="83"/>
      <c r="QDD98" s="83"/>
      <c r="QDE98" s="83"/>
      <c r="QDF98" s="83"/>
      <c r="QDG98" s="83"/>
      <c r="QDH98" s="83"/>
      <c r="QDI98" s="83"/>
      <c r="QDJ98" s="83"/>
      <c r="QDK98" s="83"/>
      <c r="QDL98" s="83"/>
      <c r="QDM98" s="83"/>
      <c r="QDN98" s="83"/>
      <c r="QDO98" s="83"/>
      <c r="QDP98" s="83"/>
      <c r="QDQ98" s="83"/>
      <c r="QDR98" s="83"/>
      <c r="QDS98" s="83"/>
      <c r="QDT98" s="83"/>
      <c r="QDU98" s="83"/>
      <c r="QDV98" s="83"/>
      <c r="QDW98" s="83"/>
      <c r="QDX98" s="83"/>
      <c r="QDY98" s="83"/>
      <c r="QDZ98" s="83"/>
      <c r="QEA98" s="83"/>
      <c r="QEB98" s="83"/>
      <c r="QEC98" s="83"/>
      <c r="QED98" s="83"/>
      <c r="QEE98" s="83"/>
      <c r="QEF98" s="83"/>
      <c r="QEG98" s="83"/>
      <c r="QEH98" s="83"/>
      <c r="QEI98" s="83"/>
      <c r="QEJ98" s="83"/>
      <c r="QEK98" s="83"/>
      <c r="QEL98" s="83"/>
      <c r="QEM98" s="83"/>
      <c r="QEN98" s="83"/>
      <c r="QEO98" s="83"/>
      <c r="QEP98" s="83"/>
      <c r="QEQ98" s="83"/>
      <c r="QER98" s="83"/>
      <c r="QES98" s="83"/>
      <c r="QET98" s="83"/>
      <c r="QEU98" s="83"/>
      <c r="QEV98" s="83"/>
      <c r="QEW98" s="83"/>
      <c r="QEX98" s="83"/>
      <c r="QEY98" s="83"/>
      <c r="QEZ98" s="83"/>
      <c r="QFA98" s="83"/>
      <c r="QFB98" s="83"/>
      <c r="QFC98" s="83"/>
      <c r="QFD98" s="83"/>
      <c r="QFE98" s="83"/>
      <c r="QFF98" s="83"/>
      <c r="QFG98" s="83"/>
      <c r="QFH98" s="83"/>
      <c r="QFI98" s="83"/>
      <c r="QFJ98" s="83"/>
      <c r="QFK98" s="83"/>
      <c r="QFL98" s="83"/>
      <c r="QFM98" s="83"/>
      <c r="QFN98" s="83"/>
      <c r="QFO98" s="83"/>
      <c r="QFP98" s="83"/>
      <c r="QFQ98" s="83"/>
      <c r="QFR98" s="83"/>
      <c r="QFS98" s="83"/>
      <c r="QFT98" s="83"/>
      <c r="QFU98" s="83"/>
      <c r="QFV98" s="83"/>
      <c r="QFW98" s="83"/>
      <c r="QFX98" s="83"/>
      <c r="QFY98" s="83"/>
      <c r="QFZ98" s="83"/>
      <c r="QGA98" s="83"/>
      <c r="QGB98" s="83"/>
      <c r="QGC98" s="83"/>
      <c r="QGD98" s="83"/>
      <c r="QGE98" s="83"/>
      <c r="QGF98" s="83"/>
      <c r="QGG98" s="83"/>
      <c r="QGH98" s="83"/>
      <c r="QGI98" s="83"/>
      <c r="QGJ98" s="83"/>
      <c r="QGK98" s="83"/>
      <c r="QGL98" s="83"/>
      <c r="QGM98" s="83"/>
      <c r="QGN98" s="83"/>
      <c r="QGO98" s="83"/>
      <c r="QGP98" s="83"/>
      <c r="QGQ98" s="83"/>
      <c r="QGR98" s="83"/>
      <c r="QGS98" s="83"/>
      <c r="QGT98" s="83"/>
      <c r="QGU98" s="83"/>
      <c r="QGV98" s="83"/>
      <c r="QGW98" s="83"/>
      <c r="QGX98" s="83"/>
      <c r="QGY98" s="83"/>
      <c r="QGZ98" s="83"/>
      <c r="QHA98" s="83"/>
      <c r="QHB98" s="83"/>
      <c r="QHC98" s="83"/>
      <c r="QHD98" s="83"/>
      <c r="QHE98" s="83"/>
      <c r="QHF98" s="83"/>
      <c r="QHG98" s="83"/>
      <c r="QHH98" s="83"/>
      <c r="QHI98" s="83"/>
      <c r="QHJ98" s="83"/>
      <c r="QHK98" s="83"/>
      <c r="QHL98" s="83"/>
      <c r="QHM98" s="83"/>
      <c r="QHN98" s="83"/>
      <c r="QHO98" s="83"/>
      <c r="QHP98" s="83"/>
      <c r="QHQ98" s="83"/>
      <c r="QHR98" s="83"/>
      <c r="QHS98" s="83"/>
      <c r="QHT98" s="83"/>
      <c r="QHU98" s="83"/>
      <c r="QHV98" s="83"/>
      <c r="QHW98" s="83"/>
      <c r="QHX98" s="83"/>
      <c r="QHY98" s="83"/>
      <c r="QHZ98" s="83"/>
      <c r="QIA98" s="83"/>
      <c r="QIB98" s="83"/>
      <c r="QIC98" s="83"/>
      <c r="QID98" s="83"/>
      <c r="QIE98" s="83"/>
      <c r="QIF98" s="83"/>
      <c r="QIG98" s="83"/>
      <c r="QIH98" s="83"/>
      <c r="QII98" s="83"/>
      <c r="QIJ98" s="83"/>
      <c r="QIK98" s="83"/>
      <c r="QIL98" s="83"/>
      <c r="QIM98" s="83"/>
      <c r="QIN98" s="83"/>
      <c r="QIO98" s="83"/>
      <c r="QIP98" s="83"/>
      <c r="QIQ98" s="83"/>
      <c r="QIR98" s="83"/>
      <c r="QIS98" s="83"/>
      <c r="QIT98" s="83"/>
      <c r="QIU98" s="83"/>
      <c r="QIV98" s="83"/>
      <c r="QIW98" s="83"/>
      <c r="QIX98" s="83"/>
      <c r="QIY98" s="83"/>
      <c r="QIZ98" s="83"/>
      <c r="QJA98" s="83"/>
      <c r="QJB98" s="83"/>
      <c r="QJC98" s="83"/>
      <c r="QJD98" s="83"/>
      <c r="QJE98" s="83"/>
      <c r="QJF98" s="83"/>
      <c r="QJG98" s="83"/>
      <c r="QJH98" s="83"/>
      <c r="QJI98" s="83"/>
      <c r="QJJ98" s="83"/>
      <c r="QJK98" s="83"/>
      <c r="QJL98" s="83"/>
      <c r="QJM98" s="83"/>
      <c r="QJN98" s="83"/>
      <c r="QJO98" s="83"/>
      <c r="QJP98" s="83"/>
      <c r="QJQ98" s="83"/>
      <c r="QJR98" s="83"/>
      <c r="QJS98" s="83"/>
      <c r="QJT98" s="83"/>
      <c r="QJU98" s="83"/>
      <c r="QJV98" s="83"/>
      <c r="QJW98" s="83"/>
      <c r="QJX98" s="83"/>
      <c r="QJY98" s="83"/>
      <c r="QJZ98" s="83"/>
      <c r="QKA98" s="83"/>
      <c r="QKB98" s="83"/>
      <c r="QKC98" s="83"/>
      <c r="QKD98" s="83"/>
      <c r="QKE98" s="83"/>
      <c r="QKF98" s="83"/>
      <c r="QKG98" s="83"/>
      <c r="QKH98" s="83"/>
      <c r="QKI98" s="83"/>
      <c r="QKJ98" s="83"/>
      <c r="QKK98" s="83"/>
      <c r="QKL98" s="83"/>
      <c r="QKM98" s="83"/>
      <c r="QKN98" s="83"/>
      <c r="QKO98" s="83"/>
      <c r="QKP98" s="83"/>
      <c r="QKQ98" s="83"/>
      <c r="QKR98" s="83"/>
      <c r="QKS98" s="83"/>
      <c r="QKT98" s="83"/>
      <c r="QKU98" s="83"/>
      <c r="QKV98" s="83"/>
      <c r="QKW98" s="83"/>
      <c r="QKX98" s="83"/>
      <c r="QKY98" s="83"/>
      <c r="QKZ98" s="83"/>
      <c r="QLA98" s="83"/>
      <c r="QLB98" s="83"/>
      <c r="QLC98" s="83"/>
      <c r="QLD98" s="83"/>
      <c r="QLE98" s="83"/>
      <c r="QLF98" s="83"/>
      <c r="QLG98" s="83"/>
      <c r="QLH98" s="83"/>
      <c r="QLI98" s="83"/>
      <c r="QLJ98" s="83"/>
      <c r="QLK98" s="83"/>
      <c r="QLL98" s="83"/>
      <c r="QLM98" s="83"/>
      <c r="QLN98" s="83"/>
      <c r="QLO98" s="83"/>
      <c r="QLP98" s="83"/>
      <c r="QLQ98" s="83"/>
      <c r="QLR98" s="83"/>
      <c r="QLS98" s="83"/>
      <c r="QLT98" s="83"/>
      <c r="QLU98" s="83"/>
      <c r="QLV98" s="83"/>
      <c r="QLW98" s="83"/>
      <c r="QLX98" s="83"/>
      <c r="QLY98" s="83"/>
      <c r="QLZ98" s="83"/>
      <c r="QMA98" s="83"/>
      <c r="QMB98" s="83"/>
      <c r="QMC98" s="83"/>
      <c r="QMD98" s="83"/>
      <c r="QME98" s="83"/>
      <c r="QMF98" s="83"/>
      <c r="QMG98" s="83"/>
      <c r="QMH98" s="83"/>
      <c r="QMI98" s="83"/>
      <c r="QMJ98" s="83"/>
      <c r="QMK98" s="83"/>
      <c r="QML98" s="83"/>
      <c r="QMM98" s="83"/>
      <c r="QMN98" s="83"/>
      <c r="QMO98" s="83"/>
      <c r="QMP98" s="83"/>
      <c r="QMQ98" s="83"/>
      <c r="QMR98" s="83"/>
      <c r="QMS98" s="83"/>
      <c r="QMT98" s="83"/>
      <c r="QMU98" s="83"/>
      <c r="QMV98" s="83"/>
      <c r="QMW98" s="83"/>
      <c r="QMX98" s="83"/>
      <c r="QMY98" s="83"/>
      <c r="QMZ98" s="83"/>
      <c r="QNA98" s="83"/>
      <c r="QNB98" s="83"/>
      <c r="QNC98" s="83"/>
      <c r="QND98" s="83"/>
      <c r="QNE98" s="83"/>
      <c r="QNF98" s="83"/>
      <c r="QNG98" s="83"/>
      <c r="QNH98" s="83"/>
      <c r="QNI98" s="83"/>
      <c r="QNJ98" s="83"/>
      <c r="QNK98" s="83"/>
      <c r="QNL98" s="83"/>
      <c r="QNM98" s="83"/>
      <c r="QNN98" s="83"/>
      <c r="QNO98" s="83"/>
      <c r="QNP98" s="83"/>
      <c r="QNQ98" s="83"/>
      <c r="QNR98" s="83"/>
      <c r="QNS98" s="83"/>
      <c r="QNT98" s="83"/>
      <c r="QNU98" s="83"/>
      <c r="QNV98" s="83"/>
      <c r="QNW98" s="83"/>
      <c r="QNX98" s="83"/>
      <c r="QNY98" s="83"/>
      <c r="QNZ98" s="83"/>
      <c r="QOA98" s="83"/>
      <c r="QOB98" s="83"/>
      <c r="QOC98" s="83"/>
      <c r="QOD98" s="83"/>
      <c r="QOE98" s="83"/>
      <c r="QOF98" s="83"/>
      <c r="QOG98" s="83"/>
      <c r="QOH98" s="83"/>
      <c r="QOI98" s="83"/>
      <c r="QOJ98" s="83"/>
      <c r="QOK98" s="83"/>
      <c r="QOL98" s="83"/>
      <c r="QOM98" s="83"/>
      <c r="QON98" s="83"/>
      <c r="QOO98" s="83"/>
      <c r="QOP98" s="83"/>
      <c r="QOQ98" s="83"/>
      <c r="QOR98" s="83"/>
      <c r="QOS98" s="83"/>
      <c r="QOT98" s="83"/>
      <c r="QOU98" s="83"/>
      <c r="QOV98" s="83"/>
      <c r="QOW98" s="83"/>
      <c r="QOX98" s="83"/>
      <c r="QOY98" s="83"/>
      <c r="QOZ98" s="83"/>
      <c r="QPA98" s="83"/>
      <c r="QPB98" s="83"/>
      <c r="QPC98" s="83"/>
      <c r="QPD98" s="83"/>
      <c r="QPE98" s="83"/>
      <c r="QPF98" s="83"/>
      <c r="QPG98" s="83"/>
      <c r="QPH98" s="83"/>
      <c r="QPI98" s="83"/>
      <c r="QPJ98" s="83"/>
      <c r="QPK98" s="83"/>
      <c r="QPL98" s="83"/>
      <c r="QPM98" s="83"/>
      <c r="QPN98" s="83"/>
      <c r="QPO98" s="83"/>
      <c r="QPP98" s="83"/>
      <c r="QPQ98" s="83"/>
      <c r="QPR98" s="83"/>
      <c r="QPS98" s="83"/>
      <c r="QPT98" s="83"/>
      <c r="QPU98" s="83"/>
      <c r="QPV98" s="83"/>
      <c r="QPW98" s="83"/>
      <c r="QPX98" s="83"/>
      <c r="QPY98" s="83"/>
      <c r="QPZ98" s="83"/>
      <c r="QQA98" s="83"/>
      <c r="QQB98" s="83"/>
      <c r="QQC98" s="83"/>
      <c r="QQD98" s="83"/>
      <c r="QQE98" s="83"/>
      <c r="QQF98" s="83"/>
      <c r="QQG98" s="83"/>
      <c r="QQH98" s="83"/>
      <c r="QQI98" s="83"/>
      <c r="QQJ98" s="83"/>
      <c r="QQK98" s="83"/>
      <c r="QQL98" s="83"/>
      <c r="QQM98" s="83"/>
      <c r="QQN98" s="83"/>
      <c r="QQO98" s="83"/>
      <c r="QQP98" s="83"/>
      <c r="QQQ98" s="83"/>
      <c r="QQR98" s="83"/>
      <c r="QQS98" s="83"/>
      <c r="QQT98" s="83"/>
      <c r="QQU98" s="83"/>
      <c r="QQV98" s="83"/>
      <c r="QQW98" s="83"/>
      <c r="QQX98" s="83"/>
      <c r="QQY98" s="83"/>
      <c r="QQZ98" s="83"/>
      <c r="QRA98" s="83"/>
      <c r="QRB98" s="83"/>
      <c r="QRC98" s="83"/>
      <c r="QRD98" s="83"/>
      <c r="QRE98" s="83"/>
      <c r="QRF98" s="83"/>
      <c r="QRG98" s="83"/>
      <c r="QRH98" s="83"/>
      <c r="QRI98" s="83"/>
      <c r="QRJ98" s="83"/>
      <c r="QRK98" s="83"/>
      <c r="QRL98" s="83"/>
      <c r="QRM98" s="83"/>
      <c r="QRN98" s="83"/>
      <c r="QRO98" s="83"/>
      <c r="QRP98" s="83"/>
      <c r="QRQ98" s="83"/>
      <c r="QRR98" s="83"/>
      <c r="QRS98" s="83"/>
      <c r="QRT98" s="83"/>
      <c r="QRU98" s="83"/>
      <c r="QRV98" s="83"/>
      <c r="QRW98" s="83"/>
      <c r="QRX98" s="83"/>
      <c r="QRY98" s="83"/>
      <c r="QRZ98" s="83"/>
      <c r="QSA98" s="83"/>
      <c r="QSB98" s="83"/>
      <c r="QSC98" s="83"/>
      <c r="QSD98" s="83"/>
      <c r="QSE98" s="83"/>
      <c r="QSF98" s="83"/>
      <c r="QSG98" s="83"/>
      <c r="QSH98" s="83"/>
      <c r="QSI98" s="83"/>
      <c r="QSJ98" s="83"/>
      <c r="QSK98" s="83"/>
      <c r="QSL98" s="83"/>
      <c r="QSM98" s="83"/>
      <c r="QSN98" s="83"/>
      <c r="QSO98" s="83"/>
      <c r="QSP98" s="83"/>
      <c r="QSQ98" s="83"/>
      <c r="QSR98" s="83"/>
      <c r="QSS98" s="83"/>
      <c r="QST98" s="83"/>
      <c r="QSU98" s="83"/>
      <c r="QSV98" s="83"/>
      <c r="QSW98" s="83"/>
      <c r="QSX98" s="83"/>
      <c r="QSY98" s="83"/>
      <c r="QSZ98" s="83"/>
      <c r="QTA98" s="83"/>
      <c r="QTB98" s="83"/>
      <c r="QTC98" s="83"/>
      <c r="QTD98" s="83"/>
      <c r="QTE98" s="83"/>
      <c r="QTF98" s="83"/>
      <c r="QTG98" s="83"/>
      <c r="QTH98" s="83"/>
      <c r="QTI98" s="83"/>
      <c r="QTJ98" s="83"/>
      <c r="QTK98" s="83"/>
      <c r="QTL98" s="83"/>
      <c r="QTM98" s="83"/>
      <c r="QTN98" s="83"/>
      <c r="QTO98" s="83"/>
      <c r="QTP98" s="83"/>
      <c r="QTQ98" s="83"/>
      <c r="QTR98" s="83"/>
      <c r="QTS98" s="83"/>
      <c r="QTT98" s="83"/>
      <c r="QTU98" s="83"/>
      <c r="QTV98" s="83"/>
      <c r="QTW98" s="83"/>
      <c r="QTX98" s="83"/>
      <c r="QTY98" s="83"/>
      <c r="QTZ98" s="83"/>
      <c r="QUA98" s="83"/>
      <c r="QUB98" s="83"/>
      <c r="QUC98" s="83"/>
      <c r="QUD98" s="83"/>
      <c r="QUE98" s="83"/>
      <c r="QUF98" s="83"/>
      <c r="QUG98" s="83"/>
      <c r="QUH98" s="83"/>
      <c r="QUI98" s="83"/>
      <c r="QUJ98" s="83"/>
      <c r="QUK98" s="83"/>
      <c r="QUL98" s="83"/>
      <c r="QUM98" s="83"/>
      <c r="QUN98" s="83"/>
      <c r="QUO98" s="83"/>
      <c r="QUP98" s="83"/>
      <c r="QUQ98" s="83"/>
      <c r="QUR98" s="83"/>
      <c r="QUS98" s="83"/>
      <c r="QUT98" s="83"/>
      <c r="QUU98" s="83"/>
      <c r="QUV98" s="83"/>
      <c r="QUW98" s="83"/>
      <c r="QUX98" s="83"/>
      <c r="QUY98" s="83"/>
      <c r="QUZ98" s="83"/>
      <c r="QVA98" s="83"/>
      <c r="QVB98" s="83"/>
      <c r="QVC98" s="83"/>
      <c r="QVD98" s="83"/>
      <c r="QVE98" s="83"/>
      <c r="QVF98" s="83"/>
      <c r="QVG98" s="83"/>
      <c r="QVH98" s="83"/>
      <c r="QVI98" s="83"/>
      <c r="QVJ98" s="83"/>
      <c r="QVK98" s="83"/>
      <c r="QVL98" s="83"/>
      <c r="QVM98" s="83"/>
      <c r="QVN98" s="83"/>
      <c r="QVO98" s="83"/>
      <c r="QVP98" s="83"/>
      <c r="QVQ98" s="83"/>
      <c r="QVR98" s="83"/>
      <c r="QVS98" s="83"/>
      <c r="QVT98" s="83"/>
      <c r="QVU98" s="83"/>
      <c r="QVV98" s="83"/>
      <c r="QVW98" s="83"/>
      <c r="QVX98" s="83"/>
      <c r="QVY98" s="83"/>
      <c r="QVZ98" s="83"/>
      <c r="QWA98" s="83"/>
      <c r="QWB98" s="83"/>
      <c r="QWC98" s="83"/>
      <c r="QWD98" s="83"/>
      <c r="QWE98" s="83"/>
      <c r="QWF98" s="83"/>
      <c r="QWG98" s="83"/>
      <c r="QWH98" s="83"/>
      <c r="QWI98" s="83"/>
      <c r="QWJ98" s="83"/>
      <c r="QWK98" s="83"/>
      <c r="QWL98" s="83"/>
      <c r="QWM98" s="83"/>
      <c r="QWN98" s="83"/>
      <c r="QWO98" s="83"/>
      <c r="QWP98" s="83"/>
      <c r="QWQ98" s="83"/>
      <c r="QWR98" s="83"/>
      <c r="QWS98" s="83"/>
      <c r="QWT98" s="83"/>
      <c r="QWU98" s="83"/>
      <c r="QWV98" s="83"/>
      <c r="QWW98" s="83"/>
      <c r="QWX98" s="83"/>
      <c r="QWY98" s="83"/>
      <c r="QWZ98" s="83"/>
      <c r="QXA98" s="83"/>
      <c r="QXB98" s="83"/>
      <c r="QXC98" s="83"/>
      <c r="QXD98" s="83"/>
      <c r="QXE98" s="83"/>
      <c r="QXF98" s="83"/>
      <c r="QXG98" s="83"/>
      <c r="QXH98" s="83"/>
      <c r="QXI98" s="83"/>
      <c r="QXJ98" s="83"/>
      <c r="QXK98" s="83"/>
      <c r="QXL98" s="83"/>
      <c r="QXM98" s="83"/>
      <c r="QXN98" s="83"/>
      <c r="QXO98" s="83"/>
      <c r="QXP98" s="83"/>
      <c r="QXQ98" s="83"/>
      <c r="QXR98" s="83"/>
      <c r="QXS98" s="83"/>
      <c r="QXT98" s="83"/>
      <c r="QXU98" s="83"/>
      <c r="QXV98" s="83"/>
      <c r="QXW98" s="83"/>
      <c r="QXX98" s="83"/>
      <c r="QXY98" s="83"/>
      <c r="QXZ98" s="83"/>
      <c r="QYA98" s="83"/>
      <c r="QYB98" s="83"/>
      <c r="QYC98" s="83"/>
      <c r="QYD98" s="83"/>
      <c r="QYE98" s="83"/>
      <c r="QYF98" s="83"/>
      <c r="QYG98" s="83"/>
      <c r="QYH98" s="83"/>
      <c r="QYI98" s="83"/>
      <c r="QYJ98" s="83"/>
      <c r="QYK98" s="83"/>
      <c r="QYL98" s="83"/>
      <c r="QYM98" s="83"/>
      <c r="QYN98" s="83"/>
      <c r="QYO98" s="83"/>
      <c r="QYP98" s="83"/>
      <c r="QYQ98" s="83"/>
      <c r="QYR98" s="83"/>
      <c r="QYS98" s="83"/>
      <c r="QYT98" s="83"/>
      <c r="QYU98" s="83"/>
      <c r="QYV98" s="83"/>
      <c r="QYW98" s="83"/>
      <c r="QYX98" s="83"/>
      <c r="QYY98" s="83"/>
      <c r="QYZ98" s="83"/>
      <c r="QZA98" s="83"/>
      <c r="QZB98" s="83"/>
      <c r="QZC98" s="83"/>
      <c r="QZD98" s="83"/>
      <c r="QZE98" s="83"/>
      <c r="QZF98" s="83"/>
      <c r="QZG98" s="83"/>
      <c r="QZH98" s="83"/>
      <c r="QZI98" s="83"/>
      <c r="QZJ98" s="83"/>
      <c r="QZK98" s="83"/>
      <c r="QZL98" s="83"/>
      <c r="QZM98" s="83"/>
      <c r="QZN98" s="83"/>
      <c r="QZO98" s="83"/>
      <c r="QZP98" s="83"/>
      <c r="QZQ98" s="83"/>
      <c r="QZR98" s="83"/>
      <c r="QZS98" s="83"/>
      <c r="QZT98" s="83"/>
      <c r="QZU98" s="83"/>
      <c r="QZV98" s="83"/>
      <c r="QZW98" s="83"/>
      <c r="QZX98" s="83"/>
      <c r="QZY98" s="83"/>
      <c r="QZZ98" s="83"/>
      <c r="RAA98" s="83"/>
      <c r="RAB98" s="83"/>
      <c r="RAC98" s="83"/>
      <c r="RAD98" s="83"/>
      <c r="RAE98" s="83"/>
      <c r="RAF98" s="83"/>
      <c r="RAG98" s="83"/>
      <c r="RAH98" s="83"/>
      <c r="RAI98" s="83"/>
      <c r="RAJ98" s="83"/>
      <c r="RAK98" s="83"/>
      <c r="RAL98" s="83"/>
      <c r="RAM98" s="83"/>
      <c r="RAN98" s="83"/>
      <c r="RAO98" s="83"/>
      <c r="RAP98" s="83"/>
      <c r="RAQ98" s="83"/>
      <c r="RAR98" s="83"/>
      <c r="RAS98" s="83"/>
      <c r="RAT98" s="83"/>
      <c r="RAU98" s="83"/>
      <c r="RAV98" s="83"/>
      <c r="RAW98" s="83"/>
      <c r="RAX98" s="83"/>
      <c r="RAY98" s="83"/>
      <c r="RAZ98" s="83"/>
      <c r="RBA98" s="83"/>
      <c r="RBB98" s="83"/>
      <c r="RBC98" s="83"/>
      <c r="RBD98" s="83"/>
      <c r="RBE98" s="83"/>
      <c r="RBF98" s="83"/>
      <c r="RBG98" s="83"/>
      <c r="RBH98" s="83"/>
      <c r="RBI98" s="83"/>
      <c r="RBJ98" s="83"/>
      <c r="RBK98" s="83"/>
      <c r="RBL98" s="83"/>
      <c r="RBM98" s="83"/>
      <c r="RBN98" s="83"/>
      <c r="RBO98" s="83"/>
      <c r="RBP98" s="83"/>
      <c r="RBQ98" s="83"/>
      <c r="RBR98" s="83"/>
      <c r="RBS98" s="83"/>
      <c r="RBT98" s="83"/>
      <c r="RBU98" s="83"/>
      <c r="RBV98" s="83"/>
      <c r="RBW98" s="83"/>
      <c r="RBX98" s="83"/>
      <c r="RBY98" s="83"/>
      <c r="RBZ98" s="83"/>
      <c r="RCA98" s="83"/>
      <c r="RCB98" s="83"/>
      <c r="RCC98" s="83"/>
      <c r="RCD98" s="83"/>
      <c r="RCE98" s="83"/>
      <c r="RCF98" s="83"/>
      <c r="RCG98" s="83"/>
      <c r="RCH98" s="83"/>
      <c r="RCI98" s="83"/>
      <c r="RCJ98" s="83"/>
      <c r="RCK98" s="83"/>
      <c r="RCL98" s="83"/>
      <c r="RCM98" s="83"/>
      <c r="RCN98" s="83"/>
      <c r="RCO98" s="83"/>
      <c r="RCP98" s="83"/>
      <c r="RCQ98" s="83"/>
      <c r="RCR98" s="83"/>
      <c r="RCS98" s="83"/>
      <c r="RCT98" s="83"/>
      <c r="RCU98" s="83"/>
      <c r="RCV98" s="83"/>
      <c r="RCW98" s="83"/>
      <c r="RCX98" s="83"/>
      <c r="RCY98" s="83"/>
      <c r="RCZ98" s="83"/>
      <c r="RDA98" s="83"/>
      <c r="RDB98" s="83"/>
      <c r="RDC98" s="83"/>
      <c r="RDD98" s="83"/>
      <c r="RDE98" s="83"/>
      <c r="RDF98" s="83"/>
      <c r="RDG98" s="83"/>
      <c r="RDH98" s="83"/>
      <c r="RDI98" s="83"/>
      <c r="RDJ98" s="83"/>
      <c r="RDK98" s="83"/>
      <c r="RDL98" s="83"/>
      <c r="RDM98" s="83"/>
      <c r="RDN98" s="83"/>
      <c r="RDO98" s="83"/>
      <c r="RDP98" s="83"/>
      <c r="RDQ98" s="83"/>
      <c r="RDR98" s="83"/>
      <c r="RDS98" s="83"/>
      <c r="RDT98" s="83"/>
      <c r="RDU98" s="83"/>
      <c r="RDV98" s="83"/>
      <c r="RDW98" s="83"/>
      <c r="RDX98" s="83"/>
      <c r="RDY98" s="83"/>
      <c r="RDZ98" s="83"/>
      <c r="REA98" s="83"/>
      <c r="REB98" s="83"/>
      <c r="REC98" s="83"/>
      <c r="RED98" s="83"/>
      <c r="REE98" s="83"/>
      <c r="REF98" s="83"/>
      <c r="REG98" s="83"/>
      <c r="REH98" s="83"/>
      <c r="REI98" s="83"/>
      <c r="REJ98" s="83"/>
      <c r="REK98" s="83"/>
      <c r="REL98" s="83"/>
      <c r="REM98" s="83"/>
      <c r="REN98" s="83"/>
      <c r="REO98" s="83"/>
      <c r="REP98" s="83"/>
      <c r="REQ98" s="83"/>
      <c r="RER98" s="83"/>
      <c r="RES98" s="83"/>
      <c r="RET98" s="83"/>
      <c r="REU98" s="83"/>
      <c r="REV98" s="83"/>
      <c r="REW98" s="83"/>
      <c r="REX98" s="83"/>
      <c r="REY98" s="83"/>
      <c r="REZ98" s="83"/>
      <c r="RFA98" s="83"/>
      <c r="RFB98" s="83"/>
      <c r="RFC98" s="83"/>
      <c r="RFD98" s="83"/>
      <c r="RFE98" s="83"/>
      <c r="RFF98" s="83"/>
      <c r="RFG98" s="83"/>
      <c r="RFH98" s="83"/>
      <c r="RFI98" s="83"/>
      <c r="RFJ98" s="83"/>
      <c r="RFK98" s="83"/>
      <c r="RFL98" s="83"/>
      <c r="RFM98" s="83"/>
      <c r="RFN98" s="83"/>
      <c r="RFO98" s="83"/>
      <c r="RFP98" s="83"/>
      <c r="RFQ98" s="83"/>
      <c r="RFR98" s="83"/>
      <c r="RFS98" s="83"/>
      <c r="RFT98" s="83"/>
      <c r="RFU98" s="83"/>
      <c r="RFV98" s="83"/>
      <c r="RFW98" s="83"/>
      <c r="RFX98" s="83"/>
      <c r="RFY98" s="83"/>
      <c r="RFZ98" s="83"/>
      <c r="RGA98" s="83"/>
      <c r="RGB98" s="83"/>
      <c r="RGC98" s="83"/>
      <c r="RGD98" s="83"/>
      <c r="RGE98" s="83"/>
      <c r="RGF98" s="83"/>
      <c r="RGG98" s="83"/>
      <c r="RGH98" s="83"/>
      <c r="RGI98" s="83"/>
      <c r="RGJ98" s="83"/>
      <c r="RGK98" s="83"/>
      <c r="RGL98" s="83"/>
      <c r="RGM98" s="83"/>
      <c r="RGN98" s="83"/>
      <c r="RGO98" s="83"/>
      <c r="RGP98" s="83"/>
      <c r="RGQ98" s="83"/>
      <c r="RGR98" s="83"/>
      <c r="RGS98" s="83"/>
      <c r="RGT98" s="83"/>
      <c r="RGU98" s="83"/>
      <c r="RGV98" s="83"/>
      <c r="RGW98" s="83"/>
      <c r="RGX98" s="83"/>
      <c r="RGY98" s="83"/>
      <c r="RGZ98" s="83"/>
      <c r="RHA98" s="83"/>
      <c r="RHB98" s="83"/>
      <c r="RHC98" s="83"/>
      <c r="RHD98" s="83"/>
      <c r="RHE98" s="83"/>
      <c r="RHF98" s="83"/>
      <c r="RHG98" s="83"/>
      <c r="RHH98" s="83"/>
      <c r="RHI98" s="83"/>
      <c r="RHJ98" s="83"/>
      <c r="RHK98" s="83"/>
      <c r="RHL98" s="83"/>
      <c r="RHM98" s="83"/>
      <c r="RHN98" s="83"/>
      <c r="RHO98" s="83"/>
      <c r="RHP98" s="83"/>
      <c r="RHQ98" s="83"/>
      <c r="RHR98" s="83"/>
      <c r="RHS98" s="83"/>
      <c r="RHT98" s="83"/>
      <c r="RHU98" s="83"/>
      <c r="RHV98" s="83"/>
      <c r="RHW98" s="83"/>
      <c r="RHX98" s="83"/>
      <c r="RHY98" s="83"/>
      <c r="RHZ98" s="83"/>
      <c r="RIA98" s="83"/>
      <c r="RIB98" s="83"/>
      <c r="RIC98" s="83"/>
      <c r="RID98" s="83"/>
      <c r="RIE98" s="83"/>
      <c r="RIF98" s="83"/>
      <c r="RIG98" s="83"/>
      <c r="RIH98" s="83"/>
      <c r="RII98" s="83"/>
      <c r="RIJ98" s="83"/>
      <c r="RIK98" s="83"/>
      <c r="RIL98" s="83"/>
      <c r="RIM98" s="83"/>
      <c r="RIN98" s="83"/>
      <c r="RIO98" s="83"/>
      <c r="RIP98" s="83"/>
      <c r="RIQ98" s="83"/>
      <c r="RIR98" s="83"/>
      <c r="RIS98" s="83"/>
      <c r="RIT98" s="83"/>
      <c r="RIU98" s="83"/>
      <c r="RIV98" s="83"/>
      <c r="RIW98" s="83"/>
      <c r="RIX98" s="83"/>
      <c r="RIY98" s="83"/>
      <c r="RIZ98" s="83"/>
      <c r="RJA98" s="83"/>
      <c r="RJB98" s="83"/>
      <c r="RJC98" s="83"/>
      <c r="RJD98" s="83"/>
      <c r="RJE98" s="83"/>
      <c r="RJF98" s="83"/>
      <c r="RJG98" s="83"/>
      <c r="RJH98" s="83"/>
      <c r="RJI98" s="83"/>
      <c r="RJJ98" s="83"/>
      <c r="RJK98" s="83"/>
      <c r="RJL98" s="83"/>
      <c r="RJM98" s="83"/>
      <c r="RJN98" s="83"/>
      <c r="RJO98" s="83"/>
      <c r="RJP98" s="83"/>
      <c r="RJQ98" s="83"/>
      <c r="RJR98" s="83"/>
      <c r="RJS98" s="83"/>
      <c r="RJT98" s="83"/>
      <c r="RJU98" s="83"/>
      <c r="RJV98" s="83"/>
      <c r="RJW98" s="83"/>
      <c r="RJX98" s="83"/>
      <c r="RJY98" s="83"/>
      <c r="RJZ98" s="83"/>
      <c r="RKA98" s="83"/>
      <c r="RKB98" s="83"/>
      <c r="RKC98" s="83"/>
      <c r="RKD98" s="83"/>
      <c r="RKE98" s="83"/>
      <c r="RKF98" s="83"/>
      <c r="RKG98" s="83"/>
      <c r="RKH98" s="83"/>
      <c r="RKI98" s="83"/>
      <c r="RKJ98" s="83"/>
      <c r="RKK98" s="83"/>
      <c r="RKL98" s="83"/>
      <c r="RKM98" s="83"/>
      <c r="RKN98" s="83"/>
      <c r="RKO98" s="83"/>
      <c r="RKP98" s="83"/>
      <c r="RKQ98" s="83"/>
      <c r="RKR98" s="83"/>
      <c r="RKS98" s="83"/>
      <c r="RKT98" s="83"/>
      <c r="RKU98" s="83"/>
      <c r="RKV98" s="83"/>
      <c r="RKW98" s="83"/>
      <c r="RKX98" s="83"/>
      <c r="RKY98" s="83"/>
      <c r="RKZ98" s="83"/>
      <c r="RLA98" s="83"/>
      <c r="RLB98" s="83"/>
      <c r="RLC98" s="83"/>
      <c r="RLD98" s="83"/>
      <c r="RLE98" s="83"/>
      <c r="RLF98" s="83"/>
      <c r="RLG98" s="83"/>
      <c r="RLH98" s="83"/>
      <c r="RLI98" s="83"/>
      <c r="RLJ98" s="83"/>
      <c r="RLK98" s="83"/>
      <c r="RLL98" s="83"/>
      <c r="RLM98" s="83"/>
      <c r="RLN98" s="83"/>
      <c r="RLO98" s="83"/>
      <c r="RLP98" s="83"/>
      <c r="RLQ98" s="83"/>
      <c r="RLR98" s="83"/>
      <c r="RLS98" s="83"/>
      <c r="RLT98" s="83"/>
      <c r="RLU98" s="83"/>
      <c r="RLV98" s="83"/>
      <c r="RLW98" s="83"/>
      <c r="RLX98" s="83"/>
      <c r="RLY98" s="83"/>
      <c r="RLZ98" s="83"/>
      <c r="RMA98" s="83"/>
      <c r="RMB98" s="83"/>
      <c r="RMC98" s="83"/>
      <c r="RMD98" s="83"/>
      <c r="RME98" s="83"/>
      <c r="RMF98" s="83"/>
      <c r="RMG98" s="83"/>
      <c r="RMH98" s="83"/>
      <c r="RMI98" s="83"/>
      <c r="RMJ98" s="83"/>
      <c r="RMK98" s="83"/>
      <c r="RML98" s="83"/>
      <c r="RMM98" s="83"/>
      <c r="RMN98" s="83"/>
      <c r="RMO98" s="83"/>
      <c r="RMP98" s="83"/>
      <c r="RMQ98" s="83"/>
      <c r="RMR98" s="83"/>
      <c r="RMS98" s="83"/>
      <c r="RMT98" s="83"/>
      <c r="RMU98" s="83"/>
      <c r="RMV98" s="83"/>
      <c r="RMW98" s="83"/>
      <c r="RMX98" s="83"/>
      <c r="RMY98" s="83"/>
      <c r="RMZ98" s="83"/>
      <c r="RNA98" s="83"/>
      <c r="RNB98" s="83"/>
      <c r="RNC98" s="83"/>
      <c r="RND98" s="83"/>
      <c r="RNE98" s="83"/>
      <c r="RNF98" s="83"/>
      <c r="RNG98" s="83"/>
      <c r="RNH98" s="83"/>
      <c r="RNI98" s="83"/>
      <c r="RNJ98" s="83"/>
      <c r="RNK98" s="83"/>
      <c r="RNL98" s="83"/>
      <c r="RNM98" s="83"/>
      <c r="RNN98" s="83"/>
      <c r="RNO98" s="83"/>
      <c r="RNP98" s="83"/>
      <c r="RNQ98" s="83"/>
      <c r="RNR98" s="83"/>
      <c r="RNS98" s="83"/>
      <c r="RNT98" s="83"/>
      <c r="RNU98" s="83"/>
      <c r="RNV98" s="83"/>
      <c r="RNW98" s="83"/>
      <c r="RNX98" s="83"/>
      <c r="RNY98" s="83"/>
      <c r="RNZ98" s="83"/>
      <c r="ROA98" s="83"/>
      <c r="ROB98" s="83"/>
      <c r="ROC98" s="83"/>
      <c r="ROD98" s="83"/>
      <c r="ROE98" s="83"/>
      <c r="ROF98" s="83"/>
      <c r="ROG98" s="83"/>
      <c r="ROH98" s="83"/>
      <c r="ROI98" s="83"/>
      <c r="ROJ98" s="83"/>
      <c r="ROK98" s="83"/>
      <c r="ROL98" s="83"/>
      <c r="ROM98" s="83"/>
      <c r="RON98" s="83"/>
      <c r="ROO98" s="83"/>
      <c r="ROP98" s="83"/>
      <c r="ROQ98" s="83"/>
      <c r="ROR98" s="83"/>
      <c r="ROS98" s="83"/>
      <c r="ROT98" s="83"/>
      <c r="ROU98" s="83"/>
      <c r="ROV98" s="83"/>
      <c r="ROW98" s="83"/>
      <c r="ROX98" s="83"/>
      <c r="ROY98" s="83"/>
      <c r="ROZ98" s="83"/>
      <c r="RPA98" s="83"/>
      <c r="RPB98" s="83"/>
      <c r="RPC98" s="83"/>
      <c r="RPD98" s="83"/>
      <c r="RPE98" s="83"/>
      <c r="RPF98" s="83"/>
      <c r="RPG98" s="83"/>
      <c r="RPH98" s="83"/>
      <c r="RPI98" s="83"/>
      <c r="RPJ98" s="83"/>
      <c r="RPK98" s="83"/>
      <c r="RPL98" s="83"/>
      <c r="RPM98" s="83"/>
      <c r="RPN98" s="83"/>
      <c r="RPO98" s="83"/>
      <c r="RPP98" s="83"/>
      <c r="RPQ98" s="83"/>
      <c r="RPR98" s="83"/>
      <c r="RPS98" s="83"/>
      <c r="RPT98" s="83"/>
      <c r="RPU98" s="83"/>
      <c r="RPV98" s="83"/>
      <c r="RPW98" s="83"/>
      <c r="RPX98" s="83"/>
      <c r="RPY98" s="83"/>
      <c r="RPZ98" s="83"/>
      <c r="RQA98" s="83"/>
      <c r="RQB98" s="83"/>
      <c r="RQC98" s="83"/>
      <c r="RQD98" s="83"/>
      <c r="RQE98" s="83"/>
      <c r="RQF98" s="83"/>
      <c r="RQG98" s="83"/>
      <c r="RQH98" s="83"/>
      <c r="RQI98" s="83"/>
      <c r="RQJ98" s="83"/>
      <c r="RQK98" s="83"/>
      <c r="RQL98" s="83"/>
      <c r="RQM98" s="83"/>
      <c r="RQN98" s="83"/>
      <c r="RQO98" s="83"/>
      <c r="RQP98" s="83"/>
      <c r="RQQ98" s="83"/>
      <c r="RQR98" s="83"/>
      <c r="RQS98" s="83"/>
      <c r="RQT98" s="83"/>
      <c r="RQU98" s="83"/>
      <c r="RQV98" s="83"/>
      <c r="RQW98" s="83"/>
      <c r="RQX98" s="83"/>
      <c r="RQY98" s="83"/>
      <c r="RQZ98" s="83"/>
      <c r="RRA98" s="83"/>
      <c r="RRB98" s="83"/>
      <c r="RRC98" s="83"/>
      <c r="RRD98" s="83"/>
      <c r="RRE98" s="83"/>
      <c r="RRF98" s="83"/>
      <c r="RRG98" s="83"/>
      <c r="RRH98" s="83"/>
      <c r="RRI98" s="83"/>
      <c r="RRJ98" s="83"/>
      <c r="RRK98" s="83"/>
      <c r="RRL98" s="83"/>
      <c r="RRM98" s="83"/>
      <c r="RRN98" s="83"/>
      <c r="RRO98" s="83"/>
      <c r="RRP98" s="83"/>
      <c r="RRQ98" s="83"/>
      <c r="RRR98" s="83"/>
      <c r="RRS98" s="83"/>
      <c r="RRT98" s="83"/>
      <c r="RRU98" s="83"/>
      <c r="RRV98" s="83"/>
      <c r="RRW98" s="83"/>
      <c r="RRX98" s="83"/>
      <c r="RRY98" s="83"/>
      <c r="RRZ98" s="83"/>
      <c r="RSA98" s="83"/>
      <c r="RSB98" s="83"/>
      <c r="RSC98" s="83"/>
      <c r="RSD98" s="83"/>
      <c r="RSE98" s="83"/>
      <c r="RSF98" s="83"/>
      <c r="RSG98" s="83"/>
      <c r="RSH98" s="83"/>
      <c r="RSI98" s="83"/>
      <c r="RSJ98" s="83"/>
      <c r="RSK98" s="83"/>
      <c r="RSL98" s="83"/>
      <c r="RSM98" s="83"/>
      <c r="RSN98" s="83"/>
      <c r="RSO98" s="83"/>
      <c r="RSP98" s="83"/>
      <c r="RSQ98" s="83"/>
      <c r="RSR98" s="83"/>
      <c r="RSS98" s="83"/>
      <c r="RST98" s="83"/>
      <c r="RSU98" s="83"/>
      <c r="RSV98" s="83"/>
      <c r="RSW98" s="83"/>
      <c r="RSX98" s="83"/>
      <c r="RSY98" s="83"/>
      <c r="RSZ98" s="83"/>
      <c r="RTA98" s="83"/>
      <c r="RTB98" s="83"/>
      <c r="RTC98" s="83"/>
      <c r="RTD98" s="83"/>
      <c r="RTE98" s="83"/>
      <c r="RTF98" s="83"/>
      <c r="RTG98" s="83"/>
      <c r="RTH98" s="83"/>
      <c r="RTI98" s="83"/>
      <c r="RTJ98" s="83"/>
      <c r="RTK98" s="83"/>
      <c r="RTL98" s="83"/>
      <c r="RTM98" s="83"/>
      <c r="RTN98" s="83"/>
      <c r="RTO98" s="83"/>
      <c r="RTP98" s="83"/>
      <c r="RTQ98" s="83"/>
      <c r="RTR98" s="83"/>
      <c r="RTS98" s="83"/>
      <c r="RTT98" s="83"/>
      <c r="RTU98" s="83"/>
      <c r="RTV98" s="83"/>
      <c r="RTW98" s="83"/>
      <c r="RTX98" s="83"/>
      <c r="RTY98" s="83"/>
      <c r="RTZ98" s="83"/>
      <c r="RUA98" s="83"/>
      <c r="RUB98" s="83"/>
      <c r="RUC98" s="83"/>
      <c r="RUD98" s="83"/>
      <c r="RUE98" s="83"/>
      <c r="RUF98" s="83"/>
      <c r="RUG98" s="83"/>
      <c r="RUH98" s="83"/>
      <c r="RUI98" s="83"/>
      <c r="RUJ98" s="83"/>
      <c r="RUK98" s="83"/>
      <c r="RUL98" s="83"/>
      <c r="RUM98" s="83"/>
      <c r="RUN98" s="83"/>
      <c r="RUO98" s="83"/>
      <c r="RUP98" s="83"/>
      <c r="RUQ98" s="83"/>
      <c r="RUR98" s="83"/>
      <c r="RUS98" s="83"/>
      <c r="RUT98" s="83"/>
      <c r="RUU98" s="83"/>
      <c r="RUV98" s="83"/>
      <c r="RUW98" s="83"/>
      <c r="RUX98" s="83"/>
      <c r="RUY98" s="83"/>
      <c r="RUZ98" s="83"/>
      <c r="RVA98" s="83"/>
      <c r="RVB98" s="83"/>
      <c r="RVC98" s="83"/>
      <c r="RVD98" s="83"/>
      <c r="RVE98" s="83"/>
      <c r="RVF98" s="83"/>
      <c r="RVG98" s="83"/>
      <c r="RVH98" s="83"/>
      <c r="RVI98" s="83"/>
      <c r="RVJ98" s="83"/>
      <c r="RVK98" s="83"/>
      <c r="RVL98" s="83"/>
      <c r="RVM98" s="83"/>
      <c r="RVN98" s="83"/>
      <c r="RVO98" s="83"/>
      <c r="RVP98" s="83"/>
      <c r="RVQ98" s="83"/>
      <c r="RVR98" s="83"/>
      <c r="RVS98" s="83"/>
      <c r="RVT98" s="83"/>
      <c r="RVU98" s="83"/>
      <c r="RVV98" s="83"/>
      <c r="RVW98" s="83"/>
      <c r="RVX98" s="83"/>
      <c r="RVY98" s="83"/>
      <c r="RVZ98" s="83"/>
      <c r="RWA98" s="83"/>
      <c r="RWB98" s="83"/>
      <c r="RWC98" s="83"/>
      <c r="RWD98" s="83"/>
      <c r="RWE98" s="83"/>
      <c r="RWF98" s="83"/>
      <c r="RWG98" s="83"/>
      <c r="RWH98" s="83"/>
      <c r="RWI98" s="83"/>
      <c r="RWJ98" s="83"/>
      <c r="RWK98" s="83"/>
      <c r="RWL98" s="83"/>
      <c r="RWM98" s="83"/>
      <c r="RWN98" s="83"/>
      <c r="RWO98" s="83"/>
      <c r="RWP98" s="83"/>
      <c r="RWQ98" s="83"/>
      <c r="RWR98" s="83"/>
      <c r="RWS98" s="83"/>
      <c r="RWT98" s="83"/>
      <c r="RWU98" s="83"/>
      <c r="RWV98" s="83"/>
      <c r="RWW98" s="83"/>
      <c r="RWX98" s="83"/>
      <c r="RWY98" s="83"/>
      <c r="RWZ98" s="83"/>
      <c r="RXA98" s="83"/>
      <c r="RXB98" s="83"/>
      <c r="RXC98" s="83"/>
      <c r="RXD98" s="83"/>
      <c r="RXE98" s="83"/>
      <c r="RXF98" s="83"/>
      <c r="RXG98" s="83"/>
      <c r="RXH98" s="83"/>
      <c r="RXI98" s="83"/>
      <c r="RXJ98" s="83"/>
      <c r="RXK98" s="83"/>
      <c r="RXL98" s="83"/>
      <c r="RXM98" s="83"/>
      <c r="RXN98" s="83"/>
      <c r="RXO98" s="83"/>
      <c r="RXP98" s="83"/>
      <c r="RXQ98" s="83"/>
      <c r="RXR98" s="83"/>
      <c r="RXS98" s="83"/>
      <c r="RXT98" s="83"/>
      <c r="RXU98" s="83"/>
      <c r="RXV98" s="83"/>
      <c r="RXW98" s="83"/>
      <c r="RXX98" s="83"/>
      <c r="RXY98" s="83"/>
      <c r="RXZ98" s="83"/>
      <c r="RYA98" s="83"/>
      <c r="RYB98" s="83"/>
      <c r="RYC98" s="83"/>
      <c r="RYD98" s="83"/>
      <c r="RYE98" s="83"/>
      <c r="RYF98" s="83"/>
      <c r="RYG98" s="83"/>
      <c r="RYH98" s="83"/>
      <c r="RYI98" s="83"/>
      <c r="RYJ98" s="83"/>
      <c r="RYK98" s="83"/>
      <c r="RYL98" s="83"/>
      <c r="RYM98" s="83"/>
      <c r="RYN98" s="83"/>
      <c r="RYO98" s="83"/>
      <c r="RYP98" s="83"/>
      <c r="RYQ98" s="83"/>
      <c r="RYR98" s="83"/>
      <c r="RYS98" s="83"/>
      <c r="RYT98" s="83"/>
      <c r="RYU98" s="83"/>
      <c r="RYV98" s="83"/>
      <c r="RYW98" s="83"/>
      <c r="RYX98" s="83"/>
      <c r="RYY98" s="83"/>
      <c r="RYZ98" s="83"/>
      <c r="RZA98" s="83"/>
      <c r="RZB98" s="83"/>
      <c r="RZC98" s="83"/>
      <c r="RZD98" s="83"/>
      <c r="RZE98" s="83"/>
      <c r="RZF98" s="83"/>
      <c r="RZG98" s="83"/>
      <c r="RZH98" s="83"/>
      <c r="RZI98" s="83"/>
      <c r="RZJ98" s="83"/>
      <c r="RZK98" s="83"/>
      <c r="RZL98" s="83"/>
      <c r="RZM98" s="83"/>
      <c r="RZN98" s="83"/>
      <c r="RZO98" s="83"/>
      <c r="RZP98" s="83"/>
      <c r="RZQ98" s="83"/>
      <c r="RZR98" s="83"/>
      <c r="RZS98" s="83"/>
      <c r="RZT98" s="83"/>
      <c r="RZU98" s="83"/>
      <c r="RZV98" s="83"/>
      <c r="RZW98" s="83"/>
      <c r="RZX98" s="83"/>
      <c r="RZY98" s="83"/>
      <c r="RZZ98" s="83"/>
      <c r="SAA98" s="83"/>
      <c r="SAB98" s="83"/>
      <c r="SAC98" s="83"/>
      <c r="SAD98" s="83"/>
      <c r="SAE98" s="83"/>
      <c r="SAF98" s="83"/>
      <c r="SAG98" s="83"/>
      <c r="SAH98" s="83"/>
      <c r="SAI98" s="83"/>
      <c r="SAJ98" s="83"/>
      <c r="SAK98" s="83"/>
      <c r="SAL98" s="83"/>
      <c r="SAM98" s="83"/>
      <c r="SAN98" s="83"/>
      <c r="SAO98" s="83"/>
      <c r="SAP98" s="83"/>
      <c r="SAQ98" s="83"/>
      <c r="SAR98" s="83"/>
      <c r="SAS98" s="83"/>
      <c r="SAT98" s="83"/>
      <c r="SAU98" s="83"/>
      <c r="SAV98" s="83"/>
      <c r="SAW98" s="83"/>
      <c r="SAX98" s="83"/>
      <c r="SAY98" s="83"/>
      <c r="SAZ98" s="83"/>
      <c r="SBA98" s="83"/>
      <c r="SBB98" s="83"/>
      <c r="SBC98" s="83"/>
      <c r="SBD98" s="83"/>
      <c r="SBE98" s="83"/>
      <c r="SBF98" s="83"/>
      <c r="SBG98" s="83"/>
      <c r="SBH98" s="83"/>
      <c r="SBI98" s="83"/>
      <c r="SBJ98" s="83"/>
      <c r="SBK98" s="83"/>
      <c r="SBL98" s="83"/>
      <c r="SBM98" s="83"/>
      <c r="SBN98" s="83"/>
      <c r="SBO98" s="83"/>
      <c r="SBP98" s="83"/>
      <c r="SBQ98" s="83"/>
      <c r="SBR98" s="83"/>
      <c r="SBS98" s="83"/>
      <c r="SBT98" s="83"/>
      <c r="SBU98" s="83"/>
      <c r="SBV98" s="83"/>
      <c r="SBW98" s="83"/>
      <c r="SBX98" s="83"/>
      <c r="SBY98" s="83"/>
      <c r="SBZ98" s="83"/>
      <c r="SCA98" s="83"/>
      <c r="SCB98" s="83"/>
      <c r="SCC98" s="83"/>
      <c r="SCD98" s="83"/>
      <c r="SCE98" s="83"/>
      <c r="SCF98" s="83"/>
      <c r="SCG98" s="83"/>
      <c r="SCH98" s="83"/>
      <c r="SCI98" s="83"/>
      <c r="SCJ98" s="83"/>
      <c r="SCK98" s="83"/>
      <c r="SCL98" s="83"/>
      <c r="SCM98" s="83"/>
      <c r="SCN98" s="83"/>
      <c r="SCO98" s="83"/>
      <c r="SCP98" s="83"/>
      <c r="SCQ98" s="83"/>
      <c r="SCR98" s="83"/>
      <c r="SCS98" s="83"/>
      <c r="SCT98" s="83"/>
      <c r="SCU98" s="83"/>
      <c r="SCV98" s="83"/>
      <c r="SCW98" s="83"/>
      <c r="SCX98" s="83"/>
      <c r="SCY98" s="83"/>
      <c r="SCZ98" s="83"/>
      <c r="SDA98" s="83"/>
      <c r="SDB98" s="83"/>
      <c r="SDC98" s="83"/>
      <c r="SDD98" s="83"/>
      <c r="SDE98" s="83"/>
      <c r="SDF98" s="83"/>
      <c r="SDG98" s="83"/>
      <c r="SDH98" s="83"/>
      <c r="SDI98" s="83"/>
      <c r="SDJ98" s="83"/>
      <c r="SDK98" s="83"/>
      <c r="SDL98" s="83"/>
      <c r="SDM98" s="83"/>
      <c r="SDN98" s="83"/>
      <c r="SDO98" s="83"/>
      <c r="SDP98" s="83"/>
      <c r="SDQ98" s="83"/>
      <c r="SDR98" s="83"/>
      <c r="SDS98" s="83"/>
      <c r="SDT98" s="83"/>
      <c r="SDU98" s="83"/>
      <c r="SDV98" s="83"/>
      <c r="SDW98" s="83"/>
      <c r="SDX98" s="83"/>
      <c r="SDY98" s="83"/>
      <c r="SDZ98" s="83"/>
      <c r="SEA98" s="83"/>
      <c r="SEB98" s="83"/>
      <c r="SEC98" s="83"/>
      <c r="SED98" s="83"/>
      <c r="SEE98" s="83"/>
      <c r="SEF98" s="83"/>
      <c r="SEG98" s="83"/>
      <c r="SEH98" s="83"/>
      <c r="SEI98" s="83"/>
      <c r="SEJ98" s="83"/>
      <c r="SEK98" s="83"/>
      <c r="SEL98" s="83"/>
      <c r="SEM98" s="83"/>
      <c r="SEN98" s="83"/>
      <c r="SEO98" s="83"/>
      <c r="SEP98" s="83"/>
      <c r="SEQ98" s="83"/>
      <c r="SER98" s="83"/>
      <c r="SES98" s="83"/>
      <c r="SET98" s="83"/>
      <c r="SEU98" s="83"/>
      <c r="SEV98" s="83"/>
      <c r="SEW98" s="83"/>
      <c r="SEX98" s="83"/>
      <c r="SEY98" s="83"/>
      <c r="SEZ98" s="83"/>
      <c r="SFA98" s="83"/>
      <c r="SFB98" s="83"/>
      <c r="SFC98" s="83"/>
      <c r="SFD98" s="83"/>
      <c r="SFE98" s="83"/>
      <c r="SFF98" s="83"/>
      <c r="SFG98" s="83"/>
      <c r="SFH98" s="83"/>
      <c r="SFI98" s="83"/>
      <c r="SFJ98" s="83"/>
      <c r="SFK98" s="83"/>
      <c r="SFL98" s="83"/>
      <c r="SFM98" s="83"/>
      <c r="SFN98" s="83"/>
      <c r="SFO98" s="83"/>
      <c r="SFP98" s="83"/>
      <c r="SFQ98" s="83"/>
      <c r="SFR98" s="83"/>
      <c r="SFS98" s="83"/>
      <c r="SFT98" s="83"/>
      <c r="SFU98" s="83"/>
      <c r="SFV98" s="83"/>
      <c r="SFW98" s="83"/>
      <c r="SFX98" s="83"/>
      <c r="SFY98" s="83"/>
      <c r="SFZ98" s="83"/>
      <c r="SGA98" s="83"/>
      <c r="SGB98" s="83"/>
      <c r="SGC98" s="83"/>
      <c r="SGD98" s="83"/>
      <c r="SGE98" s="83"/>
      <c r="SGF98" s="83"/>
      <c r="SGG98" s="83"/>
      <c r="SGH98" s="83"/>
      <c r="SGI98" s="83"/>
      <c r="SGJ98" s="83"/>
      <c r="SGK98" s="83"/>
      <c r="SGL98" s="83"/>
      <c r="SGM98" s="83"/>
      <c r="SGN98" s="83"/>
      <c r="SGO98" s="83"/>
      <c r="SGP98" s="83"/>
      <c r="SGQ98" s="83"/>
      <c r="SGR98" s="83"/>
      <c r="SGS98" s="83"/>
      <c r="SGT98" s="83"/>
      <c r="SGU98" s="83"/>
      <c r="SGV98" s="83"/>
      <c r="SGW98" s="83"/>
      <c r="SGX98" s="83"/>
      <c r="SGY98" s="83"/>
      <c r="SGZ98" s="83"/>
      <c r="SHA98" s="83"/>
      <c r="SHB98" s="83"/>
      <c r="SHC98" s="83"/>
      <c r="SHD98" s="83"/>
      <c r="SHE98" s="83"/>
      <c r="SHF98" s="83"/>
      <c r="SHG98" s="83"/>
      <c r="SHH98" s="83"/>
      <c r="SHI98" s="83"/>
      <c r="SHJ98" s="83"/>
      <c r="SHK98" s="83"/>
      <c r="SHL98" s="83"/>
      <c r="SHM98" s="83"/>
      <c r="SHN98" s="83"/>
      <c r="SHO98" s="83"/>
      <c r="SHP98" s="83"/>
      <c r="SHQ98" s="83"/>
      <c r="SHR98" s="83"/>
      <c r="SHS98" s="83"/>
      <c r="SHT98" s="83"/>
      <c r="SHU98" s="83"/>
      <c r="SHV98" s="83"/>
      <c r="SHW98" s="83"/>
      <c r="SHX98" s="83"/>
      <c r="SHY98" s="83"/>
      <c r="SHZ98" s="83"/>
      <c r="SIA98" s="83"/>
      <c r="SIB98" s="83"/>
      <c r="SIC98" s="83"/>
      <c r="SID98" s="83"/>
      <c r="SIE98" s="83"/>
      <c r="SIF98" s="83"/>
      <c r="SIG98" s="83"/>
      <c r="SIH98" s="83"/>
      <c r="SII98" s="83"/>
      <c r="SIJ98" s="83"/>
      <c r="SIK98" s="83"/>
      <c r="SIL98" s="83"/>
      <c r="SIM98" s="83"/>
      <c r="SIN98" s="83"/>
      <c r="SIO98" s="83"/>
      <c r="SIP98" s="83"/>
      <c r="SIQ98" s="83"/>
      <c r="SIR98" s="83"/>
      <c r="SIS98" s="83"/>
      <c r="SIT98" s="83"/>
      <c r="SIU98" s="83"/>
      <c r="SIV98" s="83"/>
      <c r="SIW98" s="83"/>
      <c r="SIX98" s="83"/>
      <c r="SIY98" s="83"/>
      <c r="SIZ98" s="83"/>
      <c r="SJA98" s="83"/>
      <c r="SJB98" s="83"/>
      <c r="SJC98" s="83"/>
      <c r="SJD98" s="83"/>
      <c r="SJE98" s="83"/>
      <c r="SJF98" s="83"/>
      <c r="SJG98" s="83"/>
      <c r="SJH98" s="83"/>
      <c r="SJI98" s="83"/>
      <c r="SJJ98" s="83"/>
      <c r="SJK98" s="83"/>
      <c r="SJL98" s="83"/>
      <c r="SJM98" s="83"/>
      <c r="SJN98" s="83"/>
      <c r="SJO98" s="83"/>
      <c r="SJP98" s="83"/>
      <c r="SJQ98" s="83"/>
      <c r="SJR98" s="83"/>
      <c r="SJS98" s="83"/>
      <c r="SJT98" s="83"/>
      <c r="SJU98" s="83"/>
      <c r="SJV98" s="83"/>
      <c r="SJW98" s="83"/>
      <c r="SJX98" s="83"/>
      <c r="SJY98" s="83"/>
      <c r="SJZ98" s="83"/>
      <c r="SKA98" s="83"/>
      <c r="SKB98" s="83"/>
      <c r="SKC98" s="83"/>
      <c r="SKD98" s="83"/>
      <c r="SKE98" s="83"/>
      <c r="SKF98" s="83"/>
      <c r="SKG98" s="83"/>
      <c r="SKH98" s="83"/>
      <c r="SKI98" s="83"/>
      <c r="SKJ98" s="83"/>
      <c r="SKK98" s="83"/>
      <c r="SKL98" s="83"/>
      <c r="SKM98" s="83"/>
      <c r="SKN98" s="83"/>
      <c r="SKO98" s="83"/>
      <c r="SKP98" s="83"/>
      <c r="SKQ98" s="83"/>
      <c r="SKR98" s="83"/>
      <c r="SKS98" s="83"/>
      <c r="SKT98" s="83"/>
      <c r="SKU98" s="83"/>
      <c r="SKV98" s="83"/>
      <c r="SKW98" s="83"/>
      <c r="SKX98" s="83"/>
      <c r="SKY98" s="83"/>
      <c r="SKZ98" s="83"/>
      <c r="SLA98" s="83"/>
      <c r="SLB98" s="83"/>
      <c r="SLC98" s="83"/>
      <c r="SLD98" s="83"/>
      <c r="SLE98" s="83"/>
      <c r="SLF98" s="83"/>
      <c r="SLG98" s="83"/>
      <c r="SLH98" s="83"/>
      <c r="SLI98" s="83"/>
      <c r="SLJ98" s="83"/>
      <c r="SLK98" s="83"/>
      <c r="SLL98" s="83"/>
      <c r="SLM98" s="83"/>
      <c r="SLN98" s="83"/>
      <c r="SLO98" s="83"/>
      <c r="SLP98" s="83"/>
      <c r="SLQ98" s="83"/>
      <c r="SLR98" s="83"/>
      <c r="SLS98" s="83"/>
      <c r="SLT98" s="83"/>
      <c r="SLU98" s="83"/>
      <c r="SLV98" s="83"/>
      <c r="SLW98" s="83"/>
      <c r="SLX98" s="83"/>
      <c r="SLY98" s="83"/>
      <c r="SLZ98" s="83"/>
      <c r="SMA98" s="83"/>
      <c r="SMB98" s="83"/>
      <c r="SMC98" s="83"/>
      <c r="SMD98" s="83"/>
      <c r="SME98" s="83"/>
      <c r="SMF98" s="83"/>
      <c r="SMG98" s="83"/>
      <c r="SMH98" s="83"/>
      <c r="SMI98" s="83"/>
      <c r="SMJ98" s="83"/>
      <c r="SMK98" s="83"/>
      <c r="SML98" s="83"/>
      <c r="SMM98" s="83"/>
      <c r="SMN98" s="83"/>
      <c r="SMO98" s="83"/>
      <c r="SMP98" s="83"/>
      <c r="SMQ98" s="83"/>
      <c r="SMR98" s="83"/>
      <c r="SMS98" s="83"/>
      <c r="SMT98" s="83"/>
      <c r="SMU98" s="83"/>
      <c r="SMV98" s="83"/>
      <c r="SMW98" s="83"/>
      <c r="SMX98" s="83"/>
      <c r="SMY98" s="83"/>
      <c r="SMZ98" s="83"/>
      <c r="SNA98" s="83"/>
      <c r="SNB98" s="83"/>
      <c r="SNC98" s="83"/>
      <c r="SND98" s="83"/>
      <c r="SNE98" s="83"/>
      <c r="SNF98" s="83"/>
      <c r="SNG98" s="83"/>
      <c r="SNH98" s="83"/>
      <c r="SNI98" s="83"/>
      <c r="SNJ98" s="83"/>
      <c r="SNK98" s="83"/>
      <c r="SNL98" s="83"/>
      <c r="SNM98" s="83"/>
      <c r="SNN98" s="83"/>
      <c r="SNO98" s="83"/>
      <c r="SNP98" s="83"/>
      <c r="SNQ98" s="83"/>
      <c r="SNR98" s="83"/>
      <c r="SNS98" s="83"/>
      <c r="SNT98" s="83"/>
      <c r="SNU98" s="83"/>
      <c r="SNV98" s="83"/>
      <c r="SNW98" s="83"/>
      <c r="SNX98" s="83"/>
      <c r="SNY98" s="83"/>
      <c r="SNZ98" s="83"/>
      <c r="SOA98" s="83"/>
      <c r="SOB98" s="83"/>
      <c r="SOC98" s="83"/>
      <c r="SOD98" s="83"/>
      <c r="SOE98" s="83"/>
      <c r="SOF98" s="83"/>
      <c r="SOG98" s="83"/>
      <c r="SOH98" s="83"/>
      <c r="SOI98" s="83"/>
      <c r="SOJ98" s="83"/>
      <c r="SOK98" s="83"/>
      <c r="SOL98" s="83"/>
      <c r="SOM98" s="83"/>
      <c r="SON98" s="83"/>
      <c r="SOO98" s="83"/>
      <c r="SOP98" s="83"/>
      <c r="SOQ98" s="83"/>
      <c r="SOR98" s="83"/>
      <c r="SOS98" s="83"/>
      <c r="SOT98" s="83"/>
      <c r="SOU98" s="83"/>
      <c r="SOV98" s="83"/>
      <c r="SOW98" s="83"/>
      <c r="SOX98" s="83"/>
      <c r="SOY98" s="83"/>
      <c r="SOZ98" s="83"/>
      <c r="SPA98" s="83"/>
      <c r="SPB98" s="83"/>
      <c r="SPC98" s="83"/>
      <c r="SPD98" s="83"/>
      <c r="SPE98" s="83"/>
      <c r="SPF98" s="83"/>
      <c r="SPG98" s="83"/>
      <c r="SPH98" s="83"/>
      <c r="SPI98" s="83"/>
      <c r="SPJ98" s="83"/>
      <c r="SPK98" s="83"/>
      <c r="SPL98" s="83"/>
      <c r="SPM98" s="83"/>
      <c r="SPN98" s="83"/>
      <c r="SPO98" s="83"/>
      <c r="SPP98" s="83"/>
      <c r="SPQ98" s="83"/>
      <c r="SPR98" s="83"/>
      <c r="SPS98" s="83"/>
      <c r="SPT98" s="83"/>
      <c r="SPU98" s="83"/>
      <c r="SPV98" s="83"/>
      <c r="SPW98" s="83"/>
      <c r="SPX98" s="83"/>
      <c r="SPY98" s="83"/>
      <c r="SPZ98" s="83"/>
      <c r="SQA98" s="83"/>
      <c r="SQB98" s="83"/>
      <c r="SQC98" s="83"/>
      <c r="SQD98" s="83"/>
      <c r="SQE98" s="83"/>
      <c r="SQF98" s="83"/>
      <c r="SQG98" s="83"/>
      <c r="SQH98" s="83"/>
      <c r="SQI98" s="83"/>
      <c r="SQJ98" s="83"/>
      <c r="SQK98" s="83"/>
      <c r="SQL98" s="83"/>
      <c r="SQM98" s="83"/>
      <c r="SQN98" s="83"/>
      <c r="SQO98" s="83"/>
      <c r="SQP98" s="83"/>
      <c r="SQQ98" s="83"/>
      <c r="SQR98" s="83"/>
      <c r="SQS98" s="83"/>
      <c r="SQT98" s="83"/>
      <c r="SQU98" s="83"/>
      <c r="SQV98" s="83"/>
      <c r="SQW98" s="83"/>
      <c r="SQX98" s="83"/>
      <c r="SQY98" s="83"/>
      <c r="SQZ98" s="83"/>
      <c r="SRA98" s="83"/>
      <c r="SRB98" s="83"/>
      <c r="SRC98" s="83"/>
      <c r="SRD98" s="83"/>
      <c r="SRE98" s="83"/>
      <c r="SRF98" s="83"/>
      <c r="SRG98" s="83"/>
      <c r="SRH98" s="83"/>
      <c r="SRI98" s="83"/>
      <c r="SRJ98" s="83"/>
      <c r="SRK98" s="83"/>
      <c r="SRL98" s="83"/>
      <c r="SRM98" s="83"/>
      <c r="SRN98" s="83"/>
      <c r="SRO98" s="83"/>
      <c r="SRP98" s="83"/>
      <c r="SRQ98" s="83"/>
      <c r="SRR98" s="83"/>
      <c r="SRS98" s="83"/>
      <c r="SRT98" s="83"/>
      <c r="SRU98" s="83"/>
      <c r="SRV98" s="83"/>
      <c r="SRW98" s="83"/>
      <c r="SRX98" s="83"/>
      <c r="SRY98" s="83"/>
      <c r="SRZ98" s="83"/>
      <c r="SSA98" s="83"/>
      <c r="SSB98" s="83"/>
      <c r="SSC98" s="83"/>
      <c r="SSD98" s="83"/>
      <c r="SSE98" s="83"/>
      <c r="SSF98" s="83"/>
      <c r="SSG98" s="83"/>
      <c r="SSH98" s="83"/>
      <c r="SSI98" s="83"/>
      <c r="SSJ98" s="83"/>
      <c r="SSK98" s="83"/>
      <c r="SSL98" s="83"/>
      <c r="SSM98" s="83"/>
      <c r="SSN98" s="83"/>
      <c r="SSO98" s="83"/>
      <c r="SSP98" s="83"/>
      <c r="SSQ98" s="83"/>
      <c r="SSR98" s="83"/>
      <c r="SSS98" s="83"/>
      <c r="SST98" s="83"/>
      <c r="SSU98" s="83"/>
      <c r="SSV98" s="83"/>
      <c r="SSW98" s="83"/>
      <c r="SSX98" s="83"/>
      <c r="SSY98" s="83"/>
      <c r="SSZ98" s="83"/>
      <c r="STA98" s="83"/>
      <c r="STB98" s="83"/>
      <c r="STC98" s="83"/>
      <c r="STD98" s="83"/>
      <c r="STE98" s="83"/>
      <c r="STF98" s="83"/>
      <c r="STG98" s="83"/>
      <c r="STH98" s="83"/>
      <c r="STI98" s="83"/>
      <c r="STJ98" s="83"/>
      <c r="STK98" s="83"/>
      <c r="STL98" s="83"/>
      <c r="STM98" s="83"/>
      <c r="STN98" s="83"/>
      <c r="STO98" s="83"/>
      <c r="STP98" s="83"/>
      <c r="STQ98" s="83"/>
      <c r="STR98" s="83"/>
      <c r="STS98" s="83"/>
      <c r="STT98" s="83"/>
      <c r="STU98" s="83"/>
      <c r="STV98" s="83"/>
      <c r="STW98" s="83"/>
      <c r="STX98" s="83"/>
      <c r="STY98" s="83"/>
      <c r="STZ98" s="83"/>
      <c r="SUA98" s="83"/>
      <c r="SUB98" s="83"/>
      <c r="SUC98" s="83"/>
      <c r="SUD98" s="83"/>
      <c r="SUE98" s="83"/>
      <c r="SUF98" s="83"/>
      <c r="SUG98" s="83"/>
      <c r="SUH98" s="83"/>
      <c r="SUI98" s="83"/>
      <c r="SUJ98" s="83"/>
      <c r="SUK98" s="83"/>
      <c r="SUL98" s="83"/>
      <c r="SUM98" s="83"/>
      <c r="SUN98" s="83"/>
      <c r="SUO98" s="83"/>
      <c r="SUP98" s="83"/>
      <c r="SUQ98" s="83"/>
      <c r="SUR98" s="83"/>
      <c r="SUS98" s="83"/>
      <c r="SUT98" s="83"/>
      <c r="SUU98" s="83"/>
      <c r="SUV98" s="83"/>
      <c r="SUW98" s="83"/>
      <c r="SUX98" s="83"/>
      <c r="SUY98" s="83"/>
      <c r="SUZ98" s="83"/>
      <c r="SVA98" s="83"/>
      <c r="SVB98" s="83"/>
      <c r="SVC98" s="83"/>
      <c r="SVD98" s="83"/>
      <c r="SVE98" s="83"/>
      <c r="SVF98" s="83"/>
      <c r="SVG98" s="83"/>
      <c r="SVH98" s="83"/>
      <c r="SVI98" s="83"/>
      <c r="SVJ98" s="83"/>
      <c r="SVK98" s="83"/>
      <c r="SVL98" s="83"/>
      <c r="SVM98" s="83"/>
      <c r="SVN98" s="83"/>
      <c r="SVO98" s="83"/>
      <c r="SVP98" s="83"/>
      <c r="SVQ98" s="83"/>
      <c r="SVR98" s="83"/>
      <c r="SVS98" s="83"/>
      <c r="SVT98" s="83"/>
      <c r="SVU98" s="83"/>
      <c r="SVV98" s="83"/>
      <c r="SVW98" s="83"/>
      <c r="SVX98" s="83"/>
      <c r="SVY98" s="83"/>
      <c r="SVZ98" s="83"/>
      <c r="SWA98" s="83"/>
      <c r="SWB98" s="83"/>
      <c r="SWC98" s="83"/>
      <c r="SWD98" s="83"/>
      <c r="SWE98" s="83"/>
      <c r="SWF98" s="83"/>
      <c r="SWG98" s="83"/>
      <c r="SWH98" s="83"/>
      <c r="SWI98" s="83"/>
      <c r="SWJ98" s="83"/>
      <c r="SWK98" s="83"/>
      <c r="SWL98" s="83"/>
      <c r="SWM98" s="83"/>
      <c r="SWN98" s="83"/>
      <c r="SWO98" s="83"/>
      <c r="SWP98" s="83"/>
      <c r="SWQ98" s="83"/>
      <c r="SWR98" s="83"/>
      <c r="SWS98" s="83"/>
      <c r="SWT98" s="83"/>
      <c r="SWU98" s="83"/>
      <c r="SWV98" s="83"/>
      <c r="SWW98" s="83"/>
      <c r="SWX98" s="83"/>
      <c r="SWY98" s="83"/>
      <c r="SWZ98" s="83"/>
      <c r="SXA98" s="83"/>
      <c r="SXB98" s="83"/>
      <c r="SXC98" s="83"/>
      <c r="SXD98" s="83"/>
      <c r="SXE98" s="83"/>
      <c r="SXF98" s="83"/>
      <c r="SXG98" s="83"/>
      <c r="SXH98" s="83"/>
      <c r="SXI98" s="83"/>
      <c r="SXJ98" s="83"/>
      <c r="SXK98" s="83"/>
      <c r="SXL98" s="83"/>
      <c r="SXM98" s="83"/>
      <c r="SXN98" s="83"/>
      <c r="SXO98" s="83"/>
      <c r="SXP98" s="83"/>
      <c r="SXQ98" s="83"/>
      <c r="SXR98" s="83"/>
      <c r="SXS98" s="83"/>
      <c r="SXT98" s="83"/>
      <c r="SXU98" s="83"/>
      <c r="SXV98" s="83"/>
      <c r="SXW98" s="83"/>
      <c r="SXX98" s="83"/>
      <c r="SXY98" s="83"/>
      <c r="SXZ98" s="83"/>
      <c r="SYA98" s="83"/>
      <c r="SYB98" s="83"/>
      <c r="SYC98" s="83"/>
      <c r="SYD98" s="83"/>
      <c r="SYE98" s="83"/>
      <c r="SYF98" s="83"/>
      <c r="SYG98" s="83"/>
      <c r="SYH98" s="83"/>
      <c r="SYI98" s="83"/>
      <c r="SYJ98" s="83"/>
      <c r="SYK98" s="83"/>
      <c r="SYL98" s="83"/>
      <c r="SYM98" s="83"/>
      <c r="SYN98" s="83"/>
      <c r="SYO98" s="83"/>
      <c r="SYP98" s="83"/>
      <c r="SYQ98" s="83"/>
      <c r="SYR98" s="83"/>
      <c r="SYS98" s="83"/>
      <c r="SYT98" s="83"/>
      <c r="SYU98" s="83"/>
      <c r="SYV98" s="83"/>
      <c r="SYW98" s="83"/>
      <c r="SYX98" s="83"/>
      <c r="SYY98" s="83"/>
      <c r="SYZ98" s="83"/>
      <c r="SZA98" s="83"/>
      <c r="SZB98" s="83"/>
      <c r="SZC98" s="83"/>
      <c r="SZD98" s="83"/>
      <c r="SZE98" s="83"/>
      <c r="SZF98" s="83"/>
      <c r="SZG98" s="83"/>
      <c r="SZH98" s="83"/>
      <c r="SZI98" s="83"/>
      <c r="SZJ98" s="83"/>
      <c r="SZK98" s="83"/>
      <c r="SZL98" s="83"/>
      <c r="SZM98" s="83"/>
      <c r="SZN98" s="83"/>
      <c r="SZO98" s="83"/>
      <c r="SZP98" s="83"/>
      <c r="SZQ98" s="83"/>
      <c r="SZR98" s="83"/>
      <c r="SZS98" s="83"/>
      <c r="SZT98" s="83"/>
      <c r="SZU98" s="83"/>
      <c r="SZV98" s="83"/>
      <c r="SZW98" s="83"/>
      <c r="SZX98" s="83"/>
      <c r="SZY98" s="83"/>
      <c r="SZZ98" s="83"/>
      <c r="TAA98" s="83"/>
      <c r="TAB98" s="83"/>
      <c r="TAC98" s="83"/>
      <c r="TAD98" s="83"/>
      <c r="TAE98" s="83"/>
      <c r="TAF98" s="83"/>
      <c r="TAG98" s="83"/>
      <c r="TAH98" s="83"/>
      <c r="TAI98" s="83"/>
      <c r="TAJ98" s="83"/>
      <c r="TAK98" s="83"/>
      <c r="TAL98" s="83"/>
      <c r="TAM98" s="83"/>
      <c r="TAN98" s="83"/>
      <c r="TAO98" s="83"/>
      <c r="TAP98" s="83"/>
      <c r="TAQ98" s="83"/>
      <c r="TAR98" s="83"/>
      <c r="TAS98" s="83"/>
      <c r="TAT98" s="83"/>
      <c r="TAU98" s="83"/>
      <c r="TAV98" s="83"/>
      <c r="TAW98" s="83"/>
      <c r="TAX98" s="83"/>
      <c r="TAY98" s="83"/>
      <c r="TAZ98" s="83"/>
      <c r="TBA98" s="83"/>
      <c r="TBB98" s="83"/>
      <c r="TBC98" s="83"/>
      <c r="TBD98" s="83"/>
      <c r="TBE98" s="83"/>
      <c r="TBF98" s="83"/>
      <c r="TBG98" s="83"/>
      <c r="TBH98" s="83"/>
      <c r="TBI98" s="83"/>
      <c r="TBJ98" s="83"/>
      <c r="TBK98" s="83"/>
      <c r="TBL98" s="83"/>
      <c r="TBM98" s="83"/>
      <c r="TBN98" s="83"/>
      <c r="TBO98" s="83"/>
      <c r="TBP98" s="83"/>
      <c r="TBQ98" s="83"/>
      <c r="TBR98" s="83"/>
      <c r="TBS98" s="83"/>
      <c r="TBT98" s="83"/>
      <c r="TBU98" s="83"/>
      <c r="TBV98" s="83"/>
      <c r="TBW98" s="83"/>
      <c r="TBX98" s="83"/>
      <c r="TBY98" s="83"/>
      <c r="TBZ98" s="83"/>
      <c r="TCA98" s="83"/>
      <c r="TCB98" s="83"/>
      <c r="TCC98" s="83"/>
      <c r="TCD98" s="83"/>
      <c r="TCE98" s="83"/>
      <c r="TCF98" s="83"/>
      <c r="TCG98" s="83"/>
      <c r="TCH98" s="83"/>
      <c r="TCI98" s="83"/>
      <c r="TCJ98" s="83"/>
      <c r="TCK98" s="83"/>
      <c r="TCL98" s="83"/>
      <c r="TCM98" s="83"/>
      <c r="TCN98" s="83"/>
      <c r="TCO98" s="83"/>
      <c r="TCP98" s="83"/>
      <c r="TCQ98" s="83"/>
      <c r="TCR98" s="83"/>
      <c r="TCS98" s="83"/>
      <c r="TCT98" s="83"/>
      <c r="TCU98" s="83"/>
      <c r="TCV98" s="83"/>
      <c r="TCW98" s="83"/>
      <c r="TCX98" s="83"/>
      <c r="TCY98" s="83"/>
      <c r="TCZ98" s="83"/>
      <c r="TDA98" s="83"/>
      <c r="TDB98" s="83"/>
      <c r="TDC98" s="83"/>
      <c r="TDD98" s="83"/>
      <c r="TDE98" s="83"/>
      <c r="TDF98" s="83"/>
      <c r="TDG98" s="83"/>
      <c r="TDH98" s="83"/>
      <c r="TDI98" s="83"/>
      <c r="TDJ98" s="83"/>
      <c r="TDK98" s="83"/>
      <c r="TDL98" s="83"/>
      <c r="TDM98" s="83"/>
      <c r="TDN98" s="83"/>
      <c r="TDO98" s="83"/>
      <c r="TDP98" s="83"/>
      <c r="TDQ98" s="83"/>
      <c r="TDR98" s="83"/>
      <c r="TDS98" s="83"/>
      <c r="TDT98" s="83"/>
      <c r="TDU98" s="83"/>
      <c r="TDV98" s="83"/>
      <c r="TDW98" s="83"/>
      <c r="TDX98" s="83"/>
      <c r="TDY98" s="83"/>
      <c r="TDZ98" s="83"/>
      <c r="TEA98" s="83"/>
      <c r="TEB98" s="83"/>
      <c r="TEC98" s="83"/>
      <c r="TED98" s="83"/>
      <c r="TEE98" s="83"/>
      <c r="TEF98" s="83"/>
      <c r="TEG98" s="83"/>
      <c r="TEH98" s="83"/>
      <c r="TEI98" s="83"/>
      <c r="TEJ98" s="83"/>
      <c r="TEK98" s="83"/>
      <c r="TEL98" s="83"/>
      <c r="TEM98" s="83"/>
      <c r="TEN98" s="83"/>
      <c r="TEO98" s="83"/>
      <c r="TEP98" s="83"/>
      <c r="TEQ98" s="83"/>
      <c r="TER98" s="83"/>
      <c r="TES98" s="83"/>
      <c r="TET98" s="83"/>
      <c r="TEU98" s="83"/>
      <c r="TEV98" s="83"/>
      <c r="TEW98" s="83"/>
      <c r="TEX98" s="83"/>
      <c r="TEY98" s="83"/>
      <c r="TEZ98" s="83"/>
      <c r="TFA98" s="83"/>
      <c r="TFB98" s="83"/>
      <c r="TFC98" s="83"/>
      <c r="TFD98" s="83"/>
      <c r="TFE98" s="83"/>
      <c r="TFF98" s="83"/>
      <c r="TFG98" s="83"/>
      <c r="TFH98" s="83"/>
      <c r="TFI98" s="83"/>
      <c r="TFJ98" s="83"/>
      <c r="TFK98" s="83"/>
      <c r="TFL98" s="83"/>
      <c r="TFM98" s="83"/>
      <c r="TFN98" s="83"/>
      <c r="TFO98" s="83"/>
      <c r="TFP98" s="83"/>
      <c r="TFQ98" s="83"/>
      <c r="TFR98" s="83"/>
      <c r="TFS98" s="83"/>
      <c r="TFT98" s="83"/>
      <c r="TFU98" s="83"/>
      <c r="TFV98" s="83"/>
      <c r="TFW98" s="83"/>
      <c r="TFX98" s="83"/>
      <c r="TFY98" s="83"/>
      <c r="TFZ98" s="83"/>
      <c r="TGA98" s="83"/>
      <c r="TGB98" s="83"/>
      <c r="TGC98" s="83"/>
      <c r="TGD98" s="83"/>
      <c r="TGE98" s="83"/>
      <c r="TGF98" s="83"/>
      <c r="TGG98" s="83"/>
      <c r="TGH98" s="83"/>
      <c r="TGI98" s="83"/>
      <c r="TGJ98" s="83"/>
      <c r="TGK98" s="83"/>
      <c r="TGL98" s="83"/>
      <c r="TGM98" s="83"/>
      <c r="TGN98" s="83"/>
      <c r="TGO98" s="83"/>
      <c r="TGP98" s="83"/>
      <c r="TGQ98" s="83"/>
      <c r="TGR98" s="83"/>
      <c r="TGS98" s="83"/>
      <c r="TGT98" s="83"/>
      <c r="TGU98" s="83"/>
      <c r="TGV98" s="83"/>
      <c r="TGW98" s="83"/>
      <c r="TGX98" s="83"/>
      <c r="TGY98" s="83"/>
      <c r="TGZ98" s="83"/>
      <c r="THA98" s="83"/>
      <c r="THB98" s="83"/>
      <c r="THC98" s="83"/>
      <c r="THD98" s="83"/>
      <c r="THE98" s="83"/>
      <c r="THF98" s="83"/>
      <c r="THG98" s="83"/>
      <c r="THH98" s="83"/>
      <c r="THI98" s="83"/>
      <c r="THJ98" s="83"/>
      <c r="THK98" s="83"/>
      <c r="THL98" s="83"/>
      <c r="THM98" s="83"/>
      <c r="THN98" s="83"/>
      <c r="THO98" s="83"/>
      <c r="THP98" s="83"/>
      <c r="THQ98" s="83"/>
      <c r="THR98" s="83"/>
      <c r="THS98" s="83"/>
      <c r="THT98" s="83"/>
      <c r="THU98" s="83"/>
      <c r="THV98" s="83"/>
      <c r="THW98" s="83"/>
      <c r="THX98" s="83"/>
      <c r="THY98" s="83"/>
      <c r="THZ98" s="83"/>
      <c r="TIA98" s="83"/>
      <c r="TIB98" s="83"/>
      <c r="TIC98" s="83"/>
      <c r="TID98" s="83"/>
      <c r="TIE98" s="83"/>
      <c r="TIF98" s="83"/>
      <c r="TIG98" s="83"/>
      <c r="TIH98" s="83"/>
      <c r="TII98" s="83"/>
      <c r="TIJ98" s="83"/>
      <c r="TIK98" s="83"/>
      <c r="TIL98" s="83"/>
      <c r="TIM98" s="83"/>
      <c r="TIN98" s="83"/>
      <c r="TIO98" s="83"/>
      <c r="TIP98" s="83"/>
      <c r="TIQ98" s="83"/>
      <c r="TIR98" s="83"/>
      <c r="TIS98" s="83"/>
      <c r="TIT98" s="83"/>
      <c r="TIU98" s="83"/>
      <c r="TIV98" s="83"/>
      <c r="TIW98" s="83"/>
      <c r="TIX98" s="83"/>
      <c r="TIY98" s="83"/>
      <c r="TIZ98" s="83"/>
      <c r="TJA98" s="83"/>
      <c r="TJB98" s="83"/>
      <c r="TJC98" s="83"/>
      <c r="TJD98" s="83"/>
      <c r="TJE98" s="83"/>
      <c r="TJF98" s="83"/>
      <c r="TJG98" s="83"/>
      <c r="TJH98" s="83"/>
      <c r="TJI98" s="83"/>
      <c r="TJJ98" s="83"/>
      <c r="TJK98" s="83"/>
      <c r="TJL98" s="83"/>
      <c r="TJM98" s="83"/>
      <c r="TJN98" s="83"/>
      <c r="TJO98" s="83"/>
      <c r="TJP98" s="83"/>
      <c r="TJQ98" s="83"/>
      <c r="TJR98" s="83"/>
      <c r="TJS98" s="83"/>
      <c r="TJT98" s="83"/>
      <c r="TJU98" s="83"/>
      <c r="TJV98" s="83"/>
      <c r="TJW98" s="83"/>
      <c r="TJX98" s="83"/>
      <c r="TJY98" s="83"/>
      <c r="TJZ98" s="83"/>
      <c r="TKA98" s="83"/>
      <c r="TKB98" s="83"/>
      <c r="TKC98" s="83"/>
      <c r="TKD98" s="83"/>
      <c r="TKE98" s="83"/>
      <c r="TKF98" s="83"/>
      <c r="TKG98" s="83"/>
      <c r="TKH98" s="83"/>
      <c r="TKI98" s="83"/>
      <c r="TKJ98" s="83"/>
      <c r="TKK98" s="83"/>
      <c r="TKL98" s="83"/>
      <c r="TKM98" s="83"/>
      <c r="TKN98" s="83"/>
      <c r="TKO98" s="83"/>
      <c r="TKP98" s="83"/>
      <c r="TKQ98" s="83"/>
      <c r="TKR98" s="83"/>
      <c r="TKS98" s="83"/>
      <c r="TKT98" s="83"/>
      <c r="TKU98" s="83"/>
      <c r="TKV98" s="83"/>
      <c r="TKW98" s="83"/>
      <c r="TKX98" s="83"/>
      <c r="TKY98" s="83"/>
      <c r="TKZ98" s="83"/>
      <c r="TLA98" s="83"/>
      <c r="TLB98" s="83"/>
      <c r="TLC98" s="83"/>
      <c r="TLD98" s="83"/>
      <c r="TLE98" s="83"/>
      <c r="TLF98" s="83"/>
      <c r="TLG98" s="83"/>
      <c r="TLH98" s="83"/>
      <c r="TLI98" s="83"/>
      <c r="TLJ98" s="83"/>
      <c r="TLK98" s="83"/>
      <c r="TLL98" s="83"/>
      <c r="TLM98" s="83"/>
      <c r="TLN98" s="83"/>
      <c r="TLO98" s="83"/>
      <c r="TLP98" s="83"/>
      <c r="TLQ98" s="83"/>
      <c r="TLR98" s="83"/>
      <c r="TLS98" s="83"/>
      <c r="TLT98" s="83"/>
      <c r="TLU98" s="83"/>
      <c r="TLV98" s="83"/>
      <c r="TLW98" s="83"/>
      <c r="TLX98" s="83"/>
      <c r="TLY98" s="83"/>
      <c r="TLZ98" s="83"/>
      <c r="TMA98" s="83"/>
      <c r="TMB98" s="83"/>
      <c r="TMC98" s="83"/>
      <c r="TMD98" s="83"/>
      <c r="TME98" s="83"/>
      <c r="TMF98" s="83"/>
      <c r="TMG98" s="83"/>
      <c r="TMH98" s="83"/>
      <c r="TMI98" s="83"/>
      <c r="TMJ98" s="83"/>
      <c r="TMK98" s="83"/>
      <c r="TML98" s="83"/>
      <c r="TMM98" s="83"/>
      <c r="TMN98" s="83"/>
      <c r="TMO98" s="83"/>
      <c r="TMP98" s="83"/>
      <c r="TMQ98" s="83"/>
      <c r="TMR98" s="83"/>
      <c r="TMS98" s="83"/>
      <c r="TMT98" s="83"/>
      <c r="TMU98" s="83"/>
      <c r="TMV98" s="83"/>
      <c r="TMW98" s="83"/>
      <c r="TMX98" s="83"/>
      <c r="TMY98" s="83"/>
      <c r="TMZ98" s="83"/>
      <c r="TNA98" s="83"/>
      <c r="TNB98" s="83"/>
      <c r="TNC98" s="83"/>
      <c r="TND98" s="83"/>
      <c r="TNE98" s="83"/>
      <c r="TNF98" s="83"/>
      <c r="TNG98" s="83"/>
      <c r="TNH98" s="83"/>
      <c r="TNI98" s="83"/>
      <c r="TNJ98" s="83"/>
      <c r="TNK98" s="83"/>
      <c r="TNL98" s="83"/>
      <c r="TNM98" s="83"/>
      <c r="TNN98" s="83"/>
      <c r="TNO98" s="83"/>
      <c r="TNP98" s="83"/>
      <c r="TNQ98" s="83"/>
      <c r="TNR98" s="83"/>
      <c r="TNS98" s="83"/>
      <c r="TNT98" s="83"/>
      <c r="TNU98" s="83"/>
      <c r="TNV98" s="83"/>
      <c r="TNW98" s="83"/>
      <c r="TNX98" s="83"/>
      <c r="TNY98" s="83"/>
      <c r="TNZ98" s="83"/>
      <c r="TOA98" s="83"/>
      <c r="TOB98" s="83"/>
      <c r="TOC98" s="83"/>
      <c r="TOD98" s="83"/>
      <c r="TOE98" s="83"/>
      <c r="TOF98" s="83"/>
      <c r="TOG98" s="83"/>
      <c r="TOH98" s="83"/>
      <c r="TOI98" s="83"/>
      <c r="TOJ98" s="83"/>
      <c r="TOK98" s="83"/>
      <c r="TOL98" s="83"/>
      <c r="TOM98" s="83"/>
      <c r="TON98" s="83"/>
      <c r="TOO98" s="83"/>
      <c r="TOP98" s="83"/>
      <c r="TOQ98" s="83"/>
      <c r="TOR98" s="83"/>
      <c r="TOS98" s="83"/>
      <c r="TOT98" s="83"/>
      <c r="TOU98" s="83"/>
      <c r="TOV98" s="83"/>
      <c r="TOW98" s="83"/>
      <c r="TOX98" s="83"/>
      <c r="TOY98" s="83"/>
      <c r="TOZ98" s="83"/>
      <c r="TPA98" s="83"/>
      <c r="TPB98" s="83"/>
      <c r="TPC98" s="83"/>
      <c r="TPD98" s="83"/>
      <c r="TPE98" s="83"/>
      <c r="TPF98" s="83"/>
      <c r="TPG98" s="83"/>
      <c r="TPH98" s="83"/>
      <c r="TPI98" s="83"/>
      <c r="TPJ98" s="83"/>
      <c r="TPK98" s="83"/>
      <c r="TPL98" s="83"/>
      <c r="TPM98" s="83"/>
      <c r="TPN98" s="83"/>
      <c r="TPO98" s="83"/>
      <c r="TPP98" s="83"/>
      <c r="TPQ98" s="83"/>
      <c r="TPR98" s="83"/>
      <c r="TPS98" s="83"/>
      <c r="TPT98" s="83"/>
      <c r="TPU98" s="83"/>
      <c r="TPV98" s="83"/>
      <c r="TPW98" s="83"/>
      <c r="TPX98" s="83"/>
      <c r="TPY98" s="83"/>
      <c r="TPZ98" s="83"/>
      <c r="TQA98" s="83"/>
      <c r="TQB98" s="83"/>
      <c r="TQC98" s="83"/>
      <c r="TQD98" s="83"/>
      <c r="TQE98" s="83"/>
      <c r="TQF98" s="83"/>
      <c r="TQG98" s="83"/>
      <c r="TQH98" s="83"/>
      <c r="TQI98" s="83"/>
      <c r="TQJ98" s="83"/>
      <c r="TQK98" s="83"/>
      <c r="TQL98" s="83"/>
      <c r="TQM98" s="83"/>
      <c r="TQN98" s="83"/>
      <c r="TQO98" s="83"/>
      <c r="TQP98" s="83"/>
      <c r="TQQ98" s="83"/>
      <c r="TQR98" s="83"/>
      <c r="TQS98" s="83"/>
      <c r="TQT98" s="83"/>
      <c r="TQU98" s="83"/>
      <c r="TQV98" s="83"/>
      <c r="TQW98" s="83"/>
      <c r="TQX98" s="83"/>
      <c r="TQY98" s="83"/>
      <c r="TQZ98" s="83"/>
      <c r="TRA98" s="83"/>
      <c r="TRB98" s="83"/>
      <c r="TRC98" s="83"/>
      <c r="TRD98" s="83"/>
      <c r="TRE98" s="83"/>
      <c r="TRF98" s="83"/>
      <c r="TRG98" s="83"/>
      <c r="TRH98" s="83"/>
      <c r="TRI98" s="83"/>
      <c r="TRJ98" s="83"/>
      <c r="TRK98" s="83"/>
      <c r="TRL98" s="83"/>
      <c r="TRM98" s="83"/>
      <c r="TRN98" s="83"/>
      <c r="TRO98" s="83"/>
      <c r="TRP98" s="83"/>
      <c r="TRQ98" s="83"/>
      <c r="TRR98" s="83"/>
      <c r="TRS98" s="83"/>
      <c r="TRT98" s="83"/>
      <c r="TRU98" s="83"/>
      <c r="TRV98" s="83"/>
      <c r="TRW98" s="83"/>
      <c r="TRX98" s="83"/>
      <c r="TRY98" s="83"/>
      <c r="TRZ98" s="83"/>
      <c r="TSA98" s="83"/>
      <c r="TSB98" s="83"/>
      <c r="TSC98" s="83"/>
      <c r="TSD98" s="83"/>
      <c r="TSE98" s="83"/>
      <c r="TSF98" s="83"/>
      <c r="TSG98" s="83"/>
      <c r="TSH98" s="83"/>
      <c r="TSI98" s="83"/>
      <c r="TSJ98" s="83"/>
      <c r="TSK98" s="83"/>
      <c r="TSL98" s="83"/>
      <c r="TSM98" s="83"/>
      <c r="TSN98" s="83"/>
      <c r="TSO98" s="83"/>
      <c r="TSP98" s="83"/>
      <c r="TSQ98" s="83"/>
      <c r="TSR98" s="83"/>
      <c r="TSS98" s="83"/>
      <c r="TST98" s="83"/>
      <c r="TSU98" s="83"/>
      <c r="TSV98" s="83"/>
      <c r="TSW98" s="83"/>
      <c r="TSX98" s="83"/>
      <c r="TSY98" s="83"/>
      <c r="TSZ98" s="83"/>
      <c r="TTA98" s="83"/>
      <c r="TTB98" s="83"/>
      <c r="TTC98" s="83"/>
      <c r="TTD98" s="83"/>
      <c r="TTE98" s="83"/>
      <c r="TTF98" s="83"/>
      <c r="TTG98" s="83"/>
      <c r="TTH98" s="83"/>
      <c r="TTI98" s="83"/>
      <c r="TTJ98" s="83"/>
      <c r="TTK98" s="83"/>
      <c r="TTL98" s="83"/>
      <c r="TTM98" s="83"/>
      <c r="TTN98" s="83"/>
      <c r="TTO98" s="83"/>
      <c r="TTP98" s="83"/>
      <c r="TTQ98" s="83"/>
      <c r="TTR98" s="83"/>
      <c r="TTS98" s="83"/>
      <c r="TTT98" s="83"/>
      <c r="TTU98" s="83"/>
      <c r="TTV98" s="83"/>
      <c r="TTW98" s="83"/>
      <c r="TTX98" s="83"/>
      <c r="TTY98" s="83"/>
      <c r="TTZ98" s="83"/>
      <c r="TUA98" s="83"/>
      <c r="TUB98" s="83"/>
      <c r="TUC98" s="83"/>
      <c r="TUD98" s="83"/>
      <c r="TUE98" s="83"/>
      <c r="TUF98" s="83"/>
      <c r="TUG98" s="83"/>
      <c r="TUH98" s="83"/>
      <c r="TUI98" s="83"/>
      <c r="TUJ98" s="83"/>
      <c r="TUK98" s="83"/>
      <c r="TUL98" s="83"/>
      <c r="TUM98" s="83"/>
      <c r="TUN98" s="83"/>
      <c r="TUO98" s="83"/>
      <c r="TUP98" s="83"/>
      <c r="TUQ98" s="83"/>
      <c r="TUR98" s="83"/>
      <c r="TUS98" s="83"/>
      <c r="TUT98" s="83"/>
      <c r="TUU98" s="83"/>
      <c r="TUV98" s="83"/>
      <c r="TUW98" s="83"/>
      <c r="TUX98" s="83"/>
      <c r="TUY98" s="83"/>
      <c r="TUZ98" s="83"/>
      <c r="TVA98" s="83"/>
      <c r="TVB98" s="83"/>
      <c r="TVC98" s="83"/>
      <c r="TVD98" s="83"/>
      <c r="TVE98" s="83"/>
      <c r="TVF98" s="83"/>
      <c r="TVG98" s="83"/>
      <c r="TVH98" s="83"/>
      <c r="TVI98" s="83"/>
      <c r="TVJ98" s="83"/>
      <c r="TVK98" s="83"/>
      <c r="TVL98" s="83"/>
      <c r="TVM98" s="83"/>
      <c r="TVN98" s="83"/>
      <c r="TVO98" s="83"/>
      <c r="TVP98" s="83"/>
      <c r="TVQ98" s="83"/>
      <c r="TVR98" s="83"/>
      <c r="TVS98" s="83"/>
      <c r="TVT98" s="83"/>
      <c r="TVU98" s="83"/>
      <c r="TVV98" s="83"/>
      <c r="TVW98" s="83"/>
      <c r="TVX98" s="83"/>
      <c r="TVY98" s="83"/>
      <c r="TVZ98" s="83"/>
      <c r="TWA98" s="83"/>
      <c r="TWB98" s="83"/>
      <c r="TWC98" s="83"/>
      <c r="TWD98" s="83"/>
      <c r="TWE98" s="83"/>
      <c r="TWF98" s="83"/>
      <c r="TWG98" s="83"/>
      <c r="TWH98" s="83"/>
      <c r="TWI98" s="83"/>
      <c r="TWJ98" s="83"/>
      <c r="TWK98" s="83"/>
      <c r="TWL98" s="83"/>
      <c r="TWM98" s="83"/>
      <c r="TWN98" s="83"/>
      <c r="TWO98" s="83"/>
      <c r="TWP98" s="83"/>
      <c r="TWQ98" s="83"/>
      <c r="TWR98" s="83"/>
      <c r="TWS98" s="83"/>
      <c r="TWT98" s="83"/>
      <c r="TWU98" s="83"/>
      <c r="TWV98" s="83"/>
      <c r="TWW98" s="83"/>
      <c r="TWX98" s="83"/>
      <c r="TWY98" s="83"/>
      <c r="TWZ98" s="83"/>
      <c r="TXA98" s="83"/>
      <c r="TXB98" s="83"/>
      <c r="TXC98" s="83"/>
      <c r="TXD98" s="83"/>
      <c r="TXE98" s="83"/>
      <c r="TXF98" s="83"/>
      <c r="TXG98" s="83"/>
      <c r="TXH98" s="83"/>
      <c r="TXI98" s="83"/>
      <c r="TXJ98" s="83"/>
      <c r="TXK98" s="83"/>
      <c r="TXL98" s="83"/>
      <c r="TXM98" s="83"/>
      <c r="TXN98" s="83"/>
      <c r="TXO98" s="83"/>
      <c r="TXP98" s="83"/>
      <c r="TXQ98" s="83"/>
      <c r="TXR98" s="83"/>
      <c r="TXS98" s="83"/>
      <c r="TXT98" s="83"/>
      <c r="TXU98" s="83"/>
      <c r="TXV98" s="83"/>
      <c r="TXW98" s="83"/>
      <c r="TXX98" s="83"/>
      <c r="TXY98" s="83"/>
      <c r="TXZ98" s="83"/>
      <c r="TYA98" s="83"/>
      <c r="TYB98" s="83"/>
      <c r="TYC98" s="83"/>
      <c r="TYD98" s="83"/>
      <c r="TYE98" s="83"/>
      <c r="TYF98" s="83"/>
      <c r="TYG98" s="83"/>
      <c r="TYH98" s="83"/>
      <c r="TYI98" s="83"/>
      <c r="TYJ98" s="83"/>
      <c r="TYK98" s="83"/>
      <c r="TYL98" s="83"/>
      <c r="TYM98" s="83"/>
      <c r="TYN98" s="83"/>
      <c r="TYO98" s="83"/>
      <c r="TYP98" s="83"/>
      <c r="TYQ98" s="83"/>
      <c r="TYR98" s="83"/>
      <c r="TYS98" s="83"/>
      <c r="TYT98" s="83"/>
      <c r="TYU98" s="83"/>
      <c r="TYV98" s="83"/>
      <c r="TYW98" s="83"/>
      <c r="TYX98" s="83"/>
      <c r="TYY98" s="83"/>
      <c r="TYZ98" s="83"/>
      <c r="TZA98" s="83"/>
      <c r="TZB98" s="83"/>
      <c r="TZC98" s="83"/>
      <c r="TZD98" s="83"/>
      <c r="TZE98" s="83"/>
      <c r="TZF98" s="83"/>
      <c r="TZG98" s="83"/>
      <c r="TZH98" s="83"/>
      <c r="TZI98" s="83"/>
      <c r="TZJ98" s="83"/>
      <c r="TZK98" s="83"/>
      <c r="TZL98" s="83"/>
      <c r="TZM98" s="83"/>
      <c r="TZN98" s="83"/>
      <c r="TZO98" s="83"/>
      <c r="TZP98" s="83"/>
      <c r="TZQ98" s="83"/>
      <c r="TZR98" s="83"/>
      <c r="TZS98" s="83"/>
      <c r="TZT98" s="83"/>
      <c r="TZU98" s="83"/>
      <c r="TZV98" s="83"/>
      <c r="TZW98" s="83"/>
      <c r="TZX98" s="83"/>
      <c r="TZY98" s="83"/>
      <c r="TZZ98" s="83"/>
      <c r="UAA98" s="83"/>
      <c r="UAB98" s="83"/>
      <c r="UAC98" s="83"/>
      <c r="UAD98" s="83"/>
      <c r="UAE98" s="83"/>
      <c r="UAF98" s="83"/>
      <c r="UAG98" s="83"/>
      <c r="UAH98" s="83"/>
      <c r="UAI98" s="83"/>
      <c r="UAJ98" s="83"/>
      <c r="UAK98" s="83"/>
      <c r="UAL98" s="83"/>
      <c r="UAM98" s="83"/>
      <c r="UAN98" s="83"/>
      <c r="UAO98" s="83"/>
      <c r="UAP98" s="83"/>
      <c r="UAQ98" s="83"/>
      <c r="UAR98" s="83"/>
      <c r="UAS98" s="83"/>
      <c r="UAT98" s="83"/>
      <c r="UAU98" s="83"/>
      <c r="UAV98" s="83"/>
      <c r="UAW98" s="83"/>
      <c r="UAX98" s="83"/>
      <c r="UAY98" s="83"/>
      <c r="UAZ98" s="83"/>
      <c r="UBA98" s="83"/>
      <c r="UBB98" s="83"/>
      <c r="UBC98" s="83"/>
      <c r="UBD98" s="83"/>
      <c r="UBE98" s="83"/>
      <c r="UBF98" s="83"/>
      <c r="UBG98" s="83"/>
      <c r="UBH98" s="83"/>
      <c r="UBI98" s="83"/>
      <c r="UBJ98" s="83"/>
      <c r="UBK98" s="83"/>
      <c r="UBL98" s="83"/>
      <c r="UBM98" s="83"/>
      <c r="UBN98" s="83"/>
      <c r="UBO98" s="83"/>
      <c r="UBP98" s="83"/>
      <c r="UBQ98" s="83"/>
      <c r="UBR98" s="83"/>
      <c r="UBS98" s="83"/>
      <c r="UBT98" s="83"/>
      <c r="UBU98" s="83"/>
      <c r="UBV98" s="83"/>
      <c r="UBW98" s="83"/>
      <c r="UBX98" s="83"/>
      <c r="UBY98" s="83"/>
      <c r="UBZ98" s="83"/>
      <c r="UCA98" s="83"/>
      <c r="UCB98" s="83"/>
      <c r="UCC98" s="83"/>
      <c r="UCD98" s="83"/>
      <c r="UCE98" s="83"/>
      <c r="UCF98" s="83"/>
      <c r="UCG98" s="83"/>
      <c r="UCH98" s="83"/>
      <c r="UCI98" s="83"/>
      <c r="UCJ98" s="83"/>
      <c r="UCK98" s="83"/>
      <c r="UCL98" s="83"/>
      <c r="UCM98" s="83"/>
      <c r="UCN98" s="83"/>
      <c r="UCO98" s="83"/>
      <c r="UCP98" s="83"/>
      <c r="UCQ98" s="83"/>
      <c r="UCR98" s="83"/>
      <c r="UCS98" s="83"/>
      <c r="UCT98" s="83"/>
      <c r="UCU98" s="83"/>
      <c r="UCV98" s="83"/>
      <c r="UCW98" s="83"/>
      <c r="UCX98" s="83"/>
      <c r="UCY98" s="83"/>
      <c r="UCZ98" s="83"/>
      <c r="UDA98" s="83"/>
      <c r="UDB98" s="83"/>
      <c r="UDC98" s="83"/>
      <c r="UDD98" s="83"/>
      <c r="UDE98" s="83"/>
      <c r="UDF98" s="83"/>
      <c r="UDG98" s="83"/>
      <c r="UDH98" s="83"/>
      <c r="UDI98" s="83"/>
      <c r="UDJ98" s="83"/>
      <c r="UDK98" s="83"/>
      <c r="UDL98" s="83"/>
      <c r="UDM98" s="83"/>
      <c r="UDN98" s="83"/>
      <c r="UDO98" s="83"/>
      <c r="UDP98" s="83"/>
      <c r="UDQ98" s="83"/>
      <c r="UDR98" s="83"/>
      <c r="UDS98" s="83"/>
      <c r="UDT98" s="83"/>
      <c r="UDU98" s="83"/>
      <c r="UDV98" s="83"/>
      <c r="UDW98" s="83"/>
      <c r="UDX98" s="83"/>
      <c r="UDY98" s="83"/>
      <c r="UDZ98" s="83"/>
      <c r="UEA98" s="83"/>
      <c r="UEB98" s="83"/>
      <c r="UEC98" s="83"/>
      <c r="UED98" s="83"/>
      <c r="UEE98" s="83"/>
      <c r="UEF98" s="83"/>
      <c r="UEG98" s="83"/>
      <c r="UEH98" s="83"/>
      <c r="UEI98" s="83"/>
      <c r="UEJ98" s="83"/>
      <c r="UEK98" s="83"/>
      <c r="UEL98" s="83"/>
      <c r="UEM98" s="83"/>
      <c r="UEN98" s="83"/>
      <c r="UEO98" s="83"/>
      <c r="UEP98" s="83"/>
      <c r="UEQ98" s="83"/>
      <c r="UER98" s="83"/>
      <c r="UES98" s="83"/>
      <c r="UET98" s="83"/>
      <c r="UEU98" s="83"/>
      <c r="UEV98" s="83"/>
      <c r="UEW98" s="83"/>
      <c r="UEX98" s="83"/>
      <c r="UEY98" s="83"/>
      <c r="UEZ98" s="83"/>
      <c r="UFA98" s="83"/>
      <c r="UFB98" s="83"/>
      <c r="UFC98" s="83"/>
      <c r="UFD98" s="83"/>
      <c r="UFE98" s="83"/>
      <c r="UFF98" s="83"/>
      <c r="UFG98" s="83"/>
      <c r="UFH98" s="83"/>
      <c r="UFI98" s="83"/>
      <c r="UFJ98" s="83"/>
      <c r="UFK98" s="83"/>
      <c r="UFL98" s="83"/>
      <c r="UFM98" s="83"/>
      <c r="UFN98" s="83"/>
      <c r="UFO98" s="83"/>
      <c r="UFP98" s="83"/>
      <c r="UFQ98" s="83"/>
      <c r="UFR98" s="83"/>
      <c r="UFS98" s="83"/>
      <c r="UFT98" s="83"/>
      <c r="UFU98" s="83"/>
      <c r="UFV98" s="83"/>
      <c r="UFW98" s="83"/>
      <c r="UFX98" s="83"/>
      <c r="UFY98" s="83"/>
      <c r="UFZ98" s="83"/>
      <c r="UGA98" s="83"/>
      <c r="UGB98" s="83"/>
      <c r="UGC98" s="83"/>
      <c r="UGD98" s="83"/>
      <c r="UGE98" s="83"/>
      <c r="UGF98" s="83"/>
      <c r="UGG98" s="83"/>
      <c r="UGH98" s="83"/>
      <c r="UGI98" s="83"/>
      <c r="UGJ98" s="83"/>
      <c r="UGK98" s="83"/>
      <c r="UGL98" s="83"/>
      <c r="UGM98" s="83"/>
      <c r="UGN98" s="83"/>
      <c r="UGO98" s="83"/>
      <c r="UGP98" s="83"/>
      <c r="UGQ98" s="83"/>
      <c r="UGR98" s="83"/>
      <c r="UGS98" s="83"/>
      <c r="UGT98" s="83"/>
      <c r="UGU98" s="83"/>
      <c r="UGV98" s="83"/>
      <c r="UGW98" s="83"/>
      <c r="UGX98" s="83"/>
      <c r="UGY98" s="83"/>
      <c r="UGZ98" s="83"/>
      <c r="UHA98" s="83"/>
      <c r="UHB98" s="83"/>
      <c r="UHC98" s="83"/>
      <c r="UHD98" s="83"/>
      <c r="UHE98" s="83"/>
      <c r="UHF98" s="83"/>
      <c r="UHG98" s="83"/>
      <c r="UHH98" s="83"/>
      <c r="UHI98" s="83"/>
      <c r="UHJ98" s="83"/>
      <c r="UHK98" s="83"/>
      <c r="UHL98" s="83"/>
      <c r="UHM98" s="83"/>
      <c r="UHN98" s="83"/>
      <c r="UHO98" s="83"/>
      <c r="UHP98" s="83"/>
      <c r="UHQ98" s="83"/>
      <c r="UHR98" s="83"/>
      <c r="UHS98" s="83"/>
      <c r="UHT98" s="83"/>
      <c r="UHU98" s="83"/>
      <c r="UHV98" s="83"/>
      <c r="UHW98" s="83"/>
      <c r="UHX98" s="83"/>
      <c r="UHY98" s="83"/>
      <c r="UHZ98" s="83"/>
      <c r="UIA98" s="83"/>
      <c r="UIB98" s="83"/>
      <c r="UIC98" s="83"/>
      <c r="UID98" s="83"/>
      <c r="UIE98" s="83"/>
      <c r="UIF98" s="83"/>
      <c r="UIG98" s="83"/>
      <c r="UIH98" s="83"/>
      <c r="UII98" s="83"/>
      <c r="UIJ98" s="83"/>
      <c r="UIK98" s="83"/>
      <c r="UIL98" s="83"/>
      <c r="UIM98" s="83"/>
      <c r="UIN98" s="83"/>
      <c r="UIO98" s="83"/>
      <c r="UIP98" s="83"/>
      <c r="UIQ98" s="83"/>
      <c r="UIR98" s="83"/>
      <c r="UIS98" s="83"/>
      <c r="UIT98" s="83"/>
      <c r="UIU98" s="83"/>
      <c r="UIV98" s="83"/>
      <c r="UIW98" s="83"/>
      <c r="UIX98" s="83"/>
      <c r="UIY98" s="83"/>
      <c r="UIZ98" s="83"/>
      <c r="UJA98" s="83"/>
      <c r="UJB98" s="83"/>
      <c r="UJC98" s="83"/>
      <c r="UJD98" s="83"/>
      <c r="UJE98" s="83"/>
      <c r="UJF98" s="83"/>
      <c r="UJG98" s="83"/>
      <c r="UJH98" s="83"/>
      <c r="UJI98" s="83"/>
      <c r="UJJ98" s="83"/>
      <c r="UJK98" s="83"/>
      <c r="UJL98" s="83"/>
      <c r="UJM98" s="83"/>
      <c r="UJN98" s="83"/>
      <c r="UJO98" s="83"/>
      <c r="UJP98" s="83"/>
      <c r="UJQ98" s="83"/>
      <c r="UJR98" s="83"/>
      <c r="UJS98" s="83"/>
      <c r="UJT98" s="83"/>
      <c r="UJU98" s="83"/>
      <c r="UJV98" s="83"/>
      <c r="UJW98" s="83"/>
      <c r="UJX98" s="83"/>
      <c r="UJY98" s="83"/>
      <c r="UJZ98" s="83"/>
      <c r="UKA98" s="83"/>
      <c r="UKB98" s="83"/>
      <c r="UKC98" s="83"/>
      <c r="UKD98" s="83"/>
      <c r="UKE98" s="83"/>
      <c r="UKF98" s="83"/>
      <c r="UKG98" s="83"/>
      <c r="UKH98" s="83"/>
      <c r="UKI98" s="83"/>
      <c r="UKJ98" s="83"/>
      <c r="UKK98" s="83"/>
      <c r="UKL98" s="83"/>
      <c r="UKM98" s="83"/>
      <c r="UKN98" s="83"/>
      <c r="UKO98" s="83"/>
      <c r="UKP98" s="83"/>
      <c r="UKQ98" s="83"/>
      <c r="UKR98" s="83"/>
      <c r="UKS98" s="83"/>
      <c r="UKT98" s="83"/>
      <c r="UKU98" s="83"/>
      <c r="UKV98" s="83"/>
      <c r="UKW98" s="83"/>
      <c r="UKX98" s="83"/>
      <c r="UKY98" s="83"/>
      <c r="UKZ98" s="83"/>
      <c r="ULA98" s="83"/>
      <c r="ULB98" s="83"/>
      <c r="ULC98" s="83"/>
      <c r="ULD98" s="83"/>
      <c r="ULE98" s="83"/>
      <c r="ULF98" s="83"/>
      <c r="ULG98" s="83"/>
      <c r="ULH98" s="83"/>
      <c r="ULI98" s="83"/>
      <c r="ULJ98" s="83"/>
      <c r="ULK98" s="83"/>
      <c r="ULL98" s="83"/>
      <c r="ULM98" s="83"/>
      <c r="ULN98" s="83"/>
      <c r="ULO98" s="83"/>
      <c r="ULP98" s="83"/>
      <c r="ULQ98" s="83"/>
      <c r="ULR98" s="83"/>
      <c r="ULS98" s="83"/>
      <c r="ULT98" s="83"/>
      <c r="ULU98" s="83"/>
      <c r="ULV98" s="83"/>
      <c r="ULW98" s="83"/>
      <c r="ULX98" s="83"/>
      <c r="ULY98" s="83"/>
      <c r="ULZ98" s="83"/>
      <c r="UMA98" s="83"/>
      <c r="UMB98" s="83"/>
      <c r="UMC98" s="83"/>
      <c r="UMD98" s="83"/>
      <c r="UME98" s="83"/>
      <c r="UMF98" s="83"/>
      <c r="UMG98" s="83"/>
      <c r="UMH98" s="83"/>
      <c r="UMI98" s="83"/>
      <c r="UMJ98" s="83"/>
      <c r="UMK98" s="83"/>
      <c r="UML98" s="83"/>
      <c r="UMM98" s="83"/>
      <c r="UMN98" s="83"/>
      <c r="UMO98" s="83"/>
      <c r="UMP98" s="83"/>
      <c r="UMQ98" s="83"/>
      <c r="UMR98" s="83"/>
      <c r="UMS98" s="83"/>
      <c r="UMT98" s="83"/>
      <c r="UMU98" s="83"/>
      <c r="UMV98" s="83"/>
      <c r="UMW98" s="83"/>
      <c r="UMX98" s="83"/>
      <c r="UMY98" s="83"/>
      <c r="UMZ98" s="83"/>
      <c r="UNA98" s="83"/>
      <c r="UNB98" s="83"/>
      <c r="UNC98" s="83"/>
      <c r="UND98" s="83"/>
      <c r="UNE98" s="83"/>
      <c r="UNF98" s="83"/>
      <c r="UNG98" s="83"/>
      <c r="UNH98" s="83"/>
      <c r="UNI98" s="83"/>
      <c r="UNJ98" s="83"/>
      <c r="UNK98" s="83"/>
      <c r="UNL98" s="83"/>
      <c r="UNM98" s="83"/>
      <c r="UNN98" s="83"/>
      <c r="UNO98" s="83"/>
      <c r="UNP98" s="83"/>
      <c r="UNQ98" s="83"/>
      <c r="UNR98" s="83"/>
      <c r="UNS98" s="83"/>
      <c r="UNT98" s="83"/>
      <c r="UNU98" s="83"/>
      <c r="UNV98" s="83"/>
      <c r="UNW98" s="83"/>
      <c r="UNX98" s="83"/>
      <c r="UNY98" s="83"/>
      <c r="UNZ98" s="83"/>
      <c r="UOA98" s="83"/>
      <c r="UOB98" s="83"/>
      <c r="UOC98" s="83"/>
      <c r="UOD98" s="83"/>
      <c r="UOE98" s="83"/>
      <c r="UOF98" s="83"/>
      <c r="UOG98" s="83"/>
      <c r="UOH98" s="83"/>
      <c r="UOI98" s="83"/>
      <c r="UOJ98" s="83"/>
      <c r="UOK98" s="83"/>
      <c r="UOL98" s="83"/>
      <c r="UOM98" s="83"/>
      <c r="UON98" s="83"/>
      <c r="UOO98" s="83"/>
      <c r="UOP98" s="83"/>
      <c r="UOQ98" s="83"/>
      <c r="UOR98" s="83"/>
      <c r="UOS98" s="83"/>
      <c r="UOT98" s="83"/>
      <c r="UOU98" s="83"/>
      <c r="UOV98" s="83"/>
      <c r="UOW98" s="83"/>
      <c r="UOX98" s="83"/>
      <c r="UOY98" s="83"/>
      <c r="UOZ98" s="83"/>
      <c r="UPA98" s="83"/>
      <c r="UPB98" s="83"/>
      <c r="UPC98" s="83"/>
      <c r="UPD98" s="83"/>
      <c r="UPE98" s="83"/>
      <c r="UPF98" s="83"/>
      <c r="UPG98" s="83"/>
      <c r="UPH98" s="83"/>
      <c r="UPI98" s="83"/>
      <c r="UPJ98" s="83"/>
      <c r="UPK98" s="83"/>
      <c r="UPL98" s="83"/>
      <c r="UPM98" s="83"/>
      <c r="UPN98" s="83"/>
      <c r="UPO98" s="83"/>
      <c r="UPP98" s="83"/>
      <c r="UPQ98" s="83"/>
      <c r="UPR98" s="83"/>
      <c r="UPS98" s="83"/>
      <c r="UPT98" s="83"/>
      <c r="UPU98" s="83"/>
      <c r="UPV98" s="83"/>
      <c r="UPW98" s="83"/>
      <c r="UPX98" s="83"/>
      <c r="UPY98" s="83"/>
      <c r="UPZ98" s="83"/>
      <c r="UQA98" s="83"/>
      <c r="UQB98" s="83"/>
      <c r="UQC98" s="83"/>
      <c r="UQD98" s="83"/>
      <c r="UQE98" s="83"/>
      <c r="UQF98" s="83"/>
      <c r="UQG98" s="83"/>
      <c r="UQH98" s="83"/>
      <c r="UQI98" s="83"/>
      <c r="UQJ98" s="83"/>
      <c r="UQK98" s="83"/>
      <c r="UQL98" s="83"/>
      <c r="UQM98" s="83"/>
      <c r="UQN98" s="83"/>
      <c r="UQO98" s="83"/>
      <c r="UQP98" s="83"/>
      <c r="UQQ98" s="83"/>
      <c r="UQR98" s="83"/>
      <c r="UQS98" s="83"/>
      <c r="UQT98" s="83"/>
      <c r="UQU98" s="83"/>
      <c r="UQV98" s="83"/>
      <c r="UQW98" s="83"/>
      <c r="UQX98" s="83"/>
      <c r="UQY98" s="83"/>
      <c r="UQZ98" s="83"/>
      <c r="URA98" s="83"/>
      <c r="URB98" s="83"/>
      <c r="URC98" s="83"/>
      <c r="URD98" s="83"/>
      <c r="URE98" s="83"/>
      <c r="URF98" s="83"/>
      <c r="URG98" s="83"/>
      <c r="URH98" s="83"/>
      <c r="URI98" s="83"/>
      <c r="URJ98" s="83"/>
      <c r="URK98" s="83"/>
      <c r="URL98" s="83"/>
      <c r="URM98" s="83"/>
      <c r="URN98" s="83"/>
      <c r="URO98" s="83"/>
      <c r="URP98" s="83"/>
      <c r="URQ98" s="83"/>
      <c r="URR98" s="83"/>
      <c r="URS98" s="83"/>
      <c r="URT98" s="83"/>
      <c r="URU98" s="83"/>
      <c r="URV98" s="83"/>
      <c r="URW98" s="83"/>
      <c r="URX98" s="83"/>
      <c r="URY98" s="83"/>
      <c r="URZ98" s="83"/>
      <c r="USA98" s="83"/>
      <c r="USB98" s="83"/>
      <c r="USC98" s="83"/>
      <c r="USD98" s="83"/>
      <c r="USE98" s="83"/>
      <c r="USF98" s="83"/>
      <c r="USG98" s="83"/>
      <c r="USH98" s="83"/>
      <c r="USI98" s="83"/>
      <c r="USJ98" s="83"/>
      <c r="USK98" s="83"/>
      <c r="USL98" s="83"/>
      <c r="USM98" s="83"/>
      <c r="USN98" s="83"/>
      <c r="USO98" s="83"/>
      <c r="USP98" s="83"/>
      <c r="USQ98" s="83"/>
      <c r="USR98" s="83"/>
      <c r="USS98" s="83"/>
      <c r="UST98" s="83"/>
      <c r="USU98" s="83"/>
      <c r="USV98" s="83"/>
      <c r="USW98" s="83"/>
      <c r="USX98" s="83"/>
      <c r="USY98" s="83"/>
      <c r="USZ98" s="83"/>
      <c r="UTA98" s="83"/>
      <c r="UTB98" s="83"/>
      <c r="UTC98" s="83"/>
      <c r="UTD98" s="83"/>
      <c r="UTE98" s="83"/>
      <c r="UTF98" s="83"/>
      <c r="UTG98" s="83"/>
      <c r="UTH98" s="83"/>
      <c r="UTI98" s="83"/>
      <c r="UTJ98" s="83"/>
      <c r="UTK98" s="83"/>
      <c r="UTL98" s="83"/>
      <c r="UTM98" s="83"/>
      <c r="UTN98" s="83"/>
      <c r="UTO98" s="83"/>
      <c r="UTP98" s="83"/>
      <c r="UTQ98" s="83"/>
      <c r="UTR98" s="83"/>
      <c r="UTS98" s="83"/>
      <c r="UTT98" s="83"/>
      <c r="UTU98" s="83"/>
      <c r="UTV98" s="83"/>
      <c r="UTW98" s="83"/>
      <c r="UTX98" s="83"/>
      <c r="UTY98" s="83"/>
      <c r="UTZ98" s="83"/>
      <c r="UUA98" s="83"/>
      <c r="UUB98" s="83"/>
      <c r="UUC98" s="83"/>
      <c r="UUD98" s="83"/>
      <c r="UUE98" s="83"/>
      <c r="UUF98" s="83"/>
      <c r="UUG98" s="83"/>
      <c r="UUH98" s="83"/>
      <c r="UUI98" s="83"/>
      <c r="UUJ98" s="83"/>
      <c r="UUK98" s="83"/>
      <c r="UUL98" s="83"/>
      <c r="UUM98" s="83"/>
      <c r="UUN98" s="83"/>
      <c r="UUO98" s="83"/>
      <c r="UUP98" s="83"/>
      <c r="UUQ98" s="83"/>
      <c r="UUR98" s="83"/>
      <c r="UUS98" s="83"/>
      <c r="UUT98" s="83"/>
      <c r="UUU98" s="83"/>
      <c r="UUV98" s="83"/>
      <c r="UUW98" s="83"/>
      <c r="UUX98" s="83"/>
      <c r="UUY98" s="83"/>
      <c r="UUZ98" s="83"/>
      <c r="UVA98" s="83"/>
      <c r="UVB98" s="83"/>
      <c r="UVC98" s="83"/>
      <c r="UVD98" s="83"/>
      <c r="UVE98" s="83"/>
      <c r="UVF98" s="83"/>
      <c r="UVG98" s="83"/>
      <c r="UVH98" s="83"/>
      <c r="UVI98" s="83"/>
      <c r="UVJ98" s="83"/>
      <c r="UVK98" s="83"/>
      <c r="UVL98" s="83"/>
      <c r="UVM98" s="83"/>
      <c r="UVN98" s="83"/>
      <c r="UVO98" s="83"/>
      <c r="UVP98" s="83"/>
      <c r="UVQ98" s="83"/>
      <c r="UVR98" s="83"/>
      <c r="UVS98" s="83"/>
      <c r="UVT98" s="83"/>
      <c r="UVU98" s="83"/>
      <c r="UVV98" s="83"/>
      <c r="UVW98" s="83"/>
      <c r="UVX98" s="83"/>
      <c r="UVY98" s="83"/>
      <c r="UVZ98" s="83"/>
      <c r="UWA98" s="83"/>
      <c r="UWB98" s="83"/>
      <c r="UWC98" s="83"/>
      <c r="UWD98" s="83"/>
      <c r="UWE98" s="83"/>
      <c r="UWF98" s="83"/>
      <c r="UWG98" s="83"/>
      <c r="UWH98" s="83"/>
      <c r="UWI98" s="83"/>
      <c r="UWJ98" s="83"/>
      <c r="UWK98" s="83"/>
      <c r="UWL98" s="83"/>
      <c r="UWM98" s="83"/>
      <c r="UWN98" s="83"/>
      <c r="UWO98" s="83"/>
      <c r="UWP98" s="83"/>
      <c r="UWQ98" s="83"/>
      <c r="UWR98" s="83"/>
      <c r="UWS98" s="83"/>
      <c r="UWT98" s="83"/>
      <c r="UWU98" s="83"/>
      <c r="UWV98" s="83"/>
      <c r="UWW98" s="83"/>
      <c r="UWX98" s="83"/>
      <c r="UWY98" s="83"/>
      <c r="UWZ98" s="83"/>
      <c r="UXA98" s="83"/>
      <c r="UXB98" s="83"/>
      <c r="UXC98" s="83"/>
      <c r="UXD98" s="83"/>
      <c r="UXE98" s="83"/>
      <c r="UXF98" s="83"/>
      <c r="UXG98" s="83"/>
      <c r="UXH98" s="83"/>
      <c r="UXI98" s="83"/>
      <c r="UXJ98" s="83"/>
      <c r="UXK98" s="83"/>
      <c r="UXL98" s="83"/>
      <c r="UXM98" s="83"/>
      <c r="UXN98" s="83"/>
      <c r="UXO98" s="83"/>
      <c r="UXP98" s="83"/>
      <c r="UXQ98" s="83"/>
      <c r="UXR98" s="83"/>
      <c r="UXS98" s="83"/>
      <c r="UXT98" s="83"/>
      <c r="UXU98" s="83"/>
      <c r="UXV98" s="83"/>
      <c r="UXW98" s="83"/>
      <c r="UXX98" s="83"/>
      <c r="UXY98" s="83"/>
      <c r="UXZ98" s="83"/>
      <c r="UYA98" s="83"/>
      <c r="UYB98" s="83"/>
      <c r="UYC98" s="83"/>
      <c r="UYD98" s="83"/>
      <c r="UYE98" s="83"/>
      <c r="UYF98" s="83"/>
      <c r="UYG98" s="83"/>
      <c r="UYH98" s="83"/>
      <c r="UYI98" s="83"/>
      <c r="UYJ98" s="83"/>
      <c r="UYK98" s="83"/>
      <c r="UYL98" s="83"/>
      <c r="UYM98" s="83"/>
      <c r="UYN98" s="83"/>
      <c r="UYO98" s="83"/>
      <c r="UYP98" s="83"/>
      <c r="UYQ98" s="83"/>
      <c r="UYR98" s="83"/>
      <c r="UYS98" s="83"/>
      <c r="UYT98" s="83"/>
      <c r="UYU98" s="83"/>
      <c r="UYV98" s="83"/>
      <c r="UYW98" s="83"/>
      <c r="UYX98" s="83"/>
      <c r="UYY98" s="83"/>
      <c r="UYZ98" s="83"/>
      <c r="UZA98" s="83"/>
      <c r="UZB98" s="83"/>
      <c r="UZC98" s="83"/>
      <c r="UZD98" s="83"/>
      <c r="UZE98" s="83"/>
      <c r="UZF98" s="83"/>
      <c r="UZG98" s="83"/>
      <c r="UZH98" s="83"/>
      <c r="UZI98" s="83"/>
      <c r="UZJ98" s="83"/>
      <c r="UZK98" s="83"/>
      <c r="UZL98" s="83"/>
      <c r="UZM98" s="83"/>
      <c r="UZN98" s="83"/>
      <c r="UZO98" s="83"/>
      <c r="UZP98" s="83"/>
      <c r="UZQ98" s="83"/>
      <c r="UZR98" s="83"/>
      <c r="UZS98" s="83"/>
      <c r="UZT98" s="83"/>
      <c r="UZU98" s="83"/>
      <c r="UZV98" s="83"/>
      <c r="UZW98" s="83"/>
      <c r="UZX98" s="83"/>
      <c r="UZY98" s="83"/>
      <c r="UZZ98" s="83"/>
      <c r="VAA98" s="83"/>
      <c r="VAB98" s="83"/>
      <c r="VAC98" s="83"/>
      <c r="VAD98" s="83"/>
      <c r="VAE98" s="83"/>
      <c r="VAF98" s="83"/>
      <c r="VAG98" s="83"/>
      <c r="VAH98" s="83"/>
      <c r="VAI98" s="83"/>
      <c r="VAJ98" s="83"/>
      <c r="VAK98" s="83"/>
      <c r="VAL98" s="83"/>
      <c r="VAM98" s="83"/>
      <c r="VAN98" s="83"/>
      <c r="VAO98" s="83"/>
      <c r="VAP98" s="83"/>
      <c r="VAQ98" s="83"/>
      <c r="VAR98" s="83"/>
      <c r="VAS98" s="83"/>
      <c r="VAT98" s="83"/>
      <c r="VAU98" s="83"/>
      <c r="VAV98" s="83"/>
      <c r="VAW98" s="83"/>
      <c r="VAX98" s="83"/>
      <c r="VAY98" s="83"/>
      <c r="VAZ98" s="83"/>
      <c r="VBA98" s="83"/>
      <c r="VBB98" s="83"/>
      <c r="VBC98" s="83"/>
      <c r="VBD98" s="83"/>
      <c r="VBE98" s="83"/>
      <c r="VBF98" s="83"/>
      <c r="VBG98" s="83"/>
      <c r="VBH98" s="83"/>
      <c r="VBI98" s="83"/>
      <c r="VBJ98" s="83"/>
      <c r="VBK98" s="83"/>
      <c r="VBL98" s="83"/>
      <c r="VBM98" s="83"/>
      <c r="VBN98" s="83"/>
      <c r="VBO98" s="83"/>
      <c r="VBP98" s="83"/>
      <c r="VBQ98" s="83"/>
      <c r="VBR98" s="83"/>
      <c r="VBS98" s="83"/>
      <c r="VBT98" s="83"/>
      <c r="VBU98" s="83"/>
      <c r="VBV98" s="83"/>
      <c r="VBW98" s="83"/>
      <c r="VBX98" s="83"/>
      <c r="VBY98" s="83"/>
      <c r="VBZ98" s="83"/>
      <c r="VCA98" s="83"/>
      <c r="VCB98" s="83"/>
      <c r="VCC98" s="83"/>
      <c r="VCD98" s="83"/>
      <c r="VCE98" s="83"/>
      <c r="VCF98" s="83"/>
      <c r="VCG98" s="83"/>
      <c r="VCH98" s="83"/>
      <c r="VCI98" s="83"/>
      <c r="VCJ98" s="83"/>
      <c r="VCK98" s="83"/>
      <c r="VCL98" s="83"/>
      <c r="VCM98" s="83"/>
      <c r="VCN98" s="83"/>
      <c r="VCO98" s="83"/>
      <c r="VCP98" s="83"/>
      <c r="VCQ98" s="83"/>
      <c r="VCR98" s="83"/>
      <c r="VCS98" s="83"/>
      <c r="VCT98" s="83"/>
      <c r="VCU98" s="83"/>
      <c r="VCV98" s="83"/>
      <c r="VCW98" s="83"/>
      <c r="VCX98" s="83"/>
      <c r="VCY98" s="83"/>
      <c r="VCZ98" s="83"/>
      <c r="VDA98" s="83"/>
      <c r="VDB98" s="83"/>
      <c r="VDC98" s="83"/>
      <c r="VDD98" s="83"/>
      <c r="VDE98" s="83"/>
      <c r="VDF98" s="83"/>
      <c r="VDG98" s="83"/>
      <c r="VDH98" s="83"/>
      <c r="VDI98" s="83"/>
      <c r="VDJ98" s="83"/>
      <c r="VDK98" s="83"/>
      <c r="VDL98" s="83"/>
      <c r="VDM98" s="83"/>
      <c r="VDN98" s="83"/>
      <c r="VDO98" s="83"/>
      <c r="VDP98" s="83"/>
      <c r="VDQ98" s="83"/>
      <c r="VDR98" s="83"/>
      <c r="VDS98" s="83"/>
      <c r="VDT98" s="83"/>
      <c r="VDU98" s="83"/>
      <c r="VDV98" s="83"/>
      <c r="VDW98" s="83"/>
      <c r="VDX98" s="83"/>
      <c r="VDY98" s="83"/>
      <c r="VDZ98" s="83"/>
      <c r="VEA98" s="83"/>
      <c r="VEB98" s="83"/>
      <c r="VEC98" s="83"/>
      <c r="VED98" s="83"/>
      <c r="VEE98" s="83"/>
      <c r="VEF98" s="83"/>
      <c r="VEG98" s="83"/>
      <c r="VEH98" s="83"/>
      <c r="VEI98" s="83"/>
      <c r="VEJ98" s="83"/>
      <c r="VEK98" s="83"/>
      <c r="VEL98" s="83"/>
      <c r="VEM98" s="83"/>
      <c r="VEN98" s="83"/>
      <c r="VEO98" s="83"/>
      <c r="VEP98" s="83"/>
      <c r="VEQ98" s="83"/>
      <c r="VER98" s="83"/>
      <c r="VES98" s="83"/>
      <c r="VET98" s="83"/>
      <c r="VEU98" s="83"/>
      <c r="VEV98" s="83"/>
      <c r="VEW98" s="83"/>
      <c r="VEX98" s="83"/>
      <c r="VEY98" s="83"/>
      <c r="VEZ98" s="83"/>
      <c r="VFA98" s="83"/>
      <c r="VFB98" s="83"/>
      <c r="VFC98" s="83"/>
      <c r="VFD98" s="83"/>
      <c r="VFE98" s="83"/>
      <c r="VFF98" s="83"/>
      <c r="VFG98" s="83"/>
      <c r="VFH98" s="83"/>
      <c r="VFI98" s="83"/>
      <c r="VFJ98" s="83"/>
      <c r="VFK98" s="83"/>
      <c r="VFL98" s="83"/>
      <c r="VFM98" s="83"/>
      <c r="VFN98" s="83"/>
      <c r="VFO98" s="83"/>
      <c r="VFP98" s="83"/>
      <c r="VFQ98" s="83"/>
      <c r="VFR98" s="83"/>
      <c r="VFS98" s="83"/>
      <c r="VFT98" s="83"/>
      <c r="VFU98" s="83"/>
      <c r="VFV98" s="83"/>
      <c r="VFW98" s="83"/>
      <c r="VFX98" s="83"/>
      <c r="VFY98" s="83"/>
      <c r="VFZ98" s="83"/>
      <c r="VGA98" s="83"/>
      <c r="VGB98" s="83"/>
      <c r="VGC98" s="83"/>
      <c r="VGD98" s="83"/>
      <c r="VGE98" s="83"/>
      <c r="VGF98" s="83"/>
      <c r="VGG98" s="83"/>
      <c r="VGH98" s="83"/>
      <c r="VGI98" s="83"/>
      <c r="VGJ98" s="83"/>
      <c r="VGK98" s="83"/>
      <c r="VGL98" s="83"/>
      <c r="VGM98" s="83"/>
      <c r="VGN98" s="83"/>
      <c r="VGO98" s="83"/>
      <c r="VGP98" s="83"/>
      <c r="VGQ98" s="83"/>
      <c r="VGR98" s="83"/>
      <c r="VGS98" s="83"/>
      <c r="VGT98" s="83"/>
      <c r="VGU98" s="83"/>
      <c r="VGV98" s="83"/>
      <c r="VGW98" s="83"/>
      <c r="VGX98" s="83"/>
      <c r="VGY98" s="83"/>
      <c r="VGZ98" s="83"/>
      <c r="VHA98" s="83"/>
      <c r="VHB98" s="83"/>
      <c r="VHC98" s="83"/>
      <c r="VHD98" s="83"/>
      <c r="VHE98" s="83"/>
      <c r="VHF98" s="83"/>
      <c r="VHG98" s="83"/>
      <c r="VHH98" s="83"/>
      <c r="VHI98" s="83"/>
      <c r="VHJ98" s="83"/>
      <c r="VHK98" s="83"/>
      <c r="VHL98" s="83"/>
      <c r="VHM98" s="83"/>
      <c r="VHN98" s="83"/>
      <c r="VHO98" s="83"/>
      <c r="VHP98" s="83"/>
      <c r="VHQ98" s="83"/>
      <c r="VHR98" s="83"/>
      <c r="VHS98" s="83"/>
      <c r="VHT98" s="83"/>
      <c r="VHU98" s="83"/>
      <c r="VHV98" s="83"/>
      <c r="VHW98" s="83"/>
      <c r="VHX98" s="83"/>
      <c r="VHY98" s="83"/>
      <c r="VHZ98" s="83"/>
      <c r="VIA98" s="83"/>
      <c r="VIB98" s="83"/>
      <c r="VIC98" s="83"/>
      <c r="VID98" s="83"/>
      <c r="VIE98" s="83"/>
      <c r="VIF98" s="83"/>
      <c r="VIG98" s="83"/>
      <c r="VIH98" s="83"/>
      <c r="VII98" s="83"/>
      <c r="VIJ98" s="83"/>
      <c r="VIK98" s="83"/>
      <c r="VIL98" s="83"/>
      <c r="VIM98" s="83"/>
      <c r="VIN98" s="83"/>
      <c r="VIO98" s="83"/>
      <c r="VIP98" s="83"/>
      <c r="VIQ98" s="83"/>
      <c r="VIR98" s="83"/>
      <c r="VIS98" s="83"/>
      <c r="VIT98" s="83"/>
      <c r="VIU98" s="83"/>
      <c r="VIV98" s="83"/>
      <c r="VIW98" s="83"/>
      <c r="VIX98" s="83"/>
      <c r="VIY98" s="83"/>
      <c r="VIZ98" s="83"/>
      <c r="VJA98" s="83"/>
      <c r="VJB98" s="83"/>
      <c r="VJC98" s="83"/>
      <c r="VJD98" s="83"/>
      <c r="VJE98" s="83"/>
      <c r="VJF98" s="83"/>
      <c r="VJG98" s="83"/>
      <c r="VJH98" s="83"/>
      <c r="VJI98" s="83"/>
      <c r="VJJ98" s="83"/>
      <c r="VJK98" s="83"/>
      <c r="VJL98" s="83"/>
      <c r="VJM98" s="83"/>
      <c r="VJN98" s="83"/>
      <c r="VJO98" s="83"/>
      <c r="VJP98" s="83"/>
      <c r="VJQ98" s="83"/>
      <c r="VJR98" s="83"/>
      <c r="VJS98" s="83"/>
      <c r="VJT98" s="83"/>
      <c r="VJU98" s="83"/>
      <c r="VJV98" s="83"/>
      <c r="VJW98" s="83"/>
      <c r="VJX98" s="83"/>
      <c r="VJY98" s="83"/>
      <c r="VJZ98" s="83"/>
      <c r="VKA98" s="83"/>
      <c r="VKB98" s="83"/>
      <c r="VKC98" s="83"/>
      <c r="VKD98" s="83"/>
      <c r="VKE98" s="83"/>
      <c r="VKF98" s="83"/>
      <c r="VKG98" s="83"/>
      <c r="VKH98" s="83"/>
      <c r="VKI98" s="83"/>
      <c r="VKJ98" s="83"/>
      <c r="VKK98" s="83"/>
      <c r="VKL98" s="83"/>
      <c r="VKM98" s="83"/>
      <c r="VKN98" s="83"/>
      <c r="VKO98" s="83"/>
      <c r="VKP98" s="83"/>
      <c r="VKQ98" s="83"/>
      <c r="VKR98" s="83"/>
      <c r="VKS98" s="83"/>
      <c r="VKT98" s="83"/>
      <c r="VKU98" s="83"/>
      <c r="VKV98" s="83"/>
      <c r="VKW98" s="83"/>
      <c r="VKX98" s="83"/>
      <c r="VKY98" s="83"/>
      <c r="VKZ98" s="83"/>
      <c r="VLA98" s="83"/>
      <c r="VLB98" s="83"/>
      <c r="VLC98" s="83"/>
      <c r="VLD98" s="83"/>
      <c r="VLE98" s="83"/>
      <c r="VLF98" s="83"/>
      <c r="VLG98" s="83"/>
      <c r="VLH98" s="83"/>
      <c r="VLI98" s="83"/>
      <c r="VLJ98" s="83"/>
      <c r="VLK98" s="83"/>
      <c r="VLL98" s="83"/>
      <c r="VLM98" s="83"/>
      <c r="VLN98" s="83"/>
      <c r="VLO98" s="83"/>
      <c r="VLP98" s="83"/>
      <c r="VLQ98" s="83"/>
      <c r="VLR98" s="83"/>
      <c r="VLS98" s="83"/>
      <c r="VLT98" s="83"/>
      <c r="VLU98" s="83"/>
      <c r="VLV98" s="83"/>
      <c r="VLW98" s="83"/>
      <c r="VLX98" s="83"/>
      <c r="VLY98" s="83"/>
      <c r="VLZ98" s="83"/>
      <c r="VMA98" s="83"/>
      <c r="VMB98" s="83"/>
      <c r="VMC98" s="83"/>
      <c r="VMD98" s="83"/>
      <c r="VME98" s="83"/>
      <c r="VMF98" s="83"/>
      <c r="VMG98" s="83"/>
      <c r="VMH98" s="83"/>
      <c r="VMI98" s="83"/>
      <c r="VMJ98" s="83"/>
      <c r="VMK98" s="83"/>
      <c r="VML98" s="83"/>
      <c r="VMM98" s="83"/>
      <c r="VMN98" s="83"/>
      <c r="VMO98" s="83"/>
      <c r="VMP98" s="83"/>
      <c r="VMQ98" s="83"/>
      <c r="VMR98" s="83"/>
      <c r="VMS98" s="83"/>
      <c r="VMT98" s="83"/>
      <c r="VMU98" s="83"/>
      <c r="VMV98" s="83"/>
      <c r="VMW98" s="83"/>
      <c r="VMX98" s="83"/>
      <c r="VMY98" s="83"/>
      <c r="VMZ98" s="83"/>
      <c r="VNA98" s="83"/>
      <c r="VNB98" s="83"/>
      <c r="VNC98" s="83"/>
      <c r="VND98" s="83"/>
      <c r="VNE98" s="83"/>
      <c r="VNF98" s="83"/>
      <c r="VNG98" s="83"/>
      <c r="VNH98" s="83"/>
      <c r="VNI98" s="83"/>
      <c r="VNJ98" s="83"/>
      <c r="VNK98" s="83"/>
      <c r="VNL98" s="83"/>
      <c r="VNM98" s="83"/>
      <c r="VNN98" s="83"/>
      <c r="VNO98" s="83"/>
      <c r="VNP98" s="83"/>
      <c r="VNQ98" s="83"/>
      <c r="VNR98" s="83"/>
      <c r="VNS98" s="83"/>
      <c r="VNT98" s="83"/>
      <c r="VNU98" s="83"/>
      <c r="VNV98" s="83"/>
      <c r="VNW98" s="83"/>
      <c r="VNX98" s="83"/>
      <c r="VNY98" s="83"/>
      <c r="VNZ98" s="83"/>
      <c r="VOA98" s="83"/>
      <c r="VOB98" s="83"/>
      <c r="VOC98" s="83"/>
      <c r="VOD98" s="83"/>
      <c r="VOE98" s="83"/>
      <c r="VOF98" s="83"/>
      <c r="VOG98" s="83"/>
      <c r="VOH98" s="83"/>
      <c r="VOI98" s="83"/>
      <c r="VOJ98" s="83"/>
      <c r="VOK98" s="83"/>
      <c r="VOL98" s="83"/>
      <c r="VOM98" s="83"/>
      <c r="VON98" s="83"/>
      <c r="VOO98" s="83"/>
      <c r="VOP98" s="83"/>
      <c r="VOQ98" s="83"/>
      <c r="VOR98" s="83"/>
      <c r="VOS98" s="83"/>
      <c r="VOT98" s="83"/>
      <c r="VOU98" s="83"/>
      <c r="VOV98" s="83"/>
      <c r="VOW98" s="83"/>
      <c r="VOX98" s="83"/>
      <c r="VOY98" s="83"/>
      <c r="VOZ98" s="83"/>
      <c r="VPA98" s="83"/>
      <c r="VPB98" s="83"/>
      <c r="VPC98" s="83"/>
      <c r="VPD98" s="83"/>
      <c r="VPE98" s="83"/>
      <c r="VPF98" s="83"/>
      <c r="VPG98" s="83"/>
      <c r="VPH98" s="83"/>
      <c r="VPI98" s="83"/>
      <c r="VPJ98" s="83"/>
      <c r="VPK98" s="83"/>
      <c r="VPL98" s="83"/>
      <c r="VPM98" s="83"/>
      <c r="VPN98" s="83"/>
      <c r="VPO98" s="83"/>
      <c r="VPP98" s="83"/>
      <c r="VPQ98" s="83"/>
      <c r="VPR98" s="83"/>
      <c r="VPS98" s="83"/>
      <c r="VPT98" s="83"/>
      <c r="VPU98" s="83"/>
      <c r="VPV98" s="83"/>
      <c r="VPW98" s="83"/>
      <c r="VPX98" s="83"/>
      <c r="VPY98" s="83"/>
      <c r="VPZ98" s="83"/>
      <c r="VQA98" s="83"/>
      <c r="VQB98" s="83"/>
      <c r="VQC98" s="83"/>
      <c r="VQD98" s="83"/>
      <c r="VQE98" s="83"/>
      <c r="VQF98" s="83"/>
      <c r="VQG98" s="83"/>
      <c r="VQH98" s="83"/>
      <c r="VQI98" s="83"/>
      <c r="VQJ98" s="83"/>
      <c r="VQK98" s="83"/>
      <c r="VQL98" s="83"/>
      <c r="VQM98" s="83"/>
      <c r="VQN98" s="83"/>
      <c r="VQO98" s="83"/>
      <c r="VQP98" s="83"/>
      <c r="VQQ98" s="83"/>
      <c r="VQR98" s="83"/>
      <c r="VQS98" s="83"/>
      <c r="VQT98" s="83"/>
      <c r="VQU98" s="83"/>
      <c r="VQV98" s="83"/>
      <c r="VQW98" s="83"/>
      <c r="VQX98" s="83"/>
      <c r="VQY98" s="83"/>
      <c r="VQZ98" s="83"/>
      <c r="VRA98" s="83"/>
      <c r="VRB98" s="83"/>
      <c r="VRC98" s="83"/>
      <c r="VRD98" s="83"/>
      <c r="VRE98" s="83"/>
      <c r="VRF98" s="83"/>
      <c r="VRG98" s="83"/>
      <c r="VRH98" s="83"/>
      <c r="VRI98" s="83"/>
      <c r="VRJ98" s="83"/>
      <c r="VRK98" s="83"/>
      <c r="VRL98" s="83"/>
      <c r="VRM98" s="83"/>
      <c r="VRN98" s="83"/>
      <c r="VRO98" s="83"/>
      <c r="VRP98" s="83"/>
      <c r="VRQ98" s="83"/>
      <c r="VRR98" s="83"/>
      <c r="VRS98" s="83"/>
      <c r="VRT98" s="83"/>
      <c r="VRU98" s="83"/>
      <c r="VRV98" s="83"/>
      <c r="VRW98" s="83"/>
      <c r="VRX98" s="83"/>
      <c r="VRY98" s="83"/>
      <c r="VRZ98" s="83"/>
      <c r="VSA98" s="83"/>
      <c r="VSB98" s="83"/>
      <c r="VSC98" s="83"/>
      <c r="VSD98" s="83"/>
      <c r="VSE98" s="83"/>
      <c r="VSF98" s="83"/>
      <c r="VSG98" s="83"/>
      <c r="VSH98" s="83"/>
      <c r="VSI98" s="83"/>
      <c r="VSJ98" s="83"/>
      <c r="VSK98" s="83"/>
      <c r="VSL98" s="83"/>
      <c r="VSM98" s="83"/>
      <c r="VSN98" s="83"/>
      <c r="VSO98" s="83"/>
      <c r="VSP98" s="83"/>
      <c r="VSQ98" s="83"/>
      <c r="VSR98" s="83"/>
      <c r="VSS98" s="83"/>
      <c r="VST98" s="83"/>
      <c r="VSU98" s="83"/>
      <c r="VSV98" s="83"/>
      <c r="VSW98" s="83"/>
      <c r="VSX98" s="83"/>
      <c r="VSY98" s="83"/>
      <c r="VSZ98" s="83"/>
      <c r="VTA98" s="83"/>
      <c r="VTB98" s="83"/>
      <c r="VTC98" s="83"/>
      <c r="VTD98" s="83"/>
      <c r="VTE98" s="83"/>
      <c r="VTF98" s="83"/>
      <c r="VTG98" s="83"/>
      <c r="VTH98" s="83"/>
      <c r="VTI98" s="83"/>
      <c r="VTJ98" s="83"/>
      <c r="VTK98" s="83"/>
      <c r="VTL98" s="83"/>
      <c r="VTM98" s="83"/>
      <c r="VTN98" s="83"/>
      <c r="VTO98" s="83"/>
      <c r="VTP98" s="83"/>
      <c r="VTQ98" s="83"/>
      <c r="VTR98" s="83"/>
      <c r="VTS98" s="83"/>
      <c r="VTT98" s="83"/>
      <c r="VTU98" s="83"/>
      <c r="VTV98" s="83"/>
      <c r="VTW98" s="83"/>
      <c r="VTX98" s="83"/>
      <c r="VTY98" s="83"/>
      <c r="VTZ98" s="83"/>
      <c r="VUA98" s="83"/>
      <c r="VUB98" s="83"/>
      <c r="VUC98" s="83"/>
      <c r="VUD98" s="83"/>
      <c r="VUE98" s="83"/>
      <c r="VUF98" s="83"/>
      <c r="VUG98" s="83"/>
      <c r="VUH98" s="83"/>
      <c r="VUI98" s="83"/>
      <c r="VUJ98" s="83"/>
      <c r="VUK98" s="83"/>
      <c r="VUL98" s="83"/>
      <c r="VUM98" s="83"/>
      <c r="VUN98" s="83"/>
      <c r="VUO98" s="83"/>
      <c r="VUP98" s="83"/>
      <c r="VUQ98" s="83"/>
      <c r="VUR98" s="83"/>
      <c r="VUS98" s="83"/>
      <c r="VUT98" s="83"/>
      <c r="VUU98" s="83"/>
      <c r="VUV98" s="83"/>
      <c r="VUW98" s="83"/>
      <c r="VUX98" s="83"/>
      <c r="VUY98" s="83"/>
      <c r="VUZ98" s="83"/>
      <c r="VVA98" s="83"/>
      <c r="VVB98" s="83"/>
      <c r="VVC98" s="83"/>
      <c r="VVD98" s="83"/>
      <c r="VVE98" s="83"/>
      <c r="VVF98" s="83"/>
      <c r="VVG98" s="83"/>
      <c r="VVH98" s="83"/>
      <c r="VVI98" s="83"/>
      <c r="VVJ98" s="83"/>
      <c r="VVK98" s="83"/>
      <c r="VVL98" s="83"/>
      <c r="VVM98" s="83"/>
      <c r="VVN98" s="83"/>
      <c r="VVO98" s="83"/>
      <c r="VVP98" s="83"/>
      <c r="VVQ98" s="83"/>
      <c r="VVR98" s="83"/>
      <c r="VVS98" s="83"/>
      <c r="VVT98" s="83"/>
      <c r="VVU98" s="83"/>
      <c r="VVV98" s="83"/>
      <c r="VVW98" s="83"/>
      <c r="VVX98" s="83"/>
      <c r="VVY98" s="83"/>
      <c r="VVZ98" s="83"/>
      <c r="VWA98" s="83"/>
      <c r="VWB98" s="83"/>
      <c r="VWC98" s="83"/>
      <c r="VWD98" s="83"/>
      <c r="VWE98" s="83"/>
      <c r="VWF98" s="83"/>
      <c r="VWG98" s="83"/>
      <c r="VWH98" s="83"/>
      <c r="VWI98" s="83"/>
      <c r="VWJ98" s="83"/>
      <c r="VWK98" s="83"/>
      <c r="VWL98" s="83"/>
      <c r="VWM98" s="83"/>
      <c r="VWN98" s="83"/>
      <c r="VWO98" s="83"/>
      <c r="VWP98" s="83"/>
      <c r="VWQ98" s="83"/>
      <c r="VWR98" s="83"/>
      <c r="VWS98" s="83"/>
      <c r="VWT98" s="83"/>
      <c r="VWU98" s="83"/>
      <c r="VWV98" s="83"/>
      <c r="VWW98" s="83"/>
      <c r="VWX98" s="83"/>
      <c r="VWY98" s="83"/>
      <c r="VWZ98" s="83"/>
      <c r="VXA98" s="83"/>
      <c r="VXB98" s="83"/>
      <c r="VXC98" s="83"/>
      <c r="VXD98" s="83"/>
      <c r="VXE98" s="83"/>
      <c r="VXF98" s="83"/>
      <c r="VXG98" s="83"/>
      <c r="VXH98" s="83"/>
      <c r="VXI98" s="83"/>
      <c r="VXJ98" s="83"/>
      <c r="VXK98" s="83"/>
      <c r="VXL98" s="83"/>
      <c r="VXM98" s="83"/>
      <c r="VXN98" s="83"/>
      <c r="VXO98" s="83"/>
      <c r="VXP98" s="83"/>
      <c r="VXQ98" s="83"/>
      <c r="VXR98" s="83"/>
      <c r="VXS98" s="83"/>
      <c r="VXT98" s="83"/>
      <c r="VXU98" s="83"/>
      <c r="VXV98" s="83"/>
      <c r="VXW98" s="83"/>
      <c r="VXX98" s="83"/>
      <c r="VXY98" s="83"/>
      <c r="VXZ98" s="83"/>
      <c r="VYA98" s="83"/>
      <c r="VYB98" s="83"/>
      <c r="VYC98" s="83"/>
      <c r="VYD98" s="83"/>
      <c r="VYE98" s="83"/>
      <c r="VYF98" s="83"/>
      <c r="VYG98" s="83"/>
      <c r="VYH98" s="83"/>
      <c r="VYI98" s="83"/>
      <c r="VYJ98" s="83"/>
      <c r="VYK98" s="83"/>
      <c r="VYL98" s="83"/>
      <c r="VYM98" s="83"/>
      <c r="VYN98" s="83"/>
      <c r="VYO98" s="83"/>
      <c r="VYP98" s="83"/>
      <c r="VYQ98" s="83"/>
      <c r="VYR98" s="83"/>
      <c r="VYS98" s="83"/>
      <c r="VYT98" s="83"/>
      <c r="VYU98" s="83"/>
      <c r="VYV98" s="83"/>
      <c r="VYW98" s="83"/>
      <c r="VYX98" s="83"/>
      <c r="VYY98" s="83"/>
      <c r="VYZ98" s="83"/>
      <c r="VZA98" s="83"/>
      <c r="VZB98" s="83"/>
      <c r="VZC98" s="83"/>
      <c r="VZD98" s="83"/>
      <c r="VZE98" s="83"/>
      <c r="VZF98" s="83"/>
      <c r="VZG98" s="83"/>
      <c r="VZH98" s="83"/>
      <c r="VZI98" s="83"/>
      <c r="VZJ98" s="83"/>
      <c r="VZK98" s="83"/>
      <c r="VZL98" s="83"/>
      <c r="VZM98" s="83"/>
      <c r="VZN98" s="83"/>
      <c r="VZO98" s="83"/>
      <c r="VZP98" s="83"/>
      <c r="VZQ98" s="83"/>
      <c r="VZR98" s="83"/>
      <c r="VZS98" s="83"/>
      <c r="VZT98" s="83"/>
      <c r="VZU98" s="83"/>
      <c r="VZV98" s="83"/>
      <c r="VZW98" s="83"/>
      <c r="VZX98" s="83"/>
      <c r="VZY98" s="83"/>
      <c r="VZZ98" s="83"/>
      <c r="WAA98" s="83"/>
      <c r="WAB98" s="83"/>
      <c r="WAC98" s="83"/>
      <c r="WAD98" s="83"/>
      <c r="WAE98" s="83"/>
      <c r="WAF98" s="83"/>
      <c r="WAG98" s="83"/>
      <c r="WAH98" s="83"/>
      <c r="WAI98" s="83"/>
      <c r="WAJ98" s="83"/>
      <c r="WAK98" s="83"/>
      <c r="WAL98" s="83"/>
      <c r="WAM98" s="83"/>
      <c r="WAN98" s="83"/>
      <c r="WAO98" s="83"/>
      <c r="WAP98" s="83"/>
      <c r="WAQ98" s="83"/>
      <c r="WAR98" s="83"/>
      <c r="WAS98" s="83"/>
      <c r="WAT98" s="83"/>
      <c r="WAU98" s="83"/>
      <c r="WAV98" s="83"/>
      <c r="WAW98" s="83"/>
      <c r="WAX98" s="83"/>
      <c r="WAY98" s="83"/>
      <c r="WAZ98" s="83"/>
      <c r="WBA98" s="83"/>
      <c r="WBB98" s="83"/>
      <c r="WBC98" s="83"/>
      <c r="WBD98" s="83"/>
      <c r="WBE98" s="83"/>
      <c r="WBF98" s="83"/>
      <c r="WBG98" s="83"/>
      <c r="WBH98" s="83"/>
      <c r="WBI98" s="83"/>
      <c r="WBJ98" s="83"/>
      <c r="WBK98" s="83"/>
      <c r="WBL98" s="83"/>
      <c r="WBM98" s="83"/>
      <c r="WBN98" s="83"/>
      <c r="WBO98" s="83"/>
      <c r="WBP98" s="83"/>
      <c r="WBQ98" s="83"/>
      <c r="WBR98" s="83"/>
      <c r="WBS98" s="83"/>
      <c r="WBT98" s="83"/>
      <c r="WBU98" s="83"/>
      <c r="WBV98" s="83"/>
      <c r="WBW98" s="83"/>
      <c r="WBX98" s="83"/>
      <c r="WBY98" s="83"/>
      <c r="WBZ98" s="83"/>
      <c r="WCA98" s="83"/>
      <c r="WCB98" s="83"/>
      <c r="WCC98" s="83"/>
      <c r="WCD98" s="83"/>
      <c r="WCE98" s="83"/>
      <c r="WCF98" s="83"/>
      <c r="WCG98" s="83"/>
      <c r="WCH98" s="83"/>
      <c r="WCI98" s="83"/>
      <c r="WCJ98" s="83"/>
      <c r="WCK98" s="83"/>
      <c r="WCL98" s="83"/>
      <c r="WCM98" s="83"/>
      <c r="WCN98" s="83"/>
      <c r="WCO98" s="83"/>
      <c r="WCP98" s="83"/>
      <c r="WCQ98" s="83"/>
      <c r="WCR98" s="83"/>
      <c r="WCS98" s="83"/>
      <c r="WCT98" s="83"/>
      <c r="WCU98" s="83"/>
      <c r="WCV98" s="83"/>
      <c r="WCW98" s="83"/>
      <c r="WCX98" s="83"/>
      <c r="WCY98" s="83"/>
      <c r="WCZ98" s="83"/>
      <c r="WDA98" s="83"/>
      <c r="WDB98" s="83"/>
      <c r="WDC98" s="83"/>
      <c r="WDD98" s="83"/>
      <c r="WDE98" s="83"/>
      <c r="WDF98" s="83"/>
      <c r="WDG98" s="83"/>
      <c r="WDH98" s="83"/>
      <c r="WDI98" s="83"/>
      <c r="WDJ98" s="83"/>
      <c r="WDK98" s="83"/>
      <c r="WDL98" s="83"/>
      <c r="WDM98" s="83"/>
      <c r="WDN98" s="83"/>
      <c r="WDO98" s="83"/>
      <c r="WDP98" s="83"/>
      <c r="WDQ98" s="83"/>
      <c r="WDR98" s="83"/>
      <c r="WDS98" s="83"/>
      <c r="WDT98" s="83"/>
      <c r="WDU98" s="83"/>
      <c r="WDV98" s="83"/>
      <c r="WDW98" s="83"/>
      <c r="WDX98" s="83"/>
      <c r="WDY98" s="83"/>
      <c r="WDZ98" s="83"/>
      <c r="WEA98" s="83"/>
      <c r="WEB98" s="83"/>
      <c r="WEC98" s="83"/>
      <c r="WED98" s="83"/>
      <c r="WEE98" s="83"/>
      <c r="WEF98" s="83"/>
      <c r="WEG98" s="83"/>
      <c r="WEH98" s="83"/>
      <c r="WEI98" s="83"/>
      <c r="WEJ98" s="83"/>
      <c r="WEK98" s="83"/>
      <c r="WEL98" s="83"/>
      <c r="WEM98" s="83"/>
      <c r="WEN98" s="83"/>
      <c r="WEO98" s="83"/>
      <c r="WEP98" s="83"/>
      <c r="WEQ98" s="83"/>
      <c r="WER98" s="83"/>
      <c r="WES98" s="83"/>
      <c r="WET98" s="83"/>
      <c r="WEU98" s="83"/>
      <c r="WEV98" s="83"/>
      <c r="WEW98" s="83"/>
      <c r="WEX98" s="83"/>
      <c r="WEY98" s="83"/>
      <c r="WEZ98" s="83"/>
      <c r="WFA98" s="83"/>
      <c r="WFB98" s="83"/>
      <c r="WFC98" s="83"/>
      <c r="WFD98" s="83"/>
      <c r="WFE98" s="83"/>
      <c r="WFF98" s="83"/>
      <c r="WFG98" s="83"/>
      <c r="WFH98" s="83"/>
      <c r="WFI98" s="83"/>
      <c r="WFJ98" s="83"/>
      <c r="WFK98" s="83"/>
      <c r="WFL98" s="83"/>
      <c r="WFM98" s="83"/>
      <c r="WFN98" s="83"/>
      <c r="WFO98" s="83"/>
      <c r="WFP98" s="83"/>
      <c r="WFQ98" s="83"/>
      <c r="WFR98" s="83"/>
      <c r="WFS98" s="83"/>
      <c r="WFT98" s="83"/>
      <c r="WFU98" s="83"/>
      <c r="WFV98" s="83"/>
      <c r="WFW98" s="83"/>
      <c r="WFX98" s="83"/>
      <c r="WFY98" s="83"/>
      <c r="WFZ98" s="83"/>
      <c r="WGA98" s="83"/>
      <c r="WGB98" s="83"/>
      <c r="WGC98" s="83"/>
      <c r="WGD98" s="83"/>
      <c r="WGE98" s="83"/>
      <c r="WGF98" s="83"/>
      <c r="WGG98" s="83"/>
      <c r="WGH98" s="83"/>
      <c r="WGI98" s="83"/>
      <c r="WGJ98" s="83"/>
      <c r="WGK98" s="83"/>
      <c r="WGL98" s="83"/>
      <c r="WGM98" s="83"/>
      <c r="WGN98" s="83"/>
      <c r="WGO98" s="83"/>
      <c r="WGP98" s="83"/>
      <c r="WGQ98" s="83"/>
      <c r="WGR98" s="83"/>
      <c r="WGS98" s="83"/>
      <c r="WGT98" s="83"/>
      <c r="WGU98" s="83"/>
      <c r="WGV98" s="83"/>
      <c r="WGW98" s="83"/>
      <c r="WGX98" s="83"/>
      <c r="WGY98" s="83"/>
      <c r="WGZ98" s="83"/>
      <c r="WHA98" s="83"/>
      <c r="WHB98" s="83"/>
      <c r="WHC98" s="83"/>
      <c r="WHD98" s="83"/>
      <c r="WHE98" s="83"/>
      <c r="WHF98" s="83"/>
      <c r="WHG98" s="83"/>
      <c r="WHH98" s="83"/>
      <c r="WHI98" s="83"/>
      <c r="WHJ98" s="83"/>
      <c r="WHK98" s="83"/>
      <c r="WHL98" s="83"/>
      <c r="WHM98" s="83"/>
      <c r="WHN98" s="83"/>
      <c r="WHO98" s="83"/>
      <c r="WHP98" s="83"/>
      <c r="WHQ98" s="83"/>
      <c r="WHR98" s="83"/>
      <c r="WHS98" s="83"/>
      <c r="WHT98" s="83"/>
      <c r="WHU98" s="83"/>
      <c r="WHV98" s="83"/>
      <c r="WHW98" s="83"/>
      <c r="WHX98" s="83"/>
      <c r="WHY98" s="83"/>
      <c r="WHZ98" s="83"/>
      <c r="WIA98" s="83"/>
      <c r="WIB98" s="83"/>
      <c r="WIC98" s="83"/>
      <c r="WID98" s="83"/>
      <c r="WIE98" s="83"/>
      <c r="WIF98" s="83"/>
      <c r="WIG98" s="83"/>
      <c r="WIH98" s="83"/>
      <c r="WII98" s="83"/>
      <c r="WIJ98" s="83"/>
      <c r="WIK98" s="83"/>
      <c r="WIL98" s="83"/>
      <c r="WIM98" s="83"/>
      <c r="WIN98" s="83"/>
      <c r="WIO98" s="83"/>
      <c r="WIP98" s="83"/>
      <c r="WIQ98" s="83"/>
      <c r="WIR98" s="83"/>
      <c r="WIS98" s="83"/>
      <c r="WIT98" s="83"/>
      <c r="WIU98" s="83"/>
      <c r="WIV98" s="83"/>
      <c r="WIW98" s="83"/>
      <c r="WIX98" s="83"/>
      <c r="WIY98" s="83"/>
      <c r="WIZ98" s="83"/>
      <c r="WJA98" s="83"/>
      <c r="WJB98" s="83"/>
      <c r="WJC98" s="83"/>
      <c r="WJD98" s="83"/>
      <c r="WJE98" s="83"/>
      <c r="WJF98" s="83"/>
      <c r="WJG98" s="83"/>
      <c r="WJH98" s="83"/>
      <c r="WJI98" s="83"/>
      <c r="WJJ98" s="83"/>
      <c r="WJK98" s="83"/>
      <c r="WJL98" s="83"/>
      <c r="WJM98" s="83"/>
      <c r="WJN98" s="83"/>
      <c r="WJO98" s="83"/>
      <c r="WJP98" s="83"/>
      <c r="WJQ98" s="83"/>
      <c r="WJR98" s="83"/>
      <c r="WJS98" s="83"/>
      <c r="WJT98" s="83"/>
      <c r="WJU98" s="83"/>
      <c r="WJV98" s="83"/>
      <c r="WJW98" s="83"/>
      <c r="WJX98" s="83"/>
      <c r="WJY98" s="83"/>
      <c r="WJZ98" s="83"/>
      <c r="WKA98" s="83"/>
      <c r="WKB98" s="83"/>
      <c r="WKC98" s="83"/>
      <c r="WKD98" s="83"/>
      <c r="WKE98" s="83"/>
      <c r="WKF98" s="83"/>
      <c r="WKG98" s="83"/>
      <c r="WKH98" s="83"/>
      <c r="WKI98" s="83"/>
      <c r="WKJ98" s="83"/>
      <c r="WKK98" s="83"/>
      <c r="WKL98" s="83"/>
      <c r="WKM98" s="83"/>
      <c r="WKN98" s="83"/>
      <c r="WKO98" s="83"/>
      <c r="WKP98" s="83"/>
      <c r="WKQ98" s="83"/>
      <c r="WKR98" s="83"/>
      <c r="WKS98" s="83"/>
      <c r="WKT98" s="83"/>
      <c r="WKU98" s="83"/>
      <c r="WKV98" s="83"/>
      <c r="WKW98" s="83"/>
      <c r="WKX98" s="83"/>
      <c r="WKY98" s="83"/>
      <c r="WKZ98" s="83"/>
      <c r="WLA98" s="83"/>
      <c r="WLB98" s="83"/>
      <c r="WLC98" s="83"/>
      <c r="WLD98" s="83"/>
      <c r="WLE98" s="83"/>
      <c r="WLF98" s="83"/>
      <c r="WLG98" s="83"/>
      <c r="WLH98" s="83"/>
      <c r="WLI98" s="83"/>
      <c r="WLJ98" s="83"/>
      <c r="WLK98" s="83"/>
      <c r="WLL98" s="83"/>
      <c r="WLM98" s="83"/>
      <c r="WLN98" s="83"/>
      <c r="WLO98" s="83"/>
      <c r="WLP98" s="83"/>
      <c r="WLQ98" s="83"/>
      <c r="WLR98" s="83"/>
      <c r="WLS98" s="83"/>
      <c r="WLT98" s="83"/>
      <c r="WLU98" s="83"/>
      <c r="WLV98" s="83"/>
      <c r="WLW98" s="83"/>
      <c r="WLX98" s="83"/>
      <c r="WLY98" s="83"/>
      <c r="WLZ98" s="83"/>
      <c r="WMA98" s="83"/>
      <c r="WMB98" s="83"/>
      <c r="WMC98" s="83"/>
      <c r="WMD98" s="83"/>
      <c r="WME98" s="83"/>
      <c r="WMF98" s="83"/>
      <c r="WMG98" s="83"/>
      <c r="WMH98" s="83"/>
      <c r="WMI98" s="83"/>
      <c r="WMJ98" s="83"/>
      <c r="WMK98" s="83"/>
      <c r="WML98" s="83"/>
      <c r="WMM98" s="83"/>
      <c r="WMN98" s="83"/>
      <c r="WMO98" s="83"/>
      <c r="WMP98" s="83"/>
      <c r="WMQ98" s="83"/>
      <c r="WMR98" s="83"/>
      <c r="WMS98" s="83"/>
      <c r="WMT98" s="83"/>
      <c r="WMU98" s="83"/>
      <c r="WMV98" s="83"/>
      <c r="WMW98" s="83"/>
      <c r="WMX98" s="83"/>
      <c r="WMY98" s="83"/>
      <c r="WMZ98" s="83"/>
      <c r="WNA98" s="83"/>
      <c r="WNB98" s="83"/>
      <c r="WNC98" s="83"/>
      <c r="WND98" s="83"/>
      <c r="WNE98" s="83"/>
      <c r="WNF98" s="83"/>
      <c r="WNG98" s="83"/>
      <c r="WNH98" s="83"/>
      <c r="WNI98" s="83"/>
      <c r="WNJ98" s="83"/>
      <c r="WNK98" s="83"/>
      <c r="WNL98" s="83"/>
      <c r="WNM98" s="83"/>
      <c r="WNN98" s="83"/>
      <c r="WNO98" s="83"/>
      <c r="WNP98" s="83"/>
      <c r="WNQ98" s="83"/>
      <c r="WNR98" s="83"/>
      <c r="WNS98" s="83"/>
      <c r="WNT98" s="83"/>
      <c r="WNU98" s="83"/>
      <c r="WNV98" s="83"/>
      <c r="WNW98" s="83"/>
      <c r="WNX98" s="83"/>
      <c r="WNY98" s="83"/>
      <c r="WNZ98" s="83"/>
      <c r="WOA98" s="83"/>
      <c r="WOB98" s="83"/>
      <c r="WOC98" s="83"/>
      <c r="WOD98" s="83"/>
      <c r="WOE98" s="83"/>
      <c r="WOF98" s="83"/>
      <c r="WOG98" s="83"/>
      <c r="WOH98" s="83"/>
      <c r="WOI98" s="83"/>
      <c r="WOJ98" s="83"/>
      <c r="WOK98" s="83"/>
      <c r="WOL98" s="83"/>
      <c r="WOM98" s="83"/>
      <c r="WON98" s="83"/>
      <c r="WOO98" s="83"/>
      <c r="WOP98" s="83"/>
      <c r="WOQ98" s="83"/>
      <c r="WOR98" s="83"/>
      <c r="WOS98" s="83"/>
      <c r="WOT98" s="83"/>
      <c r="WOU98" s="83"/>
      <c r="WOV98" s="83"/>
      <c r="WOW98" s="83"/>
      <c r="WOX98" s="83"/>
      <c r="WOY98" s="83"/>
      <c r="WOZ98" s="83"/>
      <c r="WPA98" s="83"/>
      <c r="WPB98" s="83"/>
      <c r="WPC98" s="83"/>
      <c r="WPD98" s="83"/>
      <c r="WPE98" s="83"/>
      <c r="WPF98" s="83"/>
      <c r="WPG98" s="83"/>
      <c r="WPH98" s="83"/>
      <c r="WPI98" s="83"/>
      <c r="WPJ98" s="83"/>
      <c r="WPK98" s="83"/>
      <c r="WPL98" s="83"/>
      <c r="WPM98" s="83"/>
      <c r="WPN98" s="83"/>
      <c r="WPO98" s="83"/>
      <c r="WPP98" s="83"/>
      <c r="WPQ98" s="83"/>
      <c r="WPR98" s="83"/>
      <c r="WPS98" s="83"/>
      <c r="WPT98" s="83"/>
      <c r="WPU98" s="83"/>
      <c r="WPV98" s="83"/>
      <c r="WPW98" s="83"/>
      <c r="WPX98" s="83"/>
      <c r="WPY98" s="83"/>
      <c r="WPZ98" s="83"/>
      <c r="WQA98" s="83"/>
      <c r="WQB98" s="83"/>
      <c r="WQC98" s="83"/>
      <c r="WQD98" s="83"/>
      <c r="WQE98" s="83"/>
      <c r="WQF98" s="83"/>
      <c r="WQG98" s="83"/>
      <c r="WQH98" s="83"/>
      <c r="WQI98" s="83"/>
      <c r="WQJ98" s="83"/>
      <c r="WQK98" s="83"/>
      <c r="WQL98" s="83"/>
      <c r="WQM98" s="83"/>
      <c r="WQN98" s="83"/>
      <c r="WQO98" s="83"/>
      <c r="WQP98" s="83"/>
      <c r="WQQ98" s="83"/>
      <c r="WQR98" s="83"/>
      <c r="WQS98" s="83"/>
      <c r="WQT98" s="83"/>
      <c r="WQU98" s="83"/>
      <c r="WQV98" s="83"/>
      <c r="WQW98" s="83"/>
      <c r="WQX98" s="83"/>
      <c r="WQY98" s="83"/>
      <c r="WQZ98" s="83"/>
      <c r="WRA98" s="83"/>
      <c r="WRB98" s="83"/>
      <c r="WRC98" s="83"/>
      <c r="WRD98" s="83"/>
      <c r="WRE98" s="83"/>
      <c r="WRF98" s="83"/>
      <c r="WRG98" s="83"/>
      <c r="WRH98" s="83"/>
      <c r="WRI98" s="83"/>
      <c r="WRJ98" s="83"/>
      <c r="WRK98" s="83"/>
      <c r="WRL98" s="83"/>
      <c r="WRM98" s="83"/>
      <c r="WRN98" s="83"/>
      <c r="WRO98" s="83"/>
      <c r="WRP98" s="83"/>
      <c r="WRQ98" s="83"/>
      <c r="WRR98" s="83"/>
      <c r="WRS98" s="83"/>
      <c r="WRT98" s="83"/>
      <c r="WRU98" s="83"/>
      <c r="WRV98" s="83"/>
      <c r="WRW98" s="83"/>
      <c r="WRX98" s="83"/>
      <c r="WRY98" s="83"/>
      <c r="WRZ98" s="83"/>
      <c r="WSA98" s="83"/>
      <c r="WSB98" s="83"/>
      <c r="WSC98" s="83"/>
      <c r="WSD98" s="83"/>
      <c r="WSE98" s="83"/>
      <c r="WSF98" s="83"/>
      <c r="WSG98" s="83"/>
      <c r="WSH98" s="83"/>
      <c r="WSI98" s="83"/>
      <c r="WSJ98" s="83"/>
      <c r="WSK98" s="83"/>
      <c r="WSL98" s="83"/>
      <c r="WSM98" s="83"/>
      <c r="WSN98" s="83"/>
      <c r="WSO98" s="83"/>
      <c r="WSP98" s="83"/>
      <c r="WSQ98" s="83"/>
      <c r="WSR98" s="83"/>
      <c r="WSS98" s="83"/>
      <c r="WST98" s="83"/>
      <c r="WSU98" s="83"/>
      <c r="WSV98" s="83"/>
      <c r="WSW98" s="83"/>
      <c r="WSX98" s="83"/>
      <c r="WSY98" s="83"/>
      <c r="WSZ98" s="83"/>
      <c r="WTA98" s="83"/>
      <c r="WTB98" s="83"/>
      <c r="WTC98" s="83"/>
      <c r="WTD98" s="83"/>
      <c r="WTE98" s="83"/>
      <c r="WTF98" s="83"/>
      <c r="WTG98" s="83"/>
      <c r="WTH98" s="83"/>
      <c r="WTI98" s="83"/>
      <c r="WTJ98" s="83"/>
      <c r="WTK98" s="83"/>
      <c r="WTL98" s="83"/>
      <c r="WTM98" s="83"/>
      <c r="WTN98" s="83"/>
      <c r="WTO98" s="83"/>
      <c r="WTP98" s="83"/>
      <c r="WTQ98" s="83"/>
      <c r="WTR98" s="83"/>
      <c r="WTS98" s="83"/>
      <c r="WTT98" s="83"/>
      <c r="WTU98" s="83"/>
      <c r="WTV98" s="83"/>
      <c r="WTW98" s="83"/>
      <c r="WTX98" s="83"/>
      <c r="WTY98" s="83"/>
      <c r="WTZ98" s="83"/>
      <c r="WUA98" s="83"/>
      <c r="WUB98" s="83"/>
      <c r="WUC98" s="83"/>
      <c r="WUD98" s="83"/>
      <c r="WUE98" s="83"/>
      <c r="WUF98" s="83"/>
      <c r="WUG98" s="83"/>
      <c r="WUH98" s="83"/>
      <c r="WUI98" s="83"/>
      <c r="WUJ98" s="83"/>
      <c r="WUK98" s="83"/>
      <c r="WUL98" s="83"/>
      <c r="WUM98" s="83"/>
      <c r="WUN98" s="83"/>
      <c r="WUO98" s="83"/>
      <c r="WUP98" s="83"/>
      <c r="WUQ98" s="83"/>
      <c r="WUR98" s="83"/>
      <c r="WUS98" s="83"/>
      <c r="WUT98" s="83"/>
      <c r="WUU98" s="83"/>
      <c r="WUV98" s="83"/>
      <c r="WUW98" s="83"/>
      <c r="WUX98" s="83"/>
      <c r="WUY98" s="83"/>
      <c r="WUZ98" s="83"/>
      <c r="WVA98" s="83"/>
      <c r="WVB98" s="83"/>
      <c r="WVC98" s="83"/>
      <c r="WVD98" s="83"/>
      <c r="WVE98" s="83"/>
      <c r="WVF98" s="83"/>
      <c r="WVG98" s="83"/>
      <c r="WVH98" s="83"/>
      <c r="WVI98" s="83"/>
      <c r="WVJ98" s="83"/>
      <c r="WVK98" s="83"/>
      <c r="WVL98" s="83"/>
      <c r="WVM98" s="83"/>
      <c r="WVN98" s="83"/>
      <c r="WVO98" s="83"/>
      <c r="WVP98" s="83"/>
      <c r="WVQ98" s="83"/>
      <c r="WVR98" s="83"/>
      <c r="WVS98" s="83"/>
      <c r="WVT98" s="83"/>
      <c r="WVU98" s="83"/>
      <c r="WVV98" s="83"/>
      <c r="WVW98" s="83"/>
      <c r="WVX98" s="83"/>
      <c r="WVY98" s="83"/>
      <c r="WVZ98" s="83"/>
      <c r="WWA98" s="83"/>
      <c r="WWB98" s="83"/>
      <c r="WWC98" s="83"/>
      <c r="WWD98" s="83"/>
      <c r="WWE98" s="83"/>
      <c r="WWF98" s="83"/>
      <c r="WWG98" s="83"/>
      <c r="WWH98" s="83"/>
      <c r="WWI98" s="83"/>
      <c r="WWJ98" s="83"/>
      <c r="WWK98" s="83"/>
      <c r="WWL98" s="83"/>
      <c r="WWM98" s="83"/>
      <c r="WWN98" s="83"/>
      <c r="WWO98" s="83"/>
      <c r="WWP98" s="83"/>
      <c r="WWQ98" s="83"/>
      <c r="WWR98" s="83"/>
      <c r="WWS98" s="83"/>
      <c r="WWT98" s="83"/>
      <c r="WWU98" s="83"/>
      <c r="WWV98" s="83"/>
      <c r="WWW98" s="83"/>
      <c r="WWX98" s="83"/>
      <c r="WWY98" s="83"/>
      <c r="WWZ98" s="83"/>
      <c r="WXA98" s="83"/>
      <c r="WXB98" s="83"/>
      <c r="WXC98" s="83"/>
      <c r="WXD98" s="83"/>
      <c r="WXE98" s="83"/>
      <c r="WXF98" s="83"/>
      <c r="WXG98" s="83"/>
      <c r="WXH98" s="83"/>
      <c r="WXI98" s="83"/>
      <c r="WXJ98" s="83"/>
      <c r="WXK98" s="83"/>
      <c r="WXL98" s="83"/>
      <c r="WXM98" s="83"/>
      <c r="WXN98" s="83"/>
      <c r="WXO98" s="83"/>
      <c r="WXP98" s="83"/>
      <c r="WXQ98" s="83"/>
      <c r="WXR98" s="83"/>
      <c r="WXS98" s="83"/>
      <c r="WXT98" s="83"/>
      <c r="WXU98" s="83"/>
      <c r="WXV98" s="83"/>
      <c r="WXW98" s="83"/>
      <c r="WXX98" s="83"/>
      <c r="WXY98" s="83"/>
      <c r="WXZ98" s="83"/>
      <c r="WYA98" s="83"/>
      <c r="WYB98" s="83"/>
      <c r="WYC98" s="83"/>
      <c r="WYD98" s="83"/>
      <c r="WYE98" s="83"/>
      <c r="WYF98" s="83"/>
      <c r="WYG98" s="83"/>
      <c r="WYH98" s="83"/>
      <c r="WYI98" s="83"/>
      <c r="WYJ98" s="83"/>
      <c r="WYK98" s="83"/>
      <c r="WYL98" s="83"/>
      <c r="WYM98" s="83"/>
      <c r="WYN98" s="83"/>
      <c r="WYO98" s="83"/>
      <c r="WYP98" s="83"/>
      <c r="WYQ98" s="83"/>
      <c r="WYR98" s="83"/>
      <c r="WYS98" s="83"/>
      <c r="WYT98" s="83"/>
      <c r="WYU98" s="83"/>
      <c r="WYV98" s="83"/>
      <c r="WYW98" s="83"/>
      <c r="WYX98" s="83"/>
      <c r="WYY98" s="83"/>
      <c r="WYZ98" s="83"/>
      <c r="WZA98" s="83"/>
      <c r="WZB98" s="83"/>
      <c r="WZC98" s="83"/>
      <c r="WZD98" s="83"/>
      <c r="WZE98" s="83"/>
      <c r="WZF98" s="83"/>
      <c r="WZG98" s="83"/>
      <c r="WZH98" s="83"/>
      <c r="WZI98" s="83"/>
      <c r="WZJ98" s="83"/>
      <c r="WZK98" s="83"/>
      <c r="WZL98" s="83"/>
      <c r="WZM98" s="83"/>
      <c r="WZN98" s="83"/>
      <c r="WZO98" s="83"/>
      <c r="WZP98" s="83"/>
      <c r="WZQ98" s="83"/>
      <c r="WZR98" s="83"/>
      <c r="WZS98" s="83"/>
      <c r="WZT98" s="83"/>
      <c r="WZU98" s="83"/>
      <c r="WZV98" s="83"/>
      <c r="WZW98" s="83"/>
      <c r="WZX98" s="83"/>
      <c r="WZY98" s="83"/>
      <c r="WZZ98" s="83"/>
      <c r="XAA98" s="83"/>
      <c r="XAB98" s="83"/>
      <c r="XAC98" s="83"/>
      <c r="XAD98" s="83"/>
      <c r="XAE98" s="83"/>
      <c r="XAF98" s="83"/>
      <c r="XAG98" s="83"/>
      <c r="XAH98" s="83"/>
      <c r="XAI98" s="83"/>
      <c r="XAJ98" s="83"/>
      <c r="XAK98" s="83"/>
      <c r="XAL98" s="83"/>
      <c r="XAM98" s="83"/>
      <c r="XAN98" s="83"/>
      <c r="XAO98" s="83"/>
      <c r="XAP98" s="83"/>
      <c r="XAQ98" s="83"/>
      <c r="XAR98" s="83"/>
      <c r="XAS98" s="83"/>
      <c r="XAT98" s="83"/>
      <c r="XAU98" s="83"/>
      <c r="XAV98" s="83"/>
      <c r="XAW98" s="83"/>
      <c r="XAX98" s="83"/>
      <c r="XAY98" s="83"/>
      <c r="XAZ98" s="83"/>
      <c r="XBA98" s="83"/>
      <c r="XBB98" s="83"/>
      <c r="XBC98" s="83"/>
      <c r="XBD98" s="83"/>
      <c r="XBE98" s="83"/>
      <c r="XBF98" s="83"/>
      <c r="XBG98" s="83"/>
      <c r="XBH98" s="83"/>
      <c r="XBI98" s="83"/>
      <c r="XBJ98" s="83"/>
      <c r="XBK98" s="83"/>
      <c r="XBL98" s="83"/>
      <c r="XBM98" s="83"/>
      <c r="XBN98" s="83"/>
      <c r="XBO98" s="83"/>
      <c r="XBP98" s="83"/>
      <c r="XBQ98" s="83"/>
      <c r="XBR98" s="83"/>
      <c r="XBS98" s="83"/>
      <c r="XBT98" s="83"/>
      <c r="XBU98" s="83"/>
      <c r="XBV98" s="83"/>
      <c r="XBW98" s="83"/>
      <c r="XBX98" s="83"/>
      <c r="XBY98" s="83"/>
      <c r="XBZ98" s="83"/>
      <c r="XCA98" s="83"/>
      <c r="XCB98" s="83"/>
      <c r="XCC98" s="83"/>
      <c r="XCD98" s="83"/>
      <c r="XCE98" s="83"/>
      <c r="XCF98" s="83"/>
      <c r="XCG98" s="83"/>
      <c r="XCH98" s="83"/>
      <c r="XCI98" s="83"/>
      <c r="XCJ98" s="83"/>
      <c r="XCK98" s="83"/>
      <c r="XCL98" s="83"/>
      <c r="XCM98" s="83"/>
      <c r="XCN98" s="83"/>
      <c r="XCO98" s="83"/>
      <c r="XCP98" s="83"/>
      <c r="XCQ98" s="83"/>
      <c r="XCR98" s="83"/>
      <c r="XCS98" s="83"/>
      <c r="XCT98" s="83"/>
      <c r="XCU98" s="83"/>
      <c r="XCV98" s="83"/>
      <c r="XCW98" s="83"/>
      <c r="XCX98" s="83"/>
      <c r="XCY98" s="83"/>
      <c r="XCZ98" s="83"/>
      <c r="XDA98" s="83"/>
      <c r="XDB98" s="83"/>
      <c r="XDC98" s="83"/>
      <c r="XDD98" s="83"/>
      <c r="XDE98" s="83"/>
      <c r="XDF98" s="83"/>
      <c r="XDG98" s="83"/>
      <c r="XDH98" s="83"/>
      <c r="XDI98" s="83"/>
      <c r="XDJ98" s="83"/>
      <c r="XDK98" s="83"/>
      <c r="XDL98" s="83"/>
      <c r="XDM98" s="83"/>
      <c r="XDN98" s="83"/>
      <c r="XDO98" s="83"/>
      <c r="XDP98" s="83"/>
      <c r="XDQ98" s="83"/>
      <c r="XDR98" s="83"/>
      <c r="XDS98" s="83"/>
      <c r="XDT98" s="83"/>
      <c r="XDU98" s="83"/>
      <c r="XDV98" s="83"/>
      <c r="XDW98" s="83"/>
      <c r="XDX98" s="83"/>
      <c r="XDY98" s="83"/>
      <c r="XDZ98" s="83"/>
      <c r="XEA98" s="83"/>
      <c r="XEB98" s="83"/>
      <c r="XEC98" s="83"/>
      <c r="XED98" s="83"/>
      <c r="XEE98" s="83"/>
      <c r="XEF98" s="83"/>
      <c r="XEG98" s="83"/>
      <c r="XEH98" s="83"/>
      <c r="XEI98" s="83"/>
      <c r="XEJ98" s="83"/>
      <c r="XEK98" s="83"/>
      <c r="XEL98" s="83"/>
      <c r="XEM98" s="83"/>
      <c r="XEN98" s="83"/>
      <c r="XEO98" s="83"/>
      <c r="XEP98" s="83"/>
      <c r="XEQ98" s="83"/>
      <c r="XER98" s="83"/>
      <c r="XES98" s="83"/>
      <c r="XET98" s="83"/>
      <c r="XEU98" s="83"/>
      <c r="XEV98" s="83"/>
      <c r="XEW98" s="83"/>
      <c r="XEX98" s="83"/>
      <c r="XEY98" s="83"/>
      <c r="XEZ98" s="83"/>
      <c r="XFA98" s="83"/>
      <c r="XFB98" s="83"/>
      <c r="XFC98" s="83"/>
      <c r="XFD98" s="83"/>
    </row>
    <row r="99" spans="1:16384">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c r="HV99" s="105"/>
      <c r="HW99" s="105"/>
      <c r="HX99" s="105"/>
      <c r="HY99" s="105"/>
      <c r="HZ99" s="105"/>
      <c r="IA99" s="105"/>
      <c r="IB99" s="105"/>
      <c r="IC99" s="105"/>
      <c r="ID99" s="105"/>
      <c r="IE99" s="105"/>
      <c r="IF99" s="105"/>
      <c r="IG99" s="105"/>
      <c r="IH99" s="105"/>
      <c r="II99" s="105"/>
      <c r="IJ99" s="105"/>
      <c r="IK99" s="105"/>
      <c r="IL99" s="105"/>
      <c r="IM99" s="105"/>
      <c r="IN99" s="105"/>
      <c r="IO99" s="105"/>
      <c r="IP99" s="105"/>
      <c r="IQ99" s="105"/>
      <c r="IR99" s="105"/>
      <c r="IS99" s="105"/>
      <c r="IT99" s="105"/>
      <c r="IU99" s="105"/>
      <c r="IV99" s="105"/>
      <c r="IW99" s="105"/>
      <c r="IX99" s="105"/>
      <c r="IY99" s="105"/>
      <c r="IZ99" s="105"/>
      <c r="JA99" s="105"/>
      <c r="JB99" s="105"/>
      <c r="JC99" s="105"/>
      <c r="JD99" s="105"/>
      <c r="JE99" s="105"/>
      <c r="JF99" s="105"/>
      <c r="JG99" s="105"/>
      <c r="JH99" s="105"/>
      <c r="JI99" s="105"/>
      <c r="JJ99" s="105"/>
      <c r="JK99" s="105"/>
      <c r="JL99" s="105"/>
      <c r="JM99" s="105"/>
      <c r="JN99" s="105"/>
      <c r="JO99" s="105"/>
      <c r="JP99" s="105"/>
      <c r="JQ99" s="105"/>
      <c r="JR99" s="105"/>
      <c r="JS99" s="105"/>
      <c r="JT99" s="105"/>
      <c r="JU99" s="105"/>
      <c r="JV99" s="105"/>
      <c r="JW99" s="105"/>
      <c r="JX99" s="105"/>
      <c r="JY99" s="105"/>
      <c r="JZ99" s="105"/>
      <c r="KA99" s="105"/>
      <c r="KB99" s="105"/>
      <c r="KC99" s="105"/>
      <c r="KD99" s="105"/>
      <c r="KE99" s="105"/>
      <c r="KF99" s="105"/>
      <c r="KG99" s="105"/>
      <c r="KH99" s="105"/>
      <c r="KI99" s="105"/>
      <c r="KJ99" s="105"/>
      <c r="KK99" s="105"/>
      <c r="KL99" s="105"/>
      <c r="KM99" s="105"/>
      <c r="KN99" s="105"/>
      <c r="KO99" s="105"/>
      <c r="KP99" s="105"/>
      <c r="KQ99" s="105"/>
      <c r="KR99" s="105"/>
      <c r="KS99" s="105"/>
      <c r="KT99" s="105"/>
      <c r="KU99" s="105"/>
      <c r="KV99" s="105"/>
      <c r="KW99" s="105"/>
      <c r="KX99" s="105"/>
      <c r="KY99" s="105"/>
      <c r="KZ99" s="105"/>
      <c r="LA99" s="105"/>
      <c r="LB99" s="105"/>
      <c r="LC99" s="105"/>
      <c r="LD99" s="105"/>
      <c r="LE99" s="105"/>
      <c r="LF99" s="105"/>
      <c r="LG99" s="105"/>
      <c r="LH99" s="105"/>
      <c r="LI99" s="105"/>
      <c r="LJ99" s="105"/>
      <c r="LK99" s="105"/>
      <c r="LL99" s="105"/>
      <c r="LM99" s="105"/>
      <c r="LN99" s="105"/>
      <c r="LO99" s="105"/>
      <c r="LP99" s="105"/>
      <c r="LQ99" s="105"/>
      <c r="LR99" s="105"/>
      <c r="LS99" s="105"/>
      <c r="LT99" s="105"/>
      <c r="LU99" s="105"/>
      <c r="LV99" s="105"/>
      <c r="LW99" s="105"/>
      <c r="LX99" s="105"/>
      <c r="LY99" s="105"/>
      <c r="LZ99" s="105"/>
      <c r="MA99" s="105"/>
      <c r="MB99" s="105"/>
      <c r="MC99" s="105"/>
      <c r="MD99" s="105"/>
      <c r="ME99" s="105"/>
      <c r="MF99" s="105"/>
      <c r="MG99" s="105"/>
      <c r="MH99" s="105"/>
      <c r="MI99" s="105"/>
      <c r="MJ99" s="105"/>
      <c r="MK99" s="105"/>
      <c r="ML99" s="105"/>
      <c r="MM99" s="105"/>
      <c r="MN99" s="105"/>
      <c r="MO99" s="105"/>
      <c r="MP99" s="105"/>
      <c r="MQ99" s="105"/>
      <c r="MR99" s="105"/>
      <c r="MS99" s="105"/>
      <c r="MT99" s="105"/>
      <c r="MU99" s="105"/>
      <c r="MV99" s="105"/>
      <c r="MW99" s="105"/>
      <c r="MX99" s="105"/>
      <c r="MY99" s="105"/>
      <c r="MZ99" s="105"/>
      <c r="NA99" s="105"/>
      <c r="NB99" s="105"/>
      <c r="NC99" s="105"/>
      <c r="ND99" s="105"/>
      <c r="NE99" s="105"/>
      <c r="NF99" s="105"/>
      <c r="NG99" s="105"/>
      <c r="NH99" s="105"/>
      <c r="NI99" s="105"/>
      <c r="NJ99" s="105"/>
      <c r="NK99" s="105"/>
      <c r="NL99" s="105"/>
      <c r="NM99" s="105"/>
      <c r="NN99" s="105"/>
      <c r="NO99" s="105"/>
      <c r="NP99" s="105"/>
      <c r="NQ99" s="105"/>
      <c r="NR99" s="105"/>
      <c r="NS99" s="105"/>
      <c r="NT99" s="105"/>
      <c r="NU99" s="105"/>
      <c r="NV99" s="105"/>
      <c r="NW99" s="105"/>
      <c r="NX99" s="105"/>
      <c r="NY99" s="105"/>
      <c r="NZ99" s="105"/>
      <c r="OA99" s="105"/>
      <c r="OB99" s="105"/>
      <c r="OC99" s="105"/>
      <c r="OD99" s="105"/>
      <c r="OE99" s="105"/>
      <c r="OF99" s="105"/>
      <c r="OG99" s="105"/>
      <c r="OH99" s="105"/>
      <c r="OI99" s="105"/>
      <c r="OJ99" s="105"/>
      <c r="OK99" s="105"/>
      <c r="OL99" s="105"/>
      <c r="OM99" s="105"/>
      <c r="ON99" s="105"/>
      <c r="OO99" s="105"/>
      <c r="OP99" s="105"/>
      <c r="OQ99" s="105"/>
      <c r="OR99" s="105"/>
      <c r="OS99" s="105"/>
      <c r="OT99" s="105"/>
      <c r="OU99" s="105"/>
      <c r="OV99" s="105"/>
      <c r="OW99" s="105"/>
      <c r="OX99" s="105"/>
      <c r="OY99" s="105"/>
      <c r="OZ99" s="105"/>
      <c r="PA99" s="105"/>
      <c r="PB99" s="105"/>
      <c r="PC99" s="105"/>
      <c r="PD99" s="105"/>
      <c r="PE99" s="105"/>
      <c r="PF99" s="105"/>
      <c r="PG99" s="105"/>
      <c r="PH99" s="105"/>
      <c r="PI99" s="105"/>
      <c r="PJ99" s="105"/>
      <c r="PK99" s="105"/>
      <c r="PL99" s="105"/>
      <c r="PM99" s="105"/>
      <c r="PN99" s="105"/>
      <c r="PO99" s="105"/>
      <c r="PP99" s="105"/>
      <c r="PQ99" s="105"/>
      <c r="PR99" s="105"/>
      <c r="PS99" s="105"/>
      <c r="PT99" s="105"/>
      <c r="PU99" s="105"/>
      <c r="PV99" s="105"/>
      <c r="PW99" s="105"/>
      <c r="PX99" s="105"/>
      <c r="PY99" s="105"/>
      <c r="PZ99" s="105"/>
      <c r="QA99" s="105"/>
      <c r="QB99" s="105"/>
      <c r="QC99" s="105"/>
      <c r="QD99" s="105"/>
      <c r="QE99" s="105"/>
      <c r="QF99" s="105"/>
      <c r="QG99" s="105"/>
      <c r="QH99" s="105"/>
      <c r="QI99" s="105"/>
      <c r="QJ99" s="105"/>
      <c r="QK99" s="105"/>
      <c r="QL99" s="105"/>
      <c r="QM99" s="105"/>
      <c r="QN99" s="105"/>
      <c r="QO99" s="105"/>
      <c r="QP99" s="105"/>
      <c r="QQ99" s="105"/>
      <c r="QR99" s="105"/>
      <c r="QS99" s="105"/>
      <c r="QT99" s="105"/>
      <c r="QU99" s="105"/>
      <c r="QV99" s="105"/>
      <c r="QW99" s="105"/>
      <c r="QX99" s="105"/>
      <c r="QY99" s="105"/>
      <c r="QZ99" s="105"/>
      <c r="RA99" s="105"/>
      <c r="RB99" s="105"/>
      <c r="RC99" s="105"/>
      <c r="RD99" s="105"/>
      <c r="RE99" s="105"/>
      <c r="RF99" s="105"/>
      <c r="RG99" s="105"/>
      <c r="RH99" s="105"/>
      <c r="RI99" s="105"/>
      <c r="RJ99" s="105"/>
      <c r="RK99" s="105"/>
      <c r="RL99" s="105"/>
      <c r="RM99" s="105"/>
      <c r="RN99" s="105"/>
      <c r="RO99" s="105"/>
      <c r="RP99" s="105"/>
      <c r="RQ99" s="105"/>
      <c r="RR99" s="105"/>
      <c r="RS99" s="105"/>
      <c r="RT99" s="105"/>
      <c r="RU99" s="105"/>
      <c r="RV99" s="105"/>
      <c r="RW99" s="105"/>
      <c r="RX99" s="105"/>
      <c r="RY99" s="105"/>
      <c r="RZ99" s="105"/>
      <c r="SA99" s="105"/>
      <c r="SB99" s="105"/>
      <c r="SC99" s="105"/>
      <c r="SD99" s="105"/>
      <c r="SE99" s="105"/>
      <c r="SF99" s="105"/>
      <c r="SG99" s="105"/>
      <c r="SH99" s="105"/>
      <c r="SI99" s="105"/>
      <c r="SJ99" s="105"/>
      <c r="SK99" s="105"/>
      <c r="SL99" s="105"/>
      <c r="SM99" s="105"/>
      <c r="SN99" s="105"/>
      <c r="SO99" s="105"/>
      <c r="SP99" s="105"/>
      <c r="SQ99" s="105"/>
      <c r="SR99" s="105"/>
      <c r="SS99" s="105"/>
      <c r="ST99" s="105"/>
      <c r="SU99" s="105"/>
      <c r="SV99" s="105"/>
      <c r="SW99" s="105"/>
      <c r="SX99" s="105"/>
      <c r="SY99" s="105"/>
      <c r="SZ99" s="105"/>
      <c r="TA99" s="105"/>
      <c r="TB99" s="105"/>
      <c r="TC99" s="105"/>
      <c r="TD99" s="105"/>
      <c r="TE99" s="105"/>
      <c r="TF99" s="105"/>
      <c r="TG99" s="105"/>
      <c r="TH99" s="105"/>
      <c r="TI99" s="105"/>
      <c r="TJ99" s="105"/>
      <c r="TK99" s="105"/>
      <c r="TL99" s="105"/>
      <c r="TM99" s="105"/>
      <c r="TN99" s="105"/>
      <c r="TO99" s="105"/>
      <c r="TP99" s="105"/>
      <c r="TQ99" s="105"/>
      <c r="TR99" s="105"/>
      <c r="TS99" s="105"/>
      <c r="TT99" s="105"/>
      <c r="TU99" s="105"/>
      <c r="TV99" s="105"/>
      <c r="TW99" s="105"/>
      <c r="TX99" s="105"/>
      <c r="TY99" s="105"/>
      <c r="TZ99" s="105"/>
      <c r="UA99" s="105"/>
      <c r="UB99" s="105"/>
      <c r="UC99" s="105"/>
      <c r="UD99" s="105"/>
      <c r="UE99" s="105"/>
      <c r="UF99" s="105"/>
      <c r="UG99" s="105"/>
      <c r="UH99" s="105"/>
      <c r="UI99" s="105"/>
      <c r="UJ99" s="105"/>
      <c r="UK99" s="105"/>
      <c r="UL99" s="105"/>
      <c r="UM99" s="105"/>
      <c r="UN99" s="105"/>
      <c r="UO99" s="105"/>
      <c r="UP99" s="105"/>
      <c r="UQ99" s="105"/>
      <c r="UR99" s="105"/>
      <c r="US99" s="105"/>
      <c r="UT99" s="105"/>
      <c r="UU99" s="105"/>
      <c r="UV99" s="105"/>
      <c r="UW99" s="105"/>
      <c r="UX99" s="105"/>
      <c r="UY99" s="105"/>
      <c r="UZ99" s="105"/>
      <c r="VA99" s="105"/>
      <c r="VB99" s="105"/>
      <c r="VC99" s="105"/>
      <c r="VD99" s="105"/>
      <c r="VE99" s="105"/>
      <c r="VF99" s="105"/>
      <c r="VG99" s="105"/>
      <c r="VH99" s="105"/>
      <c r="VI99" s="105"/>
      <c r="VJ99" s="105"/>
      <c r="VK99" s="105"/>
      <c r="VL99" s="105"/>
      <c r="VM99" s="105"/>
      <c r="VN99" s="105"/>
      <c r="VO99" s="105"/>
      <c r="VP99" s="105"/>
      <c r="VQ99" s="105"/>
      <c r="VR99" s="105"/>
      <c r="VS99" s="105"/>
      <c r="VT99" s="105"/>
      <c r="VU99" s="105"/>
      <c r="VV99" s="105"/>
      <c r="VW99" s="105"/>
      <c r="VX99" s="105"/>
      <c r="VY99" s="105"/>
      <c r="VZ99" s="105"/>
      <c r="WA99" s="105"/>
      <c r="WB99" s="105"/>
      <c r="WC99" s="105"/>
      <c r="WD99" s="105"/>
      <c r="WE99" s="105"/>
      <c r="WF99" s="105"/>
      <c r="WG99" s="105"/>
      <c r="WH99" s="105"/>
      <c r="WI99" s="105"/>
      <c r="WJ99" s="105"/>
      <c r="WK99" s="105"/>
      <c r="WL99" s="105"/>
      <c r="WM99" s="105"/>
      <c r="WN99" s="105"/>
      <c r="WO99" s="105"/>
      <c r="WP99" s="105"/>
      <c r="WQ99" s="105"/>
      <c r="WR99" s="105"/>
      <c r="WS99" s="105"/>
      <c r="WT99" s="105"/>
      <c r="WU99" s="105"/>
      <c r="WV99" s="105"/>
      <c r="WW99" s="105"/>
      <c r="WX99" s="105"/>
      <c r="WY99" s="105"/>
      <c r="WZ99" s="105"/>
      <c r="XA99" s="105"/>
      <c r="XB99" s="105"/>
      <c r="XC99" s="105"/>
      <c r="XD99" s="105"/>
      <c r="XE99" s="105"/>
      <c r="XF99" s="105"/>
      <c r="XG99" s="105"/>
      <c r="XH99" s="105"/>
      <c r="XI99" s="105"/>
      <c r="XJ99" s="105"/>
      <c r="XK99" s="105"/>
      <c r="XL99" s="105"/>
      <c r="XM99" s="105"/>
      <c r="XN99" s="105"/>
      <c r="XO99" s="105"/>
      <c r="XP99" s="105"/>
      <c r="XQ99" s="105"/>
      <c r="XR99" s="105"/>
      <c r="XS99" s="105"/>
      <c r="XT99" s="105"/>
      <c r="XU99" s="105"/>
      <c r="XV99" s="105"/>
      <c r="XW99" s="105"/>
      <c r="XX99" s="105"/>
      <c r="XY99" s="105"/>
      <c r="XZ99" s="105"/>
      <c r="YA99" s="105"/>
      <c r="YB99" s="105"/>
      <c r="YC99" s="105"/>
      <c r="YD99" s="105"/>
      <c r="YE99" s="105"/>
      <c r="YF99" s="105"/>
      <c r="YG99" s="105"/>
      <c r="YH99" s="105"/>
      <c r="YI99" s="105"/>
      <c r="YJ99" s="105"/>
      <c r="YK99" s="105"/>
      <c r="YL99" s="105"/>
      <c r="YM99" s="105"/>
      <c r="YN99" s="105"/>
      <c r="YO99" s="105"/>
      <c r="YP99" s="105"/>
      <c r="YQ99" s="105"/>
      <c r="YR99" s="105"/>
      <c r="YS99" s="105"/>
      <c r="YT99" s="105"/>
      <c r="YU99" s="105"/>
      <c r="YV99" s="105"/>
      <c r="YW99" s="105"/>
      <c r="YX99" s="105"/>
      <c r="YY99" s="105"/>
      <c r="YZ99" s="105"/>
      <c r="ZA99" s="105"/>
      <c r="ZB99" s="105"/>
      <c r="ZC99" s="105"/>
      <c r="ZD99" s="105"/>
      <c r="ZE99" s="105"/>
      <c r="ZF99" s="105"/>
      <c r="ZG99" s="105"/>
      <c r="ZH99" s="105"/>
      <c r="ZI99" s="105"/>
      <c r="ZJ99" s="105"/>
      <c r="ZK99" s="105"/>
      <c r="ZL99" s="105"/>
      <c r="ZM99" s="105"/>
      <c r="ZN99" s="105"/>
      <c r="ZO99" s="105"/>
      <c r="ZP99" s="105"/>
      <c r="ZQ99" s="105"/>
      <c r="ZR99" s="105"/>
      <c r="ZS99" s="105"/>
      <c r="ZT99" s="105"/>
      <c r="ZU99" s="105"/>
      <c r="ZV99" s="105"/>
      <c r="ZW99" s="105"/>
      <c r="ZX99" s="105"/>
      <c r="ZY99" s="105"/>
      <c r="ZZ99" s="105"/>
      <c r="AAA99" s="105"/>
      <c r="AAB99" s="105"/>
      <c r="AAC99" s="105"/>
      <c r="AAD99" s="105"/>
      <c r="AAE99" s="105"/>
      <c r="AAF99" s="105"/>
      <c r="AAG99" s="105"/>
      <c r="AAH99" s="105"/>
      <c r="AAI99" s="105"/>
      <c r="AAJ99" s="105"/>
      <c r="AAK99" s="105"/>
      <c r="AAL99" s="105"/>
      <c r="AAM99" s="105"/>
      <c r="AAN99" s="105"/>
      <c r="AAO99" s="105"/>
      <c r="AAP99" s="105"/>
      <c r="AAQ99" s="105"/>
      <c r="AAR99" s="105"/>
      <c r="AAS99" s="105"/>
      <c r="AAT99" s="105"/>
      <c r="AAU99" s="105"/>
      <c r="AAV99" s="105"/>
      <c r="AAW99" s="105"/>
      <c r="AAX99" s="105"/>
      <c r="AAY99" s="105"/>
      <c r="AAZ99" s="105"/>
      <c r="ABA99" s="105"/>
      <c r="ABB99" s="105"/>
      <c r="ABC99" s="105"/>
      <c r="ABD99" s="105"/>
      <c r="ABE99" s="105"/>
      <c r="ABF99" s="105"/>
      <c r="ABG99" s="105"/>
      <c r="ABH99" s="105"/>
      <c r="ABI99" s="105"/>
      <c r="ABJ99" s="105"/>
      <c r="ABK99" s="105"/>
      <c r="ABL99" s="105"/>
      <c r="ABM99" s="105"/>
      <c r="ABN99" s="105"/>
      <c r="ABO99" s="105"/>
      <c r="ABP99" s="105"/>
      <c r="ABQ99" s="105"/>
      <c r="ABR99" s="105"/>
      <c r="ABS99" s="105"/>
      <c r="ABT99" s="105"/>
      <c r="ABU99" s="105"/>
      <c r="ABV99" s="105"/>
      <c r="ABW99" s="105"/>
      <c r="ABX99" s="105"/>
      <c r="ABY99" s="105"/>
      <c r="ABZ99" s="105"/>
      <c r="ACA99" s="105"/>
      <c r="ACB99" s="105"/>
      <c r="ACC99" s="105"/>
      <c r="ACD99" s="105"/>
      <c r="ACE99" s="105"/>
      <c r="ACF99" s="105"/>
      <c r="ACG99" s="105"/>
      <c r="ACH99" s="105"/>
      <c r="ACI99" s="105"/>
      <c r="ACJ99" s="105"/>
      <c r="ACK99" s="105"/>
      <c r="ACL99" s="105"/>
      <c r="ACM99" s="105"/>
      <c r="ACN99" s="105"/>
      <c r="ACO99" s="105"/>
      <c r="ACP99" s="105"/>
      <c r="ACQ99" s="105"/>
      <c r="ACR99" s="105"/>
      <c r="ACS99" s="105"/>
      <c r="ACT99" s="105"/>
      <c r="ACU99" s="105"/>
      <c r="ACV99" s="105"/>
      <c r="ACW99" s="105"/>
      <c r="ACX99" s="105"/>
      <c r="ACY99" s="105"/>
      <c r="ACZ99" s="105"/>
      <c r="ADA99" s="105"/>
      <c r="ADB99" s="105"/>
      <c r="ADC99" s="105"/>
      <c r="ADD99" s="105"/>
      <c r="ADE99" s="105"/>
      <c r="ADF99" s="105"/>
      <c r="ADG99" s="105"/>
      <c r="ADH99" s="105"/>
      <c r="ADI99" s="105"/>
      <c r="ADJ99" s="105"/>
      <c r="ADK99" s="105"/>
      <c r="ADL99" s="105"/>
      <c r="ADM99" s="105"/>
      <c r="ADN99" s="105"/>
      <c r="ADO99" s="105"/>
      <c r="ADP99" s="105"/>
      <c r="ADQ99" s="105"/>
      <c r="ADR99" s="105"/>
      <c r="ADS99" s="105"/>
      <c r="ADT99" s="105"/>
      <c r="ADU99" s="105"/>
      <c r="ADV99" s="105"/>
      <c r="ADW99" s="105"/>
      <c r="ADX99" s="105"/>
      <c r="ADY99" s="105"/>
      <c r="ADZ99" s="105"/>
      <c r="AEA99" s="105"/>
      <c r="AEB99" s="105"/>
      <c r="AEC99" s="105"/>
      <c r="AED99" s="105"/>
      <c r="AEE99" s="105"/>
      <c r="AEF99" s="105"/>
      <c r="AEG99" s="105"/>
      <c r="AEH99" s="105"/>
      <c r="AEI99" s="105"/>
      <c r="AEJ99" s="105"/>
      <c r="AEK99" s="105"/>
      <c r="AEL99" s="105"/>
      <c r="AEM99" s="105"/>
      <c r="AEN99" s="105"/>
      <c r="AEO99" s="105"/>
      <c r="AEP99" s="105"/>
      <c r="AEQ99" s="105"/>
      <c r="AER99" s="105"/>
      <c r="AES99" s="105"/>
      <c r="AET99" s="105"/>
      <c r="AEU99" s="105"/>
      <c r="AEV99" s="105"/>
      <c r="AEW99" s="105"/>
      <c r="AEX99" s="105"/>
      <c r="AEY99" s="105"/>
      <c r="AEZ99" s="105"/>
      <c r="AFA99" s="105"/>
      <c r="AFB99" s="105"/>
      <c r="AFC99" s="105"/>
      <c r="AFD99" s="105"/>
      <c r="AFE99" s="105"/>
      <c r="AFF99" s="105"/>
      <c r="AFG99" s="105"/>
      <c r="AFH99" s="105"/>
      <c r="AFI99" s="105"/>
      <c r="AFJ99" s="105"/>
      <c r="AFK99" s="105"/>
      <c r="AFL99" s="105"/>
      <c r="AFM99" s="105"/>
      <c r="AFN99" s="105"/>
      <c r="AFO99" s="105"/>
      <c r="AFP99" s="105"/>
      <c r="AFQ99" s="105"/>
      <c r="AFR99" s="105"/>
      <c r="AFS99" s="105"/>
      <c r="AFT99" s="105"/>
      <c r="AFU99" s="105"/>
      <c r="AFV99" s="105"/>
      <c r="AFW99" s="105"/>
      <c r="AFX99" s="105"/>
      <c r="AFY99" s="105"/>
      <c r="AFZ99" s="105"/>
      <c r="AGA99" s="105"/>
      <c r="AGB99" s="105"/>
      <c r="AGC99" s="105"/>
      <c r="AGD99" s="105"/>
      <c r="AGE99" s="105"/>
      <c r="AGF99" s="105"/>
      <c r="AGG99" s="105"/>
      <c r="AGH99" s="105"/>
      <c r="AGI99" s="105"/>
      <c r="AGJ99" s="105"/>
      <c r="AGK99" s="105"/>
      <c r="AGL99" s="105"/>
      <c r="AGM99" s="105"/>
      <c r="AGN99" s="105"/>
      <c r="AGO99" s="105"/>
      <c r="AGP99" s="105"/>
      <c r="AGQ99" s="105"/>
      <c r="AGR99" s="105"/>
      <c r="AGS99" s="105"/>
      <c r="AGT99" s="105"/>
      <c r="AGU99" s="105"/>
      <c r="AGV99" s="105"/>
      <c r="AGW99" s="105"/>
      <c r="AGX99" s="105"/>
      <c r="AGY99" s="105"/>
      <c r="AGZ99" s="105"/>
      <c r="AHA99" s="105"/>
      <c r="AHB99" s="105"/>
      <c r="AHC99" s="105"/>
      <c r="AHD99" s="105"/>
      <c r="AHE99" s="105"/>
      <c r="AHF99" s="105"/>
      <c r="AHG99" s="105"/>
      <c r="AHH99" s="105"/>
      <c r="AHI99" s="105"/>
      <c r="AHJ99" s="105"/>
      <c r="AHK99" s="105"/>
      <c r="AHL99" s="105"/>
      <c r="AHM99" s="105"/>
      <c r="AHN99" s="105"/>
      <c r="AHO99" s="105"/>
      <c r="AHP99" s="105"/>
      <c r="AHQ99" s="105"/>
      <c r="AHR99" s="105"/>
      <c r="AHS99" s="105"/>
      <c r="AHT99" s="105"/>
      <c r="AHU99" s="105"/>
      <c r="AHV99" s="105"/>
      <c r="AHW99" s="105"/>
      <c r="AHX99" s="105"/>
      <c r="AHY99" s="105"/>
      <c r="AHZ99" s="105"/>
      <c r="AIA99" s="105"/>
      <c r="AIB99" s="105"/>
      <c r="AIC99" s="105"/>
      <c r="AID99" s="105"/>
      <c r="AIE99" s="105"/>
      <c r="AIF99" s="105"/>
      <c r="AIG99" s="105"/>
      <c r="AIH99" s="105"/>
      <c r="AII99" s="105"/>
      <c r="AIJ99" s="105"/>
      <c r="AIK99" s="105"/>
      <c r="AIL99" s="105"/>
      <c r="AIM99" s="105"/>
      <c r="AIN99" s="105"/>
      <c r="AIO99" s="105"/>
      <c r="AIP99" s="105"/>
      <c r="AIQ99" s="105"/>
      <c r="AIR99" s="105"/>
      <c r="AIS99" s="105"/>
      <c r="AIT99" s="105"/>
      <c r="AIU99" s="105"/>
      <c r="AIV99" s="105"/>
      <c r="AIW99" s="105"/>
      <c r="AIX99" s="105"/>
      <c r="AIY99" s="105"/>
      <c r="AIZ99" s="105"/>
      <c r="AJA99" s="105"/>
      <c r="AJB99" s="105"/>
      <c r="AJC99" s="105"/>
      <c r="AJD99" s="105"/>
      <c r="AJE99" s="105"/>
      <c r="AJF99" s="105"/>
      <c r="AJG99" s="105"/>
      <c r="AJH99" s="105"/>
      <c r="AJI99" s="105"/>
      <c r="AJJ99" s="105"/>
      <c r="AJK99" s="105"/>
      <c r="AJL99" s="105"/>
      <c r="AJM99" s="105"/>
      <c r="AJN99" s="105"/>
      <c r="AJO99" s="105"/>
      <c r="AJP99" s="105"/>
      <c r="AJQ99" s="105"/>
      <c r="AJR99" s="105"/>
      <c r="AJS99" s="105"/>
      <c r="AJT99" s="105"/>
      <c r="AJU99" s="105"/>
      <c r="AJV99" s="105"/>
      <c r="AJW99" s="105"/>
      <c r="AJX99" s="105"/>
      <c r="AJY99" s="105"/>
      <c r="AJZ99" s="105"/>
      <c r="AKA99" s="105"/>
      <c r="AKB99" s="105"/>
      <c r="AKC99" s="105"/>
      <c r="AKD99" s="105"/>
      <c r="AKE99" s="105"/>
      <c r="AKF99" s="105"/>
      <c r="AKG99" s="105"/>
      <c r="AKH99" s="105"/>
      <c r="AKI99" s="105"/>
      <c r="AKJ99" s="105"/>
      <c r="AKK99" s="105"/>
      <c r="AKL99" s="105"/>
      <c r="AKM99" s="105"/>
      <c r="AKN99" s="105"/>
      <c r="AKO99" s="105"/>
      <c r="AKP99" s="105"/>
      <c r="AKQ99" s="105"/>
      <c r="AKR99" s="105"/>
      <c r="AKS99" s="105"/>
      <c r="AKT99" s="105"/>
      <c r="AKU99" s="105"/>
      <c r="AKV99" s="105"/>
      <c r="AKW99" s="105"/>
      <c r="AKX99" s="105"/>
      <c r="AKY99" s="105"/>
      <c r="AKZ99" s="105"/>
      <c r="ALA99" s="105"/>
      <c r="ALB99" s="105"/>
      <c r="ALC99" s="105"/>
      <c r="ALD99" s="105"/>
      <c r="ALE99" s="105"/>
      <c r="ALF99" s="105"/>
      <c r="ALG99" s="105"/>
      <c r="ALH99" s="105"/>
      <c r="ALI99" s="105"/>
      <c r="ALJ99" s="105"/>
      <c r="ALK99" s="105"/>
      <c r="ALL99" s="105"/>
      <c r="ALM99" s="105"/>
      <c r="ALN99" s="105"/>
      <c r="ALO99" s="105"/>
      <c r="ALP99" s="105"/>
      <c r="ALQ99" s="105"/>
      <c r="ALR99" s="105"/>
      <c r="ALS99" s="105"/>
      <c r="ALT99" s="105"/>
      <c r="ALU99" s="105"/>
      <c r="ALV99" s="105"/>
      <c r="ALW99" s="105"/>
      <c r="ALX99" s="105"/>
      <c r="ALY99" s="105"/>
      <c r="ALZ99" s="105"/>
      <c r="AMA99" s="105"/>
      <c r="AMB99" s="105"/>
      <c r="AMC99" s="105"/>
      <c r="AMD99" s="105"/>
      <c r="AME99" s="105"/>
      <c r="AMF99" s="105"/>
      <c r="AMG99" s="105"/>
      <c r="AMH99" s="105"/>
      <c r="AMI99" s="105"/>
      <c r="AMJ99" s="105"/>
      <c r="AMK99" s="105"/>
      <c r="AML99" s="105"/>
      <c r="AMM99" s="105"/>
      <c r="AMN99" s="105"/>
      <c r="AMO99" s="105"/>
      <c r="AMP99" s="105"/>
      <c r="AMQ99" s="105"/>
      <c r="AMR99" s="105"/>
      <c r="AMS99" s="105"/>
      <c r="AMT99" s="105"/>
      <c r="AMU99" s="105"/>
      <c r="AMV99" s="105"/>
      <c r="AMW99" s="105"/>
      <c r="AMX99" s="105"/>
      <c r="AMY99" s="105"/>
      <c r="AMZ99" s="105"/>
      <c r="ANA99" s="105"/>
      <c r="ANB99" s="105"/>
      <c r="ANC99" s="105"/>
      <c r="AND99" s="105"/>
      <c r="ANE99" s="105"/>
      <c r="ANF99" s="105"/>
      <c r="ANG99" s="105"/>
      <c r="ANH99" s="105"/>
      <c r="ANI99" s="105"/>
      <c r="ANJ99" s="105"/>
      <c r="ANK99" s="105"/>
      <c r="ANL99" s="105"/>
      <c r="ANM99" s="105"/>
      <c r="ANN99" s="105"/>
      <c r="ANO99" s="105"/>
      <c r="ANP99" s="105"/>
      <c r="ANQ99" s="105"/>
      <c r="ANR99" s="105"/>
      <c r="ANS99" s="105"/>
      <c r="ANT99" s="105"/>
      <c r="ANU99" s="105"/>
      <c r="ANV99" s="105"/>
      <c r="ANW99" s="105"/>
      <c r="ANX99" s="105"/>
      <c r="ANY99" s="105"/>
      <c r="ANZ99" s="105"/>
      <c r="AOA99" s="105"/>
      <c r="AOB99" s="105"/>
      <c r="AOC99" s="105"/>
      <c r="AOD99" s="105"/>
      <c r="AOE99" s="105"/>
      <c r="AOF99" s="105"/>
      <c r="AOG99" s="105"/>
      <c r="AOH99" s="105"/>
      <c r="AOI99" s="105"/>
      <c r="AOJ99" s="105"/>
      <c r="AOK99" s="105"/>
      <c r="AOL99" s="105"/>
      <c r="AOM99" s="105"/>
      <c r="AON99" s="105"/>
      <c r="AOO99" s="105"/>
      <c r="AOP99" s="105"/>
      <c r="AOQ99" s="105"/>
      <c r="AOR99" s="105"/>
      <c r="AOS99" s="105"/>
      <c r="AOT99" s="105"/>
      <c r="AOU99" s="105"/>
      <c r="AOV99" s="105"/>
      <c r="AOW99" s="105"/>
      <c r="AOX99" s="105"/>
      <c r="AOY99" s="105"/>
      <c r="AOZ99" s="105"/>
      <c r="APA99" s="105"/>
      <c r="APB99" s="105"/>
      <c r="APC99" s="105"/>
      <c r="APD99" s="105"/>
      <c r="APE99" s="105"/>
      <c r="APF99" s="105"/>
      <c r="APG99" s="105"/>
      <c r="APH99" s="105"/>
      <c r="API99" s="105"/>
      <c r="APJ99" s="105"/>
      <c r="APK99" s="105"/>
      <c r="APL99" s="105"/>
      <c r="APM99" s="105"/>
      <c r="APN99" s="105"/>
      <c r="APO99" s="105"/>
      <c r="APP99" s="105"/>
      <c r="APQ99" s="105"/>
      <c r="APR99" s="105"/>
      <c r="APS99" s="105"/>
      <c r="APT99" s="105"/>
      <c r="APU99" s="105"/>
      <c r="APV99" s="105"/>
      <c r="APW99" s="105"/>
      <c r="APX99" s="105"/>
      <c r="APY99" s="105"/>
      <c r="APZ99" s="105"/>
      <c r="AQA99" s="105"/>
      <c r="AQB99" s="105"/>
      <c r="AQC99" s="105"/>
      <c r="AQD99" s="105"/>
      <c r="AQE99" s="105"/>
      <c r="AQF99" s="105"/>
      <c r="AQG99" s="105"/>
      <c r="AQH99" s="105"/>
      <c r="AQI99" s="105"/>
      <c r="AQJ99" s="105"/>
      <c r="AQK99" s="105"/>
      <c r="AQL99" s="105"/>
      <c r="AQM99" s="105"/>
      <c r="AQN99" s="105"/>
      <c r="AQO99" s="105"/>
      <c r="AQP99" s="105"/>
      <c r="AQQ99" s="105"/>
      <c r="AQR99" s="105"/>
      <c r="AQS99" s="105"/>
      <c r="AQT99" s="105"/>
      <c r="AQU99" s="105"/>
      <c r="AQV99" s="105"/>
      <c r="AQW99" s="105"/>
      <c r="AQX99" s="105"/>
      <c r="AQY99" s="105"/>
      <c r="AQZ99" s="105"/>
      <c r="ARA99" s="105"/>
      <c r="ARB99" s="105"/>
      <c r="ARC99" s="105"/>
      <c r="ARD99" s="105"/>
      <c r="ARE99" s="105"/>
      <c r="ARF99" s="105"/>
      <c r="ARG99" s="105"/>
      <c r="ARH99" s="105"/>
      <c r="ARI99" s="105"/>
      <c r="ARJ99" s="105"/>
      <c r="ARK99" s="105"/>
      <c r="ARL99" s="105"/>
      <c r="ARM99" s="105"/>
      <c r="ARN99" s="105"/>
      <c r="ARO99" s="105"/>
      <c r="ARP99" s="105"/>
      <c r="ARQ99" s="105"/>
      <c r="ARR99" s="105"/>
      <c r="ARS99" s="105"/>
      <c r="ART99" s="105"/>
      <c r="ARU99" s="105"/>
      <c r="ARV99" s="105"/>
      <c r="ARW99" s="105"/>
      <c r="ARX99" s="105"/>
      <c r="ARY99" s="105"/>
      <c r="ARZ99" s="105"/>
      <c r="ASA99" s="105"/>
      <c r="ASB99" s="105"/>
      <c r="ASC99" s="105"/>
      <c r="ASD99" s="105"/>
      <c r="ASE99" s="105"/>
      <c r="ASF99" s="105"/>
      <c r="ASG99" s="105"/>
      <c r="ASH99" s="105"/>
      <c r="ASI99" s="105"/>
      <c r="ASJ99" s="105"/>
      <c r="ASK99" s="105"/>
      <c r="ASL99" s="105"/>
      <c r="ASM99" s="105"/>
      <c r="ASN99" s="105"/>
      <c r="ASO99" s="105"/>
      <c r="ASP99" s="105"/>
      <c r="ASQ99" s="105"/>
      <c r="ASR99" s="105"/>
      <c r="ASS99" s="105"/>
      <c r="AST99" s="105"/>
      <c r="ASU99" s="105"/>
      <c r="ASV99" s="105"/>
      <c r="ASW99" s="105"/>
      <c r="ASX99" s="105"/>
      <c r="ASY99" s="105"/>
      <c r="ASZ99" s="105"/>
      <c r="ATA99" s="105"/>
      <c r="ATB99" s="105"/>
      <c r="ATC99" s="105"/>
      <c r="ATD99" s="105"/>
      <c r="ATE99" s="105"/>
      <c r="ATF99" s="105"/>
      <c r="ATG99" s="105"/>
      <c r="ATH99" s="105"/>
      <c r="ATI99" s="105"/>
      <c r="ATJ99" s="105"/>
      <c r="ATK99" s="105"/>
      <c r="ATL99" s="105"/>
      <c r="ATM99" s="105"/>
      <c r="ATN99" s="105"/>
      <c r="ATO99" s="105"/>
      <c r="ATP99" s="105"/>
      <c r="ATQ99" s="105"/>
      <c r="ATR99" s="105"/>
      <c r="ATS99" s="105"/>
      <c r="ATT99" s="105"/>
      <c r="ATU99" s="105"/>
      <c r="ATV99" s="105"/>
      <c r="ATW99" s="105"/>
      <c r="ATX99" s="105"/>
      <c r="ATY99" s="105"/>
      <c r="ATZ99" s="105"/>
      <c r="AUA99" s="105"/>
      <c r="AUB99" s="105"/>
      <c r="AUC99" s="105"/>
      <c r="AUD99" s="105"/>
      <c r="AUE99" s="105"/>
      <c r="AUF99" s="105"/>
      <c r="AUG99" s="105"/>
      <c r="AUH99" s="105"/>
      <c r="AUI99" s="105"/>
      <c r="AUJ99" s="105"/>
      <c r="AUK99" s="105"/>
      <c r="AUL99" s="105"/>
      <c r="AUM99" s="105"/>
      <c r="AUN99" s="105"/>
      <c r="AUO99" s="105"/>
      <c r="AUP99" s="105"/>
      <c r="AUQ99" s="105"/>
      <c r="AUR99" s="105"/>
      <c r="AUS99" s="105"/>
      <c r="AUT99" s="105"/>
      <c r="AUU99" s="105"/>
      <c r="AUV99" s="105"/>
      <c r="AUW99" s="105"/>
      <c r="AUX99" s="105"/>
      <c r="AUY99" s="105"/>
      <c r="AUZ99" s="105"/>
      <c r="AVA99" s="105"/>
      <c r="AVB99" s="105"/>
      <c r="AVC99" s="105"/>
      <c r="AVD99" s="105"/>
      <c r="AVE99" s="105"/>
      <c r="AVF99" s="105"/>
      <c r="AVG99" s="105"/>
      <c r="AVH99" s="105"/>
      <c r="AVI99" s="105"/>
      <c r="AVJ99" s="105"/>
      <c r="AVK99" s="105"/>
      <c r="AVL99" s="105"/>
      <c r="AVM99" s="105"/>
      <c r="AVN99" s="105"/>
      <c r="AVO99" s="105"/>
      <c r="AVP99" s="105"/>
      <c r="AVQ99" s="105"/>
      <c r="AVR99" s="105"/>
      <c r="AVS99" s="105"/>
      <c r="AVT99" s="105"/>
      <c r="AVU99" s="105"/>
      <c r="AVV99" s="105"/>
      <c r="AVW99" s="105"/>
      <c r="AVX99" s="105"/>
      <c r="AVY99" s="105"/>
      <c r="AVZ99" s="105"/>
      <c r="AWA99" s="105"/>
      <c r="AWB99" s="105"/>
      <c r="AWC99" s="105"/>
      <c r="AWD99" s="105"/>
      <c r="AWE99" s="105"/>
      <c r="AWF99" s="105"/>
      <c r="AWG99" s="105"/>
      <c r="AWH99" s="105"/>
      <c r="AWI99" s="105"/>
      <c r="AWJ99" s="105"/>
      <c r="AWK99" s="105"/>
      <c r="AWL99" s="105"/>
      <c r="AWM99" s="105"/>
      <c r="AWN99" s="105"/>
      <c r="AWO99" s="105"/>
      <c r="AWP99" s="105"/>
      <c r="AWQ99" s="105"/>
      <c r="AWR99" s="105"/>
      <c r="AWS99" s="105"/>
      <c r="AWT99" s="105"/>
      <c r="AWU99" s="105"/>
      <c r="AWV99" s="105"/>
      <c r="AWW99" s="105"/>
      <c r="AWX99" s="105"/>
      <c r="AWY99" s="105"/>
      <c r="AWZ99" s="105"/>
      <c r="AXA99" s="105"/>
      <c r="AXB99" s="105"/>
      <c r="AXC99" s="105"/>
      <c r="AXD99" s="105"/>
      <c r="AXE99" s="105"/>
      <c r="AXF99" s="105"/>
      <c r="AXG99" s="105"/>
      <c r="AXH99" s="105"/>
      <c r="AXI99" s="105"/>
      <c r="AXJ99" s="105"/>
      <c r="AXK99" s="105"/>
      <c r="AXL99" s="105"/>
      <c r="AXM99" s="105"/>
      <c r="AXN99" s="105"/>
      <c r="AXO99" s="105"/>
      <c r="AXP99" s="105"/>
      <c r="AXQ99" s="105"/>
      <c r="AXR99" s="105"/>
      <c r="AXS99" s="105"/>
      <c r="AXT99" s="105"/>
      <c r="AXU99" s="105"/>
      <c r="AXV99" s="105"/>
      <c r="AXW99" s="105"/>
      <c r="AXX99" s="105"/>
      <c r="AXY99" s="105"/>
      <c r="AXZ99" s="105"/>
      <c r="AYA99" s="105"/>
      <c r="AYB99" s="105"/>
      <c r="AYC99" s="105"/>
      <c r="AYD99" s="105"/>
      <c r="AYE99" s="105"/>
      <c r="AYF99" s="105"/>
      <c r="AYG99" s="105"/>
      <c r="AYH99" s="105"/>
      <c r="AYI99" s="105"/>
      <c r="AYJ99" s="105"/>
      <c r="AYK99" s="105"/>
      <c r="AYL99" s="105"/>
      <c r="AYM99" s="105"/>
      <c r="AYN99" s="105"/>
      <c r="AYO99" s="105"/>
      <c r="AYP99" s="105"/>
      <c r="AYQ99" s="105"/>
      <c r="AYR99" s="105"/>
      <c r="AYS99" s="105"/>
      <c r="AYT99" s="105"/>
      <c r="AYU99" s="105"/>
      <c r="AYV99" s="105"/>
      <c r="AYW99" s="105"/>
      <c r="AYX99" s="105"/>
      <c r="AYY99" s="105"/>
      <c r="AYZ99" s="105"/>
      <c r="AZA99" s="105"/>
      <c r="AZB99" s="105"/>
      <c r="AZC99" s="105"/>
      <c r="AZD99" s="105"/>
      <c r="AZE99" s="105"/>
      <c r="AZF99" s="105"/>
      <c r="AZG99" s="105"/>
      <c r="AZH99" s="105"/>
      <c r="AZI99" s="105"/>
      <c r="AZJ99" s="105"/>
      <c r="AZK99" s="105"/>
      <c r="AZL99" s="105"/>
      <c r="AZM99" s="105"/>
      <c r="AZN99" s="105"/>
      <c r="AZO99" s="105"/>
      <c r="AZP99" s="105"/>
      <c r="AZQ99" s="105"/>
      <c r="AZR99" s="105"/>
      <c r="AZS99" s="105"/>
      <c r="AZT99" s="105"/>
      <c r="AZU99" s="105"/>
      <c r="AZV99" s="105"/>
      <c r="AZW99" s="105"/>
      <c r="AZX99" s="105"/>
      <c r="AZY99" s="105"/>
      <c r="AZZ99" s="105"/>
      <c r="BAA99" s="105"/>
      <c r="BAB99" s="105"/>
      <c r="BAC99" s="105"/>
      <c r="BAD99" s="105"/>
      <c r="BAE99" s="105"/>
      <c r="BAF99" s="105"/>
      <c r="BAG99" s="105"/>
      <c r="BAH99" s="105"/>
      <c r="BAI99" s="105"/>
      <c r="BAJ99" s="105"/>
      <c r="BAK99" s="105"/>
      <c r="BAL99" s="105"/>
      <c r="BAM99" s="105"/>
      <c r="BAN99" s="105"/>
      <c r="BAO99" s="105"/>
      <c r="BAP99" s="105"/>
      <c r="BAQ99" s="105"/>
      <c r="BAR99" s="105"/>
      <c r="BAS99" s="105"/>
      <c r="BAT99" s="105"/>
      <c r="BAU99" s="105"/>
      <c r="BAV99" s="105"/>
      <c r="BAW99" s="105"/>
      <c r="BAX99" s="105"/>
      <c r="BAY99" s="105"/>
      <c r="BAZ99" s="105"/>
      <c r="BBA99" s="105"/>
      <c r="BBB99" s="105"/>
      <c r="BBC99" s="105"/>
      <c r="BBD99" s="105"/>
      <c r="BBE99" s="105"/>
      <c r="BBF99" s="105"/>
      <c r="BBG99" s="105"/>
      <c r="BBH99" s="105"/>
      <c r="BBI99" s="105"/>
      <c r="BBJ99" s="105"/>
      <c r="BBK99" s="105"/>
      <c r="BBL99" s="105"/>
      <c r="BBM99" s="105"/>
      <c r="BBN99" s="105"/>
      <c r="BBO99" s="105"/>
      <c r="BBP99" s="105"/>
      <c r="BBQ99" s="105"/>
      <c r="BBR99" s="105"/>
      <c r="BBS99" s="105"/>
      <c r="BBT99" s="105"/>
      <c r="BBU99" s="105"/>
      <c r="BBV99" s="105"/>
      <c r="BBW99" s="105"/>
      <c r="BBX99" s="105"/>
      <c r="BBY99" s="105"/>
      <c r="BBZ99" s="105"/>
      <c r="BCA99" s="105"/>
      <c r="BCB99" s="105"/>
      <c r="BCC99" s="105"/>
      <c r="BCD99" s="105"/>
      <c r="BCE99" s="105"/>
      <c r="BCF99" s="105"/>
      <c r="BCG99" s="105"/>
      <c r="BCH99" s="105"/>
      <c r="BCI99" s="105"/>
      <c r="BCJ99" s="105"/>
      <c r="BCK99" s="105"/>
      <c r="BCL99" s="105"/>
      <c r="BCM99" s="105"/>
      <c r="BCN99" s="105"/>
      <c r="BCO99" s="105"/>
      <c r="BCP99" s="105"/>
      <c r="BCQ99" s="105"/>
      <c r="BCR99" s="105"/>
      <c r="BCS99" s="105"/>
      <c r="BCT99" s="105"/>
      <c r="BCU99" s="105"/>
      <c r="BCV99" s="105"/>
      <c r="BCW99" s="105"/>
      <c r="BCX99" s="105"/>
      <c r="BCY99" s="105"/>
      <c r="BCZ99" s="105"/>
      <c r="BDA99" s="105"/>
      <c r="BDB99" s="105"/>
      <c r="BDC99" s="105"/>
      <c r="BDD99" s="105"/>
      <c r="BDE99" s="105"/>
      <c r="BDF99" s="105"/>
      <c r="BDG99" s="105"/>
      <c r="BDH99" s="105"/>
      <c r="BDI99" s="105"/>
      <c r="BDJ99" s="105"/>
      <c r="BDK99" s="105"/>
      <c r="BDL99" s="105"/>
      <c r="BDM99" s="105"/>
      <c r="BDN99" s="105"/>
      <c r="BDO99" s="105"/>
      <c r="BDP99" s="105"/>
      <c r="BDQ99" s="105"/>
      <c r="BDR99" s="105"/>
      <c r="BDS99" s="105"/>
      <c r="BDT99" s="105"/>
      <c r="BDU99" s="105"/>
      <c r="BDV99" s="105"/>
      <c r="BDW99" s="105"/>
      <c r="BDX99" s="105"/>
      <c r="BDY99" s="105"/>
      <c r="BDZ99" s="105"/>
      <c r="BEA99" s="105"/>
      <c r="BEB99" s="105"/>
      <c r="BEC99" s="105"/>
      <c r="BED99" s="105"/>
      <c r="BEE99" s="105"/>
      <c r="BEF99" s="105"/>
      <c r="BEG99" s="105"/>
      <c r="BEH99" s="105"/>
      <c r="BEI99" s="105"/>
      <c r="BEJ99" s="105"/>
      <c r="BEK99" s="105"/>
      <c r="BEL99" s="105"/>
      <c r="BEM99" s="105"/>
      <c r="BEN99" s="105"/>
      <c r="BEO99" s="105"/>
      <c r="BEP99" s="105"/>
      <c r="BEQ99" s="105"/>
      <c r="BER99" s="105"/>
      <c r="BES99" s="105"/>
      <c r="BET99" s="105"/>
      <c r="BEU99" s="105"/>
      <c r="BEV99" s="105"/>
      <c r="BEW99" s="105"/>
      <c r="BEX99" s="105"/>
      <c r="BEY99" s="105"/>
      <c r="BEZ99" s="105"/>
      <c r="BFA99" s="105"/>
      <c r="BFB99" s="105"/>
      <c r="BFC99" s="105"/>
      <c r="BFD99" s="105"/>
      <c r="BFE99" s="105"/>
      <c r="BFF99" s="105"/>
      <c r="BFG99" s="105"/>
      <c r="BFH99" s="105"/>
      <c r="BFI99" s="105"/>
      <c r="BFJ99" s="105"/>
      <c r="BFK99" s="105"/>
      <c r="BFL99" s="105"/>
      <c r="BFM99" s="105"/>
      <c r="BFN99" s="105"/>
      <c r="BFO99" s="105"/>
      <c r="BFP99" s="105"/>
      <c r="BFQ99" s="105"/>
      <c r="BFR99" s="105"/>
      <c r="BFS99" s="105"/>
      <c r="BFT99" s="105"/>
      <c r="BFU99" s="105"/>
      <c r="BFV99" s="105"/>
      <c r="BFW99" s="105"/>
      <c r="BFX99" s="105"/>
      <c r="BFY99" s="105"/>
      <c r="BFZ99" s="105"/>
      <c r="BGA99" s="105"/>
      <c r="BGB99" s="105"/>
      <c r="BGC99" s="105"/>
      <c r="BGD99" s="105"/>
      <c r="BGE99" s="105"/>
      <c r="BGF99" s="105"/>
      <c r="BGG99" s="105"/>
      <c r="BGH99" s="105"/>
      <c r="BGI99" s="105"/>
      <c r="BGJ99" s="105"/>
      <c r="BGK99" s="105"/>
      <c r="BGL99" s="105"/>
      <c r="BGM99" s="105"/>
      <c r="BGN99" s="105"/>
      <c r="BGO99" s="105"/>
      <c r="BGP99" s="105"/>
      <c r="BGQ99" s="105"/>
      <c r="BGR99" s="105"/>
      <c r="BGS99" s="105"/>
      <c r="BGT99" s="105"/>
      <c r="BGU99" s="105"/>
      <c r="BGV99" s="105"/>
      <c r="BGW99" s="105"/>
      <c r="BGX99" s="105"/>
      <c r="BGY99" s="105"/>
      <c r="BGZ99" s="105"/>
      <c r="BHA99" s="105"/>
      <c r="BHB99" s="105"/>
      <c r="BHC99" s="105"/>
      <c r="BHD99" s="105"/>
      <c r="BHE99" s="105"/>
      <c r="BHF99" s="105"/>
      <c r="BHG99" s="105"/>
      <c r="BHH99" s="105"/>
      <c r="BHI99" s="105"/>
      <c r="BHJ99" s="105"/>
      <c r="BHK99" s="105"/>
      <c r="BHL99" s="105"/>
      <c r="BHM99" s="105"/>
      <c r="BHN99" s="105"/>
      <c r="BHO99" s="105"/>
      <c r="BHP99" s="105"/>
      <c r="BHQ99" s="105"/>
      <c r="BHR99" s="105"/>
      <c r="BHS99" s="105"/>
      <c r="BHT99" s="105"/>
      <c r="BHU99" s="105"/>
      <c r="BHV99" s="105"/>
      <c r="BHW99" s="105"/>
      <c r="BHX99" s="105"/>
      <c r="BHY99" s="105"/>
      <c r="BHZ99" s="105"/>
      <c r="BIA99" s="105"/>
      <c r="BIB99" s="105"/>
      <c r="BIC99" s="105"/>
      <c r="BID99" s="105"/>
      <c r="BIE99" s="105"/>
      <c r="BIF99" s="105"/>
      <c r="BIG99" s="105"/>
      <c r="BIH99" s="105"/>
      <c r="BII99" s="105"/>
      <c r="BIJ99" s="105"/>
      <c r="BIK99" s="105"/>
      <c r="BIL99" s="105"/>
      <c r="BIM99" s="105"/>
      <c r="BIN99" s="105"/>
      <c r="BIO99" s="105"/>
      <c r="BIP99" s="105"/>
      <c r="BIQ99" s="105"/>
      <c r="BIR99" s="105"/>
      <c r="BIS99" s="105"/>
      <c r="BIT99" s="105"/>
      <c r="BIU99" s="105"/>
      <c r="BIV99" s="105"/>
      <c r="BIW99" s="105"/>
      <c r="BIX99" s="105"/>
      <c r="BIY99" s="105"/>
      <c r="BIZ99" s="105"/>
      <c r="BJA99" s="105"/>
      <c r="BJB99" s="105"/>
      <c r="BJC99" s="105"/>
      <c r="BJD99" s="105"/>
      <c r="BJE99" s="105"/>
      <c r="BJF99" s="105"/>
      <c r="BJG99" s="105"/>
      <c r="BJH99" s="105"/>
      <c r="BJI99" s="105"/>
      <c r="BJJ99" s="105"/>
      <c r="BJK99" s="105"/>
      <c r="BJL99" s="105"/>
      <c r="BJM99" s="105"/>
      <c r="BJN99" s="105"/>
      <c r="BJO99" s="105"/>
      <c r="BJP99" s="105"/>
      <c r="BJQ99" s="105"/>
      <c r="BJR99" s="105"/>
      <c r="BJS99" s="105"/>
      <c r="BJT99" s="105"/>
      <c r="BJU99" s="105"/>
      <c r="BJV99" s="105"/>
      <c r="BJW99" s="105"/>
      <c r="BJX99" s="105"/>
      <c r="BJY99" s="105"/>
      <c r="BJZ99" s="105"/>
      <c r="BKA99" s="105"/>
      <c r="BKB99" s="105"/>
      <c r="BKC99" s="105"/>
      <c r="BKD99" s="105"/>
      <c r="BKE99" s="105"/>
      <c r="BKF99" s="105"/>
      <c r="BKG99" s="105"/>
      <c r="BKH99" s="105"/>
      <c r="BKI99" s="105"/>
      <c r="BKJ99" s="105"/>
      <c r="BKK99" s="105"/>
      <c r="BKL99" s="105"/>
      <c r="BKM99" s="105"/>
      <c r="BKN99" s="105"/>
      <c r="BKO99" s="105"/>
      <c r="BKP99" s="105"/>
      <c r="BKQ99" s="105"/>
      <c r="BKR99" s="105"/>
      <c r="BKS99" s="105"/>
      <c r="BKT99" s="105"/>
      <c r="BKU99" s="105"/>
      <c r="BKV99" s="105"/>
      <c r="BKW99" s="105"/>
      <c r="BKX99" s="105"/>
      <c r="BKY99" s="105"/>
      <c r="BKZ99" s="105"/>
      <c r="BLA99" s="105"/>
      <c r="BLB99" s="105"/>
      <c r="BLC99" s="105"/>
      <c r="BLD99" s="105"/>
      <c r="BLE99" s="105"/>
      <c r="BLF99" s="105"/>
      <c r="BLG99" s="105"/>
      <c r="BLH99" s="105"/>
      <c r="BLI99" s="105"/>
      <c r="BLJ99" s="105"/>
      <c r="BLK99" s="105"/>
      <c r="BLL99" s="105"/>
      <c r="BLM99" s="105"/>
      <c r="BLN99" s="105"/>
      <c r="BLO99" s="105"/>
      <c r="BLP99" s="105"/>
      <c r="BLQ99" s="105"/>
      <c r="BLR99" s="105"/>
      <c r="BLS99" s="105"/>
      <c r="BLT99" s="105"/>
      <c r="BLU99" s="105"/>
      <c r="BLV99" s="105"/>
      <c r="BLW99" s="105"/>
      <c r="BLX99" s="105"/>
      <c r="BLY99" s="105"/>
      <c r="BLZ99" s="105"/>
      <c r="BMA99" s="105"/>
      <c r="BMB99" s="105"/>
      <c r="BMC99" s="105"/>
      <c r="BMD99" s="105"/>
      <c r="BME99" s="105"/>
      <c r="BMF99" s="105"/>
      <c r="BMG99" s="105"/>
      <c r="BMH99" s="105"/>
      <c r="BMI99" s="105"/>
      <c r="BMJ99" s="105"/>
      <c r="BMK99" s="105"/>
      <c r="BML99" s="105"/>
      <c r="BMM99" s="105"/>
      <c r="BMN99" s="105"/>
      <c r="BMO99" s="105"/>
      <c r="BMP99" s="105"/>
      <c r="BMQ99" s="105"/>
      <c r="BMR99" s="105"/>
      <c r="BMS99" s="105"/>
      <c r="BMT99" s="105"/>
      <c r="BMU99" s="105"/>
      <c r="BMV99" s="105"/>
      <c r="BMW99" s="105"/>
      <c r="BMX99" s="105"/>
      <c r="BMY99" s="105"/>
      <c r="BMZ99" s="105"/>
      <c r="BNA99" s="105"/>
      <c r="BNB99" s="105"/>
      <c r="BNC99" s="105"/>
      <c r="BND99" s="105"/>
      <c r="BNE99" s="105"/>
      <c r="BNF99" s="105"/>
      <c r="BNG99" s="105"/>
      <c r="BNH99" s="105"/>
      <c r="BNI99" s="105"/>
      <c r="BNJ99" s="105"/>
      <c r="BNK99" s="105"/>
      <c r="BNL99" s="105"/>
      <c r="BNM99" s="105"/>
      <c r="BNN99" s="105"/>
      <c r="BNO99" s="105"/>
      <c r="BNP99" s="105"/>
      <c r="BNQ99" s="105"/>
      <c r="BNR99" s="105"/>
      <c r="BNS99" s="105"/>
      <c r="BNT99" s="105"/>
      <c r="BNU99" s="105"/>
      <c r="BNV99" s="105"/>
      <c r="BNW99" s="105"/>
      <c r="BNX99" s="105"/>
      <c r="BNY99" s="105"/>
      <c r="BNZ99" s="105"/>
      <c r="BOA99" s="105"/>
      <c r="BOB99" s="105"/>
      <c r="BOC99" s="105"/>
      <c r="BOD99" s="105"/>
      <c r="BOE99" s="105"/>
      <c r="BOF99" s="105"/>
      <c r="BOG99" s="105"/>
      <c r="BOH99" s="105"/>
      <c r="BOI99" s="105"/>
      <c r="BOJ99" s="105"/>
      <c r="BOK99" s="105"/>
      <c r="BOL99" s="105"/>
      <c r="BOM99" s="105"/>
      <c r="BON99" s="105"/>
      <c r="BOO99" s="105"/>
      <c r="BOP99" s="105"/>
      <c r="BOQ99" s="105"/>
      <c r="BOR99" s="105"/>
      <c r="BOS99" s="105"/>
      <c r="BOT99" s="105"/>
      <c r="BOU99" s="105"/>
      <c r="BOV99" s="105"/>
      <c r="BOW99" s="105"/>
      <c r="BOX99" s="105"/>
      <c r="BOY99" s="105"/>
      <c r="BOZ99" s="105"/>
      <c r="BPA99" s="105"/>
      <c r="BPB99" s="105"/>
      <c r="BPC99" s="105"/>
      <c r="BPD99" s="105"/>
      <c r="BPE99" s="105"/>
      <c r="BPF99" s="105"/>
      <c r="BPG99" s="105"/>
      <c r="BPH99" s="105"/>
      <c r="BPI99" s="105"/>
      <c r="BPJ99" s="105"/>
      <c r="BPK99" s="105"/>
      <c r="BPL99" s="105"/>
      <c r="BPM99" s="105"/>
      <c r="BPN99" s="105"/>
      <c r="BPO99" s="105"/>
      <c r="BPP99" s="105"/>
      <c r="BPQ99" s="105"/>
      <c r="BPR99" s="105"/>
      <c r="BPS99" s="105"/>
      <c r="BPT99" s="105"/>
      <c r="BPU99" s="105"/>
      <c r="BPV99" s="105"/>
      <c r="BPW99" s="105"/>
      <c r="BPX99" s="105"/>
      <c r="BPY99" s="105"/>
      <c r="BPZ99" s="105"/>
      <c r="BQA99" s="105"/>
      <c r="BQB99" s="105"/>
      <c r="BQC99" s="105"/>
      <c r="BQD99" s="105"/>
      <c r="BQE99" s="105"/>
      <c r="BQF99" s="105"/>
      <c r="BQG99" s="105"/>
      <c r="BQH99" s="105"/>
      <c r="BQI99" s="105"/>
      <c r="BQJ99" s="105"/>
      <c r="BQK99" s="105"/>
      <c r="BQL99" s="105"/>
      <c r="BQM99" s="105"/>
      <c r="BQN99" s="105"/>
      <c r="BQO99" s="105"/>
      <c r="BQP99" s="105"/>
      <c r="BQQ99" s="105"/>
      <c r="BQR99" s="105"/>
      <c r="BQS99" s="105"/>
      <c r="BQT99" s="105"/>
      <c r="BQU99" s="105"/>
      <c r="BQV99" s="105"/>
      <c r="BQW99" s="105"/>
      <c r="BQX99" s="105"/>
      <c r="BQY99" s="105"/>
      <c r="BQZ99" s="105"/>
      <c r="BRA99" s="105"/>
      <c r="BRB99" s="105"/>
      <c r="BRC99" s="105"/>
      <c r="BRD99" s="105"/>
      <c r="BRE99" s="105"/>
      <c r="BRF99" s="105"/>
      <c r="BRG99" s="105"/>
      <c r="BRH99" s="105"/>
      <c r="BRI99" s="105"/>
      <c r="BRJ99" s="105"/>
      <c r="BRK99" s="105"/>
      <c r="BRL99" s="105"/>
      <c r="BRM99" s="105"/>
      <c r="BRN99" s="105"/>
      <c r="BRO99" s="105"/>
      <c r="BRP99" s="105"/>
      <c r="BRQ99" s="105"/>
      <c r="BRR99" s="105"/>
      <c r="BRS99" s="105"/>
      <c r="BRT99" s="105"/>
      <c r="BRU99" s="105"/>
      <c r="BRV99" s="105"/>
      <c r="BRW99" s="105"/>
      <c r="BRX99" s="105"/>
      <c r="BRY99" s="105"/>
      <c r="BRZ99" s="105"/>
      <c r="BSA99" s="105"/>
      <c r="BSB99" s="105"/>
      <c r="BSC99" s="105"/>
      <c r="BSD99" s="105"/>
      <c r="BSE99" s="105"/>
      <c r="BSF99" s="105"/>
      <c r="BSG99" s="105"/>
      <c r="BSH99" s="105"/>
      <c r="BSI99" s="105"/>
      <c r="BSJ99" s="105"/>
      <c r="BSK99" s="105"/>
      <c r="BSL99" s="105"/>
      <c r="BSM99" s="105"/>
      <c r="BSN99" s="105"/>
      <c r="BSO99" s="105"/>
      <c r="BSP99" s="105"/>
      <c r="BSQ99" s="105"/>
      <c r="BSR99" s="105"/>
      <c r="BSS99" s="105"/>
      <c r="BST99" s="105"/>
      <c r="BSU99" s="105"/>
      <c r="BSV99" s="105"/>
      <c r="BSW99" s="105"/>
      <c r="BSX99" s="105"/>
      <c r="BSY99" s="105"/>
      <c r="BSZ99" s="105"/>
      <c r="BTA99" s="105"/>
      <c r="BTB99" s="105"/>
      <c r="BTC99" s="105"/>
      <c r="BTD99" s="105"/>
      <c r="BTE99" s="105"/>
      <c r="BTF99" s="105"/>
      <c r="BTG99" s="105"/>
      <c r="BTH99" s="105"/>
      <c r="BTI99" s="105"/>
      <c r="BTJ99" s="105"/>
      <c r="BTK99" s="105"/>
      <c r="BTL99" s="105"/>
      <c r="BTM99" s="105"/>
      <c r="BTN99" s="105"/>
      <c r="BTO99" s="105"/>
      <c r="BTP99" s="105"/>
      <c r="BTQ99" s="105"/>
      <c r="BTR99" s="105"/>
      <c r="BTS99" s="105"/>
      <c r="BTT99" s="105"/>
      <c r="BTU99" s="105"/>
      <c r="BTV99" s="105"/>
      <c r="BTW99" s="105"/>
      <c r="BTX99" s="105"/>
      <c r="BTY99" s="105"/>
      <c r="BTZ99" s="105"/>
      <c r="BUA99" s="105"/>
      <c r="BUB99" s="105"/>
      <c r="BUC99" s="105"/>
      <c r="BUD99" s="105"/>
      <c r="BUE99" s="105"/>
      <c r="BUF99" s="105"/>
      <c r="BUG99" s="105"/>
      <c r="BUH99" s="105"/>
      <c r="BUI99" s="105"/>
      <c r="BUJ99" s="105"/>
      <c r="BUK99" s="105"/>
      <c r="BUL99" s="105"/>
      <c r="BUM99" s="105"/>
      <c r="BUN99" s="105"/>
      <c r="BUO99" s="105"/>
      <c r="BUP99" s="105"/>
      <c r="BUQ99" s="105"/>
      <c r="BUR99" s="105"/>
      <c r="BUS99" s="105"/>
      <c r="BUT99" s="105"/>
      <c r="BUU99" s="105"/>
      <c r="BUV99" s="105"/>
      <c r="BUW99" s="105"/>
      <c r="BUX99" s="105"/>
      <c r="BUY99" s="105"/>
      <c r="BUZ99" s="105"/>
      <c r="BVA99" s="105"/>
      <c r="BVB99" s="105"/>
      <c r="BVC99" s="105"/>
      <c r="BVD99" s="105"/>
      <c r="BVE99" s="105"/>
      <c r="BVF99" s="105"/>
      <c r="BVG99" s="105"/>
      <c r="BVH99" s="105"/>
      <c r="BVI99" s="105"/>
      <c r="BVJ99" s="105"/>
      <c r="BVK99" s="105"/>
      <c r="BVL99" s="105"/>
      <c r="BVM99" s="105"/>
      <c r="BVN99" s="105"/>
      <c r="BVO99" s="105"/>
      <c r="BVP99" s="105"/>
      <c r="BVQ99" s="105"/>
      <c r="BVR99" s="105"/>
      <c r="BVS99" s="105"/>
      <c r="BVT99" s="105"/>
      <c r="BVU99" s="105"/>
      <c r="BVV99" s="105"/>
      <c r="BVW99" s="105"/>
      <c r="BVX99" s="105"/>
      <c r="BVY99" s="105"/>
      <c r="BVZ99" s="105"/>
      <c r="BWA99" s="105"/>
      <c r="BWB99" s="105"/>
      <c r="BWC99" s="105"/>
      <c r="BWD99" s="105"/>
      <c r="BWE99" s="105"/>
      <c r="BWF99" s="105"/>
      <c r="BWG99" s="105"/>
      <c r="BWH99" s="105"/>
      <c r="BWI99" s="105"/>
      <c r="BWJ99" s="105"/>
      <c r="BWK99" s="105"/>
      <c r="BWL99" s="105"/>
      <c r="BWM99" s="105"/>
      <c r="BWN99" s="105"/>
      <c r="BWO99" s="105"/>
      <c r="BWP99" s="105"/>
      <c r="BWQ99" s="105"/>
      <c r="BWR99" s="105"/>
      <c r="BWS99" s="105"/>
      <c r="BWT99" s="105"/>
      <c r="BWU99" s="105"/>
      <c r="BWV99" s="105"/>
      <c r="BWW99" s="105"/>
      <c r="BWX99" s="105"/>
      <c r="BWY99" s="105"/>
      <c r="BWZ99" s="105"/>
      <c r="BXA99" s="105"/>
      <c r="BXB99" s="105"/>
      <c r="BXC99" s="105"/>
      <c r="BXD99" s="105"/>
      <c r="BXE99" s="105"/>
      <c r="BXF99" s="105"/>
      <c r="BXG99" s="105"/>
      <c r="BXH99" s="105"/>
      <c r="BXI99" s="105"/>
      <c r="BXJ99" s="105"/>
      <c r="BXK99" s="105"/>
      <c r="BXL99" s="105"/>
      <c r="BXM99" s="105"/>
      <c r="BXN99" s="105"/>
      <c r="BXO99" s="105"/>
      <c r="BXP99" s="105"/>
      <c r="BXQ99" s="105"/>
      <c r="BXR99" s="105"/>
      <c r="BXS99" s="105"/>
      <c r="BXT99" s="105"/>
      <c r="BXU99" s="105"/>
      <c r="BXV99" s="105"/>
      <c r="BXW99" s="105"/>
      <c r="BXX99" s="105"/>
      <c r="BXY99" s="105"/>
      <c r="BXZ99" s="105"/>
      <c r="BYA99" s="105"/>
      <c r="BYB99" s="105"/>
      <c r="BYC99" s="105"/>
      <c r="BYD99" s="105"/>
      <c r="BYE99" s="105"/>
      <c r="BYF99" s="105"/>
      <c r="BYG99" s="105"/>
      <c r="BYH99" s="105"/>
      <c r="BYI99" s="105"/>
      <c r="BYJ99" s="105"/>
      <c r="BYK99" s="105"/>
      <c r="BYL99" s="105"/>
      <c r="BYM99" s="105"/>
      <c r="BYN99" s="105"/>
      <c r="BYO99" s="105"/>
      <c r="BYP99" s="105"/>
      <c r="BYQ99" s="105"/>
      <c r="BYR99" s="105"/>
      <c r="BYS99" s="105"/>
      <c r="BYT99" s="105"/>
      <c r="BYU99" s="105"/>
      <c r="BYV99" s="105"/>
      <c r="BYW99" s="105"/>
      <c r="BYX99" s="105"/>
      <c r="BYY99" s="105"/>
      <c r="BYZ99" s="105"/>
      <c r="BZA99" s="105"/>
      <c r="BZB99" s="105"/>
      <c r="BZC99" s="105"/>
      <c r="BZD99" s="105"/>
      <c r="BZE99" s="105"/>
      <c r="BZF99" s="105"/>
      <c r="BZG99" s="105"/>
      <c r="BZH99" s="105"/>
      <c r="BZI99" s="105"/>
      <c r="BZJ99" s="105"/>
      <c r="BZK99" s="105"/>
      <c r="BZL99" s="105"/>
      <c r="BZM99" s="105"/>
      <c r="BZN99" s="105"/>
      <c r="BZO99" s="105"/>
      <c r="BZP99" s="105"/>
      <c r="BZQ99" s="105"/>
      <c r="BZR99" s="105"/>
      <c r="BZS99" s="105"/>
      <c r="BZT99" s="105"/>
      <c r="BZU99" s="105"/>
      <c r="BZV99" s="105"/>
      <c r="BZW99" s="105"/>
      <c r="BZX99" s="105"/>
      <c r="BZY99" s="105"/>
      <c r="BZZ99" s="105"/>
      <c r="CAA99" s="105"/>
      <c r="CAB99" s="105"/>
      <c r="CAC99" s="105"/>
      <c r="CAD99" s="105"/>
      <c r="CAE99" s="105"/>
      <c r="CAF99" s="105"/>
      <c r="CAG99" s="105"/>
      <c r="CAH99" s="105"/>
      <c r="CAI99" s="105"/>
      <c r="CAJ99" s="105"/>
      <c r="CAK99" s="105"/>
      <c r="CAL99" s="105"/>
      <c r="CAM99" s="105"/>
      <c r="CAN99" s="105"/>
      <c r="CAO99" s="105"/>
      <c r="CAP99" s="105"/>
      <c r="CAQ99" s="105"/>
      <c r="CAR99" s="105"/>
      <c r="CAS99" s="105"/>
      <c r="CAT99" s="105"/>
      <c r="CAU99" s="105"/>
      <c r="CAV99" s="105"/>
      <c r="CAW99" s="105"/>
      <c r="CAX99" s="105"/>
      <c r="CAY99" s="105"/>
      <c r="CAZ99" s="105"/>
      <c r="CBA99" s="105"/>
      <c r="CBB99" s="105"/>
      <c r="CBC99" s="105"/>
      <c r="CBD99" s="105"/>
      <c r="CBE99" s="105"/>
      <c r="CBF99" s="105"/>
      <c r="CBG99" s="105"/>
      <c r="CBH99" s="105"/>
      <c r="CBI99" s="105"/>
      <c r="CBJ99" s="105"/>
      <c r="CBK99" s="105"/>
      <c r="CBL99" s="105"/>
      <c r="CBM99" s="105"/>
      <c r="CBN99" s="105"/>
      <c r="CBO99" s="105"/>
      <c r="CBP99" s="105"/>
      <c r="CBQ99" s="105"/>
      <c r="CBR99" s="105"/>
      <c r="CBS99" s="105"/>
      <c r="CBT99" s="105"/>
      <c r="CBU99" s="105"/>
      <c r="CBV99" s="105"/>
      <c r="CBW99" s="105"/>
      <c r="CBX99" s="105"/>
      <c r="CBY99" s="105"/>
      <c r="CBZ99" s="105"/>
      <c r="CCA99" s="105"/>
      <c r="CCB99" s="105"/>
      <c r="CCC99" s="105"/>
      <c r="CCD99" s="105"/>
      <c r="CCE99" s="105"/>
      <c r="CCF99" s="105"/>
      <c r="CCG99" s="105"/>
      <c r="CCH99" s="105"/>
      <c r="CCI99" s="105"/>
      <c r="CCJ99" s="105"/>
      <c r="CCK99" s="105"/>
      <c r="CCL99" s="105"/>
      <c r="CCM99" s="105"/>
      <c r="CCN99" s="105"/>
      <c r="CCO99" s="105"/>
      <c r="CCP99" s="105"/>
      <c r="CCQ99" s="105"/>
      <c r="CCR99" s="105"/>
      <c r="CCS99" s="105"/>
      <c r="CCT99" s="105"/>
      <c r="CCU99" s="105"/>
      <c r="CCV99" s="105"/>
      <c r="CCW99" s="105"/>
      <c r="CCX99" s="105"/>
      <c r="CCY99" s="105"/>
      <c r="CCZ99" s="105"/>
      <c r="CDA99" s="105"/>
      <c r="CDB99" s="105"/>
      <c r="CDC99" s="105"/>
      <c r="CDD99" s="105"/>
      <c r="CDE99" s="105"/>
      <c r="CDF99" s="105"/>
      <c r="CDG99" s="105"/>
      <c r="CDH99" s="105"/>
      <c r="CDI99" s="105"/>
      <c r="CDJ99" s="105"/>
      <c r="CDK99" s="105"/>
      <c r="CDL99" s="105"/>
      <c r="CDM99" s="105"/>
      <c r="CDN99" s="105"/>
      <c r="CDO99" s="105"/>
      <c r="CDP99" s="105"/>
      <c r="CDQ99" s="105"/>
      <c r="CDR99" s="105"/>
      <c r="CDS99" s="105"/>
      <c r="CDT99" s="105"/>
      <c r="CDU99" s="105"/>
      <c r="CDV99" s="105"/>
      <c r="CDW99" s="105"/>
      <c r="CDX99" s="105"/>
      <c r="CDY99" s="105"/>
      <c r="CDZ99" s="105"/>
      <c r="CEA99" s="105"/>
      <c r="CEB99" s="105"/>
      <c r="CEC99" s="105"/>
      <c r="CED99" s="105"/>
      <c r="CEE99" s="105"/>
      <c r="CEF99" s="105"/>
      <c r="CEG99" s="105"/>
      <c r="CEH99" s="105"/>
      <c r="CEI99" s="105"/>
      <c r="CEJ99" s="105"/>
      <c r="CEK99" s="105"/>
      <c r="CEL99" s="105"/>
      <c r="CEM99" s="105"/>
      <c r="CEN99" s="105"/>
      <c r="CEO99" s="105"/>
      <c r="CEP99" s="105"/>
      <c r="CEQ99" s="105"/>
      <c r="CER99" s="105"/>
      <c r="CES99" s="105"/>
      <c r="CET99" s="105"/>
      <c r="CEU99" s="105"/>
      <c r="CEV99" s="105"/>
      <c r="CEW99" s="105"/>
      <c r="CEX99" s="105"/>
      <c r="CEY99" s="105"/>
      <c r="CEZ99" s="105"/>
      <c r="CFA99" s="105"/>
      <c r="CFB99" s="105"/>
      <c r="CFC99" s="105"/>
      <c r="CFD99" s="105"/>
      <c r="CFE99" s="105"/>
      <c r="CFF99" s="105"/>
      <c r="CFG99" s="105"/>
      <c r="CFH99" s="105"/>
      <c r="CFI99" s="105"/>
      <c r="CFJ99" s="105"/>
      <c r="CFK99" s="105"/>
      <c r="CFL99" s="105"/>
      <c r="CFM99" s="105"/>
      <c r="CFN99" s="105"/>
      <c r="CFO99" s="105"/>
      <c r="CFP99" s="105"/>
      <c r="CFQ99" s="105"/>
      <c r="CFR99" s="105"/>
      <c r="CFS99" s="105"/>
      <c r="CFT99" s="105"/>
      <c r="CFU99" s="105"/>
      <c r="CFV99" s="105"/>
      <c r="CFW99" s="105"/>
      <c r="CFX99" s="105"/>
      <c r="CFY99" s="105"/>
      <c r="CFZ99" s="105"/>
      <c r="CGA99" s="105"/>
      <c r="CGB99" s="105"/>
      <c r="CGC99" s="105"/>
      <c r="CGD99" s="105"/>
      <c r="CGE99" s="105"/>
      <c r="CGF99" s="105"/>
      <c r="CGG99" s="105"/>
      <c r="CGH99" s="105"/>
      <c r="CGI99" s="105"/>
      <c r="CGJ99" s="105"/>
      <c r="CGK99" s="105"/>
      <c r="CGL99" s="105"/>
      <c r="CGM99" s="105"/>
      <c r="CGN99" s="105"/>
      <c r="CGO99" s="105"/>
      <c r="CGP99" s="105"/>
      <c r="CGQ99" s="105"/>
      <c r="CGR99" s="105"/>
      <c r="CGS99" s="105"/>
      <c r="CGT99" s="105"/>
      <c r="CGU99" s="105"/>
      <c r="CGV99" s="105"/>
      <c r="CGW99" s="105"/>
      <c r="CGX99" s="105"/>
      <c r="CGY99" s="105"/>
      <c r="CGZ99" s="105"/>
      <c r="CHA99" s="105"/>
      <c r="CHB99" s="105"/>
      <c r="CHC99" s="105"/>
      <c r="CHD99" s="105"/>
      <c r="CHE99" s="105"/>
      <c r="CHF99" s="105"/>
      <c r="CHG99" s="105"/>
      <c r="CHH99" s="105"/>
      <c r="CHI99" s="105"/>
      <c r="CHJ99" s="105"/>
      <c r="CHK99" s="105"/>
      <c r="CHL99" s="105"/>
      <c r="CHM99" s="105"/>
      <c r="CHN99" s="105"/>
      <c r="CHO99" s="105"/>
      <c r="CHP99" s="105"/>
      <c r="CHQ99" s="105"/>
      <c r="CHR99" s="105"/>
      <c r="CHS99" s="105"/>
      <c r="CHT99" s="105"/>
      <c r="CHU99" s="105"/>
      <c r="CHV99" s="105"/>
      <c r="CHW99" s="105"/>
      <c r="CHX99" s="105"/>
      <c r="CHY99" s="105"/>
      <c r="CHZ99" s="105"/>
      <c r="CIA99" s="105"/>
      <c r="CIB99" s="105"/>
      <c r="CIC99" s="105"/>
      <c r="CID99" s="105"/>
      <c r="CIE99" s="105"/>
      <c r="CIF99" s="105"/>
      <c r="CIG99" s="105"/>
      <c r="CIH99" s="105"/>
      <c r="CII99" s="105"/>
      <c r="CIJ99" s="105"/>
      <c r="CIK99" s="105"/>
      <c r="CIL99" s="105"/>
      <c r="CIM99" s="105"/>
      <c r="CIN99" s="105"/>
      <c r="CIO99" s="105"/>
      <c r="CIP99" s="105"/>
      <c r="CIQ99" s="105"/>
      <c r="CIR99" s="105"/>
      <c r="CIS99" s="105"/>
      <c r="CIT99" s="105"/>
      <c r="CIU99" s="105"/>
      <c r="CIV99" s="105"/>
      <c r="CIW99" s="105"/>
      <c r="CIX99" s="105"/>
      <c r="CIY99" s="105"/>
      <c r="CIZ99" s="105"/>
      <c r="CJA99" s="105"/>
      <c r="CJB99" s="105"/>
      <c r="CJC99" s="105"/>
      <c r="CJD99" s="105"/>
      <c r="CJE99" s="105"/>
      <c r="CJF99" s="105"/>
      <c r="CJG99" s="105"/>
      <c r="CJH99" s="105"/>
      <c r="CJI99" s="105"/>
      <c r="CJJ99" s="105"/>
      <c r="CJK99" s="105"/>
      <c r="CJL99" s="105"/>
      <c r="CJM99" s="105"/>
      <c r="CJN99" s="105"/>
      <c r="CJO99" s="105"/>
      <c r="CJP99" s="105"/>
      <c r="CJQ99" s="105"/>
      <c r="CJR99" s="105"/>
      <c r="CJS99" s="105"/>
      <c r="CJT99" s="105"/>
      <c r="CJU99" s="105"/>
      <c r="CJV99" s="105"/>
      <c r="CJW99" s="105"/>
      <c r="CJX99" s="105"/>
      <c r="CJY99" s="105"/>
      <c r="CJZ99" s="105"/>
      <c r="CKA99" s="105"/>
      <c r="CKB99" s="105"/>
      <c r="CKC99" s="105"/>
      <c r="CKD99" s="105"/>
      <c r="CKE99" s="105"/>
      <c r="CKF99" s="105"/>
      <c r="CKG99" s="105"/>
      <c r="CKH99" s="105"/>
      <c r="CKI99" s="105"/>
      <c r="CKJ99" s="105"/>
      <c r="CKK99" s="105"/>
      <c r="CKL99" s="105"/>
      <c r="CKM99" s="105"/>
      <c r="CKN99" s="105"/>
      <c r="CKO99" s="105"/>
      <c r="CKP99" s="105"/>
      <c r="CKQ99" s="105"/>
      <c r="CKR99" s="105"/>
      <c r="CKS99" s="105"/>
      <c r="CKT99" s="105"/>
      <c r="CKU99" s="105"/>
      <c r="CKV99" s="105"/>
      <c r="CKW99" s="105"/>
      <c r="CKX99" s="105"/>
      <c r="CKY99" s="105"/>
      <c r="CKZ99" s="105"/>
      <c r="CLA99" s="105"/>
      <c r="CLB99" s="105"/>
      <c r="CLC99" s="105"/>
      <c r="CLD99" s="105"/>
      <c r="CLE99" s="105"/>
      <c r="CLF99" s="105"/>
      <c r="CLG99" s="105"/>
      <c r="CLH99" s="105"/>
      <c r="CLI99" s="105"/>
      <c r="CLJ99" s="105"/>
      <c r="CLK99" s="105"/>
      <c r="CLL99" s="105"/>
      <c r="CLM99" s="105"/>
      <c r="CLN99" s="105"/>
      <c r="CLO99" s="105"/>
      <c r="CLP99" s="105"/>
      <c r="CLQ99" s="105"/>
      <c r="CLR99" s="105"/>
      <c r="CLS99" s="105"/>
      <c r="CLT99" s="105"/>
      <c r="CLU99" s="105"/>
      <c r="CLV99" s="105"/>
      <c r="CLW99" s="105"/>
      <c r="CLX99" s="105"/>
      <c r="CLY99" s="105"/>
      <c r="CLZ99" s="105"/>
      <c r="CMA99" s="105"/>
      <c r="CMB99" s="105"/>
      <c r="CMC99" s="105"/>
      <c r="CMD99" s="105"/>
      <c r="CME99" s="105"/>
      <c r="CMF99" s="105"/>
      <c r="CMG99" s="105"/>
      <c r="CMH99" s="105"/>
      <c r="CMI99" s="105"/>
      <c r="CMJ99" s="105"/>
      <c r="CMK99" s="105"/>
      <c r="CML99" s="105"/>
      <c r="CMM99" s="105"/>
      <c r="CMN99" s="105"/>
      <c r="CMO99" s="105"/>
      <c r="CMP99" s="105"/>
      <c r="CMQ99" s="105"/>
      <c r="CMR99" s="105"/>
      <c r="CMS99" s="105"/>
      <c r="CMT99" s="105"/>
      <c r="CMU99" s="105"/>
      <c r="CMV99" s="105"/>
      <c r="CMW99" s="105"/>
      <c r="CMX99" s="105"/>
      <c r="CMY99" s="105"/>
      <c r="CMZ99" s="105"/>
      <c r="CNA99" s="105"/>
      <c r="CNB99" s="105"/>
      <c r="CNC99" s="105"/>
      <c r="CND99" s="105"/>
      <c r="CNE99" s="105"/>
      <c r="CNF99" s="105"/>
      <c r="CNG99" s="105"/>
      <c r="CNH99" s="105"/>
      <c r="CNI99" s="105"/>
      <c r="CNJ99" s="105"/>
      <c r="CNK99" s="105"/>
      <c r="CNL99" s="105"/>
      <c r="CNM99" s="105"/>
      <c r="CNN99" s="105"/>
      <c r="CNO99" s="105"/>
      <c r="CNP99" s="105"/>
      <c r="CNQ99" s="105"/>
      <c r="CNR99" s="105"/>
      <c r="CNS99" s="105"/>
      <c r="CNT99" s="105"/>
      <c r="CNU99" s="105"/>
      <c r="CNV99" s="105"/>
      <c r="CNW99" s="105"/>
      <c r="CNX99" s="105"/>
      <c r="CNY99" s="105"/>
      <c r="CNZ99" s="105"/>
      <c r="COA99" s="105"/>
      <c r="COB99" s="105"/>
      <c r="COC99" s="105"/>
      <c r="COD99" s="105"/>
      <c r="COE99" s="105"/>
      <c r="COF99" s="105"/>
      <c r="COG99" s="105"/>
      <c r="COH99" s="105"/>
      <c r="COI99" s="105"/>
      <c r="COJ99" s="105"/>
      <c r="COK99" s="105"/>
      <c r="COL99" s="105"/>
      <c r="COM99" s="105"/>
      <c r="CON99" s="105"/>
      <c r="COO99" s="105"/>
      <c r="COP99" s="105"/>
      <c r="COQ99" s="105"/>
      <c r="COR99" s="105"/>
      <c r="COS99" s="105"/>
      <c r="COT99" s="105"/>
      <c r="COU99" s="105"/>
      <c r="COV99" s="105"/>
      <c r="COW99" s="105"/>
      <c r="COX99" s="105"/>
      <c r="COY99" s="105"/>
      <c r="COZ99" s="105"/>
      <c r="CPA99" s="105"/>
      <c r="CPB99" s="105"/>
      <c r="CPC99" s="105"/>
      <c r="CPD99" s="105"/>
      <c r="CPE99" s="105"/>
      <c r="CPF99" s="105"/>
      <c r="CPG99" s="105"/>
      <c r="CPH99" s="105"/>
      <c r="CPI99" s="105"/>
      <c r="CPJ99" s="105"/>
      <c r="CPK99" s="105"/>
      <c r="CPL99" s="105"/>
      <c r="CPM99" s="105"/>
      <c r="CPN99" s="105"/>
      <c r="CPO99" s="105"/>
      <c r="CPP99" s="105"/>
      <c r="CPQ99" s="105"/>
      <c r="CPR99" s="105"/>
      <c r="CPS99" s="105"/>
      <c r="CPT99" s="105"/>
      <c r="CPU99" s="105"/>
      <c r="CPV99" s="105"/>
      <c r="CPW99" s="105"/>
      <c r="CPX99" s="105"/>
      <c r="CPY99" s="105"/>
      <c r="CPZ99" s="105"/>
      <c r="CQA99" s="105"/>
      <c r="CQB99" s="105"/>
      <c r="CQC99" s="105"/>
      <c r="CQD99" s="105"/>
      <c r="CQE99" s="105"/>
      <c r="CQF99" s="105"/>
      <c r="CQG99" s="105"/>
      <c r="CQH99" s="105"/>
      <c r="CQI99" s="105"/>
      <c r="CQJ99" s="105"/>
      <c r="CQK99" s="105"/>
      <c r="CQL99" s="105"/>
      <c r="CQM99" s="105"/>
      <c r="CQN99" s="105"/>
      <c r="CQO99" s="105"/>
      <c r="CQP99" s="105"/>
      <c r="CQQ99" s="105"/>
      <c r="CQR99" s="105"/>
      <c r="CQS99" s="105"/>
      <c r="CQT99" s="105"/>
      <c r="CQU99" s="105"/>
      <c r="CQV99" s="105"/>
      <c r="CQW99" s="105"/>
      <c r="CQX99" s="105"/>
      <c r="CQY99" s="105"/>
      <c r="CQZ99" s="105"/>
      <c r="CRA99" s="105"/>
      <c r="CRB99" s="105"/>
      <c r="CRC99" s="105"/>
      <c r="CRD99" s="105"/>
      <c r="CRE99" s="105"/>
      <c r="CRF99" s="105"/>
      <c r="CRG99" s="105"/>
      <c r="CRH99" s="105"/>
      <c r="CRI99" s="105"/>
      <c r="CRJ99" s="105"/>
      <c r="CRK99" s="105"/>
      <c r="CRL99" s="105"/>
      <c r="CRM99" s="105"/>
      <c r="CRN99" s="105"/>
      <c r="CRO99" s="105"/>
      <c r="CRP99" s="105"/>
      <c r="CRQ99" s="105"/>
      <c r="CRR99" s="105"/>
      <c r="CRS99" s="105"/>
      <c r="CRT99" s="105"/>
      <c r="CRU99" s="105"/>
      <c r="CRV99" s="105"/>
      <c r="CRW99" s="105"/>
      <c r="CRX99" s="105"/>
      <c r="CRY99" s="105"/>
      <c r="CRZ99" s="105"/>
      <c r="CSA99" s="105"/>
      <c r="CSB99" s="105"/>
      <c r="CSC99" s="105"/>
      <c r="CSD99" s="105"/>
      <c r="CSE99" s="105"/>
      <c r="CSF99" s="105"/>
      <c r="CSG99" s="105"/>
      <c r="CSH99" s="105"/>
      <c r="CSI99" s="105"/>
      <c r="CSJ99" s="105"/>
      <c r="CSK99" s="105"/>
      <c r="CSL99" s="105"/>
      <c r="CSM99" s="105"/>
      <c r="CSN99" s="105"/>
      <c r="CSO99" s="105"/>
      <c r="CSP99" s="105"/>
      <c r="CSQ99" s="105"/>
      <c r="CSR99" s="105"/>
      <c r="CSS99" s="105"/>
      <c r="CST99" s="105"/>
      <c r="CSU99" s="105"/>
      <c r="CSV99" s="105"/>
      <c r="CSW99" s="105"/>
      <c r="CSX99" s="105"/>
      <c r="CSY99" s="105"/>
      <c r="CSZ99" s="105"/>
      <c r="CTA99" s="105"/>
      <c r="CTB99" s="105"/>
      <c r="CTC99" s="105"/>
      <c r="CTD99" s="105"/>
      <c r="CTE99" s="105"/>
      <c r="CTF99" s="105"/>
      <c r="CTG99" s="105"/>
      <c r="CTH99" s="105"/>
      <c r="CTI99" s="105"/>
      <c r="CTJ99" s="105"/>
      <c r="CTK99" s="105"/>
      <c r="CTL99" s="105"/>
      <c r="CTM99" s="105"/>
      <c r="CTN99" s="105"/>
      <c r="CTO99" s="105"/>
      <c r="CTP99" s="105"/>
      <c r="CTQ99" s="105"/>
      <c r="CTR99" s="105"/>
      <c r="CTS99" s="105"/>
      <c r="CTT99" s="105"/>
      <c r="CTU99" s="105"/>
      <c r="CTV99" s="105"/>
      <c r="CTW99" s="105"/>
      <c r="CTX99" s="105"/>
      <c r="CTY99" s="105"/>
      <c r="CTZ99" s="105"/>
      <c r="CUA99" s="105"/>
      <c r="CUB99" s="105"/>
      <c r="CUC99" s="105"/>
      <c r="CUD99" s="105"/>
      <c r="CUE99" s="105"/>
      <c r="CUF99" s="105"/>
      <c r="CUG99" s="105"/>
      <c r="CUH99" s="105"/>
      <c r="CUI99" s="105"/>
      <c r="CUJ99" s="105"/>
      <c r="CUK99" s="105"/>
      <c r="CUL99" s="105"/>
      <c r="CUM99" s="105"/>
      <c r="CUN99" s="105"/>
      <c r="CUO99" s="105"/>
      <c r="CUP99" s="105"/>
      <c r="CUQ99" s="105"/>
      <c r="CUR99" s="105"/>
      <c r="CUS99" s="105"/>
      <c r="CUT99" s="105"/>
      <c r="CUU99" s="105"/>
      <c r="CUV99" s="105"/>
      <c r="CUW99" s="105"/>
      <c r="CUX99" s="105"/>
      <c r="CUY99" s="105"/>
      <c r="CUZ99" s="105"/>
      <c r="CVA99" s="105"/>
      <c r="CVB99" s="105"/>
      <c r="CVC99" s="105"/>
      <c r="CVD99" s="105"/>
      <c r="CVE99" s="105"/>
      <c r="CVF99" s="105"/>
      <c r="CVG99" s="105"/>
      <c r="CVH99" s="105"/>
      <c r="CVI99" s="105"/>
      <c r="CVJ99" s="105"/>
      <c r="CVK99" s="105"/>
      <c r="CVL99" s="105"/>
      <c r="CVM99" s="105"/>
      <c r="CVN99" s="105"/>
      <c r="CVO99" s="105"/>
      <c r="CVP99" s="105"/>
      <c r="CVQ99" s="105"/>
      <c r="CVR99" s="105"/>
      <c r="CVS99" s="105"/>
      <c r="CVT99" s="105"/>
      <c r="CVU99" s="105"/>
      <c r="CVV99" s="105"/>
      <c r="CVW99" s="105"/>
      <c r="CVX99" s="105"/>
      <c r="CVY99" s="105"/>
      <c r="CVZ99" s="105"/>
      <c r="CWA99" s="105"/>
      <c r="CWB99" s="105"/>
      <c r="CWC99" s="105"/>
      <c r="CWD99" s="105"/>
      <c r="CWE99" s="105"/>
      <c r="CWF99" s="105"/>
      <c r="CWG99" s="105"/>
      <c r="CWH99" s="105"/>
      <c r="CWI99" s="105"/>
      <c r="CWJ99" s="105"/>
      <c r="CWK99" s="105"/>
      <c r="CWL99" s="105"/>
      <c r="CWM99" s="105"/>
      <c r="CWN99" s="105"/>
      <c r="CWO99" s="105"/>
      <c r="CWP99" s="105"/>
      <c r="CWQ99" s="105"/>
      <c r="CWR99" s="105"/>
      <c r="CWS99" s="105"/>
      <c r="CWT99" s="105"/>
      <c r="CWU99" s="105"/>
      <c r="CWV99" s="105"/>
      <c r="CWW99" s="105"/>
      <c r="CWX99" s="105"/>
      <c r="CWY99" s="105"/>
      <c r="CWZ99" s="105"/>
      <c r="CXA99" s="105"/>
      <c r="CXB99" s="105"/>
      <c r="CXC99" s="105"/>
      <c r="CXD99" s="105"/>
      <c r="CXE99" s="105"/>
      <c r="CXF99" s="105"/>
      <c r="CXG99" s="105"/>
      <c r="CXH99" s="105"/>
      <c r="CXI99" s="105"/>
      <c r="CXJ99" s="105"/>
      <c r="CXK99" s="105"/>
      <c r="CXL99" s="105"/>
      <c r="CXM99" s="105"/>
      <c r="CXN99" s="105"/>
      <c r="CXO99" s="105"/>
      <c r="CXP99" s="105"/>
      <c r="CXQ99" s="105"/>
      <c r="CXR99" s="105"/>
      <c r="CXS99" s="105"/>
      <c r="CXT99" s="105"/>
      <c r="CXU99" s="105"/>
      <c r="CXV99" s="105"/>
      <c r="CXW99" s="105"/>
      <c r="CXX99" s="105"/>
      <c r="CXY99" s="105"/>
      <c r="CXZ99" s="105"/>
      <c r="CYA99" s="105"/>
      <c r="CYB99" s="105"/>
      <c r="CYC99" s="105"/>
      <c r="CYD99" s="105"/>
      <c r="CYE99" s="105"/>
      <c r="CYF99" s="105"/>
      <c r="CYG99" s="105"/>
      <c r="CYH99" s="105"/>
      <c r="CYI99" s="105"/>
      <c r="CYJ99" s="105"/>
      <c r="CYK99" s="105"/>
      <c r="CYL99" s="105"/>
      <c r="CYM99" s="105"/>
      <c r="CYN99" s="105"/>
      <c r="CYO99" s="105"/>
      <c r="CYP99" s="105"/>
      <c r="CYQ99" s="105"/>
      <c r="CYR99" s="105"/>
      <c r="CYS99" s="105"/>
      <c r="CYT99" s="105"/>
      <c r="CYU99" s="105"/>
      <c r="CYV99" s="105"/>
      <c r="CYW99" s="105"/>
      <c r="CYX99" s="105"/>
      <c r="CYY99" s="105"/>
      <c r="CYZ99" s="105"/>
      <c r="CZA99" s="105"/>
      <c r="CZB99" s="105"/>
      <c r="CZC99" s="105"/>
      <c r="CZD99" s="105"/>
      <c r="CZE99" s="105"/>
      <c r="CZF99" s="105"/>
      <c r="CZG99" s="105"/>
      <c r="CZH99" s="105"/>
      <c r="CZI99" s="105"/>
      <c r="CZJ99" s="105"/>
      <c r="CZK99" s="105"/>
      <c r="CZL99" s="105"/>
      <c r="CZM99" s="105"/>
      <c r="CZN99" s="105"/>
      <c r="CZO99" s="105"/>
      <c r="CZP99" s="105"/>
      <c r="CZQ99" s="105"/>
      <c r="CZR99" s="105"/>
      <c r="CZS99" s="105"/>
      <c r="CZT99" s="105"/>
      <c r="CZU99" s="105"/>
      <c r="CZV99" s="105"/>
      <c r="CZW99" s="105"/>
      <c r="CZX99" s="105"/>
      <c r="CZY99" s="105"/>
      <c r="CZZ99" s="105"/>
      <c r="DAA99" s="105"/>
      <c r="DAB99" s="105"/>
      <c r="DAC99" s="105"/>
      <c r="DAD99" s="105"/>
      <c r="DAE99" s="105"/>
      <c r="DAF99" s="105"/>
      <c r="DAG99" s="105"/>
      <c r="DAH99" s="105"/>
      <c r="DAI99" s="105"/>
      <c r="DAJ99" s="105"/>
      <c r="DAK99" s="105"/>
      <c r="DAL99" s="105"/>
      <c r="DAM99" s="105"/>
      <c r="DAN99" s="105"/>
      <c r="DAO99" s="105"/>
      <c r="DAP99" s="105"/>
      <c r="DAQ99" s="105"/>
      <c r="DAR99" s="105"/>
      <c r="DAS99" s="105"/>
      <c r="DAT99" s="105"/>
      <c r="DAU99" s="105"/>
      <c r="DAV99" s="105"/>
      <c r="DAW99" s="105"/>
      <c r="DAX99" s="105"/>
      <c r="DAY99" s="105"/>
      <c r="DAZ99" s="105"/>
      <c r="DBA99" s="105"/>
      <c r="DBB99" s="105"/>
      <c r="DBC99" s="105"/>
      <c r="DBD99" s="105"/>
      <c r="DBE99" s="105"/>
      <c r="DBF99" s="105"/>
      <c r="DBG99" s="105"/>
      <c r="DBH99" s="105"/>
      <c r="DBI99" s="105"/>
      <c r="DBJ99" s="105"/>
      <c r="DBK99" s="105"/>
      <c r="DBL99" s="105"/>
      <c r="DBM99" s="105"/>
      <c r="DBN99" s="105"/>
      <c r="DBO99" s="105"/>
      <c r="DBP99" s="105"/>
      <c r="DBQ99" s="105"/>
      <c r="DBR99" s="105"/>
      <c r="DBS99" s="105"/>
      <c r="DBT99" s="105"/>
      <c r="DBU99" s="105"/>
      <c r="DBV99" s="105"/>
      <c r="DBW99" s="105"/>
      <c r="DBX99" s="105"/>
      <c r="DBY99" s="105"/>
      <c r="DBZ99" s="105"/>
      <c r="DCA99" s="105"/>
      <c r="DCB99" s="105"/>
      <c r="DCC99" s="105"/>
      <c r="DCD99" s="105"/>
      <c r="DCE99" s="105"/>
      <c r="DCF99" s="105"/>
      <c r="DCG99" s="105"/>
      <c r="DCH99" s="105"/>
      <c r="DCI99" s="105"/>
      <c r="DCJ99" s="105"/>
      <c r="DCK99" s="105"/>
      <c r="DCL99" s="105"/>
      <c r="DCM99" s="105"/>
      <c r="DCN99" s="105"/>
      <c r="DCO99" s="105"/>
      <c r="DCP99" s="105"/>
      <c r="DCQ99" s="105"/>
      <c r="DCR99" s="105"/>
      <c r="DCS99" s="105"/>
      <c r="DCT99" s="105"/>
      <c r="DCU99" s="105"/>
      <c r="DCV99" s="105"/>
      <c r="DCW99" s="105"/>
      <c r="DCX99" s="105"/>
      <c r="DCY99" s="105"/>
      <c r="DCZ99" s="105"/>
      <c r="DDA99" s="105"/>
      <c r="DDB99" s="105"/>
      <c r="DDC99" s="105"/>
      <c r="DDD99" s="105"/>
      <c r="DDE99" s="105"/>
      <c r="DDF99" s="105"/>
      <c r="DDG99" s="105"/>
      <c r="DDH99" s="105"/>
      <c r="DDI99" s="105"/>
      <c r="DDJ99" s="105"/>
      <c r="DDK99" s="105"/>
      <c r="DDL99" s="105"/>
      <c r="DDM99" s="105"/>
      <c r="DDN99" s="105"/>
      <c r="DDO99" s="105"/>
      <c r="DDP99" s="105"/>
      <c r="DDQ99" s="105"/>
      <c r="DDR99" s="105"/>
      <c r="DDS99" s="105"/>
      <c r="DDT99" s="105"/>
      <c r="DDU99" s="105"/>
      <c r="DDV99" s="105"/>
      <c r="DDW99" s="105"/>
      <c r="DDX99" s="105"/>
      <c r="DDY99" s="105"/>
      <c r="DDZ99" s="105"/>
      <c r="DEA99" s="105"/>
      <c r="DEB99" s="105"/>
      <c r="DEC99" s="105"/>
      <c r="DED99" s="105"/>
      <c r="DEE99" s="105"/>
      <c r="DEF99" s="105"/>
      <c r="DEG99" s="105"/>
      <c r="DEH99" s="105"/>
      <c r="DEI99" s="105"/>
      <c r="DEJ99" s="105"/>
      <c r="DEK99" s="105"/>
      <c r="DEL99" s="105"/>
      <c r="DEM99" s="105"/>
      <c r="DEN99" s="105"/>
      <c r="DEO99" s="105"/>
      <c r="DEP99" s="105"/>
      <c r="DEQ99" s="105"/>
      <c r="DER99" s="105"/>
      <c r="DES99" s="105"/>
      <c r="DET99" s="105"/>
      <c r="DEU99" s="105"/>
      <c r="DEV99" s="105"/>
      <c r="DEW99" s="105"/>
      <c r="DEX99" s="105"/>
      <c r="DEY99" s="105"/>
      <c r="DEZ99" s="105"/>
      <c r="DFA99" s="105"/>
      <c r="DFB99" s="105"/>
      <c r="DFC99" s="105"/>
      <c r="DFD99" s="105"/>
      <c r="DFE99" s="105"/>
      <c r="DFF99" s="105"/>
      <c r="DFG99" s="105"/>
      <c r="DFH99" s="105"/>
      <c r="DFI99" s="105"/>
      <c r="DFJ99" s="105"/>
      <c r="DFK99" s="105"/>
      <c r="DFL99" s="105"/>
      <c r="DFM99" s="105"/>
      <c r="DFN99" s="105"/>
      <c r="DFO99" s="105"/>
      <c r="DFP99" s="105"/>
      <c r="DFQ99" s="105"/>
      <c r="DFR99" s="105"/>
      <c r="DFS99" s="105"/>
      <c r="DFT99" s="105"/>
      <c r="DFU99" s="105"/>
      <c r="DFV99" s="105"/>
      <c r="DFW99" s="105"/>
      <c r="DFX99" s="105"/>
      <c r="DFY99" s="105"/>
      <c r="DFZ99" s="105"/>
      <c r="DGA99" s="105"/>
      <c r="DGB99" s="105"/>
      <c r="DGC99" s="105"/>
      <c r="DGD99" s="105"/>
      <c r="DGE99" s="105"/>
      <c r="DGF99" s="105"/>
      <c r="DGG99" s="105"/>
      <c r="DGH99" s="105"/>
      <c r="DGI99" s="105"/>
      <c r="DGJ99" s="105"/>
      <c r="DGK99" s="105"/>
      <c r="DGL99" s="105"/>
      <c r="DGM99" s="105"/>
      <c r="DGN99" s="105"/>
      <c r="DGO99" s="105"/>
      <c r="DGP99" s="105"/>
      <c r="DGQ99" s="105"/>
      <c r="DGR99" s="105"/>
      <c r="DGS99" s="105"/>
      <c r="DGT99" s="105"/>
      <c r="DGU99" s="105"/>
      <c r="DGV99" s="105"/>
      <c r="DGW99" s="105"/>
      <c r="DGX99" s="105"/>
      <c r="DGY99" s="105"/>
      <c r="DGZ99" s="105"/>
      <c r="DHA99" s="105"/>
      <c r="DHB99" s="105"/>
      <c r="DHC99" s="105"/>
      <c r="DHD99" s="105"/>
      <c r="DHE99" s="105"/>
      <c r="DHF99" s="105"/>
      <c r="DHG99" s="105"/>
      <c r="DHH99" s="105"/>
      <c r="DHI99" s="105"/>
      <c r="DHJ99" s="105"/>
      <c r="DHK99" s="105"/>
      <c r="DHL99" s="105"/>
      <c r="DHM99" s="105"/>
      <c r="DHN99" s="105"/>
      <c r="DHO99" s="105"/>
      <c r="DHP99" s="105"/>
      <c r="DHQ99" s="105"/>
      <c r="DHR99" s="105"/>
      <c r="DHS99" s="105"/>
      <c r="DHT99" s="105"/>
      <c r="DHU99" s="105"/>
      <c r="DHV99" s="105"/>
      <c r="DHW99" s="105"/>
      <c r="DHX99" s="105"/>
      <c r="DHY99" s="105"/>
      <c r="DHZ99" s="105"/>
      <c r="DIA99" s="105"/>
      <c r="DIB99" s="105"/>
      <c r="DIC99" s="105"/>
      <c r="DID99" s="105"/>
      <c r="DIE99" s="105"/>
      <c r="DIF99" s="105"/>
      <c r="DIG99" s="105"/>
      <c r="DIH99" s="105"/>
      <c r="DII99" s="105"/>
      <c r="DIJ99" s="105"/>
      <c r="DIK99" s="105"/>
      <c r="DIL99" s="105"/>
      <c r="DIM99" s="105"/>
      <c r="DIN99" s="105"/>
      <c r="DIO99" s="105"/>
      <c r="DIP99" s="105"/>
      <c r="DIQ99" s="105"/>
      <c r="DIR99" s="105"/>
      <c r="DIS99" s="105"/>
      <c r="DIT99" s="105"/>
      <c r="DIU99" s="105"/>
      <c r="DIV99" s="105"/>
      <c r="DIW99" s="105"/>
      <c r="DIX99" s="105"/>
      <c r="DIY99" s="105"/>
      <c r="DIZ99" s="105"/>
      <c r="DJA99" s="105"/>
      <c r="DJB99" s="105"/>
      <c r="DJC99" s="105"/>
      <c r="DJD99" s="105"/>
      <c r="DJE99" s="105"/>
      <c r="DJF99" s="105"/>
      <c r="DJG99" s="105"/>
      <c r="DJH99" s="105"/>
      <c r="DJI99" s="105"/>
      <c r="DJJ99" s="105"/>
      <c r="DJK99" s="105"/>
      <c r="DJL99" s="105"/>
      <c r="DJM99" s="105"/>
      <c r="DJN99" s="105"/>
      <c r="DJO99" s="105"/>
      <c r="DJP99" s="105"/>
      <c r="DJQ99" s="105"/>
      <c r="DJR99" s="105"/>
      <c r="DJS99" s="105"/>
      <c r="DJT99" s="105"/>
      <c r="DJU99" s="105"/>
      <c r="DJV99" s="105"/>
      <c r="DJW99" s="105"/>
      <c r="DJX99" s="105"/>
      <c r="DJY99" s="105"/>
      <c r="DJZ99" s="105"/>
      <c r="DKA99" s="105"/>
      <c r="DKB99" s="105"/>
      <c r="DKC99" s="105"/>
      <c r="DKD99" s="105"/>
      <c r="DKE99" s="105"/>
      <c r="DKF99" s="105"/>
      <c r="DKG99" s="105"/>
      <c r="DKH99" s="105"/>
      <c r="DKI99" s="105"/>
      <c r="DKJ99" s="105"/>
      <c r="DKK99" s="105"/>
      <c r="DKL99" s="105"/>
      <c r="DKM99" s="105"/>
      <c r="DKN99" s="105"/>
      <c r="DKO99" s="105"/>
      <c r="DKP99" s="105"/>
      <c r="DKQ99" s="105"/>
      <c r="DKR99" s="105"/>
      <c r="DKS99" s="105"/>
      <c r="DKT99" s="105"/>
      <c r="DKU99" s="105"/>
      <c r="DKV99" s="105"/>
      <c r="DKW99" s="105"/>
      <c r="DKX99" s="105"/>
      <c r="DKY99" s="105"/>
      <c r="DKZ99" s="105"/>
      <c r="DLA99" s="105"/>
      <c r="DLB99" s="105"/>
      <c r="DLC99" s="105"/>
      <c r="DLD99" s="105"/>
      <c r="DLE99" s="105"/>
      <c r="DLF99" s="105"/>
      <c r="DLG99" s="105"/>
      <c r="DLH99" s="105"/>
      <c r="DLI99" s="105"/>
      <c r="DLJ99" s="105"/>
      <c r="DLK99" s="105"/>
      <c r="DLL99" s="105"/>
      <c r="DLM99" s="105"/>
      <c r="DLN99" s="105"/>
      <c r="DLO99" s="105"/>
      <c r="DLP99" s="105"/>
      <c r="DLQ99" s="105"/>
      <c r="DLR99" s="105"/>
      <c r="DLS99" s="105"/>
      <c r="DLT99" s="105"/>
      <c r="DLU99" s="105"/>
      <c r="DLV99" s="105"/>
      <c r="DLW99" s="105"/>
      <c r="DLX99" s="105"/>
      <c r="DLY99" s="105"/>
      <c r="DLZ99" s="105"/>
      <c r="DMA99" s="105"/>
      <c r="DMB99" s="105"/>
      <c r="DMC99" s="105"/>
      <c r="DMD99" s="105"/>
      <c r="DME99" s="105"/>
      <c r="DMF99" s="105"/>
      <c r="DMG99" s="105"/>
      <c r="DMH99" s="105"/>
      <c r="DMI99" s="105"/>
      <c r="DMJ99" s="105"/>
      <c r="DMK99" s="105"/>
      <c r="DML99" s="105"/>
      <c r="DMM99" s="105"/>
      <c r="DMN99" s="105"/>
      <c r="DMO99" s="105"/>
      <c r="DMP99" s="105"/>
      <c r="DMQ99" s="105"/>
      <c r="DMR99" s="105"/>
      <c r="DMS99" s="105"/>
      <c r="DMT99" s="105"/>
      <c r="DMU99" s="105"/>
      <c r="DMV99" s="105"/>
      <c r="DMW99" s="105"/>
      <c r="DMX99" s="105"/>
      <c r="DMY99" s="105"/>
      <c r="DMZ99" s="105"/>
      <c r="DNA99" s="105"/>
      <c r="DNB99" s="105"/>
      <c r="DNC99" s="105"/>
      <c r="DND99" s="105"/>
      <c r="DNE99" s="105"/>
      <c r="DNF99" s="105"/>
      <c r="DNG99" s="105"/>
      <c r="DNH99" s="105"/>
      <c r="DNI99" s="105"/>
      <c r="DNJ99" s="105"/>
      <c r="DNK99" s="105"/>
      <c r="DNL99" s="105"/>
      <c r="DNM99" s="105"/>
      <c r="DNN99" s="105"/>
      <c r="DNO99" s="105"/>
      <c r="DNP99" s="105"/>
      <c r="DNQ99" s="105"/>
      <c r="DNR99" s="105"/>
      <c r="DNS99" s="105"/>
      <c r="DNT99" s="105"/>
      <c r="DNU99" s="105"/>
      <c r="DNV99" s="105"/>
      <c r="DNW99" s="105"/>
      <c r="DNX99" s="105"/>
      <c r="DNY99" s="105"/>
      <c r="DNZ99" s="105"/>
      <c r="DOA99" s="105"/>
      <c r="DOB99" s="105"/>
      <c r="DOC99" s="105"/>
      <c r="DOD99" s="105"/>
      <c r="DOE99" s="105"/>
      <c r="DOF99" s="105"/>
      <c r="DOG99" s="105"/>
      <c r="DOH99" s="105"/>
      <c r="DOI99" s="105"/>
      <c r="DOJ99" s="105"/>
      <c r="DOK99" s="105"/>
      <c r="DOL99" s="105"/>
      <c r="DOM99" s="105"/>
      <c r="DON99" s="105"/>
      <c r="DOO99" s="105"/>
      <c r="DOP99" s="105"/>
      <c r="DOQ99" s="105"/>
      <c r="DOR99" s="105"/>
      <c r="DOS99" s="105"/>
      <c r="DOT99" s="105"/>
      <c r="DOU99" s="105"/>
      <c r="DOV99" s="105"/>
      <c r="DOW99" s="105"/>
      <c r="DOX99" s="105"/>
      <c r="DOY99" s="105"/>
      <c r="DOZ99" s="105"/>
      <c r="DPA99" s="105"/>
      <c r="DPB99" s="105"/>
      <c r="DPC99" s="105"/>
      <c r="DPD99" s="105"/>
      <c r="DPE99" s="105"/>
      <c r="DPF99" s="105"/>
      <c r="DPG99" s="105"/>
      <c r="DPH99" s="105"/>
      <c r="DPI99" s="105"/>
      <c r="DPJ99" s="105"/>
      <c r="DPK99" s="105"/>
      <c r="DPL99" s="105"/>
      <c r="DPM99" s="105"/>
      <c r="DPN99" s="105"/>
      <c r="DPO99" s="105"/>
      <c r="DPP99" s="105"/>
      <c r="DPQ99" s="105"/>
      <c r="DPR99" s="105"/>
      <c r="DPS99" s="105"/>
      <c r="DPT99" s="105"/>
      <c r="DPU99" s="105"/>
      <c r="DPV99" s="105"/>
      <c r="DPW99" s="105"/>
      <c r="DPX99" s="105"/>
      <c r="DPY99" s="105"/>
      <c r="DPZ99" s="105"/>
      <c r="DQA99" s="105"/>
      <c r="DQB99" s="105"/>
      <c r="DQC99" s="105"/>
      <c r="DQD99" s="105"/>
      <c r="DQE99" s="105"/>
      <c r="DQF99" s="105"/>
      <c r="DQG99" s="105"/>
      <c r="DQH99" s="105"/>
      <c r="DQI99" s="105"/>
      <c r="DQJ99" s="105"/>
      <c r="DQK99" s="105"/>
      <c r="DQL99" s="105"/>
      <c r="DQM99" s="105"/>
      <c r="DQN99" s="105"/>
      <c r="DQO99" s="105"/>
      <c r="DQP99" s="105"/>
      <c r="DQQ99" s="105"/>
      <c r="DQR99" s="105"/>
      <c r="DQS99" s="105"/>
      <c r="DQT99" s="105"/>
      <c r="DQU99" s="105"/>
      <c r="DQV99" s="105"/>
      <c r="DQW99" s="105"/>
      <c r="DQX99" s="105"/>
      <c r="DQY99" s="105"/>
      <c r="DQZ99" s="105"/>
      <c r="DRA99" s="105"/>
      <c r="DRB99" s="105"/>
      <c r="DRC99" s="105"/>
      <c r="DRD99" s="105"/>
      <c r="DRE99" s="105"/>
      <c r="DRF99" s="105"/>
      <c r="DRG99" s="105"/>
      <c r="DRH99" s="105"/>
      <c r="DRI99" s="105"/>
      <c r="DRJ99" s="105"/>
      <c r="DRK99" s="105"/>
      <c r="DRL99" s="105"/>
      <c r="DRM99" s="105"/>
      <c r="DRN99" s="105"/>
      <c r="DRO99" s="105"/>
      <c r="DRP99" s="105"/>
      <c r="DRQ99" s="105"/>
      <c r="DRR99" s="105"/>
      <c r="DRS99" s="105"/>
      <c r="DRT99" s="105"/>
      <c r="DRU99" s="105"/>
      <c r="DRV99" s="105"/>
      <c r="DRW99" s="105"/>
      <c r="DRX99" s="105"/>
      <c r="DRY99" s="105"/>
      <c r="DRZ99" s="105"/>
      <c r="DSA99" s="105"/>
      <c r="DSB99" s="105"/>
      <c r="DSC99" s="105"/>
      <c r="DSD99" s="105"/>
      <c r="DSE99" s="105"/>
      <c r="DSF99" s="105"/>
      <c r="DSG99" s="105"/>
      <c r="DSH99" s="105"/>
      <c r="DSI99" s="105"/>
      <c r="DSJ99" s="105"/>
      <c r="DSK99" s="105"/>
      <c r="DSL99" s="105"/>
      <c r="DSM99" s="105"/>
      <c r="DSN99" s="105"/>
      <c r="DSO99" s="105"/>
      <c r="DSP99" s="105"/>
      <c r="DSQ99" s="105"/>
      <c r="DSR99" s="105"/>
      <c r="DSS99" s="105"/>
      <c r="DST99" s="105"/>
      <c r="DSU99" s="105"/>
      <c r="DSV99" s="105"/>
      <c r="DSW99" s="105"/>
      <c r="DSX99" s="105"/>
      <c r="DSY99" s="105"/>
      <c r="DSZ99" s="105"/>
      <c r="DTA99" s="105"/>
      <c r="DTB99" s="105"/>
      <c r="DTC99" s="105"/>
      <c r="DTD99" s="105"/>
      <c r="DTE99" s="105"/>
      <c r="DTF99" s="105"/>
      <c r="DTG99" s="105"/>
      <c r="DTH99" s="105"/>
      <c r="DTI99" s="105"/>
      <c r="DTJ99" s="105"/>
      <c r="DTK99" s="105"/>
      <c r="DTL99" s="105"/>
      <c r="DTM99" s="105"/>
      <c r="DTN99" s="105"/>
      <c r="DTO99" s="105"/>
      <c r="DTP99" s="105"/>
      <c r="DTQ99" s="105"/>
      <c r="DTR99" s="105"/>
      <c r="DTS99" s="105"/>
      <c r="DTT99" s="105"/>
      <c r="DTU99" s="105"/>
      <c r="DTV99" s="105"/>
      <c r="DTW99" s="105"/>
      <c r="DTX99" s="105"/>
      <c r="DTY99" s="105"/>
      <c r="DTZ99" s="105"/>
      <c r="DUA99" s="105"/>
      <c r="DUB99" s="105"/>
      <c r="DUC99" s="105"/>
      <c r="DUD99" s="105"/>
      <c r="DUE99" s="105"/>
      <c r="DUF99" s="105"/>
      <c r="DUG99" s="105"/>
      <c r="DUH99" s="105"/>
      <c r="DUI99" s="105"/>
      <c r="DUJ99" s="105"/>
      <c r="DUK99" s="105"/>
      <c r="DUL99" s="105"/>
      <c r="DUM99" s="105"/>
      <c r="DUN99" s="105"/>
      <c r="DUO99" s="105"/>
      <c r="DUP99" s="105"/>
      <c r="DUQ99" s="105"/>
      <c r="DUR99" s="105"/>
      <c r="DUS99" s="105"/>
      <c r="DUT99" s="105"/>
      <c r="DUU99" s="105"/>
      <c r="DUV99" s="105"/>
      <c r="DUW99" s="105"/>
      <c r="DUX99" s="105"/>
      <c r="DUY99" s="105"/>
      <c r="DUZ99" s="105"/>
      <c r="DVA99" s="105"/>
      <c r="DVB99" s="105"/>
      <c r="DVC99" s="105"/>
      <c r="DVD99" s="105"/>
      <c r="DVE99" s="105"/>
      <c r="DVF99" s="105"/>
      <c r="DVG99" s="105"/>
      <c r="DVH99" s="105"/>
      <c r="DVI99" s="105"/>
      <c r="DVJ99" s="105"/>
      <c r="DVK99" s="105"/>
      <c r="DVL99" s="105"/>
      <c r="DVM99" s="105"/>
      <c r="DVN99" s="105"/>
      <c r="DVO99" s="105"/>
      <c r="DVP99" s="105"/>
      <c r="DVQ99" s="105"/>
      <c r="DVR99" s="105"/>
      <c r="DVS99" s="105"/>
      <c r="DVT99" s="105"/>
      <c r="DVU99" s="105"/>
      <c r="DVV99" s="105"/>
      <c r="DVW99" s="105"/>
      <c r="DVX99" s="105"/>
      <c r="DVY99" s="105"/>
      <c r="DVZ99" s="105"/>
      <c r="DWA99" s="105"/>
      <c r="DWB99" s="105"/>
      <c r="DWC99" s="105"/>
      <c r="DWD99" s="105"/>
      <c r="DWE99" s="105"/>
      <c r="DWF99" s="105"/>
      <c r="DWG99" s="105"/>
      <c r="DWH99" s="105"/>
      <c r="DWI99" s="105"/>
      <c r="DWJ99" s="105"/>
      <c r="DWK99" s="105"/>
      <c r="DWL99" s="105"/>
      <c r="DWM99" s="105"/>
      <c r="DWN99" s="105"/>
      <c r="DWO99" s="105"/>
      <c r="DWP99" s="105"/>
      <c r="DWQ99" s="105"/>
      <c r="DWR99" s="105"/>
      <c r="DWS99" s="105"/>
      <c r="DWT99" s="105"/>
      <c r="DWU99" s="105"/>
      <c r="DWV99" s="105"/>
      <c r="DWW99" s="105"/>
      <c r="DWX99" s="105"/>
      <c r="DWY99" s="105"/>
      <c r="DWZ99" s="105"/>
      <c r="DXA99" s="105"/>
      <c r="DXB99" s="105"/>
      <c r="DXC99" s="105"/>
      <c r="DXD99" s="105"/>
      <c r="DXE99" s="105"/>
      <c r="DXF99" s="105"/>
      <c r="DXG99" s="105"/>
      <c r="DXH99" s="105"/>
      <c r="DXI99" s="105"/>
      <c r="DXJ99" s="105"/>
      <c r="DXK99" s="105"/>
      <c r="DXL99" s="105"/>
      <c r="DXM99" s="105"/>
      <c r="DXN99" s="105"/>
      <c r="DXO99" s="105"/>
      <c r="DXP99" s="105"/>
      <c r="DXQ99" s="105"/>
      <c r="DXR99" s="105"/>
      <c r="DXS99" s="105"/>
      <c r="DXT99" s="105"/>
      <c r="DXU99" s="105"/>
      <c r="DXV99" s="105"/>
      <c r="DXW99" s="105"/>
      <c r="DXX99" s="105"/>
      <c r="DXY99" s="105"/>
      <c r="DXZ99" s="105"/>
      <c r="DYA99" s="105"/>
      <c r="DYB99" s="105"/>
      <c r="DYC99" s="105"/>
      <c r="DYD99" s="105"/>
      <c r="DYE99" s="105"/>
      <c r="DYF99" s="105"/>
      <c r="DYG99" s="105"/>
      <c r="DYH99" s="105"/>
      <c r="DYI99" s="105"/>
      <c r="DYJ99" s="105"/>
      <c r="DYK99" s="105"/>
      <c r="DYL99" s="105"/>
      <c r="DYM99" s="105"/>
      <c r="DYN99" s="105"/>
      <c r="DYO99" s="105"/>
      <c r="DYP99" s="105"/>
      <c r="DYQ99" s="105"/>
      <c r="DYR99" s="105"/>
      <c r="DYS99" s="105"/>
      <c r="DYT99" s="105"/>
      <c r="DYU99" s="105"/>
      <c r="DYV99" s="105"/>
      <c r="DYW99" s="105"/>
      <c r="DYX99" s="105"/>
      <c r="DYY99" s="105"/>
      <c r="DYZ99" s="105"/>
      <c r="DZA99" s="105"/>
      <c r="DZB99" s="105"/>
      <c r="DZC99" s="105"/>
      <c r="DZD99" s="105"/>
      <c r="DZE99" s="105"/>
      <c r="DZF99" s="105"/>
      <c r="DZG99" s="105"/>
      <c r="DZH99" s="105"/>
      <c r="DZI99" s="105"/>
      <c r="DZJ99" s="105"/>
      <c r="DZK99" s="105"/>
      <c r="DZL99" s="105"/>
      <c r="DZM99" s="105"/>
      <c r="DZN99" s="105"/>
      <c r="DZO99" s="105"/>
      <c r="DZP99" s="105"/>
      <c r="DZQ99" s="105"/>
      <c r="DZR99" s="105"/>
      <c r="DZS99" s="105"/>
      <c r="DZT99" s="105"/>
      <c r="DZU99" s="105"/>
      <c r="DZV99" s="105"/>
      <c r="DZW99" s="105"/>
      <c r="DZX99" s="105"/>
      <c r="DZY99" s="105"/>
      <c r="DZZ99" s="105"/>
      <c r="EAA99" s="105"/>
      <c r="EAB99" s="105"/>
      <c r="EAC99" s="105"/>
      <c r="EAD99" s="105"/>
      <c r="EAE99" s="105"/>
      <c r="EAF99" s="105"/>
      <c r="EAG99" s="105"/>
      <c r="EAH99" s="105"/>
      <c r="EAI99" s="105"/>
      <c r="EAJ99" s="105"/>
      <c r="EAK99" s="105"/>
      <c r="EAL99" s="105"/>
      <c r="EAM99" s="105"/>
      <c r="EAN99" s="105"/>
      <c r="EAO99" s="105"/>
      <c r="EAP99" s="105"/>
      <c r="EAQ99" s="105"/>
      <c r="EAR99" s="105"/>
      <c r="EAS99" s="105"/>
      <c r="EAT99" s="105"/>
      <c r="EAU99" s="105"/>
      <c r="EAV99" s="105"/>
      <c r="EAW99" s="105"/>
      <c r="EAX99" s="105"/>
      <c r="EAY99" s="105"/>
      <c r="EAZ99" s="105"/>
      <c r="EBA99" s="105"/>
      <c r="EBB99" s="105"/>
      <c r="EBC99" s="105"/>
      <c r="EBD99" s="105"/>
      <c r="EBE99" s="105"/>
      <c r="EBF99" s="105"/>
      <c r="EBG99" s="105"/>
      <c r="EBH99" s="105"/>
      <c r="EBI99" s="105"/>
      <c r="EBJ99" s="105"/>
      <c r="EBK99" s="105"/>
      <c r="EBL99" s="105"/>
      <c r="EBM99" s="105"/>
      <c r="EBN99" s="105"/>
      <c r="EBO99" s="105"/>
      <c r="EBP99" s="105"/>
      <c r="EBQ99" s="105"/>
      <c r="EBR99" s="105"/>
      <c r="EBS99" s="105"/>
      <c r="EBT99" s="105"/>
      <c r="EBU99" s="105"/>
      <c r="EBV99" s="105"/>
      <c r="EBW99" s="105"/>
      <c r="EBX99" s="105"/>
      <c r="EBY99" s="105"/>
      <c r="EBZ99" s="105"/>
      <c r="ECA99" s="105"/>
      <c r="ECB99" s="105"/>
      <c r="ECC99" s="105"/>
      <c r="ECD99" s="105"/>
      <c r="ECE99" s="105"/>
      <c r="ECF99" s="105"/>
      <c r="ECG99" s="105"/>
      <c r="ECH99" s="105"/>
      <c r="ECI99" s="105"/>
      <c r="ECJ99" s="105"/>
      <c r="ECK99" s="105"/>
      <c r="ECL99" s="105"/>
      <c r="ECM99" s="105"/>
      <c r="ECN99" s="105"/>
      <c r="ECO99" s="105"/>
      <c r="ECP99" s="105"/>
      <c r="ECQ99" s="105"/>
      <c r="ECR99" s="105"/>
      <c r="ECS99" s="105"/>
      <c r="ECT99" s="105"/>
      <c r="ECU99" s="105"/>
      <c r="ECV99" s="105"/>
      <c r="ECW99" s="105"/>
      <c r="ECX99" s="105"/>
      <c r="ECY99" s="105"/>
      <c r="ECZ99" s="105"/>
      <c r="EDA99" s="105"/>
      <c r="EDB99" s="105"/>
      <c r="EDC99" s="105"/>
      <c r="EDD99" s="105"/>
      <c r="EDE99" s="105"/>
      <c r="EDF99" s="105"/>
      <c r="EDG99" s="105"/>
      <c r="EDH99" s="105"/>
      <c r="EDI99" s="105"/>
      <c r="EDJ99" s="105"/>
      <c r="EDK99" s="105"/>
      <c r="EDL99" s="105"/>
      <c r="EDM99" s="105"/>
      <c r="EDN99" s="105"/>
      <c r="EDO99" s="105"/>
      <c r="EDP99" s="105"/>
      <c r="EDQ99" s="105"/>
      <c r="EDR99" s="105"/>
      <c r="EDS99" s="105"/>
      <c r="EDT99" s="105"/>
      <c r="EDU99" s="105"/>
      <c r="EDV99" s="105"/>
      <c r="EDW99" s="105"/>
      <c r="EDX99" s="105"/>
      <c r="EDY99" s="105"/>
      <c r="EDZ99" s="105"/>
      <c r="EEA99" s="105"/>
      <c r="EEB99" s="105"/>
      <c r="EEC99" s="105"/>
      <c r="EED99" s="105"/>
      <c r="EEE99" s="105"/>
      <c r="EEF99" s="105"/>
      <c r="EEG99" s="105"/>
      <c r="EEH99" s="105"/>
      <c r="EEI99" s="105"/>
      <c r="EEJ99" s="105"/>
      <c r="EEK99" s="105"/>
      <c r="EEL99" s="105"/>
      <c r="EEM99" s="105"/>
      <c r="EEN99" s="105"/>
      <c r="EEO99" s="105"/>
      <c r="EEP99" s="105"/>
      <c r="EEQ99" s="105"/>
      <c r="EER99" s="105"/>
      <c r="EES99" s="105"/>
      <c r="EET99" s="105"/>
      <c r="EEU99" s="105"/>
      <c r="EEV99" s="105"/>
      <c r="EEW99" s="105"/>
      <c r="EEX99" s="105"/>
      <c r="EEY99" s="105"/>
      <c r="EEZ99" s="105"/>
      <c r="EFA99" s="105"/>
      <c r="EFB99" s="105"/>
      <c r="EFC99" s="105"/>
      <c r="EFD99" s="105"/>
      <c r="EFE99" s="105"/>
      <c r="EFF99" s="105"/>
      <c r="EFG99" s="105"/>
      <c r="EFH99" s="105"/>
      <c r="EFI99" s="105"/>
      <c r="EFJ99" s="105"/>
      <c r="EFK99" s="105"/>
      <c r="EFL99" s="105"/>
      <c r="EFM99" s="105"/>
      <c r="EFN99" s="105"/>
      <c r="EFO99" s="105"/>
      <c r="EFP99" s="105"/>
      <c r="EFQ99" s="105"/>
      <c r="EFR99" s="105"/>
      <c r="EFS99" s="105"/>
      <c r="EFT99" s="105"/>
      <c r="EFU99" s="105"/>
      <c r="EFV99" s="105"/>
      <c r="EFW99" s="105"/>
      <c r="EFX99" s="105"/>
      <c r="EFY99" s="105"/>
      <c r="EFZ99" s="105"/>
      <c r="EGA99" s="105"/>
      <c r="EGB99" s="105"/>
      <c r="EGC99" s="105"/>
      <c r="EGD99" s="105"/>
      <c r="EGE99" s="105"/>
      <c r="EGF99" s="105"/>
      <c r="EGG99" s="105"/>
      <c r="EGH99" s="105"/>
      <c r="EGI99" s="105"/>
      <c r="EGJ99" s="105"/>
      <c r="EGK99" s="105"/>
      <c r="EGL99" s="105"/>
      <c r="EGM99" s="105"/>
      <c r="EGN99" s="105"/>
      <c r="EGO99" s="105"/>
      <c r="EGP99" s="105"/>
      <c r="EGQ99" s="105"/>
      <c r="EGR99" s="105"/>
      <c r="EGS99" s="105"/>
      <c r="EGT99" s="105"/>
      <c r="EGU99" s="105"/>
      <c r="EGV99" s="105"/>
      <c r="EGW99" s="105"/>
      <c r="EGX99" s="105"/>
      <c r="EGY99" s="105"/>
      <c r="EGZ99" s="105"/>
      <c r="EHA99" s="105"/>
      <c r="EHB99" s="105"/>
      <c r="EHC99" s="105"/>
      <c r="EHD99" s="105"/>
      <c r="EHE99" s="105"/>
      <c r="EHF99" s="105"/>
      <c r="EHG99" s="105"/>
      <c r="EHH99" s="105"/>
      <c r="EHI99" s="105"/>
      <c r="EHJ99" s="105"/>
      <c r="EHK99" s="105"/>
      <c r="EHL99" s="105"/>
      <c r="EHM99" s="105"/>
      <c r="EHN99" s="105"/>
      <c r="EHO99" s="105"/>
      <c r="EHP99" s="105"/>
      <c r="EHQ99" s="105"/>
      <c r="EHR99" s="105"/>
      <c r="EHS99" s="105"/>
      <c r="EHT99" s="105"/>
      <c r="EHU99" s="105"/>
      <c r="EHV99" s="105"/>
      <c r="EHW99" s="105"/>
      <c r="EHX99" s="105"/>
      <c r="EHY99" s="105"/>
      <c r="EHZ99" s="105"/>
      <c r="EIA99" s="105"/>
      <c r="EIB99" s="105"/>
      <c r="EIC99" s="105"/>
      <c r="EID99" s="105"/>
      <c r="EIE99" s="105"/>
      <c r="EIF99" s="105"/>
      <c r="EIG99" s="105"/>
      <c r="EIH99" s="105"/>
      <c r="EII99" s="105"/>
      <c r="EIJ99" s="105"/>
      <c r="EIK99" s="105"/>
      <c r="EIL99" s="105"/>
      <c r="EIM99" s="105"/>
      <c r="EIN99" s="105"/>
      <c r="EIO99" s="105"/>
      <c r="EIP99" s="105"/>
      <c r="EIQ99" s="105"/>
      <c r="EIR99" s="105"/>
      <c r="EIS99" s="105"/>
      <c r="EIT99" s="105"/>
      <c r="EIU99" s="105"/>
      <c r="EIV99" s="105"/>
      <c r="EIW99" s="105"/>
      <c r="EIX99" s="105"/>
      <c r="EIY99" s="105"/>
      <c r="EIZ99" s="105"/>
      <c r="EJA99" s="105"/>
      <c r="EJB99" s="105"/>
      <c r="EJC99" s="105"/>
      <c r="EJD99" s="105"/>
      <c r="EJE99" s="105"/>
      <c r="EJF99" s="105"/>
      <c r="EJG99" s="105"/>
      <c r="EJH99" s="105"/>
      <c r="EJI99" s="105"/>
      <c r="EJJ99" s="105"/>
      <c r="EJK99" s="105"/>
      <c r="EJL99" s="105"/>
      <c r="EJM99" s="105"/>
      <c r="EJN99" s="105"/>
      <c r="EJO99" s="105"/>
      <c r="EJP99" s="105"/>
      <c r="EJQ99" s="105"/>
      <c r="EJR99" s="105"/>
      <c r="EJS99" s="105"/>
      <c r="EJT99" s="105"/>
      <c r="EJU99" s="105"/>
      <c r="EJV99" s="105"/>
      <c r="EJW99" s="105"/>
      <c r="EJX99" s="105"/>
      <c r="EJY99" s="105"/>
      <c r="EJZ99" s="105"/>
      <c r="EKA99" s="105"/>
      <c r="EKB99" s="105"/>
      <c r="EKC99" s="105"/>
      <c r="EKD99" s="105"/>
      <c r="EKE99" s="105"/>
      <c r="EKF99" s="105"/>
      <c r="EKG99" s="105"/>
      <c r="EKH99" s="105"/>
      <c r="EKI99" s="105"/>
      <c r="EKJ99" s="105"/>
      <c r="EKK99" s="105"/>
      <c r="EKL99" s="105"/>
      <c r="EKM99" s="105"/>
      <c r="EKN99" s="105"/>
      <c r="EKO99" s="105"/>
      <c r="EKP99" s="105"/>
      <c r="EKQ99" s="105"/>
      <c r="EKR99" s="105"/>
      <c r="EKS99" s="105"/>
      <c r="EKT99" s="105"/>
      <c r="EKU99" s="105"/>
      <c r="EKV99" s="105"/>
      <c r="EKW99" s="105"/>
      <c r="EKX99" s="105"/>
      <c r="EKY99" s="105"/>
      <c r="EKZ99" s="105"/>
      <c r="ELA99" s="105"/>
      <c r="ELB99" s="105"/>
      <c r="ELC99" s="105"/>
      <c r="ELD99" s="105"/>
      <c r="ELE99" s="105"/>
      <c r="ELF99" s="105"/>
      <c r="ELG99" s="105"/>
      <c r="ELH99" s="105"/>
      <c r="ELI99" s="105"/>
      <c r="ELJ99" s="105"/>
      <c r="ELK99" s="105"/>
      <c r="ELL99" s="105"/>
      <c r="ELM99" s="105"/>
      <c r="ELN99" s="105"/>
      <c r="ELO99" s="105"/>
      <c r="ELP99" s="105"/>
      <c r="ELQ99" s="105"/>
      <c r="ELR99" s="105"/>
      <c r="ELS99" s="105"/>
      <c r="ELT99" s="105"/>
      <c r="ELU99" s="105"/>
      <c r="ELV99" s="105"/>
      <c r="ELW99" s="105"/>
      <c r="ELX99" s="105"/>
      <c r="ELY99" s="105"/>
      <c r="ELZ99" s="105"/>
      <c r="EMA99" s="105"/>
      <c r="EMB99" s="105"/>
      <c r="EMC99" s="105"/>
      <c r="EMD99" s="105"/>
      <c r="EME99" s="105"/>
      <c r="EMF99" s="105"/>
      <c r="EMG99" s="105"/>
      <c r="EMH99" s="105"/>
      <c r="EMI99" s="105"/>
      <c r="EMJ99" s="105"/>
      <c r="EMK99" s="105"/>
      <c r="EML99" s="105"/>
      <c r="EMM99" s="105"/>
      <c r="EMN99" s="105"/>
      <c r="EMO99" s="105"/>
      <c r="EMP99" s="105"/>
      <c r="EMQ99" s="105"/>
      <c r="EMR99" s="105"/>
      <c r="EMS99" s="105"/>
      <c r="EMT99" s="105"/>
      <c r="EMU99" s="105"/>
      <c r="EMV99" s="105"/>
      <c r="EMW99" s="105"/>
      <c r="EMX99" s="105"/>
      <c r="EMY99" s="105"/>
      <c r="EMZ99" s="105"/>
      <c r="ENA99" s="105"/>
      <c r="ENB99" s="105"/>
      <c r="ENC99" s="105"/>
      <c r="END99" s="105"/>
      <c r="ENE99" s="105"/>
      <c r="ENF99" s="105"/>
      <c r="ENG99" s="105"/>
      <c r="ENH99" s="105"/>
      <c r="ENI99" s="105"/>
      <c r="ENJ99" s="105"/>
      <c r="ENK99" s="105"/>
      <c r="ENL99" s="105"/>
      <c r="ENM99" s="105"/>
      <c r="ENN99" s="105"/>
      <c r="ENO99" s="105"/>
      <c r="ENP99" s="105"/>
      <c r="ENQ99" s="105"/>
      <c r="ENR99" s="105"/>
      <c r="ENS99" s="105"/>
      <c r="ENT99" s="105"/>
      <c r="ENU99" s="105"/>
      <c r="ENV99" s="105"/>
      <c r="ENW99" s="105"/>
      <c r="ENX99" s="105"/>
      <c r="ENY99" s="105"/>
      <c r="ENZ99" s="105"/>
      <c r="EOA99" s="105"/>
      <c r="EOB99" s="105"/>
      <c r="EOC99" s="105"/>
      <c r="EOD99" s="105"/>
      <c r="EOE99" s="105"/>
      <c r="EOF99" s="105"/>
      <c r="EOG99" s="105"/>
      <c r="EOH99" s="105"/>
      <c r="EOI99" s="105"/>
      <c r="EOJ99" s="105"/>
      <c r="EOK99" s="105"/>
      <c r="EOL99" s="105"/>
      <c r="EOM99" s="105"/>
      <c r="EON99" s="105"/>
      <c r="EOO99" s="105"/>
      <c r="EOP99" s="105"/>
      <c r="EOQ99" s="105"/>
      <c r="EOR99" s="105"/>
      <c r="EOS99" s="105"/>
      <c r="EOT99" s="105"/>
      <c r="EOU99" s="105"/>
      <c r="EOV99" s="105"/>
      <c r="EOW99" s="105"/>
      <c r="EOX99" s="105"/>
      <c r="EOY99" s="105"/>
      <c r="EOZ99" s="105"/>
      <c r="EPA99" s="105"/>
      <c r="EPB99" s="105"/>
      <c r="EPC99" s="105"/>
      <c r="EPD99" s="105"/>
      <c r="EPE99" s="105"/>
      <c r="EPF99" s="105"/>
      <c r="EPG99" s="105"/>
      <c r="EPH99" s="105"/>
      <c r="EPI99" s="105"/>
      <c r="EPJ99" s="105"/>
      <c r="EPK99" s="105"/>
      <c r="EPL99" s="105"/>
      <c r="EPM99" s="105"/>
      <c r="EPN99" s="105"/>
      <c r="EPO99" s="105"/>
      <c r="EPP99" s="105"/>
      <c r="EPQ99" s="105"/>
      <c r="EPR99" s="105"/>
      <c r="EPS99" s="105"/>
      <c r="EPT99" s="105"/>
      <c r="EPU99" s="105"/>
      <c r="EPV99" s="105"/>
      <c r="EPW99" s="105"/>
      <c r="EPX99" s="105"/>
      <c r="EPY99" s="105"/>
      <c r="EPZ99" s="105"/>
      <c r="EQA99" s="105"/>
      <c r="EQB99" s="105"/>
      <c r="EQC99" s="105"/>
      <c r="EQD99" s="105"/>
      <c r="EQE99" s="105"/>
      <c r="EQF99" s="105"/>
      <c r="EQG99" s="105"/>
      <c r="EQH99" s="105"/>
      <c r="EQI99" s="105"/>
      <c r="EQJ99" s="105"/>
      <c r="EQK99" s="105"/>
      <c r="EQL99" s="105"/>
      <c r="EQM99" s="105"/>
      <c r="EQN99" s="105"/>
      <c r="EQO99" s="105"/>
      <c r="EQP99" s="105"/>
      <c r="EQQ99" s="105"/>
      <c r="EQR99" s="105"/>
      <c r="EQS99" s="105"/>
      <c r="EQT99" s="105"/>
      <c r="EQU99" s="105"/>
      <c r="EQV99" s="105"/>
      <c r="EQW99" s="105"/>
      <c r="EQX99" s="105"/>
      <c r="EQY99" s="105"/>
      <c r="EQZ99" s="105"/>
      <c r="ERA99" s="105"/>
      <c r="ERB99" s="105"/>
      <c r="ERC99" s="105"/>
      <c r="ERD99" s="105"/>
      <c r="ERE99" s="105"/>
      <c r="ERF99" s="105"/>
      <c r="ERG99" s="105"/>
      <c r="ERH99" s="105"/>
      <c r="ERI99" s="105"/>
      <c r="ERJ99" s="105"/>
      <c r="ERK99" s="105"/>
      <c r="ERL99" s="105"/>
      <c r="ERM99" s="105"/>
      <c r="ERN99" s="105"/>
      <c r="ERO99" s="105"/>
      <c r="ERP99" s="105"/>
      <c r="ERQ99" s="105"/>
      <c r="ERR99" s="105"/>
      <c r="ERS99" s="105"/>
      <c r="ERT99" s="105"/>
      <c r="ERU99" s="105"/>
      <c r="ERV99" s="105"/>
      <c r="ERW99" s="105"/>
      <c r="ERX99" s="105"/>
      <c r="ERY99" s="105"/>
      <c r="ERZ99" s="105"/>
      <c r="ESA99" s="105"/>
      <c r="ESB99" s="105"/>
      <c r="ESC99" s="105"/>
      <c r="ESD99" s="105"/>
      <c r="ESE99" s="105"/>
      <c r="ESF99" s="105"/>
      <c r="ESG99" s="105"/>
      <c r="ESH99" s="105"/>
      <c r="ESI99" s="105"/>
      <c r="ESJ99" s="105"/>
      <c r="ESK99" s="105"/>
      <c r="ESL99" s="105"/>
      <c r="ESM99" s="105"/>
      <c r="ESN99" s="105"/>
      <c r="ESO99" s="105"/>
      <c r="ESP99" s="105"/>
      <c r="ESQ99" s="105"/>
      <c r="ESR99" s="105"/>
      <c r="ESS99" s="105"/>
      <c r="EST99" s="105"/>
      <c r="ESU99" s="105"/>
      <c r="ESV99" s="105"/>
      <c r="ESW99" s="105"/>
      <c r="ESX99" s="105"/>
      <c r="ESY99" s="105"/>
      <c r="ESZ99" s="105"/>
      <c r="ETA99" s="105"/>
      <c r="ETB99" s="105"/>
      <c r="ETC99" s="105"/>
      <c r="ETD99" s="105"/>
      <c r="ETE99" s="105"/>
      <c r="ETF99" s="105"/>
      <c r="ETG99" s="105"/>
      <c r="ETH99" s="105"/>
      <c r="ETI99" s="105"/>
      <c r="ETJ99" s="105"/>
      <c r="ETK99" s="105"/>
      <c r="ETL99" s="105"/>
      <c r="ETM99" s="105"/>
      <c r="ETN99" s="105"/>
      <c r="ETO99" s="105"/>
      <c r="ETP99" s="105"/>
      <c r="ETQ99" s="105"/>
      <c r="ETR99" s="105"/>
      <c r="ETS99" s="105"/>
      <c r="ETT99" s="105"/>
      <c r="ETU99" s="105"/>
      <c r="ETV99" s="105"/>
      <c r="ETW99" s="105"/>
      <c r="ETX99" s="105"/>
      <c r="ETY99" s="105"/>
      <c r="ETZ99" s="105"/>
      <c r="EUA99" s="105"/>
      <c r="EUB99" s="105"/>
      <c r="EUC99" s="105"/>
      <c r="EUD99" s="105"/>
      <c r="EUE99" s="105"/>
      <c r="EUF99" s="105"/>
      <c r="EUG99" s="105"/>
      <c r="EUH99" s="105"/>
      <c r="EUI99" s="105"/>
      <c r="EUJ99" s="105"/>
      <c r="EUK99" s="105"/>
      <c r="EUL99" s="105"/>
      <c r="EUM99" s="105"/>
      <c r="EUN99" s="105"/>
      <c r="EUO99" s="105"/>
      <c r="EUP99" s="105"/>
      <c r="EUQ99" s="105"/>
      <c r="EUR99" s="105"/>
      <c r="EUS99" s="105"/>
      <c r="EUT99" s="105"/>
      <c r="EUU99" s="105"/>
      <c r="EUV99" s="105"/>
      <c r="EUW99" s="105"/>
      <c r="EUX99" s="105"/>
      <c r="EUY99" s="105"/>
      <c r="EUZ99" s="105"/>
      <c r="EVA99" s="105"/>
      <c r="EVB99" s="105"/>
      <c r="EVC99" s="105"/>
      <c r="EVD99" s="105"/>
      <c r="EVE99" s="105"/>
      <c r="EVF99" s="105"/>
      <c r="EVG99" s="105"/>
      <c r="EVH99" s="105"/>
      <c r="EVI99" s="105"/>
      <c r="EVJ99" s="105"/>
      <c r="EVK99" s="105"/>
      <c r="EVL99" s="105"/>
      <c r="EVM99" s="105"/>
      <c r="EVN99" s="105"/>
      <c r="EVO99" s="105"/>
      <c r="EVP99" s="105"/>
      <c r="EVQ99" s="105"/>
      <c r="EVR99" s="105"/>
      <c r="EVS99" s="105"/>
      <c r="EVT99" s="105"/>
      <c r="EVU99" s="105"/>
      <c r="EVV99" s="105"/>
      <c r="EVW99" s="105"/>
      <c r="EVX99" s="105"/>
      <c r="EVY99" s="105"/>
      <c r="EVZ99" s="105"/>
      <c r="EWA99" s="105"/>
      <c r="EWB99" s="105"/>
      <c r="EWC99" s="105"/>
      <c r="EWD99" s="105"/>
      <c r="EWE99" s="105"/>
      <c r="EWF99" s="105"/>
      <c r="EWG99" s="105"/>
      <c r="EWH99" s="105"/>
      <c r="EWI99" s="105"/>
      <c r="EWJ99" s="105"/>
      <c r="EWK99" s="105"/>
      <c r="EWL99" s="105"/>
      <c r="EWM99" s="105"/>
      <c r="EWN99" s="105"/>
      <c r="EWO99" s="105"/>
      <c r="EWP99" s="105"/>
      <c r="EWQ99" s="105"/>
      <c r="EWR99" s="105"/>
      <c r="EWS99" s="105"/>
      <c r="EWT99" s="105"/>
      <c r="EWU99" s="105"/>
      <c r="EWV99" s="105"/>
      <c r="EWW99" s="105"/>
      <c r="EWX99" s="105"/>
      <c r="EWY99" s="105"/>
      <c r="EWZ99" s="105"/>
      <c r="EXA99" s="105"/>
      <c r="EXB99" s="105"/>
      <c r="EXC99" s="105"/>
      <c r="EXD99" s="105"/>
      <c r="EXE99" s="105"/>
      <c r="EXF99" s="105"/>
      <c r="EXG99" s="105"/>
      <c r="EXH99" s="105"/>
      <c r="EXI99" s="105"/>
      <c r="EXJ99" s="105"/>
      <c r="EXK99" s="105"/>
      <c r="EXL99" s="105"/>
      <c r="EXM99" s="105"/>
      <c r="EXN99" s="105"/>
      <c r="EXO99" s="105"/>
      <c r="EXP99" s="105"/>
      <c r="EXQ99" s="105"/>
      <c r="EXR99" s="105"/>
      <c r="EXS99" s="105"/>
      <c r="EXT99" s="105"/>
      <c r="EXU99" s="105"/>
      <c r="EXV99" s="105"/>
      <c r="EXW99" s="105"/>
      <c r="EXX99" s="105"/>
      <c r="EXY99" s="105"/>
      <c r="EXZ99" s="105"/>
      <c r="EYA99" s="105"/>
      <c r="EYB99" s="105"/>
      <c r="EYC99" s="105"/>
      <c r="EYD99" s="105"/>
      <c r="EYE99" s="105"/>
      <c r="EYF99" s="105"/>
      <c r="EYG99" s="105"/>
      <c r="EYH99" s="105"/>
      <c r="EYI99" s="105"/>
      <c r="EYJ99" s="105"/>
      <c r="EYK99" s="105"/>
      <c r="EYL99" s="105"/>
      <c r="EYM99" s="105"/>
      <c r="EYN99" s="105"/>
      <c r="EYO99" s="105"/>
      <c r="EYP99" s="105"/>
      <c r="EYQ99" s="105"/>
      <c r="EYR99" s="105"/>
      <c r="EYS99" s="105"/>
      <c r="EYT99" s="105"/>
      <c r="EYU99" s="105"/>
      <c r="EYV99" s="105"/>
      <c r="EYW99" s="105"/>
      <c r="EYX99" s="105"/>
      <c r="EYY99" s="105"/>
      <c r="EYZ99" s="105"/>
      <c r="EZA99" s="105"/>
      <c r="EZB99" s="105"/>
      <c r="EZC99" s="105"/>
      <c r="EZD99" s="105"/>
      <c r="EZE99" s="105"/>
      <c r="EZF99" s="105"/>
      <c r="EZG99" s="105"/>
      <c r="EZH99" s="105"/>
      <c r="EZI99" s="105"/>
      <c r="EZJ99" s="105"/>
      <c r="EZK99" s="105"/>
      <c r="EZL99" s="105"/>
      <c r="EZM99" s="105"/>
      <c r="EZN99" s="105"/>
      <c r="EZO99" s="105"/>
      <c r="EZP99" s="105"/>
      <c r="EZQ99" s="105"/>
      <c r="EZR99" s="105"/>
      <c r="EZS99" s="105"/>
      <c r="EZT99" s="105"/>
      <c r="EZU99" s="105"/>
      <c r="EZV99" s="105"/>
      <c r="EZW99" s="105"/>
      <c r="EZX99" s="105"/>
      <c r="EZY99" s="105"/>
      <c r="EZZ99" s="105"/>
      <c r="FAA99" s="105"/>
      <c r="FAB99" s="105"/>
      <c r="FAC99" s="105"/>
      <c r="FAD99" s="105"/>
      <c r="FAE99" s="105"/>
      <c r="FAF99" s="105"/>
      <c r="FAG99" s="105"/>
      <c r="FAH99" s="105"/>
      <c r="FAI99" s="105"/>
      <c r="FAJ99" s="105"/>
      <c r="FAK99" s="105"/>
      <c r="FAL99" s="105"/>
      <c r="FAM99" s="105"/>
      <c r="FAN99" s="105"/>
      <c r="FAO99" s="105"/>
      <c r="FAP99" s="105"/>
      <c r="FAQ99" s="105"/>
      <c r="FAR99" s="105"/>
      <c r="FAS99" s="105"/>
      <c r="FAT99" s="105"/>
      <c r="FAU99" s="105"/>
      <c r="FAV99" s="105"/>
      <c r="FAW99" s="105"/>
      <c r="FAX99" s="105"/>
      <c r="FAY99" s="105"/>
      <c r="FAZ99" s="105"/>
      <c r="FBA99" s="105"/>
      <c r="FBB99" s="105"/>
      <c r="FBC99" s="105"/>
      <c r="FBD99" s="105"/>
      <c r="FBE99" s="105"/>
      <c r="FBF99" s="105"/>
      <c r="FBG99" s="105"/>
      <c r="FBH99" s="105"/>
      <c r="FBI99" s="105"/>
      <c r="FBJ99" s="105"/>
      <c r="FBK99" s="105"/>
      <c r="FBL99" s="105"/>
      <c r="FBM99" s="105"/>
      <c r="FBN99" s="105"/>
      <c r="FBO99" s="105"/>
      <c r="FBP99" s="105"/>
      <c r="FBQ99" s="105"/>
      <c r="FBR99" s="105"/>
      <c r="FBS99" s="105"/>
      <c r="FBT99" s="105"/>
      <c r="FBU99" s="105"/>
      <c r="FBV99" s="105"/>
      <c r="FBW99" s="105"/>
      <c r="FBX99" s="105"/>
      <c r="FBY99" s="105"/>
      <c r="FBZ99" s="105"/>
      <c r="FCA99" s="105"/>
      <c r="FCB99" s="105"/>
      <c r="FCC99" s="105"/>
      <c r="FCD99" s="105"/>
      <c r="FCE99" s="105"/>
      <c r="FCF99" s="105"/>
      <c r="FCG99" s="105"/>
      <c r="FCH99" s="105"/>
      <c r="FCI99" s="105"/>
      <c r="FCJ99" s="105"/>
      <c r="FCK99" s="105"/>
      <c r="FCL99" s="105"/>
      <c r="FCM99" s="105"/>
      <c r="FCN99" s="105"/>
      <c r="FCO99" s="105"/>
      <c r="FCP99" s="105"/>
      <c r="FCQ99" s="105"/>
      <c r="FCR99" s="105"/>
      <c r="FCS99" s="105"/>
      <c r="FCT99" s="105"/>
      <c r="FCU99" s="105"/>
      <c r="FCV99" s="105"/>
      <c r="FCW99" s="105"/>
      <c r="FCX99" s="105"/>
      <c r="FCY99" s="105"/>
      <c r="FCZ99" s="105"/>
      <c r="FDA99" s="105"/>
      <c r="FDB99" s="105"/>
      <c r="FDC99" s="105"/>
      <c r="FDD99" s="105"/>
      <c r="FDE99" s="105"/>
      <c r="FDF99" s="105"/>
      <c r="FDG99" s="105"/>
      <c r="FDH99" s="105"/>
      <c r="FDI99" s="105"/>
      <c r="FDJ99" s="105"/>
      <c r="FDK99" s="105"/>
      <c r="FDL99" s="105"/>
      <c r="FDM99" s="105"/>
      <c r="FDN99" s="105"/>
      <c r="FDO99" s="105"/>
      <c r="FDP99" s="105"/>
      <c r="FDQ99" s="105"/>
      <c r="FDR99" s="105"/>
      <c r="FDS99" s="105"/>
      <c r="FDT99" s="105"/>
      <c r="FDU99" s="105"/>
      <c r="FDV99" s="105"/>
      <c r="FDW99" s="105"/>
      <c r="FDX99" s="105"/>
      <c r="FDY99" s="105"/>
      <c r="FDZ99" s="105"/>
      <c r="FEA99" s="105"/>
      <c r="FEB99" s="105"/>
      <c r="FEC99" s="105"/>
      <c r="FED99" s="105"/>
      <c r="FEE99" s="105"/>
      <c r="FEF99" s="105"/>
      <c r="FEG99" s="105"/>
      <c r="FEH99" s="105"/>
      <c r="FEI99" s="105"/>
      <c r="FEJ99" s="105"/>
      <c r="FEK99" s="105"/>
      <c r="FEL99" s="105"/>
      <c r="FEM99" s="105"/>
      <c r="FEN99" s="105"/>
      <c r="FEO99" s="105"/>
      <c r="FEP99" s="105"/>
      <c r="FEQ99" s="105"/>
      <c r="FER99" s="105"/>
      <c r="FES99" s="105"/>
      <c r="FET99" s="105"/>
      <c r="FEU99" s="105"/>
      <c r="FEV99" s="105"/>
      <c r="FEW99" s="105"/>
      <c r="FEX99" s="105"/>
      <c r="FEY99" s="105"/>
      <c r="FEZ99" s="105"/>
      <c r="FFA99" s="105"/>
      <c r="FFB99" s="105"/>
      <c r="FFC99" s="105"/>
      <c r="FFD99" s="105"/>
      <c r="FFE99" s="105"/>
      <c r="FFF99" s="105"/>
      <c r="FFG99" s="105"/>
      <c r="FFH99" s="105"/>
      <c r="FFI99" s="105"/>
      <c r="FFJ99" s="105"/>
      <c r="FFK99" s="105"/>
      <c r="FFL99" s="105"/>
      <c r="FFM99" s="105"/>
      <c r="FFN99" s="105"/>
      <c r="FFO99" s="105"/>
      <c r="FFP99" s="105"/>
      <c r="FFQ99" s="105"/>
      <c r="FFR99" s="105"/>
      <c r="FFS99" s="105"/>
      <c r="FFT99" s="105"/>
      <c r="FFU99" s="105"/>
      <c r="FFV99" s="105"/>
      <c r="FFW99" s="105"/>
      <c r="FFX99" s="105"/>
      <c r="FFY99" s="105"/>
      <c r="FFZ99" s="105"/>
      <c r="FGA99" s="105"/>
      <c r="FGB99" s="105"/>
      <c r="FGC99" s="105"/>
      <c r="FGD99" s="105"/>
      <c r="FGE99" s="105"/>
      <c r="FGF99" s="105"/>
      <c r="FGG99" s="105"/>
      <c r="FGH99" s="105"/>
      <c r="FGI99" s="105"/>
      <c r="FGJ99" s="105"/>
      <c r="FGK99" s="105"/>
      <c r="FGL99" s="105"/>
      <c r="FGM99" s="105"/>
      <c r="FGN99" s="105"/>
      <c r="FGO99" s="105"/>
      <c r="FGP99" s="105"/>
      <c r="FGQ99" s="105"/>
      <c r="FGR99" s="105"/>
      <c r="FGS99" s="105"/>
      <c r="FGT99" s="105"/>
      <c r="FGU99" s="105"/>
      <c r="FGV99" s="105"/>
      <c r="FGW99" s="105"/>
      <c r="FGX99" s="105"/>
      <c r="FGY99" s="105"/>
      <c r="FGZ99" s="105"/>
      <c r="FHA99" s="105"/>
      <c r="FHB99" s="105"/>
      <c r="FHC99" s="105"/>
      <c r="FHD99" s="105"/>
      <c r="FHE99" s="105"/>
      <c r="FHF99" s="105"/>
      <c r="FHG99" s="105"/>
      <c r="FHH99" s="105"/>
      <c r="FHI99" s="105"/>
      <c r="FHJ99" s="105"/>
      <c r="FHK99" s="105"/>
      <c r="FHL99" s="105"/>
      <c r="FHM99" s="105"/>
      <c r="FHN99" s="105"/>
      <c r="FHO99" s="105"/>
      <c r="FHP99" s="105"/>
      <c r="FHQ99" s="105"/>
      <c r="FHR99" s="105"/>
      <c r="FHS99" s="105"/>
      <c r="FHT99" s="105"/>
      <c r="FHU99" s="105"/>
      <c r="FHV99" s="105"/>
      <c r="FHW99" s="105"/>
      <c r="FHX99" s="105"/>
      <c r="FHY99" s="105"/>
      <c r="FHZ99" s="105"/>
      <c r="FIA99" s="105"/>
      <c r="FIB99" s="105"/>
      <c r="FIC99" s="105"/>
      <c r="FID99" s="105"/>
      <c r="FIE99" s="105"/>
      <c r="FIF99" s="105"/>
      <c r="FIG99" s="105"/>
      <c r="FIH99" s="105"/>
      <c r="FII99" s="105"/>
      <c r="FIJ99" s="105"/>
      <c r="FIK99" s="105"/>
      <c r="FIL99" s="105"/>
      <c r="FIM99" s="105"/>
      <c r="FIN99" s="105"/>
      <c r="FIO99" s="105"/>
      <c r="FIP99" s="105"/>
      <c r="FIQ99" s="105"/>
      <c r="FIR99" s="105"/>
      <c r="FIS99" s="105"/>
      <c r="FIT99" s="105"/>
      <c r="FIU99" s="105"/>
      <c r="FIV99" s="105"/>
      <c r="FIW99" s="105"/>
      <c r="FIX99" s="105"/>
      <c r="FIY99" s="105"/>
      <c r="FIZ99" s="105"/>
      <c r="FJA99" s="105"/>
      <c r="FJB99" s="105"/>
      <c r="FJC99" s="105"/>
      <c r="FJD99" s="105"/>
      <c r="FJE99" s="105"/>
      <c r="FJF99" s="105"/>
      <c r="FJG99" s="105"/>
      <c r="FJH99" s="105"/>
      <c r="FJI99" s="105"/>
      <c r="FJJ99" s="105"/>
      <c r="FJK99" s="105"/>
      <c r="FJL99" s="105"/>
      <c r="FJM99" s="105"/>
      <c r="FJN99" s="105"/>
      <c r="FJO99" s="105"/>
      <c r="FJP99" s="105"/>
      <c r="FJQ99" s="105"/>
      <c r="FJR99" s="105"/>
      <c r="FJS99" s="105"/>
      <c r="FJT99" s="105"/>
      <c r="FJU99" s="105"/>
      <c r="FJV99" s="105"/>
      <c r="FJW99" s="105"/>
      <c r="FJX99" s="105"/>
      <c r="FJY99" s="105"/>
      <c r="FJZ99" s="105"/>
      <c r="FKA99" s="105"/>
      <c r="FKB99" s="105"/>
      <c r="FKC99" s="105"/>
      <c r="FKD99" s="105"/>
      <c r="FKE99" s="105"/>
      <c r="FKF99" s="105"/>
      <c r="FKG99" s="105"/>
      <c r="FKH99" s="105"/>
      <c r="FKI99" s="105"/>
      <c r="FKJ99" s="105"/>
      <c r="FKK99" s="105"/>
      <c r="FKL99" s="105"/>
      <c r="FKM99" s="105"/>
      <c r="FKN99" s="105"/>
      <c r="FKO99" s="105"/>
      <c r="FKP99" s="105"/>
      <c r="FKQ99" s="105"/>
      <c r="FKR99" s="105"/>
      <c r="FKS99" s="105"/>
      <c r="FKT99" s="105"/>
      <c r="FKU99" s="105"/>
      <c r="FKV99" s="105"/>
      <c r="FKW99" s="105"/>
      <c r="FKX99" s="105"/>
      <c r="FKY99" s="105"/>
      <c r="FKZ99" s="105"/>
      <c r="FLA99" s="105"/>
      <c r="FLB99" s="105"/>
      <c r="FLC99" s="105"/>
      <c r="FLD99" s="105"/>
      <c r="FLE99" s="105"/>
      <c r="FLF99" s="105"/>
      <c r="FLG99" s="105"/>
      <c r="FLH99" s="105"/>
      <c r="FLI99" s="105"/>
      <c r="FLJ99" s="105"/>
      <c r="FLK99" s="105"/>
      <c r="FLL99" s="105"/>
      <c r="FLM99" s="105"/>
      <c r="FLN99" s="105"/>
      <c r="FLO99" s="105"/>
      <c r="FLP99" s="105"/>
      <c r="FLQ99" s="105"/>
      <c r="FLR99" s="105"/>
      <c r="FLS99" s="105"/>
      <c r="FLT99" s="105"/>
      <c r="FLU99" s="105"/>
      <c r="FLV99" s="105"/>
      <c r="FLW99" s="105"/>
      <c r="FLX99" s="105"/>
      <c r="FLY99" s="105"/>
      <c r="FLZ99" s="105"/>
      <c r="FMA99" s="105"/>
      <c r="FMB99" s="105"/>
      <c r="FMC99" s="105"/>
      <c r="FMD99" s="105"/>
      <c r="FME99" s="105"/>
      <c r="FMF99" s="105"/>
      <c r="FMG99" s="105"/>
      <c r="FMH99" s="105"/>
      <c r="FMI99" s="105"/>
      <c r="FMJ99" s="105"/>
      <c r="FMK99" s="105"/>
      <c r="FML99" s="105"/>
      <c r="FMM99" s="105"/>
      <c r="FMN99" s="105"/>
      <c r="FMO99" s="105"/>
      <c r="FMP99" s="105"/>
      <c r="FMQ99" s="105"/>
      <c r="FMR99" s="105"/>
      <c r="FMS99" s="105"/>
      <c r="FMT99" s="105"/>
      <c r="FMU99" s="105"/>
      <c r="FMV99" s="105"/>
      <c r="FMW99" s="105"/>
      <c r="FMX99" s="105"/>
      <c r="FMY99" s="105"/>
      <c r="FMZ99" s="105"/>
      <c r="FNA99" s="105"/>
      <c r="FNB99" s="105"/>
      <c r="FNC99" s="105"/>
      <c r="FND99" s="105"/>
      <c r="FNE99" s="105"/>
      <c r="FNF99" s="105"/>
      <c r="FNG99" s="105"/>
      <c r="FNH99" s="105"/>
      <c r="FNI99" s="105"/>
      <c r="FNJ99" s="105"/>
      <c r="FNK99" s="105"/>
      <c r="FNL99" s="105"/>
      <c r="FNM99" s="105"/>
      <c r="FNN99" s="105"/>
      <c r="FNO99" s="105"/>
      <c r="FNP99" s="105"/>
      <c r="FNQ99" s="105"/>
      <c r="FNR99" s="105"/>
      <c r="FNS99" s="105"/>
      <c r="FNT99" s="105"/>
      <c r="FNU99" s="105"/>
      <c r="FNV99" s="105"/>
      <c r="FNW99" s="105"/>
      <c r="FNX99" s="105"/>
      <c r="FNY99" s="105"/>
      <c r="FNZ99" s="105"/>
      <c r="FOA99" s="105"/>
      <c r="FOB99" s="105"/>
      <c r="FOC99" s="105"/>
      <c r="FOD99" s="105"/>
      <c r="FOE99" s="105"/>
      <c r="FOF99" s="105"/>
      <c r="FOG99" s="105"/>
      <c r="FOH99" s="105"/>
      <c r="FOI99" s="105"/>
      <c r="FOJ99" s="105"/>
      <c r="FOK99" s="105"/>
      <c r="FOL99" s="105"/>
      <c r="FOM99" s="105"/>
      <c r="FON99" s="105"/>
      <c r="FOO99" s="105"/>
      <c r="FOP99" s="105"/>
      <c r="FOQ99" s="105"/>
      <c r="FOR99" s="105"/>
      <c r="FOS99" s="105"/>
      <c r="FOT99" s="105"/>
      <c r="FOU99" s="105"/>
      <c r="FOV99" s="105"/>
      <c r="FOW99" s="105"/>
      <c r="FOX99" s="105"/>
      <c r="FOY99" s="105"/>
      <c r="FOZ99" s="105"/>
      <c r="FPA99" s="105"/>
      <c r="FPB99" s="105"/>
      <c r="FPC99" s="105"/>
      <c r="FPD99" s="105"/>
      <c r="FPE99" s="105"/>
      <c r="FPF99" s="105"/>
      <c r="FPG99" s="105"/>
      <c r="FPH99" s="105"/>
      <c r="FPI99" s="105"/>
      <c r="FPJ99" s="105"/>
      <c r="FPK99" s="105"/>
      <c r="FPL99" s="105"/>
      <c r="FPM99" s="105"/>
      <c r="FPN99" s="105"/>
      <c r="FPO99" s="105"/>
      <c r="FPP99" s="105"/>
      <c r="FPQ99" s="105"/>
      <c r="FPR99" s="105"/>
      <c r="FPS99" s="105"/>
      <c r="FPT99" s="105"/>
      <c r="FPU99" s="105"/>
      <c r="FPV99" s="105"/>
      <c r="FPW99" s="105"/>
      <c r="FPX99" s="105"/>
      <c r="FPY99" s="105"/>
      <c r="FPZ99" s="105"/>
      <c r="FQA99" s="105"/>
      <c r="FQB99" s="105"/>
      <c r="FQC99" s="105"/>
      <c r="FQD99" s="105"/>
      <c r="FQE99" s="105"/>
      <c r="FQF99" s="105"/>
      <c r="FQG99" s="105"/>
      <c r="FQH99" s="105"/>
      <c r="FQI99" s="105"/>
      <c r="FQJ99" s="105"/>
      <c r="FQK99" s="105"/>
      <c r="FQL99" s="105"/>
      <c r="FQM99" s="105"/>
      <c r="FQN99" s="105"/>
      <c r="FQO99" s="105"/>
      <c r="FQP99" s="105"/>
      <c r="FQQ99" s="105"/>
      <c r="FQR99" s="105"/>
      <c r="FQS99" s="105"/>
      <c r="FQT99" s="105"/>
      <c r="FQU99" s="105"/>
      <c r="FQV99" s="105"/>
      <c r="FQW99" s="105"/>
      <c r="FQX99" s="105"/>
      <c r="FQY99" s="105"/>
      <c r="FQZ99" s="105"/>
      <c r="FRA99" s="105"/>
      <c r="FRB99" s="105"/>
      <c r="FRC99" s="105"/>
      <c r="FRD99" s="105"/>
      <c r="FRE99" s="105"/>
      <c r="FRF99" s="105"/>
      <c r="FRG99" s="105"/>
      <c r="FRH99" s="105"/>
      <c r="FRI99" s="105"/>
      <c r="FRJ99" s="105"/>
      <c r="FRK99" s="105"/>
      <c r="FRL99" s="105"/>
      <c r="FRM99" s="105"/>
      <c r="FRN99" s="105"/>
      <c r="FRO99" s="105"/>
      <c r="FRP99" s="105"/>
      <c r="FRQ99" s="105"/>
      <c r="FRR99" s="105"/>
      <c r="FRS99" s="105"/>
      <c r="FRT99" s="105"/>
      <c r="FRU99" s="105"/>
      <c r="FRV99" s="105"/>
      <c r="FRW99" s="105"/>
      <c r="FRX99" s="105"/>
      <c r="FRY99" s="105"/>
      <c r="FRZ99" s="105"/>
      <c r="FSA99" s="105"/>
      <c r="FSB99" s="105"/>
      <c r="FSC99" s="105"/>
      <c r="FSD99" s="105"/>
      <c r="FSE99" s="105"/>
      <c r="FSF99" s="105"/>
      <c r="FSG99" s="105"/>
      <c r="FSH99" s="105"/>
      <c r="FSI99" s="105"/>
      <c r="FSJ99" s="105"/>
      <c r="FSK99" s="105"/>
      <c r="FSL99" s="105"/>
      <c r="FSM99" s="105"/>
      <c r="FSN99" s="105"/>
      <c r="FSO99" s="105"/>
      <c r="FSP99" s="105"/>
      <c r="FSQ99" s="105"/>
      <c r="FSR99" s="105"/>
      <c r="FSS99" s="105"/>
      <c r="FST99" s="105"/>
      <c r="FSU99" s="105"/>
      <c r="FSV99" s="105"/>
      <c r="FSW99" s="105"/>
      <c r="FSX99" s="105"/>
      <c r="FSY99" s="105"/>
      <c r="FSZ99" s="105"/>
      <c r="FTA99" s="105"/>
      <c r="FTB99" s="105"/>
      <c r="FTC99" s="105"/>
      <c r="FTD99" s="105"/>
      <c r="FTE99" s="105"/>
      <c r="FTF99" s="105"/>
      <c r="FTG99" s="105"/>
      <c r="FTH99" s="105"/>
      <c r="FTI99" s="105"/>
      <c r="FTJ99" s="105"/>
      <c r="FTK99" s="105"/>
      <c r="FTL99" s="105"/>
      <c r="FTM99" s="105"/>
      <c r="FTN99" s="105"/>
      <c r="FTO99" s="105"/>
      <c r="FTP99" s="105"/>
      <c r="FTQ99" s="105"/>
      <c r="FTR99" s="105"/>
      <c r="FTS99" s="105"/>
      <c r="FTT99" s="105"/>
      <c r="FTU99" s="105"/>
      <c r="FTV99" s="105"/>
      <c r="FTW99" s="105"/>
      <c r="FTX99" s="105"/>
      <c r="FTY99" s="105"/>
      <c r="FTZ99" s="105"/>
      <c r="FUA99" s="105"/>
      <c r="FUB99" s="105"/>
      <c r="FUC99" s="105"/>
      <c r="FUD99" s="105"/>
      <c r="FUE99" s="105"/>
      <c r="FUF99" s="105"/>
      <c r="FUG99" s="105"/>
      <c r="FUH99" s="105"/>
      <c r="FUI99" s="105"/>
      <c r="FUJ99" s="105"/>
      <c r="FUK99" s="105"/>
      <c r="FUL99" s="105"/>
      <c r="FUM99" s="105"/>
      <c r="FUN99" s="105"/>
      <c r="FUO99" s="105"/>
      <c r="FUP99" s="105"/>
      <c r="FUQ99" s="105"/>
      <c r="FUR99" s="105"/>
      <c r="FUS99" s="105"/>
      <c r="FUT99" s="105"/>
      <c r="FUU99" s="105"/>
      <c r="FUV99" s="105"/>
      <c r="FUW99" s="105"/>
      <c r="FUX99" s="105"/>
      <c r="FUY99" s="105"/>
      <c r="FUZ99" s="105"/>
      <c r="FVA99" s="105"/>
      <c r="FVB99" s="105"/>
      <c r="FVC99" s="105"/>
      <c r="FVD99" s="105"/>
      <c r="FVE99" s="105"/>
      <c r="FVF99" s="105"/>
      <c r="FVG99" s="105"/>
      <c r="FVH99" s="105"/>
      <c r="FVI99" s="105"/>
      <c r="FVJ99" s="105"/>
      <c r="FVK99" s="105"/>
      <c r="FVL99" s="105"/>
      <c r="FVM99" s="105"/>
      <c r="FVN99" s="105"/>
      <c r="FVO99" s="105"/>
      <c r="FVP99" s="105"/>
      <c r="FVQ99" s="105"/>
      <c r="FVR99" s="105"/>
      <c r="FVS99" s="105"/>
      <c r="FVT99" s="105"/>
      <c r="FVU99" s="105"/>
      <c r="FVV99" s="105"/>
      <c r="FVW99" s="105"/>
      <c r="FVX99" s="105"/>
      <c r="FVY99" s="105"/>
      <c r="FVZ99" s="105"/>
      <c r="FWA99" s="105"/>
      <c r="FWB99" s="105"/>
      <c r="FWC99" s="105"/>
      <c r="FWD99" s="105"/>
      <c r="FWE99" s="105"/>
      <c r="FWF99" s="105"/>
      <c r="FWG99" s="105"/>
      <c r="FWH99" s="105"/>
      <c r="FWI99" s="105"/>
      <c r="FWJ99" s="105"/>
      <c r="FWK99" s="105"/>
      <c r="FWL99" s="105"/>
      <c r="FWM99" s="105"/>
      <c r="FWN99" s="105"/>
      <c r="FWO99" s="105"/>
      <c r="FWP99" s="105"/>
      <c r="FWQ99" s="105"/>
      <c r="FWR99" s="105"/>
      <c r="FWS99" s="105"/>
      <c r="FWT99" s="105"/>
      <c r="FWU99" s="105"/>
      <c r="FWV99" s="105"/>
      <c r="FWW99" s="105"/>
      <c r="FWX99" s="105"/>
      <c r="FWY99" s="105"/>
      <c r="FWZ99" s="105"/>
      <c r="FXA99" s="105"/>
      <c r="FXB99" s="105"/>
      <c r="FXC99" s="105"/>
      <c r="FXD99" s="105"/>
      <c r="FXE99" s="105"/>
      <c r="FXF99" s="105"/>
      <c r="FXG99" s="105"/>
      <c r="FXH99" s="105"/>
      <c r="FXI99" s="105"/>
      <c r="FXJ99" s="105"/>
      <c r="FXK99" s="105"/>
      <c r="FXL99" s="105"/>
      <c r="FXM99" s="105"/>
      <c r="FXN99" s="105"/>
      <c r="FXO99" s="105"/>
      <c r="FXP99" s="105"/>
      <c r="FXQ99" s="105"/>
      <c r="FXR99" s="105"/>
      <c r="FXS99" s="105"/>
      <c r="FXT99" s="105"/>
      <c r="FXU99" s="105"/>
      <c r="FXV99" s="105"/>
      <c r="FXW99" s="105"/>
      <c r="FXX99" s="105"/>
      <c r="FXY99" s="105"/>
      <c r="FXZ99" s="105"/>
      <c r="FYA99" s="105"/>
      <c r="FYB99" s="105"/>
      <c r="FYC99" s="105"/>
      <c r="FYD99" s="105"/>
      <c r="FYE99" s="105"/>
      <c r="FYF99" s="105"/>
      <c r="FYG99" s="105"/>
      <c r="FYH99" s="105"/>
      <c r="FYI99" s="105"/>
      <c r="FYJ99" s="105"/>
      <c r="FYK99" s="105"/>
      <c r="FYL99" s="105"/>
      <c r="FYM99" s="105"/>
      <c r="FYN99" s="105"/>
      <c r="FYO99" s="105"/>
      <c r="FYP99" s="105"/>
      <c r="FYQ99" s="105"/>
      <c r="FYR99" s="105"/>
      <c r="FYS99" s="105"/>
      <c r="FYT99" s="105"/>
      <c r="FYU99" s="105"/>
      <c r="FYV99" s="105"/>
      <c r="FYW99" s="105"/>
      <c r="FYX99" s="105"/>
      <c r="FYY99" s="105"/>
      <c r="FYZ99" s="105"/>
      <c r="FZA99" s="105"/>
      <c r="FZB99" s="105"/>
      <c r="FZC99" s="105"/>
      <c r="FZD99" s="105"/>
      <c r="FZE99" s="105"/>
      <c r="FZF99" s="105"/>
      <c r="FZG99" s="105"/>
      <c r="FZH99" s="105"/>
      <c r="FZI99" s="105"/>
      <c r="FZJ99" s="105"/>
      <c r="FZK99" s="105"/>
      <c r="FZL99" s="105"/>
      <c r="FZM99" s="105"/>
      <c r="FZN99" s="105"/>
      <c r="FZO99" s="105"/>
      <c r="FZP99" s="105"/>
      <c r="FZQ99" s="105"/>
      <c r="FZR99" s="105"/>
      <c r="FZS99" s="105"/>
      <c r="FZT99" s="105"/>
      <c r="FZU99" s="105"/>
      <c r="FZV99" s="105"/>
      <c r="FZW99" s="105"/>
      <c r="FZX99" s="105"/>
      <c r="FZY99" s="105"/>
      <c r="FZZ99" s="105"/>
      <c r="GAA99" s="105"/>
      <c r="GAB99" s="105"/>
      <c r="GAC99" s="105"/>
      <c r="GAD99" s="105"/>
      <c r="GAE99" s="105"/>
      <c r="GAF99" s="105"/>
      <c r="GAG99" s="105"/>
      <c r="GAH99" s="105"/>
      <c r="GAI99" s="105"/>
      <c r="GAJ99" s="105"/>
      <c r="GAK99" s="105"/>
      <c r="GAL99" s="105"/>
      <c r="GAM99" s="105"/>
      <c r="GAN99" s="105"/>
      <c r="GAO99" s="105"/>
      <c r="GAP99" s="105"/>
      <c r="GAQ99" s="105"/>
      <c r="GAR99" s="105"/>
      <c r="GAS99" s="105"/>
      <c r="GAT99" s="105"/>
      <c r="GAU99" s="105"/>
      <c r="GAV99" s="105"/>
      <c r="GAW99" s="105"/>
      <c r="GAX99" s="105"/>
      <c r="GAY99" s="105"/>
      <c r="GAZ99" s="105"/>
      <c r="GBA99" s="105"/>
      <c r="GBB99" s="105"/>
      <c r="GBC99" s="105"/>
      <c r="GBD99" s="105"/>
      <c r="GBE99" s="105"/>
      <c r="GBF99" s="105"/>
      <c r="GBG99" s="105"/>
      <c r="GBH99" s="105"/>
      <c r="GBI99" s="105"/>
      <c r="GBJ99" s="105"/>
      <c r="GBK99" s="105"/>
      <c r="GBL99" s="105"/>
      <c r="GBM99" s="105"/>
      <c r="GBN99" s="105"/>
      <c r="GBO99" s="105"/>
      <c r="GBP99" s="105"/>
      <c r="GBQ99" s="105"/>
      <c r="GBR99" s="105"/>
      <c r="GBS99" s="105"/>
      <c r="GBT99" s="105"/>
      <c r="GBU99" s="105"/>
      <c r="GBV99" s="105"/>
      <c r="GBW99" s="105"/>
      <c r="GBX99" s="105"/>
      <c r="GBY99" s="105"/>
      <c r="GBZ99" s="105"/>
      <c r="GCA99" s="105"/>
      <c r="GCB99" s="105"/>
      <c r="GCC99" s="105"/>
      <c r="GCD99" s="105"/>
      <c r="GCE99" s="105"/>
      <c r="GCF99" s="105"/>
      <c r="GCG99" s="105"/>
      <c r="GCH99" s="105"/>
      <c r="GCI99" s="105"/>
      <c r="GCJ99" s="105"/>
      <c r="GCK99" s="105"/>
      <c r="GCL99" s="105"/>
      <c r="GCM99" s="105"/>
      <c r="GCN99" s="105"/>
      <c r="GCO99" s="105"/>
      <c r="GCP99" s="105"/>
      <c r="GCQ99" s="105"/>
      <c r="GCR99" s="105"/>
      <c r="GCS99" s="105"/>
      <c r="GCT99" s="105"/>
      <c r="GCU99" s="105"/>
      <c r="GCV99" s="105"/>
      <c r="GCW99" s="105"/>
      <c r="GCX99" s="105"/>
      <c r="GCY99" s="105"/>
      <c r="GCZ99" s="105"/>
      <c r="GDA99" s="105"/>
      <c r="GDB99" s="105"/>
      <c r="GDC99" s="105"/>
      <c r="GDD99" s="105"/>
      <c r="GDE99" s="105"/>
      <c r="GDF99" s="105"/>
      <c r="GDG99" s="105"/>
      <c r="GDH99" s="105"/>
      <c r="GDI99" s="105"/>
      <c r="GDJ99" s="105"/>
      <c r="GDK99" s="105"/>
      <c r="GDL99" s="105"/>
      <c r="GDM99" s="105"/>
      <c r="GDN99" s="105"/>
      <c r="GDO99" s="105"/>
      <c r="GDP99" s="105"/>
      <c r="GDQ99" s="105"/>
      <c r="GDR99" s="105"/>
      <c r="GDS99" s="105"/>
      <c r="GDT99" s="105"/>
      <c r="GDU99" s="105"/>
      <c r="GDV99" s="105"/>
      <c r="GDW99" s="105"/>
      <c r="GDX99" s="105"/>
      <c r="GDY99" s="105"/>
      <c r="GDZ99" s="105"/>
      <c r="GEA99" s="105"/>
      <c r="GEB99" s="105"/>
      <c r="GEC99" s="105"/>
      <c r="GED99" s="105"/>
      <c r="GEE99" s="105"/>
      <c r="GEF99" s="105"/>
      <c r="GEG99" s="105"/>
      <c r="GEH99" s="105"/>
      <c r="GEI99" s="105"/>
      <c r="GEJ99" s="105"/>
      <c r="GEK99" s="105"/>
      <c r="GEL99" s="105"/>
      <c r="GEM99" s="105"/>
      <c r="GEN99" s="105"/>
      <c r="GEO99" s="105"/>
      <c r="GEP99" s="105"/>
      <c r="GEQ99" s="105"/>
      <c r="GER99" s="105"/>
      <c r="GES99" s="105"/>
      <c r="GET99" s="105"/>
      <c r="GEU99" s="105"/>
      <c r="GEV99" s="105"/>
      <c r="GEW99" s="105"/>
      <c r="GEX99" s="105"/>
      <c r="GEY99" s="105"/>
      <c r="GEZ99" s="105"/>
      <c r="GFA99" s="105"/>
      <c r="GFB99" s="105"/>
      <c r="GFC99" s="105"/>
      <c r="GFD99" s="105"/>
      <c r="GFE99" s="105"/>
      <c r="GFF99" s="105"/>
      <c r="GFG99" s="105"/>
      <c r="GFH99" s="105"/>
      <c r="GFI99" s="105"/>
      <c r="GFJ99" s="105"/>
      <c r="GFK99" s="105"/>
      <c r="GFL99" s="105"/>
      <c r="GFM99" s="105"/>
      <c r="GFN99" s="105"/>
      <c r="GFO99" s="105"/>
      <c r="GFP99" s="105"/>
      <c r="GFQ99" s="105"/>
      <c r="GFR99" s="105"/>
      <c r="GFS99" s="105"/>
      <c r="GFT99" s="105"/>
      <c r="GFU99" s="105"/>
      <c r="GFV99" s="105"/>
      <c r="GFW99" s="105"/>
      <c r="GFX99" s="105"/>
      <c r="GFY99" s="105"/>
      <c r="GFZ99" s="105"/>
      <c r="GGA99" s="105"/>
      <c r="GGB99" s="105"/>
      <c r="GGC99" s="105"/>
      <c r="GGD99" s="105"/>
      <c r="GGE99" s="105"/>
      <c r="GGF99" s="105"/>
      <c r="GGG99" s="105"/>
      <c r="GGH99" s="105"/>
      <c r="GGI99" s="105"/>
      <c r="GGJ99" s="105"/>
      <c r="GGK99" s="105"/>
      <c r="GGL99" s="105"/>
      <c r="GGM99" s="105"/>
      <c r="GGN99" s="105"/>
      <c r="GGO99" s="105"/>
      <c r="GGP99" s="105"/>
      <c r="GGQ99" s="105"/>
      <c r="GGR99" s="105"/>
      <c r="GGS99" s="105"/>
      <c r="GGT99" s="105"/>
      <c r="GGU99" s="105"/>
      <c r="GGV99" s="105"/>
      <c r="GGW99" s="105"/>
      <c r="GGX99" s="105"/>
      <c r="GGY99" s="105"/>
      <c r="GGZ99" s="105"/>
      <c r="GHA99" s="105"/>
      <c r="GHB99" s="105"/>
      <c r="GHC99" s="105"/>
      <c r="GHD99" s="105"/>
      <c r="GHE99" s="105"/>
      <c r="GHF99" s="105"/>
      <c r="GHG99" s="105"/>
      <c r="GHH99" s="105"/>
      <c r="GHI99" s="105"/>
      <c r="GHJ99" s="105"/>
      <c r="GHK99" s="105"/>
      <c r="GHL99" s="105"/>
      <c r="GHM99" s="105"/>
      <c r="GHN99" s="105"/>
      <c r="GHO99" s="105"/>
      <c r="GHP99" s="105"/>
      <c r="GHQ99" s="105"/>
      <c r="GHR99" s="105"/>
      <c r="GHS99" s="105"/>
      <c r="GHT99" s="105"/>
      <c r="GHU99" s="105"/>
      <c r="GHV99" s="105"/>
      <c r="GHW99" s="105"/>
      <c r="GHX99" s="105"/>
      <c r="GHY99" s="105"/>
      <c r="GHZ99" s="105"/>
      <c r="GIA99" s="105"/>
      <c r="GIB99" s="105"/>
      <c r="GIC99" s="105"/>
      <c r="GID99" s="105"/>
      <c r="GIE99" s="105"/>
      <c r="GIF99" s="105"/>
      <c r="GIG99" s="105"/>
      <c r="GIH99" s="105"/>
      <c r="GII99" s="105"/>
      <c r="GIJ99" s="105"/>
      <c r="GIK99" s="105"/>
      <c r="GIL99" s="105"/>
      <c r="GIM99" s="105"/>
      <c r="GIN99" s="105"/>
      <c r="GIO99" s="105"/>
      <c r="GIP99" s="105"/>
      <c r="GIQ99" s="105"/>
      <c r="GIR99" s="105"/>
      <c r="GIS99" s="105"/>
      <c r="GIT99" s="105"/>
      <c r="GIU99" s="105"/>
      <c r="GIV99" s="105"/>
      <c r="GIW99" s="105"/>
      <c r="GIX99" s="105"/>
      <c r="GIY99" s="105"/>
      <c r="GIZ99" s="105"/>
      <c r="GJA99" s="105"/>
      <c r="GJB99" s="105"/>
      <c r="GJC99" s="105"/>
      <c r="GJD99" s="105"/>
      <c r="GJE99" s="105"/>
      <c r="GJF99" s="105"/>
      <c r="GJG99" s="105"/>
      <c r="GJH99" s="105"/>
      <c r="GJI99" s="105"/>
      <c r="GJJ99" s="105"/>
      <c r="GJK99" s="105"/>
      <c r="GJL99" s="105"/>
      <c r="GJM99" s="105"/>
      <c r="GJN99" s="105"/>
      <c r="GJO99" s="105"/>
      <c r="GJP99" s="105"/>
      <c r="GJQ99" s="105"/>
      <c r="GJR99" s="105"/>
      <c r="GJS99" s="105"/>
      <c r="GJT99" s="105"/>
      <c r="GJU99" s="105"/>
      <c r="GJV99" s="105"/>
      <c r="GJW99" s="105"/>
      <c r="GJX99" s="105"/>
      <c r="GJY99" s="105"/>
      <c r="GJZ99" s="105"/>
      <c r="GKA99" s="105"/>
      <c r="GKB99" s="105"/>
      <c r="GKC99" s="105"/>
      <c r="GKD99" s="105"/>
      <c r="GKE99" s="105"/>
      <c r="GKF99" s="105"/>
      <c r="GKG99" s="105"/>
      <c r="GKH99" s="105"/>
      <c r="GKI99" s="105"/>
      <c r="GKJ99" s="105"/>
      <c r="GKK99" s="105"/>
      <c r="GKL99" s="105"/>
      <c r="GKM99" s="105"/>
      <c r="GKN99" s="105"/>
      <c r="GKO99" s="105"/>
      <c r="GKP99" s="105"/>
      <c r="GKQ99" s="105"/>
      <c r="GKR99" s="105"/>
      <c r="GKS99" s="105"/>
      <c r="GKT99" s="105"/>
      <c r="GKU99" s="105"/>
      <c r="GKV99" s="105"/>
      <c r="GKW99" s="105"/>
      <c r="GKX99" s="105"/>
      <c r="GKY99" s="105"/>
      <c r="GKZ99" s="105"/>
      <c r="GLA99" s="105"/>
      <c r="GLB99" s="105"/>
      <c r="GLC99" s="105"/>
      <c r="GLD99" s="105"/>
      <c r="GLE99" s="105"/>
      <c r="GLF99" s="105"/>
      <c r="GLG99" s="105"/>
      <c r="GLH99" s="105"/>
      <c r="GLI99" s="105"/>
      <c r="GLJ99" s="105"/>
      <c r="GLK99" s="105"/>
      <c r="GLL99" s="105"/>
      <c r="GLM99" s="105"/>
      <c r="GLN99" s="105"/>
      <c r="GLO99" s="105"/>
      <c r="GLP99" s="105"/>
      <c r="GLQ99" s="105"/>
      <c r="GLR99" s="105"/>
      <c r="GLS99" s="105"/>
      <c r="GLT99" s="105"/>
      <c r="GLU99" s="105"/>
      <c r="GLV99" s="105"/>
      <c r="GLW99" s="105"/>
      <c r="GLX99" s="105"/>
      <c r="GLY99" s="105"/>
      <c r="GLZ99" s="105"/>
      <c r="GMA99" s="105"/>
      <c r="GMB99" s="105"/>
      <c r="GMC99" s="105"/>
      <c r="GMD99" s="105"/>
      <c r="GME99" s="105"/>
      <c r="GMF99" s="105"/>
      <c r="GMG99" s="105"/>
      <c r="GMH99" s="105"/>
      <c r="GMI99" s="105"/>
      <c r="GMJ99" s="105"/>
      <c r="GMK99" s="105"/>
      <c r="GML99" s="105"/>
      <c r="GMM99" s="105"/>
      <c r="GMN99" s="105"/>
      <c r="GMO99" s="105"/>
      <c r="GMP99" s="105"/>
      <c r="GMQ99" s="105"/>
      <c r="GMR99" s="105"/>
      <c r="GMS99" s="105"/>
      <c r="GMT99" s="105"/>
      <c r="GMU99" s="105"/>
      <c r="GMV99" s="105"/>
      <c r="GMW99" s="105"/>
      <c r="GMX99" s="105"/>
      <c r="GMY99" s="105"/>
      <c r="GMZ99" s="105"/>
      <c r="GNA99" s="105"/>
      <c r="GNB99" s="105"/>
      <c r="GNC99" s="105"/>
      <c r="GND99" s="105"/>
      <c r="GNE99" s="105"/>
      <c r="GNF99" s="105"/>
      <c r="GNG99" s="105"/>
      <c r="GNH99" s="105"/>
      <c r="GNI99" s="105"/>
      <c r="GNJ99" s="105"/>
      <c r="GNK99" s="105"/>
      <c r="GNL99" s="105"/>
      <c r="GNM99" s="105"/>
      <c r="GNN99" s="105"/>
      <c r="GNO99" s="105"/>
      <c r="GNP99" s="105"/>
      <c r="GNQ99" s="105"/>
      <c r="GNR99" s="105"/>
      <c r="GNS99" s="105"/>
      <c r="GNT99" s="105"/>
      <c r="GNU99" s="105"/>
      <c r="GNV99" s="105"/>
      <c r="GNW99" s="105"/>
      <c r="GNX99" s="105"/>
      <c r="GNY99" s="105"/>
      <c r="GNZ99" s="105"/>
      <c r="GOA99" s="105"/>
      <c r="GOB99" s="105"/>
      <c r="GOC99" s="105"/>
      <c r="GOD99" s="105"/>
      <c r="GOE99" s="105"/>
      <c r="GOF99" s="105"/>
      <c r="GOG99" s="105"/>
      <c r="GOH99" s="105"/>
      <c r="GOI99" s="105"/>
      <c r="GOJ99" s="105"/>
      <c r="GOK99" s="105"/>
      <c r="GOL99" s="105"/>
      <c r="GOM99" s="105"/>
      <c r="GON99" s="105"/>
      <c r="GOO99" s="105"/>
      <c r="GOP99" s="105"/>
      <c r="GOQ99" s="105"/>
      <c r="GOR99" s="105"/>
      <c r="GOS99" s="105"/>
      <c r="GOT99" s="105"/>
      <c r="GOU99" s="105"/>
      <c r="GOV99" s="105"/>
      <c r="GOW99" s="105"/>
      <c r="GOX99" s="105"/>
      <c r="GOY99" s="105"/>
      <c r="GOZ99" s="105"/>
      <c r="GPA99" s="105"/>
      <c r="GPB99" s="105"/>
      <c r="GPC99" s="105"/>
      <c r="GPD99" s="105"/>
      <c r="GPE99" s="105"/>
      <c r="GPF99" s="105"/>
      <c r="GPG99" s="105"/>
      <c r="GPH99" s="105"/>
      <c r="GPI99" s="105"/>
      <c r="GPJ99" s="105"/>
      <c r="GPK99" s="105"/>
      <c r="GPL99" s="105"/>
      <c r="GPM99" s="105"/>
      <c r="GPN99" s="105"/>
      <c r="GPO99" s="105"/>
      <c r="GPP99" s="105"/>
      <c r="GPQ99" s="105"/>
      <c r="GPR99" s="105"/>
      <c r="GPS99" s="105"/>
      <c r="GPT99" s="105"/>
      <c r="GPU99" s="105"/>
      <c r="GPV99" s="105"/>
      <c r="GPW99" s="105"/>
      <c r="GPX99" s="105"/>
      <c r="GPY99" s="105"/>
      <c r="GPZ99" s="105"/>
      <c r="GQA99" s="105"/>
      <c r="GQB99" s="105"/>
      <c r="GQC99" s="105"/>
      <c r="GQD99" s="105"/>
      <c r="GQE99" s="105"/>
      <c r="GQF99" s="105"/>
      <c r="GQG99" s="105"/>
      <c r="GQH99" s="105"/>
      <c r="GQI99" s="105"/>
      <c r="GQJ99" s="105"/>
      <c r="GQK99" s="105"/>
      <c r="GQL99" s="105"/>
      <c r="GQM99" s="105"/>
      <c r="GQN99" s="105"/>
      <c r="GQO99" s="105"/>
      <c r="GQP99" s="105"/>
      <c r="GQQ99" s="105"/>
      <c r="GQR99" s="105"/>
      <c r="GQS99" s="105"/>
      <c r="GQT99" s="105"/>
      <c r="GQU99" s="105"/>
      <c r="GQV99" s="105"/>
      <c r="GQW99" s="105"/>
      <c r="GQX99" s="105"/>
      <c r="GQY99" s="105"/>
      <c r="GQZ99" s="105"/>
      <c r="GRA99" s="105"/>
      <c r="GRB99" s="105"/>
      <c r="GRC99" s="105"/>
      <c r="GRD99" s="105"/>
      <c r="GRE99" s="105"/>
      <c r="GRF99" s="105"/>
      <c r="GRG99" s="105"/>
      <c r="GRH99" s="105"/>
      <c r="GRI99" s="105"/>
      <c r="GRJ99" s="105"/>
      <c r="GRK99" s="105"/>
      <c r="GRL99" s="105"/>
      <c r="GRM99" s="105"/>
      <c r="GRN99" s="105"/>
      <c r="GRO99" s="105"/>
      <c r="GRP99" s="105"/>
      <c r="GRQ99" s="105"/>
      <c r="GRR99" s="105"/>
      <c r="GRS99" s="105"/>
      <c r="GRT99" s="105"/>
      <c r="GRU99" s="105"/>
      <c r="GRV99" s="105"/>
      <c r="GRW99" s="105"/>
      <c r="GRX99" s="105"/>
      <c r="GRY99" s="105"/>
      <c r="GRZ99" s="105"/>
      <c r="GSA99" s="105"/>
      <c r="GSB99" s="105"/>
      <c r="GSC99" s="105"/>
      <c r="GSD99" s="105"/>
      <c r="GSE99" s="105"/>
      <c r="GSF99" s="105"/>
      <c r="GSG99" s="105"/>
      <c r="GSH99" s="105"/>
      <c r="GSI99" s="105"/>
      <c r="GSJ99" s="105"/>
      <c r="GSK99" s="105"/>
      <c r="GSL99" s="105"/>
      <c r="GSM99" s="105"/>
      <c r="GSN99" s="105"/>
      <c r="GSO99" s="105"/>
      <c r="GSP99" s="105"/>
      <c r="GSQ99" s="105"/>
      <c r="GSR99" s="105"/>
      <c r="GSS99" s="105"/>
      <c r="GST99" s="105"/>
      <c r="GSU99" s="105"/>
      <c r="GSV99" s="105"/>
      <c r="GSW99" s="105"/>
      <c r="GSX99" s="105"/>
      <c r="GSY99" s="105"/>
      <c r="GSZ99" s="105"/>
      <c r="GTA99" s="105"/>
      <c r="GTB99" s="105"/>
      <c r="GTC99" s="105"/>
      <c r="GTD99" s="105"/>
      <c r="GTE99" s="105"/>
      <c r="GTF99" s="105"/>
      <c r="GTG99" s="105"/>
      <c r="GTH99" s="105"/>
      <c r="GTI99" s="105"/>
      <c r="GTJ99" s="105"/>
      <c r="GTK99" s="105"/>
      <c r="GTL99" s="105"/>
      <c r="GTM99" s="105"/>
      <c r="GTN99" s="105"/>
      <c r="GTO99" s="105"/>
      <c r="GTP99" s="105"/>
      <c r="GTQ99" s="105"/>
      <c r="GTR99" s="105"/>
      <c r="GTS99" s="105"/>
      <c r="GTT99" s="105"/>
      <c r="GTU99" s="105"/>
      <c r="GTV99" s="105"/>
      <c r="GTW99" s="105"/>
      <c r="GTX99" s="105"/>
      <c r="GTY99" s="105"/>
      <c r="GTZ99" s="105"/>
      <c r="GUA99" s="105"/>
      <c r="GUB99" s="105"/>
      <c r="GUC99" s="105"/>
      <c r="GUD99" s="105"/>
      <c r="GUE99" s="105"/>
      <c r="GUF99" s="105"/>
      <c r="GUG99" s="105"/>
      <c r="GUH99" s="105"/>
      <c r="GUI99" s="105"/>
      <c r="GUJ99" s="105"/>
      <c r="GUK99" s="105"/>
      <c r="GUL99" s="105"/>
      <c r="GUM99" s="105"/>
      <c r="GUN99" s="105"/>
      <c r="GUO99" s="105"/>
      <c r="GUP99" s="105"/>
      <c r="GUQ99" s="105"/>
      <c r="GUR99" s="105"/>
      <c r="GUS99" s="105"/>
      <c r="GUT99" s="105"/>
      <c r="GUU99" s="105"/>
      <c r="GUV99" s="105"/>
      <c r="GUW99" s="105"/>
      <c r="GUX99" s="105"/>
      <c r="GUY99" s="105"/>
      <c r="GUZ99" s="105"/>
      <c r="GVA99" s="105"/>
      <c r="GVB99" s="105"/>
      <c r="GVC99" s="105"/>
      <c r="GVD99" s="105"/>
      <c r="GVE99" s="105"/>
      <c r="GVF99" s="105"/>
      <c r="GVG99" s="105"/>
      <c r="GVH99" s="105"/>
      <c r="GVI99" s="105"/>
      <c r="GVJ99" s="105"/>
      <c r="GVK99" s="105"/>
      <c r="GVL99" s="105"/>
      <c r="GVM99" s="105"/>
      <c r="GVN99" s="105"/>
      <c r="GVO99" s="105"/>
      <c r="GVP99" s="105"/>
      <c r="GVQ99" s="105"/>
      <c r="GVR99" s="105"/>
      <c r="GVS99" s="105"/>
      <c r="GVT99" s="105"/>
      <c r="GVU99" s="105"/>
      <c r="GVV99" s="105"/>
      <c r="GVW99" s="105"/>
      <c r="GVX99" s="105"/>
      <c r="GVY99" s="105"/>
      <c r="GVZ99" s="105"/>
      <c r="GWA99" s="105"/>
      <c r="GWB99" s="105"/>
      <c r="GWC99" s="105"/>
      <c r="GWD99" s="105"/>
      <c r="GWE99" s="105"/>
      <c r="GWF99" s="105"/>
      <c r="GWG99" s="105"/>
      <c r="GWH99" s="105"/>
      <c r="GWI99" s="105"/>
      <c r="GWJ99" s="105"/>
      <c r="GWK99" s="105"/>
      <c r="GWL99" s="105"/>
      <c r="GWM99" s="105"/>
      <c r="GWN99" s="105"/>
      <c r="GWO99" s="105"/>
      <c r="GWP99" s="105"/>
      <c r="GWQ99" s="105"/>
      <c r="GWR99" s="105"/>
      <c r="GWS99" s="105"/>
      <c r="GWT99" s="105"/>
      <c r="GWU99" s="105"/>
      <c r="GWV99" s="105"/>
      <c r="GWW99" s="105"/>
      <c r="GWX99" s="105"/>
      <c r="GWY99" s="105"/>
      <c r="GWZ99" s="105"/>
      <c r="GXA99" s="105"/>
      <c r="GXB99" s="105"/>
      <c r="GXC99" s="105"/>
      <c r="GXD99" s="105"/>
      <c r="GXE99" s="105"/>
      <c r="GXF99" s="105"/>
      <c r="GXG99" s="105"/>
      <c r="GXH99" s="105"/>
      <c r="GXI99" s="105"/>
      <c r="GXJ99" s="105"/>
      <c r="GXK99" s="105"/>
      <c r="GXL99" s="105"/>
      <c r="GXM99" s="105"/>
      <c r="GXN99" s="105"/>
      <c r="GXO99" s="105"/>
      <c r="GXP99" s="105"/>
      <c r="GXQ99" s="105"/>
      <c r="GXR99" s="105"/>
      <c r="GXS99" s="105"/>
      <c r="GXT99" s="105"/>
      <c r="GXU99" s="105"/>
      <c r="GXV99" s="105"/>
      <c r="GXW99" s="105"/>
      <c r="GXX99" s="105"/>
      <c r="GXY99" s="105"/>
      <c r="GXZ99" s="105"/>
      <c r="GYA99" s="105"/>
      <c r="GYB99" s="105"/>
      <c r="GYC99" s="105"/>
      <c r="GYD99" s="105"/>
      <c r="GYE99" s="105"/>
      <c r="GYF99" s="105"/>
      <c r="GYG99" s="105"/>
      <c r="GYH99" s="105"/>
      <c r="GYI99" s="105"/>
      <c r="GYJ99" s="105"/>
      <c r="GYK99" s="105"/>
      <c r="GYL99" s="105"/>
      <c r="GYM99" s="105"/>
      <c r="GYN99" s="105"/>
      <c r="GYO99" s="105"/>
      <c r="GYP99" s="105"/>
      <c r="GYQ99" s="105"/>
      <c r="GYR99" s="105"/>
      <c r="GYS99" s="105"/>
      <c r="GYT99" s="105"/>
      <c r="GYU99" s="105"/>
      <c r="GYV99" s="105"/>
      <c r="GYW99" s="105"/>
      <c r="GYX99" s="105"/>
      <c r="GYY99" s="105"/>
      <c r="GYZ99" s="105"/>
      <c r="GZA99" s="105"/>
      <c r="GZB99" s="105"/>
      <c r="GZC99" s="105"/>
      <c r="GZD99" s="105"/>
      <c r="GZE99" s="105"/>
      <c r="GZF99" s="105"/>
      <c r="GZG99" s="105"/>
      <c r="GZH99" s="105"/>
      <c r="GZI99" s="105"/>
      <c r="GZJ99" s="105"/>
      <c r="GZK99" s="105"/>
      <c r="GZL99" s="105"/>
      <c r="GZM99" s="105"/>
      <c r="GZN99" s="105"/>
      <c r="GZO99" s="105"/>
      <c r="GZP99" s="105"/>
      <c r="GZQ99" s="105"/>
      <c r="GZR99" s="105"/>
      <c r="GZS99" s="105"/>
      <c r="GZT99" s="105"/>
      <c r="GZU99" s="105"/>
      <c r="GZV99" s="105"/>
      <c r="GZW99" s="105"/>
      <c r="GZX99" s="105"/>
      <c r="GZY99" s="105"/>
      <c r="GZZ99" s="105"/>
      <c r="HAA99" s="105"/>
      <c r="HAB99" s="105"/>
      <c r="HAC99" s="105"/>
      <c r="HAD99" s="105"/>
      <c r="HAE99" s="105"/>
      <c r="HAF99" s="105"/>
      <c r="HAG99" s="105"/>
      <c r="HAH99" s="105"/>
      <c r="HAI99" s="105"/>
      <c r="HAJ99" s="105"/>
      <c r="HAK99" s="105"/>
      <c r="HAL99" s="105"/>
      <c r="HAM99" s="105"/>
      <c r="HAN99" s="105"/>
      <c r="HAO99" s="105"/>
      <c r="HAP99" s="105"/>
      <c r="HAQ99" s="105"/>
      <c r="HAR99" s="105"/>
      <c r="HAS99" s="105"/>
      <c r="HAT99" s="105"/>
      <c r="HAU99" s="105"/>
      <c r="HAV99" s="105"/>
      <c r="HAW99" s="105"/>
      <c r="HAX99" s="105"/>
      <c r="HAY99" s="105"/>
      <c r="HAZ99" s="105"/>
      <c r="HBA99" s="105"/>
      <c r="HBB99" s="105"/>
      <c r="HBC99" s="105"/>
      <c r="HBD99" s="105"/>
      <c r="HBE99" s="105"/>
      <c r="HBF99" s="105"/>
      <c r="HBG99" s="105"/>
      <c r="HBH99" s="105"/>
      <c r="HBI99" s="105"/>
      <c r="HBJ99" s="105"/>
      <c r="HBK99" s="105"/>
      <c r="HBL99" s="105"/>
      <c r="HBM99" s="105"/>
      <c r="HBN99" s="105"/>
      <c r="HBO99" s="105"/>
      <c r="HBP99" s="105"/>
      <c r="HBQ99" s="105"/>
      <c r="HBR99" s="105"/>
      <c r="HBS99" s="105"/>
      <c r="HBT99" s="105"/>
      <c r="HBU99" s="105"/>
      <c r="HBV99" s="105"/>
      <c r="HBW99" s="105"/>
      <c r="HBX99" s="105"/>
      <c r="HBY99" s="105"/>
      <c r="HBZ99" s="105"/>
      <c r="HCA99" s="105"/>
      <c r="HCB99" s="105"/>
      <c r="HCC99" s="105"/>
      <c r="HCD99" s="105"/>
      <c r="HCE99" s="105"/>
      <c r="HCF99" s="105"/>
      <c r="HCG99" s="105"/>
      <c r="HCH99" s="105"/>
      <c r="HCI99" s="105"/>
      <c r="HCJ99" s="105"/>
      <c r="HCK99" s="105"/>
      <c r="HCL99" s="105"/>
      <c r="HCM99" s="105"/>
      <c r="HCN99" s="105"/>
      <c r="HCO99" s="105"/>
      <c r="HCP99" s="105"/>
      <c r="HCQ99" s="105"/>
      <c r="HCR99" s="105"/>
      <c r="HCS99" s="105"/>
      <c r="HCT99" s="105"/>
      <c r="HCU99" s="105"/>
      <c r="HCV99" s="105"/>
      <c r="HCW99" s="105"/>
      <c r="HCX99" s="105"/>
      <c r="HCY99" s="105"/>
      <c r="HCZ99" s="105"/>
      <c r="HDA99" s="105"/>
      <c r="HDB99" s="105"/>
      <c r="HDC99" s="105"/>
      <c r="HDD99" s="105"/>
      <c r="HDE99" s="105"/>
      <c r="HDF99" s="105"/>
      <c r="HDG99" s="105"/>
      <c r="HDH99" s="105"/>
      <c r="HDI99" s="105"/>
      <c r="HDJ99" s="105"/>
      <c r="HDK99" s="105"/>
      <c r="HDL99" s="105"/>
      <c r="HDM99" s="105"/>
      <c r="HDN99" s="105"/>
      <c r="HDO99" s="105"/>
      <c r="HDP99" s="105"/>
      <c r="HDQ99" s="105"/>
      <c r="HDR99" s="105"/>
      <c r="HDS99" s="105"/>
      <c r="HDT99" s="105"/>
      <c r="HDU99" s="105"/>
      <c r="HDV99" s="105"/>
      <c r="HDW99" s="105"/>
      <c r="HDX99" s="105"/>
      <c r="HDY99" s="105"/>
      <c r="HDZ99" s="105"/>
      <c r="HEA99" s="105"/>
      <c r="HEB99" s="105"/>
      <c r="HEC99" s="105"/>
      <c r="HED99" s="105"/>
      <c r="HEE99" s="105"/>
      <c r="HEF99" s="105"/>
      <c r="HEG99" s="105"/>
      <c r="HEH99" s="105"/>
      <c r="HEI99" s="105"/>
      <c r="HEJ99" s="105"/>
      <c r="HEK99" s="105"/>
      <c r="HEL99" s="105"/>
      <c r="HEM99" s="105"/>
      <c r="HEN99" s="105"/>
      <c r="HEO99" s="105"/>
      <c r="HEP99" s="105"/>
      <c r="HEQ99" s="105"/>
      <c r="HER99" s="105"/>
      <c r="HES99" s="105"/>
      <c r="HET99" s="105"/>
      <c r="HEU99" s="105"/>
      <c r="HEV99" s="105"/>
      <c r="HEW99" s="105"/>
      <c r="HEX99" s="105"/>
      <c r="HEY99" s="105"/>
      <c r="HEZ99" s="105"/>
      <c r="HFA99" s="105"/>
      <c r="HFB99" s="105"/>
      <c r="HFC99" s="105"/>
      <c r="HFD99" s="105"/>
      <c r="HFE99" s="105"/>
      <c r="HFF99" s="105"/>
      <c r="HFG99" s="105"/>
      <c r="HFH99" s="105"/>
      <c r="HFI99" s="105"/>
      <c r="HFJ99" s="105"/>
      <c r="HFK99" s="105"/>
      <c r="HFL99" s="105"/>
      <c r="HFM99" s="105"/>
      <c r="HFN99" s="105"/>
      <c r="HFO99" s="105"/>
      <c r="HFP99" s="105"/>
      <c r="HFQ99" s="105"/>
      <c r="HFR99" s="105"/>
      <c r="HFS99" s="105"/>
      <c r="HFT99" s="105"/>
      <c r="HFU99" s="105"/>
      <c r="HFV99" s="105"/>
      <c r="HFW99" s="105"/>
      <c r="HFX99" s="105"/>
      <c r="HFY99" s="105"/>
      <c r="HFZ99" s="105"/>
      <c r="HGA99" s="105"/>
      <c r="HGB99" s="105"/>
      <c r="HGC99" s="105"/>
      <c r="HGD99" s="105"/>
      <c r="HGE99" s="105"/>
      <c r="HGF99" s="105"/>
      <c r="HGG99" s="105"/>
      <c r="HGH99" s="105"/>
      <c r="HGI99" s="105"/>
      <c r="HGJ99" s="105"/>
      <c r="HGK99" s="105"/>
      <c r="HGL99" s="105"/>
      <c r="HGM99" s="105"/>
      <c r="HGN99" s="105"/>
      <c r="HGO99" s="105"/>
      <c r="HGP99" s="105"/>
      <c r="HGQ99" s="105"/>
      <c r="HGR99" s="105"/>
      <c r="HGS99" s="105"/>
      <c r="HGT99" s="105"/>
      <c r="HGU99" s="105"/>
      <c r="HGV99" s="105"/>
      <c r="HGW99" s="105"/>
      <c r="HGX99" s="105"/>
      <c r="HGY99" s="105"/>
      <c r="HGZ99" s="105"/>
      <c r="HHA99" s="105"/>
      <c r="HHB99" s="105"/>
      <c r="HHC99" s="105"/>
      <c r="HHD99" s="105"/>
      <c r="HHE99" s="105"/>
      <c r="HHF99" s="105"/>
      <c r="HHG99" s="105"/>
      <c r="HHH99" s="105"/>
      <c r="HHI99" s="105"/>
      <c r="HHJ99" s="105"/>
      <c r="HHK99" s="105"/>
      <c r="HHL99" s="105"/>
      <c r="HHM99" s="105"/>
      <c r="HHN99" s="105"/>
      <c r="HHO99" s="105"/>
      <c r="HHP99" s="105"/>
      <c r="HHQ99" s="105"/>
      <c r="HHR99" s="105"/>
      <c r="HHS99" s="105"/>
      <c r="HHT99" s="105"/>
      <c r="HHU99" s="105"/>
      <c r="HHV99" s="105"/>
      <c r="HHW99" s="105"/>
      <c r="HHX99" s="105"/>
      <c r="HHY99" s="105"/>
      <c r="HHZ99" s="105"/>
      <c r="HIA99" s="105"/>
      <c r="HIB99" s="105"/>
      <c r="HIC99" s="105"/>
      <c r="HID99" s="105"/>
      <c r="HIE99" s="105"/>
      <c r="HIF99" s="105"/>
      <c r="HIG99" s="105"/>
      <c r="HIH99" s="105"/>
      <c r="HII99" s="105"/>
      <c r="HIJ99" s="105"/>
      <c r="HIK99" s="105"/>
      <c r="HIL99" s="105"/>
      <c r="HIM99" s="105"/>
      <c r="HIN99" s="105"/>
      <c r="HIO99" s="105"/>
      <c r="HIP99" s="105"/>
      <c r="HIQ99" s="105"/>
      <c r="HIR99" s="105"/>
      <c r="HIS99" s="105"/>
      <c r="HIT99" s="105"/>
      <c r="HIU99" s="105"/>
      <c r="HIV99" s="105"/>
      <c r="HIW99" s="105"/>
      <c r="HIX99" s="105"/>
      <c r="HIY99" s="105"/>
      <c r="HIZ99" s="105"/>
      <c r="HJA99" s="105"/>
      <c r="HJB99" s="105"/>
      <c r="HJC99" s="105"/>
      <c r="HJD99" s="105"/>
      <c r="HJE99" s="105"/>
      <c r="HJF99" s="105"/>
      <c r="HJG99" s="105"/>
      <c r="HJH99" s="105"/>
      <c r="HJI99" s="105"/>
      <c r="HJJ99" s="105"/>
      <c r="HJK99" s="105"/>
      <c r="HJL99" s="105"/>
      <c r="HJM99" s="105"/>
      <c r="HJN99" s="105"/>
      <c r="HJO99" s="105"/>
      <c r="HJP99" s="105"/>
      <c r="HJQ99" s="105"/>
      <c r="HJR99" s="105"/>
      <c r="HJS99" s="105"/>
      <c r="HJT99" s="105"/>
      <c r="HJU99" s="105"/>
      <c r="HJV99" s="105"/>
      <c r="HJW99" s="105"/>
      <c r="HJX99" s="105"/>
      <c r="HJY99" s="105"/>
      <c r="HJZ99" s="105"/>
      <c r="HKA99" s="105"/>
      <c r="HKB99" s="105"/>
      <c r="HKC99" s="105"/>
      <c r="HKD99" s="105"/>
      <c r="HKE99" s="105"/>
      <c r="HKF99" s="105"/>
      <c r="HKG99" s="105"/>
      <c r="HKH99" s="105"/>
      <c r="HKI99" s="105"/>
      <c r="HKJ99" s="105"/>
      <c r="HKK99" s="105"/>
      <c r="HKL99" s="105"/>
      <c r="HKM99" s="105"/>
      <c r="HKN99" s="105"/>
      <c r="HKO99" s="105"/>
      <c r="HKP99" s="105"/>
      <c r="HKQ99" s="105"/>
      <c r="HKR99" s="105"/>
      <c r="HKS99" s="105"/>
      <c r="HKT99" s="105"/>
      <c r="HKU99" s="105"/>
      <c r="HKV99" s="105"/>
      <c r="HKW99" s="105"/>
      <c r="HKX99" s="105"/>
      <c r="HKY99" s="105"/>
      <c r="HKZ99" s="105"/>
      <c r="HLA99" s="105"/>
      <c r="HLB99" s="105"/>
      <c r="HLC99" s="105"/>
      <c r="HLD99" s="105"/>
      <c r="HLE99" s="105"/>
      <c r="HLF99" s="105"/>
      <c r="HLG99" s="105"/>
      <c r="HLH99" s="105"/>
      <c r="HLI99" s="105"/>
      <c r="HLJ99" s="105"/>
      <c r="HLK99" s="105"/>
      <c r="HLL99" s="105"/>
      <c r="HLM99" s="105"/>
      <c r="HLN99" s="105"/>
      <c r="HLO99" s="105"/>
      <c r="HLP99" s="105"/>
      <c r="HLQ99" s="105"/>
      <c r="HLR99" s="105"/>
      <c r="HLS99" s="105"/>
      <c r="HLT99" s="105"/>
      <c r="HLU99" s="105"/>
      <c r="HLV99" s="105"/>
      <c r="HLW99" s="105"/>
      <c r="HLX99" s="105"/>
      <c r="HLY99" s="105"/>
      <c r="HLZ99" s="105"/>
      <c r="HMA99" s="105"/>
      <c r="HMB99" s="105"/>
      <c r="HMC99" s="105"/>
      <c r="HMD99" s="105"/>
      <c r="HME99" s="105"/>
      <c r="HMF99" s="105"/>
      <c r="HMG99" s="105"/>
      <c r="HMH99" s="105"/>
      <c r="HMI99" s="105"/>
      <c r="HMJ99" s="105"/>
      <c r="HMK99" s="105"/>
      <c r="HML99" s="105"/>
      <c r="HMM99" s="105"/>
      <c r="HMN99" s="105"/>
      <c r="HMO99" s="105"/>
      <c r="HMP99" s="105"/>
      <c r="HMQ99" s="105"/>
      <c r="HMR99" s="105"/>
      <c r="HMS99" s="105"/>
      <c r="HMT99" s="105"/>
      <c r="HMU99" s="105"/>
      <c r="HMV99" s="105"/>
      <c r="HMW99" s="105"/>
      <c r="HMX99" s="105"/>
      <c r="HMY99" s="105"/>
      <c r="HMZ99" s="105"/>
      <c r="HNA99" s="105"/>
      <c r="HNB99" s="105"/>
      <c r="HNC99" s="105"/>
      <c r="HND99" s="105"/>
      <c r="HNE99" s="105"/>
      <c r="HNF99" s="105"/>
      <c r="HNG99" s="105"/>
      <c r="HNH99" s="105"/>
      <c r="HNI99" s="105"/>
      <c r="HNJ99" s="105"/>
      <c r="HNK99" s="105"/>
      <c r="HNL99" s="105"/>
      <c r="HNM99" s="105"/>
      <c r="HNN99" s="105"/>
      <c r="HNO99" s="105"/>
      <c r="HNP99" s="105"/>
      <c r="HNQ99" s="105"/>
      <c r="HNR99" s="105"/>
      <c r="HNS99" s="105"/>
      <c r="HNT99" s="105"/>
      <c r="HNU99" s="105"/>
      <c r="HNV99" s="105"/>
      <c r="HNW99" s="105"/>
      <c r="HNX99" s="105"/>
      <c r="HNY99" s="105"/>
      <c r="HNZ99" s="105"/>
      <c r="HOA99" s="105"/>
      <c r="HOB99" s="105"/>
      <c r="HOC99" s="105"/>
      <c r="HOD99" s="105"/>
      <c r="HOE99" s="105"/>
      <c r="HOF99" s="105"/>
      <c r="HOG99" s="105"/>
      <c r="HOH99" s="105"/>
      <c r="HOI99" s="105"/>
      <c r="HOJ99" s="105"/>
      <c r="HOK99" s="105"/>
      <c r="HOL99" s="105"/>
      <c r="HOM99" s="105"/>
      <c r="HON99" s="105"/>
      <c r="HOO99" s="105"/>
      <c r="HOP99" s="105"/>
      <c r="HOQ99" s="105"/>
      <c r="HOR99" s="105"/>
      <c r="HOS99" s="105"/>
      <c r="HOT99" s="105"/>
      <c r="HOU99" s="105"/>
      <c r="HOV99" s="105"/>
      <c r="HOW99" s="105"/>
      <c r="HOX99" s="105"/>
      <c r="HOY99" s="105"/>
      <c r="HOZ99" s="105"/>
      <c r="HPA99" s="105"/>
      <c r="HPB99" s="105"/>
      <c r="HPC99" s="105"/>
      <c r="HPD99" s="105"/>
      <c r="HPE99" s="105"/>
      <c r="HPF99" s="105"/>
      <c r="HPG99" s="105"/>
      <c r="HPH99" s="105"/>
      <c r="HPI99" s="105"/>
      <c r="HPJ99" s="105"/>
      <c r="HPK99" s="105"/>
      <c r="HPL99" s="105"/>
      <c r="HPM99" s="105"/>
      <c r="HPN99" s="105"/>
      <c r="HPO99" s="105"/>
      <c r="HPP99" s="105"/>
      <c r="HPQ99" s="105"/>
      <c r="HPR99" s="105"/>
      <c r="HPS99" s="105"/>
      <c r="HPT99" s="105"/>
      <c r="HPU99" s="105"/>
      <c r="HPV99" s="105"/>
      <c r="HPW99" s="105"/>
      <c r="HPX99" s="105"/>
      <c r="HPY99" s="105"/>
      <c r="HPZ99" s="105"/>
      <c r="HQA99" s="105"/>
      <c r="HQB99" s="105"/>
      <c r="HQC99" s="105"/>
      <c r="HQD99" s="105"/>
      <c r="HQE99" s="105"/>
      <c r="HQF99" s="105"/>
      <c r="HQG99" s="105"/>
      <c r="HQH99" s="105"/>
      <c r="HQI99" s="105"/>
      <c r="HQJ99" s="105"/>
      <c r="HQK99" s="105"/>
      <c r="HQL99" s="105"/>
      <c r="HQM99" s="105"/>
      <c r="HQN99" s="105"/>
      <c r="HQO99" s="105"/>
      <c r="HQP99" s="105"/>
      <c r="HQQ99" s="105"/>
      <c r="HQR99" s="105"/>
      <c r="HQS99" s="105"/>
      <c r="HQT99" s="105"/>
      <c r="HQU99" s="105"/>
      <c r="HQV99" s="105"/>
      <c r="HQW99" s="105"/>
      <c r="HQX99" s="105"/>
      <c r="HQY99" s="105"/>
      <c r="HQZ99" s="105"/>
      <c r="HRA99" s="105"/>
      <c r="HRB99" s="105"/>
      <c r="HRC99" s="105"/>
      <c r="HRD99" s="105"/>
      <c r="HRE99" s="105"/>
      <c r="HRF99" s="105"/>
      <c r="HRG99" s="105"/>
      <c r="HRH99" s="105"/>
      <c r="HRI99" s="105"/>
      <c r="HRJ99" s="105"/>
      <c r="HRK99" s="105"/>
      <c r="HRL99" s="105"/>
      <c r="HRM99" s="105"/>
      <c r="HRN99" s="105"/>
      <c r="HRO99" s="105"/>
      <c r="HRP99" s="105"/>
      <c r="HRQ99" s="105"/>
      <c r="HRR99" s="105"/>
      <c r="HRS99" s="105"/>
      <c r="HRT99" s="105"/>
      <c r="HRU99" s="105"/>
      <c r="HRV99" s="105"/>
      <c r="HRW99" s="105"/>
      <c r="HRX99" s="105"/>
      <c r="HRY99" s="105"/>
      <c r="HRZ99" s="105"/>
      <c r="HSA99" s="105"/>
      <c r="HSB99" s="105"/>
      <c r="HSC99" s="105"/>
      <c r="HSD99" s="105"/>
      <c r="HSE99" s="105"/>
      <c r="HSF99" s="105"/>
      <c r="HSG99" s="105"/>
      <c r="HSH99" s="105"/>
      <c r="HSI99" s="105"/>
      <c r="HSJ99" s="105"/>
      <c r="HSK99" s="105"/>
      <c r="HSL99" s="105"/>
      <c r="HSM99" s="105"/>
      <c r="HSN99" s="105"/>
      <c r="HSO99" s="105"/>
      <c r="HSP99" s="105"/>
      <c r="HSQ99" s="105"/>
      <c r="HSR99" s="105"/>
      <c r="HSS99" s="105"/>
      <c r="HST99" s="105"/>
      <c r="HSU99" s="105"/>
      <c r="HSV99" s="105"/>
      <c r="HSW99" s="105"/>
      <c r="HSX99" s="105"/>
      <c r="HSY99" s="105"/>
      <c r="HSZ99" s="105"/>
      <c r="HTA99" s="105"/>
      <c r="HTB99" s="105"/>
      <c r="HTC99" s="105"/>
      <c r="HTD99" s="105"/>
      <c r="HTE99" s="105"/>
      <c r="HTF99" s="105"/>
      <c r="HTG99" s="105"/>
      <c r="HTH99" s="105"/>
      <c r="HTI99" s="105"/>
      <c r="HTJ99" s="105"/>
      <c r="HTK99" s="105"/>
      <c r="HTL99" s="105"/>
      <c r="HTM99" s="105"/>
      <c r="HTN99" s="105"/>
      <c r="HTO99" s="105"/>
      <c r="HTP99" s="105"/>
      <c r="HTQ99" s="105"/>
      <c r="HTR99" s="105"/>
      <c r="HTS99" s="105"/>
      <c r="HTT99" s="105"/>
      <c r="HTU99" s="105"/>
      <c r="HTV99" s="105"/>
      <c r="HTW99" s="105"/>
      <c r="HTX99" s="105"/>
      <c r="HTY99" s="105"/>
      <c r="HTZ99" s="105"/>
      <c r="HUA99" s="105"/>
      <c r="HUB99" s="105"/>
      <c r="HUC99" s="105"/>
      <c r="HUD99" s="105"/>
      <c r="HUE99" s="105"/>
      <c r="HUF99" s="105"/>
      <c r="HUG99" s="105"/>
      <c r="HUH99" s="105"/>
      <c r="HUI99" s="105"/>
      <c r="HUJ99" s="105"/>
      <c r="HUK99" s="105"/>
      <c r="HUL99" s="105"/>
      <c r="HUM99" s="105"/>
      <c r="HUN99" s="105"/>
      <c r="HUO99" s="105"/>
      <c r="HUP99" s="105"/>
      <c r="HUQ99" s="105"/>
      <c r="HUR99" s="105"/>
      <c r="HUS99" s="105"/>
      <c r="HUT99" s="105"/>
      <c r="HUU99" s="105"/>
      <c r="HUV99" s="105"/>
      <c r="HUW99" s="105"/>
      <c r="HUX99" s="105"/>
      <c r="HUY99" s="105"/>
      <c r="HUZ99" s="105"/>
      <c r="HVA99" s="105"/>
      <c r="HVB99" s="105"/>
      <c r="HVC99" s="105"/>
      <c r="HVD99" s="105"/>
      <c r="HVE99" s="105"/>
      <c r="HVF99" s="105"/>
      <c r="HVG99" s="105"/>
      <c r="HVH99" s="105"/>
      <c r="HVI99" s="105"/>
      <c r="HVJ99" s="105"/>
      <c r="HVK99" s="105"/>
      <c r="HVL99" s="105"/>
      <c r="HVM99" s="105"/>
      <c r="HVN99" s="105"/>
      <c r="HVO99" s="105"/>
      <c r="HVP99" s="105"/>
      <c r="HVQ99" s="105"/>
      <c r="HVR99" s="105"/>
      <c r="HVS99" s="105"/>
      <c r="HVT99" s="105"/>
      <c r="HVU99" s="105"/>
      <c r="HVV99" s="105"/>
      <c r="HVW99" s="105"/>
      <c r="HVX99" s="105"/>
      <c r="HVY99" s="105"/>
      <c r="HVZ99" s="105"/>
      <c r="HWA99" s="105"/>
      <c r="HWB99" s="105"/>
      <c r="HWC99" s="105"/>
      <c r="HWD99" s="105"/>
      <c r="HWE99" s="105"/>
      <c r="HWF99" s="105"/>
      <c r="HWG99" s="105"/>
      <c r="HWH99" s="105"/>
      <c r="HWI99" s="105"/>
      <c r="HWJ99" s="105"/>
      <c r="HWK99" s="105"/>
      <c r="HWL99" s="105"/>
      <c r="HWM99" s="105"/>
      <c r="HWN99" s="105"/>
      <c r="HWO99" s="105"/>
      <c r="HWP99" s="105"/>
      <c r="HWQ99" s="105"/>
      <c r="HWR99" s="105"/>
      <c r="HWS99" s="105"/>
      <c r="HWT99" s="105"/>
      <c r="HWU99" s="105"/>
      <c r="HWV99" s="105"/>
      <c r="HWW99" s="105"/>
      <c r="HWX99" s="105"/>
      <c r="HWY99" s="105"/>
      <c r="HWZ99" s="105"/>
      <c r="HXA99" s="105"/>
      <c r="HXB99" s="105"/>
      <c r="HXC99" s="105"/>
      <c r="HXD99" s="105"/>
      <c r="HXE99" s="105"/>
      <c r="HXF99" s="105"/>
      <c r="HXG99" s="105"/>
      <c r="HXH99" s="105"/>
      <c r="HXI99" s="105"/>
      <c r="HXJ99" s="105"/>
      <c r="HXK99" s="105"/>
      <c r="HXL99" s="105"/>
      <c r="HXM99" s="105"/>
      <c r="HXN99" s="105"/>
      <c r="HXO99" s="105"/>
      <c r="HXP99" s="105"/>
      <c r="HXQ99" s="105"/>
      <c r="HXR99" s="105"/>
      <c r="HXS99" s="105"/>
      <c r="HXT99" s="105"/>
      <c r="HXU99" s="105"/>
      <c r="HXV99" s="105"/>
      <c r="HXW99" s="105"/>
      <c r="HXX99" s="105"/>
      <c r="HXY99" s="105"/>
      <c r="HXZ99" s="105"/>
      <c r="HYA99" s="105"/>
      <c r="HYB99" s="105"/>
      <c r="HYC99" s="105"/>
      <c r="HYD99" s="105"/>
      <c r="HYE99" s="105"/>
      <c r="HYF99" s="105"/>
      <c r="HYG99" s="105"/>
      <c r="HYH99" s="105"/>
      <c r="HYI99" s="105"/>
      <c r="HYJ99" s="105"/>
      <c r="HYK99" s="105"/>
      <c r="HYL99" s="105"/>
      <c r="HYM99" s="105"/>
      <c r="HYN99" s="105"/>
      <c r="HYO99" s="105"/>
      <c r="HYP99" s="105"/>
      <c r="HYQ99" s="105"/>
      <c r="HYR99" s="105"/>
      <c r="HYS99" s="105"/>
      <c r="HYT99" s="105"/>
      <c r="HYU99" s="105"/>
      <c r="HYV99" s="105"/>
      <c r="HYW99" s="105"/>
      <c r="HYX99" s="105"/>
      <c r="HYY99" s="105"/>
      <c r="HYZ99" s="105"/>
      <c r="HZA99" s="105"/>
      <c r="HZB99" s="105"/>
      <c r="HZC99" s="105"/>
      <c r="HZD99" s="105"/>
      <c r="HZE99" s="105"/>
      <c r="HZF99" s="105"/>
      <c r="HZG99" s="105"/>
      <c r="HZH99" s="105"/>
      <c r="HZI99" s="105"/>
      <c r="HZJ99" s="105"/>
      <c r="HZK99" s="105"/>
      <c r="HZL99" s="105"/>
      <c r="HZM99" s="105"/>
      <c r="HZN99" s="105"/>
      <c r="HZO99" s="105"/>
      <c r="HZP99" s="105"/>
      <c r="HZQ99" s="105"/>
      <c r="HZR99" s="105"/>
      <c r="HZS99" s="105"/>
      <c r="HZT99" s="105"/>
      <c r="HZU99" s="105"/>
      <c r="HZV99" s="105"/>
      <c r="HZW99" s="105"/>
      <c r="HZX99" s="105"/>
      <c r="HZY99" s="105"/>
      <c r="HZZ99" s="105"/>
      <c r="IAA99" s="105"/>
      <c r="IAB99" s="105"/>
      <c r="IAC99" s="105"/>
      <c r="IAD99" s="105"/>
      <c r="IAE99" s="105"/>
      <c r="IAF99" s="105"/>
      <c r="IAG99" s="105"/>
      <c r="IAH99" s="105"/>
      <c r="IAI99" s="105"/>
      <c r="IAJ99" s="105"/>
      <c r="IAK99" s="105"/>
      <c r="IAL99" s="105"/>
      <c r="IAM99" s="105"/>
      <c r="IAN99" s="105"/>
      <c r="IAO99" s="105"/>
      <c r="IAP99" s="105"/>
      <c r="IAQ99" s="105"/>
      <c r="IAR99" s="105"/>
      <c r="IAS99" s="105"/>
      <c r="IAT99" s="105"/>
      <c r="IAU99" s="105"/>
      <c r="IAV99" s="105"/>
      <c r="IAW99" s="105"/>
      <c r="IAX99" s="105"/>
      <c r="IAY99" s="105"/>
      <c r="IAZ99" s="105"/>
      <c r="IBA99" s="105"/>
      <c r="IBB99" s="105"/>
      <c r="IBC99" s="105"/>
      <c r="IBD99" s="105"/>
      <c r="IBE99" s="105"/>
      <c r="IBF99" s="105"/>
      <c r="IBG99" s="105"/>
      <c r="IBH99" s="105"/>
      <c r="IBI99" s="105"/>
      <c r="IBJ99" s="105"/>
      <c r="IBK99" s="105"/>
      <c r="IBL99" s="105"/>
      <c r="IBM99" s="105"/>
      <c r="IBN99" s="105"/>
      <c r="IBO99" s="105"/>
      <c r="IBP99" s="105"/>
      <c r="IBQ99" s="105"/>
      <c r="IBR99" s="105"/>
      <c r="IBS99" s="105"/>
      <c r="IBT99" s="105"/>
      <c r="IBU99" s="105"/>
      <c r="IBV99" s="105"/>
      <c r="IBW99" s="105"/>
      <c r="IBX99" s="105"/>
      <c r="IBY99" s="105"/>
      <c r="IBZ99" s="105"/>
      <c r="ICA99" s="105"/>
      <c r="ICB99" s="105"/>
      <c r="ICC99" s="105"/>
      <c r="ICD99" s="105"/>
      <c r="ICE99" s="105"/>
      <c r="ICF99" s="105"/>
      <c r="ICG99" s="105"/>
      <c r="ICH99" s="105"/>
      <c r="ICI99" s="105"/>
      <c r="ICJ99" s="105"/>
      <c r="ICK99" s="105"/>
      <c r="ICL99" s="105"/>
      <c r="ICM99" s="105"/>
      <c r="ICN99" s="105"/>
      <c r="ICO99" s="105"/>
      <c r="ICP99" s="105"/>
      <c r="ICQ99" s="105"/>
      <c r="ICR99" s="105"/>
      <c r="ICS99" s="105"/>
      <c r="ICT99" s="105"/>
      <c r="ICU99" s="105"/>
      <c r="ICV99" s="105"/>
      <c r="ICW99" s="105"/>
      <c r="ICX99" s="105"/>
      <c r="ICY99" s="105"/>
      <c r="ICZ99" s="105"/>
      <c r="IDA99" s="105"/>
      <c r="IDB99" s="105"/>
      <c r="IDC99" s="105"/>
      <c r="IDD99" s="105"/>
      <c r="IDE99" s="105"/>
      <c r="IDF99" s="105"/>
      <c r="IDG99" s="105"/>
      <c r="IDH99" s="105"/>
      <c r="IDI99" s="105"/>
      <c r="IDJ99" s="105"/>
      <c r="IDK99" s="105"/>
      <c r="IDL99" s="105"/>
      <c r="IDM99" s="105"/>
      <c r="IDN99" s="105"/>
      <c r="IDO99" s="105"/>
      <c r="IDP99" s="105"/>
      <c r="IDQ99" s="105"/>
      <c r="IDR99" s="105"/>
      <c r="IDS99" s="105"/>
      <c r="IDT99" s="105"/>
      <c r="IDU99" s="105"/>
      <c r="IDV99" s="105"/>
      <c r="IDW99" s="105"/>
      <c r="IDX99" s="105"/>
      <c r="IDY99" s="105"/>
      <c r="IDZ99" s="105"/>
      <c r="IEA99" s="105"/>
      <c r="IEB99" s="105"/>
      <c r="IEC99" s="105"/>
      <c r="IED99" s="105"/>
      <c r="IEE99" s="105"/>
      <c r="IEF99" s="105"/>
      <c r="IEG99" s="105"/>
      <c r="IEH99" s="105"/>
      <c r="IEI99" s="105"/>
      <c r="IEJ99" s="105"/>
      <c r="IEK99" s="105"/>
      <c r="IEL99" s="105"/>
      <c r="IEM99" s="105"/>
      <c r="IEN99" s="105"/>
      <c r="IEO99" s="105"/>
      <c r="IEP99" s="105"/>
      <c r="IEQ99" s="105"/>
      <c r="IER99" s="105"/>
      <c r="IES99" s="105"/>
      <c r="IET99" s="105"/>
      <c r="IEU99" s="105"/>
      <c r="IEV99" s="105"/>
      <c r="IEW99" s="105"/>
      <c r="IEX99" s="105"/>
      <c r="IEY99" s="105"/>
      <c r="IEZ99" s="105"/>
      <c r="IFA99" s="105"/>
      <c r="IFB99" s="105"/>
      <c r="IFC99" s="105"/>
      <c r="IFD99" s="105"/>
      <c r="IFE99" s="105"/>
      <c r="IFF99" s="105"/>
      <c r="IFG99" s="105"/>
      <c r="IFH99" s="105"/>
      <c r="IFI99" s="105"/>
      <c r="IFJ99" s="105"/>
      <c r="IFK99" s="105"/>
      <c r="IFL99" s="105"/>
      <c r="IFM99" s="105"/>
      <c r="IFN99" s="105"/>
      <c r="IFO99" s="105"/>
      <c r="IFP99" s="105"/>
      <c r="IFQ99" s="105"/>
      <c r="IFR99" s="105"/>
      <c r="IFS99" s="105"/>
      <c r="IFT99" s="105"/>
      <c r="IFU99" s="105"/>
      <c r="IFV99" s="105"/>
      <c r="IFW99" s="105"/>
      <c r="IFX99" s="105"/>
      <c r="IFY99" s="105"/>
      <c r="IFZ99" s="105"/>
      <c r="IGA99" s="105"/>
      <c r="IGB99" s="105"/>
      <c r="IGC99" s="105"/>
      <c r="IGD99" s="105"/>
      <c r="IGE99" s="105"/>
      <c r="IGF99" s="105"/>
      <c r="IGG99" s="105"/>
      <c r="IGH99" s="105"/>
      <c r="IGI99" s="105"/>
      <c r="IGJ99" s="105"/>
      <c r="IGK99" s="105"/>
      <c r="IGL99" s="105"/>
      <c r="IGM99" s="105"/>
      <c r="IGN99" s="105"/>
      <c r="IGO99" s="105"/>
      <c r="IGP99" s="105"/>
      <c r="IGQ99" s="105"/>
      <c r="IGR99" s="105"/>
      <c r="IGS99" s="105"/>
      <c r="IGT99" s="105"/>
      <c r="IGU99" s="105"/>
      <c r="IGV99" s="105"/>
      <c r="IGW99" s="105"/>
      <c r="IGX99" s="105"/>
      <c r="IGY99" s="105"/>
      <c r="IGZ99" s="105"/>
      <c r="IHA99" s="105"/>
      <c r="IHB99" s="105"/>
      <c r="IHC99" s="105"/>
      <c r="IHD99" s="105"/>
      <c r="IHE99" s="105"/>
      <c r="IHF99" s="105"/>
      <c r="IHG99" s="105"/>
      <c r="IHH99" s="105"/>
      <c r="IHI99" s="105"/>
      <c r="IHJ99" s="105"/>
      <c r="IHK99" s="105"/>
      <c r="IHL99" s="105"/>
      <c r="IHM99" s="105"/>
      <c r="IHN99" s="105"/>
      <c r="IHO99" s="105"/>
      <c r="IHP99" s="105"/>
      <c r="IHQ99" s="105"/>
      <c r="IHR99" s="105"/>
      <c r="IHS99" s="105"/>
      <c r="IHT99" s="105"/>
      <c r="IHU99" s="105"/>
      <c r="IHV99" s="105"/>
      <c r="IHW99" s="105"/>
      <c r="IHX99" s="105"/>
      <c r="IHY99" s="105"/>
      <c r="IHZ99" s="105"/>
      <c r="IIA99" s="105"/>
      <c r="IIB99" s="105"/>
      <c r="IIC99" s="105"/>
      <c r="IID99" s="105"/>
      <c r="IIE99" s="105"/>
      <c r="IIF99" s="105"/>
      <c r="IIG99" s="105"/>
      <c r="IIH99" s="105"/>
      <c r="III99" s="105"/>
      <c r="IIJ99" s="105"/>
      <c r="IIK99" s="105"/>
      <c r="IIL99" s="105"/>
      <c r="IIM99" s="105"/>
      <c r="IIN99" s="105"/>
      <c r="IIO99" s="105"/>
      <c r="IIP99" s="105"/>
      <c r="IIQ99" s="105"/>
      <c r="IIR99" s="105"/>
      <c r="IIS99" s="105"/>
      <c r="IIT99" s="105"/>
      <c r="IIU99" s="105"/>
      <c r="IIV99" s="105"/>
      <c r="IIW99" s="105"/>
      <c r="IIX99" s="105"/>
      <c r="IIY99" s="105"/>
      <c r="IIZ99" s="105"/>
      <c r="IJA99" s="105"/>
      <c r="IJB99" s="105"/>
      <c r="IJC99" s="105"/>
      <c r="IJD99" s="105"/>
      <c r="IJE99" s="105"/>
      <c r="IJF99" s="105"/>
      <c r="IJG99" s="105"/>
      <c r="IJH99" s="105"/>
      <c r="IJI99" s="105"/>
      <c r="IJJ99" s="105"/>
      <c r="IJK99" s="105"/>
      <c r="IJL99" s="105"/>
      <c r="IJM99" s="105"/>
      <c r="IJN99" s="105"/>
      <c r="IJO99" s="105"/>
      <c r="IJP99" s="105"/>
      <c r="IJQ99" s="105"/>
      <c r="IJR99" s="105"/>
      <c r="IJS99" s="105"/>
      <c r="IJT99" s="105"/>
      <c r="IJU99" s="105"/>
      <c r="IJV99" s="105"/>
      <c r="IJW99" s="105"/>
      <c r="IJX99" s="105"/>
      <c r="IJY99" s="105"/>
      <c r="IJZ99" s="105"/>
      <c r="IKA99" s="105"/>
      <c r="IKB99" s="105"/>
      <c r="IKC99" s="105"/>
      <c r="IKD99" s="105"/>
      <c r="IKE99" s="105"/>
      <c r="IKF99" s="105"/>
      <c r="IKG99" s="105"/>
      <c r="IKH99" s="105"/>
      <c r="IKI99" s="105"/>
      <c r="IKJ99" s="105"/>
      <c r="IKK99" s="105"/>
      <c r="IKL99" s="105"/>
      <c r="IKM99" s="105"/>
      <c r="IKN99" s="105"/>
      <c r="IKO99" s="105"/>
      <c r="IKP99" s="105"/>
      <c r="IKQ99" s="105"/>
      <c r="IKR99" s="105"/>
      <c r="IKS99" s="105"/>
      <c r="IKT99" s="105"/>
      <c r="IKU99" s="105"/>
      <c r="IKV99" s="105"/>
      <c r="IKW99" s="105"/>
      <c r="IKX99" s="105"/>
      <c r="IKY99" s="105"/>
      <c r="IKZ99" s="105"/>
      <c r="ILA99" s="105"/>
      <c r="ILB99" s="105"/>
      <c r="ILC99" s="105"/>
      <c r="ILD99" s="105"/>
      <c r="ILE99" s="105"/>
      <c r="ILF99" s="105"/>
      <c r="ILG99" s="105"/>
      <c r="ILH99" s="105"/>
      <c r="ILI99" s="105"/>
      <c r="ILJ99" s="105"/>
      <c r="ILK99" s="105"/>
      <c r="ILL99" s="105"/>
      <c r="ILM99" s="105"/>
      <c r="ILN99" s="105"/>
      <c r="ILO99" s="105"/>
      <c r="ILP99" s="105"/>
      <c r="ILQ99" s="105"/>
      <c r="ILR99" s="105"/>
      <c r="ILS99" s="105"/>
      <c r="ILT99" s="105"/>
      <c r="ILU99" s="105"/>
      <c r="ILV99" s="105"/>
      <c r="ILW99" s="105"/>
      <c r="ILX99" s="105"/>
      <c r="ILY99" s="105"/>
      <c r="ILZ99" s="105"/>
      <c r="IMA99" s="105"/>
      <c r="IMB99" s="105"/>
      <c r="IMC99" s="105"/>
      <c r="IMD99" s="105"/>
      <c r="IME99" s="105"/>
      <c r="IMF99" s="105"/>
      <c r="IMG99" s="105"/>
      <c r="IMH99" s="105"/>
      <c r="IMI99" s="105"/>
      <c r="IMJ99" s="105"/>
      <c r="IMK99" s="105"/>
      <c r="IML99" s="105"/>
      <c r="IMM99" s="105"/>
      <c r="IMN99" s="105"/>
      <c r="IMO99" s="105"/>
      <c r="IMP99" s="105"/>
      <c r="IMQ99" s="105"/>
      <c r="IMR99" s="105"/>
      <c r="IMS99" s="105"/>
      <c r="IMT99" s="105"/>
      <c r="IMU99" s="105"/>
      <c r="IMV99" s="105"/>
      <c r="IMW99" s="105"/>
      <c r="IMX99" s="105"/>
      <c r="IMY99" s="105"/>
      <c r="IMZ99" s="105"/>
      <c r="INA99" s="105"/>
      <c r="INB99" s="105"/>
      <c r="INC99" s="105"/>
      <c r="IND99" s="105"/>
      <c r="INE99" s="105"/>
      <c r="INF99" s="105"/>
      <c r="ING99" s="105"/>
      <c r="INH99" s="105"/>
      <c r="INI99" s="105"/>
      <c r="INJ99" s="105"/>
      <c r="INK99" s="105"/>
      <c r="INL99" s="105"/>
      <c r="INM99" s="105"/>
      <c r="INN99" s="105"/>
      <c r="INO99" s="105"/>
      <c r="INP99" s="105"/>
      <c r="INQ99" s="105"/>
      <c r="INR99" s="105"/>
      <c r="INS99" s="105"/>
      <c r="INT99" s="105"/>
      <c r="INU99" s="105"/>
      <c r="INV99" s="105"/>
      <c r="INW99" s="105"/>
      <c r="INX99" s="105"/>
      <c r="INY99" s="105"/>
      <c r="INZ99" s="105"/>
      <c r="IOA99" s="105"/>
      <c r="IOB99" s="105"/>
      <c r="IOC99" s="105"/>
      <c r="IOD99" s="105"/>
      <c r="IOE99" s="105"/>
      <c r="IOF99" s="105"/>
      <c r="IOG99" s="105"/>
      <c r="IOH99" s="105"/>
      <c r="IOI99" s="105"/>
      <c r="IOJ99" s="105"/>
      <c r="IOK99" s="105"/>
      <c r="IOL99" s="105"/>
      <c r="IOM99" s="105"/>
      <c r="ION99" s="105"/>
      <c r="IOO99" s="105"/>
      <c r="IOP99" s="105"/>
      <c r="IOQ99" s="105"/>
      <c r="IOR99" s="105"/>
      <c r="IOS99" s="105"/>
      <c r="IOT99" s="105"/>
      <c r="IOU99" s="105"/>
      <c r="IOV99" s="105"/>
      <c r="IOW99" s="105"/>
      <c r="IOX99" s="105"/>
      <c r="IOY99" s="105"/>
      <c r="IOZ99" s="105"/>
      <c r="IPA99" s="105"/>
      <c r="IPB99" s="105"/>
      <c r="IPC99" s="105"/>
      <c r="IPD99" s="105"/>
      <c r="IPE99" s="105"/>
      <c r="IPF99" s="105"/>
      <c r="IPG99" s="105"/>
      <c r="IPH99" s="105"/>
      <c r="IPI99" s="105"/>
      <c r="IPJ99" s="105"/>
      <c r="IPK99" s="105"/>
      <c r="IPL99" s="105"/>
      <c r="IPM99" s="105"/>
      <c r="IPN99" s="105"/>
      <c r="IPO99" s="105"/>
      <c r="IPP99" s="105"/>
      <c r="IPQ99" s="105"/>
      <c r="IPR99" s="105"/>
      <c r="IPS99" s="105"/>
      <c r="IPT99" s="105"/>
      <c r="IPU99" s="105"/>
      <c r="IPV99" s="105"/>
      <c r="IPW99" s="105"/>
      <c r="IPX99" s="105"/>
      <c r="IPY99" s="105"/>
      <c r="IPZ99" s="105"/>
      <c r="IQA99" s="105"/>
      <c r="IQB99" s="105"/>
      <c r="IQC99" s="105"/>
      <c r="IQD99" s="105"/>
      <c r="IQE99" s="105"/>
      <c r="IQF99" s="105"/>
      <c r="IQG99" s="105"/>
      <c r="IQH99" s="105"/>
      <c r="IQI99" s="105"/>
      <c r="IQJ99" s="105"/>
      <c r="IQK99" s="105"/>
      <c r="IQL99" s="105"/>
      <c r="IQM99" s="105"/>
      <c r="IQN99" s="105"/>
      <c r="IQO99" s="105"/>
      <c r="IQP99" s="105"/>
      <c r="IQQ99" s="105"/>
      <c r="IQR99" s="105"/>
      <c r="IQS99" s="105"/>
      <c r="IQT99" s="105"/>
      <c r="IQU99" s="105"/>
      <c r="IQV99" s="105"/>
      <c r="IQW99" s="105"/>
      <c r="IQX99" s="105"/>
      <c r="IQY99" s="105"/>
      <c r="IQZ99" s="105"/>
      <c r="IRA99" s="105"/>
      <c r="IRB99" s="105"/>
      <c r="IRC99" s="105"/>
      <c r="IRD99" s="105"/>
      <c r="IRE99" s="105"/>
      <c r="IRF99" s="105"/>
      <c r="IRG99" s="105"/>
      <c r="IRH99" s="105"/>
      <c r="IRI99" s="105"/>
      <c r="IRJ99" s="105"/>
      <c r="IRK99" s="105"/>
      <c r="IRL99" s="105"/>
      <c r="IRM99" s="105"/>
      <c r="IRN99" s="105"/>
      <c r="IRO99" s="105"/>
      <c r="IRP99" s="105"/>
      <c r="IRQ99" s="105"/>
      <c r="IRR99" s="105"/>
      <c r="IRS99" s="105"/>
      <c r="IRT99" s="105"/>
      <c r="IRU99" s="105"/>
      <c r="IRV99" s="105"/>
      <c r="IRW99" s="105"/>
      <c r="IRX99" s="105"/>
      <c r="IRY99" s="105"/>
      <c r="IRZ99" s="105"/>
      <c r="ISA99" s="105"/>
      <c r="ISB99" s="105"/>
      <c r="ISC99" s="105"/>
      <c r="ISD99" s="105"/>
      <c r="ISE99" s="105"/>
      <c r="ISF99" s="105"/>
      <c r="ISG99" s="105"/>
      <c r="ISH99" s="105"/>
      <c r="ISI99" s="105"/>
      <c r="ISJ99" s="105"/>
      <c r="ISK99" s="105"/>
      <c r="ISL99" s="105"/>
      <c r="ISM99" s="105"/>
      <c r="ISN99" s="105"/>
      <c r="ISO99" s="105"/>
      <c r="ISP99" s="105"/>
      <c r="ISQ99" s="105"/>
      <c r="ISR99" s="105"/>
      <c r="ISS99" s="105"/>
      <c r="IST99" s="105"/>
      <c r="ISU99" s="105"/>
      <c r="ISV99" s="105"/>
      <c r="ISW99" s="105"/>
      <c r="ISX99" s="105"/>
      <c r="ISY99" s="105"/>
      <c r="ISZ99" s="105"/>
      <c r="ITA99" s="105"/>
      <c r="ITB99" s="105"/>
      <c r="ITC99" s="105"/>
      <c r="ITD99" s="105"/>
      <c r="ITE99" s="105"/>
      <c r="ITF99" s="105"/>
      <c r="ITG99" s="105"/>
      <c r="ITH99" s="105"/>
      <c r="ITI99" s="105"/>
      <c r="ITJ99" s="105"/>
      <c r="ITK99" s="105"/>
      <c r="ITL99" s="105"/>
      <c r="ITM99" s="105"/>
      <c r="ITN99" s="105"/>
      <c r="ITO99" s="105"/>
      <c r="ITP99" s="105"/>
      <c r="ITQ99" s="105"/>
      <c r="ITR99" s="105"/>
      <c r="ITS99" s="105"/>
      <c r="ITT99" s="105"/>
      <c r="ITU99" s="105"/>
      <c r="ITV99" s="105"/>
      <c r="ITW99" s="105"/>
      <c r="ITX99" s="105"/>
      <c r="ITY99" s="105"/>
      <c r="ITZ99" s="105"/>
      <c r="IUA99" s="105"/>
      <c r="IUB99" s="105"/>
      <c r="IUC99" s="105"/>
      <c r="IUD99" s="105"/>
      <c r="IUE99" s="105"/>
      <c r="IUF99" s="105"/>
      <c r="IUG99" s="105"/>
      <c r="IUH99" s="105"/>
      <c r="IUI99" s="105"/>
      <c r="IUJ99" s="105"/>
      <c r="IUK99" s="105"/>
      <c r="IUL99" s="105"/>
      <c r="IUM99" s="105"/>
      <c r="IUN99" s="105"/>
      <c r="IUO99" s="105"/>
      <c r="IUP99" s="105"/>
      <c r="IUQ99" s="105"/>
      <c r="IUR99" s="105"/>
      <c r="IUS99" s="105"/>
      <c r="IUT99" s="105"/>
      <c r="IUU99" s="105"/>
      <c r="IUV99" s="105"/>
      <c r="IUW99" s="105"/>
      <c r="IUX99" s="105"/>
      <c r="IUY99" s="105"/>
      <c r="IUZ99" s="105"/>
      <c r="IVA99" s="105"/>
      <c r="IVB99" s="105"/>
      <c r="IVC99" s="105"/>
      <c r="IVD99" s="105"/>
      <c r="IVE99" s="105"/>
      <c r="IVF99" s="105"/>
      <c r="IVG99" s="105"/>
      <c r="IVH99" s="105"/>
      <c r="IVI99" s="105"/>
      <c r="IVJ99" s="105"/>
      <c r="IVK99" s="105"/>
      <c r="IVL99" s="105"/>
      <c r="IVM99" s="105"/>
      <c r="IVN99" s="105"/>
      <c r="IVO99" s="105"/>
      <c r="IVP99" s="105"/>
      <c r="IVQ99" s="105"/>
      <c r="IVR99" s="105"/>
      <c r="IVS99" s="105"/>
      <c r="IVT99" s="105"/>
      <c r="IVU99" s="105"/>
      <c r="IVV99" s="105"/>
      <c r="IVW99" s="105"/>
      <c r="IVX99" s="105"/>
      <c r="IVY99" s="105"/>
      <c r="IVZ99" s="105"/>
      <c r="IWA99" s="105"/>
      <c r="IWB99" s="105"/>
      <c r="IWC99" s="105"/>
      <c r="IWD99" s="105"/>
      <c r="IWE99" s="105"/>
      <c r="IWF99" s="105"/>
      <c r="IWG99" s="105"/>
      <c r="IWH99" s="105"/>
      <c r="IWI99" s="105"/>
      <c r="IWJ99" s="105"/>
      <c r="IWK99" s="105"/>
      <c r="IWL99" s="105"/>
      <c r="IWM99" s="105"/>
      <c r="IWN99" s="105"/>
      <c r="IWO99" s="105"/>
      <c r="IWP99" s="105"/>
      <c r="IWQ99" s="105"/>
      <c r="IWR99" s="105"/>
      <c r="IWS99" s="105"/>
      <c r="IWT99" s="105"/>
      <c r="IWU99" s="105"/>
      <c r="IWV99" s="105"/>
      <c r="IWW99" s="105"/>
      <c r="IWX99" s="105"/>
      <c r="IWY99" s="105"/>
      <c r="IWZ99" s="105"/>
      <c r="IXA99" s="105"/>
      <c r="IXB99" s="105"/>
      <c r="IXC99" s="105"/>
      <c r="IXD99" s="105"/>
      <c r="IXE99" s="105"/>
      <c r="IXF99" s="105"/>
      <c r="IXG99" s="105"/>
      <c r="IXH99" s="105"/>
      <c r="IXI99" s="105"/>
      <c r="IXJ99" s="105"/>
      <c r="IXK99" s="105"/>
      <c r="IXL99" s="105"/>
      <c r="IXM99" s="105"/>
      <c r="IXN99" s="105"/>
      <c r="IXO99" s="105"/>
      <c r="IXP99" s="105"/>
      <c r="IXQ99" s="105"/>
      <c r="IXR99" s="105"/>
      <c r="IXS99" s="105"/>
      <c r="IXT99" s="105"/>
      <c r="IXU99" s="105"/>
      <c r="IXV99" s="105"/>
      <c r="IXW99" s="105"/>
      <c r="IXX99" s="105"/>
      <c r="IXY99" s="105"/>
      <c r="IXZ99" s="105"/>
      <c r="IYA99" s="105"/>
      <c r="IYB99" s="105"/>
      <c r="IYC99" s="105"/>
      <c r="IYD99" s="105"/>
      <c r="IYE99" s="105"/>
      <c r="IYF99" s="105"/>
      <c r="IYG99" s="105"/>
      <c r="IYH99" s="105"/>
      <c r="IYI99" s="105"/>
      <c r="IYJ99" s="105"/>
      <c r="IYK99" s="105"/>
      <c r="IYL99" s="105"/>
      <c r="IYM99" s="105"/>
      <c r="IYN99" s="105"/>
      <c r="IYO99" s="105"/>
      <c r="IYP99" s="105"/>
      <c r="IYQ99" s="105"/>
      <c r="IYR99" s="105"/>
      <c r="IYS99" s="105"/>
      <c r="IYT99" s="105"/>
      <c r="IYU99" s="105"/>
      <c r="IYV99" s="105"/>
      <c r="IYW99" s="105"/>
      <c r="IYX99" s="105"/>
      <c r="IYY99" s="105"/>
      <c r="IYZ99" s="105"/>
      <c r="IZA99" s="105"/>
      <c r="IZB99" s="105"/>
      <c r="IZC99" s="105"/>
      <c r="IZD99" s="105"/>
      <c r="IZE99" s="105"/>
      <c r="IZF99" s="105"/>
      <c r="IZG99" s="105"/>
      <c r="IZH99" s="105"/>
      <c r="IZI99" s="105"/>
      <c r="IZJ99" s="105"/>
      <c r="IZK99" s="105"/>
      <c r="IZL99" s="105"/>
      <c r="IZM99" s="105"/>
      <c r="IZN99" s="105"/>
      <c r="IZO99" s="105"/>
      <c r="IZP99" s="105"/>
      <c r="IZQ99" s="105"/>
      <c r="IZR99" s="105"/>
      <c r="IZS99" s="105"/>
      <c r="IZT99" s="105"/>
      <c r="IZU99" s="105"/>
      <c r="IZV99" s="105"/>
      <c r="IZW99" s="105"/>
      <c r="IZX99" s="105"/>
      <c r="IZY99" s="105"/>
      <c r="IZZ99" s="105"/>
      <c r="JAA99" s="105"/>
      <c r="JAB99" s="105"/>
      <c r="JAC99" s="105"/>
      <c r="JAD99" s="105"/>
      <c r="JAE99" s="105"/>
      <c r="JAF99" s="105"/>
      <c r="JAG99" s="105"/>
      <c r="JAH99" s="105"/>
      <c r="JAI99" s="105"/>
      <c r="JAJ99" s="105"/>
      <c r="JAK99" s="105"/>
      <c r="JAL99" s="105"/>
      <c r="JAM99" s="105"/>
      <c r="JAN99" s="105"/>
      <c r="JAO99" s="105"/>
      <c r="JAP99" s="105"/>
      <c r="JAQ99" s="105"/>
      <c r="JAR99" s="105"/>
      <c r="JAS99" s="105"/>
      <c r="JAT99" s="105"/>
      <c r="JAU99" s="105"/>
      <c r="JAV99" s="105"/>
      <c r="JAW99" s="105"/>
      <c r="JAX99" s="105"/>
      <c r="JAY99" s="105"/>
      <c r="JAZ99" s="105"/>
      <c r="JBA99" s="105"/>
      <c r="JBB99" s="105"/>
      <c r="JBC99" s="105"/>
      <c r="JBD99" s="105"/>
      <c r="JBE99" s="105"/>
      <c r="JBF99" s="105"/>
      <c r="JBG99" s="105"/>
      <c r="JBH99" s="105"/>
      <c r="JBI99" s="105"/>
      <c r="JBJ99" s="105"/>
      <c r="JBK99" s="105"/>
      <c r="JBL99" s="105"/>
      <c r="JBM99" s="105"/>
      <c r="JBN99" s="105"/>
      <c r="JBO99" s="105"/>
      <c r="JBP99" s="105"/>
      <c r="JBQ99" s="105"/>
      <c r="JBR99" s="105"/>
      <c r="JBS99" s="105"/>
      <c r="JBT99" s="105"/>
      <c r="JBU99" s="105"/>
      <c r="JBV99" s="105"/>
      <c r="JBW99" s="105"/>
      <c r="JBX99" s="105"/>
      <c r="JBY99" s="105"/>
      <c r="JBZ99" s="105"/>
      <c r="JCA99" s="105"/>
      <c r="JCB99" s="105"/>
      <c r="JCC99" s="105"/>
      <c r="JCD99" s="105"/>
      <c r="JCE99" s="105"/>
      <c r="JCF99" s="105"/>
      <c r="JCG99" s="105"/>
      <c r="JCH99" s="105"/>
      <c r="JCI99" s="105"/>
      <c r="JCJ99" s="105"/>
      <c r="JCK99" s="105"/>
      <c r="JCL99" s="105"/>
      <c r="JCM99" s="105"/>
      <c r="JCN99" s="105"/>
      <c r="JCO99" s="105"/>
      <c r="JCP99" s="105"/>
      <c r="JCQ99" s="105"/>
      <c r="JCR99" s="105"/>
      <c r="JCS99" s="105"/>
      <c r="JCT99" s="105"/>
      <c r="JCU99" s="105"/>
      <c r="JCV99" s="105"/>
      <c r="JCW99" s="105"/>
      <c r="JCX99" s="105"/>
      <c r="JCY99" s="105"/>
      <c r="JCZ99" s="105"/>
      <c r="JDA99" s="105"/>
      <c r="JDB99" s="105"/>
      <c r="JDC99" s="105"/>
      <c r="JDD99" s="105"/>
      <c r="JDE99" s="105"/>
      <c r="JDF99" s="105"/>
      <c r="JDG99" s="105"/>
      <c r="JDH99" s="105"/>
      <c r="JDI99" s="105"/>
      <c r="JDJ99" s="105"/>
      <c r="JDK99" s="105"/>
      <c r="JDL99" s="105"/>
      <c r="JDM99" s="105"/>
      <c r="JDN99" s="105"/>
      <c r="JDO99" s="105"/>
      <c r="JDP99" s="105"/>
      <c r="JDQ99" s="105"/>
      <c r="JDR99" s="105"/>
      <c r="JDS99" s="105"/>
      <c r="JDT99" s="105"/>
      <c r="JDU99" s="105"/>
      <c r="JDV99" s="105"/>
      <c r="JDW99" s="105"/>
      <c r="JDX99" s="105"/>
      <c r="JDY99" s="105"/>
      <c r="JDZ99" s="105"/>
      <c r="JEA99" s="105"/>
      <c r="JEB99" s="105"/>
      <c r="JEC99" s="105"/>
      <c r="JED99" s="105"/>
      <c r="JEE99" s="105"/>
      <c r="JEF99" s="105"/>
      <c r="JEG99" s="105"/>
      <c r="JEH99" s="105"/>
      <c r="JEI99" s="105"/>
      <c r="JEJ99" s="105"/>
      <c r="JEK99" s="105"/>
      <c r="JEL99" s="105"/>
      <c r="JEM99" s="105"/>
      <c r="JEN99" s="105"/>
      <c r="JEO99" s="105"/>
      <c r="JEP99" s="105"/>
      <c r="JEQ99" s="105"/>
      <c r="JER99" s="105"/>
      <c r="JES99" s="105"/>
      <c r="JET99" s="105"/>
      <c r="JEU99" s="105"/>
      <c r="JEV99" s="105"/>
      <c r="JEW99" s="105"/>
      <c r="JEX99" s="105"/>
      <c r="JEY99" s="105"/>
      <c r="JEZ99" s="105"/>
      <c r="JFA99" s="105"/>
      <c r="JFB99" s="105"/>
      <c r="JFC99" s="105"/>
      <c r="JFD99" s="105"/>
      <c r="JFE99" s="105"/>
      <c r="JFF99" s="105"/>
      <c r="JFG99" s="105"/>
      <c r="JFH99" s="105"/>
      <c r="JFI99" s="105"/>
      <c r="JFJ99" s="105"/>
      <c r="JFK99" s="105"/>
      <c r="JFL99" s="105"/>
      <c r="JFM99" s="105"/>
      <c r="JFN99" s="105"/>
      <c r="JFO99" s="105"/>
      <c r="JFP99" s="105"/>
      <c r="JFQ99" s="105"/>
      <c r="JFR99" s="105"/>
      <c r="JFS99" s="105"/>
      <c r="JFT99" s="105"/>
      <c r="JFU99" s="105"/>
      <c r="JFV99" s="105"/>
      <c r="JFW99" s="105"/>
      <c r="JFX99" s="105"/>
      <c r="JFY99" s="105"/>
      <c r="JFZ99" s="105"/>
      <c r="JGA99" s="105"/>
      <c r="JGB99" s="105"/>
      <c r="JGC99" s="105"/>
      <c r="JGD99" s="105"/>
      <c r="JGE99" s="105"/>
      <c r="JGF99" s="105"/>
      <c r="JGG99" s="105"/>
      <c r="JGH99" s="105"/>
      <c r="JGI99" s="105"/>
      <c r="JGJ99" s="105"/>
      <c r="JGK99" s="105"/>
      <c r="JGL99" s="105"/>
      <c r="JGM99" s="105"/>
      <c r="JGN99" s="105"/>
      <c r="JGO99" s="105"/>
      <c r="JGP99" s="105"/>
      <c r="JGQ99" s="105"/>
      <c r="JGR99" s="105"/>
      <c r="JGS99" s="105"/>
      <c r="JGT99" s="105"/>
      <c r="JGU99" s="105"/>
      <c r="JGV99" s="105"/>
      <c r="JGW99" s="105"/>
      <c r="JGX99" s="105"/>
      <c r="JGY99" s="105"/>
      <c r="JGZ99" s="105"/>
      <c r="JHA99" s="105"/>
      <c r="JHB99" s="105"/>
      <c r="JHC99" s="105"/>
      <c r="JHD99" s="105"/>
      <c r="JHE99" s="105"/>
      <c r="JHF99" s="105"/>
      <c r="JHG99" s="105"/>
      <c r="JHH99" s="105"/>
      <c r="JHI99" s="105"/>
      <c r="JHJ99" s="105"/>
      <c r="JHK99" s="105"/>
      <c r="JHL99" s="105"/>
      <c r="JHM99" s="105"/>
      <c r="JHN99" s="105"/>
      <c r="JHO99" s="105"/>
      <c r="JHP99" s="105"/>
      <c r="JHQ99" s="105"/>
      <c r="JHR99" s="105"/>
      <c r="JHS99" s="105"/>
      <c r="JHT99" s="105"/>
      <c r="JHU99" s="105"/>
      <c r="JHV99" s="105"/>
      <c r="JHW99" s="105"/>
      <c r="JHX99" s="105"/>
      <c r="JHY99" s="105"/>
      <c r="JHZ99" s="105"/>
      <c r="JIA99" s="105"/>
      <c r="JIB99" s="105"/>
      <c r="JIC99" s="105"/>
      <c r="JID99" s="105"/>
      <c r="JIE99" s="105"/>
      <c r="JIF99" s="105"/>
      <c r="JIG99" s="105"/>
      <c r="JIH99" s="105"/>
      <c r="JII99" s="105"/>
      <c r="JIJ99" s="105"/>
      <c r="JIK99" s="105"/>
      <c r="JIL99" s="105"/>
      <c r="JIM99" s="105"/>
      <c r="JIN99" s="105"/>
      <c r="JIO99" s="105"/>
      <c r="JIP99" s="105"/>
      <c r="JIQ99" s="105"/>
      <c r="JIR99" s="105"/>
      <c r="JIS99" s="105"/>
      <c r="JIT99" s="105"/>
      <c r="JIU99" s="105"/>
      <c r="JIV99" s="105"/>
      <c r="JIW99" s="105"/>
      <c r="JIX99" s="105"/>
      <c r="JIY99" s="105"/>
      <c r="JIZ99" s="105"/>
      <c r="JJA99" s="105"/>
      <c r="JJB99" s="105"/>
      <c r="JJC99" s="105"/>
      <c r="JJD99" s="105"/>
      <c r="JJE99" s="105"/>
      <c r="JJF99" s="105"/>
      <c r="JJG99" s="105"/>
      <c r="JJH99" s="105"/>
      <c r="JJI99" s="105"/>
      <c r="JJJ99" s="105"/>
      <c r="JJK99" s="105"/>
      <c r="JJL99" s="105"/>
      <c r="JJM99" s="105"/>
      <c r="JJN99" s="105"/>
      <c r="JJO99" s="105"/>
      <c r="JJP99" s="105"/>
      <c r="JJQ99" s="105"/>
      <c r="JJR99" s="105"/>
      <c r="JJS99" s="105"/>
      <c r="JJT99" s="105"/>
      <c r="JJU99" s="105"/>
      <c r="JJV99" s="105"/>
      <c r="JJW99" s="105"/>
      <c r="JJX99" s="105"/>
      <c r="JJY99" s="105"/>
      <c r="JJZ99" s="105"/>
      <c r="JKA99" s="105"/>
      <c r="JKB99" s="105"/>
      <c r="JKC99" s="105"/>
      <c r="JKD99" s="105"/>
      <c r="JKE99" s="105"/>
      <c r="JKF99" s="105"/>
      <c r="JKG99" s="105"/>
      <c r="JKH99" s="105"/>
      <c r="JKI99" s="105"/>
      <c r="JKJ99" s="105"/>
      <c r="JKK99" s="105"/>
      <c r="JKL99" s="105"/>
      <c r="JKM99" s="105"/>
      <c r="JKN99" s="105"/>
      <c r="JKO99" s="105"/>
      <c r="JKP99" s="105"/>
      <c r="JKQ99" s="105"/>
      <c r="JKR99" s="105"/>
      <c r="JKS99" s="105"/>
      <c r="JKT99" s="105"/>
      <c r="JKU99" s="105"/>
      <c r="JKV99" s="105"/>
      <c r="JKW99" s="105"/>
      <c r="JKX99" s="105"/>
      <c r="JKY99" s="105"/>
      <c r="JKZ99" s="105"/>
      <c r="JLA99" s="105"/>
      <c r="JLB99" s="105"/>
      <c r="JLC99" s="105"/>
      <c r="JLD99" s="105"/>
      <c r="JLE99" s="105"/>
      <c r="JLF99" s="105"/>
      <c r="JLG99" s="105"/>
      <c r="JLH99" s="105"/>
      <c r="JLI99" s="105"/>
      <c r="JLJ99" s="105"/>
      <c r="JLK99" s="105"/>
      <c r="JLL99" s="105"/>
      <c r="JLM99" s="105"/>
      <c r="JLN99" s="105"/>
      <c r="JLO99" s="105"/>
      <c r="JLP99" s="105"/>
      <c r="JLQ99" s="105"/>
      <c r="JLR99" s="105"/>
      <c r="JLS99" s="105"/>
      <c r="JLT99" s="105"/>
      <c r="JLU99" s="105"/>
      <c r="JLV99" s="105"/>
      <c r="JLW99" s="105"/>
      <c r="JLX99" s="105"/>
      <c r="JLY99" s="105"/>
      <c r="JLZ99" s="105"/>
      <c r="JMA99" s="105"/>
      <c r="JMB99" s="105"/>
      <c r="JMC99" s="105"/>
      <c r="JMD99" s="105"/>
      <c r="JME99" s="105"/>
      <c r="JMF99" s="105"/>
      <c r="JMG99" s="105"/>
      <c r="JMH99" s="105"/>
      <c r="JMI99" s="105"/>
      <c r="JMJ99" s="105"/>
      <c r="JMK99" s="105"/>
      <c r="JML99" s="105"/>
      <c r="JMM99" s="105"/>
      <c r="JMN99" s="105"/>
      <c r="JMO99" s="105"/>
      <c r="JMP99" s="105"/>
      <c r="JMQ99" s="105"/>
      <c r="JMR99" s="105"/>
      <c r="JMS99" s="105"/>
      <c r="JMT99" s="105"/>
      <c r="JMU99" s="105"/>
      <c r="JMV99" s="105"/>
      <c r="JMW99" s="105"/>
      <c r="JMX99" s="105"/>
      <c r="JMY99" s="105"/>
      <c r="JMZ99" s="105"/>
      <c r="JNA99" s="105"/>
      <c r="JNB99" s="105"/>
      <c r="JNC99" s="105"/>
      <c r="JND99" s="105"/>
      <c r="JNE99" s="105"/>
      <c r="JNF99" s="105"/>
      <c r="JNG99" s="105"/>
      <c r="JNH99" s="105"/>
      <c r="JNI99" s="105"/>
      <c r="JNJ99" s="105"/>
      <c r="JNK99" s="105"/>
      <c r="JNL99" s="105"/>
      <c r="JNM99" s="105"/>
      <c r="JNN99" s="105"/>
      <c r="JNO99" s="105"/>
      <c r="JNP99" s="105"/>
      <c r="JNQ99" s="105"/>
      <c r="JNR99" s="105"/>
      <c r="JNS99" s="105"/>
      <c r="JNT99" s="105"/>
      <c r="JNU99" s="105"/>
      <c r="JNV99" s="105"/>
      <c r="JNW99" s="105"/>
      <c r="JNX99" s="105"/>
      <c r="JNY99" s="105"/>
      <c r="JNZ99" s="105"/>
      <c r="JOA99" s="105"/>
      <c r="JOB99" s="105"/>
      <c r="JOC99" s="105"/>
      <c r="JOD99" s="105"/>
      <c r="JOE99" s="105"/>
      <c r="JOF99" s="105"/>
      <c r="JOG99" s="105"/>
      <c r="JOH99" s="105"/>
      <c r="JOI99" s="105"/>
      <c r="JOJ99" s="105"/>
      <c r="JOK99" s="105"/>
      <c r="JOL99" s="105"/>
      <c r="JOM99" s="105"/>
      <c r="JON99" s="105"/>
      <c r="JOO99" s="105"/>
      <c r="JOP99" s="105"/>
      <c r="JOQ99" s="105"/>
      <c r="JOR99" s="105"/>
      <c r="JOS99" s="105"/>
      <c r="JOT99" s="105"/>
      <c r="JOU99" s="105"/>
      <c r="JOV99" s="105"/>
      <c r="JOW99" s="105"/>
      <c r="JOX99" s="105"/>
      <c r="JOY99" s="105"/>
      <c r="JOZ99" s="105"/>
      <c r="JPA99" s="105"/>
      <c r="JPB99" s="105"/>
      <c r="JPC99" s="105"/>
      <c r="JPD99" s="105"/>
      <c r="JPE99" s="105"/>
      <c r="JPF99" s="105"/>
      <c r="JPG99" s="105"/>
      <c r="JPH99" s="105"/>
      <c r="JPI99" s="105"/>
      <c r="JPJ99" s="105"/>
      <c r="JPK99" s="105"/>
      <c r="JPL99" s="105"/>
      <c r="JPM99" s="105"/>
      <c r="JPN99" s="105"/>
      <c r="JPO99" s="105"/>
      <c r="JPP99" s="105"/>
      <c r="JPQ99" s="105"/>
      <c r="JPR99" s="105"/>
      <c r="JPS99" s="105"/>
      <c r="JPT99" s="105"/>
      <c r="JPU99" s="105"/>
      <c r="JPV99" s="105"/>
      <c r="JPW99" s="105"/>
      <c r="JPX99" s="105"/>
      <c r="JPY99" s="105"/>
      <c r="JPZ99" s="105"/>
      <c r="JQA99" s="105"/>
      <c r="JQB99" s="105"/>
      <c r="JQC99" s="105"/>
      <c r="JQD99" s="105"/>
      <c r="JQE99" s="105"/>
      <c r="JQF99" s="105"/>
      <c r="JQG99" s="105"/>
      <c r="JQH99" s="105"/>
      <c r="JQI99" s="105"/>
      <c r="JQJ99" s="105"/>
      <c r="JQK99" s="105"/>
      <c r="JQL99" s="105"/>
      <c r="JQM99" s="105"/>
      <c r="JQN99" s="105"/>
      <c r="JQO99" s="105"/>
      <c r="JQP99" s="105"/>
      <c r="JQQ99" s="105"/>
      <c r="JQR99" s="105"/>
      <c r="JQS99" s="105"/>
      <c r="JQT99" s="105"/>
      <c r="JQU99" s="105"/>
      <c r="JQV99" s="105"/>
      <c r="JQW99" s="105"/>
      <c r="JQX99" s="105"/>
      <c r="JQY99" s="105"/>
      <c r="JQZ99" s="105"/>
      <c r="JRA99" s="105"/>
      <c r="JRB99" s="105"/>
      <c r="JRC99" s="105"/>
      <c r="JRD99" s="105"/>
      <c r="JRE99" s="105"/>
      <c r="JRF99" s="105"/>
      <c r="JRG99" s="105"/>
      <c r="JRH99" s="105"/>
      <c r="JRI99" s="105"/>
      <c r="JRJ99" s="105"/>
      <c r="JRK99" s="105"/>
      <c r="JRL99" s="105"/>
      <c r="JRM99" s="105"/>
      <c r="JRN99" s="105"/>
      <c r="JRO99" s="105"/>
      <c r="JRP99" s="105"/>
      <c r="JRQ99" s="105"/>
      <c r="JRR99" s="105"/>
      <c r="JRS99" s="105"/>
      <c r="JRT99" s="105"/>
      <c r="JRU99" s="105"/>
      <c r="JRV99" s="105"/>
      <c r="JRW99" s="105"/>
      <c r="JRX99" s="105"/>
      <c r="JRY99" s="105"/>
      <c r="JRZ99" s="105"/>
      <c r="JSA99" s="105"/>
      <c r="JSB99" s="105"/>
      <c r="JSC99" s="105"/>
      <c r="JSD99" s="105"/>
      <c r="JSE99" s="105"/>
      <c r="JSF99" s="105"/>
      <c r="JSG99" s="105"/>
      <c r="JSH99" s="105"/>
      <c r="JSI99" s="105"/>
      <c r="JSJ99" s="105"/>
      <c r="JSK99" s="105"/>
      <c r="JSL99" s="105"/>
      <c r="JSM99" s="105"/>
      <c r="JSN99" s="105"/>
      <c r="JSO99" s="105"/>
      <c r="JSP99" s="105"/>
      <c r="JSQ99" s="105"/>
      <c r="JSR99" s="105"/>
      <c r="JSS99" s="105"/>
      <c r="JST99" s="105"/>
      <c r="JSU99" s="105"/>
      <c r="JSV99" s="105"/>
      <c r="JSW99" s="105"/>
      <c r="JSX99" s="105"/>
      <c r="JSY99" s="105"/>
      <c r="JSZ99" s="105"/>
      <c r="JTA99" s="105"/>
      <c r="JTB99" s="105"/>
      <c r="JTC99" s="105"/>
      <c r="JTD99" s="105"/>
      <c r="JTE99" s="105"/>
      <c r="JTF99" s="105"/>
      <c r="JTG99" s="105"/>
      <c r="JTH99" s="105"/>
      <c r="JTI99" s="105"/>
      <c r="JTJ99" s="105"/>
      <c r="JTK99" s="105"/>
      <c r="JTL99" s="105"/>
      <c r="JTM99" s="105"/>
      <c r="JTN99" s="105"/>
      <c r="JTO99" s="105"/>
      <c r="JTP99" s="105"/>
      <c r="JTQ99" s="105"/>
      <c r="JTR99" s="105"/>
      <c r="JTS99" s="105"/>
      <c r="JTT99" s="105"/>
      <c r="JTU99" s="105"/>
      <c r="JTV99" s="105"/>
      <c r="JTW99" s="105"/>
      <c r="JTX99" s="105"/>
      <c r="JTY99" s="105"/>
      <c r="JTZ99" s="105"/>
      <c r="JUA99" s="105"/>
      <c r="JUB99" s="105"/>
      <c r="JUC99" s="105"/>
      <c r="JUD99" s="105"/>
      <c r="JUE99" s="105"/>
      <c r="JUF99" s="105"/>
      <c r="JUG99" s="105"/>
      <c r="JUH99" s="105"/>
      <c r="JUI99" s="105"/>
      <c r="JUJ99" s="105"/>
      <c r="JUK99" s="105"/>
      <c r="JUL99" s="105"/>
      <c r="JUM99" s="105"/>
      <c r="JUN99" s="105"/>
      <c r="JUO99" s="105"/>
      <c r="JUP99" s="105"/>
      <c r="JUQ99" s="105"/>
      <c r="JUR99" s="105"/>
      <c r="JUS99" s="105"/>
      <c r="JUT99" s="105"/>
      <c r="JUU99" s="105"/>
      <c r="JUV99" s="105"/>
      <c r="JUW99" s="105"/>
      <c r="JUX99" s="105"/>
      <c r="JUY99" s="105"/>
      <c r="JUZ99" s="105"/>
      <c r="JVA99" s="105"/>
      <c r="JVB99" s="105"/>
      <c r="JVC99" s="105"/>
      <c r="JVD99" s="105"/>
      <c r="JVE99" s="105"/>
      <c r="JVF99" s="105"/>
      <c r="JVG99" s="105"/>
      <c r="JVH99" s="105"/>
      <c r="JVI99" s="105"/>
      <c r="JVJ99" s="105"/>
      <c r="JVK99" s="105"/>
      <c r="JVL99" s="105"/>
      <c r="JVM99" s="105"/>
      <c r="JVN99" s="105"/>
      <c r="JVO99" s="105"/>
      <c r="JVP99" s="105"/>
      <c r="JVQ99" s="105"/>
      <c r="JVR99" s="105"/>
      <c r="JVS99" s="105"/>
      <c r="JVT99" s="105"/>
      <c r="JVU99" s="105"/>
      <c r="JVV99" s="105"/>
      <c r="JVW99" s="105"/>
      <c r="JVX99" s="105"/>
      <c r="JVY99" s="105"/>
      <c r="JVZ99" s="105"/>
      <c r="JWA99" s="105"/>
      <c r="JWB99" s="105"/>
      <c r="JWC99" s="105"/>
      <c r="JWD99" s="105"/>
      <c r="JWE99" s="105"/>
      <c r="JWF99" s="105"/>
      <c r="JWG99" s="105"/>
      <c r="JWH99" s="105"/>
      <c r="JWI99" s="105"/>
      <c r="JWJ99" s="105"/>
      <c r="JWK99" s="105"/>
      <c r="JWL99" s="105"/>
      <c r="JWM99" s="105"/>
      <c r="JWN99" s="105"/>
      <c r="JWO99" s="105"/>
      <c r="JWP99" s="105"/>
      <c r="JWQ99" s="105"/>
      <c r="JWR99" s="105"/>
      <c r="JWS99" s="105"/>
      <c r="JWT99" s="105"/>
      <c r="JWU99" s="105"/>
      <c r="JWV99" s="105"/>
      <c r="JWW99" s="105"/>
      <c r="JWX99" s="105"/>
      <c r="JWY99" s="105"/>
      <c r="JWZ99" s="105"/>
      <c r="JXA99" s="105"/>
      <c r="JXB99" s="105"/>
      <c r="JXC99" s="105"/>
      <c r="JXD99" s="105"/>
      <c r="JXE99" s="105"/>
      <c r="JXF99" s="105"/>
      <c r="JXG99" s="105"/>
      <c r="JXH99" s="105"/>
      <c r="JXI99" s="105"/>
      <c r="JXJ99" s="105"/>
      <c r="JXK99" s="105"/>
      <c r="JXL99" s="105"/>
      <c r="JXM99" s="105"/>
      <c r="JXN99" s="105"/>
      <c r="JXO99" s="105"/>
      <c r="JXP99" s="105"/>
      <c r="JXQ99" s="105"/>
      <c r="JXR99" s="105"/>
      <c r="JXS99" s="105"/>
      <c r="JXT99" s="105"/>
      <c r="JXU99" s="105"/>
      <c r="JXV99" s="105"/>
      <c r="JXW99" s="105"/>
      <c r="JXX99" s="105"/>
      <c r="JXY99" s="105"/>
      <c r="JXZ99" s="105"/>
      <c r="JYA99" s="105"/>
      <c r="JYB99" s="105"/>
      <c r="JYC99" s="105"/>
      <c r="JYD99" s="105"/>
      <c r="JYE99" s="105"/>
      <c r="JYF99" s="105"/>
      <c r="JYG99" s="105"/>
      <c r="JYH99" s="105"/>
      <c r="JYI99" s="105"/>
      <c r="JYJ99" s="105"/>
      <c r="JYK99" s="105"/>
      <c r="JYL99" s="105"/>
      <c r="JYM99" s="105"/>
      <c r="JYN99" s="105"/>
      <c r="JYO99" s="105"/>
      <c r="JYP99" s="105"/>
      <c r="JYQ99" s="105"/>
      <c r="JYR99" s="105"/>
      <c r="JYS99" s="105"/>
      <c r="JYT99" s="105"/>
      <c r="JYU99" s="105"/>
      <c r="JYV99" s="105"/>
      <c r="JYW99" s="105"/>
      <c r="JYX99" s="105"/>
      <c r="JYY99" s="105"/>
      <c r="JYZ99" s="105"/>
      <c r="JZA99" s="105"/>
      <c r="JZB99" s="105"/>
      <c r="JZC99" s="105"/>
      <c r="JZD99" s="105"/>
      <c r="JZE99" s="105"/>
      <c r="JZF99" s="105"/>
      <c r="JZG99" s="105"/>
      <c r="JZH99" s="105"/>
      <c r="JZI99" s="105"/>
      <c r="JZJ99" s="105"/>
      <c r="JZK99" s="105"/>
      <c r="JZL99" s="105"/>
      <c r="JZM99" s="105"/>
      <c r="JZN99" s="105"/>
      <c r="JZO99" s="105"/>
      <c r="JZP99" s="105"/>
      <c r="JZQ99" s="105"/>
      <c r="JZR99" s="105"/>
      <c r="JZS99" s="105"/>
      <c r="JZT99" s="105"/>
      <c r="JZU99" s="105"/>
      <c r="JZV99" s="105"/>
      <c r="JZW99" s="105"/>
      <c r="JZX99" s="105"/>
      <c r="JZY99" s="105"/>
      <c r="JZZ99" s="105"/>
      <c r="KAA99" s="105"/>
      <c r="KAB99" s="105"/>
      <c r="KAC99" s="105"/>
      <c r="KAD99" s="105"/>
      <c r="KAE99" s="105"/>
      <c r="KAF99" s="105"/>
      <c r="KAG99" s="105"/>
      <c r="KAH99" s="105"/>
      <c r="KAI99" s="105"/>
      <c r="KAJ99" s="105"/>
      <c r="KAK99" s="105"/>
      <c r="KAL99" s="105"/>
      <c r="KAM99" s="105"/>
      <c r="KAN99" s="105"/>
      <c r="KAO99" s="105"/>
      <c r="KAP99" s="105"/>
      <c r="KAQ99" s="105"/>
      <c r="KAR99" s="105"/>
      <c r="KAS99" s="105"/>
      <c r="KAT99" s="105"/>
      <c r="KAU99" s="105"/>
      <c r="KAV99" s="105"/>
      <c r="KAW99" s="105"/>
      <c r="KAX99" s="105"/>
      <c r="KAY99" s="105"/>
      <c r="KAZ99" s="105"/>
      <c r="KBA99" s="105"/>
      <c r="KBB99" s="105"/>
      <c r="KBC99" s="105"/>
      <c r="KBD99" s="105"/>
      <c r="KBE99" s="105"/>
      <c r="KBF99" s="105"/>
      <c r="KBG99" s="105"/>
      <c r="KBH99" s="105"/>
      <c r="KBI99" s="105"/>
      <c r="KBJ99" s="105"/>
      <c r="KBK99" s="105"/>
      <c r="KBL99" s="105"/>
      <c r="KBM99" s="105"/>
      <c r="KBN99" s="105"/>
      <c r="KBO99" s="105"/>
      <c r="KBP99" s="105"/>
      <c r="KBQ99" s="105"/>
      <c r="KBR99" s="105"/>
      <c r="KBS99" s="105"/>
      <c r="KBT99" s="105"/>
      <c r="KBU99" s="105"/>
      <c r="KBV99" s="105"/>
      <c r="KBW99" s="105"/>
      <c r="KBX99" s="105"/>
      <c r="KBY99" s="105"/>
      <c r="KBZ99" s="105"/>
      <c r="KCA99" s="105"/>
      <c r="KCB99" s="105"/>
      <c r="KCC99" s="105"/>
      <c r="KCD99" s="105"/>
      <c r="KCE99" s="105"/>
      <c r="KCF99" s="105"/>
      <c r="KCG99" s="105"/>
      <c r="KCH99" s="105"/>
      <c r="KCI99" s="105"/>
      <c r="KCJ99" s="105"/>
      <c r="KCK99" s="105"/>
      <c r="KCL99" s="105"/>
      <c r="KCM99" s="105"/>
      <c r="KCN99" s="105"/>
      <c r="KCO99" s="105"/>
      <c r="KCP99" s="105"/>
      <c r="KCQ99" s="105"/>
      <c r="KCR99" s="105"/>
      <c r="KCS99" s="105"/>
      <c r="KCT99" s="105"/>
      <c r="KCU99" s="105"/>
      <c r="KCV99" s="105"/>
      <c r="KCW99" s="105"/>
      <c r="KCX99" s="105"/>
      <c r="KCY99" s="105"/>
      <c r="KCZ99" s="105"/>
      <c r="KDA99" s="105"/>
      <c r="KDB99" s="105"/>
      <c r="KDC99" s="105"/>
      <c r="KDD99" s="105"/>
      <c r="KDE99" s="105"/>
      <c r="KDF99" s="105"/>
      <c r="KDG99" s="105"/>
      <c r="KDH99" s="105"/>
      <c r="KDI99" s="105"/>
      <c r="KDJ99" s="105"/>
      <c r="KDK99" s="105"/>
      <c r="KDL99" s="105"/>
      <c r="KDM99" s="105"/>
      <c r="KDN99" s="105"/>
      <c r="KDO99" s="105"/>
      <c r="KDP99" s="105"/>
      <c r="KDQ99" s="105"/>
      <c r="KDR99" s="105"/>
      <c r="KDS99" s="105"/>
      <c r="KDT99" s="105"/>
      <c r="KDU99" s="105"/>
      <c r="KDV99" s="105"/>
      <c r="KDW99" s="105"/>
      <c r="KDX99" s="105"/>
      <c r="KDY99" s="105"/>
      <c r="KDZ99" s="105"/>
      <c r="KEA99" s="105"/>
      <c r="KEB99" s="105"/>
      <c r="KEC99" s="105"/>
      <c r="KED99" s="105"/>
      <c r="KEE99" s="105"/>
      <c r="KEF99" s="105"/>
      <c r="KEG99" s="105"/>
      <c r="KEH99" s="105"/>
      <c r="KEI99" s="105"/>
      <c r="KEJ99" s="105"/>
      <c r="KEK99" s="105"/>
      <c r="KEL99" s="105"/>
      <c r="KEM99" s="105"/>
      <c r="KEN99" s="105"/>
      <c r="KEO99" s="105"/>
      <c r="KEP99" s="105"/>
      <c r="KEQ99" s="105"/>
      <c r="KER99" s="105"/>
      <c r="KES99" s="105"/>
      <c r="KET99" s="105"/>
      <c r="KEU99" s="105"/>
      <c r="KEV99" s="105"/>
      <c r="KEW99" s="105"/>
      <c r="KEX99" s="105"/>
      <c r="KEY99" s="105"/>
      <c r="KEZ99" s="105"/>
      <c r="KFA99" s="105"/>
      <c r="KFB99" s="105"/>
      <c r="KFC99" s="105"/>
      <c r="KFD99" s="105"/>
      <c r="KFE99" s="105"/>
      <c r="KFF99" s="105"/>
      <c r="KFG99" s="105"/>
      <c r="KFH99" s="105"/>
      <c r="KFI99" s="105"/>
      <c r="KFJ99" s="105"/>
      <c r="KFK99" s="105"/>
      <c r="KFL99" s="105"/>
      <c r="KFM99" s="105"/>
      <c r="KFN99" s="105"/>
      <c r="KFO99" s="105"/>
      <c r="KFP99" s="105"/>
      <c r="KFQ99" s="105"/>
      <c r="KFR99" s="105"/>
      <c r="KFS99" s="105"/>
      <c r="KFT99" s="105"/>
      <c r="KFU99" s="105"/>
      <c r="KFV99" s="105"/>
      <c r="KFW99" s="105"/>
      <c r="KFX99" s="105"/>
      <c r="KFY99" s="105"/>
      <c r="KFZ99" s="105"/>
      <c r="KGA99" s="105"/>
      <c r="KGB99" s="105"/>
      <c r="KGC99" s="105"/>
      <c r="KGD99" s="105"/>
      <c r="KGE99" s="105"/>
      <c r="KGF99" s="105"/>
      <c r="KGG99" s="105"/>
      <c r="KGH99" s="105"/>
      <c r="KGI99" s="105"/>
      <c r="KGJ99" s="105"/>
      <c r="KGK99" s="105"/>
      <c r="KGL99" s="105"/>
      <c r="KGM99" s="105"/>
      <c r="KGN99" s="105"/>
      <c r="KGO99" s="105"/>
      <c r="KGP99" s="105"/>
      <c r="KGQ99" s="105"/>
      <c r="KGR99" s="105"/>
      <c r="KGS99" s="105"/>
      <c r="KGT99" s="105"/>
      <c r="KGU99" s="105"/>
      <c r="KGV99" s="105"/>
      <c r="KGW99" s="105"/>
      <c r="KGX99" s="105"/>
      <c r="KGY99" s="105"/>
      <c r="KGZ99" s="105"/>
      <c r="KHA99" s="105"/>
      <c r="KHB99" s="105"/>
      <c r="KHC99" s="105"/>
      <c r="KHD99" s="105"/>
      <c r="KHE99" s="105"/>
      <c r="KHF99" s="105"/>
      <c r="KHG99" s="105"/>
      <c r="KHH99" s="105"/>
      <c r="KHI99" s="105"/>
      <c r="KHJ99" s="105"/>
      <c r="KHK99" s="105"/>
      <c r="KHL99" s="105"/>
      <c r="KHM99" s="105"/>
      <c r="KHN99" s="105"/>
      <c r="KHO99" s="105"/>
      <c r="KHP99" s="105"/>
      <c r="KHQ99" s="105"/>
      <c r="KHR99" s="105"/>
      <c r="KHS99" s="105"/>
      <c r="KHT99" s="105"/>
      <c r="KHU99" s="105"/>
      <c r="KHV99" s="105"/>
      <c r="KHW99" s="105"/>
      <c r="KHX99" s="105"/>
      <c r="KHY99" s="105"/>
      <c r="KHZ99" s="105"/>
      <c r="KIA99" s="105"/>
      <c r="KIB99" s="105"/>
      <c r="KIC99" s="105"/>
      <c r="KID99" s="105"/>
      <c r="KIE99" s="105"/>
      <c r="KIF99" s="105"/>
      <c r="KIG99" s="105"/>
      <c r="KIH99" s="105"/>
      <c r="KII99" s="105"/>
      <c r="KIJ99" s="105"/>
      <c r="KIK99" s="105"/>
      <c r="KIL99" s="105"/>
      <c r="KIM99" s="105"/>
      <c r="KIN99" s="105"/>
      <c r="KIO99" s="105"/>
      <c r="KIP99" s="105"/>
      <c r="KIQ99" s="105"/>
      <c r="KIR99" s="105"/>
      <c r="KIS99" s="105"/>
      <c r="KIT99" s="105"/>
      <c r="KIU99" s="105"/>
      <c r="KIV99" s="105"/>
      <c r="KIW99" s="105"/>
      <c r="KIX99" s="105"/>
      <c r="KIY99" s="105"/>
      <c r="KIZ99" s="105"/>
      <c r="KJA99" s="105"/>
      <c r="KJB99" s="105"/>
      <c r="KJC99" s="105"/>
      <c r="KJD99" s="105"/>
      <c r="KJE99" s="105"/>
      <c r="KJF99" s="105"/>
      <c r="KJG99" s="105"/>
      <c r="KJH99" s="105"/>
      <c r="KJI99" s="105"/>
      <c r="KJJ99" s="105"/>
      <c r="KJK99" s="105"/>
      <c r="KJL99" s="105"/>
      <c r="KJM99" s="105"/>
      <c r="KJN99" s="105"/>
      <c r="KJO99" s="105"/>
      <c r="KJP99" s="105"/>
      <c r="KJQ99" s="105"/>
      <c r="KJR99" s="105"/>
      <c r="KJS99" s="105"/>
      <c r="KJT99" s="105"/>
      <c r="KJU99" s="105"/>
      <c r="KJV99" s="105"/>
      <c r="KJW99" s="105"/>
      <c r="KJX99" s="105"/>
      <c r="KJY99" s="105"/>
      <c r="KJZ99" s="105"/>
      <c r="KKA99" s="105"/>
      <c r="KKB99" s="105"/>
      <c r="KKC99" s="105"/>
      <c r="KKD99" s="105"/>
      <c r="KKE99" s="105"/>
      <c r="KKF99" s="105"/>
      <c r="KKG99" s="105"/>
      <c r="KKH99" s="105"/>
      <c r="KKI99" s="105"/>
      <c r="KKJ99" s="105"/>
      <c r="KKK99" s="105"/>
      <c r="KKL99" s="105"/>
      <c r="KKM99" s="105"/>
      <c r="KKN99" s="105"/>
      <c r="KKO99" s="105"/>
      <c r="KKP99" s="105"/>
      <c r="KKQ99" s="105"/>
      <c r="KKR99" s="105"/>
      <c r="KKS99" s="105"/>
      <c r="KKT99" s="105"/>
      <c r="KKU99" s="105"/>
      <c r="KKV99" s="105"/>
      <c r="KKW99" s="105"/>
      <c r="KKX99" s="105"/>
      <c r="KKY99" s="105"/>
      <c r="KKZ99" s="105"/>
      <c r="KLA99" s="105"/>
      <c r="KLB99" s="105"/>
      <c r="KLC99" s="105"/>
      <c r="KLD99" s="105"/>
      <c r="KLE99" s="105"/>
      <c r="KLF99" s="105"/>
      <c r="KLG99" s="105"/>
      <c r="KLH99" s="105"/>
      <c r="KLI99" s="105"/>
      <c r="KLJ99" s="105"/>
      <c r="KLK99" s="105"/>
      <c r="KLL99" s="105"/>
      <c r="KLM99" s="105"/>
      <c r="KLN99" s="105"/>
      <c r="KLO99" s="105"/>
      <c r="KLP99" s="105"/>
      <c r="KLQ99" s="105"/>
      <c r="KLR99" s="105"/>
      <c r="KLS99" s="105"/>
      <c r="KLT99" s="105"/>
      <c r="KLU99" s="105"/>
      <c r="KLV99" s="105"/>
      <c r="KLW99" s="105"/>
      <c r="KLX99" s="105"/>
      <c r="KLY99" s="105"/>
      <c r="KLZ99" s="105"/>
      <c r="KMA99" s="105"/>
      <c r="KMB99" s="105"/>
      <c r="KMC99" s="105"/>
      <c r="KMD99" s="105"/>
      <c r="KME99" s="105"/>
      <c r="KMF99" s="105"/>
      <c r="KMG99" s="105"/>
      <c r="KMH99" s="105"/>
      <c r="KMI99" s="105"/>
      <c r="KMJ99" s="105"/>
      <c r="KMK99" s="105"/>
      <c r="KML99" s="105"/>
      <c r="KMM99" s="105"/>
      <c r="KMN99" s="105"/>
      <c r="KMO99" s="105"/>
      <c r="KMP99" s="105"/>
      <c r="KMQ99" s="105"/>
      <c r="KMR99" s="105"/>
      <c r="KMS99" s="105"/>
      <c r="KMT99" s="105"/>
      <c r="KMU99" s="105"/>
      <c r="KMV99" s="105"/>
      <c r="KMW99" s="105"/>
      <c r="KMX99" s="105"/>
      <c r="KMY99" s="105"/>
      <c r="KMZ99" s="105"/>
      <c r="KNA99" s="105"/>
      <c r="KNB99" s="105"/>
      <c r="KNC99" s="105"/>
      <c r="KND99" s="105"/>
      <c r="KNE99" s="105"/>
      <c r="KNF99" s="105"/>
      <c r="KNG99" s="105"/>
      <c r="KNH99" s="105"/>
      <c r="KNI99" s="105"/>
      <c r="KNJ99" s="105"/>
      <c r="KNK99" s="105"/>
      <c r="KNL99" s="105"/>
      <c r="KNM99" s="105"/>
      <c r="KNN99" s="105"/>
      <c r="KNO99" s="105"/>
      <c r="KNP99" s="105"/>
      <c r="KNQ99" s="105"/>
      <c r="KNR99" s="105"/>
      <c r="KNS99" s="105"/>
      <c r="KNT99" s="105"/>
      <c r="KNU99" s="105"/>
      <c r="KNV99" s="105"/>
      <c r="KNW99" s="105"/>
      <c r="KNX99" s="105"/>
      <c r="KNY99" s="105"/>
      <c r="KNZ99" s="105"/>
      <c r="KOA99" s="105"/>
      <c r="KOB99" s="105"/>
      <c r="KOC99" s="105"/>
      <c r="KOD99" s="105"/>
      <c r="KOE99" s="105"/>
      <c r="KOF99" s="105"/>
      <c r="KOG99" s="105"/>
      <c r="KOH99" s="105"/>
      <c r="KOI99" s="105"/>
      <c r="KOJ99" s="105"/>
      <c r="KOK99" s="105"/>
      <c r="KOL99" s="105"/>
      <c r="KOM99" s="105"/>
      <c r="KON99" s="105"/>
      <c r="KOO99" s="105"/>
      <c r="KOP99" s="105"/>
      <c r="KOQ99" s="105"/>
      <c r="KOR99" s="105"/>
      <c r="KOS99" s="105"/>
      <c r="KOT99" s="105"/>
      <c r="KOU99" s="105"/>
      <c r="KOV99" s="105"/>
      <c r="KOW99" s="105"/>
      <c r="KOX99" s="105"/>
      <c r="KOY99" s="105"/>
      <c r="KOZ99" s="105"/>
      <c r="KPA99" s="105"/>
      <c r="KPB99" s="105"/>
      <c r="KPC99" s="105"/>
      <c r="KPD99" s="105"/>
      <c r="KPE99" s="105"/>
      <c r="KPF99" s="105"/>
      <c r="KPG99" s="105"/>
      <c r="KPH99" s="105"/>
      <c r="KPI99" s="105"/>
      <c r="KPJ99" s="105"/>
      <c r="KPK99" s="105"/>
      <c r="KPL99" s="105"/>
      <c r="KPM99" s="105"/>
      <c r="KPN99" s="105"/>
      <c r="KPO99" s="105"/>
      <c r="KPP99" s="105"/>
      <c r="KPQ99" s="105"/>
      <c r="KPR99" s="105"/>
      <c r="KPS99" s="105"/>
      <c r="KPT99" s="105"/>
      <c r="KPU99" s="105"/>
      <c r="KPV99" s="105"/>
      <c r="KPW99" s="105"/>
      <c r="KPX99" s="105"/>
      <c r="KPY99" s="105"/>
      <c r="KPZ99" s="105"/>
      <c r="KQA99" s="105"/>
      <c r="KQB99" s="105"/>
      <c r="KQC99" s="105"/>
      <c r="KQD99" s="105"/>
      <c r="KQE99" s="105"/>
      <c r="KQF99" s="105"/>
      <c r="KQG99" s="105"/>
      <c r="KQH99" s="105"/>
      <c r="KQI99" s="105"/>
      <c r="KQJ99" s="105"/>
      <c r="KQK99" s="105"/>
      <c r="KQL99" s="105"/>
      <c r="KQM99" s="105"/>
      <c r="KQN99" s="105"/>
      <c r="KQO99" s="105"/>
      <c r="KQP99" s="105"/>
      <c r="KQQ99" s="105"/>
      <c r="KQR99" s="105"/>
      <c r="KQS99" s="105"/>
      <c r="KQT99" s="105"/>
      <c r="KQU99" s="105"/>
      <c r="KQV99" s="105"/>
      <c r="KQW99" s="105"/>
      <c r="KQX99" s="105"/>
      <c r="KQY99" s="105"/>
      <c r="KQZ99" s="105"/>
      <c r="KRA99" s="105"/>
      <c r="KRB99" s="105"/>
      <c r="KRC99" s="105"/>
      <c r="KRD99" s="105"/>
      <c r="KRE99" s="105"/>
      <c r="KRF99" s="105"/>
      <c r="KRG99" s="105"/>
      <c r="KRH99" s="105"/>
      <c r="KRI99" s="105"/>
      <c r="KRJ99" s="105"/>
      <c r="KRK99" s="105"/>
      <c r="KRL99" s="105"/>
      <c r="KRM99" s="105"/>
      <c r="KRN99" s="105"/>
      <c r="KRO99" s="105"/>
      <c r="KRP99" s="105"/>
      <c r="KRQ99" s="105"/>
      <c r="KRR99" s="105"/>
      <c r="KRS99" s="105"/>
      <c r="KRT99" s="105"/>
      <c r="KRU99" s="105"/>
      <c r="KRV99" s="105"/>
      <c r="KRW99" s="105"/>
      <c r="KRX99" s="105"/>
      <c r="KRY99" s="105"/>
      <c r="KRZ99" s="105"/>
      <c r="KSA99" s="105"/>
      <c r="KSB99" s="105"/>
      <c r="KSC99" s="105"/>
      <c r="KSD99" s="105"/>
      <c r="KSE99" s="105"/>
      <c r="KSF99" s="105"/>
      <c r="KSG99" s="105"/>
      <c r="KSH99" s="105"/>
      <c r="KSI99" s="105"/>
      <c r="KSJ99" s="105"/>
      <c r="KSK99" s="105"/>
      <c r="KSL99" s="105"/>
      <c r="KSM99" s="105"/>
      <c r="KSN99" s="105"/>
      <c r="KSO99" s="105"/>
      <c r="KSP99" s="105"/>
      <c r="KSQ99" s="105"/>
      <c r="KSR99" s="105"/>
      <c r="KSS99" s="105"/>
      <c r="KST99" s="105"/>
      <c r="KSU99" s="105"/>
      <c r="KSV99" s="105"/>
      <c r="KSW99" s="105"/>
      <c r="KSX99" s="105"/>
      <c r="KSY99" s="105"/>
      <c r="KSZ99" s="105"/>
      <c r="KTA99" s="105"/>
      <c r="KTB99" s="105"/>
      <c r="KTC99" s="105"/>
      <c r="KTD99" s="105"/>
      <c r="KTE99" s="105"/>
      <c r="KTF99" s="105"/>
      <c r="KTG99" s="105"/>
      <c r="KTH99" s="105"/>
      <c r="KTI99" s="105"/>
      <c r="KTJ99" s="105"/>
      <c r="KTK99" s="105"/>
      <c r="KTL99" s="105"/>
      <c r="KTM99" s="105"/>
      <c r="KTN99" s="105"/>
      <c r="KTO99" s="105"/>
      <c r="KTP99" s="105"/>
      <c r="KTQ99" s="105"/>
      <c r="KTR99" s="105"/>
      <c r="KTS99" s="105"/>
      <c r="KTT99" s="105"/>
      <c r="KTU99" s="105"/>
      <c r="KTV99" s="105"/>
      <c r="KTW99" s="105"/>
      <c r="KTX99" s="105"/>
      <c r="KTY99" s="105"/>
      <c r="KTZ99" s="105"/>
      <c r="KUA99" s="105"/>
      <c r="KUB99" s="105"/>
      <c r="KUC99" s="105"/>
      <c r="KUD99" s="105"/>
      <c r="KUE99" s="105"/>
      <c r="KUF99" s="105"/>
      <c r="KUG99" s="105"/>
      <c r="KUH99" s="105"/>
      <c r="KUI99" s="105"/>
      <c r="KUJ99" s="105"/>
      <c r="KUK99" s="105"/>
      <c r="KUL99" s="105"/>
      <c r="KUM99" s="105"/>
      <c r="KUN99" s="105"/>
      <c r="KUO99" s="105"/>
      <c r="KUP99" s="105"/>
      <c r="KUQ99" s="105"/>
      <c r="KUR99" s="105"/>
      <c r="KUS99" s="105"/>
      <c r="KUT99" s="105"/>
      <c r="KUU99" s="105"/>
      <c r="KUV99" s="105"/>
      <c r="KUW99" s="105"/>
      <c r="KUX99" s="105"/>
      <c r="KUY99" s="105"/>
      <c r="KUZ99" s="105"/>
      <c r="KVA99" s="105"/>
      <c r="KVB99" s="105"/>
      <c r="KVC99" s="105"/>
      <c r="KVD99" s="105"/>
      <c r="KVE99" s="105"/>
      <c r="KVF99" s="105"/>
      <c r="KVG99" s="105"/>
      <c r="KVH99" s="105"/>
      <c r="KVI99" s="105"/>
      <c r="KVJ99" s="105"/>
      <c r="KVK99" s="105"/>
      <c r="KVL99" s="105"/>
      <c r="KVM99" s="105"/>
      <c r="KVN99" s="105"/>
      <c r="KVO99" s="105"/>
      <c r="KVP99" s="105"/>
      <c r="KVQ99" s="105"/>
      <c r="KVR99" s="105"/>
      <c r="KVS99" s="105"/>
      <c r="KVT99" s="105"/>
      <c r="KVU99" s="105"/>
      <c r="KVV99" s="105"/>
      <c r="KVW99" s="105"/>
      <c r="KVX99" s="105"/>
      <c r="KVY99" s="105"/>
      <c r="KVZ99" s="105"/>
      <c r="KWA99" s="105"/>
      <c r="KWB99" s="105"/>
      <c r="KWC99" s="105"/>
      <c r="KWD99" s="105"/>
      <c r="KWE99" s="105"/>
      <c r="KWF99" s="105"/>
      <c r="KWG99" s="105"/>
      <c r="KWH99" s="105"/>
      <c r="KWI99" s="105"/>
      <c r="KWJ99" s="105"/>
      <c r="KWK99" s="105"/>
      <c r="KWL99" s="105"/>
      <c r="KWM99" s="105"/>
      <c r="KWN99" s="105"/>
      <c r="KWO99" s="105"/>
      <c r="KWP99" s="105"/>
      <c r="KWQ99" s="105"/>
      <c r="KWR99" s="105"/>
      <c r="KWS99" s="105"/>
      <c r="KWT99" s="105"/>
      <c r="KWU99" s="105"/>
      <c r="KWV99" s="105"/>
      <c r="KWW99" s="105"/>
      <c r="KWX99" s="105"/>
      <c r="KWY99" s="105"/>
      <c r="KWZ99" s="105"/>
      <c r="KXA99" s="105"/>
      <c r="KXB99" s="105"/>
      <c r="KXC99" s="105"/>
      <c r="KXD99" s="105"/>
      <c r="KXE99" s="105"/>
      <c r="KXF99" s="105"/>
      <c r="KXG99" s="105"/>
      <c r="KXH99" s="105"/>
      <c r="KXI99" s="105"/>
      <c r="KXJ99" s="105"/>
      <c r="KXK99" s="105"/>
      <c r="KXL99" s="105"/>
      <c r="KXM99" s="105"/>
      <c r="KXN99" s="105"/>
      <c r="KXO99" s="105"/>
      <c r="KXP99" s="105"/>
      <c r="KXQ99" s="105"/>
      <c r="KXR99" s="105"/>
      <c r="KXS99" s="105"/>
      <c r="KXT99" s="105"/>
      <c r="KXU99" s="105"/>
      <c r="KXV99" s="105"/>
      <c r="KXW99" s="105"/>
      <c r="KXX99" s="105"/>
      <c r="KXY99" s="105"/>
      <c r="KXZ99" s="105"/>
      <c r="KYA99" s="105"/>
      <c r="KYB99" s="105"/>
      <c r="KYC99" s="105"/>
      <c r="KYD99" s="105"/>
      <c r="KYE99" s="105"/>
      <c r="KYF99" s="105"/>
      <c r="KYG99" s="105"/>
      <c r="KYH99" s="105"/>
      <c r="KYI99" s="105"/>
      <c r="KYJ99" s="105"/>
      <c r="KYK99" s="105"/>
      <c r="KYL99" s="105"/>
      <c r="KYM99" s="105"/>
      <c r="KYN99" s="105"/>
      <c r="KYO99" s="105"/>
      <c r="KYP99" s="105"/>
      <c r="KYQ99" s="105"/>
      <c r="KYR99" s="105"/>
      <c r="KYS99" s="105"/>
      <c r="KYT99" s="105"/>
      <c r="KYU99" s="105"/>
      <c r="KYV99" s="105"/>
      <c r="KYW99" s="105"/>
      <c r="KYX99" s="105"/>
      <c r="KYY99" s="105"/>
      <c r="KYZ99" s="105"/>
      <c r="KZA99" s="105"/>
      <c r="KZB99" s="105"/>
      <c r="KZC99" s="105"/>
      <c r="KZD99" s="105"/>
      <c r="KZE99" s="105"/>
      <c r="KZF99" s="105"/>
      <c r="KZG99" s="105"/>
      <c r="KZH99" s="105"/>
      <c r="KZI99" s="105"/>
      <c r="KZJ99" s="105"/>
      <c r="KZK99" s="105"/>
      <c r="KZL99" s="105"/>
      <c r="KZM99" s="105"/>
      <c r="KZN99" s="105"/>
      <c r="KZO99" s="105"/>
      <c r="KZP99" s="105"/>
      <c r="KZQ99" s="105"/>
      <c r="KZR99" s="105"/>
      <c r="KZS99" s="105"/>
      <c r="KZT99" s="105"/>
      <c r="KZU99" s="105"/>
      <c r="KZV99" s="105"/>
      <c r="KZW99" s="105"/>
      <c r="KZX99" s="105"/>
      <c r="KZY99" s="105"/>
      <c r="KZZ99" s="105"/>
      <c r="LAA99" s="105"/>
      <c r="LAB99" s="105"/>
      <c r="LAC99" s="105"/>
      <c r="LAD99" s="105"/>
      <c r="LAE99" s="105"/>
      <c r="LAF99" s="105"/>
      <c r="LAG99" s="105"/>
      <c r="LAH99" s="105"/>
      <c r="LAI99" s="105"/>
      <c r="LAJ99" s="105"/>
      <c r="LAK99" s="105"/>
      <c r="LAL99" s="105"/>
      <c r="LAM99" s="105"/>
      <c r="LAN99" s="105"/>
      <c r="LAO99" s="105"/>
      <c r="LAP99" s="105"/>
      <c r="LAQ99" s="105"/>
      <c r="LAR99" s="105"/>
      <c r="LAS99" s="105"/>
      <c r="LAT99" s="105"/>
      <c r="LAU99" s="105"/>
      <c r="LAV99" s="105"/>
      <c r="LAW99" s="105"/>
      <c r="LAX99" s="105"/>
      <c r="LAY99" s="105"/>
      <c r="LAZ99" s="105"/>
      <c r="LBA99" s="105"/>
      <c r="LBB99" s="105"/>
      <c r="LBC99" s="105"/>
      <c r="LBD99" s="105"/>
      <c r="LBE99" s="105"/>
      <c r="LBF99" s="105"/>
      <c r="LBG99" s="105"/>
      <c r="LBH99" s="105"/>
      <c r="LBI99" s="105"/>
      <c r="LBJ99" s="105"/>
      <c r="LBK99" s="105"/>
      <c r="LBL99" s="105"/>
      <c r="LBM99" s="105"/>
      <c r="LBN99" s="105"/>
      <c r="LBO99" s="105"/>
      <c r="LBP99" s="105"/>
      <c r="LBQ99" s="105"/>
      <c r="LBR99" s="105"/>
      <c r="LBS99" s="105"/>
      <c r="LBT99" s="105"/>
      <c r="LBU99" s="105"/>
      <c r="LBV99" s="105"/>
      <c r="LBW99" s="105"/>
      <c r="LBX99" s="105"/>
      <c r="LBY99" s="105"/>
      <c r="LBZ99" s="105"/>
      <c r="LCA99" s="105"/>
      <c r="LCB99" s="105"/>
      <c r="LCC99" s="105"/>
      <c r="LCD99" s="105"/>
      <c r="LCE99" s="105"/>
      <c r="LCF99" s="105"/>
      <c r="LCG99" s="105"/>
      <c r="LCH99" s="105"/>
      <c r="LCI99" s="105"/>
      <c r="LCJ99" s="105"/>
      <c r="LCK99" s="105"/>
      <c r="LCL99" s="105"/>
      <c r="LCM99" s="105"/>
      <c r="LCN99" s="105"/>
      <c r="LCO99" s="105"/>
      <c r="LCP99" s="105"/>
      <c r="LCQ99" s="105"/>
      <c r="LCR99" s="105"/>
      <c r="LCS99" s="105"/>
      <c r="LCT99" s="105"/>
      <c r="LCU99" s="105"/>
      <c r="LCV99" s="105"/>
      <c r="LCW99" s="105"/>
      <c r="LCX99" s="105"/>
      <c r="LCY99" s="105"/>
      <c r="LCZ99" s="105"/>
      <c r="LDA99" s="105"/>
      <c r="LDB99" s="105"/>
      <c r="LDC99" s="105"/>
      <c r="LDD99" s="105"/>
      <c r="LDE99" s="105"/>
      <c r="LDF99" s="105"/>
      <c r="LDG99" s="105"/>
      <c r="LDH99" s="105"/>
      <c r="LDI99" s="105"/>
      <c r="LDJ99" s="105"/>
      <c r="LDK99" s="105"/>
      <c r="LDL99" s="105"/>
      <c r="LDM99" s="105"/>
      <c r="LDN99" s="105"/>
      <c r="LDO99" s="105"/>
      <c r="LDP99" s="105"/>
      <c r="LDQ99" s="105"/>
      <c r="LDR99" s="105"/>
      <c r="LDS99" s="105"/>
      <c r="LDT99" s="105"/>
      <c r="LDU99" s="105"/>
      <c r="LDV99" s="105"/>
      <c r="LDW99" s="105"/>
      <c r="LDX99" s="105"/>
      <c r="LDY99" s="105"/>
      <c r="LDZ99" s="105"/>
      <c r="LEA99" s="105"/>
      <c r="LEB99" s="105"/>
      <c r="LEC99" s="105"/>
      <c r="LED99" s="105"/>
      <c r="LEE99" s="105"/>
      <c r="LEF99" s="105"/>
      <c r="LEG99" s="105"/>
      <c r="LEH99" s="105"/>
      <c r="LEI99" s="105"/>
      <c r="LEJ99" s="105"/>
      <c r="LEK99" s="105"/>
      <c r="LEL99" s="105"/>
      <c r="LEM99" s="105"/>
      <c r="LEN99" s="105"/>
      <c r="LEO99" s="105"/>
      <c r="LEP99" s="105"/>
      <c r="LEQ99" s="105"/>
      <c r="LER99" s="105"/>
      <c r="LES99" s="105"/>
      <c r="LET99" s="105"/>
      <c r="LEU99" s="105"/>
      <c r="LEV99" s="105"/>
      <c r="LEW99" s="105"/>
      <c r="LEX99" s="105"/>
      <c r="LEY99" s="105"/>
      <c r="LEZ99" s="105"/>
      <c r="LFA99" s="105"/>
      <c r="LFB99" s="105"/>
      <c r="LFC99" s="105"/>
      <c r="LFD99" s="105"/>
      <c r="LFE99" s="105"/>
      <c r="LFF99" s="105"/>
      <c r="LFG99" s="105"/>
      <c r="LFH99" s="105"/>
      <c r="LFI99" s="105"/>
      <c r="LFJ99" s="105"/>
      <c r="LFK99" s="105"/>
      <c r="LFL99" s="105"/>
      <c r="LFM99" s="105"/>
      <c r="LFN99" s="105"/>
      <c r="LFO99" s="105"/>
      <c r="LFP99" s="105"/>
      <c r="LFQ99" s="105"/>
      <c r="LFR99" s="105"/>
      <c r="LFS99" s="105"/>
      <c r="LFT99" s="105"/>
      <c r="LFU99" s="105"/>
      <c r="LFV99" s="105"/>
      <c r="LFW99" s="105"/>
      <c r="LFX99" s="105"/>
      <c r="LFY99" s="105"/>
      <c r="LFZ99" s="105"/>
      <c r="LGA99" s="105"/>
      <c r="LGB99" s="105"/>
      <c r="LGC99" s="105"/>
      <c r="LGD99" s="105"/>
      <c r="LGE99" s="105"/>
      <c r="LGF99" s="105"/>
      <c r="LGG99" s="105"/>
      <c r="LGH99" s="105"/>
      <c r="LGI99" s="105"/>
      <c r="LGJ99" s="105"/>
      <c r="LGK99" s="105"/>
      <c r="LGL99" s="105"/>
      <c r="LGM99" s="105"/>
      <c r="LGN99" s="105"/>
      <c r="LGO99" s="105"/>
      <c r="LGP99" s="105"/>
      <c r="LGQ99" s="105"/>
      <c r="LGR99" s="105"/>
      <c r="LGS99" s="105"/>
      <c r="LGT99" s="105"/>
      <c r="LGU99" s="105"/>
      <c r="LGV99" s="105"/>
      <c r="LGW99" s="105"/>
      <c r="LGX99" s="105"/>
      <c r="LGY99" s="105"/>
      <c r="LGZ99" s="105"/>
      <c r="LHA99" s="105"/>
      <c r="LHB99" s="105"/>
      <c r="LHC99" s="105"/>
      <c r="LHD99" s="105"/>
      <c r="LHE99" s="105"/>
      <c r="LHF99" s="105"/>
      <c r="LHG99" s="105"/>
      <c r="LHH99" s="105"/>
      <c r="LHI99" s="105"/>
      <c r="LHJ99" s="105"/>
      <c r="LHK99" s="105"/>
      <c r="LHL99" s="105"/>
      <c r="LHM99" s="105"/>
      <c r="LHN99" s="105"/>
      <c r="LHO99" s="105"/>
      <c r="LHP99" s="105"/>
      <c r="LHQ99" s="105"/>
      <c r="LHR99" s="105"/>
      <c r="LHS99" s="105"/>
      <c r="LHT99" s="105"/>
      <c r="LHU99" s="105"/>
      <c r="LHV99" s="105"/>
      <c r="LHW99" s="105"/>
      <c r="LHX99" s="105"/>
      <c r="LHY99" s="105"/>
      <c r="LHZ99" s="105"/>
      <c r="LIA99" s="105"/>
      <c r="LIB99" s="105"/>
      <c r="LIC99" s="105"/>
      <c r="LID99" s="105"/>
      <c r="LIE99" s="105"/>
      <c r="LIF99" s="105"/>
      <c r="LIG99" s="105"/>
      <c r="LIH99" s="105"/>
      <c r="LII99" s="105"/>
      <c r="LIJ99" s="105"/>
      <c r="LIK99" s="105"/>
      <c r="LIL99" s="105"/>
      <c r="LIM99" s="105"/>
      <c r="LIN99" s="105"/>
      <c r="LIO99" s="105"/>
      <c r="LIP99" s="105"/>
      <c r="LIQ99" s="105"/>
      <c r="LIR99" s="105"/>
      <c r="LIS99" s="105"/>
      <c r="LIT99" s="105"/>
      <c r="LIU99" s="105"/>
      <c r="LIV99" s="105"/>
      <c r="LIW99" s="105"/>
      <c r="LIX99" s="105"/>
      <c r="LIY99" s="105"/>
      <c r="LIZ99" s="105"/>
      <c r="LJA99" s="105"/>
      <c r="LJB99" s="105"/>
      <c r="LJC99" s="105"/>
      <c r="LJD99" s="105"/>
      <c r="LJE99" s="105"/>
      <c r="LJF99" s="105"/>
      <c r="LJG99" s="105"/>
      <c r="LJH99" s="105"/>
      <c r="LJI99" s="105"/>
      <c r="LJJ99" s="105"/>
      <c r="LJK99" s="105"/>
      <c r="LJL99" s="105"/>
      <c r="LJM99" s="105"/>
      <c r="LJN99" s="105"/>
      <c r="LJO99" s="105"/>
      <c r="LJP99" s="105"/>
      <c r="LJQ99" s="105"/>
      <c r="LJR99" s="105"/>
      <c r="LJS99" s="105"/>
      <c r="LJT99" s="105"/>
      <c r="LJU99" s="105"/>
      <c r="LJV99" s="105"/>
      <c r="LJW99" s="105"/>
      <c r="LJX99" s="105"/>
      <c r="LJY99" s="105"/>
      <c r="LJZ99" s="105"/>
      <c r="LKA99" s="105"/>
      <c r="LKB99" s="105"/>
      <c r="LKC99" s="105"/>
      <c r="LKD99" s="105"/>
      <c r="LKE99" s="105"/>
      <c r="LKF99" s="105"/>
      <c r="LKG99" s="105"/>
      <c r="LKH99" s="105"/>
      <c r="LKI99" s="105"/>
      <c r="LKJ99" s="105"/>
      <c r="LKK99" s="105"/>
      <c r="LKL99" s="105"/>
      <c r="LKM99" s="105"/>
      <c r="LKN99" s="105"/>
      <c r="LKO99" s="105"/>
      <c r="LKP99" s="105"/>
      <c r="LKQ99" s="105"/>
      <c r="LKR99" s="105"/>
      <c r="LKS99" s="105"/>
      <c r="LKT99" s="105"/>
      <c r="LKU99" s="105"/>
      <c r="LKV99" s="105"/>
      <c r="LKW99" s="105"/>
      <c r="LKX99" s="105"/>
      <c r="LKY99" s="105"/>
      <c r="LKZ99" s="105"/>
      <c r="LLA99" s="105"/>
      <c r="LLB99" s="105"/>
      <c r="LLC99" s="105"/>
      <c r="LLD99" s="105"/>
      <c r="LLE99" s="105"/>
      <c r="LLF99" s="105"/>
      <c r="LLG99" s="105"/>
      <c r="LLH99" s="105"/>
      <c r="LLI99" s="105"/>
      <c r="LLJ99" s="105"/>
      <c r="LLK99" s="105"/>
      <c r="LLL99" s="105"/>
      <c r="LLM99" s="105"/>
      <c r="LLN99" s="105"/>
      <c r="LLO99" s="105"/>
      <c r="LLP99" s="105"/>
      <c r="LLQ99" s="105"/>
      <c r="LLR99" s="105"/>
      <c r="LLS99" s="105"/>
      <c r="LLT99" s="105"/>
      <c r="LLU99" s="105"/>
      <c r="LLV99" s="105"/>
      <c r="LLW99" s="105"/>
      <c r="LLX99" s="105"/>
      <c r="LLY99" s="105"/>
      <c r="LLZ99" s="105"/>
      <c r="LMA99" s="105"/>
      <c r="LMB99" s="105"/>
      <c r="LMC99" s="105"/>
      <c r="LMD99" s="105"/>
      <c r="LME99" s="105"/>
      <c r="LMF99" s="105"/>
      <c r="LMG99" s="105"/>
      <c r="LMH99" s="105"/>
      <c r="LMI99" s="105"/>
      <c r="LMJ99" s="105"/>
      <c r="LMK99" s="105"/>
      <c r="LML99" s="105"/>
      <c r="LMM99" s="105"/>
      <c r="LMN99" s="105"/>
      <c r="LMO99" s="105"/>
      <c r="LMP99" s="105"/>
      <c r="LMQ99" s="105"/>
      <c r="LMR99" s="105"/>
      <c r="LMS99" s="105"/>
      <c r="LMT99" s="105"/>
      <c r="LMU99" s="105"/>
      <c r="LMV99" s="105"/>
      <c r="LMW99" s="105"/>
      <c r="LMX99" s="105"/>
      <c r="LMY99" s="105"/>
      <c r="LMZ99" s="105"/>
      <c r="LNA99" s="105"/>
      <c r="LNB99" s="105"/>
      <c r="LNC99" s="105"/>
      <c r="LND99" s="105"/>
      <c r="LNE99" s="105"/>
      <c r="LNF99" s="105"/>
      <c r="LNG99" s="105"/>
      <c r="LNH99" s="105"/>
      <c r="LNI99" s="105"/>
      <c r="LNJ99" s="105"/>
      <c r="LNK99" s="105"/>
      <c r="LNL99" s="105"/>
      <c r="LNM99" s="105"/>
      <c r="LNN99" s="105"/>
      <c r="LNO99" s="105"/>
      <c r="LNP99" s="105"/>
      <c r="LNQ99" s="105"/>
      <c r="LNR99" s="105"/>
      <c r="LNS99" s="105"/>
      <c r="LNT99" s="105"/>
      <c r="LNU99" s="105"/>
      <c r="LNV99" s="105"/>
      <c r="LNW99" s="105"/>
      <c r="LNX99" s="105"/>
      <c r="LNY99" s="105"/>
      <c r="LNZ99" s="105"/>
      <c r="LOA99" s="105"/>
      <c r="LOB99" s="105"/>
      <c r="LOC99" s="105"/>
      <c r="LOD99" s="105"/>
      <c r="LOE99" s="105"/>
      <c r="LOF99" s="105"/>
      <c r="LOG99" s="105"/>
      <c r="LOH99" s="105"/>
      <c r="LOI99" s="105"/>
      <c r="LOJ99" s="105"/>
      <c r="LOK99" s="105"/>
      <c r="LOL99" s="105"/>
      <c r="LOM99" s="105"/>
      <c r="LON99" s="105"/>
      <c r="LOO99" s="105"/>
      <c r="LOP99" s="105"/>
      <c r="LOQ99" s="105"/>
      <c r="LOR99" s="105"/>
      <c r="LOS99" s="105"/>
      <c r="LOT99" s="105"/>
      <c r="LOU99" s="105"/>
      <c r="LOV99" s="105"/>
      <c r="LOW99" s="105"/>
      <c r="LOX99" s="105"/>
      <c r="LOY99" s="105"/>
      <c r="LOZ99" s="105"/>
      <c r="LPA99" s="105"/>
      <c r="LPB99" s="105"/>
      <c r="LPC99" s="105"/>
      <c r="LPD99" s="105"/>
      <c r="LPE99" s="105"/>
      <c r="LPF99" s="105"/>
      <c r="LPG99" s="105"/>
      <c r="LPH99" s="105"/>
      <c r="LPI99" s="105"/>
      <c r="LPJ99" s="105"/>
      <c r="LPK99" s="105"/>
      <c r="LPL99" s="105"/>
      <c r="LPM99" s="105"/>
      <c r="LPN99" s="105"/>
      <c r="LPO99" s="105"/>
      <c r="LPP99" s="105"/>
      <c r="LPQ99" s="105"/>
      <c r="LPR99" s="105"/>
      <c r="LPS99" s="105"/>
      <c r="LPT99" s="105"/>
      <c r="LPU99" s="105"/>
      <c r="LPV99" s="105"/>
      <c r="LPW99" s="105"/>
      <c r="LPX99" s="105"/>
      <c r="LPY99" s="105"/>
      <c r="LPZ99" s="105"/>
      <c r="LQA99" s="105"/>
      <c r="LQB99" s="105"/>
      <c r="LQC99" s="105"/>
      <c r="LQD99" s="105"/>
      <c r="LQE99" s="105"/>
      <c r="LQF99" s="105"/>
      <c r="LQG99" s="105"/>
      <c r="LQH99" s="105"/>
      <c r="LQI99" s="105"/>
      <c r="LQJ99" s="105"/>
      <c r="LQK99" s="105"/>
      <c r="LQL99" s="105"/>
      <c r="LQM99" s="105"/>
      <c r="LQN99" s="105"/>
      <c r="LQO99" s="105"/>
      <c r="LQP99" s="105"/>
      <c r="LQQ99" s="105"/>
      <c r="LQR99" s="105"/>
      <c r="LQS99" s="105"/>
      <c r="LQT99" s="105"/>
      <c r="LQU99" s="105"/>
      <c r="LQV99" s="105"/>
      <c r="LQW99" s="105"/>
      <c r="LQX99" s="105"/>
      <c r="LQY99" s="105"/>
      <c r="LQZ99" s="105"/>
      <c r="LRA99" s="105"/>
      <c r="LRB99" s="105"/>
      <c r="LRC99" s="105"/>
      <c r="LRD99" s="105"/>
      <c r="LRE99" s="105"/>
      <c r="LRF99" s="105"/>
      <c r="LRG99" s="105"/>
      <c r="LRH99" s="105"/>
      <c r="LRI99" s="105"/>
      <c r="LRJ99" s="105"/>
      <c r="LRK99" s="105"/>
      <c r="LRL99" s="105"/>
      <c r="LRM99" s="105"/>
      <c r="LRN99" s="105"/>
      <c r="LRO99" s="105"/>
      <c r="LRP99" s="105"/>
      <c r="LRQ99" s="105"/>
      <c r="LRR99" s="105"/>
      <c r="LRS99" s="105"/>
      <c r="LRT99" s="105"/>
      <c r="LRU99" s="105"/>
      <c r="LRV99" s="105"/>
      <c r="LRW99" s="105"/>
      <c r="LRX99" s="105"/>
      <c r="LRY99" s="105"/>
      <c r="LRZ99" s="105"/>
      <c r="LSA99" s="105"/>
      <c r="LSB99" s="105"/>
      <c r="LSC99" s="105"/>
      <c r="LSD99" s="105"/>
      <c r="LSE99" s="105"/>
      <c r="LSF99" s="105"/>
      <c r="LSG99" s="105"/>
      <c r="LSH99" s="105"/>
      <c r="LSI99" s="105"/>
      <c r="LSJ99" s="105"/>
      <c r="LSK99" s="105"/>
      <c r="LSL99" s="105"/>
      <c r="LSM99" s="105"/>
      <c r="LSN99" s="105"/>
      <c r="LSO99" s="105"/>
      <c r="LSP99" s="105"/>
      <c r="LSQ99" s="105"/>
      <c r="LSR99" s="105"/>
      <c r="LSS99" s="105"/>
      <c r="LST99" s="105"/>
      <c r="LSU99" s="105"/>
      <c r="LSV99" s="105"/>
      <c r="LSW99" s="105"/>
      <c r="LSX99" s="105"/>
      <c r="LSY99" s="105"/>
      <c r="LSZ99" s="105"/>
      <c r="LTA99" s="105"/>
      <c r="LTB99" s="105"/>
      <c r="LTC99" s="105"/>
      <c r="LTD99" s="105"/>
      <c r="LTE99" s="105"/>
      <c r="LTF99" s="105"/>
      <c r="LTG99" s="105"/>
      <c r="LTH99" s="105"/>
      <c r="LTI99" s="105"/>
      <c r="LTJ99" s="105"/>
      <c r="LTK99" s="105"/>
      <c r="LTL99" s="105"/>
      <c r="LTM99" s="105"/>
      <c r="LTN99" s="105"/>
      <c r="LTO99" s="105"/>
      <c r="LTP99" s="105"/>
      <c r="LTQ99" s="105"/>
      <c r="LTR99" s="105"/>
      <c r="LTS99" s="105"/>
      <c r="LTT99" s="105"/>
      <c r="LTU99" s="105"/>
      <c r="LTV99" s="105"/>
      <c r="LTW99" s="105"/>
      <c r="LTX99" s="105"/>
      <c r="LTY99" s="105"/>
      <c r="LTZ99" s="105"/>
      <c r="LUA99" s="105"/>
      <c r="LUB99" s="105"/>
      <c r="LUC99" s="105"/>
      <c r="LUD99" s="105"/>
      <c r="LUE99" s="105"/>
      <c r="LUF99" s="105"/>
      <c r="LUG99" s="105"/>
      <c r="LUH99" s="105"/>
      <c r="LUI99" s="105"/>
      <c r="LUJ99" s="105"/>
      <c r="LUK99" s="105"/>
      <c r="LUL99" s="105"/>
      <c r="LUM99" s="105"/>
      <c r="LUN99" s="105"/>
      <c r="LUO99" s="105"/>
      <c r="LUP99" s="105"/>
      <c r="LUQ99" s="105"/>
      <c r="LUR99" s="105"/>
      <c r="LUS99" s="105"/>
      <c r="LUT99" s="105"/>
      <c r="LUU99" s="105"/>
      <c r="LUV99" s="105"/>
      <c r="LUW99" s="105"/>
      <c r="LUX99" s="105"/>
      <c r="LUY99" s="105"/>
      <c r="LUZ99" s="105"/>
      <c r="LVA99" s="105"/>
      <c r="LVB99" s="105"/>
      <c r="LVC99" s="105"/>
      <c r="LVD99" s="105"/>
      <c r="LVE99" s="105"/>
      <c r="LVF99" s="105"/>
      <c r="LVG99" s="105"/>
      <c r="LVH99" s="105"/>
      <c r="LVI99" s="105"/>
      <c r="LVJ99" s="105"/>
      <c r="LVK99" s="105"/>
      <c r="LVL99" s="105"/>
      <c r="LVM99" s="105"/>
      <c r="LVN99" s="105"/>
      <c r="LVO99" s="105"/>
      <c r="LVP99" s="105"/>
      <c r="LVQ99" s="105"/>
      <c r="LVR99" s="105"/>
      <c r="LVS99" s="105"/>
      <c r="LVT99" s="105"/>
      <c r="LVU99" s="105"/>
      <c r="LVV99" s="105"/>
      <c r="LVW99" s="105"/>
      <c r="LVX99" s="105"/>
      <c r="LVY99" s="105"/>
      <c r="LVZ99" s="105"/>
      <c r="LWA99" s="105"/>
      <c r="LWB99" s="105"/>
      <c r="LWC99" s="105"/>
      <c r="LWD99" s="105"/>
      <c r="LWE99" s="105"/>
      <c r="LWF99" s="105"/>
      <c r="LWG99" s="105"/>
      <c r="LWH99" s="105"/>
      <c r="LWI99" s="105"/>
      <c r="LWJ99" s="105"/>
      <c r="LWK99" s="105"/>
      <c r="LWL99" s="105"/>
      <c r="LWM99" s="105"/>
      <c r="LWN99" s="105"/>
      <c r="LWO99" s="105"/>
      <c r="LWP99" s="105"/>
      <c r="LWQ99" s="105"/>
      <c r="LWR99" s="105"/>
      <c r="LWS99" s="105"/>
      <c r="LWT99" s="105"/>
      <c r="LWU99" s="105"/>
      <c r="LWV99" s="105"/>
      <c r="LWW99" s="105"/>
      <c r="LWX99" s="105"/>
      <c r="LWY99" s="105"/>
      <c r="LWZ99" s="105"/>
      <c r="LXA99" s="105"/>
      <c r="LXB99" s="105"/>
      <c r="LXC99" s="105"/>
      <c r="LXD99" s="105"/>
      <c r="LXE99" s="105"/>
      <c r="LXF99" s="105"/>
      <c r="LXG99" s="105"/>
      <c r="LXH99" s="105"/>
      <c r="LXI99" s="105"/>
      <c r="LXJ99" s="105"/>
      <c r="LXK99" s="105"/>
      <c r="LXL99" s="105"/>
      <c r="LXM99" s="105"/>
      <c r="LXN99" s="105"/>
      <c r="LXO99" s="105"/>
      <c r="LXP99" s="105"/>
      <c r="LXQ99" s="105"/>
      <c r="LXR99" s="105"/>
      <c r="LXS99" s="105"/>
      <c r="LXT99" s="105"/>
      <c r="LXU99" s="105"/>
      <c r="LXV99" s="105"/>
      <c r="LXW99" s="105"/>
      <c r="LXX99" s="105"/>
      <c r="LXY99" s="105"/>
      <c r="LXZ99" s="105"/>
      <c r="LYA99" s="105"/>
      <c r="LYB99" s="105"/>
      <c r="LYC99" s="105"/>
      <c r="LYD99" s="105"/>
      <c r="LYE99" s="105"/>
      <c r="LYF99" s="105"/>
      <c r="LYG99" s="105"/>
      <c r="LYH99" s="105"/>
      <c r="LYI99" s="105"/>
      <c r="LYJ99" s="105"/>
      <c r="LYK99" s="105"/>
      <c r="LYL99" s="105"/>
      <c r="LYM99" s="105"/>
      <c r="LYN99" s="105"/>
      <c r="LYO99" s="105"/>
      <c r="LYP99" s="105"/>
      <c r="LYQ99" s="105"/>
      <c r="LYR99" s="105"/>
      <c r="LYS99" s="105"/>
      <c r="LYT99" s="105"/>
      <c r="LYU99" s="105"/>
      <c r="LYV99" s="105"/>
      <c r="LYW99" s="105"/>
      <c r="LYX99" s="105"/>
      <c r="LYY99" s="105"/>
      <c r="LYZ99" s="105"/>
      <c r="LZA99" s="105"/>
      <c r="LZB99" s="105"/>
      <c r="LZC99" s="105"/>
      <c r="LZD99" s="105"/>
      <c r="LZE99" s="105"/>
      <c r="LZF99" s="105"/>
      <c r="LZG99" s="105"/>
      <c r="LZH99" s="105"/>
      <c r="LZI99" s="105"/>
      <c r="LZJ99" s="105"/>
      <c r="LZK99" s="105"/>
      <c r="LZL99" s="105"/>
      <c r="LZM99" s="105"/>
      <c r="LZN99" s="105"/>
      <c r="LZO99" s="105"/>
      <c r="LZP99" s="105"/>
      <c r="LZQ99" s="105"/>
      <c r="LZR99" s="105"/>
      <c r="LZS99" s="105"/>
      <c r="LZT99" s="105"/>
      <c r="LZU99" s="105"/>
      <c r="LZV99" s="105"/>
      <c r="LZW99" s="105"/>
      <c r="LZX99" s="105"/>
      <c r="LZY99" s="105"/>
      <c r="LZZ99" s="105"/>
      <c r="MAA99" s="105"/>
      <c r="MAB99" s="105"/>
      <c r="MAC99" s="105"/>
      <c r="MAD99" s="105"/>
      <c r="MAE99" s="105"/>
      <c r="MAF99" s="105"/>
      <c r="MAG99" s="105"/>
      <c r="MAH99" s="105"/>
      <c r="MAI99" s="105"/>
      <c r="MAJ99" s="105"/>
      <c r="MAK99" s="105"/>
      <c r="MAL99" s="105"/>
      <c r="MAM99" s="105"/>
      <c r="MAN99" s="105"/>
      <c r="MAO99" s="105"/>
      <c r="MAP99" s="105"/>
      <c r="MAQ99" s="105"/>
      <c r="MAR99" s="105"/>
      <c r="MAS99" s="105"/>
      <c r="MAT99" s="105"/>
      <c r="MAU99" s="105"/>
      <c r="MAV99" s="105"/>
      <c r="MAW99" s="105"/>
      <c r="MAX99" s="105"/>
      <c r="MAY99" s="105"/>
      <c r="MAZ99" s="105"/>
      <c r="MBA99" s="105"/>
      <c r="MBB99" s="105"/>
      <c r="MBC99" s="105"/>
      <c r="MBD99" s="105"/>
      <c r="MBE99" s="105"/>
      <c r="MBF99" s="105"/>
      <c r="MBG99" s="105"/>
      <c r="MBH99" s="105"/>
      <c r="MBI99" s="105"/>
      <c r="MBJ99" s="105"/>
      <c r="MBK99" s="105"/>
      <c r="MBL99" s="105"/>
      <c r="MBM99" s="105"/>
      <c r="MBN99" s="105"/>
      <c r="MBO99" s="105"/>
      <c r="MBP99" s="105"/>
      <c r="MBQ99" s="105"/>
      <c r="MBR99" s="105"/>
      <c r="MBS99" s="105"/>
      <c r="MBT99" s="105"/>
      <c r="MBU99" s="105"/>
      <c r="MBV99" s="105"/>
      <c r="MBW99" s="105"/>
      <c r="MBX99" s="105"/>
      <c r="MBY99" s="105"/>
      <c r="MBZ99" s="105"/>
      <c r="MCA99" s="105"/>
      <c r="MCB99" s="105"/>
      <c r="MCC99" s="105"/>
      <c r="MCD99" s="105"/>
      <c r="MCE99" s="105"/>
      <c r="MCF99" s="105"/>
      <c r="MCG99" s="105"/>
      <c r="MCH99" s="105"/>
      <c r="MCI99" s="105"/>
      <c r="MCJ99" s="105"/>
      <c r="MCK99" s="105"/>
      <c r="MCL99" s="105"/>
      <c r="MCM99" s="105"/>
      <c r="MCN99" s="105"/>
      <c r="MCO99" s="105"/>
      <c r="MCP99" s="105"/>
      <c r="MCQ99" s="105"/>
      <c r="MCR99" s="105"/>
      <c r="MCS99" s="105"/>
      <c r="MCT99" s="105"/>
      <c r="MCU99" s="105"/>
      <c r="MCV99" s="105"/>
      <c r="MCW99" s="105"/>
      <c r="MCX99" s="105"/>
      <c r="MCY99" s="105"/>
      <c r="MCZ99" s="105"/>
      <c r="MDA99" s="105"/>
      <c r="MDB99" s="105"/>
      <c r="MDC99" s="105"/>
      <c r="MDD99" s="105"/>
      <c r="MDE99" s="105"/>
      <c r="MDF99" s="105"/>
      <c r="MDG99" s="105"/>
      <c r="MDH99" s="105"/>
      <c r="MDI99" s="105"/>
      <c r="MDJ99" s="105"/>
      <c r="MDK99" s="105"/>
      <c r="MDL99" s="105"/>
      <c r="MDM99" s="105"/>
      <c r="MDN99" s="105"/>
      <c r="MDO99" s="105"/>
      <c r="MDP99" s="105"/>
      <c r="MDQ99" s="105"/>
      <c r="MDR99" s="105"/>
      <c r="MDS99" s="105"/>
      <c r="MDT99" s="105"/>
      <c r="MDU99" s="105"/>
      <c r="MDV99" s="105"/>
      <c r="MDW99" s="105"/>
      <c r="MDX99" s="105"/>
      <c r="MDY99" s="105"/>
      <c r="MDZ99" s="105"/>
      <c r="MEA99" s="105"/>
      <c r="MEB99" s="105"/>
      <c r="MEC99" s="105"/>
      <c r="MED99" s="105"/>
      <c r="MEE99" s="105"/>
      <c r="MEF99" s="105"/>
      <c r="MEG99" s="105"/>
      <c r="MEH99" s="105"/>
      <c r="MEI99" s="105"/>
      <c r="MEJ99" s="105"/>
      <c r="MEK99" s="105"/>
      <c r="MEL99" s="105"/>
      <c r="MEM99" s="105"/>
      <c r="MEN99" s="105"/>
      <c r="MEO99" s="105"/>
      <c r="MEP99" s="105"/>
      <c r="MEQ99" s="105"/>
      <c r="MER99" s="105"/>
      <c r="MES99" s="105"/>
      <c r="MET99" s="105"/>
      <c r="MEU99" s="105"/>
      <c r="MEV99" s="105"/>
      <c r="MEW99" s="105"/>
      <c r="MEX99" s="105"/>
      <c r="MEY99" s="105"/>
      <c r="MEZ99" s="105"/>
      <c r="MFA99" s="105"/>
      <c r="MFB99" s="105"/>
      <c r="MFC99" s="105"/>
      <c r="MFD99" s="105"/>
      <c r="MFE99" s="105"/>
      <c r="MFF99" s="105"/>
      <c r="MFG99" s="105"/>
      <c r="MFH99" s="105"/>
      <c r="MFI99" s="105"/>
      <c r="MFJ99" s="105"/>
      <c r="MFK99" s="105"/>
      <c r="MFL99" s="105"/>
      <c r="MFM99" s="105"/>
      <c r="MFN99" s="105"/>
      <c r="MFO99" s="105"/>
      <c r="MFP99" s="105"/>
      <c r="MFQ99" s="105"/>
      <c r="MFR99" s="105"/>
      <c r="MFS99" s="105"/>
      <c r="MFT99" s="105"/>
      <c r="MFU99" s="105"/>
      <c r="MFV99" s="105"/>
      <c r="MFW99" s="105"/>
      <c r="MFX99" s="105"/>
      <c r="MFY99" s="105"/>
      <c r="MFZ99" s="105"/>
      <c r="MGA99" s="105"/>
      <c r="MGB99" s="105"/>
      <c r="MGC99" s="105"/>
      <c r="MGD99" s="105"/>
      <c r="MGE99" s="105"/>
      <c r="MGF99" s="105"/>
      <c r="MGG99" s="105"/>
      <c r="MGH99" s="105"/>
      <c r="MGI99" s="105"/>
      <c r="MGJ99" s="105"/>
      <c r="MGK99" s="105"/>
      <c r="MGL99" s="105"/>
      <c r="MGM99" s="105"/>
      <c r="MGN99" s="105"/>
      <c r="MGO99" s="105"/>
      <c r="MGP99" s="105"/>
      <c r="MGQ99" s="105"/>
      <c r="MGR99" s="105"/>
      <c r="MGS99" s="105"/>
      <c r="MGT99" s="105"/>
      <c r="MGU99" s="105"/>
      <c r="MGV99" s="105"/>
      <c r="MGW99" s="105"/>
      <c r="MGX99" s="105"/>
      <c r="MGY99" s="105"/>
      <c r="MGZ99" s="105"/>
      <c r="MHA99" s="105"/>
      <c r="MHB99" s="105"/>
      <c r="MHC99" s="105"/>
      <c r="MHD99" s="105"/>
      <c r="MHE99" s="105"/>
      <c r="MHF99" s="105"/>
      <c r="MHG99" s="105"/>
      <c r="MHH99" s="105"/>
      <c r="MHI99" s="105"/>
      <c r="MHJ99" s="105"/>
      <c r="MHK99" s="105"/>
      <c r="MHL99" s="105"/>
      <c r="MHM99" s="105"/>
      <c r="MHN99" s="105"/>
      <c r="MHO99" s="105"/>
      <c r="MHP99" s="105"/>
      <c r="MHQ99" s="105"/>
      <c r="MHR99" s="105"/>
      <c r="MHS99" s="105"/>
      <c r="MHT99" s="105"/>
      <c r="MHU99" s="105"/>
      <c r="MHV99" s="105"/>
      <c r="MHW99" s="105"/>
      <c r="MHX99" s="105"/>
      <c r="MHY99" s="105"/>
      <c r="MHZ99" s="105"/>
      <c r="MIA99" s="105"/>
      <c r="MIB99" s="105"/>
      <c r="MIC99" s="105"/>
      <c r="MID99" s="105"/>
      <c r="MIE99" s="105"/>
      <c r="MIF99" s="105"/>
      <c r="MIG99" s="105"/>
      <c r="MIH99" s="105"/>
      <c r="MII99" s="105"/>
      <c r="MIJ99" s="105"/>
      <c r="MIK99" s="105"/>
      <c r="MIL99" s="105"/>
      <c r="MIM99" s="105"/>
      <c r="MIN99" s="105"/>
      <c r="MIO99" s="105"/>
      <c r="MIP99" s="105"/>
      <c r="MIQ99" s="105"/>
      <c r="MIR99" s="105"/>
      <c r="MIS99" s="105"/>
      <c r="MIT99" s="105"/>
      <c r="MIU99" s="105"/>
      <c r="MIV99" s="105"/>
      <c r="MIW99" s="105"/>
      <c r="MIX99" s="105"/>
      <c r="MIY99" s="105"/>
      <c r="MIZ99" s="105"/>
      <c r="MJA99" s="105"/>
      <c r="MJB99" s="105"/>
      <c r="MJC99" s="105"/>
      <c r="MJD99" s="105"/>
      <c r="MJE99" s="105"/>
      <c r="MJF99" s="105"/>
      <c r="MJG99" s="105"/>
      <c r="MJH99" s="105"/>
      <c r="MJI99" s="105"/>
      <c r="MJJ99" s="105"/>
      <c r="MJK99" s="105"/>
      <c r="MJL99" s="105"/>
      <c r="MJM99" s="105"/>
      <c r="MJN99" s="105"/>
      <c r="MJO99" s="105"/>
      <c r="MJP99" s="105"/>
      <c r="MJQ99" s="105"/>
      <c r="MJR99" s="105"/>
      <c r="MJS99" s="105"/>
      <c r="MJT99" s="105"/>
      <c r="MJU99" s="105"/>
      <c r="MJV99" s="105"/>
      <c r="MJW99" s="105"/>
      <c r="MJX99" s="105"/>
      <c r="MJY99" s="105"/>
      <c r="MJZ99" s="105"/>
      <c r="MKA99" s="105"/>
      <c r="MKB99" s="105"/>
      <c r="MKC99" s="105"/>
      <c r="MKD99" s="105"/>
      <c r="MKE99" s="105"/>
      <c r="MKF99" s="105"/>
      <c r="MKG99" s="105"/>
      <c r="MKH99" s="105"/>
      <c r="MKI99" s="105"/>
      <c r="MKJ99" s="105"/>
      <c r="MKK99" s="105"/>
      <c r="MKL99" s="105"/>
      <c r="MKM99" s="105"/>
      <c r="MKN99" s="105"/>
      <c r="MKO99" s="105"/>
      <c r="MKP99" s="105"/>
      <c r="MKQ99" s="105"/>
      <c r="MKR99" s="105"/>
      <c r="MKS99" s="105"/>
      <c r="MKT99" s="105"/>
      <c r="MKU99" s="105"/>
      <c r="MKV99" s="105"/>
      <c r="MKW99" s="105"/>
      <c r="MKX99" s="105"/>
      <c r="MKY99" s="105"/>
      <c r="MKZ99" s="105"/>
      <c r="MLA99" s="105"/>
      <c r="MLB99" s="105"/>
      <c r="MLC99" s="105"/>
      <c r="MLD99" s="105"/>
      <c r="MLE99" s="105"/>
      <c r="MLF99" s="105"/>
      <c r="MLG99" s="105"/>
      <c r="MLH99" s="105"/>
      <c r="MLI99" s="105"/>
      <c r="MLJ99" s="105"/>
      <c r="MLK99" s="105"/>
      <c r="MLL99" s="105"/>
      <c r="MLM99" s="105"/>
      <c r="MLN99" s="105"/>
      <c r="MLO99" s="105"/>
      <c r="MLP99" s="105"/>
      <c r="MLQ99" s="105"/>
      <c r="MLR99" s="105"/>
      <c r="MLS99" s="105"/>
      <c r="MLT99" s="105"/>
      <c r="MLU99" s="105"/>
      <c r="MLV99" s="105"/>
      <c r="MLW99" s="105"/>
      <c r="MLX99" s="105"/>
      <c r="MLY99" s="105"/>
      <c r="MLZ99" s="105"/>
      <c r="MMA99" s="105"/>
      <c r="MMB99" s="105"/>
      <c r="MMC99" s="105"/>
      <c r="MMD99" s="105"/>
      <c r="MME99" s="105"/>
      <c r="MMF99" s="105"/>
      <c r="MMG99" s="105"/>
      <c r="MMH99" s="105"/>
      <c r="MMI99" s="105"/>
      <c r="MMJ99" s="105"/>
      <c r="MMK99" s="105"/>
      <c r="MML99" s="105"/>
      <c r="MMM99" s="105"/>
      <c r="MMN99" s="105"/>
      <c r="MMO99" s="105"/>
      <c r="MMP99" s="105"/>
      <c r="MMQ99" s="105"/>
      <c r="MMR99" s="105"/>
      <c r="MMS99" s="105"/>
      <c r="MMT99" s="105"/>
      <c r="MMU99" s="105"/>
      <c r="MMV99" s="105"/>
      <c r="MMW99" s="105"/>
      <c r="MMX99" s="105"/>
      <c r="MMY99" s="105"/>
      <c r="MMZ99" s="105"/>
      <c r="MNA99" s="105"/>
      <c r="MNB99" s="105"/>
      <c r="MNC99" s="105"/>
      <c r="MND99" s="105"/>
      <c r="MNE99" s="105"/>
      <c r="MNF99" s="105"/>
      <c r="MNG99" s="105"/>
      <c r="MNH99" s="105"/>
      <c r="MNI99" s="105"/>
      <c r="MNJ99" s="105"/>
      <c r="MNK99" s="105"/>
      <c r="MNL99" s="105"/>
      <c r="MNM99" s="105"/>
      <c r="MNN99" s="105"/>
      <c r="MNO99" s="105"/>
      <c r="MNP99" s="105"/>
      <c r="MNQ99" s="105"/>
      <c r="MNR99" s="105"/>
      <c r="MNS99" s="105"/>
      <c r="MNT99" s="105"/>
      <c r="MNU99" s="105"/>
      <c r="MNV99" s="105"/>
      <c r="MNW99" s="105"/>
      <c r="MNX99" s="105"/>
      <c r="MNY99" s="105"/>
      <c r="MNZ99" s="105"/>
      <c r="MOA99" s="105"/>
      <c r="MOB99" s="105"/>
      <c r="MOC99" s="105"/>
      <c r="MOD99" s="105"/>
      <c r="MOE99" s="105"/>
      <c r="MOF99" s="105"/>
      <c r="MOG99" s="105"/>
      <c r="MOH99" s="105"/>
      <c r="MOI99" s="105"/>
      <c r="MOJ99" s="105"/>
      <c r="MOK99" s="105"/>
      <c r="MOL99" s="105"/>
      <c r="MOM99" s="105"/>
      <c r="MON99" s="105"/>
      <c r="MOO99" s="105"/>
      <c r="MOP99" s="105"/>
      <c r="MOQ99" s="105"/>
      <c r="MOR99" s="105"/>
      <c r="MOS99" s="105"/>
      <c r="MOT99" s="105"/>
      <c r="MOU99" s="105"/>
      <c r="MOV99" s="105"/>
      <c r="MOW99" s="105"/>
      <c r="MOX99" s="105"/>
      <c r="MOY99" s="105"/>
      <c r="MOZ99" s="105"/>
      <c r="MPA99" s="105"/>
      <c r="MPB99" s="105"/>
      <c r="MPC99" s="105"/>
      <c r="MPD99" s="105"/>
      <c r="MPE99" s="105"/>
      <c r="MPF99" s="105"/>
      <c r="MPG99" s="105"/>
      <c r="MPH99" s="105"/>
      <c r="MPI99" s="105"/>
      <c r="MPJ99" s="105"/>
      <c r="MPK99" s="105"/>
      <c r="MPL99" s="105"/>
      <c r="MPM99" s="105"/>
      <c r="MPN99" s="105"/>
      <c r="MPO99" s="105"/>
      <c r="MPP99" s="105"/>
      <c r="MPQ99" s="105"/>
      <c r="MPR99" s="105"/>
      <c r="MPS99" s="105"/>
      <c r="MPT99" s="105"/>
      <c r="MPU99" s="105"/>
      <c r="MPV99" s="105"/>
      <c r="MPW99" s="105"/>
      <c r="MPX99" s="105"/>
      <c r="MPY99" s="105"/>
      <c r="MPZ99" s="105"/>
      <c r="MQA99" s="105"/>
      <c r="MQB99" s="105"/>
      <c r="MQC99" s="105"/>
      <c r="MQD99" s="105"/>
      <c r="MQE99" s="105"/>
      <c r="MQF99" s="105"/>
      <c r="MQG99" s="105"/>
      <c r="MQH99" s="105"/>
      <c r="MQI99" s="105"/>
      <c r="MQJ99" s="105"/>
      <c r="MQK99" s="105"/>
      <c r="MQL99" s="105"/>
      <c r="MQM99" s="105"/>
      <c r="MQN99" s="105"/>
      <c r="MQO99" s="105"/>
      <c r="MQP99" s="105"/>
      <c r="MQQ99" s="105"/>
      <c r="MQR99" s="105"/>
      <c r="MQS99" s="105"/>
      <c r="MQT99" s="105"/>
      <c r="MQU99" s="105"/>
      <c r="MQV99" s="105"/>
      <c r="MQW99" s="105"/>
      <c r="MQX99" s="105"/>
      <c r="MQY99" s="105"/>
      <c r="MQZ99" s="105"/>
      <c r="MRA99" s="105"/>
      <c r="MRB99" s="105"/>
      <c r="MRC99" s="105"/>
      <c r="MRD99" s="105"/>
      <c r="MRE99" s="105"/>
      <c r="MRF99" s="105"/>
      <c r="MRG99" s="105"/>
      <c r="MRH99" s="105"/>
      <c r="MRI99" s="105"/>
      <c r="MRJ99" s="105"/>
      <c r="MRK99" s="105"/>
      <c r="MRL99" s="105"/>
      <c r="MRM99" s="105"/>
      <c r="MRN99" s="105"/>
      <c r="MRO99" s="105"/>
      <c r="MRP99" s="105"/>
      <c r="MRQ99" s="105"/>
      <c r="MRR99" s="105"/>
      <c r="MRS99" s="105"/>
      <c r="MRT99" s="105"/>
      <c r="MRU99" s="105"/>
      <c r="MRV99" s="105"/>
      <c r="MRW99" s="105"/>
      <c r="MRX99" s="105"/>
      <c r="MRY99" s="105"/>
      <c r="MRZ99" s="105"/>
      <c r="MSA99" s="105"/>
      <c r="MSB99" s="105"/>
      <c r="MSC99" s="105"/>
      <c r="MSD99" s="105"/>
      <c r="MSE99" s="105"/>
      <c r="MSF99" s="105"/>
      <c r="MSG99" s="105"/>
      <c r="MSH99" s="105"/>
      <c r="MSI99" s="105"/>
      <c r="MSJ99" s="105"/>
      <c r="MSK99" s="105"/>
      <c r="MSL99" s="105"/>
      <c r="MSM99" s="105"/>
      <c r="MSN99" s="105"/>
      <c r="MSO99" s="105"/>
      <c r="MSP99" s="105"/>
      <c r="MSQ99" s="105"/>
      <c r="MSR99" s="105"/>
      <c r="MSS99" s="105"/>
      <c r="MST99" s="105"/>
      <c r="MSU99" s="105"/>
      <c r="MSV99" s="105"/>
      <c r="MSW99" s="105"/>
      <c r="MSX99" s="105"/>
      <c r="MSY99" s="105"/>
      <c r="MSZ99" s="105"/>
      <c r="MTA99" s="105"/>
      <c r="MTB99" s="105"/>
      <c r="MTC99" s="105"/>
      <c r="MTD99" s="105"/>
      <c r="MTE99" s="105"/>
      <c r="MTF99" s="105"/>
      <c r="MTG99" s="105"/>
      <c r="MTH99" s="105"/>
      <c r="MTI99" s="105"/>
      <c r="MTJ99" s="105"/>
      <c r="MTK99" s="105"/>
      <c r="MTL99" s="105"/>
      <c r="MTM99" s="105"/>
      <c r="MTN99" s="105"/>
      <c r="MTO99" s="105"/>
      <c r="MTP99" s="105"/>
      <c r="MTQ99" s="105"/>
      <c r="MTR99" s="105"/>
      <c r="MTS99" s="105"/>
      <c r="MTT99" s="105"/>
      <c r="MTU99" s="105"/>
      <c r="MTV99" s="105"/>
      <c r="MTW99" s="105"/>
      <c r="MTX99" s="105"/>
      <c r="MTY99" s="105"/>
      <c r="MTZ99" s="105"/>
      <c r="MUA99" s="105"/>
      <c r="MUB99" s="105"/>
      <c r="MUC99" s="105"/>
      <c r="MUD99" s="105"/>
      <c r="MUE99" s="105"/>
      <c r="MUF99" s="105"/>
      <c r="MUG99" s="105"/>
      <c r="MUH99" s="105"/>
      <c r="MUI99" s="105"/>
      <c r="MUJ99" s="105"/>
      <c r="MUK99" s="105"/>
      <c r="MUL99" s="105"/>
      <c r="MUM99" s="105"/>
      <c r="MUN99" s="105"/>
      <c r="MUO99" s="105"/>
      <c r="MUP99" s="105"/>
      <c r="MUQ99" s="105"/>
      <c r="MUR99" s="105"/>
      <c r="MUS99" s="105"/>
      <c r="MUT99" s="105"/>
      <c r="MUU99" s="105"/>
      <c r="MUV99" s="105"/>
      <c r="MUW99" s="105"/>
      <c r="MUX99" s="105"/>
      <c r="MUY99" s="105"/>
      <c r="MUZ99" s="105"/>
      <c r="MVA99" s="105"/>
      <c r="MVB99" s="105"/>
      <c r="MVC99" s="105"/>
      <c r="MVD99" s="105"/>
      <c r="MVE99" s="105"/>
      <c r="MVF99" s="105"/>
      <c r="MVG99" s="105"/>
      <c r="MVH99" s="105"/>
      <c r="MVI99" s="105"/>
      <c r="MVJ99" s="105"/>
      <c r="MVK99" s="105"/>
      <c r="MVL99" s="105"/>
      <c r="MVM99" s="105"/>
      <c r="MVN99" s="105"/>
      <c r="MVO99" s="105"/>
      <c r="MVP99" s="105"/>
      <c r="MVQ99" s="105"/>
      <c r="MVR99" s="105"/>
      <c r="MVS99" s="105"/>
      <c r="MVT99" s="105"/>
      <c r="MVU99" s="105"/>
      <c r="MVV99" s="105"/>
      <c r="MVW99" s="105"/>
      <c r="MVX99" s="105"/>
      <c r="MVY99" s="105"/>
      <c r="MVZ99" s="105"/>
      <c r="MWA99" s="105"/>
      <c r="MWB99" s="105"/>
      <c r="MWC99" s="105"/>
      <c r="MWD99" s="105"/>
      <c r="MWE99" s="105"/>
      <c r="MWF99" s="105"/>
      <c r="MWG99" s="105"/>
      <c r="MWH99" s="105"/>
      <c r="MWI99" s="105"/>
      <c r="MWJ99" s="105"/>
      <c r="MWK99" s="105"/>
      <c r="MWL99" s="105"/>
      <c r="MWM99" s="105"/>
      <c r="MWN99" s="105"/>
      <c r="MWO99" s="105"/>
      <c r="MWP99" s="105"/>
      <c r="MWQ99" s="105"/>
      <c r="MWR99" s="105"/>
      <c r="MWS99" s="105"/>
      <c r="MWT99" s="105"/>
      <c r="MWU99" s="105"/>
      <c r="MWV99" s="105"/>
      <c r="MWW99" s="105"/>
      <c r="MWX99" s="105"/>
      <c r="MWY99" s="105"/>
      <c r="MWZ99" s="105"/>
      <c r="MXA99" s="105"/>
      <c r="MXB99" s="105"/>
      <c r="MXC99" s="105"/>
      <c r="MXD99" s="105"/>
      <c r="MXE99" s="105"/>
      <c r="MXF99" s="105"/>
      <c r="MXG99" s="105"/>
      <c r="MXH99" s="105"/>
      <c r="MXI99" s="105"/>
      <c r="MXJ99" s="105"/>
      <c r="MXK99" s="105"/>
      <c r="MXL99" s="105"/>
      <c r="MXM99" s="105"/>
      <c r="MXN99" s="105"/>
      <c r="MXO99" s="105"/>
      <c r="MXP99" s="105"/>
      <c r="MXQ99" s="105"/>
      <c r="MXR99" s="105"/>
      <c r="MXS99" s="105"/>
      <c r="MXT99" s="105"/>
      <c r="MXU99" s="105"/>
      <c r="MXV99" s="105"/>
      <c r="MXW99" s="105"/>
      <c r="MXX99" s="105"/>
      <c r="MXY99" s="105"/>
      <c r="MXZ99" s="105"/>
      <c r="MYA99" s="105"/>
      <c r="MYB99" s="105"/>
      <c r="MYC99" s="105"/>
      <c r="MYD99" s="105"/>
      <c r="MYE99" s="105"/>
      <c r="MYF99" s="105"/>
      <c r="MYG99" s="105"/>
      <c r="MYH99" s="105"/>
      <c r="MYI99" s="105"/>
      <c r="MYJ99" s="105"/>
      <c r="MYK99" s="105"/>
      <c r="MYL99" s="105"/>
      <c r="MYM99" s="105"/>
      <c r="MYN99" s="105"/>
      <c r="MYO99" s="105"/>
      <c r="MYP99" s="105"/>
      <c r="MYQ99" s="105"/>
      <c r="MYR99" s="105"/>
      <c r="MYS99" s="105"/>
      <c r="MYT99" s="105"/>
      <c r="MYU99" s="105"/>
      <c r="MYV99" s="105"/>
      <c r="MYW99" s="105"/>
      <c r="MYX99" s="105"/>
      <c r="MYY99" s="105"/>
      <c r="MYZ99" s="105"/>
      <c r="MZA99" s="105"/>
      <c r="MZB99" s="105"/>
      <c r="MZC99" s="105"/>
      <c r="MZD99" s="105"/>
      <c r="MZE99" s="105"/>
      <c r="MZF99" s="105"/>
      <c r="MZG99" s="105"/>
      <c r="MZH99" s="105"/>
      <c r="MZI99" s="105"/>
      <c r="MZJ99" s="105"/>
      <c r="MZK99" s="105"/>
      <c r="MZL99" s="105"/>
      <c r="MZM99" s="105"/>
      <c r="MZN99" s="105"/>
      <c r="MZO99" s="105"/>
      <c r="MZP99" s="105"/>
      <c r="MZQ99" s="105"/>
      <c r="MZR99" s="105"/>
      <c r="MZS99" s="105"/>
      <c r="MZT99" s="105"/>
      <c r="MZU99" s="105"/>
      <c r="MZV99" s="105"/>
      <c r="MZW99" s="105"/>
      <c r="MZX99" s="105"/>
      <c r="MZY99" s="105"/>
      <c r="MZZ99" s="105"/>
      <c r="NAA99" s="105"/>
      <c r="NAB99" s="105"/>
      <c r="NAC99" s="105"/>
      <c r="NAD99" s="105"/>
      <c r="NAE99" s="105"/>
      <c r="NAF99" s="105"/>
      <c r="NAG99" s="105"/>
      <c r="NAH99" s="105"/>
      <c r="NAI99" s="105"/>
      <c r="NAJ99" s="105"/>
      <c r="NAK99" s="105"/>
      <c r="NAL99" s="105"/>
      <c r="NAM99" s="105"/>
      <c r="NAN99" s="105"/>
      <c r="NAO99" s="105"/>
      <c r="NAP99" s="105"/>
      <c r="NAQ99" s="105"/>
      <c r="NAR99" s="105"/>
      <c r="NAS99" s="105"/>
      <c r="NAT99" s="105"/>
      <c r="NAU99" s="105"/>
      <c r="NAV99" s="105"/>
      <c r="NAW99" s="105"/>
      <c r="NAX99" s="105"/>
      <c r="NAY99" s="105"/>
      <c r="NAZ99" s="105"/>
      <c r="NBA99" s="105"/>
      <c r="NBB99" s="105"/>
      <c r="NBC99" s="105"/>
      <c r="NBD99" s="105"/>
      <c r="NBE99" s="105"/>
      <c r="NBF99" s="105"/>
      <c r="NBG99" s="105"/>
      <c r="NBH99" s="105"/>
      <c r="NBI99" s="105"/>
      <c r="NBJ99" s="105"/>
      <c r="NBK99" s="105"/>
      <c r="NBL99" s="105"/>
      <c r="NBM99" s="105"/>
      <c r="NBN99" s="105"/>
      <c r="NBO99" s="105"/>
      <c r="NBP99" s="105"/>
      <c r="NBQ99" s="105"/>
      <c r="NBR99" s="105"/>
      <c r="NBS99" s="105"/>
      <c r="NBT99" s="105"/>
      <c r="NBU99" s="105"/>
      <c r="NBV99" s="105"/>
      <c r="NBW99" s="105"/>
      <c r="NBX99" s="105"/>
      <c r="NBY99" s="105"/>
      <c r="NBZ99" s="105"/>
      <c r="NCA99" s="105"/>
      <c r="NCB99" s="105"/>
      <c r="NCC99" s="105"/>
      <c r="NCD99" s="105"/>
      <c r="NCE99" s="105"/>
      <c r="NCF99" s="105"/>
      <c r="NCG99" s="105"/>
      <c r="NCH99" s="105"/>
      <c r="NCI99" s="105"/>
      <c r="NCJ99" s="105"/>
      <c r="NCK99" s="105"/>
      <c r="NCL99" s="105"/>
      <c r="NCM99" s="105"/>
      <c r="NCN99" s="105"/>
      <c r="NCO99" s="105"/>
      <c r="NCP99" s="105"/>
      <c r="NCQ99" s="105"/>
      <c r="NCR99" s="105"/>
      <c r="NCS99" s="105"/>
      <c r="NCT99" s="105"/>
      <c r="NCU99" s="105"/>
      <c r="NCV99" s="105"/>
      <c r="NCW99" s="105"/>
      <c r="NCX99" s="105"/>
      <c r="NCY99" s="105"/>
      <c r="NCZ99" s="105"/>
      <c r="NDA99" s="105"/>
      <c r="NDB99" s="105"/>
      <c r="NDC99" s="105"/>
      <c r="NDD99" s="105"/>
      <c r="NDE99" s="105"/>
      <c r="NDF99" s="105"/>
      <c r="NDG99" s="105"/>
      <c r="NDH99" s="105"/>
      <c r="NDI99" s="105"/>
      <c r="NDJ99" s="105"/>
      <c r="NDK99" s="105"/>
      <c r="NDL99" s="105"/>
      <c r="NDM99" s="105"/>
      <c r="NDN99" s="105"/>
      <c r="NDO99" s="105"/>
      <c r="NDP99" s="105"/>
      <c r="NDQ99" s="105"/>
      <c r="NDR99" s="105"/>
      <c r="NDS99" s="105"/>
      <c r="NDT99" s="105"/>
      <c r="NDU99" s="105"/>
      <c r="NDV99" s="105"/>
      <c r="NDW99" s="105"/>
      <c r="NDX99" s="105"/>
      <c r="NDY99" s="105"/>
      <c r="NDZ99" s="105"/>
      <c r="NEA99" s="105"/>
      <c r="NEB99" s="105"/>
      <c r="NEC99" s="105"/>
      <c r="NED99" s="105"/>
      <c r="NEE99" s="105"/>
      <c r="NEF99" s="105"/>
      <c r="NEG99" s="105"/>
      <c r="NEH99" s="105"/>
      <c r="NEI99" s="105"/>
      <c r="NEJ99" s="105"/>
      <c r="NEK99" s="105"/>
      <c r="NEL99" s="105"/>
      <c r="NEM99" s="105"/>
      <c r="NEN99" s="105"/>
      <c r="NEO99" s="105"/>
      <c r="NEP99" s="105"/>
      <c r="NEQ99" s="105"/>
      <c r="NER99" s="105"/>
      <c r="NES99" s="105"/>
      <c r="NET99" s="105"/>
      <c r="NEU99" s="105"/>
      <c r="NEV99" s="105"/>
      <c r="NEW99" s="105"/>
      <c r="NEX99" s="105"/>
      <c r="NEY99" s="105"/>
      <c r="NEZ99" s="105"/>
      <c r="NFA99" s="105"/>
      <c r="NFB99" s="105"/>
      <c r="NFC99" s="105"/>
      <c r="NFD99" s="105"/>
      <c r="NFE99" s="105"/>
      <c r="NFF99" s="105"/>
      <c r="NFG99" s="105"/>
      <c r="NFH99" s="105"/>
      <c r="NFI99" s="105"/>
      <c r="NFJ99" s="105"/>
      <c r="NFK99" s="105"/>
      <c r="NFL99" s="105"/>
      <c r="NFM99" s="105"/>
      <c r="NFN99" s="105"/>
      <c r="NFO99" s="105"/>
      <c r="NFP99" s="105"/>
      <c r="NFQ99" s="105"/>
      <c r="NFR99" s="105"/>
      <c r="NFS99" s="105"/>
      <c r="NFT99" s="105"/>
      <c r="NFU99" s="105"/>
      <c r="NFV99" s="105"/>
      <c r="NFW99" s="105"/>
      <c r="NFX99" s="105"/>
      <c r="NFY99" s="105"/>
      <c r="NFZ99" s="105"/>
      <c r="NGA99" s="105"/>
      <c r="NGB99" s="105"/>
      <c r="NGC99" s="105"/>
      <c r="NGD99" s="105"/>
      <c r="NGE99" s="105"/>
      <c r="NGF99" s="105"/>
      <c r="NGG99" s="105"/>
      <c r="NGH99" s="105"/>
      <c r="NGI99" s="105"/>
      <c r="NGJ99" s="105"/>
      <c r="NGK99" s="105"/>
      <c r="NGL99" s="105"/>
      <c r="NGM99" s="105"/>
      <c r="NGN99" s="105"/>
      <c r="NGO99" s="105"/>
      <c r="NGP99" s="105"/>
      <c r="NGQ99" s="105"/>
      <c r="NGR99" s="105"/>
      <c r="NGS99" s="105"/>
      <c r="NGT99" s="105"/>
      <c r="NGU99" s="105"/>
      <c r="NGV99" s="105"/>
      <c r="NGW99" s="105"/>
      <c r="NGX99" s="105"/>
      <c r="NGY99" s="105"/>
      <c r="NGZ99" s="105"/>
      <c r="NHA99" s="105"/>
      <c r="NHB99" s="105"/>
      <c r="NHC99" s="105"/>
      <c r="NHD99" s="105"/>
      <c r="NHE99" s="105"/>
      <c r="NHF99" s="105"/>
      <c r="NHG99" s="105"/>
      <c r="NHH99" s="105"/>
      <c r="NHI99" s="105"/>
      <c r="NHJ99" s="105"/>
      <c r="NHK99" s="105"/>
      <c r="NHL99" s="105"/>
      <c r="NHM99" s="105"/>
      <c r="NHN99" s="105"/>
      <c r="NHO99" s="105"/>
      <c r="NHP99" s="105"/>
      <c r="NHQ99" s="105"/>
      <c r="NHR99" s="105"/>
      <c r="NHS99" s="105"/>
      <c r="NHT99" s="105"/>
      <c r="NHU99" s="105"/>
      <c r="NHV99" s="105"/>
      <c r="NHW99" s="105"/>
      <c r="NHX99" s="105"/>
      <c r="NHY99" s="105"/>
      <c r="NHZ99" s="105"/>
      <c r="NIA99" s="105"/>
      <c r="NIB99" s="105"/>
      <c r="NIC99" s="105"/>
      <c r="NID99" s="105"/>
      <c r="NIE99" s="105"/>
      <c r="NIF99" s="105"/>
      <c r="NIG99" s="105"/>
      <c r="NIH99" s="105"/>
      <c r="NII99" s="105"/>
      <c r="NIJ99" s="105"/>
      <c r="NIK99" s="105"/>
      <c r="NIL99" s="105"/>
      <c r="NIM99" s="105"/>
      <c r="NIN99" s="105"/>
      <c r="NIO99" s="105"/>
      <c r="NIP99" s="105"/>
      <c r="NIQ99" s="105"/>
      <c r="NIR99" s="105"/>
      <c r="NIS99" s="105"/>
      <c r="NIT99" s="105"/>
      <c r="NIU99" s="105"/>
      <c r="NIV99" s="105"/>
      <c r="NIW99" s="105"/>
      <c r="NIX99" s="105"/>
      <c r="NIY99" s="105"/>
      <c r="NIZ99" s="105"/>
      <c r="NJA99" s="105"/>
      <c r="NJB99" s="105"/>
      <c r="NJC99" s="105"/>
      <c r="NJD99" s="105"/>
      <c r="NJE99" s="105"/>
      <c r="NJF99" s="105"/>
      <c r="NJG99" s="105"/>
      <c r="NJH99" s="105"/>
      <c r="NJI99" s="105"/>
      <c r="NJJ99" s="105"/>
      <c r="NJK99" s="105"/>
      <c r="NJL99" s="105"/>
      <c r="NJM99" s="105"/>
      <c r="NJN99" s="105"/>
      <c r="NJO99" s="105"/>
      <c r="NJP99" s="105"/>
      <c r="NJQ99" s="105"/>
      <c r="NJR99" s="105"/>
      <c r="NJS99" s="105"/>
      <c r="NJT99" s="105"/>
      <c r="NJU99" s="105"/>
      <c r="NJV99" s="105"/>
      <c r="NJW99" s="105"/>
      <c r="NJX99" s="105"/>
      <c r="NJY99" s="105"/>
      <c r="NJZ99" s="105"/>
      <c r="NKA99" s="105"/>
      <c r="NKB99" s="105"/>
      <c r="NKC99" s="105"/>
      <c r="NKD99" s="105"/>
      <c r="NKE99" s="105"/>
      <c r="NKF99" s="105"/>
      <c r="NKG99" s="105"/>
      <c r="NKH99" s="105"/>
      <c r="NKI99" s="105"/>
      <c r="NKJ99" s="105"/>
      <c r="NKK99" s="105"/>
      <c r="NKL99" s="105"/>
      <c r="NKM99" s="105"/>
      <c r="NKN99" s="105"/>
      <c r="NKO99" s="105"/>
      <c r="NKP99" s="105"/>
      <c r="NKQ99" s="105"/>
      <c r="NKR99" s="105"/>
      <c r="NKS99" s="105"/>
      <c r="NKT99" s="105"/>
      <c r="NKU99" s="105"/>
      <c r="NKV99" s="105"/>
      <c r="NKW99" s="105"/>
      <c r="NKX99" s="105"/>
      <c r="NKY99" s="105"/>
      <c r="NKZ99" s="105"/>
      <c r="NLA99" s="105"/>
      <c r="NLB99" s="105"/>
      <c r="NLC99" s="105"/>
      <c r="NLD99" s="105"/>
      <c r="NLE99" s="105"/>
      <c r="NLF99" s="105"/>
      <c r="NLG99" s="105"/>
      <c r="NLH99" s="105"/>
      <c r="NLI99" s="105"/>
      <c r="NLJ99" s="105"/>
      <c r="NLK99" s="105"/>
      <c r="NLL99" s="105"/>
      <c r="NLM99" s="105"/>
      <c r="NLN99" s="105"/>
      <c r="NLO99" s="105"/>
      <c r="NLP99" s="105"/>
      <c r="NLQ99" s="105"/>
      <c r="NLR99" s="105"/>
      <c r="NLS99" s="105"/>
      <c r="NLT99" s="105"/>
      <c r="NLU99" s="105"/>
      <c r="NLV99" s="105"/>
      <c r="NLW99" s="105"/>
      <c r="NLX99" s="105"/>
      <c r="NLY99" s="105"/>
      <c r="NLZ99" s="105"/>
      <c r="NMA99" s="105"/>
      <c r="NMB99" s="105"/>
      <c r="NMC99" s="105"/>
      <c r="NMD99" s="105"/>
      <c r="NME99" s="105"/>
      <c r="NMF99" s="105"/>
      <c r="NMG99" s="105"/>
      <c r="NMH99" s="105"/>
      <c r="NMI99" s="105"/>
      <c r="NMJ99" s="105"/>
      <c r="NMK99" s="105"/>
      <c r="NML99" s="105"/>
      <c r="NMM99" s="105"/>
      <c r="NMN99" s="105"/>
      <c r="NMO99" s="105"/>
      <c r="NMP99" s="105"/>
      <c r="NMQ99" s="105"/>
      <c r="NMR99" s="105"/>
      <c r="NMS99" s="105"/>
      <c r="NMT99" s="105"/>
      <c r="NMU99" s="105"/>
      <c r="NMV99" s="105"/>
      <c r="NMW99" s="105"/>
      <c r="NMX99" s="105"/>
      <c r="NMY99" s="105"/>
      <c r="NMZ99" s="105"/>
      <c r="NNA99" s="105"/>
      <c r="NNB99" s="105"/>
      <c r="NNC99" s="105"/>
      <c r="NND99" s="105"/>
      <c r="NNE99" s="105"/>
      <c r="NNF99" s="105"/>
      <c r="NNG99" s="105"/>
      <c r="NNH99" s="105"/>
      <c r="NNI99" s="105"/>
      <c r="NNJ99" s="105"/>
      <c r="NNK99" s="105"/>
      <c r="NNL99" s="105"/>
      <c r="NNM99" s="105"/>
      <c r="NNN99" s="105"/>
      <c r="NNO99" s="105"/>
      <c r="NNP99" s="105"/>
      <c r="NNQ99" s="105"/>
      <c r="NNR99" s="105"/>
      <c r="NNS99" s="105"/>
      <c r="NNT99" s="105"/>
      <c r="NNU99" s="105"/>
      <c r="NNV99" s="105"/>
      <c r="NNW99" s="105"/>
      <c r="NNX99" s="105"/>
      <c r="NNY99" s="105"/>
      <c r="NNZ99" s="105"/>
      <c r="NOA99" s="105"/>
      <c r="NOB99" s="105"/>
      <c r="NOC99" s="105"/>
      <c r="NOD99" s="105"/>
      <c r="NOE99" s="105"/>
      <c r="NOF99" s="105"/>
      <c r="NOG99" s="105"/>
      <c r="NOH99" s="105"/>
      <c r="NOI99" s="105"/>
      <c r="NOJ99" s="105"/>
      <c r="NOK99" s="105"/>
      <c r="NOL99" s="105"/>
      <c r="NOM99" s="105"/>
      <c r="NON99" s="105"/>
      <c r="NOO99" s="105"/>
      <c r="NOP99" s="105"/>
      <c r="NOQ99" s="105"/>
      <c r="NOR99" s="105"/>
      <c r="NOS99" s="105"/>
      <c r="NOT99" s="105"/>
      <c r="NOU99" s="105"/>
      <c r="NOV99" s="105"/>
      <c r="NOW99" s="105"/>
      <c r="NOX99" s="105"/>
      <c r="NOY99" s="105"/>
      <c r="NOZ99" s="105"/>
      <c r="NPA99" s="105"/>
      <c r="NPB99" s="105"/>
      <c r="NPC99" s="105"/>
      <c r="NPD99" s="105"/>
      <c r="NPE99" s="105"/>
      <c r="NPF99" s="105"/>
      <c r="NPG99" s="105"/>
      <c r="NPH99" s="105"/>
      <c r="NPI99" s="105"/>
      <c r="NPJ99" s="105"/>
      <c r="NPK99" s="105"/>
      <c r="NPL99" s="105"/>
      <c r="NPM99" s="105"/>
      <c r="NPN99" s="105"/>
      <c r="NPO99" s="105"/>
      <c r="NPP99" s="105"/>
      <c r="NPQ99" s="105"/>
      <c r="NPR99" s="105"/>
      <c r="NPS99" s="105"/>
      <c r="NPT99" s="105"/>
      <c r="NPU99" s="105"/>
      <c r="NPV99" s="105"/>
      <c r="NPW99" s="105"/>
      <c r="NPX99" s="105"/>
      <c r="NPY99" s="105"/>
      <c r="NPZ99" s="105"/>
      <c r="NQA99" s="105"/>
      <c r="NQB99" s="105"/>
      <c r="NQC99" s="105"/>
      <c r="NQD99" s="105"/>
      <c r="NQE99" s="105"/>
      <c r="NQF99" s="105"/>
      <c r="NQG99" s="105"/>
      <c r="NQH99" s="105"/>
      <c r="NQI99" s="105"/>
      <c r="NQJ99" s="105"/>
      <c r="NQK99" s="105"/>
      <c r="NQL99" s="105"/>
      <c r="NQM99" s="105"/>
      <c r="NQN99" s="105"/>
      <c r="NQO99" s="105"/>
      <c r="NQP99" s="105"/>
      <c r="NQQ99" s="105"/>
      <c r="NQR99" s="105"/>
      <c r="NQS99" s="105"/>
      <c r="NQT99" s="105"/>
      <c r="NQU99" s="105"/>
      <c r="NQV99" s="105"/>
      <c r="NQW99" s="105"/>
      <c r="NQX99" s="105"/>
      <c r="NQY99" s="105"/>
      <c r="NQZ99" s="105"/>
      <c r="NRA99" s="105"/>
      <c r="NRB99" s="105"/>
      <c r="NRC99" s="105"/>
      <c r="NRD99" s="105"/>
      <c r="NRE99" s="105"/>
      <c r="NRF99" s="105"/>
      <c r="NRG99" s="105"/>
      <c r="NRH99" s="105"/>
      <c r="NRI99" s="105"/>
      <c r="NRJ99" s="105"/>
      <c r="NRK99" s="105"/>
      <c r="NRL99" s="105"/>
      <c r="NRM99" s="105"/>
      <c r="NRN99" s="105"/>
      <c r="NRO99" s="105"/>
      <c r="NRP99" s="105"/>
      <c r="NRQ99" s="105"/>
      <c r="NRR99" s="105"/>
      <c r="NRS99" s="105"/>
      <c r="NRT99" s="105"/>
      <c r="NRU99" s="105"/>
      <c r="NRV99" s="105"/>
      <c r="NRW99" s="105"/>
      <c r="NRX99" s="105"/>
      <c r="NRY99" s="105"/>
      <c r="NRZ99" s="105"/>
      <c r="NSA99" s="105"/>
      <c r="NSB99" s="105"/>
      <c r="NSC99" s="105"/>
      <c r="NSD99" s="105"/>
      <c r="NSE99" s="105"/>
      <c r="NSF99" s="105"/>
      <c r="NSG99" s="105"/>
      <c r="NSH99" s="105"/>
      <c r="NSI99" s="105"/>
      <c r="NSJ99" s="105"/>
      <c r="NSK99" s="105"/>
      <c r="NSL99" s="105"/>
      <c r="NSM99" s="105"/>
      <c r="NSN99" s="105"/>
      <c r="NSO99" s="105"/>
      <c r="NSP99" s="105"/>
      <c r="NSQ99" s="105"/>
      <c r="NSR99" s="105"/>
      <c r="NSS99" s="105"/>
      <c r="NST99" s="105"/>
      <c r="NSU99" s="105"/>
      <c r="NSV99" s="105"/>
      <c r="NSW99" s="105"/>
      <c r="NSX99" s="105"/>
      <c r="NSY99" s="105"/>
      <c r="NSZ99" s="105"/>
      <c r="NTA99" s="105"/>
      <c r="NTB99" s="105"/>
      <c r="NTC99" s="105"/>
      <c r="NTD99" s="105"/>
      <c r="NTE99" s="105"/>
      <c r="NTF99" s="105"/>
      <c r="NTG99" s="105"/>
      <c r="NTH99" s="105"/>
      <c r="NTI99" s="105"/>
      <c r="NTJ99" s="105"/>
      <c r="NTK99" s="105"/>
      <c r="NTL99" s="105"/>
      <c r="NTM99" s="105"/>
      <c r="NTN99" s="105"/>
      <c r="NTO99" s="105"/>
      <c r="NTP99" s="105"/>
      <c r="NTQ99" s="105"/>
      <c r="NTR99" s="105"/>
      <c r="NTS99" s="105"/>
      <c r="NTT99" s="105"/>
      <c r="NTU99" s="105"/>
      <c r="NTV99" s="105"/>
      <c r="NTW99" s="105"/>
      <c r="NTX99" s="105"/>
      <c r="NTY99" s="105"/>
      <c r="NTZ99" s="105"/>
      <c r="NUA99" s="105"/>
      <c r="NUB99" s="105"/>
      <c r="NUC99" s="105"/>
      <c r="NUD99" s="105"/>
      <c r="NUE99" s="105"/>
      <c r="NUF99" s="105"/>
      <c r="NUG99" s="105"/>
      <c r="NUH99" s="105"/>
      <c r="NUI99" s="105"/>
      <c r="NUJ99" s="105"/>
      <c r="NUK99" s="105"/>
      <c r="NUL99" s="105"/>
      <c r="NUM99" s="105"/>
      <c r="NUN99" s="105"/>
      <c r="NUO99" s="105"/>
      <c r="NUP99" s="105"/>
      <c r="NUQ99" s="105"/>
      <c r="NUR99" s="105"/>
      <c r="NUS99" s="105"/>
      <c r="NUT99" s="105"/>
      <c r="NUU99" s="105"/>
      <c r="NUV99" s="105"/>
      <c r="NUW99" s="105"/>
      <c r="NUX99" s="105"/>
      <c r="NUY99" s="105"/>
      <c r="NUZ99" s="105"/>
      <c r="NVA99" s="105"/>
      <c r="NVB99" s="105"/>
      <c r="NVC99" s="105"/>
      <c r="NVD99" s="105"/>
      <c r="NVE99" s="105"/>
      <c r="NVF99" s="105"/>
      <c r="NVG99" s="105"/>
      <c r="NVH99" s="105"/>
      <c r="NVI99" s="105"/>
      <c r="NVJ99" s="105"/>
      <c r="NVK99" s="105"/>
      <c r="NVL99" s="105"/>
      <c r="NVM99" s="105"/>
      <c r="NVN99" s="105"/>
      <c r="NVO99" s="105"/>
      <c r="NVP99" s="105"/>
      <c r="NVQ99" s="105"/>
      <c r="NVR99" s="105"/>
      <c r="NVS99" s="105"/>
      <c r="NVT99" s="105"/>
      <c r="NVU99" s="105"/>
      <c r="NVV99" s="105"/>
      <c r="NVW99" s="105"/>
      <c r="NVX99" s="105"/>
      <c r="NVY99" s="105"/>
      <c r="NVZ99" s="105"/>
      <c r="NWA99" s="105"/>
      <c r="NWB99" s="105"/>
      <c r="NWC99" s="105"/>
      <c r="NWD99" s="105"/>
      <c r="NWE99" s="105"/>
      <c r="NWF99" s="105"/>
      <c r="NWG99" s="105"/>
      <c r="NWH99" s="105"/>
      <c r="NWI99" s="105"/>
      <c r="NWJ99" s="105"/>
      <c r="NWK99" s="105"/>
      <c r="NWL99" s="105"/>
      <c r="NWM99" s="105"/>
      <c r="NWN99" s="105"/>
      <c r="NWO99" s="105"/>
      <c r="NWP99" s="105"/>
      <c r="NWQ99" s="105"/>
      <c r="NWR99" s="105"/>
      <c r="NWS99" s="105"/>
      <c r="NWT99" s="105"/>
      <c r="NWU99" s="105"/>
      <c r="NWV99" s="105"/>
      <c r="NWW99" s="105"/>
      <c r="NWX99" s="105"/>
      <c r="NWY99" s="105"/>
      <c r="NWZ99" s="105"/>
      <c r="NXA99" s="105"/>
      <c r="NXB99" s="105"/>
      <c r="NXC99" s="105"/>
      <c r="NXD99" s="105"/>
      <c r="NXE99" s="105"/>
      <c r="NXF99" s="105"/>
      <c r="NXG99" s="105"/>
      <c r="NXH99" s="105"/>
      <c r="NXI99" s="105"/>
      <c r="NXJ99" s="105"/>
      <c r="NXK99" s="105"/>
      <c r="NXL99" s="105"/>
      <c r="NXM99" s="105"/>
      <c r="NXN99" s="105"/>
      <c r="NXO99" s="105"/>
      <c r="NXP99" s="105"/>
      <c r="NXQ99" s="105"/>
      <c r="NXR99" s="105"/>
      <c r="NXS99" s="105"/>
      <c r="NXT99" s="105"/>
      <c r="NXU99" s="105"/>
      <c r="NXV99" s="105"/>
      <c r="NXW99" s="105"/>
      <c r="NXX99" s="105"/>
      <c r="NXY99" s="105"/>
      <c r="NXZ99" s="105"/>
      <c r="NYA99" s="105"/>
      <c r="NYB99" s="105"/>
      <c r="NYC99" s="105"/>
      <c r="NYD99" s="105"/>
      <c r="NYE99" s="105"/>
      <c r="NYF99" s="105"/>
      <c r="NYG99" s="105"/>
      <c r="NYH99" s="105"/>
      <c r="NYI99" s="105"/>
      <c r="NYJ99" s="105"/>
      <c r="NYK99" s="105"/>
      <c r="NYL99" s="105"/>
      <c r="NYM99" s="105"/>
      <c r="NYN99" s="105"/>
      <c r="NYO99" s="105"/>
      <c r="NYP99" s="105"/>
      <c r="NYQ99" s="105"/>
      <c r="NYR99" s="105"/>
      <c r="NYS99" s="105"/>
      <c r="NYT99" s="105"/>
      <c r="NYU99" s="105"/>
      <c r="NYV99" s="105"/>
      <c r="NYW99" s="105"/>
      <c r="NYX99" s="105"/>
      <c r="NYY99" s="105"/>
      <c r="NYZ99" s="105"/>
      <c r="NZA99" s="105"/>
      <c r="NZB99" s="105"/>
      <c r="NZC99" s="105"/>
      <c r="NZD99" s="105"/>
      <c r="NZE99" s="105"/>
      <c r="NZF99" s="105"/>
      <c r="NZG99" s="105"/>
      <c r="NZH99" s="105"/>
      <c r="NZI99" s="105"/>
      <c r="NZJ99" s="105"/>
      <c r="NZK99" s="105"/>
      <c r="NZL99" s="105"/>
      <c r="NZM99" s="105"/>
      <c r="NZN99" s="105"/>
      <c r="NZO99" s="105"/>
      <c r="NZP99" s="105"/>
      <c r="NZQ99" s="105"/>
      <c r="NZR99" s="105"/>
      <c r="NZS99" s="105"/>
      <c r="NZT99" s="105"/>
      <c r="NZU99" s="105"/>
      <c r="NZV99" s="105"/>
      <c r="NZW99" s="105"/>
      <c r="NZX99" s="105"/>
      <c r="NZY99" s="105"/>
      <c r="NZZ99" s="105"/>
      <c r="OAA99" s="105"/>
      <c r="OAB99" s="105"/>
      <c r="OAC99" s="105"/>
      <c r="OAD99" s="105"/>
      <c r="OAE99" s="105"/>
      <c r="OAF99" s="105"/>
      <c r="OAG99" s="105"/>
      <c r="OAH99" s="105"/>
      <c r="OAI99" s="105"/>
      <c r="OAJ99" s="105"/>
      <c r="OAK99" s="105"/>
      <c r="OAL99" s="105"/>
      <c r="OAM99" s="105"/>
      <c r="OAN99" s="105"/>
      <c r="OAO99" s="105"/>
      <c r="OAP99" s="105"/>
      <c r="OAQ99" s="105"/>
      <c r="OAR99" s="105"/>
      <c r="OAS99" s="105"/>
      <c r="OAT99" s="105"/>
      <c r="OAU99" s="105"/>
      <c r="OAV99" s="105"/>
      <c r="OAW99" s="105"/>
      <c r="OAX99" s="105"/>
      <c r="OAY99" s="105"/>
      <c r="OAZ99" s="105"/>
      <c r="OBA99" s="105"/>
      <c r="OBB99" s="105"/>
      <c r="OBC99" s="105"/>
      <c r="OBD99" s="105"/>
      <c r="OBE99" s="105"/>
      <c r="OBF99" s="105"/>
      <c r="OBG99" s="105"/>
      <c r="OBH99" s="105"/>
      <c r="OBI99" s="105"/>
      <c r="OBJ99" s="105"/>
      <c r="OBK99" s="105"/>
      <c r="OBL99" s="105"/>
      <c r="OBM99" s="105"/>
      <c r="OBN99" s="105"/>
      <c r="OBO99" s="105"/>
      <c r="OBP99" s="105"/>
      <c r="OBQ99" s="105"/>
      <c r="OBR99" s="105"/>
      <c r="OBS99" s="105"/>
      <c r="OBT99" s="105"/>
      <c r="OBU99" s="105"/>
      <c r="OBV99" s="105"/>
      <c r="OBW99" s="105"/>
      <c r="OBX99" s="105"/>
      <c r="OBY99" s="105"/>
      <c r="OBZ99" s="105"/>
      <c r="OCA99" s="105"/>
      <c r="OCB99" s="105"/>
      <c r="OCC99" s="105"/>
      <c r="OCD99" s="105"/>
      <c r="OCE99" s="105"/>
      <c r="OCF99" s="105"/>
      <c r="OCG99" s="105"/>
      <c r="OCH99" s="105"/>
      <c r="OCI99" s="105"/>
      <c r="OCJ99" s="105"/>
      <c r="OCK99" s="105"/>
      <c r="OCL99" s="105"/>
      <c r="OCM99" s="105"/>
      <c r="OCN99" s="105"/>
      <c r="OCO99" s="105"/>
      <c r="OCP99" s="105"/>
      <c r="OCQ99" s="105"/>
      <c r="OCR99" s="105"/>
      <c r="OCS99" s="105"/>
      <c r="OCT99" s="105"/>
      <c r="OCU99" s="105"/>
      <c r="OCV99" s="105"/>
      <c r="OCW99" s="105"/>
      <c r="OCX99" s="105"/>
      <c r="OCY99" s="105"/>
      <c r="OCZ99" s="105"/>
      <c r="ODA99" s="105"/>
      <c r="ODB99" s="105"/>
      <c r="ODC99" s="105"/>
      <c r="ODD99" s="105"/>
      <c r="ODE99" s="105"/>
      <c r="ODF99" s="105"/>
      <c r="ODG99" s="105"/>
      <c r="ODH99" s="105"/>
      <c r="ODI99" s="105"/>
      <c r="ODJ99" s="105"/>
      <c r="ODK99" s="105"/>
      <c r="ODL99" s="105"/>
      <c r="ODM99" s="105"/>
      <c r="ODN99" s="105"/>
      <c r="ODO99" s="105"/>
      <c r="ODP99" s="105"/>
      <c r="ODQ99" s="105"/>
      <c r="ODR99" s="105"/>
      <c r="ODS99" s="105"/>
      <c r="ODT99" s="105"/>
      <c r="ODU99" s="105"/>
      <c r="ODV99" s="105"/>
      <c r="ODW99" s="105"/>
      <c r="ODX99" s="105"/>
      <c r="ODY99" s="105"/>
      <c r="ODZ99" s="105"/>
      <c r="OEA99" s="105"/>
      <c r="OEB99" s="105"/>
      <c r="OEC99" s="105"/>
      <c r="OED99" s="105"/>
      <c r="OEE99" s="105"/>
      <c r="OEF99" s="105"/>
      <c r="OEG99" s="105"/>
      <c r="OEH99" s="105"/>
      <c r="OEI99" s="105"/>
      <c r="OEJ99" s="105"/>
      <c r="OEK99" s="105"/>
      <c r="OEL99" s="105"/>
      <c r="OEM99" s="105"/>
      <c r="OEN99" s="105"/>
      <c r="OEO99" s="105"/>
      <c r="OEP99" s="105"/>
      <c r="OEQ99" s="105"/>
      <c r="OER99" s="105"/>
      <c r="OES99" s="105"/>
      <c r="OET99" s="105"/>
      <c r="OEU99" s="105"/>
      <c r="OEV99" s="105"/>
      <c r="OEW99" s="105"/>
      <c r="OEX99" s="105"/>
      <c r="OEY99" s="105"/>
      <c r="OEZ99" s="105"/>
      <c r="OFA99" s="105"/>
      <c r="OFB99" s="105"/>
      <c r="OFC99" s="105"/>
      <c r="OFD99" s="105"/>
      <c r="OFE99" s="105"/>
      <c r="OFF99" s="105"/>
      <c r="OFG99" s="105"/>
      <c r="OFH99" s="105"/>
      <c r="OFI99" s="105"/>
      <c r="OFJ99" s="105"/>
      <c r="OFK99" s="105"/>
      <c r="OFL99" s="105"/>
      <c r="OFM99" s="105"/>
      <c r="OFN99" s="105"/>
      <c r="OFO99" s="105"/>
      <c r="OFP99" s="105"/>
      <c r="OFQ99" s="105"/>
      <c r="OFR99" s="105"/>
      <c r="OFS99" s="105"/>
      <c r="OFT99" s="105"/>
      <c r="OFU99" s="105"/>
      <c r="OFV99" s="105"/>
      <c r="OFW99" s="105"/>
      <c r="OFX99" s="105"/>
      <c r="OFY99" s="105"/>
      <c r="OFZ99" s="105"/>
      <c r="OGA99" s="105"/>
      <c r="OGB99" s="105"/>
      <c r="OGC99" s="105"/>
      <c r="OGD99" s="105"/>
      <c r="OGE99" s="105"/>
      <c r="OGF99" s="105"/>
      <c r="OGG99" s="105"/>
      <c r="OGH99" s="105"/>
      <c r="OGI99" s="105"/>
      <c r="OGJ99" s="105"/>
      <c r="OGK99" s="105"/>
      <c r="OGL99" s="105"/>
      <c r="OGM99" s="105"/>
      <c r="OGN99" s="105"/>
      <c r="OGO99" s="105"/>
      <c r="OGP99" s="105"/>
      <c r="OGQ99" s="105"/>
      <c r="OGR99" s="105"/>
      <c r="OGS99" s="105"/>
      <c r="OGT99" s="105"/>
      <c r="OGU99" s="105"/>
      <c r="OGV99" s="105"/>
      <c r="OGW99" s="105"/>
      <c r="OGX99" s="105"/>
      <c r="OGY99" s="105"/>
      <c r="OGZ99" s="105"/>
      <c r="OHA99" s="105"/>
      <c r="OHB99" s="105"/>
      <c r="OHC99" s="105"/>
      <c r="OHD99" s="105"/>
      <c r="OHE99" s="105"/>
      <c r="OHF99" s="105"/>
      <c r="OHG99" s="105"/>
      <c r="OHH99" s="105"/>
      <c r="OHI99" s="105"/>
      <c r="OHJ99" s="105"/>
      <c r="OHK99" s="105"/>
      <c r="OHL99" s="105"/>
      <c r="OHM99" s="105"/>
      <c r="OHN99" s="105"/>
      <c r="OHO99" s="105"/>
      <c r="OHP99" s="105"/>
      <c r="OHQ99" s="105"/>
      <c r="OHR99" s="105"/>
      <c r="OHS99" s="105"/>
      <c r="OHT99" s="105"/>
      <c r="OHU99" s="105"/>
      <c r="OHV99" s="105"/>
      <c r="OHW99" s="105"/>
      <c r="OHX99" s="105"/>
      <c r="OHY99" s="105"/>
      <c r="OHZ99" s="105"/>
      <c r="OIA99" s="105"/>
      <c r="OIB99" s="105"/>
      <c r="OIC99" s="105"/>
      <c r="OID99" s="105"/>
      <c r="OIE99" s="105"/>
      <c r="OIF99" s="105"/>
      <c r="OIG99" s="105"/>
      <c r="OIH99" s="105"/>
      <c r="OII99" s="105"/>
      <c r="OIJ99" s="105"/>
      <c r="OIK99" s="105"/>
      <c r="OIL99" s="105"/>
      <c r="OIM99" s="105"/>
      <c r="OIN99" s="105"/>
      <c r="OIO99" s="105"/>
      <c r="OIP99" s="105"/>
      <c r="OIQ99" s="105"/>
      <c r="OIR99" s="105"/>
      <c r="OIS99" s="105"/>
      <c r="OIT99" s="105"/>
      <c r="OIU99" s="105"/>
      <c r="OIV99" s="105"/>
      <c r="OIW99" s="105"/>
      <c r="OIX99" s="105"/>
      <c r="OIY99" s="105"/>
      <c r="OIZ99" s="105"/>
      <c r="OJA99" s="105"/>
      <c r="OJB99" s="105"/>
      <c r="OJC99" s="105"/>
      <c r="OJD99" s="105"/>
      <c r="OJE99" s="105"/>
      <c r="OJF99" s="105"/>
      <c r="OJG99" s="105"/>
      <c r="OJH99" s="105"/>
      <c r="OJI99" s="105"/>
      <c r="OJJ99" s="105"/>
      <c r="OJK99" s="105"/>
      <c r="OJL99" s="105"/>
      <c r="OJM99" s="105"/>
      <c r="OJN99" s="105"/>
      <c r="OJO99" s="105"/>
      <c r="OJP99" s="105"/>
      <c r="OJQ99" s="105"/>
      <c r="OJR99" s="105"/>
      <c r="OJS99" s="105"/>
      <c r="OJT99" s="105"/>
      <c r="OJU99" s="105"/>
      <c r="OJV99" s="105"/>
      <c r="OJW99" s="105"/>
      <c r="OJX99" s="105"/>
      <c r="OJY99" s="105"/>
      <c r="OJZ99" s="105"/>
      <c r="OKA99" s="105"/>
      <c r="OKB99" s="105"/>
      <c r="OKC99" s="105"/>
      <c r="OKD99" s="105"/>
      <c r="OKE99" s="105"/>
      <c r="OKF99" s="105"/>
      <c r="OKG99" s="105"/>
      <c r="OKH99" s="105"/>
      <c r="OKI99" s="105"/>
      <c r="OKJ99" s="105"/>
      <c r="OKK99" s="105"/>
      <c r="OKL99" s="105"/>
      <c r="OKM99" s="105"/>
      <c r="OKN99" s="105"/>
      <c r="OKO99" s="105"/>
      <c r="OKP99" s="105"/>
      <c r="OKQ99" s="105"/>
      <c r="OKR99" s="105"/>
      <c r="OKS99" s="105"/>
      <c r="OKT99" s="105"/>
      <c r="OKU99" s="105"/>
      <c r="OKV99" s="105"/>
      <c r="OKW99" s="105"/>
      <c r="OKX99" s="105"/>
      <c r="OKY99" s="105"/>
      <c r="OKZ99" s="105"/>
      <c r="OLA99" s="105"/>
      <c r="OLB99" s="105"/>
      <c r="OLC99" s="105"/>
      <c r="OLD99" s="105"/>
      <c r="OLE99" s="105"/>
      <c r="OLF99" s="105"/>
      <c r="OLG99" s="105"/>
      <c r="OLH99" s="105"/>
      <c r="OLI99" s="105"/>
      <c r="OLJ99" s="105"/>
      <c r="OLK99" s="105"/>
      <c r="OLL99" s="105"/>
      <c r="OLM99" s="105"/>
      <c r="OLN99" s="105"/>
      <c r="OLO99" s="105"/>
      <c r="OLP99" s="105"/>
      <c r="OLQ99" s="105"/>
      <c r="OLR99" s="105"/>
      <c r="OLS99" s="105"/>
      <c r="OLT99" s="105"/>
      <c r="OLU99" s="105"/>
      <c r="OLV99" s="105"/>
      <c r="OLW99" s="105"/>
      <c r="OLX99" s="105"/>
      <c r="OLY99" s="105"/>
      <c r="OLZ99" s="105"/>
      <c r="OMA99" s="105"/>
      <c r="OMB99" s="105"/>
      <c r="OMC99" s="105"/>
      <c r="OMD99" s="105"/>
      <c r="OME99" s="105"/>
      <c r="OMF99" s="105"/>
      <c r="OMG99" s="105"/>
      <c r="OMH99" s="105"/>
      <c r="OMI99" s="105"/>
      <c r="OMJ99" s="105"/>
      <c r="OMK99" s="105"/>
      <c r="OML99" s="105"/>
      <c r="OMM99" s="105"/>
      <c r="OMN99" s="105"/>
      <c r="OMO99" s="105"/>
      <c r="OMP99" s="105"/>
      <c r="OMQ99" s="105"/>
      <c r="OMR99" s="105"/>
      <c r="OMS99" s="105"/>
      <c r="OMT99" s="105"/>
      <c r="OMU99" s="105"/>
      <c r="OMV99" s="105"/>
      <c r="OMW99" s="105"/>
      <c r="OMX99" s="105"/>
      <c r="OMY99" s="105"/>
      <c r="OMZ99" s="105"/>
      <c r="ONA99" s="105"/>
      <c r="ONB99" s="105"/>
      <c r="ONC99" s="105"/>
      <c r="OND99" s="105"/>
      <c r="ONE99" s="105"/>
      <c r="ONF99" s="105"/>
      <c r="ONG99" s="105"/>
      <c r="ONH99" s="105"/>
      <c r="ONI99" s="105"/>
      <c r="ONJ99" s="105"/>
      <c r="ONK99" s="105"/>
      <c r="ONL99" s="105"/>
      <c r="ONM99" s="105"/>
      <c r="ONN99" s="105"/>
      <c r="ONO99" s="105"/>
      <c r="ONP99" s="105"/>
      <c r="ONQ99" s="105"/>
      <c r="ONR99" s="105"/>
      <c r="ONS99" s="105"/>
      <c r="ONT99" s="105"/>
      <c r="ONU99" s="105"/>
      <c r="ONV99" s="105"/>
      <c r="ONW99" s="105"/>
      <c r="ONX99" s="105"/>
      <c r="ONY99" s="105"/>
      <c r="ONZ99" s="105"/>
      <c r="OOA99" s="105"/>
      <c r="OOB99" s="105"/>
      <c r="OOC99" s="105"/>
      <c r="OOD99" s="105"/>
      <c r="OOE99" s="105"/>
      <c r="OOF99" s="105"/>
      <c r="OOG99" s="105"/>
      <c r="OOH99" s="105"/>
      <c r="OOI99" s="105"/>
      <c r="OOJ99" s="105"/>
      <c r="OOK99" s="105"/>
      <c r="OOL99" s="105"/>
      <c r="OOM99" s="105"/>
      <c r="OON99" s="105"/>
      <c r="OOO99" s="105"/>
      <c r="OOP99" s="105"/>
      <c r="OOQ99" s="105"/>
      <c r="OOR99" s="105"/>
      <c r="OOS99" s="105"/>
      <c r="OOT99" s="105"/>
      <c r="OOU99" s="105"/>
      <c r="OOV99" s="105"/>
      <c r="OOW99" s="105"/>
      <c r="OOX99" s="105"/>
      <c r="OOY99" s="105"/>
      <c r="OOZ99" s="105"/>
      <c r="OPA99" s="105"/>
      <c r="OPB99" s="105"/>
      <c r="OPC99" s="105"/>
      <c r="OPD99" s="105"/>
      <c r="OPE99" s="105"/>
      <c r="OPF99" s="105"/>
      <c r="OPG99" s="105"/>
      <c r="OPH99" s="105"/>
      <c r="OPI99" s="105"/>
      <c r="OPJ99" s="105"/>
      <c r="OPK99" s="105"/>
      <c r="OPL99" s="105"/>
      <c r="OPM99" s="105"/>
      <c r="OPN99" s="105"/>
      <c r="OPO99" s="105"/>
      <c r="OPP99" s="105"/>
      <c r="OPQ99" s="105"/>
      <c r="OPR99" s="105"/>
      <c r="OPS99" s="105"/>
      <c r="OPT99" s="105"/>
      <c r="OPU99" s="105"/>
      <c r="OPV99" s="105"/>
      <c r="OPW99" s="105"/>
      <c r="OPX99" s="105"/>
      <c r="OPY99" s="105"/>
      <c r="OPZ99" s="105"/>
      <c r="OQA99" s="105"/>
      <c r="OQB99" s="105"/>
      <c r="OQC99" s="105"/>
      <c r="OQD99" s="105"/>
      <c r="OQE99" s="105"/>
      <c r="OQF99" s="105"/>
      <c r="OQG99" s="105"/>
      <c r="OQH99" s="105"/>
      <c r="OQI99" s="105"/>
      <c r="OQJ99" s="105"/>
      <c r="OQK99" s="105"/>
      <c r="OQL99" s="105"/>
      <c r="OQM99" s="105"/>
      <c r="OQN99" s="105"/>
      <c r="OQO99" s="105"/>
      <c r="OQP99" s="105"/>
      <c r="OQQ99" s="105"/>
      <c r="OQR99" s="105"/>
      <c r="OQS99" s="105"/>
      <c r="OQT99" s="105"/>
      <c r="OQU99" s="105"/>
      <c r="OQV99" s="105"/>
      <c r="OQW99" s="105"/>
      <c r="OQX99" s="105"/>
      <c r="OQY99" s="105"/>
      <c r="OQZ99" s="105"/>
      <c r="ORA99" s="105"/>
      <c r="ORB99" s="105"/>
      <c r="ORC99" s="105"/>
      <c r="ORD99" s="105"/>
      <c r="ORE99" s="105"/>
      <c r="ORF99" s="105"/>
      <c r="ORG99" s="105"/>
      <c r="ORH99" s="105"/>
      <c r="ORI99" s="105"/>
      <c r="ORJ99" s="105"/>
      <c r="ORK99" s="105"/>
      <c r="ORL99" s="105"/>
      <c r="ORM99" s="105"/>
      <c r="ORN99" s="105"/>
      <c r="ORO99" s="105"/>
      <c r="ORP99" s="105"/>
      <c r="ORQ99" s="105"/>
      <c r="ORR99" s="105"/>
      <c r="ORS99" s="105"/>
      <c r="ORT99" s="105"/>
      <c r="ORU99" s="105"/>
      <c r="ORV99" s="105"/>
      <c r="ORW99" s="105"/>
      <c r="ORX99" s="105"/>
      <c r="ORY99" s="105"/>
      <c r="ORZ99" s="105"/>
      <c r="OSA99" s="105"/>
      <c r="OSB99" s="105"/>
      <c r="OSC99" s="105"/>
      <c r="OSD99" s="105"/>
      <c r="OSE99" s="105"/>
      <c r="OSF99" s="105"/>
      <c r="OSG99" s="105"/>
      <c r="OSH99" s="105"/>
      <c r="OSI99" s="105"/>
      <c r="OSJ99" s="105"/>
      <c r="OSK99" s="105"/>
      <c r="OSL99" s="105"/>
      <c r="OSM99" s="105"/>
      <c r="OSN99" s="105"/>
      <c r="OSO99" s="105"/>
      <c r="OSP99" s="105"/>
      <c r="OSQ99" s="105"/>
      <c r="OSR99" s="105"/>
      <c r="OSS99" s="105"/>
      <c r="OST99" s="105"/>
      <c r="OSU99" s="105"/>
      <c r="OSV99" s="105"/>
      <c r="OSW99" s="105"/>
      <c r="OSX99" s="105"/>
      <c r="OSY99" s="105"/>
      <c r="OSZ99" s="105"/>
      <c r="OTA99" s="105"/>
      <c r="OTB99" s="105"/>
      <c r="OTC99" s="105"/>
      <c r="OTD99" s="105"/>
      <c r="OTE99" s="105"/>
      <c r="OTF99" s="105"/>
      <c r="OTG99" s="105"/>
      <c r="OTH99" s="105"/>
      <c r="OTI99" s="105"/>
      <c r="OTJ99" s="105"/>
      <c r="OTK99" s="105"/>
      <c r="OTL99" s="105"/>
      <c r="OTM99" s="105"/>
      <c r="OTN99" s="105"/>
      <c r="OTO99" s="105"/>
      <c r="OTP99" s="105"/>
      <c r="OTQ99" s="105"/>
      <c r="OTR99" s="105"/>
      <c r="OTS99" s="105"/>
      <c r="OTT99" s="105"/>
      <c r="OTU99" s="105"/>
      <c r="OTV99" s="105"/>
      <c r="OTW99" s="105"/>
      <c r="OTX99" s="105"/>
      <c r="OTY99" s="105"/>
      <c r="OTZ99" s="105"/>
      <c r="OUA99" s="105"/>
      <c r="OUB99" s="105"/>
      <c r="OUC99" s="105"/>
      <c r="OUD99" s="105"/>
      <c r="OUE99" s="105"/>
      <c r="OUF99" s="105"/>
      <c r="OUG99" s="105"/>
      <c r="OUH99" s="105"/>
      <c r="OUI99" s="105"/>
      <c r="OUJ99" s="105"/>
      <c r="OUK99" s="105"/>
      <c r="OUL99" s="105"/>
      <c r="OUM99" s="105"/>
      <c r="OUN99" s="105"/>
      <c r="OUO99" s="105"/>
      <c r="OUP99" s="105"/>
      <c r="OUQ99" s="105"/>
      <c r="OUR99" s="105"/>
      <c r="OUS99" s="105"/>
      <c r="OUT99" s="105"/>
      <c r="OUU99" s="105"/>
      <c r="OUV99" s="105"/>
      <c r="OUW99" s="105"/>
      <c r="OUX99" s="105"/>
      <c r="OUY99" s="105"/>
      <c r="OUZ99" s="105"/>
      <c r="OVA99" s="105"/>
      <c r="OVB99" s="105"/>
      <c r="OVC99" s="105"/>
      <c r="OVD99" s="105"/>
      <c r="OVE99" s="105"/>
      <c r="OVF99" s="105"/>
      <c r="OVG99" s="105"/>
      <c r="OVH99" s="105"/>
      <c r="OVI99" s="105"/>
      <c r="OVJ99" s="105"/>
      <c r="OVK99" s="105"/>
      <c r="OVL99" s="105"/>
      <c r="OVM99" s="105"/>
      <c r="OVN99" s="105"/>
      <c r="OVO99" s="105"/>
      <c r="OVP99" s="105"/>
      <c r="OVQ99" s="105"/>
      <c r="OVR99" s="105"/>
      <c r="OVS99" s="105"/>
      <c r="OVT99" s="105"/>
      <c r="OVU99" s="105"/>
      <c r="OVV99" s="105"/>
      <c r="OVW99" s="105"/>
      <c r="OVX99" s="105"/>
      <c r="OVY99" s="105"/>
      <c r="OVZ99" s="105"/>
      <c r="OWA99" s="105"/>
      <c r="OWB99" s="105"/>
      <c r="OWC99" s="105"/>
      <c r="OWD99" s="105"/>
      <c r="OWE99" s="105"/>
      <c r="OWF99" s="105"/>
      <c r="OWG99" s="105"/>
      <c r="OWH99" s="105"/>
      <c r="OWI99" s="105"/>
      <c r="OWJ99" s="105"/>
      <c r="OWK99" s="105"/>
      <c r="OWL99" s="105"/>
      <c r="OWM99" s="105"/>
      <c r="OWN99" s="105"/>
      <c r="OWO99" s="105"/>
      <c r="OWP99" s="105"/>
      <c r="OWQ99" s="105"/>
      <c r="OWR99" s="105"/>
      <c r="OWS99" s="105"/>
      <c r="OWT99" s="105"/>
      <c r="OWU99" s="105"/>
      <c r="OWV99" s="105"/>
      <c r="OWW99" s="105"/>
      <c r="OWX99" s="105"/>
      <c r="OWY99" s="105"/>
      <c r="OWZ99" s="105"/>
      <c r="OXA99" s="105"/>
      <c r="OXB99" s="105"/>
      <c r="OXC99" s="105"/>
      <c r="OXD99" s="105"/>
      <c r="OXE99" s="105"/>
      <c r="OXF99" s="105"/>
      <c r="OXG99" s="105"/>
      <c r="OXH99" s="105"/>
      <c r="OXI99" s="105"/>
      <c r="OXJ99" s="105"/>
      <c r="OXK99" s="105"/>
      <c r="OXL99" s="105"/>
      <c r="OXM99" s="105"/>
      <c r="OXN99" s="105"/>
      <c r="OXO99" s="105"/>
      <c r="OXP99" s="105"/>
      <c r="OXQ99" s="105"/>
      <c r="OXR99" s="105"/>
      <c r="OXS99" s="105"/>
      <c r="OXT99" s="105"/>
      <c r="OXU99" s="105"/>
      <c r="OXV99" s="105"/>
      <c r="OXW99" s="105"/>
      <c r="OXX99" s="105"/>
      <c r="OXY99" s="105"/>
      <c r="OXZ99" s="105"/>
      <c r="OYA99" s="105"/>
      <c r="OYB99" s="105"/>
      <c r="OYC99" s="105"/>
      <c r="OYD99" s="105"/>
      <c r="OYE99" s="105"/>
      <c r="OYF99" s="105"/>
      <c r="OYG99" s="105"/>
      <c r="OYH99" s="105"/>
      <c r="OYI99" s="105"/>
      <c r="OYJ99" s="105"/>
      <c r="OYK99" s="105"/>
      <c r="OYL99" s="105"/>
      <c r="OYM99" s="105"/>
      <c r="OYN99" s="105"/>
      <c r="OYO99" s="105"/>
      <c r="OYP99" s="105"/>
      <c r="OYQ99" s="105"/>
      <c r="OYR99" s="105"/>
      <c r="OYS99" s="105"/>
      <c r="OYT99" s="105"/>
      <c r="OYU99" s="105"/>
      <c r="OYV99" s="105"/>
      <c r="OYW99" s="105"/>
      <c r="OYX99" s="105"/>
      <c r="OYY99" s="105"/>
      <c r="OYZ99" s="105"/>
      <c r="OZA99" s="105"/>
      <c r="OZB99" s="105"/>
      <c r="OZC99" s="105"/>
      <c r="OZD99" s="105"/>
      <c r="OZE99" s="105"/>
      <c r="OZF99" s="105"/>
      <c r="OZG99" s="105"/>
      <c r="OZH99" s="105"/>
      <c r="OZI99" s="105"/>
      <c r="OZJ99" s="105"/>
      <c r="OZK99" s="105"/>
      <c r="OZL99" s="105"/>
      <c r="OZM99" s="105"/>
      <c r="OZN99" s="105"/>
      <c r="OZO99" s="105"/>
      <c r="OZP99" s="105"/>
      <c r="OZQ99" s="105"/>
      <c r="OZR99" s="105"/>
      <c r="OZS99" s="105"/>
      <c r="OZT99" s="105"/>
      <c r="OZU99" s="105"/>
      <c r="OZV99" s="105"/>
      <c r="OZW99" s="105"/>
      <c r="OZX99" s="105"/>
      <c r="OZY99" s="105"/>
      <c r="OZZ99" s="105"/>
      <c r="PAA99" s="105"/>
      <c r="PAB99" s="105"/>
      <c r="PAC99" s="105"/>
      <c r="PAD99" s="105"/>
      <c r="PAE99" s="105"/>
      <c r="PAF99" s="105"/>
      <c r="PAG99" s="105"/>
      <c r="PAH99" s="105"/>
      <c r="PAI99" s="105"/>
      <c r="PAJ99" s="105"/>
      <c r="PAK99" s="105"/>
      <c r="PAL99" s="105"/>
      <c r="PAM99" s="105"/>
      <c r="PAN99" s="105"/>
      <c r="PAO99" s="105"/>
      <c r="PAP99" s="105"/>
      <c r="PAQ99" s="105"/>
      <c r="PAR99" s="105"/>
      <c r="PAS99" s="105"/>
      <c r="PAT99" s="105"/>
      <c r="PAU99" s="105"/>
      <c r="PAV99" s="105"/>
      <c r="PAW99" s="105"/>
      <c r="PAX99" s="105"/>
      <c r="PAY99" s="105"/>
      <c r="PAZ99" s="105"/>
      <c r="PBA99" s="105"/>
      <c r="PBB99" s="105"/>
      <c r="PBC99" s="105"/>
      <c r="PBD99" s="105"/>
      <c r="PBE99" s="105"/>
      <c r="PBF99" s="105"/>
      <c r="PBG99" s="105"/>
      <c r="PBH99" s="105"/>
      <c r="PBI99" s="105"/>
      <c r="PBJ99" s="105"/>
      <c r="PBK99" s="105"/>
      <c r="PBL99" s="105"/>
      <c r="PBM99" s="105"/>
      <c r="PBN99" s="105"/>
      <c r="PBO99" s="105"/>
      <c r="PBP99" s="105"/>
      <c r="PBQ99" s="105"/>
      <c r="PBR99" s="105"/>
      <c r="PBS99" s="105"/>
      <c r="PBT99" s="105"/>
      <c r="PBU99" s="105"/>
      <c r="PBV99" s="105"/>
      <c r="PBW99" s="105"/>
      <c r="PBX99" s="105"/>
      <c r="PBY99" s="105"/>
      <c r="PBZ99" s="105"/>
      <c r="PCA99" s="105"/>
      <c r="PCB99" s="105"/>
      <c r="PCC99" s="105"/>
      <c r="PCD99" s="105"/>
      <c r="PCE99" s="105"/>
      <c r="PCF99" s="105"/>
      <c r="PCG99" s="105"/>
      <c r="PCH99" s="105"/>
      <c r="PCI99" s="105"/>
      <c r="PCJ99" s="105"/>
      <c r="PCK99" s="105"/>
      <c r="PCL99" s="105"/>
      <c r="PCM99" s="105"/>
      <c r="PCN99" s="105"/>
      <c r="PCO99" s="105"/>
      <c r="PCP99" s="105"/>
      <c r="PCQ99" s="105"/>
      <c r="PCR99" s="105"/>
      <c r="PCS99" s="105"/>
      <c r="PCT99" s="105"/>
      <c r="PCU99" s="105"/>
      <c r="PCV99" s="105"/>
      <c r="PCW99" s="105"/>
      <c r="PCX99" s="105"/>
      <c r="PCY99" s="105"/>
      <c r="PCZ99" s="105"/>
      <c r="PDA99" s="105"/>
      <c r="PDB99" s="105"/>
      <c r="PDC99" s="105"/>
      <c r="PDD99" s="105"/>
      <c r="PDE99" s="105"/>
      <c r="PDF99" s="105"/>
      <c r="PDG99" s="105"/>
      <c r="PDH99" s="105"/>
      <c r="PDI99" s="105"/>
      <c r="PDJ99" s="105"/>
      <c r="PDK99" s="105"/>
      <c r="PDL99" s="105"/>
      <c r="PDM99" s="105"/>
      <c r="PDN99" s="105"/>
      <c r="PDO99" s="105"/>
      <c r="PDP99" s="105"/>
      <c r="PDQ99" s="105"/>
      <c r="PDR99" s="105"/>
      <c r="PDS99" s="105"/>
      <c r="PDT99" s="105"/>
      <c r="PDU99" s="105"/>
      <c r="PDV99" s="105"/>
      <c r="PDW99" s="105"/>
      <c r="PDX99" s="105"/>
      <c r="PDY99" s="105"/>
      <c r="PDZ99" s="105"/>
      <c r="PEA99" s="105"/>
      <c r="PEB99" s="105"/>
      <c r="PEC99" s="105"/>
      <c r="PED99" s="105"/>
      <c r="PEE99" s="105"/>
      <c r="PEF99" s="105"/>
      <c r="PEG99" s="105"/>
      <c r="PEH99" s="105"/>
      <c r="PEI99" s="105"/>
      <c r="PEJ99" s="105"/>
      <c r="PEK99" s="105"/>
      <c r="PEL99" s="105"/>
      <c r="PEM99" s="105"/>
      <c r="PEN99" s="105"/>
      <c r="PEO99" s="105"/>
      <c r="PEP99" s="105"/>
      <c r="PEQ99" s="105"/>
      <c r="PER99" s="105"/>
      <c r="PES99" s="105"/>
      <c r="PET99" s="105"/>
      <c r="PEU99" s="105"/>
      <c r="PEV99" s="105"/>
      <c r="PEW99" s="105"/>
      <c r="PEX99" s="105"/>
      <c r="PEY99" s="105"/>
      <c r="PEZ99" s="105"/>
      <c r="PFA99" s="105"/>
      <c r="PFB99" s="105"/>
      <c r="PFC99" s="105"/>
      <c r="PFD99" s="105"/>
      <c r="PFE99" s="105"/>
      <c r="PFF99" s="105"/>
      <c r="PFG99" s="105"/>
      <c r="PFH99" s="105"/>
      <c r="PFI99" s="105"/>
      <c r="PFJ99" s="105"/>
      <c r="PFK99" s="105"/>
      <c r="PFL99" s="105"/>
      <c r="PFM99" s="105"/>
      <c r="PFN99" s="105"/>
      <c r="PFO99" s="105"/>
      <c r="PFP99" s="105"/>
      <c r="PFQ99" s="105"/>
      <c r="PFR99" s="105"/>
      <c r="PFS99" s="105"/>
      <c r="PFT99" s="105"/>
      <c r="PFU99" s="105"/>
      <c r="PFV99" s="105"/>
      <c r="PFW99" s="105"/>
      <c r="PFX99" s="105"/>
      <c r="PFY99" s="105"/>
      <c r="PFZ99" s="105"/>
      <c r="PGA99" s="105"/>
      <c r="PGB99" s="105"/>
      <c r="PGC99" s="105"/>
      <c r="PGD99" s="105"/>
      <c r="PGE99" s="105"/>
      <c r="PGF99" s="105"/>
      <c r="PGG99" s="105"/>
      <c r="PGH99" s="105"/>
      <c r="PGI99" s="105"/>
      <c r="PGJ99" s="105"/>
      <c r="PGK99" s="105"/>
      <c r="PGL99" s="105"/>
      <c r="PGM99" s="105"/>
      <c r="PGN99" s="105"/>
      <c r="PGO99" s="105"/>
      <c r="PGP99" s="105"/>
      <c r="PGQ99" s="105"/>
      <c r="PGR99" s="105"/>
      <c r="PGS99" s="105"/>
      <c r="PGT99" s="105"/>
      <c r="PGU99" s="105"/>
      <c r="PGV99" s="105"/>
      <c r="PGW99" s="105"/>
      <c r="PGX99" s="105"/>
      <c r="PGY99" s="105"/>
      <c r="PGZ99" s="105"/>
      <c r="PHA99" s="105"/>
      <c r="PHB99" s="105"/>
      <c r="PHC99" s="105"/>
      <c r="PHD99" s="105"/>
      <c r="PHE99" s="105"/>
      <c r="PHF99" s="105"/>
      <c r="PHG99" s="105"/>
      <c r="PHH99" s="105"/>
      <c r="PHI99" s="105"/>
      <c r="PHJ99" s="105"/>
      <c r="PHK99" s="105"/>
      <c r="PHL99" s="105"/>
      <c r="PHM99" s="105"/>
      <c r="PHN99" s="105"/>
      <c r="PHO99" s="105"/>
      <c r="PHP99" s="105"/>
      <c r="PHQ99" s="105"/>
      <c r="PHR99" s="105"/>
      <c r="PHS99" s="105"/>
      <c r="PHT99" s="105"/>
      <c r="PHU99" s="105"/>
      <c r="PHV99" s="105"/>
      <c r="PHW99" s="105"/>
      <c r="PHX99" s="105"/>
      <c r="PHY99" s="105"/>
      <c r="PHZ99" s="105"/>
      <c r="PIA99" s="105"/>
      <c r="PIB99" s="105"/>
      <c r="PIC99" s="105"/>
      <c r="PID99" s="105"/>
      <c r="PIE99" s="105"/>
      <c r="PIF99" s="105"/>
      <c r="PIG99" s="105"/>
      <c r="PIH99" s="105"/>
      <c r="PII99" s="105"/>
      <c r="PIJ99" s="105"/>
      <c r="PIK99" s="105"/>
      <c r="PIL99" s="105"/>
      <c r="PIM99" s="105"/>
      <c r="PIN99" s="105"/>
      <c r="PIO99" s="105"/>
      <c r="PIP99" s="105"/>
      <c r="PIQ99" s="105"/>
      <c r="PIR99" s="105"/>
      <c r="PIS99" s="105"/>
      <c r="PIT99" s="105"/>
      <c r="PIU99" s="105"/>
      <c r="PIV99" s="105"/>
      <c r="PIW99" s="105"/>
      <c r="PIX99" s="105"/>
      <c r="PIY99" s="105"/>
      <c r="PIZ99" s="105"/>
      <c r="PJA99" s="105"/>
      <c r="PJB99" s="105"/>
      <c r="PJC99" s="105"/>
      <c r="PJD99" s="105"/>
      <c r="PJE99" s="105"/>
      <c r="PJF99" s="105"/>
      <c r="PJG99" s="105"/>
      <c r="PJH99" s="105"/>
      <c r="PJI99" s="105"/>
      <c r="PJJ99" s="105"/>
      <c r="PJK99" s="105"/>
      <c r="PJL99" s="105"/>
      <c r="PJM99" s="105"/>
      <c r="PJN99" s="105"/>
      <c r="PJO99" s="105"/>
      <c r="PJP99" s="105"/>
      <c r="PJQ99" s="105"/>
      <c r="PJR99" s="105"/>
      <c r="PJS99" s="105"/>
      <c r="PJT99" s="105"/>
      <c r="PJU99" s="105"/>
      <c r="PJV99" s="105"/>
      <c r="PJW99" s="105"/>
      <c r="PJX99" s="105"/>
      <c r="PJY99" s="105"/>
      <c r="PJZ99" s="105"/>
      <c r="PKA99" s="105"/>
      <c r="PKB99" s="105"/>
      <c r="PKC99" s="105"/>
      <c r="PKD99" s="105"/>
      <c r="PKE99" s="105"/>
      <c r="PKF99" s="105"/>
      <c r="PKG99" s="105"/>
      <c r="PKH99" s="105"/>
      <c r="PKI99" s="105"/>
      <c r="PKJ99" s="105"/>
      <c r="PKK99" s="105"/>
      <c r="PKL99" s="105"/>
      <c r="PKM99" s="105"/>
      <c r="PKN99" s="105"/>
      <c r="PKO99" s="105"/>
      <c r="PKP99" s="105"/>
      <c r="PKQ99" s="105"/>
      <c r="PKR99" s="105"/>
      <c r="PKS99" s="105"/>
      <c r="PKT99" s="105"/>
      <c r="PKU99" s="105"/>
      <c r="PKV99" s="105"/>
      <c r="PKW99" s="105"/>
      <c r="PKX99" s="105"/>
      <c r="PKY99" s="105"/>
      <c r="PKZ99" s="105"/>
      <c r="PLA99" s="105"/>
      <c r="PLB99" s="105"/>
      <c r="PLC99" s="105"/>
      <c r="PLD99" s="105"/>
      <c r="PLE99" s="105"/>
      <c r="PLF99" s="105"/>
      <c r="PLG99" s="105"/>
      <c r="PLH99" s="105"/>
      <c r="PLI99" s="105"/>
      <c r="PLJ99" s="105"/>
      <c r="PLK99" s="105"/>
      <c r="PLL99" s="105"/>
      <c r="PLM99" s="105"/>
      <c r="PLN99" s="105"/>
      <c r="PLO99" s="105"/>
      <c r="PLP99" s="105"/>
      <c r="PLQ99" s="105"/>
      <c r="PLR99" s="105"/>
      <c r="PLS99" s="105"/>
      <c r="PLT99" s="105"/>
      <c r="PLU99" s="105"/>
      <c r="PLV99" s="105"/>
      <c r="PLW99" s="105"/>
      <c r="PLX99" s="105"/>
      <c r="PLY99" s="105"/>
      <c r="PLZ99" s="105"/>
      <c r="PMA99" s="105"/>
      <c r="PMB99" s="105"/>
      <c r="PMC99" s="105"/>
      <c r="PMD99" s="105"/>
      <c r="PME99" s="105"/>
      <c r="PMF99" s="105"/>
      <c r="PMG99" s="105"/>
      <c r="PMH99" s="105"/>
      <c r="PMI99" s="105"/>
      <c r="PMJ99" s="105"/>
      <c r="PMK99" s="105"/>
      <c r="PML99" s="105"/>
      <c r="PMM99" s="105"/>
      <c r="PMN99" s="105"/>
      <c r="PMO99" s="105"/>
      <c r="PMP99" s="105"/>
      <c r="PMQ99" s="105"/>
      <c r="PMR99" s="105"/>
      <c r="PMS99" s="105"/>
      <c r="PMT99" s="105"/>
      <c r="PMU99" s="105"/>
      <c r="PMV99" s="105"/>
      <c r="PMW99" s="105"/>
      <c r="PMX99" s="105"/>
      <c r="PMY99" s="105"/>
      <c r="PMZ99" s="105"/>
      <c r="PNA99" s="105"/>
      <c r="PNB99" s="105"/>
      <c r="PNC99" s="105"/>
      <c r="PND99" s="105"/>
      <c r="PNE99" s="105"/>
      <c r="PNF99" s="105"/>
      <c r="PNG99" s="105"/>
      <c r="PNH99" s="105"/>
      <c r="PNI99" s="105"/>
      <c r="PNJ99" s="105"/>
      <c r="PNK99" s="105"/>
      <c r="PNL99" s="105"/>
      <c r="PNM99" s="105"/>
      <c r="PNN99" s="105"/>
      <c r="PNO99" s="105"/>
      <c r="PNP99" s="105"/>
      <c r="PNQ99" s="105"/>
      <c r="PNR99" s="105"/>
      <c r="PNS99" s="105"/>
      <c r="PNT99" s="105"/>
      <c r="PNU99" s="105"/>
      <c r="PNV99" s="105"/>
      <c r="PNW99" s="105"/>
      <c r="PNX99" s="105"/>
      <c r="PNY99" s="105"/>
      <c r="PNZ99" s="105"/>
      <c r="POA99" s="105"/>
      <c r="POB99" s="105"/>
      <c r="POC99" s="105"/>
      <c r="POD99" s="105"/>
      <c r="POE99" s="105"/>
      <c r="POF99" s="105"/>
      <c r="POG99" s="105"/>
      <c r="POH99" s="105"/>
      <c r="POI99" s="105"/>
      <c r="POJ99" s="105"/>
      <c r="POK99" s="105"/>
      <c r="POL99" s="105"/>
      <c r="POM99" s="105"/>
      <c r="PON99" s="105"/>
      <c r="POO99" s="105"/>
      <c r="POP99" s="105"/>
      <c r="POQ99" s="105"/>
      <c r="POR99" s="105"/>
      <c r="POS99" s="105"/>
      <c r="POT99" s="105"/>
      <c r="POU99" s="105"/>
      <c r="POV99" s="105"/>
      <c r="POW99" s="105"/>
      <c r="POX99" s="105"/>
      <c r="POY99" s="105"/>
      <c r="POZ99" s="105"/>
      <c r="PPA99" s="105"/>
      <c r="PPB99" s="105"/>
      <c r="PPC99" s="105"/>
      <c r="PPD99" s="105"/>
      <c r="PPE99" s="105"/>
      <c r="PPF99" s="105"/>
      <c r="PPG99" s="105"/>
      <c r="PPH99" s="105"/>
      <c r="PPI99" s="105"/>
      <c r="PPJ99" s="105"/>
      <c r="PPK99" s="105"/>
      <c r="PPL99" s="105"/>
      <c r="PPM99" s="105"/>
      <c r="PPN99" s="105"/>
      <c r="PPO99" s="105"/>
      <c r="PPP99" s="105"/>
      <c r="PPQ99" s="105"/>
      <c r="PPR99" s="105"/>
      <c r="PPS99" s="105"/>
      <c r="PPT99" s="105"/>
      <c r="PPU99" s="105"/>
      <c r="PPV99" s="105"/>
      <c r="PPW99" s="105"/>
      <c r="PPX99" s="105"/>
      <c r="PPY99" s="105"/>
      <c r="PPZ99" s="105"/>
      <c r="PQA99" s="105"/>
      <c r="PQB99" s="105"/>
      <c r="PQC99" s="105"/>
      <c r="PQD99" s="105"/>
      <c r="PQE99" s="105"/>
      <c r="PQF99" s="105"/>
      <c r="PQG99" s="105"/>
      <c r="PQH99" s="105"/>
      <c r="PQI99" s="105"/>
      <c r="PQJ99" s="105"/>
      <c r="PQK99" s="105"/>
      <c r="PQL99" s="105"/>
      <c r="PQM99" s="105"/>
      <c r="PQN99" s="105"/>
      <c r="PQO99" s="105"/>
      <c r="PQP99" s="105"/>
      <c r="PQQ99" s="105"/>
      <c r="PQR99" s="105"/>
      <c r="PQS99" s="105"/>
      <c r="PQT99" s="105"/>
      <c r="PQU99" s="105"/>
      <c r="PQV99" s="105"/>
      <c r="PQW99" s="105"/>
      <c r="PQX99" s="105"/>
      <c r="PQY99" s="105"/>
      <c r="PQZ99" s="105"/>
      <c r="PRA99" s="105"/>
      <c r="PRB99" s="105"/>
      <c r="PRC99" s="105"/>
      <c r="PRD99" s="105"/>
      <c r="PRE99" s="105"/>
      <c r="PRF99" s="105"/>
      <c r="PRG99" s="105"/>
      <c r="PRH99" s="105"/>
      <c r="PRI99" s="105"/>
      <c r="PRJ99" s="105"/>
      <c r="PRK99" s="105"/>
      <c r="PRL99" s="105"/>
      <c r="PRM99" s="105"/>
      <c r="PRN99" s="105"/>
      <c r="PRO99" s="105"/>
      <c r="PRP99" s="105"/>
      <c r="PRQ99" s="105"/>
      <c r="PRR99" s="105"/>
      <c r="PRS99" s="105"/>
      <c r="PRT99" s="105"/>
      <c r="PRU99" s="105"/>
      <c r="PRV99" s="105"/>
      <c r="PRW99" s="105"/>
      <c r="PRX99" s="105"/>
      <c r="PRY99" s="105"/>
      <c r="PRZ99" s="105"/>
      <c r="PSA99" s="105"/>
      <c r="PSB99" s="105"/>
      <c r="PSC99" s="105"/>
      <c r="PSD99" s="105"/>
      <c r="PSE99" s="105"/>
      <c r="PSF99" s="105"/>
      <c r="PSG99" s="105"/>
      <c r="PSH99" s="105"/>
      <c r="PSI99" s="105"/>
      <c r="PSJ99" s="105"/>
      <c r="PSK99" s="105"/>
      <c r="PSL99" s="105"/>
      <c r="PSM99" s="105"/>
      <c r="PSN99" s="105"/>
      <c r="PSO99" s="105"/>
      <c r="PSP99" s="105"/>
      <c r="PSQ99" s="105"/>
      <c r="PSR99" s="105"/>
      <c r="PSS99" s="105"/>
      <c r="PST99" s="105"/>
      <c r="PSU99" s="105"/>
      <c r="PSV99" s="105"/>
      <c r="PSW99" s="105"/>
      <c r="PSX99" s="105"/>
      <c r="PSY99" s="105"/>
      <c r="PSZ99" s="105"/>
      <c r="PTA99" s="105"/>
      <c r="PTB99" s="105"/>
      <c r="PTC99" s="105"/>
      <c r="PTD99" s="105"/>
      <c r="PTE99" s="105"/>
      <c r="PTF99" s="105"/>
      <c r="PTG99" s="105"/>
      <c r="PTH99" s="105"/>
      <c r="PTI99" s="105"/>
      <c r="PTJ99" s="105"/>
      <c r="PTK99" s="105"/>
      <c r="PTL99" s="105"/>
      <c r="PTM99" s="105"/>
      <c r="PTN99" s="105"/>
      <c r="PTO99" s="105"/>
      <c r="PTP99" s="105"/>
      <c r="PTQ99" s="105"/>
      <c r="PTR99" s="105"/>
      <c r="PTS99" s="105"/>
      <c r="PTT99" s="105"/>
      <c r="PTU99" s="105"/>
      <c r="PTV99" s="105"/>
      <c r="PTW99" s="105"/>
      <c r="PTX99" s="105"/>
      <c r="PTY99" s="105"/>
      <c r="PTZ99" s="105"/>
      <c r="PUA99" s="105"/>
      <c r="PUB99" s="105"/>
      <c r="PUC99" s="105"/>
      <c r="PUD99" s="105"/>
      <c r="PUE99" s="105"/>
      <c r="PUF99" s="105"/>
      <c r="PUG99" s="105"/>
      <c r="PUH99" s="105"/>
      <c r="PUI99" s="105"/>
      <c r="PUJ99" s="105"/>
      <c r="PUK99" s="105"/>
      <c r="PUL99" s="105"/>
      <c r="PUM99" s="105"/>
      <c r="PUN99" s="105"/>
      <c r="PUO99" s="105"/>
      <c r="PUP99" s="105"/>
      <c r="PUQ99" s="105"/>
      <c r="PUR99" s="105"/>
      <c r="PUS99" s="105"/>
      <c r="PUT99" s="105"/>
      <c r="PUU99" s="105"/>
      <c r="PUV99" s="105"/>
      <c r="PUW99" s="105"/>
      <c r="PUX99" s="105"/>
      <c r="PUY99" s="105"/>
      <c r="PUZ99" s="105"/>
      <c r="PVA99" s="105"/>
      <c r="PVB99" s="105"/>
      <c r="PVC99" s="105"/>
      <c r="PVD99" s="105"/>
      <c r="PVE99" s="105"/>
      <c r="PVF99" s="105"/>
      <c r="PVG99" s="105"/>
      <c r="PVH99" s="105"/>
      <c r="PVI99" s="105"/>
      <c r="PVJ99" s="105"/>
      <c r="PVK99" s="105"/>
      <c r="PVL99" s="105"/>
      <c r="PVM99" s="105"/>
      <c r="PVN99" s="105"/>
      <c r="PVO99" s="105"/>
      <c r="PVP99" s="105"/>
      <c r="PVQ99" s="105"/>
      <c r="PVR99" s="105"/>
      <c r="PVS99" s="105"/>
      <c r="PVT99" s="105"/>
      <c r="PVU99" s="105"/>
      <c r="PVV99" s="105"/>
      <c r="PVW99" s="105"/>
      <c r="PVX99" s="105"/>
      <c r="PVY99" s="105"/>
      <c r="PVZ99" s="105"/>
      <c r="PWA99" s="105"/>
      <c r="PWB99" s="105"/>
      <c r="PWC99" s="105"/>
      <c r="PWD99" s="105"/>
      <c r="PWE99" s="105"/>
      <c r="PWF99" s="105"/>
      <c r="PWG99" s="105"/>
      <c r="PWH99" s="105"/>
      <c r="PWI99" s="105"/>
      <c r="PWJ99" s="105"/>
      <c r="PWK99" s="105"/>
      <c r="PWL99" s="105"/>
      <c r="PWM99" s="105"/>
      <c r="PWN99" s="105"/>
      <c r="PWO99" s="105"/>
      <c r="PWP99" s="105"/>
      <c r="PWQ99" s="105"/>
      <c r="PWR99" s="105"/>
      <c r="PWS99" s="105"/>
      <c r="PWT99" s="105"/>
      <c r="PWU99" s="105"/>
      <c r="PWV99" s="105"/>
      <c r="PWW99" s="105"/>
      <c r="PWX99" s="105"/>
      <c r="PWY99" s="105"/>
      <c r="PWZ99" s="105"/>
      <c r="PXA99" s="105"/>
      <c r="PXB99" s="105"/>
      <c r="PXC99" s="105"/>
      <c r="PXD99" s="105"/>
      <c r="PXE99" s="105"/>
      <c r="PXF99" s="105"/>
      <c r="PXG99" s="105"/>
      <c r="PXH99" s="105"/>
      <c r="PXI99" s="105"/>
      <c r="PXJ99" s="105"/>
      <c r="PXK99" s="105"/>
      <c r="PXL99" s="105"/>
      <c r="PXM99" s="105"/>
      <c r="PXN99" s="105"/>
      <c r="PXO99" s="105"/>
      <c r="PXP99" s="105"/>
      <c r="PXQ99" s="105"/>
      <c r="PXR99" s="105"/>
      <c r="PXS99" s="105"/>
      <c r="PXT99" s="105"/>
      <c r="PXU99" s="105"/>
      <c r="PXV99" s="105"/>
      <c r="PXW99" s="105"/>
      <c r="PXX99" s="105"/>
      <c r="PXY99" s="105"/>
      <c r="PXZ99" s="105"/>
      <c r="PYA99" s="105"/>
      <c r="PYB99" s="105"/>
      <c r="PYC99" s="105"/>
      <c r="PYD99" s="105"/>
      <c r="PYE99" s="105"/>
      <c r="PYF99" s="105"/>
      <c r="PYG99" s="105"/>
      <c r="PYH99" s="105"/>
      <c r="PYI99" s="105"/>
      <c r="PYJ99" s="105"/>
      <c r="PYK99" s="105"/>
      <c r="PYL99" s="105"/>
      <c r="PYM99" s="105"/>
      <c r="PYN99" s="105"/>
      <c r="PYO99" s="105"/>
      <c r="PYP99" s="105"/>
      <c r="PYQ99" s="105"/>
      <c r="PYR99" s="105"/>
      <c r="PYS99" s="105"/>
      <c r="PYT99" s="105"/>
      <c r="PYU99" s="105"/>
      <c r="PYV99" s="105"/>
      <c r="PYW99" s="105"/>
      <c r="PYX99" s="105"/>
      <c r="PYY99" s="105"/>
      <c r="PYZ99" s="105"/>
      <c r="PZA99" s="105"/>
      <c r="PZB99" s="105"/>
      <c r="PZC99" s="105"/>
      <c r="PZD99" s="105"/>
      <c r="PZE99" s="105"/>
      <c r="PZF99" s="105"/>
      <c r="PZG99" s="105"/>
      <c r="PZH99" s="105"/>
      <c r="PZI99" s="105"/>
      <c r="PZJ99" s="105"/>
      <c r="PZK99" s="105"/>
      <c r="PZL99" s="105"/>
      <c r="PZM99" s="105"/>
      <c r="PZN99" s="105"/>
      <c r="PZO99" s="105"/>
      <c r="PZP99" s="105"/>
      <c r="PZQ99" s="105"/>
      <c r="PZR99" s="105"/>
      <c r="PZS99" s="105"/>
      <c r="PZT99" s="105"/>
      <c r="PZU99" s="105"/>
      <c r="PZV99" s="105"/>
      <c r="PZW99" s="105"/>
      <c r="PZX99" s="105"/>
      <c r="PZY99" s="105"/>
      <c r="PZZ99" s="105"/>
      <c r="QAA99" s="105"/>
      <c r="QAB99" s="105"/>
      <c r="QAC99" s="105"/>
      <c r="QAD99" s="105"/>
      <c r="QAE99" s="105"/>
      <c r="QAF99" s="105"/>
      <c r="QAG99" s="105"/>
      <c r="QAH99" s="105"/>
      <c r="QAI99" s="105"/>
      <c r="QAJ99" s="105"/>
      <c r="QAK99" s="105"/>
      <c r="QAL99" s="105"/>
      <c r="QAM99" s="105"/>
      <c r="QAN99" s="105"/>
      <c r="QAO99" s="105"/>
      <c r="QAP99" s="105"/>
      <c r="QAQ99" s="105"/>
      <c r="QAR99" s="105"/>
      <c r="QAS99" s="105"/>
      <c r="QAT99" s="105"/>
      <c r="QAU99" s="105"/>
      <c r="QAV99" s="105"/>
      <c r="QAW99" s="105"/>
      <c r="QAX99" s="105"/>
      <c r="QAY99" s="105"/>
      <c r="QAZ99" s="105"/>
      <c r="QBA99" s="105"/>
      <c r="QBB99" s="105"/>
      <c r="QBC99" s="105"/>
      <c r="QBD99" s="105"/>
      <c r="QBE99" s="105"/>
      <c r="QBF99" s="105"/>
      <c r="QBG99" s="105"/>
      <c r="QBH99" s="105"/>
      <c r="QBI99" s="105"/>
      <c r="QBJ99" s="105"/>
      <c r="QBK99" s="105"/>
      <c r="QBL99" s="105"/>
      <c r="QBM99" s="105"/>
      <c r="QBN99" s="105"/>
      <c r="QBO99" s="105"/>
      <c r="QBP99" s="105"/>
      <c r="QBQ99" s="105"/>
      <c r="QBR99" s="105"/>
      <c r="QBS99" s="105"/>
      <c r="QBT99" s="105"/>
      <c r="QBU99" s="105"/>
      <c r="QBV99" s="105"/>
      <c r="QBW99" s="105"/>
      <c r="QBX99" s="105"/>
      <c r="QBY99" s="105"/>
      <c r="QBZ99" s="105"/>
      <c r="QCA99" s="105"/>
      <c r="QCB99" s="105"/>
      <c r="QCC99" s="105"/>
      <c r="QCD99" s="105"/>
      <c r="QCE99" s="105"/>
      <c r="QCF99" s="105"/>
      <c r="QCG99" s="105"/>
      <c r="QCH99" s="105"/>
      <c r="QCI99" s="105"/>
      <c r="QCJ99" s="105"/>
      <c r="QCK99" s="105"/>
      <c r="QCL99" s="105"/>
      <c r="QCM99" s="105"/>
      <c r="QCN99" s="105"/>
      <c r="QCO99" s="105"/>
      <c r="QCP99" s="105"/>
      <c r="QCQ99" s="105"/>
      <c r="QCR99" s="105"/>
      <c r="QCS99" s="105"/>
      <c r="QCT99" s="105"/>
      <c r="QCU99" s="105"/>
      <c r="QCV99" s="105"/>
      <c r="QCW99" s="105"/>
      <c r="QCX99" s="105"/>
      <c r="QCY99" s="105"/>
      <c r="QCZ99" s="105"/>
      <c r="QDA99" s="105"/>
      <c r="QDB99" s="105"/>
      <c r="QDC99" s="105"/>
      <c r="QDD99" s="105"/>
      <c r="QDE99" s="105"/>
      <c r="QDF99" s="105"/>
      <c r="QDG99" s="105"/>
      <c r="QDH99" s="105"/>
      <c r="QDI99" s="105"/>
      <c r="QDJ99" s="105"/>
      <c r="QDK99" s="105"/>
      <c r="QDL99" s="105"/>
      <c r="QDM99" s="105"/>
      <c r="QDN99" s="105"/>
      <c r="QDO99" s="105"/>
      <c r="QDP99" s="105"/>
      <c r="QDQ99" s="105"/>
      <c r="QDR99" s="105"/>
      <c r="QDS99" s="105"/>
      <c r="QDT99" s="105"/>
      <c r="QDU99" s="105"/>
      <c r="QDV99" s="105"/>
      <c r="QDW99" s="105"/>
      <c r="QDX99" s="105"/>
      <c r="QDY99" s="105"/>
      <c r="QDZ99" s="105"/>
      <c r="QEA99" s="105"/>
      <c r="QEB99" s="105"/>
      <c r="QEC99" s="105"/>
      <c r="QED99" s="105"/>
      <c r="QEE99" s="105"/>
      <c r="QEF99" s="105"/>
      <c r="QEG99" s="105"/>
      <c r="QEH99" s="105"/>
      <c r="QEI99" s="105"/>
      <c r="QEJ99" s="105"/>
      <c r="QEK99" s="105"/>
      <c r="QEL99" s="105"/>
      <c r="QEM99" s="105"/>
      <c r="QEN99" s="105"/>
      <c r="QEO99" s="105"/>
      <c r="QEP99" s="105"/>
      <c r="QEQ99" s="105"/>
      <c r="QER99" s="105"/>
      <c r="QES99" s="105"/>
      <c r="QET99" s="105"/>
      <c r="QEU99" s="105"/>
      <c r="QEV99" s="105"/>
      <c r="QEW99" s="105"/>
      <c r="QEX99" s="105"/>
      <c r="QEY99" s="105"/>
      <c r="QEZ99" s="105"/>
      <c r="QFA99" s="105"/>
      <c r="QFB99" s="105"/>
      <c r="QFC99" s="105"/>
      <c r="QFD99" s="105"/>
      <c r="QFE99" s="105"/>
      <c r="QFF99" s="105"/>
      <c r="QFG99" s="105"/>
      <c r="QFH99" s="105"/>
      <c r="QFI99" s="105"/>
      <c r="QFJ99" s="105"/>
      <c r="QFK99" s="105"/>
      <c r="QFL99" s="105"/>
      <c r="QFM99" s="105"/>
      <c r="QFN99" s="105"/>
      <c r="QFO99" s="105"/>
      <c r="QFP99" s="105"/>
      <c r="QFQ99" s="105"/>
      <c r="QFR99" s="105"/>
      <c r="QFS99" s="105"/>
      <c r="QFT99" s="105"/>
      <c r="QFU99" s="105"/>
      <c r="QFV99" s="105"/>
      <c r="QFW99" s="105"/>
      <c r="QFX99" s="105"/>
      <c r="QFY99" s="105"/>
      <c r="QFZ99" s="105"/>
      <c r="QGA99" s="105"/>
      <c r="QGB99" s="105"/>
      <c r="QGC99" s="105"/>
      <c r="QGD99" s="105"/>
      <c r="QGE99" s="105"/>
      <c r="QGF99" s="105"/>
      <c r="QGG99" s="105"/>
      <c r="QGH99" s="105"/>
      <c r="QGI99" s="105"/>
      <c r="QGJ99" s="105"/>
      <c r="QGK99" s="105"/>
      <c r="QGL99" s="105"/>
      <c r="QGM99" s="105"/>
      <c r="QGN99" s="105"/>
      <c r="QGO99" s="105"/>
      <c r="QGP99" s="105"/>
      <c r="QGQ99" s="105"/>
      <c r="QGR99" s="105"/>
      <c r="QGS99" s="105"/>
      <c r="QGT99" s="105"/>
      <c r="QGU99" s="105"/>
      <c r="QGV99" s="105"/>
      <c r="QGW99" s="105"/>
      <c r="QGX99" s="105"/>
      <c r="QGY99" s="105"/>
      <c r="QGZ99" s="105"/>
      <c r="QHA99" s="105"/>
      <c r="QHB99" s="105"/>
      <c r="QHC99" s="105"/>
      <c r="QHD99" s="105"/>
      <c r="QHE99" s="105"/>
      <c r="QHF99" s="105"/>
      <c r="QHG99" s="105"/>
      <c r="QHH99" s="105"/>
      <c r="QHI99" s="105"/>
      <c r="QHJ99" s="105"/>
      <c r="QHK99" s="105"/>
      <c r="QHL99" s="105"/>
      <c r="QHM99" s="105"/>
      <c r="QHN99" s="105"/>
      <c r="QHO99" s="105"/>
      <c r="QHP99" s="105"/>
      <c r="QHQ99" s="105"/>
      <c r="QHR99" s="105"/>
      <c r="QHS99" s="105"/>
      <c r="QHT99" s="105"/>
      <c r="QHU99" s="105"/>
      <c r="QHV99" s="105"/>
      <c r="QHW99" s="105"/>
      <c r="QHX99" s="105"/>
      <c r="QHY99" s="105"/>
      <c r="QHZ99" s="105"/>
      <c r="QIA99" s="105"/>
      <c r="QIB99" s="105"/>
      <c r="QIC99" s="105"/>
      <c r="QID99" s="105"/>
      <c r="QIE99" s="105"/>
      <c r="QIF99" s="105"/>
      <c r="QIG99" s="105"/>
      <c r="QIH99" s="105"/>
      <c r="QII99" s="105"/>
      <c r="QIJ99" s="105"/>
      <c r="QIK99" s="105"/>
      <c r="QIL99" s="105"/>
      <c r="QIM99" s="105"/>
      <c r="QIN99" s="105"/>
      <c r="QIO99" s="105"/>
      <c r="QIP99" s="105"/>
      <c r="QIQ99" s="105"/>
      <c r="QIR99" s="105"/>
      <c r="QIS99" s="105"/>
      <c r="QIT99" s="105"/>
      <c r="QIU99" s="105"/>
      <c r="QIV99" s="105"/>
      <c r="QIW99" s="105"/>
      <c r="QIX99" s="105"/>
      <c r="QIY99" s="105"/>
      <c r="QIZ99" s="105"/>
      <c r="QJA99" s="105"/>
      <c r="QJB99" s="105"/>
      <c r="QJC99" s="105"/>
      <c r="QJD99" s="105"/>
      <c r="QJE99" s="105"/>
      <c r="QJF99" s="105"/>
      <c r="QJG99" s="105"/>
      <c r="QJH99" s="105"/>
      <c r="QJI99" s="105"/>
      <c r="QJJ99" s="105"/>
      <c r="QJK99" s="105"/>
      <c r="QJL99" s="105"/>
      <c r="QJM99" s="105"/>
      <c r="QJN99" s="105"/>
      <c r="QJO99" s="105"/>
      <c r="QJP99" s="105"/>
      <c r="QJQ99" s="105"/>
      <c r="QJR99" s="105"/>
      <c r="QJS99" s="105"/>
      <c r="QJT99" s="105"/>
      <c r="QJU99" s="105"/>
      <c r="QJV99" s="105"/>
      <c r="QJW99" s="105"/>
      <c r="QJX99" s="105"/>
      <c r="QJY99" s="105"/>
      <c r="QJZ99" s="105"/>
      <c r="QKA99" s="105"/>
      <c r="QKB99" s="105"/>
      <c r="QKC99" s="105"/>
      <c r="QKD99" s="105"/>
      <c r="QKE99" s="105"/>
      <c r="QKF99" s="105"/>
      <c r="QKG99" s="105"/>
      <c r="QKH99" s="105"/>
      <c r="QKI99" s="105"/>
      <c r="QKJ99" s="105"/>
      <c r="QKK99" s="105"/>
      <c r="QKL99" s="105"/>
      <c r="QKM99" s="105"/>
      <c r="QKN99" s="105"/>
      <c r="QKO99" s="105"/>
      <c r="QKP99" s="105"/>
      <c r="QKQ99" s="105"/>
      <c r="QKR99" s="105"/>
      <c r="QKS99" s="105"/>
      <c r="QKT99" s="105"/>
      <c r="QKU99" s="105"/>
      <c r="QKV99" s="105"/>
      <c r="QKW99" s="105"/>
      <c r="QKX99" s="105"/>
      <c r="QKY99" s="105"/>
      <c r="QKZ99" s="105"/>
      <c r="QLA99" s="105"/>
      <c r="QLB99" s="105"/>
      <c r="QLC99" s="105"/>
      <c r="QLD99" s="105"/>
      <c r="QLE99" s="105"/>
      <c r="QLF99" s="105"/>
      <c r="QLG99" s="105"/>
      <c r="QLH99" s="105"/>
      <c r="QLI99" s="105"/>
      <c r="QLJ99" s="105"/>
      <c r="QLK99" s="105"/>
      <c r="QLL99" s="105"/>
      <c r="QLM99" s="105"/>
      <c r="QLN99" s="105"/>
      <c r="QLO99" s="105"/>
      <c r="QLP99" s="105"/>
      <c r="QLQ99" s="105"/>
      <c r="QLR99" s="105"/>
      <c r="QLS99" s="105"/>
      <c r="QLT99" s="105"/>
      <c r="QLU99" s="105"/>
      <c r="QLV99" s="105"/>
      <c r="QLW99" s="105"/>
      <c r="QLX99" s="105"/>
      <c r="QLY99" s="105"/>
      <c r="QLZ99" s="105"/>
      <c r="QMA99" s="105"/>
      <c r="QMB99" s="105"/>
      <c r="QMC99" s="105"/>
      <c r="QMD99" s="105"/>
      <c r="QME99" s="105"/>
      <c r="QMF99" s="105"/>
      <c r="QMG99" s="105"/>
      <c r="QMH99" s="105"/>
      <c r="QMI99" s="105"/>
      <c r="QMJ99" s="105"/>
      <c r="QMK99" s="105"/>
      <c r="QML99" s="105"/>
      <c r="QMM99" s="105"/>
      <c r="QMN99" s="105"/>
      <c r="QMO99" s="105"/>
      <c r="QMP99" s="105"/>
      <c r="QMQ99" s="105"/>
      <c r="QMR99" s="105"/>
      <c r="QMS99" s="105"/>
      <c r="QMT99" s="105"/>
      <c r="QMU99" s="105"/>
      <c r="QMV99" s="105"/>
      <c r="QMW99" s="105"/>
      <c r="QMX99" s="105"/>
      <c r="QMY99" s="105"/>
      <c r="QMZ99" s="105"/>
      <c r="QNA99" s="105"/>
      <c r="QNB99" s="105"/>
      <c r="QNC99" s="105"/>
      <c r="QND99" s="105"/>
      <c r="QNE99" s="105"/>
      <c r="QNF99" s="105"/>
      <c r="QNG99" s="105"/>
      <c r="QNH99" s="105"/>
      <c r="QNI99" s="105"/>
      <c r="QNJ99" s="105"/>
      <c r="QNK99" s="105"/>
      <c r="QNL99" s="105"/>
      <c r="QNM99" s="105"/>
      <c r="QNN99" s="105"/>
      <c r="QNO99" s="105"/>
      <c r="QNP99" s="105"/>
      <c r="QNQ99" s="105"/>
      <c r="QNR99" s="105"/>
      <c r="QNS99" s="105"/>
      <c r="QNT99" s="105"/>
      <c r="QNU99" s="105"/>
      <c r="QNV99" s="105"/>
      <c r="QNW99" s="105"/>
      <c r="QNX99" s="105"/>
      <c r="QNY99" s="105"/>
      <c r="QNZ99" s="105"/>
      <c r="QOA99" s="105"/>
      <c r="QOB99" s="105"/>
      <c r="QOC99" s="105"/>
      <c r="QOD99" s="105"/>
      <c r="QOE99" s="105"/>
      <c r="QOF99" s="105"/>
      <c r="QOG99" s="105"/>
      <c r="QOH99" s="105"/>
      <c r="QOI99" s="105"/>
      <c r="QOJ99" s="105"/>
      <c r="QOK99" s="105"/>
      <c r="QOL99" s="105"/>
      <c r="QOM99" s="105"/>
      <c r="QON99" s="105"/>
      <c r="QOO99" s="105"/>
      <c r="QOP99" s="105"/>
      <c r="QOQ99" s="105"/>
      <c r="QOR99" s="105"/>
      <c r="QOS99" s="105"/>
      <c r="QOT99" s="105"/>
      <c r="QOU99" s="105"/>
      <c r="QOV99" s="105"/>
      <c r="QOW99" s="105"/>
      <c r="QOX99" s="105"/>
      <c r="QOY99" s="105"/>
      <c r="QOZ99" s="105"/>
      <c r="QPA99" s="105"/>
      <c r="QPB99" s="105"/>
      <c r="QPC99" s="105"/>
      <c r="QPD99" s="105"/>
      <c r="QPE99" s="105"/>
      <c r="QPF99" s="105"/>
      <c r="QPG99" s="105"/>
      <c r="QPH99" s="105"/>
      <c r="QPI99" s="105"/>
      <c r="QPJ99" s="105"/>
      <c r="QPK99" s="105"/>
      <c r="QPL99" s="105"/>
      <c r="QPM99" s="105"/>
      <c r="QPN99" s="105"/>
      <c r="QPO99" s="105"/>
      <c r="QPP99" s="105"/>
      <c r="QPQ99" s="105"/>
      <c r="QPR99" s="105"/>
      <c r="QPS99" s="105"/>
      <c r="QPT99" s="105"/>
      <c r="QPU99" s="105"/>
      <c r="QPV99" s="105"/>
      <c r="QPW99" s="105"/>
      <c r="QPX99" s="105"/>
      <c r="QPY99" s="105"/>
      <c r="QPZ99" s="105"/>
      <c r="QQA99" s="105"/>
      <c r="QQB99" s="105"/>
      <c r="QQC99" s="105"/>
      <c r="QQD99" s="105"/>
      <c r="QQE99" s="105"/>
      <c r="QQF99" s="105"/>
      <c r="QQG99" s="105"/>
      <c r="QQH99" s="105"/>
      <c r="QQI99" s="105"/>
      <c r="QQJ99" s="105"/>
      <c r="QQK99" s="105"/>
      <c r="QQL99" s="105"/>
      <c r="QQM99" s="105"/>
      <c r="QQN99" s="105"/>
      <c r="QQO99" s="105"/>
      <c r="QQP99" s="105"/>
      <c r="QQQ99" s="105"/>
      <c r="QQR99" s="105"/>
      <c r="QQS99" s="105"/>
      <c r="QQT99" s="105"/>
      <c r="QQU99" s="105"/>
      <c r="QQV99" s="105"/>
      <c r="QQW99" s="105"/>
      <c r="QQX99" s="105"/>
      <c r="QQY99" s="105"/>
      <c r="QQZ99" s="105"/>
      <c r="QRA99" s="105"/>
      <c r="QRB99" s="105"/>
      <c r="QRC99" s="105"/>
      <c r="QRD99" s="105"/>
      <c r="QRE99" s="105"/>
      <c r="QRF99" s="105"/>
      <c r="QRG99" s="105"/>
      <c r="QRH99" s="105"/>
      <c r="QRI99" s="105"/>
      <c r="QRJ99" s="105"/>
      <c r="QRK99" s="105"/>
      <c r="QRL99" s="105"/>
      <c r="QRM99" s="105"/>
      <c r="QRN99" s="105"/>
      <c r="QRO99" s="105"/>
      <c r="QRP99" s="105"/>
      <c r="QRQ99" s="105"/>
      <c r="QRR99" s="105"/>
      <c r="QRS99" s="105"/>
      <c r="QRT99" s="105"/>
      <c r="QRU99" s="105"/>
      <c r="QRV99" s="105"/>
      <c r="QRW99" s="105"/>
      <c r="QRX99" s="105"/>
      <c r="QRY99" s="105"/>
      <c r="QRZ99" s="105"/>
      <c r="QSA99" s="105"/>
      <c r="QSB99" s="105"/>
      <c r="QSC99" s="105"/>
      <c r="QSD99" s="105"/>
      <c r="QSE99" s="105"/>
      <c r="QSF99" s="105"/>
      <c r="QSG99" s="105"/>
      <c r="QSH99" s="105"/>
      <c r="QSI99" s="105"/>
      <c r="QSJ99" s="105"/>
      <c r="QSK99" s="105"/>
      <c r="QSL99" s="105"/>
      <c r="QSM99" s="105"/>
      <c r="QSN99" s="105"/>
      <c r="QSO99" s="105"/>
      <c r="QSP99" s="105"/>
      <c r="QSQ99" s="105"/>
      <c r="QSR99" s="105"/>
      <c r="QSS99" s="105"/>
      <c r="QST99" s="105"/>
      <c r="QSU99" s="105"/>
      <c r="QSV99" s="105"/>
      <c r="QSW99" s="105"/>
      <c r="QSX99" s="105"/>
      <c r="QSY99" s="105"/>
      <c r="QSZ99" s="105"/>
      <c r="QTA99" s="105"/>
      <c r="QTB99" s="105"/>
      <c r="QTC99" s="105"/>
      <c r="QTD99" s="105"/>
      <c r="QTE99" s="105"/>
      <c r="QTF99" s="105"/>
      <c r="QTG99" s="105"/>
      <c r="QTH99" s="105"/>
      <c r="QTI99" s="105"/>
      <c r="QTJ99" s="105"/>
      <c r="QTK99" s="105"/>
      <c r="QTL99" s="105"/>
      <c r="QTM99" s="105"/>
      <c r="QTN99" s="105"/>
      <c r="QTO99" s="105"/>
      <c r="QTP99" s="105"/>
      <c r="QTQ99" s="105"/>
      <c r="QTR99" s="105"/>
      <c r="QTS99" s="105"/>
      <c r="QTT99" s="105"/>
      <c r="QTU99" s="105"/>
      <c r="QTV99" s="105"/>
      <c r="QTW99" s="105"/>
      <c r="QTX99" s="105"/>
      <c r="QTY99" s="105"/>
      <c r="QTZ99" s="105"/>
      <c r="QUA99" s="105"/>
      <c r="QUB99" s="105"/>
      <c r="QUC99" s="105"/>
      <c r="QUD99" s="105"/>
      <c r="QUE99" s="105"/>
      <c r="QUF99" s="105"/>
      <c r="QUG99" s="105"/>
      <c r="QUH99" s="105"/>
      <c r="QUI99" s="105"/>
      <c r="QUJ99" s="105"/>
      <c r="QUK99" s="105"/>
      <c r="QUL99" s="105"/>
      <c r="QUM99" s="105"/>
      <c r="QUN99" s="105"/>
      <c r="QUO99" s="105"/>
      <c r="QUP99" s="105"/>
      <c r="QUQ99" s="105"/>
      <c r="QUR99" s="105"/>
      <c r="QUS99" s="105"/>
      <c r="QUT99" s="105"/>
      <c r="QUU99" s="105"/>
      <c r="QUV99" s="105"/>
      <c r="QUW99" s="105"/>
      <c r="QUX99" s="105"/>
      <c r="QUY99" s="105"/>
      <c r="QUZ99" s="105"/>
      <c r="QVA99" s="105"/>
      <c r="QVB99" s="105"/>
      <c r="QVC99" s="105"/>
      <c r="QVD99" s="105"/>
      <c r="QVE99" s="105"/>
      <c r="QVF99" s="105"/>
      <c r="QVG99" s="105"/>
      <c r="QVH99" s="105"/>
      <c r="QVI99" s="105"/>
      <c r="QVJ99" s="105"/>
      <c r="QVK99" s="105"/>
      <c r="QVL99" s="105"/>
      <c r="QVM99" s="105"/>
      <c r="QVN99" s="105"/>
      <c r="QVO99" s="105"/>
      <c r="QVP99" s="105"/>
      <c r="QVQ99" s="105"/>
      <c r="QVR99" s="105"/>
      <c r="QVS99" s="105"/>
      <c r="QVT99" s="105"/>
      <c r="QVU99" s="105"/>
      <c r="QVV99" s="105"/>
      <c r="QVW99" s="105"/>
      <c r="QVX99" s="105"/>
      <c r="QVY99" s="105"/>
      <c r="QVZ99" s="105"/>
      <c r="QWA99" s="105"/>
      <c r="QWB99" s="105"/>
      <c r="QWC99" s="105"/>
      <c r="QWD99" s="105"/>
      <c r="QWE99" s="105"/>
      <c r="QWF99" s="105"/>
      <c r="QWG99" s="105"/>
      <c r="QWH99" s="105"/>
      <c r="QWI99" s="105"/>
      <c r="QWJ99" s="105"/>
      <c r="QWK99" s="105"/>
      <c r="QWL99" s="105"/>
      <c r="QWM99" s="105"/>
      <c r="QWN99" s="105"/>
      <c r="QWO99" s="105"/>
      <c r="QWP99" s="105"/>
      <c r="QWQ99" s="105"/>
      <c r="QWR99" s="105"/>
      <c r="QWS99" s="105"/>
      <c r="QWT99" s="105"/>
      <c r="QWU99" s="105"/>
      <c r="QWV99" s="105"/>
      <c r="QWW99" s="105"/>
      <c r="QWX99" s="105"/>
      <c r="QWY99" s="105"/>
      <c r="QWZ99" s="105"/>
      <c r="QXA99" s="105"/>
      <c r="QXB99" s="105"/>
      <c r="QXC99" s="105"/>
      <c r="QXD99" s="105"/>
      <c r="QXE99" s="105"/>
      <c r="QXF99" s="105"/>
      <c r="QXG99" s="105"/>
      <c r="QXH99" s="105"/>
      <c r="QXI99" s="105"/>
      <c r="QXJ99" s="105"/>
      <c r="QXK99" s="105"/>
      <c r="QXL99" s="105"/>
      <c r="QXM99" s="105"/>
      <c r="QXN99" s="105"/>
      <c r="QXO99" s="105"/>
      <c r="QXP99" s="105"/>
      <c r="QXQ99" s="105"/>
      <c r="QXR99" s="105"/>
      <c r="QXS99" s="105"/>
      <c r="QXT99" s="105"/>
      <c r="QXU99" s="105"/>
      <c r="QXV99" s="105"/>
      <c r="QXW99" s="105"/>
      <c r="QXX99" s="105"/>
      <c r="QXY99" s="105"/>
      <c r="QXZ99" s="105"/>
      <c r="QYA99" s="105"/>
      <c r="QYB99" s="105"/>
      <c r="QYC99" s="105"/>
      <c r="QYD99" s="105"/>
      <c r="QYE99" s="105"/>
      <c r="QYF99" s="105"/>
      <c r="QYG99" s="105"/>
      <c r="QYH99" s="105"/>
      <c r="QYI99" s="105"/>
      <c r="QYJ99" s="105"/>
      <c r="QYK99" s="105"/>
      <c r="QYL99" s="105"/>
      <c r="QYM99" s="105"/>
      <c r="QYN99" s="105"/>
      <c r="QYO99" s="105"/>
      <c r="QYP99" s="105"/>
      <c r="QYQ99" s="105"/>
      <c r="QYR99" s="105"/>
      <c r="QYS99" s="105"/>
      <c r="QYT99" s="105"/>
      <c r="QYU99" s="105"/>
      <c r="QYV99" s="105"/>
      <c r="QYW99" s="105"/>
      <c r="QYX99" s="105"/>
      <c r="QYY99" s="105"/>
      <c r="QYZ99" s="105"/>
      <c r="QZA99" s="105"/>
      <c r="QZB99" s="105"/>
      <c r="QZC99" s="105"/>
      <c r="QZD99" s="105"/>
      <c r="QZE99" s="105"/>
      <c r="QZF99" s="105"/>
      <c r="QZG99" s="105"/>
      <c r="QZH99" s="105"/>
      <c r="QZI99" s="105"/>
      <c r="QZJ99" s="105"/>
      <c r="QZK99" s="105"/>
      <c r="QZL99" s="105"/>
      <c r="QZM99" s="105"/>
      <c r="QZN99" s="105"/>
      <c r="QZO99" s="105"/>
      <c r="QZP99" s="105"/>
      <c r="QZQ99" s="105"/>
      <c r="QZR99" s="105"/>
      <c r="QZS99" s="105"/>
      <c r="QZT99" s="105"/>
      <c r="QZU99" s="105"/>
      <c r="QZV99" s="105"/>
      <c r="QZW99" s="105"/>
      <c r="QZX99" s="105"/>
      <c r="QZY99" s="105"/>
      <c r="QZZ99" s="105"/>
      <c r="RAA99" s="105"/>
      <c r="RAB99" s="105"/>
      <c r="RAC99" s="105"/>
      <c r="RAD99" s="105"/>
      <c r="RAE99" s="105"/>
      <c r="RAF99" s="105"/>
      <c r="RAG99" s="105"/>
      <c r="RAH99" s="105"/>
      <c r="RAI99" s="105"/>
      <c r="RAJ99" s="105"/>
      <c r="RAK99" s="105"/>
      <c r="RAL99" s="105"/>
      <c r="RAM99" s="105"/>
      <c r="RAN99" s="105"/>
      <c r="RAO99" s="105"/>
      <c r="RAP99" s="105"/>
      <c r="RAQ99" s="105"/>
      <c r="RAR99" s="105"/>
      <c r="RAS99" s="105"/>
      <c r="RAT99" s="105"/>
      <c r="RAU99" s="105"/>
      <c r="RAV99" s="105"/>
      <c r="RAW99" s="105"/>
      <c r="RAX99" s="105"/>
      <c r="RAY99" s="105"/>
      <c r="RAZ99" s="105"/>
      <c r="RBA99" s="105"/>
      <c r="RBB99" s="105"/>
      <c r="RBC99" s="105"/>
      <c r="RBD99" s="105"/>
      <c r="RBE99" s="105"/>
      <c r="RBF99" s="105"/>
      <c r="RBG99" s="105"/>
      <c r="RBH99" s="105"/>
      <c r="RBI99" s="105"/>
      <c r="RBJ99" s="105"/>
      <c r="RBK99" s="105"/>
      <c r="RBL99" s="105"/>
      <c r="RBM99" s="105"/>
      <c r="RBN99" s="105"/>
      <c r="RBO99" s="105"/>
      <c r="RBP99" s="105"/>
      <c r="RBQ99" s="105"/>
      <c r="RBR99" s="105"/>
      <c r="RBS99" s="105"/>
      <c r="RBT99" s="105"/>
      <c r="RBU99" s="105"/>
      <c r="RBV99" s="105"/>
      <c r="RBW99" s="105"/>
      <c r="RBX99" s="105"/>
      <c r="RBY99" s="105"/>
      <c r="RBZ99" s="105"/>
      <c r="RCA99" s="105"/>
      <c r="RCB99" s="105"/>
      <c r="RCC99" s="105"/>
      <c r="RCD99" s="105"/>
      <c r="RCE99" s="105"/>
      <c r="RCF99" s="105"/>
      <c r="RCG99" s="105"/>
      <c r="RCH99" s="105"/>
      <c r="RCI99" s="105"/>
      <c r="RCJ99" s="105"/>
      <c r="RCK99" s="105"/>
      <c r="RCL99" s="105"/>
      <c r="RCM99" s="105"/>
      <c r="RCN99" s="105"/>
      <c r="RCO99" s="105"/>
      <c r="RCP99" s="105"/>
      <c r="RCQ99" s="105"/>
      <c r="RCR99" s="105"/>
      <c r="RCS99" s="105"/>
      <c r="RCT99" s="105"/>
      <c r="RCU99" s="105"/>
      <c r="RCV99" s="105"/>
      <c r="RCW99" s="105"/>
      <c r="RCX99" s="105"/>
      <c r="RCY99" s="105"/>
      <c r="RCZ99" s="105"/>
      <c r="RDA99" s="105"/>
      <c r="RDB99" s="105"/>
      <c r="RDC99" s="105"/>
      <c r="RDD99" s="105"/>
      <c r="RDE99" s="105"/>
      <c r="RDF99" s="105"/>
      <c r="RDG99" s="105"/>
      <c r="RDH99" s="105"/>
      <c r="RDI99" s="105"/>
      <c r="RDJ99" s="105"/>
      <c r="RDK99" s="105"/>
      <c r="RDL99" s="105"/>
      <c r="RDM99" s="105"/>
      <c r="RDN99" s="105"/>
      <c r="RDO99" s="105"/>
      <c r="RDP99" s="105"/>
      <c r="RDQ99" s="105"/>
      <c r="RDR99" s="105"/>
      <c r="RDS99" s="105"/>
      <c r="RDT99" s="105"/>
      <c r="RDU99" s="105"/>
      <c r="RDV99" s="105"/>
      <c r="RDW99" s="105"/>
      <c r="RDX99" s="105"/>
      <c r="RDY99" s="105"/>
      <c r="RDZ99" s="105"/>
      <c r="REA99" s="105"/>
      <c r="REB99" s="105"/>
      <c r="REC99" s="105"/>
      <c r="RED99" s="105"/>
      <c r="REE99" s="105"/>
      <c r="REF99" s="105"/>
      <c r="REG99" s="105"/>
      <c r="REH99" s="105"/>
      <c r="REI99" s="105"/>
      <c r="REJ99" s="105"/>
      <c r="REK99" s="105"/>
      <c r="REL99" s="105"/>
      <c r="REM99" s="105"/>
      <c r="REN99" s="105"/>
      <c r="REO99" s="105"/>
      <c r="REP99" s="105"/>
      <c r="REQ99" s="105"/>
      <c r="RER99" s="105"/>
      <c r="RES99" s="105"/>
      <c r="RET99" s="105"/>
      <c r="REU99" s="105"/>
      <c r="REV99" s="105"/>
      <c r="REW99" s="105"/>
      <c r="REX99" s="105"/>
      <c r="REY99" s="105"/>
      <c r="REZ99" s="105"/>
      <c r="RFA99" s="105"/>
      <c r="RFB99" s="105"/>
      <c r="RFC99" s="105"/>
      <c r="RFD99" s="105"/>
      <c r="RFE99" s="105"/>
      <c r="RFF99" s="105"/>
      <c r="RFG99" s="105"/>
      <c r="RFH99" s="105"/>
      <c r="RFI99" s="105"/>
      <c r="RFJ99" s="105"/>
      <c r="RFK99" s="105"/>
      <c r="RFL99" s="105"/>
      <c r="RFM99" s="105"/>
      <c r="RFN99" s="105"/>
      <c r="RFO99" s="105"/>
      <c r="RFP99" s="105"/>
      <c r="RFQ99" s="105"/>
      <c r="RFR99" s="105"/>
      <c r="RFS99" s="105"/>
      <c r="RFT99" s="105"/>
      <c r="RFU99" s="105"/>
      <c r="RFV99" s="105"/>
      <c r="RFW99" s="105"/>
      <c r="RFX99" s="105"/>
      <c r="RFY99" s="105"/>
      <c r="RFZ99" s="105"/>
      <c r="RGA99" s="105"/>
      <c r="RGB99" s="105"/>
      <c r="RGC99" s="105"/>
      <c r="RGD99" s="105"/>
      <c r="RGE99" s="105"/>
      <c r="RGF99" s="105"/>
      <c r="RGG99" s="105"/>
      <c r="RGH99" s="105"/>
      <c r="RGI99" s="105"/>
      <c r="RGJ99" s="105"/>
      <c r="RGK99" s="105"/>
      <c r="RGL99" s="105"/>
      <c r="RGM99" s="105"/>
      <c r="RGN99" s="105"/>
      <c r="RGO99" s="105"/>
      <c r="RGP99" s="105"/>
      <c r="RGQ99" s="105"/>
      <c r="RGR99" s="105"/>
      <c r="RGS99" s="105"/>
      <c r="RGT99" s="105"/>
      <c r="RGU99" s="105"/>
      <c r="RGV99" s="105"/>
      <c r="RGW99" s="105"/>
      <c r="RGX99" s="105"/>
      <c r="RGY99" s="105"/>
      <c r="RGZ99" s="105"/>
      <c r="RHA99" s="105"/>
      <c r="RHB99" s="105"/>
      <c r="RHC99" s="105"/>
      <c r="RHD99" s="105"/>
      <c r="RHE99" s="105"/>
      <c r="RHF99" s="105"/>
      <c r="RHG99" s="105"/>
      <c r="RHH99" s="105"/>
      <c r="RHI99" s="105"/>
      <c r="RHJ99" s="105"/>
      <c r="RHK99" s="105"/>
      <c r="RHL99" s="105"/>
      <c r="RHM99" s="105"/>
      <c r="RHN99" s="105"/>
      <c r="RHO99" s="105"/>
      <c r="RHP99" s="105"/>
      <c r="RHQ99" s="105"/>
      <c r="RHR99" s="105"/>
      <c r="RHS99" s="105"/>
      <c r="RHT99" s="105"/>
      <c r="RHU99" s="105"/>
      <c r="RHV99" s="105"/>
      <c r="RHW99" s="105"/>
      <c r="RHX99" s="105"/>
      <c r="RHY99" s="105"/>
      <c r="RHZ99" s="105"/>
      <c r="RIA99" s="105"/>
      <c r="RIB99" s="105"/>
      <c r="RIC99" s="105"/>
      <c r="RID99" s="105"/>
      <c r="RIE99" s="105"/>
      <c r="RIF99" s="105"/>
      <c r="RIG99" s="105"/>
      <c r="RIH99" s="105"/>
      <c r="RII99" s="105"/>
      <c r="RIJ99" s="105"/>
      <c r="RIK99" s="105"/>
      <c r="RIL99" s="105"/>
      <c r="RIM99" s="105"/>
      <c r="RIN99" s="105"/>
      <c r="RIO99" s="105"/>
      <c r="RIP99" s="105"/>
      <c r="RIQ99" s="105"/>
      <c r="RIR99" s="105"/>
      <c r="RIS99" s="105"/>
      <c r="RIT99" s="105"/>
      <c r="RIU99" s="105"/>
      <c r="RIV99" s="105"/>
      <c r="RIW99" s="105"/>
      <c r="RIX99" s="105"/>
      <c r="RIY99" s="105"/>
      <c r="RIZ99" s="105"/>
      <c r="RJA99" s="105"/>
      <c r="RJB99" s="105"/>
      <c r="RJC99" s="105"/>
      <c r="RJD99" s="105"/>
      <c r="RJE99" s="105"/>
      <c r="RJF99" s="105"/>
      <c r="RJG99" s="105"/>
      <c r="RJH99" s="105"/>
      <c r="RJI99" s="105"/>
      <c r="RJJ99" s="105"/>
      <c r="RJK99" s="105"/>
      <c r="RJL99" s="105"/>
      <c r="RJM99" s="105"/>
      <c r="RJN99" s="105"/>
      <c r="RJO99" s="105"/>
      <c r="RJP99" s="105"/>
      <c r="RJQ99" s="105"/>
      <c r="RJR99" s="105"/>
      <c r="RJS99" s="105"/>
      <c r="RJT99" s="105"/>
      <c r="RJU99" s="105"/>
      <c r="RJV99" s="105"/>
      <c r="RJW99" s="105"/>
      <c r="RJX99" s="105"/>
      <c r="RJY99" s="105"/>
      <c r="RJZ99" s="105"/>
      <c r="RKA99" s="105"/>
      <c r="RKB99" s="105"/>
      <c r="RKC99" s="105"/>
      <c r="RKD99" s="105"/>
      <c r="RKE99" s="105"/>
      <c r="RKF99" s="105"/>
      <c r="RKG99" s="105"/>
      <c r="RKH99" s="105"/>
      <c r="RKI99" s="105"/>
      <c r="RKJ99" s="105"/>
      <c r="RKK99" s="105"/>
      <c r="RKL99" s="105"/>
      <c r="RKM99" s="105"/>
      <c r="RKN99" s="105"/>
      <c r="RKO99" s="105"/>
      <c r="RKP99" s="105"/>
      <c r="RKQ99" s="105"/>
      <c r="RKR99" s="105"/>
      <c r="RKS99" s="105"/>
      <c r="RKT99" s="105"/>
      <c r="RKU99" s="105"/>
      <c r="RKV99" s="105"/>
      <c r="RKW99" s="105"/>
      <c r="RKX99" s="105"/>
      <c r="RKY99" s="105"/>
      <c r="RKZ99" s="105"/>
      <c r="RLA99" s="105"/>
      <c r="RLB99" s="105"/>
      <c r="RLC99" s="105"/>
      <c r="RLD99" s="105"/>
      <c r="RLE99" s="105"/>
      <c r="RLF99" s="105"/>
      <c r="RLG99" s="105"/>
      <c r="RLH99" s="105"/>
      <c r="RLI99" s="105"/>
      <c r="RLJ99" s="105"/>
      <c r="RLK99" s="105"/>
      <c r="RLL99" s="105"/>
      <c r="RLM99" s="105"/>
      <c r="RLN99" s="105"/>
      <c r="RLO99" s="105"/>
      <c r="RLP99" s="105"/>
      <c r="RLQ99" s="105"/>
      <c r="RLR99" s="105"/>
      <c r="RLS99" s="105"/>
      <c r="RLT99" s="105"/>
      <c r="RLU99" s="105"/>
      <c r="RLV99" s="105"/>
      <c r="RLW99" s="105"/>
      <c r="RLX99" s="105"/>
      <c r="RLY99" s="105"/>
      <c r="RLZ99" s="105"/>
      <c r="RMA99" s="105"/>
      <c r="RMB99" s="105"/>
      <c r="RMC99" s="105"/>
      <c r="RMD99" s="105"/>
      <c r="RME99" s="105"/>
      <c r="RMF99" s="105"/>
      <c r="RMG99" s="105"/>
      <c r="RMH99" s="105"/>
      <c r="RMI99" s="105"/>
      <c r="RMJ99" s="105"/>
      <c r="RMK99" s="105"/>
      <c r="RML99" s="105"/>
      <c r="RMM99" s="105"/>
      <c r="RMN99" s="105"/>
      <c r="RMO99" s="105"/>
      <c r="RMP99" s="105"/>
      <c r="RMQ99" s="105"/>
      <c r="RMR99" s="105"/>
      <c r="RMS99" s="105"/>
      <c r="RMT99" s="105"/>
      <c r="RMU99" s="105"/>
      <c r="RMV99" s="105"/>
      <c r="RMW99" s="105"/>
      <c r="RMX99" s="105"/>
      <c r="RMY99" s="105"/>
      <c r="RMZ99" s="105"/>
      <c r="RNA99" s="105"/>
      <c r="RNB99" s="105"/>
      <c r="RNC99" s="105"/>
      <c r="RND99" s="105"/>
      <c r="RNE99" s="105"/>
      <c r="RNF99" s="105"/>
      <c r="RNG99" s="105"/>
      <c r="RNH99" s="105"/>
      <c r="RNI99" s="105"/>
      <c r="RNJ99" s="105"/>
      <c r="RNK99" s="105"/>
      <c r="RNL99" s="105"/>
      <c r="RNM99" s="105"/>
      <c r="RNN99" s="105"/>
      <c r="RNO99" s="105"/>
      <c r="RNP99" s="105"/>
      <c r="RNQ99" s="105"/>
      <c r="RNR99" s="105"/>
      <c r="RNS99" s="105"/>
      <c r="RNT99" s="105"/>
      <c r="RNU99" s="105"/>
      <c r="RNV99" s="105"/>
      <c r="RNW99" s="105"/>
      <c r="RNX99" s="105"/>
      <c r="RNY99" s="105"/>
      <c r="RNZ99" s="105"/>
      <c r="ROA99" s="105"/>
      <c r="ROB99" s="105"/>
      <c r="ROC99" s="105"/>
      <c r="ROD99" s="105"/>
      <c r="ROE99" s="105"/>
      <c r="ROF99" s="105"/>
      <c r="ROG99" s="105"/>
      <c r="ROH99" s="105"/>
      <c r="ROI99" s="105"/>
      <c r="ROJ99" s="105"/>
      <c r="ROK99" s="105"/>
      <c r="ROL99" s="105"/>
      <c r="ROM99" s="105"/>
      <c r="RON99" s="105"/>
      <c r="ROO99" s="105"/>
      <c r="ROP99" s="105"/>
      <c r="ROQ99" s="105"/>
      <c r="ROR99" s="105"/>
      <c r="ROS99" s="105"/>
      <c r="ROT99" s="105"/>
      <c r="ROU99" s="105"/>
      <c r="ROV99" s="105"/>
      <c r="ROW99" s="105"/>
      <c r="ROX99" s="105"/>
      <c r="ROY99" s="105"/>
      <c r="ROZ99" s="105"/>
      <c r="RPA99" s="105"/>
      <c r="RPB99" s="105"/>
      <c r="RPC99" s="105"/>
      <c r="RPD99" s="105"/>
      <c r="RPE99" s="105"/>
      <c r="RPF99" s="105"/>
      <c r="RPG99" s="105"/>
      <c r="RPH99" s="105"/>
      <c r="RPI99" s="105"/>
      <c r="RPJ99" s="105"/>
      <c r="RPK99" s="105"/>
      <c r="RPL99" s="105"/>
      <c r="RPM99" s="105"/>
      <c r="RPN99" s="105"/>
      <c r="RPO99" s="105"/>
      <c r="RPP99" s="105"/>
      <c r="RPQ99" s="105"/>
      <c r="RPR99" s="105"/>
      <c r="RPS99" s="105"/>
      <c r="RPT99" s="105"/>
      <c r="RPU99" s="105"/>
      <c r="RPV99" s="105"/>
      <c r="RPW99" s="105"/>
      <c r="RPX99" s="105"/>
      <c r="RPY99" s="105"/>
      <c r="RPZ99" s="105"/>
      <c r="RQA99" s="105"/>
      <c r="RQB99" s="105"/>
      <c r="RQC99" s="105"/>
      <c r="RQD99" s="105"/>
      <c r="RQE99" s="105"/>
      <c r="RQF99" s="105"/>
      <c r="RQG99" s="105"/>
      <c r="RQH99" s="105"/>
      <c r="RQI99" s="105"/>
      <c r="RQJ99" s="105"/>
      <c r="RQK99" s="105"/>
      <c r="RQL99" s="105"/>
      <c r="RQM99" s="105"/>
      <c r="RQN99" s="105"/>
      <c r="RQO99" s="105"/>
      <c r="RQP99" s="105"/>
      <c r="RQQ99" s="105"/>
      <c r="RQR99" s="105"/>
      <c r="RQS99" s="105"/>
      <c r="RQT99" s="105"/>
      <c r="RQU99" s="105"/>
      <c r="RQV99" s="105"/>
      <c r="RQW99" s="105"/>
      <c r="RQX99" s="105"/>
      <c r="RQY99" s="105"/>
      <c r="RQZ99" s="105"/>
      <c r="RRA99" s="105"/>
      <c r="RRB99" s="105"/>
      <c r="RRC99" s="105"/>
      <c r="RRD99" s="105"/>
      <c r="RRE99" s="105"/>
      <c r="RRF99" s="105"/>
      <c r="RRG99" s="105"/>
      <c r="RRH99" s="105"/>
      <c r="RRI99" s="105"/>
      <c r="RRJ99" s="105"/>
      <c r="RRK99" s="105"/>
      <c r="RRL99" s="105"/>
      <c r="RRM99" s="105"/>
      <c r="RRN99" s="105"/>
      <c r="RRO99" s="105"/>
      <c r="RRP99" s="105"/>
      <c r="RRQ99" s="105"/>
      <c r="RRR99" s="105"/>
      <c r="RRS99" s="105"/>
      <c r="RRT99" s="105"/>
      <c r="RRU99" s="105"/>
      <c r="RRV99" s="105"/>
      <c r="RRW99" s="105"/>
      <c r="RRX99" s="105"/>
      <c r="RRY99" s="105"/>
      <c r="RRZ99" s="105"/>
      <c r="RSA99" s="105"/>
      <c r="RSB99" s="105"/>
      <c r="RSC99" s="105"/>
      <c r="RSD99" s="105"/>
      <c r="RSE99" s="105"/>
      <c r="RSF99" s="105"/>
      <c r="RSG99" s="105"/>
      <c r="RSH99" s="105"/>
      <c r="RSI99" s="105"/>
      <c r="RSJ99" s="105"/>
      <c r="RSK99" s="105"/>
      <c r="RSL99" s="105"/>
      <c r="RSM99" s="105"/>
      <c r="RSN99" s="105"/>
      <c r="RSO99" s="105"/>
      <c r="RSP99" s="105"/>
      <c r="RSQ99" s="105"/>
      <c r="RSR99" s="105"/>
      <c r="RSS99" s="105"/>
      <c r="RST99" s="105"/>
      <c r="RSU99" s="105"/>
      <c r="RSV99" s="105"/>
      <c r="RSW99" s="105"/>
      <c r="RSX99" s="105"/>
      <c r="RSY99" s="105"/>
      <c r="RSZ99" s="105"/>
      <c r="RTA99" s="105"/>
      <c r="RTB99" s="105"/>
      <c r="RTC99" s="105"/>
      <c r="RTD99" s="105"/>
      <c r="RTE99" s="105"/>
      <c r="RTF99" s="105"/>
      <c r="RTG99" s="105"/>
      <c r="RTH99" s="105"/>
      <c r="RTI99" s="105"/>
      <c r="RTJ99" s="105"/>
      <c r="RTK99" s="105"/>
      <c r="RTL99" s="105"/>
      <c r="RTM99" s="105"/>
      <c r="RTN99" s="105"/>
      <c r="RTO99" s="105"/>
      <c r="RTP99" s="105"/>
      <c r="RTQ99" s="105"/>
      <c r="RTR99" s="105"/>
      <c r="RTS99" s="105"/>
      <c r="RTT99" s="105"/>
      <c r="RTU99" s="105"/>
      <c r="RTV99" s="105"/>
      <c r="RTW99" s="105"/>
      <c r="RTX99" s="105"/>
      <c r="RTY99" s="105"/>
      <c r="RTZ99" s="105"/>
      <c r="RUA99" s="105"/>
      <c r="RUB99" s="105"/>
      <c r="RUC99" s="105"/>
      <c r="RUD99" s="105"/>
      <c r="RUE99" s="105"/>
      <c r="RUF99" s="105"/>
      <c r="RUG99" s="105"/>
      <c r="RUH99" s="105"/>
      <c r="RUI99" s="105"/>
      <c r="RUJ99" s="105"/>
      <c r="RUK99" s="105"/>
      <c r="RUL99" s="105"/>
      <c r="RUM99" s="105"/>
      <c r="RUN99" s="105"/>
      <c r="RUO99" s="105"/>
      <c r="RUP99" s="105"/>
      <c r="RUQ99" s="105"/>
      <c r="RUR99" s="105"/>
      <c r="RUS99" s="105"/>
      <c r="RUT99" s="105"/>
      <c r="RUU99" s="105"/>
      <c r="RUV99" s="105"/>
      <c r="RUW99" s="105"/>
      <c r="RUX99" s="105"/>
      <c r="RUY99" s="105"/>
      <c r="RUZ99" s="105"/>
      <c r="RVA99" s="105"/>
      <c r="RVB99" s="105"/>
      <c r="RVC99" s="105"/>
      <c r="RVD99" s="105"/>
      <c r="RVE99" s="105"/>
      <c r="RVF99" s="105"/>
      <c r="RVG99" s="105"/>
      <c r="RVH99" s="105"/>
      <c r="RVI99" s="105"/>
      <c r="RVJ99" s="105"/>
      <c r="RVK99" s="105"/>
      <c r="RVL99" s="105"/>
      <c r="RVM99" s="105"/>
      <c r="RVN99" s="105"/>
      <c r="RVO99" s="105"/>
      <c r="RVP99" s="105"/>
      <c r="RVQ99" s="105"/>
      <c r="RVR99" s="105"/>
      <c r="RVS99" s="105"/>
      <c r="RVT99" s="105"/>
      <c r="RVU99" s="105"/>
      <c r="RVV99" s="105"/>
      <c r="RVW99" s="105"/>
      <c r="RVX99" s="105"/>
      <c r="RVY99" s="105"/>
      <c r="RVZ99" s="105"/>
      <c r="RWA99" s="105"/>
      <c r="RWB99" s="105"/>
      <c r="RWC99" s="105"/>
      <c r="RWD99" s="105"/>
      <c r="RWE99" s="105"/>
      <c r="RWF99" s="105"/>
      <c r="RWG99" s="105"/>
      <c r="RWH99" s="105"/>
      <c r="RWI99" s="105"/>
      <c r="RWJ99" s="105"/>
      <c r="RWK99" s="105"/>
      <c r="RWL99" s="105"/>
      <c r="RWM99" s="105"/>
      <c r="RWN99" s="105"/>
      <c r="RWO99" s="105"/>
      <c r="RWP99" s="105"/>
      <c r="RWQ99" s="105"/>
      <c r="RWR99" s="105"/>
      <c r="RWS99" s="105"/>
      <c r="RWT99" s="105"/>
      <c r="RWU99" s="105"/>
      <c r="RWV99" s="105"/>
      <c r="RWW99" s="105"/>
      <c r="RWX99" s="105"/>
      <c r="RWY99" s="105"/>
      <c r="RWZ99" s="105"/>
      <c r="RXA99" s="105"/>
      <c r="RXB99" s="105"/>
      <c r="RXC99" s="105"/>
      <c r="RXD99" s="105"/>
      <c r="RXE99" s="105"/>
      <c r="RXF99" s="105"/>
      <c r="RXG99" s="105"/>
      <c r="RXH99" s="105"/>
      <c r="RXI99" s="105"/>
      <c r="RXJ99" s="105"/>
      <c r="RXK99" s="105"/>
      <c r="RXL99" s="105"/>
      <c r="RXM99" s="105"/>
      <c r="RXN99" s="105"/>
      <c r="RXO99" s="105"/>
      <c r="RXP99" s="105"/>
      <c r="RXQ99" s="105"/>
      <c r="RXR99" s="105"/>
      <c r="RXS99" s="105"/>
      <c r="RXT99" s="105"/>
      <c r="RXU99" s="105"/>
      <c r="RXV99" s="105"/>
      <c r="RXW99" s="105"/>
      <c r="RXX99" s="105"/>
      <c r="RXY99" s="105"/>
      <c r="RXZ99" s="105"/>
      <c r="RYA99" s="105"/>
      <c r="RYB99" s="105"/>
      <c r="RYC99" s="105"/>
      <c r="RYD99" s="105"/>
      <c r="RYE99" s="105"/>
      <c r="RYF99" s="105"/>
      <c r="RYG99" s="105"/>
      <c r="RYH99" s="105"/>
      <c r="RYI99" s="105"/>
      <c r="RYJ99" s="105"/>
      <c r="RYK99" s="105"/>
      <c r="RYL99" s="105"/>
      <c r="RYM99" s="105"/>
      <c r="RYN99" s="105"/>
      <c r="RYO99" s="105"/>
      <c r="RYP99" s="105"/>
      <c r="RYQ99" s="105"/>
      <c r="RYR99" s="105"/>
      <c r="RYS99" s="105"/>
      <c r="RYT99" s="105"/>
      <c r="RYU99" s="105"/>
      <c r="RYV99" s="105"/>
      <c r="RYW99" s="105"/>
      <c r="RYX99" s="105"/>
      <c r="RYY99" s="105"/>
      <c r="RYZ99" s="105"/>
      <c r="RZA99" s="105"/>
      <c r="RZB99" s="105"/>
      <c r="RZC99" s="105"/>
      <c r="RZD99" s="105"/>
      <c r="RZE99" s="105"/>
      <c r="RZF99" s="105"/>
      <c r="RZG99" s="105"/>
      <c r="RZH99" s="105"/>
      <c r="RZI99" s="105"/>
      <c r="RZJ99" s="105"/>
      <c r="RZK99" s="105"/>
      <c r="RZL99" s="105"/>
      <c r="RZM99" s="105"/>
      <c r="RZN99" s="105"/>
      <c r="RZO99" s="105"/>
      <c r="RZP99" s="105"/>
      <c r="RZQ99" s="105"/>
      <c r="RZR99" s="105"/>
      <c r="RZS99" s="105"/>
      <c r="RZT99" s="105"/>
      <c r="RZU99" s="105"/>
      <c r="RZV99" s="105"/>
      <c r="RZW99" s="105"/>
      <c r="RZX99" s="105"/>
      <c r="RZY99" s="105"/>
      <c r="RZZ99" s="105"/>
      <c r="SAA99" s="105"/>
      <c r="SAB99" s="105"/>
      <c r="SAC99" s="105"/>
      <c r="SAD99" s="105"/>
      <c r="SAE99" s="105"/>
      <c r="SAF99" s="105"/>
      <c r="SAG99" s="105"/>
      <c r="SAH99" s="105"/>
      <c r="SAI99" s="105"/>
      <c r="SAJ99" s="105"/>
      <c r="SAK99" s="105"/>
      <c r="SAL99" s="105"/>
      <c r="SAM99" s="105"/>
      <c r="SAN99" s="105"/>
      <c r="SAO99" s="105"/>
      <c r="SAP99" s="105"/>
      <c r="SAQ99" s="105"/>
      <c r="SAR99" s="105"/>
      <c r="SAS99" s="105"/>
      <c r="SAT99" s="105"/>
      <c r="SAU99" s="105"/>
      <c r="SAV99" s="105"/>
      <c r="SAW99" s="105"/>
      <c r="SAX99" s="105"/>
      <c r="SAY99" s="105"/>
      <c r="SAZ99" s="105"/>
      <c r="SBA99" s="105"/>
      <c r="SBB99" s="105"/>
      <c r="SBC99" s="105"/>
      <c r="SBD99" s="105"/>
      <c r="SBE99" s="105"/>
      <c r="SBF99" s="105"/>
      <c r="SBG99" s="105"/>
      <c r="SBH99" s="105"/>
      <c r="SBI99" s="105"/>
      <c r="SBJ99" s="105"/>
      <c r="SBK99" s="105"/>
      <c r="SBL99" s="105"/>
      <c r="SBM99" s="105"/>
      <c r="SBN99" s="105"/>
      <c r="SBO99" s="105"/>
      <c r="SBP99" s="105"/>
      <c r="SBQ99" s="105"/>
      <c r="SBR99" s="105"/>
      <c r="SBS99" s="105"/>
      <c r="SBT99" s="105"/>
      <c r="SBU99" s="105"/>
      <c r="SBV99" s="105"/>
      <c r="SBW99" s="105"/>
      <c r="SBX99" s="105"/>
      <c r="SBY99" s="105"/>
      <c r="SBZ99" s="105"/>
      <c r="SCA99" s="105"/>
      <c r="SCB99" s="105"/>
      <c r="SCC99" s="105"/>
      <c r="SCD99" s="105"/>
      <c r="SCE99" s="105"/>
      <c r="SCF99" s="105"/>
      <c r="SCG99" s="105"/>
      <c r="SCH99" s="105"/>
      <c r="SCI99" s="105"/>
      <c r="SCJ99" s="105"/>
      <c r="SCK99" s="105"/>
      <c r="SCL99" s="105"/>
      <c r="SCM99" s="105"/>
      <c r="SCN99" s="105"/>
      <c r="SCO99" s="105"/>
      <c r="SCP99" s="105"/>
      <c r="SCQ99" s="105"/>
      <c r="SCR99" s="105"/>
      <c r="SCS99" s="105"/>
      <c r="SCT99" s="105"/>
      <c r="SCU99" s="105"/>
      <c r="SCV99" s="105"/>
      <c r="SCW99" s="105"/>
      <c r="SCX99" s="105"/>
      <c r="SCY99" s="105"/>
      <c r="SCZ99" s="105"/>
      <c r="SDA99" s="105"/>
      <c r="SDB99" s="105"/>
      <c r="SDC99" s="105"/>
      <c r="SDD99" s="105"/>
      <c r="SDE99" s="105"/>
      <c r="SDF99" s="105"/>
      <c r="SDG99" s="105"/>
      <c r="SDH99" s="105"/>
      <c r="SDI99" s="105"/>
      <c r="SDJ99" s="105"/>
      <c r="SDK99" s="105"/>
      <c r="SDL99" s="105"/>
      <c r="SDM99" s="105"/>
      <c r="SDN99" s="105"/>
      <c r="SDO99" s="105"/>
      <c r="SDP99" s="105"/>
      <c r="SDQ99" s="105"/>
      <c r="SDR99" s="105"/>
      <c r="SDS99" s="105"/>
      <c r="SDT99" s="105"/>
      <c r="SDU99" s="105"/>
      <c r="SDV99" s="105"/>
      <c r="SDW99" s="105"/>
      <c r="SDX99" s="105"/>
      <c r="SDY99" s="105"/>
      <c r="SDZ99" s="105"/>
      <c r="SEA99" s="105"/>
      <c r="SEB99" s="105"/>
      <c r="SEC99" s="105"/>
      <c r="SED99" s="105"/>
      <c r="SEE99" s="105"/>
      <c r="SEF99" s="105"/>
      <c r="SEG99" s="105"/>
      <c r="SEH99" s="105"/>
      <c r="SEI99" s="105"/>
      <c r="SEJ99" s="105"/>
      <c r="SEK99" s="105"/>
      <c r="SEL99" s="105"/>
      <c r="SEM99" s="105"/>
      <c r="SEN99" s="105"/>
      <c r="SEO99" s="105"/>
      <c r="SEP99" s="105"/>
      <c r="SEQ99" s="105"/>
      <c r="SER99" s="105"/>
      <c r="SES99" s="105"/>
      <c r="SET99" s="105"/>
      <c r="SEU99" s="105"/>
      <c r="SEV99" s="105"/>
      <c r="SEW99" s="105"/>
      <c r="SEX99" s="105"/>
      <c r="SEY99" s="105"/>
      <c r="SEZ99" s="105"/>
      <c r="SFA99" s="105"/>
      <c r="SFB99" s="105"/>
      <c r="SFC99" s="105"/>
      <c r="SFD99" s="105"/>
      <c r="SFE99" s="105"/>
      <c r="SFF99" s="105"/>
      <c r="SFG99" s="105"/>
      <c r="SFH99" s="105"/>
      <c r="SFI99" s="105"/>
      <c r="SFJ99" s="105"/>
      <c r="SFK99" s="105"/>
      <c r="SFL99" s="105"/>
      <c r="SFM99" s="105"/>
      <c r="SFN99" s="105"/>
      <c r="SFO99" s="105"/>
      <c r="SFP99" s="105"/>
      <c r="SFQ99" s="105"/>
      <c r="SFR99" s="105"/>
      <c r="SFS99" s="105"/>
      <c r="SFT99" s="105"/>
      <c r="SFU99" s="105"/>
      <c r="SFV99" s="105"/>
      <c r="SFW99" s="105"/>
      <c r="SFX99" s="105"/>
      <c r="SFY99" s="105"/>
      <c r="SFZ99" s="105"/>
      <c r="SGA99" s="105"/>
      <c r="SGB99" s="105"/>
      <c r="SGC99" s="105"/>
      <c r="SGD99" s="105"/>
      <c r="SGE99" s="105"/>
      <c r="SGF99" s="105"/>
      <c r="SGG99" s="105"/>
      <c r="SGH99" s="105"/>
      <c r="SGI99" s="105"/>
      <c r="SGJ99" s="105"/>
      <c r="SGK99" s="105"/>
      <c r="SGL99" s="105"/>
      <c r="SGM99" s="105"/>
      <c r="SGN99" s="105"/>
      <c r="SGO99" s="105"/>
      <c r="SGP99" s="105"/>
      <c r="SGQ99" s="105"/>
      <c r="SGR99" s="105"/>
      <c r="SGS99" s="105"/>
      <c r="SGT99" s="105"/>
      <c r="SGU99" s="105"/>
      <c r="SGV99" s="105"/>
      <c r="SGW99" s="105"/>
      <c r="SGX99" s="105"/>
      <c r="SGY99" s="105"/>
      <c r="SGZ99" s="105"/>
      <c r="SHA99" s="105"/>
      <c r="SHB99" s="105"/>
      <c r="SHC99" s="105"/>
      <c r="SHD99" s="105"/>
      <c r="SHE99" s="105"/>
      <c r="SHF99" s="105"/>
      <c r="SHG99" s="105"/>
      <c r="SHH99" s="105"/>
      <c r="SHI99" s="105"/>
      <c r="SHJ99" s="105"/>
      <c r="SHK99" s="105"/>
      <c r="SHL99" s="105"/>
      <c r="SHM99" s="105"/>
      <c r="SHN99" s="105"/>
      <c r="SHO99" s="105"/>
      <c r="SHP99" s="105"/>
      <c r="SHQ99" s="105"/>
      <c r="SHR99" s="105"/>
      <c r="SHS99" s="105"/>
      <c r="SHT99" s="105"/>
      <c r="SHU99" s="105"/>
      <c r="SHV99" s="105"/>
      <c r="SHW99" s="105"/>
      <c r="SHX99" s="105"/>
      <c r="SHY99" s="105"/>
      <c r="SHZ99" s="105"/>
      <c r="SIA99" s="105"/>
      <c r="SIB99" s="105"/>
      <c r="SIC99" s="105"/>
      <c r="SID99" s="105"/>
      <c r="SIE99" s="105"/>
      <c r="SIF99" s="105"/>
      <c r="SIG99" s="105"/>
      <c r="SIH99" s="105"/>
      <c r="SII99" s="105"/>
      <c r="SIJ99" s="105"/>
      <c r="SIK99" s="105"/>
      <c r="SIL99" s="105"/>
      <c r="SIM99" s="105"/>
      <c r="SIN99" s="105"/>
      <c r="SIO99" s="105"/>
      <c r="SIP99" s="105"/>
      <c r="SIQ99" s="105"/>
      <c r="SIR99" s="105"/>
      <c r="SIS99" s="105"/>
      <c r="SIT99" s="105"/>
      <c r="SIU99" s="105"/>
      <c r="SIV99" s="105"/>
      <c r="SIW99" s="105"/>
      <c r="SIX99" s="105"/>
      <c r="SIY99" s="105"/>
      <c r="SIZ99" s="105"/>
      <c r="SJA99" s="105"/>
      <c r="SJB99" s="105"/>
      <c r="SJC99" s="105"/>
      <c r="SJD99" s="105"/>
      <c r="SJE99" s="105"/>
      <c r="SJF99" s="105"/>
      <c r="SJG99" s="105"/>
      <c r="SJH99" s="105"/>
      <c r="SJI99" s="105"/>
      <c r="SJJ99" s="105"/>
      <c r="SJK99" s="105"/>
      <c r="SJL99" s="105"/>
      <c r="SJM99" s="105"/>
      <c r="SJN99" s="105"/>
      <c r="SJO99" s="105"/>
      <c r="SJP99" s="105"/>
      <c r="SJQ99" s="105"/>
      <c r="SJR99" s="105"/>
      <c r="SJS99" s="105"/>
      <c r="SJT99" s="105"/>
      <c r="SJU99" s="105"/>
      <c r="SJV99" s="105"/>
      <c r="SJW99" s="105"/>
      <c r="SJX99" s="105"/>
      <c r="SJY99" s="105"/>
      <c r="SJZ99" s="105"/>
      <c r="SKA99" s="105"/>
      <c r="SKB99" s="105"/>
      <c r="SKC99" s="105"/>
      <c r="SKD99" s="105"/>
      <c r="SKE99" s="105"/>
      <c r="SKF99" s="105"/>
      <c r="SKG99" s="105"/>
      <c r="SKH99" s="105"/>
      <c r="SKI99" s="105"/>
      <c r="SKJ99" s="105"/>
      <c r="SKK99" s="105"/>
      <c r="SKL99" s="105"/>
      <c r="SKM99" s="105"/>
      <c r="SKN99" s="105"/>
      <c r="SKO99" s="105"/>
      <c r="SKP99" s="105"/>
      <c r="SKQ99" s="105"/>
      <c r="SKR99" s="105"/>
      <c r="SKS99" s="105"/>
      <c r="SKT99" s="105"/>
      <c r="SKU99" s="105"/>
      <c r="SKV99" s="105"/>
      <c r="SKW99" s="105"/>
      <c r="SKX99" s="105"/>
      <c r="SKY99" s="105"/>
      <c r="SKZ99" s="105"/>
      <c r="SLA99" s="105"/>
      <c r="SLB99" s="105"/>
      <c r="SLC99" s="105"/>
      <c r="SLD99" s="105"/>
      <c r="SLE99" s="105"/>
      <c r="SLF99" s="105"/>
      <c r="SLG99" s="105"/>
      <c r="SLH99" s="105"/>
      <c r="SLI99" s="105"/>
      <c r="SLJ99" s="105"/>
      <c r="SLK99" s="105"/>
      <c r="SLL99" s="105"/>
      <c r="SLM99" s="105"/>
      <c r="SLN99" s="105"/>
      <c r="SLO99" s="105"/>
      <c r="SLP99" s="105"/>
      <c r="SLQ99" s="105"/>
      <c r="SLR99" s="105"/>
      <c r="SLS99" s="105"/>
      <c r="SLT99" s="105"/>
      <c r="SLU99" s="105"/>
      <c r="SLV99" s="105"/>
      <c r="SLW99" s="105"/>
      <c r="SLX99" s="105"/>
      <c r="SLY99" s="105"/>
      <c r="SLZ99" s="105"/>
      <c r="SMA99" s="105"/>
      <c r="SMB99" s="105"/>
      <c r="SMC99" s="105"/>
      <c r="SMD99" s="105"/>
      <c r="SME99" s="105"/>
      <c r="SMF99" s="105"/>
      <c r="SMG99" s="105"/>
      <c r="SMH99" s="105"/>
      <c r="SMI99" s="105"/>
      <c r="SMJ99" s="105"/>
      <c r="SMK99" s="105"/>
      <c r="SML99" s="105"/>
      <c r="SMM99" s="105"/>
      <c r="SMN99" s="105"/>
      <c r="SMO99" s="105"/>
      <c r="SMP99" s="105"/>
      <c r="SMQ99" s="105"/>
      <c r="SMR99" s="105"/>
      <c r="SMS99" s="105"/>
      <c r="SMT99" s="105"/>
      <c r="SMU99" s="105"/>
      <c r="SMV99" s="105"/>
      <c r="SMW99" s="105"/>
      <c r="SMX99" s="105"/>
      <c r="SMY99" s="105"/>
      <c r="SMZ99" s="105"/>
      <c r="SNA99" s="105"/>
      <c r="SNB99" s="105"/>
      <c r="SNC99" s="105"/>
      <c r="SND99" s="105"/>
      <c r="SNE99" s="105"/>
      <c r="SNF99" s="105"/>
      <c r="SNG99" s="105"/>
      <c r="SNH99" s="105"/>
      <c r="SNI99" s="105"/>
      <c r="SNJ99" s="105"/>
      <c r="SNK99" s="105"/>
      <c r="SNL99" s="105"/>
      <c r="SNM99" s="105"/>
      <c r="SNN99" s="105"/>
      <c r="SNO99" s="105"/>
      <c r="SNP99" s="105"/>
      <c r="SNQ99" s="105"/>
      <c r="SNR99" s="105"/>
      <c r="SNS99" s="105"/>
      <c r="SNT99" s="105"/>
      <c r="SNU99" s="105"/>
      <c r="SNV99" s="105"/>
      <c r="SNW99" s="105"/>
      <c r="SNX99" s="105"/>
      <c r="SNY99" s="105"/>
      <c r="SNZ99" s="105"/>
      <c r="SOA99" s="105"/>
      <c r="SOB99" s="105"/>
      <c r="SOC99" s="105"/>
      <c r="SOD99" s="105"/>
      <c r="SOE99" s="105"/>
      <c r="SOF99" s="105"/>
      <c r="SOG99" s="105"/>
      <c r="SOH99" s="105"/>
      <c r="SOI99" s="105"/>
      <c r="SOJ99" s="105"/>
      <c r="SOK99" s="105"/>
      <c r="SOL99" s="105"/>
      <c r="SOM99" s="105"/>
      <c r="SON99" s="105"/>
      <c r="SOO99" s="105"/>
      <c r="SOP99" s="105"/>
      <c r="SOQ99" s="105"/>
      <c r="SOR99" s="105"/>
      <c r="SOS99" s="105"/>
      <c r="SOT99" s="105"/>
      <c r="SOU99" s="105"/>
      <c r="SOV99" s="105"/>
      <c r="SOW99" s="105"/>
      <c r="SOX99" s="105"/>
      <c r="SOY99" s="105"/>
      <c r="SOZ99" s="105"/>
      <c r="SPA99" s="105"/>
      <c r="SPB99" s="105"/>
      <c r="SPC99" s="105"/>
      <c r="SPD99" s="105"/>
      <c r="SPE99" s="105"/>
      <c r="SPF99" s="105"/>
      <c r="SPG99" s="105"/>
      <c r="SPH99" s="105"/>
      <c r="SPI99" s="105"/>
      <c r="SPJ99" s="105"/>
      <c r="SPK99" s="105"/>
      <c r="SPL99" s="105"/>
      <c r="SPM99" s="105"/>
      <c r="SPN99" s="105"/>
      <c r="SPO99" s="105"/>
      <c r="SPP99" s="105"/>
      <c r="SPQ99" s="105"/>
      <c r="SPR99" s="105"/>
      <c r="SPS99" s="105"/>
      <c r="SPT99" s="105"/>
      <c r="SPU99" s="105"/>
      <c r="SPV99" s="105"/>
      <c r="SPW99" s="105"/>
      <c r="SPX99" s="105"/>
      <c r="SPY99" s="105"/>
      <c r="SPZ99" s="105"/>
      <c r="SQA99" s="105"/>
      <c r="SQB99" s="105"/>
      <c r="SQC99" s="105"/>
      <c r="SQD99" s="105"/>
      <c r="SQE99" s="105"/>
      <c r="SQF99" s="105"/>
      <c r="SQG99" s="105"/>
      <c r="SQH99" s="105"/>
      <c r="SQI99" s="105"/>
      <c r="SQJ99" s="105"/>
      <c r="SQK99" s="105"/>
      <c r="SQL99" s="105"/>
      <c r="SQM99" s="105"/>
      <c r="SQN99" s="105"/>
      <c r="SQO99" s="105"/>
      <c r="SQP99" s="105"/>
      <c r="SQQ99" s="105"/>
      <c r="SQR99" s="105"/>
      <c r="SQS99" s="105"/>
      <c r="SQT99" s="105"/>
      <c r="SQU99" s="105"/>
      <c r="SQV99" s="105"/>
      <c r="SQW99" s="105"/>
      <c r="SQX99" s="105"/>
      <c r="SQY99" s="105"/>
      <c r="SQZ99" s="105"/>
      <c r="SRA99" s="105"/>
      <c r="SRB99" s="105"/>
      <c r="SRC99" s="105"/>
      <c r="SRD99" s="105"/>
      <c r="SRE99" s="105"/>
      <c r="SRF99" s="105"/>
      <c r="SRG99" s="105"/>
      <c r="SRH99" s="105"/>
      <c r="SRI99" s="105"/>
      <c r="SRJ99" s="105"/>
      <c r="SRK99" s="105"/>
      <c r="SRL99" s="105"/>
      <c r="SRM99" s="105"/>
      <c r="SRN99" s="105"/>
      <c r="SRO99" s="105"/>
      <c r="SRP99" s="105"/>
      <c r="SRQ99" s="105"/>
      <c r="SRR99" s="105"/>
      <c r="SRS99" s="105"/>
      <c r="SRT99" s="105"/>
      <c r="SRU99" s="105"/>
      <c r="SRV99" s="105"/>
      <c r="SRW99" s="105"/>
      <c r="SRX99" s="105"/>
      <c r="SRY99" s="105"/>
      <c r="SRZ99" s="105"/>
      <c r="SSA99" s="105"/>
      <c r="SSB99" s="105"/>
      <c r="SSC99" s="105"/>
      <c r="SSD99" s="105"/>
      <c r="SSE99" s="105"/>
      <c r="SSF99" s="105"/>
      <c r="SSG99" s="105"/>
      <c r="SSH99" s="105"/>
      <c r="SSI99" s="105"/>
      <c r="SSJ99" s="105"/>
      <c r="SSK99" s="105"/>
      <c r="SSL99" s="105"/>
      <c r="SSM99" s="105"/>
      <c r="SSN99" s="105"/>
      <c r="SSO99" s="105"/>
      <c r="SSP99" s="105"/>
      <c r="SSQ99" s="105"/>
      <c r="SSR99" s="105"/>
      <c r="SSS99" s="105"/>
      <c r="SST99" s="105"/>
      <c r="SSU99" s="105"/>
      <c r="SSV99" s="105"/>
      <c r="SSW99" s="105"/>
      <c r="SSX99" s="105"/>
      <c r="SSY99" s="105"/>
      <c r="SSZ99" s="105"/>
      <c r="STA99" s="105"/>
      <c r="STB99" s="105"/>
      <c r="STC99" s="105"/>
      <c r="STD99" s="105"/>
      <c r="STE99" s="105"/>
      <c r="STF99" s="105"/>
      <c r="STG99" s="105"/>
      <c r="STH99" s="105"/>
      <c r="STI99" s="105"/>
      <c r="STJ99" s="105"/>
      <c r="STK99" s="105"/>
      <c r="STL99" s="105"/>
      <c r="STM99" s="105"/>
      <c r="STN99" s="105"/>
      <c r="STO99" s="105"/>
      <c r="STP99" s="105"/>
      <c r="STQ99" s="105"/>
      <c r="STR99" s="105"/>
      <c r="STS99" s="105"/>
      <c r="STT99" s="105"/>
      <c r="STU99" s="105"/>
      <c r="STV99" s="105"/>
      <c r="STW99" s="105"/>
      <c r="STX99" s="105"/>
      <c r="STY99" s="105"/>
      <c r="STZ99" s="105"/>
      <c r="SUA99" s="105"/>
      <c r="SUB99" s="105"/>
      <c r="SUC99" s="105"/>
      <c r="SUD99" s="105"/>
      <c r="SUE99" s="105"/>
      <c r="SUF99" s="105"/>
      <c r="SUG99" s="105"/>
      <c r="SUH99" s="105"/>
      <c r="SUI99" s="105"/>
      <c r="SUJ99" s="105"/>
      <c r="SUK99" s="105"/>
      <c r="SUL99" s="105"/>
      <c r="SUM99" s="105"/>
      <c r="SUN99" s="105"/>
      <c r="SUO99" s="105"/>
      <c r="SUP99" s="105"/>
      <c r="SUQ99" s="105"/>
      <c r="SUR99" s="105"/>
      <c r="SUS99" s="105"/>
      <c r="SUT99" s="105"/>
      <c r="SUU99" s="105"/>
      <c r="SUV99" s="105"/>
      <c r="SUW99" s="105"/>
      <c r="SUX99" s="105"/>
      <c r="SUY99" s="105"/>
      <c r="SUZ99" s="105"/>
      <c r="SVA99" s="105"/>
      <c r="SVB99" s="105"/>
      <c r="SVC99" s="105"/>
      <c r="SVD99" s="105"/>
      <c r="SVE99" s="105"/>
      <c r="SVF99" s="105"/>
      <c r="SVG99" s="105"/>
      <c r="SVH99" s="105"/>
      <c r="SVI99" s="105"/>
      <c r="SVJ99" s="105"/>
      <c r="SVK99" s="105"/>
      <c r="SVL99" s="105"/>
      <c r="SVM99" s="105"/>
      <c r="SVN99" s="105"/>
      <c r="SVO99" s="105"/>
      <c r="SVP99" s="105"/>
      <c r="SVQ99" s="105"/>
      <c r="SVR99" s="105"/>
      <c r="SVS99" s="105"/>
      <c r="SVT99" s="105"/>
      <c r="SVU99" s="105"/>
      <c r="SVV99" s="105"/>
      <c r="SVW99" s="105"/>
      <c r="SVX99" s="105"/>
      <c r="SVY99" s="105"/>
      <c r="SVZ99" s="105"/>
      <c r="SWA99" s="105"/>
      <c r="SWB99" s="105"/>
      <c r="SWC99" s="105"/>
      <c r="SWD99" s="105"/>
      <c r="SWE99" s="105"/>
      <c r="SWF99" s="105"/>
      <c r="SWG99" s="105"/>
      <c r="SWH99" s="105"/>
      <c r="SWI99" s="105"/>
      <c r="SWJ99" s="105"/>
      <c r="SWK99" s="105"/>
      <c r="SWL99" s="105"/>
      <c r="SWM99" s="105"/>
      <c r="SWN99" s="105"/>
      <c r="SWO99" s="105"/>
      <c r="SWP99" s="105"/>
      <c r="SWQ99" s="105"/>
      <c r="SWR99" s="105"/>
      <c r="SWS99" s="105"/>
      <c r="SWT99" s="105"/>
      <c r="SWU99" s="105"/>
      <c r="SWV99" s="105"/>
      <c r="SWW99" s="105"/>
      <c r="SWX99" s="105"/>
      <c r="SWY99" s="105"/>
      <c r="SWZ99" s="105"/>
      <c r="SXA99" s="105"/>
      <c r="SXB99" s="105"/>
      <c r="SXC99" s="105"/>
      <c r="SXD99" s="105"/>
      <c r="SXE99" s="105"/>
      <c r="SXF99" s="105"/>
      <c r="SXG99" s="105"/>
      <c r="SXH99" s="105"/>
      <c r="SXI99" s="105"/>
      <c r="SXJ99" s="105"/>
      <c r="SXK99" s="105"/>
      <c r="SXL99" s="105"/>
      <c r="SXM99" s="105"/>
      <c r="SXN99" s="105"/>
      <c r="SXO99" s="105"/>
      <c r="SXP99" s="105"/>
      <c r="SXQ99" s="105"/>
      <c r="SXR99" s="105"/>
      <c r="SXS99" s="105"/>
      <c r="SXT99" s="105"/>
      <c r="SXU99" s="105"/>
      <c r="SXV99" s="105"/>
      <c r="SXW99" s="105"/>
      <c r="SXX99" s="105"/>
      <c r="SXY99" s="105"/>
      <c r="SXZ99" s="105"/>
      <c r="SYA99" s="105"/>
      <c r="SYB99" s="105"/>
      <c r="SYC99" s="105"/>
      <c r="SYD99" s="105"/>
      <c r="SYE99" s="105"/>
      <c r="SYF99" s="105"/>
      <c r="SYG99" s="105"/>
      <c r="SYH99" s="105"/>
      <c r="SYI99" s="105"/>
      <c r="SYJ99" s="105"/>
      <c r="SYK99" s="105"/>
      <c r="SYL99" s="105"/>
      <c r="SYM99" s="105"/>
      <c r="SYN99" s="105"/>
      <c r="SYO99" s="105"/>
      <c r="SYP99" s="105"/>
      <c r="SYQ99" s="105"/>
      <c r="SYR99" s="105"/>
      <c r="SYS99" s="105"/>
      <c r="SYT99" s="105"/>
      <c r="SYU99" s="105"/>
      <c r="SYV99" s="105"/>
      <c r="SYW99" s="105"/>
      <c r="SYX99" s="105"/>
      <c r="SYY99" s="105"/>
      <c r="SYZ99" s="105"/>
      <c r="SZA99" s="105"/>
      <c r="SZB99" s="105"/>
      <c r="SZC99" s="105"/>
      <c r="SZD99" s="105"/>
      <c r="SZE99" s="105"/>
      <c r="SZF99" s="105"/>
      <c r="SZG99" s="105"/>
      <c r="SZH99" s="105"/>
      <c r="SZI99" s="105"/>
      <c r="SZJ99" s="105"/>
      <c r="SZK99" s="105"/>
      <c r="SZL99" s="105"/>
      <c r="SZM99" s="105"/>
      <c r="SZN99" s="105"/>
      <c r="SZO99" s="105"/>
      <c r="SZP99" s="105"/>
      <c r="SZQ99" s="105"/>
      <c r="SZR99" s="105"/>
      <c r="SZS99" s="105"/>
      <c r="SZT99" s="105"/>
      <c r="SZU99" s="105"/>
      <c r="SZV99" s="105"/>
      <c r="SZW99" s="105"/>
      <c r="SZX99" s="105"/>
      <c r="SZY99" s="105"/>
      <c r="SZZ99" s="105"/>
      <c r="TAA99" s="105"/>
      <c r="TAB99" s="105"/>
      <c r="TAC99" s="105"/>
      <c r="TAD99" s="105"/>
      <c r="TAE99" s="105"/>
      <c r="TAF99" s="105"/>
      <c r="TAG99" s="105"/>
      <c r="TAH99" s="105"/>
      <c r="TAI99" s="105"/>
      <c r="TAJ99" s="105"/>
      <c r="TAK99" s="105"/>
      <c r="TAL99" s="105"/>
      <c r="TAM99" s="105"/>
      <c r="TAN99" s="105"/>
      <c r="TAO99" s="105"/>
      <c r="TAP99" s="105"/>
      <c r="TAQ99" s="105"/>
      <c r="TAR99" s="105"/>
      <c r="TAS99" s="105"/>
      <c r="TAT99" s="105"/>
      <c r="TAU99" s="105"/>
      <c r="TAV99" s="105"/>
      <c r="TAW99" s="105"/>
      <c r="TAX99" s="105"/>
      <c r="TAY99" s="105"/>
      <c r="TAZ99" s="105"/>
      <c r="TBA99" s="105"/>
      <c r="TBB99" s="105"/>
      <c r="TBC99" s="105"/>
      <c r="TBD99" s="105"/>
      <c r="TBE99" s="105"/>
      <c r="TBF99" s="105"/>
      <c r="TBG99" s="105"/>
      <c r="TBH99" s="105"/>
      <c r="TBI99" s="105"/>
      <c r="TBJ99" s="105"/>
      <c r="TBK99" s="105"/>
      <c r="TBL99" s="105"/>
      <c r="TBM99" s="105"/>
      <c r="TBN99" s="105"/>
      <c r="TBO99" s="105"/>
      <c r="TBP99" s="105"/>
      <c r="TBQ99" s="105"/>
      <c r="TBR99" s="105"/>
      <c r="TBS99" s="105"/>
      <c r="TBT99" s="105"/>
      <c r="TBU99" s="105"/>
      <c r="TBV99" s="105"/>
      <c r="TBW99" s="105"/>
      <c r="TBX99" s="105"/>
      <c r="TBY99" s="105"/>
      <c r="TBZ99" s="105"/>
      <c r="TCA99" s="105"/>
      <c r="TCB99" s="105"/>
      <c r="TCC99" s="105"/>
      <c r="TCD99" s="105"/>
      <c r="TCE99" s="105"/>
      <c r="TCF99" s="105"/>
      <c r="TCG99" s="105"/>
      <c r="TCH99" s="105"/>
      <c r="TCI99" s="105"/>
      <c r="TCJ99" s="105"/>
      <c r="TCK99" s="105"/>
      <c r="TCL99" s="105"/>
      <c r="TCM99" s="105"/>
      <c r="TCN99" s="105"/>
      <c r="TCO99" s="105"/>
      <c r="TCP99" s="105"/>
      <c r="TCQ99" s="105"/>
      <c r="TCR99" s="105"/>
      <c r="TCS99" s="105"/>
      <c r="TCT99" s="105"/>
      <c r="TCU99" s="105"/>
      <c r="TCV99" s="105"/>
      <c r="TCW99" s="105"/>
      <c r="TCX99" s="105"/>
      <c r="TCY99" s="105"/>
      <c r="TCZ99" s="105"/>
      <c r="TDA99" s="105"/>
      <c r="TDB99" s="105"/>
      <c r="TDC99" s="105"/>
      <c r="TDD99" s="105"/>
      <c r="TDE99" s="105"/>
      <c r="TDF99" s="105"/>
      <c r="TDG99" s="105"/>
      <c r="TDH99" s="105"/>
      <c r="TDI99" s="105"/>
      <c r="TDJ99" s="105"/>
      <c r="TDK99" s="105"/>
      <c r="TDL99" s="105"/>
      <c r="TDM99" s="105"/>
      <c r="TDN99" s="105"/>
      <c r="TDO99" s="105"/>
      <c r="TDP99" s="105"/>
      <c r="TDQ99" s="105"/>
      <c r="TDR99" s="105"/>
      <c r="TDS99" s="105"/>
      <c r="TDT99" s="105"/>
      <c r="TDU99" s="105"/>
      <c r="TDV99" s="105"/>
      <c r="TDW99" s="105"/>
      <c r="TDX99" s="105"/>
      <c r="TDY99" s="105"/>
      <c r="TDZ99" s="105"/>
      <c r="TEA99" s="105"/>
      <c r="TEB99" s="105"/>
      <c r="TEC99" s="105"/>
      <c r="TED99" s="105"/>
      <c r="TEE99" s="105"/>
      <c r="TEF99" s="105"/>
      <c r="TEG99" s="105"/>
      <c r="TEH99" s="105"/>
      <c r="TEI99" s="105"/>
      <c r="TEJ99" s="105"/>
      <c r="TEK99" s="105"/>
      <c r="TEL99" s="105"/>
      <c r="TEM99" s="105"/>
      <c r="TEN99" s="105"/>
      <c r="TEO99" s="105"/>
      <c r="TEP99" s="105"/>
      <c r="TEQ99" s="105"/>
      <c r="TER99" s="105"/>
      <c r="TES99" s="105"/>
      <c r="TET99" s="105"/>
      <c r="TEU99" s="105"/>
      <c r="TEV99" s="105"/>
      <c r="TEW99" s="105"/>
      <c r="TEX99" s="105"/>
      <c r="TEY99" s="105"/>
      <c r="TEZ99" s="105"/>
      <c r="TFA99" s="105"/>
      <c r="TFB99" s="105"/>
      <c r="TFC99" s="105"/>
      <c r="TFD99" s="105"/>
      <c r="TFE99" s="105"/>
      <c r="TFF99" s="105"/>
      <c r="TFG99" s="105"/>
      <c r="TFH99" s="105"/>
      <c r="TFI99" s="105"/>
      <c r="TFJ99" s="105"/>
      <c r="TFK99" s="105"/>
      <c r="TFL99" s="105"/>
      <c r="TFM99" s="105"/>
      <c r="TFN99" s="105"/>
      <c r="TFO99" s="105"/>
      <c r="TFP99" s="105"/>
      <c r="TFQ99" s="105"/>
      <c r="TFR99" s="105"/>
      <c r="TFS99" s="105"/>
      <c r="TFT99" s="105"/>
      <c r="TFU99" s="105"/>
      <c r="TFV99" s="105"/>
      <c r="TFW99" s="105"/>
      <c r="TFX99" s="105"/>
      <c r="TFY99" s="105"/>
      <c r="TFZ99" s="105"/>
      <c r="TGA99" s="105"/>
      <c r="TGB99" s="105"/>
      <c r="TGC99" s="105"/>
      <c r="TGD99" s="105"/>
      <c r="TGE99" s="105"/>
      <c r="TGF99" s="105"/>
      <c r="TGG99" s="105"/>
      <c r="TGH99" s="105"/>
      <c r="TGI99" s="105"/>
      <c r="TGJ99" s="105"/>
      <c r="TGK99" s="105"/>
      <c r="TGL99" s="105"/>
      <c r="TGM99" s="105"/>
      <c r="TGN99" s="105"/>
      <c r="TGO99" s="105"/>
      <c r="TGP99" s="105"/>
      <c r="TGQ99" s="105"/>
      <c r="TGR99" s="105"/>
      <c r="TGS99" s="105"/>
      <c r="TGT99" s="105"/>
      <c r="TGU99" s="105"/>
      <c r="TGV99" s="105"/>
      <c r="TGW99" s="105"/>
      <c r="TGX99" s="105"/>
      <c r="TGY99" s="105"/>
      <c r="TGZ99" s="105"/>
      <c r="THA99" s="105"/>
      <c r="THB99" s="105"/>
      <c r="THC99" s="105"/>
      <c r="THD99" s="105"/>
      <c r="THE99" s="105"/>
      <c r="THF99" s="105"/>
      <c r="THG99" s="105"/>
      <c r="THH99" s="105"/>
      <c r="THI99" s="105"/>
      <c r="THJ99" s="105"/>
      <c r="THK99" s="105"/>
      <c r="THL99" s="105"/>
      <c r="THM99" s="105"/>
      <c r="THN99" s="105"/>
      <c r="THO99" s="105"/>
      <c r="THP99" s="105"/>
      <c r="THQ99" s="105"/>
      <c r="THR99" s="105"/>
      <c r="THS99" s="105"/>
      <c r="THT99" s="105"/>
      <c r="THU99" s="105"/>
      <c r="THV99" s="105"/>
      <c r="THW99" s="105"/>
      <c r="THX99" s="105"/>
      <c r="THY99" s="105"/>
      <c r="THZ99" s="105"/>
      <c r="TIA99" s="105"/>
      <c r="TIB99" s="105"/>
      <c r="TIC99" s="105"/>
      <c r="TID99" s="105"/>
      <c r="TIE99" s="105"/>
      <c r="TIF99" s="105"/>
      <c r="TIG99" s="105"/>
      <c r="TIH99" s="105"/>
      <c r="TII99" s="105"/>
      <c r="TIJ99" s="105"/>
      <c r="TIK99" s="105"/>
      <c r="TIL99" s="105"/>
      <c r="TIM99" s="105"/>
      <c r="TIN99" s="105"/>
      <c r="TIO99" s="105"/>
      <c r="TIP99" s="105"/>
      <c r="TIQ99" s="105"/>
      <c r="TIR99" s="105"/>
      <c r="TIS99" s="105"/>
      <c r="TIT99" s="105"/>
      <c r="TIU99" s="105"/>
      <c r="TIV99" s="105"/>
      <c r="TIW99" s="105"/>
      <c r="TIX99" s="105"/>
      <c r="TIY99" s="105"/>
      <c r="TIZ99" s="105"/>
      <c r="TJA99" s="105"/>
      <c r="TJB99" s="105"/>
      <c r="TJC99" s="105"/>
      <c r="TJD99" s="105"/>
      <c r="TJE99" s="105"/>
      <c r="TJF99" s="105"/>
      <c r="TJG99" s="105"/>
      <c r="TJH99" s="105"/>
      <c r="TJI99" s="105"/>
      <c r="TJJ99" s="105"/>
      <c r="TJK99" s="105"/>
      <c r="TJL99" s="105"/>
      <c r="TJM99" s="105"/>
      <c r="TJN99" s="105"/>
      <c r="TJO99" s="105"/>
      <c r="TJP99" s="105"/>
      <c r="TJQ99" s="105"/>
      <c r="TJR99" s="105"/>
      <c r="TJS99" s="105"/>
      <c r="TJT99" s="105"/>
      <c r="TJU99" s="105"/>
      <c r="TJV99" s="105"/>
      <c r="TJW99" s="105"/>
      <c r="TJX99" s="105"/>
      <c r="TJY99" s="105"/>
      <c r="TJZ99" s="105"/>
      <c r="TKA99" s="105"/>
      <c r="TKB99" s="105"/>
      <c r="TKC99" s="105"/>
      <c r="TKD99" s="105"/>
      <c r="TKE99" s="105"/>
      <c r="TKF99" s="105"/>
      <c r="TKG99" s="105"/>
      <c r="TKH99" s="105"/>
      <c r="TKI99" s="105"/>
      <c r="TKJ99" s="105"/>
      <c r="TKK99" s="105"/>
      <c r="TKL99" s="105"/>
      <c r="TKM99" s="105"/>
      <c r="TKN99" s="105"/>
      <c r="TKO99" s="105"/>
      <c r="TKP99" s="105"/>
      <c r="TKQ99" s="105"/>
      <c r="TKR99" s="105"/>
      <c r="TKS99" s="105"/>
      <c r="TKT99" s="105"/>
      <c r="TKU99" s="105"/>
      <c r="TKV99" s="105"/>
      <c r="TKW99" s="105"/>
      <c r="TKX99" s="105"/>
      <c r="TKY99" s="105"/>
      <c r="TKZ99" s="105"/>
      <c r="TLA99" s="105"/>
      <c r="TLB99" s="105"/>
      <c r="TLC99" s="105"/>
      <c r="TLD99" s="105"/>
      <c r="TLE99" s="105"/>
      <c r="TLF99" s="105"/>
      <c r="TLG99" s="105"/>
      <c r="TLH99" s="105"/>
      <c r="TLI99" s="105"/>
      <c r="TLJ99" s="105"/>
      <c r="TLK99" s="105"/>
      <c r="TLL99" s="105"/>
      <c r="TLM99" s="105"/>
      <c r="TLN99" s="105"/>
      <c r="TLO99" s="105"/>
      <c r="TLP99" s="105"/>
      <c r="TLQ99" s="105"/>
      <c r="TLR99" s="105"/>
      <c r="TLS99" s="105"/>
      <c r="TLT99" s="105"/>
      <c r="TLU99" s="105"/>
      <c r="TLV99" s="105"/>
      <c r="TLW99" s="105"/>
      <c r="TLX99" s="105"/>
      <c r="TLY99" s="105"/>
      <c r="TLZ99" s="105"/>
      <c r="TMA99" s="105"/>
      <c r="TMB99" s="105"/>
      <c r="TMC99" s="105"/>
      <c r="TMD99" s="105"/>
      <c r="TME99" s="105"/>
      <c r="TMF99" s="105"/>
      <c r="TMG99" s="105"/>
      <c r="TMH99" s="105"/>
      <c r="TMI99" s="105"/>
      <c r="TMJ99" s="105"/>
      <c r="TMK99" s="105"/>
      <c r="TML99" s="105"/>
      <c r="TMM99" s="105"/>
      <c r="TMN99" s="105"/>
      <c r="TMO99" s="105"/>
      <c r="TMP99" s="105"/>
      <c r="TMQ99" s="105"/>
      <c r="TMR99" s="105"/>
      <c r="TMS99" s="105"/>
      <c r="TMT99" s="105"/>
      <c r="TMU99" s="105"/>
      <c r="TMV99" s="105"/>
      <c r="TMW99" s="105"/>
      <c r="TMX99" s="105"/>
      <c r="TMY99" s="105"/>
      <c r="TMZ99" s="105"/>
      <c r="TNA99" s="105"/>
      <c r="TNB99" s="105"/>
      <c r="TNC99" s="105"/>
      <c r="TND99" s="105"/>
      <c r="TNE99" s="105"/>
      <c r="TNF99" s="105"/>
      <c r="TNG99" s="105"/>
      <c r="TNH99" s="105"/>
      <c r="TNI99" s="105"/>
      <c r="TNJ99" s="105"/>
      <c r="TNK99" s="105"/>
      <c r="TNL99" s="105"/>
      <c r="TNM99" s="105"/>
      <c r="TNN99" s="105"/>
      <c r="TNO99" s="105"/>
      <c r="TNP99" s="105"/>
      <c r="TNQ99" s="105"/>
      <c r="TNR99" s="105"/>
      <c r="TNS99" s="105"/>
      <c r="TNT99" s="105"/>
      <c r="TNU99" s="105"/>
      <c r="TNV99" s="105"/>
      <c r="TNW99" s="105"/>
      <c r="TNX99" s="105"/>
      <c r="TNY99" s="105"/>
      <c r="TNZ99" s="105"/>
      <c r="TOA99" s="105"/>
      <c r="TOB99" s="105"/>
      <c r="TOC99" s="105"/>
      <c r="TOD99" s="105"/>
      <c r="TOE99" s="105"/>
      <c r="TOF99" s="105"/>
      <c r="TOG99" s="105"/>
      <c r="TOH99" s="105"/>
      <c r="TOI99" s="105"/>
      <c r="TOJ99" s="105"/>
      <c r="TOK99" s="105"/>
      <c r="TOL99" s="105"/>
      <c r="TOM99" s="105"/>
      <c r="TON99" s="105"/>
      <c r="TOO99" s="105"/>
      <c r="TOP99" s="105"/>
      <c r="TOQ99" s="105"/>
      <c r="TOR99" s="105"/>
      <c r="TOS99" s="105"/>
      <c r="TOT99" s="105"/>
      <c r="TOU99" s="105"/>
      <c r="TOV99" s="105"/>
      <c r="TOW99" s="105"/>
      <c r="TOX99" s="105"/>
      <c r="TOY99" s="105"/>
      <c r="TOZ99" s="105"/>
      <c r="TPA99" s="105"/>
      <c r="TPB99" s="105"/>
      <c r="TPC99" s="105"/>
      <c r="TPD99" s="105"/>
      <c r="TPE99" s="105"/>
      <c r="TPF99" s="105"/>
      <c r="TPG99" s="105"/>
      <c r="TPH99" s="105"/>
      <c r="TPI99" s="105"/>
      <c r="TPJ99" s="105"/>
      <c r="TPK99" s="105"/>
      <c r="TPL99" s="105"/>
      <c r="TPM99" s="105"/>
      <c r="TPN99" s="105"/>
      <c r="TPO99" s="105"/>
      <c r="TPP99" s="105"/>
      <c r="TPQ99" s="105"/>
      <c r="TPR99" s="105"/>
      <c r="TPS99" s="105"/>
      <c r="TPT99" s="105"/>
      <c r="TPU99" s="105"/>
      <c r="TPV99" s="105"/>
      <c r="TPW99" s="105"/>
      <c r="TPX99" s="105"/>
      <c r="TPY99" s="105"/>
      <c r="TPZ99" s="105"/>
      <c r="TQA99" s="105"/>
      <c r="TQB99" s="105"/>
      <c r="TQC99" s="105"/>
      <c r="TQD99" s="105"/>
      <c r="TQE99" s="105"/>
      <c r="TQF99" s="105"/>
      <c r="TQG99" s="105"/>
      <c r="TQH99" s="105"/>
      <c r="TQI99" s="105"/>
      <c r="TQJ99" s="105"/>
      <c r="TQK99" s="105"/>
      <c r="TQL99" s="105"/>
      <c r="TQM99" s="105"/>
      <c r="TQN99" s="105"/>
      <c r="TQO99" s="105"/>
      <c r="TQP99" s="105"/>
      <c r="TQQ99" s="105"/>
      <c r="TQR99" s="105"/>
      <c r="TQS99" s="105"/>
      <c r="TQT99" s="105"/>
      <c r="TQU99" s="105"/>
      <c r="TQV99" s="105"/>
      <c r="TQW99" s="105"/>
      <c r="TQX99" s="105"/>
      <c r="TQY99" s="105"/>
      <c r="TQZ99" s="105"/>
      <c r="TRA99" s="105"/>
      <c r="TRB99" s="105"/>
      <c r="TRC99" s="105"/>
      <c r="TRD99" s="105"/>
      <c r="TRE99" s="105"/>
      <c r="TRF99" s="105"/>
      <c r="TRG99" s="105"/>
      <c r="TRH99" s="105"/>
      <c r="TRI99" s="105"/>
      <c r="TRJ99" s="105"/>
      <c r="TRK99" s="105"/>
      <c r="TRL99" s="105"/>
      <c r="TRM99" s="105"/>
      <c r="TRN99" s="105"/>
      <c r="TRO99" s="105"/>
      <c r="TRP99" s="105"/>
      <c r="TRQ99" s="105"/>
      <c r="TRR99" s="105"/>
      <c r="TRS99" s="105"/>
      <c r="TRT99" s="105"/>
      <c r="TRU99" s="105"/>
      <c r="TRV99" s="105"/>
      <c r="TRW99" s="105"/>
      <c r="TRX99" s="105"/>
      <c r="TRY99" s="105"/>
      <c r="TRZ99" s="105"/>
      <c r="TSA99" s="105"/>
      <c r="TSB99" s="105"/>
      <c r="TSC99" s="105"/>
      <c r="TSD99" s="105"/>
      <c r="TSE99" s="105"/>
      <c r="TSF99" s="105"/>
      <c r="TSG99" s="105"/>
      <c r="TSH99" s="105"/>
      <c r="TSI99" s="105"/>
      <c r="TSJ99" s="105"/>
      <c r="TSK99" s="105"/>
      <c r="TSL99" s="105"/>
      <c r="TSM99" s="105"/>
      <c r="TSN99" s="105"/>
      <c r="TSO99" s="105"/>
      <c r="TSP99" s="105"/>
      <c r="TSQ99" s="105"/>
      <c r="TSR99" s="105"/>
      <c r="TSS99" s="105"/>
      <c r="TST99" s="105"/>
      <c r="TSU99" s="105"/>
      <c r="TSV99" s="105"/>
      <c r="TSW99" s="105"/>
      <c r="TSX99" s="105"/>
      <c r="TSY99" s="105"/>
      <c r="TSZ99" s="105"/>
      <c r="TTA99" s="105"/>
      <c r="TTB99" s="105"/>
      <c r="TTC99" s="105"/>
      <c r="TTD99" s="105"/>
      <c r="TTE99" s="105"/>
      <c r="TTF99" s="105"/>
      <c r="TTG99" s="105"/>
      <c r="TTH99" s="105"/>
      <c r="TTI99" s="105"/>
      <c r="TTJ99" s="105"/>
      <c r="TTK99" s="105"/>
      <c r="TTL99" s="105"/>
      <c r="TTM99" s="105"/>
      <c r="TTN99" s="105"/>
      <c r="TTO99" s="105"/>
      <c r="TTP99" s="105"/>
      <c r="TTQ99" s="105"/>
      <c r="TTR99" s="105"/>
      <c r="TTS99" s="105"/>
      <c r="TTT99" s="105"/>
      <c r="TTU99" s="105"/>
      <c r="TTV99" s="105"/>
      <c r="TTW99" s="105"/>
      <c r="TTX99" s="105"/>
      <c r="TTY99" s="105"/>
      <c r="TTZ99" s="105"/>
      <c r="TUA99" s="105"/>
      <c r="TUB99" s="105"/>
      <c r="TUC99" s="105"/>
      <c r="TUD99" s="105"/>
      <c r="TUE99" s="105"/>
      <c r="TUF99" s="105"/>
      <c r="TUG99" s="105"/>
      <c r="TUH99" s="105"/>
      <c r="TUI99" s="105"/>
      <c r="TUJ99" s="105"/>
      <c r="TUK99" s="105"/>
      <c r="TUL99" s="105"/>
      <c r="TUM99" s="105"/>
      <c r="TUN99" s="105"/>
      <c r="TUO99" s="105"/>
      <c r="TUP99" s="105"/>
      <c r="TUQ99" s="105"/>
      <c r="TUR99" s="105"/>
      <c r="TUS99" s="105"/>
      <c r="TUT99" s="105"/>
      <c r="TUU99" s="105"/>
      <c r="TUV99" s="105"/>
      <c r="TUW99" s="105"/>
      <c r="TUX99" s="105"/>
      <c r="TUY99" s="105"/>
      <c r="TUZ99" s="105"/>
      <c r="TVA99" s="105"/>
      <c r="TVB99" s="105"/>
      <c r="TVC99" s="105"/>
      <c r="TVD99" s="105"/>
      <c r="TVE99" s="105"/>
      <c r="TVF99" s="105"/>
      <c r="TVG99" s="105"/>
      <c r="TVH99" s="105"/>
      <c r="TVI99" s="105"/>
      <c r="TVJ99" s="105"/>
      <c r="TVK99" s="105"/>
      <c r="TVL99" s="105"/>
      <c r="TVM99" s="105"/>
      <c r="TVN99" s="105"/>
      <c r="TVO99" s="105"/>
      <c r="TVP99" s="105"/>
      <c r="TVQ99" s="105"/>
      <c r="TVR99" s="105"/>
      <c r="TVS99" s="105"/>
      <c r="TVT99" s="105"/>
      <c r="TVU99" s="105"/>
      <c r="TVV99" s="105"/>
      <c r="TVW99" s="105"/>
      <c r="TVX99" s="105"/>
      <c r="TVY99" s="105"/>
      <c r="TVZ99" s="105"/>
      <c r="TWA99" s="105"/>
      <c r="TWB99" s="105"/>
      <c r="TWC99" s="105"/>
      <c r="TWD99" s="105"/>
      <c r="TWE99" s="105"/>
      <c r="TWF99" s="105"/>
      <c r="TWG99" s="105"/>
      <c r="TWH99" s="105"/>
      <c r="TWI99" s="105"/>
      <c r="TWJ99" s="105"/>
      <c r="TWK99" s="105"/>
      <c r="TWL99" s="105"/>
      <c r="TWM99" s="105"/>
      <c r="TWN99" s="105"/>
      <c r="TWO99" s="105"/>
      <c r="TWP99" s="105"/>
      <c r="TWQ99" s="105"/>
      <c r="TWR99" s="105"/>
      <c r="TWS99" s="105"/>
      <c r="TWT99" s="105"/>
      <c r="TWU99" s="105"/>
      <c r="TWV99" s="105"/>
      <c r="TWW99" s="105"/>
      <c r="TWX99" s="105"/>
      <c r="TWY99" s="105"/>
      <c r="TWZ99" s="105"/>
      <c r="TXA99" s="105"/>
      <c r="TXB99" s="105"/>
      <c r="TXC99" s="105"/>
      <c r="TXD99" s="105"/>
      <c r="TXE99" s="105"/>
      <c r="TXF99" s="105"/>
      <c r="TXG99" s="105"/>
      <c r="TXH99" s="105"/>
      <c r="TXI99" s="105"/>
      <c r="TXJ99" s="105"/>
      <c r="TXK99" s="105"/>
      <c r="TXL99" s="105"/>
      <c r="TXM99" s="105"/>
      <c r="TXN99" s="105"/>
      <c r="TXO99" s="105"/>
      <c r="TXP99" s="105"/>
      <c r="TXQ99" s="105"/>
      <c r="TXR99" s="105"/>
      <c r="TXS99" s="105"/>
      <c r="TXT99" s="105"/>
      <c r="TXU99" s="105"/>
      <c r="TXV99" s="105"/>
      <c r="TXW99" s="105"/>
      <c r="TXX99" s="105"/>
      <c r="TXY99" s="105"/>
      <c r="TXZ99" s="105"/>
      <c r="TYA99" s="105"/>
      <c r="TYB99" s="105"/>
      <c r="TYC99" s="105"/>
      <c r="TYD99" s="105"/>
      <c r="TYE99" s="105"/>
      <c r="TYF99" s="105"/>
      <c r="TYG99" s="105"/>
      <c r="TYH99" s="105"/>
      <c r="TYI99" s="105"/>
      <c r="TYJ99" s="105"/>
      <c r="TYK99" s="105"/>
      <c r="TYL99" s="105"/>
      <c r="TYM99" s="105"/>
      <c r="TYN99" s="105"/>
      <c r="TYO99" s="105"/>
      <c r="TYP99" s="105"/>
      <c r="TYQ99" s="105"/>
      <c r="TYR99" s="105"/>
      <c r="TYS99" s="105"/>
      <c r="TYT99" s="105"/>
      <c r="TYU99" s="105"/>
      <c r="TYV99" s="105"/>
      <c r="TYW99" s="105"/>
      <c r="TYX99" s="105"/>
      <c r="TYY99" s="105"/>
      <c r="TYZ99" s="105"/>
      <c r="TZA99" s="105"/>
      <c r="TZB99" s="105"/>
      <c r="TZC99" s="105"/>
      <c r="TZD99" s="105"/>
      <c r="TZE99" s="105"/>
      <c r="TZF99" s="105"/>
      <c r="TZG99" s="105"/>
      <c r="TZH99" s="105"/>
      <c r="TZI99" s="105"/>
      <c r="TZJ99" s="105"/>
      <c r="TZK99" s="105"/>
      <c r="TZL99" s="105"/>
      <c r="TZM99" s="105"/>
      <c r="TZN99" s="105"/>
      <c r="TZO99" s="105"/>
      <c r="TZP99" s="105"/>
      <c r="TZQ99" s="105"/>
      <c r="TZR99" s="105"/>
      <c r="TZS99" s="105"/>
      <c r="TZT99" s="105"/>
      <c r="TZU99" s="105"/>
      <c r="TZV99" s="105"/>
      <c r="TZW99" s="105"/>
      <c r="TZX99" s="105"/>
      <c r="TZY99" s="105"/>
      <c r="TZZ99" s="105"/>
      <c r="UAA99" s="105"/>
      <c r="UAB99" s="105"/>
      <c r="UAC99" s="105"/>
      <c r="UAD99" s="105"/>
      <c r="UAE99" s="105"/>
      <c r="UAF99" s="105"/>
      <c r="UAG99" s="105"/>
      <c r="UAH99" s="105"/>
      <c r="UAI99" s="105"/>
      <c r="UAJ99" s="105"/>
      <c r="UAK99" s="105"/>
      <c r="UAL99" s="105"/>
      <c r="UAM99" s="105"/>
      <c r="UAN99" s="105"/>
      <c r="UAO99" s="105"/>
      <c r="UAP99" s="105"/>
      <c r="UAQ99" s="105"/>
      <c r="UAR99" s="105"/>
      <c r="UAS99" s="105"/>
      <c r="UAT99" s="105"/>
      <c r="UAU99" s="105"/>
      <c r="UAV99" s="105"/>
      <c r="UAW99" s="105"/>
      <c r="UAX99" s="105"/>
      <c r="UAY99" s="105"/>
      <c r="UAZ99" s="105"/>
      <c r="UBA99" s="105"/>
      <c r="UBB99" s="105"/>
      <c r="UBC99" s="105"/>
      <c r="UBD99" s="105"/>
      <c r="UBE99" s="105"/>
      <c r="UBF99" s="105"/>
      <c r="UBG99" s="105"/>
      <c r="UBH99" s="105"/>
      <c r="UBI99" s="105"/>
      <c r="UBJ99" s="105"/>
      <c r="UBK99" s="105"/>
      <c r="UBL99" s="105"/>
      <c r="UBM99" s="105"/>
      <c r="UBN99" s="105"/>
      <c r="UBO99" s="105"/>
      <c r="UBP99" s="105"/>
      <c r="UBQ99" s="105"/>
      <c r="UBR99" s="105"/>
      <c r="UBS99" s="105"/>
      <c r="UBT99" s="105"/>
      <c r="UBU99" s="105"/>
      <c r="UBV99" s="105"/>
      <c r="UBW99" s="105"/>
      <c r="UBX99" s="105"/>
      <c r="UBY99" s="105"/>
      <c r="UBZ99" s="105"/>
      <c r="UCA99" s="105"/>
      <c r="UCB99" s="105"/>
      <c r="UCC99" s="105"/>
      <c r="UCD99" s="105"/>
      <c r="UCE99" s="105"/>
      <c r="UCF99" s="105"/>
      <c r="UCG99" s="105"/>
      <c r="UCH99" s="105"/>
      <c r="UCI99" s="105"/>
      <c r="UCJ99" s="105"/>
      <c r="UCK99" s="105"/>
      <c r="UCL99" s="105"/>
      <c r="UCM99" s="105"/>
      <c r="UCN99" s="105"/>
      <c r="UCO99" s="105"/>
      <c r="UCP99" s="105"/>
      <c r="UCQ99" s="105"/>
      <c r="UCR99" s="105"/>
      <c r="UCS99" s="105"/>
      <c r="UCT99" s="105"/>
      <c r="UCU99" s="105"/>
      <c r="UCV99" s="105"/>
      <c r="UCW99" s="105"/>
      <c r="UCX99" s="105"/>
      <c r="UCY99" s="105"/>
      <c r="UCZ99" s="105"/>
      <c r="UDA99" s="105"/>
      <c r="UDB99" s="105"/>
      <c r="UDC99" s="105"/>
      <c r="UDD99" s="105"/>
      <c r="UDE99" s="105"/>
      <c r="UDF99" s="105"/>
      <c r="UDG99" s="105"/>
      <c r="UDH99" s="105"/>
      <c r="UDI99" s="105"/>
      <c r="UDJ99" s="105"/>
      <c r="UDK99" s="105"/>
      <c r="UDL99" s="105"/>
      <c r="UDM99" s="105"/>
      <c r="UDN99" s="105"/>
      <c r="UDO99" s="105"/>
      <c r="UDP99" s="105"/>
      <c r="UDQ99" s="105"/>
      <c r="UDR99" s="105"/>
      <c r="UDS99" s="105"/>
      <c r="UDT99" s="105"/>
      <c r="UDU99" s="105"/>
      <c r="UDV99" s="105"/>
      <c r="UDW99" s="105"/>
      <c r="UDX99" s="105"/>
      <c r="UDY99" s="105"/>
      <c r="UDZ99" s="105"/>
      <c r="UEA99" s="105"/>
      <c r="UEB99" s="105"/>
      <c r="UEC99" s="105"/>
      <c r="UED99" s="105"/>
      <c r="UEE99" s="105"/>
      <c r="UEF99" s="105"/>
      <c r="UEG99" s="105"/>
      <c r="UEH99" s="105"/>
      <c r="UEI99" s="105"/>
      <c r="UEJ99" s="105"/>
      <c r="UEK99" s="105"/>
      <c r="UEL99" s="105"/>
      <c r="UEM99" s="105"/>
      <c r="UEN99" s="105"/>
      <c r="UEO99" s="105"/>
      <c r="UEP99" s="105"/>
      <c r="UEQ99" s="105"/>
      <c r="UER99" s="105"/>
      <c r="UES99" s="105"/>
      <c r="UET99" s="105"/>
      <c r="UEU99" s="105"/>
      <c r="UEV99" s="105"/>
      <c r="UEW99" s="105"/>
      <c r="UEX99" s="105"/>
      <c r="UEY99" s="105"/>
      <c r="UEZ99" s="105"/>
      <c r="UFA99" s="105"/>
      <c r="UFB99" s="105"/>
      <c r="UFC99" s="105"/>
      <c r="UFD99" s="105"/>
      <c r="UFE99" s="105"/>
      <c r="UFF99" s="105"/>
      <c r="UFG99" s="105"/>
      <c r="UFH99" s="105"/>
      <c r="UFI99" s="105"/>
      <c r="UFJ99" s="105"/>
      <c r="UFK99" s="105"/>
      <c r="UFL99" s="105"/>
      <c r="UFM99" s="105"/>
      <c r="UFN99" s="105"/>
      <c r="UFO99" s="105"/>
      <c r="UFP99" s="105"/>
      <c r="UFQ99" s="105"/>
      <c r="UFR99" s="105"/>
      <c r="UFS99" s="105"/>
      <c r="UFT99" s="105"/>
      <c r="UFU99" s="105"/>
      <c r="UFV99" s="105"/>
      <c r="UFW99" s="105"/>
      <c r="UFX99" s="105"/>
      <c r="UFY99" s="105"/>
      <c r="UFZ99" s="105"/>
      <c r="UGA99" s="105"/>
      <c r="UGB99" s="105"/>
      <c r="UGC99" s="105"/>
      <c r="UGD99" s="105"/>
      <c r="UGE99" s="105"/>
      <c r="UGF99" s="105"/>
      <c r="UGG99" s="105"/>
      <c r="UGH99" s="105"/>
      <c r="UGI99" s="105"/>
      <c r="UGJ99" s="105"/>
      <c r="UGK99" s="105"/>
      <c r="UGL99" s="105"/>
      <c r="UGM99" s="105"/>
      <c r="UGN99" s="105"/>
      <c r="UGO99" s="105"/>
      <c r="UGP99" s="105"/>
      <c r="UGQ99" s="105"/>
      <c r="UGR99" s="105"/>
      <c r="UGS99" s="105"/>
      <c r="UGT99" s="105"/>
      <c r="UGU99" s="105"/>
      <c r="UGV99" s="105"/>
      <c r="UGW99" s="105"/>
      <c r="UGX99" s="105"/>
      <c r="UGY99" s="105"/>
      <c r="UGZ99" s="105"/>
      <c r="UHA99" s="105"/>
      <c r="UHB99" s="105"/>
      <c r="UHC99" s="105"/>
      <c r="UHD99" s="105"/>
      <c r="UHE99" s="105"/>
      <c r="UHF99" s="105"/>
      <c r="UHG99" s="105"/>
      <c r="UHH99" s="105"/>
      <c r="UHI99" s="105"/>
      <c r="UHJ99" s="105"/>
      <c r="UHK99" s="105"/>
      <c r="UHL99" s="105"/>
      <c r="UHM99" s="105"/>
      <c r="UHN99" s="105"/>
      <c r="UHO99" s="105"/>
      <c r="UHP99" s="105"/>
      <c r="UHQ99" s="105"/>
      <c r="UHR99" s="105"/>
      <c r="UHS99" s="105"/>
      <c r="UHT99" s="105"/>
      <c r="UHU99" s="105"/>
      <c r="UHV99" s="105"/>
      <c r="UHW99" s="105"/>
      <c r="UHX99" s="105"/>
      <c r="UHY99" s="105"/>
      <c r="UHZ99" s="105"/>
      <c r="UIA99" s="105"/>
      <c r="UIB99" s="105"/>
      <c r="UIC99" s="105"/>
      <c r="UID99" s="105"/>
      <c r="UIE99" s="105"/>
      <c r="UIF99" s="105"/>
      <c r="UIG99" s="105"/>
      <c r="UIH99" s="105"/>
      <c r="UII99" s="105"/>
      <c r="UIJ99" s="105"/>
      <c r="UIK99" s="105"/>
      <c r="UIL99" s="105"/>
      <c r="UIM99" s="105"/>
      <c r="UIN99" s="105"/>
      <c r="UIO99" s="105"/>
      <c r="UIP99" s="105"/>
      <c r="UIQ99" s="105"/>
      <c r="UIR99" s="105"/>
      <c r="UIS99" s="105"/>
      <c r="UIT99" s="105"/>
      <c r="UIU99" s="105"/>
      <c r="UIV99" s="105"/>
      <c r="UIW99" s="105"/>
      <c r="UIX99" s="105"/>
      <c r="UIY99" s="105"/>
      <c r="UIZ99" s="105"/>
      <c r="UJA99" s="105"/>
      <c r="UJB99" s="105"/>
      <c r="UJC99" s="105"/>
      <c r="UJD99" s="105"/>
      <c r="UJE99" s="105"/>
      <c r="UJF99" s="105"/>
      <c r="UJG99" s="105"/>
      <c r="UJH99" s="105"/>
      <c r="UJI99" s="105"/>
      <c r="UJJ99" s="105"/>
      <c r="UJK99" s="105"/>
      <c r="UJL99" s="105"/>
      <c r="UJM99" s="105"/>
      <c r="UJN99" s="105"/>
      <c r="UJO99" s="105"/>
      <c r="UJP99" s="105"/>
      <c r="UJQ99" s="105"/>
      <c r="UJR99" s="105"/>
      <c r="UJS99" s="105"/>
      <c r="UJT99" s="105"/>
      <c r="UJU99" s="105"/>
      <c r="UJV99" s="105"/>
      <c r="UJW99" s="105"/>
      <c r="UJX99" s="105"/>
      <c r="UJY99" s="105"/>
      <c r="UJZ99" s="105"/>
      <c r="UKA99" s="105"/>
      <c r="UKB99" s="105"/>
      <c r="UKC99" s="105"/>
      <c r="UKD99" s="105"/>
      <c r="UKE99" s="105"/>
      <c r="UKF99" s="105"/>
      <c r="UKG99" s="105"/>
      <c r="UKH99" s="105"/>
      <c r="UKI99" s="105"/>
      <c r="UKJ99" s="105"/>
      <c r="UKK99" s="105"/>
      <c r="UKL99" s="105"/>
      <c r="UKM99" s="105"/>
      <c r="UKN99" s="105"/>
      <c r="UKO99" s="105"/>
      <c r="UKP99" s="105"/>
      <c r="UKQ99" s="105"/>
      <c r="UKR99" s="105"/>
      <c r="UKS99" s="105"/>
      <c r="UKT99" s="105"/>
      <c r="UKU99" s="105"/>
      <c r="UKV99" s="105"/>
      <c r="UKW99" s="105"/>
      <c r="UKX99" s="105"/>
      <c r="UKY99" s="105"/>
      <c r="UKZ99" s="105"/>
      <c r="ULA99" s="105"/>
      <c r="ULB99" s="105"/>
      <c r="ULC99" s="105"/>
      <c r="ULD99" s="105"/>
      <c r="ULE99" s="105"/>
      <c r="ULF99" s="105"/>
      <c r="ULG99" s="105"/>
      <c r="ULH99" s="105"/>
      <c r="ULI99" s="105"/>
      <c r="ULJ99" s="105"/>
      <c r="ULK99" s="105"/>
      <c r="ULL99" s="105"/>
      <c r="ULM99" s="105"/>
      <c r="ULN99" s="105"/>
      <c r="ULO99" s="105"/>
      <c r="ULP99" s="105"/>
      <c r="ULQ99" s="105"/>
      <c r="ULR99" s="105"/>
      <c r="ULS99" s="105"/>
      <c r="ULT99" s="105"/>
      <c r="ULU99" s="105"/>
      <c r="ULV99" s="105"/>
      <c r="ULW99" s="105"/>
      <c r="ULX99" s="105"/>
      <c r="ULY99" s="105"/>
      <c r="ULZ99" s="105"/>
      <c r="UMA99" s="105"/>
      <c r="UMB99" s="105"/>
      <c r="UMC99" s="105"/>
      <c r="UMD99" s="105"/>
      <c r="UME99" s="105"/>
      <c r="UMF99" s="105"/>
      <c r="UMG99" s="105"/>
      <c r="UMH99" s="105"/>
      <c r="UMI99" s="105"/>
      <c r="UMJ99" s="105"/>
      <c r="UMK99" s="105"/>
      <c r="UML99" s="105"/>
      <c r="UMM99" s="105"/>
      <c r="UMN99" s="105"/>
      <c r="UMO99" s="105"/>
      <c r="UMP99" s="105"/>
      <c r="UMQ99" s="105"/>
      <c r="UMR99" s="105"/>
      <c r="UMS99" s="105"/>
      <c r="UMT99" s="105"/>
      <c r="UMU99" s="105"/>
      <c r="UMV99" s="105"/>
      <c r="UMW99" s="105"/>
      <c r="UMX99" s="105"/>
      <c r="UMY99" s="105"/>
      <c r="UMZ99" s="105"/>
      <c r="UNA99" s="105"/>
      <c r="UNB99" s="105"/>
      <c r="UNC99" s="105"/>
      <c r="UND99" s="105"/>
      <c r="UNE99" s="105"/>
      <c r="UNF99" s="105"/>
      <c r="UNG99" s="105"/>
      <c r="UNH99" s="105"/>
      <c r="UNI99" s="105"/>
      <c r="UNJ99" s="105"/>
      <c r="UNK99" s="105"/>
      <c r="UNL99" s="105"/>
      <c r="UNM99" s="105"/>
      <c r="UNN99" s="105"/>
      <c r="UNO99" s="105"/>
      <c r="UNP99" s="105"/>
      <c r="UNQ99" s="105"/>
      <c r="UNR99" s="105"/>
      <c r="UNS99" s="105"/>
      <c r="UNT99" s="105"/>
      <c r="UNU99" s="105"/>
      <c r="UNV99" s="105"/>
      <c r="UNW99" s="105"/>
      <c r="UNX99" s="105"/>
      <c r="UNY99" s="105"/>
      <c r="UNZ99" s="105"/>
      <c r="UOA99" s="105"/>
      <c r="UOB99" s="105"/>
      <c r="UOC99" s="105"/>
      <c r="UOD99" s="105"/>
      <c r="UOE99" s="105"/>
      <c r="UOF99" s="105"/>
      <c r="UOG99" s="105"/>
      <c r="UOH99" s="105"/>
      <c r="UOI99" s="105"/>
      <c r="UOJ99" s="105"/>
      <c r="UOK99" s="105"/>
      <c r="UOL99" s="105"/>
      <c r="UOM99" s="105"/>
      <c r="UON99" s="105"/>
      <c r="UOO99" s="105"/>
      <c r="UOP99" s="105"/>
      <c r="UOQ99" s="105"/>
      <c r="UOR99" s="105"/>
      <c r="UOS99" s="105"/>
      <c r="UOT99" s="105"/>
      <c r="UOU99" s="105"/>
      <c r="UOV99" s="105"/>
      <c r="UOW99" s="105"/>
      <c r="UOX99" s="105"/>
      <c r="UOY99" s="105"/>
      <c r="UOZ99" s="105"/>
      <c r="UPA99" s="105"/>
      <c r="UPB99" s="105"/>
      <c r="UPC99" s="105"/>
      <c r="UPD99" s="105"/>
      <c r="UPE99" s="105"/>
      <c r="UPF99" s="105"/>
      <c r="UPG99" s="105"/>
      <c r="UPH99" s="105"/>
      <c r="UPI99" s="105"/>
      <c r="UPJ99" s="105"/>
      <c r="UPK99" s="105"/>
      <c r="UPL99" s="105"/>
      <c r="UPM99" s="105"/>
      <c r="UPN99" s="105"/>
      <c r="UPO99" s="105"/>
      <c r="UPP99" s="105"/>
      <c r="UPQ99" s="105"/>
      <c r="UPR99" s="105"/>
      <c r="UPS99" s="105"/>
      <c r="UPT99" s="105"/>
      <c r="UPU99" s="105"/>
      <c r="UPV99" s="105"/>
      <c r="UPW99" s="105"/>
      <c r="UPX99" s="105"/>
      <c r="UPY99" s="105"/>
      <c r="UPZ99" s="105"/>
      <c r="UQA99" s="105"/>
      <c r="UQB99" s="105"/>
      <c r="UQC99" s="105"/>
      <c r="UQD99" s="105"/>
      <c r="UQE99" s="105"/>
      <c r="UQF99" s="105"/>
      <c r="UQG99" s="105"/>
      <c r="UQH99" s="105"/>
      <c r="UQI99" s="105"/>
      <c r="UQJ99" s="105"/>
      <c r="UQK99" s="105"/>
      <c r="UQL99" s="105"/>
      <c r="UQM99" s="105"/>
      <c r="UQN99" s="105"/>
      <c r="UQO99" s="105"/>
      <c r="UQP99" s="105"/>
      <c r="UQQ99" s="105"/>
      <c r="UQR99" s="105"/>
      <c r="UQS99" s="105"/>
      <c r="UQT99" s="105"/>
      <c r="UQU99" s="105"/>
      <c r="UQV99" s="105"/>
      <c r="UQW99" s="105"/>
      <c r="UQX99" s="105"/>
      <c r="UQY99" s="105"/>
      <c r="UQZ99" s="105"/>
      <c r="URA99" s="105"/>
      <c r="URB99" s="105"/>
      <c r="URC99" s="105"/>
      <c r="URD99" s="105"/>
      <c r="URE99" s="105"/>
      <c r="URF99" s="105"/>
      <c r="URG99" s="105"/>
      <c r="URH99" s="105"/>
      <c r="URI99" s="105"/>
      <c r="URJ99" s="105"/>
      <c r="URK99" s="105"/>
      <c r="URL99" s="105"/>
      <c r="URM99" s="105"/>
      <c r="URN99" s="105"/>
      <c r="URO99" s="105"/>
      <c r="URP99" s="105"/>
      <c r="URQ99" s="105"/>
      <c r="URR99" s="105"/>
      <c r="URS99" s="105"/>
      <c r="URT99" s="105"/>
      <c r="URU99" s="105"/>
      <c r="URV99" s="105"/>
      <c r="URW99" s="105"/>
      <c r="URX99" s="105"/>
      <c r="URY99" s="105"/>
      <c r="URZ99" s="105"/>
      <c r="USA99" s="105"/>
      <c r="USB99" s="105"/>
      <c r="USC99" s="105"/>
      <c r="USD99" s="105"/>
      <c r="USE99" s="105"/>
      <c r="USF99" s="105"/>
      <c r="USG99" s="105"/>
      <c r="USH99" s="105"/>
      <c r="USI99" s="105"/>
      <c r="USJ99" s="105"/>
      <c r="USK99" s="105"/>
      <c r="USL99" s="105"/>
      <c r="USM99" s="105"/>
      <c r="USN99" s="105"/>
      <c r="USO99" s="105"/>
      <c r="USP99" s="105"/>
      <c r="USQ99" s="105"/>
      <c r="USR99" s="105"/>
      <c r="USS99" s="105"/>
      <c r="UST99" s="105"/>
      <c r="USU99" s="105"/>
      <c r="USV99" s="105"/>
      <c r="USW99" s="105"/>
      <c r="USX99" s="105"/>
      <c r="USY99" s="105"/>
      <c r="USZ99" s="105"/>
      <c r="UTA99" s="105"/>
      <c r="UTB99" s="105"/>
      <c r="UTC99" s="105"/>
      <c r="UTD99" s="105"/>
      <c r="UTE99" s="105"/>
      <c r="UTF99" s="105"/>
      <c r="UTG99" s="105"/>
      <c r="UTH99" s="105"/>
      <c r="UTI99" s="105"/>
      <c r="UTJ99" s="105"/>
      <c r="UTK99" s="105"/>
      <c r="UTL99" s="105"/>
      <c r="UTM99" s="105"/>
      <c r="UTN99" s="105"/>
      <c r="UTO99" s="105"/>
      <c r="UTP99" s="105"/>
      <c r="UTQ99" s="105"/>
      <c r="UTR99" s="105"/>
      <c r="UTS99" s="105"/>
      <c r="UTT99" s="105"/>
      <c r="UTU99" s="105"/>
      <c r="UTV99" s="105"/>
      <c r="UTW99" s="105"/>
      <c r="UTX99" s="105"/>
      <c r="UTY99" s="105"/>
      <c r="UTZ99" s="105"/>
      <c r="UUA99" s="105"/>
      <c r="UUB99" s="105"/>
      <c r="UUC99" s="105"/>
      <c r="UUD99" s="105"/>
      <c r="UUE99" s="105"/>
      <c r="UUF99" s="105"/>
      <c r="UUG99" s="105"/>
      <c r="UUH99" s="105"/>
      <c r="UUI99" s="105"/>
      <c r="UUJ99" s="105"/>
      <c r="UUK99" s="105"/>
      <c r="UUL99" s="105"/>
      <c r="UUM99" s="105"/>
      <c r="UUN99" s="105"/>
      <c r="UUO99" s="105"/>
      <c r="UUP99" s="105"/>
      <c r="UUQ99" s="105"/>
      <c r="UUR99" s="105"/>
      <c r="UUS99" s="105"/>
      <c r="UUT99" s="105"/>
      <c r="UUU99" s="105"/>
      <c r="UUV99" s="105"/>
      <c r="UUW99" s="105"/>
      <c r="UUX99" s="105"/>
      <c r="UUY99" s="105"/>
      <c r="UUZ99" s="105"/>
      <c r="UVA99" s="105"/>
      <c r="UVB99" s="105"/>
      <c r="UVC99" s="105"/>
      <c r="UVD99" s="105"/>
      <c r="UVE99" s="105"/>
      <c r="UVF99" s="105"/>
      <c r="UVG99" s="105"/>
      <c r="UVH99" s="105"/>
      <c r="UVI99" s="105"/>
      <c r="UVJ99" s="105"/>
      <c r="UVK99" s="105"/>
      <c r="UVL99" s="105"/>
      <c r="UVM99" s="105"/>
      <c r="UVN99" s="105"/>
      <c r="UVO99" s="105"/>
      <c r="UVP99" s="105"/>
      <c r="UVQ99" s="105"/>
      <c r="UVR99" s="105"/>
      <c r="UVS99" s="105"/>
      <c r="UVT99" s="105"/>
      <c r="UVU99" s="105"/>
      <c r="UVV99" s="105"/>
      <c r="UVW99" s="105"/>
      <c r="UVX99" s="105"/>
      <c r="UVY99" s="105"/>
      <c r="UVZ99" s="105"/>
      <c r="UWA99" s="105"/>
      <c r="UWB99" s="105"/>
      <c r="UWC99" s="105"/>
      <c r="UWD99" s="105"/>
      <c r="UWE99" s="105"/>
      <c r="UWF99" s="105"/>
      <c r="UWG99" s="105"/>
      <c r="UWH99" s="105"/>
      <c r="UWI99" s="105"/>
      <c r="UWJ99" s="105"/>
      <c r="UWK99" s="105"/>
      <c r="UWL99" s="105"/>
      <c r="UWM99" s="105"/>
      <c r="UWN99" s="105"/>
      <c r="UWO99" s="105"/>
      <c r="UWP99" s="105"/>
      <c r="UWQ99" s="105"/>
      <c r="UWR99" s="105"/>
      <c r="UWS99" s="105"/>
      <c r="UWT99" s="105"/>
      <c r="UWU99" s="105"/>
      <c r="UWV99" s="105"/>
      <c r="UWW99" s="105"/>
      <c r="UWX99" s="105"/>
      <c r="UWY99" s="105"/>
      <c r="UWZ99" s="105"/>
      <c r="UXA99" s="105"/>
      <c r="UXB99" s="105"/>
      <c r="UXC99" s="105"/>
      <c r="UXD99" s="105"/>
      <c r="UXE99" s="105"/>
      <c r="UXF99" s="105"/>
      <c r="UXG99" s="105"/>
      <c r="UXH99" s="105"/>
      <c r="UXI99" s="105"/>
      <c r="UXJ99" s="105"/>
      <c r="UXK99" s="105"/>
      <c r="UXL99" s="105"/>
      <c r="UXM99" s="105"/>
      <c r="UXN99" s="105"/>
      <c r="UXO99" s="105"/>
      <c r="UXP99" s="105"/>
      <c r="UXQ99" s="105"/>
      <c r="UXR99" s="105"/>
      <c r="UXS99" s="105"/>
      <c r="UXT99" s="105"/>
      <c r="UXU99" s="105"/>
      <c r="UXV99" s="105"/>
      <c r="UXW99" s="105"/>
      <c r="UXX99" s="105"/>
      <c r="UXY99" s="105"/>
      <c r="UXZ99" s="105"/>
      <c r="UYA99" s="105"/>
      <c r="UYB99" s="105"/>
      <c r="UYC99" s="105"/>
      <c r="UYD99" s="105"/>
      <c r="UYE99" s="105"/>
      <c r="UYF99" s="105"/>
      <c r="UYG99" s="105"/>
      <c r="UYH99" s="105"/>
      <c r="UYI99" s="105"/>
      <c r="UYJ99" s="105"/>
      <c r="UYK99" s="105"/>
      <c r="UYL99" s="105"/>
      <c r="UYM99" s="105"/>
      <c r="UYN99" s="105"/>
      <c r="UYO99" s="105"/>
      <c r="UYP99" s="105"/>
      <c r="UYQ99" s="105"/>
      <c r="UYR99" s="105"/>
      <c r="UYS99" s="105"/>
      <c r="UYT99" s="105"/>
      <c r="UYU99" s="105"/>
      <c r="UYV99" s="105"/>
      <c r="UYW99" s="105"/>
      <c r="UYX99" s="105"/>
      <c r="UYY99" s="105"/>
      <c r="UYZ99" s="105"/>
      <c r="UZA99" s="105"/>
      <c r="UZB99" s="105"/>
      <c r="UZC99" s="105"/>
      <c r="UZD99" s="105"/>
      <c r="UZE99" s="105"/>
      <c r="UZF99" s="105"/>
      <c r="UZG99" s="105"/>
      <c r="UZH99" s="105"/>
      <c r="UZI99" s="105"/>
      <c r="UZJ99" s="105"/>
      <c r="UZK99" s="105"/>
      <c r="UZL99" s="105"/>
      <c r="UZM99" s="105"/>
      <c r="UZN99" s="105"/>
      <c r="UZO99" s="105"/>
      <c r="UZP99" s="105"/>
      <c r="UZQ99" s="105"/>
      <c r="UZR99" s="105"/>
      <c r="UZS99" s="105"/>
      <c r="UZT99" s="105"/>
      <c r="UZU99" s="105"/>
      <c r="UZV99" s="105"/>
      <c r="UZW99" s="105"/>
      <c r="UZX99" s="105"/>
      <c r="UZY99" s="105"/>
      <c r="UZZ99" s="105"/>
      <c r="VAA99" s="105"/>
      <c r="VAB99" s="105"/>
      <c r="VAC99" s="105"/>
      <c r="VAD99" s="105"/>
      <c r="VAE99" s="105"/>
      <c r="VAF99" s="105"/>
      <c r="VAG99" s="105"/>
      <c r="VAH99" s="105"/>
      <c r="VAI99" s="105"/>
      <c r="VAJ99" s="105"/>
      <c r="VAK99" s="105"/>
      <c r="VAL99" s="105"/>
      <c r="VAM99" s="105"/>
      <c r="VAN99" s="105"/>
      <c r="VAO99" s="105"/>
      <c r="VAP99" s="105"/>
      <c r="VAQ99" s="105"/>
      <c r="VAR99" s="105"/>
      <c r="VAS99" s="105"/>
      <c r="VAT99" s="105"/>
      <c r="VAU99" s="105"/>
      <c r="VAV99" s="105"/>
      <c r="VAW99" s="105"/>
      <c r="VAX99" s="105"/>
      <c r="VAY99" s="105"/>
      <c r="VAZ99" s="105"/>
      <c r="VBA99" s="105"/>
      <c r="VBB99" s="105"/>
      <c r="VBC99" s="105"/>
      <c r="VBD99" s="105"/>
      <c r="VBE99" s="105"/>
      <c r="VBF99" s="105"/>
      <c r="VBG99" s="105"/>
      <c r="VBH99" s="105"/>
      <c r="VBI99" s="105"/>
      <c r="VBJ99" s="105"/>
      <c r="VBK99" s="105"/>
      <c r="VBL99" s="105"/>
      <c r="VBM99" s="105"/>
      <c r="VBN99" s="105"/>
      <c r="VBO99" s="105"/>
      <c r="VBP99" s="105"/>
      <c r="VBQ99" s="105"/>
      <c r="VBR99" s="105"/>
      <c r="VBS99" s="105"/>
      <c r="VBT99" s="105"/>
      <c r="VBU99" s="105"/>
      <c r="VBV99" s="105"/>
      <c r="VBW99" s="105"/>
      <c r="VBX99" s="105"/>
      <c r="VBY99" s="105"/>
      <c r="VBZ99" s="105"/>
      <c r="VCA99" s="105"/>
      <c r="VCB99" s="105"/>
      <c r="VCC99" s="105"/>
      <c r="VCD99" s="105"/>
      <c r="VCE99" s="105"/>
      <c r="VCF99" s="105"/>
      <c r="VCG99" s="105"/>
      <c r="VCH99" s="105"/>
      <c r="VCI99" s="105"/>
      <c r="VCJ99" s="105"/>
      <c r="VCK99" s="105"/>
      <c r="VCL99" s="105"/>
      <c r="VCM99" s="105"/>
      <c r="VCN99" s="105"/>
      <c r="VCO99" s="105"/>
      <c r="VCP99" s="105"/>
      <c r="VCQ99" s="105"/>
      <c r="VCR99" s="105"/>
      <c r="VCS99" s="105"/>
      <c r="VCT99" s="105"/>
      <c r="VCU99" s="105"/>
      <c r="VCV99" s="105"/>
      <c r="VCW99" s="105"/>
      <c r="VCX99" s="105"/>
      <c r="VCY99" s="105"/>
      <c r="VCZ99" s="105"/>
      <c r="VDA99" s="105"/>
      <c r="VDB99" s="105"/>
      <c r="VDC99" s="105"/>
      <c r="VDD99" s="105"/>
      <c r="VDE99" s="105"/>
      <c r="VDF99" s="105"/>
      <c r="VDG99" s="105"/>
      <c r="VDH99" s="105"/>
      <c r="VDI99" s="105"/>
      <c r="VDJ99" s="105"/>
      <c r="VDK99" s="105"/>
      <c r="VDL99" s="105"/>
      <c r="VDM99" s="105"/>
      <c r="VDN99" s="105"/>
      <c r="VDO99" s="105"/>
      <c r="VDP99" s="105"/>
      <c r="VDQ99" s="105"/>
      <c r="VDR99" s="105"/>
      <c r="VDS99" s="105"/>
      <c r="VDT99" s="105"/>
      <c r="VDU99" s="105"/>
      <c r="VDV99" s="105"/>
      <c r="VDW99" s="105"/>
      <c r="VDX99" s="105"/>
      <c r="VDY99" s="105"/>
      <c r="VDZ99" s="105"/>
      <c r="VEA99" s="105"/>
      <c r="VEB99" s="105"/>
      <c r="VEC99" s="105"/>
      <c r="VED99" s="105"/>
      <c r="VEE99" s="105"/>
      <c r="VEF99" s="105"/>
      <c r="VEG99" s="105"/>
      <c r="VEH99" s="105"/>
      <c r="VEI99" s="105"/>
      <c r="VEJ99" s="105"/>
      <c r="VEK99" s="105"/>
      <c r="VEL99" s="105"/>
      <c r="VEM99" s="105"/>
      <c r="VEN99" s="105"/>
      <c r="VEO99" s="105"/>
      <c r="VEP99" s="105"/>
      <c r="VEQ99" s="105"/>
      <c r="VER99" s="105"/>
      <c r="VES99" s="105"/>
      <c r="VET99" s="105"/>
      <c r="VEU99" s="105"/>
      <c r="VEV99" s="105"/>
      <c r="VEW99" s="105"/>
      <c r="VEX99" s="105"/>
      <c r="VEY99" s="105"/>
      <c r="VEZ99" s="105"/>
      <c r="VFA99" s="105"/>
      <c r="VFB99" s="105"/>
      <c r="VFC99" s="105"/>
      <c r="VFD99" s="105"/>
      <c r="VFE99" s="105"/>
      <c r="VFF99" s="105"/>
      <c r="VFG99" s="105"/>
      <c r="VFH99" s="105"/>
      <c r="VFI99" s="105"/>
      <c r="VFJ99" s="105"/>
      <c r="VFK99" s="105"/>
      <c r="VFL99" s="105"/>
      <c r="VFM99" s="105"/>
      <c r="VFN99" s="105"/>
      <c r="VFO99" s="105"/>
      <c r="VFP99" s="105"/>
      <c r="VFQ99" s="105"/>
      <c r="VFR99" s="105"/>
      <c r="VFS99" s="105"/>
      <c r="VFT99" s="105"/>
      <c r="VFU99" s="105"/>
      <c r="VFV99" s="105"/>
      <c r="VFW99" s="105"/>
      <c r="VFX99" s="105"/>
      <c r="VFY99" s="105"/>
      <c r="VFZ99" s="105"/>
      <c r="VGA99" s="105"/>
      <c r="VGB99" s="105"/>
      <c r="VGC99" s="105"/>
      <c r="VGD99" s="105"/>
      <c r="VGE99" s="105"/>
      <c r="VGF99" s="105"/>
      <c r="VGG99" s="105"/>
      <c r="VGH99" s="105"/>
      <c r="VGI99" s="105"/>
      <c r="VGJ99" s="105"/>
      <c r="VGK99" s="105"/>
      <c r="VGL99" s="105"/>
      <c r="VGM99" s="105"/>
      <c r="VGN99" s="105"/>
      <c r="VGO99" s="105"/>
      <c r="VGP99" s="105"/>
      <c r="VGQ99" s="105"/>
      <c r="VGR99" s="105"/>
      <c r="VGS99" s="105"/>
      <c r="VGT99" s="105"/>
      <c r="VGU99" s="105"/>
      <c r="VGV99" s="105"/>
      <c r="VGW99" s="105"/>
      <c r="VGX99" s="105"/>
      <c r="VGY99" s="105"/>
      <c r="VGZ99" s="105"/>
      <c r="VHA99" s="105"/>
      <c r="VHB99" s="105"/>
      <c r="VHC99" s="105"/>
      <c r="VHD99" s="105"/>
      <c r="VHE99" s="105"/>
      <c r="VHF99" s="105"/>
      <c r="VHG99" s="105"/>
      <c r="VHH99" s="105"/>
      <c r="VHI99" s="105"/>
      <c r="VHJ99" s="105"/>
      <c r="VHK99" s="105"/>
      <c r="VHL99" s="105"/>
      <c r="VHM99" s="105"/>
      <c r="VHN99" s="105"/>
      <c r="VHO99" s="105"/>
      <c r="VHP99" s="105"/>
      <c r="VHQ99" s="105"/>
      <c r="VHR99" s="105"/>
      <c r="VHS99" s="105"/>
      <c r="VHT99" s="105"/>
      <c r="VHU99" s="105"/>
      <c r="VHV99" s="105"/>
      <c r="VHW99" s="105"/>
      <c r="VHX99" s="105"/>
      <c r="VHY99" s="105"/>
      <c r="VHZ99" s="105"/>
      <c r="VIA99" s="105"/>
      <c r="VIB99" s="105"/>
      <c r="VIC99" s="105"/>
      <c r="VID99" s="105"/>
      <c r="VIE99" s="105"/>
      <c r="VIF99" s="105"/>
      <c r="VIG99" s="105"/>
      <c r="VIH99" s="105"/>
      <c r="VII99" s="105"/>
      <c r="VIJ99" s="105"/>
      <c r="VIK99" s="105"/>
      <c r="VIL99" s="105"/>
      <c r="VIM99" s="105"/>
      <c r="VIN99" s="105"/>
      <c r="VIO99" s="105"/>
      <c r="VIP99" s="105"/>
      <c r="VIQ99" s="105"/>
      <c r="VIR99" s="105"/>
      <c r="VIS99" s="105"/>
      <c r="VIT99" s="105"/>
      <c r="VIU99" s="105"/>
      <c r="VIV99" s="105"/>
      <c r="VIW99" s="105"/>
      <c r="VIX99" s="105"/>
      <c r="VIY99" s="105"/>
      <c r="VIZ99" s="105"/>
      <c r="VJA99" s="105"/>
      <c r="VJB99" s="105"/>
      <c r="VJC99" s="105"/>
      <c r="VJD99" s="105"/>
      <c r="VJE99" s="105"/>
      <c r="VJF99" s="105"/>
      <c r="VJG99" s="105"/>
      <c r="VJH99" s="105"/>
      <c r="VJI99" s="105"/>
      <c r="VJJ99" s="105"/>
      <c r="VJK99" s="105"/>
      <c r="VJL99" s="105"/>
      <c r="VJM99" s="105"/>
      <c r="VJN99" s="105"/>
      <c r="VJO99" s="105"/>
      <c r="VJP99" s="105"/>
      <c r="VJQ99" s="105"/>
      <c r="VJR99" s="105"/>
      <c r="VJS99" s="105"/>
      <c r="VJT99" s="105"/>
      <c r="VJU99" s="105"/>
      <c r="VJV99" s="105"/>
      <c r="VJW99" s="105"/>
      <c r="VJX99" s="105"/>
      <c r="VJY99" s="105"/>
      <c r="VJZ99" s="105"/>
      <c r="VKA99" s="105"/>
      <c r="VKB99" s="105"/>
      <c r="VKC99" s="105"/>
      <c r="VKD99" s="105"/>
      <c r="VKE99" s="105"/>
      <c r="VKF99" s="105"/>
      <c r="VKG99" s="105"/>
      <c r="VKH99" s="105"/>
      <c r="VKI99" s="105"/>
      <c r="VKJ99" s="105"/>
      <c r="VKK99" s="105"/>
      <c r="VKL99" s="105"/>
      <c r="VKM99" s="105"/>
      <c r="VKN99" s="105"/>
      <c r="VKO99" s="105"/>
      <c r="VKP99" s="105"/>
      <c r="VKQ99" s="105"/>
      <c r="VKR99" s="105"/>
      <c r="VKS99" s="105"/>
      <c r="VKT99" s="105"/>
      <c r="VKU99" s="105"/>
      <c r="VKV99" s="105"/>
      <c r="VKW99" s="105"/>
      <c r="VKX99" s="105"/>
      <c r="VKY99" s="105"/>
      <c r="VKZ99" s="105"/>
      <c r="VLA99" s="105"/>
      <c r="VLB99" s="105"/>
      <c r="VLC99" s="105"/>
      <c r="VLD99" s="105"/>
      <c r="VLE99" s="105"/>
      <c r="VLF99" s="105"/>
      <c r="VLG99" s="105"/>
      <c r="VLH99" s="105"/>
      <c r="VLI99" s="105"/>
      <c r="VLJ99" s="105"/>
      <c r="VLK99" s="105"/>
      <c r="VLL99" s="105"/>
      <c r="VLM99" s="105"/>
      <c r="VLN99" s="105"/>
      <c r="VLO99" s="105"/>
      <c r="VLP99" s="105"/>
      <c r="VLQ99" s="105"/>
      <c r="VLR99" s="105"/>
      <c r="VLS99" s="105"/>
      <c r="VLT99" s="105"/>
      <c r="VLU99" s="105"/>
      <c r="VLV99" s="105"/>
      <c r="VLW99" s="105"/>
      <c r="VLX99" s="105"/>
      <c r="VLY99" s="105"/>
      <c r="VLZ99" s="105"/>
      <c r="VMA99" s="105"/>
      <c r="VMB99" s="105"/>
      <c r="VMC99" s="105"/>
      <c r="VMD99" s="105"/>
      <c r="VME99" s="105"/>
      <c r="VMF99" s="105"/>
      <c r="VMG99" s="105"/>
      <c r="VMH99" s="105"/>
      <c r="VMI99" s="105"/>
      <c r="VMJ99" s="105"/>
      <c r="VMK99" s="105"/>
      <c r="VML99" s="105"/>
      <c r="VMM99" s="105"/>
      <c r="VMN99" s="105"/>
      <c r="VMO99" s="105"/>
      <c r="VMP99" s="105"/>
      <c r="VMQ99" s="105"/>
      <c r="VMR99" s="105"/>
      <c r="VMS99" s="105"/>
      <c r="VMT99" s="105"/>
      <c r="VMU99" s="105"/>
      <c r="VMV99" s="105"/>
      <c r="VMW99" s="105"/>
      <c r="VMX99" s="105"/>
      <c r="VMY99" s="105"/>
      <c r="VMZ99" s="105"/>
      <c r="VNA99" s="105"/>
      <c r="VNB99" s="105"/>
      <c r="VNC99" s="105"/>
      <c r="VND99" s="105"/>
      <c r="VNE99" s="105"/>
      <c r="VNF99" s="105"/>
      <c r="VNG99" s="105"/>
      <c r="VNH99" s="105"/>
      <c r="VNI99" s="105"/>
      <c r="VNJ99" s="105"/>
      <c r="VNK99" s="105"/>
      <c r="VNL99" s="105"/>
      <c r="VNM99" s="105"/>
      <c r="VNN99" s="105"/>
      <c r="VNO99" s="105"/>
      <c r="VNP99" s="105"/>
      <c r="VNQ99" s="105"/>
      <c r="VNR99" s="105"/>
      <c r="VNS99" s="105"/>
      <c r="VNT99" s="105"/>
      <c r="VNU99" s="105"/>
      <c r="VNV99" s="105"/>
      <c r="VNW99" s="105"/>
      <c r="VNX99" s="105"/>
      <c r="VNY99" s="105"/>
      <c r="VNZ99" s="105"/>
      <c r="VOA99" s="105"/>
      <c r="VOB99" s="105"/>
      <c r="VOC99" s="105"/>
      <c r="VOD99" s="105"/>
      <c r="VOE99" s="105"/>
      <c r="VOF99" s="105"/>
      <c r="VOG99" s="105"/>
      <c r="VOH99" s="105"/>
      <c r="VOI99" s="105"/>
      <c r="VOJ99" s="105"/>
      <c r="VOK99" s="105"/>
      <c r="VOL99" s="105"/>
      <c r="VOM99" s="105"/>
      <c r="VON99" s="105"/>
      <c r="VOO99" s="105"/>
      <c r="VOP99" s="105"/>
      <c r="VOQ99" s="105"/>
      <c r="VOR99" s="105"/>
      <c r="VOS99" s="105"/>
      <c r="VOT99" s="105"/>
      <c r="VOU99" s="105"/>
      <c r="VOV99" s="105"/>
      <c r="VOW99" s="105"/>
      <c r="VOX99" s="105"/>
      <c r="VOY99" s="105"/>
      <c r="VOZ99" s="105"/>
      <c r="VPA99" s="105"/>
      <c r="VPB99" s="105"/>
      <c r="VPC99" s="105"/>
      <c r="VPD99" s="105"/>
      <c r="VPE99" s="105"/>
      <c r="VPF99" s="105"/>
      <c r="VPG99" s="105"/>
      <c r="VPH99" s="105"/>
      <c r="VPI99" s="105"/>
      <c r="VPJ99" s="105"/>
      <c r="VPK99" s="105"/>
      <c r="VPL99" s="105"/>
      <c r="VPM99" s="105"/>
      <c r="VPN99" s="105"/>
      <c r="VPO99" s="105"/>
      <c r="VPP99" s="105"/>
      <c r="VPQ99" s="105"/>
      <c r="VPR99" s="105"/>
      <c r="VPS99" s="105"/>
      <c r="VPT99" s="105"/>
      <c r="VPU99" s="105"/>
      <c r="VPV99" s="105"/>
      <c r="VPW99" s="105"/>
      <c r="VPX99" s="105"/>
      <c r="VPY99" s="105"/>
      <c r="VPZ99" s="105"/>
      <c r="VQA99" s="105"/>
      <c r="VQB99" s="105"/>
      <c r="VQC99" s="105"/>
      <c r="VQD99" s="105"/>
      <c r="VQE99" s="105"/>
      <c r="VQF99" s="105"/>
      <c r="VQG99" s="105"/>
      <c r="VQH99" s="105"/>
      <c r="VQI99" s="105"/>
      <c r="VQJ99" s="105"/>
      <c r="VQK99" s="105"/>
      <c r="VQL99" s="105"/>
      <c r="VQM99" s="105"/>
      <c r="VQN99" s="105"/>
      <c r="VQO99" s="105"/>
      <c r="VQP99" s="105"/>
      <c r="VQQ99" s="105"/>
      <c r="VQR99" s="105"/>
      <c r="VQS99" s="105"/>
      <c r="VQT99" s="105"/>
      <c r="VQU99" s="105"/>
      <c r="VQV99" s="105"/>
      <c r="VQW99" s="105"/>
      <c r="VQX99" s="105"/>
      <c r="VQY99" s="105"/>
      <c r="VQZ99" s="105"/>
      <c r="VRA99" s="105"/>
      <c r="VRB99" s="105"/>
      <c r="VRC99" s="105"/>
      <c r="VRD99" s="105"/>
      <c r="VRE99" s="105"/>
      <c r="VRF99" s="105"/>
      <c r="VRG99" s="105"/>
      <c r="VRH99" s="105"/>
      <c r="VRI99" s="105"/>
      <c r="VRJ99" s="105"/>
      <c r="VRK99" s="105"/>
      <c r="VRL99" s="105"/>
      <c r="VRM99" s="105"/>
      <c r="VRN99" s="105"/>
      <c r="VRO99" s="105"/>
      <c r="VRP99" s="105"/>
      <c r="VRQ99" s="105"/>
      <c r="VRR99" s="105"/>
      <c r="VRS99" s="105"/>
      <c r="VRT99" s="105"/>
      <c r="VRU99" s="105"/>
      <c r="VRV99" s="105"/>
      <c r="VRW99" s="105"/>
      <c r="VRX99" s="105"/>
      <c r="VRY99" s="105"/>
      <c r="VRZ99" s="105"/>
      <c r="VSA99" s="105"/>
      <c r="VSB99" s="105"/>
      <c r="VSC99" s="105"/>
      <c r="VSD99" s="105"/>
      <c r="VSE99" s="105"/>
      <c r="VSF99" s="105"/>
      <c r="VSG99" s="105"/>
      <c r="VSH99" s="105"/>
      <c r="VSI99" s="105"/>
      <c r="VSJ99" s="105"/>
      <c r="VSK99" s="105"/>
      <c r="VSL99" s="105"/>
      <c r="VSM99" s="105"/>
      <c r="VSN99" s="105"/>
      <c r="VSO99" s="105"/>
      <c r="VSP99" s="105"/>
      <c r="VSQ99" s="105"/>
      <c r="VSR99" s="105"/>
      <c r="VSS99" s="105"/>
      <c r="VST99" s="105"/>
      <c r="VSU99" s="105"/>
      <c r="VSV99" s="105"/>
      <c r="VSW99" s="105"/>
      <c r="VSX99" s="105"/>
      <c r="VSY99" s="105"/>
      <c r="VSZ99" s="105"/>
      <c r="VTA99" s="105"/>
      <c r="VTB99" s="105"/>
      <c r="VTC99" s="105"/>
      <c r="VTD99" s="105"/>
      <c r="VTE99" s="105"/>
      <c r="VTF99" s="105"/>
      <c r="VTG99" s="105"/>
      <c r="VTH99" s="105"/>
      <c r="VTI99" s="105"/>
      <c r="VTJ99" s="105"/>
      <c r="VTK99" s="105"/>
      <c r="VTL99" s="105"/>
      <c r="VTM99" s="105"/>
      <c r="VTN99" s="105"/>
      <c r="VTO99" s="105"/>
      <c r="VTP99" s="105"/>
      <c r="VTQ99" s="105"/>
      <c r="VTR99" s="105"/>
      <c r="VTS99" s="105"/>
      <c r="VTT99" s="105"/>
      <c r="VTU99" s="105"/>
      <c r="VTV99" s="105"/>
      <c r="VTW99" s="105"/>
      <c r="VTX99" s="105"/>
      <c r="VTY99" s="105"/>
      <c r="VTZ99" s="105"/>
      <c r="VUA99" s="105"/>
      <c r="VUB99" s="105"/>
      <c r="VUC99" s="105"/>
      <c r="VUD99" s="105"/>
      <c r="VUE99" s="105"/>
      <c r="VUF99" s="105"/>
      <c r="VUG99" s="105"/>
      <c r="VUH99" s="105"/>
      <c r="VUI99" s="105"/>
      <c r="VUJ99" s="105"/>
      <c r="VUK99" s="105"/>
      <c r="VUL99" s="105"/>
      <c r="VUM99" s="105"/>
      <c r="VUN99" s="105"/>
      <c r="VUO99" s="105"/>
      <c r="VUP99" s="105"/>
      <c r="VUQ99" s="105"/>
      <c r="VUR99" s="105"/>
      <c r="VUS99" s="105"/>
      <c r="VUT99" s="105"/>
      <c r="VUU99" s="105"/>
      <c r="VUV99" s="105"/>
      <c r="VUW99" s="105"/>
      <c r="VUX99" s="105"/>
      <c r="VUY99" s="105"/>
      <c r="VUZ99" s="105"/>
      <c r="VVA99" s="105"/>
      <c r="VVB99" s="105"/>
      <c r="VVC99" s="105"/>
      <c r="VVD99" s="105"/>
      <c r="VVE99" s="105"/>
      <c r="VVF99" s="105"/>
      <c r="VVG99" s="105"/>
      <c r="VVH99" s="105"/>
      <c r="VVI99" s="105"/>
      <c r="VVJ99" s="105"/>
      <c r="VVK99" s="105"/>
      <c r="VVL99" s="105"/>
      <c r="VVM99" s="105"/>
      <c r="VVN99" s="105"/>
      <c r="VVO99" s="105"/>
      <c r="VVP99" s="105"/>
      <c r="VVQ99" s="105"/>
      <c r="VVR99" s="105"/>
      <c r="VVS99" s="105"/>
      <c r="VVT99" s="105"/>
      <c r="VVU99" s="105"/>
      <c r="VVV99" s="105"/>
      <c r="VVW99" s="105"/>
      <c r="VVX99" s="105"/>
      <c r="VVY99" s="105"/>
      <c r="VVZ99" s="105"/>
      <c r="VWA99" s="105"/>
      <c r="VWB99" s="105"/>
      <c r="VWC99" s="105"/>
      <c r="VWD99" s="105"/>
      <c r="VWE99" s="105"/>
      <c r="VWF99" s="105"/>
      <c r="VWG99" s="105"/>
      <c r="VWH99" s="105"/>
      <c r="VWI99" s="105"/>
      <c r="VWJ99" s="105"/>
      <c r="VWK99" s="105"/>
      <c r="VWL99" s="105"/>
      <c r="VWM99" s="105"/>
      <c r="VWN99" s="105"/>
      <c r="VWO99" s="105"/>
      <c r="VWP99" s="105"/>
      <c r="VWQ99" s="105"/>
      <c r="VWR99" s="105"/>
      <c r="VWS99" s="105"/>
      <c r="VWT99" s="105"/>
      <c r="VWU99" s="105"/>
      <c r="VWV99" s="105"/>
      <c r="VWW99" s="105"/>
      <c r="VWX99" s="105"/>
      <c r="VWY99" s="105"/>
      <c r="VWZ99" s="105"/>
      <c r="VXA99" s="105"/>
      <c r="VXB99" s="105"/>
      <c r="VXC99" s="105"/>
      <c r="VXD99" s="105"/>
      <c r="VXE99" s="105"/>
      <c r="VXF99" s="105"/>
      <c r="VXG99" s="105"/>
      <c r="VXH99" s="105"/>
      <c r="VXI99" s="105"/>
      <c r="VXJ99" s="105"/>
      <c r="VXK99" s="105"/>
      <c r="VXL99" s="105"/>
      <c r="VXM99" s="105"/>
      <c r="VXN99" s="105"/>
      <c r="VXO99" s="105"/>
      <c r="VXP99" s="105"/>
      <c r="VXQ99" s="105"/>
      <c r="VXR99" s="105"/>
      <c r="VXS99" s="105"/>
      <c r="VXT99" s="105"/>
      <c r="VXU99" s="105"/>
      <c r="VXV99" s="105"/>
      <c r="VXW99" s="105"/>
      <c r="VXX99" s="105"/>
      <c r="VXY99" s="105"/>
      <c r="VXZ99" s="105"/>
      <c r="VYA99" s="105"/>
      <c r="VYB99" s="105"/>
      <c r="VYC99" s="105"/>
      <c r="VYD99" s="105"/>
      <c r="VYE99" s="105"/>
      <c r="VYF99" s="105"/>
      <c r="VYG99" s="105"/>
      <c r="VYH99" s="105"/>
      <c r="VYI99" s="105"/>
      <c r="VYJ99" s="105"/>
      <c r="VYK99" s="105"/>
      <c r="VYL99" s="105"/>
      <c r="VYM99" s="105"/>
      <c r="VYN99" s="105"/>
      <c r="VYO99" s="105"/>
      <c r="VYP99" s="105"/>
      <c r="VYQ99" s="105"/>
      <c r="VYR99" s="105"/>
      <c r="VYS99" s="105"/>
      <c r="VYT99" s="105"/>
      <c r="VYU99" s="105"/>
      <c r="VYV99" s="105"/>
      <c r="VYW99" s="105"/>
      <c r="VYX99" s="105"/>
      <c r="VYY99" s="105"/>
      <c r="VYZ99" s="105"/>
      <c r="VZA99" s="105"/>
      <c r="VZB99" s="105"/>
      <c r="VZC99" s="105"/>
      <c r="VZD99" s="105"/>
      <c r="VZE99" s="105"/>
      <c r="VZF99" s="105"/>
      <c r="VZG99" s="105"/>
      <c r="VZH99" s="105"/>
      <c r="VZI99" s="105"/>
      <c r="VZJ99" s="105"/>
      <c r="VZK99" s="105"/>
      <c r="VZL99" s="105"/>
      <c r="VZM99" s="105"/>
      <c r="VZN99" s="105"/>
      <c r="VZO99" s="105"/>
      <c r="VZP99" s="105"/>
      <c r="VZQ99" s="105"/>
      <c r="VZR99" s="105"/>
      <c r="VZS99" s="105"/>
      <c r="VZT99" s="105"/>
      <c r="VZU99" s="105"/>
      <c r="VZV99" s="105"/>
      <c r="VZW99" s="105"/>
      <c r="VZX99" s="105"/>
      <c r="VZY99" s="105"/>
      <c r="VZZ99" s="105"/>
      <c r="WAA99" s="105"/>
      <c r="WAB99" s="105"/>
      <c r="WAC99" s="105"/>
      <c r="WAD99" s="105"/>
      <c r="WAE99" s="105"/>
      <c r="WAF99" s="105"/>
      <c r="WAG99" s="105"/>
      <c r="WAH99" s="105"/>
      <c r="WAI99" s="105"/>
      <c r="WAJ99" s="105"/>
      <c r="WAK99" s="105"/>
      <c r="WAL99" s="105"/>
      <c r="WAM99" s="105"/>
      <c r="WAN99" s="105"/>
      <c r="WAO99" s="105"/>
      <c r="WAP99" s="105"/>
      <c r="WAQ99" s="105"/>
      <c r="WAR99" s="105"/>
      <c r="WAS99" s="105"/>
      <c r="WAT99" s="105"/>
      <c r="WAU99" s="105"/>
      <c r="WAV99" s="105"/>
      <c r="WAW99" s="105"/>
      <c r="WAX99" s="105"/>
      <c r="WAY99" s="105"/>
      <c r="WAZ99" s="105"/>
      <c r="WBA99" s="105"/>
      <c r="WBB99" s="105"/>
      <c r="WBC99" s="105"/>
      <c r="WBD99" s="105"/>
      <c r="WBE99" s="105"/>
      <c r="WBF99" s="105"/>
      <c r="WBG99" s="105"/>
      <c r="WBH99" s="105"/>
      <c r="WBI99" s="105"/>
      <c r="WBJ99" s="105"/>
      <c r="WBK99" s="105"/>
      <c r="WBL99" s="105"/>
      <c r="WBM99" s="105"/>
      <c r="WBN99" s="105"/>
      <c r="WBO99" s="105"/>
      <c r="WBP99" s="105"/>
      <c r="WBQ99" s="105"/>
      <c r="WBR99" s="105"/>
      <c r="WBS99" s="105"/>
      <c r="WBT99" s="105"/>
      <c r="WBU99" s="105"/>
      <c r="WBV99" s="105"/>
      <c r="WBW99" s="105"/>
      <c r="WBX99" s="105"/>
      <c r="WBY99" s="105"/>
      <c r="WBZ99" s="105"/>
      <c r="WCA99" s="105"/>
      <c r="WCB99" s="105"/>
      <c r="WCC99" s="105"/>
      <c r="WCD99" s="105"/>
      <c r="WCE99" s="105"/>
      <c r="WCF99" s="105"/>
      <c r="WCG99" s="105"/>
      <c r="WCH99" s="105"/>
      <c r="WCI99" s="105"/>
      <c r="WCJ99" s="105"/>
      <c r="WCK99" s="105"/>
      <c r="WCL99" s="105"/>
      <c r="WCM99" s="105"/>
      <c r="WCN99" s="105"/>
      <c r="WCO99" s="105"/>
      <c r="WCP99" s="105"/>
      <c r="WCQ99" s="105"/>
      <c r="WCR99" s="105"/>
      <c r="WCS99" s="105"/>
      <c r="WCT99" s="105"/>
      <c r="WCU99" s="105"/>
      <c r="WCV99" s="105"/>
      <c r="WCW99" s="105"/>
      <c r="WCX99" s="105"/>
      <c r="WCY99" s="105"/>
      <c r="WCZ99" s="105"/>
      <c r="WDA99" s="105"/>
      <c r="WDB99" s="105"/>
      <c r="WDC99" s="105"/>
      <c r="WDD99" s="105"/>
      <c r="WDE99" s="105"/>
      <c r="WDF99" s="105"/>
      <c r="WDG99" s="105"/>
      <c r="WDH99" s="105"/>
      <c r="WDI99" s="105"/>
      <c r="WDJ99" s="105"/>
      <c r="WDK99" s="105"/>
      <c r="WDL99" s="105"/>
      <c r="WDM99" s="105"/>
      <c r="WDN99" s="105"/>
      <c r="WDO99" s="105"/>
      <c r="WDP99" s="105"/>
      <c r="WDQ99" s="105"/>
      <c r="WDR99" s="105"/>
      <c r="WDS99" s="105"/>
      <c r="WDT99" s="105"/>
      <c r="WDU99" s="105"/>
      <c r="WDV99" s="105"/>
      <c r="WDW99" s="105"/>
      <c r="WDX99" s="105"/>
      <c r="WDY99" s="105"/>
      <c r="WDZ99" s="105"/>
      <c r="WEA99" s="105"/>
      <c r="WEB99" s="105"/>
      <c r="WEC99" s="105"/>
      <c r="WED99" s="105"/>
      <c r="WEE99" s="105"/>
      <c r="WEF99" s="105"/>
      <c r="WEG99" s="105"/>
      <c r="WEH99" s="105"/>
      <c r="WEI99" s="105"/>
      <c r="WEJ99" s="105"/>
      <c r="WEK99" s="105"/>
      <c r="WEL99" s="105"/>
      <c r="WEM99" s="105"/>
      <c r="WEN99" s="105"/>
      <c r="WEO99" s="105"/>
      <c r="WEP99" s="105"/>
      <c r="WEQ99" s="105"/>
      <c r="WER99" s="105"/>
      <c r="WES99" s="105"/>
      <c r="WET99" s="105"/>
      <c r="WEU99" s="105"/>
      <c r="WEV99" s="105"/>
      <c r="WEW99" s="105"/>
      <c r="WEX99" s="105"/>
      <c r="WEY99" s="105"/>
      <c r="WEZ99" s="105"/>
      <c r="WFA99" s="105"/>
      <c r="WFB99" s="105"/>
      <c r="WFC99" s="105"/>
      <c r="WFD99" s="105"/>
      <c r="WFE99" s="105"/>
      <c r="WFF99" s="105"/>
      <c r="WFG99" s="105"/>
      <c r="WFH99" s="105"/>
      <c r="WFI99" s="105"/>
      <c r="WFJ99" s="105"/>
      <c r="WFK99" s="105"/>
      <c r="WFL99" s="105"/>
      <c r="WFM99" s="105"/>
      <c r="WFN99" s="105"/>
      <c r="WFO99" s="105"/>
      <c r="WFP99" s="105"/>
      <c r="WFQ99" s="105"/>
      <c r="WFR99" s="105"/>
      <c r="WFS99" s="105"/>
      <c r="WFT99" s="105"/>
      <c r="WFU99" s="105"/>
      <c r="WFV99" s="105"/>
      <c r="WFW99" s="105"/>
      <c r="WFX99" s="105"/>
      <c r="WFY99" s="105"/>
      <c r="WFZ99" s="105"/>
      <c r="WGA99" s="105"/>
      <c r="WGB99" s="105"/>
      <c r="WGC99" s="105"/>
      <c r="WGD99" s="105"/>
      <c r="WGE99" s="105"/>
      <c r="WGF99" s="105"/>
      <c r="WGG99" s="105"/>
      <c r="WGH99" s="105"/>
      <c r="WGI99" s="105"/>
      <c r="WGJ99" s="105"/>
      <c r="WGK99" s="105"/>
      <c r="WGL99" s="105"/>
      <c r="WGM99" s="105"/>
      <c r="WGN99" s="105"/>
      <c r="WGO99" s="105"/>
      <c r="WGP99" s="105"/>
      <c r="WGQ99" s="105"/>
      <c r="WGR99" s="105"/>
      <c r="WGS99" s="105"/>
      <c r="WGT99" s="105"/>
      <c r="WGU99" s="105"/>
      <c r="WGV99" s="105"/>
      <c r="WGW99" s="105"/>
      <c r="WGX99" s="105"/>
      <c r="WGY99" s="105"/>
      <c r="WGZ99" s="105"/>
      <c r="WHA99" s="105"/>
      <c r="WHB99" s="105"/>
      <c r="WHC99" s="105"/>
      <c r="WHD99" s="105"/>
      <c r="WHE99" s="105"/>
      <c r="WHF99" s="105"/>
      <c r="WHG99" s="105"/>
      <c r="WHH99" s="105"/>
      <c r="WHI99" s="105"/>
      <c r="WHJ99" s="105"/>
      <c r="WHK99" s="105"/>
      <c r="WHL99" s="105"/>
      <c r="WHM99" s="105"/>
      <c r="WHN99" s="105"/>
      <c r="WHO99" s="105"/>
      <c r="WHP99" s="105"/>
      <c r="WHQ99" s="105"/>
      <c r="WHR99" s="105"/>
      <c r="WHS99" s="105"/>
      <c r="WHT99" s="105"/>
      <c r="WHU99" s="105"/>
      <c r="WHV99" s="105"/>
      <c r="WHW99" s="105"/>
      <c r="WHX99" s="105"/>
      <c r="WHY99" s="105"/>
      <c r="WHZ99" s="105"/>
      <c r="WIA99" s="105"/>
      <c r="WIB99" s="105"/>
      <c r="WIC99" s="105"/>
      <c r="WID99" s="105"/>
      <c r="WIE99" s="105"/>
      <c r="WIF99" s="105"/>
      <c r="WIG99" s="105"/>
      <c r="WIH99" s="105"/>
      <c r="WII99" s="105"/>
      <c r="WIJ99" s="105"/>
      <c r="WIK99" s="105"/>
      <c r="WIL99" s="105"/>
      <c r="WIM99" s="105"/>
      <c r="WIN99" s="105"/>
      <c r="WIO99" s="105"/>
      <c r="WIP99" s="105"/>
      <c r="WIQ99" s="105"/>
      <c r="WIR99" s="105"/>
      <c r="WIS99" s="105"/>
      <c r="WIT99" s="105"/>
      <c r="WIU99" s="105"/>
      <c r="WIV99" s="105"/>
      <c r="WIW99" s="105"/>
      <c r="WIX99" s="105"/>
      <c r="WIY99" s="105"/>
      <c r="WIZ99" s="105"/>
      <c r="WJA99" s="105"/>
      <c r="WJB99" s="105"/>
      <c r="WJC99" s="105"/>
      <c r="WJD99" s="105"/>
      <c r="WJE99" s="105"/>
      <c r="WJF99" s="105"/>
      <c r="WJG99" s="105"/>
      <c r="WJH99" s="105"/>
      <c r="WJI99" s="105"/>
      <c r="WJJ99" s="105"/>
      <c r="WJK99" s="105"/>
      <c r="WJL99" s="105"/>
      <c r="WJM99" s="105"/>
      <c r="WJN99" s="105"/>
      <c r="WJO99" s="105"/>
      <c r="WJP99" s="105"/>
      <c r="WJQ99" s="105"/>
      <c r="WJR99" s="105"/>
      <c r="WJS99" s="105"/>
      <c r="WJT99" s="105"/>
      <c r="WJU99" s="105"/>
      <c r="WJV99" s="105"/>
      <c r="WJW99" s="105"/>
      <c r="WJX99" s="105"/>
      <c r="WJY99" s="105"/>
      <c r="WJZ99" s="105"/>
      <c r="WKA99" s="105"/>
      <c r="WKB99" s="105"/>
      <c r="WKC99" s="105"/>
      <c r="WKD99" s="105"/>
      <c r="WKE99" s="105"/>
      <c r="WKF99" s="105"/>
      <c r="WKG99" s="105"/>
      <c r="WKH99" s="105"/>
      <c r="WKI99" s="105"/>
      <c r="WKJ99" s="105"/>
      <c r="WKK99" s="105"/>
      <c r="WKL99" s="105"/>
      <c r="WKM99" s="105"/>
      <c r="WKN99" s="105"/>
      <c r="WKO99" s="105"/>
      <c r="WKP99" s="105"/>
      <c r="WKQ99" s="105"/>
      <c r="WKR99" s="105"/>
      <c r="WKS99" s="105"/>
      <c r="WKT99" s="105"/>
      <c r="WKU99" s="105"/>
      <c r="WKV99" s="105"/>
      <c r="WKW99" s="105"/>
      <c r="WKX99" s="105"/>
      <c r="WKY99" s="105"/>
      <c r="WKZ99" s="105"/>
      <c r="WLA99" s="105"/>
      <c r="WLB99" s="105"/>
      <c r="WLC99" s="105"/>
      <c r="WLD99" s="105"/>
      <c r="WLE99" s="105"/>
      <c r="WLF99" s="105"/>
      <c r="WLG99" s="105"/>
      <c r="WLH99" s="105"/>
      <c r="WLI99" s="105"/>
      <c r="WLJ99" s="105"/>
      <c r="WLK99" s="105"/>
      <c r="WLL99" s="105"/>
      <c r="WLM99" s="105"/>
      <c r="WLN99" s="105"/>
      <c r="WLO99" s="105"/>
      <c r="WLP99" s="105"/>
      <c r="WLQ99" s="105"/>
      <c r="WLR99" s="105"/>
      <c r="WLS99" s="105"/>
      <c r="WLT99" s="105"/>
      <c r="WLU99" s="105"/>
      <c r="WLV99" s="105"/>
      <c r="WLW99" s="105"/>
      <c r="WLX99" s="105"/>
      <c r="WLY99" s="105"/>
      <c r="WLZ99" s="105"/>
      <c r="WMA99" s="105"/>
      <c r="WMB99" s="105"/>
      <c r="WMC99" s="105"/>
      <c r="WMD99" s="105"/>
      <c r="WME99" s="105"/>
      <c r="WMF99" s="105"/>
      <c r="WMG99" s="105"/>
      <c r="WMH99" s="105"/>
      <c r="WMI99" s="105"/>
      <c r="WMJ99" s="105"/>
      <c r="WMK99" s="105"/>
      <c r="WML99" s="105"/>
      <c r="WMM99" s="105"/>
      <c r="WMN99" s="105"/>
      <c r="WMO99" s="105"/>
      <c r="WMP99" s="105"/>
      <c r="WMQ99" s="105"/>
      <c r="WMR99" s="105"/>
      <c r="WMS99" s="105"/>
      <c r="WMT99" s="105"/>
      <c r="WMU99" s="105"/>
      <c r="WMV99" s="105"/>
      <c r="WMW99" s="105"/>
      <c r="WMX99" s="105"/>
      <c r="WMY99" s="105"/>
      <c r="WMZ99" s="105"/>
      <c r="WNA99" s="105"/>
      <c r="WNB99" s="105"/>
      <c r="WNC99" s="105"/>
      <c r="WND99" s="105"/>
      <c r="WNE99" s="105"/>
      <c r="WNF99" s="105"/>
      <c r="WNG99" s="105"/>
      <c r="WNH99" s="105"/>
      <c r="WNI99" s="105"/>
      <c r="WNJ99" s="105"/>
      <c r="WNK99" s="105"/>
      <c r="WNL99" s="105"/>
      <c r="WNM99" s="105"/>
      <c r="WNN99" s="105"/>
      <c r="WNO99" s="105"/>
      <c r="WNP99" s="105"/>
      <c r="WNQ99" s="105"/>
      <c r="WNR99" s="105"/>
      <c r="WNS99" s="105"/>
      <c r="WNT99" s="105"/>
      <c r="WNU99" s="105"/>
      <c r="WNV99" s="105"/>
      <c r="WNW99" s="105"/>
      <c r="WNX99" s="105"/>
      <c r="WNY99" s="105"/>
      <c r="WNZ99" s="105"/>
      <c r="WOA99" s="105"/>
      <c r="WOB99" s="105"/>
      <c r="WOC99" s="105"/>
      <c r="WOD99" s="105"/>
      <c r="WOE99" s="105"/>
      <c r="WOF99" s="105"/>
      <c r="WOG99" s="105"/>
      <c r="WOH99" s="105"/>
      <c r="WOI99" s="105"/>
      <c r="WOJ99" s="105"/>
      <c r="WOK99" s="105"/>
      <c r="WOL99" s="105"/>
      <c r="WOM99" s="105"/>
      <c r="WON99" s="105"/>
      <c r="WOO99" s="105"/>
      <c r="WOP99" s="105"/>
      <c r="WOQ99" s="105"/>
      <c r="WOR99" s="105"/>
      <c r="WOS99" s="105"/>
      <c r="WOT99" s="105"/>
      <c r="WOU99" s="105"/>
      <c r="WOV99" s="105"/>
      <c r="WOW99" s="105"/>
      <c r="WOX99" s="105"/>
      <c r="WOY99" s="105"/>
      <c r="WOZ99" s="105"/>
      <c r="WPA99" s="105"/>
      <c r="WPB99" s="105"/>
      <c r="WPC99" s="105"/>
      <c r="WPD99" s="105"/>
      <c r="WPE99" s="105"/>
      <c r="WPF99" s="105"/>
      <c r="WPG99" s="105"/>
      <c r="WPH99" s="105"/>
      <c r="WPI99" s="105"/>
      <c r="WPJ99" s="105"/>
      <c r="WPK99" s="105"/>
      <c r="WPL99" s="105"/>
      <c r="WPM99" s="105"/>
      <c r="WPN99" s="105"/>
      <c r="WPO99" s="105"/>
      <c r="WPP99" s="105"/>
      <c r="WPQ99" s="105"/>
      <c r="WPR99" s="105"/>
      <c r="WPS99" s="105"/>
      <c r="WPT99" s="105"/>
      <c r="WPU99" s="105"/>
      <c r="WPV99" s="105"/>
      <c r="WPW99" s="105"/>
      <c r="WPX99" s="105"/>
      <c r="WPY99" s="105"/>
      <c r="WPZ99" s="105"/>
      <c r="WQA99" s="105"/>
      <c r="WQB99" s="105"/>
      <c r="WQC99" s="105"/>
      <c r="WQD99" s="105"/>
      <c r="WQE99" s="105"/>
      <c r="WQF99" s="105"/>
      <c r="WQG99" s="105"/>
      <c r="WQH99" s="105"/>
      <c r="WQI99" s="105"/>
      <c r="WQJ99" s="105"/>
      <c r="WQK99" s="105"/>
      <c r="WQL99" s="105"/>
      <c r="WQM99" s="105"/>
      <c r="WQN99" s="105"/>
      <c r="WQO99" s="105"/>
      <c r="WQP99" s="105"/>
      <c r="WQQ99" s="105"/>
      <c r="WQR99" s="105"/>
      <c r="WQS99" s="105"/>
      <c r="WQT99" s="105"/>
      <c r="WQU99" s="105"/>
      <c r="WQV99" s="105"/>
      <c r="WQW99" s="105"/>
      <c r="WQX99" s="105"/>
      <c r="WQY99" s="105"/>
      <c r="WQZ99" s="105"/>
      <c r="WRA99" s="105"/>
      <c r="WRB99" s="105"/>
      <c r="WRC99" s="105"/>
      <c r="WRD99" s="105"/>
      <c r="WRE99" s="105"/>
      <c r="WRF99" s="105"/>
      <c r="WRG99" s="105"/>
      <c r="WRH99" s="105"/>
      <c r="WRI99" s="105"/>
      <c r="WRJ99" s="105"/>
      <c r="WRK99" s="105"/>
      <c r="WRL99" s="105"/>
      <c r="WRM99" s="105"/>
      <c r="WRN99" s="105"/>
      <c r="WRO99" s="105"/>
      <c r="WRP99" s="105"/>
      <c r="WRQ99" s="105"/>
      <c r="WRR99" s="105"/>
      <c r="WRS99" s="105"/>
      <c r="WRT99" s="105"/>
      <c r="WRU99" s="105"/>
      <c r="WRV99" s="105"/>
      <c r="WRW99" s="105"/>
      <c r="WRX99" s="105"/>
      <c r="WRY99" s="105"/>
      <c r="WRZ99" s="105"/>
      <c r="WSA99" s="105"/>
      <c r="WSB99" s="105"/>
      <c r="WSC99" s="105"/>
      <c r="WSD99" s="105"/>
      <c r="WSE99" s="105"/>
      <c r="WSF99" s="105"/>
      <c r="WSG99" s="105"/>
      <c r="WSH99" s="105"/>
      <c r="WSI99" s="105"/>
      <c r="WSJ99" s="105"/>
      <c r="WSK99" s="105"/>
      <c r="WSL99" s="105"/>
      <c r="WSM99" s="105"/>
      <c r="WSN99" s="105"/>
      <c r="WSO99" s="105"/>
      <c r="WSP99" s="105"/>
      <c r="WSQ99" s="105"/>
      <c r="WSR99" s="105"/>
      <c r="WSS99" s="105"/>
      <c r="WST99" s="105"/>
      <c r="WSU99" s="105"/>
      <c r="WSV99" s="105"/>
      <c r="WSW99" s="105"/>
      <c r="WSX99" s="105"/>
      <c r="WSY99" s="105"/>
      <c r="WSZ99" s="105"/>
      <c r="WTA99" s="105"/>
      <c r="WTB99" s="105"/>
      <c r="WTC99" s="105"/>
      <c r="WTD99" s="105"/>
      <c r="WTE99" s="105"/>
      <c r="WTF99" s="105"/>
      <c r="WTG99" s="105"/>
      <c r="WTH99" s="105"/>
      <c r="WTI99" s="105"/>
      <c r="WTJ99" s="105"/>
      <c r="WTK99" s="105"/>
      <c r="WTL99" s="105"/>
      <c r="WTM99" s="105"/>
      <c r="WTN99" s="105"/>
      <c r="WTO99" s="105"/>
      <c r="WTP99" s="105"/>
      <c r="WTQ99" s="105"/>
      <c r="WTR99" s="105"/>
      <c r="WTS99" s="105"/>
      <c r="WTT99" s="105"/>
      <c r="WTU99" s="105"/>
      <c r="WTV99" s="105"/>
      <c r="WTW99" s="105"/>
      <c r="WTX99" s="105"/>
      <c r="WTY99" s="105"/>
      <c r="WTZ99" s="105"/>
      <c r="WUA99" s="105"/>
      <c r="WUB99" s="105"/>
      <c r="WUC99" s="105"/>
      <c r="WUD99" s="105"/>
      <c r="WUE99" s="105"/>
      <c r="WUF99" s="105"/>
      <c r="WUG99" s="105"/>
      <c r="WUH99" s="105"/>
      <c r="WUI99" s="105"/>
      <c r="WUJ99" s="105"/>
      <c r="WUK99" s="105"/>
      <c r="WUL99" s="105"/>
      <c r="WUM99" s="105"/>
      <c r="WUN99" s="105"/>
      <c r="WUO99" s="105"/>
      <c r="WUP99" s="105"/>
      <c r="WUQ99" s="105"/>
      <c r="WUR99" s="105"/>
      <c r="WUS99" s="105"/>
      <c r="WUT99" s="105"/>
      <c r="WUU99" s="105"/>
      <c r="WUV99" s="105"/>
      <c r="WUW99" s="105"/>
      <c r="WUX99" s="105"/>
      <c r="WUY99" s="105"/>
      <c r="WUZ99" s="105"/>
      <c r="WVA99" s="105"/>
      <c r="WVB99" s="105"/>
      <c r="WVC99" s="105"/>
      <c r="WVD99" s="105"/>
      <c r="WVE99" s="105"/>
      <c r="WVF99" s="105"/>
      <c r="WVG99" s="105"/>
      <c r="WVH99" s="105"/>
      <c r="WVI99" s="105"/>
      <c r="WVJ99" s="105"/>
      <c r="WVK99" s="105"/>
      <c r="WVL99" s="105"/>
      <c r="WVM99" s="105"/>
      <c r="WVN99" s="105"/>
      <c r="WVO99" s="105"/>
      <c r="WVP99" s="105"/>
      <c r="WVQ99" s="105"/>
      <c r="WVR99" s="105"/>
      <c r="WVS99" s="105"/>
      <c r="WVT99" s="105"/>
      <c r="WVU99" s="105"/>
      <c r="WVV99" s="105"/>
      <c r="WVW99" s="105"/>
      <c r="WVX99" s="105"/>
      <c r="WVY99" s="105"/>
      <c r="WVZ99" s="105"/>
      <c r="WWA99" s="105"/>
      <c r="WWB99" s="105"/>
      <c r="WWC99" s="105"/>
      <c r="WWD99" s="105"/>
      <c r="WWE99" s="105"/>
      <c r="WWF99" s="105"/>
      <c r="WWG99" s="105"/>
      <c r="WWH99" s="105"/>
      <c r="WWI99" s="105"/>
      <c r="WWJ99" s="105"/>
      <c r="WWK99" s="105"/>
      <c r="WWL99" s="105"/>
      <c r="WWM99" s="105"/>
      <c r="WWN99" s="105"/>
      <c r="WWO99" s="105"/>
      <c r="WWP99" s="105"/>
      <c r="WWQ99" s="105"/>
      <c r="WWR99" s="105"/>
      <c r="WWS99" s="105"/>
      <c r="WWT99" s="105"/>
      <c r="WWU99" s="105"/>
      <c r="WWV99" s="105"/>
      <c r="WWW99" s="105"/>
      <c r="WWX99" s="105"/>
      <c r="WWY99" s="105"/>
      <c r="WWZ99" s="105"/>
      <c r="WXA99" s="105"/>
      <c r="WXB99" s="105"/>
      <c r="WXC99" s="105"/>
      <c r="WXD99" s="105"/>
      <c r="WXE99" s="105"/>
      <c r="WXF99" s="105"/>
      <c r="WXG99" s="105"/>
      <c r="WXH99" s="105"/>
      <c r="WXI99" s="105"/>
      <c r="WXJ99" s="105"/>
      <c r="WXK99" s="105"/>
      <c r="WXL99" s="105"/>
      <c r="WXM99" s="105"/>
      <c r="WXN99" s="105"/>
      <c r="WXO99" s="105"/>
      <c r="WXP99" s="105"/>
      <c r="WXQ99" s="105"/>
      <c r="WXR99" s="105"/>
      <c r="WXS99" s="105"/>
      <c r="WXT99" s="105"/>
      <c r="WXU99" s="105"/>
      <c r="WXV99" s="105"/>
      <c r="WXW99" s="105"/>
      <c r="WXX99" s="105"/>
      <c r="WXY99" s="105"/>
      <c r="WXZ99" s="105"/>
      <c r="WYA99" s="105"/>
      <c r="WYB99" s="105"/>
      <c r="WYC99" s="105"/>
      <c r="WYD99" s="105"/>
      <c r="WYE99" s="105"/>
      <c r="WYF99" s="105"/>
      <c r="WYG99" s="105"/>
      <c r="WYH99" s="105"/>
      <c r="WYI99" s="105"/>
      <c r="WYJ99" s="105"/>
      <c r="WYK99" s="105"/>
      <c r="WYL99" s="105"/>
      <c r="WYM99" s="105"/>
      <c r="WYN99" s="105"/>
      <c r="WYO99" s="105"/>
      <c r="WYP99" s="105"/>
      <c r="WYQ99" s="105"/>
      <c r="WYR99" s="105"/>
      <c r="WYS99" s="105"/>
      <c r="WYT99" s="105"/>
      <c r="WYU99" s="105"/>
      <c r="WYV99" s="105"/>
      <c r="WYW99" s="105"/>
      <c r="WYX99" s="105"/>
      <c r="WYY99" s="105"/>
      <c r="WYZ99" s="105"/>
      <c r="WZA99" s="105"/>
      <c r="WZB99" s="105"/>
      <c r="WZC99" s="105"/>
      <c r="WZD99" s="105"/>
      <c r="WZE99" s="105"/>
      <c r="WZF99" s="105"/>
      <c r="WZG99" s="105"/>
      <c r="WZH99" s="105"/>
      <c r="WZI99" s="105"/>
      <c r="WZJ99" s="105"/>
      <c r="WZK99" s="105"/>
      <c r="WZL99" s="105"/>
      <c r="WZM99" s="105"/>
      <c r="WZN99" s="105"/>
      <c r="WZO99" s="105"/>
      <c r="WZP99" s="105"/>
      <c r="WZQ99" s="105"/>
      <c r="WZR99" s="105"/>
      <c r="WZS99" s="105"/>
      <c r="WZT99" s="105"/>
      <c r="WZU99" s="105"/>
      <c r="WZV99" s="105"/>
      <c r="WZW99" s="105"/>
      <c r="WZX99" s="105"/>
      <c r="WZY99" s="105"/>
      <c r="WZZ99" s="105"/>
      <c r="XAA99" s="105"/>
      <c r="XAB99" s="105"/>
      <c r="XAC99" s="105"/>
      <c r="XAD99" s="105"/>
      <c r="XAE99" s="105"/>
      <c r="XAF99" s="105"/>
      <c r="XAG99" s="105"/>
      <c r="XAH99" s="105"/>
      <c r="XAI99" s="105"/>
      <c r="XAJ99" s="105"/>
      <c r="XAK99" s="105"/>
      <c r="XAL99" s="105"/>
      <c r="XAM99" s="105"/>
      <c r="XAN99" s="105"/>
      <c r="XAO99" s="105"/>
      <c r="XAP99" s="105"/>
      <c r="XAQ99" s="105"/>
      <c r="XAR99" s="105"/>
      <c r="XAS99" s="105"/>
      <c r="XAT99" s="105"/>
      <c r="XAU99" s="105"/>
      <c r="XAV99" s="105"/>
      <c r="XAW99" s="105"/>
      <c r="XAX99" s="105"/>
      <c r="XAY99" s="105"/>
      <c r="XAZ99" s="105"/>
      <c r="XBA99" s="105"/>
      <c r="XBB99" s="105"/>
      <c r="XBC99" s="105"/>
      <c r="XBD99" s="105"/>
      <c r="XBE99" s="105"/>
      <c r="XBF99" s="105"/>
      <c r="XBG99" s="105"/>
      <c r="XBH99" s="105"/>
      <c r="XBI99" s="105"/>
      <c r="XBJ99" s="105"/>
      <c r="XBK99" s="105"/>
      <c r="XBL99" s="105"/>
      <c r="XBM99" s="105"/>
      <c r="XBN99" s="105"/>
      <c r="XBO99" s="105"/>
      <c r="XBP99" s="105"/>
      <c r="XBQ99" s="105"/>
      <c r="XBR99" s="105"/>
      <c r="XBS99" s="105"/>
      <c r="XBT99" s="105"/>
      <c r="XBU99" s="105"/>
      <c r="XBV99" s="105"/>
      <c r="XBW99" s="105"/>
      <c r="XBX99" s="105"/>
      <c r="XBY99" s="105"/>
      <c r="XBZ99" s="105"/>
      <c r="XCA99" s="105"/>
      <c r="XCB99" s="105"/>
      <c r="XCC99" s="105"/>
      <c r="XCD99" s="105"/>
      <c r="XCE99" s="105"/>
      <c r="XCF99" s="105"/>
      <c r="XCG99" s="105"/>
      <c r="XCH99" s="105"/>
      <c r="XCI99" s="105"/>
      <c r="XCJ99" s="105"/>
      <c r="XCK99" s="105"/>
      <c r="XCL99" s="105"/>
      <c r="XCM99" s="105"/>
      <c r="XCN99" s="105"/>
      <c r="XCO99" s="105"/>
      <c r="XCP99" s="105"/>
      <c r="XCQ99" s="105"/>
      <c r="XCR99" s="105"/>
      <c r="XCS99" s="105"/>
      <c r="XCT99" s="105"/>
      <c r="XCU99" s="105"/>
      <c r="XCV99" s="105"/>
      <c r="XCW99" s="105"/>
      <c r="XCX99" s="105"/>
      <c r="XCY99" s="105"/>
      <c r="XCZ99" s="105"/>
      <c r="XDA99" s="105"/>
      <c r="XDB99" s="105"/>
      <c r="XDC99" s="105"/>
      <c r="XDD99" s="105"/>
      <c r="XDE99" s="105"/>
      <c r="XDF99" s="105"/>
      <c r="XDG99" s="105"/>
      <c r="XDH99" s="105"/>
      <c r="XDI99" s="105"/>
      <c r="XDJ99" s="105"/>
      <c r="XDK99" s="105"/>
      <c r="XDL99" s="105"/>
      <c r="XDM99" s="105"/>
      <c r="XDN99" s="105"/>
      <c r="XDO99" s="105"/>
      <c r="XDP99" s="105"/>
      <c r="XDQ99" s="105"/>
      <c r="XDR99" s="105"/>
      <c r="XDS99" s="105"/>
      <c r="XDT99" s="105"/>
      <c r="XDU99" s="105"/>
      <c r="XDV99" s="105"/>
      <c r="XDW99" s="105"/>
      <c r="XDX99" s="105"/>
      <c r="XDY99" s="105"/>
      <c r="XDZ99" s="105"/>
      <c r="XEA99" s="105"/>
      <c r="XEB99" s="105"/>
      <c r="XEC99" s="105"/>
      <c r="XED99" s="105"/>
      <c r="XEE99" s="105"/>
      <c r="XEF99" s="105"/>
      <c r="XEG99" s="105"/>
      <c r="XEH99" s="105"/>
      <c r="XEI99" s="105"/>
      <c r="XEJ99" s="105"/>
      <c r="XEK99" s="105"/>
      <c r="XEL99" s="105"/>
      <c r="XEM99" s="105"/>
      <c r="XEN99" s="105"/>
      <c r="XEO99" s="105"/>
      <c r="XEP99" s="105"/>
      <c r="XEQ99" s="105"/>
      <c r="XER99" s="105"/>
      <c r="XES99" s="105"/>
      <c r="XET99" s="105"/>
      <c r="XEU99" s="105"/>
      <c r="XEV99" s="105"/>
      <c r="XEW99" s="105"/>
      <c r="XEX99" s="105"/>
      <c r="XEY99" s="105"/>
      <c r="XEZ99" s="105"/>
      <c r="XFA99" s="105"/>
      <c r="XFB99" s="105"/>
      <c r="XFC99" s="105"/>
      <c r="XFD99" s="105"/>
    </row>
    <row r="100" spans="1:16384" s="105" customFormat="1">
      <c r="B100" s="105" t="s">
        <v>202</v>
      </c>
    </row>
    <row r="101" spans="1:16384" s="105" customFormat="1">
      <c r="A101" s="83"/>
      <c r="B101" s="83"/>
      <c r="C101" s="83"/>
      <c r="D101" s="83"/>
      <c r="E101" s="83"/>
      <c r="F101" s="83"/>
      <c r="G101" s="83"/>
      <c r="H101" s="83"/>
      <c r="I101" s="83"/>
      <c r="J101" s="83"/>
    </row>
    <row r="102" spans="1:16384" s="105" customFormat="1">
      <c r="A102" s="83"/>
      <c r="B102" s="106" t="s">
        <v>203</v>
      </c>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c r="IW102" s="83"/>
      <c r="IX102" s="83"/>
      <c r="IY102" s="83"/>
      <c r="IZ102" s="83"/>
      <c r="JA102" s="83"/>
      <c r="JB102" s="83"/>
      <c r="JC102" s="83"/>
      <c r="JD102" s="83"/>
      <c r="JE102" s="83"/>
      <c r="JF102" s="83"/>
      <c r="JG102" s="83"/>
      <c r="JH102" s="83"/>
      <c r="JI102" s="83"/>
      <c r="JJ102" s="83"/>
      <c r="JK102" s="83"/>
      <c r="JL102" s="83"/>
      <c r="JM102" s="83"/>
      <c r="JN102" s="83"/>
      <c r="JO102" s="83"/>
      <c r="JP102" s="83"/>
      <c r="JQ102" s="83"/>
      <c r="JR102" s="83"/>
      <c r="JS102" s="83"/>
      <c r="JT102" s="83"/>
      <c r="JU102" s="83"/>
      <c r="JV102" s="83"/>
      <c r="JW102" s="83"/>
      <c r="JX102" s="83"/>
      <c r="JY102" s="83"/>
      <c r="JZ102" s="83"/>
      <c r="KA102" s="83"/>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3"/>
      <c r="KX102" s="83"/>
      <c r="KY102" s="83"/>
      <c r="KZ102" s="83"/>
      <c r="LA102" s="83"/>
      <c r="LB102" s="83"/>
      <c r="LC102" s="83"/>
      <c r="LD102" s="83"/>
      <c r="LE102" s="83"/>
      <c r="LF102" s="83"/>
      <c r="LG102" s="83"/>
      <c r="LH102" s="83"/>
      <c r="LI102" s="83"/>
      <c r="LJ102" s="83"/>
      <c r="LK102" s="83"/>
      <c r="LL102" s="83"/>
      <c r="LM102" s="83"/>
      <c r="LN102" s="83"/>
      <c r="LO102" s="83"/>
      <c r="LP102" s="83"/>
      <c r="LQ102" s="83"/>
      <c r="LR102" s="83"/>
      <c r="LS102" s="83"/>
      <c r="LT102" s="83"/>
      <c r="LU102" s="83"/>
      <c r="LV102" s="83"/>
      <c r="LW102" s="83"/>
      <c r="LX102" s="83"/>
      <c r="LY102" s="83"/>
      <c r="LZ102" s="83"/>
      <c r="MA102" s="83"/>
      <c r="MB102" s="83"/>
      <c r="MC102" s="83"/>
      <c r="MD102" s="83"/>
      <c r="ME102" s="83"/>
      <c r="MF102" s="83"/>
      <c r="MG102" s="83"/>
      <c r="MH102" s="83"/>
      <c r="MI102" s="83"/>
      <c r="MJ102" s="83"/>
      <c r="MK102" s="83"/>
      <c r="ML102" s="83"/>
      <c r="MM102" s="83"/>
      <c r="MN102" s="83"/>
      <c r="MO102" s="83"/>
      <c r="MP102" s="83"/>
      <c r="MQ102" s="83"/>
      <c r="MR102" s="83"/>
      <c r="MS102" s="83"/>
      <c r="MT102" s="83"/>
      <c r="MU102" s="83"/>
      <c r="MV102" s="83"/>
      <c r="MW102" s="83"/>
      <c r="MX102" s="83"/>
      <c r="MY102" s="83"/>
      <c r="MZ102" s="83"/>
      <c r="NA102" s="83"/>
      <c r="NB102" s="83"/>
      <c r="NC102" s="83"/>
      <c r="ND102" s="83"/>
      <c r="NE102" s="83"/>
      <c r="NF102" s="83"/>
      <c r="NG102" s="83"/>
      <c r="NH102" s="83"/>
      <c r="NI102" s="83"/>
      <c r="NJ102" s="83"/>
      <c r="NK102" s="83"/>
      <c r="NL102" s="83"/>
      <c r="NM102" s="83"/>
      <c r="NN102" s="83"/>
      <c r="NO102" s="83"/>
      <c r="NP102" s="83"/>
      <c r="NQ102" s="83"/>
      <c r="NR102" s="83"/>
      <c r="NS102" s="83"/>
      <c r="NT102" s="83"/>
      <c r="NU102" s="83"/>
      <c r="NV102" s="83"/>
      <c r="NW102" s="83"/>
      <c r="NX102" s="83"/>
      <c r="NY102" s="83"/>
      <c r="NZ102" s="83"/>
      <c r="OA102" s="83"/>
      <c r="OB102" s="83"/>
      <c r="OC102" s="83"/>
      <c r="OD102" s="83"/>
      <c r="OE102" s="83"/>
      <c r="OF102" s="83"/>
      <c r="OG102" s="83"/>
      <c r="OH102" s="83"/>
      <c r="OI102" s="83"/>
      <c r="OJ102" s="83"/>
      <c r="OK102" s="83"/>
      <c r="OL102" s="83"/>
      <c r="OM102" s="83"/>
      <c r="ON102" s="83"/>
      <c r="OO102" s="83"/>
      <c r="OP102" s="83"/>
      <c r="OQ102" s="83"/>
      <c r="OR102" s="83"/>
      <c r="OS102" s="83"/>
      <c r="OT102" s="83"/>
      <c r="OU102" s="83"/>
      <c r="OV102" s="83"/>
      <c r="OW102" s="83"/>
      <c r="OX102" s="83"/>
      <c r="OY102" s="83"/>
      <c r="OZ102" s="83"/>
      <c r="PA102" s="83"/>
      <c r="PB102" s="83"/>
      <c r="PC102" s="83"/>
      <c r="PD102" s="83"/>
      <c r="PE102" s="83"/>
      <c r="PF102" s="83"/>
      <c r="PG102" s="83"/>
      <c r="PH102" s="83"/>
      <c r="PI102" s="83"/>
      <c r="PJ102" s="83"/>
      <c r="PK102" s="83"/>
      <c r="PL102" s="83"/>
      <c r="PM102" s="83"/>
      <c r="PN102" s="83"/>
      <c r="PO102" s="83"/>
      <c r="PP102" s="83"/>
      <c r="PQ102" s="83"/>
      <c r="PR102" s="83"/>
      <c r="PS102" s="83"/>
      <c r="PT102" s="83"/>
      <c r="PU102" s="83"/>
      <c r="PV102" s="83"/>
      <c r="PW102" s="83"/>
      <c r="PX102" s="83"/>
      <c r="PY102" s="83"/>
      <c r="PZ102" s="83"/>
      <c r="QA102" s="83"/>
      <c r="QB102" s="83"/>
      <c r="QC102" s="83"/>
      <c r="QD102" s="83"/>
      <c r="QE102" s="83"/>
      <c r="QF102" s="83"/>
      <c r="QG102" s="83"/>
      <c r="QH102" s="83"/>
      <c r="QI102" s="83"/>
      <c r="QJ102" s="83"/>
      <c r="QK102" s="83"/>
      <c r="QL102" s="83"/>
      <c r="QM102" s="83"/>
      <c r="QN102" s="83"/>
      <c r="QO102" s="83"/>
      <c r="QP102" s="83"/>
      <c r="QQ102" s="83"/>
      <c r="QR102" s="83"/>
      <c r="QS102" s="83"/>
      <c r="QT102" s="83"/>
      <c r="QU102" s="83"/>
      <c r="QV102" s="83"/>
      <c r="QW102" s="83"/>
      <c r="QX102" s="83"/>
      <c r="QY102" s="83"/>
      <c r="QZ102" s="83"/>
      <c r="RA102" s="83"/>
      <c r="RB102" s="83"/>
      <c r="RC102" s="83"/>
      <c r="RD102" s="83"/>
      <c r="RE102" s="83"/>
      <c r="RF102" s="83"/>
      <c r="RG102" s="83"/>
      <c r="RH102" s="83"/>
      <c r="RI102" s="83"/>
      <c r="RJ102" s="83"/>
      <c r="RK102" s="83"/>
      <c r="RL102" s="83"/>
      <c r="RM102" s="83"/>
      <c r="RN102" s="83"/>
      <c r="RO102" s="83"/>
      <c r="RP102" s="83"/>
      <c r="RQ102" s="83"/>
      <c r="RR102" s="83"/>
      <c r="RS102" s="83"/>
      <c r="RT102" s="83"/>
      <c r="RU102" s="83"/>
      <c r="RV102" s="83"/>
      <c r="RW102" s="83"/>
      <c r="RX102" s="83"/>
      <c r="RY102" s="83"/>
      <c r="RZ102" s="83"/>
      <c r="SA102" s="83"/>
      <c r="SB102" s="83"/>
      <c r="SC102" s="83"/>
      <c r="SD102" s="83"/>
      <c r="SE102" s="83"/>
      <c r="SF102" s="83"/>
      <c r="SG102" s="83"/>
      <c r="SH102" s="83"/>
      <c r="SI102" s="83"/>
      <c r="SJ102" s="83"/>
      <c r="SK102" s="83"/>
      <c r="SL102" s="83"/>
      <c r="SM102" s="83"/>
      <c r="SN102" s="83"/>
      <c r="SO102" s="83"/>
      <c r="SP102" s="83"/>
      <c r="SQ102" s="83"/>
      <c r="SR102" s="83"/>
      <c r="SS102" s="83"/>
      <c r="ST102" s="83"/>
      <c r="SU102" s="83"/>
      <c r="SV102" s="83"/>
      <c r="SW102" s="83"/>
      <c r="SX102" s="83"/>
      <c r="SY102" s="83"/>
      <c r="SZ102" s="83"/>
      <c r="TA102" s="83"/>
      <c r="TB102" s="83"/>
      <c r="TC102" s="83"/>
      <c r="TD102" s="83"/>
      <c r="TE102" s="83"/>
      <c r="TF102" s="83"/>
      <c r="TG102" s="83"/>
      <c r="TH102" s="83"/>
      <c r="TI102" s="83"/>
      <c r="TJ102" s="83"/>
      <c r="TK102" s="83"/>
      <c r="TL102" s="83"/>
      <c r="TM102" s="83"/>
      <c r="TN102" s="83"/>
      <c r="TO102" s="83"/>
      <c r="TP102" s="83"/>
      <c r="TQ102" s="83"/>
      <c r="TR102" s="83"/>
      <c r="TS102" s="83"/>
      <c r="TT102" s="83"/>
      <c r="TU102" s="83"/>
      <c r="TV102" s="83"/>
      <c r="TW102" s="83"/>
      <c r="TX102" s="83"/>
      <c r="TY102" s="83"/>
      <c r="TZ102" s="83"/>
      <c r="UA102" s="83"/>
      <c r="UB102" s="83"/>
      <c r="UC102" s="83"/>
      <c r="UD102" s="83"/>
      <c r="UE102" s="83"/>
      <c r="UF102" s="83"/>
      <c r="UG102" s="83"/>
      <c r="UH102" s="83"/>
      <c r="UI102" s="83"/>
      <c r="UJ102" s="83"/>
      <c r="UK102" s="83"/>
      <c r="UL102" s="83"/>
      <c r="UM102" s="83"/>
      <c r="UN102" s="83"/>
      <c r="UO102" s="83"/>
      <c r="UP102" s="83"/>
      <c r="UQ102" s="83"/>
      <c r="UR102" s="83"/>
      <c r="US102" s="83"/>
      <c r="UT102" s="83"/>
      <c r="UU102" s="83"/>
      <c r="UV102" s="83"/>
      <c r="UW102" s="83"/>
      <c r="UX102" s="83"/>
      <c r="UY102" s="83"/>
      <c r="UZ102" s="83"/>
      <c r="VA102" s="83"/>
      <c r="VB102" s="83"/>
      <c r="VC102" s="83"/>
      <c r="VD102" s="83"/>
      <c r="VE102" s="83"/>
      <c r="VF102" s="83"/>
      <c r="VG102" s="83"/>
      <c r="VH102" s="83"/>
      <c r="VI102" s="83"/>
      <c r="VJ102" s="83"/>
      <c r="VK102" s="83"/>
      <c r="VL102" s="83"/>
      <c r="VM102" s="83"/>
      <c r="VN102" s="83"/>
      <c r="VO102" s="83"/>
      <c r="VP102" s="83"/>
      <c r="VQ102" s="83"/>
      <c r="VR102" s="83"/>
      <c r="VS102" s="83"/>
      <c r="VT102" s="83"/>
      <c r="VU102" s="83"/>
      <c r="VV102" s="83"/>
      <c r="VW102" s="83"/>
      <c r="VX102" s="83"/>
      <c r="VY102" s="83"/>
      <c r="VZ102" s="83"/>
      <c r="WA102" s="83"/>
      <c r="WB102" s="83"/>
      <c r="WC102" s="83"/>
      <c r="WD102" s="83"/>
      <c r="WE102" s="83"/>
      <c r="WF102" s="83"/>
      <c r="WG102" s="83"/>
      <c r="WH102" s="83"/>
      <c r="WI102" s="83"/>
      <c r="WJ102" s="83"/>
      <c r="WK102" s="83"/>
      <c r="WL102" s="83"/>
      <c r="WM102" s="83"/>
      <c r="WN102" s="83"/>
      <c r="WO102" s="83"/>
      <c r="WP102" s="83"/>
      <c r="WQ102" s="83"/>
      <c r="WR102" s="83"/>
      <c r="WS102" s="83"/>
      <c r="WT102" s="83"/>
      <c r="WU102" s="83"/>
      <c r="WV102" s="83"/>
      <c r="WW102" s="83"/>
      <c r="WX102" s="83"/>
      <c r="WY102" s="83"/>
      <c r="WZ102" s="83"/>
      <c r="XA102" s="83"/>
      <c r="XB102" s="83"/>
      <c r="XC102" s="83"/>
      <c r="XD102" s="83"/>
      <c r="XE102" s="83"/>
      <c r="XF102" s="83"/>
      <c r="XG102" s="83"/>
      <c r="XH102" s="83"/>
      <c r="XI102" s="83"/>
      <c r="XJ102" s="83"/>
      <c r="XK102" s="83"/>
      <c r="XL102" s="83"/>
      <c r="XM102" s="83"/>
      <c r="XN102" s="83"/>
      <c r="XO102" s="83"/>
      <c r="XP102" s="83"/>
      <c r="XQ102" s="83"/>
      <c r="XR102" s="83"/>
      <c r="XS102" s="83"/>
      <c r="XT102" s="83"/>
      <c r="XU102" s="83"/>
      <c r="XV102" s="83"/>
      <c r="XW102" s="83"/>
      <c r="XX102" s="83"/>
      <c r="XY102" s="83"/>
      <c r="XZ102" s="83"/>
      <c r="YA102" s="83"/>
      <c r="YB102" s="83"/>
      <c r="YC102" s="83"/>
      <c r="YD102" s="83"/>
      <c r="YE102" s="83"/>
      <c r="YF102" s="83"/>
      <c r="YG102" s="83"/>
      <c r="YH102" s="83"/>
      <c r="YI102" s="83"/>
      <c r="YJ102" s="83"/>
      <c r="YK102" s="83"/>
      <c r="YL102" s="83"/>
      <c r="YM102" s="83"/>
      <c r="YN102" s="83"/>
      <c r="YO102" s="83"/>
      <c r="YP102" s="83"/>
      <c r="YQ102" s="83"/>
      <c r="YR102" s="83"/>
      <c r="YS102" s="83"/>
      <c r="YT102" s="83"/>
      <c r="YU102" s="83"/>
      <c r="YV102" s="83"/>
      <c r="YW102" s="83"/>
      <c r="YX102" s="83"/>
      <c r="YY102" s="83"/>
      <c r="YZ102" s="83"/>
      <c r="ZA102" s="83"/>
      <c r="ZB102" s="83"/>
      <c r="ZC102" s="83"/>
      <c r="ZD102" s="83"/>
      <c r="ZE102" s="83"/>
      <c r="ZF102" s="83"/>
      <c r="ZG102" s="83"/>
      <c r="ZH102" s="83"/>
      <c r="ZI102" s="83"/>
      <c r="ZJ102" s="83"/>
      <c r="ZK102" s="83"/>
      <c r="ZL102" s="83"/>
      <c r="ZM102" s="83"/>
      <c r="ZN102" s="83"/>
      <c r="ZO102" s="83"/>
      <c r="ZP102" s="83"/>
      <c r="ZQ102" s="83"/>
      <c r="ZR102" s="83"/>
      <c r="ZS102" s="83"/>
      <c r="ZT102" s="83"/>
      <c r="ZU102" s="83"/>
      <c r="ZV102" s="83"/>
      <c r="ZW102" s="83"/>
      <c r="ZX102" s="83"/>
      <c r="ZY102" s="83"/>
      <c r="ZZ102" s="83"/>
      <c r="AAA102" s="83"/>
      <c r="AAB102" s="83"/>
      <c r="AAC102" s="83"/>
      <c r="AAD102" s="83"/>
      <c r="AAE102" s="83"/>
      <c r="AAF102" s="83"/>
      <c r="AAG102" s="83"/>
      <c r="AAH102" s="83"/>
      <c r="AAI102" s="83"/>
      <c r="AAJ102" s="83"/>
      <c r="AAK102" s="83"/>
      <c r="AAL102" s="83"/>
      <c r="AAM102" s="83"/>
      <c r="AAN102" s="83"/>
      <c r="AAO102" s="83"/>
      <c r="AAP102" s="83"/>
      <c r="AAQ102" s="83"/>
      <c r="AAR102" s="83"/>
      <c r="AAS102" s="83"/>
      <c r="AAT102" s="83"/>
      <c r="AAU102" s="83"/>
      <c r="AAV102" s="83"/>
      <c r="AAW102" s="83"/>
      <c r="AAX102" s="83"/>
      <c r="AAY102" s="83"/>
      <c r="AAZ102" s="83"/>
      <c r="ABA102" s="83"/>
      <c r="ABB102" s="83"/>
      <c r="ABC102" s="83"/>
      <c r="ABD102" s="83"/>
      <c r="ABE102" s="83"/>
      <c r="ABF102" s="83"/>
      <c r="ABG102" s="83"/>
      <c r="ABH102" s="83"/>
      <c r="ABI102" s="83"/>
      <c r="ABJ102" s="83"/>
      <c r="ABK102" s="83"/>
      <c r="ABL102" s="83"/>
      <c r="ABM102" s="83"/>
      <c r="ABN102" s="83"/>
      <c r="ABO102" s="83"/>
      <c r="ABP102" s="83"/>
      <c r="ABQ102" s="83"/>
      <c r="ABR102" s="83"/>
      <c r="ABS102" s="83"/>
      <c r="ABT102" s="83"/>
      <c r="ABU102" s="83"/>
      <c r="ABV102" s="83"/>
      <c r="ABW102" s="83"/>
      <c r="ABX102" s="83"/>
      <c r="ABY102" s="83"/>
      <c r="ABZ102" s="83"/>
      <c r="ACA102" s="83"/>
      <c r="ACB102" s="83"/>
      <c r="ACC102" s="83"/>
      <c r="ACD102" s="83"/>
      <c r="ACE102" s="83"/>
      <c r="ACF102" s="83"/>
      <c r="ACG102" s="83"/>
      <c r="ACH102" s="83"/>
      <c r="ACI102" s="83"/>
      <c r="ACJ102" s="83"/>
      <c r="ACK102" s="83"/>
      <c r="ACL102" s="83"/>
      <c r="ACM102" s="83"/>
      <c r="ACN102" s="83"/>
      <c r="ACO102" s="83"/>
      <c r="ACP102" s="83"/>
      <c r="ACQ102" s="83"/>
      <c r="ACR102" s="83"/>
      <c r="ACS102" s="83"/>
      <c r="ACT102" s="83"/>
      <c r="ACU102" s="83"/>
      <c r="ACV102" s="83"/>
      <c r="ACW102" s="83"/>
      <c r="ACX102" s="83"/>
      <c r="ACY102" s="83"/>
      <c r="ACZ102" s="83"/>
      <c r="ADA102" s="83"/>
      <c r="ADB102" s="83"/>
      <c r="ADC102" s="83"/>
      <c r="ADD102" s="83"/>
      <c r="ADE102" s="83"/>
      <c r="ADF102" s="83"/>
      <c r="ADG102" s="83"/>
      <c r="ADH102" s="83"/>
      <c r="ADI102" s="83"/>
      <c r="ADJ102" s="83"/>
      <c r="ADK102" s="83"/>
      <c r="ADL102" s="83"/>
      <c r="ADM102" s="83"/>
      <c r="ADN102" s="83"/>
      <c r="ADO102" s="83"/>
      <c r="ADP102" s="83"/>
      <c r="ADQ102" s="83"/>
      <c r="ADR102" s="83"/>
      <c r="ADS102" s="83"/>
      <c r="ADT102" s="83"/>
      <c r="ADU102" s="83"/>
      <c r="ADV102" s="83"/>
      <c r="ADW102" s="83"/>
      <c r="ADX102" s="83"/>
      <c r="ADY102" s="83"/>
      <c r="ADZ102" s="83"/>
      <c r="AEA102" s="83"/>
      <c r="AEB102" s="83"/>
      <c r="AEC102" s="83"/>
      <c r="AED102" s="83"/>
      <c r="AEE102" s="83"/>
      <c r="AEF102" s="83"/>
      <c r="AEG102" s="83"/>
      <c r="AEH102" s="83"/>
      <c r="AEI102" s="83"/>
      <c r="AEJ102" s="83"/>
      <c r="AEK102" s="83"/>
      <c r="AEL102" s="83"/>
      <c r="AEM102" s="83"/>
      <c r="AEN102" s="83"/>
      <c r="AEO102" s="83"/>
      <c r="AEP102" s="83"/>
      <c r="AEQ102" s="83"/>
      <c r="AER102" s="83"/>
      <c r="AES102" s="83"/>
      <c r="AET102" s="83"/>
      <c r="AEU102" s="83"/>
      <c r="AEV102" s="83"/>
      <c r="AEW102" s="83"/>
      <c r="AEX102" s="83"/>
      <c r="AEY102" s="83"/>
      <c r="AEZ102" s="83"/>
      <c r="AFA102" s="83"/>
      <c r="AFB102" s="83"/>
      <c r="AFC102" s="83"/>
      <c r="AFD102" s="83"/>
      <c r="AFE102" s="83"/>
      <c r="AFF102" s="83"/>
      <c r="AFG102" s="83"/>
      <c r="AFH102" s="83"/>
      <c r="AFI102" s="83"/>
      <c r="AFJ102" s="83"/>
      <c r="AFK102" s="83"/>
      <c r="AFL102" s="83"/>
      <c r="AFM102" s="83"/>
      <c r="AFN102" s="83"/>
      <c r="AFO102" s="83"/>
      <c r="AFP102" s="83"/>
      <c r="AFQ102" s="83"/>
      <c r="AFR102" s="83"/>
      <c r="AFS102" s="83"/>
      <c r="AFT102" s="83"/>
      <c r="AFU102" s="83"/>
      <c r="AFV102" s="83"/>
      <c r="AFW102" s="83"/>
      <c r="AFX102" s="83"/>
      <c r="AFY102" s="83"/>
      <c r="AFZ102" s="83"/>
      <c r="AGA102" s="83"/>
      <c r="AGB102" s="83"/>
      <c r="AGC102" s="83"/>
      <c r="AGD102" s="83"/>
      <c r="AGE102" s="83"/>
      <c r="AGF102" s="83"/>
      <c r="AGG102" s="83"/>
      <c r="AGH102" s="83"/>
      <c r="AGI102" s="83"/>
      <c r="AGJ102" s="83"/>
      <c r="AGK102" s="83"/>
      <c r="AGL102" s="83"/>
      <c r="AGM102" s="83"/>
      <c r="AGN102" s="83"/>
      <c r="AGO102" s="83"/>
      <c r="AGP102" s="83"/>
      <c r="AGQ102" s="83"/>
      <c r="AGR102" s="83"/>
      <c r="AGS102" s="83"/>
      <c r="AGT102" s="83"/>
      <c r="AGU102" s="83"/>
      <c r="AGV102" s="83"/>
      <c r="AGW102" s="83"/>
      <c r="AGX102" s="83"/>
      <c r="AGY102" s="83"/>
      <c r="AGZ102" s="83"/>
      <c r="AHA102" s="83"/>
      <c r="AHB102" s="83"/>
      <c r="AHC102" s="83"/>
      <c r="AHD102" s="83"/>
      <c r="AHE102" s="83"/>
      <c r="AHF102" s="83"/>
      <c r="AHG102" s="83"/>
      <c r="AHH102" s="83"/>
      <c r="AHI102" s="83"/>
      <c r="AHJ102" s="83"/>
      <c r="AHK102" s="83"/>
      <c r="AHL102" s="83"/>
      <c r="AHM102" s="83"/>
      <c r="AHN102" s="83"/>
      <c r="AHO102" s="83"/>
      <c r="AHP102" s="83"/>
      <c r="AHQ102" s="83"/>
      <c r="AHR102" s="83"/>
      <c r="AHS102" s="83"/>
      <c r="AHT102" s="83"/>
      <c r="AHU102" s="83"/>
      <c r="AHV102" s="83"/>
      <c r="AHW102" s="83"/>
      <c r="AHX102" s="83"/>
      <c r="AHY102" s="83"/>
      <c r="AHZ102" s="83"/>
      <c r="AIA102" s="83"/>
      <c r="AIB102" s="83"/>
      <c r="AIC102" s="83"/>
      <c r="AID102" s="83"/>
      <c r="AIE102" s="83"/>
      <c r="AIF102" s="83"/>
      <c r="AIG102" s="83"/>
      <c r="AIH102" s="83"/>
      <c r="AII102" s="83"/>
      <c r="AIJ102" s="83"/>
      <c r="AIK102" s="83"/>
      <c r="AIL102" s="83"/>
      <c r="AIM102" s="83"/>
      <c r="AIN102" s="83"/>
      <c r="AIO102" s="83"/>
      <c r="AIP102" s="83"/>
      <c r="AIQ102" s="83"/>
      <c r="AIR102" s="83"/>
      <c r="AIS102" s="83"/>
      <c r="AIT102" s="83"/>
      <c r="AIU102" s="83"/>
      <c r="AIV102" s="83"/>
      <c r="AIW102" s="83"/>
      <c r="AIX102" s="83"/>
      <c r="AIY102" s="83"/>
      <c r="AIZ102" s="83"/>
      <c r="AJA102" s="83"/>
      <c r="AJB102" s="83"/>
      <c r="AJC102" s="83"/>
      <c r="AJD102" s="83"/>
      <c r="AJE102" s="83"/>
      <c r="AJF102" s="83"/>
      <c r="AJG102" s="83"/>
      <c r="AJH102" s="83"/>
      <c r="AJI102" s="83"/>
      <c r="AJJ102" s="83"/>
      <c r="AJK102" s="83"/>
      <c r="AJL102" s="83"/>
      <c r="AJM102" s="83"/>
      <c r="AJN102" s="83"/>
      <c r="AJO102" s="83"/>
      <c r="AJP102" s="83"/>
      <c r="AJQ102" s="83"/>
      <c r="AJR102" s="83"/>
      <c r="AJS102" s="83"/>
      <c r="AJT102" s="83"/>
      <c r="AJU102" s="83"/>
      <c r="AJV102" s="83"/>
      <c r="AJW102" s="83"/>
      <c r="AJX102" s="83"/>
      <c r="AJY102" s="83"/>
      <c r="AJZ102" s="83"/>
      <c r="AKA102" s="83"/>
      <c r="AKB102" s="83"/>
      <c r="AKC102" s="83"/>
      <c r="AKD102" s="83"/>
      <c r="AKE102" s="83"/>
      <c r="AKF102" s="83"/>
      <c r="AKG102" s="83"/>
      <c r="AKH102" s="83"/>
      <c r="AKI102" s="83"/>
      <c r="AKJ102" s="83"/>
      <c r="AKK102" s="83"/>
      <c r="AKL102" s="83"/>
      <c r="AKM102" s="83"/>
      <c r="AKN102" s="83"/>
      <c r="AKO102" s="83"/>
      <c r="AKP102" s="83"/>
      <c r="AKQ102" s="83"/>
      <c r="AKR102" s="83"/>
      <c r="AKS102" s="83"/>
      <c r="AKT102" s="83"/>
      <c r="AKU102" s="83"/>
      <c r="AKV102" s="83"/>
      <c r="AKW102" s="83"/>
      <c r="AKX102" s="83"/>
      <c r="AKY102" s="83"/>
      <c r="AKZ102" s="83"/>
      <c r="ALA102" s="83"/>
      <c r="ALB102" s="83"/>
      <c r="ALC102" s="83"/>
      <c r="ALD102" s="83"/>
      <c r="ALE102" s="83"/>
      <c r="ALF102" s="83"/>
      <c r="ALG102" s="83"/>
      <c r="ALH102" s="83"/>
      <c r="ALI102" s="83"/>
      <c r="ALJ102" s="83"/>
      <c r="ALK102" s="83"/>
      <c r="ALL102" s="83"/>
      <c r="ALM102" s="83"/>
      <c r="ALN102" s="83"/>
      <c r="ALO102" s="83"/>
      <c r="ALP102" s="83"/>
      <c r="ALQ102" s="83"/>
      <c r="ALR102" s="83"/>
      <c r="ALS102" s="83"/>
      <c r="ALT102" s="83"/>
      <c r="ALU102" s="83"/>
      <c r="ALV102" s="83"/>
      <c r="ALW102" s="83"/>
      <c r="ALX102" s="83"/>
      <c r="ALY102" s="83"/>
      <c r="ALZ102" s="83"/>
      <c r="AMA102" s="83"/>
      <c r="AMB102" s="83"/>
      <c r="AMC102" s="83"/>
      <c r="AMD102" s="83"/>
      <c r="AME102" s="83"/>
      <c r="AMF102" s="83"/>
      <c r="AMG102" s="83"/>
      <c r="AMH102" s="83"/>
      <c r="AMI102" s="83"/>
      <c r="AMJ102" s="83"/>
      <c r="AMK102" s="83"/>
      <c r="AML102" s="83"/>
      <c r="AMM102" s="83"/>
      <c r="AMN102" s="83"/>
      <c r="AMO102" s="83"/>
      <c r="AMP102" s="83"/>
      <c r="AMQ102" s="83"/>
      <c r="AMR102" s="83"/>
      <c r="AMS102" s="83"/>
      <c r="AMT102" s="83"/>
      <c r="AMU102" s="83"/>
      <c r="AMV102" s="83"/>
      <c r="AMW102" s="83"/>
      <c r="AMX102" s="83"/>
      <c r="AMY102" s="83"/>
      <c r="AMZ102" s="83"/>
      <c r="ANA102" s="83"/>
      <c r="ANB102" s="83"/>
      <c r="ANC102" s="83"/>
      <c r="AND102" s="83"/>
      <c r="ANE102" s="83"/>
      <c r="ANF102" s="83"/>
      <c r="ANG102" s="83"/>
      <c r="ANH102" s="83"/>
      <c r="ANI102" s="83"/>
      <c r="ANJ102" s="83"/>
      <c r="ANK102" s="83"/>
      <c r="ANL102" s="83"/>
      <c r="ANM102" s="83"/>
      <c r="ANN102" s="83"/>
      <c r="ANO102" s="83"/>
      <c r="ANP102" s="83"/>
      <c r="ANQ102" s="83"/>
      <c r="ANR102" s="83"/>
      <c r="ANS102" s="83"/>
      <c r="ANT102" s="83"/>
      <c r="ANU102" s="83"/>
      <c r="ANV102" s="83"/>
      <c r="ANW102" s="83"/>
      <c r="ANX102" s="83"/>
      <c r="ANY102" s="83"/>
      <c r="ANZ102" s="83"/>
      <c r="AOA102" s="83"/>
      <c r="AOB102" s="83"/>
      <c r="AOC102" s="83"/>
      <c r="AOD102" s="83"/>
      <c r="AOE102" s="83"/>
      <c r="AOF102" s="83"/>
      <c r="AOG102" s="83"/>
      <c r="AOH102" s="83"/>
      <c r="AOI102" s="83"/>
      <c r="AOJ102" s="83"/>
      <c r="AOK102" s="83"/>
      <c r="AOL102" s="83"/>
      <c r="AOM102" s="83"/>
      <c r="AON102" s="83"/>
      <c r="AOO102" s="83"/>
      <c r="AOP102" s="83"/>
      <c r="AOQ102" s="83"/>
      <c r="AOR102" s="83"/>
      <c r="AOS102" s="83"/>
      <c r="AOT102" s="83"/>
      <c r="AOU102" s="83"/>
      <c r="AOV102" s="83"/>
      <c r="AOW102" s="83"/>
      <c r="AOX102" s="83"/>
      <c r="AOY102" s="83"/>
      <c r="AOZ102" s="83"/>
      <c r="APA102" s="83"/>
      <c r="APB102" s="83"/>
      <c r="APC102" s="83"/>
      <c r="APD102" s="83"/>
      <c r="APE102" s="83"/>
      <c r="APF102" s="83"/>
      <c r="APG102" s="83"/>
      <c r="APH102" s="83"/>
      <c r="API102" s="83"/>
      <c r="APJ102" s="83"/>
      <c r="APK102" s="83"/>
      <c r="APL102" s="83"/>
      <c r="APM102" s="83"/>
      <c r="APN102" s="83"/>
      <c r="APO102" s="83"/>
      <c r="APP102" s="83"/>
      <c r="APQ102" s="83"/>
      <c r="APR102" s="83"/>
      <c r="APS102" s="83"/>
      <c r="APT102" s="83"/>
      <c r="APU102" s="83"/>
      <c r="APV102" s="83"/>
      <c r="APW102" s="83"/>
      <c r="APX102" s="83"/>
      <c r="APY102" s="83"/>
      <c r="APZ102" s="83"/>
      <c r="AQA102" s="83"/>
      <c r="AQB102" s="83"/>
      <c r="AQC102" s="83"/>
      <c r="AQD102" s="83"/>
      <c r="AQE102" s="83"/>
      <c r="AQF102" s="83"/>
      <c r="AQG102" s="83"/>
      <c r="AQH102" s="83"/>
      <c r="AQI102" s="83"/>
      <c r="AQJ102" s="83"/>
      <c r="AQK102" s="83"/>
      <c r="AQL102" s="83"/>
      <c r="AQM102" s="83"/>
      <c r="AQN102" s="83"/>
      <c r="AQO102" s="83"/>
      <c r="AQP102" s="83"/>
      <c r="AQQ102" s="83"/>
      <c r="AQR102" s="83"/>
      <c r="AQS102" s="83"/>
      <c r="AQT102" s="83"/>
      <c r="AQU102" s="83"/>
      <c r="AQV102" s="83"/>
      <c r="AQW102" s="83"/>
      <c r="AQX102" s="83"/>
      <c r="AQY102" s="83"/>
      <c r="AQZ102" s="83"/>
      <c r="ARA102" s="83"/>
      <c r="ARB102" s="83"/>
      <c r="ARC102" s="83"/>
      <c r="ARD102" s="83"/>
      <c r="ARE102" s="83"/>
      <c r="ARF102" s="83"/>
      <c r="ARG102" s="83"/>
      <c r="ARH102" s="83"/>
      <c r="ARI102" s="83"/>
      <c r="ARJ102" s="83"/>
      <c r="ARK102" s="83"/>
      <c r="ARL102" s="83"/>
      <c r="ARM102" s="83"/>
      <c r="ARN102" s="83"/>
      <c r="ARO102" s="83"/>
      <c r="ARP102" s="83"/>
      <c r="ARQ102" s="83"/>
      <c r="ARR102" s="83"/>
      <c r="ARS102" s="83"/>
      <c r="ART102" s="83"/>
      <c r="ARU102" s="83"/>
      <c r="ARV102" s="83"/>
      <c r="ARW102" s="83"/>
      <c r="ARX102" s="83"/>
      <c r="ARY102" s="83"/>
      <c r="ARZ102" s="83"/>
      <c r="ASA102" s="83"/>
      <c r="ASB102" s="83"/>
      <c r="ASC102" s="83"/>
      <c r="ASD102" s="83"/>
      <c r="ASE102" s="83"/>
      <c r="ASF102" s="83"/>
      <c r="ASG102" s="83"/>
      <c r="ASH102" s="83"/>
      <c r="ASI102" s="83"/>
      <c r="ASJ102" s="83"/>
      <c r="ASK102" s="83"/>
      <c r="ASL102" s="83"/>
      <c r="ASM102" s="83"/>
      <c r="ASN102" s="83"/>
      <c r="ASO102" s="83"/>
      <c r="ASP102" s="83"/>
      <c r="ASQ102" s="83"/>
      <c r="ASR102" s="83"/>
      <c r="ASS102" s="83"/>
      <c r="AST102" s="83"/>
      <c r="ASU102" s="83"/>
      <c r="ASV102" s="83"/>
      <c r="ASW102" s="83"/>
      <c r="ASX102" s="83"/>
      <c r="ASY102" s="83"/>
      <c r="ASZ102" s="83"/>
      <c r="ATA102" s="83"/>
      <c r="ATB102" s="83"/>
      <c r="ATC102" s="83"/>
      <c r="ATD102" s="83"/>
      <c r="ATE102" s="83"/>
      <c r="ATF102" s="83"/>
      <c r="ATG102" s="83"/>
      <c r="ATH102" s="83"/>
      <c r="ATI102" s="83"/>
      <c r="ATJ102" s="83"/>
      <c r="ATK102" s="83"/>
      <c r="ATL102" s="83"/>
      <c r="ATM102" s="83"/>
      <c r="ATN102" s="83"/>
      <c r="ATO102" s="83"/>
      <c r="ATP102" s="83"/>
      <c r="ATQ102" s="83"/>
      <c r="ATR102" s="83"/>
      <c r="ATS102" s="83"/>
      <c r="ATT102" s="83"/>
      <c r="ATU102" s="83"/>
      <c r="ATV102" s="83"/>
      <c r="ATW102" s="83"/>
      <c r="ATX102" s="83"/>
      <c r="ATY102" s="83"/>
      <c r="ATZ102" s="83"/>
      <c r="AUA102" s="83"/>
      <c r="AUB102" s="83"/>
      <c r="AUC102" s="83"/>
      <c r="AUD102" s="83"/>
      <c r="AUE102" s="83"/>
      <c r="AUF102" s="83"/>
      <c r="AUG102" s="83"/>
      <c r="AUH102" s="83"/>
      <c r="AUI102" s="83"/>
      <c r="AUJ102" s="83"/>
      <c r="AUK102" s="83"/>
      <c r="AUL102" s="83"/>
      <c r="AUM102" s="83"/>
      <c r="AUN102" s="83"/>
      <c r="AUO102" s="83"/>
      <c r="AUP102" s="83"/>
      <c r="AUQ102" s="83"/>
      <c r="AUR102" s="83"/>
      <c r="AUS102" s="83"/>
      <c r="AUT102" s="83"/>
      <c r="AUU102" s="83"/>
      <c r="AUV102" s="83"/>
      <c r="AUW102" s="83"/>
      <c r="AUX102" s="83"/>
      <c r="AUY102" s="83"/>
      <c r="AUZ102" s="83"/>
      <c r="AVA102" s="83"/>
      <c r="AVB102" s="83"/>
      <c r="AVC102" s="83"/>
      <c r="AVD102" s="83"/>
      <c r="AVE102" s="83"/>
      <c r="AVF102" s="83"/>
      <c r="AVG102" s="83"/>
      <c r="AVH102" s="83"/>
      <c r="AVI102" s="83"/>
      <c r="AVJ102" s="83"/>
      <c r="AVK102" s="83"/>
      <c r="AVL102" s="83"/>
      <c r="AVM102" s="83"/>
      <c r="AVN102" s="83"/>
      <c r="AVO102" s="83"/>
      <c r="AVP102" s="83"/>
      <c r="AVQ102" s="83"/>
      <c r="AVR102" s="83"/>
      <c r="AVS102" s="83"/>
      <c r="AVT102" s="83"/>
      <c r="AVU102" s="83"/>
      <c r="AVV102" s="83"/>
      <c r="AVW102" s="83"/>
      <c r="AVX102" s="83"/>
      <c r="AVY102" s="83"/>
      <c r="AVZ102" s="83"/>
      <c r="AWA102" s="83"/>
      <c r="AWB102" s="83"/>
      <c r="AWC102" s="83"/>
      <c r="AWD102" s="83"/>
      <c r="AWE102" s="83"/>
      <c r="AWF102" s="83"/>
      <c r="AWG102" s="83"/>
      <c r="AWH102" s="83"/>
      <c r="AWI102" s="83"/>
      <c r="AWJ102" s="83"/>
      <c r="AWK102" s="83"/>
      <c r="AWL102" s="83"/>
      <c r="AWM102" s="83"/>
      <c r="AWN102" s="83"/>
      <c r="AWO102" s="83"/>
      <c r="AWP102" s="83"/>
      <c r="AWQ102" s="83"/>
      <c r="AWR102" s="83"/>
      <c r="AWS102" s="83"/>
      <c r="AWT102" s="83"/>
      <c r="AWU102" s="83"/>
      <c r="AWV102" s="83"/>
      <c r="AWW102" s="83"/>
      <c r="AWX102" s="83"/>
      <c r="AWY102" s="83"/>
      <c r="AWZ102" s="83"/>
      <c r="AXA102" s="83"/>
      <c r="AXB102" s="83"/>
      <c r="AXC102" s="83"/>
      <c r="AXD102" s="83"/>
      <c r="AXE102" s="83"/>
      <c r="AXF102" s="83"/>
      <c r="AXG102" s="83"/>
      <c r="AXH102" s="83"/>
      <c r="AXI102" s="83"/>
      <c r="AXJ102" s="83"/>
      <c r="AXK102" s="83"/>
      <c r="AXL102" s="83"/>
      <c r="AXM102" s="83"/>
      <c r="AXN102" s="83"/>
      <c r="AXO102" s="83"/>
      <c r="AXP102" s="83"/>
      <c r="AXQ102" s="83"/>
      <c r="AXR102" s="83"/>
      <c r="AXS102" s="83"/>
      <c r="AXT102" s="83"/>
      <c r="AXU102" s="83"/>
      <c r="AXV102" s="83"/>
      <c r="AXW102" s="83"/>
      <c r="AXX102" s="83"/>
      <c r="AXY102" s="83"/>
      <c r="AXZ102" s="83"/>
      <c r="AYA102" s="83"/>
      <c r="AYB102" s="83"/>
      <c r="AYC102" s="83"/>
      <c r="AYD102" s="83"/>
      <c r="AYE102" s="83"/>
      <c r="AYF102" s="83"/>
      <c r="AYG102" s="83"/>
      <c r="AYH102" s="83"/>
      <c r="AYI102" s="83"/>
      <c r="AYJ102" s="83"/>
      <c r="AYK102" s="83"/>
      <c r="AYL102" s="83"/>
      <c r="AYM102" s="83"/>
      <c r="AYN102" s="83"/>
      <c r="AYO102" s="83"/>
      <c r="AYP102" s="83"/>
      <c r="AYQ102" s="83"/>
      <c r="AYR102" s="83"/>
      <c r="AYS102" s="83"/>
      <c r="AYT102" s="83"/>
      <c r="AYU102" s="83"/>
      <c r="AYV102" s="83"/>
      <c r="AYW102" s="83"/>
      <c r="AYX102" s="83"/>
      <c r="AYY102" s="83"/>
      <c r="AYZ102" s="83"/>
      <c r="AZA102" s="83"/>
      <c r="AZB102" s="83"/>
      <c r="AZC102" s="83"/>
      <c r="AZD102" s="83"/>
      <c r="AZE102" s="83"/>
      <c r="AZF102" s="83"/>
      <c r="AZG102" s="83"/>
      <c r="AZH102" s="83"/>
      <c r="AZI102" s="83"/>
      <c r="AZJ102" s="83"/>
      <c r="AZK102" s="83"/>
      <c r="AZL102" s="83"/>
      <c r="AZM102" s="83"/>
      <c r="AZN102" s="83"/>
      <c r="AZO102" s="83"/>
      <c r="AZP102" s="83"/>
      <c r="AZQ102" s="83"/>
      <c r="AZR102" s="83"/>
      <c r="AZS102" s="83"/>
      <c r="AZT102" s="83"/>
      <c r="AZU102" s="83"/>
      <c r="AZV102" s="83"/>
      <c r="AZW102" s="83"/>
      <c r="AZX102" s="83"/>
      <c r="AZY102" s="83"/>
      <c r="AZZ102" s="83"/>
      <c r="BAA102" s="83"/>
      <c r="BAB102" s="83"/>
      <c r="BAC102" s="83"/>
      <c r="BAD102" s="83"/>
      <c r="BAE102" s="83"/>
      <c r="BAF102" s="83"/>
      <c r="BAG102" s="83"/>
      <c r="BAH102" s="83"/>
      <c r="BAI102" s="83"/>
      <c r="BAJ102" s="83"/>
      <c r="BAK102" s="83"/>
      <c r="BAL102" s="83"/>
      <c r="BAM102" s="83"/>
      <c r="BAN102" s="83"/>
      <c r="BAO102" s="83"/>
      <c r="BAP102" s="83"/>
      <c r="BAQ102" s="83"/>
      <c r="BAR102" s="83"/>
      <c r="BAS102" s="83"/>
      <c r="BAT102" s="83"/>
      <c r="BAU102" s="83"/>
      <c r="BAV102" s="83"/>
      <c r="BAW102" s="83"/>
      <c r="BAX102" s="83"/>
      <c r="BAY102" s="83"/>
      <c r="BAZ102" s="83"/>
      <c r="BBA102" s="83"/>
      <c r="BBB102" s="83"/>
      <c r="BBC102" s="83"/>
      <c r="BBD102" s="83"/>
      <c r="BBE102" s="83"/>
      <c r="BBF102" s="83"/>
      <c r="BBG102" s="83"/>
      <c r="BBH102" s="83"/>
      <c r="BBI102" s="83"/>
      <c r="BBJ102" s="83"/>
      <c r="BBK102" s="83"/>
      <c r="BBL102" s="83"/>
      <c r="BBM102" s="83"/>
      <c r="BBN102" s="83"/>
      <c r="BBO102" s="83"/>
      <c r="BBP102" s="83"/>
      <c r="BBQ102" s="83"/>
      <c r="BBR102" s="83"/>
      <c r="BBS102" s="83"/>
      <c r="BBT102" s="83"/>
      <c r="BBU102" s="83"/>
      <c r="BBV102" s="83"/>
      <c r="BBW102" s="83"/>
      <c r="BBX102" s="83"/>
      <c r="BBY102" s="83"/>
      <c r="BBZ102" s="83"/>
      <c r="BCA102" s="83"/>
      <c r="BCB102" s="83"/>
      <c r="BCC102" s="83"/>
      <c r="BCD102" s="83"/>
      <c r="BCE102" s="83"/>
      <c r="BCF102" s="83"/>
      <c r="BCG102" s="83"/>
      <c r="BCH102" s="83"/>
      <c r="BCI102" s="83"/>
      <c r="BCJ102" s="83"/>
      <c r="BCK102" s="83"/>
      <c r="BCL102" s="83"/>
      <c r="BCM102" s="83"/>
      <c r="BCN102" s="83"/>
      <c r="BCO102" s="83"/>
      <c r="BCP102" s="83"/>
      <c r="BCQ102" s="83"/>
      <c r="BCR102" s="83"/>
      <c r="BCS102" s="83"/>
      <c r="BCT102" s="83"/>
      <c r="BCU102" s="83"/>
      <c r="BCV102" s="83"/>
      <c r="BCW102" s="83"/>
      <c r="BCX102" s="83"/>
      <c r="BCY102" s="83"/>
      <c r="BCZ102" s="83"/>
      <c r="BDA102" s="83"/>
      <c r="BDB102" s="83"/>
      <c r="BDC102" s="83"/>
      <c r="BDD102" s="83"/>
      <c r="BDE102" s="83"/>
      <c r="BDF102" s="83"/>
      <c r="BDG102" s="83"/>
      <c r="BDH102" s="83"/>
      <c r="BDI102" s="83"/>
      <c r="BDJ102" s="83"/>
      <c r="BDK102" s="83"/>
      <c r="BDL102" s="83"/>
      <c r="BDM102" s="83"/>
      <c r="BDN102" s="83"/>
      <c r="BDO102" s="83"/>
      <c r="BDP102" s="83"/>
      <c r="BDQ102" s="83"/>
      <c r="BDR102" s="83"/>
      <c r="BDS102" s="83"/>
      <c r="BDT102" s="83"/>
      <c r="BDU102" s="83"/>
      <c r="BDV102" s="83"/>
      <c r="BDW102" s="83"/>
      <c r="BDX102" s="83"/>
      <c r="BDY102" s="83"/>
      <c r="BDZ102" s="83"/>
      <c r="BEA102" s="83"/>
      <c r="BEB102" s="83"/>
      <c r="BEC102" s="83"/>
      <c r="BED102" s="83"/>
      <c r="BEE102" s="83"/>
      <c r="BEF102" s="83"/>
      <c r="BEG102" s="83"/>
      <c r="BEH102" s="83"/>
      <c r="BEI102" s="83"/>
      <c r="BEJ102" s="83"/>
      <c r="BEK102" s="83"/>
      <c r="BEL102" s="83"/>
      <c r="BEM102" s="83"/>
      <c r="BEN102" s="83"/>
      <c r="BEO102" s="83"/>
      <c r="BEP102" s="83"/>
      <c r="BEQ102" s="83"/>
      <c r="BER102" s="83"/>
      <c r="BES102" s="83"/>
      <c r="BET102" s="83"/>
      <c r="BEU102" s="83"/>
      <c r="BEV102" s="83"/>
      <c r="BEW102" s="83"/>
      <c r="BEX102" s="83"/>
      <c r="BEY102" s="83"/>
      <c r="BEZ102" s="83"/>
      <c r="BFA102" s="83"/>
      <c r="BFB102" s="83"/>
      <c r="BFC102" s="83"/>
      <c r="BFD102" s="83"/>
      <c r="BFE102" s="83"/>
      <c r="BFF102" s="83"/>
      <c r="BFG102" s="83"/>
      <c r="BFH102" s="83"/>
      <c r="BFI102" s="83"/>
      <c r="BFJ102" s="83"/>
      <c r="BFK102" s="83"/>
      <c r="BFL102" s="83"/>
      <c r="BFM102" s="83"/>
      <c r="BFN102" s="83"/>
      <c r="BFO102" s="83"/>
      <c r="BFP102" s="83"/>
      <c r="BFQ102" s="83"/>
      <c r="BFR102" s="83"/>
      <c r="BFS102" s="83"/>
      <c r="BFT102" s="83"/>
      <c r="BFU102" s="83"/>
      <c r="BFV102" s="83"/>
      <c r="BFW102" s="83"/>
      <c r="BFX102" s="83"/>
      <c r="BFY102" s="83"/>
      <c r="BFZ102" s="83"/>
      <c r="BGA102" s="83"/>
      <c r="BGB102" s="83"/>
      <c r="BGC102" s="83"/>
      <c r="BGD102" s="83"/>
      <c r="BGE102" s="83"/>
      <c r="BGF102" s="83"/>
      <c r="BGG102" s="83"/>
      <c r="BGH102" s="83"/>
      <c r="BGI102" s="83"/>
      <c r="BGJ102" s="83"/>
      <c r="BGK102" s="83"/>
      <c r="BGL102" s="83"/>
      <c r="BGM102" s="83"/>
      <c r="BGN102" s="83"/>
      <c r="BGO102" s="83"/>
      <c r="BGP102" s="83"/>
      <c r="BGQ102" s="83"/>
      <c r="BGR102" s="83"/>
      <c r="BGS102" s="83"/>
      <c r="BGT102" s="83"/>
      <c r="BGU102" s="83"/>
      <c r="BGV102" s="83"/>
      <c r="BGW102" s="83"/>
      <c r="BGX102" s="83"/>
      <c r="BGY102" s="83"/>
      <c r="BGZ102" s="83"/>
      <c r="BHA102" s="83"/>
      <c r="BHB102" s="83"/>
      <c r="BHC102" s="83"/>
      <c r="BHD102" s="83"/>
      <c r="BHE102" s="83"/>
      <c r="BHF102" s="83"/>
      <c r="BHG102" s="83"/>
      <c r="BHH102" s="83"/>
      <c r="BHI102" s="83"/>
      <c r="BHJ102" s="83"/>
      <c r="BHK102" s="83"/>
      <c r="BHL102" s="83"/>
      <c r="BHM102" s="83"/>
      <c r="BHN102" s="83"/>
      <c r="BHO102" s="83"/>
      <c r="BHP102" s="83"/>
      <c r="BHQ102" s="83"/>
      <c r="BHR102" s="83"/>
      <c r="BHS102" s="83"/>
      <c r="BHT102" s="83"/>
      <c r="BHU102" s="83"/>
      <c r="BHV102" s="83"/>
      <c r="BHW102" s="83"/>
      <c r="BHX102" s="83"/>
      <c r="BHY102" s="83"/>
      <c r="BHZ102" s="83"/>
      <c r="BIA102" s="83"/>
      <c r="BIB102" s="83"/>
      <c r="BIC102" s="83"/>
      <c r="BID102" s="83"/>
      <c r="BIE102" s="83"/>
      <c r="BIF102" s="83"/>
      <c r="BIG102" s="83"/>
      <c r="BIH102" s="83"/>
      <c r="BII102" s="83"/>
      <c r="BIJ102" s="83"/>
      <c r="BIK102" s="83"/>
      <c r="BIL102" s="83"/>
      <c r="BIM102" s="83"/>
      <c r="BIN102" s="83"/>
      <c r="BIO102" s="83"/>
      <c r="BIP102" s="83"/>
      <c r="BIQ102" s="83"/>
      <c r="BIR102" s="83"/>
      <c r="BIS102" s="83"/>
      <c r="BIT102" s="83"/>
      <c r="BIU102" s="83"/>
      <c r="BIV102" s="83"/>
      <c r="BIW102" s="83"/>
      <c r="BIX102" s="83"/>
      <c r="BIY102" s="83"/>
      <c r="BIZ102" s="83"/>
      <c r="BJA102" s="83"/>
      <c r="BJB102" s="83"/>
      <c r="BJC102" s="83"/>
      <c r="BJD102" s="83"/>
      <c r="BJE102" s="83"/>
      <c r="BJF102" s="83"/>
      <c r="BJG102" s="83"/>
      <c r="BJH102" s="83"/>
      <c r="BJI102" s="83"/>
      <c r="BJJ102" s="83"/>
      <c r="BJK102" s="83"/>
      <c r="BJL102" s="83"/>
      <c r="BJM102" s="83"/>
      <c r="BJN102" s="83"/>
      <c r="BJO102" s="83"/>
      <c r="BJP102" s="83"/>
      <c r="BJQ102" s="83"/>
      <c r="BJR102" s="83"/>
      <c r="BJS102" s="83"/>
      <c r="BJT102" s="83"/>
      <c r="BJU102" s="83"/>
      <c r="BJV102" s="83"/>
      <c r="BJW102" s="83"/>
      <c r="BJX102" s="83"/>
      <c r="BJY102" s="83"/>
      <c r="BJZ102" s="83"/>
      <c r="BKA102" s="83"/>
      <c r="BKB102" s="83"/>
      <c r="BKC102" s="83"/>
      <c r="BKD102" s="83"/>
      <c r="BKE102" s="83"/>
      <c r="BKF102" s="83"/>
      <c r="BKG102" s="83"/>
      <c r="BKH102" s="83"/>
      <c r="BKI102" s="83"/>
      <c r="BKJ102" s="83"/>
      <c r="BKK102" s="83"/>
      <c r="BKL102" s="83"/>
      <c r="BKM102" s="83"/>
      <c r="BKN102" s="83"/>
      <c r="BKO102" s="83"/>
      <c r="BKP102" s="83"/>
      <c r="BKQ102" s="83"/>
      <c r="BKR102" s="83"/>
      <c r="BKS102" s="83"/>
      <c r="BKT102" s="83"/>
      <c r="BKU102" s="83"/>
      <c r="BKV102" s="83"/>
      <c r="BKW102" s="83"/>
      <c r="BKX102" s="83"/>
      <c r="BKY102" s="83"/>
      <c r="BKZ102" s="83"/>
      <c r="BLA102" s="83"/>
      <c r="BLB102" s="83"/>
      <c r="BLC102" s="83"/>
      <c r="BLD102" s="83"/>
      <c r="BLE102" s="83"/>
      <c r="BLF102" s="83"/>
      <c r="BLG102" s="83"/>
      <c r="BLH102" s="83"/>
      <c r="BLI102" s="83"/>
      <c r="BLJ102" s="83"/>
      <c r="BLK102" s="83"/>
      <c r="BLL102" s="83"/>
      <c r="BLM102" s="83"/>
      <c r="BLN102" s="83"/>
      <c r="BLO102" s="83"/>
      <c r="BLP102" s="83"/>
      <c r="BLQ102" s="83"/>
      <c r="BLR102" s="83"/>
      <c r="BLS102" s="83"/>
      <c r="BLT102" s="83"/>
      <c r="BLU102" s="83"/>
      <c r="BLV102" s="83"/>
      <c r="BLW102" s="83"/>
      <c r="BLX102" s="83"/>
      <c r="BLY102" s="83"/>
      <c r="BLZ102" s="83"/>
      <c r="BMA102" s="83"/>
      <c r="BMB102" s="83"/>
      <c r="BMC102" s="83"/>
      <c r="BMD102" s="83"/>
      <c r="BME102" s="83"/>
      <c r="BMF102" s="83"/>
      <c r="BMG102" s="83"/>
      <c r="BMH102" s="83"/>
      <c r="BMI102" s="83"/>
      <c r="BMJ102" s="83"/>
      <c r="BMK102" s="83"/>
      <c r="BML102" s="83"/>
      <c r="BMM102" s="83"/>
      <c r="BMN102" s="83"/>
      <c r="BMO102" s="83"/>
      <c r="BMP102" s="83"/>
      <c r="BMQ102" s="83"/>
      <c r="BMR102" s="83"/>
      <c r="BMS102" s="83"/>
      <c r="BMT102" s="83"/>
      <c r="BMU102" s="83"/>
      <c r="BMV102" s="83"/>
      <c r="BMW102" s="83"/>
      <c r="BMX102" s="83"/>
      <c r="BMY102" s="83"/>
      <c r="BMZ102" s="83"/>
      <c r="BNA102" s="83"/>
      <c r="BNB102" s="83"/>
      <c r="BNC102" s="83"/>
      <c r="BND102" s="83"/>
      <c r="BNE102" s="83"/>
      <c r="BNF102" s="83"/>
      <c r="BNG102" s="83"/>
      <c r="BNH102" s="83"/>
      <c r="BNI102" s="83"/>
      <c r="BNJ102" s="83"/>
      <c r="BNK102" s="83"/>
      <c r="BNL102" s="83"/>
      <c r="BNM102" s="83"/>
      <c r="BNN102" s="83"/>
      <c r="BNO102" s="83"/>
      <c r="BNP102" s="83"/>
      <c r="BNQ102" s="83"/>
      <c r="BNR102" s="83"/>
      <c r="BNS102" s="83"/>
      <c r="BNT102" s="83"/>
      <c r="BNU102" s="83"/>
      <c r="BNV102" s="83"/>
      <c r="BNW102" s="83"/>
      <c r="BNX102" s="83"/>
      <c r="BNY102" s="83"/>
      <c r="BNZ102" s="83"/>
      <c r="BOA102" s="83"/>
      <c r="BOB102" s="83"/>
      <c r="BOC102" s="83"/>
      <c r="BOD102" s="83"/>
      <c r="BOE102" s="83"/>
      <c r="BOF102" s="83"/>
      <c r="BOG102" s="83"/>
      <c r="BOH102" s="83"/>
      <c r="BOI102" s="83"/>
      <c r="BOJ102" s="83"/>
      <c r="BOK102" s="83"/>
      <c r="BOL102" s="83"/>
      <c r="BOM102" s="83"/>
      <c r="BON102" s="83"/>
      <c r="BOO102" s="83"/>
      <c r="BOP102" s="83"/>
      <c r="BOQ102" s="83"/>
      <c r="BOR102" s="83"/>
      <c r="BOS102" s="83"/>
      <c r="BOT102" s="83"/>
      <c r="BOU102" s="83"/>
      <c r="BOV102" s="83"/>
      <c r="BOW102" s="83"/>
      <c r="BOX102" s="83"/>
      <c r="BOY102" s="83"/>
      <c r="BOZ102" s="83"/>
      <c r="BPA102" s="83"/>
      <c r="BPB102" s="83"/>
      <c r="BPC102" s="83"/>
      <c r="BPD102" s="83"/>
      <c r="BPE102" s="83"/>
      <c r="BPF102" s="83"/>
      <c r="BPG102" s="83"/>
      <c r="BPH102" s="83"/>
      <c r="BPI102" s="83"/>
      <c r="BPJ102" s="83"/>
      <c r="BPK102" s="83"/>
      <c r="BPL102" s="83"/>
      <c r="BPM102" s="83"/>
      <c r="BPN102" s="83"/>
      <c r="BPO102" s="83"/>
      <c r="BPP102" s="83"/>
      <c r="BPQ102" s="83"/>
      <c r="BPR102" s="83"/>
      <c r="BPS102" s="83"/>
      <c r="BPT102" s="83"/>
      <c r="BPU102" s="83"/>
      <c r="BPV102" s="83"/>
      <c r="BPW102" s="83"/>
      <c r="BPX102" s="83"/>
      <c r="BPY102" s="83"/>
      <c r="BPZ102" s="83"/>
      <c r="BQA102" s="83"/>
      <c r="BQB102" s="83"/>
      <c r="BQC102" s="83"/>
      <c r="BQD102" s="83"/>
      <c r="BQE102" s="83"/>
      <c r="BQF102" s="83"/>
      <c r="BQG102" s="83"/>
      <c r="BQH102" s="83"/>
      <c r="BQI102" s="83"/>
      <c r="BQJ102" s="83"/>
      <c r="BQK102" s="83"/>
      <c r="BQL102" s="83"/>
      <c r="BQM102" s="83"/>
      <c r="BQN102" s="83"/>
      <c r="BQO102" s="83"/>
      <c r="BQP102" s="83"/>
      <c r="BQQ102" s="83"/>
      <c r="BQR102" s="83"/>
      <c r="BQS102" s="83"/>
      <c r="BQT102" s="83"/>
      <c r="BQU102" s="83"/>
      <c r="BQV102" s="83"/>
      <c r="BQW102" s="83"/>
      <c r="BQX102" s="83"/>
      <c r="BQY102" s="83"/>
      <c r="BQZ102" s="83"/>
      <c r="BRA102" s="83"/>
      <c r="BRB102" s="83"/>
      <c r="BRC102" s="83"/>
      <c r="BRD102" s="83"/>
      <c r="BRE102" s="83"/>
      <c r="BRF102" s="83"/>
      <c r="BRG102" s="83"/>
      <c r="BRH102" s="83"/>
      <c r="BRI102" s="83"/>
      <c r="BRJ102" s="83"/>
      <c r="BRK102" s="83"/>
      <c r="BRL102" s="83"/>
      <c r="BRM102" s="83"/>
      <c r="BRN102" s="83"/>
      <c r="BRO102" s="83"/>
      <c r="BRP102" s="83"/>
      <c r="BRQ102" s="83"/>
      <c r="BRR102" s="83"/>
      <c r="BRS102" s="83"/>
      <c r="BRT102" s="83"/>
      <c r="BRU102" s="83"/>
      <c r="BRV102" s="83"/>
      <c r="BRW102" s="83"/>
      <c r="BRX102" s="83"/>
      <c r="BRY102" s="83"/>
      <c r="BRZ102" s="83"/>
      <c r="BSA102" s="83"/>
      <c r="BSB102" s="83"/>
      <c r="BSC102" s="83"/>
      <c r="BSD102" s="83"/>
      <c r="BSE102" s="83"/>
      <c r="BSF102" s="83"/>
      <c r="BSG102" s="83"/>
      <c r="BSH102" s="83"/>
      <c r="BSI102" s="83"/>
      <c r="BSJ102" s="83"/>
      <c r="BSK102" s="83"/>
      <c r="BSL102" s="83"/>
      <c r="BSM102" s="83"/>
      <c r="BSN102" s="83"/>
      <c r="BSO102" s="83"/>
      <c r="BSP102" s="83"/>
      <c r="BSQ102" s="83"/>
      <c r="BSR102" s="83"/>
      <c r="BSS102" s="83"/>
      <c r="BST102" s="83"/>
      <c r="BSU102" s="83"/>
      <c r="BSV102" s="83"/>
      <c r="BSW102" s="83"/>
      <c r="BSX102" s="83"/>
      <c r="BSY102" s="83"/>
      <c r="BSZ102" s="83"/>
      <c r="BTA102" s="83"/>
      <c r="BTB102" s="83"/>
      <c r="BTC102" s="83"/>
      <c r="BTD102" s="83"/>
      <c r="BTE102" s="83"/>
      <c r="BTF102" s="83"/>
      <c r="BTG102" s="83"/>
      <c r="BTH102" s="83"/>
      <c r="BTI102" s="83"/>
      <c r="BTJ102" s="83"/>
      <c r="BTK102" s="83"/>
      <c r="BTL102" s="83"/>
      <c r="BTM102" s="83"/>
      <c r="BTN102" s="83"/>
      <c r="BTO102" s="83"/>
      <c r="BTP102" s="83"/>
      <c r="BTQ102" s="83"/>
      <c r="BTR102" s="83"/>
      <c r="BTS102" s="83"/>
      <c r="BTT102" s="83"/>
      <c r="BTU102" s="83"/>
      <c r="BTV102" s="83"/>
      <c r="BTW102" s="83"/>
      <c r="BTX102" s="83"/>
      <c r="BTY102" s="83"/>
      <c r="BTZ102" s="83"/>
      <c r="BUA102" s="83"/>
      <c r="BUB102" s="83"/>
      <c r="BUC102" s="83"/>
      <c r="BUD102" s="83"/>
      <c r="BUE102" s="83"/>
      <c r="BUF102" s="83"/>
      <c r="BUG102" s="83"/>
      <c r="BUH102" s="83"/>
      <c r="BUI102" s="83"/>
      <c r="BUJ102" s="83"/>
      <c r="BUK102" s="83"/>
      <c r="BUL102" s="83"/>
      <c r="BUM102" s="83"/>
      <c r="BUN102" s="83"/>
      <c r="BUO102" s="83"/>
      <c r="BUP102" s="83"/>
      <c r="BUQ102" s="83"/>
      <c r="BUR102" s="83"/>
      <c r="BUS102" s="83"/>
      <c r="BUT102" s="83"/>
      <c r="BUU102" s="83"/>
      <c r="BUV102" s="83"/>
      <c r="BUW102" s="83"/>
      <c r="BUX102" s="83"/>
      <c r="BUY102" s="83"/>
      <c r="BUZ102" s="83"/>
      <c r="BVA102" s="83"/>
      <c r="BVB102" s="83"/>
      <c r="BVC102" s="83"/>
      <c r="BVD102" s="83"/>
      <c r="BVE102" s="83"/>
      <c r="BVF102" s="83"/>
      <c r="BVG102" s="83"/>
      <c r="BVH102" s="83"/>
      <c r="BVI102" s="83"/>
      <c r="BVJ102" s="83"/>
      <c r="BVK102" s="83"/>
      <c r="BVL102" s="83"/>
      <c r="BVM102" s="83"/>
      <c r="BVN102" s="83"/>
      <c r="BVO102" s="83"/>
      <c r="BVP102" s="83"/>
      <c r="BVQ102" s="83"/>
      <c r="BVR102" s="83"/>
      <c r="BVS102" s="83"/>
      <c r="BVT102" s="83"/>
      <c r="BVU102" s="83"/>
      <c r="BVV102" s="83"/>
      <c r="BVW102" s="83"/>
      <c r="BVX102" s="83"/>
      <c r="BVY102" s="83"/>
      <c r="BVZ102" s="83"/>
      <c r="BWA102" s="83"/>
      <c r="BWB102" s="83"/>
      <c r="BWC102" s="83"/>
      <c r="BWD102" s="83"/>
      <c r="BWE102" s="83"/>
      <c r="BWF102" s="83"/>
      <c r="BWG102" s="83"/>
      <c r="BWH102" s="83"/>
      <c r="BWI102" s="83"/>
      <c r="BWJ102" s="83"/>
      <c r="BWK102" s="83"/>
      <c r="BWL102" s="83"/>
      <c r="BWM102" s="83"/>
      <c r="BWN102" s="83"/>
      <c r="BWO102" s="83"/>
      <c r="BWP102" s="83"/>
      <c r="BWQ102" s="83"/>
      <c r="BWR102" s="83"/>
      <c r="BWS102" s="83"/>
      <c r="BWT102" s="83"/>
      <c r="BWU102" s="83"/>
      <c r="BWV102" s="83"/>
      <c r="BWW102" s="83"/>
      <c r="BWX102" s="83"/>
      <c r="BWY102" s="83"/>
      <c r="BWZ102" s="83"/>
      <c r="BXA102" s="83"/>
      <c r="BXB102" s="83"/>
      <c r="BXC102" s="83"/>
      <c r="BXD102" s="83"/>
      <c r="BXE102" s="83"/>
      <c r="BXF102" s="83"/>
      <c r="BXG102" s="83"/>
      <c r="BXH102" s="83"/>
      <c r="BXI102" s="83"/>
      <c r="BXJ102" s="83"/>
      <c r="BXK102" s="83"/>
      <c r="BXL102" s="83"/>
      <c r="BXM102" s="83"/>
      <c r="BXN102" s="83"/>
      <c r="BXO102" s="83"/>
      <c r="BXP102" s="83"/>
      <c r="BXQ102" s="83"/>
      <c r="BXR102" s="83"/>
      <c r="BXS102" s="83"/>
      <c r="BXT102" s="83"/>
      <c r="BXU102" s="83"/>
      <c r="BXV102" s="83"/>
      <c r="BXW102" s="83"/>
      <c r="BXX102" s="83"/>
      <c r="BXY102" s="83"/>
      <c r="BXZ102" s="83"/>
      <c r="BYA102" s="83"/>
      <c r="BYB102" s="83"/>
      <c r="BYC102" s="83"/>
      <c r="BYD102" s="83"/>
      <c r="BYE102" s="83"/>
      <c r="BYF102" s="83"/>
      <c r="BYG102" s="83"/>
      <c r="BYH102" s="83"/>
      <c r="BYI102" s="83"/>
      <c r="BYJ102" s="83"/>
      <c r="BYK102" s="83"/>
      <c r="BYL102" s="83"/>
      <c r="BYM102" s="83"/>
      <c r="BYN102" s="83"/>
      <c r="BYO102" s="83"/>
      <c r="BYP102" s="83"/>
      <c r="BYQ102" s="83"/>
      <c r="BYR102" s="83"/>
      <c r="BYS102" s="83"/>
      <c r="BYT102" s="83"/>
      <c r="BYU102" s="83"/>
      <c r="BYV102" s="83"/>
      <c r="BYW102" s="83"/>
      <c r="BYX102" s="83"/>
      <c r="BYY102" s="83"/>
      <c r="BYZ102" s="83"/>
      <c r="BZA102" s="83"/>
      <c r="BZB102" s="83"/>
      <c r="BZC102" s="83"/>
      <c r="BZD102" s="83"/>
      <c r="BZE102" s="83"/>
      <c r="BZF102" s="83"/>
      <c r="BZG102" s="83"/>
      <c r="BZH102" s="83"/>
      <c r="BZI102" s="83"/>
      <c r="BZJ102" s="83"/>
      <c r="BZK102" s="83"/>
      <c r="BZL102" s="83"/>
      <c r="BZM102" s="83"/>
      <c r="BZN102" s="83"/>
      <c r="BZO102" s="83"/>
      <c r="BZP102" s="83"/>
      <c r="BZQ102" s="83"/>
      <c r="BZR102" s="83"/>
      <c r="BZS102" s="83"/>
      <c r="BZT102" s="83"/>
      <c r="BZU102" s="83"/>
      <c r="BZV102" s="83"/>
      <c r="BZW102" s="83"/>
      <c r="BZX102" s="83"/>
      <c r="BZY102" s="83"/>
      <c r="BZZ102" s="83"/>
      <c r="CAA102" s="83"/>
      <c r="CAB102" s="83"/>
      <c r="CAC102" s="83"/>
      <c r="CAD102" s="83"/>
      <c r="CAE102" s="83"/>
      <c r="CAF102" s="83"/>
      <c r="CAG102" s="83"/>
      <c r="CAH102" s="83"/>
      <c r="CAI102" s="83"/>
      <c r="CAJ102" s="83"/>
      <c r="CAK102" s="83"/>
      <c r="CAL102" s="83"/>
      <c r="CAM102" s="83"/>
      <c r="CAN102" s="83"/>
      <c r="CAO102" s="83"/>
      <c r="CAP102" s="83"/>
      <c r="CAQ102" s="83"/>
      <c r="CAR102" s="83"/>
      <c r="CAS102" s="83"/>
      <c r="CAT102" s="83"/>
      <c r="CAU102" s="83"/>
      <c r="CAV102" s="83"/>
      <c r="CAW102" s="83"/>
      <c r="CAX102" s="83"/>
      <c r="CAY102" s="83"/>
      <c r="CAZ102" s="83"/>
      <c r="CBA102" s="83"/>
      <c r="CBB102" s="83"/>
      <c r="CBC102" s="83"/>
      <c r="CBD102" s="83"/>
      <c r="CBE102" s="83"/>
      <c r="CBF102" s="83"/>
      <c r="CBG102" s="83"/>
      <c r="CBH102" s="83"/>
      <c r="CBI102" s="83"/>
      <c r="CBJ102" s="83"/>
      <c r="CBK102" s="83"/>
      <c r="CBL102" s="83"/>
      <c r="CBM102" s="83"/>
      <c r="CBN102" s="83"/>
      <c r="CBO102" s="83"/>
      <c r="CBP102" s="83"/>
      <c r="CBQ102" s="83"/>
      <c r="CBR102" s="83"/>
      <c r="CBS102" s="83"/>
      <c r="CBT102" s="83"/>
      <c r="CBU102" s="83"/>
      <c r="CBV102" s="83"/>
      <c r="CBW102" s="83"/>
      <c r="CBX102" s="83"/>
      <c r="CBY102" s="83"/>
      <c r="CBZ102" s="83"/>
      <c r="CCA102" s="83"/>
      <c r="CCB102" s="83"/>
      <c r="CCC102" s="83"/>
      <c r="CCD102" s="83"/>
      <c r="CCE102" s="83"/>
      <c r="CCF102" s="83"/>
      <c r="CCG102" s="83"/>
      <c r="CCH102" s="83"/>
      <c r="CCI102" s="83"/>
      <c r="CCJ102" s="83"/>
      <c r="CCK102" s="83"/>
      <c r="CCL102" s="83"/>
      <c r="CCM102" s="83"/>
      <c r="CCN102" s="83"/>
      <c r="CCO102" s="83"/>
      <c r="CCP102" s="83"/>
      <c r="CCQ102" s="83"/>
      <c r="CCR102" s="83"/>
      <c r="CCS102" s="83"/>
      <c r="CCT102" s="83"/>
      <c r="CCU102" s="83"/>
      <c r="CCV102" s="83"/>
      <c r="CCW102" s="83"/>
      <c r="CCX102" s="83"/>
      <c r="CCY102" s="83"/>
      <c r="CCZ102" s="83"/>
      <c r="CDA102" s="83"/>
      <c r="CDB102" s="83"/>
      <c r="CDC102" s="83"/>
      <c r="CDD102" s="83"/>
      <c r="CDE102" s="83"/>
      <c r="CDF102" s="83"/>
      <c r="CDG102" s="83"/>
      <c r="CDH102" s="83"/>
      <c r="CDI102" s="83"/>
      <c r="CDJ102" s="83"/>
      <c r="CDK102" s="83"/>
      <c r="CDL102" s="83"/>
      <c r="CDM102" s="83"/>
      <c r="CDN102" s="83"/>
      <c r="CDO102" s="83"/>
      <c r="CDP102" s="83"/>
      <c r="CDQ102" s="83"/>
      <c r="CDR102" s="83"/>
      <c r="CDS102" s="83"/>
      <c r="CDT102" s="83"/>
      <c r="CDU102" s="83"/>
      <c r="CDV102" s="83"/>
      <c r="CDW102" s="83"/>
      <c r="CDX102" s="83"/>
      <c r="CDY102" s="83"/>
      <c r="CDZ102" s="83"/>
      <c r="CEA102" s="83"/>
      <c r="CEB102" s="83"/>
      <c r="CEC102" s="83"/>
      <c r="CED102" s="83"/>
      <c r="CEE102" s="83"/>
      <c r="CEF102" s="83"/>
      <c r="CEG102" s="83"/>
      <c r="CEH102" s="83"/>
      <c r="CEI102" s="83"/>
      <c r="CEJ102" s="83"/>
      <c r="CEK102" s="83"/>
      <c r="CEL102" s="83"/>
      <c r="CEM102" s="83"/>
      <c r="CEN102" s="83"/>
      <c r="CEO102" s="83"/>
      <c r="CEP102" s="83"/>
      <c r="CEQ102" s="83"/>
      <c r="CER102" s="83"/>
      <c r="CES102" s="83"/>
      <c r="CET102" s="83"/>
      <c r="CEU102" s="83"/>
      <c r="CEV102" s="83"/>
      <c r="CEW102" s="83"/>
      <c r="CEX102" s="83"/>
      <c r="CEY102" s="83"/>
      <c r="CEZ102" s="83"/>
      <c r="CFA102" s="83"/>
      <c r="CFB102" s="83"/>
      <c r="CFC102" s="83"/>
      <c r="CFD102" s="83"/>
      <c r="CFE102" s="83"/>
      <c r="CFF102" s="83"/>
      <c r="CFG102" s="83"/>
      <c r="CFH102" s="83"/>
      <c r="CFI102" s="83"/>
      <c r="CFJ102" s="83"/>
      <c r="CFK102" s="83"/>
      <c r="CFL102" s="83"/>
      <c r="CFM102" s="83"/>
      <c r="CFN102" s="83"/>
      <c r="CFO102" s="83"/>
      <c r="CFP102" s="83"/>
      <c r="CFQ102" s="83"/>
      <c r="CFR102" s="83"/>
      <c r="CFS102" s="83"/>
      <c r="CFT102" s="83"/>
      <c r="CFU102" s="83"/>
      <c r="CFV102" s="83"/>
      <c r="CFW102" s="83"/>
      <c r="CFX102" s="83"/>
      <c r="CFY102" s="83"/>
      <c r="CFZ102" s="83"/>
      <c r="CGA102" s="83"/>
      <c r="CGB102" s="83"/>
      <c r="CGC102" s="83"/>
      <c r="CGD102" s="83"/>
      <c r="CGE102" s="83"/>
      <c r="CGF102" s="83"/>
      <c r="CGG102" s="83"/>
      <c r="CGH102" s="83"/>
      <c r="CGI102" s="83"/>
      <c r="CGJ102" s="83"/>
      <c r="CGK102" s="83"/>
      <c r="CGL102" s="83"/>
      <c r="CGM102" s="83"/>
      <c r="CGN102" s="83"/>
      <c r="CGO102" s="83"/>
      <c r="CGP102" s="83"/>
      <c r="CGQ102" s="83"/>
      <c r="CGR102" s="83"/>
      <c r="CGS102" s="83"/>
      <c r="CGT102" s="83"/>
      <c r="CGU102" s="83"/>
      <c r="CGV102" s="83"/>
      <c r="CGW102" s="83"/>
      <c r="CGX102" s="83"/>
      <c r="CGY102" s="83"/>
      <c r="CGZ102" s="83"/>
      <c r="CHA102" s="83"/>
      <c r="CHB102" s="83"/>
      <c r="CHC102" s="83"/>
      <c r="CHD102" s="83"/>
      <c r="CHE102" s="83"/>
      <c r="CHF102" s="83"/>
      <c r="CHG102" s="83"/>
      <c r="CHH102" s="83"/>
      <c r="CHI102" s="83"/>
      <c r="CHJ102" s="83"/>
      <c r="CHK102" s="83"/>
      <c r="CHL102" s="83"/>
      <c r="CHM102" s="83"/>
      <c r="CHN102" s="83"/>
      <c r="CHO102" s="83"/>
      <c r="CHP102" s="83"/>
      <c r="CHQ102" s="83"/>
      <c r="CHR102" s="83"/>
      <c r="CHS102" s="83"/>
      <c r="CHT102" s="83"/>
      <c r="CHU102" s="83"/>
      <c r="CHV102" s="83"/>
      <c r="CHW102" s="83"/>
      <c r="CHX102" s="83"/>
      <c r="CHY102" s="83"/>
      <c r="CHZ102" s="83"/>
      <c r="CIA102" s="83"/>
      <c r="CIB102" s="83"/>
      <c r="CIC102" s="83"/>
      <c r="CID102" s="83"/>
      <c r="CIE102" s="83"/>
      <c r="CIF102" s="83"/>
      <c r="CIG102" s="83"/>
      <c r="CIH102" s="83"/>
      <c r="CII102" s="83"/>
      <c r="CIJ102" s="83"/>
      <c r="CIK102" s="83"/>
      <c r="CIL102" s="83"/>
      <c r="CIM102" s="83"/>
      <c r="CIN102" s="83"/>
      <c r="CIO102" s="83"/>
      <c r="CIP102" s="83"/>
      <c r="CIQ102" s="83"/>
      <c r="CIR102" s="83"/>
      <c r="CIS102" s="83"/>
      <c r="CIT102" s="83"/>
      <c r="CIU102" s="83"/>
      <c r="CIV102" s="83"/>
      <c r="CIW102" s="83"/>
      <c r="CIX102" s="83"/>
      <c r="CIY102" s="83"/>
      <c r="CIZ102" s="83"/>
      <c r="CJA102" s="83"/>
      <c r="CJB102" s="83"/>
      <c r="CJC102" s="83"/>
      <c r="CJD102" s="83"/>
      <c r="CJE102" s="83"/>
      <c r="CJF102" s="83"/>
      <c r="CJG102" s="83"/>
      <c r="CJH102" s="83"/>
      <c r="CJI102" s="83"/>
      <c r="CJJ102" s="83"/>
      <c r="CJK102" s="83"/>
      <c r="CJL102" s="83"/>
      <c r="CJM102" s="83"/>
      <c r="CJN102" s="83"/>
      <c r="CJO102" s="83"/>
      <c r="CJP102" s="83"/>
      <c r="CJQ102" s="83"/>
      <c r="CJR102" s="83"/>
      <c r="CJS102" s="83"/>
      <c r="CJT102" s="83"/>
      <c r="CJU102" s="83"/>
      <c r="CJV102" s="83"/>
      <c r="CJW102" s="83"/>
      <c r="CJX102" s="83"/>
      <c r="CJY102" s="83"/>
      <c r="CJZ102" s="83"/>
      <c r="CKA102" s="83"/>
      <c r="CKB102" s="83"/>
      <c r="CKC102" s="83"/>
      <c r="CKD102" s="83"/>
      <c r="CKE102" s="83"/>
      <c r="CKF102" s="83"/>
      <c r="CKG102" s="83"/>
      <c r="CKH102" s="83"/>
      <c r="CKI102" s="83"/>
      <c r="CKJ102" s="83"/>
      <c r="CKK102" s="83"/>
      <c r="CKL102" s="83"/>
      <c r="CKM102" s="83"/>
      <c r="CKN102" s="83"/>
      <c r="CKO102" s="83"/>
      <c r="CKP102" s="83"/>
      <c r="CKQ102" s="83"/>
      <c r="CKR102" s="83"/>
      <c r="CKS102" s="83"/>
      <c r="CKT102" s="83"/>
      <c r="CKU102" s="83"/>
      <c r="CKV102" s="83"/>
      <c r="CKW102" s="83"/>
      <c r="CKX102" s="83"/>
      <c r="CKY102" s="83"/>
      <c r="CKZ102" s="83"/>
      <c r="CLA102" s="83"/>
      <c r="CLB102" s="83"/>
      <c r="CLC102" s="83"/>
      <c r="CLD102" s="83"/>
      <c r="CLE102" s="83"/>
      <c r="CLF102" s="83"/>
      <c r="CLG102" s="83"/>
      <c r="CLH102" s="83"/>
      <c r="CLI102" s="83"/>
      <c r="CLJ102" s="83"/>
      <c r="CLK102" s="83"/>
      <c r="CLL102" s="83"/>
      <c r="CLM102" s="83"/>
      <c r="CLN102" s="83"/>
      <c r="CLO102" s="83"/>
      <c r="CLP102" s="83"/>
      <c r="CLQ102" s="83"/>
      <c r="CLR102" s="83"/>
      <c r="CLS102" s="83"/>
      <c r="CLT102" s="83"/>
      <c r="CLU102" s="83"/>
      <c r="CLV102" s="83"/>
      <c r="CLW102" s="83"/>
      <c r="CLX102" s="83"/>
      <c r="CLY102" s="83"/>
      <c r="CLZ102" s="83"/>
      <c r="CMA102" s="83"/>
      <c r="CMB102" s="83"/>
      <c r="CMC102" s="83"/>
      <c r="CMD102" s="83"/>
      <c r="CME102" s="83"/>
      <c r="CMF102" s="83"/>
      <c r="CMG102" s="83"/>
      <c r="CMH102" s="83"/>
      <c r="CMI102" s="83"/>
      <c r="CMJ102" s="83"/>
      <c r="CMK102" s="83"/>
      <c r="CML102" s="83"/>
      <c r="CMM102" s="83"/>
      <c r="CMN102" s="83"/>
      <c r="CMO102" s="83"/>
      <c r="CMP102" s="83"/>
      <c r="CMQ102" s="83"/>
      <c r="CMR102" s="83"/>
      <c r="CMS102" s="83"/>
      <c r="CMT102" s="83"/>
      <c r="CMU102" s="83"/>
      <c r="CMV102" s="83"/>
      <c r="CMW102" s="83"/>
      <c r="CMX102" s="83"/>
      <c r="CMY102" s="83"/>
      <c r="CMZ102" s="83"/>
      <c r="CNA102" s="83"/>
      <c r="CNB102" s="83"/>
      <c r="CNC102" s="83"/>
      <c r="CND102" s="83"/>
      <c r="CNE102" s="83"/>
      <c r="CNF102" s="83"/>
      <c r="CNG102" s="83"/>
      <c r="CNH102" s="83"/>
      <c r="CNI102" s="83"/>
      <c r="CNJ102" s="83"/>
      <c r="CNK102" s="83"/>
      <c r="CNL102" s="83"/>
      <c r="CNM102" s="83"/>
      <c r="CNN102" s="83"/>
      <c r="CNO102" s="83"/>
      <c r="CNP102" s="83"/>
      <c r="CNQ102" s="83"/>
      <c r="CNR102" s="83"/>
      <c r="CNS102" s="83"/>
      <c r="CNT102" s="83"/>
      <c r="CNU102" s="83"/>
      <c r="CNV102" s="83"/>
      <c r="CNW102" s="83"/>
      <c r="CNX102" s="83"/>
      <c r="CNY102" s="83"/>
      <c r="CNZ102" s="83"/>
      <c r="COA102" s="83"/>
      <c r="COB102" s="83"/>
      <c r="COC102" s="83"/>
      <c r="COD102" s="83"/>
      <c r="COE102" s="83"/>
      <c r="COF102" s="83"/>
      <c r="COG102" s="83"/>
      <c r="COH102" s="83"/>
      <c r="COI102" s="83"/>
      <c r="COJ102" s="83"/>
      <c r="COK102" s="83"/>
      <c r="COL102" s="83"/>
      <c r="COM102" s="83"/>
      <c r="CON102" s="83"/>
      <c r="COO102" s="83"/>
      <c r="COP102" s="83"/>
      <c r="COQ102" s="83"/>
      <c r="COR102" s="83"/>
      <c r="COS102" s="83"/>
      <c r="COT102" s="83"/>
      <c r="COU102" s="83"/>
      <c r="COV102" s="83"/>
      <c r="COW102" s="83"/>
      <c r="COX102" s="83"/>
      <c r="COY102" s="83"/>
      <c r="COZ102" s="83"/>
      <c r="CPA102" s="83"/>
      <c r="CPB102" s="83"/>
      <c r="CPC102" s="83"/>
      <c r="CPD102" s="83"/>
      <c r="CPE102" s="83"/>
      <c r="CPF102" s="83"/>
      <c r="CPG102" s="83"/>
      <c r="CPH102" s="83"/>
      <c r="CPI102" s="83"/>
      <c r="CPJ102" s="83"/>
      <c r="CPK102" s="83"/>
      <c r="CPL102" s="83"/>
      <c r="CPM102" s="83"/>
      <c r="CPN102" s="83"/>
      <c r="CPO102" s="83"/>
      <c r="CPP102" s="83"/>
      <c r="CPQ102" s="83"/>
      <c r="CPR102" s="83"/>
      <c r="CPS102" s="83"/>
      <c r="CPT102" s="83"/>
      <c r="CPU102" s="83"/>
      <c r="CPV102" s="83"/>
      <c r="CPW102" s="83"/>
      <c r="CPX102" s="83"/>
      <c r="CPY102" s="83"/>
      <c r="CPZ102" s="83"/>
      <c r="CQA102" s="83"/>
      <c r="CQB102" s="83"/>
      <c r="CQC102" s="83"/>
      <c r="CQD102" s="83"/>
      <c r="CQE102" s="83"/>
      <c r="CQF102" s="83"/>
      <c r="CQG102" s="83"/>
      <c r="CQH102" s="83"/>
      <c r="CQI102" s="83"/>
      <c r="CQJ102" s="83"/>
      <c r="CQK102" s="83"/>
      <c r="CQL102" s="83"/>
      <c r="CQM102" s="83"/>
      <c r="CQN102" s="83"/>
      <c r="CQO102" s="83"/>
      <c r="CQP102" s="83"/>
      <c r="CQQ102" s="83"/>
      <c r="CQR102" s="83"/>
      <c r="CQS102" s="83"/>
      <c r="CQT102" s="83"/>
      <c r="CQU102" s="83"/>
      <c r="CQV102" s="83"/>
      <c r="CQW102" s="83"/>
      <c r="CQX102" s="83"/>
      <c r="CQY102" s="83"/>
      <c r="CQZ102" s="83"/>
      <c r="CRA102" s="83"/>
      <c r="CRB102" s="83"/>
      <c r="CRC102" s="83"/>
      <c r="CRD102" s="83"/>
      <c r="CRE102" s="83"/>
      <c r="CRF102" s="83"/>
      <c r="CRG102" s="83"/>
      <c r="CRH102" s="83"/>
      <c r="CRI102" s="83"/>
      <c r="CRJ102" s="83"/>
      <c r="CRK102" s="83"/>
      <c r="CRL102" s="83"/>
      <c r="CRM102" s="83"/>
      <c r="CRN102" s="83"/>
      <c r="CRO102" s="83"/>
      <c r="CRP102" s="83"/>
      <c r="CRQ102" s="83"/>
      <c r="CRR102" s="83"/>
      <c r="CRS102" s="83"/>
      <c r="CRT102" s="83"/>
      <c r="CRU102" s="83"/>
      <c r="CRV102" s="83"/>
      <c r="CRW102" s="83"/>
      <c r="CRX102" s="83"/>
      <c r="CRY102" s="83"/>
      <c r="CRZ102" s="83"/>
      <c r="CSA102" s="83"/>
      <c r="CSB102" s="83"/>
      <c r="CSC102" s="83"/>
      <c r="CSD102" s="83"/>
      <c r="CSE102" s="83"/>
      <c r="CSF102" s="83"/>
      <c r="CSG102" s="83"/>
      <c r="CSH102" s="83"/>
      <c r="CSI102" s="83"/>
      <c r="CSJ102" s="83"/>
      <c r="CSK102" s="83"/>
      <c r="CSL102" s="83"/>
      <c r="CSM102" s="83"/>
      <c r="CSN102" s="83"/>
      <c r="CSO102" s="83"/>
      <c r="CSP102" s="83"/>
      <c r="CSQ102" s="83"/>
      <c r="CSR102" s="83"/>
      <c r="CSS102" s="83"/>
      <c r="CST102" s="83"/>
      <c r="CSU102" s="83"/>
      <c r="CSV102" s="83"/>
      <c r="CSW102" s="83"/>
      <c r="CSX102" s="83"/>
      <c r="CSY102" s="83"/>
      <c r="CSZ102" s="83"/>
      <c r="CTA102" s="83"/>
      <c r="CTB102" s="83"/>
      <c r="CTC102" s="83"/>
      <c r="CTD102" s="83"/>
      <c r="CTE102" s="83"/>
      <c r="CTF102" s="83"/>
      <c r="CTG102" s="83"/>
      <c r="CTH102" s="83"/>
      <c r="CTI102" s="83"/>
      <c r="CTJ102" s="83"/>
      <c r="CTK102" s="83"/>
      <c r="CTL102" s="83"/>
      <c r="CTM102" s="83"/>
      <c r="CTN102" s="83"/>
      <c r="CTO102" s="83"/>
      <c r="CTP102" s="83"/>
      <c r="CTQ102" s="83"/>
      <c r="CTR102" s="83"/>
      <c r="CTS102" s="83"/>
      <c r="CTT102" s="83"/>
      <c r="CTU102" s="83"/>
      <c r="CTV102" s="83"/>
      <c r="CTW102" s="83"/>
      <c r="CTX102" s="83"/>
      <c r="CTY102" s="83"/>
      <c r="CTZ102" s="83"/>
      <c r="CUA102" s="83"/>
      <c r="CUB102" s="83"/>
      <c r="CUC102" s="83"/>
      <c r="CUD102" s="83"/>
      <c r="CUE102" s="83"/>
      <c r="CUF102" s="83"/>
      <c r="CUG102" s="83"/>
      <c r="CUH102" s="83"/>
      <c r="CUI102" s="83"/>
      <c r="CUJ102" s="83"/>
      <c r="CUK102" s="83"/>
      <c r="CUL102" s="83"/>
      <c r="CUM102" s="83"/>
      <c r="CUN102" s="83"/>
      <c r="CUO102" s="83"/>
      <c r="CUP102" s="83"/>
      <c r="CUQ102" s="83"/>
      <c r="CUR102" s="83"/>
      <c r="CUS102" s="83"/>
      <c r="CUT102" s="83"/>
      <c r="CUU102" s="83"/>
      <c r="CUV102" s="83"/>
      <c r="CUW102" s="83"/>
      <c r="CUX102" s="83"/>
      <c r="CUY102" s="83"/>
      <c r="CUZ102" s="83"/>
      <c r="CVA102" s="83"/>
      <c r="CVB102" s="83"/>
      <c r="CVC102" s="83"/>
      <c r="CVD102" s="83"/>
      <c r="CVE102" s="83"/>
      <c r="CVF102" s="83"/>
      <c r="CVG102" s="83"/>
      <c r="CVH102" s="83"/>
      <c r="CVI102" s="83"/>
      <c r="CVJ102" s="83"/>
      <c r="CVK102" s="83"/>
      <c r="CVL102" s="83"/>
      <c r="CVM102" s="83"/>
      <c r="CVN102" s="83"/>
      <c r="CVO102" s="83"/>
      <c r="CVP102" s="83"/>
      <c r="CVQ102" s="83"/>
      <c r="CVR102" s="83"/>
      <c r="CVS102" s="83"/>
      <c r="CVT102" s="83"/>
      <c r="CVU102" s="83"/>
      <c r="CVV102" s="83"/>
      <c r="CVW102" s="83"/>
      <c r="CVX102" s="83"/>
      <c r="CVY102" s="83"/>
      <c r="CVZ102" s="83"/>
      <c r="CWA102" s="83"/>
      <c r="CWB102" s="83"/>
      <c r="CWC102" s="83"/>
      <c r="CWD102" s="83"/>
      <c r="CWE102" s="83"/>
      <c r="CWF102" s="83"/>
      <c r="CWG102" s="83"/>
      <c r="CWH102" s="83"/>
      <c r="CWI102" s="83"/>
      <c r="CWJ102" s="83"/>
      <c r="CWK102" s="83"/>
      <c r="CWL102" s="83"/>
      <c r="CWM102" s="83"/>
      <c r="CWN102" s="83"/>
      <c r="CWO102" s="83"/>
      <c r="CWP102" s="83"/>
      <c r="CWQ102" s="83"/>
      <c r="CWR102" s="83"/>
      <c r="CWS102" s="83"/>
      <c r="CWT102" s="83"/>
      <c r="CWU102" s="83"/>
      <c r="CWV102" s="83"/>
      <c r="CWW102" s="83"/>
      <c r="CWX102" s="83"/>
      <c r="CWY102" s="83"/>
      <c r="CWZ102" s="83"/>
      <c r="CXA102" s="83"/>
      <c r="CXB102" s="83"/>
      <c r="CXC102" s="83"/>
      <c r="CXD102" s="83"/>
      <c r="CXE102" s="83"/>
      <c r="CXF102" s="83"/>
      <c r="CXG102" s="83"/>
      <c r="CXH102" s="83"/>
      <c r="CXI102" s="83"/>
      <c r="CXJ102" s="83"/>
      <c r="CXK102" s="83"/>
      <c r="CXL102" s="83"/>
      <c r="CXM102" s="83"/>
      <c r="CXN102" s="83"/>
      <c r="CXO102" s="83"/>
      <c r="CXP102" s="83"/>
      <c r="CXQ102" s="83"/>
      <c r="CXR102" s="83"/>
      <c r="CXS102" s="83"/>
      <c r="CXT102" s="83"/>
      <c r="CXU102" s="83"/>
      <c r="CXV102" s="83"/>
      <c r="CXW102" s="83"/>
      <c r="CXX102" s="83"/>
      <c r="CXY102" s="83"/>
      <c r="CXZ102" s="83"/>
      <c r="CYA102" s="83"/>
      <c r="CYB102" s="83"/>
      <c r="CYC102" s="83"/>
      <c r="CYD102" s="83"/>
      <c r="CYE102" s="83"/>
      <c r="CYF102" s="83"/>
      <c r="CYG102" s="83"/>
      <c r="CYH102" s="83"/>
      <c r="CYI102" s="83"/>
      <c r="CYJ102" s="83"/>
      <c r="CYK102" s="83"/>
      <c r="CYL102" s="83"/>
      <c r="CYM102" s="83"/>
      <c r="CYN102" s="83"/>
      <c r="CYO102" s="83"/>
      <c r="CYP102" s="83"/>
      <c r="CYQ102" s="83"/>
      <c r="CYR102" s="83"/>
      <c r="CYS102" s="83"/>
      <c r="CYT102" s="83"/>
      <c r="CYU102" s="83"/>
      <c r="CYV102" s="83"/>
      <c r="CYW102" s="83"/>
      <c r="CYX102" s="83"/>
      <c r="CYY102" s="83"/>
      <c r="CYZ102" s="83"/>
      <c r="CZA102" s="83"/>
      <c r="CZB102" s="83"/>
      <c r="CZC102" s="83"/>
      <c r="CZD102" s="83"/>
      <c r="CZE102" s="83"/>
      <c r="CZF102" s="83"/>
      <c r="CZG102" s="83"/>
      <c r="CZH102" s="83"/>
      <c r="CZI102" s="83"/>
      <c r="CZJ102" s="83"/>
      <c r="CZK102" s="83"/>
      <c r="CZL102" s="83"/>
      <c r="CZM102" s="83"/>
      <c r="CZN102" s="83"/>
      <c r="CZO102" s="83"/>
      <c r="CZP102" s="83"/>
      <c r="CZQ102" s="83"/>
      <c r="CZR102" s="83"/>
      <c r="CZS102" s="83"/>
      <c r="CZT102" s="83"/>
      <c r="CZU102" s="83"/>
      <c r="CZV102" s="83"/>
      <c r="CZW102" s="83"/>
      <c r="CZX102" s="83"/>
      <c r="CZY102" s="83"/>
      <c r="CZZ102" s="83"/>
      <c r="DAA102" s="83"/>
      <c r="DAB102" s="83"/>
      <c r="DAC102" s="83"/>
      <c r="DAD102" s="83"/>
      <c r="DAE102" s="83"/>
      <c r="DAF102" s="83"/>
      <c r="DAG102" s="83"/>
      <c r="DAH102" s="83"/>
      <c r="DAI102" s="83"/>
      <c r="DAJ102" s="83"/>
      <c r="DAK102" s="83"/>
      <c r="DAL102" s="83"/>
      <c r="DAM102" s="83"/>
      <c r="DAN102" s="83"/>
      <c r="DAO102" s="83"/>
      <c r="DAP102" s="83"/>
      <c r="DAQ102" s="83"/>
      <c r="DAR102" s="83"/>
      <c r="DAS102" s="83"/>
      <c r="DAT102" s="83"/>
      <c r="DAU102" s="83"/>
      <c r="DAV102" s="83"/>
      <c r="DAW102" s="83"/>
      <c r="DAX102" s="83"/>
      <c r="DAY102" s="83"/>
      <c r="DAZ102" s="83"/>
      <c r="DBA102" s="83"/>
      <c r="DBB102" s="83"/>
      <c r="DBC102" s="83"/>
      <c r="DBD102" s="83"/>
      <c r="DBE102" s="83"/>
      <c r="DBF102" s="83"/>
      <c r="DBG102" s="83"/>
      <c r="DBH102" s="83"/>
      <c r="DBI102" s="83"/>
      <c r="DBJ102" s="83"/>
      <c r="DBK102" s="83"/>
      <c r="DBL102" s="83"/>
      <c r="DBM102" s="83"/>
      <c r="DBN102" s="83"/>
      <c r="DBO102" s="83"/>
      <c r="DBP102" s="83"/>
      <c r="DBQ102" s="83"/>
      <c r="DBR102" s="83"/>
      <c r="DBS102" s="83"/>
      <c r="DBT102" s="83"/>
      <c r="DBU102" s="83"/>
      <c r="DBV102" s="83"/>
      <c r="DBW102" s="83"/>
      <c r="DBX102" s="83"/>
      <c r="DBY102" s="83"/>
      <c r="DBZ102" s="83"/>
      <c r="DCA102" s="83"/>
      <c r="DCB102" s="83"/>
      <c r="DCC102" s="83"/>
      <c r="DCD102" s="83"/>
      <c r="DCE102" s="83"/>
      <c r="DCF102" s="83"/>
      <c r="DCG102" s="83"/>
      <c r="DCH102" s="83"/>
      <c r="DCI102" s="83"/>
      <c r="DCJ102" s="83"/>
      <c r="DCK102" s="83"/>
      <c r="DCL102" s="83"/>
      <c r="DCM102" s="83"/>
      <c r="DCN102" s="83"/>
      <c r="DCO102" s="83"/>
      <c r="DCP102" s="83"/>
      <c r="DCQ102" s="83"/>
      <c r="DCR102" s="83"/>
      <c r="DCS102" s="83"/>
      <c r="DCT102" s="83"/>
      <c r="DCU102" s="83"/>
      <c r="DCV102" s="83"/>
      <c r="DCW102" s="83"/>
      <c r="DCX102" s="83"/>
      <c r="DCY102" s="83"/>
      <c r="DCZ102" s="83"/>
      <c r="DDA102" s="83"/>
      <c r="DDB102" s="83"/>
      <c r="DDC102" s="83"/>
      <c r="DDD102" s="83"/>
      <c r="DDE102" s="83"/>
      <c r="DDF102" s="83"/>
      <c r="DDG102" s="83"/>
      <c r="DDH102" s="83"/>
      <c r="DDI102" s="83"/>
      <c r="DDJ102" s="83"/>
      <c r="DDK102" s="83"/>
      <c r="DDL102" s="83"/>
      <c r="DDM102" s="83"/>
      <c r="DDN102" s="83"/>
      <c r="DDO102" s="83"/>
      <c r="DDP102" s="83"/>
      <c r="DDQ102" s="83"/>
      <c r="DDR102" s="83"/>
      <c r="DDS102" s="83"/>
      <c r="DDT102" s="83"/>
      <c r="DDU102" s="83"/>
      <c r="DDV102" s="83"/>
      <c r="DDW102" s="83"/>
      <c r="DDX102" s="83"/>
      <c r="DDY102" s="83"/>
      <c r="DDZ102" s="83"/>
      <c r="DEA102" s="83"/>
      <c r="DEB102" s="83"/>
      <c r="DEC102" s="83"/>
      <c r="DED102" s="83"/>
      <c r="DEE102" s="83"/>
      <c r="DEF102" s="83"/>
      <c r="DEG102" s="83"/>
      <c r="DEH102" s="83"/>
      <c r="DEI102" s="83"/>
      <c r="DEJ102" s="83"/>
      <c r="DEK102" s="83"/>
      <c r="DEL102" s="83"/>
      <c r="DEM102" s="83"/>
      <c r="DEN102" s="83"/>
      <c r="DEO102" s="83"/>
      <c r="DEP102" s="83"/>
      <c r="DEQ102" s="83"/>
      <c r="DER102" s="83"/>
      <c r="DES102" s="83"/>
      <c r="DET102" s="83"/>
      <c r="DEU102" s="83"/>
      <c r="DEV102" s="83"/>
      <c r="DEW102" s="83"/>
      <c r="DEX102" s="83"/>
      <c r="DEY102" s="83"/>
      <c r="DEZ102" s="83"/>
      <c r="DFA102" s="83"/>
      <c r="DFB102" s="83"/>
      <c r="DFC102" s="83"/>
      <c r="DFD102" s="83"/>
      <c r="DFE102" s="83"/>
      <c r="DFF102" s="83"/>
      <c r="DFG102" s="83"/>
      <c r="DFH102" s="83"/>
      <c r="DFI102" s="83"/>
      <c r="DFJ102" s="83"/>
      <c r="DFK102" s="83"/>
      <c r="DFL102" s="83"/>
      <c r="DFM102" s="83"/>
      <c r="DFN102" s="83"/>
      <c r="DFO102" s="83"/>
      <c r="DFP102" s="83"/>
      <c r="DFQ102" s="83"/>
      <c r="DFR102" s="83"/>
      <c r="DFS102" s="83"/>
      <c r="DFT102" s="83"/>
      <c r="DFU102" s="83"/>
      <c r="DFV102" s="83"/>
      <c r="DFW102" s="83"/>
      <c r="DFX102" s="83"/>
      <c r="DFY102" s="83"/>
      <c r="DFZ102" s="83"/>
      <c r="DGA102" s="83"/>
      <c r="DGB102" s="83"/>
      <c r="DGC102" s="83"/>
      <c r="DGD102" s="83"/>
      <c r="DGE102" s="83"/>
      <c r="DGF102" s="83"/>
      <c r="DGG102" s="83"/>
      <c r="DGH102" s="83"/>
      <c r="DGI102" s="83"/>
      <c r="DGJ102" s="83"/>
      <c r="DGK102" s="83"/>
      <c r="DGL102" s="83"/>
      <c r="DGM102" s="83"/>
      <c r="DGN102" s="83"/>
      <c r="DGO102" s="83"/>
      <c r="DGP102" s="83"/>
      <c r="DGQ102" s="83"/>
      <c r="DGR102" s="83"/>
      <c r="DGS102" s="83"/>
      <c r="DGT102" s="83"/>
      <c r="DGU102" s="83"/>
      <c r="DGV102" s="83"/>
      <c r="DGW102" s="83"/>
      <c r="DGX102" s="83"/>
      <c r="DGY102" s="83"/>
      <c r="DGZ102" s="83"/>
      <c r="DHA102" s="83"/>
      <c r="DHB102" s="83"/>
      <c r="DHC102" s="83"/>
      <c r="DHD102" s="83"/>
      <c r="DHE102" s="83"/>
      <c r="DHF102" s="83"/>
      <c r="DHG102" s="83"/>
      <c r="DHH102" s="83"/>
      <c r="DHI102" s="83"/>
      <c r="DHJ102" s="83"/>
      <c r="DHK102" s="83"/>
      <c r="DHL102" s="83"/>
      <c r="DHM102" s="83"/>
      <c r="DHN102" s="83"/>
      <c r="DHO102" s="83"/>
      <c r="DHP102" s="83"/>
      <c r="DHQ102" s="83"/>
      <c r="DHR102" s="83"/>
      <c r="DHS102" s="83"/>
      <c r="DHT102" s="83"/>
      <c r="DHU102" s="83"/>
      <c r="DHV102" s="83"/>
      <c r="DHW102" s="83"/>
      <c r="DHX102" s="83"/>
      <c r="DHY102" s="83"/>
      <c r="DHZ102" s="83"/>
      <c r="DIA102" s="83"/>
      <c r="DIB102" s="83"/>
      <c r="DIC102" s="83"/>
      <c r="DID102" s="83"/>
      <c r="DIE102" s="83"/>
      <c r="DIF102" s="83"/>
      <c r="DIG102" s="83"/>
      <c r="DIH102" s="83"/>
      <c r="DII102" s="83"/>
      <c r="DIJ102" s="83"/>
      <c r="DIK102" s="83"/>
      <c r="DIL102" s="83"/>
      <c r="DIM102" s="83"/>
      <c r="DIN102" s="83"/>
      <c r="DIO102" s="83"/>
      <c r="DIP102" s="83"/>
      <c r="DIQ102" s="83"/>
      <c r="DIR102" s="83"/>
      <c r="DIS102" s="83"/>
      <c r="DIT102" s="83"/>
      <c r="DIU102" s="83"/>
      <c r="DIV102" s="83"/>
      <c r="DIW102" s="83"/>
      <c r="DIX102" s="83"/>
      <c r="DIY102" s="83"/>
      <c r="DIZ102" s="83"/>
      <c r="DJA102" s="83"/>
      <c r="DJB102" s="83"/>
      <c r="DJC102" s="83"/>
      <c r="DJD102" s="83"/>
      <c r="DJE102" s="83"/>
      <c r="DJF102" s="83"/>
      <c r="DJG102" s="83"/>
      <c r="DJH102" s="83"/>
      <c r="DJI102" s="83"/>
      <c r="DJJ102" s="83"/>
      <c r="DJK102" s="83"/>
      <c r="DJL102" s="83"/>
      <c r="DJM102" s="83"/>
      <c r="DJN102" s="83"/>
      <c r="DJO102" s="83"/>
      <c r="DJP102" s="83"/>
      <c r="DJQ102" s="83"/>
      <c r="DJR102" s="83"/>
      <c r="DJS102" s="83"/>
      <c r="DJT102" s="83"/>
      <c r="DJU102" s="83"/>
      <c r="DJV102" s="83"/>
      <c r="DJW102" s="83"/>
      <c r="DJX102" s="83"/>
      <c r="DJY102" s="83"/>
      <c r="DJZ102" s="83"/>
      <c r="DKA102" s="83"/>
      <c r="DKB102" s="83"/>
      <c r="DKC102" s="83"/>
      <c r="DKD102" s="83"/>
      <c r="DKE102" s="83"/>
      <c r="DKF102" s="83"/>
      <c r="DKG102" s="83"/>
      <c r="DKH102" s="83"/>
      <c r="DKI102" s="83"/>
      <c r="DKJ102" s="83"/>
      <c r="DKK102" s="83"/>
      <c r="DKL102" s="83"/>
      <c r="DKM102" s="83"/>
      <c r="DKN102" s="83"/>
      <c r="DKO102" s="83"/>
      <c r="DKP102" s="83"/>
      <c r="DKQ102" s="83"/>
      <c r="DKR102" s="83"/>
      <c r="DKS102" s="83"/>
      <c r="DKT102" s="83"/>
      <c r="DKU102" s="83"/>
      <c r="DKV102" s="83"/>
      <c r="DKW102" s="83"/>
      <c r="DKX102" s="83"/>
      <c r="DKY102" s="83"/>
      <c r="DKZ102" s="83"/>
      <c r="DLA102" s="83"/>
      <c r="DLB102" s="83"/>
      <c r="DLC102" s="83"/>
      <c r="DLD102" s="83"/>
      <c r="DLE102" s="83"/>
      <c r="DLF102" s="83"/>
      <c r="DLG102" s="83"/>
      <c r="DLH102" s="83"/>
      <c r="DLI102" s="83"/>
      <c r="DLJ102" s="83"/>
      <c r="DLK102" s="83"/>
      <c r="DLL102" s="83"/>
      <c r="DLM102" s="83"/>
      <c r="DLN102" s="83"/>
      <c r="DLO102" s="83"/>
      <c r="DLP102" s="83"/>
      <c r="DLQ102" s="83"/>
      <c r="DLR102" s="83"/>
      <c r="DLS102" s="83"/>
      <c r="DLT102" s="83"/>
      <c r="DLU102" s="83"/>
      <c r="DLV102" s="83"/>
      <c r="DLW102" s="83"/>
      <c r="DLX102" s="83"/>
      <c r="DLY102" s="83"/>
      <c r="DLZ102" s="83"/>
      <c r="DMA102" s="83"/>
      <c r="DMB102" s="83"/>
      <c r="DMC102" s="83"/>
      <c r="DMD102" s="83"/>
      <c r="DME102" s="83"/>
      <c r="DMF102" s="83"/>
      <c r="DMG102" s="83"/>
      <c r="DMH102" s="83"/>
      <c r="DMI102" s="83"/>
      <c r="DMJ102" s="83"/>
      <c r="DMK102" s="83"/>
      <c r="DML102" s="83"/>
      <c r="DMM102" s="83"/>
      <c r="DMN102" s="83"/>
      <c r="DMO102" s="83"/>
      <c r="DMP102" s="83"/>
      <c r="DMQ102" s="83"/>
      <c r="DMR102" s="83"/>
      <c r="DMS102" s="83"/>
      <c r="DMT102" s="83"/>
      <c r="DMU102" s="83"/>
      <c r="DMV102" s="83"/>
      <c r="DMW102" s="83"/>
      <c r="DMX102" s="83"/>
      <c r="DMY102" s="83"/>
      <c r="DMZ102" s="83"/>
      <c r="DNA102" s="83"/>
      <c r="DNB102" s="83"/>
      <c r="DNC102" s="83"/>
      <c r="DND102" s="83"/>
      <c r="DNE102" s="83"/>
      <c r="DNF102" s="83"/>
      <c r="DNG102" s="83"/>
      <c r="DNH102" s="83"/>
      <c r="DNI102" s="83"/>
      <c r="DNJ102" s="83"/>
      <c r="DNK102" s="83"/>
      <c r="DNL102" s="83"/>
      <c r="DNM102" s="83"/>
      <c r="DNN102" s="83"/>
      <c r="DNO102" s="83"/>
      <c r="DNP102" s="83"/>
      <c r="DNQ102" s="83"/>
      <c r="DNR102" s="83"/>
      <c r="DNS102" s="83"/>
      <c r="DNT102" s="83"/>
      <c r="DNU102" s="83"/>
      <c r="DNV102" s="83"/>
      <c r="DNW102" s="83"/>
      <c r="DNX102" s="83"/>
      <c r="DNY102" s="83"/>
      <c r="DNZ102" s="83"/>
      <c r="DOA102" s="83"/>
      <c r="DOB102" s="83"/>
      <c r="DOC102" s="83"/>
      <c r="DOD102" s="83"/>
      <c r="DOE102" s="83"/>
      <c r="DOF102" s="83"/>
      <c r="DOG102" s="83"/>
      <c r="DOH102" s="83"/>
      <c r="DOI102" s="83"/>
      <c r="DOJ102" s="83"/>
      <c r="DOK102" s="83"/>
      <c r="DOL102" s="83"/>
      <c r="DOM102" s="83"/>
      <c r="DON102" s="83"/>
      <c r="DOO102" s="83"/>
      <c r="DOP102" s="83"/>
      <c r="DOQ102" s="83"/>
      <c r="DOR102" s="83"/>
      <c r="DOS102" s="83"/>
      <c r="DOT102" s="83"/>
      <c r="DOU102" s="83"/>
      <c r="DOV102" s="83"/>
      <c r="DOW102" s="83"/>
      <c r="DOX102" s="83"/>
      <c r="DOY102" s="83"/>
      <c r="DOZ102" s="83"/>
      <c r="DPA102" s="83"/>
      <c r="DPB102" s="83"/>
      <c r="DPC102" s="83"/>
      <c r="DPD102" s="83"/>
      <c r="DPE102" s="83"/>
      <c r="DPF102" s="83"/>
      <c r="DPG102" s="83"/>
      <c r="DPH102" s="83"/>
      <c r="DPI102" s="83"/>
      <c r="DPJ102" s="83"/>
      <c r="DPK102" s="83"/>
      <c r="DPL102" s="83"/>
      <c r="DPM102" s="83"/>
      <c r="DPN102" s="83"/>
      <c r="DPO102" s="83"/>
      <c r="DPP102" s="83"/>
      <c r="DPQ102" s="83"/>
      <c r="DPR102" s="83"/>
      <c r="DPS102" s="83"/>
      <c r="DPT102" s="83"/>
      <c r="DPU102" s="83"/>
      <c r="DPV102" s="83"/>
      <c r="DPW102" s="83"/>
      <c r="DPX102" s="83"/>
      <c r="DPY102" s="83"/>
      <c r="DPZ102" s="83"/>
      <c r="DQA102" s="83"/>
      <c r="DQB102" s="83"/>
      <c r="DQC102" s="83"/>
      <c r="DQD102" s="83"/>
      <c r="DQE102" s="83"/>
      <c r="DQF102" s="83"/>
      <c r="DQG102" s="83"/>
      <c r="DQH102" s="83"/>
      <c r="DQI102" s="83"/>
      <c r="DQJ102" s="83"/>
      <c r="DQK102" s="83"/>
      <c r="DQL102" s="83"/>
      <c r="DQM102" s="83"/>
      <c r="DQN102" s="83"/>
      <c r="DQO102" s="83"/>
      <c r="DQP102" s="83"/>
      <c r="DQQ102" s="83"/>
      <c r="DQR102" s="83"/>
      <c r="DQS102" s="83"/>
      <c r="DQT102" s="83"/>
      <c r="DQU102" s="83"/>
      <c r="DQV102" s="83"/>
      <c r="DQW102" s="83"/>
      <c r="DQX102" s="83"/>
      <c r="DQY102" s="83"/>
      <c r="DQZ102" s="83"/>
      <c r="DRA102" s="83"/>
      <c r="DRB102" s="83"/>
      <c r="DRC102" s="83"/>
      <c r="DRD102" s="83"/>
      <c r="DRE102" s="83"/>
      <c r="DRF102" s="83"/>
      <c r="DRG102" s="83"/>
      <c r="DRH102" s="83"/>
      <c r="DRI102" s="83"/>
      <c r="DRJ102" s="83"/>
      <c r="DRK102" s="83"/>
      <c r="DRL102" s="83"/>
      <c r="DRM102" s="83"/>
      <c r="DRN102" s="83"/>
      <c r="DRO102" s="83"/>
      <c r="DRP102" s="83"/>
      <c r="DRQ102" s="83"/>
      <c r="DRR102" s="83"/>
      <c r="DRS102" s="83"/>
      <c r="DRT102" s="83"/>
      <c r="DRU102" s="83"/>
      <c r="DRV102" s="83"/>
      <c r="DRW102" s="83"/>
      <c r="DRX102" s="83"/>
      <c r="DRY102" s="83"/>
      <c r="DRZ102" s="83"/>
      <c r="DSA102" s="83"/>
      <c r="DSB102" s="83"/>
      <c r="DSC102" s="83"/>
      <c r="DSD102" s="83"/>
      <c r="DSE102" s="83"/>
      <c r="DSF102" s="83"/>
      <c r="DSG102" s="83"/>
      <c r="DSH102" s="83"/>
      <c r="DSI102" s="83"/>
      <c r="DSJ102" s="83"/>
      <c r="DSK102" s="83"/>
      <c r="DSL102" s="83"/>
      <c r="DSM102" s="83"/>
      <c r="DSN102" s="83"/>
      <c r="DSO102" s="83"/>
      <c r="DSP102" s="83"/>
      <c r="DSQ102" s="83"/>
      <c r="DSR102" s="83"/>
      <c r="DSS102" s="83"/>
      <c r="DST102" s="83"/>
      <c r="DSU102" s="83"/>
      <c r="DSV102" s="83"/>
      <c r="DSW102" s="83"/>
      <c r="DSX102" s="83"/>
      <c r="DSY102" s="83"/>
      <c r="DSZ102" s="83"/>
      <c r="DTA102" s="83"/>
      <c r="DTB102" s="83"/>
      <c r="DTC102" s="83"/>
      <c r="DTD102" s="83"/>
      <c r="DTE102" s="83"/>
      <c r="DTF102" s="83"/>
      <c r="DTG102" s="83"/>
      <c r="DTH102" s="83"/>
      <c r="DTI102" s="83"/>
      <c r="DTJ102" s="83"/>
      <c r="DTK102" s="83"/>
      <c r="DTL102" s="83"/>
      <c r="DTM102" s="83"/>
      <c r="DTN102" s="83"/>
      <c r="DTO102" s="83"/>
      <c r="DTP102" s="83"/>
      <c r="DTQ102" s="83"/>
      <c r="DTR102" s="83"/>
      <c r="DTS102" s="83"/>
      <c r="DTT102" s="83"/>
      <c r="DTU102" s="83"/>
      <c r="DTV102" s="83"/>
      <c r="DTW102" s="83"/>
      <c r="DTX102" s="83"/>
      <c r="DTY102" s="83"/>
      <c r="DTZ102" s="83"/>
      <c r="DUA102" s="83"/>
      <c r="DUB102" s="83"/>
      <c r="DUC102" s="83"/>
      <c r="DUD102" s="83"/>
      <c r="DUE102" s="83"/>
      <c r="DUF102" s="83"/>
      <c r="DUG102" s="83"/>
      <c r="DUH102" s="83"/>
      <c r="DUI102" s="83"/>
      <c r="DUJ102" s="83"/>
      <c r="DUK102" s="83"/>
      <c r="DUL102" s="83"/>
      <c r="DUM102" s="83"/>
      <c r="DUN102" s="83"/>
      <c r="DUO102" s="83"/>
      <c r="DUP102" s="83"/>
      <c r="DUQ102" s="83"/>
      <c r="DUR102" s="83"/>
      <c r="DUS102" s="83"/>
      <c r="DUT102" s="83"/>
      <c r="DUU102" s="83"/>
      <c r="DUV102" s="83"/>
      <c r="DUW102" s="83"/>
      <c r="DUX102" s="83"/>
      <c r="DUY102" s="83"/>
      <c r="DUZ102" s="83"/>
      <c r="DVA102" s="83"/>
      <c r="DVB102" s="83"/>
      <c r="DVC102" s="83"/>
      <c r="DVD102" s="83"/>
      <c r="DVE102" s="83"/>
      <c r="DVF102" s="83"/>
      <c r="DVG102" s="83"/>
      <c r="DVH102" s="83"/>
      <c r="DVI102" s="83"/>
      <c r="DVJ102" s="83"/>
      <c r="DVK102" s="83"/>
      <c r="DVL102" s="83"/>
      <c r="DVM102" s="83"/>
      <c r="DVN102" s="83"/>
      <c r="DVO102" s="83"/>
      <c r="DVP102" s="83"/>
      <c r="DVQ102" s="83"/>
      <c r="DVR102" s="83"/>
      <c r="DVS102" s="83"/>
      <c r="DVT102" s="83"/>
      <c r="DVU102" s="83"/>
      <c r="DVV102" s="83"/>
      <c r="DVW102" s="83"/>
      <c r="DVX102" s="83"/>
      <c r="DVY102" s="83"/>
      <c r="DVZ102" s="83"/>
      <c r="DWA102" s="83"/>
      <c r="DWB102" s="83"/>
      <c r="DWC102" s="83"/>
      <c r="DWD102" s="83"/>
      <c r="DWE102" s="83"/>
      <c r="DWF102" s="83"/>
      <c r="DWG102" s="83"/>
      <c r="DWH102" s="83"/>
      <c r="DWI102" s="83"/>
      <c r="DWJ102" s="83"/>
      <c r="DWK102" s="83"/>
      <c r="DWL102" s="83"/>
      <c r="DWM102" s="83"/>
      <c r="DWN102" s="83"/>
      <c r="DWO102" s="83"/>
      <c r="DWP102" s="83"/>
      <c r="DWQ102" s="83"/>
      <c r="DWR102" s="83"/>
      <c r="DWS102" s="83"/>
      <c r="DWT102" s="83"/>
      <c r="DWU102" s="83"/>
      <c r="DWV102" s="83"/>
      <c r="DWW102" s="83"/>
      <c r="DWX102" s="83"/>
      <c r="DWY102" s="83"/>
      <c r="DWZ102" s="83"/>
      <c r="DXA102" s="83"/>
      <c r="DXB102" s="83"/>
      <c r="DXC102" s="83"/>
      <c r="DXD102" s="83"/>
      <c r="DXE102" s="83"/>
      <c r="DXF102" s="83"/>
      <c r="DXG102" s="83"/>
      <c r="DXH102" s="83"/>
      <c r="DXI102" s="83"/>
      <c r="DXJ102" s="83"/>
      <c r="DXK102" s="83"/>
      <c r="DXL102" s="83"/>
      <c r="DXM102" s="83"/>
      <c r="DXN102" s="83"/>
      <c r="DXO102" s="83"/>
      <c r="DXP102" s="83"/>
      <c r="DXQ102" s="83"/>
      <c r="DXR102" s="83"/>
      <c r="DXS102" s="83"/>
      <c r="DXT102" s="83"/>
      <c r="DXU102" s="83"/>
      <c r="DXV102" s="83"/>
      <c r="DXW102" s="83"/>
      <c r="DXX102" s="83"/>
      <c r="DXY102" s="83"/>
      <c r="DXZ102" s="83"/>
      <c r="DYA102" s="83"/>
      <c r="DYB102" s="83"/>
      <c r="DYC102" s="83"/>
      <c r="DYD102" s="83"/>
      <c r="DYE102" s="83"/>
      <c r="DYF102" s="83"/>
      <c r="DYG102" s="83"/>
      <c r="DYH102" s="83"/>
      <c r="DYI102" s="83"/>
      <c r="DYJ102" s="83"/>
      <c r="DYK102" s="83"/>
      <c r="DYL102" s="83"/>
      <c r="DYM102" s="83"/>
      <c r="DYN102" s="83"/>
      <c r="DYO102" s="83"/>
      <c r="DYP102" s="83"/>
      <c r="DYQ102" s="83"/>
      <c r="DYR102" s="83"/>
      <c r="DYS102" s="83"/>
      <c r="DYT102" s="83"/>
      <c r="DYU102" s="83"/>
      <c r="DYV102" s="83"/>
      <c r="DYW102" s="83"/>
      <c r="DYX102" s="83"/>
      <c r="DYY102" s="83"/>
      <c r="DYZ102" s="83"/>
      <c r="DZA102" s="83"/>
      <c r="DZB102" s="83"/>
      <c r="DZC102" s="83"/>
      <c r="DZD102" s="83"/>
      <c r="DZE102" s="83"/>
      <c r="DZF102" s="83"/>
      <c r="DZG102" s="83"/>
      <c r="DZH102" s="83"/>
      <c r="DZI102" s="83"/>
      <c r="DZJ102" s="83"/>
      <c r="DZK102" s="83"/>
      <c r="DZL102" s="83"/>
      <c r="DZM102" s="83"/>
      <c r="DZN102" s="83"/>
      <c r="DZO102" s="83"/>
      <c r="DZP102" s="83"/>
      <c r="DZQ102" s="83"/>
      <c r="DZR102" s="83"/>
      <c r="DZS102" s="83"/>
      <c r="DZT102" s="83"/>
      <c r="DZU102" s="83"/>
      <c r="DZV102" s="83"/>
      <c r="DZW102" s="83"/>
      <c r="DZX102" s="83"/>
      <c r="DZY102" s="83"/>
      <c r="DZZ102" s="83"/>
      <c r="EAA102" s="83"/>
      <c r="EAB102" s="83"/>
      <c r="EAC102" s="83"/>
      <c r="EAD102" s="83"/>
      <c r="EAE102" s="83"/>
      <c r="EAF102" s="83"/>
      <c r="EAG102" s="83"/>
      <c r="EAH102" s="83"/>
      <c r="EAI102" s="83"/>
      <c r="EAJ102" s="83"/>
      <c r="EAK102" s="83"/>
      <c r="EAL102" s="83"/>
      <c r="EAM102" s="83"/>
      <c r="EAN102" s="83"/>
      <c r="EAO102" s="83"/>
      <c r="EAP102" s="83"/>
      <c r="EAQ102" s="83"/>
      <c r="EAR102" s="83"/>
      <c r="EAS102" s="83"/>
      <c r="EAT102" s="83"/>
      <c r="EAU102" s="83"/>
      <c r="EAV102" s="83"/>
      <c r="EAW102" s="83"/>
      <c r="EAX102" s="83"/>
      <c r="EAY102" s="83"/>
      <c r="EAZ102" s="83"/>
      <c r="EBA102" s="83"/>
      <c r="EBB102" s="83"/>
      <c r="EBC102" s="83"/>
      <c r="EBD102" s="83"/>
      <c r="EBE102" s="83"/>
      <c r="EBF102" s="83"/>
      <c r="EBG102" s="83"/>
      <c r="EBH102" s="83"/>
      <c r="EBI102" s="83"/>
      <c r="EBJ102" s="83"/>
      <c r="EBK102" s="83"/>
      <c r="EBL102" s="83"/>
      <c r="EBM102" s="83"/>
      <c r="EBN102" s="83"/>
      <c r="EBO102" s="83"/>
      <c r="EBP102" s="83"/>
      <c r="EBQ102" s="83"/>
      <c r="EBR102" s="83"/>
      <c r="EBS102" s="83"/>
      <c r="EBT102" s="83"/>
      <c r="EBU102" s="83"/>
      <c r="EBV102" s="83"/>
      <c r="EBW102" s="83"/>
      <c r="EBX102" s="83"/>
      <c r="EBY102" s="83"/>
      <c r="EBZ102" s="83"/>
      <c r="ECA102" s="83"/>
      <c r="ECB102" s="83"/>
      <c r="ECC102" s="83"/>
      <c r="ECD102" s="83"/>
      <c r="ECE102" s="83"/>
      <c r="ECF102" s="83"/>
      <c r="ECG102" s="83"/>
      <c r="ECH102" s="83"/>
      <c r="ECI102" s="83"/>
      <c r="ECJ102" s="83"/>
      <c r="ECK102" s="83"/>
      <c r="ECL102" s="83"/>
      <c r="ECM102" s="83"/>
      <c r="ECN102" s="83"/>
      <c r="ECO102" s="83"/>
      <c r="ECP102" s="83"/>
      <c r="ECQ102" s="83"/>
      <c r="ECR102" s="83"/>
      <c r="ECS102" s="83"/>
      <c r="ECT102" s="83"/>
      <c r="ECU102" s="83"/>
      <c r="ECV102" s="83"/>
      <c r="ECW102" s="83"/>
      <c r="ECX102" s="83"/>
      <c r="ECY102" s="83"/>
      <c r="ECZ102" s="83"/>
      <c r="EDA102" s="83"/>
      <c r="EDB102" s="83"/>
      <c r="EDC102" s="83"/>
      <c r="EDD102" s="83"/>
      <c r="EDE102" s="83"/>
      <c r="EDF102" s="83"/>
      <c r="EDG102" s="83"/>
      <c r="EDH102" s="83"/>
      <c r="EDI102" s="83"/>
      <c r="EDJ102" s="83"/>
      <c r="EDK102" s="83"/>
      <c r="EDL102" s="83"/>
      <c r="EDM102" s="83"/>
      <c r="EDN102" s="83"/>
      <c r="EDO102" s="83"/>
      <c r="EDP102" s="83"/>
      <c r="EDQ102" s="83"/>
      <c r="EDR102" s="83"/>
      <c r="EDS102" s="83"/>
      <c r="EDT102" s="83"/>
      <c r="EDU102" s="83"/>
      <c r="EDV102" s="83"/>
      <c r="EDW102" s="83"/>
      <c r="EDX102" s="83"/>
      <c r="EDY102" s="83"/>
      <c r="EDZ102" s="83"/>
      <c r="EEA102" s="83"/>
      <c r="EEB102" s="83"/>
      <c r="EEC102" s="83"/>
      <c r="EED102" s="83"/>
      <c r="EEE102" s="83"/>
      <c r="EEF102" s="83"/>
      <c r="EEG102" s="83"/>
      <c r="EEH102" s="83"/>
      <c r="EEI102" s="83"/>
      <c r="EEJ102" s="83"/>
      <c r="EEK102" s="83"/>
      <c r="EEL102" s="83"/>
      <c r="EEM102" s="83"/>
      <c r="EEN102" s="83"/>
      <c r="EEO102" s="83"/>
      <c r="EEP102" s="83"/>
      <c r="EEQ102" s="83"/>
      <c r="EER102" s="83"/>
      <c r="EES102" s="83"/>
      <c r="EET102" s="83"/>
      <c r="EEU102" s="83"/>
      <c r="EEV102" s="83"/>
      <c r="EEW102" s="83"/>
      <c r="EEX102" s="83"/>
      <c r="EEY102" s="83"/>
      <c r="EEZ102" s="83"/>
      <c r="EFA102" s="83"/>
      <c r="EFB102" s="83"/>
      <c r="EFC102" s="83"/>
      <c r="EFD102" s="83"/>
      <c r="EFE102" s="83"/>
      <c r="EFF102" s="83"/>
      <c r="EFG102" s="83"/>
      <c r="EFH102" s="83"/>
      <c r="EFI102" s="83"/>
      <c r="EFJ102" s="83"/>
      <c r="EFK102" s="83"/>
      <c r="EFL102" s="83"/>
      <c r="EFM102" s="83"/>
      <c r="EFN102" s="83"/>
      <c r="EFO102" s="83"/>
      <c r="EFP102" s="83"/>
      <c r="EFQ102" s="83"/>
      <c r="EFR102" s="83"/>
      <c r="EFS102" s="83"/>
      <c r="EFT102" s="83"/>
      <c r="EFU102" s="83"/>
      <c r="EFV102" s="83"/>
      <c r="EFW102" s="83"/>
      <c r="EFX102" s="83"/>
      <c r="EFY102" s="83"/>
      <c r="EFZ102" s="83"/>
      <c r="EGA102" s="83"/>
      <c r="EGB102" s="83"/>
      <c r="EGC102" s="83"/>
      <c r="EGD102" s="83"/>
      <c r="EGE102" s="83"/>
      <c r="EGF102" s="83"/>
      <c r="EGG102" s="83"/>
      <c r="EGH102" s="83"/>
      <c r="EGI102" s="83"/>
      <c r="EGJ102" s="83"/>
      <c r="EGK102" s="83"/>
      <c r="EGL102" s="83"/>
      <c r="EGM102" s="83"/>
      <c r="EGN102" s="83"/>
      <c r="EGO102" s="83"/>
      <c r="EGP102" s="83"/>
      <c r="EGQ102" s="83"/>
      <c r="EGR102" s="83"/>
      <c r="EGS102" s="83"/>
      <c r="EGT102" s="83"/>
      <c r="EGU102" s="83"/>
      <c r="EGV102" s="83"/>
      <c r="EGW102" s="83"/>
      <c r="EGX102" s="83"/>
      <c r="EGY102" s="83"/>
      <c r="EGZ102" s="83"/>
      <c r="EHA102" s="83"/>
      <c r="EHB102" s="83"/>
      <c r="EHC102" s="83"/>
      <c r="EHD102" s="83"/>
      <c r="EHE102" s="83"/>
      <c r="EHF102" s="83"/>
      <c r="EHG102" s="83"/>
      <c r="EHH102" s="83"/>
      <c r="EHI102" s="83"/>
      <c r="EHJ102" s="83"/>
      <c r="EHK102" s="83"/>
      <c r="EHL102" s="83"/>
      <c r="EHM102" s="83"/>
      <c r="EHN102" s="83"/>
      <c r="EHO102" s="83"/>
      <c r="EHP102" s="83"/>
      <c r="EHQ102" s="83"/>
      <c r="EHR102" s="83"/>
      <c r="EHS102" s="83"/>
      <c r="EHT102" s="83"/>
      <c r="EHU102" s="83"/>
      <c r="EHV102" s="83"/>
      <c r="EHW102" s="83"/>
      <c r="EHX102" s="83"/>
      <c r="EHY102" s="83"/>
      <c r="EHZ102" s="83"/>
      <c r="EIA102" s="83"/>
      <c r="EIB102" s="83"/>
      <c r="EIC102" s="83"/>
      <c r="EID102" s="83"/>
      <c r="EIE102" s="83"/>
      <c r="EIF102" s="83"/>
      <c r="EIG102" s="83"/>
      <c r="EIH102" s="83"/>
      <c r="EII102" s="83"/>
      <c r="EIJ102" s="83"/>
      <c r="EIK102" s="83"/>
      <c r="EIL102" s="83"/>
      <c r="EIM102" s="83"/>
      <c r="EIN102" s="83"/>
      <c r="EIO102" s="83"/>
      <c r="EIP102" s="83"/>
      <c r="EIQ102" s="83"/>
      <c r="EIR102" s="83"/>
      <c r="EIS102" s="83"/>
      <c r="EIT102" s="83"/>
      <c r="EIU102" s="83"/>
      <c r="EIV102" s="83"/>
      <c r="EIW102" s="83"/>
      <c r="EIX102" s="83"/>
      <c r="EIY102" s="83"/>
      <c r="EIZ102" s="83"/>
      <c r="EJA102" s="83"/>
      <c r="EJB102" s="83"/>
      <c r="EJC102" s="83"/>
      <c r="EJD102" s="83"/>
      <c r="EJE102" s="83"/>
      <c r="EJF102" s="83"/>
      <c r="EJG102" s="83"/>
      <c r="EJH102" s="83"/>
      <c r="EJI102" s="83"/>
      <c r="EJJ102" s="83"/>
      <c r="EJK102" s="83"/>
      <c r="EJL102" s="83"/>
      <c r="EJM102" s="83"/>
      <c r="EJN102" s="83"/>
      <c r="EJO102" s="83"/>
      <c r="EJP102" s="83"/>
      <c r="EJQ102" s="83"/>
      <c r="EJR102" s="83"/>
      <c r="EJS102" s="83"/>
      <c r="EJT102" s="83"/>
      <c r="EJU102" s="83"/>
      <c r="EJV102" s="83"/>
      <c r="EJW102" s="83"/>
      <c r="EJX102" s="83"/>
      <c r="EJY102" s="83"/>
      <c r="EJZ102" s="83"/>
      <c r="EKA102" s="83"/>
      <c r="EKB102" s="83"/>
      <c r="EKC102" s="83"/>
      <c r="EKD102" s="83"/>
      <c r="EKE102" s="83"/>
      <c r="EKF102" s="83"/>
      <c r="EKG102" s="83"/>
      <c r="EKH102" s="83"/>
      <c r="EKI102" s="83"/>
      <c r="EKJ102" s="83"/>
      <c r="EKK102" s="83"/>
      <c r="EKL102" s="83"/>
      <c r="EKM102" s="83"/>
      <c r="EKN102" s="83"/>
      <c r="EKO102" s="83"/>
      <c r="EKP102" s="83"/>
      <c r="EKQ102" s="83"/>
      <c r="EKR102" s="83"/>
      <c r="EKS102" s="83"/>
      <c r="EKT102" s="83"/>
      <c r="EKU102" s="83"/>
      <c r="EKV102" s="83"/>
      <c r="EKW102" s="83"/>
      <c r="EKX102" s="83"/>
      <c r="EKY102" s="83"/>
      <c r="EKZ102" s="83"/>
      <c r="ELA102" s="83"/>
      <c r="ELB102" s="83"/>
      <c r="ELC102" s="83"/>
      <c r="ELD102" s="83"/>
      <c r="ELE102" s="83"/>
      <c r="ELF102" s="83"/>
      <c r="ELG102" s="83"/>
      <c r="ELH102" s="83"/>
      <c r="ELI102" s="83"/>
      <c r="ELJ102" s="83"/>
      <c r="ELK102" s="83"/>
      <c r="ELL102" s="83"/>
      <c r="ELM102" s="83"/>
      <c r="ELN102" s="83"/>
      <c r="ELO102" s="83"/>
      <c r="ELP102" s="83"/>
      <c r="ELQ102" s="83"/>
      <c r="ELR102" s="83"/>
      <c r="ELS102" s="83"/>
      <c r="ELT102" s="83"/>
      <c r="ELU102" s="83"/>
      <c r="ELV102" s="83"/>
      <c r="ELW102" s="83"/>
      <c r="ELX102" s="83"/>
      <c r="ELY102" s="83"/>
      <c r="ELZ102" s="83"/>
      <c r="EMA102" s="83"/>
      <c r="EMB102" s="83"/>
      <c r="EMC102" s="83"/>
      <c r="EMD102" s="83"/>
      <c r="EME102" s="83"/>
      <c r="EMF102" s="83"/>
      <c r="EMG102" s="83"/>
      <c r="EMH102" s="83"/>
      <c r="EMI102" s="83"/>
      <c r="EMJ102" s="83"/>
      <c r="EMK102" s="83"/>
      <c r="EML102" s="83"/>
      <c r="EMM102" s="83"/>
      <c r="EMN102" s="83"/>
      <c r="EMO102" s="83"/>
      <c r="EMP102" s="83"/>
      <c r="EMQ102" s="83"/>
      <c r="EMR102" s="83"/>
      <c r="EMS102" s="83"/>
      <c r="EMT102" s="83"/>
      <c r="EMU102" s="83"/>
      <c r="EMV102" s="83"/>
      <c r="EMW102" s="83"/>
      <c r="EMX102" s="83"/>
      <c r="EMY102" s="83"/>
      <c r="EMZ102" s="83"/>
      <c r="ENA102" s="83"/>
      <c r="ENB102" s="83"/>
      <c r="ENC102" s="83"/>
      <c r="END102" s="83"/>
      <c r="ENE102" s="83"/>
      <c r="ENF102" s="83"/>
      <c r="ENG102" s="83"/>
      <c r="ENH102" s="83"/>
      <c r="ENI102" s="83"/>
      <c r="ENJ102" s="83"/>
      <c r="ENK102" s="83"/>
      <c r="ENL102" s="83"/>
      <c r="ENM102" s="83"/>
      <c r="ENN102" s="83"/>
      <c r="ENO102" s="83"/>
      <c r="ENP102" s="83"/>
      <c r="ENQ102" s="83"/>
      <c r="ENR102" s="83"/>
      <c r="ENS102" s="83"/>
      <c r="ENT102" s="83"/>
      <c r="ENU102" s="83"/>
      <c r="ENV102" s="83"/>
      <c r="ENW102" s="83"/>
      <c r="ENX102" s="83"/>
      <c r="ENY102" s="83"/>
      <c r="ENZ102" s="83"/>
      <c r="EOA102" s="83"/>
      <c r="EOB102" s="83"/>
      <c r="EOC102" s="83"/>
      <c r="EOD102" s="83"/>
      <c r="EOE102" s="83"/>
      <c r="EOF102" s="83"/>
      <c r="EOG102" s="83"/>
      <c r="EOH102" s="83"/>
      <c r="EOI102" s="83"/>
      <c r="EOJ102" s="83"/>
      <c r="EOK102" s="83"/>
      <c r="EOL102" s="83"/>
      <c r="EOM102" s="83"/>
      <c r="EON102" s="83"/>
      <c r="EOO102" s="83"/>
      <c r="EOP102" s="83"/>
      <c r="EOQ102" s="83"/>
      <c r="EOR102" s="83"/>
      <c r="EOS102" s="83"/>
      <c r="EOT102" s="83"/>
      <c r="EOU102" s="83"/>
      <c r="EOV102" s="83"/>
      <c r="EOW102" s="83"/>
      <c r="EOX102" s="83"/>
      <c r="EOY102" s="83"/>
      <c r="EOZ102" s="83"/>
      <c r="EPA102" s="83"/>
      <c r="EPB102" s="83"/>
      <c r="EPC102" s="83"/>
      <c r="EPD102" s="83"/>
      <c r="EPE102" s="83"/>
      <c r="EPF102" s="83"/>
      <c r="EPG102" s="83"/>
      <c r="EPH102" s="83"/>
      <c r="EPI102" s="83"/>
      <c r="EPJ102" s="83"/>
      <c r="EPK102" s="83"/>
      <c r="EPL102" s="83"/>
      <c r="EPM102" s="83"/>
      <c r="EPN102" s="83"/>
      <c r="EPO102" s="83"/>
      <c r="EPP102" s="83"/>
      <c r="EPQ102" s="83"/>
      <c r="EPR102" s="83"/>
      <c r="EPS102" s="83"/>
      <c r="EPT102" s="83"/>
      <c r="EPU102" s="83"/>
      <c r="EPV102" s="83"/>
      <c r="EPW102" s="83"/>
      <c r="EPX102" s="83"/>
      <c r="EPY102" s="83"/>
      <c r="EPZ102" s="83"/>
      <c r="EQA102" s="83"/>
      <c r="EQB102" s="83"/>
      <c r="EQC102" s="83"/>
      <c r="EQD102" s="83"/>
      <c r="EQE102" s="83"/>
      <c r="EQF102" s="83"/>
      <c r="EQG102" s="83"/>
      <c r="EQH102" s="83"/>
      <c r="EQI102" s="83"/>
      <c r="EQJ102" s="83"/>
      <c r="EQK102" s="83"/>
      <c r="EQL102" s="83"/>
      <c r="EQM102" s="83"/>
      <c r="EQN102" s="83"/>
      <c r="EQO102" s="83"/>
      <c r="EQP102" s="83"/>
      <c r="EQQ102" s="83"/>
      <c r="EQR102" s="83"/>
      <c r="EQS102" s="83"/>
      <c r="EQT102" s="83"/>
      <c r="EQU102" s="83"/>
      <c r="EQV102" s="83"/>
      <c r="EQW102" s="83"/>
      <c r="EQX102" s="83"/>
      <c r="EQY102" s="83"/>
      <c r="EQZ102" s="83"/>
      <c r="ERA102" s="83"/>
      <c r="ERB102" s="83"/>
      <c r="ERC102" s="83"/>
      <c r="ERD102" s="83"/>
      <c r="ERE102" s="83"/>
      <c r="ERF102" s="83"/>
      <c r="ERG102" s="83"/>
      <c r="ERH102" s="83"/>
      <c r="ERI102" s="83"/>
      <c r="ERJ102" s="83"/>
      <c r="ERK102" s="83"/>
      <c r="ERL102" s="83"/>
      <c r="ERM102" s="83"/>
      <c r="ERN102" s="83"/>
      <c r="ERO102" s="83"/>
      <c r="ERP102" s="83"/>
      <c r="ERQ102" s="83"/>
      <c r="ERR102" s="83"/>
      <c r="ERS102" s="83"/>
      <c r="ERT102" s="83"/>
      <c r="ERU102" s="83"/>
      <c r="ERV102" s="83"/>
      <c r="ERW102" s="83"/>
      <c r="ERX102" s="83"/>
      <c r="ERY102" s="83"/>
      <c r="ERZ102" s="83"/>
      <c r="ESA102" s="83"/>
      <c r="ESB102" s="83"/>
      <c r="ESC102" s="83"/>
      <c r="ESD102" s="83"/>
      <c r="ESE102" s="83"/>
      <c r="ESF102" s="83"/>
      <c r="ESG102" s="83"/>
      <c r="ESH102" s="83"/>
      <c r="ESI102" s="83"/>
      <c r="ESJ102" s="83"/>
      <c r="ESK102" s="83"/>
      <c r="ESL102" s="83"/>
      <c r="ESM102" s="83"/>
      <c r="ESN102" s="83"/>
      <c r="ESO102" s="83"/>
      <c r="ESP102" s="83"/>
      <c r="ESQ102" s="83"/>
      <c r="ESR102" s="83"/>
      <c r="ESS102" s="83"/>
      <c r="EST102" s="83"/>
      <c r="ESU102" s="83"/>
      <c r="ESV102" s="83"/>
      <c r="ESW102" s="83"/>
      <c r="ESX102" s="83"/>
      <c r="ESY102" s="83"/>
      <c r="ESZ102" s="83"/>
      <c r="ETA102" s="83"/>
      <c r="ETB102" s="83"/>
      <c r="ETC102" s="83"/>
      <c r="ETD102" s="83"/>
      <c r="ETE102" s="83"/>
      <c r="ETF102" s="83"/>
      <c r="ETG102" s="83"/>
      <c r="ETH102" s="83"/>
      <c r="ETI102" s="83"/>
      <c r="ETJ102" s="83"/>
      <c r="ETK102" s="83"/>
      <c r="ETL102" s="83"/>
      <c r="ETM102" s="83"/>
      <c r="ETN102" s="83"/>
      <c r="ETO102" s="83"/>
      <c r="ETP102" s="83"/>
      <c r="ETQ102" s="83"/>
      <c r="ETR102" s="83"/>
      <c r="ETS102" s="83"/>
      <c r="ETT102" s="83"/>
      <c r="ETU102" s="83"/>
      <c r="ETV102" s="83"/>
      <c r="ETW102" s="83"/>
      <c r="ETX102" s="83"/>
      <c r="ETY102" s="83"/>
      <c r="ETZ102" s="83"/>
      <c r="EUA102" s="83"/>
      <c r="EUB102" s="83"/>
      <c r="EUC102" s="83"/>
      <c r="EUD102" s="83"/>
      <c r="EUE102" s="83"/>
      <c r="EUF102" s="83"/>
      <c r="EUG102" s="83"/>
      <c r="EUH102" s="83"/>
      <c r="EUI102" s="83"/>
      <c r="EUJ102" s="83"/>
      <c r="EUK102" s="83"/>
      <c r="EUL102" s="83"/>
      <c r="EUM102" s="83"/>
      <c r="EUN102" s="83"/>
      <c r="EUO102" s="83"/>
      <c r="EUP102" s="83"/>
      <c r="EUQ102" s="83"/>
      <c r="EUR102" s="83"/>
      <c r="EUS102" s="83"/>
      <c r="EUT102" s="83"/>
      <c r="EUU102" s="83"/>
      <c r="EUV102" s="83"/>
      <c r="EUW102" s="83"/>
      <c r="EUX102" s="83"/>
      <c r="EUY102" s="83"/>
      <c r="EUZ102" s="83"/>
      <c r="EVA102" s="83"/>
      <c r="EVB102" s="83"/>
      <c r="EVC102" s="83"/>
      <c r="EVD102" s="83"/>
      <c r="EVE102" s="83"/>
      <c r="EVF102" s="83"/>
      <c r="EVG102" s="83"/>
      <c r="EVH102" s="83"/>
      <c r="EVI102" s="83"/>
      <c r="EVJ102" s="83"/>
      <c r="EVK102" s="83"/>
      <c r="EVL102" s="83"/>
      <c r="EVM102" s="83"/>
      <c r="EVN102" s="83"/>
      <c r="EVO102" s="83"/>
      <c r="EVP102" s="83"/>
      <c r="EVQ102" s="83"/>
      <c r="EVR102" s="83"/>
      <c r="EVS102" s="83"/>
      <c r="EVT102" s="83"/>
      <c r="EVU102" s="83"/>
      <c r="EVV102" s="83"/>
      <c r="EVW102" s="83"/>
      <c r="EVX102" s="83"/>
      <c r="EVY102" s="83"/>
      <c r="EVZ102" s="83"/>
      <c r="EWA102" s="83"/>
      <c r="EWB102" s="83"/>
      <c r="EWC102" s="83"/>
      <c r="EWD102" s="83"/>
      <c r="EWE102" s="83"/>
      <c r="EWF102" s="83"/>
      <c r="EWG102" s="83"/>
      <c r="EWH102" s="83"/>
      <c r="EWI102" s="83"/>
      <c r="EWJ102" s="83"/>
      <c r="EWK102" s="83"/>
      <c r="EWL102" s="83"/>
      <c r="EWM102" s="83"/>
      <c r="EWN102" s="83"/>
      <c r="EWO102" s="83"/>
      <c r="EWP102" s="83"/>
      <c r="EWQ102" s="83"/>
      <c r="EWR102" s="83"/>
      <c r="EWS102" s="83"/>
      <c r="EWT102" s="83"/>
      <c r="EWU102" s="83"/>
      <c r="EWV102" s="83"/>
      <c r="EWW102" s="83"/>
      <c r="EWX102" s="83"/>
      <c r="EWY102" s="83"/>
      <c r="EWZ102" s="83"/>
      <c r="EXA102" s="83"/>
      <c r="EXB102" s="83"/>
      <c r="EXC102" s="83"/>
      <c r="EXD102" s="83"/>
      <c r="EXE102" s="83"/>
      <c r="EXF102" s="83"/>
      <c r="EXG102" s="83"/>
      <c r="EXH102" s="83"/>
      <c r="EXI102" s="83"/>
      <c r="EXJ102" s="83"/>
      <c r="EXK102" s="83"/>
      <c r="EXL102" s="83"/>
      <c r="EXM102" s="83"/>
      <c r="EXN102" s="83"/>
      <c r="EXO102" s="83"/>
      <c r="EXP102" s="83"/>
      <c r="EXQ102" s="83"/>
      <c r="EXR102" s="83"/>
      <c r="EXS102" s="83"/>
      <c r="EXT102" s="83"/>
      <c r="EXU102" s="83"/>
      <c r="EXV102" s="83"/>
      <c r="EXW102" s="83"/>
      <c r="EXX102" s="83"/>
      <c r="EXY102" s="83"/>
      <c r="EXZ102" s="83"/>
      <c r="EYA102" s="83"/>
      <c r="EYB102" s="83"/>
      <c r="EYC102" s="83"/>
      <c r="EYD102" s="83"/>
      <c r="EYE102" s="83"/>
      <c r="EYF102" s="83"/>
      <c r="EYG102" s="83"/>
      <c r="EYH102" s="83"/>
      <c r="EYI102" s="83"/>
      <c r="EYJ102" s="83"/>
      <c r="EYK102" s="83"/>
      <c r="EYL102" s="83"/>
      <c r="EYM102" s="83"/>
      <c r="EYN102" s="83"/>
      <c r="EYO102" s="83"/>
      <c r="EYP102" s="83"/>
      <c r="EYQ102" s="83"/>
      <c r="EYR102" s="83"/>
      <c r="EYS102" s="83"/>
      <c r="EYT102" s="83"/>
      <c r="EYU102" s="83"/>
      <c r="EYV102" s="83"/>
      <c r="EYW102" s="83"/>
      <c r="EYX102" s="83"/>
      <c r="EYY102" s="83"/>
      <c r="EYZ102" s="83"/>
      <c r="EZA102" s="83"/>
      <c r="EZB102" s="83"/>
      <c r="EZC102" s="83"/>
      <c r="EZD102" s="83"/>
      <c r="EZE102" s="83"/>
      <c r="EZF102" s="83"/>
      <c r="EZG102" s="83"/>
      <c r="EZH102" s="83"/>
      <c r="EZI102" s="83"/>
      <c r="EZJ102" s="83"/>
      <c r="EZK102" s="83"/>
      <c r="EZL102" s="83"/>
      <c r="EZM102" s="83"/>
      <c r="EZN102" s="83"/>
      <c r="EZO102" s="83"/>
      <c r="EZP102" s="83"/>
      <c r="EZQ102" s="83"/>
      <c r="EZR102" s="83"/>
      <c r="EZS102" s="83"/>
      <c r="EZT102" s="83"/>
      <c r="EZU102" s="83"/>
      <c r="EZV102" s="83"/>
      <c r="EZW102" s="83"/>
      <c r="EZX102" s="83"/>
      <c r="EZY102" s="83"/>
      <c r="EZZ102" s="83"/>
      <c r="FAA102" s="83"/>
      <c r="FAB102" s="83"/>
      <c r="FAC102" s="83"/>
      <c r="FAD102" s="83"/>
      <c r="FAE102" s="83"/>
      <c r="FAF102" s="83"/>
      <c r="FAG102" s="83"/>
      <c r="FAH102" s="83"/>
      <c r="FAI102" s="83"/>
      <c r="FAJ102" s="83"/>
      <c r="FAK102" s="83"/>
      <c r="FAL102" s="83"/>
      <c r="FAM102" s="83"/>
      <c r="FAN102" s="83"/>
      <c r="FAO102" s="83"/>
      <c r="FAP102" s="83"/>
      <c r="FAQ102" s="83"/>
      <c r="FAR102" s="83"/>
      <c r="FAS102" s="83"/>
      <c r="FAT102" s="83"/>
      <c r="FAU102" s="83"/>
      <c r="FAV102" s="83"/>
      <c r="FAW102" s="83"/>
      <c r="FAX102" s="83"/>
      <c r="FAY102" s="83"/>
      <c r="FAZ102" s="83"/>
      <c r="FBA102" s="83"/>
      <c r="FBB102" s="83"/>
      <c r="FBC102" s="83"/>
      <c r="FBD102" s="83"/>
      <c r="FBE102" s="83"/>
      <c r="FBF102" s="83"/>
      <c r="FBG102" s="83"/>
      <c r="FBH102" s="83"/>
      <c r="FBI102" s="83"/>
      <c r="FBJ102" s="83"/>
      <c r="FBK102" s="83"/>
      <c r="FBL102" s="83"/>
      <c r="FBM102" s="83"/>
      <c r="FBN102" s="83"/>
      <c r="FBO102" s="83"/>
      <c r="FBP102" s="83"/>
      <c r="FBQ102" s="83"/>
      <c r="FBR102" s="83"/>
      <c r="FBS102" s="83"/>
      <c r="FBT102" s="83"/>
      <c r="FBU102" s="83"/>
      <c r="FBV102" s="83"/>
      <c r="FBW102" s="83"/>
      <c r="FBX102" s="83"/>
      <c r="FBY102" s="83"/>
      <c r="FBZ102" s="83"/>
      <c r="FCA102" s="83"/>
      <c r="FCB102" s="83"/>
      <c r="FCC102" s="83"/>
      <c r="FCD102" s="83"/>
      <c r="FCE102" s="83"/>
      <c r="FCF102" s="83"/>
      <c r="FCG102" s="83"/>
      <c r="FCH102" s="83"/>
      <c r="FCI102" s="83"/>
      <c r="FCJ102" s="83"/>
      <c r="FCK102" s="83"/>
      <c r="FCL102" s="83"/>
      <c r="FCM102" s="83"/>
      <c r="FCN102" s="83"/>
      <c r="FCO102" s="83"/>
      <c r="FCP102" s="83"/>
      <c r="FCQ102" s="83"/>
      <c r="FCR102" s="83"/>
      <c r="FCS102" s="83"/>
      <c r="FCT102" s="83"/>
      <c r="FCU102" s="83"/>
      <c r="FCV102" s="83"/>
      <c r="FCW102" s="83"/>
      <c r="FCX102" s="83"/>
      <c r="FCY102" s="83"/>
      <c r="FCZ102" s="83"/>
      <c r="FDA102" s="83"/>
      <c r="FDB102" s="83"/>
      <c r="FDC102" s="83"/>
      <c r="FDD102" s="83"/>
      <c r="FDE102" s="83"/>
      <c r="FDF102" s="83"/>
      <c r="FDG102" s="83"/>
      <c r="FDH102" s="83"/>
      <c r="FDI102" s="83"/>
      <c r="FDJ102" s="83"/>
      <c r="FDK102" s="83"/>
      <c r="FDL102" s="83"/>
      <c r="FDM102" s="83"/>
      <c r="FDN102" s="83"/>
      <c r="FDO102" s="83"/>
      <c r="FDP102" s="83"/>
      <c r="FDQ102" s="83"/>
      <c r="FDR102" s="83"/>
      <c r="FDS102" s="83"/>
      <c r="FDT102" s="83"/>
      <c r="FDU102" s="83"/>
      <c r="FDV102" s="83"/>
      <c r="FDW102" s="83"/>
      <c r="FDX102" s="83"/>
      <c r="FDY102" s="83"/>
      <c r="FDZ102" s="83"/>
      <c r="FEA102" s="83"/>
      <c r="FEB102" s="83"/>
      <c r="FEC102" s="83"/>
      <c r="FED102" s="83"/>
      <c r="FEE102" s="83"/>
      <c r="FEF102" s="83"/>
      <c r="FEG102" s="83"/>
      <c r="FEH102" s="83"/>
      <c r="FEI102" s="83"/>
      <c r="FEJ102" s="83"/>
      <c r="FEK102" s="83"/>
      <c r="FEL102" s="83"/>
      <c r="FEM102" s="83"/>
      <c r="FEN102" s="83"/>
      <c r="FEO102" s="83"/>
      <c r="FEP102" s="83"/>
      <c r="FEQ102" s="83"/>
      <c r="FER102" s="83"/>
      <c r="FES102" s="83"/>
      <c r="FET102" s="83"/>
      <c r="FEU102" s="83"/>
      <c r="FEV102" s="83"/>
      <c r="FEW102" s="83"/>
      <c r="FEX102" s="83"/>
      <c r="FEY102" s="83"/>
      <c r="FEZ102" s="83"/>
      <c r="FFA102" s="83"/>
      <c r="FFB102" s="83"/>
      <c r="FFC102" s="83"/>
      <c r="FFD102" s="83"/>
      <c r="FFE102" s="83"/>
      <c r="FFF102" s="83"/>
      <c r="FFG102" s="83"/>
      <c r="FFH102" s="83"/>
      <c r="FFI102" s="83"/>
      <c r="FFJ102" s="83"/>
      <c r="FFK102" s="83"/>
      <c r="FFL102" s="83"/>
      <c r="FFM102" s="83"/>
      <c r="FFN102" s="83"/>
      <c r="FFO102" s="83"/>
      <c r="FFP102" s="83"/>
      <c r="FFQ102" s="83"/>
      <c r="FFR102" s="83"/>
      <c r="FFS102" s="83"/>
      <c r="FFT102" s="83"/>
      <c r="FFU102" s="83"/>
      <c r="FFV102" s="83"/>
      <c r="FFW102" s="83"/>
      <c r="FFX102" s="83"/>
      <c r="FFY102" s="83"/>
      <c r="FFZ102" s="83"/>
      <c r="FGA102" s="83"/>
      <c r="FGB102" s="83"/>
      <c r="FGC102" s="83"/>
      <c r="FGD102" s="83"/>
      <c r="FGE102" s="83"/>
      <c r="FGF102" s="83"/>
      <c r="FGG102" s="83"/>
      <c r="FGH102" s="83"/>
      <c r="FGI102" s="83"/>
      <c r="FGJ102" s="83"/>
      <c r="FGK102" s="83"/>
      <c r="FGL102" s="83"/>
      <c r="FGM102" s="83"/>
      <c r="FGN102" s="83"/>
      <c r="FGO102" s="83"/>
      <c r="FGP102" s="83"/>
      <c r="FGQ102" s="83"/>
      <c r="FGR102" s="83"/>
      <c r="FGS102" s="83"/>
      <c r="FGT102" s="83"/>
      <c r="FGU102" s="83"/>
      <c r="FGV102" s="83"/>
      <c r="FGW102" s="83"/>
      <c r="FGX102" s="83"/>
      <c r="FGY102" s="83"/>
      <c r="FGZ102" s="83"/>
      <c r="FHA102" s="83"/>
      <c r="FHB102" s="83"/>
      <c r="FHC102" s="83"/>
      <c r="FHD102" s="83"/>
      <c r="FHE102" s="83"/>
      <c r="FHF102" s="83"/>
      <c r="FHG102" s="83"/>
      <c r="FHH102" s="83"/>
      <c r="FHI102" s="83"/>
      <c r="FHJ102" s="83"/>
      <c r="FHK102" s="83"/>
      <c r="FHL102" s="83"/>
      <c r="FHM102" s="83"/>
      <c r="FHN102" s="83"/>
      <c r="FHO102" s="83"/>
      <c r="FHP102" s="83"/>
      <c r="FHQ102" s="83"/>
      <c r="FHR102" s="83"/>
      <c r="FHS102" s="83"/>
      <c r="FHT102" s="83"/>
      <c r="FHU102" s="83"/>
      <c r="FHV102" s="83"/>
      <c r="FHW102" s="83"/>
      <c r="FHX102" s="83"/>
      <c r="FHY102" s="83"/>
      <c r="FHZ102" s="83"/>
      <c r="FIA102" s="83"/>
      <c r="FIB102" s="83"/>
      <c r="FIC102" s="83"/>
      <c r="FID102" s="83"/>
      <c r="FIE102" s="83"/>
      <c r="FIF102" s="83"/>
      <c r="FIG102" s="83"/>
      <c r="FIH102" s="83"/>
      <c r="FII102" s="83"/>
      <c r="FIJ102" s="83"/>
      <c r="FIK102" s="83"/>
      <c r="FIL102" s="83"/>
      <c r="FIM102" s="83"/>
      <c r="FIN102" s="83"/>
      <c r="FIO102" s="83"/>
      <c r="FIP102" s="83"/>
      <c r="FIQ102" s="83"/>
      <c r="FIR102" s="83"/>
      <c r="FIS102" s="83"/>
      <c r="FIT102" s="83"/>
      <c r="FIU102" s="83"/>
      <c r="FIV102" s="83"/>
      <c r="FIW102" s="83"/>
      <c r="FIX102" s="83"/>
      <c r="FIY102" s="83"/>
      <c r="FIZ102" s="83"/>
      <c r="FJA102" s="83"/>
      <c r="FJB102" s="83"/>
      <c r="FJC102" s="83"/>
      <c r="FJD102" s="83"/>
      <c r="FJE102" s="83"/>
      <c r="FJF102" s="83"/>
      <c r="FJG102" s="83"/>
      <c r="FJH102" s="83"/>
      <c r="FJI102" s="83"/>
      <c r="FJJ102" s="83"/>
      <c r="FJK102" s="83"/>
      <c r="FJL102" s="83"/>
      <c r="FJM102" s="83"/>
      <c r="FJN102" s="83"/>
      <c r="FJO102" s="83"/>
      <c r="FJP102" s="83"/>
      <c r="FJQ102" s="83"/>
      <c r="FJR102" s="83"/>
      <c r="FJS102" s="83"/>
      <c r="FJT102" s="83"/>
      <c r="FJU102" s="83"/>
      <c r="FJV102" s="83"/>
      <c r="FJW102" s="83"/>
      <c r="FJX102" s="83"/>
      <c r="FJY102" s="83"/>
      <c r="FJZ102" s="83"/>
      <c r="FKA102" s="83"/>
      <c r="FKB102" s="83"/>
      <c r="FKC102" s="83"/>
      <c r="FKD102" s="83"/>
      <c r="FKE102" s="83"/>
      <c r="FKF102" s="83"/>
      <c r="FKG102" s="83"/>
      <c r="FKH102" s="83"/>
      <c r="FKI102" s="83"/>
      <c r="FKJ102" s="83"/>
      <c r="FKK102" s="83"/>
      <c r="FKL102" s="83"/>
      <c r="FKM102" s="83"/>
      <c r="FKN102" s="83"/>
      <c r="FKO102" s="83"/>
      <c r="FKP102" s="83"/>
      <c r="FKQ102" s="83"/>
      <c r="FKR102" s="83"/>
      <c r="FKS102" s="83"/>
      <c r="FKT102" s="83"/>
      <c r="FKU102" s="83"/>
      <c r="FKV102" s="83"/>
      <c r="FKW102" s="83"/>
      <c r="FKX102" s="83"/>
      <c r="FKY102" s="83"/>
      <c r="FKZ102" s="83"/>
      <c r="FLA102" s="83"/>
      <c r="FLB102" s="83"/>
      <c r="FLC102" s="83"/>
      <c r="FLD102" s="83"/>
      <c r="FLE102" s="83"/>
      <c r="FLF102" s="83"/>
      <c r="FLG102" s="83"/>
      <c r="FLH102" s="83"/>
      <c r="FLI102" s="83"/>
      <c r="FLJ102" s="83"/>
      <c r="FLK102" s="83"/>
      <c r="FLL102" s="83"/>
      <c r="FLM102" s="83"/>
      <c r="FLN102" s="83"/>
      <c r="FLO102" s="83"/>
      <c r="FLP102" s="83"/>
      <c r="FLQ102" s="83"/>
      <c r="FLR102" s="83"/>
      <c r="FLS102" s="83"/>
      <c r="FLT102" s="83"/>
      <c r="FLU102" s="83"/>
      <c r="FLV102" s="83"/>
      <c r="FLW102" s="83"/>
      <c r="FLX102" s="83"/>
      <c r="FLY102" s="83"/>
      <c r="FLZ102" s="83"/>
      <c r="FMA102" s="83"/>
      <c r="FMB102" s="83"/>
      <c r="FMC102" s="83"/>
      <c r="FMD102" s="83"/>
      <c r="FME102" s="83"/>
      <c r="FMF102" s="83"/>
      <c r="FMG102" s="83"/>
      <c r="FMH102" s="83"/>
      <c r="FMI102" s="83"/>
      <c r="FMJ102" s="83"/>
      <c r="FMK102" s="83"/>
      <c r="FML102" s="83"/>
      <c r="FMM102" s="83"/>
      <c r="FMN102" s="83"/>
      <c r="FMO102" s="83"/>
      <c r="FMP102" s="83"/>
      <c r="FMQ102" s="83"/>
      <c r="FMR102" s="83"/>
      <c r="FMS102" s="83"/>
      <c r="FMT102" s="83"/>
      <c r="FMU102" s="83"/>
      <c r="FMV102" s="83"/>
      <c r="FMW102" s="83"/>
      <c r="FMX102" s="83"/>
      <c r="FMY102" s="83"/>
      <c r="FMZ102" s="83"/>
      <c r="FNA102" s="83"/>
      <c r="FNB102" s="83"/>
      <c r="FNC102" s="83"/>
      <c r="FND102" s="83"/>
      <c r="FNE102" s="83"/>
      <c r="FNF102" s="83"/>
      <c r="FNG102" s="83"/>
      <c r="FNH102" s="83"/>
      <c r="FNI102" s="83"/>
      <c r="FNJ102" s="83"/>
      <c r="FNK102" s="83"/>
      <c r="FNL102" s="83"/>
      <c r="FNM102" s="83"/>
      <c r="FNN102" s="83"/>
      <c r="FNO102" s="83"/>
      <c r="FNP102" s="83"/>
      <c r="FNQ102" s="83"/>
      <c r="FNR102" s="83"/>
      <c r="FNS102" s="83"/>
      <c r="FNT102" s="83"/>
      <c r="FNU102" s="83"/>
      <c r="FNV102" s="83"/>
      <c r="FNW102" s="83"/>
      <c r="FNX102" s="83"/>
      <c r="FNY102" s="83"/>
      <c r="FNZ102" s="83"/>
      <c r="FOA102" s="83"/>
      <c r="FOB102" s="83"/>
      <c r="FOC102" s="83"/>
      <c r="FOD102" s="83"/>
      <c r="FOE102" s="83"/>
      <c r="FOF102" s="83"/>
      <c r="FOG102" s="83"/>
      <c r="FOH102" s="83"/>
      <c r="FOI102" s="83"/>
      <c r="FOJ102" s="83"/>
      <c r="FOK102" s="83"/>
      <c r="FOL102" s="83"/>
      <c r="FOM102" s="83"/>
      <c r="FON102" s="83"/>
      <c r="FOO102" s="83"/>
      <c r="FOP102" s="83"/>
      <c r="FOQ102" s="83"/>
      <c r="FOR102" s="83"/>
      <c r="FOS102" s="83"/>
      <c r="FOT102" s="83"/>
      <c r="FOU102" s="83"/>
      <c r="FOV102" s="83"/>
      <c r="FOW102" s="83"/>
      <c r="FOX102" s="83"/>
      <c r="FOY102" s="83"/>
      <c r="FOZ102" s="83"/>
      <c r="FPA102" s="83"/>
      <c r="FPB102" s="83"/>
      <c r="FPC102" s="83"/>
      <c r="FPD102" s="83"/>
      <c r="FPE102" s="83"/>
      <c r="FPF102" s="83"/>
      <c r="FPG102" s="83"/>
      <c r="FPH102" s="83"/>
      <c r="FPI102" s="83"/>
      <c r="FPJ102" s="83"/>
      <c r="FPK102" s="83"/>
      <c r="FPL102" s="83"/>
      <c r="FPM102" s="83"/>
      <c r="FPN102" s="83"/>
      <c r="FPO102" s="83"/>
      <c r="FPP102" s="83"/>
      <c r="FPQ102" s="83"/>
      <c r="FPR102" s="83"/>
      <c r="FPS102" s="83"/>
      <c r="FPT102" s="83"/>
      <c r="FPU102" s="83"/>
      <c r="FPV102" s="83"/>
      <c r="FPW102" s="83"/>
      <c r="FPX102" s="83"/>
      <c r="FPY102" s="83"/>
      <c r="FPZ102" s="83"/>
      <c r="FQA102" s="83"/>
      <c r="FQB102" s="83"/>
      <c r="FQC102" s="83"/>
      <c r="FQD102" s="83"/>
      <c r="FQE102" s="83"/>
      <c r="FQF102" s="83"/>
      <c r="FQG102" s="83"/>
      <c r="FQH102" s="83"/>
      <c r="FQI102" s="83"/>
      <c r="FQJ102" s="83"/>
      <c r="FQK102" s="83"/>
      <c r="FQL102" s="83"/>
      <c r="FQM102" s="83"/>
      <c r="FQN102" s="83"/>
      <c r="FQO102" s="83"/>
      <c r="FQP102" s="83"/>
      <c r="FQQ102" s="83"/>
      <c r="FQR102" s="83"/>
      <c r="FQS102" s="83"/>
      <c r="FQT102" s="83"/>
      <c r="FQU102" s="83"/>
      <c r="FQV102" s="83"/>
      <c r="FQW102" s="83"/>
      <c r="FQX102" s="83"/>
      <c r="FQY102" s="83"/>
      <c r="FQZ102" s="83"/>
      <c r="FRA102" s="83"/>
      <c r="FRB102" s="83"/>
      <c r="FRC102" s="83"/>
      <c r="FRD102" s="83"/>
      <c r="FRE102" s="83"/>
      <c r="FRF102" s="83"/>
      <c r="FRG102" s="83"/>
      <c r="FRH102" s="83"/>
      <c r="FRI102" s="83"/>
      <c r="FRJ102" s="83"/>
      <c r="FRK102" s="83"/>
      <c r="FRL102" s="83"/>
      <c r="FRM102" s="83"/>
      <c r="FRN102" s="83"/>
      <c r="FRO102" s="83"/>
      <c r="FRP102" s="83"/>
      <c r="FRQ102" s="83"/>
      <c r="FRR102" s="83"/>
      <c r="FRS102" s="83"/>
      <c r="FRT102" s="83"/>
      <c r="FRU102" s="83"/>
      <c r="FRV102" s="83"/>
      <c r="FRW102" s="83"/>
      <c r="FRX102" s="83"/>
      <c r="FRY102" s="83"/>
      <c r="FRZ102" s="83"/>
      <c r="FSA102" s="83"/>
      <c r="FSB102" s="83"/>
      <c r="FSC102" s="83"/>
      <c r="FSD102" s="83"/>
      <c r="FSE102" s="83"/>
      <c r="FSF102" s="83"/>
      <c r="FSG102" s="83"/>
      <c r="FSH102" s="83"/>
      <c r="FSI102" s="83"/>
      <c r="FSJ102" s="83"/>
      <c r="FSK102" s="83"/>
      <c r="FSL102" s="83"/>
      <c r="FSM102" s="83"/>
      <c r="FSN102" s="83"/>
      <c r="FSO102" s="83"/>
      <c r="FSP102" s="83"/>
      <c r="FSQ102" s="83"/>
      <c r="FSR102" s="83"/>
      <c r="FSS102" s="83"/>
      <c r="FST102" s="83"/>
      <c r="FSU102" s="83"/>
      <c r="FSV102" s="83"/>
      <c r="FSW102" s="83"/>
      <c r="FSX102" s="83"/>
      <c r="FSY102" s="83"/>
      <c r="FSZ102" s="83"/>
      <c r="FTA102" s="83"/>
      <c r="FTB102" s="83"/>
      <c r="FTC102" s="83"/>
      <c r="FTD102" s="83"/>
      <c r="FTE102" s="83"/>
      <c r="FTF102" s="83"/>
      <c r="FTG102" s="83"/>
      <c r="FTH102" s="83"/>
      <c r="FTI102" s="83"/>
      <c r="FTJ102" s="83"/>
      <c r="FTK102" s="83"/>
      <c r="FTL102" s="83"/>
      <c r="FTM102" s="83"/>
      <c r="FTN102" s="83"/>
      <c r="FTO102" s="83"/>
      <c r="FTP102" s="83"/>
      <c r="FTQ102" s="83"/>
      <c r="FTR102" s="83"/>
      <c r="FTS102" s="83"/>
      <c r="FTT102" s="83"/>
      <c r="FTU102" s="83"/>
      <c r="FTV102" s="83"/>
      <c r="FTW102" s="83"/>
      <c r="FTX102" s="83"/>
      <c r="FTY102" s="83"/>
      <c r="FTZ102" s="83"/>
      <c r="FUA102" s="83"/>
      <c r="FUB102" s="83"/>
      <c r="FUC102" s="83"/>
      <c r="FUD102" s="83"/>
      <c r="FUE102" s="83"/>
      <c r="FUF102" s="83"/>
      <c r="FUG102" s="83"/>
      <c r="FUH102" s="83"/>
      <c r="FUI102" s="83"/>
      <c r="FUJ102" s="83"/>
      <c r="FUK102" s="83"/>
      <c r="FUL102" s="83"/>
      <c r="FUM102" s="83"/>
      <c r="FUN102" s="83"/>
      <c r="FUO102" s="83"/>
      <c r="FUP102" s="83"/>
      <c r="FUQ102" s="83"/>
      <c r="FUR102" s="83"/>
      <c r="FUS102" s="83"/>
      <c r="FUT102" s="83"/>
      <c r="FUU102" s="83"/>
      <c r="FUV102" s="83"/>
      <c r="FUW102" s="83"/>
      <c r="FUX102" s="83"/>
      <c r="FUY102" s="83"/>
      <c r="FUZ102" s="83"/>
      <c r="FVA102" s="83"/>
      <c r="FVB102" s="83"/>
      <c r="FVC102" s="83"/>
      <c r="FVD102" s="83"/>
      <c r="FVE102" s="83"/>
      <c r="FVF102" s="83"/>
      <c r="FVG102" s="83"/>
      <c r="FVH102" s="83"/>
      <c r="FVI102" s="83"/>
      <c r="FVJ102" s="83"/>
      <c r="FVK102" s="83"/>
      <c r="FVL102" s="83"/>
      <c r="FVM102" s="83"/>
      <c r="FVN102" s="83"/>
      <c r="FVO102" s="83"/>
      <c r="FVP102" s="83"/>
      <c r="FVQ102" s="83"/>
      <c r="FVR102" s="83"/>
      <c r="FVS102" s="83"/>
      <c r="FVT102" s="83"/>
      <c r="FVU102" s="83"/>
      <c r="FVV102" s="83"/>
      <c r="FVW102" s="83"/>
      <c r="FVX102" s="83"/>
      <c r="FVY102" s="83"/>
      <c r="FVZ102" s="83"/>
      <c r="FWA102" s="83"/>
      <c r="FWB102" s="83"/>
      <c r="FWC102" s="83"/>
      <c r="FWD102" s="83"/>
      <c r="FWE102" s="83"/>
      <c r="FWF102" s="83"/>
      <c r="FWG102" s="83"/>
      <c r="FWH102" s="83"/>
      <c r="FWI102" s="83"/>
      <c r="FWJ102" s="83"/>
      <c r="FWK102" s="83"/>
      <c r="FWL102" s="83"/>
      <c r="FWM102" s="83"/>
      <c r="FWN102" s="83"/>
      <c r="FWO102" s="83"/>
      <c r="FWP102" s="83"/>
      <c r="FWQ102" s="83"/>
      <c r="FWR102" s="83"/>
      <c r="FWS102" s="83"/>
      <c r="FWT102" s="83"/>
      <c r="FWU102" s="83"/>
      <c r="FWV102" s="83"/>
      <c r="FWW102" s="83"/>
      <c r="FWX102" s="83"/>
      <c r="FWY102" s="83"/>
      <c r="FWZ102" s="83"/>
      <c r="FXA102" s="83"/>
      <c r="FXB102" s="83"/>
      <c r="FXC102" s="83"/>
      <c r="FXD102" s="83"/>
      <c r="FXE102" s="83"/>
      <c r="FXF102" s="83"/>
      <c r="FXG102" s="83"/>
      <c r="FXH102" s="83"/>
      <c r="FXI102" s="83"/>
      <c r="FXJ102" s="83"/>
      <c r="FXK102" s="83"/>
      <c r="FXL102" s="83"/>
      <c r="FXM102" s="83"/>
      <c r="FXN102" s="83"/>
      <c r="FXO102" s="83"/>
      <c r="FXP102" s="83"/>
      <c r="FXQ102" s="83"/>
      <c r="FXR102" s="83"/>
      <c r="FXS102" s="83"/>
      <c r="FXT102" s="83"/>
      <c r="FXU102" s="83"/>
      <c r="FXV102" s="83"/>
      <c r="FXW102" s="83"/>
      <c r="FXX102" s="83"/>
      <c r="FXY102" s="83"/>
      <c r="FXZ102" s="83"/>
      <c r="FYA102" s="83"/>
      <c r="FYB102" s="83"/>
      <c r="FYC102" s="83"/>
      <c r="FYD102" s="83"/>
      <c r="FYE102" s="83"/>
      <c r="FYF102" s="83"/>
      <c r="FYG102" s="83"/>
      <c r="FYH102" s="83"/>
      <c r="FYI102" s="83"/>
      <c r="FYJ102" s="83"/>
      <c r="FYK102" s="83"/>
      <c r="FYL102" s="83"/>
      <c r="FYM102" s="83"/>
      <c r="FYN102" s="83"/>
      <c r="FYO102" s="83"/>
      <c r="FYP102" s="83"/>
      <c r="FYQ102" s="83"/>
      <c r="FYR102" s="83"/>
      <c r="FYS102" s="83"/>
      <c r="FYT102" s="83"/>
      <c r="FYU102" s="83"/>
      <c r="FYV102" s="83"/>
      <c r="FYW102" s="83"/>
      <c r="FYX102" s="83"/>
      <c r="FYY102" s="83"/>
      <c r="FYZ102" s="83"/>
      <c r="FZA102" s="83"/>
      <c r="FZB102" s="83"/>
      <c r="FZC102" s="83"/>
      <c r="FZD102" s="83"/>
      <c r="FZE102" s="83"/>
      <c r="FZF102" s="83"/>
      <c r="FZG102" s="83"/>
      <c r="FZH102" s="83"/>
      <c r="FZI102" s="83"/>
      <c r="FZJ102" s="83"/>
      <c r="FZK102" s="83"/>
      <c r="FZL102" s="83"/>
      <c r="FZM102" s="83"/>
      <c r="FZN102" s="83"/>
      <c r="FZO102" s="83"/>
      <c r="FZP102" s="83"/>
      <c r="FZQ102" s="83"/>
      <c r="FZR102" s="83"/>
      <c r="FZS102" s="83"/>
      <c r="FZT102" s="83"/>
      <c r="FZU102" s="83"/>
      <c r="FZV102" s="83"/>
      <c r="FZW102" s="83"/>
      <c r="FZX102" s="83"/>
      <c r="FZY102" s="83"/>
      <c r="FZZ102" s="83"/>
      <c r="GAA102" s="83"/>
      <c r="GAB102" s="83"/>
      <c r="GAC102" s="83"/>
      <c r="GAD102" s="83"/>
      <c r="GAE102" s="83"/>
      <c r="GAF102" s="83"/>
      <c r="GAG102" s="83"/>
      <c r="GAH102" s="83"/>
      <c r="GAI102" s="83"/>
      <c r="GAJ102" s="83"/>
      <c r="GAK102" s="83"/>
      <c r="GAL102" s="83"/>
      <c r="GAM102" s="83"/>
      <c r="GAN102" s="83"/>
      <c r="GAO102" s="83"/>
      <c r="GAP102" s="83"/>
      <c r="GAQ102" s="83"/>
      <c r="GAR102" s="83"/>
      <c r="GAS102" s="83"/>
      <c r="GAT102" s="83"/>
      <c r="GAU102" s="83"/>
      <c r="GAV102" s="83"/>
      <c r="GAW102" s="83"/>
      <c r="GAX102" s="83"/>
      <c r="GAY102" s="83"/>
      <c r="GAZ102" s="83"/>
      <c r="GBA102" s="83"/>
      <c r="GBB102" s="83"/>
      <c r="GBC102" s="83"/>
      <c r="GBD102" s="83"/>
      <c r="GBE102" s="83"/>
      <c r="GBF102" s="83"/>
      <c r="GBG102" s="83"/>
      <c r="GBH102" s="83"/>
      <c r="GBI102" s="83"/>
      <c r="GBJ102" s="83"/>
      <c r="GBK102" s="83"/>
      <c r="GBL102" s="83"/>
      <c r="GBM102" s="83"/>
      <c r="GBN102" s="83"/>
      <c r="GBO102" s="83"/>
      <c r="GBP102" s="83"/>
      <c r="GBQ102" s="83"/>
      <c r="GBR102" s="83"/>
      <c r="GBS102" s="83"/>
      <c r="GBT102" s="83"/>
      <c r="GBU102" s="83"/>
      <c r="GBV102" s="83"/>
      <c r="GBW102" s="83"/>
      <c r="GBX102" s="83"/>
      <c r="GBY102" s="83"/>
      <c r="GBZ102" s="83"/>
      <c r="GCA102" s="83"/>
      <c r="GCB102" s="83"/>
      <c r="GCC102" s="83"/>
      <c r="GCD102" s="83"/>
      <c r="GCE102" s="83"/>
      <c r="GCF102" s="83"/>
      <c r="GCG102" s="83"/>
      <c r="GCH102" s="83"/>
      <c r="GCI102" s="83"/>
      <c r="GCJ102" s="83"/>
      <c r="GCK102" s="83"/>
      <c r="GCL102" s="83"/>
      <c r="GCM102" s="83"/>
      <c r="GCN102" s="83"/>
      <c r="GCO102" s="83"/>
      <c r="GCP102" s="83"/>
      <c r="GCQ102" s="83"/>
      <c r="GCR102" s="83"/>
      <c r="GCS102" s="83"/>
      <c r="GCT102" s="83"/>
      <c r="GCU102" s="83"/>
      <c r="GCV102" s="83"/>
      <c r="GCW102" s="83"/>
      <c r="GCX102" s="83"/>
      <c r="GCY102" s="83"/>
      <c r="GCZ102" s="83"/>
      <c r="GDA102" s="83"/>
      <c r="GDB102" s="83"/>
      <c r="GDC102" s="83"/>
      <c r="GDD102" s="83"/>
      <c r="GDE102" s="83"/>
      <c r="GDF102" s="83"/>
      <c r="GDG102" s="83"/>
      <c r="GDH102" s="83"/>
      <c r="GDI102" s="83"/>
      <c r="GDJ102" s="83"/>
      <c r="GDK102" s="83"/>
      <c r="GDL102" s="83"/>
      <c r="GDM102" s="83"/>
      <c r="GDN102" s="83"/>
      <c r="GDO102" s="83"/>
      <c r="GDP102" s="83"/>
      <c r="GDQ102" s="83"/>
      <c r="GDR102" s="83"/>
      <c r="GDS102" s="83"/>
      <c r="GDT102" s="83"/>
      <c r="GDU102" s="83"/>
      <c r="GDV102" s="83"/>
      <c r="GDW102" s="83"/>
      <c r="GDX102" s="83"/>
      <c r="GDY102" s="83"/>
      <c r="GDZ102" s="83"/>
      <c r="GEA102" s="83"/>
      <c r="GEB102" s="83"/>
      <c r="GEC102" s="83"/>
      <c r="GED102" s="83"/>
      <c r="GEE102" s="83"/>
      <c r="GEF102" s="83"/>
      <c r="GEG102" s="83"/>
      <c r="GEH102" s="83"/>
      <c r="GEI102" s="83"/>
      <c r="GEJ102" s="83"/>
      <c r="GEK102" s="83"/>
      <c r="GEL102" s="83"/>
      <c r="GEM102" s="83"/>
      <c r="GEN102" s="83"/>
      <c r="GEO102" s="83"/>
      <c r="GEP102" s="83"/>
      <c r="GEQ102" s="83"/>
      <c r="GER102" s="83"/>
      <c r="GES102" s="83"/>
      <c r="GET102" s="83"/>
      <c r="GEU102" s="83"/>
      <c r="GEV102" s="83"/>
      <c r="GEW102" s="83"/>
      <c r="GEX102" s="83"/>
      <c r="GEY102" s="83"/>
      <c r="GEZ102" s="83"/>
      <c r="GFA102" s="83"/>
      <c r="GFB102" s="83"/>
      <c r="GFC102" s="83"/>
      <c r="GFD102" s="83"/>
      <c r="GFE102" s="83"/>
      <c r="GFF102" s="83"/>
      <c r="GFG102" s="83"/>
      <c r="GFH102" s="83"/>
      <c r="GFI102" s="83"/>
      <c r="GFJ102" s="83"/>
      <c r="GFK102" s="83"/>
      <c r="GFL102" s="83"/>
      <c r="GFM102" s="83"/>
      <c r="GFN102" s="83"/>
      <c r="GFO102" s="83"/>
      <c r="GFP102" s="83"/>
      <c r="GFQ102" s="83"/>
      <c r="GFR102" s="83"/>
      <c r="GFS102" s="83"/>
      <c r="GFT102" s="83"/>
      <c r="GFU102" s="83"/>
      <c r="GFV102" s="83"/>
      <c r="GFW102" s="83"/>
      <c r="GFX102" s="83"/>
      <c r="GFY102" s="83"/>
      <c r="GFZ102" s="83"/>
      <c r="GGA102" s="83"/>
      <c r="GGB102" s="83"/>
      <c r="GGC102" s="83"/>
      <c r="GGD102" s="83"/>
      <c r="GGE102" s="83"/>
      <c r="GGF102" s="83"/>
      <c r="GGG102" s="83"/>
      <c r="GGH102" s="83"/>
      <c r="GGI102" s="83"/>
      <c r="GGJ102" s="83"/>
      <c r="GGK102" s="83"/>
      <c r="GGL102" s="83"/>
      <c r="GGM102" s="83"/>
      <c r="GGN102" s="83"/>
      <c r="GGO102" s="83"/>
      <c r="GGP102" s="83"/>
      <c r="GGQ102" s="83"/>
      <c r="GGR102" s="83"/>
      <c r="GGS102" s="83"/>
      <c r="GGT102" s="83"/>
      <c r="GGU102" s="83"/>
      <c r="GGV102" s="83"/>
      <c r="GGW102" s="83"/>
      <c r="GGX102" s="83"/>
      <c r="GGY102" s="83"/>
      <c r="GGZ102" s="83"/>
      <c r="GHA102" s="83"/>
      <c r="GHB102" s="83"/>
      <c r="GHC102" s="83"/>
      <c r="GHD102" s="83"/>
      <c r="GHE102" s="83"/>
      <c r="GHF102" s="83"/>
      <c r="GHG102" s="83"/>
      <c r="GHH102" s="83"/>
      <c r="GHI102" s="83"/>
      <c r="GHJ102" s="83"/>
      <c r="GHK102" s="83"/>
      <c r="GHL102" s="83"/>
      <c r="GHM102" s="83"/>
      <c r="GHN102" s="83"/>
      <c r="GHO102" s="83"/>
      <c r="GHP102" s="83"/>
      <c r="GHQ102" s="83"/>
      <c r="GHR102" s="83"/>
      <c r="GHS102" s="83"/>
      <c r="GHT102" s="83"/>
      <c r="GHU102" s="83"/>
      <c r="GHV102" s="83"/>
      <c r="GHW102" s="83"/>
      <c r="GHX102" s="83"/>
      <c r="GHY102" s="83"/>
      <c r="GHZ102" s="83"/>
      <c r="GIA102" s="83"/>
      <c r="GIB102" s="83"/>
      <c r="GIC102" s="83"/>
      <c r="GID102" s="83"/>
      <c r="GIE102" s="83"/>
      <c r="GIF102" s="83"/>
      <c r="GIG102" s="83"/>
      <c r="GIH102" s="83"/>
      <c r="GII102" s="83"/>
      <c r="GIJ102" s="83"/>
      <c r="GIK102" s="83"/>
      <c r="GIL102" s="83"/>
      <c r="GIM102" s="83"/>
      <c r="GIN102" s="83"/>
      <c r="GIO102" s="83"/>
      <c r="GIP102" s="83"/>
      <c r="GIQ102" s="83"/>
      <c r="GIR102" s="83"/>
      <c r="GIS102" s="83"/>
      <c r="GIT102" s="83"/>
      <c r="GIU102" s="83"/>
      <c r="GIV102" s="83"/>
      <c r="GIW102" s="83"/>
      <c r="GIX102" s="83"/>
      <c r="GIY102" s="83"/>
      <c r="GIZ102" s="83"/>
      <c r="GJA102" s="83"/>
      <c r="GJB102" s="83"/>
      <c r="GJC102" s="83"/>
      <c r="GJD102" s="83"/>
      <c r="GJE102" s="83"/>
      <c r="GJF102" s="83"/>
      <c r="GJG102" s="83"/>
      <c r="GJH102" s="83"/>
      <c r="GJI102" s="83"/>
      <c r="GJJ102" s="83"/>
      <c r="GJK102" s="83"/>
      <c r="GJL102" s="83"/>
      <c r="GJM102" s="83"/>
      <c r="GJN102" s="83"/>
      <c r="GJO102" s="83"/>
      <c r="GJP102" s="83"/>
      <c r="GJQ102" s="83"/>
      <c r="GJR102" s="83"/>
      <c r="GJS102" s="83"/>
      <c r="GJT102" s="83"/>
      <c r="GJU102" s="83"/>
      <c r="GJV102" s="83"/>
      <c r="GJW102" s="83"/>
      <c r="GJX102" s="83"/>
      <c r="GJY102" s="83"/>
      <c r="GJZ102" s="83"/>
      <c r="GKA102" s="83"/>
      <c r="GKB102" s="83"/>
      <c r="GKC102" s="83"/>
      <c r="GKD102" s="83"/>
      <c r="GKE102" s="83"/>
      <c r="GKF102" s="83"/>
      <c r="GKG102" s="83"/>
      <c r="GKH102" s="83"/>
      <c r="GKI102" s="83"/>
      <c r="GKJ102" s="83"/>
      <c r="GKK102" s="83"/>
      <c r="GKL102" s="83"/>
      <c r="GKM102" s="83"/>
      <c r="GKN102" s="83"/>
      <c r="GKO102" s="83"/>
      <c r="GKP102" s="83"/>
      <c r="GKQ102" s="83"/>
      <c r="GKR102" s="83"/>
      <c r="GKS102" s="83"/>
      <c r="GKT102" s="83"/>
      <c r="GKU102" s="83"/>
      <c r="GKV102" s="83"/>
      <c r="GKW102" s="83"/>
      <c r="GKX102" s="83"/>
      <c r="GKY102" s="83"/>
      <c r="GKZ102" s="83"/>
      <c r="GLA102" s="83"/>
      <c r="GLB102" s="83"/>
      <c r="GLC102" s="83"/>
      <c r="GLD102" s="83"/>
      <c r="GLE102" s="83"/>
      <c r="GLF102" s="83"/>
      <c r="GLG102" s="83"/>
      <c r="GLH102" s="83"/>
      <c r="GLI102" s="83"/>
      <c r="GLJ102" s="83"/>
      <c r="GLK102" s="83"/>
      <c r="GLL102" s="83"/>
      <c r="GLM102" s="83"/>
      <c r="GLN102" s="83"/>
      <c r="GLO102" s="83"/>
      <c r="GLP102" s="83"/>
      <c r="GLQ102" s="83"/>
      <c r="GLR102" s="83"/>
      <c r="GLS102" s="83"/>
      <c r="GLT102" s="83"/>
      <c r="GLU102" s="83"/>
      <c r="GLV102" s="83"/>
      <c r="GLW102" s="83"/>
      <c r="GLX102" s="83"/>
      <c r="GLY102" s="83"/>
      <c r="GLZ102" s="83"/>
      <c r="GMA102" s="83"/>
      <c r="GMB102" s="83"/>
      <c r="GMC102" s="83"/>
      <c r="GMD102" s="83"/>
      <c r="GME102" s="83"/>
      <c r="GMF102" s="83"/>
      <c r="GMG102" s="83"/>
      <c r="GMH102" s="83"/>
      <c r="GMI102" s="83"/>
      <c r="GMJ102" s="83"/>
      <c r="GMK102" s="83"/>
      <c r="GML102" s="83"/>
      <c r="GMM102" s="83"/>
      <c r="GMN102" s="83"/>
      <c r="GMO102" s="83"/>
      <c r="GMP102" s="83"/>
      <c r="GMQ102" s="83"/>
      <c r="GMR102" s="83"/>
      <c r="GMS102" s="83"/>
      <c r="GMT102" s="83"/>
      <c r="GMU102" s="83"/>
      <c r="GMV102" s="83"/>
      <c r="GMW102" s="83"/>
      <c r="GMX102" s="83"/>
      <c r="GMY102" s="83"/>
      <c r="GMZ102" s="83"/>
      <c r="GNA102" s="83"/>
      <c r="GNB102" s="83"/>
      <c r="GNC102" s="83"/>
      <c r="GND102" s="83"/>
      <c r="GNE102" s="83"/>
      <c r="GNF102" s="83"/>
      <c r="GNG102" s="83"/>
      <c r="GNH102" s="83"/>
      <c r="GNI102" s="83"/>
      <c r="GNJ102" s="83"/>
      <c r="GNK102" s="83"/>
      <c r="GNL102" s="83"/>
      <c r="GNM102" s="83"/>
      <c r="GNN102" s="83"/>
      <c r="GNO102" s="83"/>
      <c r="GNP102" s="83"/>
      <c r="GNQ102" s="83"/>
      <c r="GNR102" s="83"/>
      <c r="GNS102" s="83"/>
      <c r="GNT102" s="83"/>
      <c r="GNU102" s="83"/>
      <c r="GNV102" s="83"/>
      <c r="GNW102" s="83"/>
      <c r="GNX102" s="83"/>
      <c r="GNY102" s="83"/>
      <c r="GNZ102" s="83"/>
      <c r="GOA102" s="83"/>
      <c r="GOB102" s="83"/>
      <c r="GOC102" s="83"/>
      <c r="GOD102" s="83"/>
      <c r="GOE102" s="83"/>
      <c r="GOF102" s="83"/>
      <c r="GOG102" s="83"/>
      <c r="GOH102" s="83"/>
      <c r="GOI102" s="83"/>
      <c r="GOJ102" s="83"/>
      <c r="GOK102" s="83"/>
      <c r="GOL102" s="83"/>
      <c r="GOM102" s="83"/>
      <c r="GON102" s="83"/>
      <c r="GOO102" s="83"/>
      <c r="GOP102" s="83"/>
      <c r="GOQ102" s="83"/>
      <c r="GOR102" s="83"/>
      <c r="GOS102" s="83"/>
      <c r="GOT102" s="83"/>
      <c r="GOU102" s="83"/>
      <c r="GOV102" s="83"/>
      <c r="GOW102" s="83"/>
      <c r="GOX102" s="83"/>
      <c r="GOY102" s="83"/>
      <c r="GOZ102" s="83"/>
      <c r="GPA102" s="83"/>
      <c r="GPB102" s="83"/>
      <c r="GPC102" s="83"/>
      <c r="GPD102" s="83"/>
      <c r="GPE102" s="83"/>
      <c r="GPF102" s="83"/>
      <c r="GPG102" s="83"/>
      <c r="GPH102" s="83"/>
      <c r="GPI102" s="83"/>
      <c r="GPJ102" s="83"/>
      <c r="GPK102" s="83"/>
      <c r="GPL102" s="83"/>
      <c r="GPM102" s="83"/>
      <c r="GPN102" s="83"/>
      <c r="GPO102" s="83"/>
      <c r="GPP102" s="83"/>
      <c r="GPQ102" s="83"/>
      <c r="GPR102" s="83"/>
      <c r="GPS102" s="83"/>
      <c r="GPT102" s="83"/>
      <c r="GPU102" s="83"/>
      <c r="GPV102" s="83"/>
      <c r="GPW102" s="83"/>
      <c r="GPX102" s="83"/>
      <c r="GPY102" s="83"/>
      <c r="GPZ102" s="83"/>
      <c r="GQA102" s="83"/>
      <c r="GQB102" s="83"/>
      <c r="GQC102" s="83"/>
      <c r="GQD102" s="83"/>
      <c r="GQE102" s="83"/>
      <c r="GQF102" s="83"/>
      <c r="GQG102" s="83"/>
      <c r="GQH102" s="83"/>
      <c r="GQI102" s="83"/>
      <c r="GQJ102" s="83"/>
      <c r="GQK102" s="83"/>
      <c r="GQL102" s="83"/>
      <c r="GQM102" s="83"/>
      <c r="GQN102" s="83"/>
      <c r="GQO102" s="83"/>
      <c r="GQP102" s="83"/>
      <c r="GQQ102" s="83"/>
      <c r="GQR102" s="83"/>
      <c r="GQS102" s="83"/>
      <c r="GQT102" s="83"/>
      <c r="GQU102" s="83"/>
      <c r="GQV102" s="83"/>
      <c r="GQW102" s="83"/>
      <c r="GQX102" s="83"/>
      <c r="GQY102" s="83"/>
      <c r="GQZ102" s="83"/>
      <c r="GRA102" s="83"/>
      <c r="GRB102" s="83"/>
      <c r="GRC102" s="83"/>
      <c r="GRD102" s="83"/>
      <c r="GRE102" s="83"/>
      <c r="GRF102" s="83"/>
      <c r="GRG102" s="83"/>
      <c r="GRH102" s="83"/>
      <c r="GRI102" s="83"/>
      <c r="GRJ102" s="83"/>
      <c r="GRK102" s="83"/>
      <c r="GRL102" s="83"/>
      <c r="GRM102" s="83"/>
      <c r="GRN102" s="83"/>
      <c r="GRO102" s="83"/>
      <c r="GRP102" s="83"/>
      <c r="GRQ102" s="83"/>
      <c r="GRR102" s="83"/>
      <c r="GRS102" s="83"/>
      <c r="GRT102" s="83"/>
      <c r="GRU102" s="83"/>
      <c r="GRV102" s="83"/>
      <c r="GRW102" s="83"/>
      <c r="GRX102" s="83"/>
      <c r="GRY102" s="83"/>
      <c r="GRZ102" s="83"/>
      <c r="GSA102" s="83"/>
      <c r="GSB102" s="83"/>
      <c r="GSC102" s="83"/>
      <c r="GSD102" s="83"/>
      <c r="GSE102" s="83"/>
      <c r="GSF102" s="83"/>
      <c r="GSG102" s="83"/>
      <c r="GSH102" s="83"/>
      <c r="GSI102" s="83"/>
      <c r="GSJ102" s="83"/>
      <c r="GSK102" s="83"/>
      <c r="GSL102" s="83"/>
      <c r="GSM102" s="83"/>
      <c r="GSN102" s="83"/>
      <c r="GSO102" s="83"/>
      <c r="GSP102" s="83"/>
      <c r="GSQ102" s="83"/>
      <c r="GSR102" s="83"/>
      <c r="GSS102" s="83"/>
      <c r="GST102" s="83"/>
      <c r="GSU102" s="83"/>
      <c r="GSV102" s="83"/>
      <c r="GSW102" s="83"/>
      <c r="GSX102" s="83"/>
      <c r="GSY102" s="83"/>
      <c r="GSZ102" s="83"/>
      <c r="GTA102" s="83"/>
      <c r="GTB102" s="83"/>
      <c r="GTC102" s="83"/>
      <c r="GTD102" s="83"/>
      <c r="GTE102" s="83"/>
      <c r="GTF102" s="83"/>
      <c r="GTG102" s="83"/>
      <c r="GTH102" s="83"/>
      <c r="GTI102" s="83"/>
      <c r="GTJ102" s="83"/>
      <c r="GTK102" s="83"/>
      <c r="GTL102" s="83"/>
      <c r="GTM102" s="83"/>
      <c r="GTN102" s="83"/>
      <c r="GTO102" s="83"/>
      <c r="GTP102" s="83"/>
      <c r="GTQ102" s="83"/>
      <c r="GTR102" s="83"/>
      <c r="GTS102" s="83"/>
      <c r="GTT102" s="83"/>
      <c r="GTU102" s="83"/>
      <c r="GTV102" s="83"/>
      <c r="GTW102" s="83"/>
      <c r="GTX102" s="83"/>
      <c r="GTY102" s="83"/>
      <c r="GTZ102" s="83"/>
      <c r="GUA102" s="83"/>
      <c r="GUB102" s="83"/>
      <c r="GUC102" s="83"/>
      <c r="GUD102" s="83"/>
      <c r="GUE102" s="83"/>
      <c r="GUF102" s="83"/>
      <c r="GUG102" s="83"/>
      <c r="GUH102" s="83"/>
      <c r="GUI102" s="83"/>
      <c r="GUJ102" s="83"/>
      <c r="GUK102" s="83"/>
      <c r="GUL102" s="83"/>
      <c r="GUM102" s="83"/>
      <c r="GUN102" s="83"/>
      <c r="GUO102" s="83"/>
      <c r="GUP102" s="83"/>
      <c r="GUQ102" s="83"/>
      <c r="GUR102" s="83"/>
      <c r="GUS102" s="83"/>
      <c r="GUT102" s="83"/>
      <c r="GUU102" s="83"/>
      <c r="GUV102" s="83"/>
      <c r="GUW102" s="83"/>
      <c r="GUX102" s="83"/>
      <c r="GUY102" s="83"/>
      <c r="GUZ102" s="83"/>
      <c r="GVA102" s="83"/>
      <c r="GVB102" s="83"/>
      <c r="GVC102" s="83"/>
      <c r="GVD102" s="83"/>
      <c r="GVE102" s="83"/>
      <c r="GVF102" s="83"/>
      <c r="GVG102" s="83"/>
      <c r="GVH102" s="83"/>
      <c r="GVI102" s="83"/>
      <c r="GVJ102" s="83"/>
      <c r="GVK102" s="83"/>
      <c r="GVL102" s="83"/>
      <c r="GVM102" s="83"/>
      <c r="GVN102" s="83"/>
      <c r="GVO102" s="83"/>
      <c r="GVP102" s="83"/>
      <c r="GVQ102" s="83"/>
      <c r="GVR102" s="83"/>
      <c r="GVS102" s="83"/>
      <c r="GVT102" s="83"/>
      <c r="GVU102" s="83"/>
      <c r="GVV102" s="83"/>
      <c r="GVW102" s="83"/>
      <c r="GVX102" s="83"/>
      <c r="GVY102" s="83"/>
      <c r="GVZ102" s="83"/>
      <c r="GWA102" s="83"/>
      <c r="GWB102" s="83"/>
      <c r="GWC102" s="83"/>
      <c r="GWD102" s="83"/>
      <c r="GWE102" s="83"/>
      <c r="GWF102" s="83"/>
      <c r="GWG102" s="83"/>
      <c r="GWH102" s="83"/>
      <c r="GWI102" s="83"/>
      <c r="GWJ102" s="83"/>
      <c r="GWK102" s="83"/>
      <c r="GWL102" s="83"/>
      <c r="GWM102" s="83"/>
      <c r="GWN102" s="83"/>
      <c r="GWO102" s="83"/>
      <c r="GWP102" s="83"/>
      <c r="GWQ102" s="83"/>
      <c r="GWR102" s="83"/>
      <c r="GWS102" s="83"/>
      <c r="GWT102" s="83"/>
      <c r="GWU102" s="83"/>
      <c r="GWV102" s="83"/>
      <c r="GWW102" s="83"/>
      <c r="GWX102" s="83"/>
      <c r="GWY102" s="83"/>
      <c r="GWZ102" s="83"/>
      <c r="GXA102" s="83"/>
      <c r="GXB102" s="83"/>
      <c r="GXC102" s="83"/>
      <c r="GXD102" s="83"/>
      <c r="GXE102" s="83"/>
      <c r="GXF102" s="83"/>
      <c r="GXG102" s="83"/>
      <c r="GXH102" s="83"/>
      <c r="GXI102" s="83"/>
      <c r="GXJ102" s="83"/>
      <c r="GXK102" s="83"/>
      <c r="GXL102" s="83"/>
      <c r="GXM102" s="83"/>
      <c r="GXN102" s="83"/>
      <c r="GXO102" s="83"/>
      <c r="GXP102" s="83"/>
      <c r="GXQ102" s="83"/>
      <c r="GXR102" s="83"/>
      <c r="GXS102" s="83"/>
      <c r="GXT102" s="83"/>
      <c r="GXU102" s="83"/>
      <c r="GXV102" s="83"/>
      <c r="GXW102" s="83"/>
      <c r="GXX102" s="83"/>
      <c r="GXY102" s="83"/>
      <c r="GXZ102" s="83"/>
      <c r="GYA102" s="83"/>
      <c r="GYB102" s="83"/>
      <c r="GYC102" s="83"/>
      <c r="GYD102" s="83"/>
      <c r="GYE102" s="83"/>
      <c r="GYF102" s="83"/>
      <c r="GYG102" s="83"/>
      <c r="GYH102" s="83"/>
      <c r="GYI102" s="83"/>
      <c r="GYJ102" s="83"/>
      <c r="GYK102" s="83"/>
      <c r="GYL102" s="83"/>
      <c r="GYM102" s="83"/>
      <c r="GYN102" s="83"/>
      <c r="GYO102" s="83"/>
      <c r="GYP102" s="83"/>
      <c r="GYQ102" s="83"/>
      <c r="GYR102" s="83"/>
      <c r="GYS102" s="83"/>
      <c r="GYT102" s="83"/>
      <c r="GYU102" s="83"/>
      <c r="GYV102" s="83"/>
      <c r="GYW102" s="83"/>
      <c r="GYX102" s="83"/>
      <c r="GYY102" s="83"/>
      <c r="GYZ102" s="83"/>
      <c r="GZA102" s="83"/>
      <c r="GZB102" s="83"/>
      <c r="GZC102" s="83"/>
      <c r="GZD102" s="83"/>
      <c r="GZE102" s="83"/>
      <c r="GZF102" s="83"/>
      <c r="GZG102" s="83"/>
      <c r="GZH102" s="83"/>
      <c r="GZI102" s="83"/>
      <c r="GZJ102" s="83"/>
      <c r="GZK102" s="83"/>
      <c r="GZL102" s="83"/>
      <c r="GZM102" s="83"/>
      <c r="GZN102" s="83"/>
      <c r="GZO102" s="83"/>
      <c r="GZP102" s="83"/>
      <c r="GZQ102" s="83"/>
      <c r="GZR102" s="83"/>
      <c r="GZS102" s="83"/>
      <c r="GZT102" s="83"/>
      <c r="GZU102" s="83"/>
      <c r="GZV102" s="83"/>
      <c r="GZW102" s="83"/>
      <c r="GZX102" s="83"/>
      <c r="GZY102" s="83"/>
      <c r="GZZ102" s="83"/>
      <c r="HAA102" s="83"/>
      <c r="HAB102" s="83"/>
      <c r="HAC102" s="83"/>
      <c r="HAD102" s="83"/>
      <c r="HAE102" s="83"/>
      <c r="HAF102" s="83"/>
      <c r="HAG102" s="83"/>
      <c r="HAH102" s="83"/>
      <c r="HAI102" s="83"/>
      <c r="HAJ102" s="83"/>
      <c r="HAK102" s="83"/>
      <c r="HAL102" s="83"/>
      <c r="HAM102" s="83"/>
      <c r="HAN102" s="83"/>
      <c r="HAO102" s="83"/>
      <c r="HAP102" s="83"/>
      <c r="HAQ102" s="83"/>
      <c r="HAR102" s="83"/>
      <c r="HAS102" s="83"/>
      <c r="HAT102" s="83"/>
      <c r="HAU102" s="83"/>
      <c r="HAV102" s="83"/>
      <c r="HAW102" s="83"/>
      <c r="HAX102" s="83"/>
      <c r="HAY102" s="83"/>
      <c r="HAZ102" s="83"/>
      <c r="HBA102" s="83"/>
      <c r="HBB102" s="83"/>
      <c r="HBC102" s="83"/>
      <c r="HBD102" s="83"/>
      <c r="HBE102" s="83"/>
      <c r="HBF102" s="83"/>
      <c r="HBG102" s="83"/>
      <c r="HBH102" s="83"/>
      <c r="HBI102" s="83"/>
      <c r="HBJ102" s="83"/>
      <c r="HBK102" s="83"/>
      <c r="HBL102" s="83"/>
      <c r="HBM102" s="83"/>
      <c r="HBN102" s="83"/>
      <c r="HBO102" s="83"/>
      <c r="HBP102" s="83"/>
      <c r="HBQ102" s="83"/>
      <c r="HBR102" s="83"/>
      <c r="HBS102" s="83"/>
      <c r="HBT102" s="83"/>
      <c r="HBU102" s="83"/>
      <c r="HBV102" s="83"/>
      <c r="HBW102" s="83"/>
      <c r="HBX102" s="83"/>
      <c r="HBY102" s="83"/>
      <c r="HBZ102" s="83"/>
      <c r="HCA102" s="83"/>
      <c r="HCB102" s="83"/>
      <c r="HCC102" s="83"/>
      <c r="HCD102" s="83"/>
      <c r="HCE102" s="83"/>
      <c r="HCF102" s="83"/>
      <c r="HCG102" s="83"/>
      <c r="HCH102" s="83"/>
      <c r="HCI102" s="83"/>
      <c r="HCJ102" s="83"/>
      <c r="HCK102" s="83"/>
      <c r="HCL102" s="83"/>
      <c r="HCM102" s="83"/>
      <c r="HCN102" s="83"/>
      <c r="HCO102" s="83"/>
      <c r="HCP102" s="83"/>
      <c r="HCQ102" s="83"/>
      <c r="HCR102" s="83"/>
      <c r="HCS102" s="83"/>
      <c r="HCT102" s="83"/>
      <c r="HCU102" s="83"/>
      <c r="HCV102" s="83"/>
      <c r="HCW102" s="83"/>
      <c r="HCX102" s="83"/>
      <c r="HCY102" s="83"/>
      <c r="HCZ102" s="83"/>
      <c r="HDA102" s="83"/>
      <c r="HDB102" s="83"/>
      <c r="HDC102" s="83"/>
      <c r="HDD102" s="83"/>
      <c r="HDE102" s="83"/>
      <c r="HDF102" s="83"/>
      <c r="HDG102" s="83"/>
      <c r="HDH102" s="83"/>
      <c r="HDI102" s="83"/>
      <c r="HDJ102" s="83"/>
      <c r="HDK102" s="83"/>
      <c r="HDL102" s="83"/>
      <c r="HDM102" s="83"/>
      <c r="HDN102" s="83"/>
      <c r="HDO102" s="83"/>
      <c r="HDP102" s="83"/>
      <c r="HDQ102" s="83"/>
      <c r="HDR102" s="83"/>
      <c r="HDS102" s="83"/>
      <c r="HDT102" s="83"/>
      <c r="HDU102" s="83"/>
      <c r="HDV102" s="83"/>
      <c r="HDW102" s="83"/>
      <c r="HDX102" s="83"/>
      <c r="HDY102" s="83"/>
      <c r="HDZ102" s="83"/>
      <c r="HEA102" s="83"/>
      <c r="HEB102" s="83"/>
      <c r="HEC102" s="83"/>
      <c r="HED102" s="83"/>
      <c r="HEE102" s="83"/>
      <c r="HEF102" s="83"/>
      <c r="HEG102" s="83"/>
      <c r="HEH102" s="83"/>
      <c r="HEI102" s="83"/>
      <c r="HEJ102" s="83"/>
      <c r="HEK102" s="83"/>
      <c r="HEL102" s="83"/>
      <c r="HEM102" s="83"/>
      <c r="HEN102" s="83"/>
      <c r="HEO102" s="83"/>
      <c r="HEP102" s="83"/>
      <c r="HEQ102" s="83"/>
      <c r="HER102" s="83"/>
      <c r="HES102" s="83"/>
      <c r="HET102" s="83"/>
      <c r="HEU102" s="83"/>
      <c r="HEV102" s="83"/>
      <c r="HEW102" s="83"/>
      <c r="HEX102" s="83"/>
      <c r="HEY102" s="83"/>
      <c r="HEZ102" s="83"/>
      <c r="HFA102" s="83"/>
      <c r="HFB102" s="83"/>
      <c r="HFC102" s="83"/>
      <c r="HFD102" s="83"/>
      <c r="HFE102" s="83"/>
      <c r="HFF102" s="83"/>
      <c r="HFG102" s="83"/>
      <c r="HFH102" s="83"/>
      <c r="HFI102" s="83"/>
      <c r="HFJ102" s="83"/>
      <c r="HFK102" s="83"/>
      <c r="HFL102" s="83"/>
      <c r="HFM102" s="83"/>
      <c r="HFN102" s="83"/>
      <c r="HFO102" s="83"/>
      <c r="HFP102" s="83"/>
      <c r="HFQ102" s="83"/>
      <c r="HFR102" s="83"/>
      <c r="HFS102" s="83"/>
      <c r="HFT102" s="83"/>
      <c r="HFU102" s="83"/>
      <c r="HFV102" s="83"/>
      <c r="HFW102" s="83"/>
      <c r="HFX102" s="83"/>
      <c r="HFY102" s="83"/>
      <c r="HFZ102" s="83"/>
      <c r="HGA102" s="83"/>
      <c r="HGB102" s="83"/>
      <c r="HGC102" s="83"/>
      <c r="HGD102" s="83"/>
      <c r="HGE102" s="83"/>
      <c r="HGF102" s="83"/>
      <c r="HGG102" s="83"/>
      <c r="HGH102" s="83"/>
      <c r="HGI102" s="83"/>
      <c r="HGJ102" s="83"/>
      <c r="HGK102" s="83"/>
      <c r="HGL102" s="83"/>
      <c r="HGM102" s="83"/>
      <c r="HGN102" s="83"/>
      <c r="HGO102" s="83"/>
      <c r="HGP102" s="83"/>
      <c r="HGQ102" s="83"/>
      <c r="HGR102" s="83"/>
      <c r="HGS102" s="83"/>
      <c r="HGT102" s="83"/>
      <c r="HGU102" s="83"/>
      <c r="HGV102" s="83"/>
      <c r="HGW102" s="83"/>
      <c r="HGX102" s="83"/>
      <c r="HGY102" s="83"/>
      <c r="HGZ102" s="83"/>
      <c r="HHA102" s="83"/>
      <c r="HHB102" s="83"/>
      <c r="HHC102" s="83"/>
      <c r="HHD102" s="83"/>
      <c r="HHE102" s="83"/>
      <c r="HHF102" s="83"/>
      <c r="HHG102" s="83"/>
      <c r="HHH102" s="83"/>
      <c r="HHI102" s="83"/>
      <c r="HHJ102" s="83"/>
      <c r="HHK102" s="83"/>
      <c r="HHL102" s="83"/>
      <c r="HHM102" s="83"/>
      <c r="HHN102" s="83"/>
      <c r="HHO102" s="83"/>
      <c r="HHP102" s="83"/>
      <c r="HHQ102" s="83"/>
      <c r="HHR102" s="83"/>
      <c r="HHS102" s="83"/>
      <c r="HHT102" s="83"/>
      <c r="HHU102" s="83"/>
      <c r="HHV102" s="83"/>
      <c r="HHW102" s="83"/>
      <c r="HHX102" s="83"/>
      <c r="HHY102" s="83"/>
      <c r="HHZ102" s="83"/>
      <c r="HIA102" s="83"/>
      <c r="HIB102" s="83"/>
      <c r="HIC102" s="83"/>
      <c r="HID102" s="83"/>
      <c r="HIE102" s="83"/>
      <c r="HIF102" s="83"/>
      <c r="HIG102" s="83"/>
      <c r="HIH102" s="83"/>
      <c r="HII102" s="83"/>
      <c r="HIJ102" s="83"/>
      <c r="HIK102" s="83"/>
      <c r="HIL102" s="83"/>
      <c r="HIM102" s="83"/>
      <c r="HIN102" s="83"/>
      <c r="HIO102" s="83"/>
      <c r="HIP102" s="83"/>
      <c r="HIQ102" s="83"/>
      <c r="HIR102" s="83"/>
      <c r="HIS102" s="83"/>
      <c r="HIT102" s="83"/>
      <c r="HIU102" s="83"/>
      <c r="HIV102" s="83"/>
      <c r="HIW102" s="83"/>
      <c r="HIX102" s="83"/>
      <c r="HIY102" s="83"/>
      <c r="HIZ102" s="83"/>
      <c r="HJA102" s="83"/>
      <c r="HJB102" s="83"/>
      <c r="HJC102" s="83"/>
      <c r="HJD102" s="83"/>
      <c r="HJE102" s="83"/>
      <c r="HJF102" s="83"/>
      <c r="HJG102" s="83"/>
      <c r="HJH102" s="83"/>
      <c r="HJI102" s="83"/>
      <c r="HJJ102" s="83"/>
      <c r="HJK102" s="83"/>
      <c r="HJL102" s="83"/>
      <c r="HJM102" s="83"/>
      <c r="HJN102" s="83"/>
      <c r="HJO102" s="83"/>
      <c r="HJP102" s="83"/>
      <c r="HJQ102" s="83"/>
      <c r="HJR102" s="83"/>
      <c r="HJS102" s="83"/>
      <c r="HJT102" s="83"/>
      <c r="HJU102" s="83"/>
      <c r="HJV102" s="83"/>
      <c r="HJW102" s="83"/>
      <c r="HJX102" s="83"/>
      <c r="HJY102" s="83"/>
      <c r="HJZ102" s="83"/>
      <c r="HKA102" s="83"/>
      <c r="HKB102" s="83"/>
      <c r="HKC102" s="83"/>
      <c r="HKD102" s="83"/>
      <c r="HKE102" s="83"/>
      <c r="HKF102" s="83"/>
      <c r="HKG102" s="83"/>
      <c r="HKH102" s="83"/>
      <c r="HKI102" s="83"/>
      <c r="HKJ102" s="83"/>
      <c r="HKK102" s="83"/>
      <c r="HKL102" s="83"/>
      <c r="HKM102" s="83"/>
      <c r="HKN102" s="83"/>
      <c r="HKO102" s="83"/>
      <c r="HKP102" s="83"/>
      <c r="HKQ102" s="83"/>
      <c r="HKR102" s="83"/>
      <c r="HKS102" s="83"/>
      <c r="HKT102" s="83"/>
      <c r="HKU102" s="83"/>
      <c r="HKV102" s="83"/>
      <c r="HKW102" s="83"/>
      <c r="HKX102" s="83"/>
      <c r="HKY102" s="83"/>
      <c r="HKZ102" s="83"/>
      <c r="HLA102" s="83"/>
      <c r="HLB102" s="83"/>
      <c r="HLC102" s="83"/>
      <c r="HLD102" s="83"/>
      <c r="HLE102" s="83"/>
      <c r="HLF102" s="83"/>
      <c r="HLG102" s="83"/>
      <c r="HLH102" s="83"/>
      <c r="HLI102" s="83"/>
      <c r="HLJ102" s="83"/>
      <c r="HLK102" s="83"/>
      <c r="HLL102" s="83"/>
      <c r="HLM102" s="83"/>
      <c r="HLN102" s="83"/>
      <c r="HLO102" s="83"/>
      <c r="HLP102" s="83"/>
      <c r="HLQ102" s="83"/>
      <c r="HLR102" s="83"/>
      <c r="HLS102" s="83"/>
      <c r="HLT102" s="83"/>
      <c r="HLU102" s="83"/>
      <c r="HLV102" s="83"/>
      <c r="HLW102" s="83"/>
      <c r="HLX102" s="83"/>
      <c r="HLY102" s="83"/>
      <c r="HLZ102" s="83"/>
      <c r="HMA102" s="83"/>
      <c r="HMB102" s="83"/>
      <c r="HMC102" s="83"/>
      <c r="HMD102" s="83"/>
      <c r="HME102" s="83"/>
      <c r="HMF102" s="83"/>
      <c r="HMG102" s="83"/>
      <c r="HMH102" s="83"/>
      <c r="HMI102" s="83"/>
      <c r="HMJ102" s="83"/>
      <c r="HMK102" s="83"/>
      <c r="HML102" s="83"/>
      <c r="HMM102" s="83"/>
      <c r="HMN102" s="83"/>
      <c r="HMO102" s="83"/>
      <c r="HMP102" s="83"/>
      <c r="HMQ102" s="83"/>
      <c r="HMR102" s="83"/>
      <c r="HMS102" s="83"/>
      <c r="HMT102" s="83"/>
      <c r="HMU102" s="83"/>
      <c r="HMV102" s="83"/>
      <c r="HMW102" s="83"/>
      <c r="HMX102" s="83"/>
      <c r="HMY102" s="83"/>
      <c r="HMZ102" s="83"/>
      <c r="HNA102" s="83"/>
      <c r="HNB102" s="83"/>
      <c r="HNC102" s="83"/>
      <c r="HND102" s="83"/>
      <c r="HNE102" s="83"/>
      <c r="HNF102" s="83"/>
      <c r="HNG102" s="83"/>
      <c r="HNH102" s="83"/>
      <c r="HNI102" s="83"/>
      <c r="HNJ102" s="83"/>
      <c r="HNK102" s="83"/>
      <c r="HNL102" s="83"/>
      <c r="HNM102" s="83"/>
      <c r="HNN102" s="83"/>
      <c r="HNO102" s="83"/>
      <c r="HNP102" s="83"/>
      <c r="HNQ102" s="83"/>
      <c r="HNR102" s="83"/>
      <c r="HNS102" s="83"/>
      <c r="HNT102" s="83"/>
      <c r="HNU102" s="83"/>
      <c r="HNV102" s="83"/>
      <c r="HNW102" s="83"/>
      <c r="HNX102" s="83"/>
      <c r="HNY102" s="83"/>
      <c r="HNZ102" s="83"/>
      <c r="HOA102" s="83"/>
      <c r="HOB102" s="83"/>
      <c r="HOC102" s="83"/>
      <c r="HOD102" s="83"/>
      <c r="HOE102" s="83"/>
      <c r="HOF102" s="83"/>
      <c r="HOG102" s="83"/>
      <c r="HOH102" s="83"/>
      <c r="HOI102" s="83"/>
      <c r="HOJ102" s="83"/>
      <c r="HOK102" s="83"/>
      <c r="HOL102" s="83"/>
      <c r="HOM102" s="83"/>
      <c r="HON102" s="83"/>
      <c r="HOO102" s="83"/>
      <c r="HOP102" s="83"/>
      <c r="HOQ102" s="83"/>
      <c r="HOR102" s="83"/>
      <c r="HOS102" s="83"/>
      <c r="HOT102" s="83"/>
      <c r="HOU102" s="83"/>
      <c r="HOV102" s="83"/>
      <c r="HOW102" s="83"/>
      <c r="HOX102" s="83"/>
      <c r="HOY102" s="83"/>
      <c r="HOZ102" s="83"/>
      <c r="HPA102" s="83"/>
      <c r="HPB102" s="83"/>
      <c r="HPC102" s="83"/>
      <c r="HPD102" s="83"/>
      <c r="HPE102" s="83"/>
      <c r="HPF102" s="83"/>
      <c r="HPG102" s="83"/>
      <c r="HPH102" s="83"/>
      <c r="HPI102" s="83"/>
      <c r="HPJ102" s="83"/>
      <c r="HPK102" s="83"/>
      <c r="HPL102" s="83"/>
      <c r="HPM102" s="83"/>
      <c r="HPN102" s="83"/>
      <c r="HPO102" s="83"/>
      <c r="HPP102" s="83"/>
      <c r="HPQ102" s="83"/>
      <c r="HPR102" s="83"/>
      <c r="HPS102" s="83"/>
      <c r="HPT102" s="83"/>
      <c r="HPU102" s="83"/>
      <c r="HPV102" s="83"/>
      <c r="HPW102" s="83"/>
      <c r="HPX102" s="83"/>
      <c r="HPY102" s="83"/>
      <c r="HPZ102" s="83"/>
      <c r="HQA102" s="83"/>
      <c r="HQB102" s="83"/>
      <c r="HQC102" s="83"/>
      <c r="HQD102" s="83"/>
      <c r="HQE102" s="83"/>
      <c r="HQF102" s="83"/>
      <c r="HQG102" s="83"/>
      <c r="HQH102" s="83"/>
      <c r="HQI102" s="83"/>
      <c r="HQJ102" s="83"/>
      <c r="HQK102" s="83"/>
      <c r="HQL102" s="83"/>
      <c r="HQM102" s="83"/>
      <c r="HQN102" s="83"/>
      <c r="HQO102" s="83"/>
      <c r="HQP102" s="83"/>
      <c r="HQQ102" s="83"/>
      <c r="HQR102" s="83"/>
      <c r="HQS102" s="83"/>
      <c r="HQT102" s="83"/>
      <c r="HQU102" s="83"/>
      <c r="HQV102" s="83"/>
      <c r="HQW102" s="83"/>
      <c r="HQX102" s="83"/>
      <c r="HQY102" s="83"/>
      <c r="HQZ102" s="83"/>
      <c r="HRA102" s="83"/>
      <c r="HRB102" s="83"/>
      <c r="HRC102" s="83"/>
      <c r="HRD102" s="83"/>
      <c r="HRE102" s="83"/>
      <c r="HRF102" s="83"/>
      <c r="HRG102" s="83"/>
      <c r="HRH102" s="83"/>
      <c r="HRI102" s="83"/>
      <c r="HRJ102" s="83"/>
      <c r="HRK102" s="83"/>
      <c r="HRL102" s="83"/>
      <c r="HRM102" s="83"/>
      <c r="HRN102" s="83"/>
      <c r="HRO102" s="83"/>
      <c r="HRP102" s="83"/>
      <c r="HRQ102" s="83"/>
      <c r="HRR102" s="83"/>
      <c r="HRS102" s="83"/>
      <c r="HRT102" s="83"/>
      <c r="HRU102" s="83"/>
      <c r="HRV102" s="83"/>
      <c r="HRW102" s="83"/>
      <c r="HRX102" s="83"/>
      <c r="HRY102" s="83"/>
      <c r="HRZ102" s="83"/>
      <c r="HSA102" s="83"/>
      <c r="HSB102" s="83"/>
      <c r="HSC102" s="83"/>
      <c r="HSD102" s="83"/>
      <c r="HSE102" s="83"/>
      <c r="HSF102" s="83"/>
      <c r="HSG102" s="83"/>
      <c r="HSH102" s="83"/>
      <c r="HSI102" s="83"/>
      <c r="HSJ102" s="83"/>
      <c r="HSK102" s="83"/>
      <c r="HSL102" s="83"/>
      <c r="HSM102" s="83"/>
      <c r="HSN102" s="83"/>
      <c r="HSO102" s="83"/>
      <c r="HSP102" s="83"/>
      <c r="HSQ102" s="83"/>
      <c r="HSR102" s="83"/>
      <c r="HSS102" s="83"/>
      <c r="HST102" s="83"/>
      <c r="HSU102" s="83"/>
      <c r="HSV102" s="83"/>
      <c r="HSW102" s="83"/>
      <c r="HSX102" s="83"/>
      <c r="HSY102" s="83"/>
      <c r="HSZ102" s="83"/>
      <c r="HTA102" s="83"/>
      <c r="HTB102" s="83"/>
      <c r="HTC102" s="83"/>
      <c r="HTD102" s="83"/>
      <c r="HTE102" s="83"/>
      <c r="HTF102" s="83"/>
      <c r="HTG102" s="83"/>
      <c r="HTH102" s="83"/>
      <c r="HTI102" s="83"/>
      <c r="HTJ102" s="83"/>
      <c r="HTK102" s="83"/>
      <c r="HTL102" s="83"/>
      <c r="HTM102" s="83"/>
      <c r="HTN102" s="83"/>
      <c r="HTO102" s="83"/>
      <c r="HTP102" s="83"/>
      <c r="HTQ102" s="83"/>
      <c r="HTR102" s="83"/>
      <c r="HTS102" s="83"/>
      <c r="HTT102" s="83"/>
      <c r="HTU102" s="83"/>
      <c r="HTV102" s="83"/>
      <c r="HTW102" s="83"/>
      <c r="HTX102" s="83"/>
      <c r="HTY102" s="83"/>
      <c r="HTZ102" s="83"/>
      <c r="HUA102" s="83"/>
      <c r="HUB102" s="83"/>
      <c r="HUC102" s="83"/>
      <c r="HUD102" s="83"/>
      <c r="HUE102" s="83"/>
      <c r="HUF102" s="83"/>
      <c r="HUG102" s="83"/>
      <c r="HUH102" s="83"/>
      <c r="HUI102" s="83"/>
      <c r="HUJ102" s="83"/>
      <c r="HUK102" s="83"/>
      <c r="HUL102" s="83"/>
      <c r="HUM102" s="83"/>
      <c r="HUN102" s="83"/>
      <c r="HUO102" s="83"/>
      <c r="HUP102" s="83"/>
      <c r="HUQ102" s="83"/>
      <c r="HUR102" s="83"/>
      <c r="HUS102" s="83"/>
      <c r="HUT102" s="83"/>
      <c r="HUU102" s="83"/>
      <c r="HUV102" s="83"/>
      <c r="HUW102" s="83"/>
      <c r="HUX102" s="83"/>
      <c r="HUY102" s="83"/>
      <c r="HUZ102" s="83"/>
      <c r="HVA102" s="83"/>
      <c r="HVB102" s="83"/>
      <c r="HVC102" s="83"/>
      <c r="HVD102" s="83"/>
      <c r="HVE102" s="83"/>
      <c r="HVF102" s="83"/>
      <c r="HVG102" s="83"/>
      <c r="HVH102" s="83"/>
      <c r="HVI102" s="83"/>
      <c r="HVJ102" s="83"/>
      <c r="HVK102" s="83"/>
      <c r="HVL102" s="83"/>
      <c r="HVM102" s="83"/>
      <c r="HVN102" s="83"/>
      <c r="HVO102" s="83"/>
      <c r="HVP102" s="83"/>
      <c r="HVQ102" s="83"/>
      <c r="HVR102" s="83"/>
      <c r="HVS102" s="83"/>
      <c r="HVT102" s="83"/>
      <c r="HVU102" s="83"/>
      <c r="HVV102" s="83"/>
      <c r="HVW102" s="83"/>
      <c r="HVX102" s="83"/>
      <c r="HVY102" s="83"/>
      <c r="HVZ102" s="83"/>
      <c r="HWA102" s="83"/>
      <c r="HWB102" s="83"/>
      <c r="HWC102" s="83"/>
      <c r="HWD102" s="83"/>
      <c r="HWE102" s="83"/>
      <c r="HWF102" s="83"/>
      <c r="HWG102" s="83"/>
      <c r="HWH102" s="83"/>
      <c r="HWI102" s="83"/>
      <c r="HWJ102" s="83"/>
      <c r="HWK102" s="83"/>
      <c r="HWL102" s="83"/>
      <c r="HWM102" s="83"/>
      <c r="HWN102" s="83"/>
      <c r="HWO102" s="83"/>
      <c r="HWP102" s="83"/>
      <c r="HWQ102" s="83"/>
      <c r="HWR102" s="83"/>
      <c r="HWS102" s="83"/>
      <c r="HWT102" s="83"/>
      <c r="HWU102" s="83"/>
      <c r="HWV102" s="83"/>
      <c r="HWW102" s="83"/>
      <c r="HWX102" s="83"/>
      <c r="HWY102" s="83"/>
      <c r="HWZ102" s="83"/>
      <c r="HXA102" s="83"/>
      <c r="HXB102" s="83"/>
      <c r="HXC102" s="83"/>
      <c r="HXD102" s="83"/>
      <c r="HXE102" s="83"/>
      <c r="HXF102" s="83"/>
      <c r="HXG102" s="83"/>
      <c r="HXH102" s="83"/>
      <c r="HXI102" s="83"/>
      <c r="HXJ102" s="83"/>
      <c r="HXK102" s="83"/>
      <c r="HXL102" s="83"/>
      <c r="HXM102" s="83"/>
      <c r="HXN102" s="83"/>
      <c r="HXO102" s="83"/>
      <c r="HXP102" s="83"/>
      <c r="HXQ102" s="83"/>
      <c r="HXR102" s="83"/>
      <c r="HXS102" s="83"/>
      <c r="HXT102" s="83"/>
      <c r="HXU102" s="83"/>
      <c r="HXV102" s="83"/>
      <c r="HXW102" s="83"/>
      <c r="HXX102" s="83"/>
      <c r="HXY102" s="83"/>
      <c r="HXZ102" s="83"/>
      <c r="HYA102" s="83"/>
      <c r="HYB102" s="83"/>
      <c r="HYC102" s="83"/>
      <c r="HYD102" s="83"/>
      <c r="HYE102" s="83"/>
      <c r="HYF102" s="83"/>
      <c r="HYG102" s="83"/>
      <c r="HYH102" s="83"/>
      <c r="HYI102" s="83"/>
      <c r="HYJ102" s="83"/>
      <c r="HYK102" s="83"/>
      <c r="HYL102" s="83"/>
      <c r="HYM102" s="83"/>
      <c r="HYN102" s="83"/>
      <c r="HYO102" s="83"/>
      <c r="HYP102" s="83"/>
      <c r="HYQ102" s="83"/>
      <c r="HYR102" s="83"/>
      <c r="HYS102" s="83"/>
      <c r="HYT102" s="83"/>
      <c r="HYU102" s="83"/>
      <c r="HYV102" s="83"/>
      <c r="HYW102" s="83"/>
      <c r="HYX102" s="83"/>
      <c r="HYY102" s="83"/>
      <c r="HYZ102" s="83"/>
      <c r="HZA102" s="83"/>
      <c r="HZB102" s="83"/>
      <c r="HZC102" s="83"/>
      <c r="HZD102" s="83"/>
      <c r="HZE102" s="83"/>
      <c r="HZF102" s="83"/>
      <c r="HZG102" s="83"/>
      <c r="HZH102" s="83"/>
      <c r="HZI102" s="83"/>
      <c r="HZJ102" s="83"/>
      <c r="HZK102" s="83"/>
      <c r="HZL102" s="83"/>
      <c r="HZM102" s="83"/>
      <c r="HZN102" s="83"/>
      <c r="HZO102" s="83"/>
      <c r="HZP102" s="83"/>
      <c r="HZQ102" s="83"/>
      <c r="HZR102" s="83"/>
      <c r="HZS102" s="83"/>
      <c r="HZT102" s="83"/>
      <c r="HZU102" s="83"/>
      <c r="HZV102" s="83"/>
      <c r="HZW102" s="83"/>
      <c r="HZX102" s="83"/>
      <c r="HZY102" s="83"/>
      <c r="HZZ102" s="83"/>
      <c r="IAA102" s="83"/>
      <c r="IAB102" s="83"/>
      <c r="IAC102" s="83"/>
      <c r="IAD102" s="83"/>
      <c r="IAE102" s="83"/>
      <c r="IAF102" s="83"/>
      <c r="IAG102" s="83"/>
      <c r="IAH102" s="83"/>
      <c r="IAI102" s="83"/>
      <c r="IAJ102" s="83"/>
      <c r="IAK102" s="83"/>
      <c r="IAL102" s="83"/>
      <c r="IAM102" s="83"/>
      <c r="IAN102" s="83"/>
      <c r="IAO102" s="83"/>
      <c r="IAP102" s="83"/>
      <c r="IAQ102" s="83"/>
      <c r="IAR102" s="83"/>
      <c r="IAS102" s="83"/>
      <c r="IAT102" s="83"/>
      <c r="IAU102" s="83"/>
      <c r="IAV102" s="83"/>
      <c r="IAW102" s="83"/>
      <c r="IAX102" s="83"/>
      <c r="IAY102" s="83"/>
      <c r="IAZ102" s="83"/>
      <c r="IBA102" s="83"/>
      <c r="IBB102" s="83"/>
      <c r="IBC102" s="83"/>
      <c r="IBD102" s="83"/>
      <c r="IBE102" s="83"/>
      <c r="IBF102" s="83"/>
      <c r="IBG102" s="83"/>
      <c r="IBH102" s="83"/>
      <c r="IBI102" s="83"/>
      <c r="IBJ102" s="83"/>
      <c r="IBK102" s="83"/>
      <c r="IBL102" s="83"/>
      <c r="IBM102" s="83"/>
      <c r="IBN102" s="83"/>
      <c r="IBO102" s="83"/>
      <c r="IBP102" s="83"/>
      <c r="IBQ102" s="83"/>
      <c r="IBR102" s="83"/>
      <c r="IBS102" s="83"/>
      <c r="IBT102" s="83"/>
      <c r="IBU102" s="83"/>
      <c r="IBV102" s="83"/>
      <c r="IBW102" s="83"/>
      <c r="IBX102" s="83"/>
      <c r="IBY102" s="83"/>
      <c r="IBZ102" s="83"/>
      <c r="ICA102" s="83"/>
      <c r="ICB102" s="83"/>
      <c r="ICC102" s="83"/>
      <c r="ICD102" s="83"/>
      <c r="ICE102" s="83"/>
      <c r="ICF102" s="83"/>
      <c r="ICG102" s="83"/>
      <c r="ICH102" s="83"/>
      <c r="ICI102" s="83"/>
      <c r="ICJ102" s="83"/>
      <c r="ICK102" s="83"/>
      <c r="ICL102" s="83"/>
      <c r="ICM102" s="83"/>
      <c r="ICN102" s="83"/>
      <c r="ICO102" s="83"/>
      <c r="ICP102" s="83"/>
      <c r="ICQ102" s="83"/>
      <c r="ICR102" s="83"/>
      <c r="ICS102" s="83"/>
      <c r="ICT102" s="83"/>
      <c r="ICU102" s="83"/>
      <c r="ICV102" s="83"/>
      <c r="ICW102" s="83"/>
      <c r="ICX102" s="83"/>
      <c r="ICY102" s="83"/>
      <c r="ICZ102" s="83"/>
      <c r="IDA102" s="83"/>
      <c r="IDB102" s="83"/>
      <c r="IDC102" s="83"/>
      <c r="IDD102" s="83"/>
      <c r="IDE102" s="83"/>
      <c r="IDF102" s="83"/>
      <c r="IDG102" s="83"/>
      <c r="IDH102" s="83"/>
      <c r="IDI102" s="83"/>
      <c r="IDJ102" s="83"/>
      <c r="IDK102" s="83"/>
      <c r="IDL102" s="83"/>
      <c r="IDM102" s="83"/>
      <c r="IDN102" s="83"/>
      <c r="IDO102" s="83"/>
      <c r="IDP102" s="83"/>
      <c r="IDQ102" s="83"/>
      <c r="IDR102" s="83"/>
      <c r="IDS102" s="83"/>
      <c r="IDT102" s="83"/>
      <c r="IDU102" s="83"/>
      <c r="IDV102" s="83"/>
      <c r="IDW102" s="83"/>
      <c r="IDX102" s="83"/>
      <c r="IDY102" s="83"/>
      <c r="IDZ102" s="83"/>
      <c r="IEA102" s="83"/>
      <c r="IEB102" s="83"/>
      <c r="IEC102" s="83"/>
      <c r="IED102" s="83"/>
      <c r="IEE102" s="83"/>
      <c r="IEF102" s="83"/>
      <c r="IEG102" s="83"/>
      <c r="IEH102" s="83"/>
      <c r="IEI102" s="83"/>
      <c r="IEJ102" s="83"/>
      <c r="IEK102" s="83"/>
      <c r="IEL102" s="83"/>
      <c r="IEM102" s="83"/>
      <c r="IEN102" s="83"/>
      <c r="IEO102" s="83"/>
      <c r="IEP102" s="83"/>
      <c r="IEQ102" s="83"/>
      <c r="IER102" s="83"/>
      <c r="IES102" s="83"/>
      <c r="IET102" s="83"/>
      <c r="IEU102" s="83"/>
      <c r="IEV102" s="83"/>
      <c r="IEW102" s="83"/>
      <c r="IEX102" s="83"/>
      <c r="IEY102" s="83"/>
      <c r="IEZ102" s="83"/>
      <c r="IFA102" s="83"/>
      <c r="IFB102" s="83"/>
      <c r="IFC102" s="83"/>
      <c r="IFD102" s="83"/>
      <c r="IFE102" s="83"/>
      <c r="IFF102" s="83"/>
      <c r="IFG102" s="83"/>
      <c r="IFH102" s="83"/>
      <c r="IFI102" s="83"/>
      <c r="IFJ102" s="83"/>
      <c r="IFK102" s="83"/>
      <c r="IFL102" s="83"/>
      <c r="IFM102" s="83"/>
      <c r="IFN102" s="83"/>
      <c r="IFO102" s="83"/>
      <c r="IFP102" s="83"/>
      <c r="IFQ102" s="83"/>
      <c r="IFR102" s="83"/>
      <c r="IFS102" s="83"/>
      <c r="IFT102" s="83"/>
      <c r="IFU102" s="83"/>
      <c r="IFV102" s="83"/>
      <c r="IFW102" s="83"/>
      <c r="IFX102" s="83"/>
      <c r="IFY102" s="83"/>
      <c r="IFZ102" s="83"/>
      <c r="IGA102" s="83"/>
      <c r="IGB102" s="83"/>
      <c r="IGC102" s="83"/>
      <c r="IGD102" s="83"/>
      <c r="IGE102" s="83"/>
      <c r="IGF102" s="83"/>
      <c r="IGG102" s="83"/>
      <c r="IGH102" s="83"/>
      <c r="IGI102" s="83"/>
      <c r="IGJ102" s="83"/>
      <c r="IGK102" s="83"/>
      <c r="IGL102" s="83"/>
      <c r="IGM102" s="83"/>
      <c r="IGN102" s="83"/>
      <c r="IGO102" s="83"/>
      <c r="IGP102" s="83"/>
      <c r="IGQ102" s="83"/>
      <c r="IGR102" s="83"/>
      <c r="IGS102" s="83"/>
      <c r="IGT102" s="83"/>
      <c r="IGU102" s="83"/>
      <c r="IGV102" s="83"/>
      <c r="IGW102" s="83"/>
      <c r="IGX102" s="83"/>
      <c r="IGY102" s="83"/>
      <c r="IGZ102" s="83"/>
      <c r="IHA102" s="83"/>
      <c r="IHB102" s="83"/>
      <c r="IHC102" s="83"/>
      <c r="IHD102" s="83"/>
      <c r="IHE102" s="83"/>
      <c r="IHF102" s="83"/>
      <c r="IHG102" s="83"/>
      <c r="IHH102" s="83"/>
      <c r="IHI102" s="83"/>
      <c r="IHJ102" s="83"/>
      <c r="IHK102" s="83"/>
      <c r="IHL102" s="83"/>
      <c r="IHM102" s="83"/>
      <c r="IHN102" s="83"/>
      <c r="IHO102" s="83"/>
      <c r="IHP102" s="83"/>
      <c r="IHQ102" s="83"/>
      <c r="IHR102" s="83"/>
      <c r="IHS102" s="83"/>
      <c r="IHT102" s="83"/>
      <c r="IHU102" s="83"/>
      <c r="IHV102" s="83"/>
      <c r="IHW102" s="83"/>
      <c r="IHX102" s="83"/>
      <c r="IHY102" s="83"/>
      <c r="IHZ102" s="83"/>
      <c r="IIA102" s="83"/>
      <c r="IIB102" s="83"/>
      <c r="IIC102" s="83"/>
      <c r="IID102" s="83"/>
      <c r="IIE102" s="83"/>
      <c r="IIF102" s="83"/>
      <c r="IIG102" s="83"/>
      <c r="IIH102" s="83"/>
      <c r="III102" s="83"/>
      <c r="IIJ102" s="83"/>
      <c r="IIK102" s="83"/>
      <c r="IIL102" s="83"/>
      <c r="IIM102" s="83"/>
      <c r="IIN102" s="83"/>
      <c r="IIO102" s="83"/>
      <c r="IIP102" s="83"/>
      <c r="IIQ102" s="83"/>
      <c r="IIR102" s="83"/>
      <c r="IIS102" s="83"/>
      <c r="IIT102" s="83"/>
      <c r="IIU102" s="83"/>
      <c r="IIV102" s="83"/>
      <c r="IIW102" s="83"/>
      <c r="IIX102" s="83"/>
      <c r="IIY102" s="83"/>
      <c r="IIZ102" s="83"/>
      <c r="IJA102" s="83"/>
      <c r="IJB102" s="83"/>
      <c r="IJC102" s="83"/>
      <c r="IJD102" s="83"/>
      <c r="IJE102" s="83"/>
      <c r="IJF102" s="83"/>
      <c r="IJG102" s="83"/>
      <c r="IJH102" s="83"/>
      <c r="IJI102" s="83"/>
      <c r="IJJ102" s="83"/>
      <c r="IJK102" s="83"/>
      <c r="IJL102" s="83"/>
      <c r="IJM102" s="83"/>
      <c r="IJN102" s="83"/>
      <c r="IJO102" s="83"/>
      <c r="IJP102" s="83"/>
      <c r="IJQ102" s="83"/>
      <c r="IJR102" s="83"/>
      <c r="IJS102" s="83"/>
      <c r="IJT102" s="83"/>
      <c r="IJU102" s="83"/>
      <c r="IJV102" s="83"/>
      <c r="IJW102" s="83"/>
      <c r="IJX102" s="83"/>
      <c r="IJY102" s="83"/>
      <c r="IJZ102" s="83"/>
      <c r="IKA102" s="83"/>
      <c r="IKB102" s="83"/>
      <c r="IKC102" s="83"/>
      <c r="IKD102" s="83"/>
      <c r="IKE102" s="83"/>
      <c r="IKF102" s="83"/>
      <c r="IKG102" s="83"/>
      <c r="IKH102" s="83"/>
      <c r="IKI102" s="83"/>
      <c r="IKJ102" s="83"/>
      <c r="IKK102" s="83"/>
      <c r="IKL102" s="83"/>
      <c r="IKM102" s="83"/>
      <c r="IKN102" s="83"/>
      <c r="IKO102" s="83"/>
      <c r="IKP102" s="83"/>
      <c r="IKQ102" s="83"/>
      <c r="IKR102" s="83"/>
      <c r="IKS102" s="83"/>
      <c r="IKT102" s="83"/>
      <c r="IKU102" s="83"/>
      <c r="IKV102" s="83"/>
      <c r="IKW102" s="83"/>
      <c r="IKX102" s="83"/>
      <c r="IKY102" s="83"/>
      <c r="IKZ102" s="83"/>
      <c r="ILA102" s="83"/>
      <c r="ILB102" s="83"/>
      <c r="ILC102" s="83"/>
      <c r="ILD102" s="83"/>
      <c r="ILE102" s="83"/>
      <c r="ILF102" s="83"/>
      <c r="ILG102" s="83"/>
      <c r="ILH102" s="83"/>
      <c r="ILI102" s="83"/>
      <c r="ILJ102" s="83"/>
      <c r="ILK102" s="83"/>
      <c r="ILL102" s="83"/>
      <c r="ILM102" s="83"/>
      <c r="ILN102" s="83"/>
      <c r="ILO102" s="83"/>
      <c r="ILP102" s="83"/>
      <c r="ILQ102" s="83"/>
      <c r="ILR102" s="83"/>
      <c r="ILS102" s="83"/>
      <c r="ILT102" s="83"/>
      <c r="ILU102" s="83"/>
      <c r="ILV102" s="83"/>
      <c r="ILW102" s="83"/>
      <c r="ILX102" s="83"/>
      <c r="ILY102" s="83"/>
      <c r="ILZ102" s="83"/>
      <c r="IMA102" s="83"/>
      <c r="IMB102" s="83"/>
      <c r="IMC102" s="83"/>
      <c r="IMD102" s="83"/>
      <c r="IME102" s="83"/>
      <c r="IMF102" s="83"/>
      <c r="IMG102" s="83"/>
      <c r="IMH102" s="83"/>
      <c r="IMI102" s="83"/>
      <c r="IMJ102" s="83"/>
      <c r="IMK102" s="83"/>
      <c r="IML102" s="83"/>
      <c r="IMM102" s="83"/>
      <c r="IMN102" s="83"/>
      <c r="IMO102" s="83"/>
      <c r="IMP102" s="83"/>
      <c r="IMQ102" s="83"/>
      <c r="IMR102" s="83"/>
      <c r="IMS102" s="83"/>
      <c r="IMT102" s="83"/>
      <c r="IMU102" s="83"/>
      <c r="IMV102" s="83"/>
      <c r="IMW102" s="83"/>
      <c r="IMX102" s="83"/>
      <c r="IMY102" s="83"/>
      <c r="IMZ102" s="83"/>
      <c r="INA102" s="83"/>
      <c r="INB102" s="83"/>
      <c r="INC102" s="83"/>
      <c r="IND102" s="83"/>
      <c r="INE102" s="83"/>
      <c r="INF102" s="83"/>
      <c r="ING102" s="83"/>
      <c r="INH102" s="83"/>
      <c r="INI102" s="83"/>
      <c r="INJ102" s="83"/>
      <c r="INK102" s="83"/>
      <c r="INL102" s="83"/>
      <c r="INM102" s="83"/>
      <c r="INN102" s="83"/>
      <c r="INO102" s="83"/>
      <c r="INP102" s="83"/>
      <c r="INQ102" s="83"/>
      <c r="INR102" s="83"/>
      <c r="INS102" s="83"/>
      <c r="INT102" s="83"/>
      <c r="INU102" s="83"/>
      <c r="INV102" s="83"/>
      <c r="INW102" s="83"/>
      <c r="INX102" s="83"/>
      <c r="INY102" s="83"/>
      <c r="INZ102" s="83"/>
      <c r="IOA102" s="83"/>
      <c r="IOB102" s="83"/>
      <c r="IOC102" s="83"/>
      <c r="IOD102" s="83"/>
      <c r="IOE102" s="83"/>
      <c r="IOF102" s="83"/>
      <c r="IOG102" s="83"/>
      <c r="IOH102" s="83"/>
      <c r="IOI102" s="83"/>
      <c r="IOJ102" s="83"/>
      <c r="IOK102" s="83"/>
      <c r="IOL102" s="83"/>
      <c r="IOM102" s="83"/>
      <c r="ION102" s="83"/>
      <c r="IOO102" s="83"/>
      <c r="IOP102" s="83"/>
      <c r="IOQ102" s="83"/>
      <c r="IOR102" s="83"/>
      <c r="IOS102" s="83"/>
      <c r="IOT102" s="83"/>
      <c r="IOU102" s="83"/>
      <c r="IOV102" s="83"/>
      <c r="IOW102" s="83"/>
      <c r="IOX102" s="83"/>
      <c r="IOY102" s="83"/>
      <c r="IOZ102" s="83"/>
      <c r="IPA102" s="83"/>
      <c r="IPB102" s="83"/>
      <c r="IPC102" s="83"/>
      <c r="IPD102" s="83"/>
      <c r="IPE102" s="83"/>
      <c r="IPF102" s="83"/>
      <c r="IPG102" s="83"/>
      <c r="IPH102" s="83"/>
      <c r="IPI102" s="83"/>
      <c r="IPJ102" s="83"/>
      <c r="IPK102" s="83"/>
      <c r="IPL102" s="83"/>
      <c r="IPM102" s="83"/>
      <c r="IPN102" s="83"/>
      <c r="IPO102" s="83"/>
      <c r="IPP102" s="83"/>
      <c r="IPQ102" s="83"/>
      <c r="IPR102" s="83"/>
      <c r="IPS102" s="83"/>
      <c r="IPT102" s="83"/>
      <c r="IPU102" s="83"/>
      <c r="IPV102" s="83"/>
      <c r="IPW102" s="83"/>
      <c r="IPX102" s="83"/>
      <c r="IPY102" s="83"/>
      <c r="IPZ102" s="83"/>
      <c r="IQA102" s="83"/>
      <c r="IQB102" s="83"/>
      <c r="IQC102" s="83"/>
      <c r="IQD102" s="83"/>
      <c r="IQE102" s="83"/>
      <c r="IQF102" s="83"/>
      <c r="IQG102" s="83"/>
      <c r="IQH102" s="83"/>
      <c r="IQI102" s="83"/>
      <c r="IQJ102" s="83"/>
      <c r="IQK102" s="83"/>
      <c r="IQL102" s="83"/>
      <c r="IQM102" s="83"/>
      <c r="IQN102" s="83"/>
      <c r="IQO102" s="83"/>
      <c r="IQP102" s="83"/>
      <c r="IQQ102" s="83"/>
      <c r="IQR102" s="83"/>
      <c r="IQS102" s="83"/>
      <c r="IQT102" s="83"/>
      <c r="IQU102" s="83"/>
      <c r="IQV102" s="83"/>
      <c r="IQW102" s="83"/>
      <c r="IQX102" s="83"/>
      <c r="IQY102" s="83"/>
      <c r="IQZ102" s="83"/>
      <c r="IRA102" s="83"/>
      <c r="IRB102" s="83"/>
      <c r="IRC102" s="83"/>
      <c r="IRD102" s="83"/>
      <c r="IRE102" s="83"/>
      <c r="IRF102" s="83"/>
      <c r="IRG102" s="83"/>
      <c r="IRH102" s="83"/>
      <c r="IRI102" s="83"/>
      <c r="IRJ102" s="83"/>
      <c r="IRK102" s="83"/>
      <c r="IRL102" s="83"/>
      <c r="IRM102" s="83"/>
      <c r="IRN102" s="83"/>
      <c r="IRO102" s="83"/>
      <c r="IRP102" s="83"/>
      <c r="IRQ102" s="83"/>
      <c r="IRR102" s="83"/>
      <c r="IRS102" s="83"/>
      <c r="IRT102" s="83"/>
      <c r="IRU102" s="83"/>
      <c r="IRV102" s="83"/>
      <c r="IRW102" s="83"/>
      <c r="IRX102" s="83"/>
      <c r="IRY102" s="83"/>
      <c r="IRZ102" s="83"/>
      <c r="ISA102" s="83"/>
      <c r="ISB102" s="83"/>
      <c r="ISC102" s="83"/>
      <c r="ISD102" s="83"/>
      <c r="ISE102" s="83"/>
      <c r="ISF102" s="83"/>
      <c r="ISG102" s="83"/>
      <c r="ISH102" s="83"/>
      <c r="ISI102" s="83"/>
      <c r="ISJ102" s="83"/>
      <c r="ISK102" s="83"/>
      <c r="ISL102" s="83"/>
      <c r="ISM102" s="83"/>
      <c r="ISN102" s="83"/>
      <c r="ISO102" s="83"/>
      <c r="ISP102" s="83"/>
      <c r="ISQ102" s="83"/>
      <c r="ISR102" s="83"/>
      <c r="ISS102" s="83"/>
      <c r="IST102" s="83"/>
      <c r="ISU102" s="83"/>
      <c r="ISV102" s="83"/>
      <c r="ISW102" s="83"/>
      <c r="ISX102" s="83"/>
      <c r="ISY102" s="83"/>
      <c r="ISZ102" s="83"/>
      <c r="ITA102" s="83"/>
      <c r="ITB102" s="83"/>
      <c r="ITC102" s="83"/>
      <c r="ITD102" s="83"/>
      <c r="ITE102" s="83"/>
      <c r="ITF102" s="83"/>
      <c r="ITG102" s="83"/>
      <c r="ITH102" s="83"/>
      <c r="ITI102" s="83"/>
      <c r="ITJ102" s="83"/>
      <c r="ITK102" s="83"/>
      <c r="ITL102" s="83"/>
      <c r="ITM102" s="83"/>
      <c r="ITN102" s="83"/>
      <c r="ITO102" s="83"/>
      <c r="ITP102" s="83"/>
      <c r="ITQ102" s="83"/>
      <c r="ITR102" s="83"/>
      <c r="ITS102" s="83"/>
      <c r="ITT102" s="83"/>
      <c r="ITU102" s="83"/>
      <c r="ITV102" s="83"/>
      <c r="ITW102" s="83"/>
      <c r="ITX102" s="83"/>
      <c r="ITY102" s="83"/>
      <c r="ITZ102" s="83"/>
      <c r="IUA102" s="83"/>
      <c r="IUB102" s="83"/>
      <c r="IUC102" s="83"/>
      <c r="IUD102" s="83"/>
      <c r="IUE102" s="83"/>
      <c r="IUF102" s="83"/>
      <c r="IUG102" s="83"/>
      <c r="IUH102" s="83"/>
      <c r="IUI102" s="83"/>
      <c r="IUJ102" s="83"/>
      <c r="IUK102" s="83"/>
      <c r="IUL102" s="83"/>
      <c r="IUM102" s="83"/>
      <c r="IUN102" s="83"/>
      <c r="IUO102" s="83"/>
      <c r="IUP102" s="83"/>
      <c r="IUQ102" s="83"/>
      <c r="IUR102" s="83"/>
      <c r="IUS102" s="83"/>
      <c r="IUT102" s="83"/>
      <c r="IUU102" s="83"/>
      <c r="IUV102" s="83"/>
      <c r="IUW102" s="83"/>
      <c r="IUX102" s="83"/>
      <c r="IUY102" s="83"/>
      <c r="IUZ102" s="83"/>
      <c r="IVA102" s="83"/>
      <c r="IVB102" s="83"/>
      <c r="IVC102" s="83"/>
      <c r="IVD102" s="83"/>
      <c r="IVE102" s="83"/>
      <c r="IVF102" s="83"/>
      <c r="IVG102" s="83"/>
      <c r="IVH102" s="83"/>
      <c r="IVI102" s="83"/>
      <c r="IVJ102" s="83"/>
      <c r="IVK102" s="83"/>
      <c r="IVL102" s="83"/>
      <c r="IVM102" s="83"/>
      <c r="IVN102" s="83"/>
      <c r="IVO102" s="83"/>
      <c r="IVP102" s="83"/>
      <c r="IVQ102" s="83"/>
      <c r="IVR102" s="83"/>
      <c r="IVS102" s="83"/>
      <c r="IVT102" s="83"/>
      <c r="IVU102" s="83"/>
      <c r="IVV102" s="83"/>
      <c r="IVW102" s="83"/>
      <c r="IVX102" s="83"/>
      <c r="IVY102" s="83"/>
      <c r="IVZ102" s="83"/>
      <c r="IWA102" s="83"/>
      <c r="IWB102" s="83"/>
      <c r="IWC102" s="83"/>
      <c r="IWD102" s="83"/>
      <c r="IWE102" s="83"/>
      <c r="IWF102" s="83"/>
      <c r="IWG102" s="83"/>
      <c r="IWH102" s="83"/>
      <c r="IWI102" s="83"/>
      <c r="IWJ102" s="83"/>
      <c r="IWK102" s="83"/>
      <c r="IWL102" s="83"/>
      <c r="IWM102" s="83"/>
      <c r="IWN102" s="83"/>
      <c r="IWO102" s="83"/>
      <c r="IWP102" s="83"/>
      <c r="IWQ102" s="83"/>
      <c r="IWR102" s="83"/>
      <c r="IWS102" s="83"/>
      <c r="IWT102" s="83"/>
      <c r="IWU102" s="83"/>
      <c r="IWV102" s="83"/>
      <c r="IWW102" s="83"/>
      <c r="IWX102" s="83"/>
      <c r="IWY102" s="83"/>
      <c r="IWZ102" s="83"/>
      <c r="IXA102" s="83"/>
      <c r="IXB102" s="83"/>
      <c r="IXC102" s="83"/>
      <c r="IXD102" s="83"/>
      <c r="IXE102" s="83"/>
      <c r="IXF102" s="83"/>
      <c r="IXG102" s="83"/>
      <c r="IXH102" s="83"/>
      <c r="IXI102" s="83"/>
      <c r="IXJ102" s="83"/>
      <c r="IXK102" s="83"/>
      <c r="IXL102" s="83"/>
      <c r="IXM102" s="83"/>
      <c r="IXN102" s="83"/>
      <c r="IXO102" s="83"/>
      <c r="IXP102" s="83"/>
      <c r="IXQ102" s="83"/>
      <c r="IXR102" s="83"/>
      <c r="IXS102" s="83"/>
      <c r="IXT102" s="83"/>
      <c r="IXU102" s="83"/>
      <c r="IXV102" s="83"/>
      <c r="IXW102" s="83"/>
      <c r="IXX102" s="83"/>
      <c r="IXY102" s="83"/>
      <c r="IXZ102" s="83"/>
      <c r="IYA102" s="83"/>
      <c r="IYB102" s="83"/>
      <c r="IYC102" s="83"/>
      <c r="IYD102" s="83"/>
      <c r="IYE102" s="83"/>
      <c r="IYF102" s="83"/>
      <c r="IYG102" s="83"/>
      <c r="IYH102" s="83"/>
      <c r="IYI102" s="83"/>
      <c r="IYJ102" s="83"/>
      <c r="IYK102" s="83"/>
      <c r="IYL102" s="83"/>
      <c r="IYM102" s="83"/>
      <c r="IYN102" s="83"/>
      <c r="IYO102" s="83"/>
      <c r="IYP102" s="83"/>
      <c r="IYQ102" s="83"/>
      <c r="IYR102" s="83"/>
      <c r="IYS102" s="83"/>
      <c r="IYT102" s="83"/>
      <c r="IYU102" s="83"/>
      <c r="IYV102" s="83"/>
      <c r="IYW102" s="83"/>
      <c r="IYX102" s="83"/>
      <c r="IYY102" s="83"/>
      <c r="IYZ102" s="83"/>
      <c r="IZA102" s="83"/>
      <c r="IZB102" s="83"/>
      <c r="IZC102" s="83"/>
      <c r="IZD102" s="83"/>
      <c r="IZE102" s="83"/>
      <c r="IZF102" s="83"/>
      <c r="IZG102" s="83"/>
      <c r="IZH102" s="83"/>
      <c r="IZI102" s="83"/>
      <c r="IZJ102" s="83"/>
      <c r="IZK102" s="83"/>
      <c r="IZL102" s="83"/>
      <c r="IZM102" s="83"/>
      <c r="IZN102" s="83"/>
      <c r="IZO102" s="83"/>
      <c r="IZP102" s="83"/>
      <c r="IZQ102" s="83"/>
      <c r="IZR102" s="83"/>
      <c r="IZS102" s="83"/>
      <c r="IZT102" s="83"/>
      <c r="IZU102" s="83"/>
      <c r="IZV102" s="83"/>
      <c r="IZW102" s="83"/>
      <c r="IZX102" s="83"/>
      <c r="IZY102" s="83"/>
      <c r="IZZ102" s="83"/>
      <c r="JAA102" s="83"/>
      <c r="JAB102" s="83"/>
      <c r="JAC102" s="83"/>
      <c r="JAD102" s="83"/>
      <c r="JAE102" s="83"/>
      <c r="JAF102" s="83"/>
      <c r="JAG102" s="83"/>
      <c r="JAH102" s="83"/>
      <c r="JAI102" s="83"/>
      <c r="JAJ102" s="83"/>
      <c r="JAK102" s="83"/>
      <c r="JAL102" s="83"/>
      <c r="JAM102" s="83"/>
      <c r="JAN102" s="83"/>
      <c r="JAO102" s="83"/>
      <c r="JAP102" s="83"/>
      <c r="JAQ102" s="83"/>
      <c r="JAR102" s="83"/>
      <c r="JAS102" s="83"/>
      <c r="JAT102" s="83"/>
      <c r="JAU102" s="83"/>
      <c r="JAV102" s="83"/>
      <c r="JAW102" s="83"/>
      <c r="JAX102" s="83"/>
      <c r="JAY102" s="83"/>
      <c r="JAZ102" s="83"/>
      <c r="JBA102" s="83"/>
      <c r="JBB102" s="83"/>
      <c r="JBC102" s="83"/>
      <c r="JBD102" s="83"/>
      <c r="JBE102" s="83"/>
      <c r="JBF102" s="83"/>
      <c r="JBG102" s="83"/>
      <c r="JBH102" s="83"/>
      <c r="JBI102" s="83"/>
      <c r="JBJ102" s="83"/>
      <c r="JBK102" s="83"/>
      <c r="JBL102" s="83"/>
      <c r="JBM102" s="83"/>
      <c r="JBN102" s="83"/>
      <c r="JBO102" s="83"/>
      <c r="JBP102" s="83"/>
      <c r="JBQ102" s="83"/>
      <c r="JBR102" s="83"/>
      <c r="JBS102" s="83"/>
      <c r="JBT102" s="83"/>
      <c r="JBU102" s="83"/>
      <c r="JBV102" s="83"/>
      <c r="JBW102" s="83"/>
      <c r="JBX102" s="83"/>
      <c r="JBY102" s="83"/>
      <c r="JBZ102" s="83"/>
      <c r="JCA102" s="83"/>
      <c r="JCB102" s="83"/>
      <c r="JCC102" s="83"/>
      <c r="JCD102" s="83"/>
      <c r="JCE102" s="83"/>
      <c r="JCF102" s="83"/>
      <c r="JCG102" s="83"/>
      <c r="JCH102" s="83"/>
      <c r="JCI102" s="83"/>
      <c r="JCJ102" s="83"/>
      <c r="JCK102" s="83"/>
      <c r="JCL102" s="83"/>
      <c r="JCM102" s="83"/>
      <c r="JCN102" s="83"/>
      <c r="JCO102" s="83"/>
      <c r="JCP102" s="83"/>
      <c r="JCQ102" s="83"/>
      <c r="JCR102" s="83"/>
      <c r="JCS102" s="83"/>
      <c r="JCT102" s="83"/>
      <c r="JCU102" s="83"/>
      <c r="JCV102" s="83"/>
      <c r="JCW102" s="83"/>
      <c r="JCX102" s="83"/>
      <c r="JCY102" s="83"/>
      <c r="JCZ102" s="83"/>
      <c r="JDA102" s="83"/>
      <c r="JDB102" s="83"/>
      <c r="JDC102" s="83"/>
      <c r="JDD102" s="83"/>
      <c r="JDE102" s="83"/>
      <c r="JDF102" s="83"/>
      <c r="JDG102" s="83"/>
      <c r="JDH102" s="83"/>
      <c r="JDI102" s="83"/>
      <c r="JDJ102" s="83"/>
      <c r="JDK102" s="83"/>
      <c r="JDL102" s="83"/>
      <c r="JDM102" s="83"/>
      <c r="JDN102" s="83"/>
      <c r="JDO102" s="83"/>
      <c r="JDP102" s="83"/>
      <c r="JDQ102" s="83"/>
      <c r="JDR102" s="83"/>
      <c r="JDS102" s="83"/>
      <c r="JDT102" s="83"/>
      <c r="JDU102" s="83"/>
      <c r="JDV102" s="83"/>
      <c r="JDW102" s="83"/>
      <c r="JDX102" s="83"/>
      <c r="JDY102" s="83"/>
      <c r="JDZ102" s="83"/>
      <c r="JEA102" s="83"/>
      <c r="JEB102" s="83"/>
      <c r="JEC102" s="83"/>
      <c r="JED102" s="83"/>
      <c r="JEE102" s="83"/>
      <c r="JEF102" s="83"/>
      <c r="JEG102" s="83"/>
      <c r="JEH102" s="83"/>
      <c r="JEI102" s="83"/>
      <c r="JEJ102" s="83"/>
      <c r="JEK102" s="83"/>
      <c r="JEL102" s="83"/>
      <c r="JEM102" s="83"/>
      <c r="JEN102" s="83"/>
      <c r="JEO102" s="83"/>
      <c r="JEP102" s="83"/>
      <c r="JEQ102" s="83"/>
      <c r="JER102" s="83"/>
      <c r="JES102" s="83"/>
      <c r="JET102" s="83"/>
      <c r="JEU102" s="83"/>
      <c r="JEV102" s="83"/>
      <c r="JEW102" s="83"/>
      <c r="JEX102" s="83"/>
      <c r="JEY102" s="83"/>
      <c r="JEZ102" s="83"/>
      <c r="JFA102" s="83"/>
      <c r="JFB102" s="83"/>
      <c r="JFC102" s="83"/>
      <c r="JFD102" s="83"/>
      <c r="JFE102" s="83"/>
      <c r="JFF102" s="83"/>
      <c r="JFG102" s="83"/>
      <c r="JFH102" s="83"/>
      <c r="JFI102" s="83"/>
      <c r="JFJ102" s="83"/>
      <c r="JFK102" s="83"/>
      <c r="JFL102" s="83"/>
      <c r="JFM102" s="83"/>
      <c r="JFN102" s="83"/>
      <c r="JFO102" s="83"/>
      <c r="JFP102" s="83"/>
      <c r="JFQ102" s="83"/>
      <c r="JFR102" s="83"/>
      <c r="JFS102" s="83"/>
      <c r="JFT102" s="83"/>
      <c r="JFU102" s="83"/>
      <c r="JFV102" s="83"/>
      <c r="JFW102" s="83"/>
      <c r="JFX102" s="83"/>
      <c r="JFY102" s="83"/>
      <c r="JFZ102" s="83"/>
      <c r="JGA102" s="83"/>
      <c r="JGB102" s="83"/>
      <c r="JGC102" s="83"/>
      <c r="JGD102" s="83"/>
      <c r="JGE102" s="83"/>
      <c r="JGF102" s="83"/>
      <c r="JGG102" s="83"/>
      <c r="JGH102" s="83"/>
      <c r="JGI102" s="83"/>
      <c r="JGJ102" s="83"/>
      <c r="JGK102" s="83"/>
      <c r="JGL102" s="83"/>
      <c r="JGM102" s="83"/>
      <c r="JGN102" s="83"/>
      <c r="JGO102" s="83"/>
      <c r="JGP102" s="83"/>
      <c r="JGQ102" s="83"/>
      <c r="JGR102" s="83"/>
      <c r="JGS102" s="83"/>
      <c r="JGT102" s="83"/>
      <c r="JGU102" s="83"/>
      <c r="JGV102" s="83"/>
      <c r="JGW102" s="83"/>
      <c r="JGX102" s="83"/>
      <c r="JGY102" s="83"/>
      <c r="JGZ102" s="83"/>
      <c r="JHA102" s="83"/>
      <c r="JHB102" s="83"/>
      <c r="JHC102" s="83"/>
      <c r="JHD102" s="83"/>
      <c r="JHE102" s="83"/>
      <c r="JHF102" s="83"/>
      <c r="JHG102" s="83"/>
      <c r="JHH102" s="83"/>
      <c r="JHI102" s="83"/>
      <c r="JHJ102" s="83"/>
      <c r="JHK102" s="83"/>
      <c r="JHL102" s="83"/>
      <c r="JHM102" s="83"/>
      <c r="JHN102" s="83"/>
      <c r="JHO102" s="83"/>
      <c r="JHP102" s="83"/>
      <c r="JHQ102" s="83"/>
      <c r="JHR102" s="83"/>
      <c r="JHS102" s="83"/>
      <c r="JHT102" s="83"/>
      <c r="JHU102" s="83"/>
      <c r="JHV102" s="83"/>
      <c r="JHW102" s="83"/>
      <c r="JHX102" s="83"/>
      <c r="JHY102" s="83"/>
      <c r="JHZ102" s="83"/>
      <c r="JIA102" s="83"/>
      <c r="JIB102" s="83"/>
      <c r="JIC102" s="83"/>
      <c r="JID102" s="83"/>
      <c r="JIE102" s="83"/>
      <c r="JIF102" s="83"/>
      <c r="JIG102" s="83"/>
      <c r="JIH102" s="83"/>
      <c r="JII102" s="83"/>
      <c r="JIJ102" s="83"/>
      <c r="JIK102" s="83"/>
      <c r="JIL102" s="83"/>
      <c r="JIM102" s="83"/>
      <c r="JIN102" s="83"/>
      <c r="JIO102" s="83"/>
      <c r="JIP102" s="83"/>
      <c r="JIQ102" s="83"/>
      <c r="JIR102" s="83"/>
      <c r="JIS102" s="83"/>
      <c r="JIT102" s="83"/>
      <c r="JIU102" s="83"/>
      <c r="JIV102" s="83"/>
      <c r="JIW102" s="83"/>
      <c r="JIX102" s="83"/>
      <c r="JIY102" s="83"/>
      <c r="JIZ102" s="83"/>
      <c r="JJA102" s="83"/>
      <c r="JJB102" s="83"/>
      <c r="JJC102" s="83"/>
      <c r="JJD102" s="83"/>
      <c r="JJE102" s="83"/>
      <c r="JJF102" s="83"/>
      <c r="JJG102" s="83"/>
      <c r="JJH102" s="83"/>
      <c r="JJI102" s="83"/>
      <c r="JJJ102" s="83"/>
      <c r="JJK102" s="83"/>
      <c r="JJL102" s="83"/>
      <c r="JJM102" s="83"/>
      <c r="JJN102" s="83"/>
      <c r="JJO102" s="83"/>
      <c r="JJP102" s="83"/>
      <c r="JJQ102" s="83"/>
      <c r="JJR102" s="83"/>
      <c r="JJS102" s="83"/>
      <c r="JJT102" s="83"/>
      <c r="JJU102" s="83"/>
      <c r="JJV102" s="83"/>
      <c r="JJW102" s="83"/>
      <c r="JJX102" s="83"/>
      <c r="JJY102" s="83"/>
      <c r="JJZ102" s="83"/>
      <c r="JKA102" s="83"/>
      <c r="JKB102" s="83"/>
      <c r="JKC102" s="83"/>
      <c r="JKD102" s="83"/>
      <c r="JKE102" s="83"/>
      <c r="JKF102" s="83"/>
      <c r="JKG102" s="83"/>
      <c r="JKH102" s="83"/>
      <c r="JKI102" s="83"/>
      <c r="JKJ102" s="83"/>
      <c r="JKK102" s="83"/>
      <c r="JKL102" s="83"/>
      <c r="JKM102" s="83"/>
      <c r="JKN102" s="83"/>
      <c r="JKO102" s="83"/>
      <c r="JKP102" s="83"/>
      <c r="JKQ102" s="83"/>
      <c r="JKR102" s="83"/>
      <c r="JKS102" s="83"/>
      <c r="JKT102" s="83"/>
      <c r="JKU102" s="83"/>
      <c r="JKV102" s="83"/>
      <c r="JKW102" s="83"/>
      <c r="JKX102" s="83"/>
      <c r="JKY102" s="83"/>
      <c r="JKZ102" s="83"/>
      <c r="JLA102" s="83"/>
      <c r="JLB102" s="83"/>
      <c r="JLC102" s="83"/>
      <c r="JLD102" s="83"/>
      <c r="JLE102" s="83"/>
      <c r="JLF102" s="83"/>
      <c r="JLG102" s="83"/>
      <c r="JLH102" s="83"/>
      <c r="JLI102" s="83"/>
      <c r="JLJ102" s="83"/>
      <c r="JLK102" s="83"/>
      <c r="JLL102" s="83"/>
      <c r="JLM102" s="83"/>
      <c r="JLN102" s="83"/>
      <c r="JLO102" s="83"/>
      <c r="JLP102" s="83"/>
      <c r="JLQ102" s="83"/>
      <c r="JLR102" s="83"/>
      <c r="JLS102" s="83"/>
      <c r="JLT102" s="83"/>
      <c r="JLU102" s="83"/>
      <c r="JLV102" s="83"/>
      <c r="JLW102" s="83"/>
      <c r="JLX102" s="83"/>
      <c r="JLY102" s="83"/>
      <c r="JLZ102" s="83"/>
      <c r="JMA102" s="83"/>
      <c r="JMB102" s="83"/>
      <c r="JMC102" s="83"/>
      <c r="JMD102" s="83"/>
      <c r="JME102" s="83"/>
      <c r="JMF102" s="83"/>
      <c r="JMG102" s="83"/>
      <c r="JMH102" s="83"/>
      <c r="JMI102" s="83"/>
      <c r="JMJ102" s="83"/>
      <c r="JMK102" s="83"/>
      <c r="JML102" s="83"/>
      <c r="JMM102" s="83"/>
      <c r="JMN102" s="83"/>
      <c r="JMO102" s="83"/>
      <c r="JMP102" s="83"/>
      <c r="JMQ102" s="83"/>
      <c r="JMR102" s="83"/>
      <c r="JMS102" s="83"/>
      <c r="JMT102" s="83"/>
      <c r="JMU102" s="83"/>
      <c r="JMV102" s="83"/>
      <c r="JMW102" s="83"/>
      <c r="JMX102" s="83"/>
      <c r="JMY102" s="83"/>
      <c r="JMZ102" s="83"/>
      <c r="JNA102" s="83"/>
      <c r="JNB102" s="83"/>
      <c r="JNC102" s="83"/>
      <c r="JND102" s="83"/>
      <c r="JNE102" s="83"/>
      <c r="JNF102" s="83"/>
      <c r="JNG102" s="83"/>
      <c r="JNH102" s="83"/>
      <c r="JNI102" s="83"/>
      <c r="JNJ102" s="83"/>
      <c r="JNK102" s="83"/>
      <c r="JNL102" s="83"/>
      <c r="JNM102" s="83"/>
      <c r="JNN102" s="83"/>
      <c r="JNO102" s="83"/>
      <c r="JNP102" s="83"/>
      <c r="JNQ102" s="83"/>
      <c r="JNR102" s="83"/>
      <c r="JNS102" s="83"/>
      <c r="JNT102" s="83"/>
      <c r="JNU102" s="83"/>
      <c r="JNV102" s="83"/>
      <c r="JNW102" s="83"/>
      <c r="JNX102" s="83"/>
      <c r="JNY102" s="83"/>
      <c r="JNZ102" s="83"/>
      <c r="JOA102" s="83"/>
      <c r="JOB102" s="83"/>
      <c r="JOC102" s="83"/>
      <c r="JOD102" s="83"/>
      <c r="JOE102" s="83"/>
      <c r="JOF102" s="83"/>
      <c r="JOG102" s="83"/>
      <c r="JOH102" s="83"/>
      <c r="JOI102" s="83"/>
      <c r="JOJ102" s="83"/>
      <c r="JOK102" s="83"/>
      <c r="JOL102" s="83"/>
      <c r="JOM102" s="83"/>
      <c r="JON102" s="83"/>
      <c r="JOO102" s="83"/>
      <c r="JOP102" s="83"/>
      <c r="JOQ102" s="83"/>
      <c r="JOR102" s="83"/>
      <c r="JOS102" s="83"/>
      <c r="JOT102" s="83"/>
      <c r="JOU102" s="83"/>
      <c r="JOV102" s="83"/>
      <c r="JOW102" s="83"/>
      <c r="JOX102" s="83"/>
      <c r="JOY102" s="83"/>
      <c r="JOZ102" s="83"/>
      <c r="JPA102" s="83"/>
      <c r="JPB102" s="83"/>
      <c r="JPC102" s="83"/>
      <c r="JPD102" s="83"/>
      <c r="JPE102" s="83"/>
      <c r="JPF102" s="83"/>
      <c r="JPG102" s="83"/>
      <c r="JPH102" s="83"/>
      <c r="JPI102" s="83"/>
      <c r="JPJ102" s="83"/>
      <c r="JPK102" s="83"/>
      <c r="JPL102" s="83"/>
      <c r="JPM102" s="83"/>
      <c r="JPN102" s="83"/>
      <c r="JPO102" s="83"/>
      <c r="JPP102" s="83"/>
      <c r="JPQ102" s="83"/>
      <c r="JPR102" s="83"/>
      <c r="JPS102" s="83"/>
      <c r="JPT102" s="83"/>
      <c r="JPU102" s="83"/>
      <c r="JPV102" s="83"/>
      <c r="JPW102" s="83"/>
      <c r="JPX102" s="83"/>
      <c r="JPY102" s="83"/>
      <c r="JPZ102" s="83"/>
      <c r="JQA102" s="83"/>
      <c r="JQB102" s="83"/>
      <c r="JQC102" s="83"/>
      <c r="JQD102" s="83"/>
      <c r="JQE102" s="83"/>
      <c r="JQF102" s="83"/>
      <c r="JQG102" s="83"/>
      <c r="JQH102" s="83"/>
      <c r="JQI102" s="83"/>
      <c r="JQJ102" s="83"/>
      <c r="JQK102" s="83"/>
      <c r="JQL102" s="83"/>
      <c r="JQM102" s="83"/>
      <c r="JQN102" s="83"/>
      <c r="JQO102" s="83"/>
      <c r="JQP102" s="83"/>
      <c r="JQQ102" s="83"/>
      <c r="JQR102" s="83"/>
      <c r="JQS102" s="83"/>
      <c r="JQT102" s="83"/>
      <c r="JQU102" s="83"/>
      <c r="JQV102" s="83"/>
      <c r="JQW102" s="83"/>
      <c r="JQX102" s="83"/>
      <c r="JQY102" s="83"/>
      <c r="JQZ102" s="83"/>
      <c r="JRA102" s="83"/>
      <c r="JRB102" s="83"/>
      <c r="JRC102" s="83"/>
      <c r="JRD102" s="83"/>
      <c r="JRE102" s="83"/>
      <c r="JRF102" s="83"/>
      <c r="JRG102" s="83"/>
      <c r="JRH102" s="83"/>
      <c r="JRI102" s="83"/>
      <c r="JRJ102" s="83"/>
      <c r="JRK102" s="83"/>
      <c r="JRL102" s="83"/>
      <c r="JRM102" s="83"/>
      <c r="JRN102" s="83"/>
      <c r="JRO102" s="83"/>
      <c r="JRP102" s="83"/>
      <c r="JRQ102" s="83"/>
      <c r="JRR102" s="83"/>
      <c r="JRS102" s="83"/>
      <c r="JRT102" s="83"/>
      <c r="JRU102" s="83"/>
      <c r="JRV102" s="83"/>
      <c r="JRW102" s="83"/>
      <c r="JRX102" s="83"/>
      <c r="JRY102" s="83"/>
      <c r="JRZ102" s="83"/>
      <c r="JSA102" s="83"/>
      <c r="JSB102" s="83"/>
      <c r="JSC102" s="83"/>
      <c r="JSD102" s="83"/>
      <c r="JSE102" s="83"/>
      <c r="JSF102" s="83"/>
      <c r="JSG102" s="83"/>
      <c r="JSH102" s="83"/>
      <c r="JSI102" s="83"/>
      <c r="JSJ102" s="83"/>
      <c r="JSK102" s="83"/>
      <c r="JSL102" s="83"/>
      <c r="JSM102" s="83"/>
      <c r="JSN102" s="83"/>
      <c r="JSO102" s="83"/>
      <c r="JSP102" s="83"/>
      <c r="JSQ102" s="83"/>
      <c r="JSR102" s="83"/>
      <c r="JSS102" s="83"/>
      <c r="JST102" s="83"/>
      <c r="JSU102" s="83"/>
      <c r="JSV102" s="83"/>
      <c r="JSW102" s="83"/>
      <c r="JSX102" s="83"/>
      <c r="JSY102" s="83"/>
      <c r="JSZ102" s="83"/>
      <c r="JTA102" s="83"/>
      <c r="JTB102" s="83"/>
      <c r="JTC102" s="83"/>
      <c r="JTD102" s="83"/>
      <c r="JTE102" s="83"/>
      <c r="JTF102" s="83"/>
      <c r="JTG102" s="83"/>
      <c r="JTH102" s="83"/>
      <c r="JTI102" s="83"/>
      <c r="JTJ102" s="83"/>
      <c r="JTK102" s="83"/>
      <c r="JTL102" s="83"/>
      <c r="JTM102" s="83"/>
      <c r="JTN102" s="83"/>
      <c r="JTO102" s="83"/>
      <c r="JTP102" s="83"/>
      <c r="JTQ102" s="83"/>
      <c r="JTR102" s="83"/>
      <c r="JTS102" s="83"/>
      <c r="JTT102" s="83"/>
      <c r="JTU102" s="83"/>
      <c r="JTV102" s="83"/>
      <c r="JTW102" s="83"/>
      <c r="JTX102" s="83"/>
      <c r="JTY102" s="83"/>
      <c r="JTZ102" s="83"/>
      <c r="JUA102" s="83"/>
      <c r="JUB102" s="83"/>
      <c r="JUC102" s="83"/>
      <c r="JUD102" s="83"/>
      <c r="JUE102" s="83"/>
      <c r="JUF102" s="83"/>
      <c r="JUG102" s="83"/>
      <c r="JUH102" s="83"/>
      <c r="JUI102" s="83"/>
      <c r="JUJ102" s="83"/>
      <c r="JUK102" s="83"/>
      <c r="JUL102" s="83"/>
      <c r="JUM102" s="83"/>
      <c r="JUN102" s="83"/>
      <c r="JUO102" s="83"/>
      <c r="JUP102" s="83"/>
      <c r="JUQ102" s="83"/>
      <c r="JUR102" s="83"/>
      <c r="JUS102" s="83"/>
      <c r="JUT102" s="83"/>
      <c r="JUU102" s="83"/>
      <c r="JUV102" s="83"/>
      <c r="JUW102" s="83"/>
      <c r="JUX102" s="83"/>
      <c r="JUY102" s="83"/>
      <c r="JUZ102" s="83"/>
      <c r="JVA102" s="83"/>
      <c r="JVB102" s="83"/>
      <c r="JVC102" s="83"/>
      <c r="JVD102" s="83"/>
      <c r="JVE102" s="83"/>
      <c r="JVF102" s="83"/>
      <c r="JVG102" s="83"/>
      <c r="JVH102" s="83"/>
      <c r="JVI102" s="83"/>
      <c r="JVJ102" s="83"/>
      <c r="JVK102" s="83"/>
      <c r="JVL102" s="83"/>
      <c r="JVM102" s="83"/>
      <c r="JVN102" s="83"/>
      <c r="JVO102" s="83"/>
      <c r="JVP102" s="83"/>
      <c r="JVQ102" s="83"/>
      <c r="JVR102" s="83"/>
      <c r="JVS102" s="83"/>
      <c r="JVT102" s="83"/>
      <c r="JVU102" s="83"/>
      <c r="JVV102" s="83"/>
      <c r="JVW102" s="83"/>
      <c r="JVX102" s="83"/>
      <c r="JVY102" s="83"/>
      <c r="JVZ102" s="83"/>
      <c r="JWA102" s="83"/>
      <c r="JWB102" s="83"/>
      <c r="JWC102" s="83"/>
      <c r="JWD102" s="83"/>
      <c r="JWE102" s="83"/>
      <c r="JWF102" s="83"/>
      <c r="JWG102" s="83"/>
      <c r="JWH102" s="83"/>
      <c r="JWI102" s="83"/>
      <c r="JWJ102" s="83"/>
      <c r="JWK102" s="83"/>
      <c r="JWL102" s="83"/>
      <c r="JWM102" s="83"/>
      <c r="JWN102" s="83"/>
      <c r="JWO102" s="83"/>
      <c r="JWP102" s="83"/>
      <c r="JWQ102" s="83"/>
      <c r="JWR102" s="83"/>
      <c r="JWS102" s="83"/>
      <c r="JWT102" s="83"/>
      <c r="JWU102" s="83"/>
      <c r="JWV102" s="83"/>
      <c r="JWW102" s="83"/>
      <c r="JWX102" s="83"/>
      <c r="JWY102" s="83"/>
      <c r="JWZ102" s="83"/>
      <c r="JXA102" s="83"/>
      <c r="JXB102" s="83"/>
      <c r="JXC102" s="83"/>
      <c r="JXD102" s="83"/>
      <c r="JXE102" s="83"/>
      <c r="JXF102" s="83"/>
      <c r="JXG102" s="83"/>
      <c r="JXH102" s="83"/>
      <c r="JXI102" s="83"/>
      <c r="JXJ102" s="83"/>
      <c r="JXK102" s="83"/>
      <c r="JXL102" s="83"/>
      <c r="JXM102" s="83"/>
      <c r="JXN102" s="83"/>
      <c r="JXO102" s="83"/>
      <c r="JXP102" s="83"/>
      <c r="JXQ102" s="83"/>
      <c r="JXR102" s="83"/>
      <c r="JXS102" s="83"/>
      <c r="JXT102" s="83"/>
      <c r="JXU102" s="83"/>
      <c r="JXV102" s="83"/>
      <c r="JXW102" s="83"/>
      <c r="JXX102" s="83"/>
      <c r="JXY102" s="83"/>
      <c r="JXZ102" s="83"/>
      <c r="JYA102" s="83"/>
      <c r="JYB102" s="83"/>
      <c r="JYC102" s="83"/>
      <c r="JYD102" s="83"/>
      <c r="JYE102" s="83"/>
      <c r="JYF102" s="83"/>
      <c r="JYG102" s="83"/>
      <c r="JYH102" s="83"/>
      <c r="JYI102" s="83"/>
      <c r="JYJ102" s="83"/>
      <c r="JYK102" s="83"/>
      <c r="JYL102" s="83"/>
      <c r="JYM102" s="83"/>
      <c r="JYN102" s="83"/>
      <c r="JYO102" s="83"/>
      <c r="JYP102" s="83"/>
      <c r="JYQ102" s="83"/>
      <c r="JYR102" s="83"/>
      <c r="JYS102" s="83"/>
      <c r="JYT102" s="83"/>
      <c r="JYU102" s="83"/>
      <c r="JYV102" s="83"/>
      <c r="JYW102" s="83"/>
      <c r="JYX102" s="83"/>
      <c r="JYY102" s="83"/>
      <c r="JYZ102" s="83"/>
      <c r="JZA102" s="83"/>
      <c r="JZB102" s="83"/>
      <c r="JZC102" s="83"/>
      <c r="JZD102" s="83"/>
      <c r="JZE102" s="83"/>
      <c r="JZF102" s="83"/>
      <c r="JZG102" s="83"/>
      <c r="JZH102" s="83"/>
      <c r="JZI102" s="83"/>
      <c r="JZJ102" s="83"/>
      <c r="JZK102" s="83"/>
      <c r="JZL102" s="83"/>
      <c r="JZM102" s="83"/>
      <c r="JZN102" s="83"/>
      <c r="JZO102" s="83"/>
      <c r="JZP102" s="83"/>
      <c r="JZQ102" s="83"/>
      <c r="JZR102" s="83"/>
      <c r="JZS102" s="83"/>
      <c r="JZT102" s="83"/>
      <c r="JZU102" s="83"/>
      <c r="JZV102" s="83"/>
      <c r="JZW102" s="83"/>
      <c r="JZX102" s="83"/>
      <c r="JZY102" s="83"/>
      <c r="JZZ102" s="83"/>
      <c r="KAA102" s="83"/>
      <c r="KAB102" s="83"/>
      <c r="KAC102" s="83"/>
      <c r="KAD102" s="83"/>
      <c r="KAE102" s="83"/>
      <c r="KAF102" s="83"/>
      <c r="KAG102" s="83"/>
      <c r="KAH102" s="83"/>
      <c r="KAI102" s="83"/>
      <c r="KAJ102" s="83"/>
      <c r="KAK102" s="83"/>
      <c r="KAL102" s="83"/>
      <c r="KAM102" s="83"/>
      <c r="KAN102" s="83"/>
      <c r="KAO102" s="83"/>
      <c r="KAP102" s="83"/>
      <c r="KAQ102" s="83"/>
      <c r="KAR102" s="83"/>
      <c r="KAS102" s="83"/>
      <c r="KAT102" s="83"/>
      <c r="KAU102" s="83"/>
      <c r="KAV102" s="83"/>
      <c r="KAW102" s="83"/>
      <c r="KAX102" s="83"/>
      <c r="KAY102" s="83"/>
      <c r="KAZ102" s="83"/>
      <c r="KBA102" s="83"/>
      <c r="KBB102" s="83"/>
      <c r="KBC102" s="83"/>
      <c r="KBD102" s="83"/>
      <c r="KBE102" s="83"/>
      <c r="KBF102" s="83"/>
      <c r="KBG102" s="83"/>
      <c r="KBH102" s="83"/>
      <c r="KBI102" s="83"/>
      <c r="KBJ102" s="83"/>
      <c r="KBK102" s="83"/>
      <c r="KBL102" s="83"/>
      <c r="KBM102" s="83"/>
      <c r="KBN102" s="83"/>
      <c r="KBO102" s="83"/>
      <c r="KBP102" s="83"/>
      <c r="KBQ102" s="83"/>
      <c r="KBR102" s="83"/>
      <c r="KBS102" s="83"/>
      <c r="KBT102" s="83"/>
      <c r="KBU102" s="83"/>
      <c r="KBV102" s="83"/>
      <c r="KBW102" s="83"/>
      <c r="KBX102" s="83"/>
      <c r="KBY102" s="83"/>
      <c r="KBZ102" s="83"/>
      <c r="KCA102" s="83"/>
      <c r="KCB102" s="83"/>
      <c r="KCC102" s="83"/>
      <c r="KCD102" s="83"/>
      <c r="KCE102" s="83"/>
      <c r="KCF102" s="83"/>
      <c r="KCG102" s="83"/>
      <c r="KCH102" s="83"/>
      <c r="KCI102" s="83"/>
      <c r="KCJ102" s="83"/>
      <c r="KCK102" s="83"/>
      <c r="KCL102" s="83"/>
      <c r="KCM102" s="83"/>
      <c r="KCN102" s="83"/>
      <c r="KCO102" s="83"/>
      <c r="KCP102" s="83"/>
      <c r="KCQ102" s="83"/>
      <c r="KCR102" s="83"/>
      <c r="KCS102" s="83"/>
      <c r="KCT102" s="83"/>
      <c r="KCU102" s="83"/>
      <c r="KCV102" s="83"/>
      <c r="KCW102" s="83"/>
      <c r="KCX102" s="83"/>
      <c r="KCY102" s="83"/>
      <c r="KCZ102" s="83"/>
      <c r="KDA102" s="83"/>
      <c r="KDB102" s="83"/>
      <c r="KDC102" s="83"/>
      <c r="KDD102" s="83"/>
      <c r="KDE102" s="83"/>
      <c r="KDF102" s="83"/>
      <c r="KDG102" s="83"/>
      <c r="KDH102" s="83"/>
      <c r="KDI102" s="83"/>
      <c r="KDJ102" s="83"/>
      <c r="KDK102" s="83"/>
      <c r="KDL102" s="83"/>
      <c r="KDM102" s="83"/>
      <c r="KDN102" s="83"/>
      <c r="KDO102" s="83"/>
      <c r="KDP102" s="83"/>
      <c r="KDQ102" s="83"/>
      <c r="KDR102" s="83"/>
      <c r="KDS102" s="83"/>
      <c r="KDT102" s="83"/>
      <c r="KDU102" s="83"/>
      <c r="KDV102" s="83"/>
      <c r="KDW102" s="83"/>
      <c r="KDX102" s="83"/>
      <c r="KDY102" s="83"/>
      <c r="KDZ102" s="83"/>
      <c r="KEA102" s="83"/>
      <c r="KEB102" s="83"/>
      <c r="KEC102" s="83"/>
      <c r="KED102" s="83"/>
      <c r="KEE102" s="83"/>
      <c r="KEF102" s="83"/>
      <c r="KEG102" s="83"/>
      <c r="KEH102" s="83"/>
      <c r="KEI102" s="83"/>
      <c r="KEJ102" s="83"/>
      <c r="KEK102" s="83"/>
      <c r="KEL102" s="83"/>
      <c r="KEM102" s="83"/>
      <c r="KEN102" s="83"/>
      <c r="KEO102" s="83"/>
      <c r="KEP102" s="83"/>
      <c r="KEQ102" s="83"/>
      <c r="KER102" s="83"/>
      <c r="KES102" s="83"/>
      <c r="KET102" s="83"/>
      <c r="KEU102" s="83"/>
      <c r="KEV102" s="83"/>
      <c r="KEW102" s="83"/>
      <c r="KEX102" s="83"/>
      <c r="KEY102" s="83"/>
      <c r="KEZ102" s="83"/>
      <c r="KFA102" s="83"/>
      <c r="KFB102" s="83"/>
      <c r="KFC102" s="83"/>
      <c r="KFD102" s="83"/>
      <c r="KFE102" s="83"/>
      <c r="KFF102" s="83"/>
      <c r="KFG102" s="83"/>
      <c r="KFH102" s="83"/>
      <c r="KFI102" s="83"/>
      <c r="KFJ102" s="83"/>
      <c r="KFK102" s="83"/>
      <c r="KFL102" s="83"/>
      <c r="KFM102" s="83"/>
      <c r="KFN102" s="83"/>
      <c r="KFO102" s="83"/>
      <c r="KFP102" s="83"/>
      <c r="KFQ102" s="83"/>
      <c r="KFR102" s="83"/>
      <c r="KFS102" s="83"/>
      <c r="KFT102" s="83"/>
      <c r="KFU102" s="83"/>
      <c r="KFV102" s="83"/>
      <c r="KFW102" s="83"/>
      <c r="KFX102" s="83"/>
      <c r="KFY102" s="83"/>
      <c r="KFZ102" s="83"/>
      <c r="KGA102" s="83"/>
      <c r="KGB102" s="83"/>
      <c r="KGC102" s="83"/>
      <c r="KGD102" s="83"/>
      <c r="KGE102" s="83"/>
      <c r="KGF102" s="83"/>
      <c r="KGG102" s="83"/>
      <c r="KGH102" s="83"/>
      <c r="KGI102" s="83"/>
      <c r="KGJ102" s="83"/>
      <c r="KGK102" s="83"/>
      <c r="KGL102" s="83"/>
      <c r="KGM102" s="83"/>
      <c r="KGN102" s="83"/>
      <c r="KGO102" s="83"/>
      <c r="KGP102" s="83"/>
      <c r="KGQ102" s="83"/>
      <c r="KGR102" s="83"/>
      <c r="KGS102" s="83"/>
      <c r="KGT102" s="83"/>
      <c r="KGU102" s="83"/>
      <c r="KGV102" s="83"/>
      <c r="KGW102" s="83"/>
      <c r="KGX102" s="83"/>
      <c r="KGY102" s="83"/>
      <c r="KGZ102" s="83"/>
      <c r="KHA102" s="83"/>
      <c r="KHB102" s="83"/>
      <c r="KHC102" s="83"/>
      <c r="KHD102" s="83"/>
      <c r="KHE102" s="83"/>
      <c r="KHF102" s="83"/>
      <c r="KHG102" s="83"/>
      <c r="KHH102" s="83"/>
      <c r="KHI102" s="83"/>
      <c r="KHJ102" s="83"/>
      <c r="KHK102" s="83"/>
      <c r="KHL102" s="83"/>
      <c r="KHM102" s="83"/>
      <c r="KHN102" s="83"/>
      <c r="KHO102" s="83"/>
      <c r="KHP102" s="83"/>
      <c r="KHQ102" s="83"/>
      <c r="KHR102" s="83"/>
      <c r="KHS102" s="83"/>
      <c r="KHT102" s="83"/>
      <c r="KHU102" s="83"/>
      <c r="KHV102" s="83"/>
      <c r="KHW102" s="83"/>
      <c r="KHX102" s="83"/>
      <c r="KHY102" s="83"/>
      <c r="KHZ102" s="83"/>
      <c r="KIA102" s="83"/>
      <c r="KIB102" s="83"/>
      <c r="KIC102" s="83"/>
      <c r="KID102" s="83"/>
      <c r="KIE102" s="83"/>
      <c r="KIF102" s="83"/>
      <c r="KIG102" s="83"/>
      <c r="KIH102" s="83"/>
      <c r="KII102" s="83"/>
      <c r="KIJ102" s="83"/>
      <c r="KIK102" s="83"/>
      <c r="KIL102" s="83"/>
      <c r="KIM102" s="83"/>
      <c r="KIN102" s="83"/>
      <c r="KIO102" s="83"/>
      <c r="KIP102" s="83"/>
      <c r="KIQ102" s="83"/>
      <c r="KIR102" s="83"/>
      <c r="KIS102" s="83"/>
      <c r="KIT102" s="83"/>
      <c r="KIU102" s="83"/>
      <c r="KIV102" s="83"/>
      <c r="KIW102" s="83"/>
      <c r="KIX102" s="83"/>
      <c r="KIY102" s="83"/>
      <c r="KIZ102" s="83"/>
      <c r="KJA102" s="83"/>
      <c r="KJB102" s="83"/>
      <c r="KJC102" s="83"/>
      <c r="KJD102" s="83"/>
      <c r="KJE102" s="83"/>
      <c r="KJF102" s="83"/>
      <c r="KJG102" s="83"/>
      <c r="KJH102" s="83"/>
      <c r="KJI102" s="83"/>
      <c r="KJJ102" s="83"/>
      <c r="KJK102" s="83"/>
      <c r="KJL102" s="83"/>
      <c r="KJM102" s="83"/>
      <c r="KJN102" s="83"/>
      <c r="KJO102" s="83"/>
      <c r="KJP102" s="83"/>
      <c r="KJQ102" s="83"/>
      <c r="KJR102" s="83"/>
      <c r="KJS102" s="83"/>
      <c r="KJT102" s="83"/>
      <c r="KJU102" s="83"/>
      <c r="KJV102" s="83"/>
      <c r="KJW102" s="83"/>
      <c r="KJX102" s="83"/>
      <c r="KJY102" s="83"/>
      <c r="KJZ102" s="83"/>
      <c r="KKA102" s="83"/>
      <c r="KKB102" s="83"/>
      <c r="KKC102" s="83"/>
      <c r="KKD102" s="83"/>
      <c r="KKE102" s="83"/>
      <c r="KKF102" s="83"/>
      <c r="KKG102" s="83"/>
      <c r="KKH102" s="83"/>
      <c r="KKI102" s="83"/>
      <c r="KKJ102" s="83"/>
      <c r="KKK102" s="83"/>
      <c r="KKL102" s="83"/>
      <c r="KKM102" s="83"/>
      <c r="KKN102" s="83"/>
      <c r="KKO102" s="83"/>
      <c r="KKP102" s="83"/>
      <c r="KKQ102" s="83"/>
      <c r="KKR102" s="83"/>
      <c r="KKS102" s="83"/>
      <c r="KKT102" s="83"/>
      <c r="KKU102" s="83"/>
      <c r="KKV102" s="83"/>
      <c r="KKW102" s="83"/>
      <c r="KKX102" s="83"/>
      <c r="KKY102" s="83"/>
      <c r="KKZ102" s="83"/>
      <c r="KLA102" s="83"/>
      <c r="KLB102" s="83"/>
      <c r="KLC102" s="83"/>
      <c r="KLD102" s="83"/>
      <c r="KLE102" s="83"/>
      <c r="KLF102" s="83"/>
      <c r="KLG102" s="83"/>
      <c r="KLH102" s="83"/>
      <c r="KLI102" s="83"/>
      <c r="KLJ102" s="83"/>
      <c r="KLK102" s="83"/>
      <c r="KLL102" s="83"/>
      <c r="KLM102" s="83"/>
      <c r="KLN102" s="83"/>
      <c r="KLO102" s="83"/>
      <c r="KLP102" s="83"/>
      <c r="KLQ102" s="83"/>
      <c r="KLR102" s="83"/>
      <c r="KLS102" s="83"/>
      <c r="KLT102" s="83"/>
      <c r="KLU102" s="83"/>
      <c r="KLV102" s="83"/>
      <c r="KLW102" s="83"/>
      <c r="KLX102" s="83"/>
      <c r="KLY102" s="83"/>
      <c r="KLZ102" s="83"/>
      <c r="KMA102" s="83"/>
      <c r="KMB102" s="83"/>
      <c r="KMC102" s="83"/>
      <c r="KMD102" s="83"/>
      <c r="KME102" s="83"/>
      <c r="KMF102" s="83"/>
      <c r="KMG102" s="83"/>
      <c r="KMH102" s="83"/>
      <c r="KMI102" s="83"/>
      <c r="KMJ102" s="83"/>
      <c r="KMK102" s="83"/>
      <c r="KML102" s="83"/>
      <c r="KMM102" s="83"/>
      <c r="KMN102" s="83"/>
      <c r="KMO102" s="83"/>
      <c r="KMP102" s="83"/>
      <c r="KMQ102" s="83"/>
      <c r="KMR102" s="83"/>
      <c r="KMS102" s="83"/>
      <c r="KMT102" s="83"/>
      <c r="KMU102" s="83"/>
      <c r="KMV102" s="83"/>
      <c r="KMW102" s="83"/>
      <c r="KMX102" s="83"/>
      <c r="KMY102" s="83"/>
      <c r="KMZ102" s="83"/>
      <c r="KNA102" s="83"/>
      <c r="KNB102" s="83"/>
      <c r="KNC102" s="83"/>
      <c r="KND102" s="83"/>
      <c r="KNE102" s="83"/>
      <c r="KNF102" s="83"/>
      <c r="KNG102" s="83"/>
      <c r="KNH102" s="83"/>
      <c r="KNI102" s="83"/>
      <c r="KNJ102" s="83"/>
      <c r="KNK102" s="83"/>
      <c r="KNL102" s="83"/>
      <c r="KNM102" s="83"/>
      <c r="KNN102" s="83"/>
      <c r="KNO102" s="83"/>
      <c r="KNP102" s="83"/>
      <c r="KNQ102" s="83"/>
      <c r="KNR102" s="83"/>
      <c r="KNS102" s="83"/>
      <c r="KNT102" s="83"/>
      <c r="KNU102" s="83"/>
      <c r="KNV102" s="83"/>
      <c r="KNW102" s="83"/>
      <c r="KNX102" s="83"/>
      <c r="KNY102" s="83"/>
      <c r="KNZ102" s="83"/>
      <c r="KOA102" s="83"/>
      <c r="KOB102" s="83"/>
      <c r="KOC102" s="83"/>
      <c r="KOD102" s="83"/>
      <c r="KOE102" s="83"/>
      <c r="KOF102" s="83"/>
      <c r="KOG102" s="83"/>
      <c r="KOH102" s="83"/>
      <c r="KOI102" s="83"/>
      <c r="KOJ102" s="83"/>
      <c r="KOK102" s="83"/>
      <c r="KOL102" s="83"/>
      <c r="KOM102" s="83"/>
      <c r="KON102" s="83"/>
      <c r="KOO102" s="83"/>
      <c r="KOP102" s="83"/>
      <c r="KOQ102" s="83"/>
      <c r="KOR102" s="83"/>
      <c r="KOS102" s="83"/>
      <c r="KOT102" s="83"/>
      <c r="KOU102" s="83"/>
      <c r="KOV102" s="83"/>
      <c r="KOW102" s="83"/>
      <c r="KOX102" s="83"/>
      <c r="KOY102" s="83"/>
      <c r="KOZ102" s="83"/>
      <c r="KPA102" s="83"/>
      <c r="KPB102" s="83"/>
      <c r="KPC102" s="83"/>
      <c r="KPD102" s="83"/>
      <c r="KPE102" s="83"/>
      <c r="KPF102" s="83"/>
      <c r="KPG102" s="83"/>
      <c r="KPH102" s="83"/>
      <c r="KPI102" s="83"/>
      <c r="KPJ102" s="83"/>
      <c r="KPK102" s="83"/>
      <c r="KPL102" s="83"/>
      <c r="KPM102" s="83"/>
      <c r="KPN102" s="83"/>
      <c r="KPO102" s="83"/>
      <c r="KPP102" s="83"/>
      <c r="KPQ102" s="83"/>
      <c r="KPR102" s="83"/>
      <c r="KPS102" s="83"/>
      <c r="KPT102" s="83"/>
      <c r="KPU102" s="83"/>
      <c r="KPV102" s="83"/>
      <c r="KPW102" s="83"/>
      <c r="KPX102" s="83"/>
      <c r="KPY102" s="83"/>
      <c r="KPZ102" s="83"/>
      <c r="KQA102" s="83"/>
      <c r="KQB102" s="83"/>
      <c r="KQC102" s="83"/>
      <c r="KQD102" s="83"/>
      <c r="KQE102" s="83"/>
      <c r="KQF102" s="83"/>
      <c r="KQG102" s="83"/>
      <c r="KQH102" s="83"/>
      <c r="KQI102" s="83"/>
      <c r="KQJ102" s="83"/>
      <c r="KQK102" s="83"/>
      <c r="KQL102" s="83"/>
      <c r="KQM102" s="83"/>
      <c r="KQN102" s="83"/>
      <c r="KQO102" s="83"/>
      <c r="KQP102" s="83"/>
      <c r="KQQ102" s="83"/>
      <c r="KQR102" s="83"/>
      <c r="KQS102" s="83"/>
      <c r="KQT102" s="83"/>
      <c r="KQU102" s="83"/>
      <c r="KQV102" s="83"/>
      <c r="KQW102" s="83"/>
      <c r="KQX102" s="83"/>
      <c r="KQY102" s="83"/>
      <c r="KQZ102" s="83"/>
      <c r="KRA102" s="83"/>
      <c r="KRB102" s="83"/>
      <c r="KRC102" s="83"/>
      <c r="KRD102" s="83"/>
      <c r="KRE102" s="83"/>
      <c r="KRF102" s="83"/>
      <c r="KRG102" s="83"/>
      <c r="KRH102" s="83"/>
      <c r="KRI102" s="83"/>
      <c r="KRJ102" s="83"/>
      <c r="KRK102" s="83"/>
      <c r="KRL102" s="83"/>
      <c r="KRM102" s="83"/>
      <c r="KRN102" s="83"/>
      <c r="KRO102" s="83"/>
      <c r="KRP102" s="83"/>
      <c r="KRQ102" s="83"/>
      <c r="KRR102" s="83"/>
      <c r="KRS102" s="83"/>
      <c r="KRT102" s="83"/>
      <c r="KRU102" s="83"/>
      <c r="KRV102" s="83"/>
      <c r="KRW102" s="83"/>
      <c r="KRX102" s="83"/>
      <c r="KRY102" s="83"/>
      <c r="KRZ102" s="83"/>
      <c r="KSA102" s="83"/>
      <c r="KSB102" s="83"/>
      <c r="KSC102" s="83"/>
      <c r="KSD102" s="83"/>
      <c r="KSE102" s="83"/>
      <c r="KSF102" s="83"/>
      <c r="KSG102" s="83"/>
      <c r="KSH102" s="83"/>
      <c r="KSI102" s="83"/>
      <c r="KSJ102" s="83"/>
      <c r="KSK102" s="83"/>
      <c r="KSL102" s="83"/>
      <c r="KSM102" s="83"/>
      <c r="KSN102" s="83"/>
      <c r="KSO102" s="83"/>
      <c r="KSP102" s="83"/>
      <c r="KSQ102" s="83"/>
      <c r="KSR102" s="83"/>
      <c r="KSS102" s="83"/>
      <c r="KST102" s="83"/>
      <c r="KSU102" s="83"/>
      <c r="KSV102" s="83"/>
      <c r="KSW102" s="83"/>
      <c r="KSX102" s="83"/>
      <c r="KSY102" s="83"/>
      <c r="KSZ102" s="83"/>
      <c r="KTA102" s="83"/>
      <c r="KTB102" s="83"/>
      <c r="KTC102" s="83"/>
      <c r="KTD102" s="83"/>
      <c r="KTE102" s="83"/>
      <c r="KTF102" s="83"/>
      <c r="KTG102" s="83"/>
      <c r="KTH102" s="83"/>
      <c r="KTI102" s="83"/>
      <c r="KTJ102" s="83"/>
      <c r="KTK102" s="83"/>
      <c r="KTL102" s="83"/>
      <c r="KTM102" s="83"/>
      <c r="KTN102" s="83"/>
      <c r="KTO102" s="83"/>
      <c r="KTP102" s="83"/>
      <c r="KTQ102" s="83"/>
      <c r="KTR102" s="83"/>
      <c r="KTS102" s="83"/>
      <c r="KTT102" s="83"/>
      <c r="KTU102" s="83"/>
      <c r="KTV102" s="83"/>
      <c r="KTW102" s="83"/>
      <c r="KTX102" s="83"/>
      <c r="KTY102" s="83"/>
      <c r="KTZ102" s="83"/>
      <c r="KUA102" s="83"/>
      <c r="KUB102" s="83"/>
      <c r="KUC102" s="83"/>
      <c r="KUD102" s="83"/>
      <c r="KUE102" s="83"/>
      <c r="KUF102" s="83"/>
      <c r="KUG102" s="83"/>
      <c r="KUH102" s="83"/>
      <c r="KUI102" s="83"/>
      <c r="KUJ102" s="83"/>
      <c r="KUK102" s="83"/>
      <c r="KUL102" s="83"/>
      <c r="KUM102" s="83"/>
      <c r="KUN102" s="83"/>
      <c r="KUO102" s="83"/>
      <c r="KUP102" s="83"/>
      <c r="KUQ102" s="83"/>
      <c r="KUR102" s="83"/>
      <c r="KUS102" s="83"/>
      <c r="KUT102" s="83"/>
      <c r="KUU102" s="83"/>
      <c r="KUV102" s="83"/>
      <c r="KUW102" s="83"/>
      <c r="KUX102" s="83"/>
      <c r="KUY102" s="83"/>
      <c r="KUZ102" s="83"/>
      <c r="KVA102" s="83"/>
      <c r="KVB102" s="83"/>
      <c r="KVC102" s="83"/>
      <c r="KVD102" s="83"/>
      <c r="KVE102" s="83"/>
      <c r="KVF102" s="83"/>
      <c r="KVG102" s="83"/>
      <c r="KVH102" s="83"/>
      <c r="KVI102" s="83"/>
      <c r="KVJ102" s="83"/>
      <c r="KVK102" s="83"/>
      <c r="KVL102" s="83"/>
      <c r="KVM102" s="83"/>
      <c r="KVN102" s="83"/>
      <c r="KVO102" s="83"/>
      <c r="KVP102" s="83"/>
      <c r="KVQ102" s="83"/>
      <c r="KVR102" s="83"/>
      <c r="KVS102" s="83"/>
      <c r="KVT102" s="83"/>
      <c r="KVU102" s="83"/>
      <c r="KVV102" s="83"/>
      <c r="KVW102" s="83"/>
      <c r="KVX102" s="83"/>
      <c r="KVY102" s="83"/>
      <c r="KVZ102" s="83"/>
      <c r="KWA102" s="83"/>
      <c r="KWB102" s="83"/>
      <c r="KWC102" s="83"/>
      <c r="KWD102" s="83"/>
      <c r="KWE102" s="83"/>
      <c r="KWF102" s="83"/>
      <c r="KWG102" s="83"/>
      <c r="KWH102" s="83"/>
      <c r="KWI102" s="83"/>
      <c r="KWJ102" s="83"/>
      <c r="KWK102" s="83"/>
      <c r="KWL102" s="83"/>
      <c r="KWM102" s="83"/>
      <c r="KWN102" s="83"/>
      <c r="KWO102" s="83"/>
      <c r="KWP102" s="83"/>
      <c r="KWQ102" s="83"/>
      <c r="KWR102" s="83"/>
      <c r="KWS102" s="83"/>
      <c r="KWT102" s="83"/>
      <c r="KWU102" s="83"/>
      <c r="KWV102" s="83"/>
      <c r="KWW102" s="83"/>
      <c r="KWX102" s="83"/>
      <c r="KWY102" s="83"/>
      <c r="KWZ102" s="83"/>
      <c r="KXA102" s="83"/>
      <c r="KXB102" s="83"/>
      <c r="KXC102" s="83"/>
      <c r="KXD102" s="83"/>
      <c r="KXE102" s="83"/>
      <c r="KXF102" s="83"/>
      <c r="KXG102" s="83"/>
      <c r="KXH102" s="83"/>
      <c r="KXI102" s="83"/>
      <c r="KXJ102" s="83"/>
      <c r="KXK102" s="83"/>
      <c r="KXL102" s="83"/>
      <c r="KXM102" s="83"/>
      <c r="KXN102" s="83"/>
      <c r="KXO102" s="83"/>
      <c r="KXP102" s="83"/>
      <c r="KXQ102" s="83"/>
      <c r="KXR102" s="83"/>
      <c r="KXS102" s="83"/>
      <c r="KXT102" s="83"/>
      <c r="KXU102" s="83"/>
      <c r="KXV102" s="83"/>
      <c r="KXW102" s="83"/>
      <c r="KXX102" s="83"/>
      <c r="KXY102" s="83"/>
      <c r="KXZ102" s="83"/>
      <c r="KYA102" s="83"/>
      <c r="KYB102" s="83"/>
      <c r="KYC102" s="83"/>
      <c r="KYD102" s="83"/>
      <c r="KYE102" s="83"/>
      <c r="KYF102" s="83"/>
      <c r="KYG102" s="83"/>
      <c r="KYH102" s="83"/>
      <c r="KYI102" s="83"/>
      <c r="KYJ102" s="83"/>
      <c r="KYK102" s="83"/>
      <c r="KYL102" s="83"/>
      <c r="KYM102" s="83"/>
      <c r="KYN102" s="83"/>
      <c r="KYO102" s="83"/>
      <c r="KYP102" s="83"/>
      <c r="KYQ102" s="83"/>
      <c r="KYR102" s="83"/>
      <c r="KYS102" s="83"/>
      <c r="KYT102" s="83"/>
      <c r="KYU102" s="83"/>
      <c r="KYV102" s="83"/>
      <c r="KYW102" s="83"/>
      <c r="KYX102" s="83"/>
      <c r="KYY102" s="83"/>
      <c r="KYZ102" s="83"/>
      <c r="KZA102" s="83"/>
      <c r="KZB102" s="83"/>
      <c r="KZC102" s="83"/>
      <c r="KZD102" s="83"/>
      <c r="KZE102" s="83"/>
      <c r="KZF102" s="83"/>
      <c r="KZG102" s="83"/>
      <c r="KZH102" s="83"/>
      <c r="KZI102" s="83"/>
      <c r="KZJ102" s="83"/>
      <c r="KZK102" s="83"/>
      <c r="KZL102" s="83"/>
      <c r="KZM102" s="83"/>
      <c r="KZN102" s="83"/>
      <c r="KZO102" s="83"/>
      <c r="KZP102" s="83"/>
      <c r="KZQ102" s="83"/>
      <c r="KZR102" s="83"/>
      <c r="KZS102" s="83"/>
      <c r="KZT102" s="83"/>
      <c r="KZU102" s="83"/>
      <c r="KZV102" s="83"/>
      <c r="KZW102" s="83"/>
      <c r="KZX102" s="83"/>
      <c r="KZY102" s="83"/>
      <c r="KZZ102" s="83"/>
      <c r="LAA102" s="83"/>
      <c r="LAB102" s="83"/>
      <c r="LAC102" s="83"/>
      <c r="LAD102" s="83"/>
      <c r="LAE102" s="83"/>
      <c r="LAF102" s="83"/>
      <c r="LAG102" s="83"/>
      <c r="LAH102" s="83"/>
      <c r="LAI102" s="83"/>
      <c r="LAJ102" s="83"/>
      <c r="LAK102" s="83"/>
      <c r="LAL102" s="83"/>
      <c r="LAM102" s="83"/>
      <c r="LAN102" s="83"/>
      <c r="LAO102" s="83"/>
      <c r="LAP102" s="83"/>
      <c r="LAQ102" s="83"/>
      <c r="LAR102" s="83"/>
      <c r="LAS102" s="83"/>
      <c r="LAT102" s="83"/>
      <c r="LAU102" s="83"/>
      <c r="LAV102" s="83"/>
      <c r="LAW102" s="83"/>
      <c r="LAX102" s="83"/>
      <c r="LAY102" s="83"/>
      <c r="LAZ102" s="83"/>
      <c r="LBA102" s="83"/>
      <c r="LBB102" s="83"/>
      <c r="LBC102" s="83"/>
      <c r="LBD102" s="83"/>
      <c r="LBE102" s="83"/>
      <c r="LBF102" s="83"/>
      <c r="LBG102" s="83"/>
      <c r="LBH102" s="83"/>
      <c r="LBI102" s="83"/>
      <c r="LBJ102" s="83"/>
      <c r="LBK102" s="83"/>
      <c r="LBL102" s="83"/>
      <c r="LBM102" s="83"/>
      <c r="LBN102" s="83"/>
      <c r="LBO102" s="83"/>
      <c r="LBP102" s="83"/>
      <c r="LBQ102" s="83"/>
      <c r="LBR102" s="83"/>
      <c r="LBS102" s="83"/>
      <c r="LBT102" s="83"/>
      <c r="LBU102" s="83"/>
      <c r="LBV102" s="83"/>
      <c r="LBW102" s="83"/>
      <c r="LBX102" s="83"/>
      <c r="LBY102" s="83"/>
      <c r="LBZ102" s="83"/>
      <c r="LCA102" s="83"/>
      <c r="LCB102" s="83"/>
      <c r="LCC102" s="83"/>
      <c r="LCD102" s="83"/>
      <c r="LCE102" s="83"/>
      <c r="LCF102" s="83"/>
      <c r="LCG102" s="83"/>
      <c r="LCH102" s="83"/>
      <c r="LCI102" s="83"/>
      <c r="LCJ102" s="83"/>
      <c r="LCK102" s="83"/>
      <c r="LCL102" s="83"/>
      <c r="LCM102" s="83"/>
      <c r="LCN102" s="83"/>
      <c r="LCO102" s="83"/>
      <c r="LCP102" s="83"/>
      <c r="LCQ102" s="83"/>
      <c r="LCR102" s="83"/>
      <c r="LCS102" s="83"/>
      <c r="LCT102" s="83"/>
      <c r="LCU102" s="83"/>
      <c r="LCV102" s="83"/>
      <c r="LCW102" s="83"/>
      <c r="LCX102" s="83"/>
      <c r="LCY102" s="83"/>
      <c r="LCZ102" s="83"/>
      <c r="LDA102" s="83"/>
      <c r="LDB102" s="83"/>
      <c r="LDC102" s="83"/>
      <c r="LDD102" s="83"/>
      <c r="LDE102" s="83"/>
      <c r="LDF102" s="83"/>
      <c r="LDG102" s="83"/>
      <c r="LDH102" s="83"/>
      <c r="LDI102" s="83"/>
      <c r="LDJ102" s="83"/>
      <c r="LDK102" s="83"/>
      <c r="LDL102" s="83"/>
      <c r="LDM102" s="83"/>
      <c r="LDN102" s="83"/>
      <c r="LDO102" s="83"/>
      <c r="LDP102" s="83"/>
      <c r="LDQ102" s="83"/>
      <c r="LDR102" s="83"/>
      <c r="LDS102" s="83"/>
      <c r="LDT102" s="83"/>
      <c r="LDU102" s="83"/>
      <c r="LDV102" s="83"/>
      <c r="LDW102" s="83"/>
      <c r="LDX102" s="83"/>
      <c r="LDY102" s="83"/>
      <c r="LDZ102" s="83"/>
      <c r="LEA102" s="83"/>
      <c r="LEB102" s="83"/>
      <c r="LEC102" s="83"/>
      <c r="LED102" s="83"/>
      <c r="LEE102" s="83"/>
      <c r="LEF102" s="83"/>
      <c r="LEG102" s="83"/>
      <c r="LEH102" s="83"/>
      <c r="LEI102" s="83"/>
      <c r="LEJ102" s="83"/>
      <c r="LEK102" s="83"/>
      <c r="LEL102" s="83"/>
      <c r="LEM102" s="83"/>
      <c r="LEN102" s="83"/>
      <c r="LEO102" s="83"/>
      <c r="LEP102" s="83"/>
      <c r="LEQ102" s="83"/>
      <c r="LER102" s="83"/>
      <c r="LES102" s="83"/>
      <c r="LET102" s="83"/>
      <c r="LEU102" s="83"/>
      <c r="LEV102" s="83"/>
      <c r="LEW102" s="83"/>
      <c r="LEX102" s="83"/>
      <c r="LEY102" s="83"/>
      <c r="LEZ102" s="83"/>
      <c r="LFA102" s="83"/>
      <c r="LFB102" s="83"/>
      <c r="LFC102" s="83"/>
      <c r="LFD102" s="83"/>
      <c r="LFE102" s="83"/>
      <c r="LFF102" s="83"/>
      <c r="LFG102" s="83"/>
      <c r="LFH102" s="83"/>
      <c r="LFI102" s="83"/>
      <c r="LFJ102" s="83"/>
      <c r="LFK102" s="83"/>
      <c r="LFL102" s="83"/>
      <c r="LFM102" s="83"/>
      <c r="LFN102" s="83"/>
      <c r="LFO102" s="83"/>
      <c r="LFP102" s="83"/>
      <c r="LFQ102" s="83"/>
      <c r="LFR102" s="83"/>
      <c r="LFS102" s="83"/>
      <c r="LFT102" s="83"/>
      <c r="LFU102" s="83"/>
      <c r="LFV102" s="83"/>
      <c r="LFW102" s="83"/>
      <c r="LFX102" s="83"/>
      <c r="LFY102" s="83"/>
      <c r="LFZ102" s="83"/>
      <c r="LGA102" s="83"/>
      <c r="LGB102" s="83"/>
      <c r="LGC102" s="83"/>
      <c r="LGD102" s="83"/>
      <c r="LGE102" s="83"/>
      <c r="LGF102" s="83"/>
      <c r="LGG102" s="83"/>
      <c r="LGH102" s="83"/>
      <c r="LGI102" s="83"/>
      <c r="LGJ102" s="83"/>
      <c r="LGK102" s="83"/>
      <c r="LGL102" s="83"/>
      <c r="LGM102" s="83"/>
      <c r="LGN102" s="83"/>
      <c r="LGO102" s="83"/>
      <c r="LGP102" s="83"/>
      <c r="LGQ102" s="83"/>
      <c r="LGR102" s="83"/>
      <c r="LGS102" s="83"/>
      <c r="LGT102" s="83"/>
      <c r="LGU102" s="83"/>
      <c r="LGV102" s="83"/>
      <c r="LGW102" s="83"/>
      <c r="LGX102" s="83"/>
      <c r="LGY102" s="83"/>
      <c r="LGZ102" s="83"/>
      <c r="LHA102" s="83"/>
      <c r="LHB102" s="83"/>
      <c r="LHC102" s="83"/>
      <c r="LHD102" s="83"/>
      <c r="LHE102" s="83"/>
      <c r="LHF102" s="83"/>
      <c r="LHG102" s="83"/>
      <c r="LHH102" s="83"/>
      <c r="LHI102" s="83"/>
      <c r="LHJ102" s="83"/>
      <c r="LHK102" s="83"/>
      <c r="LHL102" s="83"/>
      <c r="LHM102" s="83"/>
      <c r="LHN102" s="83"/>
      <c r="LHO102" s="83"/>
      <c r="LHP102" s="83"/>
      <c r="LHQ102" s="83"/>
      <c r="LHR102" s="83"/>
      <c r="LHS102" s="83"/>
      <c r="LHT102" s="83"/>
      <c r="LHU102" s="83"/>
      <c r="LHV102" s="83"/>
      <c r="LHW102" s="83"/>
      <c r="LHX102" s="83"/>
      <c r="LHY102" s="83"/>
      <c r="LHZ102" s="83"/>
      <c r="LIA102" s="83"/>
      <c r="LIB102" s="83"/>
      <c r="LIC102" s="83"/>
      <c r="LID102" s="83"/>
      <c r="LIE102" s="83"/>
      <c r="LIF102" s="83"/>
      <c r="LIG102" s="83"/>
      <c r="LIH102" s="83"/>
      <c r="LII102" s="83"/>
      <c r="LIJ102" s="83"/>
      <c r="LIK102" s="83"/>
      <c r="LIL102" s="83"/>
      <c r="LIM102" s="83"/>
      <c r="LIN102" s="83"/>
      <c r="LIO102" s="83"/>
      <c r="LIP102" s="83"/>
      <c r="LIQ102" s="83"/>
      <c r="LIR102" s="83"/>
      <c r="LIS102" s="83"/>
      <c r="LIT102" s="83"/>
      <c r="LIU102" s="83"/>
      <c r="LIV102" s="83"/>
      <c r="LIW102" s="83"/>
      <c r="LIX102" s="83"/>
      <c r="LIY102" s="83"/>
      <c r="LIZ102" s="83"/>
      <c r="LJA102" s="83"/>
      <c r="LJB102" s="83"/>
      <c r="LJC102" s="83"/>
      <c r="LJD102" s="83"/>
      <c r="LJE102" s="83"/>
      <c r="LJF102" s="83"/>
      <c r="LJG102" s="83"/>
      <c r="LJH102" s="83"/>
      <c r="LJI102" s="83"/>
      <c r="LJJ102" s="83"/>
      <c r="LJK102" s="83"/>
      <c r="LJL102" s="83"/>
      <c r="LJM102" s="83"/>
      <c r="LJN102" s="83"/>
      <c r="LJO102" s="83"/>
      <c r="LJP102" s="83"/>
      <c r="LJQ102" s="83"/>
      <c r="LJR102" s="83"/>
      <c r="LJS102" s="83"/>
      <c r="LJT102" s="83"/>
      <c r="LJU102" s="83"/>
      <c r="LJV102" s="83"/>
      <c r="LJW102" s="83"/>
      <c r="LJX102" s="83"/>
      <c r="LJY102" s="83"/>
      <c r="LJZ102" s="83"/>
      <c r="LKA102" s="83"/>
      <c r="LKB102" s="83"/>
      <c r="LKC102" s="83"/>
      <c r="LKD102" s="83"/>
      <c r="LKE102" s="83"/>
      <c r="LKF102" s="83"/>
      <c r="LKG102" s="83"/>
      <c r="LKH102" s="83"/>
      <c r="LKI102" s="83"/>
      <c r="LKJ102" s="83"/>
      <c r="LKK102" s="83"/>
      <c r="LKL102" s="83"/>
      <c r="LKM102" s="83"/>
      <c r="LKN102" s="83"/>
      <c r="LKO102" s="83"/>
      <c r="LKP102" s="83"/>
      <c r="LKQ102" s="83"/>
      <c r="LKR102" s="83"/>
      <c r="LKS102" s="83"/>
      <c r="LKT102" s="83"/>
      <c r="LKU102" s="83"/>
      <c r="LKV102" s="83"/>
      <c r="LKW102" s="83"/>
      <c r="LKX102" s="83"/>
      <c r="LKY102" s="83"/>
      <c r="LKZ102" s="83"/>
      <c r="LLA102" s="83"/>
      <c r="LLB102" s="83"/>
      <c r="LLC102" s="83"/>
      <c r="LLD102" s="83"/>
      <c r="LLE102" s="83"/>
      <c r="LLF102" s="83"/>
      <c r="LLG102" s="83"/>
      <c r="LLH102" s="83"/>
      <c r="LLI102" s="83"/>
      <c r="LLJ102" s="83"/>
      <c r="LLK102" s="83"/>
      <c r="LLL102" s="83"/>
      <c r="LLM102" s="83"/>
      <c r="LLN102" s="83"/>
      <c r="LLO102" s="83"/>
      <c r="LLP102" s="83"/>
      <c r="LLQ102" s="83"/>
      <c r="LLR102" s="83"/>
      <c r="LLS102" s="83"/>
      <c r="LLT102" s="83"/>
      <c r="LLU102" s="83"/>
      <c r="LLV102" s="83"/>
      <c r="LLW102" s="83"/>
      <c r="LLX102" s="83"/>
      <c r="LLY102" s="83"/>
      <c r="LLZ102" s="83"/>
      <c r="LMA102" s="83"/>
      <c r="LMB102" s="83"/>
      <c r="LMC102" s="83"/>
      <c r="LMD102" s="83"/>
      <c r="LME102" s="83"/>
      <c r="LMF102" s="83"/>
      <c r="LMG102" s="83"/>
      <c r="LMH102" s="83"/>
      <c r="LMI102" s="83"/>
      <c r="LMJ102" s="83"/>
      <c r="LMK102" s="83"/>
      <c r="LML102" s="83"/>
      <c r="LMM102" s="83"/>
      <c r="LMN102" s="83"/>
      <c r="LMO102" s="83"/>
      <c r="LMP102" s="83"/>
      <c r="LMQ102" s="83"/>
      <c r="LMR102" s="83"/>
      <c r="LMS102" s="83"/>
      <c r="LMT102" s="83"/>
      <c r="LMU102" s="83"/>
      <c r="LMV102" s="83"/>
      <c r="LMW102" s="83"/>
      <c r="LMX102" s="83"/>
      <c r="LMY102" s="83"/>
      <c r="LMZ102" s="83"/>
      <c r="LNA102" s="83"/>
      <c r="LNB102" s="83"/>
      <c r="LNC102" s="83"/>
      <c r="LND102" s="83"/>
      <c r="LNE102" s="83"/>
      <c r="LNF102" s="83"/>
      <c r="LNG102" s="83"/>
      <c r="LNH102" s="83"/>
      <c r="LNI102" s="83"/>
      <c r="LNJ102" s="83"/>
      <c r="LNK102" s="83"/>
      <c r="LNL102" s="83"/>
      <c r="LNM102" s="83"/>
      <c r="LNN102" s="83"/>
      <c r="LNO102" s="83"/>
      <c r="LNP102" s="83"/>
      <c r="LNQ102" s="83"/>
      <c r="LNR102" s="83"/>
      <c r="LNS102" s="83"/>
      <c r="LNT102" s="83"/>
      <c r="LNU102" s="83"/>
      <c r="LNV102" s="83"/>
      <c r="LNW102" s="83"/>
      <c r="LNX102" s="83"/>
      <c r="LNY102" s="83"/>
      <c r="LNZ102" s="83"/>
      <c r="LOA102" s="83"/>
      <c r="LOB102" s="83"/>
      <c r="LOC102" s="83"/>
      <c r="LOD102" s="83"/>
      <c r="LOE102" s="83"/>
      <c r="LOF102" s="83"/>
      <c r="LOG102" s="83"/>
      <c r="LOH102" s="83"/>
      <c r="LOI102" s="83"/>
      <c r="LOJ102" s="83"/>
      <c r="LOK102" s="83"/>
      <c r="LOL102" s="83"/>
      <c r="LOM102" s="83"/>
      <c r="LON102" s="83"/>
      <c r="LOO102" s="83"/>
      <c r="LOP102" s="83"/>
      <c r="LOQ102" s="83"/>
      <c r="LOR102" s="83"/>
      <c r="LOS102" s="83"/>
      <c r="LOT102" s="83"/>
      <c r="LOU102" s="83"/>
      <c r="LOV102" s="83"/>
      <c r="LOW102" s="83"/>
      <c r="LOX102" s="83"/>
      <c r="LOY102" s="83"/>
      <c r="LOZ102" s="83"/>
      <c r="LPA102" s="83"/>
      <c r="LPB102" s="83"/>
      <c r="LPC102" s="83"/>
      <c r="LPD102" s="83"/>
      <c r="LPE102" s="83"/>
      <c r="LPF102" s="83"/>
      <c r="LPG102" s="83"/>
      <c r="LPH102" s="83"/>
      <c r="LPI102" s="83"/>
      <c r="LPJ102" s="83"/>
      <c r="LPK102" s="83"/>
      <c r="LPL102" s="83"/>
      <c r="LPM102" s="83"/>
      <c r="LPN102" s="83"/>
      <c r="LPO102" s="83"/>
      <c r="LPP102" s="83"/>
      <c r="LPQ102" s="83"/>
      <c r="LPR102" s="83"/>
      <c r="LPS102" s="83"/>
      <c r="LPT102" s="83"/>
      <c r="LPU102" s="83"/>
      <c r="LPV102" s="83"/>
      <c r="LPW102" s="83"/>
      <c r="LPX102" s="83"/>
      <c r="LPY102" s="83"/>
      <c r="LPZ102" s="83"/>
      <c r="LQA102" s="83"/>
      <c r="LQB102" s="83"/>
      <c r="LQC102" s="83"/>
      <c r="LQD102" s="83"/>
      <c r="LQE102" s="83"/>
      <c r="LQF102" s="83"/>
      <c r="LQG102" s="83"/>
      <c r="LQH102" s="83"/>
      <c r="LQI102" s="83"/>
      <c r="LQJ102" s="83"/>
      <c r="LQK102" s="83"/>
      <c r="LQL102" s="83"/>
      <c r="LQM102" s="83"/>
      <c r="LQN102" s="83"/>
      <c r="LQO102" s="83"/>
      <c r="LQP102" s="83"/>
      <c r="LQQ102" s="83"/>
      <c r="LQR102" s="83"/>
      <c r="LQS102" s="83"/>
      <c r="LQT102" s="83"/>
      <c r="LQU102" s="83"/>
      <c r="LQV102" s="83"/>
      <c r="LQW102" s="83"/>
      <c r="LQX102" s="83"/>
      <c r="LQY102" s="83"/>
      <c r="LQZ102" s="83"/>
      <c r="LRA102" s="83"/>
      <c r="LRB102" s="83"/>
      <c r="LRC102" s="83"/>
      <c r="LRD102" s="83"/>
      <c r="LRE102" s="83"/>
      <c r="LRF102" s="83"/>
      <c r="LRG102" s="83"/>
      <c r="LRH102" s="83"/>
      <c r="LRI102" s="83"/>
      <c r="LRJ102" s="83"/>
      <c r="LRK102" s="83"/>
      <c r="LRL102" s="83"/>
      <c r="LRM102" s="83"/>
      <c r="LRN102" s="83"/>
      <c r="LRO102" s="83"/>
      <c r="LRP102" s="83"/>
      <c r="LRQ102" s="83"/>
      <c r="LRR102" s="83"/>
      <c r="LRS102" s="83"/>
      <c r="LRT102" s="83"/>
      <c r="LRU102" s="83"/>
      <c r="LRV102" s="83"/>
      <c r="LRW102" s="83"/>
      <c r="LRX102" s="83"/>
      <c r="LRY102" s="83"/>
      <c r="LRZ102" s="83"/>
      <c r="LSA102" s="83"/>
      <c r="LSB102" s="83"/>
      <c r="LSC102" s="83"/>
      <c r="LSD102" s="83"/>
      <c r="LSE102" s="83"/>
      <c r="LSF102" s="83"/>
      <c r="LSG102" s="83"/>
      <c r="LSH102" s="83"/>
      <c r="LSI102" s="83"/>
      <c r="LSJ102" s="83"/>
      <c r="LSK102" s="83"/>
      <c r="LSL102" s="83"/>
      <c r="LSM102" s="83"/>
      <c r="LSN102" s="83"/>
      <c r="LSO102" s="83"/>
      <c r="LSP102" s="83"/>
      <c r="LSQ102" s="83"/>
      <c r="LSR102" s="83"/>
      <c r="LSS102" s="83"/>
      <c r="LST102" s="83"/>
      <c r="LSU102" s="83"/>
      <c r="LSV102" s="83"/>
      <c r="LSW102" s="83"/>
      <c r="LSX102" s="83"/>
      <c r="LSY102" s="83"/>
      <c r="LSZ102" s="83"/>
      <c r="LTA102" s="83"/>
      <c r="LTB102" s="83"/>
      <c r="LTC102" s="83"/>
      <c r="LTD102" s="83"/>
      <c r="LTE102" s="83"/>
      <c r="LTF102" s="83"/>
      <c r="LTG102" s="83"/>
      <c r="LTH102" s="83"/>
      <c r="LTI102" s="83"/>
      <c r="LTJ102" s="83"/>
      <c r="LTK102" s="83"/>
      <c r="LTL102" s="83"/>
      <c r="LTM102" s="83"/>
      <c r="LTN102" s="83"/>
      <c r="LTO102" s="83"/>
      <c r="LTP102" s="83"/>
      <c r="LTQ102" s="83"/>
      <c r="LTR102" s="83"/>
      <c r="LTS102" s="83"/>
      <c r="LTT102" s="83"/>
      <c r="LTU102" s="83"/>
      <c r="LTV102" s="83"/>
      <c r="LTW102" s="83"/>
      <c r="LTX102" s="83"/>
      <c r="LTY102" s="83"/>
      <c r="LTZ102" s="83"/>
      <c r="LUA102" s="83"/>
      <c r="LUB102" s="83"/>
      <c r="LUC102" s="83"/>
      <c r="LUD102" s="83"/>
      <c r="LUE102" s="83"/>
      <c r="LUF102" s="83"/>
      <c r="LUG102" s="83"/>
      <c r="LUH102" s="83"/>
      <c r="LUI102" s="83"/>
      <c r="LUJ102" s="83"/>
      <c r="LUK102" s="83"/>
      <c r="LUL102" s="83"/>
      <c r="LUM102" s="83"/>
      <c r="LUN102" s="83"/>
      <c r="LUO102" s="83"/>
      <c r="LUP102" s="83"/>
      <c r="LUQ102" s="83"/>
      <c r="LUR102" s="83"/>
      <c r="LUS102" s="83"/>
      <c r="LUT102" s="83"/>
      <c r="LUU102" s="83"/>
      <c r="LUV102" s="83"/>
      <c r="LUW102" s="83"/>
      <c r="LUX102" s="83"/>
      <c r="LUY102" s="83"/>
      <c r="LUZ102" s="83"/>
      <c r="LVA102" s="83"/>
      <c r="LVB102" s="83"/>
      <c r="LVC102" s="83"/>
      <c r="LVD102" s="83"/>
      <c r="LVE102" s="83"/>
      <c r="LVF102" s="83"/>
      <c r="LVG102" s="83"/>
      <c r="LVH102" s="83"/>
      <c r="LVI102" s="83"/>
      <c r="LVJ102" s="83"/>
      <c r="LVK102" s="83"/>
      <c r="LVL102" s="83"/>
      <c r="LVM102" s="83"/>
      <c r="LVN102" s="83"/>
      <c r="LVO102" s="83"/>
      <c r="LVP102" s="83"/>
      <c r="LVQ102" s="83"/>
      <c r="LVR102" s="83"/>
      <c r="LVS102" s="83"/>
      <c r="LVT102" s="83"/>
      <c r="LVU102" s="83"/>
      <c r="LVV102" s="83"/>
      <c r="LVW102" s="83"/>
      <c r="LVX102" s="83"/>
      <c r="LVY102" s="83"/>
      <c r="LVZ102" s="83"/>
      <c r="LWA102" s="83"/>
      <c r="LWB102" s="83"/>
      <c r="LWC102" s="83"/>
      <c r="LWD102" s="83"/>
      <c r="LWE102" s="83"/>
      <c r="LWF102" s="83"/>
      <c r="LWG102" s="83"/>
      <c r="LWH102" s="83"/>
      <c r="LWI102" s="83"/>
      <c r="LWJ102" s="83"/>
      <c r="LWK102" s="83"/>
      <c r="LWL102" s="83"/>
      <c r="LWM102" s="83"/>
      <c r="LWN102" s="83"/>
      <c r="LWO102" s="83"/>
      <c r="LWP102" s="83"/>
      <c r="LWQ102" s="83"/>
      <c r="LWR102" s="83"/>
      <c r="LWS102" s="83"/>
      <c r="LWT102" s="83"/>
      <c r="LWU102" s="83"/>
      <c r="LWV102" s="83"/>
      <c r="LWW102" s="83"/>
      <c r="LWX102" s="83"/>
      <c r="LWY102" s="83"/>
      <c r="LWZ102" s="83"/>
      <c r="LXA102" s="83"/>
      <c r="LXB102" s="83"/>
      <c r="LXC102" s="83"/>
      <c r="LXD102" s="83"/>
      <c r="LXE102" s="83"/>
      <c r="LXF102" s="83"/>
      <c r="LXG102" s="83"/>
      <c r="LXH102" s="83"/>
      <c r="LXI102" s="83"/>
      <c r="LXJ102" s="83"/>
      <c r="LXK102" s="83"/>
      <c r="LXL102" s="83"/>
      <c r="LXM102" s="83"/>
      <c r="LXN102" s="83"/>
      <c r="LXO102" s="83"/>
      <c r="LXP102" s="83"/>
      <c r="LXQ102" s="83"/>
      <c r="LXR102" s="83"/>
      <c r="LXS102" s="83"/>
      <c r="LXT102" s="83"/>
      <c r="LXU102" s="83"/>
      <c r="LXV102" s="83"/>
      <c r="LXW102" s="83"/>
      <c r="LXX102" s="83"/>
      <c r="LXY102" s="83"/>
      <c r="LXZ102" s="83"/>
      <c r="LYA102" s="83"/>
      <c r="LYB102" s="83"/>
      <c r="LYC102" s="83"/>
      <c r="LYD102" s="83"/>
      <c r="LYE102" s="83"/>
      <c r="LYF102" s="83"/>
      <c r="LYG102" s="83"/>
      <c r="LYH102" s="83"/>
      <c r="LYI102" s="83"/>
      <c r="LYJ102" s="83"/>
      <c r="LYK102" s="83"/>
      <c r="LYL102" s="83"/>
      <c r="LYM102" s="83"/>
      <c r="LYN102" s="83"/>
      <c r="LYO102" s="83"/>
      <c r="LYP102" s="83"/>
      <c r="LYQ102" s="83"/>
      <c r="LYR102" s="83"/>
      <c r="LYS102" s="83"/>
      <c r="LYT102" s="83"/>
      <c r="LYU102" s="83"/>
      <c r="LYV102" s="83"/>
      <c r="LYW102" s="83"/>
      <c r="LYX102" s="83"/>
      <c r="LYY102" s="83"/>
      <c r="LYZ102" s="83"/>
      <c r="LZA102" s="83"/>
      <c r="LZB102" s="83"/>
      <c r="LZC102" s="83"/>
      <c r="LZD102" s="83"/>
      <c r="LZE102" s="83"/>
      <c r="LZF102" s="83"/>
      <c r="LZG102" s="83"/>
      <c r="LZH102" s="83"/>
      <c r="LZI102" s="83"/>
      <c r="LZJ102" s="83"/>
      <c r="LZK102" s="83"/>
      <c r="LZL102" s="83"/>
      <c r="LZM102" s="83"/>
      <c r="LZN102" s="83"/>
      <c r="LZO102" s="83"/>
      <c r="LZP102" s="83"/>
      <c r="LZQ102" s="83"/>
      <c r="LZR102" s="83"/>
      <c r="LZS102" s="83"/>
      <c r="LZT102" s="83"/>
      <c r="LZU102" s="83"/>
      <c r="LZV102" s="83"/>
      <c r="LZW102" s="83"/>
      <c r="LZX102" s="83"/>
      <c r="LZY102" s="83"/>
      <c r="LZZ102" s="83"/>
      <c r="MAA102" s="83"/>
      <c r="MAB102" s="83"/>
      <c r="MAC102" s="83"/>
      <c r="MAD102" s="83"/>
      <c r="MAE102" s="83"/>
      <c r="MAF102" s="83"/>
      <c r="MAG102" s="83"/>
      <c r="MAH102" s="83"/>
      <c r="MAI102" s="83"/>
      <c r="MAJ102" s="83"/>
      <c r="MAK102" s="83"/>
      <c r="MAL102" s="83"/>
      <c r="MAM102" s="83"/>
      <c r="MAN102" s="83"/>
      <c r="MAO102" s="83"/>
      <c r="MAP102" s="83"/>
      <c r="MAQ102" s="83"/>
      <c r="MAR102" s="83"/>
      <c r="MAS102" s="83"/>
      <c r="MAT102" s="83"/>
      <c r="MAU102" s="83"/>
      <c r="MAV102" s="83"/>
      <c r="MAW102" s="83"/>
      <c r="MAX102" s="83"/>
      <c r="MAY102" s="83"/>
      <c r="MAZ102" s="83"/>
      <c r="MBA102" s="83"/>
      <c r="MBB102" s="83"/>
      <c r="MBC102" s="83"/>
      <c r="MBD102" s="83"/>
      <c r="MBE102" s="83"/>
      <c r="MBF102" s="83"/>
      <c r="MBG102" s="83"/>
      <c r="MBH102" s="83"/>
      <c r="MBI102" s="83"/>
      <c r="MBJ102" s="83"/>
      <c r="MBK102" s="83"/>
      <c r="MBL102" s="83"/>
      <c r="MBM102" s="83"/>
      <c r="MBN102" s="83"/>
      <c r="MBO102" s="83"/>
      <c r="MBP102" s="83"/>
      <c r="MBQ102" s="83"/>
      <c r="MBR102" s="83"/>
      <c r="MBS102" s="83"/>
      <c r="MBT102" s="83"/>
      <c r="MBU102" s="83"/>
      <c r="MBV102" s="83"/>
      <c r="MBW102" s="83"/>
      <c r="MBX102" s="83"/>
      <c r="MBY102" s="83"/>
      <c r="MBZ102" s="83"/>
      <c r="MCA102" s="83"/>
      <c r="MCB102" s="83"/>
      <c r="MCC102" s="83"/>
      <c r="MCD102" s="83"/>
      <c r="MCE102" s="83"/>
      <c r="MCF102" s="83"/>
      <c r="MCG102" s="83"/>
      <c r="MCH102" s="83"/>
      <c r="MCI102" s="83"/>
      <c r="MCJ102" s="83"/>
      <c r="MCK102" s="83"/>
      <c r="MCL102" s="83"/>
      <c r="MCM102" s="83"/>
      <c r="MCN102" s="83"/>
      <c r="MCO102" s="83"/>
      <c r="MCP102" s="83"/>
      <c r="MCQ102" s="83"/>
      <c r="MCR102" s="83"/>
      <c r="MCS102" s="83"/>
      <c r="MCT102" s="83"/>
      <c r="MCU102" s="83"/>
      <c r="MCV102" s="83"/>
      <c r="MCW102" s="83"/>
      <c r="MCX102" s="83"/>
      <c r="MCY102" s="83"/>
      <c r="MCZ102" s="83"/>
      <c r="MDA102" s="83"/>
      <c r="MDB102" s="83"/>
      <c r="MDC102" s="83"/>
      <c r="MDD102" s="83"/>
      <c r="MDE102" s="83"/>
      <c r="MDF102" s="83"/>
      <c r="MDG102" s="83"/>
      <c r="MDH102" s="83"/>
      <c r="MDI102" s="83"/>
      <c r="MDJ102" s="83"/>
      <c r="MDK102" s="83"/>
      <c r="MDL102" s="83"/>
      <c r="MDM102" s="83"/>
      <c r="MDN102" s="83"/>
      <c r="MDO102" s="83"/>
      <c r="MDP102" s="83"/>
      <c r="MDQ102" s="83"/>
      <c r="MDR102" s="83"/>
      <c r="MDS102" s="83"/>
      <c r="MDT102" s="83"/>
      <c r="MDU102" s="83"/>
      <c r="MDV102" s="83"/>
      <c r="MDW102" s="83"/>
      <c r="MDX102" s="83"/>
      <c r="MDY102" s="83"/>
      <c r="MDZ102" s="83"/>
      <c r="MEA102" s="83"/>
      <c r="MEB102" s="83"/>
      <c r="MEC102" s="83"/>
      <c r="MED102" s="83"/>
      <c r="MEE102" s="83"/>
      <c r="MEF102" s="83"/>
      <c r="MEG102" s="83"/>
      <c r="MEH102" s="83"/>
      <c r="MEI102" s="83"/>
      <c r="MEJ102" s="83"/>
      <c r="MEK102" s="83"/>
      <c r="MEL102" s="83"/>
      <c r="MEM102" s="83"/>
      <c r="MEN102" s="83"/>
      <c r="MEO102" s="83"/>
      <c r="MEP102" s="83"/>
      <c r="MEQ102" s="83"/>
      <c r="MER102" s="83"/>
      <c r="MES102" s="83"/>
      <c r="MET102" s="83"/>
      <c r="MEU102" s="83"/>
      <c r="MEV102" s="83"/>
      <c r="MEW102" s="83"/>
      <c r="MEX102" s="83"/>
      <c r="MEY102" s="83"/>
      <c r="MEZ102" s="83"/>
      <c r="MFA102" s="83"/>
      <c r="MFB102" s="83"/>
      <c r="MFC102" s="83"/>
      <c r="MFD102" s="83"/>
      <c r="MFE102" s="83"/>
      <c r="MFF102" s="83"/>
      <c r="MFG102" s="83"/>
      <c r="MFH102" s="83"/>
      <c r="MFI102" s="83"/>
      <c r="MFJ102" s="83"/>
      <c r="MFK102" s="83"/>
      <c r="MFL102" s="83"/>
      <c r="MFM102" s="83"/>
      <c r="MFN102" s="83"/>
      <c r="MFO102" s="83"/>
      <c r="MFP102" s="83"/>
      <c r="MFQ102" s="83"/>
      <c r="MFR102" s="83"/>
      <c r="MFS102" s="83"/>
      <c r="MFT102" s="83"/>
      <c r="MFU102" s="83"/>
      <c r="MFV102" s="83"/>
      <c r="MFW102" s="83"/>
      <c r="MFX102" s="83"/>
      <c r="MFY102" s="83"/>
      <c r="MFZ102" s="83"/>
      <c r="MGA102" s="83"/>
      <c r="MGB102" s="83"/>
      <c r="MGC102" s="83"/>
      <c r="MGD102" s="83"/>
      <c r="MGE102" s="83"/>
      <c r="MGF102" s="83"/>
      <c r="MGG102" s="83"/>
      <c r="MGH102" s="83"/>
      <c r="MGI102" s="83"/>
      <c r="MGJ102" s="83"/>
      <c r="MGK102" s="83"/>
      <c r="MGL102" s="83"/>
      <c r="MGM102" s="83"/>
      <c r="MGN102" s="83"/>
      <c r="MGO102" s="83"/>
      <c r="MGP102" s="83"/>
      <c r="MGQ102" s="83"/>
      <c r="MGR102" s="83"/>
      <c r="MGS102" s="83"/>
      <c r="MGT102" s="83"/>
      <c r="MGU102" s="83"/>
      <c r="MGV102" s="83"/>
      <c r="MGW102" s="83"/>
      <c r="MGX102" s="83"/>
      <c r="MGY102" s="83"/>
      <c r="MGZ102" s="83"/>
      <c r="MHA102" s="83"/>
      <c r="MHB102" s="83"/>
      <c r="MHC102" s="83"/>
      <c r="MHD102" s="83"/>
      <c r="MHE102" s="83"/>
      <c r="MHF102" s="83"/>
      <c r="MHG102" s="83"/>
      <c r="MHH102" s="83"/>
      <c r="MHI102" s="83"/>
      <c r="MHJ102" s="83"/>
      <c r="MHK102" s="83"/>
      <c r="MHL102" s="83"/>
      <c r="MHM102" s="83"/>
      <c r="MHN102" s="83"/>
      <c r="MHO102" s="83"/>
      <c r="MHP102" s="83"/>
      <c r="MHQ102" s="83"/>
      <c r="MHR102" s="83"/>
      <c r="MHS102" s="83"/>
      <c r="MHT102" s="83"/>
      <c r="MHU102" s="83"/>
      <c r="MHV102" s="83"/>
      <c r="MHW102" s="83"/>
      <c r="MHX102" s="83"/>
      <c r="MHY102" s="83"/>
      <c r="MHZ102" s="83"/>
      <c r="MIA102" s="83"/>
      <c r="MIB102" s="83"/>
      <c r="MIC102" s="83"/>
      <c r="MID102" s="83"/>
      <c r="MIE102" s="83"/>
      <c r="MIF102" s="83"/>
      <c r="MIG102" s="83"/>
      <c r="MIH102" s="83"/>
      <c r="MII102" s="83"/>
      <c r="MIJ102" s="83"/>
      <c r="MIK102" s="83"/>
      <c r="MIL102" s="83"/>
      <c r="MIM102" s="83"/>
      <c r="MIN102" s="83"/>
      <c r="MIO102" s="83"/>
      <c r="MIP102" s="83"/>
      <c r="MIQ102" s="83"/>
      <c r="MIR102" s="83"/>
      <c r="MIS102" s="83"/>
      <c r="MIT102" s="83"/>
      <c r="MIU102" s="83"/>
      <c r="MIV102" s="83"/>
      <c r="MIW102" s="83"/>
      <c r="MIX102" s="83"/>
      <c r="MIY102" s="83"/>
      <c r="MIZ102" s="83"/>
      <c r="MJA102" s="83"/>
      <c r="MJB102" s="83"/>
      <c r="MJC102" s="83"/>
      <c r="MJD102" s="83"/>
      <c r="MJE102" s="83"/>
      <c r="MJF102" s="83"/>
      <c r="MJG102" s="83"/>
      <c r="MJH102" s="83"/>
      <c r="MJI102" s="83"/>
      <c r="MJJ102" s="83"/>
      <c r="MJK102" s="83"/>
      <c r="MJL102" s="83"/>
      <c r="MJM102" s="83"/>
      <c r="MJN102" s="83"/>
      <c r="MJO102" s="83"/>
      <c r="MJP102" s="83"/>
      <c r="MJQ102" s="83"/>
      <c r="MJR102" s="83"/>
      <c r="MJS102" s="83"/>
      <c r="MJT102" s="83"/>
      <c r="MJU102" s="83"/>
      <c r="MJV102" s="83"/>
      <c r="MJW102" s="83"/>
      <c r="MJX102" s="83"/>
      <c r="MJY102" s="83"/>
      <c r="MJZ102" s="83"/>
      <c r="MKA102" s="83"/>
      <c r="MKB102" s="83"/>
      <c r="MKC102" s="83"/>
      <c r="MKD102" s="83"/>
      <c r="MKE102" s="83"/>
      <c r="MKF102" s="83"/>
      <c r="MKG102" s="83"/>
      <c r="MKH102" s="83"/>
      <c r="MKI102" s="83"/>
      <c r="MKJ102" s="83"/>
      <c r="MKK102" s="83"/>
      <c r="MKL102" s="83"/>
      <c r="MKM102" s="83"/>
      <c r="MKN102" s="83"/>
      <c r="MKO102" s="83"/>
      <c r="MKP102" s="83"/>
      <c r="MKQ102" s="83"/>
      <c r="MKR102" s="83"/>
      <c r="MKS102" s="83"/>
      <c r="MKT102" s="83"/>
      <c r="MKU102" s="83"/>
      <c r="MKV102" s="83"/>
      <c r="MKW102" s="83"/>
      <c r="MKX102" s="83"/>
      <c r="MKY102" s="83"/>
      <c r="MKZ102" s="83"/>
      <c r="MLA102" s="83"/>
      <c r="MLB102" s="83"/>
      <c r="MLC102" s="83"/>
      <c r="MLD102" s="83"/>
      <c r="MLE102" s="83"/>
      <c r="MLF102" s="83"/>
      <c r="MLG102" s="83"/>
      <c r="MLH102" s="83"/>
      <c r="MLI102" s="83"/>
      <c r="MLJ102" s="83"/>
      <c r="MLK102" s="83"/>
      <c r="MLL102" s="83"/>
      <c r="MLM102" s="83"/>
      <c r="MLN102" s="83"/>
      <c r="MLO102" s="83"/>
      <c r="MLP102" s="83"/>
      <c r="MLQ102" s="83"/>
      <c r="MLR102" s="83"/>
      <c r="MLS102" s="83"/>
      <c r="MLT102" s="83"/>
      <c r="MLU102" s="83"/>
      <c r="MLV102" s="83"/>
      <c r="MLW102" s="83"/>
      <c r="MLX102" s="83"/>
      <c r="MLY102" s="83"/>
      <c r="MLZ102" s="83"/>
      <c r="MMA102" s="83"/>
      <c r="MMB102" s="83"/>
      <c r="MMC102" s="83"/>
      <c r="MMD102" s="83"/>
      <c r="MME102" s="83"/>
      <c r="MMF102" s="83"/>
      <c r="MMG102" s="83"/>
      <c r="MMH102" s="83"/>
      <c r="MMI102" s="83"/>
      <c r="MMJ102" s="83"/>
      <c r="MMK102" s="83"/>
      <c r="MML102" s="83"/>
      <c r="MMM102" s="83"/>
      <c r="MMN102" s="83"/>
      <c r="MMO102" s="83"/>
      <c r="MMP102" s="83"/>
      <c r="MMQ102" s="83"/>
      <c r="MMR102" s="83"/>
      <c r="MMS102" s="83"/>
      <c r="MMT102" s="83"/>
      <c r="MMU102" s="83"/>
      <c r="MMV102" s="83"/>
      <c r="MMW102" s="83"/>
      <c r="MMX102" s="83"/>
      <c r="MMY102" s="83"/>
      <c r="MMZ102" s="83"/>
      <c r="MNA102" s="83"/>
      <c r="MNB102" s="83"/>
      <c r="MNC102" s="83"/>
      <c r="MND102" s="83"/>
      <c r="MNE102" s="83"/>
      <c r="MNF102" s="83"/>
      <c r="MNG102" s="83"/>
      <c r="MNH102" s="83"/>
      <c r="MNI102" s="83"/>
      <c r="MNJ102" s="83"/>
      <c r="MNK102" s="83"/>
      <c r="MNL102" s="83"/>
      <c r="MNM102" s="83"/>
      <c r="MNN102" s="83"/>
      <c r="MNO102" s="83"/>
      <c r="MNP102" s="83"/>
      <c r="MNQ102" s="83"/>
      <c r="MNR102" s="83"/>
      <c r="MNS102" s="83"/>
      <c r="MNT102" s="83"/>
      <c r="MNU102" s="83"/>
      <c r="MNV102" s="83"/>
      <c r="MNW102" s="83"/>
      <c r="MNX102" s="83"/>
      <c r="MNY102" s="83"/>
      <c r="MNZ102" s="83"/>
      <c r="MOA102" s="83"/>
      <c r="MOB102" s="83"/>
      <c r="MOC102" s="83"/>
      <c r="MOD102" s="83"/>
      <c r="MOE102" s="83"/>
      <c r="MOF102" s="83"/>
      <c r="MOG102" s="83"/>
      <c r="MOH102" s="83"/>
      <c r="MOI102" s="83"/>
      <c r="MOJ102" s="83"/>
      <c r="MOK102" s="83"/>
      <c r="MOL102" s="83"/>
      <c r="MOM102" s="83"/>
      <c r="MON102" s="83"/>
      <c r="MOO102" s="83"/>
      <c r="MOP102" s="83"/>
      <c r="MOQ102" s="83"/>
      <c r="MOR102" s="83"/>
      <c r="MOS102" s="83"/>
      <c r="MOT102" s="83"/>
      <c r="MOU102" s="83"/>
      <c r="MOV102" s="83"/>
      <c r="MOW102" s="83"/>
      <c r="MOX102" s="83"/>
      <c r="MOY102" s="83"/>
      <c r="MOZ102" s="83"/>
      <c r="MPA102" s="83"/>
      <c r="MPB102" s="83"/>
      <c r="MPC102" s="83"/>
      <c r="MPD102" s="83"/>
      <c r="MPE102" s="83"/>
      <c r="MPF102" s="83"/>
      <c r="MPG102" s="83"/>
      <c r="MPH102" s="83"/>
      <c r="MPI102" s="83"/>
      <c r="MPJ102" s="83"/>
      <c r="MPK102" s="83"/>
      <c r="MPL102" s="83"/>
      <c r="MPM102" s="83"/>
      <c r="MPN102" s="83"/>
      <c r="MPO102" s="83"/>
      <c r="MPP102" s="83"/>
      <c r="MPQ102" s="83"/>
      <c r="MPR102" s="83"/>
      <c r="MPS102" s="83"/>
      <c r="MPT102" s="83"/>
      <c r="MPU102" s="83"/>
      <c r="MPV102" s="83"/>
      <c r="MPW102" s="83"/>
      <c r="MPX102" s="83"/>
      <c r="MPY102" s="83"/>
      <c r="MPZ102" s="83"/>
      <c r="MQA102" s="83"/>
      <c r="MQB102" s="83"/>
      <c r="MQC102" s="83"/>
      <c r="MQD102" s="83"/>
      <c r="MQE102" s="83"/>
      <c r="MQF102" s="83"/>
      <c r="MQG102" s="83"/>
      <c r="MQH102" s="83"/>
      <c r="MQI102" s="83"/>
      <c r="MQJ102" s="83"/>
      <c r="MQK102" s="83"/>
      <c r="MQL102" s="83"/>
      <c r="MQM102" s="83"/>
      <c r="MQN102" s="83"/>
      <c r="MQO102" s="83"/>
      <c r="MQP102" s="83"/>
      <c r="MQQ102" s="83"/>
      <c r="MQR102" s="83"/>
      <c r="MQS102" s="83"/>
      <c r="MQT102" s="83"/>
      <c r="MQU102" s="83"/>
      <c r="MQV102" s="83"/>
      <c r="MQW102" s="83"/>
      <c r="MQX102" s="83"/>
      <c r="MQY102" s="83"/>
      <c r="MQZ102" s="83"/>
      <c r="MRA102" s="83"/>
      <c r="MRB102" s="83"/>
      <c r="MRC102" s="83"/>
      <c r="MRD102" s="83"/>
      <c r="MRE102" s="83"/>
      <c r="MRF102" s="83"/>
      <c r="MRG102" s="83"/>
      <c r="MRH102" s="83"/>
      <c r="MRI102" s="83"/>
      <c r="MRJ102" s="83"/>
      <c r="MRK102" s="83"/>
      <c r="MRL102" s="83"/>
      <c r="MRM102" s="83"/>
      <c r="MRN102" s="83"/>
      <c r="MRO102" s="83"/>
      <c r="MRP102" s="83"/>
      <c r="MRQ102" s="83"/>
      <c r="MRR102" s="83"/>
      <c r="MRS102" s="83"/>
      <c r="MRT102" s="83"/>
      <c r="MRU102" s="83"/>
      <c r="MRV102" s="83"/>
      <c r="MRW102" s="83"/>
      <c r="MRX102" s="83"/>
      <c r="MRY102" s="83"/>
      <c r="MRZ102" s="83"/>
      <c r="MSA102" s="83"/>
      <c r="MSB102" s="83"/>
      <c r="MSC102" s="83"/>
      <c r="MSD102" s="83"/>
      <c r="MSE102" s="83"/>
      <c r="MSF102" s="83"/>
      <c r="MSG102" s="83"/>
      <c r="MSH102" s="83"/>
      <c r="MSI102" s="83"/>
      <c r="MSJ102" s="83"/>
      <c r="MSK102" s="83"/>
      <c r="MSL102" s="83"/>
      <c r="MSM102" s="83"/>
      <c r="MSN102" s="83"/>
      <c r="MSO102" s="83"/>
      <c r="MSP102" s="83"/>
      <c r="MSQ102" s="83"/>
      <c r="MSR102" s="83"/>
      <c r="MSS102" s="83"/>
      <c r="MST102" s="83"/>
      <c r="MSU102" s="83"/>
      <c r="MSV102" s="83"/>
      <c r="MSW102" s="83"/>
      <c r="MSX102" s="83"/>
      <c r="MSY102" s="83"/>
      <c r="MSZ102" s="83"/>
      <c r="MTA102" s="83"/>
      <c r="MTB102" s="83"/>
      <c r="MTC102" s="83"/>
      <c r="MTD102" s="83"/>
      <c r="MTE102" s="83"/>
      <c r="MTF102" s="83"/>
      <c r="MTG102" s="83"/>
      <c r="MTH102" s="83"/>
      <c r="MTI102" s="83"/>
      <c r="MTJ102" s="83"/>
      <c r="MTK102" s="83"/>
      <c r="MTL102" s="83"/>
      <c r="MTM102" s="83"/>
      <c r="MTN102" s="83"/>
      <c r="MTO102" s="83"/>
      <c r="MTP102" s="83"/>
      <c r="MTQ102" s="83"/>
      <c r="MTR102" s="83"/>
      <c r="MTS102" s="83"/>
      <c r="MTT102" s="83"/>
      <c r="MTU102" s="83"/>
      <c r="MTV102" s="83"/>
      <c r="MTW102" s="83"/>
      <c r="MTX102" s="83"/>
      <c r="MTY102" s="83"/>
      <c r="MTZ102" s="83"/>
      <c r="MUA102" s="83"/>
      <c r="MUB102" s="83"/>
      <c r="MUC102" s="83"/>
      <c r="MUD102" s="83"/>
      <c r="MUE102" s="83"/>
      <c r="MUF102" s="83"/>
      <c r="MUG102" s="83"/>
      <c r="MUH102" s="83"/>
      <c r="MUI102" s="83"/>
      <c r="MUJ102" s="83"/>
      <c r="MUK102" s="83"/>
      <c r="MUL102" s="83"/>
      <c r="MUM102" s="83"/>
      <c r="MUN102" s="83"/>
      <c r="MUO102" s="83"/>
      <c r="MUP102" s="83"/>
      <c r="MUQ102" s="83"/>
      <c r="MUR102" s="83"/>
      <c r="MUS102" s="83"/>
      <c r="MUT102" s="83"/>
      <c r="MUU102" s="83"/>
      <c r="MUV102" s="83"/>
      <c r="MUW102" s="83"/>
      <c r="MUX102" s="83"/>
      <c r="MUY102" s="83"/>
      <c r="MUZ102" s="83"/>
      <c r="MVA102" s="83"/>
      <c r="MVB102" s="83"/>
      <c r="MVC102" s="83"/>
      <c r="MVD102" s="83"/>
      <c r="MVE102" s="83"/>
      <c r="MVF102" s="83"/>
      <c r="MVG102" s="83"/>
      <c r="MVH102" s="83"/>
      <c r="MVI102" s="83"/>
      <c r="MVJ102" s="83"/>
      <c r="MVK102" s="83"/>
      <c r="MVL102" s="83"/>
      <c r="MVM102" s="83"/>
      <c r="MVN102" s="83"/>
      <c r="MVO102" s="83"/>
      <c r="MVP102" s="83"/>
      <c r="MVQ102" s="83"/>
      <c r="MVR102" s="83"/>
      <c r="MVS102" s="83"/>
      <c r="MVT102" s="83"/>
      <c r="MVU102" s="83"/>
      <c r="MVV102" s="83"/>
      <c r="MVW102" s="83"/>
      <c r="MVX102" s="83"/>
      <c r="MVY102" s="83"/>
      <c r="MVZ102" s="83"/>
      <c r="MWA102" s="83"/>
      <c r="MWB102" s="83"/>
      <c r="MWC102" s="83"/>
      <c r="MWD102" s="83"/>
      <c r="MWE102" s="83"/>
      <c r="MWF102" s="83"/>
      <c r="MWG102" s="83"/>
      <c r="MWH102" s="83"/>
      <c r="MWI102" s="83"/>
      <c r="MWJ102" s="83"/>
      <c r="MWK102" s="83"/>
      <c r="MWL102" s="83"/>
      <c r="MWM102" s="83"/>
      <c r="MWN102" s="83"/>
      <c r="MWO102" s="83"/>
      <c r="MWP102" s="83"/>
      <c r="MWQ102" s="83"/>
      <c r="MWR102" s="83"/>
      <c r="MWS102" s="83"/>
      <c r="MWT102" s="83"/>
      <c r="MWU102" s="83"/>
      <c r="MWV102" s="83"/>
      <c r="MWW102" s="83"/>
      <c r="MWX102" s="83"/>
      <c r="MWY102" s="83"/>
      <c r="MWZ102" s="83"/>
      <c r="MXA102" s="83"/>
      <c r="MXB102" s="83"/>
      <c r="MXC102" s="83"/>
      <c r="MXD102" s="83"/>
      <c r="MXE102" s="83"/>
      <c r="MXF102" s="83"/>
      <c r="MXG102" s="83"/>
      <c r="MXH102" s="83"/>
      <c r="MXI102" s="83"/>
      <c r="MXJ102" s="83"/>
      <c r="MXK102" s="83"/>
      <c r="MXL102" s="83"/>
      <c r="MXM102" s="83"/>
      <c r="MXN102" s="83"/>
      <c r="MXO102" s="83"/>
      <c r="MXP102" s="83"/>
      <c r="MXQ102" s="83"/>
      <c r="MXR102" s="83"/>
      <c r="MXS102" s="83"/>
      <c r="MXT102" s="83"/>
      <c r="MXU102" s="83"/>
      <c r="MXV102" s="83"/>
      <c r="MXW102" s="83"/>
      <c r="MXX102" s="83"/>
      <c r="MXY102" s="83"/>
      <c r="MXZ102" s="83"/>
      <c r="MYA102" s="83"/>
      <c r="MYB102" s="83"/>
      <c r="MYC102" s="83"/>
      <c r="MYD102" s="83"/>
      <c r="MYE102" s="83"/>
      <c r="MYF102" s="83"/>
      <c r="MYG102" s="83"/>
      <c r="MYH102" s="83"/>
      <c r="MYI102" s="83"/>
      <c r="MYJ102" s="83"/>
      <c r="MYK102" s="83"/>
      <c r="MYL102" s="83"/>
      <c r="MYM102" s="83"/>
      <c r="MYN102" s="83"/>
      <c r="MYO102" s="83"/>
      <c r="MYP102" s="83"/>
      <c r="MYQ102" s="83"/>
      <c r="MYR102" s="83"/>
      <c r="MYS102" s="83"/>
      <c r="MYT102" s="83"/>
      <c r="MYU102" s="83"/>
      <c r="MYV102" s="83"/>
      <c r="MYW102" s="83"/>
      <c r="MYX102" s="83"/>
      <c r="MYY102" s="83"/>
      <c r="MYZ102" s="83"/>
      <c r="MZA102" s="83"/>
      <c r="MZB102" s="83"/>
      <c r="MZC102" s="83"/>
      <c r="MZD102" s="83"/>
      <c r="MZE102" s="83"/>
      <c r="MZF102" s="83"/>
      <c r="MZG102" s="83"/>
      <c r="MZH102" s="83"/>
      <c r="MZI102" s="83"/>
      <c r="MZJ102" s="83"/>
      <c r="MZK102" s="83"/>
      <c r="MZL102" s="83"/>
      <c r="MZM102" s="83"/>
      <c r="MZN102" s="83"/>
      <c r="MZO102" s="83"/>
      <c r="MZP102" s="83"/>
      <c r="MZQ102" s="83"/>
      <c r="MZR102" s="83"/>
      <c r="MZS102" s="83"/>
      <c r="MZT102" s="83"/>
      <c r="MZU102" s="83"/>
      <c r="MZV102" s="83"/>
      <c r="MZW102" s="83"/>
      <c r="MZX102" s="83"/>
      <c r="MZY102" s="83"/>
      <c r="MZZ102" s="83"/>
      <c r="NAA102" s="83"/>
      <c r="NAB102" s="83"/>
      <c r="NAC102" s="83"/>
      <c r="NAD102" s="83"/>
      <c r="NAE102" s="83"/>
      <c r="NAF102" s="83"/>
      <c r="NAG102" s="83"/>
      <c r="NAH102" s="83"/>
      <c r="NAI102" s="83"/>
      <c r="NAJ102" s="83"/>
      <c r="NAK102" s="83"/>
      <c r="NAL102" s="83"/>
      <c r="NAM102" s="83"/>
      <c r="NAN102" s="83"/>
      <c r="NAO102" s="83"/>
      <c r="NAP102" s="83"/>
      <c r="NAQ102" s="83"/>
      <c r="NAR102" s="83"/>
      <c r="NAS102" s="83"/>
      <c r="NAT102" s="83"/>
      <c r="NAU102" s="83"/>
      <c r="NAV102" s="83"/>
      <c r="NAW102" s="83"/>
      <c r="NAX102" s="83"/>
      <c r="NAY102" s="83"/>
      <c r="NAZ102" s="83"/>
      <c r="NBA102" s="83"/>
      <c r="NBB102" s="83"/>
      <c r="NBC102" s="83"/>
      <c r="NBD102" s="83"/>
      <c r="NBE102" s="83"/>
      <c r="NBF102" s="83"/>
      <c r="NBG102" s="83"/>
      <c r="NBH102" s="83"/>
      <c r="NBI102" s="83"/>
      <c r="NBJ102" s="83"/>
      <c r="NBK102" s="83"/>
      <c r="NBL102" s="83"/>
      <c r="NBM102" s="83"/>
      <c r="NBN102" s="83"/>
      <c r="NBO102" s="83"/>
      <c r="NBP102" s="83"/>
      <c r="NBQ102" s="83"/>
      <c r="NBR102" s="83"/>
      <c r="NBS102" s="83"/>
      <c r="NBT102" s="83"/>
      <c r="NBU102" s="83"/>
      <c r="NBV102" s="83"/>
      <c r="NBW102" s="83"/>
      <c r="NBX102" s="83"/>
      <c r="NBY102" s="83"/>
      <c r="NBZ102" s="83"/>
      <c r="NCA102" s="83"/>
      <c r="NCB102" s="83"/>
      <c r="NCC102" s="83"/>
      <c r="NCD102" s="83"/>
      <c r="NCE102" s="83"/>
      <c r="NCF102" s="83"/>
      <c r="NCG102" s="83"/>
      <c r="NCH102" s="83"/>
      <c r="NCI102" s="83"/>
      <c r="NCJ102" s="83"/>
      <c r="NCK102" s="83"/>
      <c r="NCL102" s="83"/>
      <c r="NCM102" s="83"/>
      <c r="NCN102" s="83"/>
      <c r="NCO102" s="83"/>
      <c r="NCP102" s="83"/>
      <c r="NCQ102" s="83"/>
      <c r="NCR102" s="83"/>
      <c r="NCS102" s="83"/>
      <c r="NCT102" s="83"/>
      <c r="NCU102" s="83"/>
      <c r="NCV102" s="83"/>
      <c r="NCW102" s="83"/>
      <c r="NCX102" s="83"/>
      <c r="NCY102" s="83"/>
      <c r="NCZ102" s="83"/>
      <c r="NDA102" s="83"/>
      <c r="NDB102" s="83"/>
      <c r="NDC102" s="83"/>
      <c r="NDD102" s="83"/>
      <c r="NDE102" s="83"/>
      <c r="NDF102" s="83"/>
      <c r="NDG102" s="83"/>
      <c r="NDH102" s="83"/>
      <c r="NDI102" s="83"/>
      <c r="NDJ102" s="83"/>
      <c r="NDK102" s="83"/>
      <c r="NDL102" s="83"/>
      <c r="NDM102" s="83"/>
      <c r="NDN102" s="83"/>
      <c r="NDO102" s="83"/>
      <c r="NDP102" s="83"/>
      <c r="NDQ102" s="83"/>
      <c r="NDR102" s="83"/>
      <c r="NDS102" s="83"/>
      <c r="NDT102" s="83"/>
      <c r="NDU102" s="83"/>
      <c r="NDV102" s="83"/>
      <c r="NDW102" s="83"/>
      <c r="NDX102" s="83"/>
      <c r="NDY102" s="83"/>
      <c r="NDZ102" s="83"/>
      <c r="NEA102" s="83"/>
      <c r="NEB102" s="83"/>
      <c r="NEC102" s="83"/>
      <c r="NED102" s="83"/>
      <c r="NEE102" s="83"/>
      <c r="NEF102" s="83"/>
      <c r="NEG102" s="83"/>
      <c r="NEH102" s="83"/>
      <c r="NEI102" s="83"/>
      <c r="NEJ102" s="83"/>
      <c r="NEK102" s="83"/>
      <c r="NEL102" s="83"/>
      <c r="NEM102" s="83"/>
      <c r="NEN102" s="83"/>
      <c r="NEO102" s="83"/>
      <c r="NEP102" s="83"/>
      <c r="NEQ102" s="83"/>
      <c r="NER102" s="83"/>
      <c r="NES102" s="83"/>
      <c r="NET102" s="83"/>
      <c r="NEU102" s="83"/>
      <c r="NEV102" s="83"/>
      <c r="NEW102" s="83"/>
      <c r="NEX102" s="83"/>
      <c r="NEY102" s="83"/>
      <c r="NEZ102" s="83"/>
      <c r="NFA102" s="83"/>
      <c r="NFB102" s="83"/>
      <c r="NFC102" s="83"/>
      <c r="NFD102" s="83"/>
      <c r="NFE102" s="83"/>
      <c r="NFF102" s="83"/>
      <c r="NFG102" s="83"/>
      <c r="NFH102" s="83"/>
      <c r="NFI102" s="83"/>
      <c r="NFJ102" s="83"/>
      <c r="NFK102" s="83"/>
      <c r="NFL102" s="83"/>
      <c r="NFM102" s="83"/>
      <c r="NFN102" s="83"/>
      <c r="NFO102" s="83"/>
      <c r="NFP102" s="83"/>
      <c r="NFQ102" s="83"/>
      <c r="NFR102" s="83"/>
      <c r="NFS102" s="83"/>
      <c r="NFT102" s="83"/>
      <c r="NFU102" s="83"/>
      <c r="NFV102" s="83"/>
      <c r="NFW102" s="83"/>
      <c r="NFX102" s="83"/>
      <c r="NFY102" s="83"/>
      <c r="NFZ102" s="83"/>
      <c r="NGA102" s="83"/>
      <c r="NGB102" s="83"/>
      <c r="NGC102" s="83"/>
      <c r="NGD102" s="83"/>
      <c r="NGE102" s="83"/>
      <c r="NGF102" s="83"/>
      <c r="NGG102" s="83"/>
      <c r="NGH102" s="83"/>
      <c r="NGI102" s="83"/>
      <c r="NGJ102" s="83"/>
      <c r="NGK102" s="83"/>
      <c r="NGL102" s="83"/>
      <c r="NGM102" s="83"/>
      <c r="NGN102" s="83"/>
      <c r="NGO102" s="83"/>
      <c r="NGP102" s="83"/>
      <c r="NGQ102" s="83"/>
      <c r="NGR102" s="83"/>
      <c r="NGS102" s="83"/>
      <c r="NGT102" s="83"/>
      <c r="NGU102" s="83"/>
      <c r="NGV102" s="83"/>
      <c r="NGW102" s="83"/>
      <c r="NGX102" s="83"/>
      <c r="NGY102" s="83"/>
      <c r="NGZ102" s="83"/>
      <c r="NHA102" s="83"/>
      <c r="NHB102" s="83"/>
      <c r="NHC102" s="83"/>
      <c r="NHD102" s="83"/>
      <c r="NHE102" s="83"/>
      <c r="NHF102" s="83"/>
      <c r="NHG102" s="83"/>
      <c r="NHH102" s="83"/>
      <c r="NHI102" s="83"/>
      <c r="NHJ102" s="83"/>
      <c r="NHK102" s="83"/>
      <c r="NHL102" s="83"/>
      <c r="NHM102" s="83"/>
      <c r="NHN102" s="83"/>
      <c r="NHO102" s="83"/>
      <c r="NHP102" s="83"/>
      <c r="NHQ102" s="83"/>
      <c r="NHR102" s="83"/>
      <c r="NHS102" s="83"/>
      <c r="NHT102" s="83"/>
      <c r="NHU102" s="83"/>
      <c r="NHV102" s="83"/>
      <c r="NHW102" s="83"/>
      <c r="NHX102" s="83"/>
      <c r="NHY102" s="83"/>
      <c r="NHZ102" s="83"/>
      <c r="NIA102" s="83"/>
      <c r="NIB102" s="83"/>
      <c r="NIC102" s="83"/>
      <c r="NID102" s="83"/>
      <c r="NIE102" s="83"/>
      <c r="NIF102" s="83"/>
      <c r="NIG102" s="83"/>
      <c r="NIH102" s="83"/>
      <c r="NII102" s="83"/>
      <c r="NIJ102" s="83"/>
      <c r="NIK102" s="83"/>
      <c r="NIL102" s="83"/>
      <c r="NIM102" s="83"/>
      <c r="NIN102" s="83"/>
      <c r="NIO102" s="83"/>
      <c r="NIP102" s="83"/>
      <c r="NIQ102" s="83"/>
      <c r="NIR102" s="83"/>
      <c r="NIS102" s="83"/>
      <c r="NIT102" s="83"/>
      <c r="NIU102" s="83"/>
      <c r="NIV102" s="83"/>
      <c r="NIW102" s="83"/>
      <c r="NIX102" s="83"/>
      <c r="NIY102" s="83"/>
      <c r="NIZ102" s="83"/>
      <c r="NJA102" s="83"/>
      <c r="NJB102" s="83"/>
      <c r="NJC102" s="83"/>
      <c r="NJD102" s="83"/>
      <c r="NJE102" s="83"/>
      <c r="NJF102" s="83"/>
      <c r="NJG102" s="83"/>
      <c r="NJH102" s="83"/>
      <c r="NJI102" s="83"/>
      <c r="NJJ102" s="83"/>
      <c r="NJK102" s="83"/>
      <c r="NJL102" s="83"/>
      <c r="NJM102" s="83"/>
      <c r="NJN102" s="83"/>
      <c r="NJO102" s="83"/>
      <c r="NJP102" s="83"/>
      <c r="NJQ102" s="83"/>
      <c r="NJR102" s="83"/>
      <c r="NJS102" s="83"/>
      <c r="NJT102" s="83"/>
      <c r="NJU102" s="83"/>
      <c r="NJV102" s="83"/>
      <c r="NJW102" s="83"/>
      <c r="NJX102" s="83"/>
      <c r="NJY102" s="83"/>
      <c r="NJZ102" s="83"/>
      <c r="NKA102" s="83"/>
      <c r="NKB102" s="83"/>
      <c r="NKC102" s="83"/>
      <c r="NKD102" s="83"/>
      <c r="NKE102" s="83"/>
      <c r="NKF102" s="83"/>
      <c r="NKG102" s="83"/>
      <c r="NKH102" s="83"/>
      <c r="NKI102" s="83"/>
      <c r="NKJ102" s="83"/>
      <c r="NKK102" s="83"/>
      <c r="NKL102" s="83"/>
      <c r="NKM102" s="83"/>
      <c r="NKN102" s="83"/>
      <c r="NKO102" s="83"/>
      <c r="NKP102" s="83"/>
      <c r="NKQ102" s="83"/>
      <c r="NKR102" s="83"/>
      <c r="NKS102" s="83"/>
      <c r="NKT102" s="83"/>
      <c r="NKU102" s="83"/>
      <c r="NKV102" s="83"/>
      <c r="NKW102" s="83"/>
      <c r="NKX102" s="83"/>
      <c r="NKY102" s="83"/>
      <c r="NKZ102" s="83"/>
      <c r="NLA102" s="83"/>
      <c r="NLB102" s="83"/>
      <c r="NLC102" s="83"/>
      <c r="NLD102" s="83"/>
      <c r="NLE102" s="83"/>
      <c r="NLF102" s="83"/>
      <c r="NLG102" s="83"/>
      <c r="NLH102" s="83"/>
      <c r="NLI102" s="83"/>
      <c r="NLJ102" s="83"/>
      <c r="NLK102" s="83"/>
      <c r="NLL102" s="83"/>
      <c r="NLM102" s="83"/>
      <c r="NLN102" s="83"/>
      <c r="NLO102" s="83"/>
      <c r="NLP102" s="83"/>
      <c r="NLQ102" s="83"/>
      <c r="NLR102" s="83"/>
      <c r="NLS102" s="83"/>
      <c r="NLT102" s="83"/>
      <c r="NLU102" s="83"/>
      <c r="NLV102" s="83"/>
      <c r="NLW102" s="83"/>
      <c r="NLX102" s="83"/>
      <c r="NLY102" s="83"/>
      <c r="NLZ102" s="83"/>
      <c r="NMA102" s="83"/>
      <c r="NMB102" s="83"/>
      <c r="NMC102" s="83"/>
      <c r="NMD102" s="83"/>
      <c r="NME102" s="83"/>
      <c r="NMF102" s="83"/>
      <c r="NMG102" s="83"/>
      <c r="NMH102" s="83"/>
      <c r="NMI102" s="83"/>
      <c r="NMJ102" s="83"/>
      <c r="NMK102" s="83"/>
      <c r="NML102" s="83"/>
      <c r="NMM102" s="83"/>
      <c r="NMN102" s="83"/>
      <c r="NMO102" s="83"/>
      <c r="NMP102" s="83"/>
      <c r="NMQ102" s="83"/>
      <c r="NMR102" s="83"/>
      <c r="NMS102" s="83"/>
      <c r="NMT102" s="83"/>
      <c r="NMU102" s="83"/>
      <c r="NMV102" s="83"/>
      <c r="NMW102" s="83"/>
      <c r="NMX102" s="83"/>
      <c r="NMY102" s="83"/>
      <c r="NMZ102" s="83"/>
      <c r="NNA102" s="83"/>
      <c r="NNB102" s="83"/>
      <c r="NNC102" s="83"/>
      <c r="NND102" s="83"/>
      <c r="NNE102" s="83"/>
      <c r="NNF102" s="83"/>
      <c r="NNG102" s="83"/>
      <c r="NNH102" s="83"/>
      <c r="NNI102" s="83"/>
      <c r="NNJ102" s="83"/>
      <c r="NNK102" s="83"/>
      <c r="NNL102" s="83"/>
      <c r="NNM102" s="83"/>
      <c r="NNN102" s="83"/>
      <c r="NNO102" s="83"/>
      <c r="NNP102" s="83"/>
      <c r="NNQ102" s="83"/>
      <c r="NNR102" s="83"/>
      <c r="NNS102" s="83"/>
      <c r="NNT102" s="83"/>
      <c r="NNU102" s="83"/>
      <c r="NNV102" s="83"/>
      <c r="NNW102" s="83"/>
      <c r="NNX102" s="83"/>
      <c r="NNY102" s="83"/>
      <c r="NNZ102" s="83"/>
      <c r="NOA102" s="83"/>
      <c r="NOB102" s="83"/>
      <c r="NOC102" s="83"/>
      <c r="NOD102" s="83"/>
      <c r="NOE102" s="83"/>
      <c r="NOF102" s="83"/>
      <c r="NOG102" s="83"/>
      <c r="NOH102" s="83"/>
      <c r="NOI102" s="83"/>
      <c r="NOJ102" s="83"/>
      <c r="NOK102" s="83"/>
      <c r="NOL102" s="83"/>
      <c r="NOM102" s="83"/>
      <c r="NON102" s="83"/>
      <c r="NOO102" s="83"/>
      <c r="NOP102" s="83"/>
      <c r="NOQ102" s="83"/>
      <c r="NOR102" s="83"/>
      <c r="NOS102" s="83"/>
      <c r="NOT102" s="83"/>
      <c r="NOU102" s="83"/>
      <c r="NOV102" s="83"/>
      <c r="NOW102" s="83"/>
      <c r="NOX102" s="83"/>
      <c r="NOY102" s="83"/>
      <c r="NOZ102" s="83"/>
      <c r="NPA102" s="83"/>
      <c r="NPB102" s="83"/>
      <c r="NPC102" s="83"/>
      <c r="NPD102" s="83"/>
      <c r="NPE102" s="83"/>
      <c r="NPF102" s="83"/>
      <c r="NPG102" s="83"/>
      <c r="NPH102" s="83"/>
      <c r="NPI102" s="83"/>
      <c r="NPJ102" s="83"/>
      <c r="NPK102" s="83"/>
      <c r="NPL102" s="83"/>
      <c r="NPM102" s="83"/>
      <c r="NPN102" s="83"/>
      <c r="NPO102" s="83"/>
      <c r="NPP102" s="83"/>
      <c r="NPQ102" s="83"/>
      <c r="NPR102" s="83"/>
      <c r="NPS102" s="83"/>
      <c r="NPT102" s="83"/>
      <c r="NPU102" s="83"/>
      <c r="NPV102" s="83"/>
      <c r="NPW102" s="83"/>
      <c r="NPX102" s="83"/>
      <c r="NPY102" s="83"/>
      <c r="NPZ102" s="83"/>
      <c r="NQA102" s="83"/>
      <c r="NQB102" s="83"/>
      <c r="NQC102" s="83"/>
      <c r="NQD102" s="83"/>
      <c r="NQE102" s="83"/>
      <c r="NQF102" s="83"/>
      <c r="NQG102" s="83"/>
      <c r="NQH102" s="83"/>
      <c r="NQI102" s="83"/>
      <c r="NQJ102" s="83"/>
      <c r="NQK102" s="83"/>
      <c r="NQL102" s="83"/>
      <c r="NQM102" s="83"/>
      <c r="NQN102" s="83"/>
      <c r="NQO102" s="83"/>
      <c r="NQP102" s="83"/>
      <c r="NQQ102" s="83"/>
      <c r="NQR102" s="83"/>
      <c r="NQS102" s="83"/>
      <c r="NQT102" s="83"/>
      <c r="NQU102" s="83"/>
      <c r="NQV102" s="83"/>
      <c r="NQW102" s="83"/>
      <c r="NQX102" s="83"/>
      <c r="NQY102" s="83"/>
      <c r="NQZ102" s="83"/>
      <c r="NRA102" s="83"/>
      <c r="NRB102" s="83"/>
      <c r="NRC102" s="83"/>
      <c r="NRD102" s="83"/>
      <c r="NRE102" s="83"/>
      <c r="NRF102" s="83"/>
      <c r="NRG102" s="83"/>
      <c r="NRH102" s="83"/>
      <c r="NRI102" s="83"/>
      <c r="NRJ102" s="83"/>
      <c r="NRK102" s="83"/>
      <c r="NRL102" s="83"/>
      <c r="NRM102" s="83"/>
      <c r="NRN102" s="83"/>
      <c r="NRO102" s="83"/>
      <c r="NRP102" s="83"/>
      <c r="NRQ102" s="83"/>
      <c r="NRR102" s="83"/>
      <c r="NRS102" s="83"/>
      <c r="NRT102" s="83"/>
      <c r="NRU102" s="83"/>
      <c r="NRV102" s="83"/>
      <c r="NRW102" s="83"/>
      <c r="NRX102" s="83"/>
      <c r="NRY102" s="83"/>
      <c r="NRZ102" s="83"/>
      <c r="NSA102" s="83"/>
      <c r="NSB102" s="83"/>
      <c r="NSC102" s="83"/>
      <c r="NSD102" s="83"/>
      <c r="NSE102" s="83"/>
      <c r="NSF102" s="83"/>
      <c r="NSG102" s="83"/>
      <c r="NSH102" s="83"/>
      <c r="NSI102" s="83"/>
      <c r="NSJ102" s="83"/>
      <c r="NSK102" s="83"/>
      <c r="NSL102" s="83"/>
      <c r="NSM102" s="83"/>
      <c r="NSN102" s="83"/>
      <c r="NSO102" s="83"/>
      <c r="NSP102" s="83"/>
      <c r="NSQ102" s="83"/>
      <c r="NSR102" s="83"/>
      <c r="NSS102" s="83"/>
      <c r="NST102" s="83"/>
      <c r="NSU102" s="83"/>
      <c r="NSV102" s="83"/>
      <c r="NSW102" s="83"/>
      <c r="NSX102" s="83"/>
      <c r="NSY102" s="83"/>
      <c r="NSZ102" s="83"/>
      <c r="NTA102" s="83"/>
      <c r="NTB102" s="83"/>
      <c r="NTC102" s="83"/>
      <c r="NTD102" s="83"/>
      <c r="NTE102" s="83"/>
      <c r="NTF102" s="83"/>
      <c r="NTG102" s="83"/>
      <c r="NTH102" s="83"/>
      <c r="NTI102" s="83"/>
      <c r="NTJ102" s="83"/>
      <c r="NTK102" s="83"/>
      <c r="NTL102" s="83"/>
      <c r="NTM102" s="83"/>
      <c r="NTN102" s="83"/>
      <c r="NTO102" s="83"/>
      <c r="NTP102" s="83"/>
      <c r="NTQ102" s="83"/>
      <c r="NTR102" s="83"/>
      <c r="NTS102" s="83"/>
      <c r="NTT102" s="83"/>
      <c r="NTU102" s="83"/>
      <c r="NTV102" s="83"/>
      <c r="NTW102" s="83"/>
      <c r="NTX102" s="83"/>
      <c r="NTY102" s="83"/>
      <c r="NTZ102" s="83"/>
      <c r="NUA102" s="83"/>
      <c r="NUB102" s="83"/>
      <c r="NUC102" s="83"/>
      <c r="NUD102" s="83"/>
      <c r="NUE102" s="83"/>
      <c r="NUF102" s="83"/>
      <c r="NUG102" s="83"/>
      <c r="NUH102" s="83"/>
      <c r="NUI102" s="83"/>
      <c r="NUJ102" s="83"/>
      <c r="NUK102" s="83"/>
      <c r="NUL102" s="83"/>
      <c r="NUM102" s="83"/>
      <c r="NUN102" s="83"/>
      <c r="NUO102" s="83"/>
      <c r="NUP102" s="83"/>
      <c r="NUQ102" s="83"/>
      <c r="NUR102" s="83"/>
      <c r="NUS102" s="83"/>
      <c r="NUT102" s="83"/>
      <c r="NUU102" s="83"/>
      <c r="NUV102" s="83"/>
      <c r="NUW102" s="83"/>
      <c r="NUX102" s="83"/>
      <c r="NUY102" s="83"/>
      <c r="NUZ102" s="83"/>
      <c r="NVA102" s="83"/>
      <c r="NVB102" s="83"/>
      <c r="NVC102" s="83"/>
      <c r="NVD102" s="83"/>
      <c r="NVE102" s="83"/>
      <c r="NVF102" s="83"/>
      <c r="NVG102" s="83"/>
      <c r="NVH102" s="83"/>
      <c r="NVI102" s="83"/>
      <c r="NVJ102" s="83"/>
      <c r="NVK102" s="83"/>
      <c r="NVL102" s="83"/>
      <c r="NVM102" s="83"/>
      <c r="NVN102" s="83"/>
      <c r="NVO102" s="83"/>
      <c r="NVP102" s="83"/>
      <c r="NVQ102" s="83"/>
      <c r="NVR102" s="83"/>
      <c r="NVS102" s="83"/>
      <c r="NVT102" s="83"/>
      <c r="NVU102" s="83"/>
      <c r="NVV102" s="83"/>
      <c r="NVW102" s="83"/>
      <c r="NVX102" s="83"/>
      <c r="NVY102" s="83"/>
      <c r="NVZ102" s="83"/>
      <c r="NWA102" s="83"/>
      <c r="NWB102" s="83"/>
      <c r="NWC102" s="83"/>
      <c r="NWD102" s="83"/>
      <c r="NWE102" s="83"/>
      <c r="NWF102" s="83"/>
      <c r="NWG102" s="83"/>
      <c r="NWH102" s="83"/>
      <c r="NWI102" s="83"/>
      <c r="NWJ102" s="83"/>
      <c r="NWK102" s="83"/>
      <c r="NWL102" s="83"/>
      <c r="NWM102" s="83"/>
      <c r="NWN102" s="83"/>
      <c r="NWO102" s="83"/>
      <c r="NWP102" s="83"/>
      <c r="NWQ102" s="83"/>
      <c r="NWR102" s="83"/>
      <c r="NWS102" s="83"/>
      <c r="NWT102" s="83"/>
      <c r="NWU102" s="83"/>
      <c r="NWV102" s="83"/>
      <c r="NWW102" s="83"/>
      <c r="NWX102" s="83"/>
      <c r="NWY102" s="83"/>
      <c r="NWZ102" s="83"/>
      <c r="NXA102" s="83"/>
      <c r="NXB102" s="83"/>
      <c r="NXC102" s="83"/>
      <c r="NXD102" s="83"/>
      <c r="NXE102" s="83"/>
      <c r="NXF102" s="83"/>
      <c r="NXG102" s="83"/>
      <c r="NXH102" s="83"/>
      <c r="NXI102" s="83"/>
      <c r="NXJ102" s="83"/>
      <c r="NXK102" s="83"/>
      <c r="NXL102" s="83"/>
      <c r="NXM102" s="83"/>
      <c r="NXN102" s="83"/>
      <c r="NXO102" s="83"/>
      <c r="NXP102" s="83"/>
      <c r="NXQ102" s="83"/>
      <c r="NXR102" s="83"/>
      <c r="NXS102" s="83"/>
      <c r="NXT102" s="83"/>
      <c r="NXU102" s="83"/>
      <c r="NXV102" s="83"/>
      <c r="NXW102" s="83"/>
      <c r="NXX102" s="83"/>
      <c r="NXY102" s="83"/>
      <c r="NXZ102" s="83"/>
      <c r="NYA102" s="83"/>
      <c r="NYB102" s="83"/>
      <c r="NYC102" s="83"/>
      <c r="NYD102" s="83"/>
      <c r="NYE102" s="83"/>
      <c r="NYF102" s="83"/>
      <c r="NYG102" s="83"/>
      <c r="NYH102" s="83"/>
      <c r="NYI102" s="83"/>
      <c r="NYJ102" s="83"/>
      <c r="NYK102" s="83"/>
      <c r="NYL102" s="83"/>
      <c r="NYM102" s="83"/>
      <c r="NYN102" s="83"/>
      <c r="NYO102" s="83"/>
      <c r="NYP102" s="83"/>
      <c r="NYQ102" s="83"/>
      <c r="NYR102" s="83"/>
      <c r="NYS102" s="83"/>
      <c r="NYT102" s="83"/>
      <c r="NYU102" s="83"/>
      <c r="NYV102" s="83"/>
      <c r="NYW102" s="83"/>
      <c r="NYX102" s="83"/>
      <c r="NYY102" s="83"/>
      <c r="NYZ102" s="83"/>
      <c r="NZA102" s="83"/>
      <c r="NZB102" s="83"/>
      <c r="NZC102" s="83"/>
      <c r="NZD102" s="83"/>
      <c r="NZE102" s="83"/>
      <c r="NZF102" s="83"/>
      <c r="NZG102" s="83"/>
      <c r="NZH102" s="83"/>
      <c r="NZI102" s="83"/>
      <c r="NZJ102" s="83"/>
      <c r="NZK102" s="83"/>
      <c r="NZL102" s="83"/>
      <c r="NZM102" s="83"/>
      <c r="NZN102" s="83"/>
      <c r="NZO102" s="83"/>
      <c r="NZP102" s="83"/>
      <c r="NZQ102" s="83"/>
      <c r="NZR102" s="83"/>
      <c r="NZS102" s="83"/>
      <c r="NZT102" s="83"/>
      <c r="NZU102" s="83"/>
      <c r="NZV102" s="83"/>
      <c r="NZW102" s="83"/>
      <c r="NZX102" s="83"/>
      <c r="NZY102" s="83"/>
      <c r="NZZ102" s="83"/>
      <c r="OAA102" s="83"/>
      <c r="OAB102" s="83"/>
      <c r="OAC102" s="83"/>
      <c r="OAD102" s="83"/>
      <c r="OAE102" s="83"/>
      <c r="OAF102" s="83"/>
      <c r="OAG102" s="83"/>
      <c r="OAH102" s="83"/>
      <c r="OAI102" s="83"/>
      <c r="OAJ102" s="83"/>
      <c r="OAK102" s="83"/>
      <c r="OAL102" s="83"/>
      <c r="OAM102" s="83"/>
      <c r="OAN102" s="83"/>
      <c r="OAO102" s="83"/>
      <c r="OAP102" s="83"/>
      <c r="OAQ102" s="83"/>
      <c r="OAR102" s="83"/>
      <c r="OAS102" s="83"/>
      <c r="OAT102" s="83"/>
      <c r="OAU102" s="83"/>
      <c r="OAV102" s="83"/>
      <c r="OAW102" s="83"/>
      <c r="OAX102" s="83"/>
      <c r="OAY102" s="83"/>
      <c r="OAZ102" s="83"/>
      <c r="OBA102" s="83"/>
      <c r="OBB102" s="83"/>
      <c r="OBC102" s="83"/>
      <c r="OBD102" s="83"/>
      <c r="OBE102" s="83"/>
      <c r="OBF102" s="83"/>
      <c r="OBG102" s="83"/>
      <c r="OBH102" s="83"/>
      <c r="OBI102" s="83"/>
      <c r="OBJ102" s="83"/>
      <c r="OBK102" s="83"/>
      <c r="OBL102" s="83"/>
      <c r="OBM102" s="83"/>
      <c r="OBN102" s="83"/>
      <c r="OBO102" s="83"/>
      <c r="OBP102" s="83"/>
      <c r="OBQ102" s="83"/>
      <c r="OBR102" s="83"/>
      <c r="OBS102" s="83"/>
      <c r="OBT102" s="83"/>
      <c r="OBU102" s="83"/>
      <c r="OBV102" s="83"/>
      <c r="OBW102" s="83"/>
      <c r="OBX102" s="83"/>
      <c r="OBY102" s="83"/>
      <c r="OBZ102" s="83"/>
      <c r="OCA102" s="83"/>
      <c r="OCB102" s="83"/>
      <c r="OCC102" s="83"/>
      <c r="OCD102" s="83"/>
      <c r="OCE102" s="83"/>
      <c r="OCF102" s="83"/>
      <c r="OCG102" s="83"/>
      <c r="OCH102" s="83"/>
      <c r="OCI102" s="83"/>
      <c r="OCJ102" s="83"/>
      <c r="OCK102" s="83"/>
      <c r="OCL102" s="83"/>
      <c r="OCM102" s="83"/>
      <c r="OCN102" s="83"/>
      <c r="OCO102" s="83"/>
      <c r="OCP102" s="83"/>
      <c r="OCQ102" s="83"/>
      <c r="OCR102" s="83"/>
      <c r="OCS102" s="83"/>
      <c r="OCT102" s="83"/>
      <c r="OCU102" s="83"/>
      <c r="OCV102" s="83"/>
      <c r="OCW102" s="83"/>
      <c r="OCX102" s="83"/>
      <c r="OCY102" s="83"/>
      <c r="OCZ102" s="83"/>
      <c r="ODA102" s="83"/>
      <c r="ODB102" s="83"/>
      <c r="ODC102" s="83"/>
      <c r="ODD102" s="83"/>
      <c r="ODE102" s="83"/>
      <c r="ODF102" s="83"/>
      <c r="ODG102" s="83"/>
      <c r="ODH102" s="83"/>
      <c r="ODI102" s="83"/>
      <c r="ODJ102" s="83"/>
      <c r="ODK102" s="83"/>
      <c r="ODL102" s="83"/>
      <c r="ODM102" s="83"/>
      <c r="ODN102" s="83"/>
      <c r="ODO102" s="83"/>
      <c r="ODP102" s="83"/>
      <c r="ODQ102" s="83"/>
      <c r="ODR102" s="83"/>
      <c r="ODS102" s="83"/>
      <c r="ODT102" s="83"/>
      <c r="ODU102" s="83"/>
      <c r="ODV102" s="83"/>
      <c r="ODW102" s="83"/>
      <c r="ODX102" s="83"/>
      <c r="ODY102" s="83"/>
      <c r="ODZ102" s="83"/>
      <c r="OEA102" s="83"/>
      <c r="OEB102" s="83"/>
      <c r="OEC102" s="83"/>
      <c r="OED102" s="83"/>
      <c r="OEE102" s="83"/>
      <c r="OEF102" s="83"/>
      <c r="OEG102" s="83"/>
      <c r="OEH102" s="83"/>
      <c r="OEI102" s="83"/>
      <c r="OEJ102" s="83"/>
      <c r="OEK102" s="83"/>
      <c r="OEL102" s="83"/>
      <c r="OEM102" s="83"/>
      <c r="OEN102" s="83"/>
      <c r="OEO102" s="83"/>
      <c r="OEP102" s="83"/>
      <c r="OEQ102" s="83"/>
      <c r="OER102" s="83"/>
      <c r="OES102" s="83"/>
      <c r="OET102" s="83"/>
      <c r="OEU102" s="83"/>
      <c r="OEV102" s="83"/>
      <c r="OEW102" s="83"/>
      <c r="OEX102" s="83"/>
      <c r="OEY102" s="83"/>
      <c r="OEZ102" s="83"/>
      <c r="OFA102" s="83"/>
      <c r="OFB102" s="83"/>
      <c r="OFC102" s="83"/>
      <c r="OFD102" s="83"/>
      <c r="OFE102" s="83"/>
      <c r="OFF102" s="83"/>
      <c r="OFG102" s="83"/>
      <c r="OFH102" s="83"/>
      <c r="OFI102" s="83"/>
      <c r="OFJ102" s="83"/>
      <c r="OFK102" s="83"/>
      <c r="OFL102" s="83"/>
      <c r="OFM102" s="83"/>
      <c r="OFN102" s="83"/>
      <c r="OFO102" s="83"/>
      <c r="OFP102" s="83"/>
      <c r="OFQ102" s="83"/>
      <c r="OFR102" s="83"/>
      <c r="OFS102" s="83"/>
      <c r="OFT102" s="83"/>
      <c r="OFU102" s="83"/>
      <c r="OFV102" s="83"/>
      <c r="OFW102" s="83"/>
      <c r="OFX102" s="83"/>
      <c r="OFY102" s="83"/>
      <c r="OFZ102" s="83"/>
      <c r="OGA102" s="83"/>
      <c r="OGB102" s="83"/>
      <c r="OGC102" s="83"/>
      <c r="OGD102" s="83"/>
      <c r="OGE102" s="83"/>
      <c r="OGF102" s="83"/>
      <c r="OGG102" s="83"/>
      <c r="OGH102" s="83"/>
      <c r="OGI102" s="83"/>
      <c r="OGJ102" s="83"/>
      <c r="OGK102" s="83"/>
      <c r="OGL102" s="83"/>
      <c r="OGM102" s="83"/>
      <c r="OGN102" s="83"/>
      <c r="OGO102" s="83"/>
      <c r="OGP102" s="83"/>
      <c r="OGQ102" s="83"/>
      <c r="OGR102" s="83"/>
      <c r="OGS102" s="83"/>
      <c r="OGT102" s="83"/>
      <c r="OGU102" s="83"/>
      <c r="OGV102" s="83"/>
      <c r="OGW102" s="83"/>
      <c r="OGX102" s="83"/>
      <c r="OGY102" s="83"/>
      <c r="OGZ102" s="83"/>
      <c r="OHA102" s="83"/>
      <c r="OHB102" s="83"/>
      <c r="OHC102" s="83"/>
      <c r="OHD102" s="83"/>
      <c r="OHE102" s="83"/>
      <c r="OHF102" s="83"/>
      <c r="OHG102" s="83"/>
      <c r="OHH102" s="83"/>
      <c r="OHI102" s="83"/>
      <c r="OHJ102" s="83"/>
      <c r="OHK102" s="83"/>
      <c r="OHL102" s="83"/>
      <c r="OHM102" s="83"/>
      <c r="OHN102" s="83"/>
      <c r="OHO102" s="83"/>
      <c r="OHP102" s="83"/>
      <c r="OHQ102" s="83"/>
      <c r="OHR102" s="83"/>
      <c r="OHS102" s="83"/>
      <c r="OHT102" s="83"/>
      <c r="OHU102" s="83"/>
      <c r="OHV102" s="83"/>
      <c r="OHW102" s="83"/>
      <c r="OHX102" s="83"/>
      <c r="OHY102" s="83"/>
      <c r="OHZ102" s="83"/>
      <c r="OIA102" s="83"/>
      <c r="OIB102" s="83"/>
      <c r="OIC102" s="83"/>
      <c r="OID102" s="83"/>
      <c r="OIE102" s="83"/>
      <c r="OIF102" s="83"/>
      <c r="OIG102" s="83"/>
      <c r="OIH102" s="83"/>
      <c r="OII102" s="83"/>
      <c r="OIJ102" s="83"/>
      <c r="OIK102" s="83"/>
      <c r="OIL102" s="83"/>
      <c r="OIM102" s="83"/>
      <c r="OIN102" s="83"/>
      <c r="OIO102" s="83"/>
      <c r="OIP102" s="83"/>
      <c r="OIQ102" s="83"/>
      <c r="OIR102" s="83"/>
      <c r="OIS102" s="83"/>
      <c r="OIT102" s="83"/>
      <c r="OIU102" s="83"/>
      <c r="OIV102" s="83"/>
      <c r="OIW102" s="83"/>
      <c r="OIX102" s="83"/>
      <c r="OIY102" s="83"/>
      <c r="OIZ102" s="83"/>
      <c r="OJA102" s="83"/>
      <c r="OJB102" s="83"/>
      <c r="OJC102" s="83"/>
      <c r="OJD102" s="83"/>
      <c r="OJE102" s="83"/>
      <c r="OJF102" s="83"/>
      <c r="OJG102" s="83"/>
      <c r="OJH102" s="83"/>
      <c r="OJI102" s="83"/>
      <c r="OJJ102" s="83"/>
      <c r="OJK102" s="83"/>
      <c r="OJL102" s="83"/>
      <c r="OJM102" s="83"/>
      <c r="OJN102" s="83"/>
      <c r="OJO102" s="83"/>
      <c r="OJP102" s="83"/>
      <c r="OJQ102" s="83"/>
      <c r="OJR102" s="83"/>
      <c r="OJS102" s="83"/>
      <c r="OJT102" s="83"/>
      <c r="OJU102" s="83"/>
      <c r="OJV102" s="83"/>
      <c r="OJW102" s="83"/>
      <c r="OJX102" s="83"/>
      <c r="OJY102" s="83"/>
      <c r="OJZ102" s="83"/>
      <c r="OKA102" s="83"/>
      <c r="OKB102" s="83"/>
      <c r="OKC102" s="83"/>
      <c r="OKD102" s="83"/>
      <c r="OKE102" s="83"/>
      <c r="OKF102" s="83"/>
      <c r="OKG102" s="83"/>
      <c r="OKH102" s="83"/>
      <c r="OKI102" s="83"/>
      <c r="OKJ102" s="83"/>
      <c r="OKK102" s="83"/>
      <c r="OKL102" s="83"/>
      <c r="OKM102" s="83"/>
      <c r="OKN102" s="83"/>
      <c r="OKO102" s="83"/>
      <c r="OKP102" s="83"/>
      <c r="OKQ102" s="83"/>
      <c r="OKR102" s="83"/>
      <c r="OKS102" s="83"/>
      <c r="OKT102" s="83"/>
      <c r="OKU102" s="83"/>
      <c r="OKV102" s="83"/>
      <c r="OKW102" s="83"/>
      <c r="OKX102" s="83"/>
      <c r="OKY102" s="83"/>
      <c r="OKZ102" s="83"/>
      <c r="OLA102" s="83"/>
      <c r="OLB102" s="83"/>
      <c r="OLC102" s="83"/>
      <c r="OLD102" s="83"/>
      <c r="OLE102" s="83"/>
      <c r="OLF102" s="83"/>
      <c r="OLG102" s="83"/>
      <c r="OLH102" s="83"/>
      <c r="OLI102" s="83"/>
      <c r="OLJ102" s="83"/>
      <c r="OLK102" s="83"/>
      <c r="OLL102" s="83"/>
      <c r="OLM102" s="83"/>
      <c r="OLN102" s="83"/>
      <c r="OLO102" s="83"/>
      <c r="OLP102" s="83"/>
      <c r="OLQ102" s="83"/>
      <c r="OLR102" s="83"/>
      <c r="OLS102" s="83"/>
      <c r="OLT102" s="83"/>
      <c r="OLU102" s="83"/>
      <c r="OLV102" s="83"/>
      <c r="OLW102" s="83"/>
      <c r="OLX102" s="83"/>
      <c r="OLY102" s="83"/>
      <c r="OLZ102" s="83"/>
      <c r="OMA102" s="83"/>
      <c r="OMB102" s="83"/>
      <c r="OMC102" s="83"/>
      <c r="OMD102" s="83"/>
      <c r="OME102" s="83"/>
      <c r="OMF102" s="83"/>
      <c r="OMG102" s="83"/>
      <c r="OMH102" s="83"/>
      <c r="OMI102" s="83"/>
      <c r="OMJ102" s="83"/>
      <c r="OMK102" s="83"/>
      <c r="OML102" s="83"/>
      <c r="OMM102" s="83"/>
      <c r="OMN102" s="83"/>
      <c r="OMO102" s="83"/>
      <c r="OMP102" s="83"/>
      <c r="OMQ102" s="83"/>
      <c r="OMR102" s="83"/>
      <c r="OMS102" s="83"/>
      <c r="OMT102" s="83"/>
      <c r="OMU102" s="83"/>
      <c r="OMV102" s="83"/>
      <c r="OMW102" s="83"/>
      <c r="OMX102" s="83"/>
      <c r="OMY102" s="83"/>
      <c r="OMZ102" s="83"/>
      <c r="ONA102" s="83"/>
      <c r="ONB102" s="83"/>
      <c r="ONC102" s="83"/>
      <c r="OND102" s="83"/>
      <c r="ONE102" s="83"/>
      <c r="ONF102" s="83"/>
      <c r="ONG102" s="83"/>
      <c r="ONH102" s="83"/>
      <c r="ONI102" s="83"/>
      <c r="ONJ102" s="83"/>
      <c r="ONK102" s="83"/>
      <c r="ONL102" s="83"/>
      <c r="ONM102" s="83"/>
      <c r="ONN102" s="83"/>
      <c r="ONO102" s="83"/>
      <c r="ONP102" s="83"/>
      <c r="ONQ102" s="83"/>
      <c r="ONR102" s="83"/>
      <c r="ONS102" s="83"/>
      <c r="ONT102" s="83"/>
      <c r="ONU102" s="83"/>
      <c r="ONV102" s="83"/>
      <c r="ONW102" s="83"/>
      <c r="ONX102" s="83"/>
      <c r="ONY102" s="83"/>
      <c r="ONZ102" s="83"/>
      <c r="OOA102" s="83"/>
      <c r="OOB102" s="83"/>
      <c r="OOC102" s="83"/>
      <c r="OOD102" s="83"/>
      <c r="OOE102" s="83"/>
      <c r="OOF102" s="83"/>
      <c r="OOG102" s="83"/>
      <c r="OOH102" s="83"/>
      <c r="OOI102" s="83"/>
      <c r="OOJ102" s="83"/>
      <c r="OOK102" s="83"/>
      <c r="OOL102" s="83"/>
      <c r="OOM102" s="83"/>
      <c r="OON102" s="83"/>
      <c r="OOO102" s="83"/>
      <c r="OOP102" s="83"/>
      <c r="OOQ102" s="83"/>
      <c r="OOR102" s="83"/>
      <c r="OOS102" s="83"/>
      <c r="OOT102" s="83"/>
      <c r="OOU102" s="83"/>
      <c r="OOV102" s="83"/>
      <c r="OOW102" s="83"/>
      <c r="OOX102" s="83"/>
      <c r="OOY102" s="83"/>
      <c r="OOZ102" s="83"/>
      <c r="OPA102" s="83"/>
      <c r="OPB102" s="83"/>
      <c r="OPC102" s="83"/>
      <c r="OPD102" s="83"/>
      <c r="OPE102" s="83"/>
      <c r="OPF102" s="83"/>
      <c r="OPG102" s="83"/>
      <c r="OPH102" s="83"/>
      <c r="OPI102" s="83"/>
      <c r="OPJ102" s="83"/>
      <c r="OPK102" s="83"/>
      <c r="OPL102" s="83"/>
      <c r="OPM102" s="83"/>
      <c r="OPN102" s="83"/>
      <c r="OPO102" s="83"/>
      <c r="OPP102" s="83"/>
      <c r="OPQ102" s="83"/>
      <c r="OPR102" s="83"/>
      <c r="OPS102" s="83"/>
      <c r="OPT102" s="83"/>
      <c r="OPU102" s="83"/>
      <c r="OPV102" s="83"/>
      <c r="OPW102" s="83"/>
      <c r="OPX102" s="83"/>
      <c r="OPY102" s="83"/>
      <c r="OPZ102" s="83"/>
      <c r="OQA102" s="83"/>
      <c r="OQB102" s="83"/>
      <c r="OQC102" s="83"/>
      <c r="OQD102" s="83"/>
      <c r="OQE102" s="83"/>
      <c r="OQF102" s="83"/>
      <c r="OQG102" s="83"/>
      <c r="OQH102" s="83"/>
      <c r="OQI102" s="83"/>
      <c r="OQJ102" s="83"/>
      <c r="OQK102" s="83"/>
      <c r="OQL102" s="83"/>
      <c r="OQM102" s="83"/>
      <c r="OQN102" s="83"/>
      <c r="OQO102" s="83"/>
      <c r="OQP102" s="83"/>
      <c r="OQQ102" s="83"/>
      <c r="OQR102" s="83"/>
      <c r="OQS102" s="83"/>
      <c r="OQT102" s="83"/>
      <c r="OQU102" s="83"/>
      <c r="OQV102" s="83"/>
      <c r="OQW102" s="83"/>
      <c r="OQX102" s="83"/>
      <c r="OQY102" s="83"/>
      <c r="OQZ102" s="83"/>
      <c r="ORA102" s="83"/>
      <c r="ORB102" s="83"/>
      <c r="ORC102" s="83"/>
      <c r="ORD102" s="83"/>
      <c r="ORE102" s="83"/>
      <c r="ORF102" s="83"/>
      <c r="ORG102" s="83"/>
      <c r="ORH102" s="83"/>
      <c r="ORI102" s="83"/>
      <c r="ORJ102" s="83"/>
      <c r="ORK102" s="83"/>
      <c r="ORL102" s="83"/>
      <c r="ORM102" s="83"/>
      <c r="ORN102" s="83"/>
      <c r="ORO102" s="83"/>
      <c r="ORP102" s="83"/>
      <c r="ORQ102" s="83"/>
      <c r="ORR102" s="83"/>
      <c r="ORS102" s="83"/>
      <c r="ORT102" s="83"/>
      <c r="ORU102" s="83"/>
      <c r="ORV102" s="83"/>
      <c r="ORW102" s="83"/>
      <c r="ORX102" s="83"/>
      <c r="ORY102" s="83"/>
      <c r="ORZ102" s="83"/>
      <c r="OSA102" s="83"/>
      <c r="OSB102" s="83"/>
      <c r="OSC102" s="83"/>
      <c r="OSD102" s="83"/>
      <c r="OSE102" s="83"/>
      <c r="OSF102" s="83"/>
      <c r="OSG102" s="83"/>
      <c r="OSH102" s="83"/>
      <c r="OSI102" s="83"/>
      <c r="OSJ102" s="83"/>
      <c r="OSK102" s="83"/>
      <c r="OSL102" s="83"/>
      <c r="OSM102" s="83"/>
      <c r="OSN102" s="83"/>
      <c r="OSO102" s="83"/>
      <c r="OSP102" s="83"/>
      <c r="OSQ102" s="83"/>
      <c r="OSR102" s="83"/>
      <c r="OSS102" s="83"/>
      <c r="OST102" s="83"/>
      <c r="OSU102" s="83"/>
      <c r="OSV102" s="83"/>
      <c r="OSW102" s="83"/>
      <c r="OSX102" s="83"/>
      <c r="OSY102" s="83"/>
      <c r="OSZ102" s="83"/>
      <c r="OTA102" s="83"/>
      <c r="OTB102" s="83"/>
      <c r="OTC102" s="83"/>
      <c r="OTD102" s="83"/>
      <c r="OTE102" s="83"/>
      <c r="OTF102" s="83"/>
      <c r="OTG102" s="83"/>
      <c r="OTH102" s="83"/>
      <c r="OTI102" s="83"/>
      <c r="OTJ102" s="83"/>
      <c r="OTK102" s="83"/>
      <c r="OTL102" s="83"/>
      <c r="OTM102" s="83"/>
      <c r="OTN102" s="83"/>
      <c r="OTO102" s="83"/>
      <c r="OTP102" s="83"/>
      <c r="OTQ102" s="83"/>
      <c r="OTR102" s="83"/>
      <c r="OTS102" s="83"/>
      <c r="OTT102" s="83"/>
      <c r="OTU102" s="83"/>
      <c r="OTV102" s="83"/>
      <c r="OTW102" s="83"/>
      <c r="OTX102" s="83"/>
      <c r="OTY102" s="83"/>
      <c r="OTZ102" s="83"/>
      <c r="OUA102" s="83"/>
      <c r="OUB102" s="83"/>
      <c r="OUC102" s="83"/>
      <c r="OUD102" s="83"/>
      <c r="OUE102" s="83"/>
      <c r="OUF102" s="83"/>
      <c r="OUG102" s="83"/>
      <c r="OUH102" s="83"/>
      <c r="OUI102" s="83"/>
      <c r="OUJ102" s="83"/>
      <c r="OUK102" s="83"/>
      <c r="OUL102" s="83"/>
      <c r="OUM102" s="83"/>
      <c r="OUN102" s="83"/>
      <c r="OUO102" s="83"/>
      <c r="OUP102" s="83"/>
      <c r="OUQ102" s="83"/>
      <c r="OUR102" s="83"/>
      <c r="OUS102" s="83"/>
      <c r="OUT102" s="83"/>
      <c r="OUU102" s="83"/>
      <c r="OUV102" s="83"/>
      <c r="OUW102" s="83"/>
      <c r="OUX102" s="83"/>
      <c r="OUY102" s="83"/>
      <c r="OUZ102" s="83"/>
      <c r="OVA102" s="83"/>
      <c r="OVB102" s="83"/>
      <c r="OVC102" s="83"/>
      <c r="OVD102" s="83"/>
      <c r="OVE102" s="83"/>
      <c r="OVF102" s="83"/>
      <c r="OVG102" s="83"/>
      <c r="OVH102" s="83"/>
      <c r="OVI102" s="83"/>
      <c r="OVJ102" s="83"/>
      <c r="OVK102" s="83"/>
      <c r="OVL102" s="83"/>
      <c r="OVM102" s="83"/>
      <c r="OVN102" s="83"/>
      <c r="OVO102" s="83"/>
      <c r="OVP102" s="83"/>
      <c r="OVQ102" s="83"/>
      <c r="OVR102" s="83"/>
      <c r="OVS102" s="83"/>
      <c r="OVT102" s="83"/>
      <c r="OVU102" s="83"/>
      <c r="OVV102" s="83"/>
      <c r="OVW102" s="83"/>
      <c r="OVX102" s="83"/>
      <c r="OVY102" s="83"/>
      <c r="OVZ102" s="83"/>
      <c r="OWA102" s="83"/>
      <c r="OWB102" s="83"/>
      <c r="OWC102" s="83"/>
      <c r="OWD102" s="83"/>
      <c r="OWE102" s="83"/>
      <c r="OWF102" s="83"/>
      <c r="OWG102" s="83"/>
      <c r="OWH102" s="83"/>
      <c r="OWI102" s="83"/>
      <c r="OWJ102" s="83"/>
      <c r="OWK102" s="83"/>
      <c r="OWL102" s="83"/>
      <c r="OWM102" s="83"/>
      <c r="OWN102" s="83"/>
      <c r="OWO102" s="83"/>
      <c r="OWP102" s="83"/>
      <c r="OWQ102" s="83"/>
      <c r="OWR102" s="83"/>
      <c r="OWS102" s="83"/>
      <c r="OWT102" s="83"/>
      <c r="OWU102" s="83"/>
      <c r="OWV102" s="83"/>
      <c r="OWW102" s="83"/>
      <c r="OWX102" s="83"/>
      <c r="OWY102" s="83"/>
      <c r="OWZ102" s="83"/>
      <c r="OXA102" s="83"/>
      <c r="OXB102" s="83"/>
      <c r="OXC102" s="83"/>
      <c r="OXD102" s="83"/>
      <c r="OXE102" s="83"/>
      <c r="OXF102" s="83"/>
      <c r="OXG102" s="83"/>
      <c r="OXH102" s="83"/>
      <c r="OXI102" s="83"/>
      <c r="OXJ102" s="83"/>
      <c r="OXK102" s="83"/>
      <c r="OXL102" s="83"/>
      <c r="OXM102" s="83"/>
      <c r="OXN102" s="83"/>
      <c r="OXO102" s="83"/>
      <c r="OXP102" s="83"/>
      <c r="OXQ102" s="83"/>
      <c r="OXR102" s="83"/>
      <c r="OXS102" s="83"/>
      <c r="OXT102" s="83"/>
      <c r="OXU102" s="83"/>
      <c r="OXV102" s="83"/>
      <c r="OXW102" s="83"/>
      <c r="OXX102" s="83"/>
      <c r="OXY102" s="83"/>
      <c r="OXZ102" s="83"/>
      <c r="OYA102" s="83"/>
      <c r="OYB102" s="83"/>
      <c r="OYC102" s="83"/>
      <c r="OYD102" s="83"/>
      <c r="OYE102" s="83"/>
      <c r="OYF102" s="83"/>
      <c r="OYG102" s="83"/>
      <c r="OYH102" s="83"/>
      <c r="OYI102" s="83"/>
      <c r="OYJ102" s="83"/>
      <c r="OYK102" s="83"/>
      <c r="OYL102" s="83"/>
      <c r="OYM102" s="83"/>
      <c r="OYN102" s="83"/>
      <c r="OYO102" s="83"/>
      <c r="OYP102" s="83"/>
      <c r="OYQ102" s="83"/>
      <c r="OYR102" s="83"/>
      <c r="OYS102" s="83"/>
      <c r="OYT102" s="83"/>
      <c r="OYU102" s="83"/>
      <c r="OYV102" s="83"/>
      <c r="OYW102" s="83"/>
      <c r="OYX102" s="83"/>
      <c r="OYY102" s="83"/>
      <c r="OYZ102" s="83"/>
      <c r="OZA102" s="83"/>
      <c r="OZB102" s="83"/>
      <c r="OZC102" s="83"/>
      <c r="OZD102" s="83"/>
      <c r="OZE102" s="83"/>
      <c r="OZF102" s="83"/>
      <c r="OZG102" s="83"/>
      <c r="OZH102" s="83"/>
      <c r="OZI102" s="83"/>
      <c r="OZJ102" s="83"/>
      <c r="OZK102" s="83"/>
      <c r="OZL102" s="83"/>
      <c r="OZM102" s="83"/>
      <c r="OZN102" s="83"/>
      <c r="OZO102" s="83"/>
      <c r="OZP102" s="83"/>
      <c r="OZQ102" s="83"/>
      <c r="OZR102" s="83"/>
      <c r="OZS102" s="83"/>
      <c r="OZT102" s="83"/>
      <c r="OZU102" s="83"/>
      <c r="OZV102" s="83"/>
      <c r="OZW102" s="83"/>
      <c r="OZX102" s="83"/>
      <c r="OZY102" s="83"/>
      <c r="OZZ102" s="83"/>
      <c r="PAA102" s="83"/>
      <c r="PAB102" s="83"/>
      <c r="PAC102" s="83"/>
      <c r="PAD102" s="83"/>
      <c r="PAE102" s="83"/>
      <c r="PAF102" s="83"/>
      <c r="PAG102" s="83"/>
      <c r="PAH102" s="83"/>
      <c r="PAI102" s="83"/>
      <c r="PAJ102" s="83"/>
      <c r="PAK102" s="83"/>
      <c r="PAL102" s="83"/>
      <c r="PAM102" s="83"/>
      <c r="PAN102" s="83"/>
      <c r="PAO102" s="83"/>
      <c r="PAP102" s="83"/>
      <c r="PAQ102" s="83"/>
      <c r="PAR102" s="83"/>
      <c r="PAS102" s="83"/>
      <c r="PAT102" s="83"/>
      <c r="PAU102" s="83"/>
      <c r="PAV102" s="83"/>
      <c r="PAW102" s="83"/>
      <c r="PAX102" s="83"/>
      <c r="PAY102" s="83"/>
      <c r="PAZ102" s="83"/>
      <c r="PBA102" s="83"/>
      <c r="PBB102" s="83"/>
      <c r="PBC102" s="83"/>
      <c r="PBD102" s="83"/>
      <c r="PBE102" s="83"/>
      <c r="PBF102" s="83"/>
      <c r="PBG102" s="83"/>
      <c r="PBH102" s="83"/>
      <c r="PBI102" s="83"/>
      <c r="PBJ102" s="83"/>
      <c r="PBK102" s="83"/>
      <c r="PBL102" s="83"/>
      <c r="PBM102" s="83"/>
      <c r="PBN102" s="83"/>
      <c r="PBO102" s="83"/>
      <c r="PBP102" s="83"/>
      <c r="PBQ102" s="83"/>
      <c r="PBR102" s="83"/>
      <c r="PBS102" s="83"/>
      <c r="PBT102" s="83"/>
      <c r="PBU102" s="83"/>
      <c r="PBV102" s="83"/>
      <c r="PBW102" s="83"/>
      <c r="PBX102" s="83"/>
      <c r="PBY102" s="83"/>
      <c r="PBZ102" s="83"/>
      <c r="PCA102" s="83"/>
      <c r="PCB102" s="83"/>
      <c r="PCC102" s="83"/>
      <c r="PCD102" s="83"/>
      <c r="PCE102" s="83"/>
      <c r="PCF102" s="83"/>
      <c r="PCG102" s="83"/>
      <c r="PCH102" s="83"/>
      <c r="PCI102" s="83"/>
      <c r="PCJ102" s="83"/>
      <c r="PCK102" s="83"/>
      <c r="PCL102" s="83"/>
      <c r="PCM102" s="83"/>
      <c r="PCN102" s="83"/>
      <c r="PCO102" s="83"/>
      <c r="PCP102" s="83"/>
      <c r="PCQ102" s="83"/>
      <c r="PCR102" s="83"/>
      <c r="PCS102" s="83"/>
      <c r="PCT102" s="83"/>
      <c r="PCU102" s="83"/>
      <c r="PCV102" s="83"/>
      <c r="PCW102" s="83"/>
      <c r="PCX102" s="83"/>
      <c r="PCY102" s="83"/>
      <c r="PCZ102" s="83"/>
      <c r="PDA102" s="83"/>
      <c r="PDB102" s="83"/>
      <c r="PDC102" s="83"/>
      <c r="PDD102" s="83"/>
      <c r="PDE102" s="83"/>
      <c r="PDF102" s="83"/>
      <c r="PDG102" s="83"/>
      <c r="PDH102" s="83"/>
      <c r="PDI102" s="83"/>
      <c r="PDJ102" s="83"/>
      <c r="PDK102" s="83"/>
      <c r="PDL102" s="83"/>
      <c r="PDM102" s="83"/>
      <c r="PDN102" s="83"/>
      <c r="PDO102" s="83"/>
      <c r="PDP102" s="83"/>
      <c r="PDQ102" s="83"/>
      <c r="PDR102" s="83"/>
      <c r="PDS102" s="83"/>
      <c r="PDT102" s="83"/>
      <c r="PDU102" s="83"/>
      <c r="PDV102" s="83"/>
      <c r="PDW102" s="83"/>
      <c r="PDX102" s="83"/>
      <c r="PDY102" s="83"/>
      <c r="PDZ102" s="83"/>
      <c r="PEA102" s="83"/>
      <c r="PEB102" s="83"/>
      <c r="PEC102" s="83"/>
      <c r="PED102" s="83"/>
      <c r="PEE102" s="83"/>
      <c r="PEF102" s="83"/>
      <c r="PEG102" s="83"/>
      <c r="PEH102" s="83"/>
      <c r="PEI102" s="83"/>
      <c r="PEJ102" s="83"/>
      <c r="PEK102" s="83"/>
      <c r="PEL102" s="83"/>
      <c r="PEM102" s="83"/>
      <c r="PEN102" s="83"/>
      <c r="PEO102" s="83"/>
      <c r="PEP102" s="83"/>
      <c r="PEQ102" s="83"/>
      <c r="PER102" s="83"/>
      <c r="PES102" s="83"/>
      <c r="PET102" s="83"/>
      <c r="PEU102" s="83"/>
      <c r="PEV102" s="83"/>
      <c r="PEW102" s="83"/>
      <c r="PEX102" s="83"/>
      <c r="PEY102" s="83"/>
      <c r="PEZ102" s="83"/>
      <c r="PFA102" s="83"/>
      <c r="PFB102" s="83"/>
      <c r="PFC102" s="83"/>
      <c r="PFD102" s="83"/>
      <c r="PFE102" s="83"/>
      <c r="PFF102" s="83"/>
      <c r="PFG102" s="83"/>
      <c r="PFH102" s="83"/>
      <c r="PFI102" s="83"/>
      <c r="PFJ102" s="83"/>
      <c r="PFK102" s="83"/>
      <c r="PFL102" s="83"/>
      <c r="PFM102" s="83"/>
      <c r="PFN102" s="83"/>
      <c r="PFO102" s="83"/>
      <c r="PFP102" s="83"/>
      <c r="PFQ102" s="83"/>
      <c r="PFR102" s="83"/>
      <c r="PFS102" s="83"/>
      <c r="PFT102" s="83"/>
      <c r="PFU102" s="83"/>
      <c r="PFV102" s="83"/>
      <c r="PFW102" s="83"/>
      <c r="PFX102" s="83"/>
      <c r="PFY102" s="83"/>
      <c r="PFZ102" s="83"/>
      <c r="PGA102" s="83"/>
      <c r="PGB102" s="83"/>
      <c r="PGC102" s="83"/>
      <c r="PGD102" s="83"/>
      <c r="PGE102" s="83"/>
      <c r="PGF102" s="83"/>
      <c r="PGG102" s="83"/>
      <c r="PGH102" s="83"/>
      <c r="PGI102" s="83"/>
      <c r="PGJ102" s="83"/>
      <c r="PGK102" s="83"/>
      <c r="PGL102" s="83"/>
      <c r="PGM102" s="83"/>
      <c r="PGN102" s="83"/>
      <c r="PGO102" s="83"/>
      <c r="PGP102" s="83"/>
      <c r="PGQ102" s="83"/>
      <c r="PGR102" s="83"/>
      <c r="PGS102" s="83"/>
      <c r="PGT102" s="83"/>
      <c r="PGU102" s="83"/>
      <c r="PGV102" s="83"/>
      <c r="PGW102" s="83"/>
      <c r="PGX102" s="83"/>
      <c r="PGY102" s="83"/>
      <c r="PGZ102" s="83"/>
      <c r="PHA102" s="83"/>
      <c r="PHB102" s="83"/>
      <c r="PHC102" s="83"/>
      <c r="PHD102" s="83"/>
      <c r="PHE102" s="83"/>
      <c r="PHF102" s="83"/>
      <c r="PHG102" s="83"/>
      <c r="PHH102" s="83"/>
      <c r="PHI102" s="83"/>
      <c r="PHJ102" s="83"/>
      <c r="PHK102" s="83"/>
      <c r="PHL102" s="83"/>
      <c r="PHM102" s="83"/>
      <c r="PHN102" s="83"/>
      <c r="PHO102" s="83"/>
      <c r="PHP102" s="83"/>
      <c r="PHQ102" s="83"/>
      <c r="PHR102" s="83"/>
      <c r="PHS102" s="83"/>
      <c r="PHT102" s="83"/>
      <c r="PHU102" s="83"/>
      <c r="PHV102" s="83"/>
      <c r="PHW102" s="83"/>
      <c r="PHX102" s="83"/>
      <c r="PHY102" s="83"/>
      <c r="PHZ102" s="83"/>
      <c r="PIA102" s="83"/>
      <c r="PIB102" s="83"/>
      <c r="PIC102" s="83"/>
      <c r="PID102" s="83"/>
      <c r="PIE102" s="83"/>
      <c r="PIF102" s="83"/>
      <c r="PIG102" s="83"/>
      <c r="PIH102" s="83"/>
      <c r="PII102" s="83"/>
      <c r="PIJ102" s="83"/>
      <c r="PIK102" s="83"/>
      <c r="PIL102" s="83"/>
      <c r="PIM102" s="83"/>
      <c r="PIN102" s="83"/>
      <c r="PIO102" s="83"/>
      <c r="PIP102" s="83"/>
      <c r="PIQ102" s="83"/>
      <c r="PIR102" s="83"/>
      <c r="PIS102" s="83"/>
      <c r="PIT102" s="83"/>
      <c r="PIU102" s="83"/>
      <c r="PIV102" s="83"/>
      <c r="PIW102" s="83"/>
      <c r="PIX102" s="83"/>
      <c r="PIY102" s="83"/>
      <c r="PIZ102" s="83"/>
      <c r="PJA102" s="83"/>
      <c r="PJB102" s="83"/>
      <c r="PJC102" s="83"/>
      <c r="PJD102" s="83"/>
      <c r="PJE102" s="83"/>
      <c r="PJF102" s="83"/>
      <c r="PJG102" s="83"/>
      <c r="PJH102" s="83"/>
      <c r="PJI102" s="83"/>
      <c r="PJJ102" s="83"/>
      <c r="PJK102" s="83"/>
      <c r="PJL102" s="83"/>
      <c r="PJM102" s="83"/>
      <c r="PJN102" s="83"/>
      <c r="PJO102" s="83"/>
      <c r="PJP102" s="83"/>
      <c r="PJQ102" s="83"/>
      <c r="PJR102" s="83"/>
      <c r="PJS102" s="83"/>
      <c r="PJT102" s="83"/>
      <c r="PJU102" s="83"/>
      <c r="PJV102" s="83"/>
      <c r="PJW102" s="83"/>
      <c r="PJX102" s="83"/>
      <c r="PJY102" s="83"/>
      <c r="PJZ102" s="83"/>
      <c r="PKA102" s="83"/>
      <c r="PKB102" s="83"/>
      <c r="PKC102" s="83"/>
      <c r="PKD102" s="83"/>
      <c r="PKE102" s="83"/>
      <c r="PKF102" s="83"/>
      <c r="PKG102" s="83"/>
      <c r="PKH102" s="83"/>
      <c r="PKI102" s="83"/>
      <c r="PKJ102" s="83"/>
      <c r="PKK102" s="83"/>
      <c r="PKL102" s="83"/>
      <c r="PKM102" s="83"/>
      <c r="PKN102" s="83"/>
      <c r="PKO102" s="83"/>
      <c r="PKP102" s="83"/>
      <c r="PKQ102" s="83"/>
      <c r="PKR102" s="83"/>
      <c r="PKS102" s="83"/>
      <c r="PKT102" s="83"/>
      <c r="PKU102" s="83"/>
      <c r="PKV102" s="83"/>
      <c r="PKW102" s="83"/>
      <c r="PKX102" s="83"/>
      <c r="PKY102" s="83"/>
      <c r="PKZ102" s="83"/>
      <c r="PLA102" s="83"/>
      <c r="PLB102" s="83"/>
      <c r="PLC102" s="83"/>
      <c r="PLD102" s="83"/>
      <c r="PLE102" s="83"/>
      <c r="PLF102" s="83"/>
      <c r="PLG102" s="83"/>
      <c r="PLH102" s="83"/>
      <c r="PLI102" s="83"/>
      <c r="PLJ102" s="83"/>
      <c r="PLK102" s="83"/>
      <c r="PLL102" s="83"/>
      <c r="PLM102" s="83"/>
      <c r="PLN102" s="83"/>
      <c r="PLO102" s="83"/>
      <c r="PLP102" s="83"/>
      <c r="PLQ102" s="83"/>
      <c r="PLR102" s="83"/>
      <c r="PLS102" s="83"/>
      <c r="PLT102" s="83"/>
      <c r="PLU102" s="83"/>
      <c r="PLV102" s="83"/>
      <c r="PLW102" s="83"/>
      <c r="PLX102" s="83"/>
      <c r="PLY102" s="83"/>
      <c r="PLZ102" s="83"/>
      <c r="PMA102" s="83"/>
      <c r="PMB102" s="83"/>
      <c r="PMC102" s="83"/>
      <c r="PMD102" s="83"/>
      <c r="PME102" s="83"/>
      <c r="PMF102" s="83"/>
      <c r="PMG102" s="83"/>
      <c r="PMH102" s="83"/>
      <c r="PMI102" s="83"/>
      <c r="PMJ102" s="83"/>
      <c r="PMK102" s="83"/>
      <c r="PML102" s="83"/>
      <c r="PMM102" s="83"/>
      <c r="PMN102" s="83"/>
      <c r="PMO102" s="83"/>
      <c r="PMP102" s="83"/>
      <c r="PMQ102" s="83"/>
      <c r="PMR102" s="83"/>
      <c r="PMS102" s="83"/>
      <c r="PMT102" s="83"/>
      <c r="PMU102" s="83"/>
      <c r="PMV102" s="83"/>
      <c r="PMW102" s="83"/>
      <c r="PMX102" s="83"/>
      <c r="PMY102" s="83"/>
      <c r="PMZ102" s="83"/>
      <c r="PNA102" s="83"/>
      <c r="PNB102" s="83"/>
      <c r="PNC102" s="83"/>
      <c r="PND102" s="83"/>
      <c r="PNE102" s="83"/>
      <c r="PNF102" s="83"/>
      <c r="PNG102" s="83"/>
      <c r="PNH102" s="83"/>
      <c r="PNI102" s="83"/>
      <c r="PNJ102" s="83"/>
      <c r="PNK102" s="83"/>
      <c r="PNL102" s="83"/>
      <c r="PNM102" s="83"/>
      <c r="PNN102" s="83"/>
      <c r="PNO102" s="83"/>
      <c r="PNP102" s="83"/>
      <c r="PNQ102" s="83"/>
      <c r="PNR102" s="83"/>
      <c r="PNS102" s="83"/>
      <c r="PNT102" s="83"/>
      <c r="PNU102" s="83"/>
      <c r="PNV102" s="83"/>
      <c r="PNW102" s="83"/>
      <c r="PNX102" s="83"/>
      <c r="PNY102" s="83"/>
      <c r="PNZ102" s="83"/>
      <c r="POA102" s="83"/>
      <c r="POB102" s="83"/>
      <c r="POC102" s="83"/>
      <c r="POD102" s="83"/>
      <c r="POE102" s="83"/>
      <c r="POF102" s="83"/>
      <c r="POG102" s="83"/>
      <c r="POH102" s="83"/>
      <c r="POI102" s="83"/>
      <c r="POJ102" s="83"/>
      <c r="POK102" s="83"/>
      <c r="POL102" s="83"/>
      <c r="POM102" s="83"/>
      <c r="PON102" s="83"/>
      <c r="POO102" s="83"/>
      <c r="POP102" s="83"/>
      <c r="POQ102" s="83"/>
      <c r="POR102" s="83"/>
      <c r="POS102" s="83"/>
      <c r="POT102" s="83"/>
      <c r="POU102" s="83"/>
      <c r="POV102" s="83"/>
      <c r="POW102" s="83"/>
      <c r="POX102" s="83"/>
      <c r="POY102" s="83"/>
      <c r="POZ102" s="83"/>
      <c r="PPA102" s="83"/>
      <c r="PPB102" s="83"/>
      <c r="PPC102" s="83"/>
      <c r="PPD102" s="83"/>
      <c r="PPE102" s="83"/>
      <c r="PPF102" s="83"/>
      <c r="PPG102" s="83"/>
      <c r="PPH102" s="83"/>
      <c r="PPI102" s="83"/>
      <c r="PPJ102" s="83"/>
      <c r="PPK102" s="83"/>
      <c r="PPL102" s="83"/>
      <c r="PPM102" s="83"/>
      <c r="PPN102" s="83"/>
      <c r="PPO102" s="83"/>
      <c r="PPP102" s="83"/>
      <c r="PPQ102" s="83"/>
      <c r="PPR102" s="83"/>
      <c r="PPS102" s="83"/>
      <c r="PPT102" s="83"/>
      <c r="PPU102" s="83"/>
      <c r="PPV102" s="83"/>
      <c r="PPW102" s="83"/>
      <c r="PPX102" s="83"/>
      <c r="PPY102" s="83"/>
      <c r="PPZ102" s="83"/>
      <c r="PQA102" s="83"/>
      <c r="PQB102" s="83"/>
      <c r="PQC102" s="83"/>
      <c r="PQD102" s="83"/>
      <c r="PQE102" s="83"/>
      <c r="PQF102" s="83"/>
      <c r="PQG102" s="83"/>
      <c r="PQH102" s="83"/>
      <c r="PQI102" s="83"/>
      <c r="PQJ102" s="83"/>
      <c r="PQK102" s="83"/>
      <c r="PQL102" s="83"/>
      <c r="PQM102" s="83"/>
      <c r="PQN102" s="83"/>
      <c r="PQO102" s="83"/>
      <c r="PQP102" s="83"/>
      <c r="PQQ102" s="83"/>
      <c r="PQR102" s="83"/>
      <c r="PQS102" s="83"/>
      <c r="PQT102" s="83"/>
      <c r="PQU102" s="83"/>
      <c r="PQV102" s="83"/>
      <c r="PQW102" s="83"/>
      <c r="PQX102" s="83"/>
      <c r="PQY102" s="83"/>
      <c r="PQZ102" s="83"/>
      <c r="PRA102" s="83"/>
      <c r="PRB102" s="83"/>
      <c r="PRC102" s="83"/>
      <c r="PRD102" s="83"/>
      <c r="PRE102" s="83"/>
      <c r="PRF102" s="83"/>
      <c r="PRG102" s="83"/>
      <c r="PRH102" s="83"/>
      <c r="PRI102" s="83"/>
      <c r="PRJ102" s="83"/>
      <c r="PRK102" s="83"/>
      <c r="PRL102" s="83"/>
      <c r="PRM102" s="83"/>
      <c r="PRN102" s="83"/>
      <c r="PRO102" s="83"/>
      <c r="PRP102" s="83"/>
      <c r="PRQ102" s="83"/>
      <c r="PRR102" s="83"/>
      <c r="PRS102" s="83"/>
      <c r="PRT102" s="83"/>
      <c r="PRU102" s="83"/>
      <c r="PRV102" s="83"/>
      <c r="PRW102" s="83"/>
      <c r="PRX102" s="83"/>
      <c r="PRY102" s="83"/>
      <c r="PRZ102" s="83"/>
      <c r="PSA102" s="83"/>
      <c r="PSB102" s="83"/>
      <c r="PSC102" s="83"/>
      <c r="PSD102" s="83"/>
      <c r="PSE102" s="83"/>
      <c r="PSF102" s="83"/>
      <c r="PSG102" s="83"/>
      <c r="PSH102" s="83"/>
      <c r="PSI102" s="83"/>
      <c r="PSJ102" s="83"/>
      <c r="PSK102" s="83"/>
      <c r="PSL102" s="83"/>
      <c r="PSM102" s="83"/>
      <c r="PSN102" s="83"/>
      <c r="PSO102" s="83"/>
      <c r="PSP102" s="83"/>
      <c r="PSQ102" s="83"/>
      <c r="PSR102" s="83"/>
      <c r="PSS102" s="83"/>
      <c r="PST102" s="83"/>
      <c r="PSU102" s="83"/>
      <c r="PSV102" s="83"/>
      <c r="PSW102" s="83"/>
      <c r="PSX102" s="83"/>
      <c r="PSY102" s="83"/>
      <c r="PSZ102" s="83"/>
      <c r="PTA102" s="83"/>
      <c r="PTB102" s="83"/>
      <c r="PTC102" s="83"/>
      <c r="PTD102" s="83"/>
      <c r="PTE102" s="83"/>
      <c r="PTF102" s="83"/>
      <c r="PTG102" s="83"/>
      <c r="PTH102" s="83"/>
      <c r="PTI102" s="83"/>
      <c r="PTJ102" s="83"/>
      <c r="PTK102" s="83"/>
      <c r="PTL102" s="83"/>
      <c r="PTM102" s="83"/>
      <c r="PTN102" s="83"/>
      <c r="PTO102" s="83"/>
      <c r="PTP102" s="83"/>
      <c r="PTQ102" s="83"/>
      <c r="PTR102" s="83"/>
      <c r="PTS102" s="83"/>
      <c r="PTT102" s="83"/>
      <c r="PTU102" s="83"/>
      <c r="PTV102" s="83"/>
      <c r="PTW102" s="83"/>
      <c r="PTX102" s="83"/>
      <c r="PTY102" s="83"/>
      <c r="PTZ102" s="83"/>
      <c r="PUA102" s="83"/>
      <c r="PUB102" s="83"/>
      <c r="PUC102" s="83"/>
      <c r="PUD102" s="83"/>
      <c r="PUE102" s="83"/>
      <c r="PUF102" s="83"/>
      <c r="PUG102" s="83"/>
      <c r="PUH102" s="83"/>
      <c r="PUI102" s="83"/>
      <c r="PUJ102" s="83"/>
      <c r="PUK102" s="83"/>
      <c r="PUL102" s="83"/>
      <c r="PUM102" s="83"/>
      <c r="PUN102" s="83"/>
      <c r="PUO102" s="83"/>
      <c r="PUP102" s="83"/>
      <c r="PUQ102" s="83"/>
      <c r="PUR102" s="83"/>
      <c r="PUS102" s="83"/>
      <c r="PUT102" s="83"/>
      <c r="PUU102" s="83"/>
      <c r="PUV102" s="83"/>
      <c r="PUW102" s="83"/>
      <c r="PUX102" s="83"/>
      <c r="PUY102" s="83"/>
      <c r="PUZ102" s="83"/>
      <c r="PVA102" s="83"/>
      <c r="PVB102" s="83"/>
      <c r="PVC102" s="83"/>
      <c r="PVD102" s="83"/>
      <c r="PVE102" s="83"/>
      <c r="PVF102" s="83"/>
      <c r="PVG102" s="83"/>
      <c r="PVH102" s="83"/>
      <c r="PVI102" s="83"/>
      <c r="PVJ102" s="83"/>
      <c r="PVK102" s="83"/>
      <c r="PVL102" s="83"/>
      <c r="PVM102" s="83"/>
      <c r="PVN102" s="83"/>
      <c r="PVO102" s="83"/>
      <c r="PVP102" s="83"/>
      <c r="PVQ102" s="83"/>
      <c r="PVR102" s="83"/>
      <c r="PVS102" s="83"/>
      <c r="PVT102" s="83"/>
      <c r="PVU102" s="83"/>
      <c r="PVV102" s="83"/>
      <c r="PVW102" s="83"/>
      <c r="PVX102" s="83"/>
      <c r="PVY102" s="83"/>
      <c r="PVZ102" s="83"/>
      <c r="PWA102" s="83"/>
      <c r="PWB102" s="83"/>
      <c r="PWC102" s="83"/>
      <c r="PWD102" s="83"/>
      <c r="PWE102" s="83"/>
      <c r="PWF102" s="83"/>
      <c r="PWG102" s="83"/>
      <c r="PWH102" s="83"/>
      <c r="PWI102" s="83"/>
      <c r="PWJ102" s="83"/>
      <c r="PWK102" s="83"/>
      <c r="PWL102" s="83"/>
      <c r="PWM102" s="83"/>
      <c r="PWN102" s="83"/>
      <c r="PWO102" s="83"/>
      <c r="PWP102" s="83"/>
      <c r="PWQ102" s="83"/>
      <c r="PWR102" s="83"/>
      <c r="PWS102" s="83"/>
      <c r="PWT102" s="83"/>
      <c r="PWU102" s="83"/>
      <c r="PWV102" s="83"/>
      <c r="PWW102" s="83"/>
      <c r="PWX102" s="83"/>
      <c r="PWY102" s="83"/>
      <c r="PWZ102" s="83"/>
      <c r="PXA102" s="83"/>
      <c r="PXB102" s="83"/>
      <c r="PXC102" s="83"/>
      <c r="PXD102" s="83"/>
      <c r="PXE102" s="83"/>
      <c r="PXF102" s="83"/>
      <c r="PXG102" s="83"/>
      <c r="PXH102" s="83"/>
      <c r="PXI102" s="83"/>
      <c r="PXJ102" s="83"/>
      <c r="PXK102" s="83"/>
      <c r="PXL102" s="83"/>
      <c r="PXM102" s="83"/>
      <c r="PXN102" s="83"/>
      <c r="PXO102" s="83"/>
      <c r="PXP102" s="83"/>
      <c r="PXQ102" s="83"/>
      <c r="PXR102" s="83"/>
      <c r="PXS102" s="83"/>
      <c r="PXT102" s="83"/>
      <c r="PXU102" s="83"/>
      <c r="PXV102" s="83"/>
      <c r="PXW102" s="83"/>
      <c r="PXX102" s="83"/>
      <c r="PXY102" s="83"/>
      <c r="PXZ102" s="83"/>
      <c r="PYA102" s="83"/>
      <c r="PYB102" s="83"/>
      <c r="PYC102" s="83"/>
      <c r="PYD102" s="83"/>
      <c r="PYE102" s="83"/>
      <c r="PYF102" s="83"/>
      <c r="PYG102" s="83"/>
      <c r="PYH102" s="83"/>
      <c r="PYI102" s="83"/>
      <c r="PYJ102" s="83"/>
      <c r="PYK102" s="83"/>
      <c r="PYL102" s="83"/>
      <c r="PYM102" s="83"/>
      <c r="PYN102" s="83"/>
      <c r="PYO102" s="83"/>
      <c r="PYP102" s="83"/>
      <c r="PYQ102" s="83"/>
      <c r="PYR102" s="83"/>
      <c r="PYS102" s="83"/>
      <c r="PYT102" s="83"/>
      <c r="PYU102" s="83"/>
      <c r="PYV102" s="83"/>
      <c r="PYW102" s="83"/>
      <c r="PYX102" s="83"/>
      <c r="PYY102" s="83"/>
      <c r="PYZ102" s="83"/>
      <c r="PZA102" s="83"/>
      <c r="PZB102" s="83"/>
      <c r="PZC102" s="83"/>
      <c r="PZD102" s="83"/>
      <c r="PZE102" s="83"/>
      <c r="PZF102" s="83"/>
      <c r="PZG102" s="83"/>
      <c r="PZH102" s="83"/>
      <c r="PZI102" s="83"/>
      <c r="PZJ102" s="83"/>
      <c r="PZK102" s="83"/>
      <c r="PZL102" s="83"/>
      <c r="PZM102" s="83"/>
      <c r="PZN102" s="83"/>
      <c r="PZO102" s="83"/>
      <c r="PZP102" s="83"/>
      <c r="PZQ102" s="83"/>
      <c r="PZR102" s="83"/>
      <c r="PZS102" s="83"/>
      <c r="PZT102" s="83"/>
      <c r="PZU102" s="83"/>
      <c r="PZV102" s="83"/>
      <c r="PZW102" s="83"/>
      <c r="PZX102" s="83"/>
      <c r="PZY102" s="83"/>
      <c r="PZZ102" s="83"/>
      <c r="QAA102" s="83"/>
      <c r="QAB102" s="83"/>
      <c r="QAC102" s="83"/>
      <c r="QAD102" s="83"/>
      <c r="QAE102" s="83"/>
      <c r="QAF102" s="83"/>
      <c r="QAG102" s="83"/>
      <c r="QAH102" s="83"/>
      <c r="QAI102" s="83"/>
      <c r="QAJ102" s="83"/>
      <c r="QAK102" s="83"/>
      <c r="QAL102" s="83"/>
      <c r="QAM102" s="83"/>
      <c r="QAN102" s="83"/>
      <c r="QAO102" s="83"/>
      <c r="QAP102" s="83"/>
      <c r="QAQ102" s="83"/>
      <c r="QAR102" s="83"/>
      <c r="QAS102" s="83"/>
      <c r="QAT102" s="83"/>
      <c r="QAU102" s="83"/>
      <c r="QAV102" s="83"/>
      <c r="QAW102" s="83"/>
      <c r="QAX102" s="83"/>
      <c r="QAY102" s="83"/>
      <c r="QAZ102" s="83"/>
      <c r="QBA102" s="83"/>
      <c r="QBB102" s="83"/>
      <c r="QBC102" s="83"/>
      <c r="QBD102" s="83"/>
      <c r="QBE102" s="83"/>
      <c r="QBF102" s="83"/>
      <c r="QBG102" s="83"/>
      <c r="QBH102" s="83"/>
      <c r="QBI102" s="83"/>
      <c r="QBJ102" s="83"/>
      <c r="QBK102" s="83"/>
      <c r="QBL102" s="83"/>
      <c r="QBM102" s="83"/>
      <c r="QBN102" s="83"/>
      <c r="QBO102" s="83"/>
      <c r="QBP102" s="83"/>
      <c r="QBQ102" s="83"/>
      <c r="QBR102" s="83"/>
      <c r="QBS102" s="83"/>
      <c r="QBT102" s="83"/>
      <c r="QBU102" s="83"/>
      <c r="QBV102" s="83"/>
      <c r="QBW102" s="83"/>
      <c r="QBX102" s="83"/>
      <c r="QBY102" s="83"/>
      <c r="QBZ102" s="83"/>
      <c r="QCA102" s="83"/>
      <c r="QCB102" s="83"/>
      <c r="QCC102" s="83"/>
      <c r="QCD102" s="83"/>
      <c r="QCE102" s="83"/>
      <c r="QCF102" s="83"/>
      <c r="QCG102" s="83"/>
      <c r="QCH102" s="83"/>
      <c r="QCI102" s="83"/>
      <c r="QCJ102" s="83"/>
      <c r="QCK102" s="83"/>
      <c r="QCL102" s="83"/>
      <c r="QCM102" s="83"/>
      <c r="QCN102" s="83"/>
      <c r="QCO102" s="83"/>
      <c r="QCP102" s="83"/>
      <c r="QCQ102" s="83"/>
      <c r="QCR102" s="83"/>
      <c r="QCS102" s="83"/>
      <c r="QCT102" s="83"/>
      <c r="QCU102" s="83"/>
      <c r="QCV102" s="83"/>
      <c r="QCW102" s="83"/>
      <c r="QCX102" s="83"/>
      <c r="QCY102" s="83"/>
      <c r="QCZ102" s="83"/>
      <c r="QDA102" s="83"/>
      <c r="QDB102" s="83"/>
      <c r="QDC102" s="83"/>
      <c r="QDD102" s="83"/>
      <c r="QDE102" s="83"/>
      <c r="QDF102" s="83"/>
      <c r="QDG102" s="83"/>
      <c r="QDH102" s="83"/>
      <c r="QDI102" s="83"/>
      <c r="QDJ102" s="83"/>
      <c r="QDK102" s="83"/>
      <c r="QDL102" s="83"/>
      <c r="QDM102" s="83"/>
      <c r="QDN102" s="83"/>
      <c r="QDO102" s="83"/>
      <c r="QDP102" s="83"/>
      <c r="QDQ102" s="83"/>
      <c r="QDR102" s="83"/>
      <c r="QDS102" s="83"/>
      <c r="QDT102" s="83"/>
      <c r="QDU102" s="83"/>
      <c r="QDV102" s="83"/>
      <c r="QDW102" s="83"/>
      <c r="QDX102" s="83"/>
      <c r="QDY102" s="83"/>
      <c r="QDZ102" s="83"/>
      <c r="QEA102" s="83"/>
      <c r="QEB102" s="83"/>
      <c r="QEC102" s="83"/>
      <c r="QED102" s="83"/>
      <c r="QEE102" s="83"/>
      <c r="QEF102" s="83"/>
      <c r="QEG102" s="83"/>
      <c r="QEH102" s="83"/>
      <c r="QEI102" s="83"/>
      <c r="QEJ102" s="83"/>
      <c r="QEK102" s="83"/>
      <c r="QEL102" s="83"/>
      <c r="QEM102" s="83"/>
      <c r="QEN102" s="83"/>
      <c r="QEO102" s="83"/>
      <c r="QEP102" s="83"/>
      <c r="QEQ102" s="83"/>
      <c r="QER102" s="83"/>
      <c r="QES102" s="83"/>
      <c r="QET102" s="83"/>
      <c r="QEU102" s="83"/>
      <c r="QEV102" s="83"/>
      <c r="QEW102" s="83"/>
      <c r="QEX102" s="83"/>
      <c r="QEY102" s="83"/>
      <c r="QEZ102" s="83"/>
      <c r="QFA102" s="83"/>
      <c r="QFB102" s="83"/>
      <c r="QFC102" s="83"/>
      <c r="QFD102" s="83"/>
      <c r="QFE102" s="83"/>
      <c r="QFF102" s="83"/>
      <c r="QFG102" s="83"/>
      <c r="QFH102" s="83"/>
      <c r="QFI102" s="83"/>
      <c r="QFJ102" s="83"/>
      <c r="QFK102" s="83"/>
      <c r="QFL102" s="83"/>
      <c r="QFM102" s="83"/>
      <c r="QFN102" s="83"/>
      <c r="QFO102" s="83"/>
      <c r="QFP102" s="83"/>
      <c r="QFQ102" s="83"/>
      <c r="QFR102" s="83"/>
      <c r="QFS102" s="83"/>
      <c r="QFT102" s="83"/>
      <c r="QFU102" s="83"/>
      <c r="QFV102" s="83"/>
      <c r="QFW102" s="83"/>
      <c r="QFX102" s="83"/>
      <c r="QFY102" s="83"/>
      <c r="QFZ102" s="83"/>
      <c r="QGA102" s="83"/>
      <c r="QGB102" s="83"/>
      <c r="QGC102" s="83"/>
      <c r="QGD102" s="83"/>
      <c r="QGE102" s="83"/>
      <c r="QGF102" s="83"/>
      <c r="QGG102" s="83"/>
      <c r="QGH102" s="83"/>
      <c r="QGI102" s="83"/>
      <c r="QGJ102" s="83"/>
      <c r="QGK102" s="83"/>
      <c r="QGL102" s="83"/>
      <c r="QGM102" s="83"/>
      <c r="QGN102" s="83"/>
      <c r="QGO102" s="83"/>
      <c r="QGP102" s="83"/>
      <c r="QGQ102" s="83"/>
      <c r="QGR102" s="83"/>
      <c r="QGS102" s="83"/>
      <c r="QGT102" s="83"/>
      <c r="QGU102" s="83"/>
      <c r="QGV102" s="83"/>
      <c r="QGW102" s="83"/>
      <c r="QGX102" s="83"/>
      <c r="QGY102" s="83"/>
      <c r="QGZ102" s="83"/>
      <c r="QHA102" s="83"/>
      <c r="QHB102" s="83"/>
      <c r="QHC102" s="83"/>
      <c r="QHD102" s="83"/>
      <c r="QHE102" s="83"/>
      <c r="QHF102" s="83"/>
      <c r="QHG102" s="83"/>
      <c r="QHH102" s="83"/>
      <c r="QHI102" s="83"/>
      <c r="QHJ102" s="83"/>
      <c r="QHK102" s="83"/>
      <c r="QHL102" s="83"/>
      <c r="QHM102" s="83"/>
      <c r="QHN102" s="83"/>
      <c r="QHO102" s="83"/>
      <c r="QHP102" s="83"/>
      <c r="QHQ102" s="83"/>
      <c r="QHR102" s="83"/>
      <c r="QHS102" s="83"/>
      <c r="QHT102" s="83"/>
      <c r="QHU102" s="83"/>
      <c r="QHV102" s="83"/>
      <c r="QHW102" s="83"/>
      <c r="QHX102" s="83"/>
      <c r="QHY102" s="83"/>
      <c r="QHZ102" s="83"/>
      <c r="QIA102" s="83"/>
      <c r="QIB102" s="83"/>
      <c r="QIC102" s="83"/>
      <c r="QID102" s="83"/>
      <c r="QIE102" s="83"/>
      <c r="QIF102" s="83"/>
      <c r="QIG102" s="83"/>
      <c r="QIH102" s="83"/>
      <c r="QII102" s="83"/>
      <c r="QIJ102" s="83"/>
      <c r="QIK102" s="83"/>
      <c r="QIL102" s="83"/>
      <c r="QIM102" s="83"/>
      <c r="QIN102" s="83"/>
      <c r="QIO102" s="83"/>
      <c r="QIP102" s="83"/>
      <c r="QIQ102" s="83"/>
      <c r="QIR102" s="83"/>
      <c r="QIS102" s="83"/>
      <c r="QIT102" s="83"/>
      <c r="QIU102" s="83"/>
      <c r="QIV102" s="83"/>
      <c r="QIW102" s="83"/>
      <c r="QIX102" s="83"/>
      <c r="QIY102" s="83"/>
      <c r="QIZ102" s="83"/>
      <c r="QJA102" s="83"/>
      <c r="QJB102" s="83"/>
      <c r="QJC102" s="83"/>
      <c r="QJD102" s="83"/>
      <c r="QJE102" s="83"/>
      <c r="QJF102" s="83"/>
      <c r="QJG102" s="83"/>
      <c r="QJH102" s="83"/>
      <c r="QJI102" s="83"/>
      <c r="QJJ102" s="83"/>
      <c r="QJK102" s="83"/>
      <c r="QJL102" s="83"/>
      <c r="QJM102" s="83"/>
      <c r="QJN102" s="83"/>
      <c r="QJO102" s="83"/>
      <c r="QJP102" s="83"/>
      <c r="QJQ102" s="83"/>
      <c r="QJR102" s="83"/>
      <c r="QJS102" s="83"/>
      <c r="QJT102" s="83"/>
      <c r="QJU102" s="83"/>
      <c r="QJV102" s="83"/>
      <c r="QJW102" s="83"/>
      <c r="QJX102" s="83"/>
      <c r="QJY102" s="83"/>
      <c r="QJZ102" s="83"/>
      <c r="QKA102" s="83"/>
      <c r="QKB102" s="83"/>
      <c r="QKC102" s="83"/>
      <c r="QKD102" s="83"/>
      <c r="QKE102" s="83"/>
      <c r="QKF102" s="83"/>
      <c r="QKG102" s="83"/>
      <c r="QKH102" s="83"/>
      <c r="QKI102" s="83"/>
      <c r="QKJ102" s="83"/>
      <c r="QKK102" s="83"/>
      <c r="QKL102" s="83"/>
      <c r="QKM102" s="83"/>
      <c r="QKN102" s="83"/>
      <c r="QKO102" s="83"/>
      <c r="QKP102" s="83"/>
      <c r="QKQ102" s="83"/>
      <c r="QKR102" s="83"/>
      <c r="QKS102" s="83"/>
      <c r="QKT102" s="83"/>
      <c r="QKU102" s="83"/>
      <c r="QKV102" s="83"/>
      <c r="QKW102" s="83"/>
      <c r="QKX102" s="83"/>
      <c r="QKY102" s="83"/>
      <c r="QKZ102" s="83"/>
      <c r="QLA102" s="83"/>
      <c r="QLB102" s="83"/>
      <c r="QLC102" s="83"/>
      <c r="QLD102" s="83"/>
      <c r="QLE102" s="83"/>
      <c r="QLF102" s="83"/>
      <c r="QLG102" s="83"/>
      <c r="QLH102" s="83"/>
      <c r="QLI102" s="83"/>
      <c r="QLJ102" s="83"/>
      <c r="QLK102" s="83"/>
      <c r="QLL102" s="83"/>
      <c r="QLM102" s="83"/>
      <c r="QLN102" s="83"/>
      <c r="QLO102" s="83"/>
      <c r="QLP102" s="83"/>
      <c r="QLQ102" s="83"/>
      <c r="QLR102" s="83"/>
      <c r="QLS102" s="83"/>
      <c r="QLT102" s="83"/>
      <c r="QLU102" s="83"/>
      <c r="QLV102" s="83"/>
      <c r="QLW102" s="83"/>
      <c r="QLX102" s="83"/>
      <c r="QLY102" s="83"/>
      <c r="QLZ102" s="83"/>
      <c r="QMA102" s="83"/>
      <c r="QMB102" s="83"/>
      <c r="QMC102" s="83"/>
      <c r="QMD102" s="83"/>
      <c r="QME102" s="83"/>
      <c r="QMF102" s="83"/>
      <c r="QMG102" s="83"/>
      <c r="QMH102" s="83"/>
      <c r="QMI102" s="83"/>
      <c r="QMJ102" s="83"/>
      <c r="QMK102" s="83"/>
      <c r="QML102" s="83"/>
      <c r="QMM102" s="83"/>
      <c r="QMN102" s="83"/>
      <c r="QMO102" s="83"/>
      <c r="QMP102" s="83"/>
      <c r="QMQ102" s="83"/>
      <c r="QMR102" s="83"/>
      <c r="QMS102" s="83"/>
      <c r="QMT102" s="83"/>
      <c r="QMU102" s="83"/>
      <c r="QMV102" s="83"/>
      <c r="QMW102" s="83"/>
      <c r="QMX102" s="83"/>
      <c r="QMY102" s="83"/>
      <c r="QMZ102" s="83"/>
      <c r="QNA102" s="83"/>
      <c r="QNB102" s="83"/>
      <c r="QNC102" s="83"/>
      <c r="QND102" s="83"/>
      <c r="QNE102" s="83"/>
      <c r="QNF102" s="83"/>
      <c r="QNG102" s="83"/>
      <c r="QNH102" s="83"/>
      <c r="QNI102" s="83"/>
      <c r="QNJ102" s="83"/>
      <c r="QNK102" s="83"/>
      <c r="QNL102" s="83"/>
      <c r="QNM102" s="83"/>
      <c r="QNN102" s="83"/>
      <c r="QNO102" s="83"/>
      <c r="QNP102" s="83"/>
      <c r="QNQ102" s="83"/>
      <c r="QNR102" s="83"/>
      <c r="QNS102" s="83"/>
      <c r="QNT102" s="83"/>
      <c r="QNU102" s="83"/>
      <c r="QNV102" s="83"/>
      <c r="QNW102" s="83"/>
      <c r="QNX102" s="83"/>
      <c r="QNY102" s="83"/>
      <c r="QNZ102" s="83"/>
      <c r="QOA102" s="83"/>
      <c r="QOB102" s="83"/>
      <c r="QOC102" s="83"/>
      <c r="QOD102" s="83"/>
      <c r="QOE102" s="83"/>
      <c r="QOF102" s="83"/>
      <c r="QOG102" s="83"/>
      <c r="QOH102" s="83"/>
      <c r="QOI102" s="83"/>
      <c r="QOJ102" s="83"/>
      <c r="QOK102" s="83"/>
      <c r="QOL102" s="83"/>
      <c r="QOM102" s="83"/>
      <c r="QON102" s="83"/>
      <c r="QOO102" s="83"/>
      <c r="QOP102" s="83"/>
      <c r="QOQ102" s="83"/>
      <c r="QOR102" s="83"/>
      <c r="QOS102" s="83"/>
      <c r="QOT102" s="83"/>
      <c r="QOU102" s="83"/>
      <c r="QOV102" s="83"/>
      <c r="QOW102" s="83"/>
      <c r="QOX102" s="83"/>
      <c r="QOY102" s="83"/>
      <c r="QOZ102" s="83"/>
      <c r="QPA102" s="83"/>
      <c r="QPB102" s="83"/>
      <c r="QPC102" s="83"/>
      <c r="QPD102" s="83"/>
      <c r="QPE102" s="83"/>
      <c r="QPF102" s="83"/>
      <c r="QPG102" s="83"/>
      <c r="QPH102" s="83"/>
      <c r="QPI102" s="83"/>
      <c r="QPJ102" s="83"/>
      <c r="QPK102" s="83"/>
      <c r="QPL102" s="83"/>
      <c r="QPM102" s="83"/>
      <c r="QPN102" s="83"/>
      <c r="QPO102" s="83"/>
      <c r="QPP102" s="83"/>
      <c r="QPQ102" s="83"/>
      <c r="QPR102" s="83"/>
      <c r="QPS102" s="83"/>
      <c r="QPT102" s="83"/>
      <c r="QPU102" s="83"/>
      <c r="QPV102" s="83"/>
      <c r="QPW102" s="83"/>
      <c r="QPX102" s="83"/>
      <c r="QPY102" s="83"/>
      <c r="QPZ102" s="83"/>
      <c r="QQA102" s="83"/>
      <c r="QQB102" s="83"/>
      <c r="QQC102" s="83"/>
      <c r="QQD102" s="83"/>
      <c r="QQE102" s="83"/>
      <c r="QQF102" s="83"/>
      <c r="QQG102" s="83"/>
      <c r="QQH102" s="83"/>
      <c r="QQI102" s="83"/>
      <c r="QQJ102" s="83"/>
      <c r="QQK102" s="83"/>
      <c r="QQL102" s="83"/>
      <c r="QQM102" s="83"/>
      <c r="QQN102" s="83"/>
      <c r="QQO102" s="83"/>
      <c r="QQP102" s="83"/>
      <c r="QQQ102" s="83"/>
      <c r="QQR102" s="83"/>
      <c r="QQS102" s="83"/>
      <c r="QQT102" s="83"/>
      <c r="QQU102" s="83"/>
      <c r="QQV102" s="83"/>
      <c r="QQW102" s="83"/>
      <c r="QQX102" s="83"/>
      <c r="QQY102" s="83"/>
      <c r="QQZ102" s="83"/>
      <c r="QRA102" s="83"/>
      <c r="QRB102" s="83"/>
      <c r="QRC102" s="83"/>
      <c r="QRD102" s="83"/>
      <c r="QRE102" s="83"/>
      <c r="QRF102" s="83"/>
      <c r="QRG102" s="83"/>
      <c r="QRH102" s="83"/>
      <c r="QRI102" s="83"/>
      <c r="QRJ102" s="83"/>
      <c r="QRK102" s="83"/>
      <c r="QRL102" s="83"/>
      <c r="QRM102" s="83"/>
      <c r="QRN102" s="83"/>
      <c r="QRO102" s="83"/>
      <c r="QRP102" s="83"/>
      <c r="QRQ102" s="83"/>
      <c r="QRR102" s="83"/>
      <c r="QRS102" s="83"/>
      <c r="QRT102" s="83"/>
      <c r="QRU102" s="83"/>
      <c r="QRV102" s="83"/>
      <c r="QRW102" s="83"/>
      <c r="QRX102" s="83"/>
      <c r="QRY102" s="83"/>
      <c r="QRZ102" s="83"/>
      <c r="QSA102" s="83"/>
      <c r="QSB102" s="83"/>
      <c r="QSC102" s="83"/>
      <c r="QSD102" s="83"/>
      <c r="QSE102" s="83"/>
      <c r="QSF102" s="83"/>
      <c r="QSG102" s="83"/>
      <c r="QSH102" s="83"/>
      <c r="QSI102" s="83"/>
      <c r="QSJ102" s="83"/>
      <c r="QSK102" s="83"/>
      <c r="QSL102" s="83"/>
      <c r="QSM102" s="83"/>
      <c r="QSN102" s="83"/>
      <c r="QSO102" s="83"/>
      <c r="QSP102" s="83"/>
      <c r="QSQ102" s="83"/>
      <c r="QSR102" s="83"/>
      <c r="QSS102" s="83"/>
      <c r="QST102" s="83"/>
      <c r="QSU102" s="83"/>
      <c r="QSV102" s="83"/>
      <c r="QSW102" s="83"/>
      <c r="QSX102" s="83"/>
      <c r="QSY102" s="83"/>
      <c r="QSZ102" s="83"/>
      <c r="QTA102" s="83"/>
      <c r="QTB102" s="83"/>
      <c r="QTC102" s="83"/>
      <c r="QTD102" s="83"/>
      <c r="QTE102" s="83"/>
      <c r="QTF102" s="83"/>
      <c r="QTG102" s="83"/>
      <c r="QTH102" s="83"/>
      <c r="QTI102" s="83"/>
      <c r="QTJ102" s="83"/>
      <c r="QTK102" s="83"/>
      <c r="QTL102" s="83"/>
      <c r="QTM102" s="83"/>
      <c r="QTN102" s="83"/>
      <c r="QTO102" s="83"/>
      <c r="QTP102" s="83"/>
      <c r="QTQ102" s="83"/>
      <c r="QTR102" s="83"/>
      <c r="QTS102" s="83"/>
      <c r="QTT102" s="83"/>
      <c r="QTU102" s="83"/>
      <c r="QTV102" s="83"/>
      <c r="QTW102" s="83"/>
      <c r="QTX102" s="83"/>
      <c r="QTY102" s="83"/>
      <c r="QTZ102" s="83"/>
      <c r="QUA102" s="83"/>
      <c r="QUB102" s="83"/>
      <c r="QUC102" s="83"/>
      <c r="QUD102" s="83"/>
      <c r="QUE102" s="83"/>
      <c r="QUF102" s="83"/>
      <c r="QUG102" s="83"/>
      <c r="QUH102" s="83"/>
      <c r="QUI102" s="83"/>
      <c r="QUJ102" s="83"/>
      <c r="QUK102" s="83"/>
      <c r="QUL102" s="83"/>
      <c r="QUM102" s="83"/>
      <c r="QUN102" s="83"/>
      <c r="QUO102" s="83"/>
      <c r="QUP102" s="83"/>
      <c r="QUQ102" s="83"/>
      <c r="QUR102" s="83"/>
      <c r="QUS102" s="83"/>
      <c r="QUT102" s="83"/>
      <c r="QUU102" s="83"/>
      <c r="QUV102" s="83"/>
      <c r="QUW102" s="83"/>
      <c r="QUX102" s="83"/>
      <c r="QUY102" s="83"/>
      <c r="QUZ102" s="83"/>
      <c r="QVA102" s="83"/>
      <c r="QVB102" s="83"/>
      <c r="QVC102" s="83"/>
      <c r="QVD102" s="83"/>
      <c r="QVE102" s="83"/>
      <c r="QVF102" s="83"/>
      <c r="QVG102" s="83"/>
      <c r="QVH102" s="83"/>
      <c r="QVI102" s="83"/>
      <c r="QVJ102" s="83"/>
      <c r="QVK102" s="83"/>
      <c r="QVL102" s="83"/>
      <c r="QVM102" s="83"/>
      <c r="QVN102" s="83"/>
      <c r="QVO102" s="83"/>
      <c r="QVP102" s="83"/>
      <c r="QVQ102" s="83"/>
      <c r="QVR102" s="83"/>
      <c r="QVS102" s="83"/>
      <c r="QVT102" s="83"/>
      <c r="QVU102" s="83"/>
      <c r="QVV102" s="83"/>
      <c r="QVW102" s="83"/>
      <c r="QVX102" s="83"/>
      <c r="QVY102" s="83"/>
      <c r="QVZ102" s="83"/>
      <c r="QWA102" s="83"/>
      <c r="QWB102" s="83"/>
      <c r="QWC102" s="83"/>
      <c r="QWD102" s="83"/>
      <c r="QWE102" s="83"/>
      <c r="QWF102" s="83"/>
      <c r="QWG102" s="83"/>
      <c r="QWH102" s="83"/>
      <c r="QWI102" s="83"/>
      <c r="QWJ102" s="83"/>
      <c r="QWK102" s="83"/>
      <c r="QWL102" s="83"/>
      <c r="QWM102" s="83"/>
      <c r="QWN102" s="83"/>
      <c r="QWO102" s="83"/>
      <c r="QWP102" s="83"/>
      <c r="QWQ102" s="83"/>
      <c r="QWR102" s="83"/>
      <c r="QWS102" s="83"/>
      <c r="QWT102" s="83"/>
      <c r="QWU102" s="83"/>
      <c r="QWV102" s="83"/>
      <c r="QWW102" s="83"/>
      <c r="QWX102" s="83"/>
      <c r="QWY102" s="83"/>
      <c r="QWZ102" s="83"/>
      <c r="QXA102" s="83"/>
      <c r="QXB102" s="83"/>
      <c r="QXC102" s="83"/>
      <c r="QXD102" s="83"/>
      <c r="QXE102" s="83"/>
      <c r="QXF102" s="83"/>
      <c r="QXG102" s="83"/>
      <c r="QXH102" s="83"/>
      <c r="QXI102" s="83"/>
      <c r="QXJ102" s="83"/>
      <c r="QXK102" s="83"/>
      <c r="QXL102" s="83"/>
      <c r="QXM102" s="83"/>
      <c r="QXN102" s="83"/>
      <c r="QXO102" s="83"/>
      <c r="QXP102" s="83"/>
      <c r="QXQ102" s="83"/>
      <c r="QXR102" s="83"/>
      <c r="QXS102" s="83"/>
      <c r="QXT102" s="83"/>
      <c r="QXU102" s="83"/>
      <c r="QXV102" s="83"/>
      <c r="QXW102" s="83"/>
      <c r="QXX102" s="83"/>
      <c r="QXY102" s="83"/>
      <c r="QXZ102" s="83"/>
      <c r="QYA102" s="83"/>
      <c r="QYB102" s="83"/>
      <c r="QYC102" s="83"/>
      <c r="QYD102" s="83"/>
      <c r="QYE102" s="83"/>
      <c r="QYF102" s="83"/>
      <c r="QYG102" s="83"/>
      <c r="QYH102" s="83"/>
      <c r="QYI102" s="83"/>
      <c r="QYJ102" s="83"/>
      <c r="QYK102" s="83"/>
      <c r="QYL102" s="83"/>
      <c r="QYM102" s="83"/>
      <c r="QYN102" s="83"/>
      <c r="QYO102" s="83"/>
      <c r="QYP102" s="83"/>
      <c r="QYQ102" s="83"/>
      <c r="QYR102" s="83"/>
      <c r="QYS102" s="83"/>
      <c r="QYT102" s="83"/>
      <c r="QYU102" s="83"/>
      <c r="QYV102" s="83"/>
      <c r="QYW102" s="83"/>
      <c r="QYX102" s="83"/>
      <c r="QYY102" s="83"/>
      <c r="QYZ102" s="83"/>
      <c r="QZA102" s="83"/>
      <c r="QZB102" s="83"/>
      <c r="QZC102" s="83"/>
      <c r="QZD102" s="83"/>
      <c r="QZE102" s="83"/>
      <c r="QZF102" s="83"/>
      <c r="QZG102" s="83"/>
      <c r="QZH102" s="83"/>
      <c r="QZI102" s="83"/>
      <c r="QZJ102" s="83"/>
      <c r="QZK102" s="83"/>
      <c r="QZL102" s="83"/>
      <c r="QZM102" s="83"/>
      <c r="QZN102" s="83"/>
      <c r="QZO102" s="83"/>
      <c r="QZP102" s="83"/>
      <c r="QZQ102" s="83"/>
      <c r="QZR102" s="83"/>
      <c r="QZS102" s="83"/>
      <c r="QZT102" s="83"/>
      <c r="QZU102" s="83"/>
      <c r="QZV102" s="83"/>
      <c r="QZW102" s="83"/>
      <c r="QZX102" s="83"/>
      <c r="QZY102" s="83"/>
      <c r="QZZ102" s="83"/>
      <c r="RAA102" s="83"/>
      <c r="RAB102" s="83"/>
      <c r="RAC102" s="83"/>
      <c r="RAD102" s="83"/>
      <c r="RAE102" s="83"/>
      <c r="RAF102" s="83"/>
      <c r="RAG102" s="83"/>
      <c r="RAH102" s="83"/>
      <c r="RAI102" s="83"/>
      <c r="RAJ102" s="83"/>
      <c r="RAK102" s="83"/>
      <c r="RAL102" s="83"/>
      <c r="RAM102" s="83"/>
      <c r="RAN102" s="83"/>
      <c r="RAO102" s="83"/>
      <c r="RAP102" s="83"/>
      <c r="RAQ102" s="83"/>
      <c r="RAR102" s="83"/>
      <c r="RAS102" s="83"/>
      <c r="RAT102" s="83"/>
      <c r="RAU102" s="83"/>
      <c r="RAV102" s="83"/>
      <c r="RAW102" s="83"/>
      <c r="RAX102" s="83"/>
      <c r="RAY102" s="83"/>
      <c r="RAZ102" s="83"/>
      <c r="RBA102" s="83"/>
      <c r="RBB102" s="83"/>
      <c r="RBC102" s="83"/>
      <c r="RBD102" s="83"/>
      <c r="RBE102" s="83"/>
      <c r="RBF102" s="83"/>
      <c r="RBG102" s="83"/>
      <c r="RBH102" s="83"/>
      <c r="RBI102" s="83"/>
      <c r="RBJ102" s="83"/>
      <c r="RBK102" s="83"/>
      <c r="RBL102" s="83"/>
      <c r="RBM102" s="83"/>
      <c r="RBN102" s="83"/>
      <c r="RBO102" s="83"/>
      <c r="RBP102" s="83"/>
      <c r="RBQ102" s="83"/>
      <c r="RBR102" s="83"/>
      <c r="RBS102" s="83"/>
      <c r="RBT102" s="83"/>
      <c r="RBU102" s="83"/>
      <c r="RBV102" s="83"/>
      <c r="RBW102" s="83"/>
      <c r="RBX102" s="83"/>
      <c r="RBY102" s="83"/>
      <c r="RBZ102" s="83"/>
      <c r="RCA102" s="83"/>
      <c r="RCB102" s="83"/>
      <c r="RCC102" s="83"/>
      <c r="RCD102" s="83"/>
      <c r="RCE102" s="83"/>
      <c r="RCF102" s="83"/>
      <c r="RCG102" s="83"/>
      <c r="RCH102" s="83"/>
      <c r="RCI102" s="83"/>
      <c r="RCJ102" s="83"/>
      <c r="RCK102" s="83"/>
      <c r="RCL102" s="83"/>
      <c r="RCM102" s="83"/>
      <c r="RCN102" s="83"/>
      <c r="RCO102" s="83"/>
      <c r="RCP102" s="83"/>
      <c r="RCQ102" s="83"/>
      <c r="RCR102" s="83"/>
      <c r="RCS102" s="83"/>
      <c r="RCT102" s="83"/>
      <c r="RCU102" s="83"/>
      <c r="RCV102" s="83"/>
      <c r="RCW102" s="83"/>
      <c r="RCX102" s="83"/>
      <c r="RCY102" s="83"/>
      <c r="RCZ102" s="83"/>
      <c r="RDA102" s="83"/>
      <c r="RDB102" s="83"/>
      <c r="RDC102" s="83"/>
      <c r="RDD102" s="83"/>
      <c r="RDE102" s="83"/>
      <c r="RDF102" s="83"/>
      <c r="RDG102" s="83"/>
      <c r="RDH102" s="83"/>
      <c r="RDI102" s="83"/>
      <c r="RDJ102" s="83"/>
      <c r="RDK102" s="83"/>
      <c r="RDL102" s="83"/>
      <c r="RDM102" s="83"/>
      <c r="RDN102" s="83"/>
      <c r="RDO102" s="83"/>
      <c r="RDP102" s="83"/>
      <c r="RDQ102" s="83"/>
      <c r="RDR102" s="83"/>
      <c r="RDS102" s="83"/>
      <c r="RDT102" s="83"/>
      <c r="RDU102" s="83"/>
      <c r="RDV102" s="83"/>
      <c r="RDW102" s="83"/>
      <c r="RDX102" s="83"/>
      <c r="RDY102" s="83"/>
      <c r="RDZ102" s="83"/>
      <c r="REA102" s="83"/>
      <c r="REB102" s="83"/>
      <c r="REC102" s="83"/>
      <c r="RED102" s="83"/>
      <c r="REE102" s="83"/>
      <c r="REF102" s="83"/>
      <c r="REG102" s="83"/>
      <c r="REH102" s="83"/>
      <c r="REI102" s="83"/>
      <c r="REJ102" s="83"/>
      <c r="REK102" s="83"/>
      <c r="REL102" s="83"/>
      <c r="REM102" s="83"/>
      <c r="REN102" s="83"/>
      <c r="REO102" s="83"/>
      <c r="REP102" s="83"/>
      <c r="REQ102" s="83"/>
      <c r="RER102" s="83"/>
      <c r="RES102" s="83"/>
      <c r="RET102" s="83"/>
      <c r="REU102" s="83"/>
      <c r="REV102" s="83"/>
      <c r="REW102" s="83"/>
      <c r="REX102" s="83"/>
      <c r="REY102" s="83"/>
      <c r="REZ102" s="83"/>
      <c r="RFA102" s="83"/>
      <c r="RFB102" s="83"/>
      <c r="RFC102" s="83"/>
      <c r="RFD102" s="83"/>
      <c r="RFE102" s="83"/>
      <c r="RFF102" s="83"/>
      <c r="RFG102" s="83"/>
      <c r="RFH102" s="83"/>
      <c r="RFI102" s="83"/>
      <c r="RFJ102" s="83"/>
      <c r="RFK102" s="83"/>
      <c r="RFL102" s="83"/>
      <c r="RFM102" s="83"/>
      <c r="RFN102" s="83"/>
      <c r="RFO102" s="83"/>
      <c r="RFP102" s="83"/>
      <c r="RFQ102" s="83"/>
      <c r="RFR102" s="83"/>
      <c r="RFS102" s="83"/>
      <c r="RFT102" s="83"/>
      <c r="RFU102" s="83"/>
      <c r="RFV102" s="83"/>
      <c r="RFW102" s="83"/>
      <c r="RFX102" s="83"/>
      <c r="RFY102" s="83"/>
      <c r="RFZ102" s="83"/>
      <c r="RGA102" s="83"/>
      <c r="RGB102" s="83"/>
      <c r="RGC102" s="83"/>
      <c r="RGD102" s="83"/>
      <c r="RGE102" s="83"/>
      <c r="RGF102" s="83"/>
      <c r="RGG102" s="83"/>
      <c r="RGH102" s="83"/>
      <c r="RGI102" s="83"/>
      <c r="RGJ102" s="83"/>
      <c r="RGK102" s="83"/>
      <c r="RGL102" s="83"/>
      <c r="RGM102" s="83"/>
      <c r="RGN102" s="83"/>
      <c r="RGO102" s="83"/>
      <c r="RGP102" s="83"/>
      <c r="RGQ102" s="83"/>
      <c r="RGR102" s="83"/>
      <c r="RGS102" s="83"/>
      <c r="RGT102" s="83"/>
      <c r="RGU102" s="83"/>
      <c r="RGV102" s="83"/>
      <c r="RGW102" s="83"/>
      <c r="RGX102" s="83"/>
      <c r="RGY102" s="83"/>
      <c r="RGZ102" s="83"/>
      <c r="RHA102" s="83"/>
      <c r="RHB102" s="83"/>
      <c r="RHC102" s="83"/>
      <c r="RHD102" s="83"/>
      <c r="RHE102" s="83"/>
      <c r="RHF102" s="83"/>
      <c r="RHG102" s="83"/>
      <c r="RHH102" s="83"/>
      <c r="RHI102" s="83"/>
      <c r="RHJ102" s="83"/>
      <c r="RHK102" s="83"/>
      <c r="RHL102" s="83"/>
      <c r="RHM102" s="83"/>
      <c r="RHN102" s="83"/>
      <c r="RHO102" s="83"/>
      <c r="RHP102" s="83"/>
      <c r="RHQ102" s="83"/>
      <c r="RHR102" s="83"/>
      <c r="RHS102" s="83"/>
      <c r="RHT102" s="83"/>
      <c r="RHU102" s="83"/>
      <c r="RHV102" s="83"/>
      <c r="RHW102" s="83"/>
      <c r="RHX102" s="83"/>
      <c r="RHY102" s="83"/>
      <c r="RHZ102" s="83"/>
      <c r="RIA102" s="83"/>
      <c r="RIB102" s="83"/>
      <c r="RIC102" s="83"/>
      <c r="RID102" s="83"/>
      <c r="RIE102" s="83"/>
      <c r="RIF102" s="83"/>
      <c r="RIG102" s="83"/>
      <c r="RIH102" s="83"/>
      <c r="RII102" s="83"/>
      <c r="RIJ102" s="83"/>
      <c r="RIK102" s="83"/>
      <c r="RIL102" s="83"/>
      <c r="RIM102" s="83"/>
      <c r="RIN102" s="83"/>
      <c r="RIO102" s="83"/>
      <c r="RIP102" s="83"/>
      <c r="RIQ102" s="83"/>
      <c r="RIR102" s="83"/>
      <c r="RIS102" s="83"/>
      <c r="RIT102" s="83"/>
      <c r="RIU102" s="83"/>
      <c r="RIV102" s="83"/>
      <c r="RIW102" s="83"/>
      <c r="RIX102" s="83"/>
      <c r="RIY102" s="83"/>
      <c r="RIZ102" s="83"/>
      <c r="RJA102" s="83"/>
      <c r="RJB102" s="83"/>
      <c r="RJC102" s="83"/>
      <c r="RJD102" s="83"/>
      <c r="RJE102" s="83"/>
      <c r="RJF102" s="83"/>
      <c r="RJG102" s="83"/>
      <c r="RJH102" s="83"/>
      <c r="RJI102" s="83"/>
      <c r="RJJ102" s="83"/>
      <c r="RJK102" s="83"/>
      <c r="RJL102" s="83"/>
      <c r="RJM102" s="83"/>
      <c r="RJN102" s="83"/>
      <c r="RJO102" s="83"/>
      <c r="RJP102" s="83"/>
      <c r="RJQ102" s="83"/>
      <c r="RJR102" s="83"/>
      <c r="RJS102" s="83"/>
      <c r="RJT102" s="83"/>
      <c r="RJU102" s="83"/>
      <c r="RJV102" s="83"/>
      <c r="RJW102" s="83"/>
      <c r="RJX102" s="83"/>
      <c r="RJY102" s="83"/>
      <c r="RJZ102" s="83"/>
      <c r="RKA102" s="83"/>
      <c r="RKB102" s="83"/>
      <c r="RKC102" s="83"/>
      <c r="RKD102" s="83"/>
      <c r="RKE102" s="83"/>
      <c r="RKF102" s="83"/>
      <c r="RKG102" s="83"/>
      <c r="RKH102" s="83"/>
      <c r="RKI102" s="83"/>
      <c r="RKJ102" s="83"/>
      <c r="RKK102" s="83"/>
      <c r="RKL102" s="83"/>
      <c r="RKM102" s="83"/>
      <c r="RKN102" s="83"/>
      <c r="RKO102" s="83"/>
      <c r="RKP102" s="83"/>
      <c r="RKQ102" s="83"/>
      <c r="RKR102" s="83"/>
      <c r="RKS102" s="83"/>
      <c r="RKT102" s="83"/>
      <c r="RKU102" s="83"/>
      <c r="RKV102" s="83"/>
      <c r="RKW102" s="83"/>
      <c r="RKX102" s="83"/>
      <c r="RKY102" s="83"/>
      <c r="RKZ102" s="83"/>
      <c r="RLA102" s="83"/>
      <c r="RLB102" s="83"/>
      <c r="RLC102" s="83"/>
      <c r="RLD102" s="83"/>
      <c r="RLE102" s="83"/>
      <c r="RLF102" s="83"/>
      <c r="RLG102" s="83"/>
      <c r="RLH102" s="83"/>
      <c r="RLI102" s="83"/>
      <c r="RLJ102" s="83"/>
      <c r="RLK102" s="83"/>
      <c r="RLL102" s="83"/>
      <c r="RLM102" s="83"/>
      <c r="RLN102" s="83"/>
      <c r="RLO102" s="83"/>
      <c r="RLP102" s="83"/>
      <c r="RLQ102" s="83"/>
      <c r="RLR102" s="83"/>
      <c r="RLS102" s="83"/>
      <c r="RLT102" s="83"/>
      <c r="RLU102" s="83"/>
      <c r="RLV102" s="83"/>
      <c r="RLW102" s="83"/>
      <c r="RLX102" s="83"/>
      <c r="RLY102" s="83"/>
      <c r="RLZ102" s="83"/>
      <c r="RMA102" s="83"/>
      <c r="RMB102" s="83"/>
      <c r="RMC102" s="83"/>
      <c r="RMD102" s="83"/>
      <c r="RME102" s="83"/>
      <c r="RMF102" s="83"/>
      <c r="RMG102" s="83"/>
      <c r="RMH102" s="83"/>
      <c r="RMI102" s="83"/>
      <c r="RMJ102" s="83"/>
      <c r="RMK102" s="83"/>
      <c r="RML102" s="83"/>
      <c r="RMM102" s="83"/>
      <c r="RMN102" s="83"/>
      <c r="RMO102" s="83"/>
      <c r="RMP102" s="83"/>
      <c r="RMQ102" s="83"/>
      <c r="RMR102" s="83"/>
      <c r="RMS102" s="83"/>
      <c r="RMT102" s="83"/>
      <c r="RMU102" s="83"/>
      <c r="RMV102" s="83"/>
      <c r="RMW102" s="83"/>
      <c r="RMX102" s="83"/>
      <c r="RMY102" s="83"/>
      <c r="RMZ102" s="83"/>
      <c r="RNA102" s="83"/>
      <c r="RNB102" s="83"/>
      <c r="RNC102" s="83"/>
      <c r="RND102" s="83"/>
      <c r="RNE102" s="83"/>
      <c r="RNF102" s="83"/>
      <c r="RNG102" s="83"/>
      <c r="RNH102" s="83"/>
      <c r="RNI102" s="83"/>
      <c r="RNJ102" s="83"/>
      <c r="RNK102" s="83"/>
      <c r="RNL102" s="83"/>
      <c r="RNM102" s="83"/>
      <c r="RNN102" s="83"/>
      <c r="RNO102" s="83"/>
      <c r="RNP102" s="83"/>
      <c r="RNQ102" s="83"/>
      <c r="RNR102" s="83"/>
      <c r="RNS102" s="83"/>
      <c r="RNT102" s="83"/>
      <c r="RNU102" s="83"/>
      <c r="RNV102" s="83"/>
      <c r="RNW102" s="83"/>
      <c r="RNX102" s="83"/>
      <c r="RNY102" s="83"/>
      <c r="RNZ102" s="83"/>
      <c r="ROA102" s="83"/>
      <c r="ROB102" s="83"/>
      <c r="ROC102" s="83"/>
      <c r="ROD102" s="83"/>
      <c r="ROE102" s="83"/>
      <c r="ROF102" s="83"/>
      <c r="ROG102" s="83"/>
      <c r="ROH102" s="83"/>
      <c r="ROI102" s="83"/>
      <c r="ROJ102" s="83"/>
      <c r="ROK102" s="83"/>
      <c r="ROL102" s="83"/>
      <c r="ROM102" s="83"/>
      <c r="RON102" s="83"/>
      <c r="ROO102" s="83"/>
      <c r="ROP102" s="83"/>
      <c r="ROQ102" s="83"/>
      <c r="ROR102" s="83"/>
      <c r="ROS102" s="83"/>
      <c r="ROT102" s="83"/>
      <c r="ROU102" s="83"/>
      <c r="ROV102" s="83"/>
      <c r="ROW102" s="83"/>
      <c r="ROX102" s="83"/>
      <c r="ROY102" s="83"/>
      <c r="ROZ102" s="83"/>
      <c r="RPA102" s="83"/>
      <c r="RPB102" s="83"/>
      <c r="RPC102" s="83"/>
      <c r="RPD102" s="83"/>
      <c r="RPE102" s="83"/>
      <c r="RPF102" s="83"/>
      <c r="RPG102" s="83"/>
      <c r="RPH102" s="83"/>
      <c r="RPI102" s="83"/>
      <c r="RPJ102" s="83"/>
      <c r="RPK102" s="83"/>
      <c r="RPL102" s="83"/>
      <c r="RPM102" s="83"/>
      <c r="RPN102" s="83"/>
      <c r="RPO102" s="83"/>
      <c r="RPP102" s="83"/>
      <c r="RPQ102" s="83"/>
      <c r="RPR102" s="83"/>
      <c r="RPS102" s="83"/>
      <c r="RPT102" s="83"/>
      <c r="RPU102" s="83"/>
      <c r="RPV102" s="83"/>
      <c r="RPW102" s="83"/>
      <c r="RPX102" s="83"/>
      <c r="RPY102" s="83"/>
      <c r="RPZ102" s="83"/>
      <c r="RQA102" s="83"/>
      <c r="RQB102" s="83"/>
      <c r="RQC102" s="83"/>
      <c r="RQD102" s="83"/>
      <c r="RQE102" s="83"/>
      <c r="RQF102" s="83"/>
      <c r="RQG102" s="83"/>
      <c r="RQH102" s="83"/>
      <c r="RQI102" s="83"/>
      <c r="RQJ102" s="83"/>
      <c r="RQK102" s="83"/>
      <c r="RQL102" s="83"/>
      <c r="RQM102" s="83"/>
      <c r="RQN102" s="83"/>
      <c r="RQO102" s="83"/>
      <c r="RQP102" s="83"/>
      <c r="RQQ102" s="83"/>
      <c r="RQR102" s="83"/>
      <c r="RQS102" s="83"/>
      <c r="RQT102" s="83"/>
      <c r="RQU102" s="83"/>
      <c r="RQV102" s="83"/>
      <c r="RQW102" s="83"/>
      <c r="RQX102" s="83"/>
      <c r="RQY102" s="83"/>
      <c r="RQZ102" s="83"/>
      <c r="RRA102" s="83"/>
      <c r="RRB102" s="83"/>
      <c r="RRC102" s="83"/>
      <c r="RRD102" s="83"/>
      <c r="RRE102" s="83"/>
      <c r="RRF102" s="83"/>
      <c r="RRG102" s="83"/>
      <c r="RRH102" s="83"/>
      <c r="RRI102" s="83"/>
      <c r="RRJ102" s="83"/>
      <c r="RRK102" s="83"/>
      <c r="RRL102" s="83"/>
      <c r="RRM102" s="83"/>
      <c r="RRN102" s="83"/>
      <c r="RRO102" s="83"/>
      <c r="RRP102" s="83"/>
      <c r="RRQ102" s="83"/>
      <c r="RRR102" s="83"/>
      <c r="RRS102" s="83"/>
      <c r="RRT102" s="83"/>
      <c r="RRU102" s="83"/>
      <c r="RRV102" s="83"/>
      <c r="RRW102" s="83"/>
      <c r="RRX102" s="83"/>
      <c r="RRY102" s="83"/>
      <c r="RRZ102" s="83"/>
      <c r="RSA102" s="83"/>
      <c r="RSB102" s="83"/>
      <c r="RSC102" s="83"/>
      <c r="RSD102" s="83"/>
      <c r="RSE102" s="83"/>
      <c r="RSF102" s="83"/>
      <c r="RSG102" s="83"/>
      <c r="RSH102" s="83"/>
      <c r="RSI102" s="83"/>
      <c r="RSJ102" s="83"/>
      <c r="RSK102" s="83"/>
      <c r="RSL102" s="83"/>
      <c r="RSM102" s="83"/>
      <c r="RSN102" s="83"/>
      <c r="RSO102" s="83"/>
      <c r="RSP102" s="83"/>
      <c r="RSQ102" s="83"/>
      <c r="RSR102" s="83"/>
      <c r="RSS102" s="83"/>
      <c r="RST102" s="83"/>
      <c r="RSU102" s="83"/>
      <c r="RSV102" s="83"/>
      <c r="RSW102" s="83"/>
      <c r="RSX102" s="83"/>
      <c r="RSY102" s="83"/>
      <c r="RSZ102" s="83"/>
      <c r="RTA102" s="83"/>
      <c r="RTB102" s="83"/>
      <c r="RTC102" s="83"/>
      <c r="RTD102" s="83"/>
      <c r="RTE102" s="83"/>
      <c r="RTF102" s="83"/>
      <c r="RTG102" s="83"/>
      <c r="RTH102" s="83"/>
      <c r="RTI102" s="83"/>
      <c r="RTJ102" s="83"/>
      <c r="RTK102" s="83"/>
      <c r="RTL102" s="83"/>
      <c r="RTM102" s="83"/>
      <c r="RTN102" s="83"/>
      <c r="RTO102" s="83"/>
      <c r="RTP102" s="83"/>
      <c r="RTQ102" s="83"/>
      <c r="RTR102" s="83"/>
      <c r="RTS102" s="83"/>
      <c r="RTT102" s="83"/>
      <c r="RTU102" s="83"/>
      <c r="RTV102" s="83"/>
      <c r="RTW102" s="83"/>
      <c r="RTX102" s="83"/>
      <c r="RTY102" s="83"/>
      <c r="RTZ102" s="83"/>
      <c r="RUA102" s="83"/>
      <c r="RUB102" s="83"/>
      <c r="RUC102" s="83"/>
      <c r="RUD102" s="83"/>
      <c r="RUE102" s="83"/>
      <c r="RUF102" s="83"/>
      <c r="RUG102" s="83"/>
      <c r="RUH102" s="83"/>
      <c r="RUI102" s="83"/>
      <c r="RUJ102" s="83"/>
      <c r="RUK102" s="83"/>
      <c r="RUL102" s="83"/>
      <c r="RUM102" s="83"/>
      <c r="RUN102" s="83"/>
      <c r="RUO102" s="83"/>
      <c r="RUP102" s="83"/>
      <c r="RUQ102" s="83"/>
      <c r="RUR102" s="83"/>
      <c r="RUS102" s="83"/>
      <c r="RUT102" s="83"/>
      <c r="RUU102" s="83"/>
      <c r="RUV102" s="83"/>
      <c r="RUW102" s="83"/>
      <c r="RUX102" s="83"/>
      <c r="RUY102" s="83"/>
      <c r="RUZ102" s="83"/>
      <c r="RVA102" s="83"/>
      <c r="RVB102" s="83"/>
      <c r="RVC102" s="83"/>
      <c r="RVD102" s="83"/>
      <c r="RVE102" s="83"/>
      <c r="RVF102" s="83"/>
      <c r="RVG102" s="83"/>
      <c r="RVH102" s="83"/>
      <c r="RVI102" s="83"/>
      <c r="RVJ102" s="83"/>
      <c r="RVK102" s="83"/>
      <c r="RVL102" s="83"/>
      <c r="RVM102" s="83"/>
      <c r="RVN102" s="83"/>
      <c r="RVO102" s="83"/>
      <c r="RVP102" s="83"/>
      <c r="RVQ102" s="83"/>
      <c r="RVR102" s="83"/>
      <c r="RVS102" s="83"/>
      <c r="RVT102" s="83"/>
      <c r="RVU102" s="83"/>
      <c r="RVV102" s="83"/>
      <c r="RVW102" s="83"/>
      <c r="RVX102" s="83"/>
      <c r="RVY102" s="83"/>
      <c r="RVZ102" s="83"/>
      <c r="RWA102" s="83"/>
      <c r="RWB102" s="83"/>
      <c r="RWC102" s="83"/>
      <c r="RWD102" s="83"/>
      <c r="RWE102" s="83"/>
      <c r="RWF102" s="83"/>
      <c r="RWG102" s="83"/>
      <c r="RWH102" s="83"/>
      <c r="RWI102" s="83"/>
      <c r="RWJ102" s="83"/>
      <c r="RWK102" s="83"/>
      <c r="RWL102" s="83"/>
      <c r="RWM102" s="83"/>
      <c r="RWN102" s="83"/>
      <c r="RWO102" s="83"/>
      <c r="RWP102" s="83"/>
      <c r="RWQ102" s="83"/>
      <c r="RWR102" s="83"/>
      <c r="RWS102" s="83"/>
      <c r="RWT102" s="83"/>
      <c r="RWU102" s="83"/>
      <c r="RWV102" s="83"/>
      <c r="RWW102" s="83"/>
      <c r="RWX102" s="83"/>
      <c r="RWY102" s="83"/>
      <c r="RWZ102" s="83"/>
      <c r="RXA102" s="83"/>
      <c r="RXB102" s="83"/>
      <c r="RXC102" s="83"/>
      <c r="RXD102" s="83"/>
      <c r="RXE102" s="83"/>
      <c r="RXF102" s="83"/>
      <c r="RXG102" s="83"/>
      <c r="RXH102" s="83"/>
      <c r="RXI102" s="83"/>
      <c r="RXJ102" s="83"/>
      <c r="RXK102" s="83"/>
      <c r="RXL102" s="83"/>
      <c r="RXM102" s="83"/>
      <c r="RXN102" s="83"/>
      <c r="RXO102" s="83"/>
      <c r="RXP102" s="83"/>
      <c r="RXQ102" s="83"/>
      <c r="RXR102" s="83"/>
      <c r="RXS102" s="83"/>
      <c r="RXT102" s="83"/>
      <c r="RXU102" s="83"/>
      <c r="RXV102" s="83"/>
      <c r="RXW102" s="83"/>
      <c r="RXX102" s="83"/>
      <c r="RXY102" s="83"/>
      <c r="RXZ102" s="83"/>
      <c r="RYA102" s="83"/>
      <c r="RYB102" s="83"/>
      <c r="RYC102" s="83"/>
      <c r="RYD102" s="83"/>
      <c r="RYE102" s="83"/>
      <c r="RYF102" s="83"/>
      <c r="RYG102" s="83"/>
      <c r="RYH102" s="83"/>
      <c r="RYI102" s="83"/>
      <c r="RYJ102" s="83"/>
      <c r="RYK102" s="83"/>
      <c r="RYL102" s="83"/>
      <c r="RYM102" s="83"/>
      <c r="RYN102" s="83"/>
      <c r="RYO102" s="83"/>
      <c r="RYP102" s="83"/>
      <c r="RYQ102" s="83"/>
      <c r="RYR102" s="83"/>
      <c r="RYS102" s="83"/>
      <c r="RYT102" s="83"/>
      <c r="RYU102" s="83"/>
      <c r="RYV102" s="83"/>
      <c r="RYW102" s="83"/>
      <c r="RYX102" s="83"/>
      <c r="RYY102" s="83"/>
      <c r="RYZ102" s="83"/>
      <c r="RZA102" s="83"/>
      <c r="RZB102" s="83"/>
      <c r="RZC102" s="83"/>
      <c r="RZD102" s="83"/>
      <c r="RZE102" s="83"/>
      <c r="RZF102" s="83"/>
      <c r="RZG102" s="83"/>
      <c r="RZH102" s="83"/>
      <c r="RZI102" s="83"/>
      <c r="RZJ102" s="83"/>
      <c r="RZK102" s="83"/>
      <c r="RZL102" s="83"/>
      <c r="RZM102" s="83"/>
      <c r="RZN102" s="83"/>
      <c r="RZO102" s="83"/>
      <c r="RZP102" s="83"/>
      <c r="RZQ102" s="83"/>
      <c r="RZR102" s="83"/>
      <c r="RZS102" s="83"/>
      <c r="RZT102" s="83"/>
      <c r="RZU102" s="83"/>
      <c r="RZV102" s="83"/>
      <c r="RZW102" s="83"/>
      <c r="RZX102" s="83"/>
      <c r="RZY102" s="83"/>
      <c r="RZZ102" s="83"/>
      <c r="SAA102" s="83"/>
      <c r="SAB102" s="83"/>
      <c r="SAC102" s="83"/>
      <c r="SAD102" s="83"/>
      <c r="SAE102" s="83"/>
      <c r="SAF102" s="83"/>
      <c r="SAG102" s="83"/>
      <c r="SAH102" s="83"/>
      <c r="SAI102" s="83"/>
      <c r="SAJ102" s="83"/>
      <c r="SAK102" s="83"/>
      <c r="SAL102" s="83"/>
      <c r="SAM102" s="83"/>
      <c r="SAN102" s="83"/>
      <c r="SAO102" s="83"/>
      <c r="SAP102" s="83"/>
      <c r="SAQ102" s="83"/>
      <c r="SAR102" s="83"/>
      <c r="SAS102" s="83"/>
      <c r="SAT102" s="83"/>
      <c r="SAU102" s="83"/>
      <c r="SAV102" s="83"/>
      <c r="SAW102" s="83"/>
      <c r="SAX102" s="83"/>
      <c r="SAY102" s="83"/>
      <c r="SAZ102" s="83"/>
      <c r="SBA102" s="83"/>
      <c r="SBB102" s="83"/>
      <c r="SBC102" s="83"/>
      <c r="SBD102" s="83"/>
      <c r="SBE102" s="83"/>
      <c r="SBF102" s="83"/>
      <c r="SBG102" s="83"/>
      <c r="SBH102" s="83"/>
      <c r="SBI102" s="83"/>
      <c r="SBJ102" s="83"/>
      <c r="SBK102" s="83"/>
      <c r="SBL102" s="83"/>
      <c r="SBM102" s="83"/>
      <c r="SBN102" s="83"/>
      <c r="SBO102" s="83"/>
      <c r="SBP102" s="83"/>
      <c r="SBQ102" s="83"/>
      <c r="SBR102" s="83"/>
      <c r="SBS102" s="83"/>
      <c r="SBT102" s="83"/>
      <c r="SBU102" s="83"/>
      <c r="SBV102" s="83"/>
      <c r="SBW102" s="83"/>
      <c r="SBX102" s="83"/>
      <c r="SBY102" s="83"/>
      <c r="SBZ102" s="83"/>
      <c r="SCA102" s="83"/>
      <c r="SCB102" s="83"/>
      <c r="SCC102" s="83"/>
      <c r="SCD102" s="83"/>
      <c r="SCE102" s="83"/>
      <c r="SCF102" s="83"/>
      <c r="SCG102" s="83"/>
      <c r="SCH102" s="83"/>
      <c r="SCI102" s="83"/>
      <c r="SCJ102" s="83"/>
      <c r="SCK102" s="83"/>
      <c r="SCL102" s="83"/>
      <c r="SCM102" s="83"/>
      <c r="SCN102" s="83"/>
      <c r="SCO102" s="83"/>
      <c r="SCP102" s="83"/>
      <c r="SCQ102" s="83"/>
      <c r="SCR102" s="83"/>
      <c r="SCS102" s="83"/>
      <c r="SCT102" s="83"/>
      <c r="SCU102" s="83"/>
      <c r="SCV102" s="83"/>
      <c r="SCW102" s="83"/>
      <c r="SCX102" s="83"/>
      <c r="SCY102" s="83"/>
      <c r="SCZ102" s="83"/>
      <c r="SDA102" s="83"/>
      <c r="SDB102" s="83"/>
      <c r="SDC102" s="83"/>
      <c r="SDD102" s="83"/>
      <c r="SDE102" s="83"/>
      <c r="SDF102" s="83"/>
      <c r="SDG102" s="83"/>
      <c r="SDH102" s="83"/>
      <c r="SDI102" s="83"/>
      <c r="SDJ102" s="83"/>
      <c r="SDK102" s="83"/>
      <c r="SDL102" s="83"/>
      <c r="SDM102" s="83"/>
      <c r="SDN102" s="83"/>
      <c r="SDO102" s="83"/>
      <c r="SDP102" s="83"/>
      <c r="SDQ102" s="83"/>
      <c r="SDR102" s="83"/>
      <c r="SDS102" s="83"/>
      <c r="SDT102" s="83"/>
      <c r="SDU102" s="83"/>
      <c r="SDV102" s="83"/>
      <c r="SDW102" s="83"/>
      <c r="SDX102" s="83"/>
      <c r="SDY102" s="83"/>
      <c r="SDZ102" s="83"/>
      <c r="SEA102" s="83"/>
      <c r="SEB102" s="83"/>
      <c r="SEC102" s="83"/>
      <c r="SED102" s="83"/>
      <c r="SEE102" s="83"/>
      <c r="SEF102" s="83"/>
      <c r="SEG102" s="83"/>
      <c r="SEH102" s="83"/>
      <c r="SEI102" s="83"/>
      <c r="SEJ102" s="83"/>
      <c r="SEK102" s="83"/>
      <c r="SEL102" s="83"/>
      <c r="SEM102" s="83"/>
      <c r="SEN102" s="83"/>
      <c r="SEO102" s="83"/>
      <c r="SEP102" s="83"/>
      <c r="SEQ102" s="83"/>
      <c r="SER102" s="83"/>
      <c r="SES102" s="83"/>
      <c r="SET102" s="83"/>
      <c r="SEU102" s="83"/>
      <c r="SEV102" s="83"/>
      <c r="SEW102" s="83"/>
      <c r="SEX102" s="83"/>
      <c r="SEY102" s="83"/>
      <c r="SEZ102" s="83"/>
      <c r="SFA102" s="83"/>
      <c r="SFB102" s="83"/>
      <c r="SFC102" s="83"/>
      <c r="SFD102" s="83"/>
      <c r="SFE102" s="83"/>
      <c r="SFF102" s="83"/>
      <c r="SFG102" s="83"/>
      <c r="SFH102" s="83"/>
      <c r="SFI102" s="83"/>
      <c r="SFJ102" s="83"/>
      <c r="SFK102" s="83"/>
      <c r="SFL102" s="83"/>
      <c r="SFM102" s="83"/>
      <c r="SFN102" s="83"/>
      <c r="SFO102" s="83"/>
      <c r="SFP102" s="83"/>
      <c r="SFQ102" s="83"/>
      <c r="SFR102" s="83"/>
      <c r="SFS102" s="83"/>
      <c r="SFT102" s="83"/>
      <c r="SFU102" s="83"/>
      <c r="SFV102" s="83"/>
      <c r="SFW102" s="83"/>
      <c r="SFX102" s="83"/>
      <c r="SFY102" s="83"/>
      <c r="SFZ102" s="83"/>
      <c r="SGA102" s="83"/>
      <c r="SGB102" s="83"/>
      <c r="SGC102" s="83"/>
      <c r="SGD102" s="83"/>
      <c r="SGE102" s="83"/>
      <c r="SGF102" s="83"/>
      <c r="SGG102" s="83"/>
      <c r="SGH102" s="83"/>
      <c r="SGI102" s="83"/>
      <c r="SGJ102" s="83"/>
      <c r="SGK102" s="83"/>
      <c r="SGL102" s="83"/>
      <c r="SGM102" s="83"/>
      <c r="SGN102" s="83"/>
      <c r="SGO102" s="83"/>
      <c r="SGP102" s="83"/>
      <c r="SGQ102" s="83"/>
      <c r="SGR102" s="83"/>
      <c r="SGS102" s="83"/>
      <c r="SGT102" s="83"/>
      <c r="SGU102" s="83"/>
      <c r="SGV102" s="83"/>
      <c r="SGW102" s="83"/>
      <c r="SGX102" s="83"/>
      <c r="SGY102" s="83"/>
      <c r="SGZ102" s="83"/>
      <c r="SHA102" s="83"/>
      <c r="SHB102" s="83"/>
      <c r="SHC102" s="83"/>
      <c r="SHD102" s="83"/>
      <c r="SHE102" s="83"/>
      <c r="SHF102" s="83"/>
      <c r="SHG102" s="83"/>
      <c r="SHH102" s="83"/>
      <c r="SHI102" s="83"/>
      <c r="SHJ102" s="83"/>
      <c r="SHK102" s="83"/>
      <c r="SHL102" s="83"/>
      <c r="SHM102" s="83"/>
      <c r="SHN102" s="83"/>
      <c r="SHO102" s="83"/>
      <c r="SHP102" s="83"/>
      <c r="SHQ102" s="83"/>
      <c r="SHR102" s="83"/>
      <c r="SHS102" s="83"/>
      <c r="SHT102" s="83"/>
      <c r="SHU102" s="83"/>
      <c r="SHV102" s="83"/>
      <c r="SHW102" s="83"/>
      <c r="SHX102" s="83"/>
      <c r="SHY102" s="83"/>
      <c r="SHZ102" s="83"/>
      <c r="SIA102" s="83"/>
      <c r="SIB102" s="83"/>
      <c r="SIC102" s="83"/>
      <c r="SID102" s="83"/>
      <c r="SIE102" s="83"/>
      <c r="SIF102" s="83"/>
      <c r="SIG102" s="83"/>
      <c r="SIH102" s="83"/>
      <c r="SII102" s="83"/>
      <c r="SIJ102" s="83"/>
      <c r="SIK102" s="83"/>
      <c r="SIL102" s="83"/>
      <c r="SIM102" s="83"/>
      <c r="SIN102" s="83"/>
      <c r="SIO102" s="83"/>
      <c r="SIP102" s="83"/>
      <c r="SIQ102" s="83"/>
      <c r="SIR102" s="83"/>
      <c r="SIS102" s="83"/>
      <c r="SIT102" s="83"/>
      <c r="SIU102" s="83"/>
      <c r="SIV102" s="83"/>
      <c r="SIW102" s="83"/>
      <c r="SIX102" s="83"/>
      <c r="SIY102" s="83"/>
      <c r="SIZ102" s="83"/>
      <c r="SJA102" s="83"/>
      <c r="SJB102" s="83"/>
      <c r="SJC102" s="83"/>
      <c r="SJD102" s="83"/>
      <c r="SJE102" s="83"/>
      <c r="SJF102" s="83"/>
      <c r="SJG102" s="83"/>
      <c r="SJH102" s="83"/>
      <c r="SJI102" s="83"/>
      <c r="SJJ102" s="83"/>
      <c r="SJK102" s="83"/>
      <c r="SJL102" s="83"/>
      <c r="SJM102" s="83"/>
      <c r="SJN102" s="83"/>
      <c r="SJO102" s="83"/>
      <c r="SJP102" s="83"/>
      <c r="SJQ102" s="83"/>
      <c r="SJR102" s="83"/>
      <c r="SJS102" s="83"/>
      <c r="SJT102" s="83"/>
      <c r="SJU102" s="83"/>
      <c r="SJV102" s="83"/>
      <c r="SJW102" s="83"/>
      <c r="SJX102" s="83"/>
      <c r="SJY102" s="83"/>
      <c r="SJZ102" s="83"/>
      <c r="SKA102" s="83"/>
      <c r="SKB102" s="83"/>
      <c r="SKC102" s="83"/>
      <c r="SKD102" s="83"/>
      <c r="SKE102" s="83"/>
      <c r="SKF102" s="83"/>
      <c r="SKG102" s="83"/>
      <c r="SKH102" s="83"/>
      <c r="SKI102" s="83"/>
      <c r="SKJ102" s="83"/>
      <c r="SKK102" s="83"/>
      <c r="SKL102" s="83"/>
      <c r="SKM102" s="83"/>
      <c r="SKN102" s="83"/>
      <c r="SKO102" s="83"/>
      <c r="SKP102" s="83"/>
      <c r="SKQ102" s="83"/>
      <c r="SKR102" s="83"/>
      <c r="SKS102" s="83"/>
      <c r="SKT102" s="83"/>
      <c r="SKU102" s="83"/>
      <c r="SKV102" s="83"/>
      <c r="SKW102" s="83"/>
      <c r="SKX102" s="83"/>
      <c r="SKY102" s="83"/>
      <c r="SKZ102" s="83"/>
      <c r="SLA102" s="83"/>
      <c r="SLB102" s="83"/>
      <c r="SLC102" s="83"/>
      <c r="SLD102" s="83"/>
      <c r="SLE102" s="83"/>
      <c r="SLF102" s="83"/>
      <c r="SLG102" s="83"/>
      <c r="SLH102" s="83"/>
      <c r="SLI102" s="83"/>
      <c r="SLJ102" s="83"/>
      <c r="SLK102" s="83"/>
      <c r="SLL102" s="83"/>
      <c r="SLM102" s="83"/>
      <c r="SLN102" s="83"/>
      <c r="SLO102" s="83"/>
      <c r="SLP102" s="83"/>
      <c r="SLQ102" s="83"/>
      <c r="SLR102" s="83"/>
      <c r="SLS102" s="83"/>
      <c r="SLT102" s="83"/>
      <c r="SLU102" s="83"/>
      <c r="SLV102" s="83"/>
      <c r="SLW102" s="83"/>
      <c r="SLX102" s="83"/>
      <c r="SLY102" s="83"/>
      <c r="SLZ102" s="83"/>
      <c r="SMA102" s="83"/>
      <c r="SMB102" s="83"/>
      <c r="SMC102" s="83"/>
      <c r="SMD102" s="83"/>
      <c r="SME102" s="83"/>
      <c r="SMF102" s="83"/>
      <c r="SMG102" s="83"/>
      <c r="SMH102" s="83"/>
      <c r="SMI102" s="83"/>
      <c r="SMJ102" s="83"/>
      <c r="SMK102" s="83"/>
      <c r="SML102" s="83"/>
      <c r="SMM102" s="83"/>
      <c r="SMN102" s="83"/>
      <c r="SMO102" s="83"/>
      <c r="SMP102" s="83"/>
      <c r="SMQ102" s="83"/>
      <c r="SMR102" s="83"/>
      <c r="SMS102" s="83"/>
      <c r="SMT102" s="83"/>
      <c r="SMU102" s="83"/>
      <c r="SMV102" s="83"/>
      <c r="SMW102" s="83"/>
      <c r="SMX102" s="83"/>
      <c r="SMY102" s="83"/>
      <c r="SMZ102" s="83"/>
      <c r="SNA102" s="83"/>
      <c r="SNB102" s="83"/>
      <c r="SNC102" s="83"/>
      <c r="SND102" s="83"/>
      <c r="SNE102" s="83"/>
      <c r="SNF102" s="83"/>
      <c r="SNG102" s="83"/>
      <c r="SNH102" s="83"/>
      <c r="SNI102" s="83"/>
      <c r="SNJ102" s="83"/>
      <c r="SNK102" s="83"/>
      <c r="SNL102" s="83"/>
      <c r="SNM102" s="83"/>
      <c r="SNN102" s="83"/>
      <c r="SNO102" s="83"/>
      <c r="SNP102" s="83"/>
      <c r="SNQ102" s="83"/>
      <c r="SNR102" s="83"/>
      <c r="SNS102" s="83"/>
      <c r="SNT102" s="83"/>
      <c r="SNU102" s="83"/>
      <c r="SNV102" s="83"/>
      <c r="SNW102" s="83"/>
      <c r="SNX102" s="83"/>
      <c r="SNY102" s="83"/>
      <c r="SNZ102" s="83"/>
      <c r="SOA102" s="83"/>
      <c r="SOB102" s="83"/>
      <c r="SOC102" s="83"/>
      <c r="SOD102" s="83"/>
      <c r="SOE102" s="83"/>
      <c r="SOF102" s="83"/>
      <c r="SOG102" s="83"/>
      <c r="SOH102" s="83"/>
      <c r="SOI102" s="83"/>
      <c r="SOJ102" s="83"/>
      <c r="SOK102" s="83"/>
      <c r="SOL102" s="83"/>
      <c r="SOM102" s="83"/>
      <c r="SON102" s="83"/>
      <c r="SOO102" s="83"/>
      <c r="SOP102" s="83"/>
      <c r="SOQ102" s="83"/>
      <c r="SOR102" s="83"/>
      <c r="SOS102" s="83"/>
      <c r="SOT102" s="83"/>
      <c r="SOU102" s="83"/>
      <c r="SOV102" s="83"/>
      <c r="SOW102" s="83"/>
      <c r="SOX102" s="83"/>
      <c r="SOY102" s="83"/>
      <c r="SOZ102" s="83"/>
      <c r="SPA102" s="83"/>
      <c r="SPB102" s="83"/>
      <c r="SPC102" s="83"/>
      <c r="SPD102" s="83"/>
      <c r="SPE102" s="83"/>
      <c r="SPF102" s="83"/>
      <c r="SPG102" s="83"/>
      <c r="SPH102" s="83"/>
      <c r="SPI102" s="83"/>
      <c r="SPJ102" s="83"/>
      <c r="SPK102" s="83"/>
      <c r="SPL102" s="83"/>
      <c r="SPM102" s="83"/>
      <c r="SPN102" s="83"/>
      <c r="SPO102" s="83"/>
      <c r="SPP102" s="83"/>
      <c r="SPQ102" s="83"/>
      <c r="SPR102" s="83"/>
      <c r="SPS102" s="83"/>
      <c r="SPT102" s="83"/>
      <c r="SPU102" s="83"/>
      <c r="SPV102" s="83"/>
      <c r="SPW102" s="83"/>
      <c r="SPX102" s="83"/>
      <c r="SPY102" s="83"/>
      <c r="SPZ102" s="83"/>
      <c r="SQA102" s="83"/>
      <c r="SQB102" s="83"/>
      <c r="SQC102" s="83"/>
      <c r="SQD102" s="83"/>
      <c r="SQE102" s="83"/>
      <c r="SQF102" s="83"/>
      <c r="SQG102" s="83"/>
      <c r="SQH102" s="83"/>
      <c r="SQI102" s="83"/>
      <c r="SQJ102" s="83"/>
      <c r="SQK102" s="83"/>
      <c r="SQL102" s="83"/>
      <c r="SQM102" s="83"/>
      <c r="SQN102" s="83"/>
      <c r="SQO102" s="83"/>
      <c r="SQP102" s="83"/>
      <c r="SQQ102" s="83"/>
      <c r="SQR102" s="83"/>
      <c r="SQS102" s="83"/>
      <c r="SQT102" s="83"/>
      <c r="SQU102" s="83"/>
      <c r="SQV102" s="83"/>
      <c r="SQW102" s="83"/>
      <c r="SQX102" s="83"/>
      <c r="SQY102" s="83"/>
      <c r="SQZ102" s="83"/>
      <c r="SRA102" s="83"/>
      <c r="SRB102" s="83"/>
      <c r="SRC102" s="83"/>
      <c r="SRD102" s="83"/>
      <c r="SRE102" s="83"/>
      <c r="SRF102" s="83"/>
      <c r="SRG102" s="83"/>
      <c r="SRH102" s="83"/>
      <c r="SRI102" s="83"/>
      <c r="SRJ102" s="83"/>
      <c r="SRK102" s="83"/>
      <c r="SRL102" s="83"/>
      <c r="SRM102" s="83"/>
      <c r="SRN102" s="83"/>
      <c r="SRO102" s="83"/>
      <c r="SRP102" s="83"/>
      <c r="SRQ102" s="83"/>
      <c r="SRR102" s="83"/>
      <c r="SRS102" s="83"/>
      <c r="SRT102" s="83"/>
      <c r="SRU102" s="83"/>
      <c r="SRV102" s="83"/>
      <c r="SRW102" s="83"/>
      <c r="SRX102" s="83"/>
      <c r="SRY102" s="83"/>
      <c r="SRZ102" s="83"/>
      <c r="SSA102" s="83"/>
      <c r="SSB102" s="83"/>
      <c r="SSC102" s="83"/>
      <c r="SSD102" s="83"/>
      <c r="SSE102" s="83"/>
      <c r="SSF102" s="83"/>
      <c r="SSG102" s="83"/>
      <c r="SSH102" s="83"/>
      <c r="SSI102" s="83"/>
      <c r="SSJ102" s="83"/>
      <c r="SSK102" s="83"/>
      <c r="SSL102" s="83"/>
      <c r="SSM102" s="83"/>
      <c r="SSN102" s="83"/>
      <c r="SSO102" s="83"/>
      <c r="SSP102" s="83"/>
      <c r="SSQ102" s="83"/>
      <c r="SSR102" s="83"/>
      <c r="SSS102" s="83"/>
      <c r="SST102" s="83"/>
      <c r="SSU102" s="83"/>
      <c r="SSV102" s="83"/>
      <c r="SSW102" s="83"/>
      <c r="SSX102" s="83"/>
      <c r="SSY102" s="83"/>
      <c r="SSZ102" s="83"/>
      <c r="STA102" s="83"/>
      <c r="STB102" s="83"/>
      <c r="STC102" s="83"/>
      <c r="STD102" s="83"/>
      <c r="STE102" s="83"/>
      <c r="STF102" s="83"/>
      <c r="STG102" s="83"/>
      <c r="STH102" s="83"/>
      <c r="STI102" s="83"/>
      <c r="STJ102" s="83"/>
      <c r="STK102" s="83"/>
      <c r="STL102" s="83"/>
      <c r="STM102" s="83"/>
      <c r="STN102" s="83"/>
      <c r="STO102" s="83"/>
      <c r="STP102" s="83"/>
      <c r="STQ102" s="83"/>
      <c r="STR102" s="83"/>
      <c r="STS102" s="83"/>
      <c r="STT102" s="83"/>
      <c r="STU102" s="83"/>
      <c r="STV102" s="83"/>
      <c r="STW102" s="83"/>
      <c r="STX102" s="83"/>
      <c r="STY102" s="83"/>
      <c r="STZ102" s="83"/>
      <c r="SUA102" s="83"/>
      <c r="SUB102" s="83"/>
      <c r="SUC102" s="83"/>
      <c r="SUD102" s="83"/>
      <c r="SUE102" s="83"/>
      <c r="SUF102" s="83"/>
      <c r="SUG102" s="83"/>
      <c r="SUH102" s="83"/>
      <c r="SUI102" s="83"/>
      <c r="SUJ102" s="83"/>
      <c r="SUK102" s="83"/>
      <c r="SUL102" s="83"/>
      <c r="SUM102" s="83"/>
      <c r="SUN102" s="83"/>
      <c r="SUO102" s="83"/>
      <c r="SUP102" s="83"/>
      <c r="SUQ102" s="83"/>
      <c r="SUR102" s="83"/>
      <c r="SUS102" s="83"/>
      <c r="SUT102" s="83"/>
      <c r="SUU102" s="83"/>
      <c r="SUV102" s="83"/>
      <c r="SUW102" s="83"/>
      <c r="SUX102" s="83"/>
      <c r="SUY102" s="83"/>
      <c r="SUZ102" s="83"/>
      <c r="SVA102" s="83"/>
      <c r="SVB102" s="83"/>
      <c r="SVC102" s="83"/>
      <c r="SVD102" s="83"/>
      <c r="SVE102" s="83"/>
      <c r="SVF102" s="83"/>
      <c r="SVG102" s="83"/>
      <c r="SVH102" s="83"/>
      <c r="SVI102" s="83"/>
      <c r="SVJ102" s="83"/>
      <c r="SVK102" s="83"/>
      <c r="SVL102" s="83"/>
      <c r="SVM102" s="83"/>
      <c r="SVN102" s="83"/>
      <c r="SVO102" s="83"/>
      <c r="SVP102" s="83"/>
      <c r="SVQ102" s="83"/>
      <c r="SVR102" s="83"/>
      <c r="SVS102" s="83"/>
      <c r="SVT102" s="83"/>
      <c r="SVU102" s="83"/>
      <c r="SVV102" s="83"/>
      <c r="SVW102" s="83"/>
      <c r="SVX102" s="83"/>
      <c r="SVY102" s="83"/>
      <c r="SVZ102" s="83"/>
      <c r="SWA102" s="83"/>
      <c r="SWB102" s="83"/>
      <c r="SWC102" s="83"/>
      <c r="SWD102" s="83"/>
      <c r="SWE102" s="83"/>
      <c r="SWF102" s="83"/>
      <c r="SWG102" s="83"/>
      <c r="SWH102" s="83"/>
      <c r="SWI102" s="83"/>
      <c r="SWJ102" s="83"/>
      <c r="SWK102" s="83"/>
      <c r="SWL102" s="83"/>
      <c r="SWM102" s="83"/>
      <c r="SWN102" s="83"/>
      <c r="SWO102" s="83"/>
      <c r="SWP102" s="83"/>
      <c r="SWQ102" s="83"/>
      <c r="SWR102" s="83"/>
      <c r="SWS102" s="83"/>
      <c r="SWT102" s="83"/>
      <c r="SWU102" s="83"/>
      <c r="SWV102" s="83"/>
      <c r="SWW102" s="83"/>
      <c r="SWX102" s="83"/>
      <c r="SWY102" s="83"/>
      <c r="SWZ102" s="83"/>
      <c r="SXA102" s="83"/>
      <c r="SXB102" s="83"/>
      <c r="SXC102" s="83"/>
      <c r="SXD102" s="83"/>
      <c r="SXE102" s="83"/>
      <c r="SXF102" s="83"/>
      <c r="SXG102" s="83"/>
      <c r="SXH102" s="83"/>
      <c r="SXI102" s="83"/>
      <c r="SXJ102" s="83"/>
      <c r="SXK102" s="83"/>
      <c r="SXL102" s="83"/>
      <c r="SXM102" s="83"/>
      <c r="SXN102" s="83"/>
      <c r="SXO102" s="83"/>
      <c r="SXP102" s="83"/>
      <c r="SXQ102" s="83"/>
      <c r="SXR102" s="83"/>
      <c r="SXS102" s="83"/>
      <c r="SXT102" s="83"/>
      <c r="SXU102" s="83"/>
      <c r="SXV102" s="83"/>
      <c r="SXW102" s="83"/>
      <c r="SXX102" s="83"/>
      <c r="SXY102" s="83"/>
      <c r="SXZ102" s="83"/>
      <c r="SYA102" s="83"/>
      <c r="SYB102" s="83"/>
      <c r="SYC102" s="83"/>
      <c r="SYD102" s="83"/>
      <c r="SYE102" s="83"/>
      <c r="SYF102" s="83"/>
      <c r="SYG102" s="83"/>
      <c r="SYH102" s="83"/>
      <c r="SYI102" s="83"/>
      <c r="SYJ102" s="83"/>
      <c r="SYK102" s="83"/>
      <c r="SYL102" s="83"/>
      <c r="SYM102" s="83"/>
      <c r="SYN102" s="83"/>
      <c r="SYO102" s="83"/>
      <c r="SYP102" s="83"/>
      <c r="SYQ102" s="83"/>
      <c r="SYR102" s="83"/>
      <c r="SYS102" s="83"/>
      <c r="SYT102" s="83"/>
      <c r="SYU102" s="83"/>
      <c r="SYV102" s="83"/>
      <c r="SYW102" s="83"/>
      <c r="SYX102" s="83"/>
      <c r="SYY102" s="83"/>
      <c r="SYZ102" s="83"/>
      <c r="SZA102" s="83"/>
      <c r="SZB102" s="83"/>
      <c r="SZC102" s="83"/>
      <c r="SZD102" s="83"/>
      <c r="SZE102" s="83"/>
      <c r="SZF102" s="83"/>
      <c r="SZG102" s="83"/>
      <c r="SZH102" s="83"/>
      <c r="SZI102" s="83"/>
      <c r="SZJ102" s="83"/>
      <c r="SZK102" s="83"/>
      <c r="SZL102" s="83"/>
      <c r="SZM102" s="83"/>
      <c r="SZN102" s="83"/>
      <c r="SZO102" s="83"/>
      <c r="SZP102" s="83"/>
      <c r="SZQ102" s="83"/>
      <c r="SZR102" s="83"/>
      <c r="SZS102" s="83"/>
      <c r="SZT102" s="83"/>
      <c r="SZU102" s="83"/>
      <c r="SZV102" s="83"/>
      <c r="SZW102" s="83"/>
      <c r="SZX102" s="83"/>
      <c r="SZY102" s="83"/>
      <c r="SZZ102" s="83"/>
      <c r="TAA102" s="83"/>
      <c r="TAB102" s="83"/>
      <c r="TAC102" s="83"/>
      <c r="TAD102" s="83"/>
      <c r="TAE102" s="83"/>
      <c r="TAF102" s="83"/>
      <c r="TAG102" s="83"/>
      <c r="TAH102" s="83"/>
      <c r="TAI102" s="83"/>
      <c r="TAJ102" s="83"/>
      <c r="TAK102" s="83"/>
      <c r="TAL102" s="83"/>
      <c r="TAM102" s="83"/>
      <c r="TAN102" s="83"/>
      <c r="TAO102" s="83"/>
      <c r="TAP102" s="83"/>
      <c r="TAQ102" s="83"/>
      <c r="TAR102" s="83"/>
      <c r="TAS102" s="83"/>
      <c r="TAT102" s="83"/>
      <c r="TAU102" s="83"/>
      <c r="TAV102" s="83"/>
      <c r="TAW102" s="83"/>
      <c r="TAX102" s="83"/>
      <c r="TAY102" s="83"/>
      <c r="TAZ102" s="83"/>
      <c r="TBA102" s="83"/>
      <c r="TBB102" s="83"/>
      <c r="TBC102" s="83"/>
      <c r="TBD102" s="83"/>
      <c r="TBE102" s="83"/>
      <c r="TBF102" s="83"/>
      <c r="TBG102" s="83"/>
      <c r="TBH102" s="83"/>
      <c r="TBI102" s="83"/>
      <c r="TBJ102" s="83"/>
      <c r="TBK102" s="83"/>
      <c r="TBL102" s="83"/>
      <c r="TBM102" s="83"/>
      <c r="TBN102" s="83"/>
      <c r="TBO102" s="83"/>
      <c r="TBP102" s="83"/>
      <c r="TBQ102" s="83"/>
      <c r="TBR102" s="83"/>
      <c r="TBS102" s="83"/>
      <c r="TBT102" s="83"/>
      <c r="TBU102" s="83"/>
      <c r="TBV102" s="83"/>
      <c r="TBW102" s="83"/>
      <c r="TBX102" s="83"/>
      <c r="TBY102" s="83"/>
      <c r="TBZ102" s="83"/>
      <c r="TCA102" s="83"/>
      <c r="TCB102" s="83"/>
      <c r="TCC102" s="83"/>
      <c r="TCD102" s="83"/>
      <c r="TCE102" s="83"/>
      <c r="TCF102" s="83"/>
      <c r="TCG102" s="83"/>
      <c r="TCH102" s="83"/>
      <c r="TCI102" s="83"/>
      <c r="TCJ102" s="83"/>
      <c r="TCK102" s="83"/>
      <c r="TCL102" s="83"/>
      <c r="TCM102" s="83"/>
      <c r="TCN102" s="83"/>
      <c r="TCO102" s="83"/>
      <c r="TCP102" s="83"/>
      <c r="TCQ102" s="83"/>
      <c r="TCR102" s="83"/>
      <c r="TCS102" s="83"/>
      <c r="TCT102" s="83"/>
      <c r="TCU102" s="83"/>
      <c r="TCV102" s="83"/>
      <c r="TCW102" s="83"/>
      <c r="TCX102" s="83"/>
      <c r="TCY102" s="83"/>
      <c r="TCZ102" s="83"/>
      <c r="TDA102" s="83"/>
      <c r="TDB102" s="83"/>
      <c r="TDC102" s="83"/>
      <c r="TDD102" s="83"/>
      <c r="TDE102" s="83"/>
      <c r="TDF102" s="83"/>
      <c r="TDG102" s="83"/>
      <c r="TDH102" s="83"/>
      <c r="TDI102" s="83"/>
      <c r="TDJ102" s="83"/>
      <c r="TDK102" s="83"/>
      <c r="TDL102" s="83"/>
      <c r="TDM102" s="83"/>
      <c r="TDN102" s="83"/>
      <c r="TDO102" s="83"/>
      <c r="TDP102" s="83"/>
      <c r="TDQ102" s="83"/>
      <c r="TDR102" s="83"/>
      <c r="TDS102" s="83"/>
      <c r="TDT102" s="83"/>
      <c r="TDU102" s="83"/>
      <c r="TDV102" s="83"/>
      <c r="TDW102" s="83"/>
      <c r="TDX102" s="83"/>
      <c r="TDY102" s="83"/>
      <c r="TDZ102" s="83"/>
      <c r="TEA102" s="83"/>
      <c r="TEB102" s="83"/>
      <c r="TEC102" s="83"/>
      <c r="TED102" s="83"/>
      <c r="TEE102" s="83"/>
      <c r="TEF102" s="83"/>
      <c r="TEG102" s="83"/>
      <c r="TEH102" s="83"/>
      <c r="TEI102" s="83"/>
      <c r="TEJ102" s="83"/>
      <c r="TEK102" s="83"/>
      <c r="TEL102" s="83"/>
      <c r="TEM102" s="83"/>
      <c r="TEN102" s="83"/>
      <c r="TEO102" s="83"/>
      <c r="TEP102" s="83"/>
      <c r="TEQ102" s="83"/>
      <c r="TER102" s="83"/>
      <c r="TES102" s="83"/>
      <c r="TET102" s="83"/>
      <c r="TEU102" s="83"/>
      <c r="TEV102" s="83"/>
      <c r="TEW102" s="83"/>
      <c r="TEX102" s="83"/>
      <c r="TEY102" s="83"/>
      <c r="TEZ102" s="83"/>
      <c r="TFA102" s="83"/>
      <c r="TFB102" s="83"/>
      <c r="TFC102" s="83"/>
      <c r="TFD102" s="83"/>
      <c r="TFE102" s="83"/>
      <c r="TFF102" s="83"/>
      <c r="TFG102" s="83"/>
      <c r="TFH102" s="83"/>
      <c r="TFI102" s="83"/>
      <c r="TFJ102" s="83"/>
      <c r="TFK102" s="83"/>
      <c r="TFL102" s="83"/>
      <c r="TFM102" s="83"/>
      <c r="TFN102" s="83"/>
      <c r="TFO102" s="83"/>
      <c r="TFP102" s="83"/>
      <c r="TFQ102" s="83"/>
      <c r="TFR102" s="83"/>
      <c r="TFS102" s="83"/>
      <c r="TFT102" s="83"/>
      <c r="TFU102" s="83"/>
      <c r="TFV102" s="83"/>
      <c r="TFW102" s="83"/>
      <c r="TFX102" s="83"/>
      <c r="TFY102" s="83"/>
      <c r="TFZ102" s="83"/>
      <c r="TGA102" s="83"/>
      <c r="TGB102" s="83"/>
      <c r="TGC102" s="83"/>
      <c r="TGD102" s="83"/>
      <c r="TGE102" s="83"/>
      <c r="TGF102" s="83"/>
      <c r="TGG102" s="83"/>
      <c r="TGH102" s="83"/>
      <c r="TGI102" s="83"/>
      <c r="TGJ102" s="83"/>
      <c r="TGK102" s="83"/>
      <c r="TGL102" s="83"/>
      <c r="TGM102" s="83"/>
      <c r="TGN102" s="83"/>
      <c r="TGO102" s="83"/>
      <c r="TGP102" s="83"/>
      <c r="TGQ102" s="83"/>
      <c r="TGR102" s="83"/>
      <c r="TGS102" s="83"/>
      <c r="TGT102" s="83"/>
      <c r="TGU102" s="83"/>
      <c r="TGV102" s="83"/>
      <c r="TGW102" s="83"/>
      <c r="TGX102" s="83"/>
      <c r="TGY102" s="83"/>
      <c r="TGZ102" s="83"/>
      <c r="THA102" s="83"/>
      <c r="THB102" s="83"/>
      <c r="THC102" s="83"/>
      <c r="THD102" s="83"/>
      <c r="THE102" s="83"/>
      <c r="THF102" s="83"/>
      <c r="THG102" s="83"/>
      <c r="THH102" s="83"/>
      <c r="THI102" s="83"/>
      <c r="THJ102" s="83"/>
      <c r="THK102" s="83"/>
      <c r="THL102" s="83"/>
      <c r="THM102" s="83"/>
      <c r="THN102" s="83"/>
      <c r="THO102" s="83"/>
      <c r="THP102" s="83"/>
      <c r="THQ102" s="83"/>
      <c r="THR102" s="83"/>
      <c r="THS102" s="83"/>
      <c r="THT102" s="83"/>
      <c r="THU102" s="83"/>
      <c r="THV102" s="83"/>
      <c r="THW102" s="83"/>
      <c r="THX102" s="83"/>
      <c r="THY102" s="83"/>
      <c r="THZ102" s="83"/>
      <c r="TIA102" s="83"/>
      <c r="TIB102" s="83"/>
      <c r="TIC102" s="83"/>
      <c r="TID102" s="83"/>
      <c r="TIE102" s="83"/>
      <c r="TIF102" s="83"/>
      <c r="TIG102" s="83"/>
      <c r="TIH102" s="83"/>
      <c r="TII102" s="83"/>
      <c r="TIJ102" s="83"/>
      <c r="TIK102" s="83"/>
      <c r="TIL102" s="83"/>
      <c r="TIM102" s="83"/>
      <c r="TIN102" s="83"/>
      <c r="TIO102" s="83"/>
      <c r="TIP102" s="83"/>
      <c r="TIQ102" s="83"/>
      <c r="TIR102" s="83"/>
      <c r="TIS102" s="83"/>
      <c r="TIT102" s="83"/>
      <c r="TIU102" s="83"/>
      <c r="TIV102" s="83"/>
      <c r="TIW102" s="83"/>
      <c r="TIX102" s="83"/>
      <c r="TIY102" s="83"/>
      <c r="TIZ102" s="83"/>
      <c r="TJA102" s="83"/>
      <c r="TJB102" s="83"/>
      <c r="TJC102" s="83"/>
      <c r="TJD102" s="83"/>
      <c r="TJE102" s="83"/>
      <c r="TJF102" s="83"/>
      <c r="TJG102" s="83"/>
      <c r="TJH102" s="83"/>
      <c r="TJI102" s="83"/>
      <c r="TJJ102" s="83"/>
      <c r="TJK102" s="83"/>
      <c r="TJL102" s="83"/>
      <c r="TJM102" s="83"/>
      <c r="TJN102" s="83"/>
      <c r="TJO102" s="83"/>
      <c r="TJP102" s="83"/>
      <c r="TJQ102" s="83"/>
      <c r="TJR102" s="83"/>
      <c r="TJS102" s="83"/>
      <c r="TJT102" s="83"/>
      <c r="TJU102" s="83"/>
      <c r="TJV102" s="83"/>
      <c r="TJW102" s="83"/>
      <c r="TJX102" s="83"/>
      <c r="TJY102" s="83"/>
      <c r="TJZ102" s="83"/>
      <c r="TKA102" s="83"/>
      <c r="TKB102" s="83"/>
      <c r="TKC102" s="83"/>
      <c r="TKD102" s="83"/>
      <c r="TKE102" s="83"/>
      <c r="TKF102" s="83"/>
      <c r="TKG102" s="83"/>
      <c r="TKH102" s="83"/>
      <c r="TKI102" s="83"/>
      <c r="TKJ102" s="83"/>
      <c r="TKK102" s="83"/>
      <c r="TKL102" s="83"/>
      <c r="TKM102" s="83"/>
      <c r="TKN102" s="83"/>
      <c r="TKO102" s="83"/>
      <c r="TKP102" s="83"/>
      <c r="TKQ102" s="83"/>
      <c r="TKR102" s="83"/>
      <c r="TKS102" s="83"/>
      <c r="TKT102" s="83"/>
      <c r="TKU102" s="83"/>
      <c r="TKV102" s="83"/>
      <c r="TKW102" s="83"/>
      <c r="TKX102" s="83"/>
      <c r="TKY102" s="83"/>
      <c r="TKZ102" s="83"/>
      <c r="TLA102" s="83"/>
      <c r="TLB102" s="83"/>
      <c r="TLC102" s="83"/>
      <c r="TLD102" s="83"/>
      <c r="TLE102" s="83"/>
      <c r="TLF102" s="83"/>
      <c r="TLG102" s="83"/>
      <c r="TLH102" s="83"/>
      <c r="TLI102" s="83"/>
      <c r="TLJ102" s="83"/>
      <c r="TLK102" s="83"/>
      <c r="TLL102" s="83"/>
      <c r="TLM102" s="83"/>
      <c r="TLN102" s="83"/>
      <c r="TLO102" s="83"/>
      <c r="TLP102" s="83"/>
      <c r="TLQ102" s="83"/>
      <c r="TLR102" s="83"/>
      <c r="TLS102" s="83"/>
      <c r="TLT102" s="83"/>
      <c r="TLU102" s="83"/>
      <c r="TLV102" s="83"/>
      <c r="TLW102" s="83"/>
      <c r="TLX102" s="83"/>
      <c r="TLY102" s="83"/>
      <c r="TLZ102" s="83"/>
      <c r="TMA102" s="83"/>
      <c r="TMB102" s="83"/>
      <c r="TMC102" s="83"/>
      <c r="TMD102" s="83"/>
      <c r="TME102" s="83"/>
      <c r="TMF102" s="83"/>
      <c r="TMG102" s="83"/>
      <c r="TMH102" s="83"/>
      <c r="TMI102" s="83"/>
      <c r="TMJ102" s="83"/>
      <c r="TMK102" s="83"/>
      <c r="TML102" s="83"/>
      <c r="TMM102" s="83"/>
      <c r="TMN102" s="83"/>
      <c r="TMO102" s="83"/>
      <c r="TMP102" s="83"/>
      <c r="TMQ102" s="83"/>
      <c r="TMR102" s="83"/>
      <c r="TMS102" s="83"/>
      <c r="TMT102" s="83"/>
      <c r="TMU102" s="83"/>
      <c r="TMV102" s="83"/>
      <c r="TMW102" s="83"/>
      <c r="TMX102" s="83"/>
      <c r="TMY102" s="83"/>
      <c r="TMZ102" s="83"/>
      <c r="TNA102" s="83"/>
      <c r="TNB102" s="83"/>
      <c r="TNC102" s="83"/>
      <c r="TND102" s="83"/>
      <c r="TNE102" s="83"/>
      <c r="TNF102" s="83"/>
      <c r="TNG102" s="83"/>
      <c r="TNH102" s="83"/>
      <c r="TNI102" s="83"/>
      <c r="TNJ102" s="83"/>
      <c r="TNK102" s="83"/>
      <c r="TNL102" s="83"/>
      <c r="TNM102" s="83"/>
      <c r="TNN102" s="83"/>
      <c r="TNO102" s="83"/>
      <c r="TNP102" s="83"/>
      <c r="TNQ102" s="83"/>
      <c r="TNR102" s="83"/>
      <c r="TNS102" s="83"/>
      <c r="TNT102" s="83"/>
      <c r="TNU102" s="83"/>
      <c r="TNV102" s="83"/>
      <c r="TNW102" s="83"/>
      <c r="TNX102" s="83"/>
      <c r="TNY102" s="83"/>
      <c r="TNZ102" s="83"/>
      <c r="TOA102" s="83"/>
      <c r="TOB102" s="83"/>
      <c r="TOC102" s="83"/>
      <c r="TOD102" s="83"/>
      <c r="TOE102" s="83"/>
      <c r="TOF102" s="83"/>
      <c r="TOG102" s="83"/>
      <c r="TOH102" s="83"/>
      <c r="TOI102" s="83"/>
      <c r="TOJ102" s="83"/>
      <c r="TOK102" s="83"/>
      <c r="TOL102" s="83"/>
      <c r="TOM102" s="83"/>
      <c r="TON102" s="83"/>
      <c r="TOO102" s="83"/>
      <c r="TOP102" s="83"/>
      <c r="TOQ102" s="83"/>
      <c r="TOR102" s="83"/>
      <c r="TOS102" s="83"/>
      <c r="TOT102" s="83"/>
      <c r="TOU102" s="83"/>
      <c r="TOV102" s="83"/>
      <c r="TOW102" s="83"/>
      <c r="TOX102" s="83"/>
      <c r="TOY102" s="83"/>
      <c r="TOZ102" s="83"/>
      <c r="TPA102" s="83"/>
      <c r="TPB102" s="83"/>
      <c r="TPC102" s="83"/>
      <c r="TPD102" s="83"/>
      <c r="TPE102" s="83"/>
      <c r="TPF102" s="83"/>
      <c r="TPG102" s="83"/>
      <c r="TPH102" s="83"/>
      <c r="TPI102" s="83"/>
      <c r="TPJ102" s="83"/>
      <c r="TPK102" s="83"/>
      <c r="TPL102" s="83"/>
      <c r="TPM102" s="83"/>
      <c r="TPN102" s="83"/>
      <c r="TPO102" s="83"/>
      <c r="TPP102" s="83"/>
      <c r="TPQ102" s="83"/>
      <c r="TPR102" s="83"/>
      <c r="TPS102" s="83"/>
      <c r="TPT102" s="83"/>
      <c r="TPU102" s="83"/>
      <c r="TPV102" s="83"/>
      <c r="TPW102" s="83"/>
      <c r="TPX102" s="83"/>
      <c r="TPY102" s="83"/>
      <c r="TPZ102" s="83"/>
      <c r="TQA102" s="83"/>
      <c r="TQB102" s="83"/>
      <c r="TQC102" s="83"/>
      <c r="TQD102" s="83"/>
      <c r="TQE102" s="83"/>
      <c r="TQF102" s="83"/>
      <c r="TQG102" s="83"/>
      <c r="TQH102" s="83"/>
      <c r="TQI102" s="83"/>
      <c r="TQJ102" s="83"/>
      <c r="TQK102" s="83"/>
      <c r="TQL102" s="83"/>
      <c r="TQM102" s="83"/>
      <c r="TQN102" s="83"/>
      <c r="TQO102" s="83"/>
      <c r="TQP102" s="83"/>
      <c r="TQQ102" s="83"/>
      <c r="TQR102" s="83"/>
      <c r="TQS102" s="83"/>
      <c r="TQT102" s="83"/>
      <c r="TQU102" s="83"/>
      <c r="TQV102" s="83"/>
      <c r="TQW102" s="83"/>
      <c r="TQX102" s="83"/>
      <c r="TQY102" s="83"/>
      <c r="TQZ102" s="83"/>
      <c r="TRA102" s="83"/>
      <c r="TRB102" s="83"/>
      <c r="TRC102" s="83"/>
      <c r="TRD102" s="83"/>
      <c r="TRE102" s="83"/>
      <c r="TRF102" s="83"/>
      <c r="TRG102" s="83"/>
      <c r="TRH102" s="83"/>
      <c r="TRI102" s="83"/>
      <c r="TRJ102" s="83"/>
      <c r="TRK102" s="83"/>
      <c r="TRL102" s="83"/>
      <c r="TRM102" s="83"/>
      <c r="TRN102" s="83"/>
      <c r="TRO102" s="83"/>
      <c r="TRP102" s="83"/>
      <c r="TRQ102" s="83"/>
      <c r="TRR102" s="83"/>
      <c r="TRS102" s="83"/>
      <c r="TRT102" s="83"/>
      <c r="TRU102" s="83"/>
      <c r="TRV102" s="83"/>
      <c r="TRW102" s="83"/>
      <c r="TRX102" s="83"/>
      <c r="TRY102" s="83"/>
      <c r="TRZ102" s="83"/>
      <c r="TSA102" s="83"/>
      <c r="TSB102" s="83"/>
      <c r="TSC102" s="83"/>
      <c r="TSD102" s="83"/>
      <c r="TSE102" s="83"/>
      <c r="TSF102" s="83"/>
      <c r="TSG102" s="83"/>
      <c r="TSH102" s="83"/>
      <c r="TSI102" s="83"/>
      <c r="TSJ102" s="83"/>
      <c r="TSK102" s="83"/>
      <c r="TSL102" s="83"/>
      <c r="TSM102" s="83"/>
      <c r="TSN102" s="83"/>
      <c r="TSO102" s="83"/>
      <c r="TSP102" s="83"/>
      <c r="TSQ102" s="83"/>
      <c r="TSR102" s="83"/>
      <c r="TSS102" s="83"/>
      <c r="TST102" s="83"/>
      <c r="TSU102" s="83"/>
      <c r="TSV102" s="83"/>
      <c r="TSW102" s="83"/>
      <c r="TSX102" s="83"/>
      <c r="TSY102" s="83"/>
      <c r="TSZ102" s="83"/>
      <c r="TTA102" s="83"/>
      <c r="TTB102" s="83"/>
      <c r="TTC102" s="83"/>
      <c r="TTD102" s="83"/>
      <c r="TTE102" s="83"/>
      <c r="TTF102" s="83"/>
      <c r="TTG102" s="83"/>
      <c r="TTH102" s="83"/>
      <c r="TTI102" s="83"/>
      <c r="TTJ102" s="83"/>
      <c r="TTK102" s="83"/>
      <c r="TTL102" s="83"/>
      <c r="TTM102" s="83"/>
      <c r="TTN102" s="83"/>
      <c r="TTO102" s="83"/>
      <c r="TTP102" s="83"/>
      <c r="TTQ102" s="83"/>
      <c r="TTR102" s="83"/>
      <c r="TTS102" s="83"/>
      <c r="TTT102" s="83"/>
      <c r="TTU102" s="83"/>
      <c r="TTV102" s="83"/>
      <c r="TTW102" s="83"/>
      <c r="TTX102" s="83"/>
      <c r="TTY102" s="83"/>
      <c r="TTZ102" s="83"/>
      <c r="TUA102" s="83"/>
      <c r="TUB102" s="83"/>
      <c r="TUC102" s="83"/>
      <c r="TUD102" s="83"/>
      <c r="TUE102" s="83"/>
      <c r="TUF102" s="83"/>
      <c r="TUG102" s="83"/>
      <c r="TUH102" s="83"/>
      <c r="TUI102" s="83"/>
      <c r="TUJ102" s="83"/>
      <c r="TUK102" s="83"/>
      <c r="TUL102" s="83"/>
      <c r="TUM102" s="83"/>
      <c r="TUN102" s="83"/>
      <c r="TUO102" s="83"/>
      <c r="TUP102" s="83"/>
      <c r="TUQ102" s="83"/>
      <c r="TUR102" s="83"/>
      <c r="TUS102" s="83"/>
      <c r="TUT102" s="83"/>
      <c r="TUU102" s="83"/>
      <c r="TUV102" s="83"/>
      <c r="TUW102" s="83"/>
      <c r="TUX102" s="83"/>
      <c r="TUY102" s="83"/>
      <c r="TUZ102" s="83"/>
      <c r="TVA102" s="83"/>
      <c r="TVB102" s="83"/>
      <c r="TVC102" s="83"/>
      <c r="TVD102" s="83"/>
      <c r="TVE102" s="83"/>
      <c r="TVF102" s="83"/>
      <c r="TVG102" s="83"/>
      <c r="TVH102" s="83"/>
      <c r="TVI102" s="83"/>
      <c r="TVJ102" s="83"/>
      <c r="TVK102" s="83"/>
      <c r="TVL102" s="83"/>
      <c r="TVM102" s="83"/>
      <c r="TVN102" s="83"/>
      <c r="TVO102" s="83"/>
      <c r="TVP102" s="83"/>
      <c r="TVQ102" s="83"/>
      <c r="TVR102" s="83"/>
      <c r="TVS102" s="83"/>
      <c r="TVT102" s="83"/>
      <c r="TVU102" s="83"/>
      <c r="TVV102" s="83"/>
      <c r="TVW102" s="83"/>
      <c r="TVX102" s="83"/>
      <c r="TVY102" s="83"/>
      <c r="TVZ102" s="83"/>
      <c r="TWA102" s="83"/>
      <c r="TWB102" s="83"/>
      <c r="TWC102" s="83"/>
      <c r="TWD102" s="83"/>
      <c r="TWE102" s="83"/>
      <c r="TWF102" s="83"/>
      <c r="TWG102" s="83"/>
      <c r="TWH102" s="83"/>
      <c r="TWI102" s="83"/>
      <c r="TWJ102" s="83"/>
      <c r="TWK102" s="83"/>
      <c r="TWL102" s="83"/>
      <c r="TWM102" s="83"/>
      <c r="TWN102" s="83"/>
      <c r="TWO102" s="83"/>
      <c r="TWP102" s="83"/>
      <c r="TWQ102" s="83"/>
      <c r="TWR102" s="83"/>
      <c r="TWS102" s="83"/>
      <c r="TWT102" s="83"/>
      <c r="TWU102" s="83"/>
      <c r="TWV102" s="83"/>
      <c r="TWW102" s="83"/>
      <c r="TWX102" s="83"/>
      <c r="TWY102" s="83"/>
      <c r="TWZ102" s="83"/>
      <c r="TXA102" s="83"/>
      <c r="TXB102" s="83"/>
      <c r="TXC102" s="83"/>
      <c r="TXD102" s="83"/>
      <c r="TXE102" s="83"/>
      <c r="TXF102" s="83"/>
      <c r="TXG102" s="83"/>
      <c r="TXH102" s="83"/>
      <c r="TXI102" s="83"/>
      <c r="TXJ102" s="83"/>
      <c r="TXK102" s="83"/>
      <c r="TXL102" s="83"/>
      <c r="TXM102" s="83"/>
      <c r="TXN102" s="83"/>
      <c r="TXO102" s="83"/>
      <c r="TXP102" s="83"/>
      <c r="TXQ102" s="83"/>
      <c r="TXR102" s="83"/>
      <c r="TXS102" s="83"/>
      <c r="TXT102" s="83"/>
      <c r="TXU102" s="83"/>
      <c r="TXV102" s="83"/>
      <c r="TXW102" s="83"/>
      <c r="TXX102" s="83"/>
      <c r="TXY102" s="83"/>
      <c r="TXZ102" s="83"/>
      <c r="TYA102" s="83"/>
      <c r="TYB102" s="83"/>
      <c r="TYC102" s="83"/>
      <c r="TYD102" s="83"/>
      <c r="TYE102" s="83"/>
      <c r="TYF102" s="83"/>
      <c r="TYG102" s="83"/>
      <c r="TYH102" s="83"/>
      <c r="TYI102" s="83"/>
      <c r="TYJ102" s="83"/>
      <c r="TYK102" s="83"/>
      <c r="TYL102" s="83"/>
      <c r="TYM102" s="83"/>
      <c r="TYN102" s="83"/>
      <c r="TYO102" s="83"/>
      <c r="TYP102" s="83"/>
      <c r="TYQ102" s="83"/>
      <c r="TYR102" s="83"/>
      <c r="TYS102" s="83"/>
      <c r="TYT102" s="83"/>
      <c r="TYU102" s="83"/>
      <c r="TYV102" s="83"/>
      <c r="TYW102" s="83"/>
      <c r="TYX102" s="83"/>
      <c r="TYY102" s="83"/>
      <c r="TYZ102" s="83"/>
      <c r="TZA102" s="83"/>
      <c r="TZB102" s="83"/>
      <c r="TZC102" s="83"/>
      <c r="TZD102" s="83"/>
      <c r="TZE102" s="83"/>
      <c r="TZF102" s="83"/>
      <c r="TZG102" s="83"/>
      <c r="TZH102" s="83"/>
      <c r="TZI102" s="83"/>
      <c r="TZJ102" s="83"/>
      <c r="TZK102" s="83"/>
      <c r="TZL102" s="83"/>
      <c r="TZM102" s="83"/>
      <c r="TZN102" s="83"/>
      <c r="TZO102" s="83"/>
      <c r="TZP102" s="83"/>
      <c r="TZQ102" s="83"/>
      <c r="TZR102" s="83"/>
      <c r="TZS102" s="83"/>
      <c r="TZT102" s="83"/>
      <c r="TZU102" s="83"/>
      <c r="TZV102" s="83"/>
      <c r="TZW102" s="83"/>
      <c r="TZX102" s="83"/>
      <c r="TZY102" s="83"/>
      <c r="TZZ102" s="83"/>
      <c r="UAA102" s="83"/>
      <c r="UAB102" s="83"/>
      <c r="UAC102" s="83"/>
      <c r="UAD102" s="83"/>
      <c r="UAE102" s="83"/>
      <c r="UAF102" s="83"/>
      <c r="UAG102" s="83"/>
      <c r="UAH102" s="83"/>
      <c r="UAI102" s="83"/>
      <c r="UAJ102" s="83"/>
      <c r="UAK102" s="83"/>
      <c r="UAL102" s="83"/>
      <c r="UAM102" s="83"/>
      <c r="UAN102" s="83"/>
      <c r="UAO102" s="83"/>
      <c r="UAP102" s="83"/>
      <c r="UAQ102" s="83"/>
      <c r="UAR102" s="83"/>
      <c r="UAS102" s="83"/>
      <c r="UAT102" s="83"/>
      <c r="UAU102" s="83"/>
      <c r="UAV102" s="83"/>
      <c r="UAW102" s="83"/>
      <c r="UAX102" s="83"/>
      <c r="UAY102" s="83"/>
      <c r="UAZ102" s="83"/>
      <c r="UBA102" s="83"/>
      <c r="UBB102" s="83"/>
      <c r="UBC102" s="83"/>
      <c r="UBD102" s="83"/>
      <c r="UBE102" s="83"/>
      <c r="UBF102" s="83"/>
      <c r="UBG102" s="83"/>
      <c r="UBH102" s="83"/>
      <c r="UBI102" s="83"/>
      <c r="UBJ102" s="83"/>
      <c r="UBK102" s="83"/>
      <c r="UBL102" s="83"/>
      <c r="UBM102" s="83"/>
      <c r="UBN102" s="83"/>
      <c r="UBO102" s="83"/>
      <c r="UBP102" s="83"/>
      <c r="UBQ102" s="83"/>
      <c r="UBR102" s="83"/>
      <c r="UBS102" s="83"/>
      <c r="UBT102" s="83"/>
      <c r="UBU102" s="83"/>
      <c r="UBV102" s="83"/>
      <c r="UBW102" s="83"/>
      <c r="UBX102" s="83"/>
      <c r="UBY102" s="83"/>
      <c r="UBZ102" s="83"/>
      <c r="UCA102" s="83"/>
      <c r="UCB102" s="83"/>
      <c r="UCC102" s="83"/>
      <c r="UCD102" s="83"/>
      <c r="UCE102" s="83"/>
      <c r="UCF102" s="83"/>
      <c r="UCG102" s="83"/>
      <c r="UCH102" s="83"/>
      <c r="UCI102" s="83"/>
      <c r="UCJ102" s="83"/>
      <c r="UCK102" s="83"/>
      <c r="UCL102" s="83"/>
      <c r="UCM102" s="83"/>
      <c r="UCN102" s="83"/>
      <c r="UCO102" s="83"/>
      <c r="UCP102" s="83"/>
      <c r="UCQ102" s="83"/>
      <c r="UCR102" s="83"/>
      <c r="UCS102" s="83"/>
      <c r="UCT102" s="83"/>
      <c r="UCU102" s="83"/>
      <c r="UCV102" s="83"/>
      <c r="UCW102" s="83"/>
      <c r="UCX102" s="83"/>
      <c r="UCY102" s="83"/>
      <c r="UCZ102" s="83"/>
      <c r="UDA102" s="83"/>
      <c r="UDB102" s="83"/>
      <c r="UDC102" s="83"/>
      <c r="UDD102" s="83"/>
      <c r="UDE102" s="83"/>
      <c r="UDF102" s="83"/>
      <c r="UDG102" s="83"/>
      <c r="UDH102" s="83"/>
      <c r="UDI102" s="83"/>
      <c r="UDJ102" s="83"/>
      <c r="UDK102" s="83"/>
      <c r="UDL102" s="83"/>
      <c r="UDM102" s="83"/>
      <c r="UDN102" s="83"/>
      <c r="UDO102" s="83"/>
      <c r="UDP102" s="83"/>
      <c r="UDQ102" s="83"/>
      <c r="UDR102" s="83"/>
      <c r="UDS102" s="83"/>
      <c r="UDT102" s="83"/>
      <c r="UDU102" s="83"/>
      <c r="UDV102" s="83"/>
      <c r="UDW102" s="83"/>
      <c r="UDX102" s="83"/>
      <c r="UDY102" s="83"/>
      <c r="UDZ102" s="83"/>
      <c r="UEA102" s="83"/>
      <c r="UEB102" s="83"/>
      <c r="UEC102" s="83"/>
      <c r="UED102" s="83"/>
      <c r="UEE102" s="83"/>
      <c r="UEF102" s="83"/>
      <c r="UEG102" s="83"/>
      <c r="UEH102" s="83"/>
      <c r="UEI102" s="83"/>
      <c r="UEJ102" s="83"/>
      <c r="UEK102" s="83"/>
      <c r="UEL102" s="83"/>
      <c r="UEM102" s="83"/>
      <c r="UEN102" s="83"/>
      <c r="UEO102" s="83"/>
      <c r="UEP102" s="83"/>
      <c r="UEQ102" s="83"/>
      <c r="UER102" s="83"/>
      <c r="UES102" s="83"/>
      <c r="UET102" s="83"/>
      <c r="UEU102" s="83"/>
      <c r="UEV102" s="83"/>
      <c r="UEW102" s="83"/>
      <c r="UEX102" s="83"/>
      <c r="UEY102" s="83"/>
      <c r="UEZ102" s="83"/>
      <c r="UFA102" s="83"/>
      <c r="UFB102" s="83"/>
      <c r="UFC102" s="83"/>
      <c r="UFD102" s="83"/>
      <c r="UFE102" s="83"/>
      <c r="UFF102" s="83"/>
      <c r="UFG102" s="83"/>
      <c r="UFH102" s="83"/>
      <c r="UFI102" s="83"/>
      <c r="UFJ102" s="83"/>
      <c r="UFK102" s="83"/>
      <c r="UFL102" s="83"/>
      <c r="UFM102" s="83"/>
      <c r="UFN102" s="83"/>
      <c r="UFO102" s="83"/>
      <c r="UFP102" s="83"/>
      <c r="UFQ102" s="83"/>
      <c r="UFR102" s="83"/>
      <c r="UFS102" s="83"/>
      <c r="UFT102" s="83"/>
      <c r="UFU102" s="83"/>
      <c r="UFV102" s="83"/>
      <c r="UFW102" s="83"/>
      <c r="UFX102" s="83"/>
      <c r="UFY102" s="83"/>
      <c r="UFZ102" s="83"/>
      <c r="UGA102" s="83"/>
      <c r="UGB102" s="83"/>
      <c r="UGC102" s="83"/>
      <c r="UGD102" s="83"/>
      <c r="UGE102" s="83"/>
      <c r="UGF102" s="83"/>
      <c r="UGG102" s="83"/>
      <c r="UGH102" s="83"/>
      <c r="UGI102" s="83"/>
      <c r="UGJ102" s="83"/>
      <c r="UGK102" s="83"/>
      <c r="UGL102" s="83"/>
      <c r="UGM102" s="83"/>
      <c r="UGN102" s="83"/>
      <c r="UGO102" s="83"/>
      <c r="UGP102" s="83"/>
      <c r="UGQ102" s="83"/>
      <c r="UGR102" s="83"/>
      <c r="UGS102" s="83"/>
      <c r="UGT102" s="83"/>
      <c r="UGU102" s="83"/>
      <c r="UGV102" s="83"/>
      <c r="UGW102" s="83"/>
      <c r="UGX102" s="83"/>
      <c r="UGY102" s="83"/>
      <c r="UGZ102" s="83"/>
      <c r="UHA102" s="83"/>
      <c r="UHB102" s="83"/>
      <c r="UHC102" s="83"/>
      <c r="UHD102" s="83"/>
      <c r="UHE102" s="83"/>
      <c r="UHF102" s="83"/>
      <c r="UHG102" s="83"/>
      <c r="UHH102" s="83"/>
      <c r="UHI102" s="83"/>
      <c r="UHJ102" s="83"/>
      <c r="UHK102" s="83"/>
      <c r="UHL102" s="83"/>
      <c r="UHM102" s="83"/>
      <c r="UHN102" s="83"/>
      <c r="UHO102" s="83"/>
      <c r="UHP102" s="83"/>
      <c r="UHQ102" s="83"/>
      <c r="UHR102" s="83"/>
      <c r="UHS102" s="83"/>
      <c r="UHT102" s="83"/>
      <c r="UHU102" s="83"/>
      <c r="UHV102" s="83"/>
      <c r="UHW102" s="83"/>
      <c r="UHX102" s="83"/>
      <c r="UHY102" s="83"/>
      <c r="UHZ102" s="83"/>
      <c r="UIA102" s="83"/>
      <c r="UIB102" s="83"/>
      <c r="UIC102" s="83"/>
      <c r="UID102" s="83"/>
      <c r="UIE102" s="83"/>
      <c r="UIF102" s="83"/>
      <c r="UIG102" s="83"/>
      <c r="UIH102" s="83"/>
      <c r="UII102" s="83"/>
      <c r="UIJ102" s="83"/>
      <c r="UIK102" s="83"/>
      <c r="UIL102" s="83"/>
      <c r="UIM102" s="83"/>
      <c r="UIN102" s="83"/>
      <c r="UIO102" s="83"/>
      <c r="UIP102" s="83"/>
      <c r="UIQ102" s="83"/>
      <c r="UIR102" s="83"/>
      <c r="UIS102" s="83"/>
      <c r="UIT102" s="83"/>
      <c r="UIU102" s="83"/>
      <c r="UIV102" s="83"/>
      <c r="UIW102" s="83"/>
      <c r="UIX102" s="83"/>
      <c r="UIY102" s="83"/>
      <c r="UIZ102" s="83"/>
      <c r="UJA102" s="83"/>
      <c r="UJB102" s="83"/>
      <c r="UJC102" s="83"/>
      <c r="UJD102" s="83"/>
      <c r="UJE102" s="83"/>
      <c r="UJF102" s="83"/>
      <c r="UJG102" s="83"/>
      <c r="UJH102" s="83"/>
      <c r="UJI102" s="83"/>
      <c r="UJJ102" s="83"/>
      <c r="UJK102" s="83"/>
      <c r="UJL102" s="83"/>
      <c r="UJM102" s="83"/>
      <c r="UJN102" s="83"/>
      <c r="UJO102" s="83"/>
      <c r="UJP102" s="83"/>
      <c r="UJQ102" s="83"/>
      <c r="UJR102" s="83"/>
      <c r="UJS102" s="83"/>
      <c r="UJT102" s="83"/>
      <c r="UJU102" s="83"/>
      <c r="UJV102" s="83"/>
      <c r="UJW102" s="83"/>
      <c r="UJX102" s="83"/>
      <c r="UJY102" s="83"/>
      <c r="UJZ102" s="83"/>
      <c r="UKA102" s="83"/>
      <c r="UKB102" s="83"/>
      <c r="UKC102" s="83"/>
      <c r="UKD102" s="83"/>
      <c r="UKE102" s="83"/>
      <c r="UKF102" s="83"/>
      <c r="UKG102" s="83"/>
      <c r="UKH102" s="83"/>
      <c r="UKI102" s="83"/>
      <c r="UKJ102" s="83"/>
      <c r="UKK102" s="83"/>
      <c r="UKL102" s="83"/>
      <c r="UKM102" s="83"/>
      <c r="UKN102" s="83"/>
      <c r="UKO102" s="83"/>
      <c r="UKP102" s="83"/>
      <c r="UKQ102" s="83"/>
      <c r="UKR102" s="83"/>
      <c r="UKS102" s="83"/>
      <c r="UKT102" s="83"/>
      <c r="UKU102" s="83"/>
      <c r="UKV102" s="83"/>
      <c r="UKW102" s="83"/>
      <c r="UKX102" s="83"/>
      <c r="UKY102" s="83"/>
      <c r="UKZ102" s="83"/>
      <c r="ULA102" s="83"/>
      <c r="ULB102" s="83"/>
      <c r="ULC102" s="83"/>
      <c r="ULD102" s="83"/>
      <c r="ULE102" s="83"/>
      <c r="ULF102" s="83"/>
      <c r="ULG102" s="83"/>
      <c r="ULH102" s="83"/>
      <c r="ULI102" s="83"/>
      <c r="ULJ102" s="83"/>
      <c r="ULK102" s="83"/>
      <c r="ULL102" s="83"/>
      <c r="ULM102" s="83"/>
      <c r="ULN102" s="83"/>
      <c r="ULO102" s="83"/>
      <c r="ULP102" s="83"/>
      <c r="ULQ102" s="83"/>
      <c r="ULR102" s="83"/>
      <c r="ULS102" s="83"/>
      <c r="ULT102" s="83"/>
      <c r="ULU102" s="83"/>
      <c r="ULV102" s="83"/>
      <c r="ULW102" s="83"/>
      <c r="ULX102" s="83"/>
      <c r="ULY102" s="83"/>
      <c r="ULZ102" s="83"/>
      <c r="UMA102" s="83"/>
      <c r="UMB102" s="83"/>
      <c r="UMC102" s="83"/>
      <c r="UMD102" s="83"/>
      <c r="UME102" s="83"/>
      <c r="UMF102" s="83"/>
      <c r="UMG102" s="83"/>
      <c r="UMH102" s="83"/>
      <c r="UMI102" s="83"/>
      <c r="UMJ102" s="83"/>
      <c r="UMK102" s="83"/>
      <c r="UML102" s="83"/>
      <c r="UMM102" s="83"/>
      <c r="UMN102" s="83"/>
      <c r="UMO102" s="83"/>
      <c r="UMP102" s="83"/>
      <c r="UMQ102" s="83"/>
      <c r="UMR102" s="83"/>
      <c r="UMS102" s="83"/>
      <c r="UMT102" s="83"/>
      <c r="UMU102" s="83"/>
      <c r="UMV102" s="83"/>
      <c r="UMW102" s="83"/>
      <c r="UMX102" s="83"/>
      <c r="UMY102" s="83"/>
      <c r="UMZ102" s="83"/>
      <c r="UNA102" s="83"/>
      <c r="UNB102" s="83"/>
      <c r="UNC102" s="83"/>
      <c r="UND102" s="83"/>
      <c r="UNE102" s="83"/>
      <c r="UNF102" s="83"/>
      <c r="UNG102" s="83"/>
      <c r="UNH102" s="83"/>
      <c r="UNI102" s="83"/>
      <c r="UNJ102" s="83"/>
      <c r="UNK102" s="83"/>
      <c r="UNL102" s="83"/>
      <c r="UNM102" s="83"/>
      <c r="UNN102" s="83"/>
      <c r="UNO102" s="83"/>
      <c r="UNP102" s="83"/>
      <c r="UNQ102" s="83"/>
      <c r="UNR102" s="83"/>
      <c r="UNS102" s="83"/>
      <c r="UNT102" s="83"/>
      <c r="UNU102" s="83"/>
      <c r="UNV102" s="83"/>
      <c r="UNW102" s="83"/>
      <c r="UNX102" s="83"/>
      <c r="UNY102" s="83"/>
      <c r="UNZ102" s="83"/>
      <c r="UOA102" s="83"/>
      <c r="UOB102" s="83"/>
      <c r="UOC102" s="83"/>
      <c r="UOD102" s="83"/>
      <c r="UOE102" s="83"/>
      <c r="UOF102" s="83"/>
      <c r="UOG102" s="83"/>
      <c r="UOH102" s="83"/>
      <c r="UOI102" s="83"/>
      <c r="UOJ102" s="83"/>
      <c r="UOK102" s="83"/>
      <c r="UOL102" s="83"/>
      <c r="UOM102" s="83"/>
      <c r="UON102" s="83"/>
      <c r="UOO102" s="83"/>
      <c r="UOP102" s="83"/>
      <c r="UOQ102" s="83"/>
      <c r="UOR102" s="83"/>
      <c r="UOS102" s="83"/>
      <c r="UOT102" s="83"/>
      <c r="UOU102" s="83"/>
      <c r="UOV102" s="83"/>
      <c r="UOW102" s="83"/>
      <c r="UOX102" s="83"/>
      <c r="UOY102" s="83"/>
      <c r="UOZ102" s="83"/>
      <c r="UPA102" s="83"/>
      <c r="UPB102" s="83"/>
      <c r="UPC102" s="83"/>
      <c r="UPD102" s="83"/>
      <c r="UPE102" s="83"/>
      <c r="UPF102" s="83"/>
      <c r="UPG102" s="83"/>
      <c r="UPH102" s="83"/>
      <c r="UPI102" s="83"/>
      <c r="UPJ102" s="83"/>
      <c r="UPK102" s="83"/>
      <c r="UPL102" s="83"/>
      <c r="UPM102" s="83"/>
      <c r="UPN102" s="83"/>
      <c r="UPO102" s="83"/>
      <c r="UPP102" s="83"/>
      <c r="UPQ102" s="83"/>
      <c r="UPR102" s="83"/>
      <c r="UPS102" s="83"/>
      <c r="UPT102" s="83"/>
      <c r="UPU102" s="83"/>
      <c r="UPV102" s="83"/>
      <c r="UPW102" s="83"/>
      <c r="UPX102" s="83"/>
      <c r="UPY102" s="83"/>
      <c r="UPZ102" s="83"/>
      <c r="UQA102" s="83"/>
      <c r="UQB102" s="83"/>
      <c r="UQC102" s="83"/>
      <c r="UQD102" s="83"/>
      <c r="UQE102" s="83"/>
      <c r="UQF102" s="83"/>
      <c r="UQG102" s="83"/>
      <c r="UQH102" s="83"/>
      <c r="UQI102" s="83"/>
      <c r="UQJ102" s="83"/>
      <c r="UQK102" s="83"/>
      <c r="UQL102" s="83"/>
      <c r="UQM102" s="83"/>
      <c r="UQN102" s="83"/>
      <c r="UQO102" s="83"/>
      <c r="UQP102" s="83"/>
      <c r="UQQ102" s="83"/>
      <c r="UQR102" s="83"/>
      <c r="UQS102" s="83"/>
      <c r="UQT102" s="83"/>
      <c r="UQU102" s="83"/>
      <c r="UQV102" s="83"/>
      <c r="UQW102" s="83"/>
      <c r="UQX102" s="83"/>
      <c r="UQY102" s="83"/>
      <c r="UQZ102" s="83"/>
      <c r="URA102" s="83"/>
      <c r="URB102" s="83"/>
      <c r="URC102" s="83"/>
      <c r="URD102" s="83"/>
      <c r="URE102" s="83"/>
      <c r="URF102" s="83"/>
      <c r="URG102" s="83"/>
      <c r="URH102" s="83"/>
      <c r="URI102" s="83"/>
      <c r="URJ102" s="83"/>
      <c r="URK102" s="83"/>
      <c r="URL102" s="83"/>
      <c r="URM102" s="83"/>
      <c r="URN102" s="83"/>
      <c r="URO102" s="83"/>
      <c r="URP102" s="83"/>
      <c r="URQ102" s="83"/>
      <c r="URR102" s="83"/>
      <c r="URS102" s="83"/>
      <c r="URT102" s="83"/>
      <c r="URU102" s="83"/>
      <c r="URV102" s="83"/>
      <c r="URW102" s="83"/>
      <c r="URX102" s="83"/>
      <c r="URY102" s="83"/>
      <c r="URZ102" s="83"/>
      <c r="USA102" s="83"/>
      <c r="USB102" s="83"/>
      <c r="USC102" s="83"/>
      <c r="USD102" s="83"/>
      <c r="USE102" s="83"/>
      <c r="USF102" s="83"/>
      <c r="USG102" s="83"/>
      <c r="USH102" s="83"/>
      <c r="USI102" s="83"/>
      <c r="USJ102" s="83"/>
      <c r="USK102" s="83"/>
      <c r="USL102" s="83"/>
      <c r="USM102" s="83"/>
      <c r="USN102" s="83"/>
      <c r="USO102" s="83"/>
      <c r="USP102" s="83"/>
      <c r="USQ102" s="83"/>
      <c r="USR102" s="83"/>
      <c r="USS102" s="83"/>
      <c r="UST102" s="83"/>
      <c r="USU102" s="83"/>
      <c r="USV102" s="83"/>
      <c r="USW102" s="83"/>
      <c r="USX102" s="83"/>
      <c r="USY102" s="83"/>
      <c r="USZ102" s="83"/>
      <c r="UTA102" s="83"/>
      <c r="UTB102" s="83"/>
      <c r="UTC102" s="83"/>
      <c r="UTD102" s="83"/>
      <c r="UTE102" s="83"/>
      <c r="UTF102" s="83"/>
      <c r="UTG102" s="83"/>
      <c r="UTH102" s="83"/>
      <c r="UTI102" s="83"/>
      <c r="UTJ102" s="83"/>
      <c r="UTK102" s="83"/>
      <c r="UTL102" s="83"/>
      <c r="UTM102" s="83"/>
      <c r="UTN102" s="83"/>
      <c r="UTO102" s="83"/>
      <c r="UTP102" s="83"/>
      <c r="UTQ102" s="83"/>
      <c r="UTR102" s="83"/>
      <c r="UTS102" s="83"/>
      <c r="UTT102" s="83"/>
      <c r="UTU102" s="83"/>
      <c r="UTV102" s="83"/>
      <c r="UTW102" s="83"/>
      <c r="UTX102" s="83"/>
      <c r="UTY102" s="83"/>
      <c r="UTZ102" s="83"/>
      <c r="UUA102" s="83"/>
      <c r="UUB102" s="83"/>
      <c r="UUC102" s="83"/>
      <c r="UUD102" s="83"/>
      <c r="UUE102" s="83"/>
      <c r="UUF102" s="83"/>
      <c r="UUG102" s="83"/>
      <c r="UUH102" s="83"/>
      <c r="UUI102" s="83"/>
      <c r="UUJ102" s="83"/>
      <c r="UUK102" s="83"/>
      <c r="UUL102" s="83"/>
      <c r="UUM102" s="83"/>
      <c r="UUN102" s="83"/>
      <c r="UUO102" s="83"/>
      <c r="UUP102" s="83"/>
      <c r="UUQ102" s="83"/>
      <c r="UUR102" s="83"/>
      <c r="UUS102" s="83"/>
      <c r="UUT102" s="83"/>
      <c r="UUU102" s="83"/>
      <c r="UUV102" s="83"/>
      <c r="UUW102" s="83"/>
      <c r="UUX102" s="83"/>
      <c r="UUY102" s="83"/>
      <c r="UUZ102" s="83"/>
      <c r="UVA102" s="83"/>
      <c r="UVB102" s="83"/>
      <c r="UVC102" s="83"/>
      <c r="UVD102" s="83"/>
      <c r="UVE102" s="83"/>
      <c r="UVF102" s="83"/>
      <c r="UVG102" s="83"/>
      <c r="UVH102" s="83"/>
      <c r="UVI102" s="83"/>
      <c r="UVJ102" s="83"/>
      <c r="UVK102" s="83"/>
      <c r="UVL102" s="83"/>
      <c r="UVM102" s="83"/>
      <c r="UVN102" s="83"/>
      <c r="UVO102" s="83"/>
      <c r="UVP102" s="83"/>
      <c r="UVQ102" s="83"/>
      <c r="UVR102" s="83"/>
      <c r="UVS102" s="83"/>
      <c r="UVT102" s="83"/>
      <c r="UVU102" s="83"/>
      <c r="UVV102" s="83"/>
      <c r="UVW102" s="83"/>
      <c r="UVX102" s="83"/>
      <c r="UVY102" s="83"/>
      <c r="UVZ102" s="83"/>
      <c r="UWA102" s="83"/>
      <c r="UWB102" s="83"/>
      <c r="UWC102" s="83"/>
      <c r="UWD102" s="83"/>
      <c r="UWE102" s="83"/>
      <c r="UWF102" s="83"/>
      <c r="UWG102" s="83"/>
      <c r="UWH102" s="83"/>
      <c r="UWI102" s="83"/>
      <c r="UWJ102" s="83"/>
      <c r="UWK102" s="83"/>
      <c r="UWL102" s="83"/>
      <c r="UWM102" s="83"/>
      <c r="UWN102" s="83"/>
      <c r="UWO102" s="83"/>
      <c r="UWP102" s="83"/>
      <c r="UWQ102" s="83"/>
      <c r="UWR102" s="83"/>
      <c r="UWS102" s="83"/>
      <c r="UWT102" s="83"/>
      <c r="UWU102" s="83"/>
      <c r="UWV102" s="83"/>
      <c r="UWW102" s="83"/>
      <c r="UWX102" s="83"/>
      <c r="UWY102" s="83"/>
      <c r="UWZ102" s="83"/>
      <c r="UXA102" s="83"/>
      <c r="UXB102" s="83"/>
      <c r="UXC102" s="83"/>
      <c r="UXD102" s="83"/>
      <c r="UXE102" s="83"/>
      <c r="UXF102" s="83"/>
      <c r="UXG102" s="83"/>
      <c r="UXH102" s="83"/>
      <c r="UXI102" s="83"/>
      <c r="UXJ102" s="83"/>
      <c r="UXK102" s="83"/>
      <c r="UXL102" s="83"/>
      <c r="UXM102" s="83"/>
      <c r="UXN102" s="83"/>
      <c r="UXO102" s="83"/>
      <c r="UXP102" s="83"/>
      <c r="UXQ102" s="83"/>
      <c r="UXR102" s="83"/>
      <c r="UXS102" s="83"/>
      <c r="UXT102" s="83"/>
      <c r="UXU102" s="83"/>
      <c r="UXV102" s="83"/>
      <c r="UXW102" s="83"/>
      <c r="UXX102" s="83"/>
      <c r="UXY102" s="83"/>
      <c r="UXZ102" s="83"/>
      <c r="UYA102" s="83"/>
      <c r="UYB102" s="83"/>
      <c r="UYC102" s="83"/>
      <c r="UYD102" s="83"/>
      <c r="UYE102" s="83"/>
      <c r="UYF102" s="83"/>
      <c r="UYG102" s="83"/>
      <c r="UYH102" s="83"/>
      <c r="UYI102" s="83"/>
      <c r="UYJ102" s="83"/>
      <c r="UYK102" s="83"/>
      <c r="UYL102" s="83"/>
      <c r="UYM102" s="83"/>
      <c r="UYN102" s="83"/>
      <c r="UYO102" s="83"/>
      <c r="UYP102" s="83"/>
      <c r="UYQ102" s="83"/>
      <c r="UYR102" s="83"/>
      <c r="UYS102" s="83"/>
      <c r="UYT102" s="83"/>
      <c r="UYU102" s="83"/>
      <c r="UYV102" s="83"/>
      <c r="UYW102" s="83"/>
      <c r="UYX102" s="83"/>
      <c r="UYY102" s="83"/>
      <c r="UYZ102" s="83"/>
      <c r="UZA102" s="83"/>
      <c r="UZB102" s="83"/>
      <c r="UZC102" s="83"/>
      <c r="UZD102" s="83"/>
      <c r="UZE102" s="83"/>
      <c r="UZF102" s="83"/>
      <c r="UZG102" s="83"/>
      <c r="UZH102" s="83"/>
      <c r="UZI102" s="83"/>
      <c r="UZJ102" s="83"/>
      <c r="UZK102" s="83"/>
      <c r="UZL102" s="83"/>
      <c r="UZM102" s="83"/>
      <c r="UZN102" s="83"/>
      <c r="UZO102" s="83"/>
      <c r="UZP102" s="83"/>
      <c r="UZQ102" s="83"/>
      <c r="UZR102" s="83"/>
      <c r="UZS102" s="83"/>
      <c r="UZT102" s="83"/>
      <c r="UZU102" s="83"/>
      <c r="UZV102" s="83"/>
      <c r="UZW102" s="83"/>
      <c r="UZX102" s="83"/>
      <c r="UZY102" s="83"/>
      <c r="UZZ102" s="83"/>
      <c r="VAA102" s="83"/>
      <c r="VAB102" s="83"/>
      <c r="VAC102" s="83"/>
      <c r="VAD102" s="83"/>
      <c r="VAE102" s="83"/>
      <c r="VAF102" s="83"/>
      <c r="VAG102" s="83"/>
      <c r="VAH102" s="83"/>
      <c r="VAI102" s="83"/>
      <c r="VAJ102" s="83"/>
      <c r="VAK102" s="83"/>
      <c r="VAL102" s="83"/>
      <c r="VAM102" s="83"/>
      <c r="VAN102" s="83"/>
      <c r="VAO102" s="83"/>
      <c r="VAP102" s="83"/>
      <c r="VAQ102" s="83"/>
      <c r="VAR102" s="83"/>
      <c r="VAS102" s="83"/>
      <c r="VAT102" s="83"/>
      <c r="VAU102" s="83"/>
      <c r="VAV102" s="83"/>
      <c r="VAW102" s="83"/>
      <c r="VAX102" s="83"/>
      <c r="VAY102" s="83"/>
      <c r="VAZ102" s="83"/>
      <c r="VBA102" s="83"/>
      <c r="VBB102" s="83"/>
      <c r="VBC102" s="83"/>
      <c r="VBD102" s="83"/>
      <c r="VBE102" s="83"/>
      <c r="VBF102" s="83"/>
      <c r="VBG102" s="83"/>
      <c r="VBH102" s="83"/>
      <c r="VBI102" s="83"/>
      <c r="VBJ102" s="83"/>
      <c r="VBK102" s="83"/>
      <c r="VBL102" s="83"/>
      <c r="VBM102" s="83"/>
      <c r="VBN102" s="83"/>
      <c r="VBO102" s="83"/>
      <c r="VBP102" s="83"/>
      <c r="VBQ102" s="83"/>
      <c r="VBR102" s="83"/>
      <c r="VBS102" s="83"/>
      <c r="VBT102" s="83"/>
      <c r="VBU102" s="83"/>
      <c r="VBV102" s="83"/>
      <c r="VBW102" s="83"/>
      <c r="VBX102" s="83"/>
      <c r="VBY102" s="83"/>
      <c r="VBZ102" s="83"/>
      <c r="VCA102" s="83"/>
      <c r="VCB102" s="83"/>
      <c r="VCC102" s="83"/>
      <c r="VCD102" s="83"/>
      <c r="VCE102" s="83"/>
      <c r="VCF102" s="83"/>
      <c r="VCG102" s="83"/>
      <c r="VCH102" s="83"/>
      <c r="VCI102" s="83"/>
      <c r="VCJ102" s="83"/>
      <c r="VCK102" s="83"/>
      <c r="VCL102" s="83"/>
      <c r="VCM102" s="83"/>
      <c r="VCN102" s="83"/>
      <c r="VCO102" s="83"/>
      <c r="VCP102" s="83"/>
      <c r="VCQ102" s="83"/>
      <c r="VCR102" s="83"/>
      <c r="VCS102" s="83"/>
      <c r="VCT102" s="83"/>
      <c r="VCU102" s="83"/>
      <c r="VCV102" s="83"/>
      <c r="VCW102" s="83"/>
      <c r="VCX102" s="83"/>
      <c r="VCY102" s="83"/>
      <c r="VCZ102" s="83"/>
      <c r="VDA102" s="83"/>
      <c r="VDB102" s="83"/>
      <c r="VDC102" s="83"/>
      <c r="VDD102" s="83"/>
      <c r="VDE102" s="83"/>
      <c r="VDF102" s="83"/>
      <c r="VDG102" s="83"/>
      <c r="VDH102" s="83"/>
      <c r="VDI102" s="83"/>
      <c r="VDJ102" s="83"/>
      <c r="VDK102" s="83"/>
      <c r="VDL102" s="83"/>
      <c r="VDM102" s="83"/>
      <c r="VDN102" s="83"/>
      <c r="VDO102" s="83"/>
      <c r="VDP102" s="83"/>
      <c r="VDQ102" s="83"/>
      <c r="VDR102" s="83"/>
      <c r="VDS102" s="83"/>
      <c r="VDT102" s="83"/>
      <c r="VDU102" s="83"/>
      <c r="VDV102" s="83"/>
      <c r="VDW102" s="83"/>
      <c r="VDX102" s="83"/>
      <c r="VDY102" s="83"/>
      <c r="VDZ102" s="83"/>
      <c r="VEA102" s="83"/>
      <c r="VEB102" s="83"/>
      <c r="VEC102" s="83"/>
      <c r="VED102" s="83"/>
      <c r="VEE102" s="83"/>
      <c r="VEF102" s="83"/>
      <c r="VEG102" s="83"/>
      <c r="VEH102" s="83"/>
      <c r="VEI102" s="83"/>
      <c r="VEJ102" s="83"/>
      <c r="VEK102" s="83"/>
      <c r="VEL102" s="83"/>
      <c r="VEM102" s="83"/>
      <c r="VEN102" s="83"/>
      <c r="VEO102" s="83"/>
      <c r="VEP102" s="83"/>
      <c r="VEQ102" s="83"/>
      <c r="VER102" s="83"/>
      <c r="VES102" s="83"/>
      <c r="VET102" s="83"/>
      <c r="VEU102" s="83"/>
      <c r="VEV102" s="83"/>
      <c r="VEW102" s="83"/>
      <c r="VEX102" s="83"/>
      <c r="VEY102" s="83"/>
      <c r="VEZ102" s="83"/>
      <c r="VFA102" s="83"/>
      <c r="VFB102" s="83"/>
      <c r="VFC102" s="83"/>
      <c r="VFD102" s="83"/>
      <c r="VFE102" s="83"/>
      <c r="VFF102" s="83"/>
      <c r="VFG102" s="83"/>
      <c r="VFH102" s="83"/>
      <c r="VFI102" s="83"/>
      <c r="VFJ102" s="83"/>
      <c r="VFK102" s="83"/>
      <c r="VFL102" s="83"/>
      <c r="VFM102" s="83"/>
      <c r="VFN102" s="83"/>
      <c r="VFO102" s="83"/>
      <c r="VFP102" s="83"/>
      <c r="VFQ102" s="83"/>
      <c r="VFR102" s="83"/>
      <c r="VFS102" s="83"/>
      <c r="VFT102" s="83"/>
      <c r="VFU102" s="83"/>
      <c r="VFV102" s="83"/>
      <c r="VFW102" s="83"/>
      <c r="VFX102" s="83"/>
      <c r="VFY102" s="83"/>
      <c r="VFZ102" s="83"/>
      <c r="VGA102" s="83"/>
      <c r="VGB102" s="83"/>
      <c r="VGC102" s="83"/>
      <c r="VGD102" s="83"/>
      <c r="VGE102" s="83"/>
      <c r="VGF102" s="83"/>
      <c r="VGG102" s="83"/>
      <c r="VGH102" s="83"/>
      <c r="VGI102" s="83"/>
      <c r="VGJ102" s="83"/>
      <c r="VGK102" s="83"/>
      <c r="VGL102" s="83"/>
      <c r="VGM102" s="83"/>
      <c r="VGN102" s="83"/>
      <c r="VGO102" s="83"/>
      <c r="VGP102" s="83"/>
      <c r="VGQ102" s="83"/>
      <c r="VGR102" s="83"/>
      <c r="VGS102" s="83"/>
      <c r="VGT102" s="83"/>
      <c r="VGU102" s="83"/>
      <c r="VGV102" s="83"/>
      <c r="VGW102" s="83"/>
      <c r="VGX102" s="83"/>
      <c r="VGY102" s="83"/>
      <c r="VGZ102" s="83"/>
      <c r="VHA102" s="83"/>
      <c r="VHB102" s="83"/>
      <c r="VHC102" s="83"/>
      <c r="VHD102" s="83"/>
      <c r="VHE102" s="83"/>
      <c r="VHF102" s="83"/>
      <c r="VHG102" s="83"/>
      <c r="VHH102" s="83"/>
      <c r="VHI102" s="83"/>
      <c r="VHJ102" s="83"/>
      <c r="VHK102" s="83"/>
      <c r="VHL102" s="83"/>
      <c r="VHM102" s="83"/>
      <c r="VHN102" s="83"/>
      <c r="VHO102" s="83"/>
      <c r="VHP102" s="83"/>
      <c r="VHQ102" s="83"/>
      <c r="VHR102" s="83"/>
      <c r="VHS102" s="83"/>
      <c r="VHT102" s="83"/>
      <c r="VHU102" s="83"/>
      <c r="VHV102" s="83"/>
      <c r="VHW102" s="83"/>
      <c r="VHX102" s="83"/>
      <c r="VHY102" s="83"/>
      <c r="VHZ102" s="83"/>
      <c r="VIA102" s="83"/>
      <c r="VIB102" s="83"/>
      <c r="VIC102" s="83"/>
      <c r="VID102" s="83"/>
      <c r="VIE102" s="83"/>
      <c r="VIF102" s="83"/>
      <c r="VIG102" s="83"/>
      <c r="VIH102" s="83"/>
      <c r="VII102" s="83"/>
      <c r="VIJ102" s="83"/>
      <c r="VIK102" s="83"/>
      <c r="VIL102" s="83"/>
      <c r="VIM102" s="83"/>
      <c r="VIN102" s="83"/>
      <c r="VIO102" s="83"/>
      <c r="VIP102" s="83"/>
      <c r="VIQ102" s="83"/>
      <c r="VIR102" s="83"/>
      <c r="VIS102" s="83"/>
      <c r="VIT102" s="83"/>
      <c r="VIU102" s="83"/>
      <c r="VIV102" s="83"/>
      <c r="VIW102" s="83"/>
      <c r="VIX102" s="83"/>
      <c r="VIY102" s="83"/>
      <c r="VIZ102" s="83"/>
      <c r="VJA102" s="83"/>
      <c r="VJB102" s="83"/>
      <c r="VJC102" s="83"/>
      <c r="VJD102" s="83"/>
      <c r="VJE102" s="83"/>
      <c r="VJF102" s="83"/>
      <c r="VJG102" s="83"/>
      <c r="VJH102" s="83"/>
      <c r="VJI102" s="83"/>
      <c r="VJJ102" s="83"/>
      <c r="VJK102" s="83"/>
      <c r="VJL102" s="83"/>
      <c r="VJM102" s="83"/>
      <c r="VJN102" s="83"/>
      <c r="VJO102" s="83"/>
      <c r="VJP102" s="83"/>
      <c r="VJQ102" s="83"/>
      <c r="VJR102" s="83"/>
      <c r="VJS102" s="83"/>
      <c r="VJT102" s="83"/>
      <c r="VJU102" s="83"/>
      <c r="VJV102" s="83"/>
      <c r="VJW102" s="83"/>
      <c r="VJX102" s="83"/>
      <c r="VJY102" s="83"/>
      <c r="VJZ102" s="83"/>
      <c r="VKA102" s="83"/>
      <c r="VKB102" s="83"/>
      <c r="VKC102" s="83"/>
      <c r="VKD102" s="83"/>
      <c r="VKE102" s="83"/>
      <c r="VKF102" s="83"/>
      <c r="VKG102" s="83"/>
      <c r="VKH102" s="83"/>
      <c r="VKI102" s="83"/>
      <c r="VKJ102" s="83"/>
      <c r="VKK102" s="83"/>
      <c r="VKL102" s="83"/>
      <c r="VKM102" s="83"/>
      <c r="VKN102" s="83"/>
      <c r="VKO102" s="83"/>
      <c r="VKP102" s="83"/>
      <c r="VKQ102" s="83"/>
      <c r="VKR102" s="83"/>
      <c r="VKS102" s="83"/>
      <c r="VKT102" s="83"/>
      <c r="VKU102" s="83"/>
      <c r="VKV102" s="83"/>
      <c r="VKW102" s="83"/>
      <c r="VKX102" s="83"/>
      <c r="VKY102" s="83"/>
      <c r="VKZ102" s="83"/>
      <c r="VLA102" s="83"/>
      <c r="VLB102" s="83"/>
      <c r="VLC102" s="83"/>
      <c r="VLD102" s="83"/>
      <c r="VLE102" s="83"/>
      <c r="VLF102" s="83"/>
      <c r="VLG102" s="83"/>
      <c r="VLH102" s="83"/>
      <c r="VLI102" s="83"/>
      <c r="VLJ102" s="83"/>
      <c r="VLK102" s="83"/>
      <c r="VLL102" s="83"/>
      <c r="VLM102" s="83"/>
      <c r="VLN102" s="83"/>
      <c r="VLO102" s="83"/>
      <c r="VLP102" s="83"/>
      <c r="VLQ102" s="83"/>
      <c r="VLR102" s="83"/>
      <c r="VLS102" s="83"/>
      <c r="VLT102" s="83"/>
      <c r="VLU102" s="83"/>
      <c r="VLV102" s="83"/>
      <c r="VLW102" s="83"/>
      <c r="VLX102" s="83"/>
      <c r="VLY102" s="83"/>
      <c r="VLZ102" s="83"/>
      <c r="VMA102" s="83"/>
      <c r="VMB102" s="83"/>
      <c r="VMC102" s="83"/>
      <c r="VMD102" s="83"/>
      <c r="VME102" s="83"/>
      <c r="VMF102" s="83"/>
      <c r="VMG102" s="83"/>
      <c r="VMH102" s="83"/>
      <c r="VMI102" s="83"/>
      <c r="VMJ102" s="83"/>
      <c r="VMK102" s="83"/>
      <c r="VML102" s="83"/>
      <c r="VMM102" s="83"/>
      <c r="VMN102" s="83"/>
      <c r="VMO102" s="83"/>
      <c r="VMP102" s="83"/>
      <c r="VMQ102" s="83"/>
      <c r="VMR102" s="83"/>
      <c r="VMS102" s="83"/>
      <c r="VMT102" s="83"/>
      <c r="VMU102" s="83"/>
      <c r="VMV102" s="83"/>
      <c r="VMW102" s="83"/>
      <c r="VMX102" s="83"/>
      <c r="VMY102" s="83"/>
      <c r="VMZ102" s="83"/>
      <c r="VNA102" s="83"/>
      <c r="VNB102" s="83"/>
      <c r="VNC102" s="83"/>
      <c r="VND102" s="83"/>
      <c r="VNE102" s="83"/>
      <c r="VNF102" s="83"/>
      <c r="VNG102" s="83"/>
      <c r="VNH102" s="83"/>
      <c r="VNI102" s="83"/>
      <c r="VNJ102" s="83"/>
      <c r="VNK102" s="83"/>
      <c r="VNL102" s="83"/>
      <c r="VNM102" s="83"/>
      <c r="VNN102" s="83"/>
      <c r="VNO102" s="83"/>
      <c r="VNP102" s="83"/>
      <c r="VNQ102" s="83"/>
      <c r="VNR102" s="83"/>
      <c r="VNS102" s="83"/>
      <c r="VNT102" s="83"/>
      <c r="VNU102" s="83"/>
      <c r="VNV102" s="83"/>
      <c r="VNW102" s="83"/>
      <c r="VNX102" s="83"/>
      <c r="VNY102" s="83"/>
      <c r="VNZ102" s="83"/>
      <c r="VOA102" s="83"/>
      <c r="VOB102" s="83"/>
      <c r="VOC102" s="83"/>
      <c r="VOD102" s="83"/>
      <c r="VOE102" s="83"/>
      <c r="VOF102" s="83"/>
      <c r="VOG102" s="83"/>
      <c r="VOH102" s="83"/>
      <c r="VOI102" s="83"/>
      <c r="VOJ102" s="83"/>
      <c r="VOK102" s="83"/>
      <c r="VOL102" s="83"/>
      <c r="VOM102" s="83"/>
      <c r="VON102" s="83"/>
      <c r="VOO102" s="83"/>
      <c r="VOP102" s="83"/>
      <c r="VOQ102" s="83"/>
      <c r="VOR102" s="83"/>
      <c r="VOS102" s="83"/>
      <c r="VOT102" s="83"/>
      <c r="VOU102" s="83"/>
      <c r="VOV102" s="83"/>
      <c r="VOW102" s="83"/>
      <c r="VOX102" s="83"/>
      <c r="VOY102" s="83"/>
      <c r="VOZ102" s="83"/>
      <c r="VPA102" s="83"/>
      <c r="VPB102" s="83"/>
      <c r="VPC102" s="83"/>
      <c r="VPD102" s="83"/>
      <c r="VPE102" s="83"/>
      <c r="VPF102" s="83"/>
      <c r="VPG102" s="83"/>
      <c r="VPH102" s="83"/>
      <c r="VPI102" s="83"/>
      <c r="VPJ102" s="83"/>
      <c r="VPK102" s="83"/>
      <c r="VPL102" s="83"/>
      <c r="VPM102" s="83"/>
      <c r="VPN102" s="83"/>
      <c r="VPO102" s="83"/>
      <c r="VPP102" s="83"/>
      <c r="VPQ102" s="83"/>
      <c r="VPR102" s="83"/>
      <c r="VPS102" s="83"/>
      <c r="VPT102" s="83"/>
      <c r="VPU102" s="83"/>
      <c r="VPV102" s="83"/>
      <c r="VPW102" s="83"/>
      <c r="VPX102" s="83"/>
      <c r="VPY102" s="83"/>
      <c r="VPZ102" s="83"/>
      <c r="VQA102" s="83"/>
      <c r="VQB102" s="83"/>
      <c r="VQC102" s="83"/>
      <c r="VQD102" s="83"/>
      <c r="VQE102" s="83"/>
      <c r="VQF102" s="83"/>
      <c r="VQG102" s="83"/>
      <c r="VQH102" s="83"/>
      <c r="VQI102" s="83"/>
      <c r="VQJ102" s="83"/>
      <c r="VQK102" s="83"/>
      <c r="VQL102" s="83"/>
      <c r="VQM102" s="83"/>
      <c r="VQN102" s="83"/>
      <c r="VQO102" s="83"/>
      <c r="VQP102" s="83"/>
      <c r="VQQ102" s="83"/>
      <c r="VQR102" s="83"/>
      <c r="VQS102" s="83"/>
      <c r="VQT102" s="83"/>
      <c r="VQU102" s="83"/>
      <c r="VQV102" s="83"/>
      <c r="VQW102" s="83"/>
      <c r="VQX102" s="83"/>
      <c r="VQY102" s="83"/>
      <c r="VQZ102" s="83"/>
      <c r="VRA102" s="83"/>
      <c r="VRB102" s="83"/>
      <c r="VRC102" s="83"/>
      <c r="VRD102" s="83"/>
      <c r="VRE102" s="83"/>
      <c r="VRF102" s="83"/>
      <c r="VRG102" s="83"/>
      <c r="VRH102" s="83"/>
      <c r="VRI102" s="83"/>
      <c r="VRJ102" s="83"/>
      <c r="VRK102" s="83"/>
      <c r="VRL102" s="83"/>
      <c r="VRM102" s="83"/>
      <c r="VRN102" s="83"/>
      <c r="VRO102" s="83"/>
      <c r="VRP102" s="83"/>
      <c r="VRQ102" s="83"/>
      <c r="VRR102" s="83"/>
      <c r="VRS102" s="83"/>
      <c r="VRT102" s="83"/>
      <c r="VRU102" s="83"/>
      <c r="VRV102" s="83"/>
      <c r="VRW102" s="83"/>
      <c r="VRX102" s="83"/>
      <c r="VRY102" s="83"/>
      <c r="VRZ102" s="83"/>
      <c r="VSA102" s="83"/>
      <c r="VSB102" s="83"/>
      <c r="VSC102" s="83"/>
      <c r="VSD102" s="83"/>
      <c r="VSE102" s="83"/>
      <c r="VSF102" s="83"/>
      <c r="VSG102" s="83"/>
      <c r="VSH102" s="83"/>
      <c r="VSI102" s="83"/>
      <c r="VSJ102" s="83"/>
      <c r="VSK102" s="83"/>
      <c r="VSL102" s="83"/>
      <c r="VSM102" s="83"/>
      <c r="VSN102" s="83"/>
      <c r="VSO102" s="83"/>
      <c r="VSP102" s="83"/>
      <c r="VSQ102" s="83"/>
      <c r="VSR102" s="83"/>
      <c r="VSS102" s="83"/>
      <c r="VST102" s="83"/>
      <c r="VSU102" s="83"/>
      <c r="VSV102" s="83"/>
      <c r="VSW102" s="83"/>
      <c r="VSX102" s="83"/>
      <c r="VSY102" s="83"/>
      <c r="VSZ102" s="83"/>
      <c r="VTA102" s="83"/>
      <c r="VTB102" s="83"/>
      <c r="VTC102" s="83"/>
      <c r="VTD102" s="83"/>
      <c r="VTE102" s="83"/>
      <c r="VTF102" s="83"/>
      <c r="VTG102" s="83"/>
      <c r="VTH102" s="83"/>
      <c r="VTI102" s="83"/>
      <c r="VTJ102" s="83"/>
      <c r="VTK102" s="83"/>
      <c r="VTL102" s="83"/>
      <c r="VTM102" s="83"/>
      <c r="VTN102" s="83"/>
      <c r="VTO102" s="83"/>
      <c r="VTP102" s="83"/>
      <c r="VTQ102" s="83"/>
      <c r="VTR102" s="83"/>
      <c r="VTS102" s="83"/>
      <c r="VTT102" s="83"/>
      <c r="VTU102" s="83"/>
      <c r="VTV102" s="83"/>
      <c r="VTW102" s="83"/>
      <c r="VTX102" s="83"/>
      <c r="VTY102" s="83"/>
      <c r="VTZ102" s="83"/>
      <c r="VUA102" s="83"/>
      <c r="VUB102" s="83"/>
      <c r="VUC102" s="83"/>
      <c r="VUD102" s="83"/>
      <c r="VUE102" s="83"/>
      <c r="VUF102" s="83"/>
      <c r="VUG102" s="83"/>
      <c r="VUH102" s="83"/>
      <c r="VUI102" s="83"/>
      <c r="VUJ102" s="83"/>
      <c r="VUK102" s="83"/>
      <c r="VUL102" s="83"/>
      <c r="VUM102" s="83"/>
      <c r="VUN102" s="83"/>
      <c r="VUO102" s="83"/>
      <c r="VUP102" s="83"/>
      <c r="VUQ102" s="83"/>
      <c r="VUR102" s="83"/>
      <c r="VUS102" s="83"/>
      <c r="VUT102" s="83"/>
      <c r="VUU102" s="83"/>
      <c r="VUV102" s="83"/>
      <c r="VUW102" s="83"/>
      <c r="VUX102" s="83"/>
      <c r="VUY102" s="83"/>
      <c r="VUZ102" s="83"/>
      <c r="VVA102" s="83"/>
      <c r="VVB102" s="83"/>
      <c r="VVC102" s="83"/>
      <c r="VVD102" s="83"/>
      <c r="VVE102" s="83"/>
      <c r="VVF102" s="83"/>
      <c r="VVG102" s="83"/>
      <c r="VVH102" s="83"/>
      <c r="VVI102" s="83"/>
      <c r="VVJ102" s="83"/>
      <c r="VVK102" s="83"/>
      <c r="VVL102" s="83"/>
      <c r="VVM102" s="83"/>
      <c r="VVN102" s="83"/>
      <c r="VVO102" s="83"/>
      <c r="VVP102" s="83"/>
      <c r="VVQ102" s="83"/>
      <c r="VVR102" s="83"/>
      <c r="VVS102" s="83"/>
      <c r="VVT102" s="83"/>
      <c r="VVU102" s="83"/>
      <c r="VVV102" s="83"/>
      <c r="VVW102" s="83"/>
      <c r="VVX102" s="83"/>
      <c r="VVY102" s="83"/>
      <c r="VVZ102" s="83"/>
      <c r="VWA102" s="83"/>
      <c r="VWB102" s="83"/>
      <c r="VWC102" s="83"/>
      <c r="VWD102" s="83"/>
      <c r="VWE102" s="83"/>
      <c r="VWF102" s="83"/>
      <c r="VWG102" s="83"/>
      <c r="VWH102" s="83"/>
      <c r="VWI102" s="83"/>
      <c r="VWJ102" s="83"/>
      <c r="VWK102" s="83"/>
      <c r="VWL102" s="83"/>
      <c r="VWM102" s="83"/>
      <c r="VWN102" s="83"/>
      <c r="VWO102" s="83"/>
      <c r="VWP102" s="83"/>
      <c r="VWQ102" s="83"/>
      <c r="VWR102" s="83"/>
      <c r="VWS102" s="83"/>
      <c r="VWT102" s="83"/>
      <c r="VWU102" s="83"/>
      <c r="VWV102" s="83"/>
      <c r="VWW102" s="83"/>
      <c r="VWX102" s="83"/>
      <c r="VWY102" s="83"/>
      <c r="VWZ102" s="83"/>
      <c r="VXA102" s="83"/>
      <c r="VXB102" s="83"/>
      <c r="VXC102" s="83"/>
      <c r="VXD102" s="83"/>
      <c r="VXE102" s="83"/>
      <c r="VXF102" s="83"/>
      <c r="VXG102" s="83"/>
      <c r="VXH102" s="83"/>
      <c r="VXI102" s="83"/>
      <c r="VXJ102" s="83"/>
      <c r="VXK102" s="83"/>
      <c r="VXL102" s="83"/>
      <c r="VXM102" s="83"/>
      <c r="VXN102" s="83"/>
      <c r="VXO102" s="83"/>
      <c r="VXP102" s="83"/>
      <c r="VXQ102" s="83"/>
      <c r="VXR102" s="83"/>
      <c r="VXS102" s="83"/>
      <c r="VXT102" s="83"/>
      <c r="VXU102" s="83"/>
      <c r="VXV102" s="83"/>
      <c r="VXW102" s="83"/>
      <c r="VXX102" s="83"/>
      <c r="VXY102" s="83"/>
      <c r="VXZ102" s="83"/>
      <c r="VYA102" s="83"/>
      <c r="VYB102" s="83"/>
      <c r="VYC102" s="83"/>
      <c r="VYD102" s="83"/>
      <c r="VYE102" s="83"/>
      <c r="VYF102" s="83"/>
      <c r="VYG102" s="83"/>
      <c r="VYH102" s="83"/>
      <c r="VYI102" s="83"/>
      <c r="VYJ102" s="83"/>
      <c r="VYK102" s="83"/>
      <c r="VYL102" s="83"/>
      <c r="VYM102" s="83"/>
      <c r="VYN102" s="83"/>
      <c r="VYO102" s="83"/>
      <c r="VYP102" s="83"/>
      <c r="VYQ102" s="83"/>
      <c r="VYR102" s="83"/>
      <c r="VYS102" s="83"/>
      <c r="VYT102" s="83"/>
      <c r="VYU102" s="83"/>
      <c r="VYV102" s="83"/>
      <c r="VYW102" s="83"/>
      <c r="VYX102" s="83"/>
      <c r="VYY102" s="83"/>
      <c r="VYZ102" s="83"/>
      <c r="VZA102" s="83"/>
      <c r="VZB102" s="83"/>
      <c r="VZC102" s="83"/>
      <c r="VZD102" s="83"/>
      <c r="VZE102" s="83"/>
      <c r="VZF102" s="83"/>
      <c r="VZG102" s="83"/>
      <c r="VZH102" s="83"/>
      <c r="VZI102" s="83"/>
      <c r="VZJ102" s="83"/>
      <c r="VZK102" s="83"/>
      <c r="VZL102" s="83"/>
      <c r="VZM102" s="83"/>
      <c r="VZN102" s="83"/>
      <c r="VZO102" s="83"/>
      <c r="VZP102" s="83"/>
      <c r="VZQ102" s="83"/>
      <c r="VZR102" s="83"/>
      <c r="VZS102" s="83"/>
      <c r="VZT102" s="83"/>
      <c r="VZU102" s="83"/>
      <c r="VZV102" s="83"/>
      <c r="VZW102" s="83"/>
      <c r="VZX102" s="83"/>
      <c r="VZY102" s="83"/>
      <c r="VZZ102" s="83"/>
      <c r="WAA102" s="83"/>
      <c r="WAB102" s="83"/>
      <c r="WAC102" s="83"/>
      <c r="WAD102" s="83"/>
      <c r="WAE102" s="83"/>
      <c r="WAF102" s="83"/>
      <c r="WAG102" s="83"/>
      <c r="WAH102" s="83"/>
      <c r="WAI102" s="83"/>
      <c r="WAJ102" s="83"/>
      <c r="WAK102" s="83"/>
      <c r="WAL102" s="83"/>
      <c r="WAM102" s="83"/>
      <c r="WAN102" s="83"/>
      <c r="WAO102" s="83"/>
      <c r="WAP102" s="83"/>
      <c r="WAQ102" s="83"/>
      <c r="WAR102" s="83"/>
      <c r="WAS102" s="83"/>
      <c r="WAT102" s="83"/>
      <c r="WAU102" s="83"/>
      <c r="WAV102" s="83"/>
      <c r="WAW102" s="83"/>
      <c r="WAX102" s="83"/>
      <c r="WAY102" s="83"/>
      <c r="WAZ102" s="83"/>
      <c r="WBA102" s="83"/>
      <c r="WBB102" s="83"/>
      <c r="WBC102" s="83"/>
      <c r="WBD102" s="83"/>
      <c r="WBE102" s="83"/>
      <c r="WBF102" s="83"/>
      <c r="WBG102" s="83"/>
      <c r="WBH102" s="83"/>
      <c r="WBI102" s="83"/>
      <c r="WBJ102" s="83"/>
      <c r="WBK102" s="83"/>
      <c r="WBL102" s="83"/>
      <c r="WBM102" s="83"/>
      <c r="WBN102" s="83"/>
      <c r="WBO102" s="83"/>
      <c r="WBP102" s="83"/>
      <c r="WBQ102" s="83"/>
      <c r="WBR102" s="83"/>
      <c r="WBS102" s="83"/>
      <c r="WBT102" s="83"/>
      <c r="WBU102" s="83"/>
      <c r="WBV102" s="83"/>
      <c r="WBW102" s="83"/>
      <c r="WBX102" s="83"/>
      <c r="WBY102" s="83"/>
      <c r="WBZ102" s="83"/>
      <c r="WCA102" s="83"/>
      <c r="WCB102" s="83"/>
      <c r="WCC102" s="83"/>
      <c r="WCD102" s="83"/>
      <c r="WCE102" s="83"/>
      <c r="WCF102" s="83"/>
      <c r="WCG102" s="83"/>
      <c r="WCH102" s="83"/>
      <c r="WCI102" s="83"/>
      <c r="WCJ102" s="83"/>
      <c r="WCK102" s="83"/>
      <c r="WCL102" s="83"/>
      <c r="WCM102" s="83"/>
      <c r="WCN102" s="83"/>
      <c r="WCO102" s="83"/>
      <c r="WCP102" s="83"/>
      <c r="WCQ102" s="83"/>
      <c r="WCR102" s="83"/>
      <c r="WCS102" s="83"/>
      <c r="WCT102" s="83"/>
      <c r="WCU102" s="83"/>
      <c r="WCV102" s="83"/>
      <c r="WCW102" s="83"/>
      <c r="WCX102" s="83"/>
      <c r="WCY102" s="83"/>
      <c r="WCZ102" s="83"/>
      <c r="WDA102" s="83"/>
      <c r="WDB102" s="83"/>
      <c r="WDC102" s="83"/>
      <c r="WDD102" s="83"/>
      <c r="WDE102" s="83"/>
      <c r="WDF102" s="83"/>
      <c r="WDG102" s="83"/>
      <c r="WDH102" s="83"/>
      <c r="WDI102" s="83"/>
      <c r="WDJ102" s="83"/>
      <c r="WDK102" s="83"/>
      <c r="WDL102" s="83"/>
      <c r="WDM102" s="83"/>
      <c r="WDN102" s="83"/>
      <c r="WDO102" s="83"/>
      <c r="WDP102" s="83"/>
      <c r="WDQ102" s="83"/>
      <c r="WDR102" s="83"/>
      <c r="WDS102" s="83"/>
      <c r="WDT102" s="83"/>
      <c r="WDU102" s="83"/>
      <c r="WDV102" s="83"/>
      <c r="WDW102" s="83"/>
      <c r="WDX102" s="83"/>
      <c r="WDY102" s="83"/>
      <c r="WDZ102" s="83"/>
      <c r="WEA102" s="83"/>
      <c r="WEB102" s="83"/>
      <c r="WEC102" s="83"/>
      <c r="WED102" s="83"/>
      <c r="WEE102" s="83"/>
      <c r="WEF102" s="83"/>
      <c r="WEG102" s="83"/>
      <c r="WEH102" s="83"/>
      <c r="WEI102" s="83"/>
      <c r="WEJ102" s="83"/>
      <c r="WEK102" s="83"/>
      <c r="WEL102" s="83"/>
      <c r="WEM102" s="83"/>
      <c r="WEN102" s="83"/>
      <c r="WEO102" s="83"/>
      <c r="WEP102" s="83"/>
      <c r="WEQ102" s="83"/>
      <c r="WER102" s="83"/>
      <c r="WES102" s="83"/>
      <c r="WET102" s="83"/>
      <c r="WEU102" s="83"/>
      <c r="WEV102" s="83"/>
      <c r="WEW102" s="83"/>
      <c r="WEX102" s="83"/>
      <c r="WEY102" s="83"/>
      <c r="WEZ102" s="83"/>
      <c r="WFA102" s="83"/>
      <c r="WFB102" s="83"/>
      <c r="WFC102" s="83"/>
      <c r="WFD102" s="83"/>
      <c r="WFE102" s="83"/>
      <c r="WFF102" s="83"/>
      <c r="WFG102" s="83"/>
      <c r="WFH102" s="83"/>
      <c r="WFI102" s="83"/>
      <c r="WFJ102" s="83"/>
      <c r="WFK102" s="83"/>
      <c r="WFL102" s="83"/>
      <c r="WFM102" s="83"/>
      <c r="WFN102" s="83"/>
      <c r="WFO102" s="83"/>
      <c r="WFP102" s="83"/>
      <c r="WFQ102" s="83"/>
      <c r="WFR102" s="83"/>
      <c r="WFS102" s="83"/>
      <c r="WFT102" s="83"/>
      <c r="WFU102" s="83"/>
      <c r="WFV102" s="83"/>
      <c r="WFW102" s="83"/>
      <c r="WFX102" s="83"/>
      <c r="WFY102" s="83"/>
      <c r="WFZ102" s="83"/>
      <c r="WGA102" s="83"/>
      <c r="WGB102" s="83"/>
      <c r="WGC102" s="83"/>
      <c r="WGD102" s="83"/>
      <c r="WGE102" s="83"/>
      <c r="WGF102" s="83"/>
      <c r="WGG102" s="83"/>
      <c r="WGH102" s="83"/>
      <c r="WGI102" s="83"/>
      <c r="WGJ102" s="83"/>
      <c r="WGK102" s="83"/>
      <c r="WGL102" s="83"/>
      <c r="WGM102" s="83"/>
      <c r="WGN102" s="83"/>
      <c r="WGO102" s="83"/>
      <c r="WGP102" s="83"/>
      <c r="WGQ102" s="83"/>
      <c r="WGR102" s="83"/>
      <c r="WGS102" s="83"/>
      <c r="WGT102" s="83"/>
      <c r="WGU102" s="83"/>
      <c r="WGV102" s="83"/>
      <c r="WGW102" s="83"/>
      <c r="WGX102" s="83"/>
      <c r="WGY102" s="83"/>
      <c r="WGZ102" s="83"/>
      <c r="WHA102" s="83"/>
      <c r="WHB102" s="83"/>
      <c r="WHC102" s="83"/>
      <c r="WHD102" s="83"/>
      <c r="WHE102" s="83"/>
      <c r="WHF102" s="83"/>
      <c r="WHG102" s="83"/>
      <c r="WHH102" s="83"/>
      <c r="WHI102" s="83"/>
      <c r="WHJ102" s="83"/>
      <c r="WHK102" s="83"/>
      <c r="WHL102" s="83"/>
      <c r="WHM102" s="83"/>
      <c r="WHN102" s="83"/>
      <c r="WHO102" s="83"/>
      <c r="WHP102" s="83"/>
      <c r="WHQ102" s="83"/>
      <c r="WHR102" s="83"/>
      <c r="WHS102" s="83"/>
      <c r="WHT102" s="83"/>
      <c r="WHU102" s="83"/>
      <c r="WHV102" s="83"/>
      <c r="WHW102" s="83"/>
      <c r="WHX102" s="83"/>
      <c r="WHY102" s="83"/>
      <c r="WHZ102" s="83"/>
      <c r="WIA102" s="83"/>
      <c r="WIB102" s="83"/>
      <c r="WIC102" s="83"/>
      <c r="WID102" s="83"/>
      <c r="WIE102" s="83"/>
      <c r="WIF102" s="83"/>
      <c r="WIG102" s="83"/>
      <c r="WIH102" s="83"/>
      <c r="WII102" s="83"/>
      <c r="WIJ102" s="83"/>
      <c r="WIK102" s="83"/>
      <c r="WIL102" s="83"/>
      <c r="WIM102" s="83"/>
      <c r="WIN102" s="83"/>
      <c r="WIO102" s="83"/>
      <c r="WIP102" s="83"/>
      <c r="WIQ102" s="83"/>
      <c r="WIR102" s="83"/>
      <c r="WIS102" s="83"/>
      <c r="WIT102" s="83"/>
      <c r="WIU102" s="83"/>
      <c r="WIV102" s="83"/>
      <c r="WIW102" s="83"/>
      <c r="WIX102" s="83"/>
      <c r="WIY102" s="83"/>
      <c r="WIZ102" s="83"/>
      <c r="WJA102" s="83"/>
      <c r="WJB102" s="83"/>
      <c r="WJC102" s="83"/>
      <c r="WJD102" s="83"/>
      <c r="WJE102" s="83"/>
      <c r="WJF102" s="83"/>
      <c r="WJG102" s="83"/>
      <c r="WJH102" s="83"/>
      <c r="WJI102" s="83"/>
      <c r="WJJ102" s="83"/>
      <c r="WJK102" s="83"/>
      <c r="WJL102" s="83"/>
      <c r="WJM102" s="83"/>
      <c r="WJN102" s="83"/>
      <c r="WJO102" s="83"/>
      <c r="WJP102" s="83"/>
      <c r="WJQ102" s="83"/>
      <c r="WJR102" s="83"/>
      <c r="WJS102" s="83"/>
      <c r="WJT102" s="83"/>
      <c r="WJU102" s="83"/>
      <c r="WJV102" s="83"/>
      <c r="WJW102" s="83"/>
      <c r="WJX102" s="83"/>
      <c r="WJY102" s="83"/>
      <c r="WJZ102" s="83"/>
      <c r="WKA102" s="83"/>
      <c r="WKB102" s="83"/>
      <c r="WKC102" s="83"/>
      <c r="WKD102" s="83"/>
      <c r="WKE102" s="83"/>
      <c r="WKF102" s="83"/>
      <c r="WKG102" s="83"/>
      <c r="WKH102" s="83"/>
      <c r="WKI102" s="83"/>
      <c r="WKJ102" s="83"/>
      <c r="WKK102" s="83"/>
      <c r="WKL102" s="83"/>
      <c r="WKM102" s="83"/>
      <c r="WKN102" s="83"/>
      <c r="WKO102" s="83"/>
      <c r="WKP102" s="83"/>
      <c r="WKQ102" s="83"/>
      <c r="WKR102" s="83"/>
      <c r="WKS102" s="83"/>
      <c r="WKT102" s="83"/>
      <c r="WKU102" s="83"/>
      <c r="WKV102" s="83"/>
      <c r="WKW102" s="83"/>
      <c r="WKX102" s="83"/>
      <c r="WKY102" s="83"/>
      <c r="WKZ102" s="83"/>
      <c r="WLA102" s="83"/>
      <c r="WLB102" s="83"/>
      <c r="WLC102" s="83"/>
      <c r="WLD102" s="83"/>
      <c r="WLE102" s="83"/>
      <c r="WLF102" s="83"/>
      <c r="WLG102" s="83"/>
      <c r="WLH102" s="83"/>
      <c r="WLI102" s="83"/>
      <c r="WLJ102" s="83"/>
      <c r="WLK102" s="83"/>
      <c r="WLL102" s="83"/>
      <c r="WLM102" s="83"/>
      <c r="WLN102" s="83"/>
      <c r="WLO102" s="83"/>
      <c r="WLP102" s="83"/>
      <c r="WLQ102" s="83"/>
      <c r="WLR102" s="83"/>
      <c r="WLS102" s="83"/>
      <c r="WLT102" s="83"/>
      <c r="WLU102" s="83"/>
      <c r="WLV102" s="83"/>
      <c r="WLW102" s="83"/>
      <c r="WLX102" s="83"/>
      <c r="WLY102" s="83"/>
      <c r="WLZ102" s="83"/>
      <c r="WMA102" s="83"/>
      <c r="WMB102" s="83"/>
      <c r="WMC102" s="83"/>
      <c r="WMD102" s="83"/>
      <c r="WME102" s="83"/>
      <c r="WMF102" s="83"/>
      <c r="WMG102" s="83"/>
      <c r="WMH102" s="83"/>
      <c r="WMI102" s="83"/>
      <c r="WMJ102" s="83"/>
      <c r="WMK102" s="83"/>
      <c r="WML102" s="83"/>
      <c r="WMM102" s="83"/>
      <c r="WMN102" s="83"/>
      <c r="WMO102" s="83"/>
      <c r="WMP102" s="83"/>
      <c r="WMQ102" s="83"/>
      <c r="WMR102" s="83"/>
      <c r="WMS102" s="83"/>
      <c r="WMT102" s="83"/>
      <c r="WMU102" s="83"/>
      <c r="WMV102" s="83"/>
      <c r="WMW102" s="83"/>
      <c r="WMX102" s="83"/>
      <c r="WMY102" s="83"/>
      <c r="WMZ102" s="83"/>
      <c r="WNA102" s="83"/>
      <c r="WNB102" s="83"/>
      <c r="WNC102" s="83"/>
      <c r="WND102" s="83"/>
      <c r="WNE102" s="83"/>
      <c r="WNF102" s="83"/>
      <c r="WNG102" s="83"/>
      <c r="WNH102" s="83"/>
      <c r="WNI102" s="83"/>
      <c r="WNJ102" s="83"/>
      <c r="WNK102" s="83"/>
      <c r="WNL102" s="83"/>
      <c r="WNM102" s="83"/>
      <c r="WNN102" s="83"/>
      <c r="WNO102" s="83"/>
      <c r="WNP102" s="83"/>
      <c r="WNQ102" s="83"/>
      <c r="WNR102" s="83"/>
      <c r="WNS102" s="83"/>
      <c r="WNT102" s="83"/>
      <c r="WNU102" s="83"/>
      <c r="WNV102" s="83"/>
      <c r="WNW102" s="83"/>
      <c r="WNX102" s="83"/>
      <c r="WNY102" s="83"/>
      <c r="WNZ102" s="83"/>
      <c r="WOA102" s="83"/>
      <c r="WOB102" s="83"/>
      <c r="WOC102" s="83"/>
      <c r="WOD102" s="83"/>
      <c r="WOE102" s="83"/>
      <c r="WOF102" s="83"/>
      <c r="WOG102" s="83"/>
      <c r="WOH102" s="83"/>
      <c r="WOI102" s="83"/>
      <c r="WOJ102" s="83"/>
      <c r="WOK102" s="83"/>
      <c r="WOL102" s="83"/>
      <c r="WOM102" s="83"/>
      <c r="WON102" s="83"/>
      <c r="WOO102" s="83"/>
      <c r="WOP102" s="83"/>
      <c r="WOQ102" s="83"/>
      <c r="WOR102" s="83"/>
      <c r="WOS102" s="83"/>
      <c r="WOT102" s="83"/>
      <c r="WOU102" s="83"/>
      <c r="WOV102" s="83"/>
      <c r="WOW102" s="83"/>
      <c r="WOX102" s="83"/>
      <c r="WOY102" s="83"/>
      <c r="WOZ102" s="83"/>
      <c r="WPA102" s="83"/>
      <c r="WPB102" s="83"/>
      <c r="WPC102" s="83"/>
      <c r="WPD102" s="83"/>
      <c r="WPE102" s="83"/>
      <c r="WPF102" s="83"/>
      <c r="WPG102" s="83"/>
      <c r="WPH102" s="83"/>
      <c r="WPI102" s="83"/>
      <c r="WPJ102" s="83"/>
      <c r="WPK102" s="83"/>
      <c r="WPL102" s="83"/>
      <c r="WPM102" s="83"/>
      <c r="WPN102" s="83"/>
      <c r="WPO102" s="83"/>
      <c r="WPP102" s="83"/>
      <c r="WPQ102" s="83"/>
      <c r="WPR102" s="83"/>
      <c r="WPS102" s="83"/>
      <c r="WPT102" s="83"/>
      <c r="WPU102" s="83"/>
      <c r="WPV102" s="83"/>
      <c r="WPW102" s="83"/>
      <c r="WPX102" s="83"/>
      <c r="WPY102" s="83"/>
      <c r="WPZ102" s="83"/>
      <c r="WQA102" s="83"/>
      <c r="WQB102" s="83"/>
      <c r="WQC102" s="83"/>
      <c r="WQD102" s="83"/>
      <c r="WQE102" s="83"/>
      <c r="WQF102" s="83"/>
      <c r="WQG102" s="83"/>
      <c r="WQH102" s="83"/>
      <c r="WQI102" s="83"/>
      <c r="WQJ102" s="83"/>
      <c r="WQK102" s="83"/>
      <c r="WQL102" s="83"/>
      <c r="WQM102" s="83"/>
      <c r="WQN102" s="83"/>
      <c r="WQO102" s="83"/>
      <c r="WQP102" s="83"/>
      <c r="WQQ102" s="83"/>
      <c r="WQR102" s="83"/>
      <c r="WQS102" s="83"/>
      <c r="WQT102" s="83"/>
      <c r="WQU102" s="83"/>
      <c r="WQV102" s="83"/>
      <c r="WQW102" s="83"/>
      <c r="WQX102" s="83"/>
      <c r="WQY102" s="83"/>
      <c r="WQZ102" s="83"/>
      <c r="WRA102" s="83"/>
      <c r="WRB102" s="83"/>
      <c r="WRC102" s="83"/>
      <c r="WRD102" s="83"/>
      <c r="WRE102" s="83"/>
      <c r="WRF102" s="83"/>
      <c r="WRG102" s="83"/>
      <c r="WRH102" s="83"/>
      <c r="WRI102" s="83"/>
      <c r="WRJ102" s="83"/>
      <c r="WRK102" s="83"/>
      <c r="WRL102" s="83"/>
      <c r="WRM102" s="83"/>
      <c r="WRN102" s="83"/>
      <c r="WRO102" s="83"/>
      <c r="WRP102" s="83"/>
      <c r="WRQ102" s="83"/>
      <c r="WRR102" s="83"/>
      <c r="WRS102" s="83"/>
      <c r="WRT102" s="83"/>
      <c r="WRU102" s="83"/>
      <c r="WRV102" s="83"/>
      <c r="WRW102" s="83"/>
      <c r="WRX102" s="83"/>
      <c r="WRY102" s="83"/>
      <c r="WRZ102" s="83"/>
      <c r="WSA102" s="83"/>
      <c r="WSB102" s="83"/>
      <c r="WSC102" s="83"/>
      <c r="WSD102" s="83"/>
      <c r="WSE102" s="83"/>
      <c r="WSF102" s="83"/>
      <c r="WSG102" s="83"/>
      <c r="WSH102" s="83"/>
      <c r="WSI102" s="83"/>
      <c r="WSJ102" s="83"/>
      <c r="WSK102" s="83"/>
      <c r="WSL102" s="83"/>
      <c r="WSM102" s="83"/>
      <c r="WSN102" s="83"/>
      <c r="WSO102" s="83"/>
      <c r="WSP102" s="83"/>
      <c r="WSQ102" s="83"/>
      <c r="WSR102" s="83"/>
      <c r="WSS102" s="83"/>
      <c r="WST102" s="83"/>
      <c r="WSU102" s="83"/>
      <c r="WSV102" s="83"/>
      <c r="WSW102" s="83"/>
      <c r="WSX102" s="83"/>
      <c r="WSY102" s="83"/>
      <c r="WSZ102" s="83"/>
      <c r="WTA102" s="83"/>
      <c r="WTB102" s="83"/>
      <c r="WTC102" s="83"/>
      <c r="WTD102" s="83"/>
      <c r="WTE102" s="83"/>
      <c r="WTF102" s="83"/>
      <c r="WTG102" s="83"/>
      <c r="WTH102" s="83"/>
      <c r="WTI102" s="83"/>
      <c r="WTJ102" s="83"/>
      <c r="WTK102" s="83"/>
      <c r="WTL102" s="83"/>
      <c r="WTM102" s="83"/>
      <c r="WTN102" s="83"/>
      <c r="WTO102" s="83"/>
      <c r="WTP102" s="83"/>
      <c r="WTQ102" s="83"/>
      <c r="WTR102" s="83"/>
      <c r="WTS102" s="83"/>
      <c r="WTT102" s="83"/>
      <c r="WTU102" s="83"/>
      <c r="WTV102" s="83"/>
      <c r="WTW102" s="83"/>
      <c r="WTX102" s="83"/>
      <c r="WTY102" s="83"/>
      <c r="WTZ102" s="83"/>
      <c r="WUA102" s="83"/>
      <c r="WUB102" s="83"/>
      <c r="WUC102" s="83"/>
      <c r="WUD102" s="83"/>
      <c r="WUE102" s="83"/>
      <c r="WUF102" s="83"/>
      <c r="WUG102" s="83"/>
      <c r="WUH102" s="83"/>
      <c r="WUI102" s="83"/>
      <c r="WUJ102" s="83"/>
      <c r="WUK102" s="83"/>
      <c r="WUL102" s="83"/>
      <c r="WUM102" s="83"/>
      <c r="WUN102" s="83"/>
      <c r="WUO102" s="83"/>
      <c r="WUP102" s="83"/>
      <c r="WUQ102" s="83"/>
      <c r="WUR102" s="83"/>
      <c r="WUS102" s="83"/>
      <c r="WUT102" s="83"/>
      <c r="WUU102" s="83"/>
      <c r="WUV102" s="83"/>
      <c r="WUW102" s="83"/>
      <c r="WUX102" s="83"/>
      <c r="WUY102" s="83"/>
      <c r="WUZ102" s="83"/>
      <c r="WVA102" s="83"/>
      <c r="WVB102" s="83"/>
      <c r="WVC102" s="83"/>
      <c r="WVD102" s="83"/>
      <c r="WVE102" s="83"/>
      <c r="WVF102" s="83"/>
      <c r="WVG102" s="83"/>
      <c r="WVH102" s="83"/>
      <c r="WVI102" s="83"/>
      <c r="WVJ102" s="83"/>
      <c r="WVK102" s="83"/>
      <c r="WVL102" s="83"/>
      <c r="WVM102" s="83"/>
      <c r="WVN102" s="83"/>
      <c r="WVO102" s="83"/>
      <c r="WVP102" s="83"/>
      <c r="WVQ102" s="83"/>
      <c r="WVR102" s="83"/>
      <c r="WVS102" s="83"/>
      <c r="WVT102" s="83"/>
      <c r="WVU102" s="83"/>
      <c r="WVV102" s="83"/>
      <c r="WVW102" s="83"/>
      <c r="WVX102" s="83"/>
      <c r="WVY102" s="83"/>
      <c r="WVZ102" s="83"/>
      <c r="WWA102" s="83"/>
      <c r="WWB102" s="83"/>
      <c r="WWC102" s="83"/>
      <c r="WWD102" s="83"/>
      <c r="WWE102" s="83"/>
      <c r="WWF102" s="83"/>
      <c r="WWG102" s="83"/>
      <c r="WWH102" s="83"/>
      <c r="WWI102" s="83"/>
      <c r="WWJ102" s="83"/>
      <c r="WWK102" s="83"/>
      <c r="WWL102" s="83"/>
      <c r="WWM102" s="83"/>
      <c r="WWN102" s="83"/>
      <c r="WWO102" s="83"/>
      <c r="WWP102" s="83"/>
      <c r="WWQ102" s="83"/>
      <c r="WWR102" s="83"/>
      <c r="WWS102" s="83"/>
      <c r="WWT102" s="83"/>
      <c r="WWU102" s="83"/>
      <c r="WWV102" s="83"/>
      <c r="WWW102" s="83"/>
      <c r="WWX102" s="83"/>
      <c r="WWY102" s="83"/>
      <c r="WWZ102" s="83"/>
      <c r="WXA102" s="83"/>
      <c r="WXB102" s="83"/>
      <c r="WXC102" s="83"/>
      <c r="WXD102" s="83"/>
      <c r="WXE102" s="83"/>
      <c r="WXF102" s="83"/>
      <c r="WXG102" s="83"/>
      <c r="WXH102" s="83"/>
      <c r="WXI102" s="83"/>
      <c r="WXJ102" s="83"/>
      <c r="WXK102" s="83"/>
      <c r="WXL102" s="83"/>
      <c r="WXM102" s="83"/>
      <c r="WXN102" s="83"/>
      <c r="WXO102" s="83"/>
      <c r="WXP102" s="83"/>
      <c r="WXQ102" s="83"/>
      <c r="WXR102" s="83"/>
      <c r="WXS102" s="83"/>
      <c r="WXT102" s="83"/>
      <c r="WXU102" s="83"/>
      <c r="WXV102" s="83"/>
      <c r="WXW102" s="83"/>
      <c r="WXX102" s="83"/>
      <c r="WXY102" s="83"/>
      <c r="WXZ102" s="83"/>
      <c r="WYA102" s="83"/>
      <c r="WYB102" s="83"/>
      <c r="WYC102" s="83"/>
      <c r="WYD102" s="83"/>
      <c r="WYE102" s="83"/>
      <c r="WYF102" s="83"/>
      <c r="WYG102" s="83"/>
      <c r="WYH102" s="83"/>
      <c r="WYI102" s="83"/>
      <c r="WYJ102" s="83"/>
      <c r="WYK102" s="83"/>
      <c r="WYL102" s="83"/>
      <c r="WYM102" s="83"/>
      <c r="WYN102" s="83"/>
      <c r="WYO102" s="83"/>
      <c r="WYP102" s="83"/>
      <c r="WYQ102" s="83"/>
      <c r="WYR102" s="83"/>
      <c r="WYS102" s="83"/>
      <c r="WYT102" s="83"/>
      <c r="WYU102" s="83"/>
      <c r="WYV102" s="83"/>
      <c r="WYW102" s="83"/>
      <c r="WYX102" s="83"/>
      <c r="WYY102" s="83"/>
      <c r="WYZ102" s="83"/>
      <c r="WZA102" s="83"/>
      <c r="WZB102" s="83"/>
      <c r="WZC102" s="83"/>
      <c r="WZD102" s="83"/>
      <c r="WZE102" s="83"/>
      <c r="WZF102" s="83"/>
      <c r="WZG102" s="83"/>
      <c r="WZH102" s="83"/>
      <c r="WZI102" s="83"/>
      <c r="WZJ102" s="83"/>
      <c r="WZK102" s="83"/>
      <c r="WZL102" s="83"/>
      <c r="WZM102" s="83"/>
      <c r="WZN102" s="83"/>
      <c r="WZO102" s="83"/>
      <c r="WZP102" s="83"/>
      <c r="WZQ102" s="83"/>
      <c r="WZR102" s="83"/>
      <c r="WZS102" s="83"/>
      <c r="WZT102" s="83"/>
      <c r="WZU102" s="83"/>
      <c r="WZV102" s="83"/>
      <c r="WZW102" s="83"/>
      <c r="WZX102" s="83"/>
      <c r="WZY102" s="83"/>
      <c r="WZZ102" s="83"/>
      <c r="XAA102" s="83"/>
      <c r="XAB102" s="83"/>
      <c r="XAC102" s="83"/>
      <c r="XAD102" s="83"/>
      <c r="XAE102" s="83"/>
      <c r="XAF102" s="83"/>
      <c r="XAG102" s="83"/>
      <c r="XAH102" s="83"/>
      <c r="XAI102" s="83"/>
      <c r="XAJ102" s="83"/>
      <c r="XAK102" s="83"/>
      <c r="XAL102" s="83"/>
      <c r="XAM102" s="83"/>
      <c r="XAN102" s="83"/>
      <c r="XAO102" s="83"/>
      <c r="XAP102" s="83"/>
      <c r="XAQ102" s="83"/>
      <c r="XAR102" s="83"/>
      <c r="XAS102" s="83"/>
      <c r="XAT102" s="83"/>
      <c r="XAU102" s="83"/>
      <c r="XAV102" s="83"/>
      <c r="XAW102" s="83"/>
      <c r="XAX102" s="83"/>
      <c r="XAY102" s="83"/>
      <c r="XAZ102" s="83"/>
      <c r="XBA102" s="83"/>
      <c r="XBB102" s="83"/>
      <c r="XBC102" s="83"/>
      <c r="XBD102" s="83"/>
      <c r="XBE102" s="83"/>
      <c r="XBF102" s="83"/>
      <c r="XBG102" s="83"/>
      <c r="XBH102" s="83"/>
      <c r="XBI102" s="83"/>
      <c r="XBJ102" s="83"/>
      <c r="XBK102" s="83"/>
      <c r="XBL102" s="83"/>
      <c r="XBM102" s="83"/>
      <c r="XBN102" s="83"/>
      <c r="XBO102" s="83"/>
      <c r="XBP102" s="83"/>
      <c r="XBQ102" s="83"/>
      <c r="XBR102" s="83"/>
      <c r="XBS102" s="83"/>
      <c r="XBT102" s="83"/>
      <c r="XBU102" s="83"/>
      <c r="XBV102" s="83"/>
      <c r="XBW102" s="83"/>
      <c r="XBX102" s="83"/>
      <c r="XBY102" s="83"/>
      <c r="XBZ102" s="83"/>
      <c r="XCA102" s="83"/>
      <c r="XCB102" s="83"/>
      <c r="XCC102" s="83"/>
      <c r="XCD102" s="83"/>
      <c r="XCE102" s="83"/>
      <c r="XCF102" s="83"/>
      <c r="XCG102" s="83"/>
      <c r="XCH102" s="83"/>
      <c r="XCI102" s="83"/>
      <c r="XCJ102" s="83"/>
      <c r="XCK102" s="83"/>
      <c r="XCL102" s="83"/>
      <c r="XCM102" s="83"/>
      <c r="XCN102" s="83"/>
      <c r="XCO102" s="83"/>
      <c r="XCP102" s="83"/>
      <c r="XCQ102" s="83"/>
      <c r="XCR102" s="83"/>
      <c r="XCS102" s="83"/>
      <c r="XCT102" s="83"/>
      <c r="XCU102" s="83"/>
      <c r="XCV102" s="83"/>
      <c r="XCW102" s="83"/>
      <c r="XCX102" s="83"/>
      <c r="XCY102" s="83"/>
      <c r="XCZ102" s="83"/>
      <c r="XDA102" s="83"/>
      <c r="XDB102" s="83"/>
      <c r="XDC102" s="83"/>
      <c r="XDD102" s="83"/>
      <c r="XDE102" s="83"/>
      <c r="XDF102" s="83"/>
      <c r="XDG102" s="83"/>
      <c r="XDH102" s="83"/>
      <c r="XDI102" s="83"/>
      <c r="XDJ102" s="83"/>
      <c r="XDK102" s="83"/>
      <c r="XDL102" s="83"/>
      <c r="XDM102" s="83"/>
      <c r="XDN102" s="83"/>
      <c r="XDO102" s="83"/>
      <c r="XDP102" s="83"/>
      <c r="XDQ102" s="83"/>
      <c r="XDR102" s="83"/>
      <c r="XDS102" s="83"/>
      <c r="XDT102" s="83"/>
      <c r="XDU102" s="83"/>
      <c r="XDV102" s="83"/>
      <c r="XDW102" s="83"/>
      <c r="XDX102" s="83"/>
      <c r="XDY102" s="83"/>
      <c r="XDZ102" s="83"/>
      <c r="XEA102" s="83"/>
      <c r="XEB102" s="83"/>
      <c r="XEC102" s="83"/>
      <c r="XED102" s="83"/>
      <c r="XEE102" s="83"/>
      <c r="XEF102" s="83"/>
      <c r="XEG102" s="83"/>
      <c r="XEH102" s="83"/>
      <c r="XEI102" s="83"/>
      <c r="XEJ102" s="83"/>
      <c r="XEK102" s="83"/>
      <c r="XEL102" s="83"/>
      <c r="XEM102" s="83"/>
      <c r="XEN102" s="83"/>
      <c r="XEO102" s="83"/>
      <c r="XEP102" s="83"/>
      <c r="XEQ102" s="83"/>
      <c r="XER102" s="83"/>
      <c r="XES102" s="83"/>
      <c r="XET102" s="83"/>
      <c r="XEU102" s="83"/>
      <c r="XEV102" s="83"/>
      <c r="XEW102" s="83"/>
      <c r="XEX102" s="83"/>
      <c r="XEY102" s="83"/>
      <c r="XEZ102" s="83"/>
      <c r="XFA102" s="83"/>
      <c r="XFB102" s="83"/>
      <c r="XFC102" s="83"/>
      <c r="XFD102" s="83"/>
    </row>
    <row r="103" spans="1:16384">
      <c r="B103" s="106"/>
    </row>
    <row r="104" spans="1:16384">
      <c r="B104" s="106" t="s">
        <v>204</v>
      </c>
    </row>
    <row r="106" spans="1:16384" ht="10.5">
      <c r="B106" s="29" t="s">
        <v>982</v>
      </c>
    </row>
  </sheetData>
  <mergeCells count="5">
    <mergeCell ref="B6:B7"/>
    <mergeCell ref="C6:E6"/>
    <mergeCell ref="F6:H6"/>
    <mergeCell ref="J6:L6"/>
    <mergeCell ref="M6:O6"/>
  </mergeCells>
  <hyperlinks>
    <hyperlink ref="B52" r:id="rId1" xr:uid="{00000000-0004-0000-3800-000000000000}"/>
  </hyperlinks>
  <pageMargins left="0.7" right="0.7" top="0.75" bottom="0.75" header="0.3" footer="0.3"/>
  <pageSetup scale="44" fitToHeight="2" orientation="landscape" r:id="rId2"/>
  <headerFooter>
    <oddHeader>&amp;L&amp;F&amp;R&amp;A</oddHeader>
    <oddFooter>&amp;LHDR inc.&amp;C&amp;P of &amp;N&amp;R&amp;D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4">
    <tabColor theme="8" tint="0.79998168889431442"/>
  </sheetPr>
  <dimension ref="A1:Q144"/>
  <sheetViews>
    <sheetView workbookViewId="0">
      <selection activeCell="B2" sqref="B2"/>
    </sheetView>
  </sheetViews>
  <sheetFormatPr defaultColWidth="9" defaultRowHeight="10"/>
  <cols>
    <col min="1" max="1" width="2.58203125" style="766" customWidth="1"/>
    <col min="2" max="2" width="30.25" style="766" customWidth="1"/>
    <col min="3" max="3" width="17.83203125" style="766" customWidth="1"/>
    <col min="4" max="7" width="16.58203125" style="766" customWidth="1"/>
    <col min="8" max="8" width="23" style="766" customWidth="1"/>
    <col min="9" max="9" width="18.58203125" style="766" customWidth="1"/>
    <col min="10" max="10" width="9" style="766" customWidth="1"/>
    <col min="11" max="11" width="10.33203125" style="771" customWidth="1"/>
    <col min="12" max="12" width="10" style="771" customWidth="1"/>
    <col min="13" max="13" width="10" style="766" customWidth="1"/>
    <col min="14" max="14" width="9" style="766" customWidth="1"/>
    <col min="15" max="16384" width="9" style="766"/>
  </cols>
  <sheetData>
    <row r="1" spans="1:14" s="759" customFormat="1" ht="11.25" customHeight="1">
      <c r="A1" s="755" t="s">
        <v>959</v>
      </c>
      <c r="B1" s="755"/>
      <c r="C1" s="756"/>
      <c r="D1" s="756"/>
      <c r="E1" s="756"/>
      <c r="F1" s="756"/>
      <c r="G1" s="756"/>
      <c r="H1" s="757"/>
      <c r="I1" s="757"/>
      <c r="J1" s="757"/>
      <c r="K1" s="758"/>
      <c r="L1" s="758"/>
    </row>
    <row r="2" spans="1:14" s="761" customFormat="1" ht="11.25" customHeight="1">
      <c r="A2" s="760"/>
      <c r="C2" s="762"/>
      <c r="D2" s="762"/>
      <c r="E2" s="762"/>
      <c r="F2" s="762"/>
      <c r="G2" s="762"/>
      <c r="H2" s="763"/>
      <c r="I2" s="763"/>
      <c r="J2" s="763"/>
      <c r="K2" s="764"/>
      <c r="L2" s="764"/>
    </row>
    <row r="3" spans="1:14" s="761" customFormat="1" ht="11.25" customHeight="1">
      <c r="A3" s="760"/>
      <c r="C3" s="762" t="s">
        <v>13</v>
      </c>
      <c r="D3" s="762" t="s">
        <v>26</v>
      </c>
      <c r="E3" s="762" t="s">
        <v>27</v>
      </c>
      <c r="F3" s="762" t="s">
        <v>28</v>
      </c>
      <c r="G3" s="762" t="s">
        <v>29</v>
      </c>
      <c r="H3" s="763" t="s">
        <v>1</v>
      </c>
      <c r="I3" s="763" t="s">
        <v>30</v>
      </c>
      <c r="J3" s="763"/>
      <c r="K3" s="764"/>
      <c r="L3" s="764"/>
    </row>
    <row r="4" spans="1:14" s="761" customFormat="1" ht="11.25" customHeight="1">
      <c r="A4" s="760"/>
      <c r="C4" s="762"/>
      <c r="D4" s="762"/>
      <c r="E4" s="448"/>
      <c r="F4" s="765"/>
      <c r="G4" s="762"/>
      <c r="H4" s="763"/>
      <c r="I4" s="763"/>
      <c r="J4" s="763"/>
      <c r="K4" s="766"/>
      <c r="L4" s="764"/>
    </row>
    <row r="5" spans="1:14" ht="11.25" customHeight="1">
      <c r="A5" s="760"/>
      <c r="B5" s="767" t="s">
        <v>16</v>
      </c>
      <c r="C5" s="768" t="s">
        <v>31</v>
      </c>
      <c r="D5" s="769">
        <v>9600000</v>
      </c>
      <c r="E5" s="769">
        <v>5400000</v>
      </c>
      <c r="F5" s="769">
        <v>13400000</v>
      </c>
      <c r="G5" s="770">
        <v>2018</v>
      </c>
      <c r="H5" s="1476" t="s">
        <v>960</v>
      </c>
      <c r="I5" s="1477" t="s">
        <v>365</v>
      </c>
      <c r="L5" s="772"/>
      <c r="M5" s="772"/>
      <c r="N5" s="773"/>
    </row>
    <row r="6" spans="1:14" ht="11.25" customHeight="1">
      <c r="A6" s="767"/>
      <c r="B6" s="767"/>
      <c r="C6" s="768"/>
      <c r="D6" s="768"/>
      <c r="E6" s="774"/>
      <c r="F6" s="774"/>
      <c r="G6" s="775"/>
      <c r="H6" s="1476"/>
      <c r="I6" s="1477"/>
      <c r="L6" s="776"/>
      <c r="M6" s="776"/>
    </row>
    <row r="7" spans="1:14" ht="11.25" customHeight="1">
      <c r="A7" s="767"/>
      <c r="B7" s="767" t="s">
        <v>32</v>
      </c>
      <c r="C7" s="768"/>
      <c r="D7" s="768"/>
      <c r="E7" s="774"/>
      <c r="F7" s="768"/>
      <c r="G7" s="768"/>
      <c r="H7" s="1476"/>
      <c r="I7" s="1477"/>
      <c r="J7" s="777"/>
      <c r="K7" s="766"/>
    </row>
    <row r="8" spans="1:14" ht="11.25" customHeight="1">
      <c r="A8" s="767"/>
      <c r="B8" s="778" t="s">
        <v>33</v>
      </c>
      <c r="C8" s="779" t="s">
        <v>34</v>
      </c>
      <c r="D8" s="780">
        <v>3.0000000000000001E-3</v>
      </c>
      <c r="E8" s="774"/>
      <c r="F8" s="781"/>
      <c r="G8" s="768"/>
      <c r="H8" s="1476"/>
      <c r="I8" s="1477"/>
      <c r="J8" s="777"/>
    </row>
    <row r="9" spans="1:14" ht="11.25" customHeight="1">
      <c r="A9" s="767"/>
      <c r="B9" s="778" t="s">
        <v>35</v>
      </c>
      <c r="C9" s="779" t="s">
        <v>34</v>
      </c>
      <c r="D9" s="780">
        <v>4.7E-2</v>
      </c>
      <c r="E9" s="774"/>
      <c r="F9" s="781"/>
      <c r="G9" s="768"/>
      <c r="H9" s="1476"/>
      <c r="I9" s="1477"/>
      <c r="J9" s="777"/>
    </row>
    <row r="10" spans="1:14" ht="11.25" customHeight="1">
      <c r="A10" s="767"/>
      <c r="B10" s="778" t="s">
        <v>36</v>
      </c>
      <c r="C10" s="779" t="s">
        <v>34</v>
      </c>
      <c r="D10" s="780">
        <v>0.105</v>
      </c>
      <c r="E10" s="774"/>
      <c r="F10" s="781"/>
      <c r="G10" s="768"/>
      <c r="H10" s="1476"/>
      <c r="I10" s="1477"/>
      <c r="J10" s="777"/>
    </row>
    <row r="11" spans="1:14" ht="11.25" customHeight="1">
      <c r="A11" s="767"/>
      <c r="B11" s="778" t="s">
        <v>37</v>
      </c>
      <c r="C11" s="779" t="s">
        <v>34</v>
      </c>
      <c r="D11" s="780">
        <v>0.26600000000000001</v>
      </c>
      <c r="E11" s="774"/>
      <c r="F11" s="781"/>
      <c r="G11" s="768"/>
      <c r="H11" s="1476"/>
      <c r="I11" s="1477"/>
      <c r="J11" s="777"/>
    </row>
    <row r="12" spans="1:14" ht="11.25" customHeight="1">
      <c r="A12" s="767"/>
      <c r="B12" s="778" t="s">
        <v>38</v>
      </c>
      <c r="C12" s="779" t="s">
        <v>34</v>
      </c>
      <c r="D12" s="780">
        <v>0.59299999999999997</v>
      </c>
      <c r="E12" s="774"/>
      <c r="F12" s="781"/>
      <c r="G12" s="768"/>
      <c r="H12" s="1476"/>
      <c r="I12" s="1477"/>
      <c r="J12" s="777"/>
    </row>
    <row r="13" spans="1:14" ht="11.25" customHeight="1">
      <c r="A13" s="767"/>
      <c r="B13" s="778" t="s">
        <v>39</v>
      </c>
      <c r="C13" s="779" t="s">
        <v>34</v>
      </c>
      <c r="D13" s="780">
        <v>1</v>
      </c>
      <c r="E13" s="774"/>
      <c r="F13" s="768"/>
      <c r="G13" s="768"/>
      <c r="H13" s="1476"/>
      <c r="I13" s="1477"/>
      <c r="J13" s="777"/>
    </row>
    <row r="14" spans="1:14" ht="11.25" customHeight="1">
      <c r="A14" s="767"/>
      <c r="B14" s="782"/>
      <c r="C14" s="768"/>
      <c r="D14" s="783"/>
      <c r="E14" s="774"/>
      <c r="F14" s="768"/>
      <c r="G14" s="768"/>
      <c r="H14" s="784" t="s">
        <v>571</v>
      </c>
      <c r="I14" s="785"/>
      <c r="J14" s="777"/>
    </row>
    <row r="15" spans="1:14" ht="11.25" customHeight="1">
      <c r="A15" s="767"/>
      <c r="B15" s="782"/>
      <c r="C15" s="768"/>
      <c r="D15" s="783"/>
      <c r="E15" s="774"/>
      <c r="F15" s="768"/>
      <c r="G15" s="768"/>
      <c r="H15" s="786" t="s">
        <v>961</v>
      </c>
      <c r="I15" s="787"/>
      <c r="J15" s="777"/>
    </row>
    <row r="16" spans="1:14" ht="11.25" customHeight="1">
      <c r="A16" s="767"/>
      <c r="B16" s="767" t="s">
        <v>40</v>
      </c>
      <c r="H16" s="788"/>
      <c r="I16" s="788"/>
      <c r="J16" s="788"/>
    </row>
    <row r="17" spans="1:17" ht="11.25" customHeight="1">
      <c r="A17" s="767"/>
      <c r="B17" s="789" t="s">
        <v>41</v>
      </c>
      <c r="C17" s="779" t="s">
        <v>42</v>
      </c>
      <c r="D17" s="769">
        <v>4400</v>
      </c>
      <c r="E17" s="790"/>
      <c r="F17" s="790"/>
      <c r="G17" s="791">
        <v>2018</v>
      </c>
      <c r="H17" s="792" t="s">
        <v>962</v>
      </c>
      <c r="I17" s="793" t="s">
        <v>963</v>
      </c>
      <c r="J17" s="794"/>
      <c r="K17" s="795"/>
    </row>
    <row r="18" spans="1:17" ht="11.25" customHeight="1">
      <c r="M18" s="448"/>
      <c r="N18" s="448"/>
    </row>
    <row r="19" spans="1:17" ht="11.25" customHeight="1">
      <c r="K19" s="764"/>
      <c r="L19" s="764"/>
      <c r="M19" s="448"/>
      <c r="N19" s="448"/>
    </row>
    <row r="20" spans="1:17" ht="11.25" customHeight="1">
      <c r="B20" s="796" t="s">
        <v>43</v>
      </c>
      <c r="C20" s="797"/>
      <c r="D20" s="797"/>
      <c r="E20" s="798"/>
      <c r="F20" s="798"/>
      <c r="G20" s="798"/>
      <c r="H20" s="798"/>
      <c r="I20" s="798"/>
      <c r="J20" s="799"/>
      <c r="K20" s="764"/>
      <c r="L20" s="764"/>
      <c r="M20" s="448"/>
      <c r="N20" s="448"/>
    </row>
    <row r="21" spans="1:17" ht="11.25" customHeight="1">
      <c r="B21" s="800"/>
      <c r="C21" s="801" t="s">
        <v>20</v>
      </c>
      <c r="D21" s="802" t="s">
        <v>44</v>
      </c>
      <c r="E21" s="802" t="s">
        <v>3</v>
      </c>
      <c r="F21" s="802" t="s">
        <v>19</v>
      </c>
      <c r="G21" s="801" t="s">
        <v>22</v>
      </c>
      <c r="H21" s="801" t="s">
        <v>45</v>
      </c>
      <c r="I21" s="801" t="s">
        <v>46</v>
      </c>
      <c r="J21" s="803"/>
    </row>
    <row r="22" spans="1:17" ht="11.25" customHeight="1">
      <c r="B22" s="800"/>
      <c r="C22" s="801" t="s">
        <v>47</v>
      </c>
      <c r="D22" s="802" t="s">
        <v>48</v>
      </c>
      <c r="E22" s="802" t="s">
        <v>49</v>
      </c>
      <c r="F22" s="802" t="s">
        <v>50</v>
      </c>
      <c r="G22" s="801" t="s">
        <v>51</v>
      </c>
      <c r="H22" s="801" t="s">
        <v>52</v>
      </c>
      <c r="I22" s="801" t="s">
        <v>53</v>
      </c>
      <c r="J22" s="803"/>
    </row>
    <row r="23" spans="1:17" ht="11.25" customHeight="1">
      <c r="B23" s="804" t="s">
        <v>54</v>
      </c>
      <c r="C23" s="805">
        <v>0.92534000000000005</v>
      </c>
      <c r="D23" s="805">
        <v>0.23436999999999999</v>
      </c>
      <c r="E23" s="805">
        <v>8.3470000000000003E-2</v>
      </c>
      <c r="F23" s="805">
        <v>3.4369999999999998E-2</v>
      </c>
      <c r="G23" s="805">
        <v>0</v>
      </c>
      <c r="H23" s="805">
        <v>0.21537999999999999</v>
      </c>
      <c r="I23" s="805">
        <v>0.43675999999999998</v>
      </c>
      <c r="J23" s="803"/>
    </row>
    <row r="24" spans="1:17" ht="11.25" customHeight="1">
      <c r="B24" s="804" t="s">
        <v>55</v>
      </c>
      <c r="C24" s="805">
        <v>7.2569999999999996E-2</v>
      </c>
      <c r="D24" s="805">
        <v>0.68945999999999996</v>
      </c>
      <c r="E24" s="805">
        <v>0.76842999999999995</v>
      </c>
      <c r="F24" s="805">
        <v>0.55449000000000004</v>
      </c>
      <c r="G24" s="805">
        <v>0</v>
      </c>
      <c r="H24" s="805">
        <v>0.62727999999999995</v>
      </c>
      <c r="I24" s="805">
        <v>0.41738999999999998</v>
      </c>
      <c r="J24" s="803"/>
    </row>
    <row r="25" spans="1:17" ht="11.25" customHeight="1">
      <c r="B25" s="804" t="s">
        <v>56</v>
      </c>
      <c r="C25" s="805">
        <v>1.98E-3</v>
      </c>
      <c r="D25" s="805">
        <v>6.3909999999999995E-2</v>
      </c>
      <c r="E25" s="805">
        <v>0.10897999999999999</v>
      </c>
      <c r="F25" s="805">
        <v>0.20907999999999999</v>
      </c>
      <c r="G25" s="805">
        <v>0</v>
      </c>
      <c r="H25" s="805">
        <v>0.104</v>
      </c>
      <c r="I25" s="805">
        <v>8.8719999999999993E-2</v>
      </c>
      <c r="J25" s="803"/>
    </row>
    <row r="26" spans="1:17" ht="11.25" customHeight="1">
      <c r="B26" s="804" t="s">
        <v>57</v>
      </c>
      <c r="C26" s="805">
        <v>8.0000000000000007E-5</v>
      </c>
      <c r="D26" s="805">
        <v>1.0710000000000001E-2</v>
      </c>
      <c r="E26" s="805">
        <v>3.1910000000000001E-2</v>
      </c>
      <c r="F26" s="805">
        <v>0.14437</v>
      </c>
      <c r="G26" s="805">
        <v>0</v>
      </c>
      <c r="H26" s="805">
        <v>3.8580000000000003E-2</v>
      </c>
      <c r="I26" s="805">
        <v>4.8169999999999998E-2</v>
      </c>
      <c r="J26" s="803"/>
    </row>
    <row r="27" spans="1:17" ht="11.25" customHeight="1">
      <c r="B27" s="804" t="s">
        <v>58</v>
      </c>
      <c r="C27" s="805">
        <v>0</v>
      </c>
      <c r="D27" s="805">
        <v>1.42E-3</v>
      </c>
      <c r="E27" s="805">
        <v>6.1999999999999998E-3</v>
      </c>
      <c r="F27" s="805">
        <v>3.986E-2</v>
      </c>
      <c r="G27" s="805">
        <v>0</v>
      </c>
      <c r="H27" s="805">
        <v>4.4200000000000003E-3</v>
      </c>
      <c r="I27" s="805">
        <v>6.1700000000000001E-3</v>
      </c>
      <c r="J27" s="803"/>
    </row>
    <row r="28" spans="1:17" ht="11.25" customHeight="1">
      <c r="B28" s="804" t="s">
        <v>59</v>
      </c>
      <c r="C28" s="805">
        <v>3.0000000000000001E-5</v>
      </c>
      <c r="D28" s="805">
        <v>1.2999999999999999E-4</v>
      </c>
      <c r="E28" s="805">
        <v>1.01E-3</v>
      </c>
      <c r="F28" s="805">
        <v>1.7829999999999999E-2</v>
      </c>
      <c r="G28" s="805">
        <v>0</v>
      </c>
      <c r="H28" s="805">
        <v>1.034E-2</v>
      </c>
      <c r="I28" s="805">
        <v>2.7899999999999999E-3</v>
      </c>
      <c r="J28" s="803"/>
    </row>
    <row r="29" spans="1:17" ht="11.25" customHeight="1">
      <c r="B29" s="804" t="s">
        <v>60</v>
      </c>
      <c r="C29" s="805">
        <v>0</v>
      </c>
      <c r="D29" s="805">
        <v>0</v>
      </c>
      <c r="E29" s="805">
        <v>0</v>
      </c>
      <c r="F29" s="805">
        <v>0</v>
      </c>
      <c r="G29" s="805">
        <v>1</v>
      </c>
      <c r="H29" s="805">
        <v>0</v>
      </c>
      <c r="I29" s="805">
        <v>0</v>
      </c>
      <c r="J29" s="803"/>
    </row>
    <row r="30" spans="1:17" ht="11.25" customHeight="1">
      <c r="B30" s="806" t="s">
        <v>596</v>
      </c>
      <c r="J30" s="803"/>
    </row>
    <row r="31" spans="1:17" ht="11.25" customHeight="1">
      <c r="B31" s="806" t="s">
        <v>61</v>
      </c>
      <c r="J31" s="803"/>
    </row>
    <row r="32" spans="1:17" ht="11.25" customHeight="1">
      <c r="B32" s="806" t="s">
        <v>62</v>
      </c>
      <c r="P32" s="766" t="s">
        <v>227</v>
      </c>
      <c r="Q32" s="766" t="s">
        <v>964</v>
      </c>
    </row>
    <row r="33" spans="2:17" ht="11.25" customHeight="1">
      <c r="P33" s="807" t="s">
        <v>965</v>
      </c>
    </row>
    <row r="34" spans="2:17" ht="11.25" customHeight="1">
      <c r="B34" s="808" t="s">
        <v>966</v>
      </c>
      <c r="C34" s="798"/>
      <c r="D34" s="798"/>
      <c r="E34" s="798"/>
      <c r="F34" s="798"/>
      <c r="G34" s="798"/>
      <c r="P34" s="766" t="s">
        <v>967</v>
      </c>
    </row>
    <row r="35" spans="2:17" ht="11.25" customHeight="1">
      <c r="B35" s="809"/>
      <c r="C35" s="802" t="s">
        <v>50</v>
      </c>
      <c r="D35" s="802" t="s">
        <v>63</v>
      </c>
      <c r="E35" s="802" t="s">
        <v>64</v>
      </c>
      <c r="F35" s="802" t="s">
        <v>65</v>
      </c>
      <c r="G35" s="798"/>
      <c r="P35" s="810" t="s">
        <v>968</v>
      </c>
      <c r="Q35" s="771"/>
    </row>
    <row r="36" spans="2:17" ht="11.25" customHeight="1">
      <c r="B36" s="811" t="s">
        <v>66</v>
      </c>
      <c r="C36" s="812">
        <v>180000</v>
      </c>
      <c r="D36" s="812">
        <v>719000</v>
      </c>
      <c r="E36" s="812">
        <v>1544000</v>
      </c>
      <c r="F36" s="813">
        <v>2443000</v>
      </c>
      <c r="G36" s="798"/>
    </row>
    <row r="37" spans="2:17" ht="11.25" customHeight="1">
      <c r="B37" s="811" t="s">
        <v>67</v>
      </c>
      <c r="C37" s="814">
        <v>7.3679901760130992E-2</v>
      </c>
      <c r="D37" s="814">
        <v>0.29431027425296769</v>
      </c>
      <c r="E37" s="814">
        <v>0.63200982398690131</v>
      </c>
      <c r="F37" s="814">
        <v>1</v>
      </c>
      <c r="G37" s="798"/>
    </row>
    <row r="38" spans="2:17" ht="11.25" customHeight="1">
      <c r="B38" s="766" t="s">
        <v>594</v>
      </c>
      <c r="C38" s="798"/>
      <c r="D38" s="798"/>
      <c r="E38" s="798"/>
      <c r="F38" s="798"/>
      <c r="G38" s="798"/>
    </row>
    <row r="39" spans="2:17" ht="11.25" customHeight="1">
      <c r="B39" s="815" t="s">
        <v>68</v>
      </c>
      <c r="C39" s="798"/>
      <c r="D39" s="798"/>
      <c r="E39" s="798"/>
      <c r="F39" s="798"/>
      <c r="G39" s="798"/>
    </row>
    <row r="40" spans="2:17" ht="11.25" customHeight="1">
      <c r="B40" s="810" t="s">
        <v>595</v>
      </c>
      <c r="C40" s="798"/>
      <c r="D40" s="798"/>
      <c r="E40" s="798"/>
      <c r="F40" s="798"/>
      <c r="G40" s="798"/>
    </row>
    <row r="41" spans="2:17" ht="11.25" customHeight="1"/>
    <row r="42" spans="2:17" s="817" customFormat="1" ht="11.25" customHeight="1">
      <c r="B42" s="816" t="s">
        <v>969</v>
      </c>
      <c r="K42" s="818"/>
      <c r="L42" s="818"/>
    </row>
    <row r="43" spans="2:17" s="817" customFormat="1" ht="11.25" customHeight="1">
      <c r="B43" s="816"/>
      <c r="K43" s="818"/>
      <c r="L43" s="818"/>
    </row>
    <row r="44" spans="2:17" ht="11.25" customHeight="1"/>
    <row r="45" spans="2:17" ht="11.25" customHeight="1">
      <c r="B45" s="807" t="s">
        <v>583</v>
      </c>
    </row>
    <row r="46" spans="2:17" ht="11.25" customHeight="1">
      <c r="B46" s="807"/>
      <c r="D46" s="819" t="s">
        <v>69</v>
      </c>
      <c r="E46" s="820" t="s">
        <v>70</v>
      </c>
      <c r="F46" s="820" t="s">
        <v>71</v>
      </c>
      <c r="I46" s="767" t="s">
        <v>970</v>
      </c>
      <c r="J46" s="767" t="s">
        <v>971</v>
      </c>
      <c r="K46" s="821"/>
      <c r="L46" s="822"/>
      <c r="M46" s="822"/>
    </row>
    <row r="47" spans="2:17" ht="11.25" customHeight="1">
      <c r="B47" s="823" t="s">
        <v>972</v>
      </c>
      <c r="C47" s="779" t="s">
        <v>72</v>
      </c>
      <c r="D47" s="824">
        <v>28800</v>
      </c>
      <c r="E47" s="825">
        <v>16200</v>
      </c>
      <c r="F47" s="825">
        <v>40200</v>
      </c>
      <c r="G47" s="826">
        <v>2018</v>
      </c>
      <c r="I47" s="766" t="s">
        <v>973</v>
      </c>
      <c r="J47" s="827">
        <v>250600</v>
      </c>
      <c r="K47" s="828"/>
      <c r="L47" s="828"/>
      <c r="M47" s="829"/>
      <c r="N47" s="830"/>
    </row>
    <row r="48" spans="2:17" ht="11.25" customHeight="1">
      <c r="B48" s="823" t="s">
        <v>974</v>
      </c>
      <c r="C48" s="779" t="s">
        <v>72</v>
      </c>
      <c r="D48" s="831">
        <v>451200</v>
      </c>
      <c r="E48" s="825">
        <v>253800</v>
      </c>
      <c r="F48" s="825">
        <v>629800</v>
      </c>
      <c r="G48" s="775">
        <v>2018</v>
      </c>
      <c r="I48" s="766" t="s">
        <v>975</v>
      </c>
      <c r="J48" s="827">
        <v>10636600</v>
      </c>
      <c r="K48" s="828"/>
      <c r="L48" s="828"/>
      <c r="M48" s="829"/>
      <c r="N48" s="830"/>
    </row>
    <row r="49" spans="2:14" ht="11.25" customHeight="1">
      <c r="B49" s="823" t="s">
        <v>976</v>
      </c>
      <c r="C49" s="779" t="s">
        <v>72</v>
      </c>
      <c r="D49" s="831">
        <v>1008000</v>
      </c>
      <c r="E49" s="825">
        <v>567000</v>
      </c>
      <c r="F49" s="825">
        <v>1407000</v>
      </c>
      <c r="G49" s="775">
        <v>2018</v>
      </c>
      <c r="K49" s="828"/>
      <c r="L49" s="828"/>
      <c r="M49" s="829"/>
      <c r="N49" s="830"/>
    </row>
    <row r="50" spans="2:14" ht="11.25" customHeight="1">
      <c r="B50" s="823" t="s">
        <v>977</v>
      </c>
      <c r="C50" s="779" t="s">
        <v>72</v>
      </c>
      <c r="D50" s="831">
        <v>2553600</v>
      </c>
      <c r="E50" s="825">
        <v>1436400</v>
      </c>
      <c r="F50" s="825">
        <v>3564400</v>
      </c>
      <c r="G50" s="775">
        <v>2018</v>
      </c>
      <c r="H50" s="832" t="s">
        <v>227</v>
      </c>
      <c r="I50" s="766" t="s">
        <v>978</v>
      </c>
      <c r="K50" s="828"/>
      <c r="L50" s="828"/>
      <c r="M50" s="829"/>
      <c r="N50" s="830"/>
    </row>
    <row r="51" spans="2:14" ht="11.25" customHeight="1">
      <c r="B51" s="823" t="s">
        <v>979</v>
      </c>
      <c r="C51" s="779" t="s">
        <v>72</v>
      </c>
      <c r="D51" s="831">
        <v>5692800</v>
      </c>
      <c r="E51" s="825">
        <v>3202200</v>
      </c>
      <c r="F51" s="825">
        <v>7946200</v>
      </c>
      <c r="G51" s="775">
        <v>2018</v>
      </c>
      <c r="K51" s="828"/>
      <c r="L51" s="828"/>
      <c r="M51" s="829"/>
      <c r="N51" s="830"/>
    </row>
    <row r="52" spans="2:14" ht="11.25" customHeight="1">
      <c r="B52" s="823" t="s">
        <v>60</v>
      </c>
      <c r="C52" s="779" t="s">
        <v>73</v>
      </c>
      <c r="D52" s="833">
        <v>9600000</v>
      </c>
      <c r="E52" s="825">
        <v>5400000</v>
      </c>
      <c r="F52" s="825">
        <v>13400000</v>
      </c>
      <c r="G52" s="775">
        <v>2018</v>
      </c>
      <c r="K52" s="828"/>
      <c r="L52" s="828"/>
      <c r="M52" s="829"/>
      <c r="N52" s="830"/>
    </row>
    <row r="53" spans="2:14" ht="11.25" customHeight="1">
      <c r="B53" s="782"/>
      <c r="C53" s="779"/>
      <c r="D53" s="448"/>
      <c r="E53" s="825"/>
      <c r="F53" s="825"/>
      <c r="G53" s="775"/>
      <c r="K53" s="828"/>
      <c r="L53" s="828"/>
      <c r="M53" s="829"/>
      <c r="N53" s="830"/>
    </row>
    <row r="54" spans="2:14" ht="11.25" customHeight="1">
      <c r="B54" s="782" t="s">
        <v>74</v>
      </c>
      <c r="C54" s="779" t="s">
        <v>72</v>
      </c>
      <c r="D54" s="834">
        <v>3200</v>
      </c>
      <c r="E54" s="825">
        <v>1819.5839999999998</v>
      </c>
      <c r="F54" s="825">
        <v>4515.2640000000001</v>
      </c>
      <c r="G54" s="835">
        <v>2018</v>
      </c>
      <c r="J54" s="836"/>
      <c r="K54" s="836"/>
      <c r="L54" s="836"/>
    </row>
    <row r="55" spans="2:14" ht="11.25" customHeight="1">
      <c r="B55" s="782" t="s">
        <v>75</v>
      </c>
      <c r="C55" s="779" t="s">
        <v>72</v>
      </c>
      <c r="D55" s="837">
        <v>63900</v>
      </c>
      <c r="E55" s="825">
        <v>35918.154000000002</v>
      </c>
      <c r="F55" s="825">
        <v>89130.233999999997</v>
      </c>
      <c r="G55" s="775">
        <v>2018</v>
      </c>
      <c r="H55" s="838"/>
    </row>
    <row r="56" spans="2:14" ht="11.25" customHeight="1">
      <c r="B56" s="782" t="s">
        <v>76</v>
      </c>
      <c r="C56" s="779" t="s">
        <v>72</v>
      </c>
      <c r="D56" s="837">
        <v>125000</v>
      </c>
      <c r="E56" s="825">
        <v>70340.561999999991</v>
      </c>
      <c r="F56" s="825">
        <v>174548.802</v>
      </c>
      <c r="G56" s="775">
        <v>2018</v>
      </c>
      <c r="H56" s="839"/>
    </row>
    <row r="57" spans="2:14" ht="11.25" customHeight="1">
      <c r="B57" s="782" t="s">
        <v>77</v>
      </c>
      <c r="C57" s="779" t="s">
        <v>72</v>
      </c>
      <c r="D57" s="837">
        <v>459100</v>
      </c>
      <c r="E57" s="825">
        <v>258255.16200000001</v>
      </c>
      <c r="F57" s="825">
        <v>640855.402</v>
      </c>
      <c r="G57" s="775">
        <v>2018</v>
      </c>
    </row>
    <row r="58" spans="2:14" ht="11.25" customHeight="1">
      <c r="B58" s="782" t="s">
        <v>78</v>
      </c>
      <c r="C58" s="779" t="s">
        <v>72</v>
      </c>
      <c r="D58" s="837">
        <v>9600000</v>
      </c>
      <c r="E58" s="825">
        <v>5400000</v>
      </c>
      <c r="F58" s="825">
        <v>13400000</v>
      </c>
      <c r="G58" s="775">
        <v>2018</v>
      </c>
    </row>
    <row r="59" spans="2:14" ht="11.25" customHeight="1">
      <c r="B59" s="782" t="s">
        <v>79</v>
      </c>
      <c r="C59" s="779" t="s">
        <v>72</v>
      </c>
      <c r="D59" s="837">
        <v>174000</v>
      </c>
      <c r="E59" s="825">
        <v>97891.631999999998</v>
      </c>
      <c r="F59" s="825">
        <v>242916.272</v>
      </c>
      <c r="G59" s="775">
        <v>2018</v>
      </c>
    </row>
    <row r="60" spans="2:14" ht="11.25" customHeight="1">
      <c r="B60" s="782" t="s">
        <v>80</v>
      </c>
      <c r="C60" s="779" t="s">
        <v>72</v>
      </c>
      <c r="D60" s="840">
        <v>132200</v>
      </c>
      <c r="E60" s="825">
        <v>74387.97</v>
      </c>
      <c r="F60" s="825">
        <v>184592.37</v>
      </c>
      <c r="G60" s="775">
        <v>2018</v>
      </c>
      <c r="K60" s="766"/>
      <c r="L60" s="766"/>
    </row>
    <row r="61" spans="2:14" ht="11.25" customHeight="1">
      <c r="B61" s="782"/>
      <c r="C61" s="841"/>
      <c r="D61" s="842"/>
      <c r="E61" s="825"/>
      <c r="F61" s="825"/>
      <c r="G61" s="775"/>
      <c r="K61" s="843"/>
      <c r="L61" s="843"/>
    </row>
    <row r="62" spans="2:14" ht="11.25" customHeight="1">
      <c r="B62" s="766" t="s">
        <v>81</v>
      </c>
      <c r="C62" s="768"/>
      <c r="D62" s="842"/>
      <c r="E62" s="825"/>
      <c r="F62" s="825"/>
      <c r="G62" s="775"/>
    </row>
    <row r="63" spans="2:14" ht="11.25" customHeight="1">
      <c r="B63" s="766" t="s">
        <v>584</v>
      </c>
      <c r="C63" s="768"/>
      <c r="D63" s="842"/>
      <c r="E63" s="825"/>
      <c r="F63" s="825"/>
      <c r="G63" s="775"/>
    </row>
    <row r="64" spans="2:14" s="761" customFormat="1" ht="11.25" customHeight="1">
      <c r="C64" s="775"/>
      <c r="D64" s="844"/>
      <c r="E64" s="845"/>
      <c r="F64" s="845"/>
      <c r="G64" s="775"/>
      <c r="K64" s="764"/>
      <c r="L64" s="764"/>
      <c r="N64" s="766"/>
    </row>
    <row r="65" spans="2:14" ht="11.25" customHeight="1">
      <c r="B65" s="807" t="s">
        <v>82</v>
      </c>
      <c r="C65" s="768"/>
      <c r="D65" s="842"/>
      <c r="E65" s="825"/>
      <c r="F65" s="825"/>
      <c r="G65" s="768"/>
    </row>
    <row r="66" spans="2:14" ht="11.25" customHeight="1">
      <c r="B66" s="782" t="s">
        <v>41</v>
      </c>
      <c r="C66" s="768" t="s">
        <v>42</v>
      </c>
      <c r="D66" s="846">
        <v>4400</v>
      </c>
      <c r="E66" s="791">
        <v>2018</v>
      </c>
      <c r="J66" s="847"/>
      <c r="K66" s="848"/>
    </row>
    <row r="67" spans="2:14" ht="11.25" customHeight="1">
      <c r="D67" s="849"/>
      <c r="G67" s="768"/>
      <c r="K67" s="766"/>
      <c r="L67" s="766"/>
    </row>
    <row r="68" spans="2:14" ht="11.25" customHeight="1">
      <c r="B68" s="807" t="s">
        <v>83</v>
      </c>
      <c r="D68" s="849"/>
      <c r="G68" s="768"/>
      <c r="I68" s="448"/>
      <c r="J68" s="448"/>
      <c r="K68" s="448"/>
      <c r="L68" s="448"/>
      <c r="M68" s="448"/>
    </row>
    <row r="69" spans="2:14" ht="11.25" customHeight="1">
      <c r="B69" s="1474" t="s">
        <v>69</v>
      </c>
      <c r="C69" s="802" t="s">
        <v>44</v>
      </c>
      <c r="D69" s="802" t="s">
        <v>3</v>
      </c>
      <c r="E69" s="802" t="s">
        <v>19</v>
      </c>
      <c r="F69" s="1474" t="s">
        <v>980</v>
      </c>
      <c r="G69" s="798"/>
      <c r="H69" s="798"/>
      <c r="I69" s="766" t="s">
        <v>981</v>
      </c>
      <c r="K69" s="850">
        <v>1</v>
      </c>
      <c r="L69" s="448"/>
      <c r="M69" s="448"/>
      <c r="N69" s="448"/>
    </row>
    <row r="70" spans="2:14" ht="11.25" customHeight="1">
      <c r="B70" s="1475"/>
      <c r="C70" s="802" t="s">
        <v>48</v>
      </c>
      <c r="D70" s="802" t="s">
        <v>63</v>
      </c>
      <c r="E70" s="802" t="s">
        <v>50</v>
      </c>
      <c r="F70" s="1475"/>
      <c r="G70" s="798"/>
      <c r="H70" s="798"/>
      <c r="I70" s="448"/>
      <c r="J70" s="448"/>
      <c r="K70" s="448"/>
      <c r="L70" s="448"/>
      <c r="M70" s="448"/>
      <c r="N70" s="448"/>
    </row>
    <row r="71" spans="2:14" ht="11.25" customHeight="1">
      <c r="B71" s="851" t="s">
        <v>72</v>
      </c>
      <c r="C71" s="852">
        <v>63854.495999999999</v>
      </c>
      <c r="D71" s="852">
        <v>125049.88800000001</v>
      </c>
      <c r="E71" s="852">
        <v>459120.288</v>
      </c>
      <c r="F71" s="853">
        <v>110988.07332623824</v>
      </c>
      <c r="G71" s="854"/>
      <c r="H71" s="855"/>
      <c r="I71" s="855"/>
      <c r="M71" s="771"/>
    </row>
    <row r="72" spans="2:14" ht="11.25" customHeight="1">
      <c r="B72" s="815"/>
      <c r="C72" s="856"/>
      <c r="D72" s="815"/>
      <c r="E72" s="815"/>
      <c r="F72" s="815"/>
      <c r="G72" s="798"/>
      <c r="H72" s="857"/>
      <c r="I72" s="857"/>
    </row>
    <row r="73" spans="2:14" ht="11.25" customHeight="1">
      <c r="B73" s="1472" t="s">
        <v>84</v>
      </c>
      <c r="C73" s="802" t="s">
        <v>44</v>
      </c>
      <c r="D73" s="802" t="s">
        <v>3</v>
      </c>
      <c r="E73" s="802" t="s">
        <v>19</v>
      </c>
      <c r="F73" s="1474" t="s">
        <v>980</v>
      </c>
      <c r="G73" s="798"/>
      <c r="H73" s="857"/>
      <c r="I73" s="857"/>
    </row>
    <row r="74" spans="2:14" ht="11.25" customHeight="1">
      <c r="B74" s="1473"/>
      <c r="C74" s="802" t="s">
        <v>48</v>
      </c>
      <c r="D74" s="802" t="s">
        <v>63</v>
      </c>
      <c r="E74" s="802" t="s">
        <v>50</v>
      </c>
      <c r="F74" s="1475"/>
      <c r="G74" s="798"/>
      <c r="H74" s="857"/>
      <c r="I74" s="857"/>
    </row>
    <row r="75" spans="2:14" ht="11.25" customHeight="1">
      <c r="B75" s="851" t="s">
        <v>72</v>
      </c>
      <c r="C75" s="852">
        <v>35918.154000000002</v>
      </c>
      <c r="D75" s="852">
        <v>70340.561999999991</v>
      </c>
      <c r="E75" s="852">
        <v>258255.16200000001</v>
      </c>
      <c r="F75" s="853">
        <v>62430.791246009008</v>
      </c>
      <c r="G75" s="798"/>
      <c r="H75" s="855"/>
      <c r="I75" s="855"/>
    </row>
    <row r="76" spans="2:14" ht="11.25" customHeight="1">
      <c r="B76" s="815"/>
      <c r="C76" s="815"/>
      <c r="D76" s="815"/>
      <c r="E76" s="815"/>
      <c r="F76" s="815"/>
      <c r="G76" s="798"/>
      <c r="H76" s="857"/>
      <c r="I76" s="857"/>
    </row>
    <row r="77" spans="2:14" ht="11.25" customHeight="1">
      <c r="B77" s="1472" t="s">
        <v>85</v>
      </c>
      <c r="C77" s="802" t="s">
        <v>44</v>
      </c>
      <c r="D77" s="802" t="s">
        <v>3</v>
      </c>
      <c r="E77" s="802" t="s">
        <v>19</v>
      </c>
      <c r="F77" s="1474" t="s">
        <v>980</v>
      </c>
      <c r="G77" s="798"/>
      <c r="H77" s="857"/>
      <c r="I77" s="857"/>
    </row>
    <row r="78" spans="2:14" ht="11.25" customHeight="1">
      <c r="B78" s="1473"/>
      <c r="C78" s="802" t="s">
        <v>48</v>
      </c>
      <c r="D78" s="802" t="s">
        <v>63</v>
      </c>
      <c r="E78" s="802" t="s">
        <v>50</v>
      </c>
      <c r="F78" s="1475"/>
      <c r="G78" s="798"/>
      <c r="H78" s="857"/>
      <c r="I78" s="857"/>
    </row>
    <row r="79" spans="2:14" ht="11.25" customHeight="1">
      <c r="B79" s="851" t="s">
        <v>72</v>
      </c>
      <c r="C79" s="852">
        <v>89130.233999999997</v>
      </c>
      <c r="D79" s="852">
        <v>174548.802</v>
      </c>
      <c r="E79" s="852">
        <v>640855.402</v>
      </c>
      <c r="F79" s="853">
        <v>154920.85235120752</v>
      </c>
      <c r="G79" s="798"/>
      <c r="H79" s="855"/>
      <c r="I79" s="855"/>
    </row>
    <row r="80" spans="2:14" ht="11.25" customHeight="1">
      <c r="B80" s="798" t="s">
        <v>86</v>
      </c>
      <c r="C80" s="798"/>
      <c r="D80" s="798"/>
      <c r="E80" s="798"/>
      <c r="F80" s="798"/>
      <c r="G80" s="798"/>
      <c r="H80" s="798"/>
      <c r="I80" s="798"/>
    </row>
    <row r="81" spans="1:12" ht="11.25" customHeight="1">
      <c r="B81" s="766" t="s">
        <v>87</v>
      </c>
      <c r="D81" s="849"/>
      <c r="G81" s="768"/>
    </row>
    <row r="82" spans="1:12" ht="11.25" customHeight="1">
      <c r="B82" s="858" t="s">
        <v>982</v>
      </c>
      <c r="D82" s="849"/>
      <c r="G82" s="768"/>
    </row>
    <row r="83" spans="1:12" ht="11.25" customHeight="1">
      <c r="B83" s="858"/>
      <c r="D83" s="849"/>
      <c r="G83" s="768"/>
    </row>
    <row r="84" spans="1:12" s="862" customFormat="1" ht="11.25" customHeight="1">
      <c r="A84" s="759"/>
      <c r="B84" s="859" t="s">
        <v>4</v>
      </c>
      <c r="C84" s="860"/>
      <c r="D84" s="860"/>
      <c r="E84" s="860"/>
      <c r="F84" s="860"/>
      <c r="G84" s="861"/>
      <c r="K84" s="863"/>
      <c r="L84" s="863"/>
    </row>
    <row r="85" spans="1:12" ht="11.25" customHeight="1">
      <c r="B85" s="761"/>
    </row>
    <row r="86" spans="1:12" ht="11.25" customHeight="1">
      <c r="B86" s="767" t="s">
        <v>88</v>
      </c>
    </row>
    <row r="87" spans="1:12" ht="11.25" customHeight="1">
      <c r="B87" s="782" t="s">
        <v>89</v>
      </c>
    </row>
    <row r="88" spans="1:12" ht="11.25" customHeight="1">
      <c r="B88" s="782" t="s">
        <v>90</v>
      </c>
    </row>
    <row r="89" spans="1:12" ht="11.25" customHeight="1">
      <c r="B89" s="782" t="s">
        <v>1071</v>
      </c>
    </row>
    <row r="90" spans="1:12" ht="11.25" customHeight="1">
      <c r="B90" s="782" t="s">
        <v>91</v>
      </c>
    </row>
    <row r="91" spans="1:12" ht="11.25" customHeight="1">
      <c r="B91" s="782"/>
    </row>
    <row r="92" spans="1:12" ht="11.25" customHeight="1">
      <c r="B92" s="767" t="s">
        <v>92</v>
      </c>
    </row>
    <row r="93" spans="1:12" ht="11.25" customHeight="1"/>
    <row r="94" spans="1:12" ht="11.25" customHeight="1">
      <c r="B94" s="841" t="s">
        <v>93</v>
      </c>
    </row>
    <row r="95" spans="1:12" ht="11.25" customHeight="1">
      <c r="B95" s="841"/>
    </row>
    <row r="96" spans="1:12" ht="11.25" customHeight="1">
      <c r="B96" s="767" t="s">
        <v>94</v>
      </c>
    </row>
    <row r="97" spans="2:5" ht="11.25" customHeight="1">
      <c r="B97" s="766" t="s">
        <v>33</v>
      </c>
      <c r="C97" s="766" t="s">
        <v>95</v>
      </c>
    </row>
    <row r="98" spans="2:5" ht="11.25" customHeight="1">
      <c r="B98" s="766" t="s">
        <v>35</v>
      </c>
      <c r="C98" s="766" t="s">
        <v>96</v>
      </c>
    </row>
    <row r="99" spans="2:5" ht="11.25" customHeight="1">
      <c r="B99" s="766" t="s">
        <v>36</v>
      </c>
      <c r="C99" s="766" t="s">
        <v>97</v>
      </c>
    </row>
    <row r="100" spans="2:5" ht="11.25" customHeight="1">
      <c r="B100" s="766" t="s">
        <v>37</v>
      </c>
      <c r="C100" s="766" t="s">
        <v>98</v>
      </c>
    </row>
    <row r="101" spans="2:5" ht="11.25" customHeight="1">
      <c r="B101" s="766" t="s">
        <v>38</v>
      </c>
      <c r="C101" s="766" t="s">
        <v>99</v>
      </c>
    </row>
    <row r="102" spans="2:5" ht="11.25" customHeight="1">
      <c r="B102" s="766" t="s">
        <v>100</v>
      </c>
    </row>
    <row r="103" spans="2:5" ht="11.25" customHeight="1">
      <c r="B103" s="810" t="s">
        <v>101</v>
      </c>
    </row>
    <row r="104" spans="2:5" ht="11.25" customHeight="1"/>
    <row r="105" spans="2:5" ht="11.25" customHeight="1">
      <c r="B105" s="766" t="s">
        <v>102</v>
      </c>
    </row>
    <row r="106" spans="2:5" ht="11.25" customHeight="1">
      <c r="B106" s="767" t="s">
        <v>103</v>
      </c>
    </row>
    <row r="107" spans="2:5" ht="11.25" customHeight="1">
      <c r="B107" s="864"/>
      <c r="C107" s="865" t="s">
        <v>104</v>
      </c>
      <c r="D107" s="865" t="s">
        <v>105</v>
      </c>
      <c r="E107" s="865" t="s">
        <v>106</v>
      </c>
    </row>
    <row r="108" spans="2:5" ht="11.25" customHeight="1">
      <c r="B108" s="866" t="s">
        <v>107</v>
      </c>
      <c r="C108" s="867">
        <v>1</v>
      </c>
      <c r="D108" s="867">
        <v>1</v>
      </c>
      <c r="E108" s="867">
        <v>1</v>
      </c>
    </row>
    <row r="109" spans="2:5" ht="11.25" customHeight="1">
      <c r="B109" s="866" t="s">
        <v>108</v>
      </c>
      <c r="C109" s="867">
        <v>2.3779999999999999E-2</v>
      </c>
      <c r="D109" s="867">
        <v>1.5259999999999999E-2</v>
      </c>
      <c r="E109" s="867">
        <v>1.0059999999999999E-2</v>
      </c>
    </row>
    <row r="110" spans="2:5" ht="11.25" customHeight="1">
      <c r="B110" s="866" t="s">
        <v>109</v>
      </c>
      <c r="C110" s="867">
        <v>6.8599999999999998E-3</v>
      </c>
      <c r="D110" s="867">
        <v>4.4200000000000003E-3</v>
      </c>
      <c r="E110" s="867">
        <v>3.2599999999999999E-3</v>
      </c>
    </row>
    <row r="111" spans="2:5" ht="11.25" customHeight="1">
      <c r="B111" s="866" t="s">
        <v>110</v>
      </c>
      <c r="C111" s="867">
        <v>5.0299999999999997E-3</v>
      </c>
      <c r="D111" s="867">
        <v>3.79E-3</v>
      </c>
      <c r="E111" s="867">
        <v>1.82E-3</v>
      </c>
    </row>
    <row r="112" spans="2:5" ht="11.25" customHeight="1">
      <c r="B112" s="866" t="s">
        <v>111</v>
      </c>
      <c r="C112" s="867">
        <v>1.9599999999999999E-3</v>
      </c>
      <c r="D112" s="867">
        <v>2.3999999999999998E-3</v>
      </c>
      <c r="E112" s="867">
        <v>6.4000000000000005E-4</v>
      </c>
    </row>
    <row r="113" spans="2:6" ht="11.25" customHeight="1">
      <c r="B113" s="866" t="s">
        <v>112</v>
      </c>
      <c r="C113" s="867">
        <v>5.77E-3</v>
      </c>
      <c r="D113" s="867">
        <v>1.048E-2</v>
      </c>
      <c r="E113" s="867">
        <v>2.8999999999999998E-3</v>
      </c>
    </row>
    <row r="114" spans="2:6" ht="11.25" customHeight="1">
      <c r="B114" s="766" t="s">
        <v>113</v>
      </c>
    </row>
    <row r="115" spans="2:6" ht="11.25" customHeight="1"/>
    <row r="116" spans="2:6" ht="11.25" customHeight="1"/>
    <row r="117" spans="2:6" s="869" customFormat="1" ht="11.25" customHeight="1">
      <c r="B117" s="868" t="s">
        <v>114</v>
      </c>
    </row>
    <row r="118" spans="2:6" ht="11.25" customHeight="1">
      <c r="B118" s="766" t="s">
        <v>115</v>
      </c>
    </row>
    <row r="119" spans="2:6" ht="11.25" customHeight="1">
      <c r="B119" s="766" t="s">
        <v>116</v>
      </c>
    </row>
    <row r="120" spans="2:6" ht="11.25" customHeight="1">
      <c r="B120" s="766" t="s">
        <v>117</v>
      </c>
    </row>
    <row r="121" spans="2:6" ht="11.25" customHeight="1"/>
    <row r="122" spans="2:6" ht="11.25" customHeight="1">
      <c r="B122" s="767" t="s">
        <v>118</v>
      </c>
    </row>
    <row r="123" spans="2:6" ht="11.25" customHeight="1">
      <c r="B123" s="767" t="s">
        <v>119</v>
      </c>
    </row>
    <row r="124" spans="2:6" ht="11.25" customHeight="1">
      <c r="B124" s="864" t="s">
        <v>120</v>
      </c>
      <c r="C124" s="870" t="s">
        <v>23</v>
      </c>
      <c r="D124" s="870" t="s">
        <v>121</v>
      </c>
      <c r="E124" s="870" t="s">
        <v>122</v>
      </c>
      <c r="F124" s="870" t="s">
        <v>21</v>
      </c>
    </row>
    <row r="125" spans="2:6" ht="11.25" customHeight="1">
      <c r="B125" s="866" t="s">
        <v>123</v>
      </c>
      <c r="C125" s="871">
        <v>1.0900000000000001</v>
      </c>
      <c r="D125" s="871">
        <v>1.08</v>
      </c>
      <c r="E125" s="871">
        <v>1.1399999999999999</v>
      </c>
      <c r="F125" s="871">
        <v>1.1100000000000001</v>
      </c>
    </row>
    <row r="126" spans="2:6" ht="11.25" customHeight="1">
      <c r="F126" s="767"/>
    </row>
    <row r="127" spans="2:6" ht="11.25" customHeight="1">
      <c r="B127" s="767" t="s">
        <v>124</v>
      </c>
      <c r="F127" s="767"/>
    </row>
    <row r="128" spans="2:6" ht="11.25" customHeight="1">
      <c r="B128" s="767" t="s">
        <v>119</v>
      </c>
      <c r="F128" s="767"/>
    </row>
    <row r="129" spans="2:6" ht="11.25" customHeight="1">
      <c r="B129" s="864" t="s">
        <v>120</v>
      </c>
      <c r="C129" s="870" t="s">
        <v>23</v>
      </c>
      <c r="D129" s="870" t="s">
        <v>121</v>
      </c>
      <c r="E129" s="870" t="s">
        <v>122</v>
      </c>
      <c r="F129" s="870" t="s">
        <v>21</v>
      </c>
    </row>
    <row r="130" spans="2:6" ht="11.25" customHeight="1">
      <c r="B130" s="866" t="s">
        <v>123</v>
      </c>
      <c r="C130" s="871">
        <v>0.81</v>
      </c>
      <c r="D130" s="871">
        <v>0.82</v>
      </c>
      <c r="E130" s="871">
        <v>1.1200000000000001</v>
      </c>
      <c r="F130" s="871">
        <v>0.95</v>
      </c>
    </row>
    <row r="131" spans="2:6" ht="11.25" customHeight="1">
      <c r="B131" s="866" t="s">
        <v>125</v>
      </c>
      <c r="C131" s="871">
        <v>1.44</v>
      </c>
      <c r="D131" s="871">
        <v>1.43</v>
      </c>
      <c r="E131" s="872">
        <v>1.5</v>
      </c>
      <c r="F131" s="871">
        <v>1.44</v>
      </c>
    </row>
    <row r="132" spans="2:6" ht="11.25" customHeight="1">
      <c r="F132" s="767"/>
    </row>
    <row r="133" spans="2:6" ht="11.25" customHeight="1">
      <c r="B133" s="767" t="s">
        <v>126</v>
      </c>
      <c r="F133" s="767"/>
    </row>
    <row r="134" spans="2:6" ht="11.25" customHeight="1">
      <c r="B134" s="767" t="s">
        <v>119</v>
      </c>
      <c r="F134" s="767"/>
    </row>
    <row r="135" spans="2:6" ht="11.25" customHeight="1">
      <c r="B135" s="864" t="s">
        <v>120</v>
      </c>
      <c r="C135" s="870" t="s">
        <v>23</v>
      </c>
      <c r="D135" s="870" t="s">
        <v>121</v>
      </c>
      <c r="E135" s="870" t="s">
        <v>122</v>
      </c>
      <c r="F135" s="870" t="s">
        <v>21</v>
      </c>
    </row>
    <row r="136" spans="2:6" ht="11.25" customHeight="1">
      <c r="B136" s="866" t="s">
        <v>123</v>
      </c>
      <c r="C136" s="872">
        <v>1.51</v>
      </c>
      <c r="D136" s="872">
        <v>1.69</v>
      </c>
      <c r="E136" s="872">
        <v>1.58</v>
      </c>
      <c r="F136" s="872">
        <v>1.63</v>
      </c>
    </row>
    <row r="137" spans="2:6" ht="11.25" customHeight="1">
      <c r="B137" s="866" t="s">
        <v>125</v>
      </c>
      <c r="C137" s="872">
        <v>1.82</v>
      </c>
      <c r="D137" s="872">
        <v>2.1</v>
      </c>
      <c r="E137" s="872">
        <v>1.59</v>
      </c>
      <c r="F137" s="872">
        <v>1.99</v>
      </c>
    </row>
    <row r="138" spans="2:6" ht="11.25" customHeight="1">
      <c r="B138" s="866" t="s">
        <v>127</v>
      </c>
      <c r="C138" s="872">
        <v>1.8</v>
      </c>
      <c r="D138" s="872">
        <v>2.0299999999999998</v>
      </c>
      <c r="E138" s="872">
        <v>1.59</v>
      </c>
      <c r="F138" s="872">
        <v>1.96</v>
      </c>
    </row>
    <row r="139" spans="2:6" ht="11.25" customHeight="1">
      <c r="F139" s="767"/>
    </row>
    <row r="140" spans="2:6" ht="11.25" customHeight="1">
      <c r="B140" s="873" t="s">
        <v>983</v>
      </c>
    </row>
    <row r="141" spans="2:6" ht="11.25" customHeight="1"/>
    <row r="142" spans="2:6" ht="11.25" customHeight="1">
      <c r="B142" s="858"/>
    </row>
    <row r="143" spans="2:6" ht="11.25" customHeight="1"/>
    <row r="144" spans="2:6" ht="11.25" customHeight="1"/>
  </sheetData>
  <mergeCells count="8">
    <mergeCell ref="B77:B78"/>
    <mergeCell ref="F77:F78"/>
    <mergeCell ref="H5:H13"/>
    <mergeCell ref="I5:I13"/>
    <mergeCell ref="B69:B70"/>
    <mergeCell ref="F69:F70"/>
    <mergeCell ref="B73:B74"/>
    <mergeCell ref="F73:F7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theme="8" tint="0.79998168889431442"/>
  </sheetPr>
  <dimension ref="A1:P93"/>
  <sheetViews>
    <sheetView topLeftCell="A45" workbookViewId="0">
      <selection activeCell="D82" sqref="D82"/>
    </sheetView>
  </sheetViews>
  <sheetFormatPr defaultColWidth="9" defaultRowHeight="10"/>
  <cols>
    <col min="1" max="1" width="0.83203125" style="903" customWidth="1"/>
    <col min="2" max="2" width="51.25" style="1007" customWidth="1"/>
    <col min="3" max="5" width="10.58203125" style="905" customWidth="1"/>
    <col min="6" max="6" width="11.58203125" style="906" customWidth="1"/>
    <col min="7" max="7" width="12.33203125" style="907" customWidth="1"/>
    <col min="8" max="8" width="37" style="908" customWidth="1"/>
    <col min="9" max="9" width="23.33203125" style="908" customWidth="1"/>
    <col min="10" max="10" width="14.75" style="909" customWidth="1"/>
    <col min="11" max="11" width="9" style="910" customWidth="1"/>
    <col min="12" max="13" width="9" style="909"/>
    <col min="14" max="14" width="9" style="903"/>
    <col min="15" max="16" width="3.83203125" style="903" customWidth="1"/>
    <col min="17" max="16384" width="9" style="903"/>
  </cols>
  <sheetData>
    <row r="1" spans="1:16" s="882" customFormat="1" ht="13">
      <c r="A1" s="874" t="s">
        <v>158</v>
      </c>
      <c r="B1" s="875"/>
      <c r="C1" s="876"/>
      <c r="D1" s="876"/>
      <c r="E1" s="876"/>
      <c r="F1" s="877"/>
      <c r="G1" s="878"/>
      <c r="H1" s="879"/>
      <c r="I1" s="879"/>
      <c r="J1" s="880"/>
      <c r="K1" s="881"/>
      <c r="L1" s="880"/>
      <c r="M1" s="880"/>
    </row>
    <row r="2" spans="1:16" s="883" customFormat="1" ht="10.5">
      <c r="B2" s="884"/>
      <c r="C2" s="885" t="s">
        <v>159</v>
      </c>
      <c r="D2" s="885" t="s">
        <v>27</v>
      </c>
      <c r="E2" s="885" t="s">
        <v>28</v>
      </c>
      <c r="F2" s="886" t="s">
        <v>29</v>
      </c>
      <c r="G2" s="887" t="s">
        <v>4</v>
      </c>
      <c r="H2" s="888" t="s">
        <v>1</v>
      </c>
      <c r="I2" s="889" t="s">
        <v>30</v>
      </c>
      <c r="K2" s="890"/>
    </row>
    <row r="3" spans="1:16" s="891" customFormat="1" ht="10.5">
      <c r="B3" s="892"/>
      <c r="C3" s="893"/>
      <c r="D3" s="893"/>
      <c r="E3" s="893"/>
      <c r="F3" s="894"/>
      <c r="G3" s="895"/>
      <c r="H3" s="896"/>
      <c r="I3" s="897"/>
      <c r="K3" s="898"/>
    </row>
    <row r="4" spans="1:16" s="899" customFormat="1" ht="10.5">
      <c r="B4" s="900" t="s">
        <v>984</v>
      </c>
      <c r="G4" s="901"/>
      <c r="H4" s="901"/>
      <c r="I4" s="901"/>
      <c r="J4" s="902"/>
    </row>
    <row r="5" spans="1:16" s="899" customFormat="1">
      <c r="B5" s="899" t="s">
        <v>985</v>
      </c>
      <c r="G5" s="901"/>
      <c r="H5" s="901"/>
      <c r="I5" s="901"/>
      <c r="J5" s="902"/>
    </row>
    <row r="6" spans="1:16" ht="10.5">
      <c r="B6" s="904"/>
    </row>
    <row r="7" spans="1:16" ht="10.5">
      <c r="B7" s="911" t="s">
        <v>160</v>
      </c>
    </row>
    <row r="8" spans="1:16" ht="10.5">
      <c r="B8" s="912" t="s">
        <v>161</v>
      </c>
      <c r="D8" s="913"/>
      <c r="I8" s="914"/>
      <c r="J8" s="915"/>
      <c r="K8" s="915"/>
    </row>
    <row r="9" spans="1:16" ht="10.5">
      <c r="B9" s="916" t="s">
        <v>162</v>
      </c>
      <c r="C9" s="917">
        <v>14.8</v>
      </c>
      <c r="D9" s="918">
        <v>10.347967479674796</v>
      </c>
      <c r="E9" s="918">
        <v>17.68780487804878</v>
      </c>
      <c r="F9" s="919">
        <v>2017</v>
      </c>
      <c r="H9" s="1478" t="s">
        <v>367</v>
      </c>
      <c r="I9" s="1479" t="s">
        <v>570</v>
      </c>
      <c r="J9" s="915"/>
      <c r="K9" s="915"/>
      <c r="L9" s="920">
        <v>12.3</v>
      </c>
      <c r="M9" s="920">
        <v>8.6</v>
      </c>
      <c r="N9" s="920">
        <v>14.7</v>
      </c>
      <c r="O9" s="921">
        <v>0.69918699186991862</v>
      </c>
      <c r="P9" s="921">
        <v>1.1951219512195121</v>
      </c>
    </row>
    <row r="10" spans="1:16">
      <c r="B10" s="916" t="s">
        <v>163</v>
      </c>
      <c r="C10" s="917">
        <v>26.5</v>
      </c>
      <c r="D10" s="918">
        <v>21.221991701244811</v>
      </c>
      <c r="E10" s="918">
        <v>31.88796680497925</v>
      </c>
      <c r="F10" s="922">
        <v>2017</v>
      </c>
      <c r="H10" s="1478"/>
      <c r="I10" s="1479"/>
      <c r="L10" s="920">
        <v>24.1</v>
      </c>
      <c r="M10" s="920">
        <v>19.3</v>
      </c>
      <c r="N10" s="920">
        <v>29</v>
      </c>
      <c r="O10" s="921">
        <v>0.80082987551867213</v>
      </c>
      <c r="P10" s="921">
        <v>1.2033195020746887</v>
      </c>
    </row>
    <row r="11" spans="1:16">
      <c r="B11" s="916" t="s">
        <v>164</v>
      </c>
      <c r="C11" s="917">
        <v>16.100000000000001</v>
      </c>
      <c r="D11" s="918">
        <v>11.446093749999999</v>
      </c>
      <c r="E11" s="918">
        <v>19.370312500000001</v>
      </c>
      <c r="F11" s="922">
        <v>2017</v>
      </c>
      <c r="H11" s="1478"/>
      <c r="I11" s="1479"/>
      <c r="L11" s="920">
        <v>12.8</v>
      </c>
      <c r="M11" s="920">
        <v>9.1</v>
      </c>
      <c r="N11" s="920">
        <v>15.4</v>
      </c>
      <c r="O11" s="921">
        <v>0.71093749999999989</v>
      </c>
      <c r="P11" s="921">
        <v>1.203125</v>
      </c>
    </row>
    <row r="12" spans="1:16" ht="10.5">
      <c r="B12" s="923" t="s">
        <v>165</v>
      </c>
      <c r="C12" s="924"/>
      <c r="D12" s="924"/>
      <c r="E12" s="924"/>
      <c r="H12" s="1478"/>
      <c r="I12" s="1479"/>
      <c r="L12" s="925"/>
      <c r="M12" s="925"/>
      <c r="N12" s="925"/>
    </row>
    <row r="13" spans="1:16">
      <c r="B13" s="926" t="s">
        <v>162</v>
      </c>
      <c r="C13" s="924"/>
      <c r="D13" s="924"/>
      <c r="E13" s="924"/>
      <c r="F13" s="927"/>
      <c r="H13" s="1478"/>
      <c r="I13" s="1479"/>
      <c r="L13" s="925"/>
      <c r="M13" s="925"/>
      <c r="N13" s="925"/>
    </row>
    <row r="14" spans="1:16">
      <c r="B14" s="928" t="s">
        <v>166</v>
      </c>
      <c r="C14" s="917">
        <v>19</v>
      </c>
      <c r="D14" s="918">
        <v>16.238372093023255</v>
      </c>
      <c r="E14" s="918">
        <v>24.412790697674421</v>
      </c>
      <c r="F14" s="922">
        <v>2016</v>
      </c>
      <c r="H14" s="1478"/>
      <c r="I14" s="1479"/>
      <c r="L14" s="920">
        <v>17.2</v>
      </c>
      <c r="M14" s="920">
        <v>14.7</v>
      </c>
      <c r="N14" s="920">
        <v>22.1</v>
      </c>
      <c r="O14" s="921">
        <v>0.85465116279069764</v>
      </c>
      <c r="P14" s="921">
        <v>1.2848837209302326</v>
      </c>
    </row>
    <row r="15" spans="1:16">
      <c r="B15" s="928" t="s">
        <v>167</v>
      </c>
      <c r="C15" s="917">
        <v>36.1</v>
      </c>
      <c r="D15" s="918">
        <v>31.006134969325153</v>
      </c>
      <c r="E15" s="918">
        <v>46.398466257668709</v>
      </c>
      <c r="F15" s="922">
        <v>2016</v>
      </c>
      <c r="H15" s="1478"/>
      <c r="I15" s="1479"/>
      <c r="L15" s="920">
        <v>32.6</v>
      </c>
      <c r="M15" s="920">
        <v>28</v>
      </c>
      <c r="N15" s="920">
        <v>41.9</v>
      </c>
      <c r="O15" s="921">
        <v>0.85889570552147232</v>
      </c>
      <c r="P15" s="921">
        <v>1.2852760736196318</v>
      </c>
    </row>
    <row r="16" spans="1:16">
      <c r="B16" s="926" t="s">
        <v>163</v>
      </c>
      <c r="C16" s="924"/>
      <c r="D16" s="924"/>
      <c r="E16" s="924"/>
      <c r="F16" s="927"/>
      <c r="G16" s="929"/>
      <c r="H16" s="1478"/>
      <c r="I16" s="1479"/>
      <c r="L16" s="925"/>
      <c r="M16" s="925"/>
      <c r="N16" s="925"/>
    </row>
    <row r="17" spans="1:16">
      <c r="B17" s="928" t="s">
        <v>166</v>
      </c>
      <c r="C17" s="917">
        <v>25.4</v>
      </c>
      <c r="D17" s="918">
        <v>20.341078838174273</v>
      </c>
      <c r="E17" s="918">
        <v>30.564315352697093</v>
      </c>
      <c r="F17" s="922">
        <v>2016</v>
      </c>
      <c r="H17" s="1478"/>
      <c r="I17" s="1479"/>
      <c r="L17" s="920">
        <v>24.1</v>
      </c>
      <c r="M17" s="920">
        <v>19.3</v>
      </c>
      <c r="N17" s="920">
        <v>29</v>
      </c>
      <c r="O17" s="921">
        <v>0.80082987551867213</v>
      </c>
      <c r="P17" s="921">
        <v>1.2033195020746887</v>
      </c>
    </row>
    <row r="18" spans="1:16">
      <c r="B18" s="928" t="s">
        <v>167</v>
      </c>
      <c r="C18" s="917">
        <v>63.2</v>
      </c>
      <c r="D18" s="918">
        <v>50.56</v>
      </c>
      <c r="E18" s="918">
        <v>75.84</v>
      </c>
      <c r="F18" s="922">
        <v>2016</v>
      </c>
      <c r="H18" s="1478"/>
      <c r="I18" s="1479"/>
      <c r="L18" s="920">
        <v>60</v>
      </c>
      <c r="M18" s="920">
        <v>48</v>
      </c>
      <c r="N18" s="920">
        <v>72</v>
      </c>
      <c r="O18" s="921">
        <v>0.8</v>
      </c>
      <c r="P18" s="921">
        <v>1.2</v>
      </c>
    </row>
    <row r="19" spans="1:16">
      <c r="B19" s="926" t="s">
        <v>164</v>
      </c>
      <c r="C19" s="924"/>
      <c r="D19" s="924"/>
      <c r="E19" s="924"/>
      <c r="F19" s="922"/>
      <c r="H19" s="1478"/>
      <c r="I19" s="1479"/>
      <c r="L19" s="930"/>
      <c r="M19" s="931"/>
      <c r="N19" s="931"/>
    </row>
    <row r="20" spans="1:16">
      <c r="B20" s="928" t="s">
        <v>166</v>
      </c>
      <c r="C20" s="917">
        <v>20.399999999999999</v>
      </c>
      <c r="D20" s="918">
        <v>17.127272727272725</v>
      </c>
      <c r="E20" s="918">
        <v>25.745454545454546</v>
      </c>
      <c r="F20" s="922">
        <v>2016</v>
      </c>
      <c r="H20" s="1478"/>
      <c r="I20" s="1479"/>
      <c r="L20" s="920">
        <v>18.7</v>
      </c>
      <c r="M20" s="920">
        <v>15.7</v>
      </c>
      <c r="N20" s="920">
        <v>23.6</v>
      </c>
      <c r="O20" s="921">
        <v>0.83957219251336901</v>
      </c>
      <c r="P20" s="921">
        <v>1.2620320855614975</v>
      </c>
    </row>
    <row r="21" spans="1:16">
      <c r="B21" s="928" t="s">
        <v>167</v>
      </c>
      <c r="C21" s="917">
        <v>47.1</v>
      </c>
      <c r="D21" s="918">
        <v>38.908695652173911</v>
      </c>
      <c r="E21" s="918">
        <v>58.309153318077797</v>
      </c>
      <c r="F21" s="922">
        <v>2016</v>
      </c>
      <c r="H21" s="1478"/>
      <c r="I21" s="1479"/>
      <c r="J21" s="910"/>
      <c r="K21" s="909"/>
      <c r="L21" s="920">
        <v>43.7</v>
      </c>
      <c r="M21" s="920">
        <v>36.1</v>
      </c>
      <c r="N21" s="920">
        <v>54.1</v>
      </c>
      <c r="O21" s="921">
        <v>0.82608695652173914</v>
      </c>
      <c r="P21" s="921">
        <v>1.2379862700228832</v>
      </c>
    </row>
    <row r="22" spans="1:16" ht="10.5">
      <c r="B22" s="923" t="s">
        <v>168</v>
      </c>
      <c r="C22" s="932"/>
      <c r="D22" s="932"/>
      <c r="E22" s="932"/>
      <c r="H22" s="1478"/>
      <c r="I22" s="1479"/>
      <c r="J22" s="910"/>
      <c r="K22" s="909"/>
      <c r="L22" s="933"/>
      <c r="M22" s="931"/>
      <c r="N22" s="931"/>
    </row>
    <row r="23" spans="1:16">
      <c r="B23" s="916" t="s">
        <v>169</v>
      </c>
      <c r="C23" s="917">
        <v>28.6</v>
      </c>
      <c r="D23" s="918">
        <v>22.857480314960632</v>
      </c>
      <c r="E23" s="918">
        <v>34.342519685039377</v>
      </c>
      <c r="F23" s="922">
        <v>2017</v>
      </c>
      <c r="H23" s="1478"/>
      <c r="I23" s="1479"/>
      <c r="L23" s="920">
        <v>25.4</v>
      </c>
      <c r="M23" s="920">
        <v>20.3</v>
      </c>
      <c r="N23" s="920">
        <v>30.5</v>
      </c>
      <c r="O23" s="921">
        <v>0.79921259842519687</v>
      </c>
      <c r="P23" s="921">
        <v>1.2007874015748032</v>
      </c>
    </row>
    <row r="24" spans="1:16">
      <c r="B24" s="916" t="s">
        <v>170</v>
      </c>
      <c r="C24" s="917">
        <v>30</v>
      </c>
      <c r="D24" s="918">
        <v>23.97727272727273</v>
      </c>
      <c r="E24" s="918">
        <v>35.909090909090914</v>
      </c>
      <c r="F24" s="922">
        <v>2017</v>
      </c>
      <c r="H24" s="1478"/>
      <c r="I24" s="1479"/>
      <c r="L24" s="920">
        <v>26.4</v>
      </c>
      <c r="M24" s="920">
        <v>21.1</v>
      </c>
      <c r="N24" s="920">
        <v>31.6</v>
      </c>
      <c r="O24" s="921">
        <v>0.79924242424242431</v>
      </c>
      <c r="P24" s="921">
        <v>1.196969696969697</v>
      </c>
    </row>
    <row r="25" spans="1:16">
      <c r="B25" s="916" t="s">
        <v>171</v>
      </c>
      <c r="C25" s="917">
        <v>48.9</v>
      </c>
      <c r="D25" s="918">
        <v>39.163274336283187</v>
      </c>
      <c r="E25" s="918">
        <v>58.63672566371681</v>
      </c>
      <c r="F25" s="922">
        <v>2017</v>
      </c>
      <c r="H25" s="1478"/>
      <c r="I25" s="1479"/>
      <c r="L25" s="920">
        <v>45.2</v>
      </c>
      <c r="M25" s="920">
        <v>36.200000000000003</v>
      </c>
      <c r="N25" s="920">
        <v>54.2</v>
      </c>
      <c r="O25" s="921">
        <v>0.80088495575221241</v>
      </c>
      <c r="P25" s="921">
        <v>1.1991150442477876</v>
      </c>
    </row>
    <row r="26" spans="1:16">
      <c r="B26" s="916" t="s">
        <v>172</v>
      </c>
      <c r="C26" s="917">
        <v>44.9</v>
      </c>
      <c r="D26" s="918">
        <v>35.848541114058357</v>
      </c>
      <c r="E26" s="918">
        <v>53.832360742705568</v>
      </c>
      <c r="F26" s="922">
        <v>2017</v>
      </c>
      <c r="H26" s="1478"/>
      <c r="I26" s="1479"/>
      <c r="L26" s="920">
        <v>37.700000000000003</v>
      </c>
      <c r="M26" s="920">
        <v>30.1</v>
      </c>
      <c r="N26" s="920">
        <v>45.2</v>
      </c>
      <c r="O26" s="921">
        <v>0.79840848806366049</v>
      </c>
      <c r="P26" s="921">
        <v>1.1989389920424403</v>
      </c>
    </row>
    <row r="27" spans="1:16">
      <c r="B27" s="926" t="s">
        <v>173</v>
      </c>
      <c r="C27" s="917">
        <v>94.350000000000009</v>
      </c>
      <c r="D27" s="918">
        <v>75.434143377885789</v>
      </c>
      <c r="E27" s="918">
        <v>113.15121506682868</v>
      </c>
      <c r="F27" s="922">
        <v>2017</v>
      </c>
      <c r="H27" s="1478"/>
      <c r="I27" s="1479"/>
      <c r="L27" s="920">
        <v>82.3</v>
      </c>
      <c r="M27" s="920">
        <v>65.8</v>
      </c>
      <c r="N27" s="920">
        <v>98.7</v>
      </c>
      <c r="O27" s="921">
        <v>0.7995139732685298</v>
      </c>
      <c r="P27" s="921">
        <v>1.1992709599027946</v>
      </c>
    </row>
    <row r="29" spans="1:16" ht="12.5">
      <c r="B29" s="934" t="s">
        <v>986</v>
      </c>
      <c r="C29" s="935"/>
    </row>
    <row r="30" spans="1:16" s="940" customFormat="1" ht="10.5">
      <c r="A30" s="936"/>
      <c r="B30" s="937" t="s">
        <v>969</v>
      </c>
      <c r="C30" s="936"/>
      <c r="D30" s="936"/>
      <c r="E30" s="936"/>
      <c r="F30" s="936"/>
      <c r="G30" s="938"/>
      <c r="H30" s="938"/>
      <c r="I30" s="938"/>
      <c r="J30" s="936"/>
      <c r="K30" s="936"/>
      <c r="L30" s="936"/>
      <c r="M30" s="939"/>
    </row>
    <row r="31" spans="1:16" s="940" customFormat="1" ht="10.5">
      <c r="A31" s="936"/>
      <c r="B31" s="937"/>
      <c r="C31" s="936"/>
      <c r="D31" s="936"/>
      <c r="E31" s="936"/>
      <c r="F31" s="936"/>
      <c r="G31" s="938"/>
      <c r="H31" s="938"/>
      <c r="I31" s="938"/>
      <c r="J31" s="936"/>
      <c r="K31" s="936"/>
      <c r="L31" s="936"/>
      <c r="M31" s="939"/>
    </row>
    <row r="32" spans="1:16" ht="10.5">
      <c r="B32" s="911" t="s">
        <v>160</v>
      </c>
      <c r="H32" s="941"/>
      <c r="I32" s="942"/>
      <c r="J32" s="943"/>
    </row>
    <row r="33" spans="2:14" ht="10.5">
      <c r="B33" s="912" t="s">
        <v>161</v>
      </c>
      <c r="C33" s="944"/>
      <c r="D33" s="913"/>
      <c r="H33" s="942"/>
      <c r="I33" s="945"/>
      <c r="J33" s="946" t="s">
        <v>987</v>
      </c>
      <c r="K33" s="947">
        <v>1.0437000000000001</v>
      </c>
      <c r="M33" s="948">
        <v>4.3700000000000072E-2</v>
      </c>
    </row>
    <row r="34" spans="2:14" ht="10.5">
      <c r="B34" s="916" t="s">
        <v>162</v>
      </c>
      <c r="C34" s="949">
        <v>15.2</v>
      </c>
      <c r="D34" s="949">
        <v>10.627642276422762</v>
      </c>
      <c r="E34" s="949">
        <v>18.165853658536584</v>
      </c>
      <c r="F34" s="919">
        <v>2018</v>
      </c>
      <c r="G34" s="950"/>
      <c r="H34" s="908" t="s">
        <v>988</v>
      </c>
      <c r="I34" s="903"/>
      <c r="J34" s="903"/>
      <c r="K34" s="903"/>
      <c r="L34" s="903"/>
      <c r="M34" s="903"/>
    </row>
    <row r="35" spans="2:14" ht="10.5">
      <c r="B35" s="916" t="s">
        <v>163</v>
      </c>
      <c r="C35" s="949">
        <v>27.1</v>
      </c>
      <c r="D35" s="949">
        <v>21.702489626556016</v>
      </c>
      <c r="E35" s="949">
        <v>32.609958506224068</v>
      </c>
      <c r="F35" s="922">
        <v>2018</v>
      </c>
      <c r="G35" s="950"/>
      <c r="H35" s="908" t="s">
        <v>988</v>
      </c>
    </row>
    <row r="36" spans="2:14" ht="13">
      <c r="B36" s="916" t="s">
        <v>164</v>
      </c>
      <c r="C36" s="949">
        <v>16.600000000000001</v>
      </c>
      <c r="D36" s="949">
        <v>11.801562499999999</v>
      </c>
      <c r="E36" s="949">
        <v>19.971875000000001</v>
      </c>
      <c r="F36" s="922">
        <v>2018</v>
      </c>
      <c r="G36" s="950"/>
      <c r="H36" s="908" t="s">
        <v>988</v>
      </c>
      <c r="I36" s="909"/>
      <c r="J36" s="951"/>
      <c r="K36" s="952"/>
      <c r="M36" s="953"/>
    </row>
    <row r="37" spans="2:14" ht="10.5">
      <c r="B37" s="923" t="s">
        <v>165</v>
      </c>
      <c r="C37" s="949"/>
      <c r="D37" s="949"/>
      <c r="E37" s="949"/>
      <c r="F37" s="922"/>
      <c r="I37" s="903"/>
      <c r="K37" s="954"/>
      <c r="M37" s="955"/>
    </row>
    <row r="38" spans="2:14" ht="10.5">
      <c r="B38" s="926" t="s">
        <v>162</v>
      </c>
      <c r="C38" s="949"/>
      <c r="D38" s="949"/>
      <c r="E38" s="949"/>
      <c r="F38" s="922"/>
      <c r="I38" s="909"/>
      <c r="K38" s="956"/>
      <c r="M38" s="953"/>
    </row>
    <row r="39" spans="2:14" ht="10.5">
      <c r="B39" s="928" t="s">
        <v>166</v>
      </c>
      <c r="C39" s="949">
        <v>21.3</v>
      </c>
      <c r="D39" s="949">
        <v>18.204069767441862</v>
      </c>
      <c r="E39" s="949">
        <v>27.368023255813956</v>
      </c>
      <c r="F39" s="922">
        <v>2018</v>
      </c>
      <c r="G39" s="950"/>
      <c r="H39" s="908" t="s">
        <v>577</v>
      </c>
      <c r="M39" s="955"/>
    </row>
    <row r="40" spans="2:14" ht="10.5">
      <c r="B40" s="928" t="s">
        <v>167</v>
      </c>
      <c r="C40" s="949">
        <v>40.4</v>
      </c>
      <c r="D40" s="949">
        <v>34.69938650306748</v>
      </c>
      <c r="E40" s="949">
        <v>51.925153374233126</v>
      </c>
      <c r="F40" s="922">
        <v>2018</v>
      </c>
      <c r="G40" s="950"/>
      <c r="H40" s="908" t="s">
        <v>988</v>
      </c>
      <c r="I40" s="903"/>
      <c r="J40" s="903"/>
      <c r="K40" s="903"/>
      <c r="L40" s="903"/>
      <c r="M40" s="903"/>
    </row>
    <row r="41" spans="2:14" ht="10.5">
      <c r="B41" s="926" t="s">
        <v>163</v>
      </c>
      <c r="C41" s="949"/>
      <c r="D41" s="949"/>
      <c r="E41" s="949"/>
      <c r="F41" s="922"/>
      <c r="I41" s="903"/>
      <c r="J41" s="903"/>
      <c r="K41" s="903"/>
    </row>
    <row r="42" spans="2:14" ht="10.5">
      <c r="B42" s="928" t="s">
        <v>166</v>
      </c>
      <c r="C42" s="949">
        <v>26.509979999999999</v>
      </c>
      <c r="D42" s="949">
        <v>21.229983983402487</v>
      </c>
      <c r="E42" s="949">
        <v>31.899975933609955</v>
      </c>
      <c r="F42" s="922">
        <v>2018</v>
      </c>
      <c r="H42" s="908" t="s">
        <v>577</v>
      </c>
      <c r="I42" s="903"/>
      <c r="J42" s="903"/>
      <c r="K42" s="903"/>
    </row>
    <row r="43" spans="2:14" ht="10.5">
      <c r="B43" s="928" t="s">
        <v>167</v>
      </c>
      <c r="C43" s="949">
        <v>67.3</v>
      </c>
      <c r="D43" s="949">
        <v>53.84</v>
      </c>
      <c r="E43" s="949">
        <v>80.759999999999991</v>
      </c>
      <c r="F43" s="922">
        <v>2018</v>
      </c>
      <c r="H43" s="908" t="s">
        <v>988</v>
      </c>
      <c r="I43" s="957"/>
      <c r="J43" s="903"/>
      <c r="K43" s="903"/>
    </row>
    <row r="44" spans="2:14" ht="10.5">
      <c r="B44" s="926" t="s">
        <v>164</v>
      </c>
      <c r="C44" s="949"/>
      <c r="D44" s="949"/>
      <c r="E44" s="949"/>
      <c r="F44" s="922"/>
      <c r="I44" s="958"/>
    </row>
    <row r="45" spans="2:14" ht="10.5">
      <c r="B45" s="928" t="s">
        <v>166</v>
      </c>
      <c r="C45" s="949">
        <v>21.3</v>
      </c>
      <c r="D45" s="949">
        <v>17.882887700534759</v>
      </c>
      <c r="E45" s="949">
        <v>26.881283422459898</v>
      </c>
      <c r="F45" s="922">
        <v>2018</v>
      </c>
      <c r="H45" s="908" t="s">
        <v>988</v>
      </c>
    </row>
    <row r="46" spans="2:14" ht="10.5">
      <c r="B46" s="928" t="s">
        <v>167</v>
      </c>
      <c r="C46" s="949">
        <v>49.158270000000002</v>
      </c>
      <c r="D46" s="949">
        <v>40.609005652173913</v>
      </c>
      <c r="E46" s="949">
        <v>60.857263318077798</v>
      </c>
      <c r="F46" s="922">
        <v>2018</v>
      </c>
      <c r="H46" s="908" t="s">
        <v>577</v>
      </c>
      <c r="J46" s="81" t="s">
        <v>989</v>
      </c>
      <c r="K46" s="959">
        <v>1.0437000000000001</v>
      </c>
      <c r="L46" s="953">
        <v>4.3700000000000072E-2</v>
      </c>
    </row>
    <row r="47" spans="2:14" ht="10.5">
      <c r="B47" s="960" t="s">
        <v>168</v>
      </c>
      <c r="C47" s="949"/>
      <c r="D47" s="949"/>
      <c r="E47" s="949"/>
      <c r="F47" s="922"/>
      <c r="L47" s="955"/>
    </row>
    <row r="48" spans="2:14" ht="10.5">
      <c r="B48" s="926" t="s">
        <v>169</v>
      </c>
      <c r="C48" s="949">
        <v>29.5</v>
      </c>
      <c r="D48" s="949">
        <v>23.576771653543307</v>
      </c>
      <c r="E48" s="949">
        <v>35.423228346456696</v>
      </c>
      <c r="F48" s="922">
        <v>2018</v>
      </c>
      <c r="H48" s="908" t="s">
        <v>988</v>
      </c>
      <c r="J48" s="909" t="s">
        <v>174</v>
      </c>
      <c r="K48" s="959">
        <v>1</v>
      </c>
      <c r="L48" s="953">
        <v>0</v>
      </c>
      <c r="N48" s="903">
        <v>0</v>
      </c>
    </row>
    <row r="49" spans="1:14" ht="10.5">
      <c r="B49" s="926" t="s">
        <v>170</v>
      </c>
      <c r="C49" s="949">
        <v>31</v>
      </c>
      <c r="D49" s="949">
        <v>24.776515151515152</v>
      </c>
      <c r="E49" s="949">
        <v>37.106060606060609</v>
      </c>
      <c r="F49" s="922">
        <v>2018</v>
      </c>
      <c r="H49" s="908" t="s">
        <v>988</v>
      </c>
      <c r="K49" s="959"/>
      <c r="L49" s="955"/>
    </row>
    <row r="50" spans="1:14" ht="10.5">
      <c r="B50" s="926" t="s">
        <v>171</v>
      </c>
      <c r="C50" s="949">
        <v>50.2</v>
      </c>
      <c r="D50" s="949">
        <v>40.204424778761066</v>
      </c>
      <c r="E50" s="949">
        <v>60.19557522123894</v>
      </c>
      <c r="F50" s="922">
        <v>2018</v>
      </c>
      <c r="H50" s="908" t="s">
        <v>988</v>
      </c>
      <c r="J50" s="909" t="s">
        <v>175</v>
      </c>
      <c r="K50" s="959">
        <v>1</v>
      </c>
      <c r="L50" s="953">
        <v>0</v>
      </c>
      <c r="N50" s="903">
        <v>0</v>
      </c>
    </row>
    <row r="51" spans="1:14" ht="10.5">
      <c r="B51" s="926" t="s">
        <v>172</v>
      </c>
      <c r="C51" s="949">
        <v>45.7</v>
      </c>
      <c r="D51" s="949">
        <v>36.487267904509288</v>
      </c>
      <c r="E51" s="949">
        <v>54.791511936339525</v>
      </c>
      <c r="F51" s="922">
        <v>2018</v>
      </c>
      <c r="H51" s="908" t="s">
        <v>988</v>
      </c>
      <c r="K51" s="959"/>
      <c r="L51" s="955"/>
    </row>
    <row r="52" spans="1:14" ht="10.5">
      <c r="B52" s="926" t="s">
        <v>173</v>
      </c>
      <c r="C52" s="949">
        <v>98.473095000000015</v>
      </c>
      <c r="D52" s="949">
        <v>78.730615443499403</v>
      </c>
      <c r="E52" s="949">
        <v>118.0959231652491</v>
      </c>
      <c r="F52" s="922">
        <v>2018</v>
      </c>
      <c r="H52" s="908" t="s">
        <v>577</v>
      </c>
    </row>
    <row r="54" spans="1:14" ht="24.75" customHeight="1">
      <c r="B54" s="1480" t="s">
        <v>990</v>
      </c>
      <c r="C54" s="1481"/>
      <c r="D54" s="1481"/>
      <c r="E54" s="1481"/>
      <c r="F54" s="1481"/>
      <c r="G54" s="1481"/>
      <c r="H54" s="1481"/>
      <c r="I54" s="1482"/>
    </row>
    <row r="56" spans="1:14" s="961" customFormat="1" ht="10.5">
      <c r="B56" s="962" t="s">
        <v>4</v>
      </c>
      <c r="C56" s="963"/>
      <c r="D56" s="963"/>
      <c r="E56" s="963"/>
      <c r="F56" s="964"/>
      <c r="G56" s="965"/>
      <c r="H56" s="966"/>
      <c r="I56" s="966"/>
      <c r="J56" s="967"/>
      <c r="K56" s="881"/>
      <c r="L56" s="967"/>
      <c r="M56" s="967"/>
    </row>
    <row r="57" spans="1:14" s="968" customFormat="1" ht="10.5">
      <c r="B57" s="969"/>
      <c r="C57" s="970"/>
      <c r="D57" s="970"/>
      <c r="E57" s="970"/>
      <c r="F57" s="971"/>
      <c r="G57" s="972"/>
      <c r="H57" s="973"/>
      <c r="I57" s="973"/>
      <c r="J57" s="974"/>
      <c r="K57" s="975"/>
      <c r="L57" s="974"/>
      <c r="M57" s="974"/>
    </row>
    <row r="58" spans="1:14" s="968" customFormat="1">
      <c r="B58" s="976" t="s">
        <v>578</v>
      </c>
      <c r="C58" s="970"/>
      <c r="D58" s="970"/>
      <c r="E58" s="970"/>
      <c r="F58" s="971"/>
      <c r="G58" s="972"/>
      <c r="H58" s="973"/>
      <c r="I58" s="973"/>
      <c r="J58" s="974"/>
      <c r="K58" s="975"/>
      <c r="L58" s="974"/>
      <c r="M58" s="974"/>
    </row>
    <row r="59" spans="1:14" s="968" customFormat="1">
      <c r="B59" s="977"/>
      <c r="C59" s="970"/>
      <c r="D59" s="970"/>
      <c r="E59" s="970"/>
      <c r="F59" s="971"/>
      <c r="G59" s="972"/>
      <c r="H59" s="973"/>
      <c r="I59" s="973"/>
      <c r="J59" s="974"/>
      <c r="K59" s="975"/>
      <c r="L59" s="974"/>
      <c r="M59" s="974"/>
    </row>
    <row r="60" spans="1:14" ht="10.5">
      <c r="A60" s="978"/>
      <c r="B60" s="979" t="s">
        <v>991</v>
      </c>
      <c r="J60" s="908"/>
      <c r="K60" s="980"/>
    </row>
    <row r="61" spans="1:14" s="978" customFormat="1">
      <c r="B61" s="976"/>
      <c r="C61" s="981"/>
      <c r="D61" s="981"/>
      <c r="E61" s="981"/>
      <c r="F61" s="927"/>
      <c r="G61" s="907"/>
      <c r="H61" s="982"/>
      <c r="I61" s="982"/>
      <c r="J61" s="983"/>
      <c r="K61" s="975"/>
      <c r="L61" s="983"/>
      <c r="M61" s="983"/>
    </row>
    <row r="62" spans="1:14">
      <c r="B62" s="984" t="s">
        <v>579</v>
      </c>
    </row>
    <row r="63" spans="1:14">
      <c r="B63" s="984"/>
    </row>
    <row r="64" spans="1:14">
      <c r="B64" s="984" t="s">
        <v>176</v>
      </c>
    </row>
    <row r="65" spans="2:9">
      <c r="B65" s="984"/>
    </row>
    <row r="66" spans="2:9">
      <c r="B66" s="984" t="s">
        <v>177</v>
      </c>
    </row>
    <row r="67" spans="2:9">
      <c r="B67" s="984"/>
    </row>
    <row r="68" spans="2:9">
      <c r="B68" s="984" t="s">
        <v>178</v>
      </c>
    </row>
    <row r="69" spans="2:9">
      <c r="B69" s="984"/>
    </row>
    <row r="70" spans="2:9">
      <c r="B70" s="984" t="s">
        <v>179</v>
      </c>
    </row>
    <row r="71" spans="2:9">
      <c r="B71" s="985"/>
    </row>
    <row r="72" spans="2:9">
      <c r="B72" s="984" t="s">
        <v>180</v>
      </c>
    </row>
    <row r="73" spans="2:9">
      <c r="B73" s="986" t="s">
        <v>181</v>
      </c>
    </row>
    <row r="74" spans="2:9" ht="30">
      <c r="B74" s="987" t="s">
        <v>182</v>
      </c>
      <c r="C74" s="988">
        <v>1.67</v>
      </c>
      <c r="D74" s="989"/>
      <c r="H74" s="990" t="s">
        <v>183</v>
      </c>
    </row>
    <row r="75" spans="2:9" ht="24">
      <c r="B75" s="987" t="s">
        <v>184</v>
      </c>
      <c r="C75" s="991">
        <v>1.5</v>
      </c>
      <c r="D75" s="989"/>
      <c r="H75" s="992" t="s">
        <v>992</v>
      </c>
      <c r="I75" s="909"/>
    </row>
    <row r="76" spans="2:9">
      <c r="B76" s="993"/>
      <c r="C76" s="915"/>
      <c r="D76" s="989"/>
      <c r="H76" s="994"/>
      <c r="I76" s="995"/>
    </row>
    <row r="77" spans="2:9" ht="10.5">
      <c r="B77" s="996" t="s">
        <v>993</v>
      </c>
      <c r="C77" s="915"/>
      <c r="D77" s="989"/>
      <c r="H77" s="984" t="s">
        <v>574</v>
      </c>
    </row>
    <row r="78" spans="2:9" ht="10.5">
      <c r="B78" s="997" t="s">
        <v>572</v>
      </c>
      <c r="C78" s="998" t="s">
        <v>573</v>
      </c>
      <c r="D78" s="989"/>
      <c r="E78" s="903"/>
      <c r="H78" s="908" t="s">
        <v>580</v>
      </c>
    </row>
    <row r="79" spans="2:9" ht="10.5">
      <c r="B79" s="999" t="s">
        <v>575</v>
      </c>
      <c r="C79" s="1000">
        <v>1.67</v>
      </c>
      <c r="D79" s="984" t="s">
        <v>994</v>
      </c>
      <c r="E79" s="903"/>
    </row>
    <row r="80" spans="2:9" ht="10.5">
      <c r="B80" s="999" t="s">
        <v>995</v>
      </c>
      <c r="C80" s="1000">
        <v>1.58</v>
      </c>
      <c r="D80" s="984"/>
      <c r="E80" s="903"/>
    </row>
    <row r="81" spans="2:8" ht="10.5">
      <c r="B81" s="999" t="s">
        <v>996</v>
      </c>
      <c r="C81" s="1000">
        <v>2.02</v>
      </c>
      <c r="D81" s="984"/>
      <c r="E81" s="903"/>
    </row>
    <row r="82" spans="2:8" ht="10.5">
      <c r="B82" s="1001" t="s">
        <v>576</v>
      </c>
      <c r="C82" s="1002">
        <v>1</v>
      </c>
      <c r="D82" s="1003" t="s">
        <v>1273</v>
      </c>
      <c r="E82" s="1004"/>
      <c r="F82" s="1004"/>
      <c r="H82" s="1005"/>
    </row>
    <row r="83" spans="2:8">
      <c r="B83" s="993"/>
      <c r="C83" s="915"/>
      <c r="D83" s="989"/>
      <c r="H83" s="1005"/>
    </row>
    <row r="84" spans="2:8">
      <c r="B84" s="993" t="s">
        <v>997</v>
      </c>
      <c r="C84" s="915"/>
      <c r="D84" s="989"/>
      <c r="H84" s="1005"/>
    </row>
    <row r="85" spans="2:8">
      <c r="B85" s="985"/>
      <c r="H85" s="1006"/>
    </row>
    <row r="86" spans="2:8">
      <c r="B86" s="985" t="s">
        <v>185</v>
      </c>
      <c r="H86" s="1006"/>
    </row>
    <row r="87" spans="2:8">
      <c r="B87" s="985" t="s">
        <v>186</v>
      </c>
      <c r="H87" s="1006"/>
    </row>
    <row r="88" spans="2:8">
      <c r="B88" s="985"/>
      <c r="H88" s="1006"/>
    </row>
    <row r="89" spans="2:8">
      <c r="B89" s="985" t="s">
        <v>581</v>
      </c>
      <c r="H89" s="1006"/>
    </row>
    <row r="90" spans="2:8">
      <c r="B90" s="985"/>
      <c r="H90" s="1006"/>
    </row>
    <row r="91" spans="2:8">
      <c r="B91" s="985" t="s">
        <v>582</v>
      </c>
      <c r="H91" s="1006"/>
    </row>
    <row r="92" spans="2:8">
      <c r="H92" s="1006"/>
    </row>
    <row r="93" spans="2:8" ht="10.5">
      <c r="B93" s="1008" t="s">
        <v>982</v>
      </c>
    </row>
  </sheetData>
  <mergeCells count="3">
    <mergeCell ref="H9:H27"/>
    <mergeCell ref="I9:I27"/>
    <mergeCell ref="B54:I5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theme="8" tint="0.79998168889431442"/>
  </sheetPr>
  <dimension ref="A1:M102"/>
  <sheetViews>
    <sheetView workbookViewId="0">
      <selection activeCell="B2" sqref="B2"/>
    </sheetView>
  </sheetViews>
  <sheetFormatPr defaultColWidth="14.83203125" defaultRowHeight="10.5"/>
  <cols>
    <col min="1" max="1" width="0.83203125" style="76" customWidth="1"/>
    <col min="2" max="2" width="21.58203125" style="77" customWidth="1"/>
    <col min="3" max="8" width="13.83203125" style="16" customWidth="1"/>
    <col min="9" max="9" width="13.83203125" style="23" customWidth="1"/>
    <col min="10" max="10" width="13.83203125" style="16" customWidth="1"/>
    <col min="11" max="11" width="13.83203125" style="74" customWidth="1"/>
    <col min="12" max="13" width="14.83203125" style="74"/>
    <col min="14" max="16384" width="14.83203125" style="77"/>
  </cols>
  <sheetData>
    <row r="1" spans="1:13" s="28" customFormat="1" ht="13">
      <c r="A1" s="1009" t="s">
        <v>330</v>
      </c>
      <c r="B1" s="174"/>
      <c r="C1" s="26"/>
      <c r="D1" s="26"/>
      <c r="E1" s="26"/>
      <c r="F1" s="26"/>
      <c r="G1" s="26"/>
      <c r="H1" s="26"/>
      <c r="I1" s="27"/>
      <c r="J1" s="26"/>
      <c r="K1" s="175"/>
      <c r="L1" s="175"/>
      <c r="M1" s="175"/>
    </row>
    <row r="3" spans="1:13" s="67" customFormat="1">
      <c r="A3" s="62"/>
      <c r="B3" s="1491" t="s">
        <v>331</v>
      </c>
      <c r="C3" s="1492"/>
      <c r="D3" s="1492"/>
      <c r="E3" s="1492"/>
      <c r="F3" s="1492"/>
      <c r="G3" s="1492"/>
      <c r="H3" s="1492"/>
      <c r="I3" s="1492"/>
      <c r="J3" s="1492"/>
      <c r="K3" s="1493"/>
      <c r="L3" s="176"/>
      <c r="M3" s="176"/>
    </row>
    <row r="4" spans="1:13" s="67" customFormat="1">
      <c r="A4" s="62"/>
      <c r="B4" s="177"/>
      <c r="C4" s="1491" t="s">
        <v>332</v>
      </c>
      <c r="D4" s="1492"/>
      <c r="E4" s="1493"/>
      <c r="F4" s="1491" t="s">
        <v>333</v>
      </c>
      <c r="G4" s="1492"/>
      <c r="H4" s="1493"/>
      <c r="I4" s="1491" t="s">
        <v>334</v>
      </c>
      <c r="J4" s="1492"/>
      <c r="K4" s="1493"/>
      <c r="L4" s="176"/>
      <c r="M4" s="176"/>
    </row>
    <row r="5" spans="1:13" s="67" customFormat="1">
      <c r="A5" s="62"/>
      <c r="B5" s="177"/>
      <c r="C5" s="178" t="s">
        <v>28</v>
      </c>
      <c r="D5" s="178" t="s">
        <v>335</v>
      </c>
      <c r="E5" s="178" t="s">
        <v>27</v>
      </c>
      <c r="F5" s="178" t="s">
        <v>28</v>
      </c>
      <c r="G5" s="178" t="s">
        <v>335</v>
      </c>
      <c r="H5" s="178" t="s">
        <v>27</v>
      </c>
      <c r="I5" s="178" t="s">
        <v>28</v>
      </c>
      <c r="J5" s="178" t="s">
        <v>335</v>
      </c>
      <c r="K5" s="178" t="s">
        <v>27</v>
      </c>
      <c r="L5" s="176"/>
      <c r="M5" s="176"/>
    </row>
    <row r="6" spans="1:13">
      <c r="B6" s="179" t="s">
        <v>336</v>
      </c>
      <c r="C6" s="180">
        <v>0.03</v>
      </c>
      <c r="D6" s="180">
        <v>0.01</v>
      </c>
      <c r="E6" s="180">
        <v>0</v>
      </c>
      <c r="F6" s="180">
        <v>0.3</v>
      </c>
      <c r="G6" s="180">
        <v>0.11</v>
      </c>
      <c r="H6" s="180">
        <v>0.03</v>
      </c>
      <c r="I6" s="180">
        <v>0.2</v>
      </c>
      <c r="J6" s="180">
        <v>0.06</v>
      </c>
      <c r="K6" s="180">
        <v>0.02</v>
      </c>
    </row>
    <row r="7" spans="1:13">
      <c r="B7" s="179" t="s">
        <v>337</v>
      </c>
      <c r="C7" s="180">
        <v>0.03</v>
      </c>
      <c r="D7" s="180">
        <v>0.01</v>
      </c>
      <c r="E7" s="180">
        <v>0</v>
      </c>
      <c r="F7" s="180">
        <v>0.27</v>
      </c>
      <c r="G7" s="180">
        <v>0.1</v>
      </c>
      <c r="H7" s="180">
        <v>0.03</v>
      </c>
      <c r="I7" s="180">
        <v>0.17</v>
      </c>
      <c r="J7" s="180">
        <v>0.06</v>
      </c>
      <c r="K7" s="180">
        <v>0.02</v>
      </c>
    </row>
    <row r="8" spans="1:13">
      <c r="B8" s="179" t="s">
        <v>338</v>
      </c>
      <c r="C8" s="180">
        <v>0.35</v>
      </c>
      <c r="D8" s="180">
        <v>0.13</v>
      </c>
      <c r="E8" s="180">
        <v>0.04</v>
      </c>
      <c r="F8" s="180">
        <v>4.55</v>
      </c>
      <c r="G8" s="180">
        <v>1.72</v>
      </c>
      <c r="H8" s="180">
        <v>0.48</v>
      </c>
      <c r="I8" s="180">
        <v>2.79</v>
      </c>
      <c r="J8" s="180">
        <v>1.06</v>
      </c>
      <c r="K8" s="180">
        <v>0.3</v>
      </c>
    </row>
    <row r="9" spans="1:13">
      <c r="B9" s="179" t="s">
        <v>339</v>
      </c>
      <c r="C9" s="180">
        <v>0.27</v>
      </c>
      <c r="D9" s="180">
        <v>0.1</v>
      </c>
      <c r="E9" s="180">
        <v>0.03</v>
      </c>
      <c r="F9" s="180">
        <v>3.14</v>
      </c>
      <c r="G9" s="180">
        <v>1.19</v>
      </c>
      <c r="H9" s="180">
        <v>0.33</v>
      </c>
      <c r="I9" s="180">
        <v>1.85</v>
      </c>
      <c r="J9" s="180">
        <v>0.7</v>
      </c>
      <c r="K9" s="180">
        <v>0.2</v>
      </c>
    </row>
    <row r="10" spans="1:13">
      <c r="B10" s="179" t="s">
        <v>340</v>
      </c>
      <c r="C10" s="180">
        <v>0.68</v>
      </c>
      <c r="D10" s="180">
        <v>0.26</v>
      </c>
      <c r="E10" s="180">
        <v>7.0000000000000007E-2</v>
      </c>
      <c r="F10" s="180">
        <v>9.86</v>
      </c>
      <c r="G10" s="180">
        <v>3.73</v>
      </c>
      <c r="H10" s="180">
        <v>1.05</v>
      </c>
      <c r="I10" s="180">
        <v>4.24</v>
      </c>
      <c r="J10" s="180">
        <v>1.61</v>
      </c>
      <c r="K10" s="180">
        <v>0.45</v>
      </c>
    </row>
    <row r="11" spans="1:13">
      <c r="B11" s="181" t="s">
        <v>341</v>
      </c>
      <c r="C11" s="182">
        <v>0.08</v>
      </c>
      <c r="D11" s="182">
        <v>0.03</v>
      </c>
      <c r="E11" s="182">
        <v>0.01</v>
      </c>
      <c r="F11" s="182">
        <v>0.64</v>
      </c>
      <c r="G11" s="182">
        <v>0.24</v>
      </c>
      <c r="H11" s="182">
        <v>7.0000000000000007E-2</v>
      </c>
      <c r="I11" s="182">
        <v>0.42</v>
      </c>
      <c r="J11" s="182">
        <v>0.16</v>
      </c>
      <c r="K11" s="182">
        <v>0.05</v>
      </c>
    </row>
    <row r="13" spans="1:13" s="67" customFormat="1">
      <c r="A13" s="62"/>
      <c r="B13" s="1485" t="s">
        <v>342</v>
      </c>
      <c r="C13" s="1486"/>
      <c r="D13" s="1486"/>
      <c r="E13" s="1486"/>
      <c r="F13" s="1486"/>
      <c r="G13" s="1486"/>
      <c r="H13" s="1486"/>
      <c r="I13" s="1486"/>
      <c r="J13" s="1486"/>
      <c r="K13" s="1487"/>
      <c r="L13" s="176"/>
      <c r="M13" s="176"/>
    </row>
    <row r="14" spans="1:13" s="67" customFormat="1">
      <c r="A14" s="62"/>
      <c r="B14" s="183"/>
      <c r="C14" s="1485" t="s">
        <v>332</v>
      </c>
      <c r="D14" s="1486"/>
      <c r="E14" s="1487"/>
      <c r="F14" s="1485" t="s">
        <v>333</v>
      </c>
      <c r="G14" s="1486"/>
      <c r="H14" s="1487"/>
      <c r="I14" s="1485" t="s">
        <v>334</v>
      </c>
      <c r="J14" s="1486"/>
      <c r="K14" s="1487"/>
      <c r="L14" s="176"/>
      <c r="M14" s="176"/>
    </row>
    <row r="15" spans="1:13" s="67" customFormat="1">
      <c r="A15" s="62"/>
      <c r="B15" s="183"/>
      <c r="C15" s="184" t="s">
        <v>28</v>
      </c>
      <c r="D15" s="184" t="s">
        <v>335</v>
      </c>
      <c r="E15" s="184" t="s">
        <v>27</v>
      </c>
      <c r="F15" s="184" t="s">
        <v>28</v>
      </c>
      <c r="G15" s="184" t="s">
        <v>335</v>
      </c>
      <c r="H15" s="184" t="s">
        <v>27</v>
      </c>
      <c r="I15" s="184" t="s">
        <v>28</v>
      </c>
      <c r="J15" s="184" t="s">
        <v>335</v>
      </c>
      <c r="K15" s="184" t="s">
        <v>27</v>
      </c>
      <c r="L15" s="176"/>
      <c r="M15" s="176"/>
    </row>
    <row r="16" spans="1:13">
      <c r="B16" s="179" t="s">
        <v>336</v>
      </c>
      <c r="C16" s="180">
        <v>3.76</v>
      </c>
      <c r="D16" s="180">
        <v>1.28</v>
      </c>
      <c r="E16" s="180">
        <v>0.34</v>
      </c>
      <c r="F16" s="180">
        <v>18.27</v>
      </c>
      <c r="G16" s="180">
        <v>6.21</v>
      </c>
      <c r="H16" s="180">
        <v>1.64</v>
      </c>
      <c r="I16" s="180">
        <v>13.17</v>
      </c>
      <c r="J16" s="180">
        <v>4.4800000000000004</v>
      </c>
      <c r="K16" s="180">
        <v>1.19</v>
      </c>
    </row>
    <row r="17" spans="1:13">
      <c r="B17" s="179" t="s">
        <v>337</v>
      </c>
      <c r="C17" s="180">
        <v>3.8</v>
      </c>
      <c r="D17" s="180">
        <v>1.29</v>
      </c>
      <c r="E17" s="180">
        <v>0.34</v>
      </c>
      <c r="F17" s="180">
        <v>17.78</v>
      </c>
      <c r="G17" s="180">
        <v>6.04</v>
      </c>
      <c r="H17" s="180">
        <v>1.6</v>
      </c>
      <c r="I17" s="180">
        <v>11.75</v>
      </c>
      <c r="J17" s="180">
        <v>4</v>
      </c>
      <c r="K17" s="180">
        <v>1.06</v>
      </c>
    </row>
    <row r="18" spans="1:13">
      <c r="B18" s="179" t="s">
        <v>338</v>
      </c>
      <c r="C18" s="180">
        <v>6.96</v>
      </c>
      <c r="D18" s="180">
        <v>2.37</v>
      </c>
      <c r="E18" s="180">
        <v>0.63</v>
      </c>
      <c r="F18" s="180">
        <v>37.590000000000003</v>
      </c>
      <c r="G18" s="180">
        <v>12.78</v>
      </c>
      <c r="H18" s="180">
        <v>3.38</v>
      </c>
      <c r="I18" s="180">
        <v>24.79</v>
      </c>
      <c r="J18" s="180">
        <v>8.43</v>
      </c>
      <c r="K18" s="180">
        <v>2.23</v>
      </c>
    </row>
    <row r="19" spans="1:13">
      <c r="B19" s="179" t="s">
        <v>339</v>
      </c>
      <c r="C19" s="180">
        <v>7.43</v>
      </c>
      <c r="D19" s="180">
        <v>2.5299999999999998</v>
      </c>
      <c r="E19" s="180">
        <v>0.67</v>
      </c>
      <c r="F19" s="180">
        <v>42.65</v>
      </c>
      <c r="G19" s="180">
        <v>14.5</v>
      </c>
      <c r="H19" s="180">
        <v>3.84</v>
      </c>
      <c r="I19" s="180">
        <v>26.81</v>
      </c>
      <c r="J19" s="180">
        <v>9.11</v>
      </c>
      <c r="K19" s="180">
        <v>2.41</v>
      </c>
    </row>
    <row r="20" spans="1:13">
      <c r="B20" s="179" t="s">
        <v>340</v>
      </c>
      <c r="C20" s="180">
        <v>10.87</v>
      </c>
      <c r="D20" s="180">
        <v>3.7</v>
      </c>
      <c r="E20" s="180">
        <v>0.98</v>
      </c>
      <c r="F20" s="180">
        <v>49.34</v>
      </c>
      <c r="G20" s="180">
        <v>16.78</v>
      </c>
      <c r="H20" s="180">
        <v>4.4400000000000004</v>
      </c>
      <c r="I20" s="180">
        <v>25.81</v>
      </c>
      <c r="J20" s="180">
        <v>8.7799999999999994</v>
      </c>
      <c r="K20" s="180">
        <v>2.3199999999999998</v>
      </c>
    </row>
    <row r="21" spans="1:13">
      <c r="B21" s="181" t="s">
        <v>341</v>
      </c>
      <c r="C21" s="182">
        <v>4.4000000000000004</v>
      </c>
      <c r="D21" s="182">
        <v>1.5</v>
      </c>
      <c r="E21" s="182">
        <v>0.4</v>
      </c>
      <c r="F21" s="182">
        <v>19.72</v>
      </c>
      <c r="G21" s="182">
        <v>6.71</v>
      </c>
      <c r="H21" s="182">
        <v>1.78</v>
      </c>
      <c r="I21" s="182">
        <v>13.81</v>
      </c>
      <c r="J21" s="182">
        <v>4.7</v>
      </c>
      <c r="K21" s="182">
        <v>1.24</v>
      </c>
    </row>
    <row r="23" spans="1:13" s="67" customFormat="1">
      <c r="A23" s="62"/>
      <c r="B23" s="1485" t="s">
        <v>343</v>
      </c>
      <c r="C23" s="1486"/>
      <c r="D23" s="1486"/>
      <c r="E23" s="1486"/>
      <c r="F23" s="1486"/>
      <c r="G23" s="1486"/>
      <c r="H23" s="1486"/>
      <c r="I23" s="1486"/>
      <c r="J23" s="1486"/>
      <c r="K23" s="1487"/>
      <c r="L23" s="176"/>
      <c r="M23" s="176"/>
    </row>
    <row r="24" spans="1:13" s="67" customFormat="1">
      <c r="A24" s="62"/>
      <c r="B24" s="183"/>
      <c r="C24" s="1485" t="s">
        <v>332</v>
      </c>
      <c r="D24" s="1486"/>
      <c r="E24" s="1487"/>
      <c r="F24" s="1485" t="s">
        <v>333</v>
      </c>
      <c r="G24" s="1486"/>
      <c r="H24" s="1487"/>
      <c r="I24" s="1485" t="s">
        <v>334</v>
      </c>
      <c r="J24" s="1486"/>
      <c r="K24" s="1487"/>
      <c r="L24" s="176"/>
      <c r="M24" s="176"/>
    </row>
    <row r="25" spans="1:13" s="67" customFormat="1">
      <c r="A25" s="62"/>
      <c r="B25" s="183"/>
      <c r="C25" s="184" t="s">
        <v>28</v>
      </c>
      <c r="D25" s="184" t="s">
        <v>335</v>
      </c>
      <c r="E25" s="184" t="s">
        <v>27</v>
      </c>
      <c r="F25" s="184" t="s">
        <v>28</v>
      </c>
      <c r="G25" s="184" t="s">
        <v>335</v>
      </c>
      <c r="H25" s="184" t="s">
        <v>27</v>
      </c>
      <c r="I25" s="184" t="s">
        <v>28</v>
      </c>
      <c r="J25" s="184" t="s">
        <v>335</v>
      </c>
      <c r="K25" s="184" t="s">
        <v>27</v>
      </c>
      <c r="L25" s="176"/>
      <c r="M25" s="176"/>
    </row>
    <row r="26" spans="1:13">
      <c r="B26" s="179" t="s">
        <v>336</v>
      </c>
      <c r="C26" s="180">
        <v>9.68</v>
      </c>
      <c r="D26" s="180">
        <v>3.15</v>
      </c>
      <c r="E26" s="180">
        <v>1.76</v>
      </c>
      <c r="F26" s="180">
        <v>4.03</v>
      </c>
      <c r="G26" s="180">
        <v>1.28</v>
      </c>
      <c r="H26" s="180">
        <v>0.78</v>
      </c>
      <c r="I26" s="180">
        <v>6.02</v>
      </c>
      <c r="J26" s="180">
        <v>1.94</v>
      </c>
      <c r="K26" s="180">
        <v>1.1299999999999999</v>
      </c>
    </row>
    <row r="27" spans="1:13">
      <c r="B27" s="179" t="s">
        <v>337</v>
      </c>
      <c r="C27" s="180">
        <v>10.210000000000001</v>
      </c>
      <c r="D27" s="180">
        <v>3.31</v>
      </c>
      <c r="E27" s="180">
        <v>1.75</v>
      </c>
      <c r="F27" s="180">
        <v>4.05</v>
      </c>
      <c r="G27" s="180">
        <v>1.27</v>
      </c>
      <c r="H27" s="180">
        <v>0.74</v>
      </c>
      <c r="I27" s="180">
        <v>6.7</v>
      </c>
      <c r="J27" s="180">
        <v>2.15</v>
      </c>
      <c r="K27" s="180">
        <v>1.17</v>
      </c>
    </row>
    <row r="28" spans="1:13">
      <c r="B28" s="179" t="s">
        <v>338</v>
      </c>
      <c r="C28" s="180">
        <v>14.15</v>
      </c>
      <c r="D28" s="180">
        <v>4.4000000000000004</v>
      </c>
      <c r="E28" s="180">
        <v>2.36</v>
      </c>
      <c r="F28" s="180">
        <v>6.25</v>
      </c>
      <c r="G28" s="180">
        <v>1.89</v>
      </c>
      <c r="H28" s="180">
        <v>1.08</v>
      </c>
      <c r="I28" s="180">
        <v>9.5500000000000007</v>
      </c>
      <c r="J28" s="180">
        <v>2.94</v>
      </c>
      <c r="K28" s="180">
        <v>1.62</v>
      </c>
    </row>
    <row r="29" spans="1:13">
      <c r="B29" s="179" t="s">
        <v>339</v>
      </c>
      <c r="C29" s="180">
        <v>5.97</v>
      </c>
      <c r="D29" s="180">
        <v>2</v>
      </c>
      <c r="E29" s="180">
        <v>0.97</v>
      </c>
      <c r="F29" s="180">
        <v>2.21</v>
      </c>
      <c r="G29" s="180">
        <v>0.71</v>
      </c>
      <c r="H29" s="180">
        <v>0.4</v>
      </c>
      <c r="I29" s="180">
        <v>3.9</v>
      </c>
      <c r="J29" s="180">
        <v>1.29</v>
      </c>
      <c r="K29" s="180">
        <v>0.65</v>
      </c>
    </row>
    <row r="30" spans="1:13">
      <c r="B30" s="179" t="s">
        <v>340</v>
      </c>
      <c r="C30" s="180">
        <v>6.9</v>
      </c>
      <c r="D30" s="180">
        <v>2.2000000000000002</v>
      </c>
      <c r="E30" s="180">
        <v>1.02</v>
      </c>
      <c r="F30" s="180">
        <v>3.67</v>
      </c>
      <c r="G30" s="180">
        <v>1.1599999999999999</v>
      </c>
      <c r="H30" s="180">
        <v>0.56000000000000005</v>
      </c>
      <c r="I30" s="180">
        <v>5.65</v>
      </c>
      <c r="J30" s="180">
        <v>1.79</v>
      </c>
      <c r="K30" s="180">
        <v>0.84</v>
      </c>
    </row>
    <row r="31" spans="1:13">
      <c r="B31" s="181" t="s">
        <v>341</v>
      </c>
      <c r="C31" s="182">
        <v>9.52</v>
      </c>
      <c r="D31" s="182">
        <v>3.09</v>
      </c>
      <c r="E31" s="182">
        <v>1.68</v>
      </c>
      <c r="F31" s="182">
        <v>3.98</v>
      </c>
      <c r="G31" s="182">
        <v>1.26</v>
      </c>
      <c r="H31" s="182">
        <v>0.76</v>
      </c>
      <c r="I31" s="182">
        <v>6.12</v>
      </c>
      <c r="J31" s="182">
        <v>1.97</v>
      </c>
      <c r="K31" s="182">
        <v>1.1100000000000001</v>
      </c>
    </row>
    <row r="32" spans="1:13">
      <c r="B32" s="23" t="s">
        <v>344</v>
      </c>
      <c r="H32" s="23"/>
      <c r="I32" s="16"/>
      <c r="J32" s="74"/>
      <c r="M32" s="77"/>
    </row>
    <row r="33" spans="1:13" ht="13">
      <c r="B33" s="1010" t="s">
        <v>998</v>
      </c>
      <c r="H33" s="23"/>
      <c r="I33" s="16"/>
      <c r="J33" s="74"/>
      <c r="M33" s="77"/>
    </row>
    <row r="34" spans="1:13">
      <c r="K34" s="185"/>
    </row>
    <row r="35" spans="1:13">
      <c r="K35" s="185"/>
    </row>
    <row r="36" spans="1:13" s="67" customFormat="1">
      <c r="A36" s="62"/>
      <c r="B36" s="1488" t="s">
        <v>345</v>
      </c>
      <c r="C36" s="1488"/>
      <c r="D36" s="1488"/>
      <c r="E36" s="1488"/>
      <c r="F36" s="1488"/>
      <c r="G36" s="186"/>
      <c r="H36" s="186"/>
      <c r="I36" s="72"/>
      <c r="J36" s="186"/>
      <c r="K36" s="187"/>
      <c r="L36" s="176"/>
      <c r="M36" s="176"/>
    </row>
    <row r="37" spans="1:13" s="67" customFormat="1">
      <c r="A37" s="62"/>
      <c r="B37" s="752"/>
      <c r="C37" s="752">
        <v>1990</v>
      </c>
      <c r="D37" s="752">
        <v>1994</v>
      </c>
      <c r="E37" s="752">
        <v>2000</v>
      </c>
      <c r="F37" s="752" t="s">
        <v>346</v>
      </c>
      <c r="G37" s="186"/>
      <c r="H37" s="186"/>
      <c r="I37" s="72"/>
      <c r="J37" s="186"/>
      <c r="K37" s="176"/>
      <c r="L37" s="176"/>
      <c r="M37" s="176"/>
    </row>
    <row r="38" spans="1:13">
      <c r="B38" s="188" t="s">
        <v>347</v>
      </c>
      <c r="C38" s="1489">
        <v>1997283</v>
      </c>
      <c r="D38" s="189">
        <v>1595869</v>
      </c>
      <c r="E38" s="190">
        <v>1818461</v>
      </c>
      <c r="F38" s="191">
        <v>0.67504292192015503</v>
      </c>
    </row>
    <row r="39" spans="1:13">
      <c r="B39" s="188" t="s">
        <v>337</v>
      </c>
      <c r="C39" s="1490"/>
      <c r="D39" s="189">
        <v>587284</v>
      </c>
      <c r="E39" s="190">
        <v>669198</v>
      </c>
      <c r="F39" s="191">
        <v>0.2484174108012896</v>
      </c>
    </row>
    <row r="40" spans="1:13">
      <c r="B40" s="192" t="s">
        <v>339</v>
      </c>
      <c r="C40" s="193">
        <v>64114</v>
      </c>
      <c r="D40" s="193">
        <v>71239</v>
      </c>
      <c r="E40" s="194">
        <v>83150</v>
      </c>
      <c r="F40" s="195">
        <v>3.0866660850939826E-2</v>
      </c>
    </row>
    <row r="41" spans="1:13">
      <c r="B41" s="192" t="s">
        <v>340</v>
      </c>
      <c r="C41" s="193">
        <v>89257</v>
      </c>
      <c r="D41" s="193">
        <v>99176</v>
      </c>
      <c r="E41" s="194">
        <v>115639</v>
      </c>
      <c r="F41" s="195">
        <v>4.2927117187514498E-2</v>
      </c>
    </row>
    <row r="42" spans="1:13">
      <c r="B42" s="192" t="s">
        <v>338</v>
      </c>
      <c r="C42" s="193">
        <v>5822</v>
      </c>
      <c r="D42" s="193">
        <v>6416</v>
      </c>
      <c r="E42" s="194">
        <v>7397</v>
      </c>
      <c r="F42" s="195">
        <v>2.745889240101045E-3</v>
      </c>
    </row>
    <row r="43" spans="1:13">
      <c r="B43" s="196" t="s">
        <v>6</v>
      </c>
      <c r="C43" s="197">
        <v>2156476</v>
      </c>
      <c r="D43" s="197">
        <v>2359984</v>
      </c>
      <c r="E43" s="197">
        <v>2693845</v>
      </c>
      <c r="F43" s="198">
        <v>1</v>
      </c>
    </row>
    <row r="44" spans="1:13">
      <c r="B44" s="23" t="s">
        <v>348</v>
      </c>
    </row>
    <row r="46" spans="1:13" s="28" customFormat="1">
      <c r="A46" s="174"/>
      <c r="B46" s="174" t="s">
        <v>349</v>
      </c>
      <c r="C46" s="26"/>
      <c r="D46" s="26"/>
      <c r="E46" s="26"/>
      <c r="F46" s="26"/>
      <c r="G46" s="26"/>
      <c r="H46" s="26"/>
      <c r="I46" s="27"/>
      <c r="J46" s="26"/>
      <c r="K46" s="175"/>
      <c r="L46" s="175"/>
      <c r="M46" s="175"/>
    </row>
    <row r="48" spans="1:13" ht="12" customHeight="1">
      <c r="B48" s="199" t="s">
        <v>309</v>
      </c>
      <c r="C48" s="200"/>
      <c r="D48" s="200"/>
      <c r="E48" s="200"/>
      <c r="F48" s="200"/>
      <c r="G48" s="200"/>
      <c r="H48" s="200"/>
    </row>
    <row r="49" spans="1:13" ht="12" customHeight="1">
      <c r="B49" s="199"/>
      <c r="C49" s="200"/>
      <c r="D49" s="200"/>
      <c r="E49" s="200"/>
      <c r="F49" s="200"/>
      <c r="G49" s="200"/>
      <c r="H49" s="200"/>
    </row>
    <row r="50" spans="1:13">
      <c r="B50" s="1483" t="s">
        <v>310</v>
      </c>
      <c r="C50" s="1484" t="s">
        <v>350</v>
      </c>
      <c r="D50" s="1484"/>
      <c r="E50" s="1484"/>
      <c r="F50" s="1484"/>
      <c r="G50" s="1484"/>
      <c r="H50" s="1484"/>
    </row>
    <row r="51" spans="1:13">
      <c r="B51" s="1483"/>
      <c r="C51" s="751" t="s">
        <v>311</v>
      </c>
      <c r="D51" s="751" t="s">
        <v>312</v>
      </c>
      <c r="E51" s="751" t="s">
        <v>313</v>
      </c>
      <c r="F51" s="751" t="s">
        <v>314</v>
      </c>
      <c r="G51" s="751" t="s">
        <v>315</v>
      </c>
      <c r="H51" s="751" t="s">
        <v>5</v>
      </c>
    </row>
    <row r="52" spans="1:13">
      <c r="B52" s="201" t="s">
        <v>316</v>
      </c>
      <c r="C52" s="1011">
        <v>0</v>
      </c>
      <c r="D52" s="1011">
        <v>0.78</v>
      </c>
      <c r="E52" s="1011">
        <v>0.98</v>
      </c>
      <c r="F52" s="1011">
        <v>1.1399999999999999</v>
      </c>
      <c r="G52" s="1011">
        <v>0.01</v>
      </c>
      <c r="H52" s="1011">
        <v>2.91</v>
      </c>
    </row>
    <row r="53" spans="1:13">
      <c r="B53" s="201" t="s">
        <v>317</v>
      </c>
      <c r="C53" s="1011">
        <v>0.1</v>
      </c>
      <c r="D53" s="1011">
        <v>7.7</v>
      </c>
      <c r="E53" s="1011">
        <v>1.19</v>
      </c>
      <c r="F53" s="1011">
        <v>1.33</v>
      </c>
      <c r="G53" s="1011">
        <v>0.09</v>
      </c>
      <c r="H53" s="1011">
        <v>10.41</v>
      </c>
    </row>
    <row r="54" spans="1:13">
      <c r="B54" s="201" t="s">
        <v>318</v>
      </c>
      <c r="C54" s="1011">
        <v>1</v>
      </c>
      <c r="D54" s="1011">
        <v>2.4500000000000002</v>
      </c>
      <c r="E54" s="1011">
        <v>0.47</v>
      </c>
      <c r="F54" s="1011">
        <v>3.85</v>
      </c>
      <c r="G54" s="1011">
        <v>0.09</v>
      </c>
      <c r="H54" s="1011">
        <v>7.86</v>
      </c>
    </row>
    <row r="55" spans="1:13">
      <c r="B55" s="201" t="s">
        <v>319</v>
      </c>
      <c r="C55" s="1011">
        <v>3.1</v>
      </c>
      <c r="D55" s="1011">
        <v>24.48</v>
      </c>
      <c r="E55" s="1011">
        <v>0.86</v>
      </c>
      <c r="F55" s="1011">
        <v>4.49</v>
      </c>
      <c r="G55" s="1011">
        <v>1.5</v>
      </c>
      <c r="H55" s="1011">
        <v>34.43</v>
      </c>
    </row>
    <row r="56" spans="1:13">
      <c r="B56" s="201" t="s">
        <v>320</v>
      </c>
      <c r="C56" s="1011">
        <v>5.6</v>
      </c>
      <c r="D56" s="1011">
        <v>3.27</v>
      </c>
      <c r="E56" s="1011">
        <v>0.47</v>
      </c>
      <c r="F56" s="1011">
        <v>3.85</v>
      </c>
      <c r="G56" s="1011">
        <v>0.11</v>
      </c>
      <c r="H56" s="1011">
        <v>13.3</v>
      </c>
    </row>
    <row r="57" spans="1:13">
      <c r="B57" s="201" t="s">
        <v>321</v>
      </c>
      <c r="C57" s="1011">
        <v>18.100000000000001</v>
      </c>
      <c r="D57" s="1011">
        <v>32.64</v>
      </c>
      <c r="E57" s="1011">
        <v>0.86</v>
      </c>
      <c r="F57" s="1011">
        <v>4.49</v>
      </c>
      <c r="G57" s="1011">
        <v>1.68</v>
      </c>
      <c r="H57" s="1011">
        <v>57.77</v>
      </c>
    </row>
    <row r="58" spans="1:13">
      <c r="B58" s="201" t="s">
        <v>322</v>
      </c>
      <c r="C58" s="1011">
        <v>3.3</v>
      </c>
      <c r="D58" s="1011">
        <v>1.88</v>
      </c>
      <c r="E58" s="1011">
        <v>0.88</v>
      </c>
      <c r="F58" s="1011">
        <v>3.85</v>
      </c>
      <c r="G58" s="1011">
        <v>0.17</v>
      </c>
      <c r="H58" s="1011">
        <v>10.08</v>
      </c>
    </row>
    <row r="59" spans="1:13">
      <c r="B59" s="201" t="s">
        <v>323</v>
      </c>
      <c r="C59" s="1011">
        <v>10.5</v>
      </c>
      <c r="D59" s="1011">
        <v>18.39</v>
      </c>
      <c r="E59" s="1011">
        <v>1.1499999999999999</v>
      </c>
      <c r="F59" s="1011">
        <v>4.49</v>
      </c>
      <c r="G59" s="1011">
        <v>2.75</v>
      </c>
      <c r="H59" s="1011">
        <v>37.28</v>
      </c>
    </row>
    <row r="60" spans="1:13">
      <c r="B60" s="201" t="s">
        <v>324</v>
      </c>
      <c r="C60" s="1011">
        <v>12.7</v>
      </c>
      <c r="D60" s="1011">
        <v>2.23</v>
      </c>
      <c r="E60" s="1011">
        <v>0.88</v>
      </c>
      <c r="F60" s="1011">
        <v>3.85</v>
      </c>
      <c r="G60" s="1011">
        <v>0.19</v>
      </c>
      <c r="H60" s="1011">
        <v>19.850000000000001</v>
      </c>
    </row>
    <row r="61" spans="1:13">
      <c r="B61" s="201" t="s">
        <v>325</v>
      </c>
      <c r="C61" s="1011">
        <v>40.9</v>
      </c>
      <c r="D61" s="1011">
        <v>20.059999999999999</v>
      </c>
      <c r="E61" s="1011">
        <v>1.1499999999999999</v>
      </c>
      <c r="F61" s="1011">
        <v>4.49</v>
      </c>
      <c r="G61" s="1011">
        <v>3.04</v>
      </c>
      <c r="H61" s="1011">
        <v>69.64</v>
      </c>
    </row>
    <row r="62" spans="1:13" s="67" customFormat="1">
      <c r="A62" s="62"/>
      <c r="B62" s="77" t="s">
        <v>227</v>
      </c>
      <c r="C62" s="67" t="s">
        <v>351</v>
      </c>
      <c r="D62" s="202"/>
      <c r="E62" s="202"/>
      <c r="F62" s="202"/>
      <c r="G62" s="202"/>
      <c r="H62" s="202"/>
      <c r="I62" s="72"/>
      <c r="J62" s="186"/>
      <c r="K62" s="176"/>
      <c r="L62" s="176"/>
      <c r="M62" s="176"/>
    </row>
    <row r="63" spans="1:13">
      <c r="C63" s="238" t="s">
        <v>370</v>
      </c>
    </row>
    <row r="64" spans="1:13">
      <c r="B64" s="77" t="s">
        <v>326</v>
      </c>
      <c r="C64" s="77"/>
      <c r="D64" s="77"/>
      <c r="E64" s="77"/>
      <c r="F64" s="77"/>
      <c r="G64" s="77"/>
      <c r="H64" s="77"/>
    </row>
    <row r="65" spans="1:13">
      <c r="C65" s="77"/>
      <c r="D65" s="77"/>
      <c r="E65" s="77"/>
      <c r="F65" s="77"/>
      <c r="G65" s="77"/>
      <c r="H65" s="77"/>
    </row>
    <row r="66" spans="1:13" s="207" customFormat="1">
      <c r="A66" s="203"/>
      <c r="B66" s="203" t="s">
        <v>999</v>
      </c>
      <c r="C66" s="204"/>
      <c r="D66" s="204"/>
      <c r="E66" s="204"/>
      <c r="F66" s="204"/>
      <c r="G66" s="204"/>
      <c r="H66" s="204"/>
      <c r="I66" s="205"/>
      <c r="J66" s="204"/>
      <c r="K66" s="206"/>
      <c r="L66" s="206"/>
      <c r="M66" s="206"/>
    </row>
    <row r="67" spans="1:13" s="207" customFormat="1">
      <c r="A67" s="203"/>
      <c r="B67" s="203"/>
      <c r="C67" s="204"/>
      <c r="D67" s="204"/>
      <c r="E67" s="204"/>
      <c r="F67" s="204"/>
      <c r="G67" s="204"/>
      <c r="H67" s="204"/>
      <c r="I67" s="205"/>
      <c r="J67" s="204"/>
      <c r="K67" s="206"/>
      <c r="L67" s="206"/>
      <c r="M67" s="206"/>
    </row>
    <row r="69" spans="1:13">
      <c r="D69" s="10" t="s">
        <v>13</v>
      </c>
      <c r="E69" s="10" t="s">
        <v>26</v>
      </c>
      <c r="F69" s="10" t="s">
        <v>27</v>
      </c>
      <c r="G69" s="10" t="s">
        <v>28</v>
      </c>
      <c r="H69" s="10" t="s">
        <v>29</v>
      </c>
      <c r="I69" s="11"/>
      <c r="J69" s="11"/>
    </row>
    <row r="70" spans="1:13">
      <c r="B70" s="76" t="s">
        <v>352</v>
      </c>
    </row>
    <row r="71" spans="1:13" ht="14">
      <c r="C71" s="23" t="s">
        <v>312</v>
      </c>
      <c r="D71" s="16" t="s">
        <v>353</v>
      </c>
      <c r="E71" s="208">
        <v>6.2052480000000007E-2</v>
      </c>
      <c r="F71" s="209">
        <v>1.6482690000000001E-2</v>
      </c>
      <c r="G71" s="209">
        <v>0.18241767</v>
      </c>
      <c r="H71" s="210">
        <v>2018</v>
      </c>
      <c r="I71" s="150"/>
      <c r="J71" s="150"/>
      <c r="K71" s="150"/>
      <c r="L71" s="150"/>
    </row>
    <row r="72" spans="1:13" ht="14">
      <c r="C72" s="23" t="s">
        <v>354</v>
      </c>
      <c r="D72" s="16" t="s">
        <v>353</v>
      </c>
      <c r="E72" s="211">
        <v>2.6870939999999999E-2</v>
      </c>
      <c r="F72" s="209">
        <v>1.565163E-2</v>
      </c>
      <c r="G72" s="209">
        <v>8.3383019999999988E-2</v>
      </c>
      <c r="H72" s="16">
        <v>2018</v>
      </c>
      <c r="I72" s="150"/>
      <c r="J72" s="150"/>
      <c r="K72" s="150"/>
      <c r="L72" s="150"/>
    </row>
    <row r="73" spans="1:13">
      <c r="C73" s="23" t="s">
        <v>315</v>
      </c>
      <c r="D73" s="16" t="s">
        <v>353</v>
      </c>
      <c r="E73" s="211">
        <v>8.3106E-4</v>
      </c>
      <c r="F73" s="209">
        <v>2.7702E-4</v>
      </c>
      <c r="G73" s="209">
        <v>2.7702E-3</v>
      </c>
      <c r="H73" s="16">
        <v>2018</v>
      </c>
      <c r="J73" s="25"/>
    </row>
    <row r="74" spans="1:13">
      <c r="E74" s="212"/>
      <c r="J74" s="24" t="s">
        <v>1000</v>
      </c>
      <c r="K74" s="213">
        <v>1.3851</v>
      </c>
    </row>
    <row r="75" spans="1:13">
      <c r="B75" s="76" t="s">
        <v>355</v>
      </c>
      <c r="E75" s="212"/>
      <c r="J75" s="23"/>
    </row>
    <row r="76" spans="1:13">
      <c r="C76" s="23" t="s">
        <v>312</v>
      </c>
      <c r="D76" s="16" t="s">
        <v>353</v>
      </c>
      <c r="E76" s="211">
        <v>5.5404000000000002E-2</v>
      </c>
      <c r="F76" s="209">
        <v>1.4682060000000002E-2</v>
      </c>
      <c r="G76" s="209">
        <v>0.16274924999999998</v>
      </c>
      <c r="H76" s="16">
        <v>2018</v>
      </c>
      <c r="J76" s="23"/>
    </row>
    <row r="77" spans="1:13">
      <c r="C77" s="23" t="s">
        <v>354</v>
      </c>
      <c r="D77" s="16" t="s">
        <v>353</v>
      </c>
      <c r="E77" s="211">
        <v>2.9779649999999998E-2</v>
      </c>
      <c r="F77" s="209">
        <v>1.6205669999999998E-2</v>
      </c>
      <c r="G77" s="209">
        <v>9.2801700000000001E-2</v>
      </c>
      <c r="H77" s="16">
        <v>2018</v>
      </c>
    </row>
    <row r="78" spans="1:13">
      <c r="C78" s="23" t="s">
        <v>315</v>
      </c>
      <c r="D78" s="16" t="s">
        <v>353</v>
      </c>
      <c r="E78" s="211">
        <v>8.3106E-4</v>
      </c>
      <c r="F78" s="209">
        <v>2.7702E-4</v>
      </c>
      <c r="G78" s="209">
        <v>2.3546700000000001E-3</v>
      </c>
      <c r="H78" s="16">
        <v>2018</v>
      </c>
    </row>
    <row r="79" spans="1:13">
      <c r="E79" s="212"/>
    </row>
    <row r="80" spans="1:13">
      <c r="B80" s="76" t="s">
        <v>356</v>
      </c>
      <c r="E80" s="212"/>
    </row>
    <row r="81" spans="1:13">
      <c r="C81" s="23" t="s">
        <v>312</v>
      </c>
      <c r="D81" s="16" t="s">
        <v>353</v>
      </c>
      <c r="E81" s="211">
        <v>0.12618260999999997</v>
      </c>
      <c r="F81" s="209">
        <v>3.3380910000000007E-2</v>
      </c>
      <c r="G81" s="209">
        <v>0.37134530999999993</v>
      </c>
      <c r="H81" s="16">
        <v>2018</v>
      </c>
    </row>
    <row r="82" spans="1:13">
      <c r="C82" s="23" t="s">
        <v>354</v>
      </c>
      <c r="D82" s="16" t="s">
        <v>353</v>
      </c>
      <c r="E82" s="211">
        <v>1.7867790000000001E-2</v>
      </c>
      <c r="F82" s="209">
        <v>9.0031499999999997E-3</v>
      </c>
      <c r="G82" s="209">
        <v>5.4018900000000002E-2</v>
      </c>
      <c r="H82" s="16">
        <v>2018</v>
      </c>
    </row>
    <row r="83" spans="1:13">
      <c r="C83" s="23" t="s">
        <v>315</v>
      </c>
      <c r="D83" s="16" t="s">
        <v>353</v>
      </c>
      <c r="E83" s="211">
        <v>9.6956999999999998E-3</v>
      </c>
      <c r="F83" s="209">
        <v>2.7702E-3</v>
      </c>
      <c r="G83" s="209">
        <v>2.5624350000000004E-2</v>
      </c>
      <c r="H83" s="16">
        <v>2018</v>
      </c>
    </row>
    <row r="84" spans="1:13">
      <c r="E84" s="212"/>
    </row>
    <row r="85" spans="1:13">
      <c r="B85" s="76" t="s">
        <v>357</v>
      </c>
      <c r="E85" s="212"/>
    </row>
    <row r="86" spans="1:13">
      <c r="C86" s="23" t="s">
        <v>312</v>
      </c>
      <c r="D86" s="16" t="s">
        <v>353</v>
      </c>
      <c r="E86" s="211">
        <v>0.12161178</v>
      </c>
      <c r="F86" s="209">
        <v>3.2134319999999994E-2</v>
      </c>
      <c r="G86" s="209">
        <v>0.35749431000000004</v>
      </c>
      <c r="H86" s="16">
        <v>2018</v>
      </c>
    </row>
    <row r="87" spans="1:13">
      <c r="C87" s="23" t="s">
        <v>354</v>
      </c>
      <c r="D87" s="16" t="s">
        <v>353</v>
      </c>
      <c r="E87" s="211">
        <v>2.4793289999999999E-2</v>
      </c>
      <c r="F87" s="209">
        <v>1.163484E-2</v>
      </c>
      <c r="G87" s="209">
        <v>7.8258149999999999E-2</v>
      </c>
      <c r="H87" s="16">
        <v>2018</v>
      </c>
    </row>
    <row r="88" spans="1:13">
      <c r="C88" s="23" t="s">
        <v>315</v>
      </c>
      <c r="D88" s="16" t="s">
        <v>353</v>
      </c>
      <c r="E88" s="214">
        <v>2.2300110000000001E-2</v>
      </c>
      <c r="F88" s="209">
        <v>6.2329500000000001E-3</v>
      </c>
      <c r="G88" s="209">
        <v>5.8728240000000008E-2</v>
      </c>
      <c r="H88" s="16">
        <v>2018</v>
      </c>
    </row>
    <row r="90" spans="1:13" s="28" customFormat="1">
      <c r="A90" s="174"/>
      <c r="B90" s="174" t="s">
        <v>4</v>
      </c>
      <c r="C90" s="26"/>
      <c r="D90" s="26"/>
      <c r="E90" s="26"/>
      <c r="F90" s="26"/>
      <c r="G90" s="26"/>
      <c r="H90" s="26"/>
      <c r="I90" s="27"/>
      <c r="J90" s="26"/>
      <c r="K90" s="175"/>
      <c r="L90" s="175"/>
      <c r="M90" s="175"/>
    </row>
    <row r="92" spans="1:13" s="215" customFormat="1" ht="10">
      <c r="B92" s="215" t="s">
        <v>358</v>
      </c>
      <c r="C92" s="70"/>
      <c r="D92" s="70"/>
      <c r="E92" s="70"/>
      <c r="F92" s="70"/>
      <c r="G92" s="70"/>
      <c r="H92" s="70"/>
      <c r="I92" s="216"/>
      <c r="J92" s="70"/>
      <c r="K92" s="217"/>
      <c r="L92" s="217"/>
      <c r="M92" s="217"/>
    </row>
    <row r="93" spans="1:13" s="215" customFormat="1" ht="10">
      <c r="C93" s="70"/>
      <c r="D93" s="70"/>
      <c r="E93" s="70"/>
      <c r="F93" s="70"/>
      <c r="G93" s="70"/>
      <c r="H93" s="70"/>
      <c r="I93" s="216"/>
      <c r="J93" s="70"/>
      <c r="K93" s="217"/>
      <c r="L93" s="217"/>
      <c r="M93" s="217"/>
    </row>
    <row r="94" spans="1:13" s="215" customFormat="1" ht="10">
      <c r="B94" s="215" t="s">
        <v>359</v>
      </c>
      <c r="C94" s="70"/>
      <c r="D94" s="70"/>
      <c r="E94" s="70"/>
      <c r="F94" s="70"/>
      <c r="G94" s="70"/>
      <c r="H94" s="70"/>
      <c r="I94" s="216"/>
      <c r="J94" s="70"/>
      <c r="K94" s="217"/>
      <c r="L94" s="217"/>
      <c r="M94" s="217"/>
    </row>
    <row r="95" spans="1:13" s="215" customFormat="1" ht="10">
      <c r="C95" s="70"/>
      <c r="D95" s="70"/>
      <c r="E95" s="70"/>
      <c r="F95" s="70"/>
      <c r="G95" s="70"/>
      <c r="H95" s="70"/>
      <c r="I95" s="216"/>
      <c r="J95" s="70"/>
      <c r="K95" s="217"/>
      <c r="L95" s="217"/>
      <c r="M95" s="217"/>
    </row>
    <row r="96" spans="1:13" s="215" customFormat="1">
      <c r="B96" s="218" t="s">
        <v>360</v>
      </c>
      <c r="C96" s="70"/>
      <c r="D96" s="70"/>
      <c r="E96" s="70"/>
      <c r="F96" s="70"/>
      <c r="G96" s="70"/>
      <c r="H96" s="70"/>
      <c r="I96" s="216"/>
      <c r="J96" s="70"/>
      <c r="K96" s="217"/>
      <c r="L96" s="217"/>
      <c r="M96" s="217"/>
    </row>
    <row r="97" spans="2:13" s="215" customFormat="1" ht="10">
      <c r="D97" s="70"/>
      <c r="E97" s="70"/>
      <c r="F97" s="70"/>
      <c r="G97" s="70"/>
      <c r="H97" s="70"/>
      <c r="I97" s="216"/>
      <c r="J97" s="70"/>
      <c r="K97" s="217"/>
      <c r="L97" s="217"/>
      <c r="M97" s="217"/>
    </row>
    <row r="98" spans="2:13">
      <c r="B98" s="216" t="s">
        <v>361</v>
      </c>
    </row>
    <row r="99" spans="2:13">
      <c r="B99" s="16"/>
    </row>
    <row r="100" spans="2:13">
      <c r="B100" s="23" t="s">
        <v>362</v>
      </c>
    </row>
    <row r="102" spans="2:13">
      <c r="B102" s="219" t="s">
        <v>982</v>
      </c>
    </row>
  </sheetData>
  <mergeCells count="16">
    <mergeCell ref="C14:E14"/>
    <mergeCell ref="F14:H14"/>
    <mergeCell ref="I14:K14"/>
    <mergeCell ref="B3:K3"/>
    <mergeCell ref="C4:E4"/>
    <mergeCell ref="F4:H4"/>
    <mergeCell ref="I4:K4"/>
    <mergeCell ref="B13:K13"/>
    <mergeCell ref="B50:B51"/>
    <mergeCell ref="C50:H50"/>
    <mergeCell ref="B23:K23"/>
    <mergeCell ref="C24:E24"/>
    <mergeCell ref="F24:H24"/>
    <mergeCell ref="I24:K24"/>
    <mergeCell ref="B36:F36"/>
    <mergeCell ref="C38:C3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2" tint="-0.499984740745262"/>
  </sheetPr>
  <dimension ref="A1:E41"/>
  <sheetViews>
    <sheetView showGridLines="0" topLeftCell="C1" workbookViewId="0">
      <selection activeCell="E23" sqref="E23"/>
    </sheetView>
  </sheetViews>
  <sheetFormatPr defaultColWidth="9" defaultRowHeight="12.5"/>
  <cols>
    <col min="1" max="1" width="0.83203125" style="358" customWidth="1"/>
    <col min="2" max="2" width="43.5" style="358" customWidth="1"/>
    <col min="3" max="3" width="18.75" style="358" customWidth="1"/>
    <col min="4" max="4" width="14.25" style="358" customWidth="1"/>
    <col min="5" max="5" width="119.83203125" style="358" customWidth="1"/>
    <col min="6" max="16384" width="9" style="358"/>
  </cols>
  <sheetData>
    <row r="1" spans="1:5" ht="25">
      <c r="A1" s="356" t="s">
        <v>601</v>
      </c>
    </row>
    <row r="2" spans="1:5" ht="13">
      <c r="A2" s="361"/>
      <c r="B2" s="365" t="s">
        <v>446</v>
      </c>
      <c r="C2" s="359" t="s">
        <v>449</v>
      </c>
      <c r="D2" s="360" t="s">
        <v>8</v>
      </c>
      <c r="E2" s="598" t="s">
        <v>14</v>
      </c>
    </row>
    <row r="4" spans="1:5">
      <c r="B4" s="367" t="s">
        <v>600</v>
      </c>
      <c r="C4" s="363" t="s">
        <v>15</v>
      </c>
      <c r="D4" s="623">
        <v>7.0000000000000007E-2</v>
      </c>
      <c r="E4" s="1445" t="s">
        <v>1165</v>
      </c>
    </row>
    <row r="5" spans="1:5">
      <c r="B5" s="367" t="s">
        <v>473</v>
      </c>
      <c r="C5" s="363" t="s">
        <v>15</v>
      </c>
      <c r="D5" s="623">
        <v>0.03</v>
      </c>
      <c r="E5" s="1445"/>
    </row>
    <row r="7" spans="1:5">
      <c r="B7" s="358" t="s">
        <v>1278</v>
      </c>
      <c r="C7" s="363" t="s">
        <v>1275</v>
      </c>
      <c r="D7" s="368">
        <v>907185</v>
      </c>
      <c r="E7" s="363" t="s">
        <v>481</v>
      </c>
    </row>
    <row r="8" spans="1:5">
      <c r="B8" s="358" t="s">
        <v>1276</v>
      </c>
      <c r="C8" s="363" t="s">
        <v>1277</v>
      </c>
      <c r="D8" s="368">
        <v>1000000</v>
      </c>
      <c r="E8" s="363" t="s">
        <v>481</v>
      </c>
    </row>
    <row r="9" spans="1:5">
      <c r="B9" s="358" t="s">
        <v>524</v>
      </c>
      <c r="C9" s="363" t="s">
        <v>525</v>
      </c>
      <c r="D9" s="368">
        <v>60</v>
      </c>
      <c r="E9" s="363" t="s">
        <v>481</v>
      </c>
    </row>
    <row r="10" spans="1:5">
      <c r="B10" s="358" t="s">
        <v>521</v>
      </c>
      <c r="C10" s="363" t="s">
        <v>522</v>
      </c>
      <c r="D10" s="368">
        <v>5280</v>
      </c>
      <c r="E10" s="363" t="s">
        <v>481</v>
      </c>
    </row>
    <row r="11" spans="1:5">
      <c r="B11" s="358" t="s">
        <v>489</v>
      </c>
      <c r="C11" s="363" t="s">
        <v>490</v>
      </c>
      <c r="D11" s="368">
        <v>1440</v>
      </c>
      <c r="E11" s="363" t="s">
        <v>481</v>
      </c>
    </row>
    <row r="12" spans="1:5">
      <c r="B12" s="358" t="s">
        <v>491</v>
      </c>
      <c r="C12" s="363" t="s">
        <v>492</v>
      </c>
      <c r="D12" s="368">
        <v>365</v>
      </c>
      <c r="E12" s="363" t="s">
        <v>481</v>
      </c>
    </row>
    <row r="14" spans="1:5">
      <c r="B14" s="358" t="s">
        <v>447</v>
      </c>
      <c r="C14" s="363" t="s">
        <v>15</v>
      </c>
      <c r="D14" s="370">
        <v>0</v>
      </c>
      <c r="E14" s="363" t="s">
        <v>1294</v>
      </c>
    </row>
    <row r="15" spans="1:5">
      <c r="B15" s="358" t="s">
        <v>493</v>
      </c>
      <c r="C15" s="363" t="s">
        <v>1257</v>
      </c>
      <c r="D15" s="371">
        <v>17.899999999999999</v>
      </c>
      <c r="E15" s="363" t="s">
        <v>1294</v>
      </c>
    </row>
    <row r="16" spans="1:5">
      <c r="B16" s="358" t="s">
        <v>494</v>
      </c>
      <c r="C16" s="363" t="s">
        <v>1257</v>
      </c>
      <c r="D16" s="371">
        <v>30.8</v>
      </c>
      <c r="E16" s="363" t="s">
        <v>1294</v>
      </c>
    </row>
    <row r="17" spans="2:5">
      <c r="B17" s="358" t="s">
        <v>773</v>
      </c>
      <c r="C17" s="363" t="s">
        <v>1257</v>
      </c>
      <c r="D17" s="371">
        <v>31.7</v>
      </c>
      <c r="E17" s="363" t="s">
        <v>1294</v>
      </c>
    </row>
    <row r="19" spans="2:5">
      <c r="B19" s="358" t="s">
        <v>495</v>
      </c>
      <c r="C19" s="363" t="s">
        <v>496</v>
      </c>
      <c r="D19" s="372">
        <f>'Value of Time'!C74</f>
        <v>1.67</v>
      </c>
      <c r="E19" s="363" t="s">
        <v>1295</v>
      </c>
    </row>
    <row r="20" spans="2:5">
      <c r="B20" s="358" t="s">
        <v>497</v>
      </c>
      <c r="C20" s="363" t="s">
        <v>496</v>
      </c>
      <c r="D20" s="372">
        <f>'Value of Time'!C82</f>
        <v>1</v>
      </c>
      <c r="E20" s="363" t="s">
        <v>1295</v>
      </c>
    </row>
    <row r="21" spans="2:5">
      <c r="B21" s="358" t="s">
        <v>750</v>
      </c>
      <c r="C21" s="363" t="s">
        <v>496</v>
      </c>
      <c r="D21" s="372">
        <v>1</v>
      </c>
      <c r="E21" s="363" t="s">
        <v>749</v>
      </c>
    </row>
    <row r="22" spans="2:5">
      <c r="C22" s="363"/>
    </row>
    <row r="23" spans="2:5">
      <c r="B23" s="358" t="s">
        <v>975</v>
      </c>
      <c r="C23" s="363" t="s">
        <v>1258</v>
      </c>
      <c r="D23" s="373">
        <v>12071000</v>
      </c>
      <c r="E23" s="374" t="s">
        <v>1264</v>
      </c>
    </row>
    <row r="24" spans="2:5">
      <c r="B24" s="358" t="s">
        <v>973</v>
      </c>
      <c r="C24" s="363" t="s">
        <v>1259</v>
      </c>
      <c r="D24" s="373">
        <v>284100</v>
      </c>
      <c r="E24" s="374" t="s">
        <v>1264</v>
      </c>
    </row>
    <row r="25" spans="2:5">
      <c r="B25" s="358" t="s">
        <v>452</v>
      </c>
      <c r="C25" s="363" t="s">
        <v>1260</v>
      </c>
      <c r="D25" s="373">
        <v>4500</v>
      </c>
      <c r="E25" s="374" t="s">
        <v>1264</v>
      </c>
    </row>
    <row r="26" spans="2:5">
      <c r="B26" s="358" t="s">
        <v>327</v>
      </c>
      <c r="C26" s="363" t="s">
        <v>15</v>
      </c>
      <c r="D26" s="370">
        <v>0</v>
      </c>
      <c r="E26" s="374" t="s">
        <v>1264</v>
      </c>
    </row>
    <row r="27" spans="2:5">
      <c r="C27" s="363"/>
    </row>
    <row r="28" spans="2:5">
      <c r="B28" s="358" t="s">
        <v>498</v>
      </c>
      <c r="C28" s="363" t="s">
        <v>454</v>
      </c>
      <c r="D28" s="375">
        <f>AVERAGE(0.16,0.29,0.39,0.59)</f>
        <v>0.35749999999999998</v>
      </c>
      <c r="E28" s="374" t="s">
        <v>499</v>
      </c>
    </row>
    <row r="29" spans="2:5">
      <c r="B29" s="358" t="s">
        <v>291</v>
      </c>
      <c r="C29" s="363" t="s">
        <v>454</v>
      </c>
      <c r="D29" s="375">
        <v>0.84</v>
      </c>
      <c r="E29" s="374" t="s">
        <v>945</v>
      </c>
    </row>
    <row r="30" spans="2:5">
      <c r="B30" s="358" t="s">
        <v>786</v>
      </c>
      <c r="C30" s="363" t="s">
        <v>454</v>
      </c>
      <c r="D30" s="375">
        <v>0.97</v>
      </c>
      <c r="E30" s="374" t="s">
        <v>946</v>
      </c>
    </row>
    <row r="31" spans="2:5">
      <c r="B31" s="358" t="s">
        <v>500</v>
      </c>
      <c r="C31" s="363" t="s">
        <v>460</v>
      </c>
      <c r="D31" s="375">
        <f>1.38/1000*25</f>
        <v>3.4499999999999996E-2</v>
      </c>
      <c r="E31" s="374" t="s">
        <v>947</v>
      </c>
    </row>
    <row r="32" spans="2:5">
      <c r="B32" s="358" t="s">
        <v>501</v>
      </c>
      <c r="C32" s="363" t="s">
        <v>460</v>
      </c>
      <c r="D32" s="375">
        <f>1.38/1000*25</f>
        <v>3.4499999999999996E-2</v>
      </c>
      <c r="E32" s="374" t="s">
        <v>947</v>
      </c>
    </row>
    <row r="33" spans="2:5">
      <c r="B33" s="358" t="s">
        <v>766</v>
      </c>
      <c r="C33" s="363" t="s">
        <v>460</v>
      </c>
      <c r="D33" s="375">
        <f>1.38/1000*25</f>
        <v>3.4499999999999996E-2</v>
      </c>
      <c r="E33" s="374" t="s">
        <v>947</v>
      </c>
    </row>
    <row r="34" spans="2:5">
      <c r="B34" s="358" t="s">
        <v>502</v>
      </c>
      <c r="C34" s="363" t="s">
        <v>1261</v>
      </c>
      <c r="D34" s="371">
        <f>'Other Vehicle Costs'!G56</f>
        <v>10.715310341685649</v>
      </c>
      <c r="E34" s="363" t="s">
        <v>1262</v>
      </c>
    </row>
    <row r="35" spans="2:5">
      <c r="B35" s="358" t="s">
        <v>503</v>
      </c>
      <c r="C35" s="363" t="s">
        <v>1261</v>
      </c>
      <c r="D35" s="371">
        <f>'Other Vehicle Costs'!G55</f>
        <v>4.2855243432042522</v>
      </c>
      <c r="E35" s="363" t="s">
        <v>1262</v>
      </c>
    </row>
    <row r="36" spans="2:5">
      <c r="B36" s="358" t="s">
        <v>770</v>
      </c>
      <c r="C36" s="363" t="s">
        <v>1261</v>
      </c>
      <c r="D36" s="371">
        <f>'Other Vehicle Costs'!G51</f>
        <v>10.715310341685649</v>
      </c>
      <c r="E36" s="363" t="s">
        <v>1262</v>
      </c>
    </row>
    <row r="37" spans="2:5">
      <c r="C37" s="363"/>
    </row>
    <row r="38" spans="2:5">
      <c r="B38" s="358" t="s">
        <v>1187</v>
      </c>
      <c r="C38" s="363" t="s">
        <v>15</v>
      </c>
      <c r="D38" s="1261">
        <v>0.05</v>
      </c>
      <c r="E38" s="363" t="s">
        <v>1188</v>
      </c>
    </row>
    <row r="39" spans="2:5">
      <c r="B39" s="358" t="s">
        <v>1122</v>
      </c>
      <c r="C39" s="363" t="s">
        <v>1263</v>
      </c>
      <c r="D39" s="633">
        <f>'Land Value Increase'!C18</f>
        <v>12248163.847270133</v>
      </c>
      <c r="E39" s="363" t="s">
        <v>1243</v>
      </c>
    </row>
    <row r="41" spans="2:5">
      <c r="B41" s="358" t="s">
        <v>923</v>
      </c>
      <c r="C41" s="363" t="s">
        <v>598</v>
      </c>
      <c r="D41" s="368">
        <v>40</v>
      </c>
      <c r="E41" s="363" t="s">
        <v>922</v>
      </c>
    </row>
  </sheetData>
  <mergeCells count="1">
    <mergeCell ref="E4:E5"/>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theme="8" tint="0.79998168889431442"/>
  </sheetPr>
  <dimension ref="A1:AJ372"/>
  <sheetViews>
    <sheetView workbookViewId="0">
      <selection activeCell="A2" sqref="A2"/>
    </sheetView>
  </sheetViews>
  <sheetFormatPr defaultColWidth="9" defaultRowHeight="14.5"/>
  <cols>
    <col min="1" max="1" width="0.83203125" style="1056" customWidth="1"/>
    <col min="2" max="2" width="58" style="1097" customWidth="1"/>
    <col min="3" max="3" width="7.58203125" style="1082" customWidth="1"/>
    <col min="4" max="24" width="7.58203125" style="1056" customWidth="1"/>
    <col min="25" max="25" width="7.58203125" style="1066" customWidth="1"/>
    <col min="26" max="26" width="7.58203125" style="1068" customWidth="1"/>
    <col min="27" max="31" width="7.58203125" style="1056" customWidth="1"/>
    <col min="32" max="33" width="9" style="1056"/>
    <col min="34" max="34" width="14.58203125" style="1056" customWidth="1"/>
    <col min="35" max="16384" width="9" style="1056"/>
  </cols>
  <sheetData>
    <row r="1" spans="1:33" s="1044" customFormat="1">
      <c r="A1" s="1044" t="s">
        <v>1016</v>
      </c>
      <c r="C1" s="1045"/>
    </row>
    <row r="3" spans="1:33" s="1046" customFormat="1">
      <c r="B3" s="1047" t="s">
        <v>371</v>
      </c>
      <c r="C3" s="1048"/>
    </row>
    <row r="4" spans="1:33" s="1049" customFormat="1">
      <c r="B4" s="1050"/>
      <c r="X4" s="1051"/>
      <c r="Y4" s="1052"/>
      <c r="Z4" s="1053"/>
    </row>
    <row r="5" spans="1:33" s="1049" customFormat="1">
      <c r="B5" s="1050"/>
      <c r="C5" s="1054">
        <v>1990</v>
      </c>
      <c r="D5" s="1054">
        <v>1991</v>
      </c>
      <c r="E5" s="1054">
        <v>1992</v>
      </c>
      <c r="F5" s="1054">
        <v>1993</v>
      </c>
      <c r="G5" s="1054">
        <v>1994</v>
      </c>
      <c r="H5" s="1054">
        <v>1995</v>
      </c>
      <c r="I5" s="1054">
        <v>1996</v>
      </c>
      <c r="J5" s="1054">
        <v>1997</v>
      </c>
      <c r="K5" s="1054">
        <v>1998</v>
      </c>
      <c r="L5" s="1054">
        <v>1999</v>
      </c>
      <c r="M5" s="1054">
        <v>2000</v>
      </c>
      <c r="N5" s="1054">
        <v>2001</v>
      </c>
      <c r="O5" s="1054">
        <v>2002</v>
      </c>
      <c r="P5" s="1054">
        <v>2003</v>
      </c>
      <c r="Q5" s="1054">
        <v>2004</v>
      </c>
      <c r="R5" s="1054">
        <v>2005</v>
      </c>
      <c r="S5" s="1054">
        <v>2006</v>
      </c>
      <c r="T5" s="1054">
        <v>2007</v>
      </c>
      <c r="U5" s="1054">
        <v>2008</v>
      </c>
      <c r="V5" s="1054">
        <v>2009</v>
      </c>
      <c r="W5" s="1054">
        <v>2010</v>
      </c>
      <c r="X5" s="1055">
        <v>2011</v>
      </c>
      <c r="Y5" s="1055">
        <v>2012</v>
      </c>
      <c r="Z5" s="1055">
        <v>2013</v>
      </c>
      <c r="AA5" s="1055">
        <v>2014</v>
      </c>
      <c r="AB5" s="1055">
        <v>2015</v>
      </c>
      <c r="AC5" s="1055">
        <v>2016</v>
      </c>
      <c r="AD5" s="1055">
        <v>2017</v>
      </c>
      <c r="AE5" s="1055">
        <v>2018</v>
      </c>
      <c r="AF5" s="1055">
        <v>2019</v>
      </c>
      <c r="AG5" s="1055">
        <v>2020</v>
      </c>
    </row>
    <row r="6" spans="1:33" ht="29">
      <c r="B6" s="1057" t="s">
        <v>585</v>
      </c>
      <c r="C6" s="1058">
        <f>INDEX($P$57:$P$107,MATCH(C$5,$C$57:$C$107,0))</f>
        <v>130.69999999999999</v>
      </c>
      <c r="D6" s="1058">
        <f t="shared" ref="D6:AG6" si="0">INDEX($P$57:$P$107,MATCH(D$5,$C$57:$C$107,0))</f>
        <v>136.19999999999999</v>
      </c>
      <c r="E6" s="1058">
        <f t="shared" si="0"/>
        <v>140.30000000000001</v>
      </c>
      <c r="F6" s="1058">
        <f t="shared" si="0"/>
        <v>144.5</v>
      </c>
      <c r="G6" s="1058">
        <f t="shared" si="0"/>
        <v>148.19999999999999</v>
      </c>
      <c r="H6" s="1058">
        <f t="shared" si="0"/>
        <v>152.4</v>
      </c>
      <c r="I6" s="1058">
        <f t="shared" si="0"/>
        <v>156.9</v>
      </c>
      <c r="J6" s="1058">
        <f t="shared" si="0"/>
        <v>160.5</v>
      </c>
      <c r="K6" s="1058">
        <f t="shared" si="0"/>
        <v>163</v>
      </c>
      <c r="L6" s="1058">
        <f t="shared" si="0"/>
        <v>166.6</v>
      </c>
      <c r="M6" s="1058">
        <f t="shared" si="0"/>
        <v>172.2</v>
      </c>
      <c r="N6" s="1058">
        <f t="shared" si="0"/>
        <v>177.1</v>
      </c>
      <c r="O6" s="1058">
        <f t="shared" si="0"/>
        <v>179.9</v>
      </c>
      <c r="P6" s="1058">
        <f t="shared" si="0"/>
        <v>184</v>
      </c>
      <c r="Q6" s="1058">
        <f t="shared" si="0"/>
        <v>188.9</v>
      </c>
      <c r="R6" s="1058">
        <f t="shared" si="0"/>
        <v>195.3</v>
      </c>
      <c r="S6" s="1058">
        <f t="shared" si="0"/>
        <v>201.6</v>
      </c>
      <c r="T6" s="1058">
        <f t="shared" si="0"/>
        <v>207.34200000000001</v>
      </c>
      <c r="U6" s="1058">
        <f t="shared" si="0"/>
        <v>215.303</v>
      </c>
      <c r="V6" s="1058">
        <f t="shared" si="0"/>
        <v>214.53700000000001</v>
      </c>
      <c r="W6" s="1058">
        <f t="shared" si="0"/>
        <v>218.05600000000001</v>
      </c>
      <c r="X6" s="1058">
        <f t="shared" si="0"/>
        <v>224.93899999999999</v>
      </c>
      <c r="Y6" s="1058">
        <f t="shared" si="0"/>
        <v>229.59399999999999</v>
      </c>
      <c r="Z6" s="1058">
        <f t="shared" si="0"/>
        <v>232.95699999999999</v>
      </c>
      <c r="AA6" s="1058">
        <f t="shared" si="0"/>
        <v>236.73599999999999</v>
      </c>
      <c r="AB6" s="1058">
        <f t="shared" si="0"/>
        <v>237.017</v>
      </c>
      <c r="AC6" s="1058">
        <f t="shared" si="0"/>
        <v>240.00700000000001</v>
      </c>
      <c r="AD6" s="1058">
        <f t="shared" si="0"/>
        <v>245.12</v>
      </c>
      <c r="AE6" s="1058">
        <f t="shared" si="0"/>
        <v>251.107</v>
      </c>
      <c r="AF6" s="1058">
        <f t="shared" si="0"/>
        <v>255.65700000000001</v>
      </c>
      <c r="AG6" s="1058">
        <f t="shared" si="0"/>
        <v>258.81099999999998</v>
      </c>
    </row>
    <row r="7" spans="1:33">
      <c r="B7" s="1059" t="s">
        <v>586</v>
      </c>
      <c r="C7" s="1060"/>
      <c r="D7" s="1060">
        <f>D6/C6-1</f>
        <v>4.2081101759755102E-2</v>
      </c>
      <c r="E7" s="1060">
        <f t="shared" ref="E7:AG7" si="1">E6/D6-1</f>
        <v>3.0102790014684411E-2</v>
      </c>
      <c r="F7" s="1060">
        <f t="shared" si="1"/>
        <v>2.9935851746258013E-2</v>
      </c>
      <c r="G7" s="1060">
        <f t="shared" si="1"/>
        <v>2.5605536332179879E-2</v>
      </c>
      <c r="H7" s="1060">
        <f t="shared" si="1"/>
        <v>2.8340080971660075E-2</v>
      </c>
      <c r="I7" s="1060">
        <f t="shared" si="1"/>
        <v>2.9527559055118058E-2</v>
      </c>
      <c r="J7" s="1060">
        <f t="shared" si="1"/>
        <v>2.2944550669216079E-2</v>
      </c>
      <c r="K7" s="1060">
        <f t="shared" si="1"/>
        <v>1.5576323987538832E-2</v>
      </c>
      <c r="L7" s="1060">
        <f t="shared" si="1"/>
        <v>2.208588957055202E-2</v>
      </c>
      <c r="M7" s="1060">
        <f t="shared" si="1"/>
        <v>3.3613445378151141E-2</v>
      </c>
      <c r="N7" s="1060">
        <f t="shared" si="1"/>
        <v>2.8455284552845628E-2</v>
      </c>
      <c r="O7" s="1060">
        <f t="shared" si="1"/>
        <v>1.5810276679842028E-2</v>
      </c>
      <c r="P7" s="1060">
        <f t="shared" si="1"/>
        <v>2.2790439132851503E-2</v>
      </c>
      <c r="Q7" s="1060">
        <f t="shared" si="1"/>
        <v>2.6630434782608736E-2</v>
      </c>
      <c r="R7" s="1060">
        <f t="shared" si="1"/>
        <v>3.3880359978824881E-2</v>
      </c>
      <c r="S7" s="1060">
        <f t="shared" si="1"/>
        <v>3.2258064516129004E-2</v>
      </c>
      <c r="T7" s="1060">
        <f t="shared" si="1"/>
        <v>2.84821428571429E-2</v>
      </c>
      <c r="U7" s="1060">
        <f t="shared" si="1"/>
        <v>3.8395501152684863E-2</v>
      </c>
      <c r="V7" s="1060">
        <f t="shared" si="1"/>
        <v>-3.5577767146764971E-3</v>
      </c>
      <c r="W7" s="1060">
        <f t="shared" si="1"/>
        <v>1.6402765024214894E-2</v>
      </c>
      <c r="X7" s="1060">
        <f t="shared" si="1"/>
        <v>3.1565285981582702E-2</v>
      </c>
      <c r="Y7" s="1060">
        <f t="shared" si="1"/>
        <v>2.0694499397614363E-2</v>
      </c>
      <c r="Z7" s="1060">
        <f t="shared" si="1"/>
        <v>1.4647595320435247E-2</v>
      </c>
      <c r="AA7" s="1060">
        <f t="shared" si="1"/>
        <v>1.6221877857286904E-2</v>
      </c>
      <c r="AB7" s="1060">
        <f t="shared" si="1"/>
        <v>1.1869762097864722E-3</v>
      </c>
      <c r="AC7" s="1060">
        <f t="shared" si="1"/>
        <v>1.2615128872612624E-2</v>
      </c>
      <c r="AD7" s="1060">
        <f t="shared" si="1"/>
        <v>2.1303545313261729E-2</v>
      </c>
      <c r="AE7" s="1060">
        <f t="shared" si="1"/>
        <v>2.4424771540469958E-2</v>
      </c>
      <c r="AF7" s="1060">
        <f t="shared" si="1"/>
        <v>1.811976567757978E-2</v>
      </c>
      <c r="AG7" s="1060">
        <f t="shared" si="1"/>
        <v>1.2336841940568721E-2</v>
      </c>
    </row>
    <row r="8" spans="1:33">
      <c r="B8" s="1050"/>
      <c r="C8" s="1056"/>
      <c r="J8" s="1061"/>
      <c r="K8" s="1061"/>
      <c r="L8" s="1061"/>
      <c r="M8" s="1062"/>
      <c r="N8" s="1062"/>
      <c r="O8" s="1062"/>
      <c r="P8" s="1062"/>
      <c r="Q8" s="1062"/>
      <c r="R8" s="1062"/>
      <c r="S8" s="1062"/>
      <c r="T8" s="1062"/>
      <c r="U8" s="1062"/>
      <c r="V8" s="1062"/>
      <c r="W8" s="1062"/>
      <c r="X8" s="1063"/>
      <c r="Y8" s="1064"/>
      <c r="Z8" s="1065"/>
      <c r="AF8" s="1049"/>
      <c r="AG8" s="1049"/>
    </row>
    <row r="9" spans="1:33" s="1066" customFormat="1" ht="29">
      <c r="B9" s="1057" t="s">
        <v>587</v>
      </c>
      <c r="C9" s="1058">
        <f>INDEX($P$165:$P$195,MATCH(C$5,$C$165:$C$195,0))</f>
        <v>116.3</v>
      </c>
      <c r="D9" s="1058">
        <f>INDEX($P$165:$P$195,MATCH(D$5,$C$165:$C$195,0))</f>
        <v>116.5</v>
      </c>
      <c r="E9" s="1058">
        <f t="shared" ref="E9:AG9" si="2">INDEX($P$165:$P$195,MATCH(E$5,$C$165:$C$195,0))</f>
        <v>117.2</v>
      </c>
      <c r="F9" s="1058">
        <f t="shared" si="2"/>
        <v>118.9</v>
      </c>
      <c r="G9" s="1058">
        <f t="shared" si="2"/>
        <v>120.4</v>
      </c>
      <c r="H9" s="1058">
        <f t="shared" si="2"/>
        <v>124.7</v>
      </c>
      <c r="I9" s="1058">
        <f t="shared" si="2"/>
        <v>127.7</v>
      </c>
      <c r="J9" s="1058">
        <f t="shared" si="2"/>
        <v>127.6</v>
      </c>
      <c r="K9" s="1058">
        <f t="shared" si="2"/>
        <v>124.4</v>
      </c>
      <c r="L9" s="1058">
        <f t="shared" si="2"/>
        <v>125.5</v>
      </c>
      <c r="M9" s="1058">
        <f t="shared" si="2"/>
        <v>132.69999999999999</v>
      </c>
      <c r="N9" s="1058">
        <f t="shared" si="2"/>
        <v>134.19999999999999</v>
      </c>
      <c r="O9" s="1058">
        <f t="shared" si="2"/>
        <v>131.1</v>
      </c>
      <c r="P9" s="1058">
        <f t="shared" si="2"/>
        <v>138.1</v>
      </c>
      <c r="Q9" s="1058">
        <f t="shared" si="2"/>
        <v>146.69999999999999</v>
      </c>
      <c r="R9" s="1058">
        <f t="shared" si="2"/>
        <v>157.4</v>
      </c>
      <c r="S9" s="1058">
        <f t="shared" si="2"/>
        <v>164.7</v>
      </c>
      <c r="T9" s="1058">
        <f t="shared" si="2"/>
        <v>172.6</v>
      </c>
      <c r="U9" s="1058">
        <f t="shared" si="2"/>
        <v>189.6</v>
      </c>
      <c r="V9" s="1058">
        <f t="shared" si="2"/>
        <v>172.9</v>
      </c>
      <c r="W9" s="1058">
        <f t="shared" si="2"/>
        <v>184.7</v>
      </c>
      <c r="X9" s="1058">
        <f t="shared" si="2"/>
        <v>201</v>
      </c>
      <c r="Y9" s="1058">
        <f t="shared" si="2"/>
        <v>202.2</v>
      </c>
      <c r="Z9" s="1058">
        <f t="shared" si="2"/>
        <v>203.4</v>
      </c>
      <c r="AA9" s="1058">
        <f t="shared" si="2"/>
        <v>205.3</v>
      </c>
      <c r="AB9" s="1058">
        <f t="shared" si="2"/>
        <v>190.4</v>
      </c>
      <c r="AC9" s="1058">
        <f t="shared" si="2"/>
        <v>185.4</v>
      </c>
      <c r="AD9" s="1058">
        <f t="shared" si="2"/>
        <v>193.5</v>
      </c>
      <c r="AE9" s="1058">
        <f t="shared" si="2"/>
        <v>202</v>
      </c>
      <c r="AF9" s="1058">
        <f t="shared" si="2"/>
        <v>199.8</v>
      </c>
      <c r="AG9" s="1058">
        <f t="shared" si="2"/>
        <v>194.4</v>
      </c>
    </row>
    <row r="10" spans="1:33">
      <c r="B10" s="1059" t="s">
        <v>588</v>
      </c>
      <c r="C10" s="1056"/>
      <c r="D10" s="1060">
        <f>D9/C9-1</f>
        <v>1.7196904557179593E-3</v>
      </c>
      <c r="E10" s="1060">
        <f t="shared" ref="E10:AG10" si="3">E9/D9-1</f>
        <v>6.0085836909871126E-3</v>
      </c>
      <c r="F10" s="1060">
        <f t="shared" si="3"/>
        <v>1.4505119453924964E-2</v>
      </c>
      <c r="G10" s="1060">
        <f t="shared" si="3"/>
        <v>1.2615643397813292E-2</v>
      </c>
      <c r="H10" s="1060">
        <f t="shared" si="3"/>
        <v>3.5714285714285587E-2</v>
      </c>
      <c r="I10" s="1060">
        <f t="shared" si="3"/>
        <v>2.4057738572574205E-2</v>
      </c>
      <c r="J10" s="1060">
        <f t="shared" si="3"/>
        <v>-7.8308535630389198E-4</v>
      </c>
      <c r="K10" s="1060">
        <f t="shared" si="3"/>
        <v>-2.5078369905956022E-2</v>
      </c>
      <c r="L10" s="1060">
        <f t="shared" si="3"/>
        <v>8.8424437299035041E-3</v>
      </c>
      <c r="M10" s="1060">
        <f t="shared" si="3"/>
        <v>5.7370517928286846E-2</v>
      </c>
      <c r="N10" s="1060">
        <f t="shared" si="3"/>
        <v>1.1303692539562871E-2</v>
      </c>
      <c r="O10" s="1060">
        <f t="shared" si="3"/>
        <v>-2.3099850968703373E-2</v>
      </c>
      <c r="P10" s="1060">
        <f t="shared" si="3"/>
        <v>5.3394355453852071E-2</v>
      </c>
      <c r="Q10" s="1060">
        <f t="shared" si="3"/>
        <v>6.2273714699493166E-2</v>
      </c>
      <c r="R10" s="1060">
        <f t="shared" si="3"/>
        <v>7.2937968643490336E-2</v>
      </c>
      <c r="S10" s="1060">
        <f t="shared" si="3"/>
        <v>4.6378653113087642E-2</v>
      </c>
      <c r="T10" s="1060">
        <f t="shared" si="3"/>
        <v>4.7965998785670871E-2</v>
      </c>
      <c r="U10" s="1060">
        <f t="shared" si="3"/>
        <v>9.8493626882966367E-2</v>
      </c>
      <c r="V10" s="1060">
        <f t="shared" si="3"/>
        <v>-8.8080168776371259E-2</v>
      </c>
      <c r="W10" s="1060">
        <f t="shared" si="3"/>
        <v>6.8247541931752309E-2</v>
      </c>
      <c r="X10" s="1060">
        <f t="shared" si="3"/>
        <v>8.8251218191662151E-2</v>
      </c>
      <c r="Y10" s="1060">
        <f t="shared" si="3"/>
        <v>5.9701492537311829E-3</v>
      </c>
      <c r="Z10" s="1060">
        <f t="shared" si="3"/>
        <v>5.9347181008901906E-3</v>
      </c>
      <c r="AA10" s="1060">
        <f t="shared" si="3"/>
        <v>9.3411996066863345E-3</v>
      </c>
      <c r="AB10" s="1060">
        <f t="shared" si="3"/>
        <v>-7.2576716999512958E-2</v>
      </c>
      <c r="AC10" s="1060">
        <f t="shared" si="3"/>
        <v>-2.626050420168069E-2</v>
      </c>
      <c r="AD10" s="1060">
        <f t="shared" si="3"/>
        <v>4.3689320388349495E-2</v>
      </c>
      <c r="AE10" s="1060">
        <f t="shared" si="3"/>
        <v>4.3927648578811374E-2</v>
      </c>
      <c r="AF10" s="1060">
        <f t="shared" si="3"/>
        <v>-1.089108910891079E-2</v>
      </c>
      <c r="AG10" s="1060">
        <f t="shared" si="3"/>
        <v>-2.7027027027027084E-2</v>
      </c>
    </row>
    <row r="11" spans="1:33">
      <c r="B11" s="1050"/>
      <c r="C11" s="1056"/>
      <c r="X11" s="1066"/>
      <c r="Y11" s="1067"/>
      <c r="AF11" s="1049"/>
      <c r="AG11" s="1049"/>
    </row>
    <row r="12" spans="1:33">
      <c r="B12" s="1057" t="s">
        <v>372</v>
      </c>
      <c r="C12" s="1056"/>
      <c r="N12" s="1054"/>
      <c r="O12" s="1054"/>
      <c r="P12" s="1054"/>
      <c r="Q12" s="1054"/>
      <c r="R12" s="1054"/>
      <c r="S12" s="1054"/>
      <c r="T12" s="1054"/>
      <c r="U12" s="1054"/>
      <c r="V12" s="1054"/>
      <c r="W12" s="1054"/>
      <c r="X12" s="1054"/>
      <c r="Y12" s="1054"/>
      <c r="Z12" s="1054"/>
      <c r="AA12" s="1054"/>
      <c r="AB12" s="1054"/>
      <c r="AC12" s="1054"/>
      <c r="AD12" s="1054"/>
      <c r="AE12" s="1054"/>
      <c r="AF12" s="1054"/>
      <c r="AG12" s="1054"/>
    </row>
    <row r="13" spans="1:33">
      <c r="B13" s="1057" t="s">
        <v>589</v>
      </c>
      <c r="C13" s="1056"/>
      <c r="N13" s="1054"/>
      <c r="O13" s="1054"/>
      <c r="P13" s="1054"/>
      <c r="Q13" s="1054"/>
      <c r="R13" s="1054"/>
      <c r="S13" s="1054"/>
      <c r="T13" s="1054"/>
      <c r="U13" s="1054"/>
      <c r="V13" s="1054"/>
      <c r="W13" s="1054"/>
      <c r="X13" s="1055"/>
      <c r="Y13" s="1067"/>
      <c r="AF13" s="1049"/>
      <c r="AG13" s="1049"/>
    </row>
    <row r="14" spans="1:33">
      <c r="B14" s="1069" t="s">
        <v>373</v>
      </c>
      <c r="C14" s="1070">
        <v>88.6</v>
      </c>
      <c r="D14" s="1070">
        <v>88.3</v>
      </c>
      <c r="E14" s="1070">
        <v>89</v>
      </c>
      <c r="F14" s="1070">
        <v>89.3</v>
      </c>
      <c r="G14" s="1070">
        <v>90.1</v>
      </c>
      <c r="H14" s="1070">
        <v>90.1</v>
      </c>
      <c r="I14" s="1070">
        <v>90.1</v>
      </c>
      <c r="J14" s="1070">
        <v>90.1</v>
      </c>
      <c r="K14" s="1070">
        <v>91.8</v>
      </c>
      <c r="L14" s="1070">
        <v>93</v>
      </c>
      <c r="M14" s="1070">
        <v>93.5</v>
      </c>
      <c r="N14" s="1070">
        <v>94.6</v>
      </c>
      <c r="O14" s="1070">
        <v>96.8</v>
      </c>
      <c r="P14" s="1070">
        <v>97.5</v>
      </c>
      <c r="Q14" s="1070">
        <v>99.4</v>
      </c>
      <c r="R14" s="1070">
        <v>99.7</v>
      </c>
      <c r="S14" s="1070">
        <v>99.2</v>
      </c>
      <c r="T14" s="1070">
        <v>99.8</v>
      </c>
      <c r="U14" s="1070">
        <v>99.2</v>
      </c>
      <c r="V14" s="1070">
        <v>101.7</v>
      </c>
      <c r="W14" s="1070">
        <v>101.1</v>
      </c>
      <c r="X14" s="1071">
        <v>100.4</v>
      </c>
      <c r="Y14" s="1071">
        <v>99.7</v>
      </c>
      <c r="Z14" s="1071">
        <v>100.1</v>
      </c>
      <c r="AA14" s="1071">
        <v>100.4</v>
      </c>
      <c r="AB14" s="1071">
        <v>103</v>
      </c>
      <c r="AC14" s="1071">
        <v>104.1</v>
      </c>
      <c r="AD14" s="1071">
        <v>104.1</v>
      </c>
      <c r="AE14" s="1071">
        <v>104.5</v>
      </c>
      <c r="AF14" s="1071">
        <v>105.4</v>
      </c>
      <c r="AG14" s="1071">
        <v>106.7</v>
      </c>
    </row>
    <row r="15" spans="1:33">
      <c r="B15" s="1069" t="s">
        <v>374</v>
      </c>
      <c r="C15" s="1070">
        <v>88.6</v>
      </c>
      <c r="D15" s="1070">
        <v>88.6</v>
      </c>
      <c r="E15" s="1070">
        <v>89</v>
      </c>
      <c r="F15" s="1070">
        <v>89.5</v>
      </c>
      <c r="G15" s="1070">
        <v>90.1</v>
      </c>
      <c r="H15" s="1070">
        <v>90</v>
      </c>
      <c r="I15" s="1070">
        <v>90.1</v>
      </c>
      <c r="J15" s="1070">
        <v>90.5</v>
      </c>
      <c r="K15" s="1070">
        <v>92.1</v>
      </c>
      <c r="L15" s="1070">
        <v>93.2</v>
      </c>
      <c r="M15" s="1070">
        <v>93.8</v>
      </c>
      <c r="N15" s="1070">
        <v>94.5</v>
      </c>
      <c r="O15" s="1070">
        <v>97.1</v>
      </c>
      <c r="P15" s="1070">
        <v>98.5</v>
      </c>
      <c r="Q15" s="1070">
        <v>99.1</v>
      </c>
      <c r="R15" s="1070">
        <v>99.7</v>
      </c>
      <c r="S15" s="1070">
        <v>98.5</v>
      </c>
      <c r="T15" s="1070">
        <v>99.2</v>
      </c>
      <c r="U15" s="1070">
        <v>97.4</v>
      </c>
      <c r="V15" s="1070">
        <v>100.6</v>
      </c>
      <c r="W15" s="1070">
        <v>101.4</v>
      </c>
      <c r="X15" s="1071">
        <v>100</v>
      </c>
      <c r="Y15" s="1071">
        <v>100.2</v>
      </c>
      <c r="Z15" s="1071">
        <v>100.3</v>
      </c>
      <c r="AA15" s="1071">
        <v>100.3</v>
      </c>
      <c r="AB15" s="1071">
        <v>102.1</v>
      </c>
      <c r="AC15" s="1071">
        <v>103.5</v>
      </c>
      <c r="AD15" s="1071">
        <v>104.2</v>
      </c>
      <c r="AE15" s="1071">
        <v>104.1</v>
      </c>
      <c r="AF15" s="1071">
        <v>105.2</v>
      </c>
      <c r="AG15" s="1071">
        <v>107.4</v>
      </c>
    </row>
    <row r="16" spans="1:33">
      <c r="B16" s="1069" t="s">
        <v>375</v>
      </c>
      <c r="C16" s="1070">
        <v>88</v>
      </c>
      <c r="D16" s="1070">
        <v>88.8</v>
      </c>
      <c r="E16" s="1070">
        <v>89.3</v>
      </c>
      <c r="F16" s="1070">
        <v>90</v>
      </c>
      <c r="G16" s="1070">
        <v>90.1</v>
      </c>
      <c r="H16" s="1070">
        <v>90.3</v>
      </c>
      <c r="I16" s="1070">
        <v>90.1</v>
      </c>
      <c r="J16" s="1070">
        <v>90.8</v>
      </c>
      <c r="K16" s="1070">
        <v>92.8</v>
      </c>
      <c r="L16" s="1070">
        <v>93.2</v>
      </c>
      <c r="M16" s="1070">
        <v>94</v>
      </c>
      <c r="N16" s="1070">
        <v>95.5</v>
      </c>
      <c r="O16" s="1070">
        <v>97.3</v>
      </c>
      <c r="P16" s="1070">
        <v>98.8</v>
      </c>
      <c r="Q16" s="1070">
        <v>100</v>
      </c>
      <c r="R16" s="1070">
        <v>98.4</v>
      </c>
      <c r="S16" s="1070">
        <v>99.6</v>
      </c>
      <c r="T16" s="1070">
        <v>100.1</v>
      </c>
      <c r="U16" s="1070">
        <v>98.2</v>
      </c>
      <c r="V16" s="1070">
        <v>100.9</v>
      </c>
      <c r="W16" s="1070">
        <v>101.7</v>
      </c>
      <c r="X16" s="1071">
        <v>99.9</v>
      </c>
      <c r="Y16" s="1071">
        <v>99.8</v>
      </c>
      <c r="Z16" s="1071">
        <v>100.5</v>
      </c>
      <c r="AA16" s="1071">
        <v>101.1</v>
      </c>
      <c r="AB16" s="1071">
        <v>103.1</v>
      </c>
      <c r="AC16" s="1071">
        <v>103.9</v>
      </c>
      <c r="AD16" s="1071">
        <v>104.2</v>
      </c>
      <c r="AE16" s="1071">
        <v>104.8</v>
      </c>
      <c r="AF16" s="1071">
        <v>105.8</v>
      </c>
      <c r="AG16" s="1071">
        <v>106.9</v>
      </c>
    </row>
    <row r="17" spans="2:35">
      <c r="B17" s="1069" t="s">
        <v>376</v>
      </c>
      <c r="C17" s="1070">
        <v>87.9</v>
      </c>
      <c r="D17" s="1070">
        <v>88.9</v>
      </c>
      <c r="E17" s="1070">
        <v>89.3</v>
      </c>
      <c r="F17" s="1070">
        <v>90.1</v>
      </c>
      <c r="G17" s="1070">
        <v>90.3</v>
      </c>
      <c r="H17" s="1070">
        <v>90.5</v>
      </c>
      <c r="I17" s="1070">
        <v>90.1</v>
      </c>
      <c r="J17" s="1070">
        <v>91.5</v>
      </c>
      <c r="K17" s="1070">
        <v>93.2</v>
      </c>
      <c r="L17" s="1070">
        <v>93.8</v>
      </c>
      <c r="M17" s="1070">
        <v>94.5</v>
      </c>
      <c r="N17" s="1070">
        <v>97</v>
      </c>
      <c r="O17" s="1070">
        <v>97.9</v>
      </c>
      <c r="P17" s="1070">
        <v>99.8</v>
      </c>
      <c r="Q17" s="1070">
        <v>100.3</v>
      </c>
      <c r="R17" s="1071">
        <v>100</v>
      </c>
      <c r="S17" s="1070">
        <v>100.8</v>
      </c>
      <c r="T17" s="1070">
        <v>100</v>
      </c>
      <c r="U17" s="1070">
        <v>102.5</v>
      </c>
      <c r="V17" s="1070">
        <v>101.2</v>
      </c>
      <c r="W17" s="1070">
        <v>101.7</v>
      </c>
      <c r="X17" s="1071">
        <v>100.7</v>
      </c>
      <c r="Y17" s="1071">
        <v>100.9</v>
      </c>
      <c r="Z17" s="1071">
        <v>101.3</v>
      </c>
      <c r="AA17" s="1071">
        <v>102.8</v>
      </c>
      <c r="AB17" s="1071">
        <v>104.1</v>
      </c>
      <c r="AC17" s="1071">
        <v>104.3</v>
      </c>
      <c r="AD17" s="1071">
        <v>104.8</v>
      </c>
      <c r="AE17" s="1071">
        <v>105.8</v>
      </c>
      <c r="AF17" s="1071">
        <v>106.2</v>
      </c>
      <c r="AG17" s="1071">
        <v>107.5</v>
      </c>
    </row>
    <row r="18" spans="2:35" s="1054" customFormat="1">
      <c r="B18" s="1072" t="s">
        <v>377</v>
      </c>
      <c r="C18" s="1074">
        <f t="shared" ref="C18:AD18" si="4">AVERAGE(C14:C17)</f>
        <v>88.275000000000006</v>
      </c>
      <c r="D18" s="1074">
        <f t="shared" si="4"/>
        <v>88.65</v>
      </c>
      <c r="E18" s="1074">
        <f t="shared" si="4"/>
        <v>89.15</v>
      </c>
      <c r="F18" s="1074">
        <f t="shared" si="4"/>
        <v>89.724999999999994</v>
      </c>
      <c r="G18" s="1074">
        <f t="shared" si="4"/>
        <v>90.149999999999991</v>
      </c>
      <c r="H18" s="1074">
        <f t="shared" si="4"/>
        <v>90.224999999999994</v>
      </c>
      <c r="I18" s="1074">
        <f t="shared" si="4"/>
        <v>90.1</v>
      </c>
      <c r="J18" s="1074">
        <f t="shared" si="4"/>
        <v>90.724999999999994</v>
      </c>
      <c r="K18" s="1074">
        <f t="shared" si="4"/>
        <v>92.474999999999994</v>
      </c>
      <c r="L18" s="1074">
        <f t="shared" si="4"/>
        <v>93.3</v>
      </c>
      <c r="M18" s="1074">
        <f t="shared" si="4"/>
        <v>93.95</v>
      </c>
      <c r="N18" s="1074">
        <f t="shared" si="4"/>
        <v>95.4</v>
      </c>
      <c r="O18" s="1074">
        <f t="shared" si="4"/>
        <v>97.275000000000006</v>
      </c>
      <c r="P18" s="1074">
        <f t="shared" si="4"/>
        <v>98.65</v>
      </c>
      <c r="Q18" s="1074">
        <f t="shared" si="4"/>
        <v>99.7</v>
      </c>
      <c r="R18" s="1074">
        <f t="shared" si="4"/>
        <v>99.45</v>
      </c>
      <c r="S18" s="1074">
        <f t="shared" si="4"/>
        <v>99.524999999999991</v>
      </c>
      <c r="T18" s="1074">
        <f t="shared" si="4"/>
        <v>99.775000000000006</v>
      </c>
      <c r="U18" s="1074">
        <f t="shared" si="4"/>
        <v>99.325000000000003</v>
      </c>
      <c r="V18" s="1074">
        <f t="shared" si="4"/>
        <v>101.10000000000001</v>
      </c>
      <c r="W18" s="1074">
        <f t="shared" si="4"/>
        <v>101.47499999999999</v>
      </c>
      <c r="X18" s="1074">
        <f t="shared" si="4"/>
        <v>100.25</v>
      </c>
      <c r="Y18" s="1074">
        <f t="shared" si="4"/>
        <v>100.15</v>
      </c>
      <c r="Z18" s="1074">
        <f t="shared" si="4"/>
        <v>100.55</v>
      </c>
      <c r="AA18" s="1074">
        <f t="shared" si="4"/>
        <v>101.14999999999999</v>
      </c>
      <c r="AB18" s="1074">
        <f t="shared" si="4"/>
        <v>103.07499999999999</v>
      </c>
      <c r="AC18" s="1074">
        <f t="shared" si="4"/>
        <v>103.95</v>
      </c>
      <c r="AD18" s="1074">
        <f t="shared" si="4"/>
        <v>104.325</v>
      </c>
      <c r="AE18" s="1074">
        <f>AVERAGE(AE14:AE17)</f>
        <v>104.8</v>
      </c>
      <c r="AF18" s="1074">
        <f t="shared" ref="AF18:AG18" si="5">AVERAGE(AF14:AF17)</f>
        <v>105.65</v>
      </c>
      <c r="AG18" s="1074">
        <f t="shared" si="5"/>
        <v>107.125</v>
      </c>
    </row>
    <row r="19" spans="2:35">
      <c r="B19" s="1351" t="s">
        <v>378</v>
      </c>
      <c r="C19" s="1056"/>
      <c r="X19" s="1066"/>
      <c r="Y19" s="1067"/>
      <c r="AF19" s="1049"/>
    </row>
    <row r="20" spans="2:35" s="1054" customFormat="1">
      <c r="B20" s="1075"/>
      <c r="C20" s="1076"/>
      <c r="D20" s="1056"/>
      <c r="E20" s="1056"/>
      <c r="F20" s="1056"/>
      <c r="G20" s="1056"/>
      <c r="H20" s="1056"/>
      <c r="I20" s="1056"/>
      <c r="J20" s="1056"/>
      <c r="K20" s="1056"/>
      <c r="L20" s="1056"/>
      <c r="M20" s="1077"/>
      <c r="N20" s="1077"/>
      <c r="O20" s="1077"/>
      <c r="Y20" s="1055"/>
      <c r="Z20" s="1068"/>
      <c r="AF20" s="1078"/>
    </row>
    <row r="21" spans="2:35" hidden="1">
      <c r="B21" s="1079" t="s">
        <v>1017</v>
      </c>
      <c r="C21" s="1080"/>
      <c r="E21" s="1080"/>
      <c r="F21" s="1080"/>
      <c r="G21" s="1080"/>
      <c r="H21" s="1080"/>
      <c r="I21" s="1080"/>
      <c r="J21" s="1080"/>
      <c r="K21" s="1080"/>
      <c r="L21" s="1080"/>
      <c r="M21" s="1080"/>
      <c r="N21" s="1080"/>
      <c r="O21" s="1080"/>
      <c r="P21" s="1080"/>
      <c r="Q21" s="1080"/>
      <c r="R21" s="1080"/>
      <c r="S21" s="1080"/>
      <c r="T21" s="1080"/>
      <c r="U21" s="1080"/>
      <c r="V21" s="1080"/>
      <c r="W21" s="1080"/>
      <c r="X21" s="1080"/>
      <c r="Y21" s="1080"/>
      <c r="Z21" s="1080"/>
      <c r="AF21" s="1049"/>
      <c r="AI21" s="1054"/>
    </row>
    <row r="22" spans="2:35" hidden="1">
      <c r="B22" s="1081" t="s">
        <v>1018</v>
      </c>
      <c r="AF22" s="1049"/>
    </row>
    <row r="23" spans="2:35" hidden="1">
      <c r="B23" s="1083" t="s">
        <v>1019</v>
      </c>
      <c r="C23" s="1079"/>
      <c r="D23" s="1064">
        <v>3.3830158156774814E-2</v>
      </c>
      <c r="E23" s="1064">
        <v>2.2787694644891721E-2</v>
      </c>
      <c r="F23" s="1064">
        <v>2.369105087263268E-2</v>
      </c>
      <c r="G23" s="1064">
        <v>2.1358096343586652E-2</v>
      </c>
      <c r="H23" s="1064">
        <v>2.0968291851346743E-2</v>
      </c>
      <c r="I23" s="1064">
        <v>1.8297434184894712E-2</v>
      </c>
      <c r="J23" s="1064">
        <v>1.7244442015222017E-2</v>
      </c>
      <c r="K23" s="1064">
        <v>1.1256632413191081E-2</v>
      </c>
      <c r="L23" s="1064">
        <v>1.4438850736554043E-2</v>
      </c>
      <c r="M23" s="1064">
        <v>2.2364802933088956E-2</v>
      </c>
      <c r="N23" s="1064">
        <v>2.1926791157560466E-2</v>
      </c>
      <c r="O23" s="1064">
        <v>1.5816518360696863E-2</v>
      </c>
      <c r="P23" s="1064">
        <v>1.8568326506440247E-2</v>
      </c>
      <c r="Q23" s="1064">
        <v>2.6926850539627178E-2</v>
      </c>
      <c r="R23" s="1064">
        <v>3.1151214909176828E-2</v>
      </c>
      <c r="S23" s="1064">
        <v>3.0255888173322143E-2</v>
      </c>
      <c r="T23" s="1064">
        <v>2.6869184820020875E-2</v>
      </c>
      <c r="U23" s="1064">
        <v>1.9451592673485729E-2</v>
      </c>
      <c r="V23" s="1064">
        <v>7.6258153470860623E-3</v>
      </c>
      <c r="W23" s="1064">
        <v>1.165214096248568E-2</v>
      </c>
      <c r="X23" s="1064">
        <v>2.0882105066017287E-2</v>
      </c>
      <c r="Y23" s="1064">
        <v>1.918098615952224E-2</v>
      </c>
      <c r="Z23" s="1064">
        <v>1.7549999999999955E-2</v>
      </c>
      <c r="AA23" s="1064">
        <v>1.8917989287995818E-2</v>
      </c>
      <c r="AB23" s="1064">
        <v>1.0696373456789976E-2</v>
      </c>
      <c r="AC23" s="1064">
        <v>1.0936262393953511E-2</v>
      </c>
      <c r="AD23" s="1064">
        <v>1.9002218341435784E-2</v>
      </c>
      <c r="AE23" s="1064"/>
      <c r="AF23" s="1049"/>
      <c r="AI23" s="1084"/>
    </row>
    <row r="24" spans="2:35" s="1054" customFormat="1" hidden="1">
      <c r="B24" s="1085" t="s">
        <v>379</v>
      </c>
      <c r="C24" s="1086">
        <v>63.670999999999999</v>
      </c>
      <c r="D24" s="1086">
        <v>65.825000000000003</v>
      </c>
      <c r="E24" s="1086">
        <v>67.325000000000003</v>
      </c>
      <c r="F24" s="1086">
        <v>68.92</v>
      </c>
      <c r="G24" s="1086">
        <v>70.391999999999996</v>
      </c>
      <c r="H24" s="1086">
        <v>71.867999999999995</v>
      </c>
      <c r="I24" s="1086">
        <v>73.183000000000007</v>
      </c>
      <c r="J24" s="1086">
        <v>74.444999999999993</v>
      </c>
      <c r="K24" s="1086">
        <v>75.283000000000001</v>
      </c>
      <c r="L24" s="1086">
        <v>76.37</v>
      </c>
      <c r="M24" s="1086">
        <v>78.078000000000003</v>
      </c>
      <c r="N24" s="1086">
        <v>79.790000000000006</v>
      </c>
      <c r="O24" s="1086">
        <v>81.052000000000007</v>
      </c>
      <c r="P24" s="1086">
        <v>82.557000000000002</v>
      </c>
      <c r="Q24" s="1086">
        <v>84.78</v>
      </c>
      <c r="R24" s="1086">
        <v>87.421000000000006</v>
      </c>
      <c r="S24" s="1086">
        <v>90.066000000000003</v>
      </c>
      <c r="T24" s="1086">
        <v>92.486000000000004</v>
      </c>
      <c r="U24" s="1086">
        <v>94.284999999999997</v>
      </c>
      <c r="V24" s="1086">
        <v>95.004000000000005</v>
      </c>
      <c r="W24" s="1086">
        <v>96.111000000000004</v>
      </c>
      <c r="X24" s="1086">
        <v>98.117999999999995</v>
      </c>
      <c r="Y24" s="1086">
        <v>100</v>
      </c>
      <c r="Z24" s="1086">
        <v>101.755</v>
      </c>
      <c r="AA24" s="1086">
        <v>103.68</v>
      </c>
      <c r="AB24" s="1087">
        <v>104.789</v>
      </c>
      <c r="AC24" s="1086">
        <v>105.935</v>
      </c>
      <c r="AD24" s="1088">
        <v>107.94799999999999</v>
      </c>
      <c r="AE24" s="1088"/>
      <c r="AF24" s="1078"/>
      <c r="AI24" s="1089"/>
    </row>
    <row r="25" spans="2:35" hidden="1">
      <c r="B25" s="1090" t="s">
        <v>380</v>
      </c>
      <c r="C25" s="1091">
        <v>63.354999999999997</v>
      </c>
      <c r="D25" s="1091">
        <v>65.472999999999999</v>
      </c>
      <c r="E25" s="1091">
        <v>67.218000000000004</v>
      </c>
      <c r="F25" s="1091">
        <v>68.891999999999996</v>
      </c>
      <c r="G25" s="1091">
        <v>70.33</v>
      </c>
      <c r="H25" s="1091">
        <v>71.811000000000007</v>
      </c>
      <c r="I25" s="1091">
        <v>73.346000000000004</v>
      </c>
      <c r="J25" s="1091">
        <v>74.623000000000005</v>
      </c>
      <c r="K25" s="1091">
        <v>75.215999999999994</v>
      </c>
      <c r="L25" s="1091">
        <v>76.337999999999994</v>
      </c>
      <c r="M25" s="1091">
        <v>78.234999999999999</v>
      </c>
      <c r="N25" s="1091">
        <v>79.738</v>
      </c>
      <c r="O25" s="1091">
        <v>80.789000000000001</v>
      </c>
      <c r="P25" s="1091">
        <v>82.358000000000004</v>
      </c>
      <c r="Q25" s="1091">
        <v>84.411000000000001</v>
      </c>
      <c r="R25" s="1091">
        <v>86.811999999999998</v>
      </c>
      <c r="S25" s="1091">
        <v>89.174000000000007</v>
      </c>
      <c r="T25" s="1091">
        <v>91.438000000000002</v>
      </c>
      <c r="U25" s="1091">
        <v>94.18</v>
      </c>
      <c r="V25" s="1091">
        <v>94.093999999999994</v>
      </c>
      <c r="W25" s="1091">
        <v>95.704999999999998</v>
      </c>
      <c r="X25" s="1091">
        <v>98.131</v>
      </c>
      <c r="Y25" s="1091">
        <v>100</v>
      </c>
      <c r="Z25" s="1091">
        <v>101.346</v>
      </c>
      <c r="AA25" s="1091">
        <v>102.86799999999999</v>
      </c>
      <c r="AB25" s="1067">
        <v>103.126</v>
      </c>
      <c r="AC25" s="1091">
        <v>104.235</v>
      </c>
      <c r="AD25" s="1092">
        <v>106.07299999999999</v>
      </c>
      <c r="AE25" s="1092"/>
      <c r="AF25" s="1049"/>
      <c r="AI25" s="1089"/>
    </row>
    <row r="26" spans="2:35" hidden="1">
      <c r="B26" s="1090" t="s">
        <v>381</v>
      </c>
      <c r="C26" s="1091">
        <v>81.927000000000007</v>
      </c>
      <c r="D26" s="1091">
        <v>83.93</v>
      </c>
      <c r="E26" s="1091">
        <v>84.942999999999998</v>
      </c>
      <c r="F26" s="1091">
        <v>85.680999999999997</v>
      </c>
      <c r="G26" s="1091">
        <v>86.552000000000007</v>
      </c>
      <c r="H26" s="1091">
        <v>87.361000000000004</v>
      </c>
      <c r="I26" s="1091">
        <v>88.320999999999998</v>
      </c>
      <c r="J26" s="1091">
        <v>88.218999999999994</v>
      </c>
      <c r="K26" s="1091">
        <v>86.893000000000001</v>
      </c>
      <c r="L26" s="1091">
        <v>87.349000000000004</v>
      </c>
      <c r="M26" s="1091">
        <v>89.081999999999994</v>
      </c>
      <c r="N26" s="1091">
        <v>89.015000000000001</v>
      </c>
      <c r="O26" s="1091">
        <v>88.165999999999997</v>
      </c>
      <c r="P26" s="1091">
        <v>88.054000000000002</v>
      </c>
      <c r="Q26" s="1091">
        <v>89.292000000000002</v>
      </c>
      <c r="R26" s="1091">
        <v>91.084000000000003</v>
      </c>
      <c r="S26" s="1091">
        <v>92.305999999999997</v>
      </c>
      <c r="T26" s="1091">
        <v>93.331000000000003</v>
      </c>
      <c r="U26" s="1091">
        <v>96.122</v>
      </c>
      <c r="V26" s="1091">
        <v>93.811999999999998</v>
      </c>
      <c r="W26" s="1091">
        <v>95.183000000000007</v>
      </c>
      <c r="X26" s="1091">
        <v>98.772999999999996</v>
      </c>
      <c r="Y26" s="1091">
        <v>100</v>
      </c>
      <c r="Z26" s="1091">
        <v>99.406999999999996</v>
      </c>
      <c r="AA26" s="1091">
        <v>98.938999999999993</v>
      </c>
      <c r="AB26" s="1067">
        <v>95.888999999999996</v>
      </c>
      <c r="AC26" s="1091">
        <v>94.34</v>
      </c>
      <c r="AD26" s="1092">
        <v>94.632000000000005</v>
      </c>
      <c r="AE26" s="1092"/>
      <c r="AF26" s="1049"/>
      <c r="AI26" s="1089"/>
    </row>
    <row r="27" spans="2:35" hidden="1">
      <c r="B27" s="1090" t="s">
        <v>382</v>
      </c>
      <c r="C27" s="1091">
        <v>131.935</v>
      </c>
      <c r="D27" s="1091">
        <v>133.86799999999999</v>
      </c>
      <c r="E27" s="1091">
        <v>134.79300000000001</v>
      </c>
      <c r="F27" s="1091">
        <v>136.12</v>
      </c>
      <c r="G27" s="1091">
        <v>138.78399999999999</v>
      </c>
      <c r="H27" s="1091">
        <v>139.797</v>
      </c>
      <c r="I27" s="1091">
        <v>138.386</v>
      </c>
      <c r="J27" s="1091">
        <v>135.364</v>
      </c>
      <c r="K27" s="1091">
        <v>131.53800000000001</v>
      </c>
      <c r="L27" s="1091">
        <v>127.994</v>
      </c>
      <c r="M27" s="1091">
        <v>125.717</v>
      </c>
      <c r="N27" s="1091">
        <v>123.254</v>
      </c>
      <c r="O27" s="1091">
        <v>120.143</v>
      </c>
      <c r="P27" s="1091">
        <v>115.752</v>
      </c>
      <c r="Q27" s="1091">
        <v>113.488</v>
      </c>
      <c r="R27" s="1091">
        <v>112.309</v>
      </c>
      <c r="S27" s="1091">
        <v>110.38800000000001</v>
      </c>
      <c r="T27" s="1091">
        <v>108.038</v>
      </c>
      <c r="U27" s="1091">
        <v>106.012</v>
      </c>
      <c r="V27" s="1091">
        <v>104.02</v>
      </c>
      <c r="W27" s="1091">
        <v>102.107</v>
      </c>
      <c r="X27" s="1091">
        <v>101.28</v>
      </c>
      <c r="Y27" s="1091">
        <v>100</v>
      </c>
      <c r="Z27" s="1091">
        <v>97.968000000000004</v>
      </c>
      <c r="AA27" s="1091">
        <v>95.495999999999995</v>
      </c>
      <c r="AB27" s="1091">
        <v>93.364999999999995</v>
      </c>
      <c r="AC27" s="1091">
        <v>91.183000000000007</v>
      </c>
      <c r="AD27" s="1092">
        <v>89.135999999999996</v>
      </c>
      <c r="AE27" s="1092"/>
      <c r="AF27" s="1049"/>
      <c r="AI27" s="1089"/>
    </row>
    <row r="28" spans="2:35" hidden="1">
      <c r="B28" s="1090" t="s">
        <v>383</v>
      </c>
      <c r="C28" s="1091">
        <v>63.112000000000002</v>
      </c>
      <c r="D28" s="1091">
        <v>64.954999999999998</v>
      </c>
      <c r="E28" s="1091">
        <v>65.897999999999996</v>
      </c>
      <c r="F28" s="1091">
        <v>66.433999999999997</v>
      </c>
      <c r="G28" s="1091">
        <v>66.787999999999997</v>
      </c>
      <c r="H28" s="1091">
        <v>67.486000000000004</v>
      </c>
      <c r="I28" s="1091">
        <v>69.013999999999996</v>
      </c>
      <c r="J28" s="1091">
        <v>69.734999999999999</v>
      </c>
      <c r="K28" s="1091">
        <v>69.222999999999999</v>
      </c>
      <c r="L28" s="1091">
        <v>70.942999999999998</v>
      </c>
      <c r="M28" s="1091">
        <v>73.989999999999995</v>
      </c>
      <c r="N28" s="1091">
        <v>74.775999999999996</v>
      </c>
      <c r="O28" s="1091">
        <v>74.781000000000006</v>
      </c>
      <c r="P28" s="1091">
        <v>76.326999999999998</v>
      </c>
      <c r="Q28" s="1091">
        <v>78.97</v>
      </c>
      <c r="R28" s="1091">
        <v>81.998000000000005</v>
      </c>
      <c r="S28" s="1091">
        <v>84.552999999999997</v>
      </c>
      <c r="T28" s="1091">
        <v>87.040999999999997</v>
      </c>
      <c r="U28" s="1091">
        <v>91.903999999999996</v>
      </c>
      <c r="V28" s="1091">
        <v>89.466999999999999</v>
      </c>
      <c r="W28" s="1091">
        <v>92.182000000000002</v>
      </c>
      <c r="X28" s="1091">
        <v>97.652000000000001</v>
      </c>
      <c r="Y28" s="1091">
        <v>100</v>
      </c>
      <c r="Z28" s="1091">
        <v>100.08199999999999</v>
      </c>
      <c r="AA28" s="1091">
        <v>100.595</v>
      </c>
      <c r="AB28" s="1067">
        <v>97.078999999999994</v>
      </c>
      <c r="AC28" s="1091">
        <v>95.867000000000004</v>
      </c>
      <c r="AD28" s="1092">
        <v>97.436999999999998</v>
      </c>
      <c r="AE28" s="1092"/>
      <c r="AF28" s="1049"/>
      <c r="AI28" s="1089"/>
    </row>
    <row r="29" spans="2:35" hidden="1">
      <c r="B29" s="1090" t="s">
        <v>384</v>
      </c>
      <c r="C29" s="1091">
        <v>54.845999999999997</v>
      </c>
      <c r="D29" s="1091">
        <v>56.991999999999997</v>
      </c>
      <c r="E29" s="1091">
        <v>59.018000000000001</v>
      </c>
      <c r="F29" s="1091">
        <v>61.058999999999997</v>
      </c>
      <c r="G29" s="1091">
        <v>62.719000000000001</v>
      </c>
      <c r="H29" s="1091">
        <v>64.471000000000004</v>
      </c>
      <c r="I29" s="1091">
        <v>66.239999999999995</v>
      </c>
      <c r="J29" s="1091">
        <v>68.106999999999999</v>
      </c>
      <c r="K29" s="1091">
        <v>69.549000000000007</v>
      </c>
      <c r="L29" s="1091">
        <v>70.97</v>
      </c>
      <c r="M29" s="1091">
        <v>72.938000000000002</v>
      </c>
      <c r="N29" s="1091">
        <v>75.171000000000006</v>
      </c>
      <c r="O29" s="1091">
        <v>77.123000000000005</v>
      </c>
      <c r="P29" s="1091">
        <v>79.506</v>
      </c>
      <c r="Q29" s="1091">
        <v>81.965000000000003</v>
      </c>
      <c r="R29" s="1091">
        <v>84.673000000000002</v>
      </c>
      <c r="S29" s="1091">
        <v>87.616</v>
      </c>
      <c r="T29" s="1091">
        <v>90.516000000000005</v>
      </c>
      <c r="U29" s="1091">
        <v>93.234999999999999</v>
      </c>
      <c r="V29" s="1091">
        <v>94.230999999999995</v>
      </c>
      <c r="W29" s="1091">
        <v>95.956999999999994</v>
      </c>
      <c r="X29" s="1091">
        <v>97.813999999999993</v>
      </c>
      <c r="Y29" s="1091">
        <v>100</v>
      </c>
      <c r="Z29" s="1091">
        <v>102.316</v>
      </c>
      <c r="AA29" s="1091">
        <v>104.852</v>
      </c>
      <c r="AB29" s="1067">
        <v>106.82299999999999</v>
      </c>
      <c r="AC29" s="1091">
        <v>109.325</v>
      </c>
      <c r="AD29" s="1092">
        <v>111.98399999999999</v>
      </c>
      <c r="AE29" s="1092"/>
      <c r="AF29" s="1049"/>
      <c r="AI29" s="1089"/>
    </row>
    <row r="30" spans="2:35" hidden="1">
      <c r="B30" s="1090" t="s">
        <v>385</v>
      </c>
      <c r="C30" s="1091">
        <v>81.227999999999994</v>
      </c>
      <c r="D30" s="1091">
        <v>82.683999999999997</v>
      </c>
      <c r="E30" s="1091">
        <v>82.671999999999997</v>
      </c>
      <c r="F30" s="1091">
        <v>83.641000000000005</v>
      </c>
      <c r="G30" s="1091">
        <v>84.908000000000001</v>
      </c>
      <c r="H30" s="1091">
        <v>86.263000000000005</v>
      </c>
      <c r="I30" s="1091">
        <v>86.227000000000004</v>
      </c>
      <c r="J30" s="1091">
        <v>86.239000000000004</v>
      </c>
      <c r="K30" s="1091">
        <v>85.706000000000003</v>
      </c>
      <c r="L30" s="1091">
        <v>85.825999999999993</v>
      </c>
      <c r="M30" s="1091">
        <v>86.861999999999995</v>
      </c>
      <c r="N30" s="1091">
        <v>87.367000000000004</v>
      </c>
      <c r="O30" s="1091">
        <v>87.927000000000007</v>
      </c>
      <c r="P30" s="1091">
        <v>88.503</v>
      </c>
      <c r="Q30" s="1091">
        <v>91.156999999999996</v>
      </c>
      <c r="R30" s="1091">
        <v>94.912999999999997</v>
      </c>
      <c r="S30" s="1091">
        <v>98.13</v>
      </c>
      <c r="T30" s="1091">
        <v>99.584999999999994</v>
      </c>
      <c r="U30" s="1091">
        <v>100.59699999999999</v>
      </c>
      <c r="V30" s="1091">
        <v>99.366</v>
      </c>
      <c r="W30" s="1091">
        <v>97.698999999999998</v>
      </c>
      <c r="X30" s="1091">
        <v>98.748000000000005</v>
      </c>
      <c r="Y30" s="1091">
        <v>100</v>
      </c>
      <c r="Z30" s="1091">
        <v>100.876</v>
      </c>
      <c r="AA30" s="1091">
        <v>102.959</v>
      </c>
      <c r="AB30" s="1067">
        <v>103.873</v>
      </c>
      <c r="AC30" s="1091">
        <v>103.914</v>
      </c>
      <c r="AD30" s="1092">
        <v>105.36</v>
      </c>
      <c r="AE30" s="1092"/>
      <c r="AF30" s="1049"/>
      <c r="AI30" s="1089"/>
    </row>
    <row r="31" spans="2:35" hidden="1">
      <c r="B31" s="1090" t="s">
        <v>386</v>
      </c>
      <c r="C31" s="1091">
        <v>80.278000000000006</v>
      </c>
      <c r="D31" s="1091">
        <v>81.683000000000007</v>
      </c>
      <c r="E31" s="1091">
        <v>81.727999999999994</v>
      </c>
      <c r="F31" s="1091">
        <v>82.710999999999999</v>
      </c>
      <c r="G31" s="1091">
        <v>83.983000000000004</v>
      </c>
      <c r="H31" s="1091">
        <v>85.378</v>
      </c>
      <c r="I31" s="1091">
        <v>85.45</v>
      </c>
      <c r="J31" s="1091">
        <v>85.599000000000004</v>
      </c>
      <c r="K31" s="1091">
        <v>85.132999999999996</v>
      </c>
      <c r="L31" s="1091">
        <v>85.277000000000001</v>
      </c>
      <c r="M31" s="1091">
        <v>86.486000000000004</v>
      </c>
      <c r="N31" s="1091">
        <v>87.241</v>
      </c>
      <c r="O31" s="1091">
        <v>87.5</v>
      </c>
      <c r="P31" s="1091">
        <v>88.265000000000001</v>
      </c>
      <c r="Q31" s="1091">
        <v>90.843000000000004</v>
      </c>
      <c r="R31" s="1091">
        <v>94.596999999999994</v>
      </c>
      <c r="S31" s="1091">
        <v>97.957999999999998</v>
      </c>
      <c r="T31" s="1091">
        <v>99.456000000000003</v>
      </c>
      <c r="U31" s="1091">
        <v>100.29600000000001</v>
      </c>
      <c r="V31" s="1091">
        <v>99.075999999999993</v>
      </c>
      <c r="W31" s="1091">
        <v>97.567999999999998</v>
      </c>
      <c r="X31" s="1091">
        <v>98.641000000000005</v>
      </c>
      <c r="Y31" s="1091">
        <v>100</v>
      </c>
      <c r="Z31" s="1091">
        <v>101.09099999999999</v>
      </c>
      <c r="AA31" s="1091">
        <v>103.25</v>
      </c>
      <c r="AB31" s="1067">
        <v>104.217</v>
      </c>
      <c r="AC31" s="1091">
        <v>104.357</v>
      </c>
      <c r="AD31" s="1092">
        <v>105.93899999999999</v>
      </c>
      <c r="AE31" s="1092"/>
      <c r="AF31" s="1049"/>
      <c r="AI31" s="1089"/>
    </row>
    <row r="32" spans="2:35" hidden="1">
      <c r="B32" s="1090" t="s">
        <v>387</v>
      </c>
      <c r="C32" s="1091">
        <v>92.516000000000005</v>
      </c>
      <c r="D32" s="1091">
        <v>94.266999999999996</v>
      </c>
      <c r="E32" s="1091">
        <v>93.96</v>
      </c>
      <c r="F32" s="1091">
        <v>94.161000000000001</v>
      </c>
      <c r="G32" s="1091">
        <v>94.903999999999996</v>
      </c>
      <c r="H32" s="1091">
        <v>95.849000000000004</v>
      </c>
      <c r="I32" s="1091">
        <v>95.266999999999996</v>
      </c>
      <c r="J32" s="1091">
        <v>94.734999999999999</v>
      </c>
      <c r="K32" s="1091">
        <v>93.248000000000005</v>
      </c>
      <c r="L32" s="1091">
        <v>92.313999999999993</v>
      </c>
      <c r="M32" s="1091">
        <v>92.718000000000004</v>
      </c>
      <c r="N32" s="1091">
        <v>92.346000000000004</v>
      </c>
      <c r="O32" s="1091">
        <v>91.863</v>
      </c>
      <c r="P32" s="1091">
        <v>91.156000000000006</v>
      </c>
      <c r="Q32" s="1091">
        <v>92.055000000000007</v>
      </c>
      <c r="R32" s="1091">
        <v>94.442999999999998</v>
      </c>
      <c r="S32" s="1091">
        <v>96.745000000000005</v>
      </c>
      <c r="T32" s="1091">
        <v>98.31</v>
      </c>
      <c r="U32" s="1091">
        <v>99.831999999999994</v>
      </c>
      <c r="V32" s="1091">
        <v>99.183999999999997</v>
      </c>
      <c r="W32" s="1091">
        <v>97.415999999999997</v>
      </c>
      <c r="X32" s="1091">
        <v>98.558999999999997</v>
      </c>
      <c r="Y32" s="1091">
        <v>100</v>
      </c>
      <c r="Z32" s="1091">
        <v>100.251</v>
      </c>
      <c r="AA32" s="1091">
        <v>101.565</v>
      </c>
      <c r="AB32" s="1067">
        <v>102.081</v>
      </c>
      <c r="AC32" s="1091">
        <v>101.282</v>
      </c>
      <c r="AD32" s="1092">
        <v>101.962</v>
      </c>
      <c r="AE32" s="1092"/>
      <c r="AF32" s="1049"/>
      <c r="AI32" s="1089"/>
    </row>
    <row r="33" spans="2:36" hidden="1">
      <c r="B33" s="1090" t="s">
        <v>388</v>
      </c>
      <c r="C33" s="1091">
        <v>40.948</v>
      </c>
      <c r="D33" s="1091">
        <v>41.689</v>
      </c>
      <c r="E33" s="1091">
        <v>41.698999999999998</v>
      </c>
      <c r="F33" s="1091">
        <v>42.921999999999997</v>
      </c>
      <c r="G33" s="1091">
        <v>44.436999999999998</v>
      </c>
      <c r="H33" s="1091">
        <v>46.362000000000002</v>
      </c>
      <c r="I33" s="1091">
        <v>47.54</v>
      </c>
      <c r="J33" s="1091">
        <v>49.354999999999997</v>
      </c>
      <c r="K33" s="1091">
        <v>51.612000000000002</v>
      </c>
      <c r="L33" s="1091">
        <v>53.198</v>
      </c>
      <c r="M33" s="1091">
        <v>55.283000000000001</v>
      </c>
      <c r="N33" s="1091">
        <v>58.177999999999997</v>
      </c>
      <c r="O33" s="1091">
        <v>60.603000000000002</v>
      </c>
      <c r="P33" s="1091">
        <v>62.768999999999998</v>
      </c>
      <c r="Q33" s="1091">
        <v>67.415999999999997</v>
      </c>
      <c r="R33" s="1091">
        <v>75.733000000000004</v>
      </c>
      <c r="S33" s="1091">
        <v>84.748999999999995</v>
      </c>
      <c r="T33" s="1091">
        <v>89.748000000000005</v>
      </c>
      <c r="U33" s="1091">
        <v>94.334999999999994</v>
      </c>
      <c r="V33" s="1091">
        <v>92.613</v>
      </c>
      <c r="W33" s="1091">
        <v>92.006</v>
      </c>
      <c r="X33" s="1091">
        <v>95.361999999999995</v>
      </c>
      <c r="Y33" s="1091">
        <v>100</v>
      </c>
      <c r="Z33" s="1091">
        <v>101.455</v>
      </c>
      <c r="AA33" s="1091">
        <v>107.47499999999999</v>
      </c>
      <c r="AB33" s="1067">
        <v>109.852</v>
      </c>
      <c r="AC33" s="1091">
        <v>110.29600000000001</v>
      </c>
      <c r="AD33" s="1092">
        <v>113.12</v>
      </c>
      <c r="AE33" s="1092"/>
      <c r="AF33" s="1049"/>
      <c r="AI33" s="1089"/>
    </row>
    <row r="34" spans="2:36" hidden="1">
      <c r="B34" s="1090" t="s">
        <v>389</v>
      </c>
      <c r="C34" s="1091">
        <v>135.042</v>
      </c>
      <c r="D34" s="1091">
        <v>137.33000000000001</v>
      </c>
      <c r="E34" s="1091">
        <v>137.12100000000001</v>
      </c>
      <c r="F34" s="1091">
        <v>135.518</v>
      </c>
      <c r="G34" s="1091">
        <v>135.27699999999999</v>
      </c>
      <c r="H34" s="1091">
        <v>133.79599999999999</v>
      </c>
      <c r="I34" s="1091">
        <v>130.762</v>
      </c>
      <c r="J34" s="1091">
        <v>127.15600000000001</v>
      </c>
      <c r="K34" s="1091">
        <v>121.45099999999999</v>
      </c>
      <c r="L34" s="1091">
        <v>116.76300000000001</v>
      </c>
      <c r="M34" s="1091">
        <v>114.224</v>
      </c>
      <c r="N34" s="1091">
        <v>110.858</v>
      </c>
      <c r="O34" s="1091">
        <v>108.53100000000001</v>
      </c>
      <c r="P34" s="1091">
        <v>105.72499999999999</v>
      </c>
      <c r="Q34" s="1091">
        <v>104.84099999999999</v>
      </c>
      <c r="R34" s="1091">
        <v>104.598</v>
      </c>
      <c r="S34" s="1091">
        <v>103.56</v>
      </c>
      <c r="T34" s="1091">
        <v>103.191</v>
      </c>
      <c r="U34" s="1091">
        <v>102.542</v>
      </c>
      <c r="V34" s="1091">
        <v>103.16800000000001</v>
      </c>
      <c r="W34" s="1091">
        <v>99.471000000000004</v>
      </c>
      <c r="X34" s="1091">
        <v>99.447000000000003</v>
      </c>
      <c r="Y34" s="1091">
        <v>100</v>
      </c>
      <c r="Z34" s="1091">
        <v>99.787000000000006</v>
      </c>
      <c r="AA34" s="1091">
        <v>99.281999999999996</v>
      </c>
      <c r="AB34" s="1067">
        <v>98.742999999999995</v>
      </c>
      <c r="AC34" s="1091">
        <v>97.738</v>
      </c>
      <c r="AD34" s="1092">
        <v>97.183000000000007</v>
      </c>
      <c r="AE34" s="1092"/>
      <c r="AF34" s="1049"/>
      <c r="AI34" s="1089"/>
    </row>
    <row r="35" spans="2:36" hidden="1">
      <c r="B35" s="1090" t="s">
        <v>390</v>
      </c>
      <c r="C35" s="1091">
        <v>88.147000000000006</v>
      </c>
      <c r="D35" s="1091">
        <v>90.271000000000001</v>
      </c>
      <c r="E35" s="1091">
        <v>89.373000000000005</v>
      </c>
      <c r="F35" s="1091">
        <v>89.998000000000005</v>
      </c>
      <c r="G35" s="1091">
        <v>90.468000000000004</v>
      </c>
      <c r="H35" s="1091">
        <v>93.134</v>
      </c>
      <c r="I35" s="1091">
        <v>93.543999999999997</v>
      </c>
      <c r="J35" s="1091">
        <v>94.052000000000007</v>
      </c>
      <c r="K35" s="1091">
        <v>93.594999999999999</v>
      </c>
      <c r="L35" s="1091">
        <v>95.105000000000004</v>
      </c>
      <c r="M35" s="1091">
        <v>97.813999999999993</v>
      </c>
      <c r="N35" s="1091">
        <v>97.683999999999997</v>
      </c>
      <c r="O35" s="1091">
        <v>96.376000000000005</v>
      </c>
      <c r="P35" s="1091">
        <v>95.647000000000006</v>
      </c>
      <c r="Q35" s="1091">
        <v>95.334999999999994</v>
      </c>
      <c r="R35" s="1091">
        <v>95.951999999999998</v>
      </c>
      <c r="S35" s="1091">
        <v>97.087999999999994</v>
      </c>
      <c r="T35" s="1091">
        <v>98.284000000000006</v>
      </c>
      <c r="U35" s="1091">
        <v>99.834000000000003</v>
      </c>
      <c r="V35" s="1091">
        <v>98.588999999999999</v>
      </c>
      <c r="W35" s="1091">
        <v>98.305999999999997</v>
      </c>
      <c r="X35" s="1091">
        <v>99.516999999999996</v>
      </c>
      <c r="Y35" s="1091">
        <v>100</v>
      </c>
      <c r="Z35" s="1091">
        <v>100.081</v>
      </c>
      <c r="AA35" s="1091">
        <v>100.73399999999999</v>
      </c>
      <c r="AB35" s="1067">
        <v>101.51600000000001</v>
      </c>
      <c r="AC35" s="1091">
        <v>100.208</v>
      </c>
      <c r="AD35" s="1092">
        <v>101.294</v>
      </c>
      <c r="AE35" s="1092"/>
      <c r="AF35" s="1049"/>
      <c r="AI35" s="1089"/>
    </row>
    <row r="36" spans="2:36" hidden="1">
      <c r="B36" s="1090" t="s">
        <v>391</v>
      </c>
      <c r="C36" s="1091">
        <v>56.287999999999997</v>
      </c>
      <c r="D36" s="1091">
        <v>57.021000000000001</v>
      </c>
      <c r="E36" s="1091">
        <v>57.722999999999999</v>
      </c>
      <c r="F36" s="1091">
        <v>60.073999999999998</v>
      </c>
      <c r="G36" s="1091">
        <v>62.247</v>
      </c>
      <c r="H36" s="1091">
        <v>64.472999999999999</v>
      </c>
      <c r="I36" s="1091">
        <v>65.855999999999995</v>
      </c>
      <c r="J36" s="1091">
        <v>67.444000000000003</v>
      </c>
      <c r="K36" s="1091">
        <v>69.222999999999999</v>
      </c>
      <c r="L36" s="1091">
        <v>71.816000000000003</v>
      </c>
      <c r="M36" s="1091">
        <v>75.004000000000005</v>
      </c>
      <c r="N36" s="1091">
        <v>78.563999999999993</v>
      </c>
      <c r="O36" s="1091">
        <v>80.510000000000005</v>
      </c>
      <c r="P36" s="1091">
        <v>84.325000000000003</v>
      </c>
      <c r="Q36" s="1091">
        <v>90.242999999999995</v>
      </c>
      <c r="R36" s="1091">
        <v>96.706000000000003</v>
      </c>
      <c r="S36" s="1091">
        <v>102.355</v>
      </c>
      <c r="T36" s="1091">
        <v>103.708</v>
      </c>
      <c r="U36" s="1091">
        <v>102.249</v>
      </c>
      <c r="V36" s="1091">
        <v>98.671000000000006</v>
      </c>
      <c r="W36" s="1091">
        <v>98.316999999999993</v>
      </c>
      <c r="X36" s="1091">
        <v>99.049000000000007</v>
      </c>
      <c r="Y36" s="1091">
        <v>100</v>
      </c>
      <c r="Z36" s="1091">
        <v>105.054</v>
      </c>
      <c r="AA36" s="1091">
        <v>111.10599999999999</v>
      </c>
      <c r="AB36" s="1067">
        <v>114.1</v>
      </c>
      <c r="AC36" s="1091">
        <v>118.185</v>
      </c>
      <c r="AD36" s="1092">
        <v>123.495</v>
      </c>
      <c r="AE36" s="1092"/>
      <c r="AF36" s="1049"/>
      <c r="AI36" s="1089"/>
    </row>
    <row r="37" spans="2:36" hidden="1">
      <c r="B37" s="1090" t="s">
        <v>392</v>
      </c>
      <c r="C37" s="1093" t="s">
        <v>393</v>
      </c>
      <c r="D37" s="1093" t="s">
        <v>393</v>
      </c>
      <c r="E37" s="1093" t="s">
        <v>393</v>
      </c>
      <c r="F37" s="1093" t="s">
        <v>393</v>
      </c>
      <c r="G37" s="1093" t="s">
        <v>393</v>
      </c>
      <c r="H37" s="1093" t="s">
        <v>393</v>
      </c>
      <c r="I37" s="1093" t="s">
        <v>393</v>
      </c>
      <c r="J37" s="1093" t="s">
        <v>393</v>
      </c>
      <c r="K37" s="1093" t="s">
        <v>393</v>
      </c>
      <c r="L37" s="1093" t="s">
        <v>393</v>
      </c>
      <c r="M37" s="1093" t="s">
        <v>393</v>
      </c>
      <c r="N37" s="1093" t="s">
        <v>393</v>
      </c>
      <c r="O37" s="1093" t="s">
        <v>393</v>
      </c>
      <c r="P37" s="1093" t="s">
        <v>393</v>
      </c>
      <c r="Q37" s="1093" t="s">
        <v>393</v>
      </c>
      <c r="R37" s="1093" t="s">
        <v>393</v>
      </c>
      <c r="S37" s="1093" t="s">
        <v>393</v>
      </c>
      <c r="T37" s="1093" t="s">
        <v>393</v>
      </c>
      <c r="U37" s="1093" t="s">
        <v>393</v>
      </c>
      <c r="V37" s="1093" t="s">
        <v>393</v>
      </c>
      <c r="W37" s="1093" t="s">
        <v>393</v>
      </c>
      <c r="X37" s="1093" t="s">
        <v>393</v>
      </c>
      <c r="Y37" s="1093" t="s">
        <v>393</v>
      </c>
      <c r="Z37" s="1093" t="s">
        <v>393</v>
      </c>
      <c r="AA37" s="1093" t="s">
        <v>393</v>
      </c>
      <c r="AB37" s="1094" t="s">
        <v>393</v>
      </c>
      <c r="AC37" s="1094" t="s">
        <v>393</v>
      </c>
      <c r="AD37" s="1092" t="s">
        <v>393</v>
      </c>
      <c r="AE37" s="1092"/>
      <c r="AF37" s="1049"/>
      <c r="AI37" s="1089"/>
    </row>
    <row r="38" spans="2:36" hidden="1">
      <c r="B38" s="1090" t="s">
        <v>394</v>
      </c>
      <c r="C38" s="1093" t="s">
        <v>393</v>
      </c>
      <c r="D38" s="1093" t="s">
        <v>393</v>
      </c>
      <c r="E38" s="1093" t="s">
        <v>393</v>
      </c>
      <c r="F38" s="1093" t="s">
        <v>393</v>
      </c>
      <c r="G38" s="1093" t="s">
        <v>393</v>
      </c>
      <c r="H38" s="1093" t="s">
        <v>393</v>
      </c>
      <c r="I38" s="1093" t="s">
        <v>393</v>
      </c>
      <c r="J38" s="1093" t="s">
        <v>393</v>
      </c>
      <c r="K38" s="1093" t="s">
        <v>393</v>
      </c>
      <c r="L38" s="1093" t="s">
        <v>393</v>
      </c>
      <c r="M38" s="1093" t="s">
        <v>393</v>
      </c>
      <c r="N38" s="1093" t="s">
        <v>393</v>
      </c>
      <c r="O38" s="1093" t="s">
        <v>393</v>
      </c>
      <c r="P38" s="1093" t="s">
        <v>393</v>
      </c>
      <c r="Q38" s="1093" t="s">
        <v>393</v>
      </c>
      <c r="R38" s="1093" t="s">
        <v>393</v>
      </c>
      <c r="S38" s="1093" t="s">
        <v>393</v>
      </c>
      <c r="T38" s="1093" t="s">
        <v>393</v>
      </c>
      <c r="U38" s="1093" t="s">
        <v>393</v>
      </c>
      <c r="V38" s="1093" t="s">
        <v>393</v>
      </c>
      <c r="W38" s="1093" t="s">
        <v>393</v>
      </c>
      <c r="X38" s="1093" t="s">
        <v>393</v>
      </c>
      <c r="Y38" s="1093" t="s">
        <v>393</v>
      </c>
      <c r="Z38" s="1093" t="s">
        <v>393</v>
      </c>
      <c r="AA38" s="1093" t="s">
        <v>393</v>
      </c>
      <c r="AB38" s="1094" t="s">
        <v>393</v>
      </c>
      <c r="AC38" s="1094" t="s">
        <v>393</v>
      </c>
      <c r="AD38" s="1092" t="s">
        <v>393</v>
      </c>
      <c r="AE38" s="1092"/>
      <c r="AF38" s="1049"/>
      <c r="AI38" s="1089"/>
    </row>
    <row r="39" spans="2:36" ht="10.5" hidden="1" customHeight="1">
      <c r="B39" s="1090" t="s">
        <v>395</v>
      </c>
      <c r="C39" s="1091">
        <v>79.656999999999996</v>
      </c>
      <c r="D39" s="1091">
        <v>80.545000000000002</v>
      </c>
      <c r="E39" s="1091">
        <v>80.153000000000006</v>
      </c>
      <c r="F39" s="1091">
        <v>80.277000000000001</v>
      </c>
      <c r="G39" s="1091">
        <v>81.209999999999994</v>
      </c>
      <c r="H39" s="1091">
        <v>83.025000000000006</v>
      </c>
      <c r="I39" s="1091">
        <v>81.923000000000002</v>
      </c>
      <c r="J39" s="1091">
        <v>80.478999999999999</v>
      </c>
      <c r="K39" s="1091">
        <v>78.573999999999998</v>
      </c>
      <c r="L39" s="1091">
        <v>77.971000000000004</v>
      </c>
      <c r="M39" s="1091">
        <v>79.466999999999999</v>
      </c>
      <c r="N39" s="1091">
        <v>78.834999999999994</v>
      </c>
      <c r="O39" s="1091">
        <v>78.200999999999993</v>
      </c>
      <c r="P39" s="1091">
        <v>79.400000000000006</v>
      </c>
      <c r="Q39" s="1091">
        <v>82.284000000000006</v>
      </c>
      <c r="R39" s="1091">
        <v>85.131</v>
      </c>
      <c r="S39" s="1091">
        <v>87.841999999999999</v>
      </c>
      <c r="T39" s="1091">
        <v>91.138999999999996</v>
      </c>
      <c r="U39" s="1091">
        <v>95.41</v>
      </c>
      <c r="V39" s="1091">
        <v>89.694000000000003</v>
      </c>
      <c r="W39" s="1091">
        <v>93.347999999999999</v>
      </c>
      <c r="X39" s="1091">
        <v>99.242000000000004</v>
      </c>
      <c r="Y39" s="1091">
        <v>100</v>
      </c>
      <c r="Z39" s="1091">
        <v>100.16800000000001</v>
      </c>
      <c r="AA39" s="1091">
        <v>100.169</v>
      </c>
      <c r="AB39" s="1067">
        <v>95.146000000000001</v>
      </c>
      <c r="AC39" s="1091">
        <v>93.248000000000005</v>
      </c>
      <c r="AD39" s="1092">
        <v>95.923000000000002</v>
      </c>
      <c r="AE39" s="1092"/>
      <c r="AF39" s="1049"/>
      <c r="AI39" s="1089"/>
      <c r="AJ39" s="1095"/>
    </row>
    <row r="40" spans="2:36" ht="10.5" hidden="1" customHeight="1">
      <c r="B40" s="1090" t="s">
        <v>396</v>
      </c>
      <c r="C40" s="1091">
        <v>85.712999999999994</v>
      </c>
      <c r="D40" s="1091">
        <v>85.674000000000007</v>
      </c>
      <c r="E40" s="1091">
        <v>84.337999999999994</v>
      </c>
      <c r="F40" s="1091">
        <v>83.914000000000001</v>
      </c>
      <c r="G40" s="1091">
        <v>84.873000000000005</v>
      </c>
      <c r="H40" s="1091">
        <v>86.887</v>
      </c>
      <c r="I40" s="1091">
        <v>84.683999999999997</v>
      </c>
      <c r="J40" s="1091">
        <v>82.335999999999999</v>
      </c>
      <c r="K40" s="1091">
        <v>79.739999999999995</v>
      </c>
      <c r="L40" s="1091">
        <v>78.661000000000001</v>
      </c>
      <c r="M40" s="1091">
        <v>80.024000000000001</v>
      </c>
      <c r="N40" s="1091">
        <v>79.557000000000002</v>
      </c>
      <c r="O40" s="1091">
        <v>78.728999999999999</v>
      </c>
      <c r="P40" s="1091">
        <v>79.506</v>
      </c>
      <c r="Q40" s="1091">
        <v>82.314999999999998</v>
      </c>
      <c r="R40" s="1091">
        <v>84.933999999999997</v>
      </c>
      <c r="S40" s="1091">
        <v>87.585999999999999</v>
      </c>
      <c r="T40" s="1091">
        <v>91.001999999999995</v>
      </c>
      <c r="U40" s="1091">
        <v>95.712999999999994</v>
      </c>
      <c r="V40" s="1091">
        <v>88.921000000000006</v>
      </c>
      <c r="W40" s="1091">
        <v>92.966999999999999</v>
      </c>
      <c r="X40" s="1091">
        <v>99.793000000000006</v>
      </c>
      <c r="Y40" s="1091">
        <v>100</v>
      </c>
      <c r="Z40" s="1091">
        <v>99.311999999999998</v>
      </c>
      <c r="AA40" s="1091">
        <v>98.322999999999993</v>
      </c>
      <c r="AB40" s="1067">
        <v>91.275999999999996</v>
      </c>
      <c r="AC40" s="1091">
        <v>87.822000000000003</v>
      </c>
      <c r="AD40" s="1092">
        <v>90.49</v>
      </c>
      <c r="AE40" s="1092"/>
      <c r="AF40" s="1049"/>
      <c r="AI40" s="1089"/>
      <c r="AJ40" s="1095"/>
    </row>
    <row r="41" spans="2:36" ht="10.5" hidden="1" customHeight="1">
      <c r="B41" s="1090" t="s">
        <v>397</v>
      </c>
      <c r="C41" s="1091">
        <v>65.748000000000005</v>
      </c>
      <c r="D41" s="1091">
        <v>68.555000000000007</v>
      </c>
      <c r="E41" s="1091">
        <v>70.165000000000006</v>
      </c>
      <c r="F41" s="1091">
        <v>71.456000000000003</v>
      </c>
      <c r="G41" s="1091">
        <v>72.322999999999993</v>
      </c>
      <c r="H41" s="1091">
        <v>73.683000000000007</v>
      </c>
      <c r="I41" s="1091">
        <v>75.137</v>
      </c>
      <c r="J41" s="1091">
        <v>75.897999999999996</v>
      </c>
      <c r="K41" s="1091">
        <v>75.739999999999995</v>
      </c>
      <c r="L41" s="1091">
        <v>76.325000000000003</v>
      </c>
      <c r="M41" s="1091">
        <v>78.159000000000006</v>
      </c>
      <c r="N41" s="1091">
        <v>77.106999999999999</v>
      </c>
      <c r="O41" s="1091">
        <v>76.951999999999998</v>
      </c>
      <c r="P41" s="1091">
        <v>79.171999999999997</v>
      </c>
      <c r="Q41" s="1091">
        <v>82.236000000000004</v>
      </c>
      <c r="R41" s="1091">
        <v>85.634</v>
      </c>
      <c r="S41" s="1091">
        <v>88.49</v>
      </c>
      <c r="T41" s="1091">
        <v>91.504000000000005</v>
      </c>
      <c r="U41" s="1091">
        <v>94.745999999999995</v>
      </c>
      <c r="V41" s="1091">
        <v>91.385999999999996</v>
      </c>
      <c r="W41" s="1091">
        <v>94.197000000000003</v>
      </c>
      <c r="X41" s="1091">
        <v>97.998999999999995</v>
      </c>
      <c r="Y41" s="1091">
        <v>100</v>
      </c>
      <c r="Z41" s="1091">
        <v>102.099</v>
      </c>
      <c r="AA41" s="1091">
        <v>104.336</v>
      </c>
      <c r="AB41" s="1067">
        <v>103.83799999999999</v>
      </c>
      <c r="AC41" s="1091">
        <v>105.395</v>
      </c>
      <c r="AD41" s="1092">
        <v>108.084</v>
      </c>
      <c r="AE41" s="1092"/>
      <c r="AF41" s="1049"/>
      <c r="AJ41" s="1095"/>
    </row>
    <row r="42" spans="2:36" ht="10.5" hidden="1" customHeight="1">
      <c r="B42" s="1090" t="s">
        <v>398</v>
      </c>
      <c r="C42" s="1091">
        <v>79.233000000000004</v>
      </c>
      <c r="D42" s="1091">
        <v>78.572999999999993</v>
      </c>
      <c r="E42" s="1091">
        <v>78.635999999999996</v>
      </c>
      <c r="F42" s="1091">
        <v>78.033000000000001</v>
      </c>
      <c r="G42" s="1091">
        <v>78.766000000000005</v>
      </c>
      <c r="H42" s="1091">
        <v>80.924000000000007</v>
      </c>
      <c r="I42" s="1091">
        <v>79.513999999999996</v>
      </c>
      <c r="J42" s="1091">
        <v>76.75</v>
      </c>
      <c r="K42" s="1091">
        <v>72.617999999999995</v>
      </c>
      <c r="L42" s="1091">
        <v>73.019000000000005</v>
      </c>
      <c r="M42" s="1091">
        <v>76.221000000000004</v>
      </c>
      <c r="N42" s="1091">
        <v>74.222999999999999</v>
      </c>
      <c r="O42" s="1091">
        <v>73.242000000000004</v>
      </c>
      <c r="P42" s="1091">
        <v>75.453999999999994</v>
      </c>
      <c r="Q42" s="1091">
        <v>79.06</v>
      </c>
      <c r="R42" s="1091">
        <v>83.703000000000003</v>
      </c>
      <c r="S42" s="1091">
        <v>86.909000000000006</v>
      </c>
      <c r="T42" s="1091">
        <v>89.921000000000006</v>
      </c>
      <c r="U42" s="1091">
        <v>98.96</v>
      </c>
      <c r="V42" s="1091">
        <v>87.986999999999995</v>
      </c>
      <c r="W42" s="1091">
        <v>92.783000000000001</v>
      </c>
      <c r="X42" s="1091">
        <v>99.825999999999993</v>
      </c>
      <c r="Y42" s="1091">
        <v>100</v>
      </c>
      <c r="Z42" s="1091">
        <v>98.635999999999996</v>
      </c>
      <c r="AA42" s="1091">
        <v>97.777000000000001</v>
      </c>
      <c r="AB42" s="1067">
        <v>89.727999999999994</v>
      </c>
      <c r="AC42" s="1091">
        <v>86.53</v>
      </c>
      <c r="AD42" s="1092">
        <v>88.510999999999996</v>
      </c>
      <c r="AE42" s="1092"/>
      <c r="AF42" s="1049"/>
      <c r="AJ42" s="1095"/>
    </row>
    <row r="43" spans="2:36" ht="10.5" hidden="1" customHeight="1">
      <c r="B43" s="1090" t="s">
        <v>396</v>
      </c>
      <c r="C43" s="1091">
        <v>83.055999999999997</v>
      </c>
      <c r="D43" s="1091">
        <v>81.486000000000004</v>
      </c>
      <c r="E43" s="1091">
        <v>81.040000000000006</v>
      </c>
      <c r="F43" s="1091">
        <v>80.134</v>
      </c>
      <c r="G43" s="1091">
        <v>80.718000000000004</v>
      </c>
      <c r="H43" s="1091">
        <v>82.87</v>
      </c>
      <c r="I43" s="1091">
        <v>80.77</v>
      </c>
      <c r="J43" s="1091">
        <v>77.433999999999997</v>
      </c>
      <c r="K43" s="1091">
        <v>72.757000000000005</v>
      </c>
      <c r="L43" s="1091">
        <v>72.8</v>
      </c>
      <c r="M43" s="1091">
        <v>76.641000000000005</v>
      </c>
      <c r="N43" s="1091">
        <v>74.463999999999999</v>
      </c>
      <c r="O43" s="1091">
        <v>73.096999999999994</v>
      </c>
      <c r="P43" s="1091">
        <v>74.686999999999998</v>
      </c>
      <c r="Q43" s="1091">
        <v>78.231999999999999</v>
      </c>
      <c r="R43" s="1091">
        <v>83.183000000000007</v>
      </c>
      <c r="S43" s="1091">
        <v>86.528000000000006</v>
      </c>
      <c r="T43" s="1091">
        <v>89.429000000000002</v>
      </c>
      <c r="U43" s="1091">
        <v>99.233999999999995</v>
      </c>
      <c r="V43" s="1091">
        <v>86.628</v>
      </c>
      <c r="W43" s="1091">
        <v>92.052000000000007</v>
      </c>
      <c r="X43" s="1091">
        <v>99.912999999999997</v>
      </c>
      <c r="Y43" s="1091">
        <v>100</v>
      </c>
      <c r="Z43" s="1091">
        <v>98.054000000000002</v>
      </c>
      <c r="AA43" s="1091">
        <v>96.715000000000003</v>
      </c>
      <c r="AB43" s="1091">
        <v>87.463999999999999</v>
      </c>
      <c r="AC43" s="1091">
        <v>83.768000000000001</v>
      </c>
      <c r="AD43" s="1092">
        <v>85.760999999999996</v>
      </c>
      <c r="AE43" s="1092"/>
      <c r="AF43" s="1049"/>
      <c r="AJ43" s="1095"/>
    </row>
    <row r="44" spans="2:36" ht="10.5" hidden="1" customHeight="1">
      <c r="B44" s="1090" t="s">
        <v>397</v>
      </c>
      <c r="C44" s="1091">
        <v>63.655000000000001</v>
      </c>
      <c r="D44" s="1091">
        <v>65.983000000000004</v>
      </c>
      <c r="E44" s="1091">
        <v>67.835999999999999</v>
      </c>
      <c r="F44" s="1091">
        <v>68.411000000000001</v>
      </c>
      <c r="G44" s="1091">
        <v>69.753</v>
      </c>
      <c r="H44" s="1091">
        <v>71.930999999999997</v>
      </c>
      <c r="I44" s="1091">
        <v>73.725999999999999</v>
      </c>
      <c r="J44" s="1091">
        <v>73.724000000000004</v>
      </c>
      <c r="K44" s="1091">
        <v>72.281999999999996</v>
      </c>
      <c r="L44" s="1091">
        <v>74.537000000000006</v>
      </c>
      <c r="M44" s="1091">
        <v>74.259</v>
      </c>
      <c r="N44" s="1091">
        <v>73.213999999999999</v>
      </c>
      <c r="O44" s="1091">
        <v>74.271000000000001</v>
      </c>
      <c r="P44" s="1091">
        <v>79.866</v>
      </c>
      <c r="Q44" s="1091">
        <v>83.817999999999998</v>
      </c>
      <c r="R44" s="1091">
        <v>86.721000000000004</v>
      </c>
      <c r="S44" s="1091">
        <v>89.134</v>
      </c>
      <c r="T44" s="1091">
        <v>92.77</v>
      </c>
      <c r="U44" s="1091">
        <v>97.798000000000002</v>
      </c>
      <c r="V44" s="1091">
        <v>94.510999999999996</v>
      </c>
      <c r="W44" s="1091">
        <v>96.415999999999997</v>
      </c>
      <c r="X44" s="1091">
        <v>99.391999999999996</v>
      </c>
      <c r="Y44" s="1091">
        <v>100</v>
      </c>
      <c r="Z44" s="1091">
        <v>101.575</v>
      </c>
      <c r="AA44" s="1091">
        <v>103.196</v>
      </c>
      <c r="AB44" s="1091">
        <v>101.498</v>
      </c>
      <c r="AC44" s="1091">
        <v>100.91800000000001</v>
      </c>
      <c r="AD44" s="1092">
        <v>102.83499999999999</v>
      </c>
      <c r="AE44" s="1092"/>
      <c r="AF44" s="1049"/>
      <c r="AJ44" s="1095"/>
    </row>
    <row r="45" spans="2:36" ht="10.5" hidden="1" customHeight="1">
      <c r="B45" s="1090" t="s">
        <v>399</v>
      </c>
      <c r="C45" s="1091">
        <v>52.113</v>
      </c>
      <c r="D45" s="1091">
        <v>54.005000000000003</v>
      </c>
      <c r="E45" s="1091">
        <v>55.642000000000003</v>
      </c>
      <c r="F45" s="1091">
        <v>56.953000000000003</v>
      </c>
      <c r="G45" s="1091">
        <v>58.463000000000001</v>
      </c>
      <c r="H45" s="1091">
        <v>60.122999999999998</v>
      </c>
      <c r="I45" s="1091">
        <v>61.354999999999997</v>
      </c>
      <c r="J45" s="1091">
        <v>62.56</v>
      </c>
      <c r="K45" s="1091">
        <v>63.624000000000002</v>
      </c>
      <c r="L45" s="1091">
        <v>65.778000000000006</v>
      </c>
      <c r="M45" s="1091">
        <v>68.600999999999999</v>
      </c>
      <c r="N45" s="1091">
        <v>70.566999999999993</v>
      </c>
      <c r="O45" s="1091">
        <v>72.393000000000001</v>
      </c>
      <c r="P45" s="1091">
        <v>75.028000000000006</v>
      </c>
      <c r="Q45" s="1091">
        <v>78.153000000000006</v>
      </c>
      <c r="R45" s="1091">
        <v>82.11</v>
      </c>
      <c r="S45" s="1091">
        <v>85.661000000000001</v>
      </c>
      <c r="T45" s="1091">
        <v>89.492000000000004</v>
      </c>
      <c r="U45" s="1091">
        <v>93.316999999999993</v>
      </c>
      <c r="V45" s="1091">
        <v>92.930999999999997</v>
      </c>
      <c r="W45" s="1091">
        <v>95.385999999999996</v>
      </c>
      <c r="X45" s="1091">
        <v>98.284999999999997</v>
      </c>
      <c r="Y45" s="1091">
        <v>100</v>
      </c>
      <c r="Z45" s="1091">
        <v>102.33199999999999</v>
      </c>
      <c r="AA45" s="1091">
        <v>104.44499999999999</v>
      </c>
      <c r="AB45" s="1067">
        <v>104.717</v>
      </c>
      <c r="AC45" s="1091">
        <v>105.059</v>
      </c>
      <c r="AD45" s="1092">
        <v>107.797</v>
      </c>
      <c r="AE45" s="1092"/>
      <c r="AF45" s="1049"/>
      <c r="AJ45" s="1095"/>
    </row>
    <row r="46" spans="2:36" ht="10.5" hidden="1" customHeight="1">
      <c r="B46" s="1090" t="s">
        <v>400</v>
      </c>
      <c r="C46" s="1091">
        <v>57.25</v>
      </c>
      <c r="D46" s="1091">
        <v>59.308999999999997</v>
      </c>
      <c r="E46" s="1091">
        <v>60.823999999999998</v>
      </c>
      <c r="F46" s="1091">
        <v>62.151000000000003</v>
      </c>
      <c r="G46" s="1091">
        <v>63.860999999999997</v>
      </c>
      <c r="H46" s="1091">
        <v>65.837999999999994</v>
      </c>
      <c r="I46" s="1091">
        <v>66.936999999999998</v>
      </c>
      <c r="J46" s="1091">
        <v>67.971999999999994</v>
      </c>
      <c r="K46" s="1091">
        <v>68.840999999999994</v>
      </c>
      <c r="L46" s="1091">
        <v>70.519000000000005</v>
      </c>
      <c r="M46" s="1091">
        <v>72.885999999999996</v>
      </c>
      <c r="N46" s="1091">
        <v>74.236000000000004</v>
      </c>
      <c r="O46" s="1091">
        <v>76.631</v>
      </c>
      <c r="P46" s="1091">
        <v>80.007999999999996</v>
      </c>
      <c r="Q46" s="1091">
        <v>82.76</v>
      </c>
      <c r="R46" s="1091">
        <v>86.203999999999994</v>
      </c>
      <c r="S46" s="1091">
        <v>88.948999999999998</v>
      </c>
      <c r="T46" s="1091">
        <v>91.59</v>
      </c>
      <c r="U46" s="1091">
        <v>94.403999999999996</v>
      </c>
      <c r="V46" s="1091">
        <v>94.213999999999999</v>
      </c>
      <c r="W46" s="1091">
        <v>96.421000000000006</v>
      </c>
      <c r="X46" s="1091">
        <v>99.07</v>
      </c>
      <c r="Y46" s="1091">
        <v>100</v>
      </c>
      <c r="Z46" s="1091">
        <v>100.931</v>
      </c>
      <c r="AA46" s="1091">
        <v>102.61799999999999</v>
      </c>
      <c r="AB46" s="1067">
        <v>103.2</v>
      </c>
      <c r="AC46" s="1091">
        <v>103.73699999999999</v>
      </c>
      <c r="AD46" s="1092">
        <v>105.753</v>
      </c>
      <c r="AE46" s="1092"/>
      <c r="AF46" s="1049"/>
      <c r="AJ46" s="1095"/>
    </row>
    <row r="47" spans="2:36" ht="10.5" hidden="1" customHeight="1">
      <c r="B47" s="1090" t="s">
        <v>401</v>
      </c>
      <c r="C47" s="1091">
        <v>57.161999999999999</v>
      </c>
      <c r="D47" s="1091">
        <v>58.963999999999999</v>
      </c>
      <c r="E47" s="1091">
        <v>60.677999999999997</v>
      </c>
      <c r="F47" s="1091">
        <v>61.615000000000002</v>
      </c>
      <c r="G47" s="1091">
        <v>63.228999999999999</v>
      </c>
      <c r="H47" s="1091">
        <v>65.027000000000001</v>
      </c>
      <c r="I47" s="1091">
        <v>66.114000000000004</v>
      </c>
      <c r="J47" s="1091">
        <v>67.034999999999997</v>
      </c>
      <c r="K47" s="1091">
        <v>67.870999999999995</v>
      </c>
      <c r="L47" s="1091">
        <v>69.558999999999997</v>
      </c>
      <c r="M47" s="1091">
        <v>71.908000000000001</v>
      </c>
      <c r="N47" s="1091">
        <v>73.27</v>
      </c>
      <c r="O47" s="1091">
        <v>75.713999999999999</v>
      </c>
      <c r="P47" s="1091">
        <v>79.504999999999995</v>
      </c>
      <c r="Q47" s="1091">
        <v>82.263000000000005</v>
      </c>
      <c r="R47" s="1091">
        <v>86.010999999999996</v>
      </c>
      <c r="S47" s="1091">
        <v>89.022000000000006</v>
      </c>
      <c r="T47" s="1091">
        <v>91.75</v>
      </c>
      <c r="U47" s="1091">
        <v>94.801000000000002</v>
      </c>
      <c r="V47" s="1091">
        <v>94.126000000000005</v>
      </c>
      <c r="W47" s="1091">
        <v>96.128</v>
      </c>
      <c r="X47" s="1091">
        <v>98.945999999999998</v>
      </c>
      <c r="Y47" s="1091">
        <v>100</v>
      </c>
      <c r="Z47" s="1091">
        <v>100.60899999999999</v>
      </c>
      <c r="AA47" s="1091">
        <v>101.995</v>
      </c>
      <c r="AB47" s="1067">
        <v>102.256</v>
      </c>
      <c r="AC47" s="1091">
        <v>102.557</v>
      </c>
      <c r="AD47" s="1092">
        <v>104.209</v>
      </c>
      <c r="AE47" s="1092"/>
      <c r="AF47" s="1049"/>
      <c r="AJ47" s="1095"/>
    </row>
    <row r="48" spans="2:36" ht="10.5" hidden="1" customHeight="1">
      <c r="B48" s="1090" t="s">
        <v>402</v>
      </c>
      <c r="C48" s="1091">
        <v>57.093000000000004</v>
      </c>
      <c r="D48" s="1091">
        <v>59.786999999999999</v>
      </c>
      <c r="E48" s="1091">
        <v>60.825000000000003</v>
      </c>
      <c r="F48" s="1091">
        <v>62.994</v>
      </c>
      <c r="G48" s="1091">
        <v>64.897999999999996</v>
      </c>
      <c r="H48" s="1091">
        <v>67.222999999999999</v>
      </c>
      <c r="I48" s="1091">
        <v>68.343999999999994</v>
      </c>
      <c r="J48" s="1091">
        <v>69.590999999999994</v>
      </c>
      <c r="K48" s="1091">
        <v>70.518000000000001</v>
      </c>
      <c r="L48" s="1091">
        <v>72.177999999999997</v>
      </c>
      <c r="M48" s="1091">
        <v>74.578000000000003</v>
      </c>
      <c r="N48" s="1091">
        <v>75.906000000000006</v>
      </c>
      <c r="O48" s="1091">
        <v>78.221999999999994</v>
      </c>
      <c r="P48" s="1091">
        <v>80.894999999999996</v>
      </c>
      <c r="Q48" s="1091">
        <v>83.637</v>
      </c>
      <c r="R48" s="1091">
        <v>86.531000000000006</v>
      </c>
      <c r="S48" s="1091">
        <v>88.799000000000007</v>
      </c>
      <c r="T48" s="1091">
        <v>91.281999999999996</v>
      </c>
      <c r="U48" s="1091">
        <v>93.664000000000001</v>
      </c>
      <c r="V48" s="1091">
        <v>94.364000000000004</v>
      </c>
      <c r="W48" s="1091">
        <v>96.941999999999993</v>
      </c>
      <c r="X48" s="1091">
        <v>99.289000000000001</v>
      </c>
      <c r="Y48" s="1091">
        <v>100</v>
      </c>
      <c r="Z48" s="1091">
        <v>101.476</v>
      </c>
      <c r="AA48" s="1091">
        <v>103.65600000000001</v>
      </c>
      <c r="AB48" s="1067">
        <v>104.739</v>
      </c>
      <c r="AC48" s="1091">
        <v>105.631</v>
      </c>
      <c r="AD48" s="1092">
        <v>108.188</v>
      </c>
      <c r="AE48" s="1092"/>
      <c r="AF48" s="1049"/>
      <c r="AJ48" s="1095"/>
    </row>
    <row r="49" spans="2:36" ht="10.5" hidden="1" customHeight="1">
      <c r="B49" s="1090" t="s">
        <v>403</v>
      </c>
      <c r="C49" s="1091">
        <v>49.152999999999999</v>
      </c>
      <c r="D49" s="1091">
        <v>50.953000000000003</v>
      </c>
      <c r="E49" s="1091">
        <v>52.69</v>
      </c>
      <c r="F49" s="1091">
        <v>54.002000000000002</v>
      </c>
      <c r="G49" s="1091">
        <v>55.393999999999998</v>
      </c>
      <c r="H49" s="1091">
        <v>56.871000000000002</v>
      </c>
      <c r="I49" s="1091">
        <v>58.177</v>
      </c>
      <c r="J49" s="1091">
        <v>59.470999999999997</v>
      </c>
      <c r="K49" s="1091">
        <v>60.63</v>
      </c>
      <c r="L49" s="1091">
        <v>63.008000000000003</v>
      </c>
      <c r="M49" s="1091">
        <v>66.031999999999996</v>
      </c>
      <c r="N49" s="1091">
        <v>68.281000000000006</v>
      </c>
      <c r="O49" s="1091">
        <v>69.814999999999998</v>
      </c>
      <c r="P49" s="1091">
        <v>72.05</v>
      </c>
      <c r="Q49" s="1091">
        <v>75.369</v>
      </c>
      <c r="R49" s="1091">
        <v>79.608999999999995</v>
      </c>
      <c r="S49" s="1091">
        <v>83.617000000000004</v>
      </c>
      <c r="T49" s="1091">
        <v>88.132999999999996</v>
      </c>
      <c r="U49" s="1091">
        <v>92.558000000000007</v>
      </c>
      <c r="V49" s="1091">
        <v>92.048000000000002</v>
      </c>
      <c r="W49" s="1091">
        <v>94.668999999999997</v>
      </c>
      <c r="X49" s="1091">
        <v>97.739000000000004</v>
      </c>
      <c r="Y49" s="1091">
        <v>100</v>
      </c>
      <c r="Z49" s="1091">
        <v>103.279</v>
      </c>
      <c r="AA49" s="1091">
        <v>105.67</v>
      </c>
      <c r="AB49" s="1067">
        <v>105.748</v>
      </c>
      <c r="AC49" s="1091">
        <v>105.97</v>
      </c>
      <c r="AD49" s="1092">
        <v>109.155</v>
      </c>
      <c r="AE49" s="1092"/>
      <c r="AF49" s="1049"/>
      <c r="AJ49" s="1095"/>
    </row>
    <row r="50" spans="2:36" ht="10.5" hidden="1" customHeight="1">
      <c r="B50" s="1090" t="s">
        <v>404</v>
      </c>
      <c r="C50" s="1091" t="s">
        <v>2</v>
      </c>
      <c r="D50" s="1091" t="s">
        <v>2</v>
      </c>
      <c r="E50" s="1091" t="s">
        <v>2</v>
      </c>
      <c r="F50" s="1091" t="s">
        <v>2</v>
      </c>
      <c r="G50" s="1091" t="s">
        <v>2</v>
      </c>
      <c r="H50" s="1091" t="s">
        <v>2</v>
      </c>
      <c r="I50" s="1091" t="s">
        <v>2</v>
      </c>
      <c r="J50" s="1091" t="s">
        <v>2</v>
      </c>
      <c r="K50" s="1091" t="s">
        <v>2</v>
      </c>
      <c r="L50" s="1091" t="s">
        <v>2</v>
      </c>
      <c r="M50" s="1091" t="s">
        <v>2</v>
      </c>
      <c r="N50" s="1091" t="s">
        <v>2</v>
      </c>
      <c r="O50" s="1091" t="s">
        <v>2</v>
      </c>
      <c r="P50" s="1091" t="s">
        <v>2</v>
      </c>
      <c r="Q50" s="1091" t="s">
        <v>2</v>
      </c>
      <c r="R50" s="1091" t="s">
        <v>2</v>
      </c>
      <c r="S50" s="1091" t="s">
        <v>2</v>
      </c>
      <c r="T50" s="1091" t="s">
        <v>2</v>
      </c>
      <c r="U50" s="1091" t="s">
        <v>2</v>
      </c>
      <c r="V50" s="1091" t="s">
        <v>2</v>
      </c>
      <c r="W50" s="1091" t="s">
        <v>2</v>
      </c>
      <c r="X50" s="1091" t="s">
        <v>2</v>
      </c>
      <c r="Y50" s="1091" t="s">
        <v>2</v>
      </c>
      <c r="Z50" s="1091" t="s">
        <v>2</v>
      </c>
      <c r="AA50" s="1091" t="s">
        <v>2</v>
      </c>
      <c r="AB50" s="1067" t="s">
        <v>2</v>
      </c>
      <c r="AC50" s="1067" t="s">
        <v>2</v>
      </c>
      <c r="AD50" s="1092" t="s">
        <v>2</v>
      </c>
      <c r="AE50" s="1092"/>
      <c r="AF50" s="1049"/>
      <c r="AJ50" s="1095"/>
    </row>
    <row r="51" spans="2:36" ht="10.5" hidden="1" customHeight="1">
      <c r="B51" s="1090" t="s">
        <v>405</v>
      </c>
      <c r="C51" s="1067">
        <v>63.637</v>
      </c>
      <c r="D51" s="1067">
        <v>65.801000000000002</v>
      </c>
      <c r="E51" s="1067">
        <v>67.299000000000007</v>
      </c>
      <c r="F51" s="1067">
        <v>68.891000000000005</v>
      </c>
      <c r="G51" s="1067">
        <v>70.36</v>
      </c>
      <c r="H51" s="1067">
        <v>71.843000000000004</v>
      </c>
      <c r="I51" s="1067">
        <v>73.161000000000001</v>
      </c>
      <c r="J51" s="1067">
        <v>74.423000000000002</v>
      </c>
      <c r="K51" s="1067">
        <v>75.263000000000005</v>
      </c>
      <c r="L51" s="1067">
        <v>76.347999999999999</v>
      </c>
      <c r="M51" s="1067">
        <v>78.052999999999997</v>
      </c>
      <c r="N51" s="1067">
        <v>79.763999999999996</v>
      </c>
      <c r="O51" s="1067">
        <v>81.025999999999996</v>
      </c>
      <c r="P51" s="1067">
        <v>82.533000000000001</v>
      </c>
      <c r="Q51" s="1067">
        <v>84.754000000000005</v>
      </c>
      <c r="R51" s="1067">
        <v>87.394999999999996</v>
      </c>
      <c r="S51" s="1067">
        <v>90.040999999999997</v>
      </c>
      <c r="T51" s="1067">
        <v>92.46</v>
      </c>
      <c r="U51" s="1067">
        <v>94.268000000000001</v>
      </c>
      <c r="V51" s="1067">
        <v>94.997</v>
      </c>
      <c r="W51" s="1067">
        <v>96.102000000000004</v>
      </c>
      <c r="X51" s="1067">
        <v>98.117999999999995</v>
      </c>
      <c r="Y51" s="1067">
        <v>100</v>
      </c>
      <c r="Z51" s="1067">
        <v>101.754</v>
      </c>
      <c r="AA51" s="1067">
        <v>103.667</v>
      </c>
      <c r="AB51" s="1067">
        <v>104.755</v>
      </c>
      <c r="AC51" s="1067">
        <v>105.90300000000001</v>
      </c>
      <c r="AD51" s="1092">
        <v>107.90300000000001</v>
      </c>
      <c r="AE51" s="1092"/>
      <c r="AF51" s="1049"/>
      <c r="AJ51" s="1095"/>
    </row>
    <row r="52" spans="2:36" ht="10.5" hidden="1" customHeight="1">
      <c r="B52" s="1096" t="s">
        <v>406</v>
      </c>
      <c r="C52" s="1067"/>
      <c r="D52" s="1067"/>
      <c r="E52" s="1067"/>
      <c r="F52" s="1067"/>
      <c r="G52" s="1067"/>
      <c r="H52" s="1067"/>
      <c r="I52" s="1067"/>
      <c r="J52" s="1067"/>
      <c r="K52" s="1067"/>
      <c r="L52" s="1067"/>
      <c r="M52" s="1067"/>
      <c r="N52" s="1067"/>
      <c r="O52" s="1067"/>
      <c r="P52" s="1067"/>
      <c r="Q52" s="1067"/>
      <c r="R52" s="1067"/>
      <c r="S52" s="1067"/>
      <c r="T52" s="1067"/>
      <c r="U52" s="1067"/>
      <c r="V52" s="1067"/>
      <c r="W52" s="1067"/>
      <c r="X52" s="1067"/>
      <c r="Y52" s="1067"/>
      <c r="Z52" s="1067"/>
      <c r="AA52" s="1067"/>
      <c r="AB52" s="1067"/>
      <c r="AC52" s="1067"/>
      <c r="AD52" s="1067"/>
      <c r="AE52" s="1067"/>
      <c r="AJ52" s="1095"/>
    </row>
    <row r="53" spans="2:36" ht="9.75" hidden="1" customHeight="1">
      <c r="AJ53" s="1095"/>
    </row>
    <row r="54" spans="2:36" s="1046" customFormat="1" collapsed="1">
      <c r="B54" s="1047" t="s">
        <v>407</v>
      </c>
      <c r="C54" s="1048"/>
    </row>
    <row r="55" spans="2:36" s="1100" customFormat="1">
      <c r="B55" s="1098"/>
      <c r="C55" s="1099"/>
      <c r="Y55" s="1101"/>
      <c r="Z55" s="1102"/>
    </row>
    <row r="56" spans="2:36" s="1054" customFormat="1">
      <c r="B56" s="1103" t="s">
        <v>408</v>
      </c>
      <c r="C56" s="1076" t="s">
        <v>0</v>
      </c>
      <c r="D56" s="1077" t="s">
        <v>409</v>
      </c>
      <c r="E56" s="1077" t="s">
        <v>410</v>
      </c>
      <c r="F56" s="1077" t="s">
        <v>411</v>
      </c>
      <c r="G56" s="1077" t="s">
        <v>412</v>
      </c>
      <c r="H56" s="1077" t="s">
        <v>413</v>
      </c>
      <c r="I56" s="1077" t="s">
        <v>374</v>
      </c>
      <c r="J56" s="1077" t="s">
        <v>414</v>
      </c>
      <c r="K56" s="1077" t="s">
        <v>415</v>
      </c>
      <c r="L56" s="1077" t="s">
        <v>416</v>
      </c>
      <c r="M56" s="1077" t="s">
        <v>417</v>
      </c>
      <c r="N56" s="1077" t="s">
        <v>418</v>
      </c>
      <c r="O56" s="1077" t="s">
        <v>419</v>
      </c>
      <c r="P56" s="1077" t="s">
        <v>420</v>
      </c>
      <c r="Q56" s="1077" t="s">
        <v>421</v>
      </c>
      <c r="R56" s="1077" t="s">
        <v>422</v>
      </c>
      <c r="S56" s="1100"/>
      <c r="T56" s="1100"/>
      <c r="Y56" s="1055"/>
      <c r="Z56" s="1068"/>
    </row>
    <row r="57" spans="2:36">
      <c r="B57" s="1104" t="s">
        <v>423</v>
      </c>
      <c r="C57" s="1105">
        <v>1970</v>
      </c>
      <c r="D57" s="1106">
        <v>37.799999999999997</v>
      </c>
      <c r="E57" s="1106">
        <v>38</v>
      </c>
      <c r="F57" s="1106">
        <v>38.200000000000003</v>
      </c>
      <c r="G57" s="1106">
        <v>38.5</v>
      </c>
      <c r="H57" s="1106">
        <v>38.6</v>
      </c>
      <c r="I57" s="1106">
        <v>38.799999999999997</v>
      </c>
      <c r="J57" s="1106">
        <v>39</v>
      </c>
      <c r="K57" s="1106">
        <v>39</v>
      </c>
      <c r="L57" s="1106">
        <v>39.200000000000003</v>
      </c>
      <c r="M57" s="1106">
        <v>39.4</v>
      </c>
      <c r="N57" s="1106">
        <v>39.6</v>
      </c>
      <c r="O57" s="1106">
        <v>39.799999999999997</v>
      </c>
      <c r="P57" s="1107">
        <v>38.799999999999997</v>
      </c>
      <c r="Q57" s="1108"/>
      <c r="R57" s="1108"/>
      <c r="S57" s="1100"/>
      <c r="T57" s="1100"/>
      <c r="V57" s="1109"/>
    </row>
    <row r="58" spans="2:36">
      <c r="B58" s="1104" t="s">
        <v>424</v>
      </c>
      <c r="C58" s="1105">
        <v>1971</v>
      </c>
      <c r="D58" s="1106">
        <v>39.799999999999997</v>
      </c>
      <c r="E58" s="1106">
        <v>39.9</v>
      </c>
      <c r="F58" s="1106">
        <v>40</v>
      </c>
      <c r="G58" s="1106">
        <v>40.1</v>
      </c>
      <c r="H58" s="1106">
        <v>40.299999999999997</v>
      </c>
      <c r="I58" s="1106">
        <v>40.6</v>
      </c>
      <c r="J58" s="1106">
        <v>40.700000000000003</v>
      </c>
      <c r="K58" s="1106">
        <v>40.799999999999997</v>
      </c>
      <c r="L58" s="1106">
        <v>40.799999999999997</v>
      </c>
      <c r="M58" s="1106">
        <v>40.9</v>
      </c>
      <c r="N58" s="1106">
        <v>40.9</v>
      </c>
      <c r="O58" s="1106">
        <v>41.1</v>
      </c>
      <c r="P58" s="1107">
        <v>40.5</v>
      </c>
      <c r="Q58" s="1108"/>
      <c r="R58" s="1108"/>
      <c r="S58" s="1100"/>
      <c r="T58" s="1100"/>
      <c r="V58" s="1109"/>
    </row>
    <row r="59" spans="2:36">
      <c r="B59" s="1104" t="s">
        <v>425</v>
      </c>
      <c r="C59" s="1105">
        <v>1972</v>
      </c>
      <c r="D59" s="1106">
        <v>41.1</v>
      </c>
      <c r="E59" s="1106">
        <v>41.3</v>
      </c>
      <c r="F59" s="1106">
        <v>41.4</v>
      </c>
      <c r="G59" s="1106">
        <v>41.5</v>
      </c>
      <c r="H59" s="1106">
        <v>41.6</v>
      </c>
      <c r="I59" s="1106">
        <v>41.7</v>
      </c>
      <c r="J59" s="1106">
        <v>41.9</v>
      </c>
      <c r="K59" s="1106">
        <v>42</v>
      </c>
      <c r="L59" s="1106">
        <v>42.1</v>
      </c>
      <c r="M59" s="1106">
        <v>42.3</v>
      </c>
      <c r="N59" s="1106">
        <v>42.4</v>
      </c>
      <c r="O59" s="1106">
        <v>42.5</v>
      </c>
      <c r="P59" s="1107">
        <v>41.8</v>
      </c>
      <c r="Q59" s="1108"/>
      <c r="R59" s="1108"/>
      <c r="S59" s="1100"/>
      <c r="T59" s="1100"/>
      <c r="V59" s="1109"/>
    </row>
    <row r="60" spans="2:36">
      <c r="B60" s="1104" t="s">
        <v>426</v>
      </c>
      <c r="C60" s="1105">
        <v>1973</v>
      </c>
      <c r="D60" s="1106">
        <v>42.6</v>
      </c>
      <c r="E60" s="1106">
        <v>42.9</v>
      </c>
      <c r="F60" s="1106">
        <v>43.3</v>
      </c>
      <c r="G60" s="1106">
        <v>43.6</v>
      </c>
      <c r="H60" s="1106">
        <v>43.9</v>
      </c>
      <c r="I60" s="1106">
        <v>44.2</v>
      </c>
      <c r="J60" s="1106">
        <v>44.3</v>
      </c>
      <c r="K60" s="1106">
        <v>45.1</v>
      </c>
      <c r="L60" s="1106">
        <v>45.2</v>
      </c>
      <c r="M60" s="1106">
        <v>45.6</v>
      </c>
      <c r="N60" s="1106">
        <v>45.9</v>
      </c>
      <c r="O60" s="1106">
        <v>46.2</v>
      </c>
      <c r="P60" s="1107">
        <v>44.4</v>
      </c>
      <c r="Q60" s="1108"/>
      <c r="R60" s="1108"/>
      <c r="S60" s="1100"/>
      <c r="T60" s="1100"/>
      <c r="V60" s="1109"/>
    </row>
    <row r="61" spans="2:36">
      <c r="B61" s="1110" t="s">
        <v>586</v>
      </c>
      <c r="C61" s="1105">
        <v>1974</v>
      </c>
      <c r="D61" s="1106">
        <v>46.6</v>
      </c>
      <c r="E61" s="1106">
        <v>47.2</v>
      </c>
      <c r="F61" s="1106">
        <v>47.8</v>
      </c>
      <c r="G61" s="1106">
        <v>48</v>
      </c>
      <c r="H61" s="1106">
        <v>48.6</v>
      </c>
      <c r="I61" s="1106">
        <v>49</v>
      </c>
      <c r="J61" s="1106">
        <v>49.4</v>
      </c>
      <c r="K61" s="1106">
        <v>50</v>
      </c>
      <c r="L61" s="1106">
        <v>50.6</v>
      </c>
      <c r="M61" s="1106">
        <v>51.1</v>
      </c>
      <c r="N61" s="1106">
        <v>51.5</v>
      </c>
      <c r="O61" s="1106">
        <v>51.9</v>
      </c>
      <c r="P61" s="1107">
        <v>49.3</v>
      </c>
      <c r="Q61" s="1108"/>
      <c r="R61" s="1108"/>
      <c r="S61" s="1100"/>
      <c r="T61" s="1100"/>
      <c r="V61" s="1109"/>
    </row>
    <row r="62" spans="2:36">
      <c r="B62" s="1097" t="s">
        <v>427</v>
      </c>
      <c r="C62" s="1111">
        <v>1975</v>
      </c>
      <c r="D62" s="1112">
        <v>52.1</v>
      </c>
      <c r="E62" s="1112">
        <v>52.5</v>
      </c>
      <c r="F62" s="1112">
        <v>52.7</v>
      </c>
      <c r="G62" s="1112">
        <v>52.9</v>
      </c>
      <c r="H62" s="1112">
        <v>53.2</v>
      </c>
      <c r="I62" s="1112">
        <v>53.6</v>
      </c>
      <c r="J62" s="1112">
        <v>54.2</v>
      </c>
      <c r="K62" s="1112">
        <v>54.3</v>
      </c>
      <c r="L62" s="1112">
        <v>54.6</v>
      </c>
      <c r="M62" s="1112">
        <v>54.9</v>
      </c>
      <c r="N62" s="1112">
        <v>55.3</v>
      </c>
      <c r="O62" s="1112">
        <v>55.5</v>
      </c>
      <c r="P62" s="1113">
        <v>53.8</v>
      </c>
      <c r="Q62" s="1074"/>
      <c r="R62" s="1074"/>
      <c r="S62" s="1100"/>
      <c r="T62" s="1100"/>
      <c r="V62" s="1109"/>
    </row>
    <row r="63" spans="2:36">
      <c r="C63" s="1082">
        <v>1976</v>
      </c>
      <c r="D63" s="1109">
        <v>55.6</v>
      </c>
      <c r="E63" s="1109">
        <v>55.8</v>
      </c>
      <c r="F63" s="1109">
        <v>55.9</v>
      </c>
      <c r="G63" s="1109">
        <v>56.1</v>
      </c>
      <c r="H63" s="1109">
        <v>56.5</v>
      </c>
      <c r="I63" s="1109">
        <v>56.8</v>
      </c>
      <c r="J63" s="1109">
        <v>57.1</v>
      </c>
      <c r="K63" s="1109">
        <v>57.4</v>
      </c>
      <c r="L63" s="1109">
        <v>57.6</v>
      </c>
      <c r="M63" s="1109">
        <v>57.9</v>
      </c>
      <c r="N63" s="1109">
        <v>58</v>
      </c>
      <c r="O63" s="1109">
        <v>58.2</v>
      </c>
      <c r="P63" s="1113">
        <v>56.9</v>
      </c>
      <c r="Q63" s="1074"/>
      <c r="R63" s="1074"/>
      <c r="S63" s="1100"/>
      <c r="T63" s="1100"/>
      <c r="V63" s="1109"/>
    </row>
    <row r="64" spans="2:36">
      <c r="C64" s="1082">
        <v>1977</v>
      </c>
      <c r="D64" s="1109">
        <v>58.5</v>
      </c>
      <c r="E64" s="1109">
        <v>59.1</v>
      </c>
      <c r="F64" s="1109">
        <v>59.5</v>
      </c>
      <c r="G64" s="1109">
        <v>60</v>
      </c>
      <c r="H64" s="1109">
        <v>60.3</v>
      </c>
      <c r="I64" s="1109">
        <v>60.7</v>
      </c>
      <c r="J64" s="1109">
        <v>61</v>
      </c>
      <c r="K64" s="1109">
        <v>61.2</v>
      </c>
      <c r="L64" s="1109">
        <v>61.4</v>
      </c>
      <c r="M64" s="1109">
        <v>61.6</v>
      </c>
      <c r="N64" s="1109">
        <v>61.9</v>
      </c>
      <c r="O64" s="1109">
        <v>62.1</v>
      </c>
      <c r="P64" s="1113">
        <v>60.6</v>
      </c>
      <c r="Q64" s="1074"/>
      <c r="R64" s="1074"/>
      <c r="S64" s="1100"/>
      <c r="T64" s="1100"/>
      <c r="V64" s="1109"/>
    </row>
    <row r="65" spans="3:22">
      <c r="C65" s="1082">
        <v>1978</v>
      </c>
      <c r="D65" s="1109">
        <v>62.5</v>
      </c>
      <c r="E65" s="1109">
        <v>62.9</v>
      </c>
      <c r="F65" s="1109">
        <v>63.4</v>
      </c>
      <c r="G65" s="1109">
        <v>63.9</v>
      </c>
      <c r="H65" s="1109">
        <v>64.5</v>
      </c>
      <c r="I65" s="1109">
        <v>65.2</v>
      </c>
      <c r="J65" s="1109">
        <v>65.7</v>
      </c>
      <c r="K65" s="1109">
        <v>66</v>
      </c>
      <c r="L65" s="1109">
        <v>66.5</v>
      </c>
      <c r="M65" s="1109">
        <v>67.099999999999994</v>
      </c>
      <c r="N65" s="1109">
        <v>67.400000000000006</v>
      </c>
      <c r="O65" s="1109">
        <v>67.7</v>
      </c>
      <c r="P65" s="1113">
        <v>65.2</v>
      </c>
      <c r="Q65" s="1074"/>
      <c r="R65" s="1074"/>
      <c r="S65" s="1100"/>
      <c r="T65" s="1100"/>
      <c r="V65" s="1109"/>
    </row>
    <row r="66" spans="3:22">
      <c r="C66" s="1082">
        <v>1979</v>
      </c>
      <c r="D66" s="1109">
        <v>68.3</v>
      </c>
      <c r="E66" s="1109">
        <v>69.099999999999994</v>
      </c>
      <c r="F66" s="1109">
        <v>69.8</v>
      </c>
      <c r="G66" s="1109">
        <v>70.599999999999994</v>
      </c>
      <c r="H66" s="1109">
        <v>71.5</v>
      </c>
      <c r="I66" s="1109">
        <v>72.3</v>
      </c>
      <c r="J66" s="1109">
        <v>73.099999999999994</v>
      </c>
      <c r="K66" s="1109">
        <v>73.8</v>
      </c>
      <c r="L66" s="1109">
        <v>74.599999999999994</v>
      </c>
      <c r="M66" s="1109">
        <v>75.2</v>
      </c>
      <c r="N66" s="1109">
        <v>75.900000000000006</v>
      </c>
      <c r="O66" s="1109">
        <v>76.7</v>
      </c>
      <c r="P66" s="1113">
        <v>72.599999999999994</v>
      </c>
      <c r="Q66" s="1074"/>
      <c r="R66" s="1074"/>
      <c r="S66" s="1100"/>
      <c r="T66" s="1100"/>
      <c r="V66" s="1109"/>
    </row>
    <row r="67" spans="3:22">
      <c r="C67" s="1105">
        <v>1980</v>
      </c>
      <c r="D67" s="1106">
        <v>77.8</v>
      </c>
      <c r="E67" s="1106">
        <v>78.900000000000006</v>
      </c>
      <c r="F67" s="1106">
        <v>80.099999999999994</v>
      </c>
      <c r="G67" s="1106">
        <v>81</v>
      </c>
      <c r="H67" s="1106">
        <v>81.8</v>
      </c>
      <c r="I67" s="1106">
        <v>82.7</v>
      </c>
      <c r="J67" s="1106">
        <v>82.7</v>
      </c>
      <c r="K67" s="1106">
        <v>83.3</v>
      </c>
      <c r="L67" s="1106">
        <v>84</v>
      </c>
      <c r="M67" s="1106">
        <v>84.8</v>
      </c>
      <c r="N67" s="1106">
        <v>85.5</v>
      </c>
      <c r="O67" s="1106">
        <v>86.3</v>
      </c>
      <c r="P67" s="1107">
        <v>82.4</v>
      </c>
      <c r="Q67" s="1108"/>
      <c r="R67" s="1108"/>
      <c r="S67" s="1100"/>
      <c r="T67" s="1100"/>
      <c r="V67" s="1109"/>
    </row>
    <row r="68" spans="3:22">
      <c r="C68" s="1105">
        <v>1981</v>
      </c>
      <c r="D68" s="1106">
        <v>87</v>
      </c>
      <c r="E68" s="1106">
        <v>87.9</v>
      </c>
      <c r="F68" s="1106">
        <v>88.5</v>
      </c>
      <c r="G68" s="1106">
        <v>89.1</v>
      </c>
      <c r="H68" s="1106">
        <v>89.8</v>
      </c>
      <c r="I68" s="1106">
        <v>90.6</v>
      </c>
      <c r="J68" s="1106">
        <v>91.6</v>
      </c>
      <c r="K68" s="1106">
        <v>92.3</v>
      </c>
      <c r="L68" s="1106">
        <v>93.2</v>
      </c>
      <c r="M68" s="1106">
        <v>93.4</v>
      </c>
      <c r="N68" s="1106">
        <v>93.7</v>
      </c>
      <c r="O68" s="1106">
        <v>94</v>
      </c>
      <c r="P68" s="1107">
        <v>90.9</v>
      </c>
      <c r="Q68" s="1108"/>
      <c r="R68" s="1108"/>
      <c r="S68" s="1100"/>
      <c r="T68" s="1100"/>
      <c r="V68" s="1109"/>
    </row>
    <row r="69" spans="3:22">
      <c r="C69" s="1105">
        <v>1982</v>
      </c>
      <c r="D69" s="1106">
        <v>94.3</v>
      </c>
      <c r="E69" s="1106">
        <v>94.6</v>
      </c>
      <c r="F69" s="1106">
        <v>94.5</v>
      </c>
      <c r="G69" s="1106">
        <v>94.9</v>
      </c>
      <c r="H69" s="1106">
        <v>95.8</v>
      </c>
      <c r="I69" s="1106">
        <v>97</v>
      </c>
      <c r="J69" s="1106">
        <v>97.5</v>
      </c>
      <c r="K69" s="1106">
        <v>97.7</v>
      </c>
      <c r="L69" s="1106">
        <v>97.9</v>
      </c>
      <c r="M69" s="1106">
        <v>98.2</v>
      </c>
      <c r="N69" s="1106">
        <v>98</v>
      </c>
      <c r="O69" s="1106">
        <v>97.6</v>
      </c>
      <c r="P69" s="1107">
        <v>96.5</v>
      </c>
      <c r="Q69" s="1108"/>
      <c r="R69" s="1108"/>
      <c r="S69" s="1100"/>
      <c r="T69" s="1100"/>
      <c r="V69" s="1109"/>
    </row>
    <row r="70" spans="3:22">
      <c r="C70" s="1105">
        <v>1983</v>
      </c>
      <c r="D70" s="1106">
        <v>97.8</v>
      </c>
      <c r="E70" s="1106">
        <v>97.9</v>
      </c>
      <c r="F70" s="1106">
        <v>97.9</v>
      </c>
      <c r="G70" s="1106">
        <v>98.6</v>
      </c>
      <c r="H70" s="1106">
        <v>99.2</v>
      </c>
      <c r="I70" s="1106">
        <v>99.5</v>
      </c>
      <c r="J70" s="1106">
        <v>99.9</v>
      </c>
      <c r="K70" s="1106">
        <v>100.2</v>
      </c>
      <c r="L70" s="1106">
        <v>100.7</v>
      </c>
      <c r="M70" s="1106">
        <v>101</v>
      </c>
      <c r="N70" s="1106">
        <v>101.2</v>
      </c>
      <c r="O70" s="1106">
        <v>101.3</v>
      </c>
      <c r="P70" s="1107">
        <v>99.6</v>
      </c>
      <c r="Q70" s="1108"/>
      <c r="R70" s="1108"/>
      <c r="S70" s="1100"/>
      <c r="T70" s="1100"/>
      <c r="V70" s="1109"/>
    </row>
    <row r="71" spans="3:22">
      <c r="C71" s="1105">
        <v>1984</v>
      </c>
      <c r="D71" s="1106">
        <v>101.9</v>
      </c>
      <c r="E71" s="1106">
        <v>102.4</v>
      </c>
      <c r="F71" s="1106">
        <v>102.6</v>
      </c>
      <c r="G71" s="1106">
        <v>103.1</v>
      </c>
      <c r="H71" s="1106">
        <v>103.4</v>
      </c>
      <c r="I71" s="1106">
        <v>103.7</v>
      </c>
      <c r="J71" s="1106">
        <v>104.1</v>
      </c>
      <c r="K71" s="1106">
        <v>104.5</v>
      </c>
      <c r="L71" s="1106">
        <v>105</v>
      </c>
      <c r="M71" s="1106">
        <v>105.3</v>
      </c>
      <c r="N71" s="1106">
        <v>105.3</v>
      </c>
      <c r="O71" s="1106">
        <v>105.3</v>
      </c>
      <c r="P71" s="1107">
        <v>103.9</v>
      </c>
      <c r="Q71" s="1108">
        <v>102.9</v>
      </c>
      <c r="R71" s="1108">
        <v>104.9</v>
      </c>
      <c r="S71" s="1100"/>
      <c r="T71" s="1100"/>
      <c r="V71" s="1109"/>
    </row>
    <row r="72" spans="3:22">
      <c r="C72" s="1082">
        <v>1985</v>
      </c>
      <c r="D72" s="1109">
        <v>105.5</v>
      </c>
      <c r="E72" s="1109">
        <v>106</v>
      </c>
      <c r="F72" s="1109">
        <v>106.4</v>
      </c>
      <c r="G72" s="1109">
        <v>106.9</v>
      </c>
      <c r="H72" s="1109">
        <v>107.3</v>
      </c>
      <c r="I72" s="1109">
        <v>107.6</v>
      </c>
      <c r="J72" s="1109">
        <v>107.8</v>
      </c>
      <c r="K72" s="1109">
        <v>108</v>
      </c>
      <c r="L72" s="1109">
        <v>108.3</v>
      </c>
      <c r="M72" s="1109">
        <v>108.7</v>
      </c>
      <c r="N72" s="1109">
        <v>109</v>
      </c>
      <c r="O72" s="1109">
        <v>109.3</v>
      </c>
      <c r="P72" s="1113">
        <v>107.6</v>
      </c>
      <c r="Q72" s="1073">
        <v>106.6</v>
      </c>
      <c r="R72" s="1074">
        <v>108.5</v>
      </c>
      <c r="S72" s="1100"/>
      <c r="T72" s="1100"/>
      <c r="V72" s="1109"/>
    </row>
    <row r="73" spans="3:22">
      <c r="C73" s="1082">
        <v>1986</v>
      </c>
      <c r="D73" s="1109">
        <v>109.6</v>
      </c>
      <c r="E73" s="1109">
        <v>109.3</v>
      </c>
      <c r="F73" s="1109">
        <v>108.8</v>
      </c>
      <c r="G73" s="1109">
        <v>108.6</v>
      </c>
      <c r="H73" s="1109">
        <v>108.9</v>
      </c>
      <c r="I73" s="1109">
        <v>109.5</v>
      </c>
      <c r="J73" s="1109">
        <v>109.5</v>
      </c>
      <c r="K73" s="1109">
        <v>109.7</v>
      </c>
      <c r="L73" s="1109">
        <v>110.2</v>
      </c>
      <c r="M73" s="1109">
        <v>110.3</v>
      </c>
      <c r="N73" s="1109">
        <v>110.4</v>
      </c>
      <c r="O73" s="1109">
        <v>110.5</v>
      </c>
      <c r="P73" s="1113">
        <v>109.6</v>
      </c>
      <c r="Q73" s="1073">
        <v>109.1</v>
      </c>
      <c r="R73" s="1074">
        <v>110.1</v>
      </c>
      <c r="S73" s="1100"/>
      <c r="T73" s="1100"/>
      <c r="V73" s="1109"/>
    </row>
    <row r="74" spans="3:22">
      <c r="C74" s="1082">
        <v>1987</v>
      </c>
      <c r="D74" s="1109">
        <v>111.2</v>
      </c>
      <c r="E74" s="1109">
        <v>111.6</v>
      </c>
      <c r="F74" s="1109">
        <v>112.1</v>
      </c>
      <c r="G74" s="1109">
        <v>112.7</v>
      </c>
      <c r="H74" s="1109">
        <v>113.1</v>
      </c>
      <c r="I74" s="1109">
        <v>113.5</v>
      </c>
      <c r="J74" s="1109">
        <v>113.8</v>
      </c>
      <c r="K74" s="1109">
        <v>114.4</v>
      </c>
      <c r="L74" s="1109">
        <v>115</v>
      </c>
      <c r="M74" s="1109">
        <v>115.3</v>
      </c>
      <c r="N74" s="1109">
        <v>115.4</v>
      </c>
      <c r="O74" s="1109">
        <v>115.4</v>
      </c>
      <c r="P74" s="1113">
        <v>113.6</v>
      </c>
      <c r="Q74" s="1073">
        <v>112.4</v>
      </c>
      <c r="R74" s="1074">
        <v>114.9</v>
      </c>
      <c r="S74" s="1100"/>
      <c r="T74" s="1100"/>
      <c r="V74" s="1109"/>
    </row>
    <row r="75" spans="3:22">
      <c r="C75" s="1082">
        <v>1988</v>
      </c>
      <c r="D75" s="1109">
        <v>115.7</v>
      </c>
      <c r="E75" s="1109">
        <v>116</v>
      </c>
      <c r="F75" s="1109">
        <v>116.5</v>
      </c>
      <c r="G75" s="1109">
        <v>117.1</v>
      </c>
      <c r="H75" s="1109">
        <v>117.5</v>
      </c>
      <c r="I75" s="1109">
        <v>118</v>
      </c>
      <c r="J75" s="1109">
        <v>118.5</v>
      </c>
      <c r="K75" s="1109">
        <v>119</v>
      </c>
      <c r="L75" s="1109">
        <v>119.8</v>
      </c>
      <c r="M75" s="1109">
        <v>120.2</v>
      </c>
      <c r="N75" s="1109">
        <v>120.3</v>
      </c>
      <c r="O75" s="1109">
        <v>120.5</v>
      </c>
      <c r="P75" s="1113">
        <v>118.3</v>
      </c>
      <c r="Q75" s="1073">
        <v>116.8</v>
      </c>
      <c r="R75" s="1074">
        <v>119.7</v>
      </c>
      <c r="S75" s="1100"/>
      <c r="T75" s="1100"/>
      <c r="V75" s="1109"/>
    </row>
    <row r="76" spans="3:22">
      <c r="C76" s="1082">
        <v>1989</v>
      </c>
      <c r="D76" s="1109">
        <v>121.1</v>
      </c>
      <c r="E76" s="1109">
        <v>121.6</v>
      </c>
      <c r="F76" s="1109">
        <v>122.3</v>
      </c>
      <c r="G76" s="1109">
        <v>123.1</v>
      </c>
      <c r="H76" s="1109">
        <v>123.8</v>
      </c>
      <c r="I76" s="1109">
        <v>124.1</v>
      </c>
      <c r="J76" s="1109">
        <v>124.4</v>
      </c>
      <c r="K76" s="1109">
        <v>124.6</v>
      </c>
      <c r="L76" s="1109">
        <v>125</v>
      </c>
      <c r="M76" s="1109">
        <v>125.6</v>
      </c>
      <c r="N76" s="1109">
        <v>125.9</v>
      </c>
      <c r="O76" s="1109">
        <v>126.1</v>
      </c>
      <c r="P76" s="1113">
        <v>124</v>
      </c>
      <c r="Q76" s="1073">
        <v>122.7</v>
      </c>
      <c r="R76" s="1074">
        <v>125.3</v>
      </c>
      <c r="S76" s="1100"/>
      <c r="T76" s="1100"/>
      <c r="V76" s="1109"/>
    </row>
    <row r="77" spans="3:22">
      <c r="C77" s="1105">
        <v>1990</v>
      </c>
      <c r="D77" s="1106">
        <v>127.4</v>
      </c>
      <c r="E77" s="1106">
        <v>128</v>
      </c>
      <c r="F77" s="1106">
        <v>128.69999999999999</v>
      </c>
      <c r="G77" s="1106">
        <v>128.9</v>
      </c>
      <c r="H77" s="1106">
        <v>129.19999999999999</v>
      </c>
      <c r="I77" s="1106">
        <v>129.9</v>
      </c>
      <c r="J77" s="1106">
        <v>130.4</v>
      </c>
      <c r="K77" s="1106">
        <v>131.6</v>
      </c>
      <c r="L77" s="1106">
        <v>132.69999999999999</v>
      </c>
      <c r="M77" s="1106">
        <v>133.5</v>
      </c>
      <c r="N77" s="1106">
        <v>133.80000000000001</v>
      </c>
      <c r="O77" s="1106">
        <v>133.80000000000001</v>
      </c>
      <c r="P77" s="1107">
        <v>130.69999999999999</v>
      </c>
      <c r="Q77" s="1108">
        <v>128.69999999999999</v>
      </c>
      <c r="R77" s="1108">
        <v>132.6</v>
      </c>
      <c r="S77" s="1100"/>
      <c r="T77" s="1100"/>
      <c r="V77" s="1109"/>
    </row>
    <row r="78" spans="3:22">
      <c r="C78" s="1105">
        <v>1991</v>
      </c>
      <c r="D78" s="1106">
        <v>134.6</v>
      </c>
      <c r="E78" s="1106">
        <v>134.80000000000001</v>
      </c>
      <c r="F78" s="1106">
        <v>135</v>
      </c>
      <c r="G78" s="1106">
        <v>135.19999999999999</v>
      </c>
      <c r="H78" s="1106">
        <v>135.6</v>
      </c>
      <c r="I78" s="1106">
        <v>136</v>
      </c>
      <c r="J78" s="1106">
        <v>136.19999999999999</v>
      </c>
      <c r="K78" s="1106">
        <v>136.6</v>
      </c>
      <c r="L78" s="1106">
        <v>137.19999999999999</v>
      </c>
      <c r="M78" s="1106">
        <v>137.4</v>
      </c>
      <c r="N78" s="1106">
        <v>137.80000000000001</v>
      </c>
      <c r="O78" s="1106">
        <v>137.9</v>
      </c>
      <c r="P78" s="1107">
        <v>136.19999999999999</v>
      </c>
      <c r="Q78" s="1108">
        <v>135.19999999999999</v>
      </c>
      <c r="R78" s="1108">
        <v>137.19999999999999</v>
      </c>
      <c r="S78" s="1100"/>
      <c r="T78" s="1100"/>
      <c r="V78" s="1109"/>
    </row>
    <row r="79" spans="3:22">
      <c r="C79" s="1105">
        <v>1992</v>
      </c>
      <c r="D79" s="1106">
        <v>138.1</v>
      </c>
      <c r="E79" s="1106">
        <v>138.6</v>
      </c>
      <c r="F79" s="1106">
        <v>139.30000000000001</v>
      </c>
      <c r="G79" s="1106">
        <v>139.5</v>
      </c>
      <c r="H79" s="1106">
        <v>139.69999999999999</v>
      </c>
      <c r="I79" s="1106">
        <v>140.19999999999999</v>
      </c>
      <c r="J79" s="1106">
        <v>140.5</v>
      </c>
      <c r="K79" s="1106">
        <v>140.9</v>
      </c>
      <c r="L79" s="1106">
        <v>141.30000000000001</v>
      </c>
      <c r="M79" s="1106">
        <v>141.80000000000001</v>
      </c>
      <c r="N79" s="1106">
        <v>142</v>
      </c>
      <c r="O79" s="1106">
        <v>141.9</v>
      </c>
      <c r="P79" s="1107">
        <v>140.30000000000001</v>
      </c>
      <c r="Q79" s="1108">
        <v>139.19999999999999</v>
      </c>
      <c r="R79" s="1108">
        <v>141.4</v>
      </c>
      <c r="S79" s="1100"/>
      <c r="T79" s="1100"/>
    </row>
    <row r="80" spans="3:22">
      <c r="C80" s="1105">
        <v>1993</v>
      </c>
      <c r="D80" s="1106">
        <v>142.6</v>
      </c>
      <c r="E80" s="1106">
        <v>143.1</v>
      </c>
      <c r="F80" s="1106">
        <v>143.6</v>
      </c>
      <c r="G80" s="1106">
        <v>144</v>
      </c>
      <c r="H80" s="1106">
        <v>144.19999999999999</v>
      </c>
      <c r="I80" s="1106">
        <v>144.4</v>
      </c>
      <c r="J80" s="1106">
        <v>144.4</v>
      </c>
      <c r="K80" s="1106">
        <v>144.80000000000001</v>
      </c>
      <c r="L80" s="1106">
        <v>145.1</v>
      </c>
      <c r="M80" s="1106">
        <v>145.69999999999999</v>
      </c>
      <c r="N80" s="1106">
        <v>145.80000000000001</v>
      </c>
      <c r="O80" s="1106">
        <v>145.80000000000001</v>
      </c>
      <c r="P80" s="1107">
        <v>144.5</v>
      </c>
      <c r="Q80" s="1108">
        <v>143.69999999999999</v>
      </c>
      <c r="R80" s="1108">
        <v>145.30000000000001</v>
      </c>
      <c r="S80" s="1100"/>
      <c r="T80" s="1100"/>
    </row>
    <row r="81" spans="3:23">
      <c r="C81" s="1105">
        <v>1994</v>
      </c>
      <c r="D81" s="1106">
        <v>146.19999999999999</v>
      </c>
      <c r="E81" s="1106">
        <v>146.69999999999999</v>
      </c>
      <c r="F81" s="1106">
        <v>147.19999999999999</v>
      </c>
      <c r="G81" s="1106">
        <v>147.4</v>
      </c>
      <c r="H81" s="1106">
        <v>147.5</v>
      </c>
      <c r="I81" s="1106">
        <v>148</v>
      </c>
      <c r="J81" s="1106">
        <v>148.4</v>
      </c>
      <c r="K81" s="1106">
        <v>149</v>
      </c>
      <c r="L81" s="1106">
        <v>149.4</v>
      </c>
      <c r="M81" s="1106">
        <v>149.5</v>
      </c>
      <c r="N81" s="1106">
        <v>149.69999999999999</v>
      </c>
      <c r="O81" s="1106">
        <v>149.69999999999999</v>
      </c>
      <c r="P81" s="1107">
        <v>148.19999999999999</v>
      </c>
      <c r="Q81" s="1108">
        <v>147.19999999999999</v>
      </c>
      <c r="R81" s="1108">
        <v>149.30000000000001</v>
      </c>
      <c r="S81" s="1100"/>
      <c r="T81" s="1100"/>
    </row>
    <row r="82" spans="3:23">
      <c r="C82" s="1082">
        <v>1995</v>
      </c>
      <c r="D82" s="1109">
        <v>150.30000000000001</v>
      </c>
      <c r="E82" s="1109">
        <v>150.9</v>
      </c>
      <c r="F82" s="1109">
        <v>151.4</v>
      </c>
      <c r="G82" s="1109">
        <v>151.9</v>
      </c>
      <c r="H82" s="1109">
        <v>152.19999999999999</v>
      </c>
      <c r="I82" s="1109">
        <v>152.5</v>
      </c>
      <c r="J82" s="1109">
        <v>152.5</v>
      </c>
      <c r="K82" s="1109">
        <v>152.9</v>
      </c>
      <c r="L82" s="1109">
        <v>153.19999999999999</v>
      </c>
      <c r="M82" s="1109">
        <v>153.69999999999999</v>
      </c>
      <c r="N82" s="1109">
        <v>153.6</v>
      </c>
      <c r="O82" s="1109">
        <v>153.5</v>
      </c>
      <c r="P82" s="1113">
        <v>152.4</v>
      </c>
      <c r="Q82" s="1073">
        <v>151.5</v>
      </c>
      <c r="R82" s="1074">
        <v>153.19999999999999</v>
      </c>
      <c r="S82" s="1100"/>
      <c r="T82" s="1100"/>
    </row>
    <row r="83" spans="3:23">
      <c r="C83" s="1082">
        <v>1996</v>
      </c>
      <c r="D83" s="1109">
        <v>154.4</v>
      </c>
      <c r="E83" s="1109">
        <v>154.9</v>
      </c>
      <c r="F83" s="1109">
        <v>155.69999999999999</v>
      </c>
      <c r="G83" s="1109">
        <v>156.30000000000001</v>
      </c>
      <c r="H83" s="1109">
        <v>156.6</v>
      </c>
      <c r="I83" s="1109">
        <v>156.69999999999999</v>
      </c>
      <c r="J83" s="1109">
        <v>157</v>
      </c>
      <c r="K83" s="1109">
        <v>157.30000000000001</v>
      </c>
      <c r="L83" s="1109">
        <v>157.80000000000001</v>
      </c>
      <c r="M83" s="1109">
        <v>158.30000000000001</v>
      </c>
      <c r="N83" s="1109">
        <v>158.6</v>
      </c>
      <c r="O83" s="1109">
        <v>158.6</v>
      </c>
      <c r="P83" s="1113">
        <v>156.9</v>
      </c>
      <c r="Q83" s="1073">
        <v>155.80000000000001</v>
      </c>
      <c r="R83" s="1074">
        <v>157.9</v>
      </c>
      <c r="S83" s="1100"/>
      <c r="T83" s="1100"/>
    </row>
    <row r="84" spans="3:23">
      <c r="C84" s="1082">
        <v>1997</v>
      </c>
      <c r="D84" s="1109">
        <v>159.1</v>
      </c>
      <c r="E84" s="1109">
        <v>159.6</v>
      </c>
      <c r="F84" s="1109">
        <v>160</v>
      </c>
      <c r="G84" s="1109">
        <v>160.19999999999999</v>
      </c>
      <c r="H84" s="1109">
        <v>160.1</v>
      </c>
      <c r="I84" s="1109">
        <v>160.30000000000001</v>
      </c>
      <c r="J84" s="1109">
        <v>160.5</v>
      </c>
      <c r="K84" s="1109">
        <v>160.80000000000001</v>
      </c>
      <c r="L84" s="1109">
        <v>161.19999999999999</v>
      </c>
      <c r="M84" s="1109">
        <v>161.6</v>
      </c>
      <c r="N84" s="1109">
        <v>161.5</v>
      </c>
      <c r="O84" s="1109">
        <v>161.30000000000001</v>
      </c>
      <c r="P84" s="1113">
        <v>160.5</v>
      </c>
      <c r="Q84" s="1073">
        <v>159.9</v>
      </c>
      <c r="R84" s="1074">
        <v>161.19999999999999</v>
      </c>
      <c r="S84" s="1100"/>
      <c r="T84" s="1100"/>
    </row>
    <row r="85" spans="3:23">
      <c r="C85" s="1082">
        <v>1998</v>
      </c>
      <c r="D85" s="1109">
        <v>161.6</v>
      </c>
      <c r="E85" s="1109">
        <v>161.9</v>
      </c>
      <c r="F85" s="1109">
        <v>162.19999999999999</v>
      </c>
      <c r="G85" s="1109">
        <v>162.5</v>
      </c>
      <c r="H85" s="1109">
        <v>162.80000000000001</v>
      </c>
      <c r="I85" s="1109">
        <v>163</v>
      </c>
      <c r="J85" s="1109">
        <v>163.19999999999999</v>
      </c>
      <c r="K85" s="1109">
        <v>163.4</v>
      </c>
      <c r="L85" s="1109">
        <v>163.6</v>
      </c>
      <c r="M85" s="1109">
        <v>164</v>
      </c>
      <c r="N85" s="1109">
        <v>164</v>
      </c>
      <c r="O85" s="1109">
        <v>163.9</v>
      </c>
      <c r="P85" s="1113">
        <v>163</v>
      </c>
      <c r="Q85" s="1073">
        <v>162.30000000000001</v>
      </c>
      <c r="R85" s="1074">
        <v>163.69999999999999</v>
      </c>
      <c r="S85" s="1100"/>
      <c r="T85" s="1100"/>
    </row>
    <row r="86" spans="3:23">
      <c r="C86" s="1082">
        <v>1999</v>
      </c>
      <c r="D86" s="1109">
        <v>164.3</v>
      </c>
      <c r="E86" s="1109">
        <v>164.5</v>
      </c>
      <c r="F86" s="1109">
        <v>165</v>
      </c>
      <c r="G86" s="1109">
        <v>166.2</v>
      </c>
      <c r="H86" s="1109">
        <v>166.2</v>
      </c>
      <c r="I86" s="1109">
        <v>166.2</v>
      </c>
      <c r="J86" s="1109">
        <v>166.7</v>
      </c>
      <c r="K86" s="1109">
        <v>167.1</v>
      </c>
      <c r="L86" s="1109">
        <v>167.9</v>
      </c>
      <c r="M86" s="1109">
        <v>168.2</v>
      </c>
      <c r="N86" s="1109">
        <v>168.3</v>
      </c>
      <c r="O86" s="1109">
        <v>168.3</v>
      </c>
      <c r="P86" s="1113">
        <v>166.6</v>
      </c>
      <c r="Q86" s="1073">
        <v>165.4</v>
      </c>
      <c r="R86" s="1074">
        <v>167.8</v>
      </c>
      <c r="S86" s="1100"/>
      <c r="T86" s="1100"/>
    </row>
    <row r="87" spans="3:23">
      <c r="C87" s="1105">
        <v>2000</v>
      </c>
      <c r="D87" s="1106">
        <v>168.8</v>
      </c>
      <c r="E87" s="1106">
        <v>169.8</v>
      </c>
      <c r="F87" s="1106">
        <v>171.2</v>
      </c>
      <c r="G87" s="1106">
        <v>171.3</v>
      </c>
      <c r="H87" s="1106">
        <v>171.5</v>
      </c>
      <c r="I87" s="1106">
        <v>172.4</v>
      </c>
      <c r="J87" s="1106">
        <v>172.8</v>
      </c>
      <c r="K87" s="1106">
        <v>172.8</v>
      </c>
      <c r="L87" s="1106">
        <v>173.7</v>
      </c>
      <c r="M87" s="1106">
        <v>174</v>
      </c>
      <c r="N87" s="1106">
        <v>174.1</v>
      </c>
      <c r="O87" s="1106">
        <v>174</v>
      </c>
      <c r="P87" s="1107">
        <v>172.2</v>
      </c>
      <c r="Q87" s="1108">
        <v>170.8</v>
      </c>
      <c r="R87" s="1108">
        <v>173.6</v>
      </c>
      <c r="S87" s="1100"/>
      <c r="T87" s="1100"/>
    </row>
    <row r="88" spans="3:23">
      <c r="C88" s="1105">
        <v>2001</v>
      </c>
      <c r="D88" s="1106">
        <v>175.1</v>
      </c>
      <c r="E88" s="1106">
        <v>175.8</v>
      </c>
      <c r="F88" s="1106">
        <v>176.2</v>
      </c>
      <c r="G88" s="1106">
        <v>176.9</v>
      </c>
      <c r="H88" s="1106">
        <v>177.7</v>
      </c>
      <c r="I88" s="1106">
        <v>178</v>
      </c>
      <c r="J88" s="1106">
        <v>177.5</v>
      </c>
      <c r="K88" s="1106">
        <v>177.5</v>
      </c>
      <c r="L88" s="1106">
        <v>178.3</v>
      </c>
      <c r="M88" s="1106">
        <v>177.7</v>
      </c>
      <c r="N88" s="1106">
        <v>177.4</v>
      </c>
      <c r="O88" s="1106">
        <v>176.7</v>
      </c>
      <c r="P88" s="1107">
        <v>177.1</v>
      </c>
      <c r="Q88" s="1108">
        <v>176.6</v>
      </c>
      <c r="R88" s="1108">
        <v>177.5</v>
      </c>
      <c r="S88" s="1100"/>
      <c r="T88" s="1100"/>
    </row>
    <row r="89" spans="3:23">
      <c r="C89" s="1105">
        <v>2002</v>
      </c>
      <c r="D89" s="1106">
        <v>177.1</v>
      </c>
      <c r="E89" s="1106">
        <v>177.8</v>
      </c>
      <c r="F89" s="1106">
        <v>178.8</v>
      </c>
      <c r="G89" s="1106">
        <v>179.8</v>
      </c>
      <c r="H89" s="1106">
        <v>179.8</v>
      </c>
      <c r="I89" s="1106">
        <v>179.9</v>
      </c>
      <c r="J89" s="1106">
        <v>180.1</v>
      </c>
      <c r="K89" s="1106">
        <v>180.7</v>
      </c>
      <c r="L89" s="1106">
        <v>181</v>
      </c>
      <c r="M89" s="1106">
        <v>181.3</v>
      </c>
      <c r="N89" s="1106">
        <v>181.3</v>
      </c>
      <c r="O89" s="1106">
        <v>180.9</v>
      </c>
      <c r="P89" s="1107">
        <v>179.9</v>
      </c>
      <c r="Q89" s="1108">
        <v>178.9</v>
      </c>
      <c r="R89" s="1108">
        <v>180.9</v>
      </c>
      <c r="S89" s="1100"/>
      <c r="T89" s="1100"/>
    </row>
    <row r="90" spans="3:23">
      <c r="C90" s="1105">
        <v>2003</v>
      </c>
      <c r="D90" s="1106">
        <v>181.7</v>
      </c>
      <c r="E90" s="1106">
        <v>183.1</v>
      </c>
      <c r="F90" s="1106">
        <v>184.2</v>
      </c>
      <c r="G90" s="1106">
        <v>183.8</v>
      </c>
      <c r="H90" s="1106">
        <v>183.5</v>
      </c>
      <c r="I90" s="1106">
        <v>183.7</v>
      </c>
      <c r="J90" s="1106">
        <v>183.9</v>
      </c>
      <c r="K90" s="1106">
        <v>184.6</v>
      </c>
      <c r="L90" s="1106">
        <v>185.2</v>
      </c>
      <c r="M90" s="1106">
        <v>185</v>
      </c>
      <c r="N90" s="1106">
        <v>184.5</v>
      </c>
      <c r="O90" s="1106">
        <v>184.3</v>
      </c>
      <c r="P90" s="1107">
        <v>184</v>
      </c>
      <c r="Q90" s="1108">
        <v>183.3</v>
      </c>
      <c r="R90" s="1108">
        <v>184.6</v>
      </c>
      <c r="S90" s="1100"/>
      <c r="T90" s="1100"/>
    </row>
    <row r="91" spans="3:23">
      <c r="C91" s="1105">
        <v>2004</v>
      </c>
      <c r="D91" s="1106">
        <v>185.2</v>
      </c>
      <c r="E91" s="1106">
        <v>186.2</v>
      </c>
      <c r="F91" s="1106">
        <v>187.4</v>
      </c>
      <c r="G91" s="1106">
        <v>188</v>
      </c>
      <c r="H91" s="1106">
        <v>189.1</v>
      </c>
      <c r="I91" s="1106">
        <v>189.7</v>
      </c>
      <c r="J91" s="1106">
        <v>189.4</v>
      </c>
      <c r="K91" s="1106">
        <v>189.5</v>
      </c>
      <c r="L91" s="1106">
        <v>189.9</v>
      </c>
      <c r="M91" s="1106">
        <v>190.9</v>
      </c>
      <c r="N91" s="1106">
        <v>191</v>
      </c>
      <c r="O91" s="1106">
        <v>190.3</v>
      </c>
      <c r="P91" s="1107">
        <v>188.9</v>
      </c>
      <c r="Q91" s="1108">
        <v>187.6</v>
      </c>
      <c r="R91" s="1108">
        <v>190.2</v>
      </c>
      <c r="S91" s="1100"/>
      <c r="T91" s="1100"/>
    </row>
    <row r="92" spans="3:23">
      <c r="C92" s="1082">
        <v>2005</v>
      </c>
      <c r="D92" s="1109">
        <v>190.7</v>
      </c>
      <c r="E92" s="1109">
        <v>191.8</v>
      </c>
      <c r="F92" s="1109">
        <v>193.3</v>
      </c>
      <c r="G92" s="1109">
        <v>194.6</v>
      </c>
      <c r="H92" s="1109">
        <v>194.4</v>
      </c>
      <c r="I92" s="1109">
        <v>194.5</v>
      </c>
      <c r="J92" s="1109">
        <v>195.4</v>
      </c>
      <c r="K92" s="1109">
        <v>196.4</v>
      </c>
      <c r="L92" s="1109">
        <v>198.8</v>
      </c>
      <c r="M92" s="1109">
        <v>199.2</v>
      </c>
      <c r="N92" s="1109">
        <v>197.6</v>
      </c>
      <c r="O92" s="1109">
        <v>196.8</v>
      </c>
      <c r="P92" s="1113">
        <v>195.3</v>
      </c>
      <c r="Q92" s="1073">
        <v>193.2</v>
      </c>
      <c r="R92" s="1074">
        <v>197.4</v>
      </c>
      <c r="S92" s="1100"/>
      <c r="T92" s="1100"/>
    </row>
    <row r="93" spans="3:23">
      <c r="C93" s="1082">
        <v>2006</v>
      </c>
      <c r="D93" s="1109">
        <v>198.3</v>
      </c>
      <c r="E93" s="1109">
        <v>198.7</v>
      </c>
      <c r="F93" s="1109">
        <v>199.8</v>
      </c>
      <c r="G93" s="1109">
        <v>201.5</v>
      </c>
      <c r="H93" s="1109">
        <v>202.5</v>
      </c>
      <c r="I93" s="1109">
        <v>202.9</v>
      </c>
      <c r="J93" s="1109">
        <v>203.5</v>
      </c>
      <c r="K93" s="1109">
        <v>203.9</v>
      </c>
      <c r="L93" s="1109">
        <v>202.9</v>
      </c>
      <c r="M93" s="1109">
        <v>201.8</v>
      </c>
      <c r="N93" s="1109">
        <v>201.5</v>
      </c>
      <c r="O93" s="1109">
        <v>201.8</v>
      </c>
      <c r="P93" s="1113">
        <v>201.6</v>
      </c>
      <c r="Q93" s="1073">
        <v>200.6</v>
      </c>
      <c r="R93" s="1074">
        <v>202.6</v>
      </c>
      <c r="S93" s="1100"/>
      <c r="T93" s="1100"/>
    </row>
    <row r="94" spans="3:23">
      <c r="C94" s="1082">
        <v>2007</v>
      </c>
      <c r="D94" s="1109">
        <v>202.416</v>
      </c>
      <c r="E94" s="1109">
        <v>203.499</v>
      </c>
      <c r="F94" s="1109">
        <v>205.352</v>
      </c>
      <c r="G94" s="1109">
        <v>206.68600000000001</v>
      </c>
      <c r="H94" s="1109">
        <v>207.94900000000001</v>
      </c>
      <c r="I94" s="1109">
        <v>208.352</v>
      </c>
      <c r="J94" s="1109">
        <v>208.29900000000001</v>
      </c>
      <c r="K94" s="1109">
        <v>207.917</v>
      </c>
      <c r="L94" s="1109">
        <v>208.49</v>
      </c>
      <c r="M94" s="1109">
        <v>208.93600000000001</v>
      </c>
      <c r="N94" s="1109">
        <v>210.17699999999999</v>
      </c>
      <c r="O94" s="1109">
        <v>210.036</v>
      </c>
      <c r="P94" s="1113">
        <v>207.34200000000001</v>
      </c>
      <c r="Q94" s="1073">
        <v>205.709</v>
      </c>
      <c r="R94" s="1074">
        <v>208.976</v>
      </c>
      <c r="S94" s="1100"/>
      <c r="T94" s="1100"/>
      <c r="V94" s="1109"/>
    </row>
    <row r="95" spans="3:23">
      <c r="C95" s="1082">
        <v>2008</v>
      </c>
      <c r="D95" s="1109">
        <v>211.08</v>
      </c>
      <c r="E95" s="1109">
        <v>211.69300000000001</v>
      </c>
      <c r="F95" s="1109">
        <v>213.52799999999999</v>
      </c>
      <c r="G95" s="1109">
        <v>214.82300000000001</v>
      </c>
      <c r="H95" s="1109">
        <v>216.63200000000001</v>
      </c>
      <c r="I95" s="1109">
        <v>218.815</v>
      </c>
      <c r="J95" s="1109">
        <v>219.964</v>
      </c>
      <c r="K95" s="1109">
        <v>219.08600000000001</v>
      </c>
      <c r="L95" s="1109">
        <v>218.78299999999999</v>
      </c>
      <c r="M95" s="1109">
        <v>216.57300000000001</v>
      </c>
      <c r="N95" s="1109">
        <v>212.42500000000001</v>
      </c>
      <c r="O95" s="1109">
        <v>210.22800000000001</v>
      </c>
      <c r="P95" s="1113">
        <v>215.303</v>
      </c>
      <c r="Q95" s="1073">
        <v>214.429</v>
      </c>
      <c r="R95" s="1074">
        <v>216.17699999999999</v>
      </c>
      <c r="S95" s="1100"/>
      <c r="T95" s="1100"/>
      <c r="V95" s="1109"/>
      <c r="W95" s="1060"/>
    </row>
    <row r="96" spans="3:23">
      <c r="C96" s="1082">
        <v>2009</v>
      </c>
      <c r="D96" s="1109">
        <v>211.143</v>
      </c>
      <c r="E96" s="1109">
        <v>212.19300000000001</v>
      </c>
      <c r="F96" s="1109">
        <v>212.709</v>
      </c>
      <c r="G96" s="1109">
        <v>213.24</v>
      </c>
      <c r="H96" s="1109">
        <v>213.85599999999999</v>
      </c>
      <c r="I96" s="1109">
        <v>215.69300000000001</v>
      </c>
      <c r="J96" s="1109">
        <v>215.351</v>
      </c>
      <c r="K96" s="1109">
        <v>215.834</v>
      </c>
      <c r="L96" s="1109">
        <v>215.96899999999999</v>
      </c>
      <c r="M96" s="1109">
        <v>216.17699999999999</v>
      </c>
      <c r="N96" s="1109">
        <v>216.33</v>
      </c>
      <c r="O96" s="1109">
        <v>215.94900000000001</v>
      </c>
      <c r="P96" s="1113">
        <v>214.53700000000001</v>
      </c>
      <c r="Q96" s="1073">
        <v>213.13900000000001</v>
      </c>
      <c r="R96" s="1074">
        <v>215.935</v>
      </c>
      <c r="S96" s="1100"/>
      <c r="T96" s="1100"/>
    </row>
    <row r="97" spans="2:23">
      <c r="C97" s="1105">
        <v>2010</v>
      </c>
      <c r="D97" s="1106">
        <v>216.68700000000001</v>
      </c>
      <c r="E97" s="1106">
        <v>216.74100000000001</v>
      </c>
      <c r="F97" s="1106">
        <v>217.631</v>
      </c>
      <c r="G97" s="1106">
        <v>218.00899999999999</v>
      </c>
      <c r="H97" s="1106">
        <v>218.178</v>
      </c>
      <c r="I97" s="1106">
        <v>217.965</v>
      </c>
      <c r="J97" s="1106">
        <v>218.011</v>
      </c>
      <c r="K97" s="1106">
        <v>218.31200000000001</v>
      </c>
      <c r="L97" s="1106">
        <v>218.43899999999999</v>
      </c>
      <c r="M97" s="1106">
        <v>218.71100000000001</v>
      </c>
      <c r="N97" s="1106">
        <v>218.803</v>
      </c>
      <c r="O97" s="1106">
        <v>219.179</v>
      </c>
      <c r="P97" s="1107">
        <v>218.05600000000001</v>
      </c>
      <c r="Q97" s="1108">
        <v>217.535</v>
      </c>
      <c r="R97" s="1108">
        <v>218.57599999999999</v>
      </c>
      <c r="S97" s="1100"/>
      <c r="T97" s="1100"/>
      <c r="V97" s="1109"/>
    </row>
    <row r="98" spans="2:23">
      <c r="C98" s="1105">
        <v>2011</v>
      </c>
      <c r="D98" s="1106">
        <v>220.22300000000001</v>
      </c>
      <c r="E98" s="1106">
        <v>221.309</v>
      </c>
      <c r="F98" s="1106">
        <v>223.46700000000001</v>
      </c>
      <c r="G98" s="1106">
        <v>224.90600000000001</v>
      </c>
      <c r="H98" s="1106">
        <v>225.964</v>
      </c>
      <c r="I98" s="1106">
        <v>225.72200000000001</v>
      </c>
      <c r="J98" s="1106">
        <v>225.922</v>
      </c>
      <c r="K98" s="1106">
        <v>226.54499999999999</v>
      </c>
      <c r="L98" s="1106">
        <v>226.88900000000001</v>
      </c>
      <c r="M98" s="1106">
        <v>226.42099999999999</v>
      </c>
      <c r="N98" s="1106">
        <v>226.23</v>
      </c>
      <c r="O98" s="1106">
        <v>225.672</v>
      </c>
      <c r="P98" s="1107">
        <v>224.93899999999999</v>
      </c>
      <c r="Q98" s="1108">
        <v>223.59800000000001</v>
      </c>
      <c r="R98" s="1108">
        <v>226.28</v>
      </c>
      <c r="S98" s="1100"/>
      <c r="T98" s="1100"/>
      <c r="U98" s="1054"/>
      <c r="V98" s="1109"/>
      <c r="W98" s="1060"/>
    </row>
    <row r="99" spans="2:23">
      <c r="C99" s="1105">
        <v>2012</v>
      </c>
      <c r="D99" s="1106">
        <v>226.66499999999999</v>
      </c>
      <c r="E99" s="1106">
        <v>227.66300000000001</v>
      </c>
      <c r="F99" s="1106">
        <v>229.392</v>
      </c>
      <c r="G99" s="1106">
        <v>230.08500000000001</v>
      </c>
      <c r="H99" s="1106">
        <v>229.815</v>
      </c>
      <c r="I99" s="1106">
        <v>229.47800000000001</v>
      </c>
      <c r="J99" s="1106">
        <v>229.10400000000001</v>
      </c>
      <c r="K99" s="1106">
        <v>230.37899999999999</v>
      </c>
      <c r="L99" s="1106">
        <v>231.40700000000001</v>
      </c>
      <c r="M99" s="1106">
        <v>231.31700000000001</v>
      </c>
      <c r="N99" s="1106">
        <v>230.221</v>
      </c>
      <c r="O99" s="1106">
        <v>229.601</v>
      </c>
      <c r="P99" s="1107">
        <v>229.59399999999999</v>
      </c>
      <c r="Q99" s="1108">
        <v>228.85</v>
      </c>
      <c r="R99" s="1108">
        <v>230.33799999999999</v>
      </c>
      <c r="S99" s="1100"/>
      <c r="T99" s="1100"/>
      <c r="U99" s="1054"/>
      <c r="V99" s="1114"/>
      <c r="W99" s="1115"/>
    </row>
    <row r="100" spans="2:23">
      <c r="C100" s="1105">
        <v>2013</v>
      </c>
      <c r="D100" s="1106">
        <v>230.28</v>
      </c>
      <c r="E100" s="1106">
        <v>232.166</v>
      </c>
      <c r="F100" s="1106">
        <v>232.773</v>
      </c>
      <c r="G100" s="1106">
        <v>232.53100000000001</v>
      </c>
      <c r="H100" s="1106">
        <v>232.94499999999999</v>
      </c>
      <c r="I100" s="1106">
        <v>233.50399999999999</v>
      </c>
      <c r="J100" s="1106">
        <v>233.596</v>
      </c>
      <c r="K100" s="1106">
        <v>233.87700000000001</v>
      </c>
      <c r="L100" s="1106">
        <v>234.149</v>
      </c>
      <c r="M100" s="1106">
        <v>233.54599999999999</v>
      </c>
      <c r="N100" s="1106">
        <v>233.06899999999999</v>
      </c>
      <c r="O100" s="1106">
        <v>233.04900000000001</v>
      </c>
      <c r="P100" s="1107">
        <v>232.95699999999999</v>
      </c>
      <c r="Q100" s="1108">
        <v>232.36600000000001</v>
      </c>
      <c r="R100" s="1108">
        <v>233.548</v>
      </c>
      <c r="S100" s="1100"/>
      <c r="T100" s="1100"/>
      <c r="U100" s="1054"/>
      <c r="V100" s="1114"/>
      <c r="W100" s="1115"/>
    </row>
    <row r="101" spans="2:23">
      <c r="C101" s="1105">
        <v>2014</v>
      </c>
      <c r="D101" s="1116">
        <v>233.916</v>
      </c>
      <c r="E101" s="1116">
        <v>234.78100000000001</v>
      </c>
      <c r="F101" s="1116">
        <v>236.29300000000001</v>
      </c>
      <c r="G101" s="1116">
        <v>237.072</v>
      </c>
      <c r="H101" s="1106">
        <v>237.9</v>
      </c>
      <c r="I101" s="1116">
        <v>238.34299999999999</v>
      </c>
      <c r="J101" s="1116">
        <v>238.25</v>
      </c>
      <c r="K101" s="1116">
        <v>237.852</v>
      </c>
      <c r="L101" s="1116">
        <v>238.03100000000001</v>
      </c>
      <c r="M101" s="1116">
        <v>237.43299999999999</v>
      </c>
      <c r="N101" s="1116">
        <v>236.15100000000001</v>
      </c>
      <c r="O101" s="1116">
        <v>234.81200000000001</v>
      </c>
      <c r="P101" s="1107">
        <v>236.73599999999999</v>
      </c>
      <c r="Q101" s="1108">
        <v>236.38399999999999</v>
      </c>
      <c r="R101" s="1108">
        <v>237.08799999999999</v>
      </c>
      <c r="S101" s="1100"/>
      <c r="T101" s="1100"/>
      <c r="V101" s="1117"/>
      <c r="W101" s="1117"/>
    </row>
    <row r="102" spans="2:23">
      <c r="C102" s="1082">
        <v>2015</v>
      </c>
      <c r="D102" s="1056">
        <v>233.70699999999999</v>
      </c>
      <c r="E102" s="1056">
        <v>234.72200000000001</v>
      </c>
      <c r="F102" s="1056">
        <v>236.119</v>
      </c>
      <c r="G102" s="1056">
        <v>236.59899999999999</v>
      </c>
      <c r="H102" s="1056">
        <v>237.80500000000001</v>
      </c>
      <c r="I102" s="1056">
        <v>238.63800000000001</v>
      </c>
      <c r="J102" s="1056">
        <v>238.654</v>
      </c>
      <c r="K102" s="1056">
        <v>238.316</v>
      </c>
      <c r="L102" s="1056">
        <v>237.94499999999999</v>
      </c>
      <c r="M102" s="1056">
        <v>237.83799999999999</v>
      </c>
      <c r="N102" s="1056">
        <v>237.33600000000001</v>
      </c>
      <c r="O102" s="1056">
        <v>236.52500000000001</v>
      </c>
      <c r="P102" s="1113">
        <v>237.017</v>
      </c>
      <c r="Q102" s="1073">
        <v>236.26499999999999</v>
      </c>
      <c r="R102" s="1074">
        <v>237.76900000000001</v>
      </c>
      <c r="S102" s="1100"/>
      <c r="T102" s="1100"/>
    </row>
    <row r="103" spans="2:23">
      <c r="B103" s="1056"/>
      <c r="C103" s="1082">
        <v>2016</v>
      </c>
      <c r="D103" s="1056">
        <v>236.916</v>
      </c>
      <c r="E103" s="1056">
        <v>237.11099999999999</v>
      </c>
      <c r="F103" s="1056">
        <v>238.13200000000001</v>
      </c>
      <c r="G103" s="1056">
        <v>239.261</v>
      </c>
      <c r="H103" s="1056">
        <v>240.22900000000001</v>
      </c>
      <c r="I103" s="1056">
        <v>241.018</v>
      </c>
      <c r="J103" s="1056">
        <v>240.62799999999999</v>
      </c>
      <c r="K103" s="1056">
        <v>240.84899999999999</v>
      </c>
      <c r="L103" s="1056">
        <v>241.428</v>
      </c>
      <c r="M103" s="1056">
        <v>241.72900000000001</v>
      </c>
      <c r="N103" s="1056">
        <v>241.35300000000001</v>
      </c>
      <c r="O103" s="1056">
        <v>241.43199999999999</v>
      </c>
      <c r="P103" s="1113">
        <v>240.00700000000001</v>
      </c>
      <c r="Q103" s="1073">
        <v>238.77799999999999</v>
      </c>
      <c r="R103" s="1074">
        <v>241.23699999999999</v>
      </c>
      <c r="S103" s="1100"/>
      <c r="T103" s="1100"/>
      <c r="U103" s="1061"/>
    </row>
    <row r="104" spans="2:23">
      <c r="B104" s="1056"/>
      <c r="C104" s="1082">
        <v>2017</v>
      </c>
      <c r="D104" s="1056">
        <v>242.839</v>
      </c>
      <c r="E104" s="1056">
        <v>243.60300000000001</v>
      </c>
      <c r="F104" s="1056">
        <v>243.80099999999999</v>
      </c>
      <c r="G104" s="1056">
        <v>244.524</v>
      </c>
      <c r="H104" s="1056">
        <v>244.733</v>
      </c>
      <c r="I104" s="1056">
        <v>244.95500000000001</v>
      </c>
      <c r="J104" s="1056">
        <v>244.786</v>
      </c>
      <c r="K104" s="1056">
        <v>245.51900000000001</v>
      </c>
      <c r="L104" s="1056">
        <v>246.81899999999999</v>
      </c>
      <c r="M104" s="1056">
        <v>246.66300000000001</v>
      </c>
      <c r="N104" s="1056">
        <v>246.66900000000001</v>
      </c>
      <c r="O104" s="1056">
        <v>246.524</v>
      </c>
      <c r="P104" s="1113">
        <v>245.12</v>
      </c>
      <c r="Q104" s="1073">
        <v>244.07599999999999</v>
      </c>
      <c r="R104" s="1074">
        <v>246.16300000000001</v>
      </c>
      <c r="S104" s="1100"/>
      <c r="T104" s="1100"/>
    </row>
    <row r="105" spans="2:23">
      <c r="B105" s="1056"/>
      <c r="C105" s="1082">
        <v>2018</v>
      </c>
      <c r="D105" s="1056">
        <v>247.86699999999999</v>
      </c>
      <c r="E105" s="1056">
        <v>248.99100000000001</v>
      </c>
      <c r="F105" s="1056">
        <v>249.554</v>
      </c>
      <c r="G105" s="1056">
        <v>250.54599999999999</v>
      </c>
      <c r="H105" s="1056">
        <v>251.58799999999999</v>
      </c>
      <c r="I105" s="1056">
        <v>251.989</v>
      </c>
      <c r="J105" s="1056">
        <v>252.006</v>
      </c>
      <c r="K105" s="1056">
        <v>252.14599999999999</v>
      </c>
      <c r="L105" s="1056">
        <v>252.43899999999999</v>
      </c>
      <c r="M105" s="1056">
        <v>252.88499999999999</v>
      </c>
      <c r="N105" s="1056">
        <v>252.03800000000001</v>
      </c>
      <c r="O105" s="1056">
        <v>251.233</v>
      </c>
      <c r="P105" s="1113">
        <v>251.107</v>
      </c>
      <c r="Q105" s="1073">
        <v>250.089</v>
      </c>
      <c r="R105" s="1074">
        <v>252.125</v>
      </c>
      <c r="S105" s="1100"/>
      <c r="T105" s="1100"/>
    </row>
    <row r="106" spans="2:23">
      <c r="B106" s="1056"/>
      <c r="C106" s="1118">
        <v>2019</v>
      </c>
      <c r="D106" s="1106">
        <v>251.71199999999999</v>
      </c>
      <c r="E106" s="1106">
        <v>252.77600000000001</v>
      </c>
      <c r="F106" s="1106">
        <v>254.202</v>
      </c>
      <c r="G106" s="1106">
        <v>255.548</v>
      </c>
      <c r="H106" s="1106">
        <v>256.09199999999998</v>
      </c>
      <c r="I106" s="1106">
        <v>256.14299999999997</v>
      </c>
      <c r="J106" s="1106">
        <v>256.57100000000003</v>
      </c>
      <c r="K106" s="1106">
        <v>256.55799999999999</v>
      </c>
      <c r="L106" s="1106">
        <v>256.75900000000001</v>
      </c>
      <c r="M106" s="1106">
        <v>257.346</v>
      </c>
      <c r="N106" s="1106">
        <v>257.20800000000003</v>
      </c>
      <c r="O106" s="1106">
        <v>256.97399999999999</v>
      </c>
      <c r="P106" s="1107">
        <v>255.65700000000001</v>
      </c>
      <c r="Q106" s="1108">
        <v>254.41200000000001</v>
      </c>
      <c r="R106" s="1108">
        <v>256.90300000000002</v>
      </c>
      <c r="S106" s="1100"/>
      <c r="T106" s="1100"/>
    </row>
    <row r="107" spans="2:23">
      <c r="B107" s="1056"/>
      <c r="C107" s="1118">
        <v>2020</v>
      </c>
      <c r="D107" s="1106">
        <v>257.971</v>
      </c>
      <c r="E107" s="1106">
        <v>258.678</v>
      </c>
      <c r="F107" s="1106">
        <v>258.11500000000001</v>
      </c>
      <c r="G107" s="1106">
        <v>256.38900000000001</v>
      </c>
      <c r="H107" s="1106">
        <v>256.39400000000001</v>
      </c>
      <c r="I107" s="1106">
        <v>257.79700000000003</v>
      </c>
      <c r="J107" s="1106">
        <v>259.101</v>
      </c>
      <c r="K107" s="1106">
        <v>259.91800000000001</v>
      </c>
      <c r="L107" s="1106">
        <v>260.27999999999997</v>
      </c>
      <c r="M107" s="1106">
        <v>260.38799999999998</v>
      </c>
      <c r="N107" s="1106">
        <v>260.22899999999998</v>
      </c>
      <c r="O107" s="1106">
        <v>260.47399999999999</v>
      </c>
      <c r="P107" s="1107">
        <v>258.81099999999998</v>
      </c>
      <c r="Q107" s="1108">
        <v>257.55700000000002</v>
      </c>
      <c r="R107" s="1108">
        <v>260.065</v>
      </c>
      <c r="S107" s="1100"/>
      <c r="T107" s="1100"/>
      <c r="V107" s="1119"/>
    </row>
    <row r="108" spans="2:23">
      <c r="B108" s="1056"/>
      <c r="C108" s="1118">
        <v>2021</v>
      </c>
      <c r="D108" s="1106">
        <v>261.58199999999999</v>
      </c>
      <c r="E108" s="1106">
        <v>263.01400000000001</v>
      </c>
      <c r="F108" s="1106">
        <v>264.87700000000001</v>
      </c>
      <c r="G108" s="1106">
        <v>267.05399999999997</v>
      </c>
      <c r="H108" s="1106">
        <v>269.19499999999999</v>
      </c>
      <c r="I108" s="1106">
        <v>271.69600000000003</v>
      </c>
      <c r="J108" s="1106">
        <v>273.00299999999999</v>
      </c>
      <c r="K108" s="1106">
        <v>273.56700000000001</v>
      </c>
      <c r="L108" s="1106">
        <v>274.31</v>
      </c>
      <c r="M108" s="1106"/>
      <c r="N108" s="1106"/>
      <c r="O108" s="1106"/>
      <c r="P108" s="1107"/>
      <c r="Q108" s="1108">
        <v>266.23599999999999</v>
      </c>
      <c r="R108" s="1108"/>
      <c r="S108" s="1100"/>
      <c r="T108" s="1100"/>
      <c r="V108" s="1119" t="s">
        <v>1265</v>
      </c>
    </row>
    <row r="109" spans="2:23">
      <c r="B109" s="1056"/>
    </row>
    <row r="110" spans="2:23">
      <c r="B110" s="1103" t="s">
        <v>428</v>
      </c>
      <c r="C110" s="1076" t="s">
        <v>0</v>
      </c>
      <c r="D110" s="1077" t="s">
        <v>409</v>
      </c>
      <c r="E110" s="1077" t="s">
        <v>410</v>
      </c>
      <c r="F110" s="1077" t="s">
        <v>411</v>
      </c>
      <c r="G110" s="1077" t="s">
        <v>412</v>
      </c>
      <c r="H110" s="1077" t="s">
        <v>413</v>
      </c>
      <c r="I110" s="1077" t="s">
        <v>374</v>
      </c>
      <c r="J110" s="1077" t="s">
        <v>414</v>
      </c>
      <c r="K110" s="1077" t="s">
        <v>415</v>
      </c>
      <c r="L110" s="1077" t="s">
        <v>416</v>
      </c>
      <c r="M110" s="1077" t="s">
        <v>417</v>
      </c>
      <c r="N110" s="1077" t="s">
        <v>418</v>
      </c>
      <c r="O110" s="1077" t="s">
        <v>419</v>
      </c>
      <c r="P110" s="1100"/>
      <c r="Q110" s="1100"/>
    </row>
    <row r="111" spans="2:23">
      <c r="B111" s="1104" t="s">
        <v>423</v>
      </c>
      <c r="C111" s="1105">
        <v>1970</v>
      </c>
      <c r="D111" s="1106">
        <v>37.9</v>
      </c>
      <c r="E111" s="1106">
        <v>38.1</v>
      </c>
      <c r="F111" s="1106">
        <v>38.299999999999997</v>
      </c>
      <c r="G111" s="1106">
        <v>38.5</v>
      </c>
      <c r="H111" s="1106">
        <v>38.6</v>
      </c>
      <c r="I111" s="1106">
        <v>38.799999999999997</v>
      </c>
      <c r="J111" s="1106">
        <v>38.9</v>
      </c>
      <c r="K111" s="1106">
        <v>39</v>
      </c>
      <c r="L111" s="1106">
        <v>39.200000000000003</v>
      </c>
      <c r="M111" s="1106">
        <v>39.4</v>
      </c>
      <c r="N111" s="1106">
        <v>39.6</v>
      </c>
      <c r="O111" s="1106">
        <v>39.799999999999997</v>
      </c>
      <c r="P111" s="1100"/>
      <c r="Q111" s="1100"/>
    </row>
    <row r="112" spans="2:23">
      <c r="B112" s="1104" t="s">
        <v>424</v>
      </c>
      <c r="C112" s="1105">
        <v>1971</v>
      </c>
      <c r="D112" s="1106">
        <v>39.9</v>
      </c>
      <c r="E112" s="1106">
        <v>39.9</v>
      </c>
      <c r="F112" s="1106">
        <v>40</v>
      </c>
      <c r="G112" s="1106">
        <v>40.1</v>
      </c>
      <c r="H112" s="1106">
        <v>40.299999999999997</v>
      </c>
      <c r="I112" s="1106">
        <v>40.5</v>
      </c>
      <c r="J112" s="1106">
        <v>40.6</v>
      </c>
      <c r="K112" s="1106">
        <v>40.700000000000003</v>
      </c>
      <c r="L112" s="1106">
        <v>40.799999999999997</v>
      </c>
      <c r="M112" s="1106">
        <v>40.9</v>
      </c>
      <c r="N112" s="1106">
        <v>41</v>
      </c>
      <c r="O112" s="1106">
        <v>41.1</v>
      </c>
      <c r="P112" s="1100"/>
      <c r="Q112" s="1100"/>
    </row>
    <row r="113" spans="2:17">
      <c r="B113" s="1104" t="s">
        <v>425</v>
      </c>
      <c r="C113" s="1105">
        <v>1972</v>
      </c>
      <c r="D113" s="1106">
        <v>41.2</v>
      </c>
      <c r="E113" s="1106">
        <v>41.4</v>
      </c>
      <c r="F113" s="1106">
        <v>41.4</v>
      </c>
      <c r="G113" s="1106">
        <v>41.5</v>
      </c>
      <c r="H113" s="1106">
        <v>41.6</v>
      </c>
      <c r="I113" s="1106">
        <v>41.7</v>
      </c>
      <c r="J113" s="1106">
        <v>41.8</v>
      </c>
      <c r="K113" s="1106">
        <v>41.9</v>
      </c>
      <c r="L113" s="1106">
        <v>42.1</v>
      </c>
      <c r="M113" s="1106">
        <v>42.2</v>
      </c>
      <c r="N113" s="1106">
        <v>42.4</v>
      </c>
      <c r="O113" s="1106">
        <v>42.5</v>
      </c>
      <c r="P113" s="1100"/>
      <c r="Q113" s="1100"/>
    </row>
    <row r="114" spans="2:17">
      <c r="B114" s="1104" t="s">
        <v>426</v>
      </c>
      <c r="C114" s="1105">
        <v>1973</v>
      </c>
      <c r="D114" s="1106">
        <v>42.7</v>
      </c>
      <c r="E114" s="1106">
        <v>43</v>
      </c>
      <c r="F114" s="1106">
        <v>43.4</v>
      </c>
      <c r="G114" s="1106">
        <v>43.7</v>
      </c>
      <c r="H114" s="1106">
        <v>43.9</v>
      </c>
      <c r="I114" s="1106">
        <v>44.2</v>
      </c>
      <c r="J114" s="1106">
        <v>44.2</v>
      </c>
      <c r="K114" s="1106">
        <v>45</v>
      </c>
      <c r="L114" s="1106">
        <v>45.2</v>
      </c>
      <c r="M114" s="1106">
        <v>45.6</v>
      </c>
      <c r="N114" s="1106">
        <v>45.9</v>
      </c>
      <c r="O114" s="1106">
        <v>46.3</v>
      </c>
      <c r="P114" s="1100"/>
      <c r="Q114" s="1100"/>
    </row>
    <row r="115" spans="2:17">
      <c r="B115" s="1110" t="s">
        <v>586</v>
      </c>
      <c r="C115" s="1105">
        <v>1974</v>
      </c>
      <c r="D115" s="1106">
        <v>46.8</v>
      </c>
      <c r="E115" s="1106">
        <v>47.3</v>
      </c>
      <c r="F115" s="1106">
        <v>47.8</v>
      </c>
      <c r="G115" s="1106">
        <v>48.1</v>
      </c>
      <c r="H115" s="1106">
        <v>48.6</v>
      </c>
      <c r="I115" s="1106">
        <v>49</v>
      </c>
      <c r="J115" s="1106">
        <v>49.3</v>
      </c>
      <c r="K115" s="1106">
        <v>49.9</v>
      </c>
      <c r="L115" s="1106">
        <v>50.6</v>
      </c>
      <c r="M115" s="1106">
        <v>51</v>
      </c>
      <c r="N115" s="1106">
        <v>51.5</v>
      </c>
      <c r="O115" s="1106">
        <v>51.9</v>
      </c>
      <c r="P115" s="1100"/>
      <c r="Q115" s="1100"/>
    </row>
    <row r="116" spans="2:17">
      <c r="B116" s="1097" t="s">
        <v>430</v>
      </c>
      <c r="C116" s="1111">
        <v>1975</v>
      </c>
      <c r="D116" s="1112">
        <v>52.3</v>
      </c>
      <c r="E116" s="1112">
        <v>52.6</v>
      </c>
      <c r="F116" s="1112">
        <v>52.8</v>
      </c>
      <c r="G116" s="1112">
        <v>53</v>
      </c>
      <c r="H116" s="1112">
        <v>53.1</v>
      </c>
      <c r="I116" s="1112">
        <v>53.5</v>
      </c>
      <c r="J116" s="1112">
        <v>54</v>
      </c>
      <c r="K116" s="1112">
        <v>54.2</v>
      </c>
      <c r="L116" s="1112">
        <v>54.6</v>
      </c>
      <c r="M116" s="1112">
        <v>54.9</v>
      </c>
      <c r="N116" s="1112">
        <v>55.3</v>
      </c>
      <c r="O116" s="1112">
        <v>55.6</v>
      </c>
      <c r="P116" s="1100"/>
      <c r="Q116" s="1100"/>
    </row>
    <row r="117" spans="2:17">
      <c r="C117" s="1082">
        <v>1976</v>
      </c>
      <c r="D117" s="1109">
        <v>55.8</v>
      </c>
      <c r="E117" s="1109">
        <v>55.9</v>
      </c>
      <c r="F117" s="1109">
        <v>56</v>
      </c>
      <c r="G117" s="1109">
        <v>56.1</v>
      </c>
      <c r="H117" s="1109">
        <v>56.4</v>
      </c>
      <c r="I117" s="1109">
        <v>56.7</v>
      </c>
      <c r="J117" s="1109">
        <v>57</v>
      </c>
      <c r="K117" s="1109">
        <v>57.3</v>
      </c>
      <c r="L117" s="1109">
        <v>57.6</v>
      </c>
      <c r="M117" s="1109">
        <v>57.9</v>
      </c>
      <c r="N117" s="1109">
        <v>58.1</v>
      </c>
      <c r="O117" s="1109">
        <v>58.4</v>
      </c>
      <c r="P117" s="1100"/>
      <c r="Q117" s="1100"/>
    </row>
    <row r="118" spans="2:17">
      <c r="C118" s="1082">
        <v>1977</v>
      </c>
      <c r="D118" s="1109">
        <v>58.7</v>
      </c>
      <c r="E118" s="1109">
        <v>59.3</v>
      </c>
      <c r="F118" s="1109">
        <v>59.6</v>
      </c>
      <c r="G118" s="1109">
        <v>60</v>
      </c>
      <c r="H118" s="1109">
        <v>60.2</v>
      </c>
      <c r="I118" s="1109">
        <v>60.5</v>
      </c>
      <c r="J118" s="1109">
        <v>60.8</v>
      </c>
      <c r="K118" s="1109">
        <v>61.1</v>
      </c>
      <c r="L118" s="1109">
        <v>61.3</v>
      </c>
      <c r="M118" s="1109">
        <v>61.6</v>
      </c>
      <c r="N118" s="1109">
        <v>62</v>
      </c>
      <c r="O118" s="1109">
        <v>62.3</v>
      </c>
      <c r="P118" s="1100"/>
      <c r="Q118" s="1100"/>
    </row>
    <row r="119" spans="2:17">
      <c r="C119" s="1082">
        <v>1978</v>
      </c>
      <c r="D119" s="1109">
        <v>62.7</v>
      </c>
      <c r="E119" s="1109">
        <v>63</v>
      </c>
      <c r="F119" s="1109">
        <v>63.4</v>
      </c>
      <c r="G119" s="1109">
        <v>63.9</v>
      </c>
      <c r="H119" s="1109">
        <v>64.5</v>
      </c>
      <c r="I119" s="1109">
        <v>65</v>
      </c>
      <c r="J119" s="1109">
        <v>65.5</v>
      </c>
      <c r="K119" s="1109">
        <v>65.900000000000006</v>
      </c>
      <c r="L119" s="1109">
        <v>66.5</v>
      </c>
      <c r="M119" s="1109">
        <v>67.099999999999994</v>
      </c>
      <c r="N119" s="1109">
        <v>67.5</v>
      </c>
      <c r="O119" s="1109">
        <v>67.900000000000006</v>
      </c>
      <c r="P119" s="1100"/>
      <c r="Q119" s="1100"/>
    </row>
    <row r="120" spans="2:17">
      <c r="C120" s="1082">
        <v>1979</v>
      </c>
      <c r="D120" s="1109">
        <v>68.5</v>
      </c>
      <c r="E120" s="1109">
        <v>69.2</v>
      </c>
      <c r="F120" s="1109">
        <v>69.900000000000006</v>
      </c>
      <c r="G120" s="1109">
        <v>70.599999999999994</v>
      </c>
      <c r="H120" s="1109">
        <v>71.400000000000006</v>
      </c>
      <c r="I120" s="1109">
        <v>72.2</v>
      </c>
      <c r="J120" s="1109">
        <v>73</v>
      </c>
      <c r="K120" s="1109">
        <v>73.7</v>
      </c>
      <c r="L120" s="1109">
        <v>74.400000000000006</v>
      </c>
      <c r="M120" s="1109">
        <v>75.2</v>
      </c>
      <c r="N120" s="1109">
        <v>76</v>
      </c>
      <c r="O120" s="1109">
        <v>76.900000000000006</v>
      </c>
      <c r="P120" s="1100"/>
      <c r="Q120" s="1100"/>
    </row>
    <row r="121" spans="2:17">
      <c r="C121" s="1105">
        <v>1980</v>
      </c>
      <c r="D121" s="1106">
        <v>78</v>
      </c>
      <c r="E121" s="1106">
        <v>79</v>
      </c>
      <c r="F121" s="1106">
        <v>80.099999999999994</v>
      </c>
      <c r="G121" s="1106">
        <v>80.900000000000006</v>
      </c>
      <c r="H121" s="1106">
        <v>81.7</v>
      </c>
      <c r="I121" s="1106">
        <v>82.5</v>
      </c>
      <c r="J121" s="1106">
        <v>82.6</v>
      </c>
      <c r="K121" s="1106">
        <v>83.2</v>
      </c>
      <c r="L121" s="1106">
        <v>83.9</v>
      </c>
      <c r="M121" s="1106">
        <v>84.7</v>
      </c>
      <c r="N121" s="1106">
        <v>85.6</v>
      </c>
      <c r="O121" s="1106">
        <v>86.4</v>
      </c>
      <c r="P121" s="1100"/>
      <c r="Q121" s="1100"/>
    </row>
    <row r="122" spans="2:17">
      <c r="C122" s="1105">
        <v>1981</v>
      </c>
      <c r="D122" s="1106">
        <v>87.2</v>
      </c>
      <c r="E122" s="1106">
        <v>88</v>
      </c>
      <c r="F122" s="1106">
        <v>88.6</v>
      </c>
      <c r="G122" s="1106">
        <v>89.1</v>
      </c>
      <c r="H122" s="1106">
        <v>89.7</v>
      </c>
      <c r="I122" s="1106">
        <v>90.5</v>
      </c>
      <c r="J122" s="1106">
        <v>91.5</v>
      </c>
      <c r="K122" s="1106">
        <v>92.2</v>
      </c>
      <c r="L122" s="1106">
        <v>93.1</v>
      </c>
      <c r="M122" s="1106">
        <v>93.4</v>
      </c>
      <c r="N122" s="1106">
        <v>93.8</v>
      </c>
      <c r="O122" s="1106">
        <v>94.1</v>
      </c>
      <c r="P122" s="1100"/>
      <c r="Q122" s="1100"/>
    </row>
    <row r="123" spans="2:17">
      <c r="C123" s="1105">
        <v>1982</v>
      </c>
      <c r="D123" s="1106">
        <v>94.4</v>
      </c>
      <c r="E123" s="1106">
        <v>94.7</v>
      </c>
      <c r="F123" s="1106">
        <v>94.7</v>
      </c>
      <c r="G123" s="1106">
        <v>95</v>
      </c>
      <c r="H123" s="1106">
        <v>95.9</v>
      </c>
      <c r="I123" s="1106">
        <v>97</v>
      </c>
      <c r="J123" s="1106">
        <v>97.5</v>
      </c>
      <c r="K123" s="1106">
        <v>97.7</v>
      </c>
      <c r="L123" s="1106">
        <v>97.7</v>
      </c>
      <c r="M123" s="1106">
        <v>98.1</v>
      </c>
      <c r="N123" s="1106">
        <v>98</v>
      </c>
      <c r="O123" s="1106">
        <v>97.7</v>
      </c>
      <c r="P123" s="1100"/>
      <c r="Q123" s="1100"/>
    </row>
    <row r="124" spans="2:17">
      <c r="C124" s="1105">
        <v>1983</v>
      </c>
      <c r="D124" s="1106">
        <v>97.9</v>
      </c>
      <c r="E124" s="1106">
        <v>98</v>
      </c>
      <c r="F124" s="1106">
        <v>98.1</v>
      </c>
      <c r="G124" s="1106">
        <v>98.8</v>
      </c>
      <c r="H124" s="1106">
        <v>99.2</v>
      </c>
      <c r="I124" s="1106">
        <v>99.4</v>
      </c>
      <c r="J124" s="1106">
        <v>99.8</v>
      </c>
      <c r="K124" s="1106">
        <v>100.1</v>
      </c>
      <c r="L124" s="1106">
        <v>100.4</v>
      </c>
      <c r="M124" s="1106">
        <v>100.8</v>
      </c>
      <c r="N124" s="1106">
        <v>101.1</v>
      </c>
      <c r="O124" s="1106">
        <v>101.4</v>
      </c>
      <c r="P124" s="1100"/>
      <c r="Q124" s="1100"/>
    </row>
    <row r="125" spans="2:17">
      <c r="C125" s="1105">
        <v>1984</v>
      </c>
      <c r="D125" s="1106">
        <v>102.1</v>
      </c>
      <c r="E125" s="1106">
        <v>102.6</v>
      </c>
      <c r="F125" s="1106">
        <v>102.9</v>
      </c>
      <c r="G125" s="1106">
        <v>103.3</v>
      </c>
      <c r="H125" s="1106">
        <v>103.5</v>
      </c>
      <c r="I125" s="1106">
        <v>103.7</v>
      </c>
      <c r="J125" s="1106">
        <v>104.1</v>
      </c>
      <c r="K125" s="1106">
        <v>104.4</v>
      </c>
      <c r="L125" s="1106">
        <v>104.7</v>
      </c>
      <c r="M125" s="1106">
        <v>105.1</v>
      </c>
      <c r="N125" s="1106">
        <v>105.3</v>
      </c>
      <c r="O125" s="1106">
        <v>105.5</v>
      </c>
      <c r="P125" s="1100"/>
      <c r="Q125" s="1100"/>
    </row>
    <row r="126" spans="2:17">
      <c r="C126" s="1082">
        <v>1985</v>
      </c>
      <c r="D126" s="1109">
        <v>105.7</v>
      </c>
      <c r="E126" s="1109">
        <v>106.3</v>
      </c>
      <c r="F126" s="1109">
        <v>106.8</v>
      </c>
      <c r="G126" s="1109">
        <v>107</v>
      </c>
      <c r="H126" s="1109">
        <v>107.2</v>
      </c>
      <c r="I126" s="1109">
        <v>107.5</v>
      </c>
      <c r="J126" s="1109">
        <v>107.7</v>
      </c>
      <c r="K126" s="1109">
        <v>107.9</v>
      </c>
      <c r="L126" s="1109">
        <v>108.1</v>
      </c>
      <c r="M126" s="1109">
        <v>108.5</v>
      </c>
      <c r="N126" s="1109">
        <v>109</v>
      </c>
      <c r="O126" s="1109">
        <v>109.5</v>
      </c>
      <c r="P126" s="1100"/>
      <c r="Q126" s="1100"/>
    </row>
    <row r="127" spans="2:17">
      <c r="C127" s="1082">
        <v>1986</v>
      </c>
      <c r="D127" s="1109">
        <v>109.9</v>
      </c>
      <c r="E127" s="1109">
        <v>109.7</v>
      </c>
      <c r="F127" s="1109">
        <v>109.1</v>
      </c>
      <c r="G127" s="1109">
        <v>108.7</v>
      </c>
      <c r="H127" s="1109">
        <v>109</v>
      </c>
      <c r="I127" s="1109">
        <v>109.4</v>
      </c>
      <c r="J127" s="1109">
        <v>109.5</v>
      </c>
      <c r="K127" s="1109">
        <v>109.6</v>
      </c>
      <c r="L127" s="1109">
        <v>110</v>
      </c>
      <c r="M127" s="1109">
        <v>110.2</v>
      </c>
      <c r="N127" s="1109">
        <v>110.4</v>
      </c>
      <c r="O127" s="1109">
        <v>110.8</v>
      </c>
      <c r="P127" s="1100"/>
      <c r="Q127" s="1100"/>
    </row>
    <row r="128" spans="2:17">
      <c r="C128" s="1082">
        <v>1987</v>
      </c>
      <c r="D128" s="1109">
        <v>111.4</v>
      </c>
      <c r="E128" s="1109">
        <v>111.8</v>
      </c>
      <c r="F128" s="1109">
        <v>112.2</v>
      </c>
      <c r="G128" s="1109">
        <v>112.7</v>
      </c>
      <c r="H128" s="1109">
        <v>113</v>
      </c>
      <c r="I128" s="1109">
        <v>113.5</v>
      </c>
      <c r="J128" s="1109">
        <v>113.8</v>
      </c>
      <c r="K128" s="1109">
        <v>114.3</v>
      </c>
      <c r="L128" s="1109">
        <v>114.7</v>
      </c>
      <c r="M128" s="1109">
        <v>115</v>
      </c>
      <c r="N128" s="1109">
        <v>115.4</v>
      </c>
      <c r="O128" s="1109">
        <v>115.6</v>
      </c>
      <c r="P128" s="1100"/>
      <c r="Q128" s="1100"/>
    </row>
    <row r="129" spans="3:17">
      <c r="C129" s="1082">
        <v>1988</v>
      </c>
      <c r="D129" s="1109">
        <v>116</v>
      </c>
      <c r="E129" s="1109">
        <v>116.2</v>
      </c>
      <c r="F129" s="1109">
        <v>116.5</v>
      </c>
      <c r="G129" s="1109">
        <v>117.2</v>
      </c>
      <c r="H129" s="1109">
        <v>117.5</v>
      </c>
      <c r="I129" s="1109">
        <v>118</v>
      </c>
      <c r="J129" s="1109">
        <v>118.5</v>
      </c>
      <c r="K129" s="1109">
        <v>119</v>
      </c>
      <c r="L129" s="1109">
        <v>119.5</v>
      </c>
      <c r="M129" s="1109">
        <v>119.9</v>
      </c>
      <c r="N129" s="1109">
        <v>120.3</v>
      </c>
      <c r="O129" s="1109">
        <v>120.7</v>
      </c>
      <c r="P129" s="1100"/>
      <c r="Q129" s="1100"/>
    </row>
    <row r="130" spans="3:17">
      <c r="C130" s="1082">
        <v>1989</v>
      </c>
      <c r="D130" s="1109">
        <v>121.2</v>
      </c>
      <c r="E130" s="1109">
        <v>121.6</v>
      </c>
      <c r="F130" s="1109">
        <v>122.2</v>
      </c>
      <c r="G130" s="1109">
        <v>123.1</v>
      </c>
      <c r="H130" s="1109">
        <v>123.7</v>
      </c>
      <c r="I130" s="1109">
        <v>124.1</v>
      </c>
      <c r="J130" s="1109">
        <v>124.5</v>
      </c>
      <c r="K130" s="1109">
        <v>124.5</v>
      </c>
      <c r="L130" s="1109">
        <v>124.8</v>
      </c>
      <c r="M130" s="1109">
        <v>125.4</v>
      </c>
      <c r="N130" s="1109">
        <v>125.9</v>
      </c>
      <c r="O130" s="1109">
        <v>126.3</v>
      </c>
      <c r="P130" s="1100"/>
      <c r="Q130" s="1100"/>
    </row>
    <row r="131" spans="3:17">
      <c r="C131" s="1105">
        <v>1990</v>
      </c>
      <c r="D131" s="1106">
        <v>127.5</v>
      </c>
      <c r="E131" s="1106">
        <v>128</v>
      </c>
      <c r="F131" s="1106">
        <v>128.6</v>
      </c>
      <c r="G131" s="1106">
        <v>128.9</v>
      </c>
      <c r="H131" s="1106">
        <v>129.1</v>
      </c>
      <c r="I131" s="1106">
        <v>129.9</v>
      </c>
      <c r="J131" s="1106">
        <v>130.5</v>
      </c>
      <c r="K131" s="1106">
        <v>131.6</v>
      </c>
      <c r="L131" s="1106">
        <v>132.5</v>
      </c>
      <c r="M131" s="1106">
        <v>133.4</v>
      </c>
      <c r="N131" s="1106">
        <v>133.69999999999999</v>
      </c>
      <c r="O131" s="1106">
        <v>134.19999999999999</v>
      </c>
      <c r="P131" s="1100"/>
      <c r="Q131" s="1100"/>
    </row>
    <row r="132" spans="3:17">
      <c r="C132" s="1105">
        <v>1991</v>
      </c>
      <c r="D132" s="1106">
        <v>134.69999999999999</v>
      </c>
      <c r="E132" s="1106">
        <v>134.80000000000001</v>
      </c>
      <c r="F132" s="1106">
        <v>134.80000000000001</v>
      </c>
      <c r="G132" s="1106">
        <v>135.1</v>
      </c>
      <c r="H132" s="1106">
        <v>135.6</v>
      </c>
      <c r="I132" s="1106">
        <v>136</v>
      </c>
      <c r="J132" s="1106">
        <v>136.19999999999999</v>
      </c>
      <c r="K132" s="1106">
        <v>136.6</v>
      </c>
      <c r="L132" s="1106">
        <v>137</v>
      </c>
      <c r="M132" s="1106">
        <v>137.19999999999999</v>
      </c>
      <c r="N132" s="1106">
        <v>137.80000000000001</v>
      </c>
      <c r="O132" s="1106">
        <v>138.19999999999999</v>
      </c>
      <c r="P132" s="1100"/>
      <c r="Q132" s="1100"/>
    </row>
    <row r="133" spans="3:17">
      <c r="C133" s="1105">
        <v>1992</v>
      </c>
      <c r="D133" s="1106">
        <v>138.30000000000001</v>
      </c>
      <c r="E133" s="1106">
        <v>138.6</v>
      </c>
      <c r="F133" s="1106">
        <v>139.1</v>
      </c>
      <c r="G133" s="1106">
        <v>139.4</v>
      </c>
      <c r="H133" s="1106">
        <v>139.69999999999999</v>
      </c>
      <c r="I133" s="1106">
        <v>140.1</v>
      </c>
      <c r="J133" s="1106">
        <v>140.5</v>
      </c>
      <c r="K133" s="1106">
        <v>140.80000000000001</v>
      </c>
      <c r="L133" s="1106">
        <v>141.1</v>
      </c>
      <c r="M133" s="1106">
        <v>141.69999999999999</v>
      </c>
      <c r="N133" s="1106">
        <v>142.1</v>
      </c>
      <c r="O133" s="1106">
        <v>142.30000000000001</v>
      </c>
      <c r="P133" s="1100"/>
      <c r="Q133" s="1100"/>
    </row>
    <row r="134" spans="3:17">
      <c r="C134" s="1105">
        <v>1993</v>
      </c>
      <c r="D134" s="1106">
        <v>142.80000000000001</v>
      </c>
      <c r="E134" s="1106">
        <v>143.1</v>
      </c>
      <c r="F134" s="1106">
        <v>143.30000000000001</v>
      </c>
      <c r="G134" s="1106">
        <v>143.80000000000001</v>
      </c>
      <c r="H134" s="1106">
        <v>144.19999999999999</v>
      </c>
      <c r="I134" s="1106">
        <v>144.30000000000001</v>
      </c>
      <c r="J134" s="1106">
        <v>144.5</v>
      </c>
      <c r="K134" s="1106">
        <v>144.80000000000001</v>
      </c>
      <c r="L134" s="1106">
        <v>145</v>
      </c>
      <c r="M134" s="1106">
        <v>145.6</v>
      </c>
      <c r="N134" s="1106">
        <v>146</v>
      </c>
      <c r="O134" s="1106">
        <v>146.30000000000001</v>
      </c>
      <c r="P134" s="1100"/>
      <c r="Q134" s="1100"/>
    </row>
    <row r="135" spans="3:17">
      <c r="C135" s="1105">
        <v>1994</v>
      </c>
      <c r="D135" s="1106">
        <v>146.30000000000001</v>
      </c>
      <c r="E135" s="1106">
        <v>146.69999999999999</v>
      </c>
      <c r="F135" s="1106">
        <v>147.1</v>
      </c>
      <c r="G135" s="1106">
        <v>147.19999999999999</v>
      </c>
      <c r="H135" s="1106">
        <v>147.5</v>
      </c>
      <c r="I135" s="1106">
        <v>147.9</v>
      </c>
      <c r="J135" s="1106">
        <v>148.4</v>
      </c>
      <c r="K135" s="1106">
        <v>149</v>
      </c>
      <c r="L135" s="1106">
        <v>149.30000000000001</v>
      </c>
      <c r="M135" s="1106">
        <v>149.4</v>
      </c>
      <c r="N135" s="1106">
        <v>149.80000000000001</v>
      </c>
      <c r="O135" s="1106">
        <v>150.1</v>
      </c>
      <c r="P135" s="1100"/>
      <c r="Q135" s="1100"/>
    </row>
    <row r="136" spans="3:17">
      <c r="C136" s="1082">
        <v>1995</v>
      </c>
      <c r="D136" s="1109">
        <v>150.5</v>
      </c>
      <c r="E136" s="1109">
        <v>150.9</v>
      </c>
      <c r="F136" s="1109">
        <v>151.19999999999999</v>
      </c>
      <c r="G136" s="1109">
        <v>151.80000000000001</v>
      </c>
      <c r="H136" s="1109">
        <v>152.1</v>
      </c>
      <c r="I136" s="1109">
        <v>152.4</v>
      </c>
      <c r="J136" s="1109">
        <v>152.6</v>
      </c>
      <c r="K136" s="1109">
        <v>152.9</v>
      </c>
      <c r="L136" s="1109">
        <v>153.1</v>
      </c>
      <c r="M136" s="1109">
        <v>153.5</v>
      </c>
      <c r="N136" s="1109">
        <v>153.69999999999999</v>
      </c>
      <c r="O136" s="1109">
        <v>153.9</v>
      </c>
      <c r="P136" s="1100"/>
      <c r="Q136" s="1100"/>
    </row>
    <row r="137" spans="3:17">
      <c r="C137" s="1082">
        <v>1996</v>
      </c>
      <c r="D137" s="1109">
        <v>154.69999999999999</v>
      </c>
      <c r="E137" s="1109">
        <v>155</v>
      </c>
      <c r="F137" s="1109">
        <v>155.5</v>
      </c>
      <c r="G137" s="1109">
        <v>156.1</v>
      </c>
      <c r="H137" s="1109">
        <v>156.4</v>
      </c>
      <c r="I137" s="1109">
        <v>156.69999999999999</v>
      </c>
      <c r="J137" s="1109">
        <v>157</v>
      </c>
      <c r="K137" s="1109">
        <v>157.19999999999999</v>
      </c>
      <c r="L137" s="1109">
        <v>157.69999999999999</v>
      </c>
      <c r="M137" s="1109">
        <v>158.19999999999999</v>
      </c>
      <c r="N137" s="1109">
        <v>158.69999999999999</v>
      </c>
      <c r="O137" s="1109">
        <v>159.1</v>
      </c>
      <c r="P137" s="1100"/>
      <c r="Q137" s="1100"/>
    </row>
    <row r="138" spans="3:17">
      <c r="C138" s="1082">
        <v>1997</v>
      </c>
      <c r="D138" s="1109">
        <v>159.4</v>
      </c>
      <c r="E138" s="1109">
        <v>159.69999999999999</v>
      </c>
      <c r="F138" s="1109">
        <v>159.80000000000001</v>
      </c>
      <c r="G138" s="1109">
        <v>159.9</v>
      </c>
      <c r="H138" s="1109">
        <v>159.9</v>
      </c>
      <c r="I138" s="1109">
        <v>160.19999999999999</v>
      </c>
      <c r="J138" s="1109">
        <v>160.4</v>
      </c>
      <c r="K138" s="1109">
        <v>160.80000000000001</v>
      </c>
      <c r="L138" s="1109">
        <v>161.19999999999999</v>
      </c>
      <c r="M138" s="1109">
        <v>161.5</v>
      </c>
      <c r="N138" s="1109">
        <v>161.69999999999999</v>
      </c>
      <c r="O138" s="1109">
        <v>161.80000000000001</v>
      </c>
      <c r="P138" s="1100"/>
      <c r="Q138" s="1100"/>
    </row>
    <row r="139" spans="3:17">
      <c r="C139" s="1082">
        <v>1998</v>
      </c>
      <c r="D139" s="1109">
        <v>162</v>
      </c>
      <c r="E139" s="1109">
        <v>162</v>
      </c>
      <c r="F139" s="1109">
        <v>162</v>
      </c>
      <c r="G139" s="1109">
        <v>162.19999999999999</v>
      </c>
      <c r="H139" s="1109">
        <v>162.6</v>
      </c>
      <c r="I139" s="1109">
        <v>162.80000000000001</v>
      </c>
      <c r="J139" s="1109">
        <v>163.19999999999999</v>
      </c>
      <c r="K139" s="1109">
        <v>163.4</v>
      </c>
      <c r="L139" s="1109">
        <v>163.5</v>
      </c>
      <c r="M139" s="1109">
        <v>163.9</v>
      </c>
      <c r="N139" s="1109">
        <v>164.1</v>
      </c>
      <c r="O139" s="1109">
        <v>164.4</v>
      </c>
      <c r="P139" s="1100"/>
      <c r="Q139" s="1100"/>
    </row>
    <row r="140" spans="3:17">
      <c r="C140" s="1082">
        <v>1999</v>
      </c>
      <c r="D140" s="1109">
        <v>164.7</v>
      </c>
      <c r="E140" s="1109">
        <v>164.7</v>
      </c>
      <c r="F140" s="1109">
        <v>164.8</v>
      </c>
      <c r="G140" s="1109">
        <v>165.9</v>
      </c>
      <c r="H140" s="1109">
        <v>166</v>
      </c>
      <c r="I140" s="1109">
        <v>166</v>
      </c>
      <c r="J140" s="1109">
        <v>166.7</v>
      </c>
      <c r="K140" s="1109">
        <v>167.1</v>
      </c>
      <c r="L140" s="1109">
        <v>167.8</v>
      </c>
      <c r="M140" s="1109">
        <v>168.1</v>
      </c>
      <c r="N140" s="1109">
        <v>168.4</v>
      </c>
      <c r="O140" s="1109">
        <v>168.8</v>
      </c>
      <c r="P140" s="1100"/>
      <c r="Q140" s="1100"/>
    </row>
    <row r="141" spans="3:17">
      <c r="C141" s="1105">
        <v>2000</v>
      </c>
      <c r="D141" s="1106">
        <v>169.3</v>
      </c>
      <c r="E141" s="1106">
        <v>170</v>
      </c>
      <c r="F141" s="1106">
        <v>171</v>
      </c>
      <c r="G141" s="1106">
        <v>170.9</v>
      </c>
      <c r="H141" s="1106">
        <v>171.2</v>
      </c>
      <c r="I141" s="1106">
        <v>172.2</v>
      </c>
      <c r="J141" s="1106">
        <v>172.7</v>
      </c>
      <c r="K141" s="1106">
        <v>172.7</v>
      </c>
      <c r="L141" s="1106">
        <v>173.6</v>
      </c>
      <c r="M141" s="1106">
        <v>173.9</v>
      </c>
      <c r="N141" s="1106">
        <v>174.2</v>
      </c>
      <c r="O141" s="1106">
        <v>174.6</v>
      </c>
      <c r="P141" s="1100"/>
      <c r="Q141" s="1100"/>
    </row>
    <row r="142" spans="3:17">
      <c r="C142" s="1105">
        <v>2001</v>
      </c>
      <c r="D142" s="1106">
        <v>175.6</v>
      </c>
      <c r="E142" s="1106">
        <v>176</v>
      </c>
      <c r="F142" s="1106">
        <v>176.1</v>
      </c>
      <c r="G142" s="1106">
        <v>176.4</v>
      </c>
      <c r="H142" s="1106">
        <v>177.3</v>
      </c>
      <c r="I142" s="1106">
        <v>177.7</v>
      </c>
      <c r="J142" s="1106">
        <v>177.4</v>
      </c>
      <c r="K142" s="1106">
        <v>177.4</v>
      </c>
      <c r="L142" s="1106">
        <v>178.1</v>
      </c>
      <c r="M142" s="1106">
        <v>177.6</v>
      </c>
      <c r="N142" s="1106">
        <v>177.5</v>
      </c>
      <c r="O142" s="1106">
        <v>177.4</v>
      </c>
      <c r="P142" s="1100"/>
      <c r="Q142" s="1100"/>
    </row>
    <row r="143" spans="3:17">
      <c r="C143" s="1105">
        <v>2002</v>
      </c>
      <c r="D143" s="1106">
        <v>177.7</v>
      </c>
      <c r="E143" s="1106">
        <v>178</v>
      </c>
      <c r="F143" s="1106">
        <v>178.5</v>
      </c>
      <c r="G143" s="1106">
        <v>179.3</v>
      </c>
      <c r="H143" s="1106">
        <v>179.5</v>
      </c>
      <c r="I143" s="1106">
        <v>179.6</v>
      </c>
      <c r="J143" s="1106">
        <v>180</v>
      </c>
      <c r="K143" s="1106">
        <v>180.5</v>
      </c>
      <c r="L143" s="1106">
        <v>180.8</v>
      </c>
      <c r="M143" s="1106">
        <v>181.2</v>
      </c>
      <c r="N143" s="1106">
        <v>181.5</v>
      </c>
      <c r="O143" s="1106">
        <v>181.8</v>
      </c>
      <c r="P143" s="1100"/>
      <c r="Q143" s="1100"/>
    </row>
    <row r="144" spans="3:17">
      <c r="C144" s="1105">
        <v>2003</v>
      </c>
      <c r="D144" s="1106">
        <v>182.6</v>
      </c>
      <c r="E144" s="1106">
        <v>183.6</v>
      </c>
      <c r="F144" s="1106">
        <v>183.9</v>
      </c>
      <c r="G144" s="1106">
        <v>183.2</v>
      </c>
      <c r="H144" s="1106">
        <v>182.9</v>
      </c>
      <c r="I144" s="1106">
        <v>183.1</v>
      </c>
      <c r="J144" s="1106">
        <v>183.7</v>
      </c>
      <c r="K144" s="1106">
        <v>184.5</v>
      </c>
      <c r="L144" s="1106">
        <v>185.1</v>
      </c>
      <c r="M144" s="1106">
        <v>184.9</v>
      </c>
      <c r="N144" s="1106">
        <v>185</v>
      </c>
      <c r="O144" s="1106">
        <v>185.5</v>
      </c>
      <c r="P144" s="1100"/>
      <c r="Q144" s="1100"/>
    </row>
    <row r="145" spans="3:23">
      <c r="C145" s="1105">
        <v>2004</v>
      </c>
      <c r="D145" s="1106">
        <v>186.3</v>
      </c>
      <c r="E145" s="1106">
        <v>186.7</v>
      </c>
      <c r="F145" s="1106">
        <v>187.1</v>
      </c>
      <c r="G145" s="1106">
        <v>187.4</v>
      </c>
      <c r="H145" s="1106">
        <v>188.2</v>
      </c>
      <c r="I145" s="1106">
        <v>188.9</v>
      </c>
      <c r="J145" s="1106">
        <v>189.1</v>
      </c>
      <c r="K145" s="1106">
        <v>189.2</v>
      </c>
      <c r="L145" s="1106">
        <v>189.8</v>
      </c>
      <c r="M145" s="1106">
        <v>190.8</v>
      </c>
      <c r="N145" s="1106">
        <v>191.7</v>
      </c>
      <c r="O145" s="1106">
        <v>191.7</v>
      </c>
      <c r="P145" s="1100"/>
      <c r="Q145" s="1100"/>
    </row>
    <row r="146" spans="3:23">
      <c r="C146" s="1082">
        <v>2005</v>
      </c>
      <c r="D146" s="1109">
        <v>191.6</v>
      </c>
      <c r="E146" s="1109">
        <v>192.4</v>
      </c>
      <c r="F146" s="1109">
        <v>193.1</v>
      </c>
      <c r="G146" s="1109">
        <v>193.7</v>
      </c>
      <c r="H146" s="1109">
        <v>193.6</v>
      </c>
      <c r="I146" s="1109">
        <v>193.7</v>
      </c>
      <c r="J146" s="1109">
        <v>194.9</v>
      </c>
      <c r="K146" s="1109">
        <v>196.1</v>
      </c>
      <c r="L146" s="1109">
        <v>198.8</v>
      </c>
      <c r="M146" s="1109">
        <v>199.1</v>
      </c>
      <c r="N146" s="1109">
        <v>198.1</v>
      </c>
      <c r="O146" s="1109">
        <v>198.1</v>
      </c>
      <c r="P146" s="1100"/>
      <c r="Q146" s="1100"/>
    </row>
    <row r="147" spans="3:23">
      <c r="C147" s="1082">
        <v>2006</v>
      </c>
      <c r="D147" s="1109">
        <v>199.3</v>
      </c>
      <c r="E147" s="1109">
        <v>199.4</v>
      </c>
      <c r="F147" s="1109">
        <v>199.7</v>
      </c>
      <c r="G147" s="1109">
        <v>200.7</v>
      </c>
      <c r="H147" s="1109">
        <v>201.3</v>
      </c>
      <c r="I147" s="1109">
        <v>201.8</v>
      </c>
      <c r="J147" s="1109">
        <v>202.9</v>
      </c>
      <c r="K147" s="1109">
        <v>203.8</v>
      </c>
      <c r="L147" s="1109">
        <v>202.8</v>
      </c>
      <c r="M147" s="1109">
        <v>201.9</v>
      </c>
      <c r="N147" s="1109">
        <v>202</v>
      </c>
      <c r="O147" s="1109">
        <v>203.1</v>
      </c>
      <c r="P147" s="1100"/>
      <c r="Q147" s="1100"/>
    </row>
    <row r="148" spans="3:23">
      <c r="C148" s="1082">
        <v>2007</v>
      </c>
      <c r="D148" s="1109">
        <v>203.43700000000001</v>
      </c>
      <c r="E148" s="1109">
        <v>204.226</v>
      </c>
      <c r="F148" s="1109">
        <v>205.28800000000001</v>
      </c>
      <c r="G148" s="1109">
        <v>205.904</v>
      </c>
      <c r="H148" s="1109">
        <v>206.755</v>
      </c>
      <c r="I148" s="1109">
        <v>207.23400000000001</v>
      </c>
      <c r="J148" s="1109">
        <v>207.60300000000001</v>
      </c>
      <c r="K148" s="1109">
        <v>207.667</v>
      </c>
      <c r="L148" s="1109">
        <v>208.547</v>
      </c>
      <c r="M148" s="1109">
        <v>209.19</v>
      </c>
      <c r="N148" s="1109">
        <v>210.834</v>
      </c>
      <c r="O148" s="1109">
        <v>211.44499999999999</v>
      </c>
      <c r="P148" s="1100"/>
      <c r="Q148" s="1100"/>
    </row>
    <row r="149" spans="3:23">
      <c r="C149" s="1082">
        <v>2008</v>
      </c>
      <c r="D149" s="1109">
        <v>212.17400000000001</v>
      </c>
      <c r="E149" s="1109">
        <v>212.68700000000001</v>
      </c>
      <c r="F149" s="1109">
        <v>213.44800000000001</v>
      </c>
      <c r="G149" s="1109">
        <v>213.94200000000001</v>
      </c>
      <c r="H149" s="1109">
        <v>215.208</v>
      </c>
      <c r="I149" s="1109">
        <v>217.46299999999999</v>
      </c>
      <c r="J149" s="1109">
        <v>219.01599999999999</v>
      </c>
      <c r="K149" s="1109">
        <v>218.69</v>
      </c>
      <c r="L149" s="1109">
        <v>218.87700000000001</v>
      </c>
      <c r="M149" s="1109">
        <v>216.995</v>
      </c>
      <c r="N149" s="1109">
        <v>213.15299999999999</v>
      </c>
      <c r="O149" s="1109">
        <v>211.398</v>
      </c>
      <c r="P149" s="1100"/>
      <c r="Q149" s="1100"/>
    </row>
    <row r="150" spans="3:23">
      <c r="C150" s="1082">
        <v>2009</v>
      </c>
      <c r="D150" s="1109">
        <v>211.93299999999999</v>
      </c>
      <c r="E150" s="1109">
        <v>212.70500000000001</v>
      </c>
      <c r="F150" s="1109">
        <v>212.495</v>
      </c>
      <c r="G150" s="1109">
        <v>212.709</v>
      </c>
      <c r="H150" s="1109">
        <v>213.02199999999999</v>
      </c>
      <c r="I150" s="1109">
        <v>214.79</v>
      </c>
      <c r="J150" s="1109">
        <v>214.726</v>
      </c>
      <c r="K150" s="1109">
        <v>215.44499999999999</v>
      </c>
      <c r="L150" s="1109">
        <v>215.86099999999999</v>
      </c>
      <c r="M150" s="1109">
        <v>216.50899999999999</v>
      </c>
      <c r="N150" s="1109">
        <v>217.23400000000001</v>
      </c>
      <c r="O150" s="1109">
        <v>217.34700000000001</v>
      </c>
      <c r="P150" s="1100"/>
      <c r="Q150" s="1100"/>
      <c r="V150" s="1114"/>
      <c r="W150" s="1117"/>
    </row>
    <row r="151" spans="3:23">
      <c r="C151" s="1105">
        <v>2010</v>
      </c>
      <c r="D151" s="1106">
        <v>217.488</v>
      </c>
      <c r="E151" s="1106">
        <v>217.28100000000001</v>
      </c>
      <c r="F151" s="1106">
        <v>217.35300000000001</v>
      </c>
      <c r="G151" s="1106">
        <v>217.40299999999999</v>
      </c>
      <c r="H151" s="1106">
        <v>217.29</v>
      </c>
      <c r="I151" s="1106">
        <v>217.19900000000001</v>
      </c>
      <c r="J151" s="1106">
        <v>217.60499999999999</v>
      </c>
      <c r="K151" s="1106">
        <v>217.923</v>
      </c>
      <c r="L151" s="1106">
        <v>218.27500000000001</v>
      </c>
      <c r="M151" s="1106">
        <v>219.035</v>
      </c>
      <c r="N151" s="1106">
        <v>219.59</v>
      </c>
      <c r="O151" s="1106">
        <v>220.47200000000001</v>
      </c>
      <c r="P151" s="1100"/>
      <c r="Q151" s="1100"/>
      <c r="V151" s="1114"/>
      <c r="W151" s="1115"/>
    </row>
    <row r="152" spans="3:23">
      <c r="C152" s="1105">
        <v>2011</v>
      </c>
      <c r="D152" s="1106">
        <v>221.18700000000001</v>
      </c>
      <c r="E152" s="1106">
        <v>221.898</v>
      </c>
      <c r="F152" s="1106">
        <v>223.04599999999999</v>
      </c>
      <c r="G152" s="1106">
        <v>224.09299999999999</v>
      </c>
      <c r="H152" s="1106">
        <v>224.80600000000001</v>
      </c>
      <c r="I152" s="1106">
        <v>224.80600000000001</v>
      </c>
      <c r="J152" s="1106">
        <v>225.39500000000001</v>
      </c>
      <c r="K152" s="1106">
        <v>226.10599999999999</v>
      </c>
      <c r="L152" s="1106">
        <v>226.59700000000001</v>
      </c>
      <c r="M152" s="1106">
        <v>226.75</v>
      </c>
      <c r="N152" s="1106">
        <v>227.16900000000001</v>
      </c>
      <c r="O152" s="1106">
        <v>227.22300000000001</v>
      </c>
      <c r="P152" s="1100"/>
      <c r="Q152" s="1100"/>
      <c r="R152" s="1061"/>
      <c r="V152" s="1114"/>
      <c r="W152" s="1115"/>
    </row>
    <row r="153" spans="3:23">
      <c r="C153" s="1105">
        <v>2012</v>
      </c>
      <c r="D153" s="1106">
        <v>227.84200000000001</v>
      </c>
      <c r="E153" s="1106">
        <v>228.32900000000001</v>
      </c>
      <c r="F153" s="1106">
        <v>228.80699999999999</v>
      </c>
      <c r="G153" s="1106">
        <v>229.18700000000001</v>
      </c>
      <c r="H153" s="1106">
        <v>228.71299999999999</v>
      </c>
      <c r="I153" s="1106">
        <v>228.524</v>
      </c>
      <c r="J153" s="1106">
        <v>228.59</v>
      </c>
      <c r="K153" s="1106">
        <v>229.91800000000001</v>
      </c>
      <c r="L153" s="1106">
        <v>231.01499999999999</v>
      </c>
      <c r="M153" s="1106">
        <v>231.63800000000001</v>
      </c>
      <c r="N153" s="1106">
        <v>231.249</v>
      </c>
      <c r="O153" s="1106">
        <v>231.221</v>
      </c>
      <c r="P153" s="1100"/>
      <c r="Q153" s="1100"/>
      <c r="V153" s="1114"/>
      <c r="W153" s="1115"/>
    </row>
    <row r="154" spans="3:23">
      <c r="C154" s="1105">
        <v>2013</v>
      </c>
      <c r="D154" s="1106">
        <v>231.679</v>
      </c>
      <c r="E154" s="1106">
        <v>232.93700000000001</v>
      </c>
      <c r="F154" s="1106">
        <v>232.28200000000001</v>
      </c>
      <c r="G154" s="1106">
        <v>231.797</v>
      </c>
      <c r="H154" s="1106">
        <v>231.893</v>
      </c>
      <c r="I154" s="1106">
        <v>232.44499999999999</v>
      </c>
      <c r="J154" s="1106">
        <v>232.9</v>
      </c>
      <c r="K154" s="1106">
        <v>233.45599999999999</v>
      </c>
      <c r="L154" s="1106">
        <v>233.54400000000001</v>
      </c>
      <c r="M154" s="1106">
        <v>233.66900000000001</v>
      </c>
      <c r="N154" s="1106">
        <v>234.1</v>
      </c>
      <c r="O154" s="1106">
        <v>234.71899999999999</v>
      </c>
      <c r="P154" s="1100"/>
      <c r="Q154" s="1100"/>
      <c r="R154" s="1061"/>
      <c r="V154" s="1114"/>
      <c r="W154" s="1115"/>
    </row>
    <row r="155" spans="3:23">
      <c r="C155" s="1105">
        <v>2014</v>
      </c>
      <c r="D155" s="1106">
        <v>235.28800000000001</v>
      </c>
      <c r="E155" s="1106">
        <v>235.547</v>
      </c>
      <c r="F155" s="1106">
        <v>236.02799999999999</v>
      </c>
      <c r="G155" s="1106">
        <v>236.46799999999999</v>
      </c>
      <c r="H155" s="1106">
        <v>236.91800000000001</v>
      </c>
      <c r="I155" s="1106">
        <v>237.23099999999999</v>
      </c>
      <c r="J155" s="1106">
        <v>237.49799999999999</v>
      </c>
      <c r="K155" s="1106">
        <v>237.46</v>
      </c>
      <c r="L155" s="1106">
        <v>237.477</v>
      </c>
      <c r="M155" s="1106">
        <v>237.43</v>
      </c>
      <c r="N155" s="1106">
        <v>236.983</v>
      </c>
      <c r="O155" s="1106">
        <v>236.25200000000001</v>
      </c>
      <c r="P155" s="1100"/>
      <c r="Q155" s="1100"/>
      <c r="V155" s="1114"/>
    </row>
    <row r="156" spans="3:23">
      <c r="C156" s="1105">
        <v>2015</v>
      </c>
      <c r="D156" s="1106">
        <v>234.74700000000001</v>
      </c>
      <c r="E156" s="1106">
        <v>235.34200000000001</v>
      </c>
      <c r="F156" s="1106">
        <v>235.976</v>
      </c>
      <c r="G156" s="1106">
        <v>236.22200000000001</v>
      </c>
      <c r="H156" s="1106">
        <v>237.001</v>
      </c>
      <c r="I156" s="1106">
        <v>237.65700000000001</v>
      </c>
      <c r="J156" s="1106">
        <v>238.03399999999999</v>
      </c>
      <c r="K156" s="1106">
        <v>238.03299999999999</v>
      </c>
      <c r="L156" s="1106">
        <v>237.49799999999999</v>
      </c>
      <c r="M156" s="1106">
        <v>237.733</v>
      </c>
      <c r="N156" s="1106">
        <v>238.017</v>
      </c>
      <c r="O156" s="1106">
        <v>237.761</v>
      </c>
      <c r="P156" s="1100"/>
      <c r="Q156" s="1100"/>
      <c r="V156" s="1114"/>
    </row>
    <row r="157" spans="3:23">
      <c r="C157" s="1111">
        <v>2016</v>
      </c>
      <c r="D157" s="1112">
        <v>237.65199999999999</v>
      </c>
      <c r="E157" s="1112">
        <v>237.33600000000001</v>
      </c>
      <c r="F157" s="1112">
        <v>238.08</v>
      </c>
      <c r="G157" s="1112">
        <v>238.99199999999999</v>
      </c>
      <c r="H157" s="1112">
        <v>239.55699999999999</v>
      </c>
      <c r="I157" s="1112">
        <v>240.22200000000001</v>
      </c>
      <c r="J157" s="1112">
        <v>240.101</v>
      </c>
      <c r="K157" s="1112">
        <v>240.54499999999999</v>
      </c>
      <c r="L157" s="1112">
        <v>241.17599999999999</v>
      </c>
      <c r="M157" s="1112">
        <v>241.74100000000001</v>
      </c>
      <c r="N157" s="1112">
        <v>242.02600000000001</v>
      </c>
      <c r="O157" s="1112">
        <v>242.637</v>
      </c>
      <c r="P157" s="1100"/>
      <c r="Q157" s="1100"/>
      <c r="V157" s="1114"/>
    </row>
    <row r="158" spans="3:23">
      <c r="C158" s="1111">
        <v>2017</v>
      </c>
      <c r="D158" s="1112">
        <v>243.62</v>
      </c>
      <c r="E158" s="1112">
        <v>243.87200000000001</v>
      </c>
      <c r="F158" s="1112">
        <v>243.76599999999999</v>
      </c>
      <c r="G158" s="1112">
        <v>244.274</v>
      </c>
      <c r="H158" s="1112">
        <v>244.06899999999999</v>
      </c>
      <c r="I158" s="1112">
        <v>244.21799999999999</v>
      </c>
      <c r="J158" s="1112">
        <v>244.28</v>
      </c>
      <c r="K158" s="1112">
        <v>245.20500000000001</v>
      </c>
      <c r="L158" s="1112">
        <v>246.55099999999999</v>
      </c>
      <c r="M158" s="1112">
        <v>246.65700000000001</v>
      </c>
      <c r="N158" s="1112">
        <v>247.37799999999999</v>
      </c>
      <c r="O158" s="1112">
        <v>247.73599999999999</v>
      </c>
      <c r="P158" s="1100"/>
      <c r="Q158" s="1100"/>
      <c r="V158" s="1114"/>
    </row>
    <row r="159" spans="3:23">
      <c r="C159" s="1111">
        <v>2018</v>
      </c>
      <c r="D159" s="1112">
        <v>248.721</v>
      </c>
      <c r="E159" s="1112">
        <v>249.3</v>
      </c>
      <c r="F159" s="1112">
        <v>249.517</v>
      </c>
      <c r="G159" s="1112">
        <v>250.27500000000001</v>
      </c>
      <c r="H159" s="1112">
        <v>250.786</v>
      </c>
      <c r="I159" s="1112">
        <v>251.15199999999999</v>
      </c>
      <c r="J159" s="1112">
        <v>251.345</v>
      </c>
      <c r="K159" s="1112">
        <v>251.73500000000001</v>
      </c>
      <c r="L159" s="1112">
        <v>252.18299999999999</v>
      </c>
      <c r="M159" s="1112">
        <v>252.899</v>
      </c>
      <c r="N159" s="1112">
        <v>252.822</v>
      </c>
      <c r="O159" s="1112">
        <v>252.49299999999999</v>
      </c>
      <c r="P159" s="1100"/>
      <c r="Q159" s="1100"/>
      <c r="V159" s="1114"/>
    </row>
    <row r="160" spans="3:23">
      <c r="C160" s="1111">
        <v>2019</v>
      </c>
      <c r="D160" s="1112">
        <v>252.441</v>
      </c>
      <c r="E160" s="1112">
        <v>252.96899999999999</v>
      </c>
      <c r="F160" s="1112">
        <v>254.14699999999999</v>
      </c>
      <c r="G160" s="1112">
        <v>255.32599999999999</v>
      </c>
      <c r="H160" s="1112">
        <v>255.37100000000001</v>
      </c>
      <c r="I160" s="1112">
        <v>255.423</v>
      </c>
      <c r="J160" s="1112">
        <v>255.92500000000001</v>
      </c>
      <c r="K160" s="1112">
        <v>256.11799999999999</v>
      </c>
      <c r="L160" s="1112">
        <v>256.53199999999998</v>
      </c>
      <c r="M160" s="1112">
        <v>257.387</v>
      </c>
      <c r="N160" s="1112">
        <v>257.98899999999998</v>
      </c>
      <c r="O160" s="1112">
        <v>258.20299999999997</v>
      </c>
      <c r="P160" s="1100"/>
      <c r="Q160" s="1100"/>
      <c r="V160" s="1114"/>
    </row>
    <row r="161" spans="2:22">
      <c r="C161" s="1111">
        <v>2020</v>
      </c>
      <c r="D161" s="1112">
        <v>258.68700000000001</v>
      </c>
      <c r="E161" s="1112">
        <v>258.82400000000001</v>
      </c>
      <c r="F161" s="1112">
        <v>257.98899999999998</v>
      </c>
      <c r="G161" s="1112">
        <v>256.19200000000001</v>
      </c>
      <c r="H161" s="1112">
        <v>255.94200000000001</v>
      </c>
      <c r="I161" s="1112">
        <v>257.28199999999998</v>
      </c>
      <c r="J161" s="1112">
        <v>258.60399999999998</v>
      </c>
      <c r="K161" s="1112">
        <v>259.51100000000002</v>
      </c>
      <c r="L161" s="1112">
        <v>260.149</v>
      </c>
      <c r="M161" s="1112">
        <v>260.46199999999999</v>
      </c>
      <c r="N161" s="1112">
        <v>260.92700000000002</v>
      </c>
      <c r="O161" s="1112">
        <v>261.56</v>
      </c>
      <c r="P161" s="1120"/>
      <c r="Q161" s="1100"/>
      <c r="S161" s="1119"/>
      <c r="V161" s="1114"/>
    </row>
    <row r="162" spans="2:22">
      <c r="C162" s="1111">
        <v>2021</v>
      </c>
      <c r="D162" s="1112">
        <v>262.23099999999999</v>
      </c>
      <c r="E162" s="1112">
        <v>263.161</v>
      </c>
      <c r="F162" s="1112">
        <v>264.79300000000001</v>
      </c>
      <c r="G162" s="1112">
        <v>266.83199999999999</v>
      </c>
      <c r="H162" s="1112">
        <v>268.55099999999999</v>
      </c>
      <c r="I162" s="1112">
        <v>270.98099999999999</v>
      </c>
      <c r="J162" s="1112">
        <v>272.26499999999999</v>
      </c>
      <c r="K162" s="1112">
        <v>273.012</v>
      </c>
      <c r="L162" s="1112">
        <v>274.13799999999998</v>
      </c>
      <c r="M162" s="1112"/>
      <c r="N162" s="1112"/>
      <c r="O162" s="1112"/>
      <c r="P162" s="1120"/>
      <c r="Q162" s="1100"/>
      <c r="S162" s="1119" t="s">
        <v>1265</v>
      </c>
      <c r="V162" s="1114"/>
    </row>
    <row r="163" spans="2:22">
      <c r="V163" s="1114"/>
    </row>
    <row r="164" spans="2:22">
      <c r="B164" s="1121"/>
      <c r="C164" s="1076" t="s">
        <v>0</v>
      </c>
      <c r="D164" s="1077" t="s">
        <v>409</v>
      </c>
      <c r="E164" s="1077" t="s">
        <v>410</v>
      </c>
      <c r="F164" s="1077" t="s">
        <v>411</v>
      </c>
      <c r="G164" s="1077" t="s">
        <v>412</v>
      </c>
      <c r="H164" s="1077" t="s">
        <v>413</v>
      </c>
      <c r="I164" s="1077" t="s">
        <v>374</v>
      </c>
      <c r="J164" s="1077" t="s">
        <v>414</v>
      </c>
      <c r="K164" s="1077" t="s">
        <v>415</v>
      </c>
      <c r="L164" s="1077" t="s">
        <v>416</v>
      </c>
      <c r="M164" s="1077" t="s">
        <v>417</v>
      </c>
      <c r="N164" s="1077" t="s">
        <v>418</v>
      </c>
      <c r="O164" s="1077" t="s">
        <v>419</v>
      </c>
      <c r="P164" s="1077" t="s">
        <v>429</v>
      </c>
      <c r="R164" s="1049"/>
      <c r="V164" s="1114"/>
    </row>
    <row r="165" spans="2:22">
      <c r="B165" s="1103" t="s">
        <v>431</v>
      </c>
      <c r="C165" s="1122">
        <v>1990</v>
      </c>
      <c r="D165" s="1123">
        <v>114.9</v>
      </c>
      <c r="E165" s="1123">
        <v>114.4</v>
      </c>
      <c r="F165" s="1123">
        <v>114.2</v>
      </c>
      <c r="G165" s="1123">
        <v>114.1</v>
      </c>
      <c r="H165" s="1123">
        <v>114.6</v>
      </c>
      <c r="I165" s="1123">
        <v>114.3</v>
      </c>
      <c r="J165" s="1123">
        <v>114.5</v>
      </c>
      <c r="K165" s="1123">
        <v>116.5</v>
      </c>
      <c r="L165" s="1123">
        <v>118.4</v>
      </c>
      <c r="M165" s="1123">
        <v>120.8</v>
      </c>
      <c r="N165" s="1123">
        <v>120.1</v>
      </c>
      <c r="O165" s="1123">
        <v>118.7</v>
      </c>
      <c r="P165" s="1124">
        <v>116.3</v>
      </c>
      <c r="Q165" s="1049"/>
      <c r="R165" s="1049"/>
      <c r="V165" s="1114"/>
    </row>
    <row r="166" spans="2:22">
      <c r="B166" s="1056" t="s">
        <v>432</v>
      </c>
      <c r="C166" s="1122">
        <v>1991</v>
      </c>
      <c r="D166" s="1123">
        <v>119</v>
      </c>
      <c r="E166" s="1123">
        <v>117.2</v>
      </c>
      <c r="F166" s="1123">
        <v>116.2</v>
      </c>
      <c r="G166" s="1123">
        <v>116</v>
      </c>
      <c r="H166" s="1123">
        <v>116.5</v>
      </c>
      <c r="I166" s="1123">
        <v>116.4</v>
      </c>
      <c r="J166" s="1123">
        <v>116.1</v>
      </c>
      <c r="K166" s="1123">
        <v>116.2</v>
      </c>
      <c r="L166" s="1123">
        <v>116.1</v>
      </c>
      <c r="M166" s="1123">
        <v>116.4</v>
      </c>
      <c r="N166" s="1123">
        <v>116.4</v>
      </c>
      <c r="O166" s="1123">
        <v>115.9</v>
      </c>
      <c r="P166" s="1124">
        <v>116.5</v>
      </c>
      <c r="Q166" s="1049"/>
      <c r="R166" s="1049"/>
      <c r="V166" s="1114"/>
    </row>
    <row r="167" spans="2:22">
      <c r="B167" s="1066" t="s">
        <v>433</v>
      </c>
      <c r="C167" s="1122">
        <v>1992</v>
      </c>
      <c r="D167" s="1123">
        <v>115.6</v>
      </c>
      <c r="E167" s="1123">
        <v>116</v>
      </c>
      <c r="F167" s="1123">
        <v>116.1</v>
      </c>
      <c r="G167" s="1123">
        <v>116.3</v>
      </c>
      <c r="H167" s="1123">
        <v>117.2</v>
      </c>
      <c r="I167" s="1123">
        <v>118</v>
      </c>
      <c r="J167" s="1123">
        <v>117.9</v>
      </c>
      <c r="K167" s="1123">
        <v>117.7</v>
      </c>
      <c r="L167" s="1123">
        <v>118</v>
      </c>
      <c r="M167" s="1123">
        <v>118.1</v>
      </c>
      <c r="N167" s="1123">
        <v>117.8</v>
      </c>
      <c r="O167" s="1123">
        <v>117.6</v>
      </c>
      <c r="P167" s="1124">
        <v>117.2</v>
      </c>
      <c r="Q167" s="1049"/>
      <c r="R167" s="1049"/>
      <c r="V167" s="1114"/>
    </row>
    <row r="168" spans="2:22">
      <c r="B168" s="1056" t="s">
        <v>434</v>
      </c>
      <c r="C168" s="1122">
        <v>1993</v>
      </c>
      <c r="D168" s="1123">
        <v>118</v>
      </c>
      <c r="E168" s="1123">
        <v>118.4</v>
      </c>
      <c r="F168" s="1123">
        <v>118.7</v>
      </c>
      <c r="G168" s="1123">
        <v>119.3</v>
      </c>
      <c r="H168" s="1123">
        <v>119.7</v>
      </c>
      <c r="I168" s="1123">
        <v>119.5</v>
      </c>
      <c r="J168" s="1123">
        <v>119.2</v>
      </c>
      <c r="K168" s="1123">
        <v>118.7</v>
      </c>
      <c r="L168" s="1123">
        <v>118.7</v>
      </c>
      <c r="M168" s="1123">
        <v>119.1</v>
      </c>
      <c r="N168" s="1123">
        <v>119</v>
      </c>
      <c r="O168" s="1123">
        <v>118.6</v>
      </c>
      <c r="P168" s="1124">
        <v>118.9</v>
      </c>
      <c r="Q168" s="1049"/>
      <c r="R168" s="1049"/>
      <c r="V168" s="1114"/>
    </row>
    <row r="169" spans="2:22">
      <c r="B169" s="1056" t="s">
        <v>435</v>
      </c>
      <c r="C169" s="1122">
        <v>1994</v>
      </c>
      <c r="D169" s="1123">
        <v>119.1</v>
      </c>
      <c r="E169" s="1123">
        <v>119.3</v>
      </c>
      <c r="F169" s="1123">
        <v>119.7</v>
      </c>
      <c r="G169" s="1123">
        <v>119.7</v>
      </c>
      <c r="H169" s="1123">
        <v>119.9</v>
      </c>
      <c r="I169" s="1123">
        <v>120.5</v>
      </c>
      <c r="J169" s="1123">
        <v>120.7</v>
      </c>
      <c r="K169" s="1123">
        <v>121.2</v>
      </c>
      <c r="L169" s="1123">
        <v>121</v>
      </c>
      <c r="M169" s="1123">
        <v>120.9</v>
      </c>
      <c r="N169" s="1123">
        <v>121.5</v>
      </c>
      <c r="O169" s="1123">
        <v>121.9</v>
      </c>
      <c r="P169" s="1124">
        <v>120.4</v>
      </c>
      <c r="Q169" s="1049"/>
      <c r="R169" s="1049"/>
      <c r="V169" s="1114"/>
    </row>
    <row r="170" spans="2:22">
      <c r="B170" s="1056"/>
      <c r="C170" s="1125">
        <v>1995</v>
      </c>
      <c r="D170" s="1126">
        <v>122.9</v>
      </c>
      <c r="E170" s="1126">
        <v>123.5</v>
      </c>
      <c r="F170" s="1126">
        <v>123.9</v>
      </c>
      <c r="G170" s="1126">
        <v>124.6</v>
      </c>
      <c r="H170" s="1126">
        <v>124.9</v>
      </c>
      <c r="I170" s="1126">
        <v>125.3</v>
      </c>
      <c r="J170" s="1127">
        <v>125.3</v>
      </c>
      <c r="K170" s="1127">
        <v>125.1</v>
      </c>
      <c r="L170" s="1127">
        <v>125.2</v>
      </c>
      <c r="M170" s="1127">
        <v>125.3</v>
      </c>
      <c r="N170" s="1127">
        <v>125.4</v>
      </c>
      <c r="O170" s="1127">
        <v>125.7</v>
      </c>
      <c r="P170" s="1124">
        <v>124.7</v>
      </c>
      <c r="Q170" s="1049"/>
      <c r="R170" s="1049"/>
      <c r="V170" s="1114"/>
    </row>
    <row r="171" spans="2:22">
      <c r="B171" s="1056"/>
      <c r="C171" s="1128">
        <v>1996</v>
      </c>
      <c r="D171" s="1127">
        <v>126.3</v>
      </c>
      <c r="E171" s="1127">
        <v>126.2</v>
      </c>
      <c r="F171" s="1127">
        <v>126.4</v>
      </c>
      <c r="G171" s="1127">
        <v>127.4</v>
      </c>
      <c r="H171" s="1127">
        <v>128.1</v>
      </c>
      <c r="I171" s="1127">
        <v>128</v>
      </c>
      <c r="J171" s="1127">
        <v>128</v>
      </c>
      <c r="K171" s="1127">
        <v>128.30000000000001</v>
      </c>
      <c r="L171" s="1127">
        <v>128.19999999999999</v>
      </c>
      <c r="M171" s="1127">
        <v>128</v>
      </c>
      <c r="N171" s="1127">
        <v>128.19999999999999</v>
      </c>
      <c r="O171" s="1127">
        <v>129.1</v>
      </c>
      <c r="P171" s="1124">
        <v>127.7</v>
      </c>
      <c r="Q171" s="1049"/>
      <c r="R171" s="1049"/>
      <c r="V171" s="1114"/>
    </row>
    <row r="172" spans="2:22">
      <c r="B172" s="1056"/>
      <c r="C172" s="1128">
        <v>1997</v>
      </c>
      <c r="D172" s="1127">
        <v>129.69999999999999</v>
      </c>
      <c r="E172" s="1127">
        <v>128.5</v>
      </c>
      <c r="F172" s="1127">
        <v>127.3</v>
      </c>
      <c r="G172" s="1127">
        <v>127</v>
      </c>
      <c r="H172" s="1127">
        <v>127.4</v>
      </c>
      <c r="I172" s="1127">
        <v>127.2</v>
      </c>
      <c r="J172" s="1127">
        <v>126.9</v>
      </c>
      <c r="K172" s="1127">
        <v>127.2</v>
      </c>
      <c r="L172" s="1127">
        <v>127.5</v>
      </c>
      <c r="M172" s="1127">
        <v>127.8</v>
      </c>
      <c r="N172" s="1127">
        <v>127.9</v>
      </c>
      <c r="O172" s="1127">
        <v>126.8</v>
      </c>
      <c r="P172" s="1124">
        <v>127.6</v>
      </c>
      <c r="Q172" s="1049"/>
      <c r="R172" s="1049"/>
      <c r="V172" s="1114"/>
    </row>
    <row r="173" spans="2:22">
      <c r="B173" s="1056"/>
      <c r="C173" s="1128">
        <v>1998</v>
      </c>
      <c r="D173" s="1127">
        <v>125.4</v>
      </c>
      <c r="E173" s="1127">
        <v>125</v>
      </c>
      <c r="F173" s="1127">
        <v>124.7</v>
      </c>
      <c r="G173" s="1127">
        <v>124.9</v>
      </c>
      <c r="H173" s="1127">
        <v>125.1</v>
      </c>
      <c r="I173" s="1127">
        <v>124.8</v>
      </c>
      <c r="J173" s="1127">
        <v>124.9</v>
      </c>
      <c r="K173" s="1127">
        <v>124.2</v>
      </c>
      <c r="L173" s="1127">
        <v>123.8</v>
      </c>
      <c r="M173" s="1127">
        <v>124</v>
      </c>
      <c r="N173" s="1127">
        <v>123.6</v>
      </c>
      <c r="O173" s="1127">
        <v>122.8</v>
      </c>
      <c r="P173" s="1124">
        <v>124.4</v>
      </c>
      <c r="Q173" s="1049"/>
      <c r="R173" s="1049"/>
      <c r="V173" s="1114"/>
    </row>
    <row r="174" spans="2:22">
      <c r="B174" s="1056"/>
      <c r="C174" s="1128">
        <v>1999</v>
      </c>
      <c r="D174" s="1127">
        <v>122.9</v>
      </c>
      <c r="E174" s="1127">
        <v>122.3</v>
      </c>
      <c r="F174" s="1127">
        <v>122.6</v>
      </c>
      <c r="G174" s="1127">
        <v>123.6</v>
      </c>
      <c r="H174" s="1127">
        <v>124.7</v>
      </c>
      <c r="I174" s="1127">
        <v>125.2</v>
      </c>
      <c r="J174" s="1127">
        <v>125.7</v>
      </c>
      <c r="K174" s="1127">
        <v>126.9</v>
      </c>
      <c r="L174" s="1127">
        <v>128</v>
      </c>
      <c r="M174" s="1127">
        <v>127.7</v>
      </c>
      <c r="N174" s="1127">
        <v>128.30000000000001</v>
      </c>
      <c r="O174" s="1127">
        <v>127.8</v>
      </c>
      <c r="P174" s="1124">
        <v>125.5</v>
      </c>
      <c r="Q174" s="1049"/>
      <c r="R174" s="1049"/>
      <c r="V174" s="1114"/>
    </row>
    <row r="175" spans="2:22">
      <c r="B175" s="1056"/>
      <c r="C175" s="1122">
        <v>2000</v>
      </c>
      <c r="D175" s="1123">
        <v>128.30000000000001</v>
      </c>
      <c r="E175" s="1123">
        <v>129.80000000000001</v>
      </c>
      <c r="F175" s="1123">
        <v>130.80000000000001</v>
      </c>
      <c r="G175" s="1123">
        <v>130.69999999999999</v>
      </c>
      <c r="H175" s="1123">
        <v>131.6</v>
      </c>
      <c r="I175" s="1123">
        <v>133.80000000000001</v>
      </c>
      <c r="J175" s="1123">
        <v>133.69999999999999</v>
      </c>
      <c r="K175" s="1123">
        <v>132.9</v>
      </c>
      <c r="L175" s="1123">
        <v>134.69999999999999</v>
      </c>
      <c r="M175" s="1123">
        <v>135.4</v>
      </c>
      <c r="N175" s="1123">
        <v>135</v>
      </c>
      <c r="O175" s="1123">
        <v>136.19999999999999</v>
      </c>
      <c r="P175" s="1124">
        <v>132.69999999999999</v>
      </c>
      <c r="Q175" s="1049"/>
      <c r="R175" s="1049"/>
      <c r="V175" s="1114"/>
    </row>
    <row r="176" spans="2:22">
      <c r="B176" s="1056"/>
      <c r="C176" s="1122">
        <v>2001</v>
      </c>
      <c r="D176" s="1123">
        <v>140</v>
      </c>
      <c r="E176" s="1123">
        <v>137.4</v>
      </c>
      <c r="F176" s="1123">
        <v>135.9</v>
      </c>
      <c r="G176" s="1123">
        <v>136.4</v>
      </c>
      <c r="H176" s="1123">
        <v>136.80000000000001</v>
      </c>
      <c r="I176" s="1123">
        <v>135.5</v>
      </c>
      <c r="J176" s="1123">
        <v>133.4</v>
      </c>
      <c r="K176" s="1123">
        <v>133.4</v>
      </c>
      <c r="L176" s="1123">
        <v>133.30000000000001</v>
      </c>
      <c r="M176" s="1123">
        <v>130.30000000000001</v>
      </c>
      <c r="N176" s="1123">
        <v>129.80000000000001</v>
      </c>
      <c r="O176" s="1123">
        <v>128.1</v>
      </c>
      <c r="P176" s="1124">
        <v>134.19999999999999</v>
      </c>
      <c r="Q176" s="1049"/>
      <c r="R176" s="1049"/>
      <c r="V176" s="1114"/>
    </row>
    <row r="177" spans="2:26">
      <c r="B177" s="1056"/>
      <c r="C177" s="1122">
        <v>2002</v>
      </c>
      <c r="D177" s="1123">
        <v>128.5</v>
      </c>
      <c r="E177" s="1123">
        <v>128.4</v>
      </c>
      <c r="F177" s="1123">
        <v>129.80000000000001</v>
      </c>
      <c r="G177" s="1123">
        <v>130.80000000000001</v>
      </c>
      <c r="H177" s="1123">
        <v>130.80000000000001</v>
      </c>
      <c r="I177" s="1123">
        <v>130.9</v>
      </c>
      <c r="J177" s="1123">
        <v>131.19999999999999</v>
      </c>
      <c r="K177" s="1123">
        <v>131.5</v>
      </c>
      <c r="L177" s="1123">
        <v>132.30000000000001</v>
      </c>
      <c r="M177" s="1123">
        <v>133.19999999999999</v>
      </c>
      <c r="N177" s="1123">
        <v>133.1</v>
      </c>
      <c r="O177" s="1123">
        <v>132.9</v>
      </c>
      <c r="P177" s="1124">
        <v>131.1</v>
      </c>
      <c r="Q177" s="1049"/>
      <c r="R177" s="1049"/>
      <c r="V177" s="1114"/>
    </row>
    <row r="178" spans="2:26">
      <c r="B178" s="1056"/>
      <c r="C178" s="1122">
        <v>2003</v>
      </c>
      <c r="D178" s="1123">
        <v>135.30000000000001</v>
      </c>
      <c r="E178" s="1123">
        <v>137.6</v>
      </c>
      <c r="F178" s="1123">
        <v>141.19999999999999</v>
      </c>
      <c r="G178" s="1123">
        <v>136.80000000000001</v>
      </c>
      <c r="H178" s="1123">
        <v>136.69999999999999</v>
      </c>
      <c r="I178" s="1123">
        <v>138</v>
      </c>
      <c r="J178" s="1123">
        <v>137.69999999999999</v>
      </c>
      <c r="K178" s="1123">
        <v>138</v>
      </c>
      <c r="L178" s="1123">
        <v>138.5</v>
      </c>
      <c r="M178" s="1123">
        <v>139.30000000000001</v>
      </c>
      <c r="N178" s="1123">
        <v>138.9</v>
      </c>
      <c r="O178" s="1123">
        <v>139.5</v>
      </c>
      <c r="P178" s="1124">
        <v>138.1</v>
      </c>
      <c r="R178" s="1049"/>
      <c r="V178" s="1114"/>
    </row>
    <row r="179" spans="2:26">
      <c r="B179" s="1056"/>
      <c r="C179" s="1122">
        <v>2004</v>
      </c>
      <c r="D179" s="1123">
        <v>141.4</v>
      </c>
      <c r="E179" s="1123">
        <v>142.1</v>
      </c>
      <c r="F179" s="1123">
        <v>143.1</v>
      </c>
      <c r="G179" s="1123">
        <v>144.80000000000001</v>
      </c>
      <c r="H179" s="1123">
        <v>146.80000000000001</v>
      </c>
      <c r="I179" s="1123">
        <v>147.19999999999999</v>
      </c>
      <c r="J179" s="1123">
        <v>147.4</v>
      </c>
      <c r="K179" s="1123">
        <v>148</v>
      </c>
      <c r="L179" s="1123">
        <v>147.69999999999999</v>
      </c>
      <c r="M179" s="1123">
        <v>150</v>
      </c>
      <c r="N179" s="1123">
        <v>151.4</v>
      </c>
      <c r="O179" s="1123">
        <v>150.19999999999999</v>
      </c>
      <c r="P179" s="1124">
        <v>146.69999999999999</v>
      </c>
      <c r="R179" s="1049"/>
      <c r="V179" s="1114"/>
    </row>
    <row r="180" spans="2:26">
      <c r="B180" s="1056"/>
      <c r="C180" s="1125">
        <v>2005</v>
      </c>
      <c r="D180" s="1126">
        <v>150.9</v>
      </c>
      <c r="E180" s="1126">
        <v>151.6</v>
      </c>
      <c r="F180" s="1126">
        <v>153.69999999999999</v>
      </c>
      <c r="G180" s="1126">
        <v>155</v>
      </c>
      <c r="H180" s="1126">
        <v>154.30000000000001</v>
      </c>
      <c r="I180" s="1126">
        <v>154.30000000000001</v>
      </c>
      <c r="J180" s="1127">
        <v>156.30000000000001</v>
      </c>
      <c r="K180" s="1127">
        <v>157.6</v>
      </c>
      <c r="L180" s="1127">
        <v>162.19999999999999</v>
      </c>
      <c r="M180" s="1127">
        <v>166.2</v>
      </c>
      <c r="N180" s="1127">
        <v>163.69999999999999</v>
      </c>
      <c r="O180" s="1127">
        <v>163</v>
      </c>
      <c r="P180" s="1124">
        <v>157.4</v>
      </c>
      <c r="R180" s="1049"/>
      <c r="V180" s="1114"/>
    </row>
    <row r="181" spans="2:26">
      <c r="B181" s="1056"/>
      <c r="C181" s="1128">
        <v>2006</v>
      </c>
      <c r="D181" s="1127">
        <v>164.3</v>
      </c>
      <c r="E181" s="1127">
        <v>161.80000000000001</v>
      </c>
      <c r="F181" s="1127">
        <v>162.19999999999999</v>
      </c>
      <c r="G181" s="1127">
        <v>164.3</v>
      </c>
      <c r="H181" s="1127">
        <v>165.8</v>
      </c>
      <c r="I181" s="1127">
        <v>166.1</v>
      </c>
      <c r="J181" s="1127">
        <v>166.8</v>
      </c>
      <c r="K181" s="1127">
        <v>167.9</v>
      </c>
      <c r="L181" s="1127">
        <v>165.4</v>
      </c>
      <c r="M181" s="1127">
        <v>162.19999999999999</v>
      </c>
      <c r="N181" s="1127">
        <v>164.6</v>
      </c>
      <c r="O181" s="1127">
        <v>165.6</v>
      </c>
      <c r="P181" s="1124">
        <v>164.7</v>
      </c>
      <c r="Q181" s="1066"/>
      <c r="R181" s="1049"/>
      <c r="V181" s="1114"/>
    </row>
    <row r="182" spans="2:26">
      <c r="B182" s="1056"/>
      <c r="C182" s="1128">
        <v>2007</v>
      </c>
      <c r="D182" s="1127">
        <v>164</v>
      </c>
      <c r="E182" s="1127">
        <v>166.8</v>
      </c>
      <c r="F182" s="1127">
        <v>169.3</v>
      </c>
      <c r="G182" s="1127">
        <v>171.4</v>
      </c>
      <c r="H182" s="1127">
        <v>173.3</v>
      </c>
      <c r="I182" s="1127">
        <v>173.8</v>
      </c>
      <c r="J182" s="1127">
        <v>175.1</v>
      </c>
      <c r="K182" s="1127">
        <v>172.4</v>
      </c>
      <c r="L182" s="1127">
        <v>173.5</v>
      </c>
      <c r="M182" s="1127">
        <v>174.7</v>
      </c>
      <c r="N182" s="1127">
        <v>179</v>
      </c>
      <c r="O182" s="1127">
        <v>178.6</v>
      </c>
      <c r="P182" s="1124">
        <v>172.6</v>
      </c>
      <c r="R182" s="1049"/>
    </row>
    <row r="183" spans="2:26">
      <c r="B183" s="1056"/>
      <c r="C183" s="1128">
        <v>2008</v>
      </c>
      <c r="D183" s="1127">
        <v>181</v>
      </c>
      <c r="E183" s="1127">
        <v>182.7</v>
      </c>
      <c r="F183" s="1127">
        <v>187.9</v>
      </c>
      <c r="G183" s="1127">
        <v>190.9</v>
      </c>
      <c r="H183" s="1127">
        <v>196.6</v>
      </c>
      <c r="I183" s="1127">
        <v>200.5</v>
      </c>
      <c r="J183" s="1127">
        <v>205.5</v>
      </c>
      <c r="K183" s="1127">
        <v>199</v>
      </c>
      <c r="L183" s="1127">
        <v>196.9</v>
      </c>
      <c r="M183" s="1127">
        <v>186.4</v>
      </c>
      <c r="N183" s="1127">
        <v>176.8</v>
      </c>
      <c r="O183" s="1127">
        <v>170.9</v>
      </c>
      <c r="P183" s="1124">
        <v>189.6</v>
      </c>
      <c r="R183" s="1049"/>
    </row>
    <row r="184" spans="2:26">
      <c r="B184" s="1056"/>
      <c r="C184" s="1128">
        <v>2009</v>
      </c>
      <c r="D184" s="1127">
        <v>171.2</v>
      </c>
      <c r="E184" s="1127">
        <v>169.3</v>
      </c>
      <c r="F184" s="1127">
        <v>168.1</v>
      </c>
      <c r="G184" s="1127">
        <v>169.1</v>
      </c>
      <c r="H184" s="1127">
        <v>170.8</v>
      </c>
      <c r="I184" s="1127">
        <v>174.1</v>
      </c>
      <c r="J184" s="1127">
        <v>172.5</v>
      </c>
      <c r="K184" s="1127">
        <v>175</v>
      </c>
      <c r="L184" s="1127">
        <v>174.1</v>
      </c>
      <c r="M184" s="1127">
        <v>175.2</v>
      </c>
      <c r="N184" s="1127">
        <v>177.4</v>
      </c>
      <c r="O184" s="1127">
        <v>178.1</v>
      </c>
      <c r="P184" s="1124">
        <v>172.9</v>
      </c>
      <c r="R184" s="1049"/>
    </row>
    <row r="185" spans="2:26">
      <c r="B185" s="1056"/>
      <c r="C185" s="1122">
        <v>2010</v>
      </c>
      <c r="D185" s="1123">
        <v>181.9</v>
      </c>
      <c r="E185" s="1123">
        <v>181</v>
      </c>
      <c r="F185" s="1123">
        <v>183.3</v>
      </c>
      <c r="G185" s="1123">
        <v>184.4</v>
      </c>
      <c r="H185" s="1123">
        <v>184.8</v>
      </c>
      <c r="I185" s="1123">
        <v>183.5</v>
      </c>
      <c r="J185" s="1123">
        <v>184.1</v>
      </c>
      <c r="K185" s="1123">
        <v>184.9</v>
      </c>
      <c r="L185" s="1123">
        <v>184.9</v>
      </c>
      <c r="M185" s="1123">
        <v>186.6</v>
      </c>
      <c r="N185" s="1123">
        <v>187.7</v>
      </c>
      <c r="O185" s="1123">
        <v>189.7</v>
      </c>
      <c r="P185" s="1124">
        <v>184.7</v>
      </c>
      <c r="R185" s="1049"/>
    </row>
    <row r="186" spans="2:26" s="1054" customFormat="1">
      <c r="B186" s="1056"/>
      <c r="C186" s="1122">
        <v>2011</v>
      </c>
      <c r="D186" s="1123">
        <v>192.7</v>
      </c>
      <c r="E186" s="1123">
        <v>195.8</v>
      </c>
      <c r="F186" s="1123">
        <v>199.2</v>
      </c>
      <c r="G186" s="1123">
        <v>203.1</v>
      </c>
      <c r="H186" s="1123">
        <v>204.1</v>
      </c>
      <c r="I186" s="1123">
        <v>203.9</v>
      </c>
      <c r="J186" s="1123">
        <v>204.6</v>
      </c>
      <c r="K186" s="1123">
        <v>203.2</v>
      </c>
      <c r="L186" s="1123">
        <v>203.7</v>
      </c>
      <c r="M186" s="1123">
        <v>201.1</v>
      </c>
      <c r="N186" s="1123">
        <v>201.4</v>
      </c>
      <c r="O186" s="1123">
        <v>199.8</v>
      </c>
      <c r="P186" s="1124">
        <v>201</v>
      </c>
      <c r="Q186" s="1056"/>
      <c r="R186" s="1049"/>
      <c r="S186" s="1056"/>
      <c r="T186" s="1056"/>
      <c r="U186" s="1056"/>
      <c r="V186" s="1056"/>
      <c r="W186" s="1056"/>
      <c r="X186" s="1056"/>
      <c r="Y186" s="1066"/>
      <c r="Z186" s="1135"/>
    </row>
    <row r="187" spans="2:26" s="1054" customFormat="1">
      <c r="B187" s="1056"/>
      <c r="C187" s="1122">
        <v>2012</v>
      </c>
      <c r="D187" s="1123">
        <v>200.7</v>
      </c>
      <c r="E187" s="1123">
        <v>201.6</v>
      </c>
      <c r="F187" s="1123">
        <v>204.2</v>
      </c>
      <c r="G187" s="1123">
        <v>203.7</v>
      </c>
      <c r="H187" s="1123">
        <v>201.9</v>
      </c>
      <c r="I187" s="1123">
        <v>199.8</v>
      </c>
      <c r="J187" s="1123">
        <v>200.1</v>
      </c>
      <c r="K187" s="1123">
        <v>202.7</v>
      </c>
      <c r="L187" s="1123">
        <v>204.4</v>
      </c>
      <c r="M187" s="1123">
        <v>203.5</v>
      </c>
      <c r="N187" s="1123">
        <v>201.8</v>
      </c>
      <c r="O187" s="1123">
        <v>201.5</v>
      </c>
      <c r="P187" s="1124">
        <v>202.2</v>
      </c>
      <c r="Q187" s="1056"/>
      <c r="R187" s="1049"/>
      <c r="S187" s="1056"/>
      <c r="T187" s="1056"/>
      <c r="U187" s="1056"/>
      <c r="V187" s="1056"/>
      <c r="W187" s="1056"/>
      <c r="X187" s="1056"/>
      <c r="Y187" s="1066"/>
      <c r="Z187" s="1135"/>
    </row>
    <row r="188" spans="2:26" s="1054" customFormat="1">
      <c r="B188" s="1060"/>
      <c r="C188" s="1122">
        <v>2013</v>
      </c>
      <c r="D188" s="1123">
        <v>202.5</v>
      </c>
      <c r="E188" s="1123">
        <v>204.3</v>
      </c>
      <c r="F188" s="1123">
        <v>204</v>
      </c>
      <c r="G188" s="1123">
        <v>203.5</v>
      </c>
      <c r="H188" s="1123">
        <v>204.1</v>
      </c>
      <c r="I188" s="1123">
        <v>204.3</v>
      </c>
      <c r="J188" s="1123">
        <v>204.4</v>
      </c>
      <c r="K188" s="1123">
        <v>204.2</v>
      </c>
      <c r="L188" s="1123">
        <v>203.9</v>
      </c>
      <c r="M188" s="1123">
        <v>202.5</v>
      </c>
      <c r="N188" s="1123">
        <v>201.2</v>
      </c>
      <c r="O188" s="1123">
        <v>202</v>
      </c>
      <c r="P188" s="1124">
        <v>203.4</v>
      </c>
      <c r="Q188" s="1056"/>
      <c r="R188" s="1049"/>
      <c r="S188" s="1056"/>
      <c r="T188" s="1056"/>
      <c r="U188" s="1056"/>
      <c r="V188" s="1056"/>
      <c r="W188" s="1056"/>
      <c r="X188" s="1056"/>
      <c r="Y188" s="1066"/>
      <c r="Z188" s="1135"/>
    </row>
    <row r="189" spans="2:26" s="1054" customFormat="1">
      <c r="B189" s="1097"/>
      <c r="C189" s="1122">
        <v>2014</v>
      </c>
      <c r="D189" s="1123">
        <v>203.8</v>
      </c>
      <c r="E189" s="1123">
        <v>205.7</v>
      </c>
      <c r="F189" s="1123">
        <v>207</v>
      </c>
      <c r="G189" s="1123">
        <v>208.3</v>
      </c>
      <c r="H189" s="1123">
        <v>208</v>
      </c>
      <c r="I189" s="1123">
        <v>208.3</v>
      </c>
      <c r="J189" s="1123">
        <v>208</v>
      </c>
      <c r="K189" s="1123">
        <v>207</v>
      </c>
      <c r="L189" s="1123">
        <v>206.4</v>
      </c>
      <c r="M189" s="1123">
        <v>203.4</v>
      </c>
      <c r="N189" s="1123">
        <v>200.9</v>
      </c>
      <c r="O189" s="1123">
        <v>197</v>
      </c>
      <c r="P189" s="1124">
        <v>205.3</v>
      </c>
      <c r="Q189" s="1056"/>
      <c r="R189" s="1049"/>
      <c r="S189" s="1056"/>
      <c r="T189" s="1056"/>
      <c r="U189" s="1056"/>
      <c r="V189" s="1056"/>
      <c r="W189" s="1056"/>
      <c r="X189" s="1056"/>
      <c r="Y189" s="1066"/>
      <c r="Z189" s="1135"/>
    </row>
    <row r="190" spans="2:26" s="1054" customFormat="1">
      <c r="B190" s="1097"/>
      <c r="C190" s="1128">
        <v>2015</v>
      </c>
      <c r="D190" s="1127">
        <v>192</v>
      </c>
      <c r="E190" s="1127">
        <v>191.1</v>
      </c>
      <c r="F190" s="1127">
        <v>191.5</v>
      </c>
      <c r="G190" s="1127">
        <v>190.9</v>
      </c>
      <c r="H190" s="1127">
        <v>193.4</v>
      </c>
      <c r="I190" s="1127">
        <v>194.8</v>
      </c>
      <c r="J190" s="1127">
        <v>193.9</v>
      </c>
      <c r="K190" s="1127">
        <v>191.9</v>
      </c>
      <c r="L190" s="1127">
        <v>189.1</v>
      </c>
      <c r="M190" s="1127">
        <v>187.5</v>
      </c>
      <c r="N190" s="1127">
        <v>185.7</v>
      </c>
      <c r="O190" s="1127">
        <v>183.5</v>
      </c>
      <c r="P190" s="1124">
        <v>190.4</v>
      </c>
      <c r="Q190" s="1056"/>
      <c r="R190" s="1049"/>
      <c r="S190" s="1056"/>
      <c r="T190" s="1056"/>
      <c r="U190" s="1056"/>
      <c r="V190" s="1056"/>
      <c r="W190" s="1056"/>
      <c r="X190" s="1056"/>
      <c r="Y190" s="1066"/>
      <c r="Z190" s="1135"/>
    </row>
    <row r="191" spans="2:26" s="1054" customFormat="1">
      <c r="B191" s="1097"/>
      <c r="C191" s="1128">
        <v>2016</v>
      </c>
      <c r="D191" s="1127">
        <v>182.6</v>
      </c>
      <c r="E191" s="1127">
        <v>181.3</v>
      </c>
      <c r="F191" s="1127">
        <v>182.1</v>
      </c>
      <c r="G191" s="1127">
        <v>183.2</v>
      </c>
      <c r="H191" s="1127">
        <v>185.3</v>
      </c>
      <c r="I191" s="1127">
        <v>187.6</v>
      </c>
      <c r="J191" s="1127">
        <v>187.7</v>
      </c>
      <c r="K191" s="1127">
        <v>186.6</v>
      </c>
      <c r="L191" s="1127">
        <v>186.9</v>
      </c>
      <c r="M191" s="1127">
        <v>186.7</v>
      </c>
      <c r="N191" s="1127">
        <v>186.3</v>
      </c>
      <c r="O191" s="1127">
        <v>188.2</v>
      </c>
      <c r="P191" s="1124">
        <v>185.4</v>
      </c>
      <c r="Q191" s="1056"/>
      <c r="R191" s="1049"/>
      <c r="S191" s="1056"/>
      <c r="T191" s="1056"/>
      <c r="U191" s="1056"/>
      <c r="V191" s="1056"/>
      <c r="W191" s="1056"/>
      <c r="X191" s="1056"/>
      <c r="Y191" s="1066"/>
      <c r="Z191" s="1135"/>
    </row>
    <row r="192" spans="2:26" s="1054" customFormat="1">
      <c r="B192" s="1097"/>
      <c r="C192" s="1128">
        <v>2017</v>
      </c>
      <c r="D192" s="1127">
        <v>190.7</v>
      </c>
      <c r="E192" s="1127">
        <v>191.6</v>
      </c>
      <c r="F192" s="1127">
        <v>191.5</v>
      </c>
      <c r="G192" s="1129">
        <v>193</v>
      </c>
      <c r="H192" s="1129">
        <v>192.8</v>
      </c>
      <c r="I192" s="1129">
        <v>193.6</v>
      </c>
      <c r="J192" s="1129">
        <v>193.5</v>
      </c>
      <c r="K192" s="1127">
        <v>193.8</v>
      </c>
      <c r="L192" s="1127">
        <v>194.8</v>
      </c>
      <c r="M192" s="1127">
        <v>194.9</v>
      </c>
      <c r="N192" s="1127">
        <v>195.9</v>
      </c>
      <c r="O192" s="1127">
        <v>196.3</v>
      </c>
      <c r="P192" s="1124">
        <v>193.5</v>
      </c>
      <c r="Q192" s="1056"/>
      <c r="R192" s="1049"/>
      <c r="S192" s="1056"/>
      <c r="T192" s="1056"/>
      <c r="U192" s="1056"/>
      <c r="V192" s="1056"/>
      <c r="W192" s="1056"/>
      <c r="X192" s="1056"/>
      <c r="Y192" s="1066"/>
      <c r="Z192" s="1135"/>
    </row>
    <row r="193" spans="2:26" s="1054" customFormat="1">
      <c r="B193" s="1097"/>
      <c r="C193" s="1128">
        <v>2018</v>
      </c>
      <c r="D193" s="1127">
        <v>197.9</v>
      </c>
      <c r="E193" s="1127">
        <v>199.3</v>
      </c>
      <c r="F193" s="1127">
        <v>199.3</v>
      </c>
      <c r="G193" s="1127">
        <v>200.3</v>
      </c>
      <c r="H193" s="1127">
        <v>203.2</v>
      </c>
      <c r="I193" s="1127">
        <v>204.2</v>
      </c>
      <c r="J193" s="1127">
        <v>204.3</v>
      </c>
      <c r="K193" s="1127">
        <v>203.4</v>
      </c>
      <c r="L193" s="1127">
        <v>203.6</v>
      </c>
      <c r="M193" s="1127">
        <v>204.6</v>
      </c>
      <c r="N193" s="1127">
        <v>202.3</v>
      </c>
      <c r="O193" s="1127">
        <v>201</v>
      </c>
      <c r="P193" s="1124">
        <v>202</v>
      </c>
      <c r="Q193" s="1130"/>
      <c r="R193" s="1049"/>
      <c r="S193" s="1056"/>
      <c r="T193" s="1056"/>
      <c r="U193" s="1056"/>
      <c r="V193" s="1056"/>
      <c r="W193" s="1056"/>
      <c r="X193" s="1056"/>
      <c r="Y193" s="1066"/>
      <c r="Z193" s="1135"/>
    </row>
    <row r="194" spans="2:26">
      <c r="C194" s="1128">
        <v>2019</v>
      </c>
      <c r="D194" s="1127">
        <v>199.1</v>
      </c>
      <c r="E194" s="1127">
        <v>199.2</v>
      </c>
      <c r="F194" s="1127">
        <v>200.8</v>
      </c>
      <c r="G194" s="1127">
        <v>202.1</v>
      </c>
      <c r="H194" s="1127">
        <v>201.7</v>
      </c>
      <c r="I194" s="1127">
        <v>200.3</v>
      </c>
      <c r="J194" s="1127">
        <v>200.7</v>
      </c>
      <c r="K194" s="1127">
        <v>199.2</v>
      </c>
      <c r="L194" s="1127">
        <v>198.4</v>
      </c>
      <c r="M194" s="1127">
        <v>198.6</v>
      </c>
      <c r="N194" s="1127">
        <v>199</v>
      </c>
      <c r="O194" s="1127">
        <v>199</v>
      </c>
      <c r="P194" s="1124">
        <v>199.8</v>
      </c>
      <c r="Q194" s="1130"/>
      <c r="R194" s="1119"/>
    </row>
    <row r="195" spans="2:26">
      <c r="C195" s="1128">
        <v>2020</v>
      </c>
      <c r="D195" s="1127">
        <v>199.3</v>
      </c>
      <c r="E195" s="1127">
        <v>196.7</v>
      </c>
      <c r="F195" s="1127">
        <v>193.1</v>
      </c>
      <c r="G195" s="1127">
        <v>185.5</v>
      </c>
      <c r="H195" s="1127">
        <v>188.6</v>
      </c>
      <c r="I195" s="1127">
        <v>191.2</v>
      </c>
      <c r="J195" s="1127">
        <v>193</v>
      </c>
      <c r="K195" s="1127">
        <v>194.3</v>
      </c>
      <c r="L195" s="1127">
        <v>195.5</v>
      </c>
      <c r="M195" s="1127">
        <v>196.5</v>
      </c>
      <c r="N195" s="1127">
        <v>198.3</v>
      </c>
      <c r="O195" s="1127">
        <v>200.5</v>
      </c>
      <c r="P195" s="1124">
        <v>194.4</v>
      </c>
      <c r="Q195" s="1130"/>
      <c r="R195" s="1119"/>
    </row>
    <row r="196" spans="2:26">
      <c r="C196" s="1128">
        <v>2021</v>
      </c>
      <c r="D196" s="1127">
        <v>204.8</v>
      </c>
      <c r="E196" s="1127">
        <v>210.6</v>
      </c>
      <c r="F196" s="1127">
        <v>215</v>
      </c>
      <c r="G196" s="1127">
        <v>217.9</v>
      </c>
      <c r="H196" s="1127">
        <v>224.9</v>
      </c>
      <c r="I196" s="1127">
        <v>228.5</v>
      </c>
      <c r="J196" s="1127">
        <v>231.2</v>
      </c>
      <c r="K196" s="1127">
        <v>232.9</v>
      </c>
      <c r="L196" s="1127">
        <v>235.4</v>
      </c>
      <c r="M196" s="1127"/>
      <c r="N196" s="1127"/>
      <c r="O196" s="1127"/>
      <c r="P196" s="1124"/>
      <c r="Q196" s="1130"/>
      <c r="R196" s="1119" t="s">
        <v>1265</v>
      </c>
    </row>
    <row r="197" spans="2:26" s="1054" customFormat="1">
      <c r="B197" s="1097"/>
      <c r="C197" s="1128"/>
      <c r="D197" s="1127"/>
      <c r="E197" s="1127"/>
      <c r="F197" s="1127"/>
      <c r="G197" s="1127"/>
      <c r="H197" s="1127"/>
      <c r="I197" s="1127"/>
      <c r="J197" s="1131"/>
      <c r="K197" s="1131"/>
      <c r="L197" s="1131"/>
      <c r="M197" s="1131"/>
      <c r="N197" s="1127"/>
      <c r="O197" s="1131"/>
      <c r="P197" s="1132"/>
      <c r="Q197" s="1056"/>
      <c r="R197" s="1133"/>
      <c r="S197" s="1056"/>
      <c r="T197" s="1056"/>
      <c r="U197" s="1056"/>
      <c r="V197" s="1056"/>
      <c r="W197" s="1056"/>
      <c r="X197" s="1056"/>
      <c r="Y197" s="1066"/>
      <c r="Z197" s="1135"/>
    </row>
    <row r="198" spans="2:26">
      <c r="B198" s="1134" t="s">
        <v>436</v>
      </c>
      <c r="C198" s="1076"/>
      <c r="D198" s="1054"/>
      <c r="E198" s="1054"/>
      <c r="F198" s="1054"/>
      <c r="G198" s="1054"/>
      <c r="H198" s="1054"/>
      <c r="I198" s="1054"/>
      <c r="J198" s="1054"/>
      <c r="K198" s="1054"/>
      <c r="L198" s="1054"/>
      <c r="M198" s="1054"/>
      <c r="N198" s="1054"/>
      <c r="O198" s="1054"/>
      <c r="P198" s="1054"/>
      <c r="R198" s="1054"/>
      <c r="S198" s="1054"/>
      <c r="T198" s="1054"/>
      <c r="U198" s="1054"/>
      <c r="V198" s="1054"/>
      <c r="W198" s="1054"/>
      <c r="X198" s="1054"/>
      <c r="Y198" s="1055"/>
    </row>
    <row r="199" spans="2:26">
      <c r="B199" s="1053" t="s">
        <v>241</v>
      </c>
      <c r="C199" s="1054"/>
      <c r="D199" s="1054"/>
      <c r="E199" s="1054"/>
      <c r="F199" s="1054"/>
      <c r="G199" s="1054"/>
      <c r="H199" s="1054"/>
      <c r="I199" s="1054"/>
      <c r="J199" s="1054"/>
      <c r="K199" s="1054"/>
      <c r="L199" s="1054"/>
      <c r="M199" s="1054"/>
      <c r="N199" s="1054"/>
      <c r="O199" s="1054"/>
      <c r="P199" s="1054"/>
      <c r="R199" s="1054"/>
      <c r="S199" s="1054"/>
      <c r="T199" s="1054"/>
      <c r="U199" s="1054"/>
      <c r="V199" s="1054"/>
      <c r="W199" s="1054"/>
      <c r="X199" s="1054"/>
      <c r="Y199" s="1055"/>
    </row>
    <row r="200" spans="2:26" s="1054" customFormat="1">
      <c r="B200" s="1053" t="s">
        <v>24</v>
      </c>
      <c r="Y200" s="1055"/>
      <c r="Z200" s="1135"/>
    </row>
    <row r="201" spans="2:26">
      <c r="B201" s="1053" t="s">
        <v>242</v>
      </c>
      <c r="C201" s="1054"/>
      <c r="D201" s="1054"/>
      <c r="E201" s="1054"/>
      <c r="F201" s="1054"/>
      <c r="G201" s="1054"/>
      <c r="H201" s="1054"/>
      <c r="I201" s="1054"/>
      <c r="J201" s="1054"/>
      <c r="K201" s="1054"/>
      <c r="L201" s="1054"/>
      <c r="M201" s="1054"/>
      <c r="N201" s="1054"/>
      <c r="O201" s="1054"/>
      <c r="P201" s="1054"/>
      <c r="Q201" s="1054"/>
      <c r="R201" s="1054"/>
      <c r="S201" s="1054"/>
      <c r="T201" s="1054"/>
      <c r="U201" s="1054"/>
      <c r="V201" s="1054"/>
      <c r="W201" s="1054"/>
      <c r="X201" s="1054"/>
      <c r="Y201" s="1055"/>
    </row>
    <row r="202" spans="2:26">
      <c r="B202" s="1053" t="s">
        <v>243</v>
      </c>
      <c r="C202" s="1054"/>
      <c r="D202" s="1054"/>
      <c r="E202" s="1054"/>
      <c r="F202" s="1054"/>
      <c r="G202" s="1054"/>
      <c r="H202" s="1054"/>
      <c r="I202" s="1054"/>
      <c r="J202" s="1054"/>
      <c r="K202" s="1054"/>
      <c r="L202" s="1054"/>
      <c r="M202" s="1054"/>
      <c r="N202" s="1054"/>
      <c r="O202" s="1054"/>
      <c r="P202" s="1054"/>
      <c r="Q202" s="1054"/>
      <c r="R202" s="1054"/>
      <c r="S202" s="1054"/>
      <c r="T202" s="1054"/>
      <c r="U202" s="1054"/>
      <c r="V202" s="1054"/>
      <c r="W202" s="1054"/>
      <c r="X202" s="1054"/>
      <c r="Y202" s="1055"/>
    </row>
    <row r="203" spans="2:26">
      <c r="B203" s="1053" t="s">
        <v>244</v>
      </c>
      <c r="C203" s="1054"/>
      <c r="D203" s="1054"/>
      <c r="E203" s="1054"/>
      <c r="F203" s="1054"/>
      <c r="G203" s="1054"/>
      <c r="H203" s="1054"/>
      <c r="I203" s="1054"/>
      <c r="J203" s="1054"/>
      <c r="K203" s="1054"/>
      <c r="L203" s="1054"/>
      <c r="M203" s="1054"/>
      <c r="N203" s="1054"/>
      <c r="O203" s="1054"/>
      <c r="P203" s="1054"/>
      <c r="Q203" s="1054"/>
      <c r="R203" s="1054"/>
      <c r="S203" s="1054"/>
      <c r="T203" s="1054"/>
      <c r="U203" s="1054"/>
      <c r="V203" s="1054"/>
      <c r="W203" s="1054"/>
      <c r="X203" s="1054"/>
      <c r="Y203" s="1055"/>
    </row>
    <row r="204" spans="2:26">
      <c r="B204" s="1110" t="s">
        <v>586</v>
      </c>
      <c r="C204" s="1076"/>
      <c r="D204" s="1054"/>
      <c r="E204" s="1054"/>
      <c r="F204" s="1054"/>
      <c r="G204" s="1054"/>
      <c r="H204" s="1054"/>
      <c r="I204" s="1054"/>
      <c r="J204" s="1054"/>
      <c r="K204" s="1054"/>
      <c r="L204" s="1054"/>
      <c r="M204" s="1054"/>
      <c r="N204" s="1054"/>
      <c r="O204" s="1054"/>
      <c r="P204" s="1054"/>
      <c r="Q204" s="1054"/>
      <c r="R204" s="1054"/>
      <c r="S204" s="1054"/>
      <c r="T204" s="1054"/>
      <c r="U204" s="1054"/>
      <c r="V204" s="1054"/>
      <c r="W204" s="1054"/>
      <c r="X204" s="1054"/>
      <c r="Y204" s="1055"/>
    </row>
    <row r="205" spans="2:26">
      <c r="B205" s="1110"/>
      <c r="C205" s="1076"/>
      <c r="D205" s="1054"/>
      <c r="E205" s="1054"/>
      <c r="F205" s="1054"/>
      <c r="G205" s="1054"/>
      <c r="H205" s="1054"/>
      <c r="I205" s="1054"/>
      <c r="J205" s="1054"/>
      <c r="K205" s="1054"/>
      <c r="L205" s="1054"/>
      <c r="M205" s="1054"/>
      <c r="N205" s="1054"/>
      <c r="O205" s="1054"/>
      <c r="P205" s="1054"/>
      <c r="Q205" s="1054"/>
      <c r="R205" s="1054"/>
      <c r="S205" s="1054"/>
      <c r="T205" s="1054"/>
      <c r="U205" s="1054"/>
      <c r="V205" s="1054"/>
      <c r="W205" s="1054"/>
      <c r="X205" s="1054"/>
      <c r="Y205" s="1055"/>
    </row>
    <row r="206" spans="2:26">
      <c r="B206" s="1136" t="s">
        <v>437</v>
      </c>
      <c r="C206" s="1076" t="s">
        <v>241</v>
      </c>
    </row>
    <row r="207" spans="2:26">
      <c r="B207" s="1136" t="s">
        <v>433</v>
      </c>
      <c r="C207" s="1076"/>
    </row>
    <row r="208" spans="2:26">
      <c r="B208" s="1136" t="s">
        <v>438</v>
      </c>
      <c r="C208" s="1076" t="s">
        <v>424</v>
      </c>
    </row>
    <row r="209" spans="2:25">
      <c r="B209" s="1137" t="s">
        <v>439</v>
      </c>
      <c r="C209" s="1138" t="s">
        <v>236</v>
      </c>
      <c r="D209" s="1139"/>
      <c r="E209" s="1139"/>
      <c r="F209" s="1139"/>
      <c r="G209" s="1139"/>
      <c r="H209" s="1139"/>
      <c r="I209" s="1139"/>
      <c r="J209" s="1139"/>
      <c r="K209" s="1139"/>
      <c r="L209" s="1139"/>
      <c r="M209" s="1139"/>
      <c r="N209" s="1139"/>
      <c r="O209" s="1139"/>
      <c r="R209" s="1054"/>
      <c r="S209" s="1054"/>
      <c r="T209" s="1054"/>
      <c r="U209" s="1054"/>
      <c r="V209" s="1054"/>
      <c r="W209" s="1054"/>
      <c r="X209" s="1054"/>
      <c r="Y209" s="1055"/>
    </row>
    <row r="210" spans="2:25">
      <c r="B210" s="1097" t="s">
        <v>440</v>
      </c>
      <c r="C210" s="1082" t="s">
        <v>426</v>
      </c>
    </row>
    <row r="211" spans="2:25">
      <c r="B211" s="1097" t="s">
        <v>441</v>
      </c>
      <c r="C211" s="1082" t="s">
        <v>1266</v>
      </c>
    </row>
    <row r="212" spans="2:25">
      <c r="B212" s="1140" t="s">
        <v>0</v>
      </c>
      <c r="C212" s="1077" t="s">
        <v>409</v>
      </c>
      <c r="D212" s="1077" t="s">
        <v>410</v>
      </c>
      <c r="E212" s="1077" t="s">
        <v>411</v>
      </c>
      <c r="F212" s="1077" t="s">
        <v>412</v>
      </c>
      <c r="G212" s="1077" t="s">
        <v>413</v>
      </c>
      <c r="H212" s="1077" t="s">
        <v>374</v>
      </c>
      <c r="I212" s="1077" t="s">
        <v>414</v>
      </c>
      <c r="J212" s="1077" t="s">
        <v>415</v>
      </c>
      <c r="K212" s="1077" t="s">
        <v>416</v>
      </c>
      <c r="L212" s="1077" t="s">
        <v>417</v>
      </c>
      <c r="M212" s="1077" t="s">
        <v>418</v>
      </c>
      <c r="N212" s="1077" t="s">
        <v>419</v>
      </c>
      <c r="O212" s="1141" t="s">
        <v>429</v>
      </c>
      <c r="R212" s="1054"/>
      <c r="S212" s="1054"/>
      <c r="T212" s="1054"/>
      <c r="U212" s="1054"/>
      <c r="V212" s="1054"/>
      <c r="W212" s="1054"/>
      <c r="X212" s="1054"/>
      <c r="Y212" s="1055"/>
    </row>
    <row r="213" spans="2:25">
      <c r="B213" s="1104">
        <v>1997</v>
      </c>
      <c r="C213" s="1109">
        <v>101.9</v>
      </c>
      <c r="D213" s="1109">
        <v>101.9</v>
      </c>
      <c r="E213" s="1109">
        <v>101.2</v>
      </c>
      <c r="F213" s="1109">
        <v>100.7</v>
      </c>
      <c r="G213" s="1109">
        <v>100.2</v>
      </c>
      <c r="H213" s="1109">
        <v>99.6</v>
      </c>
      <c r="I213" s="1109">
        <v>100.6</v>
      </c>
      <c r="J213" s="1109">
        <v>100</v>
      </c>
      <c r="K213" s="1109">
        <v>99.5</v>
      </c>
      <c r="L213" s="1109">
        <v>98.8</v>
      </c>
      <c r="M213" s="1109">
        <v>99.3</v>
      </c>
      <c r="N213" s="1109">
        <v>99</v>
      </c>
      <c r="O213" s="1120">
        <v>100.2</v>
      </c>
    </row>
    <row r="214" spans="2:25">
      <c r="B214" s="1104">
        <v>1998</v>
      </c>
      <c r="C214" s="1109">
        <v>98.8</v>
      </c>
      <c r="D214" s="1109">
        <v>99.1</v>
      </c>
      <c r="E214" s="1109">
        <v>98.7</v>
      </c>
      <c r="F214" s="1109">
        <v>97.8</v>
      </c>
      <c r="G214" s="1109">
        <v>98.1</v>
      </c>
      <c r="H214" s="1109">
        <v>98.5</v>
      </c>
      <c r="I214" s="1109">
        <v>99</v>
      </c>
      <c r="J214" s="1109">
        <v>99</v>
      </c>
      <c r="K214" s="1109">
        <v>99.1</v>
      </c>
      <c r="L214" s="1109">
        <v>99</v>
      </c>
      <c r="M214" s="1109">
        <v>98.8</v>
      </c>
      <c r="N214" s="1109">
        <v>98.6</v>
      </c>
      <c r="O214" s="1120">
        <v>98.7</v>
      </c>
    </row>
    <row r="215" spans="2:25">
      <c r="B215" s="1104">
        <v>1999</v>
      </c>
      <c r="C215" s="1109">
        <v>98.5</v>
      </c>
      <c r="D215" s="1109">
        <v>98.4</v>
      </c>
      <c r="E215" s="1109">
        <v>97.5</v>
      </c>
      <c r="F215" s="1109">
        <v>97.9</v>
      </c>
      <c r="G215" s="1109">
        <v>97.9</v>
      </c>
      <c r="H215" s="1109">
        <v>97.4</v>
      </c>
      <c r="I215" s="1109">
        <v>97.4</v>
      </c>
      <c r="J215" s="1109">
        <v>97</v>
      </c>
      <c r="K215" s="1109">
        <v>97.2</v>
      </c>
      <c r="L215" s="1109">
        <v>97.1</v>
      </c>
      <c r="M215" s="1109">
        <v>97.8</v>
      </c>
      <c r="N215" s="1109">
        <v>97.5</v>
      </c>
      <c r="O215" s="1120">
        <v>97.6</v>
      </c>
    </row>
    <row r="216" spans="2:25">
      <c r="B216" s="1104">
        <v>2000</v>
      </c>
      <c r="C216" s="1109">
        <v>97.1</v>
      </c>
      <c r="D216" s="1109">
        <v>96.9</v>
      </c>
      <c r="E216" s="1109">
        <v>97.3</v>
      </c>
      <c r="F216" s="1109">
        <v>96.7</v>
      </c>
      <c r="G216" s="1109">
        <v>97.2</v>
      </c>
      <c r="H216" s="1109">
        <v>97</v>
      </c>
      <c r="I216" s="1109">
        <v>97.4</v>
      </c>
      <c r="J216" s="1109">
        <v>97.9</v>
      </c>
      <c r="K216" s="1109">
        <v>97.8</v>
      </c>
      <c r="L216" s="1109">
        <v>98</v>
      </c>
      <c r="M216" s="1109">
        <v>98.6</v>
      </c>
      <c r="N216" s="1109">
        <v>98.5</v>
      </c>
      <c r="O216" s="1120">
        <v>97.5</v>
      </c>
    </row>
    <row r="217" spans="2:25">
      <c r="B217" s="1104">
        <v>2001</v>
      </c>
      <c r="C217" s="1109">
        <v>99.7</v>
      </c>
      <c r="D217" s="1109">
        <v>100</v>
      </c>
      <c r="E217" s="1109">
        <v>100.4</v>
      </c>
      <c r="F217" s="1109">
        <v>99.7</v>
      </c>
      <c r="G217" s="1109">
        <v>100.4</v>
      </c>
      <c r="H217" s="1109">
        <v>100.2</v>
      </c>
      <c r="I217" s="1109">
        <v>101.2</v>
      </c>
      <c r="J217" s="1109">
        <v>100.8</v>
      </c>
      <c r="K217" s="1109">
        <v>100.4</v>
      </c>
      <c r="L217" s="1109">
        <v>100.9</v>
      </c>
      <c r="M217" s="1109">
        <v>101.3</v>
      </c>
      <c r="N217" s="1109">
        <v>101.2</v>
      </c>
      <c r="O217" s="1120">
        <v>100.5</v>
      </c>
    </row>
    <row r="218" spans="2:25">
      <c r="B218" s="1104">
        <v>2002</v>
      </c>
      <c r="C218" s="1109">
        <v>101.6</v>
      </c>
      <c r="D218" s="1109">
        <v>101.4</v>
      </c>
      <c r="E218" s="1109">
        <v>101.7</v>
      </c>
      <c r="F218" s="1109">
        <v>102.3</v>
      </c>
      <c r="G218" s="1109">
        <v>102.1</v>
      </c>
      <c r="H218" s="1109">
        <v>101.9</v>
      </c>
      <c r="I218" s="1109">
        <v>102.2</v>
      </c>
      <c r="J218" s="1109">
        <v>102.4</v>
      </c>
      <c r="K218" s="1109">
        <v>101.8</v>
      </c>
      <c r="L218" s="1109">
        <v>101.4</v>
      </c>
      <c r="M218" s="1109">
        <v>101.5</v>
      </c>
      <c r="N218" s="1109">
        <v>101.3</v>
      </c>
      <c r="O218" s="1120">
        <v>101.8</v>
      </c>
    </row>
    <row r="219" spans="2:25">
      <c r="B219" s="1104">
        <v>2003</v>
      </c>
      <c r="C219" s="1109">
        <v>102.3</v>
      </c>
      <c r="D219" s="1109">
        <v>102.7</v>
      </c>
      <c r="E219" s="1109">
        <v>102.3</v>
      </c>
      <c r="F219" s="1109">
        <v>102</v>
      </c>
      <c r="G219" s="1109">
        <v>102</v>
      </c>
      <c r="H219" s="1109">
        <v>101.7</v>
      </c>
      <c r="I219" s="1109">
        <v>101.5</v>
      </c>
      <c r="J219" s="1109">
        <v>101.7</v>
      </c>
      <c r="K219" s="1109">
        <v>101.1</v>
      </c>
      <c r="L219" s="1109">
        <v>101.4</v>
      </c>
      <c r="M219" s="1109">
        <v>101.1</v>
      </c>
      <c r="N219" s="1109">
        <v>100.8</v>
      </c>
      <c r="O219" s="1120">
        <v>101.7</v>
      </c>
    </row>
    <row r="220" spans="2:25">
      <c r="B220" s="1104">
        <v>2004</v>
      </c>
      <c r="C220" s="1109">
        <v>101.1</v>
      </c>
      <c r="D220" s="1109">
        <v>101</v>
      </c>
      <c r="E220" s="1109">
        <v>100.6</v>
      </c>
      <c r="F220" s="1109">
        <v>100.6</v>
      </c>
      <c r="G220" s="1109">
        <v>100.5</v>
      </c>
      <c r="H220" s="1109">
        <v>101</v>
      </c>
      <c r="I220" s="1109">
        <v>102</v>
      </c>
      <c r="J220" s="1109">
        <v>102.4</v>
      </c>
      <c r="K220" s="1109">
        <v>102.8</v>
      </c>
      <c r="L220" s="1109">
        <v>102.8</v>
      </c>
      <c r="M220" s="1109">
        <v>103.2</v>
      </c>
      <c r="N220" s="1109">
        <v>103.2</v>
      </c>
      <c r="O220" s="1120">
        <v>101.8</v>
      </c>
    </row>
    <row r="221" spans="2:25">
      <c r="B221" s="1104">
        <v>2005</v>
      </c>
      <c r="C221" s="1109">
        <v>103.8</v>
      </c>
      <c r="D221" s="1109">
        <v>104</v>
      </c>
      <c r="E221" s="1109">
        <v>103.5</v>
      </c>
      <c r="F221" s="1109">
        <v>103.5</v>
      </c>
      <c r="G221" s="1109">
        <v>103.5</v>
      </c>
      <c r="H221" s="1109">
        <v>103.8</v>
      </c>
      <c r="I221" s="1109">
        <v>104.4</v>
      </c>
      <c r="J221" s="1109">
        <v>104.6</v>
      </c>
      <c r="K221" s="1109">
        <v>105</v>
      </c>
      <c r="L221" s="1109">
        <v>105.3</v>
      </c>
      <c r="M221" s="1109">
        <v>105.8</v>
      </c>
      <c r="N221" s="1109">
        <v>106.2</v>
      </c>
      <c r="O221" s="1120">
        <v>104.5</v>
      </c>
    </row>
    <row r="222" spans="2:25">
      <c r="B222" s="1104">
        <v>2006</v>
      </c>
      <c r="C222" s="1109">
        <v>106.4</v>
      </c>
      <c r="D222" s="1109">
        <v>106.9</v>
      </c>
      <c r="E222" s="1109">
        <v>107.1</v>
      </c>
      <c r="F222" s="1109">
        <v>107.1</v>
      </c>
      <c r="G222" s="1109">
        <v>108.1</v>
      </c>
      <c r="H222" s="1109">
        <v>107.9</v>
      </c>
      <c r="I222" s="1109">
        <v>108.9</v>
      </c>
      <c r="J222" s="1109">
        <v>109</v>
      </c>
      <c r="K222" s="1109">
        <v>109.4</v>
      </c>
      <c r="L222" s="1109">
        <v>109.4</v>
      </c>
      <c r="M222" s="1109">
        <v>110</v>
      </c>
      <c r="N222" s="1109">
        <v>110</v>
      </c>
      <c r="O222" s="1120">
        <v>108.4</v>
      </c>
    </row>
    <row r="223" spans="2:25">
      <c r="B223" s="1104">
        <v>2007</v>
      </c>
      <c r="C223" s="1109">
        <v>110.196</v>
      </c>
      <c r="D223" s="1109">
        <v>110.71599999999999</v>
      </c>
      <c r="E223" s="1109">
        <v>110.747</v>
      </c>
      <c r="F223" s="1109">
        <v>111.102</v>
      </c>
      <c r="G223" s="1109">
        <v>111.202</v>
      </c>
      <c r="H223" s="1109">
        <v>111.179</v>
      </c>
      <c r="I223" s="1109">
        <v>111.417</v>
      </c>
      <c r="J223" s="1109">
        <v>111.967</v>
      </c>
      <c r="K223" s="1109">
        <v>112.268</v>
      </c>
      <c r="L223" s="1109">
        <v>112.84099999999999</v>
      </c>
      <c r="M223" s="1109">
        <v>113.08799999999999</v>
      </c>
      <c r="N223" s="1109">
        <v>113.06</v>
      </c>
      <c r="O223" s="1120">
        <v>111.649</v>
      </c>
    </row>
    <row r="224" spans="2:25">
      <c r="B224" s="1104">
        <v>2008</v>
      </c>
      <c r="C224" s="1109">
        <v>112.738</v>
      </c>
      <c r="D224" s="1109">
        <v>113.85899999999999</v>
      </c>
      <c r="E224" s="1109">
        <v>114.836</v>
      </c>
      <c r="F224" s="1109">
        <v>114.496</v>
      </c>
      <c r="G224" s="1109">
        <v>115.395</v>
      </c>
      <c r="H224" s="1109">
        <v>116.371</v>
      </c>
      <c r="I224" s="1109">
        <v>117.77500000000001</v>
      </c>
      <c r="J224" s="1109">
        <v>118.533</v>
      </c>
      <c r="K224" s="1109">
        <v>119.19499999999999</v>
      </c>
      <c r="L224" s="1109">
        <v>119.378</v>
      </c>
      <c r="M224" s="1109">
        <v>119.59</v>
      </c>
      <c r="N224" s="1109">
        <v>119.79600000000001</v>
      </c>
      <c r="O224" s="1120">
        <v>116.83</v>
      </c>
    </row>
    <row r="225" spans="2:26">
      <c r="B225" s="1104">
        <v>2009</v>
      </c>
      <c r="C225" s="1109">
        <v>120.203</v>
      </c>
      <c r="D225" s="1109">
        <v>121.199</v>
      </c>
      <c r="E225" s="1109">
        <v>121.687</v>
      </c>
      <c r="F225" s="1109">
        <v>121.848</v>
      </c>
      <c r="G225" s="1109">
        <v>121.435</v>
      </c>
      <c r="H225" s="1109">
        <v>121.408</v>
      </c>
      <c r="I225" s="1109">
        <v>120.63800000000001</v>
      </c>
      <c r="J225" s="1109">
        <v>120.108</v>
      </c>
      <c r="K225" s="1109">
        <v>119.86499999999999</v>
      </c>
      <c r="L225" s="1109">
        <v>120.181</v>
      </c>
      <c r="M225" s="1109">
        <v>120.833</v>
      </c>
      <c r="N225" s="1109">
        <v>121.348</v>
      </c>
      <c r="O225" s="1120">
        <v>120.896</v>
      </c>
    </row>
    <row r="226" spans="2:26">
      <c r="B226" s="1104">
        <v>2010</v>
      </c>
      <c r="C226" s="1109">
        <v>121.723</v>
      </c>
      <c r="D226" s="1109">
        <v>122.251</v>
      </c>
      <c r="E226" s="1109">
        <v>122.238</v>
      </c>
      <c r="F226" s="1109">
        <v>122.01</v>
      </c>
      <c r="G226" s="1109">
        <v>122.336</v>
      </c>
      <c r="H226" s="1109">
        <v>122.908</v>
      </c>
      <c r="I226" s="1109">
        <v>123.57599999999999</v>
      </c>
      <c r="J226" s="1109">
        <v>124.324</v>
      </c>
      <c r="K226" s="1109">
        <v>124.185</v>
      </c>
      <c r="L226" s="1109">
        <v>124.94</v>
      </c>
      <c r="M226" s="1109">
        <v>125.62</v>
      </c>
      <c r="N226" s="1109">
        <v>126.26300000000001</v>
      </c>
      <c r="O226" s="1120">
        <v>123.53100000000001</v>
      </c>
    </row>
    <row r="227" spans="2:26" s="1054" customFormat="1">
      <c r="B227" s="1104">
        <v>2011</v>
      </c>
      <c r="C227" s="1109">
        <v>127.50700000000001</v>
      </c>
      <c r="D227" s="1109">
        <v>128.10499999999999</v>
      </c>
      <c r="E227" s="1109">
        <v>127.64700000000001</v>
      </c>
      <c r="F227" s="1109">
        <v>128.41</v>
      </c>
      <c r="G227" s="1109">
        <v>130.03</v>
      </c>
      <c r="H227" s="1109">
        <v>131.48500000000001</v>
      </c>
      <c r="I227" s="1109">
        <v>131.72900000000001</v>
      </c>
      <c r="J227" s="1109">
        <v>132.22499999999999</v>
      </c>
      <c r="K227" s="1109">
        <v>131.77600000000001</v>
      </c>
      <c r="L227" s="1109">
        <v>131.47499999999999</v>
      </c>
      <c r="M227" s="1109">
        <v>132.97499999999999</v>
      </c>
      <c r="N227" s="1109">
        <v>134.417</v>
      </c>
      <c r="O227" s="1120">
        <v>130.648</v>
      </c>
      <c r="P227" s="1056"/>
      <c r="Q227" s="1056"/>
      <c r="R227" s="1056"/>
      <c r="S227" s="1056"/>
      <c r="T227" s="1056"/>
      <c r="U227" s="1056"/>
      <c r="V227" s="1056"/>
      <c r="W227" s="1056"/>
      <c r="X227" s="1056"/>
      <c r="Y227" s="1066"/>
      <c r="Z227" s="1135"/>
    </row>
    <row r="228" spans="2:26" s="1054" customFormat="1">
      <c r="B228" s="1104">
        <v>2012</v>
      </c>
      <c r="C228" s="1109">
        <v>135.31</v>
      </c>
      <c r="D228" s="1109">
        <v>135.44200000000001</v>
      </c>
      <c r="E228" s="1109">
        <v>135.1</v>
      </c>
      <c r="F228" s="1109">
        <v>135.256</v>
      </c>
      <c r="G228" s="1109">
        <v>135.202</v>
      </c>
      <c r="H228" s="1109">
        <v>135.19999999999999</v>
      </c>
      <c r="I228" s="1109">
        <v>135.447</v>
      </c>
      <c r="J228" s="1109">
        <v>135.446</v>
      </c>
      <c r="K228" s="1109">
        <v>134.917</v>
      </c>
      <c r="L228" s="1109">
        <v>135.185</v>
      </c>
      <c r="M228" s="1109">
        <v>134.36500000000001</v>
      </c>
      <c r="N228" s="1109">
        <v>134.666</v>
      </c>
      <c r="O228" s="1120">
        <v>135.12799999999999</v>
      </c>
      <c r="P228" s="1056"/>
      <c r="Q228" s="1056"/>
      <c r="R228" s="1056"/>
      <c r="S228" s="1056"/>
      <c r="T228" s="1056"/>
      <c r="U228" s="1056"/>
      <c r="V228" s="1056"/>
      <c r="W228" s="1056"/>
      <c r="X228" s="1056"/>
      <c r="Y228" s="1066"/>
      <c r="Z228" s="1135"/>
    </row>
    <row r="229" spans="2:26" s="1054" customFormat="1">
      <c r="B229" s="1104">
        <v>2013</v>
      </c>
      <c r="C229" s="1109">
        <v>133.58199999999999</v>
      </c>
      <c r="D229" s="1109">
        <v>133.143</v>
      </c>
      <c r="E229" s="1109">
        <v>133.28800000000001</v>
      </c>
      <c r="F229" s="1109">
        <v>132.29</v>
      </c>
      <c r="G229" s="1109">
        <v>131.648</v>
      </c>
      <c r="H229" s="1109">
        <v>131.03200000000001</v>
      </c>
      <c r="I229" s="1109">
        <v>130.53899999999999</v>
      </c>
      <c r="J229" s="1109">
        <v>129.876</v>
      </c>
      <c r="K229" s="1109">
        <v>129.345</v>
      </c>
      <c r="L229" s="1109">
        <v>129.209</v>
      </c>
      <c r="M229" s="1109">
        <v>128.88499999999999</v>
      </c>
      <c r="N229" s="1109">
        <v>129.637</v>
      </c>
      <c r="O229" s="1120">
        <v>131.04</v>
      </c>
      <c r="P229" s="1056"/>
      <c r="Q229" s="1056"/>
      <c r="R229" s="1056"/>
      <c r="S229" s="1056"/>
      <c r="T229" s="1056"/>
      <c r="U229" s="1056"/>
      <c r="V229" s="1056"/>
      <c r="W229" s="1056"/>
      <c r="X229" s="1056"/>
      <c r="Y229" s="1066"/>
      <c r="Z229" s="1135"/>
    </row>
    <row r="230" spans="2:26" s="1054" customFormat="1">
      <c r="B230" s="1104">
        <v>2014</v>
      </c>
      <c r="C230" s="1109">
        <v>129.28899999999999</v>
      </c>
      <c r="D230" s="1109">
        <v>128.863</v>
      </c>
      <c r="E230" s="1109">
        <v>128.792</v>
      </c>
      <c r="F230" s="1109">
        <v>128.94999999999999</v>
      </c>
      <c r="G230" s="1109">
        <v>128.71100000000001</v>
      </c>
      <c r="H230" s="1109">
        <v>127.688</v>
      </c>
      <c r="I230" s="1109">
        <v>127.991</v>
      </c>
      <c r="J230" s="1109">
        <v>127.76600000000001</v>
      </c>
      <c r="K230" s="1109">
        <v>127.262</v>
      </c>
      <c r="L230" s="1109">
        <v>127.04300000000001</v>
      </c>
      <c r="M230" s="1109">
        <v>126.572</v>
      </c>
      <c r="N230" s="1109">
        <v>127.212</v>
      </c>
      <c r="O230" s="1120">
        <v>128.012</v>
      </c>
      <c r="P230" s="1056"/>
      <c r="Q230" s="1049"/>
      <c r="R230" s="1049"/>
      <c r="S230" s="1049"/>
      <c r="T230" s="1049"/>
      <c r="U230" s="1056"/>
      <c r="V230" s="1056"/>
      <c r="W230" s="1056"/>
      <c r="X230" s="1056"/>
      <c r="Y230" s="1066"/>
      <c r="Z230" s="1135"/>
    </row>
    <row r="231" spans="2:26">
      <c r="B231" s="1104">
        <v>2015</v>
      </c>
      <c r="C231" s="1109">
        <v>127.601</v>
      </c>
      <c r="D231" s="1109">
        <v>127.58499999999999</v>
      </c>
      <c r="E231" s="1109">
        <v>126.843</v>
      </c>
      <c r="F231" s="1109">
        <v>126.577</v>
      </c>
      <c r="G231" s="1109">
        <v>126.929</v>
      </c>
      <c r="H231" s="1109">
        <v>126.119</v>
      </c>
      <c r="I231" s="1109">
        <v>126.205</v>
      </c>
      <c r="J231" s="1109">
        <v>126.009</v>
      </c>
      <c r="K231" s="1109">
        <v>126.455</v>
      </c>
      <c r="L231" s="1109">
        <v>125.575</v>
      </c>
      <c r="M231" s="1109">
        <v>126.10599999999999</v>
      </c>
      <c r="N231" s="1109">
        <v>126.41</v>
      </c>
      <c r="O231" s="1120">
        <v>126.535</v>
      </c>
      <c r="Q231" s="1049"/>
      <c r="R231" s="1049"/>
      <c r="S231" s="1049"/>
      <c r="T231" s="1049"/>
    </row>
    <row r="232" spans="2:26">
      <c r="B232" s="1104">
        <v>2016</v>
      </c>
      <c r="C232" s="1109">
        <v>127.05</v>
      </c>
      <c r="D232" s="1109">
        <v>126.88</v>
      </c>
      <c r="E232" s="1109">
        <v>126.348</v>
      </c>
      <c r="F232" s="1109">
        <v>126.672</v>
      </c>
      <c r="G232" s="1109">
        <v>125.66</v>
      </c>
      <c r="H232" s="1109">
        <v>125.366</v>
      </c>
      <c r="I232" s="1109">
        <v>124.423</v>
      </c>
      <c r="J232" s="1109">
        <v>125.366</v>
      </c>
      <c r="K232" s="1109">
        <v>124.65600000000001</v>
      </c>
      <c r="L232" s="1109">
        <v>125.125</v>
      </c>
      <c r="M232" s="1109">
        <v>123.542</v>
      </c>
      <c r="N232" s="1109">
        <v>123.967</v>
      </c>
      <c r="O232" s="1120">
        <v>125.42100000000001</v>
      </c>
      <c r="Q232" s="1049"/>
      <c r="R232" s="1049"/>
      <c r="S232" s="1049"/>
      <c r="T232" s="1049"/>
    </row>
    <row r="233" spans="2:26" s="1054" customFormat="1">
      <c r="B233" s="1104">
        <v>2017</v>
      </c>
      <c r="C233" s="1109">
        <v>124.423</v>
      </c>
      <c r="D233" s="1109">
        <v>124.825</v>
      </c>
      <c r="E233" s="1109">
        <v>125.414</v>
      </c>
      <c r="F233" s="1109">
        <v>125.592</v>
      </c>
      <c r="G233" s="1109">
        <v>124.578</v>
      </c>
      <c r="H233" s="1109">
        <v>124.661</v>
      </c>
      <c r="I233" s="1109">
        <v>124.148</v>
      </c>
      <c r="J233" s="1109">
        <v>124.169</v>
      </c>
      <c r="K233" s="1109">
        <v>123.976</v>
      </c>
      <c r="L233" s="1109">
        <v>122.60899999999999</v>
      </c>
      <c r="M233" s="1109">
        <v>121.39100000000001</v>
      </c>
      <c r="N233" s="1109">
        <v>122.38500000000001</v>
      </c>
      <c r="O233" s="1120">
        <v>124.014</v>
      </c>
      <c r="P233" s="1056"/>
      <c r="Q233" s="1049"/>
      <c r="R233" s="1049"/>
      <c r="S233" s="1049"/>
      <c r="T233" s="1049"/>
      <c r="U233" s="1056"/>
      <c r="V233" s="1056"/>
      <c r="W233" s="1056"/>
      <c r="X233" s="1056"/>
      <c r="Y233" s="1066"/>
      <c r="Z233" s="1135"/>
    </row>
    <row r="234" spans="2:26">
      <c r="B234" s="1104">
        <v>2018</v>
      </c>
      <c r="C234" s="1109">
        <v>123.077</v>
      </c>
      <c r="D234" s="1109">
        <v>123.55500000000001</v>
      </c>
      <c r="E234" s="1109">
        <v>123.529</v>
      </c>
      <c r="F234" s="1109">
        <v>122.614</v>
      </c>
      <c r="G234" s="1109">
        <v>123.614</v>
      </c>
      <c r="H234" s="1109">
        <v>122.717</v>
      </c>
      <c r="I234" s="1109">
        <v>122.17400000000001</v>
      </c>
      <c r="J234" s="1109">
        <v>122.134</v>
      </c>
      <c r="K234" s="1109">
        <v>122.087</v>
      </c>
      <c r="L234" s="1109">
        <v>122.645</v>
      </c>
      <c r="M234" s="1109">
        <v>122.76900000000001</v>
      </c>
      <c r="N234" s="1109">
        <v>123.96899999999999</v>
      </c>
      <c r="O234" s="1120">
        <v>122.907</v>
      </c>
      <c r="Q234" s="1049"/>
      <c r="R234" s="1049"/>
      <c r="S234" s="1049"/>
      <c r="T234" s="1049"/>
    </row>
    <row r="235" spans="2:26">
      <c r="B235" s="1104">
        <v>2019</v>
      </c>
      <c r="C235" s="1109">
        <v>124.369</v>
      </c>
      <c r="D235" s="1109">
        <v>124.682</v>
      </c>
      <c r="E235" s="1109">
        <v>124.866</v>
      </c>
      <c r="F235" s="1109">
        <v>124.417</v>
      </c>
      <c r="G235" s="1109">
        <v>125.042</v>
      </c>
      <c r="H235" s="1109">
        <v>125.214</v>
      </c>
      <c r="I235" s="1109">
        <v>124.688</v>
      </c>
      <c r="J235" s="1109">
        <v>124.876</v>
      </c>
      <c r="K235" s="1109">
        <v>125.825</v>
      </c>
      <c r="L235" s="1109">
        <v>124.964</v>
      </c>
      <c r="M235" s="1109">
        <v>125.742</v>
      </c>
      <c r="N235" s="1109">
        <v>125.542</v>
      </c>
      <c r="O235" s="1120">
        <v>125.01900000000001</v>
      </c>
      <c r="R235" s="1049"/>
      <c r="S235" s="1049"/>
      <c r="T235" s="1049"/>
    </row>
    <row r="236" spans="2:26">
      <c r="B236" s="1104">
        <v>2020</v>
      </c>
      <c r="C236" s="1109">
        <v>125.288</v>
      </c>
      <c r="D236" s="1109">
        <v>125.59</v>
      </c>
      <c r="E236" s="1109">
        <v>125.377</v>
      </c>
      <c r="F236" s="1109">
        <v>124.59</v>
      </c>
      <c r="G236" s="1109">
        <v>125.41200000000001</v>
      </c>
      <c r="H236" s="1109">
        <v>124.033</v>
      </c>
      <c r="I236" s="1109">
        <v>124.958</v>
      </c>
      <c r="J236" s="1109">
        <v>125.634</v>
      </c>
      <c r="K236" s="1109">
        <v>125.05800000000001</v>
      </c>
      <c r="L236" s="1109">
        <v>125.43</v>
      </c>
      <c r="M236" s="1109">
        <v>124.884</v>
      </c>
      <c r="N236" s="1109">
        <v>125.806</v>
      </c>
      <c r="O236" s="1120">
        <v>125.172</v>
      </c>
      <c r="Q236" s="1119"/>
      <c r="R236" s="1049"/>
      <c r="S236" s="1049"/>
      <c r="T236" s="1049"/>
    </row>
    <row r="237" spans="2:26">
      <c r="B237" s="1104">
        <v>2021</v>
      </c>
      <c r="C237" s="1109">
        <v>127.029</v>
      </c>
      <c r="D237" s="1109">
        <v>127.274</v>
      </c>
      <c r="E237" s="1109">
        <v>126.044</v>
      </c>
      <c r="F237" s="1109">
        <v>127.971</v>
      </c>
      <c r="G237" s="1109">
        <v>129.32599999999999</v>
      </c>
      <c r="H237" s="1109">
        <v>130.529</v>
      </c>
      <c r="I237" s="1109">
        <v>131.54499999999999</v>
      </c>
      <c r="J237" s="1109">
        <v>134.25899999999999</v>
      </c>
      <c r="K237" s="1109">
        <v>135.37700000000001</v>
      </c>
      <c r="L237" s="1109"/>
      <c r="M237" s="1109"/>
      <c r="N237" s="1109"/>
      <c r="O237" s="1120"/>
      <c r="Q237" s="1119" t="s">
        <v>1265</v>
      </c>
      <c r="R237" s="1049"/>
      <c r="S237" s="1049"/>
      <c r="T237" s="1049"/>
    </row>
    <row r="238" spans="2:26">
      <c r="Q238" s="1049"/>
      <c r="R238" s="1049"/>
      <c r="S238" s="1049"/>
      <c r="T238" s="1049"/>
    </row>
    <row r="239" spans="2:26">
      <c r="B239" s="1136" t="s">
        <v>437</v>
      </c>
      <c r="C239" s="1076" t="s">
        <v>24</v>
      </c>
      <c r="D239" s="1054"/>
      <c r="E239" s="1054"/>
      <c r="F239" s="1054"/>
      <c r="G239" s="1054"/>
      <c r="H239" s="1054"/>
      <c r="I239" s="1054"/>
      <c r="J239" s="1054"/>
      <c r="K239" s="1054"/>
      <c r="L239" s="1054"/>
      <c r="M239" s="1054"/>
      <c r="N239" s="1054"/>
      <c r="O239" s="1054"/>
      <c r="Q239" s="1049"/>
      <c r="R239" s="1078"/>
      <c r="S239" s="1078"/>
      <c r="T239" s="1078"/>
      <c r="U239" s="1054"/>
      <c r="V239" s="1054"/>
      <c r="W239" s="1054"/>
      <c r="X239" s="1054"/>
      <c r="Y239" s="1055"/>
    </row>
    <row r="240" spans="2:26">
      <c r="B240" s="1136" t="s">
        <v>433</v>
      </c>
      <c r="C240" s="1076"/>
      <c r="D240" s="1054"/>
      <c r="E240" s="1054"/>
      <c r="F240" s="1054"/>
      <c r="G240" s="1054"/>
      <c r="H240" s="1054"/>
      <c r="I240" s="1054"/>
      <c r="J240" s="1054"/>
      <c r="K240" s="1054"/>
      <c r="L240" s="1054"/>
      <c r="M240" s="1054"/>
      <c r="N240" s="1054"/>
      <c r="O240" s="1054"/>
      <c r="Q240" s="1049"/>
      <c r="R240" s="1078"/>
      <c r="S240" s="1078"/>
      <c r="T240" s="1078"/>
      <c r="U240" s="1054"/>
      <c r="V240" s="1054"/>
      <c r="W240" s="1054"/>
      <c r="X240" s="1054"/>
      <c r="Y240" s="1055"/>
    </row>
    <row r="241" spans="2:25">
      <c r="B241" s="1136" t="s">
        <v>438</v>
      </c>
      <c r="C241" s="1076" t="s">
        <v>424</v>
      </c>
      <c r="D241" s="1054"/>
      <c r="E241" s="1054"/>
      <c r="F241" s="1054"/>
      <c r="G241" s="1054"/>
      <c r="H241" s="1054"/>
      <c r="I241" s="1054"/>
      <c r="J241" s="1054"/>
      <c r="K241" s="1054"/>
      <c r="L241" s="1054"/>
      <c r="M241" s="1054"/>
      <c r="N241" s="1054"/>
      <c r="O241" s="1054"/>
      <c r="Q241" s="1049"/>
      <c r="R241" s="1078"/>
      <c r="S241" s="1078"/>
      <c r="T241" s="1078"/>
      <c r="U241" s="1054"/>
      <c r="V241" s="1054"/>
      <c r="W241" s="1054"/>
      <c r="X241" s="1054"/>
      <c r="Y241" s="1055"/>
    </row>
    <row r="242" spans="2:25">
      <c r="B242" s="1137" t="s">
        <v>439</v>
      </c>
      <c r="C242" s="1138" t="s">
        <v>25</v>
      </c>
      <c r="D242" s="1139"/>
      <c r="E242" s="1139"/>
      <c r="F242" s="1139"/>
      <c r="G242" s="1139"/>
      <c r="H242" s="1139"/>
      <c r="I242" s="1139"/>
      <c r="J242" s="1139"/>
      <c r="K242" s="1139"/>
      <c r="L242" s="1139"/>
      <c r="M242" s="1139"/>
      <c r="N242" s="1139"/>
      <c r="O242" s="1139"/>
      <c r="Q242" s="1049"/>
      <c r="R242" s="1078"/>
      <c r="S242" s="1078"/>
      <c r="T242" s="1078"/>
      <c r="U242" s="1054"/>
      <c r="V242" s="1054"/>
      <c r="W242" s="1054"/>
      <c r="X242" s="1054"/>
      <c r="Y242" s="1055"/>
    </row>
    <row r="243" spans="2:25">
      <c r="B243" s="1097" t="s">
        <v>440</v>
      </c>
      <c r="C243" s="1082" t="s">
        <v>426</v>
      </c>
      <c r="Q243" s="1049"/>
      <c r="R243" s="1049"/>
      <c r="S243" s="1049"/>
      <c r="T243" s="1049"/>
    </row>
    <row r="244" spans="2:25">
      <c r="B244" s="1097" t="s">
        <v>441</v>
      </c>
      <c r="C244" s="1082" t="s">
        <v>1266</v>
      </c>
      <c r="Q244" s="1049"/>
      <c r="R244" s="1049"/>
      <c r="S244" s="1049"/>
      <c r="T244" s="1049"/>
    </row>
    <row r="245" spans="2:25">
      <c r="B245" s="1136" t="s">
        <v>0</v>
      </c>
      <c r="C245" s="1077" t="s">
        <v>409</v>
      </c>
      <c r="D245" s="1077" t="s">
        <v>410</v>
      </c>
      <c r="E245" s="1077" t="s">
        <v>411</v>
      </c>
      <c r="F245" s="1077" t="s">
        <v>412</v>
      </c>
      <c r="G245" s="1077" t="s">
        <v>413</v>
      </c>
      <c r="H245" s="1077" t="s">
        <v>374</v>
      </c>
      <c r="I245" s="1077" t="s">
        <v>414</v>
      </c>
      <c r="J245" s="1077" t="s">
        <v>415</v>
      </c>
      <c r="K245" s="1077" t="s">
        <v>416</v>
      </c>
      <c r="L245" s="1077" t="s">
        <v>417</v>
      </c>
      <c r="M245" s="1077" t="s">
        <v>418</v>
      </c>
      <c r="N245" s="1077" t="s">
        <v>419</v>
      </c>
      <c r="O245" s="1077" t="s">
        <v>429</v>
      </c>
      <c r="Q245" s="1049"/>
      <c r="R245" s="1078"/>
      <c r="S245" s="1078"/>
      <c r="T245" s="1078"/>
      <c r="U245" s="1054"/>
      <c r="V245" s="1054"/>
      <c r="W245" s="1054"/>
      <c r="X245" s="1054"/>
      <c r="Y245" s="1055"/>
    </row>
    <row r="246" spans="2:25">
      <c r="B246" s="1104">
        <v>1997</v>
      </c>
      <c r="C246" s="1142">
        <v>131.1</v>
      </c>
      <c r="D246" s="1142">
        <v>130.5</v>
      </c>
      <c r="E246" s="1142">
        <v>131.1</v>
      </c>
      <c r="F246" s="1142">
        <v>131.5</v>
      </c>
      <c r="G246" s="1142">
        <v>132.6</v>
      </c>
      <c r="H246" s="1142">
        <v>132.6</v>
      </c>
      <c r="I246" s="1142">
        <v>132.69999999999999</v>
      </c>
      <c r="J246" s="1142">
        <v>131.69999999999999</v>
      </c>
      <c r="K246" s="1142">
        <v>131.5</v>
      </c>
      <c r="L246" s="1142">
        <v>131.6</v>
      </c>
      <c r="M246" s="1142">
        <v>131.6</v>
      </c>
      <c r="N246" s="1142">
        <v>131.80000000000001</v>
      </c>
      <c r="O246" s="1120">
        <v>131.69999999999999</v>
      </c>
      <c r="Q246" s="1049"/>
      <c r="R246" s="1049"/>
      <c r="S246" s="1049"/>
      <c r="T246" s="1049"/>
    </row>
    <row r="247" spans="2:25">
      <c r="B247" s="1104">
        <v>1998</v>
      </c>
      <c r="C247" s="1142">
        <v>131.4</v>
      </c>
      <c r="D247" s="1142">
        <v>131</v>
      </c>
      <c r="E247" s="1142">
        <v>131</v>
      </c>
      <c r="F247" s="1142">
        <v>131.30000000000001</v>
      </c>
      <c r="G247" s="1142">
        <v>131.1</v>
      </c>
      <c r="H247" s="1142">
        <v>131.6</v>
      </c>
      <c r="I247" s="1142">
        <v>130.69999999999999</v>
      </c>
      <c r="J247" s="1142">
        <v>131.6</v>
      </c>
      <c r="K247" s="1142">
        <v>131.1</v>
      </c>
      <c r="L247" s="1142">
        <v>130.69999999999999</v>
      </c>
      <c r="M247" s="1142">
        <v>130.80000000000001</v>
      </c>
      <c r="N247" s="1142">
        <v>130.80000000000001</v>
      </c>
      <c r="O247" s="1120">
        <v>131.1</v>
      </c>
      <c r="Q247" s="1049"/>
      <c r="R247" s="1049"/>
      <c r="S247" s="1049"/>
      <c r="T247" s="1049"/>
    </row>
    <row r="248" spans="2:25">
      <c r="B248" s="1104">
        <v>1999</v>
      </c>
      <c r="C248" s="1142">
        <v>131.1</v>
      </c>
      <c r="D248" s="1142">
        <v>130.9</v>
      </c>
      <c r="E248" s="1142">
        <v>128.80000000000001</v>
      </c>
      <c r="F248" s="1142">
        <v>129.80000000000001</v>
      </c>
      <c r="G248" s="1142">
        <v>130.69999999999999</v>
      </c>
      <c r="H248" s="1142">
        <v>131.1</v>
      </c>
      <c r="I248" s="1142">
        <v>130.19999999999999</v>
      </c>
      <c r="J248" s="1142">
        <v>131.1</v>
      </c>
      <c r="K248" s="1142">
        <v>132</v>
      </c>
      <c r="L248" s="1142">
        <v>132.5</v>
      </c>
      <c r="M248" s="1142">
        <v>132.5</v>
      </c>
      <c r="N248" s="1142">
        <v>132.19999999999999</v>
      </c>
      <c r="O248" s="1120">
        <v>131.1</v>
      </c>
      <c r="Q248" s="1049"/>
      <c r="R248" s="1049"/>
      <c r="S248" s="1049"/>
      <c r="T248" s="1049"/>
    </row>
    <row r="249" spans="2:25">
      <c r="B249" s="1104">
        <v>2000</v>
      </c>
      <c r="C249" s="1142">
        <v>132.4</v>
      </c>
      <c r="D249" s="1142">
        <v>134.5</v>
      </c>
      <c r="E249" s="1142">
        <v>135.69999999999999</v>
      </c>
      <c r="F249" s="1142">
        <v>137.4</v>
      </c>
      <c r="G249" s="1142">
        <v>137</v>
      </c>
      <c r="H249" s="1142">
        <v>138.80000000000001</v>
      </c>
      <c r="I249" s="1142">
        <v>139.6</v>
      </c>
      <c r="J249" s="1142">
        <v>139.80000000000001</v>
      </c>
      <c r="K249" s="1142">
        <v>140</v>
      </c>
      <c r="L249" s="1142">
        <v>138.69999999999999</v>
      </c>
      <c r="M249" s="1142">
        <v>140.19999999999999</v>
      </c>
      <c r="N249" s="1142">
        <v>141.69999999999999</v>
      </c>
      <c r="O249" s="1120">
        <v>138</v>
      </c>
      <c r="Q249" s="1049"/>
      <c r="R249" s="1049"/>
      <c r="S249" s="1049"/>
      <c r="T249" s="1049"/>
    </row>
    <row r="250" spans="2:25">
      <c r="B250" s="1104">
        <v>2001</v>
      </c>
      <c r="C250" s="1142">
        <v>140.4</v>
      </c>
      <c r="D250" s="1142">
        <v>142.80000000000001</v>
      </c>
      <c r="E250" s="1142">
        <v>146.19999999999999</v>
      </c>
      <c r="F250" s="1142">
        <v>145.19999999999999</v>
      </c>
      <c r="G250" s="1142">
        <v>146</v>
      </c>
      <c r="H250" s="1142">
        <v>146.5</v>
      </c>
      <c r="I250" s="1142">
        <v>147.30000000000001</v>
      </c>
      <c r="J250" s="1142">
        <v>148.5</v>
      </c>
      <c r="K250" s="1142">
        <v>150.80000000000001</v>
      </c>
      <c r="L250" s="1142">
        <v>151</v>
      </c>
      <c r="M250" s="1142">
        <v>151.1</v>
      </c>
      <c r="N250" s="1142">
        <v>150.69999999999999</v>
      </c>
      <c r="O250" s="1120">
        <v>147.19999999999999</v>
      </c>
      <c r="Q250" s="1049"/>
      <c r="R250" s="1049"/>
      <c r="S250" s="1049"/>
      <c r="T250" s="1049"/>
    </row>
    <row r="251" spans="2:25">
      <c r="B251" s="1104">
        <v>2002</v>
      </c>
      <c r="C251" s="1142">
        <v>152.1</v>
      </c>
      <c r="D251" s="1142">
        <v>152.30000000000001</v>
      </c>
      <c r="E251" s="1142">
        <v>152.9</v>
      </c>
      <c r="F251" s="1142">
        <v>152.30000000000001</v>
      </c>
      <c r="G251" s="1142">
        <v>153.80000000000001</v>
      </c>
      <c r="H251" s="1142">
        <v>152.6</v>
      </c>
      <c r="I251" s="1142">
        <v>153</v>
      </c>
      <c r="J251" s="1142">
        <v>154.4</v>
      </c>
      <c r="K251" s="1142">
        <v>154.30000000000001</v>
      </c>
      <c r="L251" s="1142">
        <v>152.6</v>
      </c>
      <c r="M251" s="1142">
        <v>153.69999999999999</v>
      </c>
      <c r="N251" s="1142">
        <v>154.30000000000001</v>
      </c>
      <c r="O251" s="1120">
        <v>153.19999999999999</v>
      </c>
      <c r="Q251" s="1049"/>
      <c r="R251" s="1049"/>
      <c r="S251" s="1049"/>
      <c r="T251" s="1049"/>
    </row>
    <row r="252" spans="2:25">
      <c r="B252" s="1104">
        <v>2003</v>
      </c>
      <c r="C252" s="1142">
        <v>154.4</v>
      </c>
      <c r="D252" s="1142">
        <v>154.80000000000001</v>
      </c>
      <c r="E252" s="1142">
        <v>155.69999999999999</v>
      </c>
      <c r="F252" s="1142">
        <v>156</v>
      </c>
      <c r="G252" s="1142">
        <v>155.30000000000001</v>
      </c>
      <c r="H252" s="1142">
        <v>156.6</v>
      </c>
      <c r="I252" s="1142">
        <v>156.9</v>
      </c>
      <c r="J252" s="1142">
        <v>157.19999999999999</v>
      </c>
      <c r="K252" s="1142">
        <v>158.1</v>
      </c>
      <c r="L252" s="1142">
        <v>159.6</v>
      </c>
      <c r="M252" s="1142">
        <v>160.69999999999999</v>
      </c>
      <c r="N252" s="1142">
        <v>160.19999999999999</v>
      </c>
      <c r="O252" s="1120">
        <v>157.1</v>
      </c>
      <c r="Q252" s="1049"/>
      <c r="R252" s="1049"/>
      <c r="S252" s="1049"/>
      <c r="T252" s="1049"/>
    </row>
    <row r="253" spans="2:25">
      <c r="B253" s="1104">
        <v>2004</v>
      </c>
      <c r="C253" s="1142">
        <v>161.1</v>
      </c>
      <c r="D253" s="1142">
        <v>161</v>
      </c>
      <c r="E253" s="1142">
        <v>161.9</v>
      </c>
      <c r="F253" s="1142">
        <v>163.30000000000001</v>
      </c>
      <c r="G253" s="1142">
        <v>163</v>
      </c>
      <c r="H253" s="1142">
        <v>164.8</v>
      </c>
      <c r="I253" s="1142">
        <v>165.4</v>
      </c>
      <c r="J253" s="1142">
        <v>166.1</v>
      </c>
      <c r="K253" s="1142">
        <v>167.4</v>
      </c>
      <c r="L253" s="1142">
        <v>168.5</v>
      </c>
      <c r="M253" s="1142">
        <v>171.2</v>
      </c>
      <c r="N253" s="1142">
        <v>170.3</v>
      </c>
      <c r="O253" s="1120">
        <v>165.3</v>
      </c>
      <c r="Q253" s="1049"/>
      <c r="R253" s="1049"/>
      <c r="S253" s="1049"/>
      <c r="T253" s="1049"/>
    </row>
    <row r="254" spans="2:25">
      <c r="B254" s="1104">
        <v>2005</v>
      </c>
      <c r="C254" s="1142">
        <v>172.6</v>
      </c>
      <c r="D254" s="1142">
        <v>174.4</v>
      </c>
      <c r="E254" s="1142">
        <v>176.9</v>
      </c>
      <c r="F254" s="1142">
        <v>176</v>
      </c>
      <c r="G254" s="1142">
        <v>179.4</v>
      </c>
      <c r="H254" s="1142">
        <v>179.6</v>
      </c>
      <c r="I254" s="1142">
        <v>182</v>
      </c>
      <c r="J254" s="1142">
        <v>186.8</v>
      </c>
      <c r="K254" s="1142">
        <v>186.1</v>
      </c>
      <c r="L254" s="1142">
        <v>190.3</v>
      </c>
      <c r="M254" s="1142">
        <v>193.9</v>
      </c>
      <c r="N254" s="1142">
        <v>195.1</v>
      </c>
      <c r="O254" s="1120">
        <v>182.8</v>
      </c>
      <c r="Q254" s="1049"/>
      <c r="R254" s="1049"/>
      <c r="S254" s="1049"/>
      <c r="T254" s="1049"/>
    </row>
    <row r="255" spans="2:25">
      <c r="B255" s="1104">
        <v>2006</v>
      </c>
      <c r="C255" s="1142">
        <v>197.3</v>
      </c>
      <c r="D255" s="1142">
        <v>201.3</v>
      </c>
      <c r="E255" s="1142">
        <v>203.2</v>
      </c>
      <c r="F255" s="1142">
        <v>204.2</v>
      </c>
      <c r="G255" s="1142">
        <v>211.4</v>
      </c>
      <c r="H255" s="1142">
        <v>211.4</v>
      </c>
      <c r="I255" s="1142">
        <v>213.3</v>
      </c>
      <c r="J255" s="1142">
        <v>216.6</v>
      </c>
      <c r="K255" s="1142">
        <v>221.4</v>
      </c>
      <c r="L255" s="1142">
        <v>222.8</v>
      </c>
      <c r="M255" s="1142">
        <v>225</v>
      </c>
      <c r="N255" s="1142">
        <v>224.4</v>
      </c>
      <c r="O255" s="1120">
        <v>212.7</v>
      </c>
      <c r="Q255" s="1049"/>
      <c r="R255" s="1049"/>
      <c r="S255" s="1049"/>
      <c r="T255" s="1049"/>
    </row>
    <row r="256" spans="2:25">
      <c r="B256" s="1104">
        <v>2007</v>
      </c>
      <c r="C256" s="1142">
        <v>225.12299999999999</v>
      </c>
      <c r="D256" s="1142">
        <v>228.06700000000001</v>
      </c>
      <c r="E256" s="1142">
        <v>227.535</v>
      </c>
      <c r="F256" s="1142">
        <v>229.30199999999999</v>
      </c>
      <c r="G256" s="1142">
        <v>229.62100000000001</v>
      </c>
      <c r="H256" s="1142">
        <v>226.59800000000001</v>
      </c>
      <c r="I256" s="1142">
        <v>231.636</v>
      </c>
      <c r="J256" s="1142">
        <v>230.655</v>
      </c>
      <c r="K256" s="1142">
        <v>232.78700000000001</v>
      </c>
      <c r="L256" s="1142">
        <v>233.46600000000001</v>
      </c>
      <c r="M256" s="1142">
        <v>238.352</v>
      </c>
      <c r="N256" s="1142">
        <v>240.51</v>
      </c>
      <c r="O256" s="1120">
        <v>231.13800000000001</v>
      </c>
      <c r="Q256" s="1049"/>
      <c r="R256" s="1049"/>
      <c r="S256" s="1049"/>
      <c r="T256" s="1049"/>
    </row>
    <row r="257" spans="2:26">
      <c r="B257" s="1104">
        <v>2008</v>
      </c>
      <c r="C257" s="1142">
        <v>246.53200000000001</v>
      </c>
      <c r="D257" s="1142">
        <v>247.51300000000001</v>
      </c>
      <c r="E257" s="1142">
        <v>255.024</v>
      </c>
      <c r="F257" s="1142">
        <v>254.904</v>
      </c>
      <c r="G257" s="1142">
        <v>256.548</v>
      </c>
      <c r="H257" s="1142">
        <v>260.90699999999998</v>
      </c>
      <c r="I257" s="1142">
        <v>268.07499999999999</v>
      </c>
      <c r="J257" s="1142">
        <v>275.952</v>
      </c>
      <c r="K257" s="1142">
        <v>276.947</v>
      </c>
      <c r="L257" s="1142">
        <v>291.17899999999997</v>
      </c>
      <c r="M257" s="1142">
        <v>297.23599999999999</v>
      </c>
      <c r="N257" s="1142">
        <v>298.12099999999998</v>
      </c>
      <c r="O257" s="1120">
        <v>269.07799999999997</v>
      </c>
      <c r="Q257" s="1049"/>
      <c r="R257" s="1049"/>
      <c r="S257" s="1049"/>
      <c r="T257" s="1049"/>
    </row>
    <row r="258" spans="2:26">
      <c r="B258" s="1104">
        <v>2009</v>
      </c>
      <c r="C258" s="1142">
        <v>300.173</v>
      </c>
      <c r="D258" s="1142">
        <v>301.12599999999998</v>
      </c>
      <c r="E258" s="1142">
        <v>299.072</v>
      </c>
      <c r="F258" s="1142">
        <v>297.38099999999997</v>
      </c>
      <c r="G258" s="1142">
        <v>295.58199999999999</v>
      </c>
      <c r="H258" s="1142">
        <v>291.012</v>
      </c>
      <c r="I258" s="1142">
        <v>291.07400000000001</v>
      </c>
      <c r="J258" s="1142">
        <v>289.93599999999998</v>
      </c>
      <c r="K258" s="1142">
        <v>290.95800000000003</v>
      </c>
      <c r="L258" s="1142">
        <v>291.50599999999997</v>
      </c>
      <c r="M258" s="1142">
        <v>291.35899999999998</v>
      </c>
      <c r="N258" s="1142">
        <v>292.33699999999999</v>
      </c>
      <c r="O258" s="1120">
        <v>294.29300000000001</v>
      </c>
      <c r="Q258" s="1049"/>
      <c r="R258" s="1049"/>
      <c r="S258" s="1049"/>
      <c r="T258" s="1049"/>
    </row>
    <row r="259" spans="2:26">
      <c r="B259" s="1104">
        <v>2010</v>
      </c>
      <c r="C259" s="1142">
        <v>293.02699999999999</v>
      </c>
      <c r="D259" s="1142">
        <v>297.67599999999999</v>
      </c>
      <c r="E259" s="1142">
        <v>295.96699999999998</v>
      </c>
      <c r="F259" s="1142">
        <v>302.68799999999999</v>
      </c>
      <c r="G259" s="1142">
        <v>305.22699999999998</v>
      </c>
      <c r="H259" s="1142">
        <v>307.18400000000003</v>
      </c>
      <c r="I259" s="1142">
        <v>307.786</v>
      </c>
      <c r="J259" s="1142">
        <v>306.41399999999999</v>
      </c>
      <c r="K259" s="1142">
        <v>312.53100000000001</v>
      </c>
      <c r="L259" s="1142">
        <v>312.83100000000002</v>
      </c>
      <c r="M259" s="1142">
        <v>312.24200000000002</v>
      </c>
      <c r="N259" s="1142">
        <v>311.036</v>
      </c>
      <c r="O259" s="1120">
        <v>305.38400000000001</v>
      </c>
      <c r="Q259" s="1049"/>
      <c r="R259" s="1049"/>
      <c r="S259" s="1049"/>
      <c r="T259" s="1049"/>
    </row>
    <row r="260" spans="2:26" s="1054" customFormat="1">
      <c r="B260" s="1104">
        <v>2011</v>
      </c>
      <c r="C260" s="1142">
        <v>311.577</v>
      </c>
      <c r="D260" s="1142">
        <v>310.12799999999999</v>
      </c>
      <c r="E260" s="1142">
        <v>312.12299999999999</v>
      </c>
      <c r="F260" s="1142">
        <v>320.31299999999999</v>
      </c>
      <c r="G260" s="1142">
        <v>328.10500000000002</v>
      </c>
      <c r="H260" s="1142">
        <v>330.97300000000001</v>
      </c>
      <c r="I260" s="1142">
        <v>342.125</v>
      </c>
      <c r="J260" s="1142">
        <v>349.53399999999999</v>
      </c>
      <c r="K260" s="1142">
        <v>353.59699999999998</v>
      </c>
      <c r="L260" s="1142">
        <v>350.613</v>
      </c>
      <c r="M260" s="1142">
        <v>351.51400000000001</v>
      </c>
      <c r="N260" s="1142">
        <v>354.17</v>
      </c>
      <c r="O260" s="1120">
        <v>334.56400000000002</v>
      </c>
      <c r="P260" s="1056"/>
      <c r="Q260" s="1049"/>
      <c r="R260" s="1049"/>
      <c r="S260" s="1049"/>
      <c r="T260" s="1049"/>
      <c r="U260" s="1056"/>
      <c r="V260" s="1056"/>
      <c r="W260" s="1056"/>
      <c r="X260" s="1056"/>
      <c r="Y260" s="1066"/>
      <c r="Z260" s="1135"/>
    </row>
    <row r="261" spans="2:26" s="1054" customFormat="1">
      <c r="B261" s="1104">
        <v>2012</v>
      </c>
      <c r="C261" s="1142">
        <v>354.37799999999999</v>
      </c>
      <c r="D261" s="1142">
        <v>353.09800000000001</v>
      </c>
      <c r="E261" s="1142">
        <v>359.59</v>
      </c>
      <c r="F261" s="1142">
        <v>361.20299999999997</v>
      </c>
      <c r="G261" s="1142">
        <v>361.495</v>
      </c>
      <c r="H261" s="1142">
        <v>362.50700000000001</v>
      </c>
      <c r="I261" s="1142">
        <v>360.69</v>
      </c>
      <c r="J261" s="1142">
        <v>356.49299999999999</v>
      </c>
      <c r="K261" s="1142">
        <v>364.43900000000002</v>
      </c>
      <c r="L261" s="1142">
        <v>351.72300000000001</v>
      </c>
      <c r="M261" s="1142">
        <v>365.286</v>
      </c>
      <c r="N261" s="1142">
        <v>364.25099999999998</v>
      </c>
      <c r="O261" s="1120">
        <v>359.596</v>
      </c>
      <c r="P261" s="1056"/>
      <c r="Q261" s="1049"/>
      <c r="R261" s="1049"/>
      <c r="S261" s="1049"/>
      <c r="T261" s="1049"/>
      <c r="U261" s="1056"/>
      <c r="V261" s="1056"/>
      <c r="W261" s="1056"/>
      <c r="X261" s="1056"/>
      <c r="Y261" s="1066"/>
      <c r="Z261" s="1135"/>
    </row>
    <row r="262" spans="2:26" s="1054" customFormat="1">
      <c r="B262" s="1104">
        <v>2013</v>
      </c>
      <c r="C262" s="1142">
        <v>362.78</v>
      </c>
      <c r="D262" s="1142">
        <v>362.72800000000001</v>
      </c>
      <c r="E262" s="1142">
        <v>359.25</v>
      </c>
      <c r="F262" s="1142">
        <v>364.24400000000003</v>
      </c>
      <c r="G262" s="1142">
        <v>361.38299999999998</v>
      </c>
      <c r="H262" s="1142">
        <v>358.57900000000001</v>
      </c>
      <c r="I262" s="1142">
        <v>356.81700000000001</v>
      </c>
      <c r="J262" s="1142">
        <v>359.94299999999998</v>
      </c>
      <c r="K262" s="1142">
        <v>358.76299999999998</v>
      </c>
      <c r="L262" s="1142">
        <v>360.88299999999998</v>
      </c>
      <c r="M262" s="1142">
        <v>361.77</v>
      </c>
      <c r="N262" s="1142">
        <v>363.48</v>
      </c>
      <c r="O262" s="1120">
        <v>360.88499999999999</v>
      </c>
      <c r="P262" s="1056"/>
      <c r="Q262" s="1049"/>
      <c r="R262" s="1049"/>
      <c r="S262" s="1049"/>
      <c r="T262" s="1049"/>
      <c r="U262" s="1056"/>
      <c r="V262" s="1056"/>
      <c r="W262" s="1056"/>
      <c r="X262" s="1056"/>
      <c r="Y262" s="1066"/>
      <c r="Z262" s="1135"/>
    </row>
    <row r="263" spans="2:26" s="1054" customFormat="1">
      <c r="B263" s="1104">
        <v>2014</v>
      </c>
      <c r="C263" s="1142">
        <v>362.33699999999999</v>
      </c>
      <c r="D263" s="1142">
        <v>362.46499999999997</v>
      </c>
      <c r="E263" s="1142">
        <v>364.98</v>
      </c>
      <c r="F263" s="1142">
        <v>363.51</v>
      </c>
      <c r="G263" s="1142">
        <v>366.49400000000003</v>
      </c>
      <c r="H263" s="1142">
        <v>368.84399999999999</v>
      </c>
      <c r="I263" s="1142">
        <v>364.858</v>
      </c>
      <c r="J263" s="1142">
        <v>370.48700000000002</v>
      </c>
      <c r="K263" s="1142">
        <v>368.072</v>
      </c>
      <c r="L263" s="1142">
        <v>370.78699999999998</v>
      </c>
      <c r="M263" s="1142">
        <v>369.053</v>
      </c>
      <c r="N263" s="1142">
        <v>372.142</v>
      </c>
      <c r="O263" s="1120">
        <v>367.00200000000001</v>
      </c>
      <c r="P263" s="1056"/>
      <c r="Q263" s="1049"/>
      <c r="R263" s="1049"/>
      <c r="S263" s="1049"/>
      <c r="T263" s="1049"/>
      <c r="U263" s="1056"/>
      <c r="V263" s="1056"/>
      <c r="W263" s="1056"/>
      <c r="X263" s="1056"/>
      <c r="Y263" s="1066"/>
      <c r="Z263" s="1135"/>
    </row>
    <row r="264" spans="2:26">
      <c r="B264" s="1104">
        <v>2015</v>
      </c>
      <c r="C264" s="1142">
        <v>371.06400000000002</v>
      </c>
      <c r="D264" s="1142">
        <v>368.69499999999999</v>
      </c>
      <c r="E264" s="1142">
        <v>369.94799999999998</v>
      </c>
      <c r="F264" s="1142">
        <v>374.84800000000001</v>
      </c>
      <c r="G264" s="1142">
        <v>371.55799999999999</v>
      </c>
      <c r="H264" s="1142">
        <v>366.38600000000002</v>
      </c>
      <c r="I264" s="1142">
        <v>367.29</v>
      </c>
      <c r="J264" s="1142">
        <v>368.98200000000003</v>
      </c>
      <c r="K264" s="1142">
        <v>371.42899999999997</v>
      </c>
      <c r="L264" s="1142">
        <v>362.512</v>
      </c>
      <c r="M264" s="1142">
        <v>365.84199999999998</v>
      </c>
      <c r="N264" s="1142">
        <v>369.702</v>
      </c>
      <c r="O264" s="1120">
        <v>369.02100000000002</v>
      </c>
      <c r="Q264" s="1049"/>
      <c r="R264" s="1049"/>
      <c r="S264" s="1049"/>
      <c r="T264" s="1049"/>
    </row>
    <row r="265" spans="2:26">
      <c r="B265" s="1104">
        <v>2016</v>
      </c>
      <c r="C265" s="1142">
        <v>370.61500000000001</v>
      </c>
      <c r="D265" s="1142">
        <v>368.04300000000001</v>
      </c>
      <c r="E265" s="1142">
        <v>367.36799999999999</v>
      </c>
      <c r="F265" s="1142">
        <v>367.81900000000002</v>
      </c>
      <c r="G265" s="1142">
        <v>366.37700000000001</v>
      </c>
      <c r="H265" s="1142">
        <v>363.43200000000002</v>
      </c>
      <c r="I265" s="1142">
        <v>358.01299999999998</v>
      </c>
      <c r="J265" s="1142">
        <v>369.774</v>
      </c>
      <c r="K265" s="1142">
        <v>366.95100000000002</v>
      </c>
      <c r="L265" s="1142">
        <v>366.75799999999998</v>
      </c>
      <c r="M265" s="1143">
        <v>365.90699999999998</v>
      </c>
      <c r="N265" s="1143">
        <v>374.12900000000002</v>
      </c>
      <c r="O265" s="1120">
        <v>367.09899999999999</v>
      </c>
      <c r="Q265" s="1049"/>
      <c r="R265" s="1049"/>
      <c r="S265" s="1049"/>
      <c r="T265" s="1049"/>
    </row>
    <row r="266" spans="2:26">
      <c r="B266" s="1104">
        <v>2017</v>
      </c>
      <c r="C266" s="1142">
        <v>368.22399999999999</v>
      </c>
      <c r="D266" s="1142">
        <v>364.03199999999998</v>
      </c>
      <c r="E266" s="1142">
        <v>372.69099999999997</v>
      </c>
      <c r="F266" s="1142">
        <v>373.74099999999999</v>
      </c>
      <c r="G266" s="1142">
        <v>370.45299999999997</v>
      </c>
      <c r="H266" s="1142">
        <v>370.721</v>
      </c>
      <c r="I266" s="1142">
        <v>379.81299999999999</v>
      </c>
      <c r="J266" s="1142">
        <v>377.363</v>
      </c>
      <c r="K266" s="1142">
        <v>373.86900000000003</v>
      </c>
      <c r="L266" s="1142">
        <v>374.61399999999998</v>
      </c>
      <c r="M266" s="1143">
        <v>386.81099999999998</v>
      </c>
      <c r="N266" s="1143">
        <v>381.49200000000002</v>
      </c>
      <c r="O266" s="1120">
        <v>374.48500000000001</v>
      </c>
      <c r="Q266" s="1049"/>
      <c r="R266" s="1049"/>
      <c r="S266" s="1049"/>
      <c r="T266" s="1049"/>
    </row>
    <row r="267" spans="2:26">
      <c r="B267" s="1104">
        <v>2018</v>
      </c>
      <c r="C267" s="1142">
        <v>380.45499999999998</v>
      </c>
      <c r="D267" s="1142">
        <v>377.14299999999997</v>
      </c>
      <c r="E267" s="1142">
        <v>377.42099999999999</v>
      </c>
      <c r="F267" s="1142">
        <v>385.84399999999999</v>
      </c>
      <c r="G267" s="1142">
        <v>390.16800000000001</v>
      </c>
      <c r="H267" s="1142">
        <v>394.31900000000002</v>
      </c>
      <c r="I267" s="1142">
        <v>392.27699999999999</v>
      </c>
      <c r="J267" s="1142">
        <v>397.113</v>
      </c>
      <c r="K267" s="1142">
        <v>399.10899999999998</v>
      </c>
      <c r="L267" s="1142">
        <v>382.28699999999998</v>
      </c>
      <c r="M267" s="1142">
        <v>398.70100000000002</v>
      </c>
      <c r="N267" s="1142">
        <v>404.02100000000002</v>
      </c>
      <c r="O267" s="1120">
        <v>389.90499999999997</v>
      </c>
      <c r="Q267" s="1049"/>
      <c r="R267" s="1049"/>
      <c r="S267" s="1049"/>
      <c r="T267" s="1049"/>
    </row>
    <row r="268" spans="2:26">
      <c r="B268" s="1104">
        <v>2019</v>
      </c>
      <c r="C268" s="1142">
        <v>400.58100000000002</v>
      </c>
      <c r="D268" s="1142">
        <v>381.91399999999999</v>
      </c>
      <c r="E268" s="1142">
        <v>401.64400000000001</v>
      </c>
      <c r="F268" s="1142">
        <v>380.71300000000002</v>
      </c>
      <c r="G268" s="1142">
        <v>385.2</v>
      </c>
      <c r="H268" s="1142">
        <v>387.79199999999997</v>
      </c>
      <c r="I268" s="1142">
        <v>403.07400000000001</v>
      </c>
      <c r="J268" s="1142">
        <v>399.012</v>
      </c>
      <c r="K268" s="1142">
        <v>404.34</v>
      </c>
      <c r="L268" s="1142">
        <v>394.69200000000001</v>
      </c>
      <c r="M268" s="1142">
        <v>389.71600000000001</v>
      </c>
      <c r="N268" s="1142">
        <v>410.89499999999998</v>
      </c>
      <c r="O268" s="1120">
        <v>394.964</v>
      </c>
      <c r="R268" s="1049"/>
      <c r="S268" s="1049"/>
      <c r="T268" s="1049"/>
    </row>
    <row r="269" spans="2:26">
      <c r="B269" s="1104">
        <v>2020</v>
      </c>
      <c r="C269" s="1142">
        <v>398.62700000000001</v>
      </c>
      <c r="D269" s="1142">
        <v>412.02499999999998</v>
      </c>
      <c r="E269" s="1142">
        <v>396.93099999999998</v>
      </c>
      <c r="F269" s="1142">
        <v>399.661</v>
      </c>
      <c r="G269" s="1142">
        <v>395.83300000000003</v>
      </c>
      <c r="H269" s="1142">
        <v>393.42500000000001</v>
      </c>
      <c r="I269" s="1142">
        <v>397.97699999999998</v>
      </c>
      <c r="J269" s="1142">
        <v>388.697</v>
      </c>
      <c r="K269" s="1142">
        <v>390.613</v>
      </c>
      <c r="L269" s="1142">
        <v>382.65600000000001</v>
      </c>
      <c r="M269" s="1142">
        <v>385.42599999999999</v>
      </c>
      <c r="N269" s="1142">
        <v>390.18400000000003</v>
      </c>
      <c r="O269" s="1120">
        <v>394.33800000000002</v>
      </c>
      <c r="Q269" s="1119"/>
      <c r="R269" s="1049"/>
      <c r="S269" s="1049"/>
      <c r="T269" s="1049"/>
    </row>
    <row r="270" spans="2:26">
      <c r="B270" s="1104">
        <v>2021</v>
      </c>
      <c r="C270" s="1142">
        <v>389.11099999999999</v>
      </c>
      <c r="D270" s="1142">
        <v>391.58800000000002</v>
      </c>
      <c r="E270" s="1142">
        <v>393.40199999999999</v>
      </c>
      <c r="F270" s="1142">
        <v>388.41899999999998</v>
      </c>
      <c r="G270" s="1142">
        <v>393.733</v>
      </c>
      <c r="H270" s="1142">
        <v>398.42200000000003</v>
      </c>
      <c r="I270" s="1142">
        <v>404.88200000000001</v>
      </c>
      <c r="J270" s="1142">
        <v>420.16</v>
      </c>
      <c r="K270" s="1142">
        <v>417.053</v>
      </c>
      <c r="L270" s="1142"/>
      <c r="M270" s="1142"/>
      <c r="N270" s="1142"/>
      <c r="O270" s="1120"/>
      <c r="Q270" s="1119" t="s">
        <v>1265</v>
      </c>
      <c r="R270" s="1049"/>
      <c r="S270" s="1049"/>
      <c r="T270" s="1049"/>
    </row>
    <row r="271" spans="2:26">
      <c r="C271" s="1144"/>
      <c r="D271" s="1145"/>
      <c r="E271" s="1145"/>
      <c r="F271" s="1145"/>
      <c r="G271" s="1145"/>
      <c r="H271" s="1145"/>
      <c r="I271" s="1145"/>
      <c r="J271" s="1145"/>
      <c r="K271" s="1145"/>
      <c r="L271" s="1145"/>
      <c r="M271" s="1145"/>
      <c r="N271" s="1145"/>
      <c r="Q271" s="1049"/>
      <c r="R271" s="1049"/>
      <c r="S271" s="1049"/>
      <c r="T271" s="1049"/>
    </row>
    <row r="272" spans="2:26">
      <c r="B272" s="1136" t="s">
        <v>437</v>
      </c>
      <c r="C272" s="1076" t="s">
        <v>242</v>
      </c>
      <c r="D272" s="1054"/>
      <c r="E272" s="1054"/>
      <c r="F272" s="1054"/>
      <c r="G272" s="1054"/>
      <c r="H272" s="1054"/>
      <c r="I272" s="1054"/>
      <c r="J272" s="1054"/>
      <c r="K272" s="1054"/>
      <c r="L272" s="1054"/>
      <c r="M272" s="1054"/>
      <c r="N272" s="1054"/>
      <c r="O272" s="1054"/>
      <c r="Q272" s="1049"/>
      <c r="R272" s="1078"/>
      <c r="S272" s="1078"/>
      <c r="T272" s="1078"/>
      <c r="U272" s="1054"/>
      <c r="V272" s="1054"/>
      <c r="W272" s="1054"/>
      <c r="X272" s="1054"/>
      <c r="Y272" s="1055"/>
    </row>
    <row r="273" spans="2:25">
      <c r="B273" s="1136" t="s">
        <v>433</v>
      </c>
      <c r="C273" s="1076"/>
      <c r="D273" s="1054"/>
      <c r="E273" s="1054"/>
      <c r="F273" s="1054"/>
      <c r="G273" s="1054"/>
      <c r="H273" s="1054"/>
      <c r="I273" s="1054"/>
      <c r="J273" s="1054"/>
      <c r="K273" s="1054"/>
      <c r="L273" s="1054"/>
      <c r="M273" s="1054"/>
      <c r="N273" s="1054"/>
      <c r="O273" s="1054"/>
      <c r="Q273" s="1049"/>
      <c r="R273" s="1078"/>
      <c r="S273" s="1078"/>
      <c r="T273" s="1078"/>
      <c r="U273" s="1054"/>
      <c r="V273" s="1054"/>
      <c r="W273" s="1054"/>
      <c r="X273" s="1054"/>
      <c r="Y273" s="1055"/>
    </row>
    <row r="274" spans="2:25">
      <c r="B274" s="1136" t="s">
        <v>438</v>
      </c>
      <c r="C274" s="1076" t="s">
        <v>424</v>
      </c>
      <c r="D274" s="1054"/>
      <c r="E274" s="1054"/>
      <c r="F274" s="1054"/>
      <c r="G274" s="1054"/>
      <c r="H274" s="1054"/>
      <c r="I274" s="1054"/>
      <c r="J274" s="1054"/>
      <c r="K274" s="1054"/>
      <c r="L274" s="1054"/>
      <c r="M274" s="1054"/>
      <c r="N274" s="1054"/>
      <c r="O274" s="1054"/>
      <c r="Q274" s="1049"/>
      <c r="R274" s="1078"/>
      <c r="S274" s="1078"/>
      <c r="T274" s="1078"/>
      <c r="U274" s="1054"/>
      <c r="V274" s="1054"/>
      <c r="W274" s="1054"/>
      <c r="X274" s="1054"/>
      <c r="Y274" s="1055"/>
    </row>
    <row r="275" spans="2:25">
      <c r="B275" s="1137" t="s">
        <v>439</v>
      </c>
      <c r="C275" s="1138" t="s">
        <v>237</v>
      </c>
      <c r="D275" s="1139"/>
      <c r="E275" s="1139"/>
      <c r="F275" s="1139"/>
      <c r="G275" s="1139"/>
      <c r="H275" s="1139"/>
      <c r="I275" s="1139"/>
      <c r="J275" s="1139"/>
      <c r="K275" s="1139"/>
      <c r="L275" s="1139"/>
      <c r="M275" s="1139"/>
      <c r="N275" s="1139"/>
      <c r="O275" s="1139"/>
      <c r="Q275" s="1049"/>
      <c r="R275" s="1078"/>
      <c r="S275" s="1078"/>
      <c r="T275" s="1078"/>
      <c r="U275" s="1054"/>
      <c r="V275" s="1054"/>
      <c r="W275" s="1054"/>
      <c r="X275" s="1054"/>
      <c r="Y275" s="1055"/>
    </row>
    <row r="276" spans="2:25">
      <c r="B276" s="1097" t="s">
        <v>440</v>
      </c>
      <c r="C276" s="1082" t="s">
        <v>426</v>
      </c>
      <c r="Q276" s="1049"/>
      <c r="R276" s="1049"/>
      <c r="S276" s="1049"/>
      <c r="T276" s="1049"/>
    </row>
    <row r="277" spans="2:25">
      <c r="B277" s="1097" t="s">
        <v>441</v>
      </c>
      <c r="C277" s="1082" t="s">
        <v>1266</v>
      </c>
      <c r="Q277" s="1049"/>
      <c r="R277" s="1049"/>
      <c r="S277" s="1049"/>
      <c r="T277" s="1049"/>
    </row>
    <row r="278" spans="2:25">
      <c r="B278" s="1097" t="s">
        <v>0</v>
      </c>
      <c r="C278" s="1077" t="s">
        <v>409</v>
      </c>
      <c r="D278" s="1077" t="s">
        <v>410</v>
      </c>
      <c r="E278" s="1077" t="s">
        <v>411</v>
      </c>
      <c r="F278" s="1077" t="s">
        <v>412</v>
      </c>
      <c r="G278" s="1077" t="s">
        <v>413</v>
      </c>
      <c r="H278" s="1077" t="s">
        <v>374</v>
      </c>
      <c r="I278" s="1077" t="s">
        <v>414</v>
      </c>
      <c r="J278" s="1077" t="s">
        <v>415</v>
      </c>
      <c r="K278" s="1077" t="s">
        <v>416</v>
      </c>
      <c r="L278" s="1077" t="s">
        <v>417</v>
      </c>
      <c r="M278" s="1077" t="s">
        <v>418</v>
      </c>
      <c r="N278" s="1077" t="s">
        <v>419</v>
      </c>
      <c r="O278" s="1077" t="s">
        <v>429</v>
      </c>
      <c r="Q278" s="1049"/>
      <c r="R278" s="1049"/>
      <c r="S278" s="1049"/>
      <c r="T278" s="1049"/>
    </row>
    <row r="279" spans="2:25">
      <c r="B279" s="1104">
        <v>1997</v>
      </c>
      <c r="C279" s="1146">
        <v>161.1</v>
      </c>
      <c r="D279" s="1146">
        <v>161.19999999999999</v>
      </c>
      <c r="E279" s="1146">
        <v>161.5</v>
      </c>
      <c r="F279" s="1146">
        <v>161.9</v>
      </c>
      <c r="G279" s="1146">
        <v>162.19999999999999</v>
      </c>
      <c r="H279" s="1146">
        <v>162.6</v>
      </c>
      <c r="I279" s="1146">
        <v>162.9</v>
      </c>
      <c r="J279" s="1146">
        <v>163.30000000000001</v>
      </c>
      <c r="K279" s="1146">
        <v>163.5</v>
      </c>
      <c r="L279" s="1146">
        <v>163.9</v>
      </c>
      <c r="M279" s="1146">
        <v>164</v>
      </c>
      <c r="N279" s="1146">
        <v>164.7</v>
      </c>
      <c r="O279" s="1120">
        <v>162.69999999999999</v>
      </c>
      <c r="Q279" s="1049"/>
      <c r="R279" s="1049"/>
      <c r="S279" s="1049"/>
      <c r="T279" s="1049"/>
    </row>
    <row r="280" spans="2:25">
      <c r="B280" s="1104">
        <v>1998</v>
      </c>
      <c r="C280" s="1146">
        <v>165</v>
      </c>
      <c r="D280" s="1146">
        <v>165.5</v>
      </c>
      <c r="E280" s="1146">
        <v>165.7</v>
      </c>
      <c r="F280" s="1146">
        <v>165.7</v>
      </c>
      <c r="G280" s="1146">
        <v>165.9</v>
      </c>
      <c r="H280" s="1146">
        <v>166.5</v>
      </c>
      <c r="I280" s="1146">
        <v>166.8</v>
      </c>
      <c r="J280" s="1146">
        <v>167.3</v>
      </c>
      <c r="K280" s="1146">
        <v>168.3</v>
      </c>
      <c r="L280" s="1146">
        <v>169</v>
      </c>
      <c r="M280" s="1146">
        <v>169.5</v>
      </c>
      <c r="N280" s="1146">
        <v>169.6</v>
      </c>
      <c r="O280" s="1120">
        <v>167.1</v>
      </c>
      <c r="Q280" s="1049"/>
      <c r="R280" s="1049"/>
      <c r="S280" s="1049"/>
      <c r="T280" s="1049"/>
    </row>
    <row r="281" spans="2:25">
      <c r="B281" s="1104">
        <v>1999</v>
      </c>
      <c r="C281" s="1146">
        <v>169.8</v>
      </c>
      <c r="D281" s="1146">
        <v>170.4</v>
      </c>
      <c r="E281" s="1146">
        <v>170.6</v>
      </c>
      <c r="F281" s="1146">
        <v>170.9</v>
      </c>
      <c r="G281" s="1146">
        <v>171.3</v>
      </c>
      <c r="H281" s="1146">
        <v>171.7</v>
      </c>
      <c r="I281" s="1146">
        <v>172.1</v>
      </c>
      <c r="J281" s="1146">
        <v>172.1</v>
      </c>
      <c r="K281" s="1146">
        <v>172.8</v>
      </c>
      <c r="L281" s="1146">
        <v>173.2</v>
      </c>
      <c r="M281" s="1146">
        <v>173.6</v>
      </c>
      <c r="N281" s="1146">
        <v>173.8</v>
      </c>
      <c r="O281" s="1120">
        <v>171.9</v>
      </c>
      <c r="Q281" s="1049"/>
      <c r="R281" s="1049"/>
      <c r="S281" s="1049"/>
      <c r="T281" s="1049"/>
    </row>
    <row r="282" spans="2:25">
      <c r="B282" s="1104">
        <v>2000</v>
      </c>
      <c r="C282" s="1146">
        <v>174.6</v>
      </c>
      <c r="D282" s="1146">
        <v>175.2</v>
      </c>
      <c r="E282" s="1146">
        <v>175.7</v>
      </c>
      <c r="F282" s="1146">
        <v>175.9</v>
      </c>
      <c r="G282" s="1146">
        <v>176.3</v>
      </c>
      <c r="H282" s="1146">
        <v>176.8</v>
      </c>
      <c r="I282" s="1146">
        <v>177.2</v>
      </c>
      <c r="J282" s="1146">
        <v>178.2</v>
      </c>
      <c r="K282" s="1146">
        <v>178.7</v>
      </c>
      <c r="L282" s="1146">
        <v>179.4</v>
      </c>
      <c r="M282" s="1146">
        <v>179.9</v>
      </c>
      <c r="N282" s="1146">
        <v>179.9</v>
      </c>
      <c r="O282" s="1120">
        <v>177.3</v>
      </c>
      <c r="Q282" s="1049"/>
      <c r="R282" s="1049"/>
      <c r="S282" s="1049"/>
      <c r="T282" s="1049"/>
    </row>
    <row r="283" spans="2:25">
      <c r="B283" s="1104">
        <v>2001</v>
      </c>
      <c r="C283" s="1146">
        <v>180.6</v>
      </c>
      <c r="D283" s="1146">
        <v>181.5</v>
      </c>
      <c r="E283" s="1146">
        <v>181.7</v>
      </c>
      <c r="F283" s="1146">
        <v>181.9</v>
      </c>
      <c r="G283" s="1146">
        <v>182.5</v>
      </c>
      <c r="H283" s="1146">
        <v>182.7</v>
      </c>
      <c r="I283" s="1146">
        <v>183.4</v>
      </c>
      <c r="J283" s="1146">
        <v>184</v>
      </c>
      <c r="K283" s="1146">
        <v>185.1</v>
      </c>
      <c r="L283" s="1146">
        <v>186</v>
      </c>
      <c r="M283" s="1146">
        <v>186.4</v>
      </c>
      <c r="N283" s="1146">
        <v>186.4</v>
      </c>
      <c r="O283" s="1120">
        <v>183.5</v>
      </c>
      <c r="Q283" s="1049"/>
      <c r="R283" s="1049"/>
      <c r="S283" s="1049"/>
      <c r="T283" s="1049"/>
    </row>
    <row r="284" spans="2:25">
      <c r="B284" s="1104">
        <v>2002</v>
      </c>
      <c r="C284" s="1146">
        <v>187.1</v>
      </c>
      <c r="D284" s="1146">
        <v>188</v>
      </c>
      <c r="E284" s="1146">
        <v>188.5</v>
      </c>
      <c r="F284" s="1146">
        <v>189</v>
      </c>
      <c r="G284" s="1146">
        <v>189.9</v>
      </c>
      <c r="H284" s="1146">
        <v>190</v>
      </c>
      <c r="I284" s="1146">
        <v>189.8</v>
      </c>
      <c r="J284" s="1146">
        <v>191</v>
      </c>
      <c r="K284" s="1146">
        <v>191.4</v>
      </c>
      <c r="L284" s="1146">
        <v>191.8</v>
      </c>
      <c r="M284" s="1146">
        <v>192.8</v>
      </c>
      <c r="N284" s="1146">
        <v>193.3</v>
      </c>
      <c r="O284" s="1120">
        <v>190.2</v>
      </c>
      <c r="Q284" s="1049"/>
      <c r="R284" s="1049"/>
      <c r="S284" s="1049"/>
      <c r="T284" s="1049"/>
    </row>
    <row r="285" spans="2:25">
      <c r="B285" s="1104">
        <v>2003</v>
      </c>
      <c r="C285" s="1146">
        <v>193.7</v>
      </c>
      <c r="D285" s="1146">
        <v>194.5</v>
      </c>
      <c r="E285" s="1146">
        <v>194.3</v>
      </c>
      <c r="F285" s="1146">
        <v>194.6</v>
      </c>
      <c r="G285" s="1146">
        <v>194.9</v>
      </c>
      <c r="H285" s="1146">
        <v>195.1</v>
      </c>
      <c r="I285" s="1146">
        <v>196</v>
      </c>
      <c r="J285" s="1146">
        <v>195.7</v>
      </c>
      <c r="K285" s="1146">
        <v>196.2</v>
      </c>
      <c r="L285" s="1146">
        <v>196.9</v>
      </c>
      <c r="M285" s="1146">
        <v>197.2</v>
      </c>
      <c r="N285" s="1146">
        <v>198</v>
      </c>
      <c r="O285" s="1120">
        <v>195.6</v>
      </c>
      <c r="Q285" s="1049"/>
      <c r="R285" s="1049"/>
      <c r="S285" s="1049"/>
      <c r="T285" s="1049"/>
    </row>
    <row r="286" spans="2:25">
      <c r="B286" s="1104">
        <v>2004</v>
      </c>
      <c r="C286" s="1109">
        <v>198.2</v>
      </c>
      <c r="D286" s="1109">
        <v>198.2</v>
      </c>
      <c r="E286" s="1109">
        <v>198.5</v>
      </c>
      <c r="F286" s="1109">
        <v>198.6</v>
      </c>
      <c r="G286" s="1109">
        <v>199</v>
      </c>
      <c r="H286" s="1109">
        <v>199.7</v>
      </c>
      <c r="I286" s="1109">
        <v>200.3</v>
      </c>
      <c r="J286" s="1109">
        <v>200.8</v>
      </c>
      <c r="K286" s="1109">
        <v>200.7</v>
      </c>
      <c r="L286" s="1109">
        <v>201.7</v>
      </c>
      <c r="M286" s="1109">
        <v>202.9</v>
      </c>
      <c r="N286" s="1109">
        <v>203.3</v>
      </c>
      <c r="O286" s="1120">
        <v>200.2</v>
      </c>
      <c r="Q286" s="1049"/>
      <c r="R286" s="1049"/>
      <c r="S286" s="1049"/>
      <c r="T286" s="1049"/>
    </row>
    <row r="287" spans="2:25">
      <c r="B287" s="1104">
        <v>2005</v>
      </c>
      <c r="C287" s="1109">
        <v>204</v>
      </c>
      <c r="D287" s="1109">
        <v>203.9</v>
      </c>
      <c r="E287" s="1109">
        <v>204.7</v>
      </c>
      <c r="F287" s="1109">
        <v>205</v>
      </c>
      <c r="G287" s="1109">
        <v>205.6</v>
      </c>
      <c r="H287" s="1109">
        <v>206.1</v>
      </c>
      <c r="I287" s="1109">
        <v>206.7</v>
      </c>
      <c r="J287" s="1109">
        <v>207.3</v>
      </c>
      <c r="K287" s="1109">
        <v>208.7</v>
      </c>
      <c r="L287" s="1109">
        <v>209.8</v>
      </c>
      <c r="M287" s="1109">
        <v>210.5</v>
      </c>
      <c r="N287" s="1109">
        <v>210.7</v>
      </c>
      <c r="O287" s="1120">
        <v>206.9</v>
      </c>
      <c r="Q287" s="1049"/>
      <c r="R287" s="1049"/>
      <c r="S287" s="1049"/>
      <c r="T287" s="1049"/>
    </row>
    <row r="288" spans="2:25">
      <c r="B288" s="1104">
        <v>2006</v>
      </c>
      <c r="C288" s="1109">
        <v>211.2</v>
      </c>
      <c r="D288" s="1109">
        <v>212.9</v>
      </c>
      <c r="E288" s="1109">
        <v>213.4</v>
      </c>
      <c r="F288" s="1109">
        <v>213.9</v>
      </c>
      <c r="G288" s="1109">
        <v>214.9</v>
      </c>
      <c r="H288" s="1109">
        <v>215.5</v>
      </c>
      <c r="I288" s="1109">
        <v>216.7</v>
      </c>
      <c r="J288" s="1109">
        <v>216.2</v>
      </c>
      <c r="K288" s="1109">
        <v>217</v>
      </c>
      <c r="L288" s="1109">
        <v>218.5</v>
      </c>
      <c r="M288" s="1109">
        <v>218.5</v>
      </c>
      <c r="N288" s="1109">
        <v>218.8</v>
      </c>
      <c r="O288" s="1120">
        <v>215.6</v>
      </c>
      <c r="Q288" s="1049"/>
      <c r="R288" s="1049"/>
      <c r="S288" s="1049"/>
      <c r="T288" s="1049"/>
    </row>
    <row r="289" spans="2:26">
      <c r="B289" s="1104">
        <v>2007</v>
      </c>
      <c r="C289" s="1109">
        <v>219.262</v>
      </c>
      <c r="D289" s="1109">
        <v>220.53</v>
      </c>
      <c r="E289" s="1109">
        <v>221.16</v>
      </c>
      <c r="F289" s="1109">
        <v>221.50800000000001</v>
      </c>
      <c r="G289" s="1109">
        <v>221.999</v>
      </c>
      <c r="H289" s="1109">
        <v>222.553</v>
      </c>
      <c r="I289" s="1109">
        <v>223.48699999999999</v>
      </c>
      <c r="J289" s="1109">
        <v>224.01900000000001</v>
      </c>
      <c r="K289" s="1109">
        <v>224.30199999999999</v>
      </c>
      <c r="L289" s="1109">
        <v>224.93899999999999</v>
      </c>
      <c r="M289" s="1109">
        <v>225.672</v>
      </c>
      <c r="N289" s="1109">
        <v>226.12</v>
      </c>
      <c r="O289" s="1120">
        <v>222.96299999999999</v>
      </c>
      <c r="Q289" s="1049"/>
      <c r="R289" s="1049"/>
      <c r="S289" s="1049"/>
      <c r="T289" s="1049"/>
    </row>
    <row r="290" spans="2:26">
      <c r="B290" s="1104">
        <v>2008</v>
      </c>
      <c r="C290" s="1109">
        <v>227.732</v>
      </c>
      <c r="D290" s="1109">
        <v>228.73099999999999</v>
      </c>
      <c r="E290" s="1109">
        <v>229.76499999999999</v>
      </c>
      <c r="F290" s="1109">
        <v>230.52799999999999</v>
      </c>
      <c r="G290" s="1109">
        <v>231.73</v>
      </c>
      <c r="H290" s="1109">
        <v>233.16200000000001</v>
      </c>
      <c r="I290" s="1109">
        <v>234.78800000000001</v>
      </c>
      <c r="J290" s="1109">
        <v>236.125</v>
      </c>
      <c r="K290" s="1109">
        <v>237.12100000000001</v>
      </c>
      <c r="L290" s="1109">
        <v>238.227</v>
      </c>
      <c r="M290" s="1109">
        <v>239.048</v>
      </c>
      <c r="N290" s="1109">
        <v>239.35599999999999</v>
      </c>
      <c r="O290" s="1120">
        <v>233.85900000000001</v>
      </c>
      <c r="Q290" s="1049"/>
      <c r="R290" s="1049"/>
      <c r="S290" s="1049"/>
      <c r="T290" s="1049"/>
    </row>
    <row r="291" spans="2:26">
      <c r="B291" s="1104">
        <v>2009</v>
      </c>
      <c r="C291" s="1109">
        <v>241.07599999999999</v>
      </c>
      <c r="D291" s="1109">
        <v>241.68899999999999</v>
      </c>
      <c r="E291" s="1109">
        <v>242.11799999999999</v>
      </c>
      <c r="F291" s="1109">
        <v>242.649</v>
      </c>
      <c r="G291" s="1109">
        <v>242.488</v>
      </c>
      <c r="H291" s="1109">
        <v>242.68299999999999</v>
      </c>
      <c r="I291" s="1109">
        <v>243.03100000000001</v>
      </c>
      <c r="J291" s="1109">
        <v>243.494</v>
      </c>
      <c r="K291" s="1109">
        <v>244.49299999999999</v>
      </c>
      <c r="L291" s="1109">
        <v>245.393</v>
      </c>
      <c r="M291" s="1109">
        <v>245.511</v>
      </c>
      <c r="N291" s="1109">
        <v>245.417</v>
      </c>
      <c r="O291" s="1120">
        <v>243.33699999999999</v>
      </c>
      <c r="Q291" s="1049"/>
      <c r="R291" s="1049"/>
      <c r="S291" s="1049"/>
      <c r="T291" s="1049"/>
    </row>
    <row r="292" spans="2:26">
      <c r="B292" s="1104">
        <v>2010</v>
      </c>
      <c r="C292" s="1109">
        <v>245.56700000000001</v>
      </c>
      <c r="D292" s="1109">
        <v>245.96899999999999</v>
      </c>
      <c r="E292" s="1109">
        <v>246.624</v>
      </c>
      <c r="F292" s="1109">
        <v>247.35499999999999</v>
      </c>
      <c r="G292" s="1109">
        <v>247.31100000000001</v>
      </c>
      <c r="H292" s="1109">
        <v>247.63499999999999</v>
      </c>
      <c r="I292" s="1109">
        <v>247.536</v>
      </c>
      <c r="J292" s="1109">
        <v>248.39</v>
      </c>
      <c r="K292" s="1109">
        <v>249.23099999999999</v>
      </c>
      <c r="L292" s="1109">
        <v>249.82400000000001</v>
      </c>
      <c r="M292" s="1109">
        <v>249.87200000000001</v>
      </c>
      <c r="N292" s="1109">
        <v>250.13399999999999</v>
      </c>
      <c r="O292" s="1120">
        <v>247.95400000000001</v>
      </c>
      <c r="Q292" s="1049"/>
      <c r="R292" s="1049"/>
      <c r="S292" s="1049"/>
      <c r="T292" s="1049"/>
    </row>
    <row r="293" spans="2:26" s="1054" customFormat="1">
      <c r="B293" s="1104">
        <v>2011</v>
      </c>
      <c r="C293" s="1109">
        <v>250.726</v>
      </c>
      <c r="D293" s="1109">
        <v>250.851</v>
      </c>
      <c r="E293" s="1109">
        <v>250.82</v>
      </c>
      <c r="F293" s="1109">
        <v>251.458</v>
      </c>
      <c r="G293" s="1109">
        <v>252.376</v>
      </c>
      <c r="H293" s="1109">
        <v>252.529</v>
      </c>
      <c r="I293" s="1109">
        <v>252.76900000000001</v>
      </c>
      <c r="J293" s="1109">
        <v>253.33699999999999</v>
      </c>
      <c r="K293" s="1109">
        <v>255.244</v>
      </c>
      <c r="L293" s="1109">
        <v>255.774</v>
      </c>
      <c r="M293" s="1109">
        <v>255.66300000000001</v>
      </c>
      <c r="N293" s="1109">
        <v>255.64400000000001</v>
      </c>
      <c r="O293" s="1120">
        <v>253.09899999999999</v>
      </c>
      <c r="P293" s="1056"/>
      <c r="Q293" s="1049"/>
      <c r="R293" s="1049"/>
      <c r="S293" s="1049"/>
      <c r="T293" s="1049"/>
      <c r="U293" s="1056"/>
      <c r="V293" s="1056"/>
      <c r="W293" s="1056"/>
      <c r="X293" s="1056"/>
      <c r="Y293" s="1066"/>
      <c r="Z293" s="1135"/>
    </row>
    <row r="294" spans="2:26" s="1054" customFormat="1">
      <c r="B294" s="1104">
        <v>2012</v>
      </c>
      <c r="C294" s="1109">
        <v>256.40499999999997</v>
      </c>
      <c r="D294" s="1109">
        <v>256.96800000000002</v>
      </c>
      <c r="E294" s="1109">
        <v>256.61599999999999</v>
      </c>
      <c r="F294" s="1109">
        <v>256.54399999999998</v>
      </c>
      <c r="G294" s="1109">
        <v>257.37200000000001</v>
      </c>
      <c r="H294" s="1109">
        <v>257.62900000000002</v>
      </c>
      <c r="I294" s="1109">
        <v>257.423</v>
      </c>
      <c r="J294" s="1109">
        <v>257.64100000000002</v>
      </c>
      <c r="K294" s="1109">
        <v>258.024</v>
      </c>
      <c r="L294" s="1109">
        <v>258.57799999999997</v>
      </c>
      <c r="M294" s="1109">
        <v>258.94299999999998</v>
      </c>
      <c r="N294" s="1109">
        <v>258.84500000000003</v>
      </c>
      <c r="O294" s="1120">
        <v>257.58199999999999</v>
      </c>
      <c r="P294" s="1056"/>
      <c r="Q294" s="1049"/>
      <c r="R294" s="1049"/>
      <c r="S294" s="1049"/>
      <c r="T294" s="1049"/>
      <c r="U294" s="1056"/>
      <c r="V294" s="1056"/>
      <c r="W294" s="1056"/>
      <c r="X294" s="1056"/>
      <c r="Y294" s="1066"/>
      <c r="Z294" s="1135"/>
    </row>
    <row r="295" spans="2:26" s="1054" customFormat="1">
      <c r="B295" s="1104">
        <v>2013</v>
      </c>
      <c r="C295" s="1109">
        <v>259.75200000000001</v>
      </c>
      <c r="D295" s="1109">
        <v>260.23399999999998</v>
      </c>
      <c r="E295" s="1109">
        <v>260.15600000000001</v>
      </c>
      <c r="F295" s="1109">
        <v>260.34100000000001</v>
      </c>
      <c r="G295" s="1109">
        <v>261.065</v>
      </c>
      <c r="H295" s="1109">
        <v>261.36</v>
      </c>
      <c r="I295" s="1109">
        <v>262.22899999999998</v>
      </c>
      <c r="J295" s="1109">
        <v>262.49700000000001</v>
      </c>
      <c r="K295" s="1109">
        <v>262.95999999999998</v>
      </c>
      <c r="L295" s="1109">
        <v>263.08499999999998</v>
      </c>
      <c r="M295" s="1109">
        <v>262.93400000000003</v>
      </c>
      <c r="N295" s="1109">
        <v>263.08100000000002</v>
      </c>
      <c r="O295" s="1120">
        <v>261.64100000000002</v>
      </c>
      <c r="P295" s="1056"/>
      <c r="Q295" s="1049"/>
      <c r="R295" s="1049"/>
      <c r="S295" s="1049"/>
      <c r="T295" s="1049"/>
      <c r="U295" s="1056"/>
      <c r="V295" s="1056"/>
      <c r="W295" s="1056"/>
      <c r="X295" s="1056"/>
      <c r="Y295" s="1066"/>
      <c r="Z295" s="1135"/>
    </row>
    <row r="296" spans="2:26" s="1054" customFormat="1">
      <c r="B296" s="1104">
        <v>2014</v>
      </c>
      <c r="C296" s="1109">
        <v>263.71800000000002</v>
      </c>
      <c r="D296" s="1109">
        <v>264.52300000000002</v>
      </c>
      <c r="E296" s="1109">
        <v>264.14600000000002</v>
      </c>
      <c r="F296" s="1109">
        <v>264.50799999999998</v>
      </c>
      <c r="G296" s="1109">
        <v>265.01299999999998</v>
      </c>
      <c r="H296" s="1109">
        <v>265.65600000000001</v>
      </c>
      <c r="I296" s="1109">
        <v>266.28199999999998</v>
      </c>
      <c r="J296" s="1109">
        <v>266.12900000000002</v>
      </c>
      <c r="K296" s="1109">
        <v>267.25599999999997</v>
      </c>
      <c r="L296" s="1109">
        <v>268.09399999999999</v>
      </c>
      <c r="M296" s="1109">
        <v>268.38900000000001</v>
      </c>
      <c r="N296" s="1109">
        <v>268.58800000000002</v>
      </c>
      <c r="O296" s="1120">
        <v>266.02499999999998</v>
      </c>
      <c r="P296" s="1056"/>
      <c r="Q296" s="1049"/>
      <c r="R296" s="1049"/>
      <c r="S296" s="1049"/>
      <c r="T296" s="1049"/>
      <c r="U296" s="1056"/>
      <c r="V296" s="1056"/>
      <c r="W296" s="1056"/>
      <c r="X296" s="1056"/>
      <c r="Y296" s="1066"/>
      <c r="Z296" s="1135"/>
    </row>
    <row r="297" spans="2:26">
      <c r="B297" s="1104">
        <v>2015</v>
      </c>
      <c r="C297" s="1109">
        <v>268.86900000000003</v>
      </c>
      <c r="D297" s="1109">
        <v>269.13600000000002</v>
      </c>
      <c r="E297" s="1109">
        <v>268.90699999999998</v>
      </c>
      <c r="F297" s="1109">
        <v>269.94799999999998</v>
      </c>
      <c r="G297" s="1109">
        <v>270.76400000000001</v>
      </c>
      <c r="H297" s="1109">
        <v>270.98099999999999</v>
      </c>
      <c r="I297" s="1109">
        <v>271.17500000000001</v>
      </c>
      <c r="J297" s="1109">
        <v>270.83800000000002</v>
      </c>
      <c r="K297" s="1109">
        <v>271.11900000000003</v>
      </c>
      <c r="L297" s="1109">
        <v>271.80399999999997</v>
      </c>
      <c r="M297" s="1109">
        <v>272.08999999999997</v>
      </c>
      <c r="N297" s="1109">
        <v>272.96699999999998</v>
      </c>
      <c r="O297" s="1120">
        <v>270.71699999999998</v>
      </c>
      <c r="Q297" s="1049"/>
      <c r="R297" s="1049"/>
      <c r="S297" s="1049"/>
      <c r="T297" s="1049"/>
    </row>
    <row r="298" spans="2:26">
      <c r="B298" s="1104">
        <v>2016</v>
      </c>
      <c r="C298" s="1109">
        <v>273.09699999999998</v>
      </c>
      <c r="D298" s="1109">
        <v>273.072</v>
      </c>
      <c r="E298" s="1109">
        <v>273.98</v>
      </c>
      <c r="F298" s="1109">
        <v>274.86399999999998</v>
      </c>
      <c r="G298" s="1109">
        <v>275.33100000000002</v>
      </c>
      <c r="H298" s="1109">
        <v>275.56299999999999</v>
      </c>
      <c r="I298" s="1109">
        <v>276.05799999999999</v>
      </c>
      <c r="J298" s="1109">
        <v>275.923</v>
      </c>
      <c r="K298" s="1109">
        <v>275.33100000000002</v>
      </c>
      <c r="L298" s="1109">
        <v>275.64499999999998</v>
      </c>
      <c r="M298" s="1109">
        <v>277.34800000000001</v>
      </c>
      <c r="N298" s="1109">
        <v>278.00200000000001</v>
      </c>
      <c r="O298" s="1120">
        <v>275.351</v>
      </c>
      <c r="Q298" s="1049"/>
      <c r="R298" s="1049"/>
      <c r="S298" s="1049"/>
      <c r="T298" s="1049"/>
    </row>
    <row r="299" spans="2:26">
      <c r="B299" s="1104">
        <v>2017</v>
      </c>
      <c r="C299" s="1109">
        <v>279.52300000000002</v>
      </c>
      <c r="D299" s="1109">
        <v>279.78199999999998</v>
      </c>
      <c r="E299" s="1109">
        <v>279.60000000000002</v>
      </c>
      <c r="F299" s="1109">
        <v>280.17</v>
      </c>
      <c r="G299" s="1109">
        <v>280.38799999999998</v>
      </c>
      <c r="H299" s="1109">
        <v>279.29399999999998</v>
      </c>
      <c r="I299" s="1109">
        <v>279.60500000000002</v>
      </c>
      <c r="J299" s="1109">
        <v>280.488</v>
      </c>
      <c r="K299" s="1109">
        <v>282.20299999999997</v>
      </c>
      <c r="L299" s="1109">
        <v>283.25700000000001</v>
      </c>
      <c r="M299" s="1109">
        <v>282.50200000000001</v>
      </c>
      <c r="N299" s="1109">
        <v>283.10700000000003</v>
      </c>
      <c r="O299" s="1120">
        <v>280.827</v>
      </c>
      <c r="Q299" s="1049"/>
      <c r="R299" s="1049"/>
      <c r="S299" s="1049"/>
      <c r="T299" s="1049"/>
    </row>
    <row r="300" spans="2:26">
      <c r="B300" s="1104">
        <v>2018</v>
      </c>
      <c r="C300" s="1109">
        <v>283.30500000000001</v>
      </c>
      <c r="D300" s="1109">
        <v>284.03199999999998</v>
      </c>
      <c r="E300" s="1109">
        <v>283.65600000000001</v>
      </c>
      <c r="F300" s="1109">
        <v>284.36700000000002</v>
      </c>
      <c r="G300" s="1109">
        <v>284.851</v>
      </c>
      <c r="H300" s="1109">
        <v>285.75299999999999</v>
      </c>
      <c r="I300" s="1109">
        <v>286.06700000000001</v>
      </c>
      <c r="J300" s="1109">
        <v>286.93099999999998</v>
      </c>
      <c r="K300" s="1109">
        <v>288.45699999999999</v>
      </c>
      <c r="L300" s="1109">
        <v>289.05700000000002</v>
      </c>
      <c r="M300" s="1109">
        <v>290.11399999999998</v>
      </c>
      <c r="N300" s="1109">
        <v>289.70499999999998</v>
      </c>
      <c r="O300" s="1120">
        <v>286.358</v>
      </c>
      <c r="Q300" s="1049"/>
      <c r="R300" s="1049"/>
      <c r="S300" s="1049"/>
      <c r="T300" s="1049"/>
    </row>
    <row r="301" spans="2:26">
      <c r="B301" s="1104">
        <v>2019</v>
      </c>
      <c r="C301" s="1109">
        <v>290.75799999999998</v>
      </c>
      <c r="D301" s="1109">
        <v>291.99299999999999</v>
      </c>
      <c r="E301" s="1109">
        <v>294.226</v>
      </c>
      <c r="F301" s="1109">
        <v>295.26600000000002</v>
      </c>
      <c r="G301" s="1109">
        <v>294.58600000000001</v>
      </c>
      <c r="H301" s="1109">
        <v>295.67</v>
      </c>
      <c r="I301" s="1109">
        <v>295.37700000000001</v>
      </c>
      <c r="J301" s="1109">
        <v>297.88400000000001</v>
      </c>
      <c r="K301" s="1109">
        <v>298.44099999999997</v>
      </c>
      <c r="L301" s="1109">
        <v>298.92500000000001</v>
      </c>
      <c r="M301" s="1109">
        <v>299.26</v>
      </c>
      <c r="N301" s="1109">
        <v>299.61399999999998</v>
      </c>
      <c r="O301" s="1120">
        <v>296</v>
      </c>
      <c r="R301" s="1049"/>
      <c r="S301" s="1049"/>
      <c r="T301" s="1049"/>
    </row>
    <row r="302" spans="2:26">
      <c r="B302" s="1104">
        <v>2020</v>
      </c>
      <c r="C302" s="1109">
        <v>300.11200000000002</v>
      </c>
      <c r="D302" s="1109">
        <v>302.22000000000003</v>
      </c>
      <c r="E302" s="1109">
        <v>304.13099999999997</v>
      </c>
      <c r="F302" s="1109">
        <v>304.37599999999998</v>
      </c>
      <c r="G302" s="1109">
        <v>305.57400000000001</v>
      </c>
      <c r="H302" s="1109">
        <v>305.73599999999999</v>
      </c>
      <c r="I302" s="1109">
        <v>305.57299999999998</v>
      </c>
      <c r="J302" s="1109">
        <v>307.55399999999997</v>
      </c>
      <c r="K302" s="1109">
        <v>308.19799999999998</v>
      </c>
      <c r="L302" s="1109">
        <v>308.56900000000002</v>
      </c>
      <c r="M302" s="1109">
        <v>309.94900000000001</v>
      </c>
      <c r="N302" s="1109">
        <v>309.88799999999998</v>
      </c>
      <c r="O302" s="1120">
        <v>305.99</v>
      </c>
      <c r="Q302" s="1119"/>
      <c r="R302" s="1049"/>
      <c r="S302" s="1049"/>
      <c r="T302" s="1049"/>
    </row>
    <row r="303" spans="2:26">
      <c r="B303" s="1104">
        <v>2021</v>
      </c>
      <c r="C303" s="1109">
        <v>310.66199999999998</v>
      </c>
      <c r="D303" s="1109">
        <v>311.62700000000001</v>
      </c>
      <c r="E303" s="1109">
        <v>314.66000000000003</v>
      </c>
      <c r="F303" s="1109">
        <v>315.17700000000002</v>
      </c>
      <c r="G303" s="1109">
        <v>314.16399999999999</v>
      </c>
      <c r="H303" s="1109">
        <v>315.209</v>
      </c>
      <c r="I303" s="1109">
        <v>318.03100000000001</v>
      </c>
      <c r="J303" s="1109">
        <v>320.50400000000002</v>
      </c>
      <c r="K303" s="1109">
        <v>320.44600000000003</v>
      </c>
      <c r="L303" s="1109"/>
      <c r="M303" s="1109"/>
      <c r="N303" s="1109"/>
      <c r="O303" s="1120"/>
      <c r="Q303" s="1119" t="s">
        <v>1265</v>
      </c>
      <c r="R303" s="1049"/>
      <c r="S303" s="1049"/>
      <c r="T303" s="1049"/>
    </row>
    <row r="304" spans="2:26">
      <c r="Q304" s="1049"/>
      <c r="R304" s="1049"/>
      <c r="S304" s="1049"/>
      <c r="T304" s="1049"/>
    </row>
    <row r="305" spans="2:25">
      <c r="B305" s="1136" t="s">
        <v>437</v>
      </c>
      <c r="C305" s="1076" t="s">
        <v>243</v>
      </c>
      <c r="D305" s="1054"/>
      <c r="E305" s="1054"/>
      <c r="F305" s="1054"/>
      <c r="G305" s="1054"/>
      <c r="H305" s="1054"/>
      <c r="I305" s="1054"/>
      <c r="J305" s="1054"/>
      <c r="K305" s="1054"/>
      <c r="L305" s="1054"/>
      <c r="M305" s="1054"/>
      <c r="N305" s="1054"/>
      <c r="O305" s="1054"/>
      <c r="Q305" s="1049"/>
      <c r="R305" s="1078"/>
      <c r="S305" s="1078"/>
      <c r="T305" s="1078"/>
      <c r="U305" s="1054"/>
      <c r="V305" s="1054"/>
      <c r="W305" s="1054"/>
      <c r="X305" s="1054"/>
      <c r="Y305" s="1055"/>
    </row>
    <row r="306" spans="2:25">
      <c r="B306" s="1136" t="s">
        <v>433</v>
      </c>
      <c r="C306" s="1076"/>
      <c r="D306" s="1054"/>
      <c r="E306" s="1054"/>
      <c r="F306" s="1054"/>
      <c r="G306" s="1054"/>
      <c r="H306" s="1054"/>
      <c r="I306" s="1054"/>
      <c r="J306" s="1054"/>
      <c r="K306" s="1054"/>
      <c r="L306" s="1054"/>
      <c r="M306" s="1054"/>
      <c r="N306" s="1054"/>
      <c r="O306" s="1054"/>
      <c r="Q306" s="1049"/>
      <c r="R306" s="1078"/>
      <c r="S306" s="1078"/>
      <c r="T306" s="1078"/>
      <c r="U306" s="1054"/>
      <c r="V306" s="1054"/>
      <c r="W306" s="1054"/>
      <c r="X306" s="1054"/>
      <c r="Y306" s="1055"/>
    </row>
    <row r="307" spans="2:25">
      <c r="B307" s="1136" t="s">
        <v>438</v>
      </c>
      <c r="C307" s="1076" t="s">
        <v>424</v>
      </c>
      <c r="D307" s="1054"/>
      <c r="E307" s="1054"/>
      <c r="F307" s="1054"/>
      <c r="G307" s="1054"/>
      <c r="H307" s="1054"/>
      <c r="I307" s="1054"/>
      <c r="J307" s="1054"/>
      <c r="K307" s="1054"/>
      <c r="L307" s="1054"/>
      <c r="M307" s="1054"/>
      <c r="N307" s="1054"/>
      <c r="O307" s="1054"/>
      <c r="Q307" s="1049"/>
      <c r="R307" s="1078"/>
      <c r="S307" s="1078"/>
      <c r="T307" s="1078"/>
      <c r="U307" s="1054"/>
      <c r="V307" s="1054"/>
      <c r="W307" s="1054"/>
      <c r="X307" s="1054"/>
      <c r="Y307" s="1055"/>
    </row>
    <row r="308" spans="2:25">
      <c r="B308" s="1137" t="s">
        <v>439</v>
      </c>
      <c r="C308" s="1138" t="s">
        <v>238</v>
      </c>
      <c r="D308" s="1139"/>
      <c r="E308" s="1139"/>
      <c r="F308" s="1139"/>
      <c r="G308" s="1139"/>
      <c r="H308" s="1139"/>
      <c r="I308" s="1139"/>
      <c r="J308" s="1139"/>
      <c r="K308" s="1139"/>
      <c r="L308" s="1139"/>
      <c r="M308" s="1139"/>
      <c r="N308" s="1139"/>
      <c r="O308" s="1139"/>
      <c r="Q308" s="1049"/>
      <c r="R308" s="1078"/>
      <c r="S308" s="1078"/>
      <c r="T308" s="1078"/>
      <c r="U308" s="1054"/>
      <c r="V308" s="1054"/>
      <c r="W308" s="1054"/>
      <c r="X308" s="1054"/>
      <c r="Y308" s="1055"/>
    </row>
    <row r="309" spans="2:25">
      <c r="B309" s="1097" t="s">
        <v>440</v>
      </c>
      <c r="C309" s="1082" t="s">
        <v>442</v>
      </c>
      <c r="Q309" s="1049"/>
      <c r="R309" s="1049"/>
      <c r="S309" s="1049"/>
      <c r="T309" s="1049"/>
    </row>
    <row r="310" spans="2:25">
      <c r="B310" s="1097" t="s">
        <v>441</v>
      </c>
      <c r="C310" s="1082" t="s">
        <v>1266</v>
      </c>
      <c r="Q310" s="1049"/>
      <c r="R310" s="1049"/>
      <c r="S310" s="1049"/>
      <c r="T310" s="1049"/>
    </row>
    <row r="311" spans="2:25">
      <c r="B311" s="1097" t="s">
        <v>0</v>
      </c>
      <c r="C311" s="1077" t="s">
        <v>409</v>
      </c>
      <c r="D311" s="1077" t="s">
        <v>410</v>
      </c>
      <c r="E311" s="1077" t="s">
        <v>411</v>
      </c>
      <c r="F311" s="1077" t="s">
        <v>412</v>
      </c>
      <c r="G311" s="1077" t="s">
        <v>413</v>
      </c>
      <c r="H311" s="1077" t="s">
        <v>374</v>
      </c>
      <c r="I311" s="1077" t="s">
        <v>414</v>
      </c>
      <c r="J311" s="1077" t="s">
        <v>415</v>
      </c>
      <c r="K311" s="1077" t="s">
        <v>416</v>
      </c>
      <c r="L311" s="1077" t="s">
        <v>417</v>
      </c>
      <c r="M311" s="1077" t="s">
        <v>418</v>
      </c>
      <c r="N311" s="1077" t="s">
        <v>419</v>
      </c>
      <c r="O311" s="1077" t="s">
        <v>429</v>
      </c>
      <c r="Q311" s="1049"/>
      <c r="R311" s="1049"/>
      <c r="S311" s="1049"/>
      <c r="T311" s="1049"/>
    </row>
    <row r="312" spans="2:25">
      <c r="B312" s="1104">
        <v>1997</v>
      </c>
      <c r="C312" s="1146">
        <v>152</v>
      </c>
      <c r="D312" s="1146">
        <v>152.69999999999999</v>
      </c>
      <c r="E312" s="1146">
        <v>152.6</v>
      </c>
      <c r="F312" s="1146">
        <v>152.30000000000001</v>
      </c>
      <c r="G312" s="1146">
        <v>151.5</v>
      </c>
      <c r="H312" s="1146">
        <v>151</v>
      </c>
      <c r="I312" s="1146">
        <v>150.80000000000001</v>
      </c>
      <c r="J312" s="1146">
        <v>150.19999999999999</v>
      </c>
      <c r="K312" s="1146">
        <v>150.19999999999999</v>
      </c>
      <c r="L312" s="1146">
        <v>151.1</v>
      </c>
      <c r="M312" s="1146">
        <v>151.30000000000001</v>
      </c>
      <c r="N312" s="1146">
        <v>151.4</v>
      </c>
      <c r="O312" s="1120">
        <v>151.4</v>
      </c>
      <c r="Q312" s="1049"/>
      <c r="R312" s="1049"/>
      <c r="S312" s="1049"/>
      <c r="T312" s="1049"/>
    </row>
    <row r="313" spans="2:25">
      <c r="B313" s="1104">
        <v>1998</v>
      </c>
      <c r="C313" s="1146">
        <v>151.80000000000001</v>
      </c>
      <c r="D313" s="1146">
        <v>151.9</v>
      </c>
      <c r="E313" s="1146">
        <v>151.9</v>
      </c>
      <c r="F313" s="1146">
        <v>152</v>
      </c>
      <c r="G313" s="1146">
        <v>150.80000000000001</v>
      </c>
      <c r="H313" s="1146">
        <v>149.69999999999999</v>
      </c>
      <c r="I313" s="1146">
        <v>150.1</v>
      </c>
      <c r="J313" s="1146">
        <v>150.4</v>
      </c>
      <c r="K313" s="1146">
        <v>150.19999999999999</v>
      </c>
      <c r="L313" s="1146">
        <v>150.19999999999999</v>
      </c>
      <c r="M313" s="1146">
        <v>151.5</v>
      </c>
      <c r="N313" s="1146">
        <v>152.1</v>
      </c>
      <c r="O313" s="1120">
        <v>151.1</v>
      </c>
      <c r="Q313" s="1049"/>
      <c r="R313" s="1049"/>
      <c r="S313" s="1049"/>
      <c r="T313" s="1049"/>
    </row>
    <row r="314" spans="2:25">
      <c r="B314" s="1104">
        <v>1999</v>
      </c>
      <c r="C314" s="1146">
        <v>152.6</v>
      </c>
      <c r="D314" s="1146">
        <v>152.4</v>
      </c>
      <c r="E314" s="1146">
        <v>152</v>
      </c>
      <c r="F314" s="1146">
        <v>152.19999999999999</v>
      </c>
      <c r="G314" s="1146">
        <v>151.9</v>
      </c>
      <c r="H314" s="1146">
        <v>151.9</v>
      </c>
      <c r="I314" s="1146">
        <v>151.5</v>
      </c>
      <c r="J314" s="1146">
        <v>150.9</v>
      </c>
      <c r="K314" s="1146">
        <v>151</v>
      </c>
      <c r="L314" s="1146">
        <v>151.80000000000001</v>
      </c>
      <c r="M314" s="1146">
        <v>152.69999999999999</v>
      </c>
      <c r="N314" s="1146">
        <v>153.1</v>
      </c>
      <c r="O314" s="1120">
        <v>152</v>
      </c>
      <c r="Q314" s="1049"/>
      <c r="R314" s="1049"/>
      <c r="S314" s="1049"/>
      <c r="T314" s="1049"/>
    </row>
    <row r="315" spans="2:25">
      <c r="B315" s="1104">
        <v>2000</v>
      </c>
      <c r="C315" s="1146">
        <v>152.4</v>
      </c>
      <c r="D315" s="1146">
        <v>151.9</v>
      </c>
      <c r="E315" s="1146">
        <v>152.30000000000001</v>
      </c>
      <c r="F315" s="1146">
        <v>152.80000000000001</v>
      </c>
      <c r="G315" s="1146">
        <v>152.6</v>
      </c>
      <c r="H315" s="1146">
        <v>152.1</v>
      </c>
      <c r="I315" s="1146">
        <v>151.4</v>
      </c>
      <c r="J315" s="1146">
        <v>150.80000000000001</v>
      </c>
      <c r="K315" s="1146">
        <v>150</v>
      </c>
      <c r="L315" s="1146">
        <v>150.1</v>
      </c>
      <c r="M315" s="1146">
        <v>151.19999999999999</v>
      </c>
      <c r="N315" s="1146">
        <v>152.19999999999999</v>
      </c>
      <c r="O315" s="1120">
        <v>151.69999999999999</v>
      </c>
      <c r="Q315" s="1049"/>
      <c r="R315" s="1049"/>
      <c r="S315" s="1049"/>
      <c r="T315" s="1049"/>
    </row>
    <row r="316" spans="2:25">
      <c r="B316" s="1104">
        <v>2001</v>
      </c>
      <c r="C316" s="1146">
        <v>152.6</v>
      </c>
      <c r="D316" s="1146">
        <v>152.19999999999999</v>
      </c>
      <c r="E316" s="1146">
        <v>151.6</v>
      </c>
      <c r="F316" s="1146">
        <v>151.4</v>
      </c>
      <c r="G316" s="1146">
        <v>150.9</v>
      </c>
      <c r="H316" s="1146">
        <v>150.30000000000001</v>
      </c>
      <c r="I316" s="1146">
        <v>149.69999999999999</v>
      </c>
      <c r="J316" s="1146">
        <v>148.69999999999999</v>
      </c>
      <c r="K316" s="1146">
        <v>148.4</v>
      </c>
      <c r="L316" s="1146">
        <v>149.6</v>
      </c>
      <c r="M316" s="1146">
        <v>151.30000000000001</v>
      </c>
      <c r="N316" s="1146">
        <v>152</v>
      </c>
      <c r="O316" s="1120">
        <v>150.69999999999999</v>
      </c>
      <c r="Q316" s="1049"/>
      <c r="R316" s="1049"/>
      <c r="S316" s="1049"/>
      <c r="T316" s="1049"/>
    </row>
    <row r="317" spans="2:25">
      <c r="B317" s="1104">
        <v>2002</v>
      </c>
      <c r="C317" s="1146">
        <v>150.9</v>
      </c>
      <c r="D317" s="1146">
        <v>148.9</v>
      </c>
      <c r="E317" s="1146">
        <v>148.19999999999999</v>
      </c>
      <c r="F317" s="1146">
        <v>147.9</v>
      </c>
      <c r="G317" s="1146">
        <v>147.30000000000001</v>
      </c>
      <c r="H317" s="1146">
        <v>146.69999999999999</v>
      </c>
      <c r="I317" s="1146">
        <v>146.4</v>
      </c>
      <c r="J317" s="1146">
        <v>145.80000000000001</v>
      </c>
      <c r="K317" s="1146">
        <v>146.69999999999999</v>
      </c>
      <c r="L317" s="1146">
        <v>147.5</v>
      </c>
      <c r="M317" s="1146">
        <v>148.30000000000001</v>
      </c>
      <c r="N317" s="1146">
        <v>148.6</v>
      </c>
      <c r="O317" s="1120">
        <v>147.80000000000001</v>
      </c>
      <c r="Q317" s="1049"/>
      <c r="R317" s="1049"/>
      <c r="S317" s="1049"/>
      <c r="T317" s="1049"/>
    </row>
    <row r="318" spans="2:25">
      <c r="B318" s="1104">
        <v>2003</v>
      </c>
      <c r="C318" s="1146">
        <v>147.9</v>
      </c>
      <c r="D318" s="1146">
        <v>147.5</v>
      </c>
      <c r="E318" s="1146">
        <v>147.6</v>
      </c>
      <c r="F318" s="1146">
        <v>146.9</v>
      </c>
      <c r="G318" s="1146">
        <v>146.19999999999999</v>
      </c>
      <c r="H318" s="1146">
        <v>145.30000000000001</v>
      </c>
      <c r="I318" s="1146">
        <v>144.80000000000001</v>
      </c>
      <c r="J318" s="1146">
        <v>144.9</v>
      </c>
      <c r="K318" s="1146">
        <v>144.80000000000001</v>
      </c>
      <c r="L318" s="1146">
        <v>144.6</v>
      </c>
      <c r="M318" s="1146">
        <v>145.9</v>
      </c>
      <c r="N318" s="1146">
        <v>146.4</v>
      </c>
      <c r="O318" s="1120">
        <v>146.1</v>
      </c>
      <c r="Q318" s="1049"/>
      <c r="R318" s="1049"/>
      <c r="S318" s="1049"/>
      <c r="T318" s="1049"/>
    </row>
    <row r="319" spans="2:25">
      <c r="B319" s="1104">
        <v>2004</v>
      </c>
      <c r="C319" s="1109">
        <v>146.5</v>
      </c>
      <c r="D319" s="1109">
        <v>146.9</v>
      </c>
      <c r="E319" s="1109">
        <v>146.19999999999999</v>
      </c>
      <c r="F319" s="1109">
        <v>146</v>
      </c>
      <c r="G319" s="1109">
        <v>145.30000000000001</v>
      </c>
      <c r="H319" s="1109">
        <v>144.9</v>
      </c>
      <c r="I319" s="1109">
        <v>143.6</v>
      </c>
      <c r="J319" s="1109">
        <v>142.4</v>
      </c>
      <c r="K319" s="1109">
        <v>142.4</v>
      </c>
      <c r="L319" s="1109">
        <v>143.1</v>
      </c>
      <c r="M319" s="1109">
        <v>145.5</v>
      </c>
      <c r="N319" s="1109">
        <v>147.19999999999999</v>
      </c>
      <c r="O319" s="1120">
        <v>145</v>
      </c>
      <c r="Q319" s="1049"/>
      <c r="R319" s="1049"/>
      <c r="S319" s="1049"/>
      <c r="T319" s="1049"/>
    </row>
    <row r="320" spans="2:25">
      <c r="B320" s="1104">
        <v>2005</v>
      </c>
      <c r="C320" s="1109">
        <v>148.4</v>
      </c>
      <c r="D320" s="1109">
        <v>148.5</v>
      </c>
      <c r="E320" s="1109">
        <v>147.4</v>
      </c>
      <c r="F320" s="1109">
        <v>146.9</v>
      </c>
      <c r="G320" s="1109">
        <v>146.80000000000001</v>
      </c>
      <c r="H320" s="1109">
        <v>145.9</v>
      </c>
      <c r="I320" s="1109">
        <v>143.30000000000001</v>
      </c>
      <c r="J320" s="1109">
        <v>141.69999999999999</v>
      </c>
      <c r="K320" s="1109">
        <v>142.4</v>
      </c>
      <c r="L320" s="1109">
        <v>143.6</v>
      </c>
      <c r="M320" s="1109">
        <v>144.30000000000001</v>
      </c>
      <c r="N320" s="1109">
        <v>144.4</v>
      </c>
      <c r="O320" s="1120">
        <v>145.30000000000001</v>
      </c>
      <c r="Q320" s="1049"/>
      <c r="R320" s="1049"/>
      <c r="S320" s="1049"/>
      <c r="T320" s="1049"/>
    </row>
    <row r="321" spans="2:26">
      <c r="B321" s="1104">
        <v>2006</v>
      </c>
      <c r="C321" s="1109">
        <v>145.19999999999999</v>
      </c>
      <c r="D321" s="1109">
        <v>145.4</v>
      </c>
      <c r="E321" s="1109">
        <v>145</v>
      </c>
      <c r="F321" s="1109">
        <v>144.4</v>
      </c>
      <c r="G321" s="1109">
        <v>143.4</v>
      </c>
      <c r="H321" s="1109">
        <v>142.69999999999999</v>
      </c>
      <c r="I321" s="1109">
        <v>142.19999999999999</v>
      </c>
      <c r="J321" s="1109">
        <v>141.4</v>
      </c>
      <c r="K321" s="1109">
        <v>140.9</v>
      </c>
      <c r="L321" s="1109">
        <v>141.4</v>
      </c>
      <c r="M321" s="1109">
        <v>141.1</v>
      </c>
      <c r="N321" s="1109">
        <v>141.5</v>
      </c>
      <c r="O321" s="1120">
        <v>142.9</v>
      </c>
      <c r="Q321" s="1049"/>
      <c r="R321" s="1049"/>
      <c r="S321" s="1049"/>
      <c r="T321" s="1049"/>
    </row>
    <row r="322" spans="2:26">
      <c r="B322" s="1104">
        <v>2007</v>
      </c>
      <c r="C322" s="1109">
        <v>142.19</v>
      </c>
      <c r="D322" s="1109">
        <v>142.00200000000001</v>
      </c>
      <c r="E322" s="1109">
        <v>141.982</v>
      </c>
      <c r="F322" s="1109">
        <v>141.624</v>
      </c>
      <c r="G322" s="1109">
        <v>140.95400000000001</v>
      </c>
      <c r="H322" s="1109">
        <v>140.15199999999999</v>
      </c>
      <c r="I322" s="1109">
        <v>139.69</v>
      </c>
      <c r="J322" s="1109">
        <v>139.47900000000001</v>
      </c>
      <c r="K322" s="1109">
        <v>139.191</v>
      </c>
      <c r="L322" s="1109">
        <v>139.51300000000001</v>
      </c>
      <c r="M322" s="1109">
        <v>140.60400000000001</v>
      </c>
      <c r="N322" s="1109">
        <v>141.191</v>
      </c>
      <c r="O322" s="1120">
        <v>140.714</v>
      </c>
      <c r="Q322" s="1049"/>
      <c r="R322" s="1049"/>
      <c r="S322" s="1049"/>
      <c r="T322" s="1049"/>
    </row>
    <row r="323" spans="2:26">
      <c r="B323" s="1104">
        <v>2008</v>
      </c>
      <c r="C323" s="1109">
        <v>141.47800000000001</v>
      </c>
      <c r="D323" s="1109">
        <v>141.048</v>
      </c>
      <c r="E323" s="1109">
        <v>140.249</v>
      </c>
      <c r="F323" s="1109">
        <v>139.30000000000001</v>
      </c>
      <c r="G323" s="1109">
        <v>138.50700000000001</v>
      </c>
      <c r="H323" s="1109">
        <v>137.886</v>
      </c>
      <c r="I323" s="1109">
        <v>137.07300000000001</v>
      </c>
      <c r="J323" s="1109">
        <v>135.19399999999999</v>
      </c>
      <c r="K323" s="1109">
        <v>133.67400000000001</v>
      </c>
      <c r="L323" s="1109">
        <v>133.63999999999999</v>
      </c>
      <c r="M323" s="1109">
        <v>133.697</v>
      </c>
      <c r="N323" s="1109">
        <v>133.65700000000001</v>
      </c>
      <c r="O323" s="1120">
        <v>137.11699999999999</v>
      </c>
      <c r="Q323" s="1049"/>
      <c r="R323" s="1049"/>
      <c r="S323" s="1049"/>
      <c r="T323" s="1049"/>
    </row>
    <row r="324" spans="2:26">
      <c r="B324" s="1104">
        <v>2009</v>
      </c>
      <c r="C324" s="1109">
        <v>134.80600000000001</v>
      </c>
      <c r="D324" s="1109">
        <v>136.54900000000001</v>
      </c>
      <c r="E324" s="1109">
        <v>137.553</v>
      </c>
      <c r="F324" s="1109">
        <v>138.017</v>
      </c>
      <c r="G324" s="1109">
        <v>138.44900000000001</v>
      </c>
      <c r="H324" s="1109">
        <v>139.256</v>
      </c>
      <c r="I324" s="1109">
        <v>139.602</v>
      </c>
      <c r="J324" s="1109">
        <v>137.93100000000001</v>
      </c>
      <c r="K324" s="1109">
        <v>138.297</v>
      </c>
      <c r="L324" s="1109">
        <v>140.89699999999999</v>
      </c>
      <c r="M324" s="1109">
        <v>142.20099999999999</v>
      </c>
      <c r="N324" s="1109">
        <v>142.52000000000001</v>
      </c>
      <c r="O324" s="1120">
        <v>138.84</v>
      </c>
      <c r="Q324" s="1049"/>
      <c r="R324" s="1049"/>
      <c r="S324" s="1049"/>
      <c r="T324" s="1049"/>
    </row>
    <row r="325" spans="2:26">
      <c r="B325" s="1104">
        <v>2010</v>
      </c>
      <c r="C325" s="1109">
        <v>142.755</v>
      </c>
      <c r="D325" s="1109">
        <v>143.17599999999999</v>
      </c>
      <c r="E325" s="1109">
        <v>143.22800000000001</v>
      </c>
      <c r="F325" s="1109">
        <v>142.923</v>
      </c>
      <c r="G325" s="1109">
        <v>142.33199999999999</v>
      </c>
      <c r="H325" s="1109">
        <v>142.04900000000001</v>
      </c>
      <c r="I325" s="1109">
        <v>141.953</v>
      </c>
      <c r="J325" s="1109">
        <v>141.93899999999999</v>
      </c>
      <c r="K325" s="1109">
        <v>142.17599999999999</v>
      </c>
      <c r="L325" s="1109">
        <v>142.55600000000001</v>
      </c>
      <c r="M325" s="1109">
        <v>143.34100000000001</v>
      </c>
      <c r="N325" s="1109">
        <v>143.91499999999999</v>
      </c>
      <c r="O325" s="1120">
        <v>142.69499999999999</v>
      </c>
      <c r="Q325" s="1049"/>
      <c r="R325" s="1049"/>
      <c r="S325" s="1049"/>
      <c r="T325" s="1049"/>
    </row>
    <row r="326" spans="2:26">
      <c r="B326" s="1104">
        <v>2011</v>
      </c>
      <c r="C326" s="1109">
        <v>144.57</v>
      </c>
      <c r="D326" s="1109">
        <v>145.84299999999999</v>
      </c>
      <c r="E326" s="1109">
        <v>146.49199999999999</v>
      </c>
      <c r="F326" s="1109">
        <v>146.852</v>
      </c>
      <c r="G326" s="1109">
        <v>147.292</v>
      </c>
      <c r="H326" s="1109">
        <v>147.27500000000001</v>
      </c>
      <c r="I326" s="1109">
        <v>146.87</v>
      </c>
      <c r="J326" s="1109">
        <v>146.40100000000001</v>
      </c>
      <c r="K326" s="1109">
        <v>146.238</v>
      </c>
      <c r="L326" s="1109">
        <v>146.607</v>
      </c>
      <c r="M326" s="1109">
        <v>146.91499999999999</v>
      </c>
      <c r="N326" s="1109">
        <v>147.21</v>
      </c>
      <c r="O326" s="1120">
        <v>146.547</v>
      </c>
      <c r="Q326" s="1049"/>
      <c r="R326" s="1049"/>
      <c r="S326" s="1049"/>
      <c r="T326" s="1049"/>
    </row>
    <row r="327" spans="2:26" s="1054" customFormat="1">
      <c r="B327" s="1104">
        <v>2012</v>
      </c>
      <c r="C327" s="1109">
        <v>148.26900000000001</v>
      </c>
      <c r="D327" s="1109">
        <v>149.50700000000001</v>
      </c>
      <c r="E327" s="1109">
        <v>149.667</v>
      </c>
      <c r="F327" s="1109">
        <v>149.749</v>
      </c>
      <c r="G327" s="1109">
        <v>149.404</v>
      </c>
      <c r="H327" s="1109">
        <v>149.40600000000001</v>
      </c>
      <c r="I327" s="1109">
        <v>149.01400000000001</v>
      </c>
      <c r="J327" s="1109">
        <v>148.91499999999999</v>
      </c>
      <c r="K327" s="1109">
        <v>149.11799999999999</v>
      </c>
      <c r="L327" s="1109">
        <v>149.386</v>
      </c>
      <c r="M327" s="1109">
        <v>149.93199999999999</v>
      </c>
      <c r="N327" s="1109">
        <v>150.34299999999999</v>
      </c>
      <c r="O327" s="1120">
        <v>149.393</v>
      </c>
      <c r="P327" s="1056"/>
      <c r="Q327" s="1049"/>
      <c r="R327" s="1049"/>
      <c r="S327" s="1049"/>
      <c r="T327" s="1049"/>
      <c r="U327" s="1056"/>
      <c r="V327" s="1056"/>
      <c r="W327" s="1056"/>
      <c r="X327" s="1056"/>
      <c r="Y327" s="1066"/>
      <c r="Z327" s="1135"/>
    </row>
    <row r="328" spans="2:26" s="1054" customFormat="1">
      <c r="B328" s="1104">
        <v>2013</v>
      </c>
      <c r="C328" s="1109">
        <v>151.16399999999999</v>
      </c>
      <c r="D328" s="1109">
        <v>151.42599999999999</v>
      </c>
      <c r="E328" s="1109">
        <v>151.60400000000001</v>
      </c>
      <c r="F328" s="1109">
        <v>152.04300000000001</v>
      </c>
      <c r="G328" s="1109">
        <v>151.875</v>
      </c>
      <c r="H328" s="1109">
        <v>152.21899999999999</v>
      </c>
      <c r="I328" s="1109">
        <v>151.93899999999999</v>
      </c>
      <c r="J328" s="1109">
        <v>151.489</v>
      </c>
      <c r="K328" s="1109">
        <v>151.881</v>
      </c>
      <c r="L328" s="1109">
        <v>151.87700000000001</v>
      </c>
      <c r="M328" s="1109">
        <v>152.18100000000001</v>
      </c>
      <c r="N328" s="1109">
        <v>152.48099999999999</v>
      </c>
      <c r="O328" s="1120">
        <v>151.84800000000001</v>
      </c>
      <c r="P328" s="1056"/>
      <c r="Q328" s="1049"/>
      <c r="R328" s="1049"/>
      <c r="S328" s="1049"/>
      <c r="T328" s="1049"/>
      <c r="U328" s="1056"/>
      <c r="V328" s="1056"/>
      <c r="W328" s="1056"/>
      <c r="X328" s="1056"/>
      <c r="Y328" s="1066"/>
      <c r="Z328" s="1135"/>
    </row>
    <row r="329" spans="2:26" s="1054" customFormat="1">
      <c r="B329" s="1104">
        <v>2014</v>
      </c>
      <c r="C329" s="1109">
        <v>152.67599999999999</v>
      </c>
      <c r="D329" s="1109">
        <v>153.35499999999999</v>
      </c>
      <c r="E329" s="1109">
        <v>153.27799999999999</v>
      </c>
      <c r="F329" s="1109">
        <v>153.87799999999999</v>
      </c>
      <c r="G329" s="1109">
        <v>153.82400000000001</v>
      </c>
      <c r="H329" s="1109">
        <v>153.107</v>
      </c>
      <c r="I329" s="1109">
        <v>153.28700000000001</v>
      </c>
      <c r="J329" s="1109">
        <v>153.41300000000001</v>
      </c>
      <c r="K329" s="1109">
        <v>153.452</v>
      </c>
      <c r="L329" s="1109">
        <v>153.90199999999999</v>
      </c>
      <c r="M329" s="1109">
        <v>154.16800000000001</v>
      </c>
      <c r="N329" s="1109">
        <v>154.41</v>
      </c>
      <c r="O329" s="1120">
        <v>153.56299999999999</v>
      </c>
      <c r="P329" s="1056"/>
      <c r="Q329" s="1049"/>
      <c r="R329" s="1049"/>
      <c r="S329" s="1049"/>
      <c r="T329" s="1049"/>
      <c r="U329" s="1056"/>
      <c r="V329" s="1056"/>
      <c r="W329" s="1056"/>
      <c r="X329" s="1056"/>
      <c r="Y329" s="1066"/>
      <c r="Z329" s="1135"/>
    </row>
    <row r="330" spans="2:26" s="1054" customFormat="1">
      <c r="B330" s="1104">
        <v>2015</v>
      </c>
      <c r="C330" s="1109">
        <v>154.38499999999999</v>
      </c>
      <c r="D330" s="1109">
        <v>155.16900000000001</v>
      </c>
      <c r="E330" s="1109">
        <v>155.56700000000001</v>
      </c>
      <c r="F330" s="1109">
        <v>156.06299999999999</v>
      </c>
      <c r="G330" s="1109">
        <v>156.16300000000001</v>
      </c>
      <c r="H330" s="1109">
        <v>156.06</v>
      </c>
      <c r="I330" s="1109">
        <v>155.58099999999999</v>
      </c>
      <c r="J330" s="1109">
        <v>155.08600000000001</v>
      </c>
      <c r="K330" s="1109">
        <v>155.096</v>
      </c>
      <c r="L330" s="1109">
        <v>155.035</v>
      </c>
      <c r="M330" s="1109">
        <v>155.571</v>
      </c>
      <c r="N330" s="1109">
        <v>155.51900000000001</v>
      </c>
      <c r="O330" s="1120">
        <v>155.441</v>
      </c>
      <c r="P330" s="1056"/>
      <c r="Q330" s="1049"/>
      <c r="R330" s="1049"/>
      <c r="S330" s="1049"/>
      <c r="T330" s="1049"/>
      <c r="U330" s="1056"/>
      <c r="V330" s="1056"/>
      <c r="W330" s="1056"/>
      <c r="X330" s="1056"/>
      <c r="Y330" s="1066"/>
      <c r="Z330" s="1135"/>
    </row>
    <row r="331" spans="2:26">
      <c r="B331" s="1104">
        <v>2016</v>
      </c>
      <c r="C331" s="1109">
        <v>156.13300000000001</v>
      </c>
      <c r="D331" s="1109">
        <v>156.94300000000001</v>
      </c>
      <c r="E331" s="1109">
        <v>157.22</v>
      </c>
      <c r="F331" s="1109">
        <v>157.02000000000001</v>
      </c>
      <c r="G331" s="1109">
        <v>156.78200000000001</v>
      </c>
      <c r="H331" s="1109">
        <v>156.43899999999999</v>
      </c>
      <c r="I331" s="1109">
        <v>156.291</v>
      </c>
      <c r="J331" s="1109">
        <v>155.77099999999999</v>
      </c>
      <c r="K331" s="1109">
        <v>155.72200000000001</v>
      </c>
      <c r="L331" s="1109">
        <v>156.18899999999999</v>
      </c>
      <c r="M331" s="1109">
        <v>156.19300000000001</v>
      </c>
      <c r="N331" s="1109">
        <v>156.529</v>
      </c>
      <c r="O331" s="1120">
        <v>156.43600000000001</v>
      </c>
      <c r="Q331" s="1049"/>
      <c r="R331" s="1049"/>
      <c r="S331" s="1049"/>
      <c r="T331" s="1049"/>
    </row>
    <row r="332" spans="2:26">
      <c r="B332" s="1104">
        <v>2017</v>
      </c>
      <c r="C332" s="1109">
        <v>158.01</v>
      </c>
      <c r="D332" s="1109">
        <v>157.97300000000001</v>
      </c>
      <c r="E332" s="1109">
        <v>157.66200000000001</v>
      </c>
      <c r="F332" s="1109">
        <v>157.779</v>
      </c>
      <c r="G332" s="1109">
        <v>157.57300000000001</v>
      </c>
      <c r="H332" s="1109">
        <v>156.79400000000001</v>
      </c>
      <c r="I332" s="1109">
        <v>155.93799999999999</v>
      </c>
      <c r="J332" s="1109">
        <v>155.613</v>
      </c>
      <c r="K332" s="1109">
        <v>155.036</v>
      </c>
      <c r="L332" s="1109">
        <v>154.94800000000001</v>
      </c>
      <c r="M332" s="1109">
        <v>155.20699999999999</v>
      </c>
      <c r="N332" s="1109">
        <v>156.35499999999999</v>
      </c>
      <c r="O332" s="1120">
        <v>156.57400000000001</v>
      </c>
      <c r="Q332" s="1049"/>
      <c r="R332" s="1049"/>
      <c r="S332" s="1049"/>
      <c r="T332" s="1049"/>
    </row>
    <row r="333" spans="2:26">
      <c r="B333" s="1104">
        <v>2018</v>
      </c>
      <c r="C333" s="1109">
        <v>156.74600000000001</v>
      </c>
      <c r="D333" s="1109">
        <v>156.465</v>
      </c>
      <c r="E333" s="1109">
        <v>156.48599999999999</v>
      </c>
      <c r="F333" s="1109">
        <v>155.791</v>
      </c>
      <c r="G333" s="1109">
        <v>156.00899999999999</v>
      </c>
      <c r="H333" s="1109">
        <v>156.178</v>
      </c>
      <c r="I333" s="1109">
        <v>155.98500000000001</v>
      </c>
      <c r="J333" s="1109">
        <v>155.63999999999999</v>
      </c>
      <c r="K333" s="1109">
        <v>154.96299999999999</v>
      </c>
      <c r="L333" s="1109">
        <v>154.78700000000001</v>
      </c>
      <c r="M333" s="1109">
        <v>155.035</v>
      </c>
      <c r="N333" s="1109">
        <v>155.33199999999999</v>
      </c>
      <c r="O333" s="1120">
        <v>155.785</v>
      </c>
      <c r="Q333" s="1049"/>
      <c r="R333" s="1049"/>
      <c r="S333" s="1049"/>
      <c r="T333" s="1049"/>
    </row>
    <row r="334" spans="2:26">
      <c r="B334" s="1104">
        <v>2019</v>
      </c>
      <c r="C334" s="1109">
        <v>156.40100000000001</v>
      </c>
      <c r="D334" s="1109">
        <v>156.77000000000001</v>
      </c>
      <c r="E334" s="1109">
        <v>157.41900000000001</v>
      </c>
      <c r="F334" s="1109">
        <v>157.48099999999999</v>
      </c>
      <c r="G334" s="1109">
        <v>157.21100000000001</v>
      </c>
      <c r="H334" s="1109">
        <v>156.71700000000001</v>
      </c>
      <c r="I334" s="1109">
        <v>156.32599999999999</v>
      </c>
      <c r="J334" s="1109">
        <v>155.67400000000001</v>
      </c>
      <c r="K334" s="1109">
        <v>155.155</v>
      </c>
      <c r="L334" s="1109">
        <v>154.989</v>
      </c>
      <c r="M334" s="1109">
        <v>155.12299999999999</v>
      </c>
      <c r="N334" s="1109">
        <v>155.81899999999999</v>
      </c>
      <c r="O334" s="1120">
        <v>156.25700000000001</v>
      </c>
      <c r="R334" s="1049"/>
      <c r="S334" s="1049"/>
      <c r="T334" s="1049"/>
    </row>
    <row r="335" spans="2:26">
      <c r="B335" s="1104">
        <v>2020</v>
      </c>
      <c r="C335" s="1109">
        <v>156.76400000000001</v>
      </c>
      <c r="D335" s="1109">
        <v>157.245</v>
      </c>
      <c r="E335" s="1109">
        <v>156.54300000000001</v>
      </c>
      <c r="F335" s="1109">
        <v>156.59800000000001</v>
      </c>
      <c r="G335" s="1109">
        <v>156.83600000000001</v>
      </c>
      <c r="H335" s="1109">
        <v>156.51599999999999</v>
      </c>
      <c r="I335" s="1109">
        <v>157.16800000000001</v>
      </c>
      <c r="J335" s="1109">
        <v>156.68600000000001</v>
      </c>
      <c r="K335" s="1109">
        <v>156.672</v>
      </c>
      <c r="L335" s="1109">
        <v>157.64500000000001</v>
      </c>
      <c r="M335" s="1109">
        <v>157.83500000000001</v>
      </c>
      <c r="N335" s="1109">
        <v>158.85</v>
      </c>
      <c r="O335" s="1120">
        <v>157.113</v>
      </c>
      <c r="Q335" s="1119"/>
      <c r="R335" s="1049"/>
      <c r="S335" s="1049"/>
      <c r="T335" s="1049"/>
    </row>
    <row r="336" spans="2:26">
      <c r="B336" s="1104">
        <v>2021</v>
      </c>
      <c r="C336" s="1109">
        <v>159.136</v>
      </c>
      <c r="D336" s="1109">
        <v>159.22</v>
      </c>
      <c r="E336" s="1109">
        <v>159.208</v>
      </c>
      <c r="F336" s="1109">
        <v>160.137</v>
      </c>
      <c r="G336" s="1109">
        <v>162.49799999999999</v>
      </c>
      <c r="H336" s="1109">
        <v>165.36699999999999</v>
      </c>
      <c r="I336" s="1109">
        <v>167.816</v>
      </c>
      <c r="J336" s="1109">
        <v>169.23400000000001</v>
      </c>
      <c r="K336" s="1109">
        <v>171.03100000000001</v>
      </c>
      <c r="L336" s="1109"/>
      <c r="M336" s="1109"/>
      <c r="N336" s="1109"/>
      <c r="O336" s="1120"/>
      <c r="Q336" s="1119" t="s">
        <v>1265</v>
      </c>
      <c r="R336" s="1049"/>
      <c r="S336" s="1049"/>
      <c r="T336" s="1049"/>
    </row>
    <row r="337" spans="2:25">
      <c r="B337" s="1104"/>
      <c r="C337" s="1109"/>
      <c r="D337" s="1109"/>
      <c r="E337" s="1109"/>
      <c r="F337" s="1109"/>
      <c r="G337" s="1109"/>
      <c r="H337" s="1109"/>
      <c r="I337" s="1109"/>
      <c r="J337" s="1109"/>
      <c r="K337" s="1109"/>
      <c r="L337" s="1109"/>
      <c r="M337" s="1109"/>
      <c r="N337" s="1109"/>
      <c r="O337" s="1120"/>
      <c r="Q337" s="1049"/>
      <c r="R337" s="1049"/>
      <c r="S337" s="1049"/>
      <c r="T337" s="1049"/>
    </row>
    <row r="338" spans="2:25">
      <c r="Q338" s="1049"/>
      <c r="R338" s="1049"/>
      <c r="S338" s="1049"/>
      <c r="T338" s="1049"/>
    </row>
    <row r="339" spans="2:25">
      <c r="B339" s="1136" t="s">
        <v>437</v>
      </c>
      <c r="C339" s="1076" t="s">
        <v>244</v>
      </c>
      <c r="D339" s="1054"/>
      <c r="E339" s="1054"/>
      <c r="F339" s="1054"/>
      <c r="G339" s="1054"/>
      <c r="H339" s="1054"/>
      <c r="I339" s="1054"/>
      <c r="J339" s="1054"/>
      <c r="K339" s="1054"/>
      <c r="L339" s="1054"/>
      <c r="M339" s="1054"/>
      <c r="N339" s="1054"/>
      <c r="O339" s="1054"/>
      <c r="Q339" s="1049"/>
      <c r="R339" s="1078"/>
      <c r="S339" s="1078"/>
      <c r="T339" s="1078"/>
      <c r="U339" s="1054"/>
      <c r="V339" s="1054"/>
      <c r="W339" s="1054"/>
      <c r="X339" s="1054"/>
      <c r="Y339" s="1055"/>
    </row>
    <row r="340" spans="2:25">
      <c r="B340" s="1136" t="s">
        <v>433</v>
      </c>
      <c r="C340" s="1076"/>
      <c r="D340" s="1054"/>
      <c r="E340" s="1054"/>
      <c r="F340" s="1054"/>
      <c r="G340" s="1054"/>
      <c r="H340" s="1054"/>
      <c r="I340" s="1054"/>
      <c r="J340" s="1054"/>
      <c r="K340" s="1054"/>
      <c r="L340" s="1054"/>
      <c r="M340" s="1054"/>
      <c r="N340" s="1054"/>
      <c r="O340" s="1054"/>
      <c r="Q340" s="1049"/>
      <c r="R340" s="1078"/>
      <c r="S340" s="1078"/>
      <c r="T340" s="1078"/>
      <c r="U340" s="1054"/>
      <c r="V340" s="1054"/>
      <c r="W340" s="1054"/>
      <c r="X340" s="1054"/>
      <c r="Y340" s="1055"/>
    </row>
    <row r="341" spans="2:25">
      <c r="B341" s="1136" t="s">
        <v>438</v>
      </c>
      <c r="C341" s="1076" t="s">
        <v>424</v>
      </c>
      <c r="D341" s="1054"/>
      <c r="E341" s="1054"/>
      <c r="F341" s="1054"/>
      <c r="G341" s="1054"/>
      <c r="H341" s="1054"/>
      <c r="I341" s="1054"/>
      <c r="J341" s="1054"/>
      <c r="K341" s="1054"/>
      <c r="L341" s="1054"/>
      <c r="M341" s="1054"/>
      <c r="N341" s="1054"/>
      <c r="O341" s="1054"/>
      <c r="Q341" s="1049"/>
      <c r="R341" s="1078"/>
      <c r="S341" s="1078"/>
      <c r="T341" s="1078"/>
      <c r="U341" s="1054"/>
      <c r="V341" s="1054"/>
      <c r="W341" s="1054"/>
      <c r="X341" s="1054"/>
      <c r="Y341" s="1055"/>
    </row>
    <row r="342" spans="2:25">
      <c r="B342" s="1137" t="s">
        <v>439</v>
      </c>
      <c r="C342" s="1138" t="s">
        <v>239</v>
      </c>
      <c r="D342" s="1139"/>
      <c r="E342" s="1139"/>
      <c r="F342" s="1139"/>
      <c r="G342" s="1139"/>
      <c r="H342" s="1139"/>
      <c r="I342" s="1139"/>
      <c r="J342" s="1139"/>
      <c r="K342" s="1139"/>
      <c r="L342" s="1139"/>
      <c r="M342" s="1139"/>
      <c r="N342" s="1139"/>
      <c r="O342" s="1139"/>
      <c r="Q342" s="1049"/>
      <c r="R342" s="1078"/>
      <c r="S342" s="1078"/>
      <c r="T342" s="1078"/>
      <c r="U342" s="1054"/>
      <c r="V342" s="1054"/>
      <c r="W342" s="1054"/>
      <c r="X342" s="1054"/>
      <c r="Y342" s="1055"/>
    </row>
    <row r="343" spans="2:25">
      <c r="B343" s="1097" t="s">
        <v>440</v>
      </c>
      <c r="C343" s="1082" t="s">
        <v>426</v>
      </c>
      <c r="Q343" s="1049"/>
      <c r="R343" s="1049"/>
      <c r="S343" s="1049"/>
      <c r="T343" s="1049"/>
    </row>
    <row r="344" spans="2:25">
      <c r="B344" s="1097" t="s">
        <v>441</v>
      </c>
      <c r="C344" s="1082" t="s">
        <v>1266</v>
      </c>
      <c r="Q344" s="1049"/>
      <c r="R344" s="1049"/>
      <c r="S344" s="1049"/>
      <c r="T344" s="1049"/>
    </row>
    <row r="345" spans="2:25">
      <c r="B345" s="1097" t="s">
        <v>0</v>
      </c>
      <c r="C345" s="1077" t="s">
        <v>409</v>
      </c>
      <c r="D345" s="1077" t="s">
        <v>410</v>
      </c>
      <c r="E345" s="1077" t="s">
        <v>411</v>
      </c>
      <c r="F345" s="1077" t="s">
        <v>412</v>
      </c>
      <c r="G345" s="1077" t="s">
        <v>413</v>
      </c>
      <c r="H345" s="1077" t="s">
        <v>374</v>
      </c>
      <c r="I345" s="1077" t="s">
        <v>414</v>
      </c>
      <c r="J345" s="1077" t="s">
        <v>415</v>
      </c>
      <c r="K345" s="1077" t="s">
        <v>416</v>
      </c>
      <c r="L345" s="1077" t="s">
        <v>417</v>
      </c>
      <c r="M345" s="1077" t="s">
        <v>418</v>
      </c>
      <c r="N345" s="1077" t="s">
        <v>419</v>
      </c>
      <c r="O345" s="1077" t="s">
        <v>429</v>
      </c>
      <c r="Q345" s="1049"/>
      <c r="R345" s="1049"/>
      <c r="S345" s="1049"/>
      <c r="T345" s="1049"/>
    </row>
    <row r="346" spans="2:25">
      <c r="B346" s="1104">
        <v>1997</v>
      </c>
      <c r="C346" s="1146">
        <v>143</v>
      </c>
      <c r="D346" s="1146">
        <v>142.9</v>
      </c>
      <c r="E346" s="1146">
        <v>142.9</v>
      </c>
      <c r="F346" s="1146">
        <v>142.6</v>
      </c>
      <c r="G346" s="1146">
        <v>142.1</v>
      </c>
      <c r="H346" s="1146">
        <v>141.69999999999999</v>
      </c>
      <c r="I346" s="1146">
        <v>141.1</v>
      </c>
      <c r="J346" s="1146">
        <v>140.4</v>
      </c>
      <c r="K346" s="1146">
        <v>140</v>
      </c>
      <c r="L346" s="1146">
        <v>140.6</v>
      </c>
      <c r="M346" s="1146">
        <v>141.30000000000001</v>
      </c>
      <c r="N346" s="1146">
        <v>141.5</v>
      </c>
      <c r="O346" s="1120">
        <v>141.69999999999999</v>
      </c>
      <c r="Q346" s="1049"/>
      <c r="R346" s="1049"/>
      <c r="S346" s="1049"/>
      <c r="T346" s="1049"/>
    </row>
    <row r="347" spans="2:25">
      <c r="B347" s="1104">
        <v>1998</v>
      </c>
      <c r="C347" s="1146">
        <v>141.80000000000001</v>
      </c>
      <c r="D347" s="1146">
        <v>141.69999999999999</v>
      </c>
      <c r="E347" s="1146">
        <v>141.69999999999999</v>
      </c>
      <c r="F347" s="1146">
        <v>141.5</v>
      </c>
      <c r="G347" s="1146">
        <v>140.6</v>
      </c>
      <c r="H347" s="1146">
        <v>140</v>
      </c>
      <c r="I347" s="1146">
        <v>140.1</v>
      </c>
      <c r="J347" s="1146">
        <v>140</v>
      </c>
      <c r="K347" s="1146">
        <v>139.4</v>
      </c>
      <c r="L347" s="1146">
        <v>139.69999999999999</v>
      </c>
      <c r="M347" s="1146">
        <v>140.6</v>
      </c>
      <c r="N347" s="1146">
        <v>141.30000000000001</v>
      </c>
      <c r="O347" s="1120">
        <v>140.69999999999999</v>
      </c>
      <c r="Q347" s="1049"/>
      <c r="R347" s="1049"/>
      <c r="S347" s="1049"/>
      <c r="T347" s="1049"/>
    </row>
    <row r="348" spans="2:25">
      <c r="B348" s="1104">
        <v>1999</v>
      </c>
      <c r="C348" s="1146">
        <v>141.4</v>
      </c>
      <c r="D348" s="1146">
        <v>140.80000000000001</v>
      </c>
      <c r="E348" s="1146">
        <v>140.30000000000001</v>
      </c>
      <c r="F348" s="1146">
        <v>140.1</v>
      </c>
      <c r="G348" s="1146">
        <v>139.6</v>
      </c>
      <c r="H348" s="1146">
        <v>139.1</v>
      </c>
      <c r="I348" s="1146">
        <v>138.6</v>
      </c>
      <c r="J348" s="1146">
        <v>138</v>
      </c>
      <c r="K348" s="1146">
        <v>138.19999999999999</v>
      </c>
      <c r="L348" s="1146">
        <v>138.80000000000001</v>
      </c>
      <c r="M348" s="1146">
        <v>139.6</v>
      </c>
      <c r="N348" s="1146">
        <v>140.1</v>
      </c>
      <c r="O348" s="1120">
        <v>139.6</v>
      </c>
      <c r="Q348" s="1049"/>
      <c r="R348" s="1049"/>
      <c r="S348" s="1049"/>
      <c r="T348" s="1049"/>
    </row>
    <row r="349" spans="2:25">
      <c r="B349" s="1104">
        <v>2000</v>
      </c>
      <c r="C349" s="1146">
        <v>140</v>
      </c>
      <c r="D349" s="1146">
        <v>139.80000000000001</v>
      </c>
      <c r="E349" s="1146">
        <v>140</v>
      </c>
      <c r="F349" s="1146">
        <v>140.19999999999999</v>
      </c>
      <c r="G349" s="1146">
        <v>140</v>
      </c>
      <c r="H349" s="1146">
        <v>139.6</v>
      </c>
      <c r="I349" s="1146">
        <v>139.30000000000001</v>
      </c>
      <c r="J349" s="1146">
        <v>138.69999999999999</v>
      </c>
      <c r="K349" s="1146">
        <v>138.30000000000001</v>
      </c>
      <c r="L349" s="1146">
        <v>138.6</v>
      </c>
      <c r="M349" s="1146">
        <v>139.6</v>
      </c>
      <c r="N349" s="1146">
        <v>140.5</v>
      </c>
      <c r="O349" s="1120">
        <v>139.6</v>
      </c>
      <c r="Q349" s="1049"/>
      <c r="R349" s="1049"/>
      <c r="S349" s="1049"/>
      <c r="T349" s="1049"/>
    </row>
    <row r="350" spans="2:25">
      <c r="B350" s="1104">
        <v>2001</v>
      </c>
      <c r="C350" s="1146">
        <v>140.4</v>
      </c>
      <c r="D350" s="1146">
        <v>139.9</v>
      </c>
      <c r="E350" s="1146">
        <v>139.5</v>
      </c>
      <c r="F350" s="1146">
        <v>139.6</v>
      </c>
      <c r="G350" s="1146">
        <v>139.19999999999999</v>
      </c>
      <c r="H350" s="1146">
        <v>138.5</v>
      </c>
      <c r="I350" s="1146">
        <v>138.1</v>
      </c>
      <c r="J350" s="1146">
        <v>137.19999999999999</v>
      </c>
      <c r="K350" s="1146">
        <v>137.1</v>
      </c>
      <c r="L350" s="1146">
        <v>137.69999999999999</v>
      </c>
      <c r="M350" s="1146">
        <v>139.4</v>
      </c>
      <c r="N350" s="1146">
        <v>140.5</v>
      </c>
      <c r="O350" s="1120">
        <v>138.9</v>
      </c>
      <c r="Q350" s="1049"/>
      <c r="R350" s="1049"/>
      <c r="S350" s="1049"/>
      <c r="T350" s="1049"/>
    </row>
    <row r="351" spans="2:25">
      <c r="B351" s="1104">
        <v>2002</v>
      </c>
      <c r="C351" s="1146">
        <v>139.69999999999999</v>
      </c>
      <c r="D351" s="1146">
        <v>138.6</v>
      </c>
      <c r="E351" s="1146">
        <v>138.19999999999999</v>
      </c>
      <c r="F351" s="1146">
        <v>137.80000000000001</v>
      </c>
      <c r="G351" s="1146">
        <v>137.19999999999999</v>
      </c>
      <c r="H351" s="1146">
        <v>136.6</v>
      </c>
      <c r="I351" s="1146">
        <v>136.1</v>
      </c>
      <c r="J351" s="1146">
        <v>135.4</v>
      </c>
      <c r="K351" s="1146">
        <v>135.80000000000001</v>
      </c>
      <c r="L351" s="1146">
        <v>136.69999999999999</v>
      </c>
      <c r="M351" s="1146">
        <v>137.6</v>
      </c>
      <c r="N351" s="1146">
        <v>137.69999999999999</v>
      </c>
      <c r="O351" s="1120">
        <v>137.30000000000001</v>
      </c>
      <c r="Q351" s="1049"/>
      <c r="R351" s="1049"/>
      <c r="S351" s="1049"/>
      <c r="T351" s="1049"/>
    </row>
    <row r="352" spans="2:25">
      <c r="B352" s="1104">
        <v>2003</v>
      </c>
      <c r="C352" s="1146">
        <v>136.69999999999999</v>
      </c>
      <c r="D352" s="1146">
        <v>136</v>
      </c>
      <c r="E352" s="1146">
        <v>136.1</v>
      </c>
      <c r="F352" s="1146">
        <v>135.5</v>
      </c>
      <c r="G352" s="1146">
        <v>134.9</v>
      </c>
      <c r="H352" s="1146">
        <v>134.19999999999999</v>
      </c>
      <c r="I352" s="1146">
        <v>133.5</v>
      </c>
      <c r="J352" s="1146">
        <v>133.6</v>
      </c>
      <c r="K352" s="1146">
        <v>133.1</v>
      </c>
      <c r="L352" s="1146">
        <v>133.5</v>
      </c>
      <c r="M352" s="1146">
        <v>134.30000000000001</v>
      </c>
      <c r="N352" s="1146">
        <v>134.80000000000001</v>
      </c>
      <c r="O352" s="1120">
        <v>134.69999999999999</v>
      </c>
      <c r="Q352" s="1049"/>
      <c r="R352" s="1049"/>
      <c r="S352" s="1049"/>
      <c r="T352" s="1049"/>
    </row>
    <row r="353" spans="2:20">
      <c r="B353" s="1104">
        <v>2004</v>
      </c>
      <c r="C353" s="1109">
        <v>134.69999999999999</v>
      </c>
      <c r="D353" s="1109">
        <v>134.80000000000001</v>
      </c>
      <c r="E353" s="1109">
        <v>134.6</v>
      </c>
      <c r="F353" s="1109">
        <v>134.30000000000001</v>
      </c>
      <c r="G353" s="1109">
        <v>134.4</v>
      </c>
      <c r="H353" s="1109">
        <v>134.19999999999999</v>
      </c>
      <c r="I353" s="1109">
        <v>133</v>
      </c>
      <c r="J353" s="1109">
        <v>132</v>
      </c>
      <c r="K353" s="1109">
        <v>131.9</v>
      </c>
      <c r="L353" s="1109">
        <v>133</v>
      </c>
      <c r="M353" s="1109">
        <v>134.9</v>
      </c>
      <c r="N353" s="1109">
        <v>135.5</v>
      </c>
      <c r="O353" s="1120">
        <v>133.9</v>
      </c>
      <c r="Q353" s="1049"/>
      <c r="R353" s="1049"/>
      <c r="S353" s="1049"/>
      <c r="T353" s="1049"/>
    </row>
    <row r="354" spans="2:20">
      <c r="B354" s="1104">
        <v>2005</v>
      </c>
      <c r="C354" s="1109">
        <v>136.4</v>
      </c>
      <c r="D354" s="1109">
        <v>136.4</v>
      </c>
      <c r="E354" s="1109">
        <v>135.69999999999999</v>
      </c>
      <c r="F354" s="1109">
        <v>135.6</v>
      </c>
      <c r="G354" s="1109">
        <v>135.5</v>
      </c>
      <c r="H354" s="1109">
        <v>135.1</v>
      </c>
      <c r="I354" s="1109">
        <v>133.9</v>
      </c>
      <c r="J354" s="1109">
        <v>132.69999999999999</v>
      </c>
      <c r="K354" s="1109">
        <v>133.6</v>
      </c>
      <c r="L354" s="1109">
        <v>135.1</v>
      </c>
      <c r="M354" s="1109">
        <v>136.1</v>
      </c>
      <c r="N354" s="1109">
        <v>136.6</v>
      </c>
      <c r="O354" s="1120">
        <v>135.19999999999999</v>
      </c>
      <c r="Q354" s="1049"/>
      <c r="R354" s="1049"/>
      <c r="S354" s="1049"/>
      <c r="T354" s="1049"/>
    </row>
    <row r="355" spans="2:20">
      <c r="B355" s="1104">
        <v>2006</v>
      </c>
      <c r="C355" s="1109">
        <v>137.69999999999999</v>
      </c>
      <c r="D355" s="1109">
        <v>137.5</v>
      </c>
      <c r="E355" s="1109">
        <v>136.9</v>
      </c>
      <c r="F355" s="1109">
        <v>136.5</v>
      </c>
      <c r="G355" s="1109">
        <v>136.19999999999999</v>
      </c>
      <c r="H355" s="1109">
        <v>135.80000000000001</v>
      </c>
      <c r="I355" s="1109">
        <v>135.6</v>
      </c>
      <c r="J355" s="1109">
        <v>135.4</v>
      </c>
      <c r="K355" s="1109">
        <v>135.69999999999999</v>
      </c>
      <c r="L355" s="1109">
        <v>136.30000000000001</v>
      </c>
      <c r="M355" s="1109">
        <v>136.6</v>
      </c>
      <c r="N355" s="1109">
        <v>136.9</v>
      </c>
      <c r="O355" s="1120">
        <v>136.4</v>
      </c>
      <c r="Q355" s="1049"/>
      <c r="R355" s="1049"/>
      <c r="S355" s="1049"/>
      <c r="T355" s="1049"/>
    </row>
    <row r="356" spans="2:20">
      <c r="B356" s="1104">
        <v>2007</v>
      </c>
      <c r="C356" s="1109">
        <v>137.20400000000001</v>
      </c>
      <c r="D356" s="1109">
        <v>136.84399999999999</v>
      </c>
      <c r="E356" s="1109">
        <v>136.589</v>
      </c>
      <c r="F356" s="1109">
        <v>136.4</v>
      </c>
      <c r="G356" s="1109">
        <v>135.78700000000001</v>
      </c>
      <c r="H356" s="1109">
        <v>135.47900000000001</v>
      </c>
      <c r="I356" s="1109">
        <v>135.00899999999999</v>
      </c>
      <c r="J356" s="1109">
        <v>134.88800000000001</v>
      </c>
      <c r="K356" s="1109">
        <v>134.637</v>
      </c>
      <c r="L356" s="1109">
        <v>135.16900000000001</v>
      </c>
      <c r="M356" s="1109">
        <v>136.00299999999999</v>
      </c>
      <c r="N356" s="1109">
        <v>136.37100000000001</v>
      </c>
      <c r="O356" s="1120">
        <v>135.86500000000001</v>
      </c>
      <c r="Q356" s="1049"/>
      <c r="R356" s="1049"/>
      <c r="S356" s="1049"/>
      <c r="T356" s="1049"/>
    </row>
    <row r="357" spans="2:20">
      <c r="B357" s="1104">
        <v>2008</v>
      </c>
      <c r="C357" s="1109">
        <v>136.363</v>
      </c>
      <c r="D357" s="1109">
        <v>136.00899999999999</v>
      </c>
      <c r="E357" s="1109">
        <v>135.64500000000001</v>
      </c>
      <c r="F357" s="1109">
        <v>135.32900000000001</v>
      </c>
      <c r="G357" s="1109">
        <v>135.14400000000001</v>
      </c>
      <c r="H357" s="1109">
        <v>135.23500000000001</v>
      </c>
      <c r="I357" s="1109">
        <v>135.80000000000001</v>
      </c>
      <c r="J357" s="1109">
        <v>135.48099999999999</v>
      </c>
      <c r="K357" s="1109">
        <v>134.994</v>
      </c>
      <c r="L357" s="1109">
        <v>134.83699999999999</v>
      </c>
      <c r="M357" s="1109">
        <v>135.041</v>
      </c>
      <c r="N357" s="1109">
        <v>134.93</v>
      </c>
      <c r="O357" s="1120">
        <v>135.40100000000001</v>
      </c>
      <c r="Q357" s="1049"/>
      <c r="R357" s="1049"/>
      <c r="S357" s="1049"/>
      <c r="T357" s="1049"/>
    </row>
    <row r="358" spans="2:20">
      <c r="B358" s="1104">
        <v>2009</v>
      </c>
      <c r="C358" s="1109">
        <v>135.637</v>
      </c>
      <c r="D358" s="1109">
        <v>135.98400000000001</v>
      </c>
      <c r="E358" s="1109">
        <v>135.947</v>
      </c>
      <c r="F358" s="1109">
        <v>136.03700000000001</v>
      </c>
      <c r="G358" s="1109">
        <v>136.172</v>
      </c>
      <c r="H358" s="1109">
        <v>136.48599999999999</v>
      </c>
      <c r="I358" s="1109">
        <v>136.84399999999999</v>
      </c>
      <c r="J358" s="1109">
        <v>134.666</v>
      </c>
      <c r="K358" s="1109">
        <v>135.041</v>
      </c>
      <c r="L358" s="1109">
        <v>137.851</v>
      </c>
      <c r="M358" s="1109">
        <v>139.821</v>
      </c>
      <c r="N358" s="1109">
        <v>139.72800000000001</v>
      </c>
      <c r="O358" s="1120">
        <v>136.685</v>
      </c>
      <c r="Q358" s="1049"/>
      <c r="R358" s="1049"/>
      <c r="S358" s="1049"/>
      <c r="T358" s="1049"/>
    </row>
    <row r="359" spans="2:20">
      <c r="B359" s="1104">
        <v>2010</v>
      </c>
      <c r="C359" s="1109">
        <v>139.29</v>
      </c>
      <c r="D359" s="1109">
        <v>139.19800000000001</v>
      </c>
      <c r="E359" s="1109">
        <v>138.71199999999999</v>
      </c>
      <c r="F359" s="1109">
        <v>138.16999999999999</v>
      </c>
      <c r="G359" s="1109">
        <v>137.89599999999999</v>
      </c>
      <c r="H359" s="1109">
        <v>137.75899999999999</v>
      </c>
      <c r="I359" s="1109">
        <v>137.46199999999999</v>
      </c>
      <c r="J359" s="1109">
        <v>137.18</v>
      </c>
      <c r="K359" s="1109">
        <v>137.423</v>
      </c>
      <c r="L359" s="1109">
        <v>137.88</v>
      </c>
      <c r="M359" s="1109">
        <v>138.01499999999999</v>
      </c>
      <c r="N359" s="1109">
        <v>138.14699999999999</v>
      </c>
      <c r="O359" s="1120">
        <v>138.09399999999999</v>
      </c>
      <c r="Q359" s="1049"/>
      <c r="R359" s="1049"/>
      <c r="S359" s="1049"/>
      <c r="T359" s="1049"/>
    </row>
    <row r="360" spans="2:20">
      <c r="B360" s="1104">
        <v>2011</v>
      </c>
      <c r="C360" s="1109">
        <v>138.203</v>
      </c>
      <c r="D360" s="1109">
        <v>139.584</v>
      </c>
      <c r="E360" s="1109">
        <v>140.31100000000001</v>
      </c>
      <c r="F360" s="1109">
        <v>141.154</v>
      </c>
      <c r="G360" s="1109">
        <v>142.71700000000001</v>
      </c>
      <c r="H360" s="1109">
        <v>143.81200000000001</v>
      </c>
      <c r="I360" s="1109">
        <v>143.70699999999999</v>
      </c>
      <c r="J360" s="1109">
        <v>143.28299999999999</v>
      </c>
      <c r="K360" s="1109">
        <v>143.41399999999999</v>
      </c>
      <c r="L360" s="1109">
        <v>143.41900000000001</v>
      </c>
      <c r="M360" s="1109">
        <v>143.489</v>
      </c>
      <c r="N360" s="1109">
        <v>143.619</v>
      </c>
      <c r="O360" s="1120">
        <v>142.226</v>
      </c>
      <c r="Q360" s="1049"/>
      <c r="R360" s="1049"/>
      <c r="S360" s="1049"/>
      <c r="T360" s="1049"/>
    </row>
    <row r="361" spans="2:20">
      <c r="B361" s="1104">
        <v>2012</v>
      </c>
      <c r="C361" s="1109">
        <v>143.69800000000001</v>
      </c>
      <c r="D361" s="1109">
        <v>144.273</v>
      </c>
      <c r="E361" s="1109">
        <v>144.10300000000001</v>
      </c>
      <c r="F361" s="1109">
        <v>144.404</v>
      </c>
      <c r="G361" s="1109">
        <v>144.477</v>
      </c>
      <c r="H361" s="1109">
        <v>144.36500000000001</v>
      </c>
      <c r="I361" s="1109">
        <v>143.92400000000001</v>
      </c>
      <c r="J361" s="1109">
        <v>143.70400000000001</v>
      </c>
      <c r="K361" s="1109">
        <v>143.535</v>
      </c>
      <c r="L361" s="1109">
        <v>143.78700000000001</v>
      </c>
      <c r="M361" s="1109">
        <v>144.70099999999999</v>
      </c>
      <c r="N361" s="1109">
        <v>145.16300000000001</v>
      </c>
      <c r="O361" s="1120">
        <v>144.178</v>
      </c>
      <c r="Q361" s="1049"/>
      <c r="R361" s="1049"/>
      <c r="S361" s="1049"/>
      <c r="T361" s="1049"/>
    </row>
    <row r="362" spans="2:20">
      <c r="B362" s="1104">
        <v>2013</v>
      </c>
      <c r="C362" s="1109">
        <v>145.71199999999999</v>
      </c>
      <c r="D362" s="1109">
        <v>145.68799999999999</v>
      </c>
      <c r="E362" s="1109">
        <v>145.59200000000001</v>
      </c>
      <c r="F362" s="1109">
        <v>145.673</v>
      </c>
      <c r="G362" s="1109">
        <v>145.334</v>
      </c>
      <c r="H362" s="1109">
        <v>145.05699999999999</v>
      </c>
      <c r="I362" s="1109">
        <v>144.69200000000001</v>
      </c>
      <c r="J362" s="1109">
        <v>144.34200000000001</v>
      </c>
      <c r="K362" s="1109">
        <v>144.22999999999999</v>
      </c>
      <c r="L362" s="1109">
        <v>144.16900000000001</v>
      </c>
      <c r="M362" s="1109">
        <v>144.232</v>
      </c>
      <c r="N362" s="1109">
        <v>144.36000000000001</v>
      </c>
      <c r="O362" s="1120">
        <v>144.923</v>
      </c>
      <c r="Q362" s="1049"/>
      <c r="R362" s="1049"/>
      <c r="S362" s="1049"/>
      <c r="T362" s="1049"/>
    </row>
    <row r="363" spans="2:20">
      <c r="B363" s="1104">
        <v>2014</v>
      </c>
      <c r="C363" s="1056">
        <v>144.55600000000001</v>
      </c>
      <c r="D363" s="1056">
        <v>144.98099999999999</v>
      </c>
      <c r="E363" s="1056">
        <v>144.81200000000001</v>
      </c>
      <c r="F363" s="1056">
        <v>145.03899999999999</v>
      </c>
      <c r="G363" s="1056">
        <v>145.078</v>
      </c>
      <c r="H363" s="1056">
        <v>144.53700000000001</v>
      </c>
      <c r="I363" s="1056">
        <v>144.36600000000001</v>
      </c>
      <c r="J363" s="1056">
        <v>143.77199999999999</v>
      </c>
      <c r="K363" s="1056">
        <v>143.708</v>
      </c>
      <c r="L363" s="1056">
        <v>144.131</v>
      </c>
      <c r="M363" s="1056">
        <v>144.374</v>
      </c>
      <c r="N363" s="1056">
        <v>144.274</v>
      </c>
      <c r="O363" s="1120">
        <v>144.46899999999999</v>
      </c>
      <c r="Q363" s="1049"/>
      <c r="R363" s="1049"/>
      <c r="S363" s="1049"/>
      <c r="T363" s="1049"/>
    </row>
    <row r="364" spans="2:20">
      <c r="B364" s="1104">
        <v>2015</v>
      </c>
      <c r="C364" s="1056">
        <v>144.31899999999999</v>
      </c>
      <c r="D364" s="1056">
        <v>145.066</v>
      </c>
      <c r="E364" s="1056">
        <v>145.232</v>
      </c>
      <c r="F364" s="1056">
        <v>145.215</v>
      </c>
      <c r="G364" s="1056">
        <v>145.19</v>
      </c>
      <c r="H364" s="1056">
        <v>145.25299999999999</v>
      </c>
      <c r="I364" s="1056">
        <v>144.375</v>
      </c>
      <c r="J364" s="1056">
        <v>143.905</v>
      </c>
      <c r="K364" s="1056">
        <v>143.58099999999999</v>
      </c>
      <c r="L364" s="1056">
        <v>143.51599999999999</v>
      </c>
      <c r="M364" s="1056">
        <v>143.45599999999999</v>
      </c>
      <c r="N364" s="1056">
        <v>143.63800000000001</v>
      </c>
      <c r="O364" s="1120">
        <v>144.39599999999999</v>
      </c>
      <c r="Q364" s="1049"/>
      <c r="R364" s="1049"/>
      <c r="S364" s="1049"/>
      <c r="T364" s="1049"/>
    </row>
    <row r="365" spans="2:20">
      <c r="B365" s="1104">
        <v>2016</v>
      </c>
      <c r="C365" s="1095">
        <v>144.279</v>
      </c>
      <c r="D365" s="1056">
        <v>145.09399999999999</v>
      </c>
      <c r="E365" s="1056">
        <v>144.78</v>
      </c>
      <c r="F365" s="1056">
        <v>144.33799999999999</v>
      </c>
      <c r="G365" s="1056">
        <v>144.07400000000001</v>
      </c>
      <c r="H365" s="1056">
        <v>143.46199999999999</v>
      </c>
      <c r="I365" s="1056">
        <v>143.23699999999999</v>
      </c>
      <c r="J365" s="1056">
        <v>142.827</v>
      </c>
      <c r="K365" s="1056">
        <v>142.63</v>
      </c>
      <c r="L365" s="1056">
        <v>143.03200000000001</v>
      </c>
      <c r="M365" s="1056">
        <v>143.18299999999999</v>
      </c>
      <c r="N365" s="1056">
        <v>143.34700000000001</v>
      </c>
      <c r="O365" s="1120">
        <v>143.69</v>
      </c>
      <c r="Q365" s="1049"/>
      <c r="R365" s="1049"/>
      <c r="S365" s="1049"/>
      <c r="T365" s="1049"/>
    </row>
    <row r="366" spans="2:20">
      <c r="B366" s="1104">
        <v>2017</v>
      </c>
      <c r="C366" s="1095">
        <v>145.02199999999999</v>
      </c>
      <c r="D366" s="1056">
        <v>145.21199999999999</v>
      </c>
      <c r="E366" s="1056">
        <v>144.589</v>
      </c>
      <c r="F366" s="1056">
        <v>144.45699999999999</v>
      </c>
      <c r="G366" s="1056">
        <v>143.90799999999999</v>
      </c>
      <c r="H366" s="1056">
        <v>143.084</v>
      </c>
      <c r="I366" s="1056">
        <v>141.68700000000001</v>
      </c>
      <c r="J366" s="1056">
        <v>141.066</v>
      </c>
      <c r="K366" s="1056">
        <v>140.238</v>
      </c>
      <c r="L366" s="1056">
        <v>140.024</v>
      </c>
      <c r="M366" s="1056">
        <v>140.785</v>
      </c>
      <c r="N366" s="1056">
        <v>141.83699999999999</v>
      </c>
      <c r="O366" s="1120">
        <v>142.65899999999999</v>
      </c>
      <c r="Q366" s="1049"/>
      <c r="R366" s="1049"/>
      <c r="S366" s="1049"/>
      <c r="T366" s="1049"/>
    </row>
    <row r="367" spans="2:20">
      <c r="B367" s="1104">
        <v>2018</v>
      </c>
      <c r="C367" s="1095">
        <v>142.39500000000001</v>
      </c>
      <c r="D367" s="1056">
        <v>142.16</v>
      </c>
      <c r="E367" s="1056">
        <v>142.036</v>
      </c>
      <c r="F367" s="1056">
        <v>141.465</v>
      </c>
      <c r="G367" s="1056">
        <v>141.929</v>
      </c>
      <c r="H367" s="1056">
        <v>142.14500000000001</v>
      </c>
      <c r="I367" s="1056">
        <v>142.21600000000001</v>
      </c>
      <c r="J367" s="1056">
        <v>141.84100000000001</v>
      </c>
      <c r="K367" s="1056">
        <v>141.75</v>
      </c>
      <c r="L367" s="1056">
        <v>141.642</v>
      </c>
      <c r="M367" s="1056">
        <v>141.91200000000001</v>
      </c>
      <c r="N367" s="1056">
        <v>142.124</v>
      </c>
      <c r="O367" s="1120">
        <v>141.96799999999999</v>
      </c>
      <c r="Q367" s="1049"/>
      <c r="R367" s="1049"/>
      <c r="S367" s="1049"/>
      <c r="T367" s="1049"/>
    </row>
    <row r="368" spans="2:20">
      <c r="B368" s="1104">
        <v>2019</v>
      </c>
      <c r="C368" s="1095">
        <v>142.95500000000001</v>
      </c>
      <c r="D368" s="1056">
        <v>143.00200000000001</v>
      </c>
      <c r="E368" s="1056">
        <v>143.44800000000001</v>
      </c>
      <c r="F368" s="1056">
        <v>143.45400000000001</v>
      </c>
      <c r="G368" s="1056">
        <v>143.47999999999999</v>
      </c>
      <c r="H368" s="1056">
        <v>143.398</v>
      </c>
      <c r="I368" s="1056">
        <v>143.10900000000001</v>
      </c>
      <c r="J368" s="1056">
        <v>142.65199999999999</v>
      </c>
      <c r="K368" s="1056">
        <v>141.934</v>
      </c>
      <c r="L368" s="1056">
        <v>141.97</v>
      </c>
      <c r="M368" s="1056">
        <v>141.92099999999999</v>
      </c>
      <c r="N368" s="1056">
        <v>142.279</v>
      </c>
      <c r="O368" s="1120">
        <v>142.80000000000001</v>
      </c>
      <c r="R368" s="1049"/>
      <c r="S368" s="1049"/>
      <c r="T368" s="1049"/>
    </row>
    <row r="369" spans="2:20">
      <c r="B369" s="1104">
        <v>2020</v>
      </c>
      <c r="C369" s="1095">
        <v>143.38800000000001</v>
      </c>
      <c r="D369" s="1056">
        <v>144.178</v>
      </c>
      <c r="E369" s="1056">
        <v>143.517</v>
      </c>
      <c r="F369" s="1056">
        <v>143.11600000000001</v>
      </c>
      <c r="G369" s="1056">
        <v>143.22300000000001</v>
      </c>
      <c r="H369" s="1056">
        <v>143.54599999999999</v>
      </c>
      <c r="I369" s="1056">
        <v>144.381</v>
      </c>
      <c r="J369" s="1056">
        <v>144.10599999999999</v>
      </c>
      <c r="K369" s="1056">
        <v>144.084</v>
      </c>
      <c r="L369" s="1056">
        <v>144.31700000000001</v>
      </c>
      <c r="M369" s="1056">
        <v>144.28100000000001</v>
      </c>
      <c r="N369" s="1056">
        <v>145.32499999999999</v>
      </c>
      <c r="O369" s="1120">
        <v>143.95500000000001</v>
      </c>
      <c r="Q369" s="1119"/>
      <c r="R369" s="1049"/>
      <c r="S369" s="1049"/>
      <c r="T369" s="1049"/>
    </row>
    <row r="370" spans="2:20">
      <c r="B370" s="1104">
        <v>2021</v>
      </c>
      <c r="C370" s="1095">
        <v>145.72499999999999</v>
      </c>
      <c r="D370" s="1056">
        <v>145.99100000000001</v>
      </c>
      <c r="E370" s="1056">
        <v>145.37200000000001</v>
      </c>
      <c r="F370" s="1056">
        <v>145.46600000000001</v>
      </c>
      <c r="G370" s="1056">
        <v>147.72399999999999</v>
      </c>
      <c r="H370" s="1056">
        <v>150.32900000000001</v>
      </c>
      <c r="I370" s="1056">
        <v>152.61699999999999</v>
      </c>
      <c r="J370" s="1056">
        <v>154.33500000000001</v>
      </c>
      <c r="K370" s="1056">
        <v>155.70699999999999</v>
      </c>
      <c r="O370" s="1120"/>
      <c r="Q370" s="1119" t="s">
        <v>1265</v>
      </c>
      <c r="R370" s="1049"/>
      <c r="S370" s="1049"/>
      <c r="T370" s="1049"/>
    </row>
    <row r="371" spans="2:20">
      <c r="B371" s="1056"/>
      <c r="Q371" s="1049"/>
      <c r="R371" s="1049"/>
      <c r="S371" s="1049"/>
      <c r="T371" s="1049"/>
    </row>
    <row r="372" spans="2:20">
      <c r="B372" s="1147"/>
      <c r="Q372" s="1049"/>
      <c r="R372" s="1049"/>
      <c r="S372" s="1049"/>
      <c r="T372" s="1049"/>
    </row>
  </sheetData>
  <hyperlinks>
    <hyperlink ref="B19" r:id="rId1" xr:uid="{E89969A8-3300-4CD6-BF8B-00AE080B528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theme="8" tint="0.79998168889431442"/>
  </sheetPr>
  <dimension ref="A1:CO47"/>
  <sheetViews>
    <sheetView workbookViewId="0">
      <selection activeCell="B2" sqref="B2"/>
    </sheetView>
  </sheetViews>
  <sheetFormatPr defaultColWidth="9" defaultRowHeight="10"/>
  <cols>
    <col min="1" max="1" width="0.83203125" style="1259" customWidth="1"/>
    <col min="2" max="2" width="13.25" style="1259" customWidth="1"/>
    <col min="3" max="3" width="14.58203125" style="1259" bestFit="1" customWidth="1"/>
    <col min="4" max="16384" width="9" style="1259"/>
  </cols>
  <sheetData>
    <row r="1" spans="1:93" s="1307" customFormat="1" ht="13">
      <c r="A1" s="1148" t="s">
        <v>1025</v>
      </c>
      <c r="B1" s="4"/>
      <c r="C1" s="1153"/>
      <c r="D1" s="1154"/>
      <c r="E1" s="1154"/>
      <c r="F1" s="1154"/>
      <c r="G1" s="1154"/>
      <c r="H1" s="1154"/>
      <c r="I1" s="1154"/>
      <c r="J1" s="1154"/>
      <c r="K1" s="1154"/>
      <c r="L1" s="1154"/>
      <c r="M1" s="1154"/>
      <c r="N1" s="1154"/>
      <c r="O1" s="1154"/>
      <c r="P1" s="1154"/>
    </row>
    <row r="3" spans="1:93" s="1308" customFormat="1" ht="14">
      <c r="A3" s="83" t="s">
        <v>1195</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row>
    <row r="4" spans="1:93" s="1308" customFormat="1" ht="14">
      <c r="A4" s="83" t="s">
        <v>1196</v>
      </c>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row>
    <row r="5" spans="1:93" s="1308" customFormat="1" ht="14">
      <c r="A5" s="83" t="s">
        <v>1197</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row>
    <row r="6" spans="1:93" s="1308" customFormat="1" ht="14">
      <c r="A6" s="83" t="s">
        <v>1198</v>
      </c>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row>
    <row r="7" spans="1:93" s="1308" customFormat="1" ht="14">
      <c r="A7" s="1309" t="s">
        <v>1199</v>
      </c>
      <c r="B7" s="1310"/>
      <c r="C7" s="1311">
        <v>2001</v>
      </c>
      <c r="D7" s="1311">
        <v>2002</v>
      </c>
      <c r="E7" s="1311">
        <v>2003</v>
      </c>
      <c r="F7" s="1311">
        <v>2004</v>
      </c>
      <c r="G7" s="1311">
        <v>2005</v>
      </c>
      <c r="H7" s="1311">
        <v>2006</v>
      </c>
      <c r="I7" s="1311">
        <v>2007</v>
      </c>
      <c r="J7" s="1311">
        <v>2008</v>
      </c>
      <c r="K7" s="1311">
        <v>2009</v>
      </c>
      <c r="L7" s="1311">
        <v>2010</v>
      </c>
      <c r="M7" s="1311">
        <v>2011</v>
      </c>
      <c r="N7" s="1311">
        <v>2012</v>
      </c>
      <c r="O7" s="1311">
        <v>2013</v>
      </c>
      <c r="P7" s="1311">
        <v>2014</v>
      </c>
      <c r="Q7" s="1311">
        <v>2015</v>
      </c>
      <c r="R7" s="1311">
        <v>2016</v>
      </c>
      <c r="S7" s="1311">
        <v>2017</v>
      </c>
      <c r="T7" s="1311">
        <v>2018</v>
      </c>
      <c r="U7" s="1311">
        <v>2019</v>
      </c>
      <c r="V7" s="1311">
        <v>2020</v>
      </c>
    </row>
    <row r="8" spans="1:93" s="1308" customFormat="1" ht="14">
      <c r="A8" s="1309" t="s">
        <v>1199</v>
      </c>
      <c r="B8" s="1310"/>
      <c r="C8" s="1310"/>
      <c r="D8" s="1310"/>
      <c r="E8" s="1310"/>
      <c r="F8" s="1310"/>
      <c r="G8" s="1310"/>
      <c r="H8" s="1310"/>
      <c r="I8" s="1310"/>
      <c r="J8" s="1310"/>
      <c r="K8" s="1310"/>
      <c r="L8" s="1310"/>
      <c r="M8" s="1310"/>
      <c r="N8" s="1310"/>
      <c r="O8" s="1310"/>
      <c r="P8" s="1310"/>
      <c r="Q8" s="1310"/>
      <c r="R8" s="1310"/>
      <c r="S8" s="1310"/>
      <c r="T8" s="1310"/>
      <c r="U8" s="1310"/>
      <c r="V8" s="1310"/>
    </row>
    <row r="9" spans="1:93" s="1308" customFormat="1" ht="14">
      <c r="A9" s="1309">
        <v>1</v>
      </c>
      <c r="B9" s="1312" t="s">
        <v>1200</v>
      </c>
      <c r="C9" s="1310">
        <v>79.783000000000001</v>
      </c>
      <c r="D9" s="1310">
        <v>81.025999999999996</v>
      </c>
      <c r="E9" s="1310">
        <v>82.625</v>
      </c>
      <c r="F9" s="1310">
        <v>84.843000000000004</v>
      </c>
      <c r="G9" s="1310">
        <v>87.504000000000005</v>
      </c>
      <c r="H9" s="1310">
        <v>90.203999999999994</v>
      </c>
      <c r="I9" s="1310">
        <v>92.641999999999996</v>
      </c>
      <c r="J9" s="1310">
        <v>94.418999999999997</v>
      </c>
      <c r="K9" s="1310">
        <v>95.024000000000001</v>
      </c>
      <c r="L9" s="1310">
        <v>96.165999999999997</v>
      </c>
      <c r="M9" s="1310">
        <v>98.164000000000001</v>
      </c>
      <c r="N9" s="1310">
        <v>100</v>
      </c>
      <c r="O9" s="1310">
        <v>101.751</v>
      </c>
      <c r="P9" s="1310">
        <v>103.654</v>
      </c>
      <c r="Q9" s="1310">
        <v>104.691</v>
      </c>
      <c r="R9" s="1310">
        <v>105.74</v>
      </c>
      <c r="S9" s="1310">
        <v>107.747</v>
      </c>
      <c r="T9" s="1310">
        <v>110.321</v>
      </c>
      <c r="U9" s="1310">
        <v>112.294</v>
      </c>
      <c r="V9" s="1310">
        <v>113.648</v>
      </c>
    </row>
    <row r="10" spans="1:93" s="1308" customFormat="1" ht="14"/>
    <row r="11" spans="1:93" s="1313" customFormat="1" ht="10.5">
      <c r="B11" s="84" t="s">
        <v>1267</v>
      </c>
    </row>
    <row r="12" spans="1:93" s="1313" customFormat="1"/>
    <row r="14" spans="1:93" ht="10.5">
      <c r="B14" s="1259" t="s">
        <v>590</v>
      </c>
      <c r="C14" s="144"/>
    </row>
    <row r="15" spans="1:93">
      <c r="B15" s="343" t="s">
        <v>591</v>
      </c>
    </row>
    <row r="16" spans="1:93">
      <c r="B16" s="1305" t="s">
        <v>0</v>
      </c>
      <c r="C16" s="1305" t="s">
        <v>1026</v>
      </c>
    </row>
    <row r="17" spans="2:4">
      <c r="B17" s="1305">
        <v>2001</v>
      </c>
      <c r="C17" s="1306">
        <f>1+($U$9-HLOOKUP(B17,$C$7:$V$9,3))/HLOOKUP(B17,$C$7:$U$9,3)</f>
        <v>1.4074928242858753</v>
      </c>
      <c r="D17" s="110"/>
    </row>
    <row r="18" spans="2:4">
      <c r="B18" s="1305">
        <v>2002</v>
      </c>
      <c r="C18" s="1306">
        <f t="shared" ref="C18:C36" si="0">1+($U$9-HLOOKUP(B18,$C$7:$V$9,3))/HLOOKUP(B18,$C$7:$U$9,3)</f>
        <v>1.3859008219583837</v>
      </c>
      <c r="D18" s="110"/>
    </row>
    <row r="19" spans="2:4">
      <c r="B19" s="1305">
        <v>2003</v>
      </c>
      <c r="C19" s="1306">
        <f t="shared" si="0"/>
        <v>1.3590801815431164</v>
      </c>
      <c r="D19" s="110"/>
    </row>
    <row r="20" spans="2:4">
      <c r="B20" s="1305">
        <v>2004</v>
      </c>
      <c r="C20" s="1306">
        <f t="shared" si="0"/>
        <v>1.3235505580896478</v>
      </c>
      <c r="D20" s="110"/>
    </row>
    <row r="21" spans="2:4">
      <c r="B21" s="1305">
        <v>2005</v>
      </c>
      <c r="C21" s="1306">
        <f t="shared" si="0"/>
        <v>1.2833013347961235</v>
      </c>
      <c r="D21" s="110"/>
    </row>
    <row r="22" spans="2:4">
      <c r="B22" s="1305">
        <v>2006</v>
      </c>
      <c r="C22" s="1306">
        <f t="shared" si="0"/>
        <v>1.2448893618908252</v>
      </c>
      <c r="D22" s="110"/>
    </row>
    <row r="23" spans="2:4">
      <c r="B23" s="1305">
        <v>2007</v>
      </c>
      <c r="C23" s="1306">
        <f t="shared" si="0"/>
        <v>1.2121284082813411</v>
      </c>
      <c r="D23" s="110"/>
    </row>
    <row r="24" spans="2:4">
      <c r="B24" s="1305">
        <v>2008</v>
      </c>
      <c r="C24" s="1306">
        <f t="shared" si="0"/>
        <v>1.1893157097618063</v>
      </c>
      <c r="D24" s="110"/>
    </row>
    <row r="25" spans="2:4">
      <c r="B25" s="1305">
        <v>2009</v>
      </c>
      <c r="C25" s="1306">
        <f t="shared" si="0"/>
        <v>1.1817435595218049</v>
      </c>
      <c r="D25" s="110"/>
    </row>
    <row r="26" spans="2:4">
      <c r="B26" s="1305">
        <v>2010</v>
      </c>
      <c r="C26" s="1306">
        <f t="shared" si="0"/>
        <v>1.1677100014558159</v>
      </c>
      <c r="D26" s="110"/>
    </row>
    <row r="27" spans="2:4">
      <c r="B27" s="1305">
        <v>2011</v>
      </c>
      <c r="C27" s="1306">
        <f t="shared" si="0"/>
        <v>1.1439427896173751</v>
      </c>
      <c r="D27" s="110"/>
    </row>
    <row r="28" spans="2:4">
      <c r="B28" s="1305">
        <v>2012</v>
      </c>
      <c r="C28" s="1306">
        <f t="shared" si="0"/>
        <v>1.12294</v>
      </c>
      <c r="D28" s="110"/>
    </row>
    <row r="29" spans="2:4">
      <c r="B29" s="1305">
        <v>2013</v>
      </c>
      <c r="C29" s="1306">
        <f t="shared" si="0"/>
        <v>1.103615689280695</v>
      </c>
      <c r="D29" s="110"/>
    </row>
    <row r="30" spans="2:4">
      <c r="B30" s="1305">
        <v>2014</v>
      </c>
      <c r="C30" s="1306">
        <f t="shared" si="0"/>
        <v>1.0833542362089259</v>
      </c>
      <c r="D30" s="110"/>
    </row>
    <row r="31" spans="2:4">
      <c r="B31" s="1305">
        <v>2015</v>
      </c>
      <c r="C31" s="1306">
        <f t="shared" si="0"/>
        <v>1.0726232436408096</v>
      </c>
      <c r="D31" s="110"/>
    </row>
    <row r="32" spans="2:4">
      <c r="B32" s="1305">
        <v>2016</v>
      </c>
      <c r="C32" s="1306">
        <f t="shared" si="0"/>
        <v>1.0619822205409495</v>
      </c>
      <c r="D32" s="110"/>
    </row>
    <row r="33" spans="2:16">
      <c r="B33" s="1305">
        <v>2017</v>
      </c>
      <c r="C33" s="1306">
        <f t="shared" si="0"/>
        <v>1.042200710924666</v>
      </c>
      <c r="D33" s="110"/>
    </row>
    <row r="34" spans="2:16">
      <c r="B34" s="1305">
        <v>2018</v>
      </c>
      <c r="C34" s="1306">
        <f t="shared" si="0"/>
        <v>1.0178841743639018</v>
      </c>
      <c r="D34" s="110"/>
    </row>
    <row r="35" spans="2:16">
      <c r="B35" s="1305">
        <v>2019</v>
      </c>
      <c r="C35" s="1306">
        <f t="shared" si="0"/>
        <v>1</v>
      </c>
      <c r="D35" s="110"/>
    </row>
    <row r="36" spans="2:16" s="1346" customFormat="1">
      <c r="B36" s="1305">
        <v>2020</v>
      </c>
      <c r="C36" s="1306">
        <f t="shared" si="0"/>
        <v>0.98794236557607706</v>
      </c>
      <c r="D36" s="110"/>
    </row>
    <row r="38" spans="2:16">
      <c r="B38" s="1346"/>
      <c r="C38" s="1346"/>
      <c r="D38" s="1346"/>
      <c r="E38" s="1346"/>
      <c r="F38" s="1346"/>
      <c r="G38" s="1346"/>
      <c r="H38" s="1346"/>
      <c r="I38" s="1346"/>
      <c r="J38" s="1346"/>
      <c r="K38" s="1346"/>
      <c r="L38" s="1346"/>
      <c r="M38" s="1346"/>
      <c r="N38" s="1346"/>
      <c r="O38" s="1346"/>
      <c r="P38" s="1346"/>
    </row>
    <row r="39" spans="2:16">
      <c r="B39" s="1346"/>
      <c r="C39" s="1346"/>
      <c r="D39" s="1346"/>
      <c r="E39" s="1346"/>
      <c r="F39" s="1346"/>
      <c r="G39" s="1346"/>
      <c r="H39" s="1346"/>
      <c r="I39" s="1346"/>
      <c r="J39" s="1346"/>
      <c r="K39" s="1346"/>
      <c r="L39" s="1346"/>
      <c r="M39" s="1346"/>
      <c r="N39" s="1346"/>
      <c r="O39" s="1346"/>
      <c r="P39" s="1346"/>
    </row>
    <row r="40" spans="2:16">
      <c r="B40" s="1346"/>
      <c r="C40" s="1346"/>
      <c r="D40" s="1346"/>
      <c r="E40" s="1346"/>
      <c r="F40" s="1346"/>
      <c r="G40" s="1346"/>
      <c r="H40" s="1346"/>
      <c r="I40" s="1346"/>
      <c r="J40" s="1346"/>
      <c r="K40" s="1346"/>
      <c r="L40" s="1346"/>
      <c r="M40" s="1346"/>
      <c r="N40" s="1346"/>
      <c r="O40" s="1346"/>
      <c r="P40" s="1346"/>
    </row>
    <row r="41" spans="2:16">
      <c r="B41" s="1346"/>
      <c r="C41" s="1346"/>
      <c r="D41" s="1346"/>
      <c r="E41" s="1346"/>
      <c r="F41" s="1346"/>
      <c r="G41" s="1346"/>
      <c r="H41" s="1346"/>
      <c r="I41" s="1346"/>
      <c r="J41" s="1346"/>
      <c r="K41" s="1346"/>
      <c r="L41" s="1346"/>
      <c r="M41" s="1346"/>
      <c r="N41" s="1346"/>
      <c r="O41" s="1346"/>
      <c r="P41" s="1346"/>
    </row>
    <row r="42" spans="2:16">
      <c r="B42" s="1346"/>
      <c r="C42" s="1346"/>
      <c r="D42" s="1346"/>
      <c r="E42" s="1346"/>
      <c r="F42" s="1346"/>
      <c r="G42" s="1346"/>
      <c r="H42" s="1346"/>
      <c r="I42" s="1346"/>
      <c r="J42" s="1346"/>
      <c r="K42" s="1346"/>
      <c r="L42" s="1346"/>
      <c r="M42" s="1346"/>
      <c r="N42" s="1346"/>
      <c r="O42" s="1346"/>
      <c r="P42" s="1346"/>
    </row>
    <row r="46" spans="2:16" ht="14">
      <c r="B46" s="1314"/>
      <c r="C46" s="1314"/>
      <c r="D46" s="1314"/>
      <c r="E46" s="1314"/>
    </row>
    <row r="47" spans="2:16" ht="14">
      <c r="B47" s="1314"/>
      <c r="C47" s="1314"/>
      <c r="D47" s="1314"/>
      <c r="E47" s="1314"/>
    </row>
  </sheetData>
  <pageMargins left="0.7" right="0.7" top="0.75" bottom="0.75" header="0.3" footer="0.3"/>
  <pageSetup orientation="portrait" horizontalDpi="90" verticalDpi="9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tabColor theme="8" tint="0.79998168889431442"/>
  </sheetPr>
  <dimension ref="A1:P114"/>
  <sheetViews>
    <sheetView workbookViewId="0">
      <selection activeCell="B2" sqref="B2"/>
    </sheetView>
  </sheetViews>
  <sheetFormatPr defaultColWidth="9" defaultRowHeight="10"/>
  <cols>
    <col min="1" max="1" width="0.83203125" style="1259" customWidth="1"/>
    <col min="2" max="2" width="22.33203125" style="1259" customWidth="1"/>
    <col min="3" max="7" width="19.5" style="109" customWidth="1"/>
    <col min="8" max="16384" width="9" style="1259"/>
  </cols>
  <sheetData>
    <row r="1" spans="1:8" s="80" customFormat="1" ht="13">
      <c r="A1" s="1012" t="s">
        <v>205</v>
      </c>
      <c r="B1" s="79"/>
      <c r="C1" s="107"/>
      <c r="D1" s="107"/>
      <c r="E1" s="107"/>
      <c r="F1" s="107"/>
      <c r="G1" s="107"/>
    </row>
    <row r="2" spans="1:8">
      <c r="C2" s="1259"/>
      <c r="D2" s="1259"/>
      <c r="E2" s="1259"/>
      <c r="F2" s="1259"/>
      <c r="G2" s="1259"/>
    </row>
    <row r="3" spans="1:8" s="110" customFormat="1" ht="10.5">
      <c r="A3" s="1259"/>
      <c r="B3" s="108" t="s">
        <v>206</v>
      </c>
      <c r="C3" s="109"/>
      <c r="D3" s="109"/>
      <c r="E3" s="109"/>
      <c r="F3" s="109"/>
      <c r="G3" s="109"/>
    </row>
    <row r="4" spans="1:8" s="110" customFormat="1" ht="21">
      <c r="B4" s="111" t="s">
        <v>207</v>
      </c>
      <c r="C4" s="112" t="s">
        <v>208</v>
      </c>
      <c r="D4" s="112" t="s">
        <v>209</v>
      </c>
      <c r="E4" s="112" t="s">
        <v>210</v>
      </c>
      <c r="F4" s="112" t="s">
        <v>211</v>
      </c>
      <c r="G4" s="112" t="s">
        <v>212</v>
      </c>
    </row>
    <row r="5" spans="1:8" s="110" customFormat="1" ht="20">
      <c r="B5" s="113" t="s">
        <v>213</v>
      </c>
      <c r="C5" s="114" t="s">
        <v>214</v>
      </c>
      <c r="D5" s="114" t="s">
        <v>215</v>
      </c>
      <c r="E5" s="114" t="s">
        <v>216</v>
      </c>
      <c r="F5" s="114" t="s">
        <v>217</v>
      </c>
      <c r="G5" s="114" t="s">
        <v>218</v>
      </c>
    </row>
    <row r="6" spans="1:8" s="83" customFormat="1">
      <c r="A6" s="1259"/>
      <c r="B6" s="115" t="s">
        <v>219</v>
      </c>
      <c r="C6" s="1494" t="s">
        <v>220</v>
      </c>
      <c r="D6" s="1013">
        <v>78.8</v>
      </c>
      <c r="E6" s="1013">
        <v>129.80000000000001</v>
      </c>
      <c r="F6" s="1014">
        <v>23028</v>
      </c>
      <c r="G6" s="1015">
        <v>3.573</v>
      </c>
    </row>
    <row r="7" spans="1:8" s="83" customFormat="1">
      <c r="A7" s="1259"/>
      <c r="B7" s="115" t="s">
        <v>221</v>
      </c>
      <c r="C7" s="1494"/>
      <c r="D7" s="1013">
        <v>190.1</v>
      </c>
      <c r="E7" s="1013">
        <v>242.9</v>
      </c>
      <c r="F7" s="1014">
        <v>34410</v>
      </c>
      <c r="G7" s="1015">
        <v>1.429</v>
      </c>
    </row>
    <row r="8" spans="1:8" s="83" customFormat="1">
      <c r="A8" s="1259"/>
      <c r="B8" s="115" t="s">
        <v>222</v>
      </c>
      <c r="C8" s="1494"/>
      <c r="D8" s="1013">
        <v>470.7</v>
      </c>
      <c r="E8" s="1013">
        <v>343.5</v>
      </c>
      <c r="F8" s="1014">
        <v>75702</v>
      </c>
      <c r="G8" s="1015">
        <v>1.429</v>
      </c>
    </row>
    <row r="9" spans="1:8" s="83" customFormat="1">
      <c r="A9" s="1259"/>
      <c r="B9" s="115" t="s">
        <v>223</v>
      </c>
      <c r="C9" s="1494"/>
      <c r="D9" s="1013">
        <v>470.7</v>
      </c>
      <c r="E9" s="1013">
        <v>355.8</v>
      </c>
      <c r="F9" s="1014">
        <v>87690</v>
      </c>
      <c r="G9" s="1015">
        <v>1.429</v>
      </c>
    </row>
    <row r="10" spans="1:8" s="83" customFormat="1">
      <c r="A10" s="1259"/>
      <c r="B10" s="115" t="s">
        <v>224</v>
      </c>
      <c r="C10" s="1494"/>
      <c r="D10" s="1013">
        <v>470.7</v>
      </c>
      <c r="E10" s="1013">
        <v>355.8</v>
      </c>
      <c r="F10" s="1014">
        <v>95349</v>
      </c>
      <c r="G10" s="1015">
        <v>1.429</v>
      </c>
    </row>
    <row r="11" spans="1:8" s="83" customFormat="1">
      <c r="A11" s="1259"/>
      <c r="B11" s="115" t="s">
        <v>225</v>
      </c>
      <c r="C11" s="1494"/>
      <c r="D11" s="1013">
        <v>45.2</v>
      </c>
      <c r="E11" s="1013">
        <v>84.1</v>
      </c>
      <c r="F11" s="1014">
        <v>18117</v>
      </c>
      <c r="G11" s="1015">
        <v>3.573</v>
      </c>
    </row>
    <row r="12" spans="1:8">
      <c r="B12" s="115" t="s">
        <v>226</v>
      </c>
      <c r="C12" s="1494"/>
      <c r="D12" s="1013">
        <v>71.5</v>
      </c>
      <c r="E12" s="1013">
        <v>102.1</v>
      </c>
      <c r="F12" s="1014">
        <v>21369</v>
      </c>
      <c r="G12" s="1015">
        <v>3.573</v>
      </c>
    </row>
    <row r="13" spans="1:8" s="116" customFormat="1">
      <c r="B13" s="115" t="s">
        <v>227</v>
      </c>
      <c r="C13" s="117" t="s">
        <v>150</v>
      </c>
      <c r="D13" s="118" t="s">
        <v>369</v>
      </c>
      <c r="E13" s="118" t="s">
        <v>369</v>
      </c>
      <c r="F13" s="118" t="s">
        <v>369</v>
      </c>
      <c r="G13" s="118" t="s">
        <v>369</v>
      </c>
      <c r="H13" s="1016" t="s">
        <v>1001</v>
      </c>
    </row>
    <row r="14" spans="1:8" s="116" customFormat="1">
      <c r="B14" s="119" t="s">
        <v>228</v>
      </c>
      <c r="C14" s="117" t="s">
        <v>150</v>
      </c>
      <c r="D14" s="120">
        <v>1997</v>
      </c>
      <c r="E14" s="120">
        <v>1997</v>
      </c>
      <c r="F14" s="120">
        <v>1997</v>
      </c>
      <c r="G14" s="120">
        <v>1997</v>
      </c>
    </row>
    <row r="15" spans="1:8" s="116" customFormat="1" ht="20">
      <c r="B15" s="119" t="s">
        <v>229</v>
      </c>
      <c r="C15" s="117" t="s">
        <v>150</v>
      </c>
      <c r="D15" s="120" t="s">
        <v>230</v>
      </c>
      <c r="E15" s="120" t="s">
        <v>231</v>
      </c>
      <c r="F15" s="120" t="s">
        <v>232</v>
      </c>
      <c r="G15" s="120" t="s">
        <v>233</v>
      </c>
    </row>
    <row r="16" spans="1:8" ht="11.25" customHeight="1">
      <c r="B16" s="1017"/>
      <c r="C16" s="121"/>
      <c r="D16" s="121"/>
      <c r="E16" s="237"/>
      <c r="F16" s="237"/>
      <c r="G16" s="237"/>
    </row>
    <row r="17" spans="1:8" s="123" customFormat="1" ht="10.5">
      <c r="A17" s="79"/>
      <c r="B17" s="122" t="s">
        <v>234</v>
      </c>
    </row>
    <row r="18" spans="1:8" s="83" customFormat="1">
      <c r="C18" s="1259"/>
      <c r="D18" s="1259"/>
      <c r="E18" s="1259"/>
      <c r="F18" s="1259"/>
      <c r="G18" s="1259"/>
    </row>
    <row r="19" spans="1:8" s="83" customFormat="1" ht="21">
      <c r="B19" s="111" t="s">
        <v>235</v>
      </c>
      <c r="C19" s="112" t="s">
        <v>236</v>
      </c>
      <c r="D19" s="112" t="s">
        <v>25</v>
      </c>
      <c r="E19" s="112" t="s">
        <v>237</v>
      </c>
      <c r="F19" s="112" t="s">
        <v>238</v>
      </c>
      <c r="G19" s="112" t="s">
        <v>239</v>
      </c>
    </row>
    <row r="20" spans="1:8" s="83" customFormat="1" ht="11.25" customHeight="1">
      <c r="B20" s="111" t="s">
        <v>240</v>
      </c>
      <c r="C20" s="124" t="s">
        <v>241</v>
      </c>
      <c r="D20" s="112" t="s">
        <v>24</v>
      </c>
      <c r="E20" s="112" t="s">
        <v>242</v>
      </c>
      <c r="F20" s="112" t="s">
        <v>243</v>
      </c>
      <c r="G20" s="112" t="s">
        <v>244</v>
      </c>
    </row>
    <row r="21" spans="1:8" s="83" customFormat="1" ht="11.25" customHeight="1">
      <c r="B21" s="125">
        <v>1997</v>
      </c>
      <c r="C21" s="126">
        <f>'PRICES and ECI'!O213</f>
        <v>100.2</v>
      </c>
      <c r="D21" s="126">
        <f>'PRICES and ECI'!O246</f>
        <v>131.69999999999999</v>
      </c>
      <c r="E21" s="126">
        <f>'PRICES and ECI'!O279</f>
        <v>162.69999999999999</v>
      </c>
      <c r="F21" s="126">
        <f>'PRICES and ECI'!O312</f>
        <v>151.4</v>
      </c>
      <c r="G21" s="126">
        <f>'PRICES and ECI'!O346</f>
        <v>141.69999999999999</v>
      </c>
      <c r="H21" s="150"/>
    </row>
    <row r="22" spans="1:8" s="83" customFormat="1" ht="11.25" customHeight="1">
      <c r="B22" s="125">
        <v>1998</v>
      </c>
      <c r="C22" s="126">
        <f>'PRICES and ECI'!O214</f>
        <v>98.7</v>
      </c>
      <c r="D22" s="126">
        <f>'PRICES and ECI'!O247</f>
        <v>131.1</v>
      </c>
      <c r="E22" s="126">
        <f>'PRICES and ECI'!O280</f>
        <v>167.1</v>
      </c>
      <c r="F22" s="126">
        <f>'PRICES and ECI'!O313</f>
        <v>151.1</v>
      </c>
      <c r="G22" s="126">
        <f>'PRICES and ECI'!O347</f>
        <v>140.69999999999999</v>
      </c>
      <c r="H22" s="150"/>
    </row>
    <row r="23" spans="1:8" s="83" customFormat="1" ht="11.25" customHeight="1">
      <c r="B23" s="125">
        <v>1999</v>
      </c>
      <c r="C23" s="126">
        <f>'PRICES and ECI'!O215</f>
        <v>97.6</v>
      </c>
      <c r="D23" s="126">
        <f>'PRICES and ECI'!O248</f>
        <v>131.1</v>
      </c>
      <c r="E23" s="126">
        <f>'PRICES and ECI'!O281</f>
        <v>171.9</v>
      </c>
      <c r="F23" s="126">
        <f>'PRICES and ECI'!O314</f>
        <v>152</v>
      </c>
      <c r="G23" s="126">
        <f>'PRICES and ECI'!O348</f>
        <v>139.6</v>
      </c>
      <c r="H23" s="150"/>
    </row>
    <row r="24" spans="1:8" s="83" customFormat="1" ht="11.25" customHeight="1">
      <c r="B24" s="125">
        <v>2000</v>
      </c>
      <c r="C24" s="126">
        <f>'PRICES and ECI'!O216</f>
        <v>97.5</v>
      </c>
      <c r="D24" s="126">
        <f>'PRICES and ECI'!O249</f>
        <v>138</v>
      </c>
      <c r="E24" s="126">
        <f>'PRICES and ECI'!O282</f>
        <v>177.3</v>
      </c>
      <c r="F24" s="126">
        <f>'PRICES and ECI'!O315</f>
        <v>151.69999999999999</v>
      </c>
      <c r="G24" s="126">
        <f>'PRICES and ECI'!O349</f>
        <v>139.6</v>
      </c>
      <c r="H24" s="150"/>
    </row>
    <row r="25" spans="1:8" s="83" customFormat="1" ht="11.25" customHeight="1">
      <c r="B25" s="125">
        <v>2001</v>
      </c>
      <c r="C25" s="126">
        <f>'PRICES and ECI'!O217</f>
        <v>100.5</v>
      </c>
      <c r="D25" s="126">
        <f>'PRICES and ECI'!O250</f>
        <v>147.19999999999999</v>
      </c>
      <c r="E25" s="126">
        <f>'PRICES and ECI'!O283</f>
        <v>183.5</v>
      </c>
      <c r="F25" s="126">
        <f>'PRICES and ECI'!O316</f>
        <v>150.69999999999999</v>
      </c>
      <c r="G25" s="126">
        <f>'PRICES and ECI'!O350</f>
        <v>138.9</v>
      </c>
      <c r="H25" s="150"/>
    </row>
    <row r="26" spans="1:8" s="83" customFormat="1" ht="11.25" customHeight="1">
      <c r="B26" s="125">
        <v>2002</v>
      </c>
      <c r="C26" s="126">
        <f>'PRICES and ECI'!O218</f>
        <v>101.8</v>
      </c>
      <c r="D26" s="126">
        <f>'PRICES and ECI'!O251</f>
        <v>153.19999999999999</v>
      </c>
      <c r="E26" s="126">
        <f>'PRICES and ECI'!O284</f>
        <v>190.2</v>
      </c>
      <c r="F26" s="126">
        <f>'PRICES and ECI'!O317</f>
        <v>147.80000000000001</v>
      </c>
      <c r="G26" s="126">
        <f>'PRICES and ECI'!O351</f>
        <v>137.30000000000001</v>
      </c>
      <c r="H26" s="150"/>
    </row>
    <row r="27" spans="1:8" s="83" customFormat="1" ht="11.25" customHeight="1">
      <c r="B27" s="125">
        <v>2003</v>
      </c>
      <c r="C27" s="126">
        <f>'PRICES and ECI'!O219</f>
        <v>101.7</v>
      </c>
      <c r="D27" s="126">
        <f>'PRICES and ECI'!O252</f>
        <v>157.1</v>
      </c>
      <c r="E27" s="126">
        <f>'PRICES and ECI'!O285</f>
        <v>195.6</v>
      </c>
      <c r="F27" s="126">
        <f>'PRICES and ECI'!O318</f>
        <v>146.1</v>
      </c>
      <c r="G27" s="126">
        <f>'PRICES and ECI'!O352</f>
        <v>134.69999999999999</v>
      </c>
      <c r="H27" s="150"/>
    </row>
    <row r="28" spans="1:8" s="83" customFormat="1" ht="11.25" customHeight="1">
      <c r="B28" s="125">
        <v>2004</v>
      </c>
      <c r="C28" s="126">
        <f>'PRICES and ECI'!O220</f>
        <v>101.8</v>
      </c>
      <c r="D28" s="126">
        <f>'PRICES and ECI'!O253</f>
        <v>165.3</v>
      </c>
      <c r="E28" s="126">
        <f>'PRICES and ECI'!O286</f>
        <v>200.2</v>
      </c>
      <c r="F28" s="126">
        <f>'PRICES and ECI'!O319</f>
        <v>145</v>
      </c>
      <c r="G28" s="126">
        <f>'PRICES and ECI'!O353</f>
        <v>133.9</v>
      </c>
      <c r="H28" s="150"/>
    </row>
    <row r="29" spans="1:8" s="83" customFormat="1" ht="11.25" customHeight="1">
      <c r="B29" s="125">
        <v>2005</v>
      </c>
      <c r="C29" s="126">
        <f>'PRICES and ECI'!O221</f>
        <v>104.5</v>
      </c>
      <c r="D29" s="126">
        <f>'PRICES and ECI'!O254</f>
        <v>182.8</v>
      </c>
      <c r="E29" s="126">
        <f>'PRICES and ECI'!O287</f>
        <v>206.9</v>
      </c>
      <c r="F29" s="126">
        <f>'PRICES and ECI'!O320</f>
        <v>145.30000000000001</v>
      </c>
      <c r="G29" s="126">
        <f>'PRICES and ECI'!O354</f>
        <v>135.19999999999999</v>
      </c>
      <c r="H29" s="150"/>
    </row>
    <row r="30" spans="1:8" s="83" customFormat="1" ht="11.25" customHeight="1">
      <c r="B30" s="125">
        <v>2006</v>
      </c>
      <c r="C30" s="126">
        <f>'PRICES and ECI'!O222</f>
        <v>108.4</v>
      </c>
      <c r="D30" s="126">
        <f>'PRICES and ECI'!O255</f>
        <v>212.7</v>
      </c>
      <c r="E30" s="126">
        <f>'PRICES and ECI'!O288</f>
        <v>215.6</v>
      </c>
      <c r="F30" s="126">
        <f>'PRICES and ECI'!O321</f>
        <v>142.9</v>
      </c>
      <c r="G30" s="126">
        <f>'PRICES and ECI'!O355</f>
        <v>136.4</v>
      </c>
      <c r="H30" s="150"/>
    </row>
    <row r="31" spans="1:8" s="83" customFormat="1" ht="11.25" customHeight="1">
      <c r="B31" s="125">
        <v>2007</v>
      </c>
      <c r="C31" s="126">
        <f>'PRICES and ECI'!O223</f>
        <v>111.649</v>
      </c>
      <c r="D31" s="126">
        <f>'PRICES and ECI'!O256</f>
        <v>231.13800000000001</v>
      </c>
      <c r="E31" s="126">
        <f>'PRICES and ECI'!O289</f>
        <v>222.96299999999999</v>
      </c>
      <c r="F31" s="126">
        <f>'PRICES and ECI'!O322</f>
        <v>140.714</v>
      </c>
      <c r="G31" s="126">
        <f>'PRICES and ECI'!O356</f>
        <v>135.86500000000001</v>
      </c>
      <c r="H31" s="150"/>
    </row>
    <row r="32" spans="1:8" s="83" customFormat="1" ht="11.25" customHeight="1">
      <c r="B32" s="125">
        <v>2008</v>
      </c>
      <c r="C32" s="126">
        <f>'PRICES and ECI'!O224</f>
        <v>116.83</v>
      </c>
      <c r="D32" s="126">
        <f>'PRICES and ECI'!O257</f>
        <v>269.07799999999997</v>
      </c>
      <c r="E32" s="126">
        <f>'PRICES and ECI'!O290</f>
        <v>233.85900000000001</v>
      </c>
      <c r="F32" s="126">
        <f>'PRICES and ECI'!O323</f>
        <v>137.11699999999999</v>
      </c>
      <c r="G32" s="126">
        <f>'PRICES and ECI'!O357</f>
        <v>135.40100000000001</v>
      </c>
      <c r="H32" s="150"/>
    </row>
    <row r="33" spans="1:8" s="83" customFormat="1" ht="11.25" customHeight="1">
      <c r="B33" s="125">
        <v>2009</v>
      </c>
      <c r="C33" s="126">
        <f>'PRICES and ECI'!O225</f>
        <v>120.896</v>
      </c>
      <c r="D33" s="126">
        <f>'PRICES and ECI'!O258</f>
        <v>294.29300000000001</v>
      </c>
      <c r="E33" s="126">
        <f>'PRICES and ECI'!O291</f>
        <v>243.33699999999999</v>
      </c>
      <c r="F33" s="126">
        <f>'PRICES and ECI'!O324</f>
        <v>138.84</v>
      </c>
      <c r="G33" s="126">
        <f>'PRICES and ECI'!O358</f>
        <v>136.685</v>
      </c>
      <c r="H33" s="150"/>
    </row>
    <row r="34" spans="1:8" s="83" customFormat="1" ht="11.25" customHeight="1">
      <c r="B34" s="125">
        <v>2010</v>
      </c>
      <c r="C34" s="126">
        <f>'PRICES and ECI'!O226</f>
        <v>123.53100000000001</v>
      </c>
      <c r="D34" s="126">
        <f>'PRICES and ECI'!O259</f>
        <v>305.38400000000001</v>
      </c>
      <c r="E34" s="126">
        <f>'PRICES and ECI'!O292</f>
        <v>247.95400000000001</v>
      </c>
      <c r="F34" s="126">
        <f>'PRICES and ECI'!O325</f>
        <v>142.69499999999999</v>
      </c>
      <c r="G34" s="126">
        <f>'PRICES and ECI'!O359</f>
        <v>138.09399999999999</v>
      </c>
      <c r="H34" s="150"/>
    </row>
    <row r="35" spans="1:8" s="127" customFormat="1" ht="11.25" customHeight="1">
      <c r="B35" s="125">
        <v>2011</v>
      </c>
      <c r="C35" s="126">
        <f>'PRICES and ECI'!O227</f>
        <v>130.648</v>
      </c>
      <c r="D35" s="126">
        <f>'PRICES and ECI'!O260</f>
        <v>334.56400000000002</v>
      </c>
      <c r="E35" s="126">
        <f>'PRICES and ECI'!O293</f>
        <v>253.09899999999999</v>
      </c>
      <c r="F35" s="126">
        <f>'PRICES and ECI'!O326</f>
        <v>146.547</v>
      </c>
      <c r="G35" s="126">
        <f>'PRICES and ECI'!O360</f>
        <v>142.226</v>
      </c>
      <c r="H35" s="150"/>
    </row>
    <row r="36" spans="1:8" s="127" customFormat="1" ht="11.25" customHeight="1">
      <c r="B36" s="125">
        <v>2012</v>
      </c>
      <c r="C36" s="126">
        <f>'PRICES and ECI'!O228</f>
        <v>135.12799999999999</v>
      </c>
      <c r="D36" s="126">
        <f>'PRICES and ECI'!O261</f>
        <v>359.596</v>
      </c>
      <c r="E36" s="126">
        <f>'PRICES and ECI'!O294</f>
        <v>257.58199999999999</v>
      </c>
      <c r="F36" s="126">
        <f>'PRICES and ECI'!O327</f>
        <v>149.393</v>
      </c>
      <c r="G36" s="126">
        <f>'PRICES and ECI'!O361</f>
        <v>144.178</v>
      </c>
      <c r="H36" s="150"/>
    </row>
    <row r="37" spans="1:8" s="127" customFormat="1" ht="11.25" customHeight="1">
      <c r="B37" s="125">
        <v>2013</v>
      </c>
      <c r="C37" s="126">
        <f>'PRICES and ECI'!O229</f>
        <v>131.04</v>
      </c>
      <c r="D37" s="126">
        <f>'PRICES and ECI'!O262</f>
        <v>360.88499999999999</v>
      </c>
      <c r="E37" s="126">
        <f>'PRICES and ECI'!O295</f>
        <v>261.64100000000002</v>
      </c>
      <c r="F37" s="126">
        <f>'PRICES and ECI'!O328</f>
        <v>151.84800000000001</v>
      </c>
      <c r="G37" s="126">
        <f>'PRICES and ECI'!O362</f>
        <v>144.923</v>
      </c>
      <c r="H37" s="150"/>
    </row>
    <row r="38" spans="1:8" s="82" customFormat="1" ht="11.25" customHeight="1">
      <c r="B38" s="86">
        <v>2014</v>
      </c>
      <c r="C38" s="126">
        <f>'PRICES and ECI'!O230</f>
        <v>128.012</v>
      </c>
      <c r="D38" s="126">
        <f>'PRICES and ECI'!O263</f>
        <v>367.00200000000001</v>
      </c>
      <c r="E38" s="126">
        <f>'PRICES and ECI'!O296</f>
        <v>266.02499999999998</v>
      </c>
      <c r="F38" s="126">
        <f>'PRICES and ECI'!O329</f>
        <v>153.56299999999999</v>
      </c>
      <c r="G38" s="126">
        <f>'PRICES and ECI'!O363</f>
        <v>144.46899999999999</v>
      </c>
      <c r="H38" s="150"/>
    </row>
    <row r="39" spans="1:8" s="82" customFormat="1" ht="11.25" customHeight="1">
      <c r="B39" s="86">
        <v>2015</v>
      </c>
      <c r="C39" s="126">
        <f>'PRICES and ECI'!O231</f>
        <v>126.535</v>
      </c>
      <c r="D39" s="126">
        <f>'PRICES and ECI'!O264</f>
        <v>369.02100000000002</v>
      </c>
      <c r="E39" s="126">
        <f>'PRICES and ECI'!O297</f>
        <v>270.71699999999998</v>
      </c>
      <c r="F39" s="126">
        <f>'PRICES and ECI'!O330</f>
        <v>155.441</v>
      </c>
      <c r="G39" s="126">
        <f>'PRICES and ECI'!O364</f>
        <v>144.39599999999999</v>
      </c>
      <c r="H39" s="150"/>
    </row>
    <row r="40" spans="1:8" s="82" customFormat="1" ht="11.25" customHeight="1">
      <c r="B40" s="86">
        <v>2016</v>
      </c>
      <c r="C40" s="126">
        <f>'PRICES and ECI'!O232</f>
        <v>125.42100000000001</v>
      </c>
      <c r="D40" s="126">
        <f>'PRICES and ECI'!O265</f>
        <v>367.09899999999999</v>
      </c>
      <c r="E40" s="126">
        <f>'PRICES and ECI'!O298</f>
        <v>275.351</v>
      </c>
      <c r="F40" s="126">
        <f>'PRICES and ECI'!O331</f>
        <v>156.43600000000001</v>
      </c>
      <c r="G40" s="126">
        <f>'PRICES and ECI'!O365</f>
        <v>143.69</v>
      </c>
      <c r="H40" s="150"/>
    </row>
    <row r="41" spans="1:8" s="82" customFormat="1" ht="11.25" customHeight="1">
      <c r="B41" s="86">
        <v>2017</v>
      </c>
      <c r="C41" s="126">
        <f>'PRICES and ECI'!O233</f>
        <v>124.014</v>
      </c>
      <c r="D41" s="126">
        <f>'PRICES and ECI'!O266</f>
        <v>374.48500000000001</v>
      </c>
      <c r="E41" s="126">
        <f>'PRICES and ECI'!O299</f>
        <v>280.827</v>
      </c>
      <c r="F41" s="126">
        <f>'PRICES and ECI'!O332</f>
        <v>156.57400000000001</v>
      </c>
      <c r="G41" s="126">
        <f>'PRICES and ECI'!O366</f>
        <v>142.65899999999999</v>
      </c>
      <c r="H41" s="150"/>
    </row>
    <row r="42" spans="1:8" s="82" customFormat="1" ht="11.25" customHeight="1">
      <c r="B42" s="86">
        <v>2018</v>
      </c>
      <c r="C42" s="126">
        <f>'PRICES and ECI'!O234</f>
        <v>122.907</v>
      </c>
      <c r="D42" s="126">
        <f>'PRICES and ECI'!O267</f>
        <v>389.90499999999997</v>
      </c>
      <c r="E42" s="126">
        <f>'PRICES and ECI'!O300</f>
        <v>286.358</v>
      </c>
      <c r="F42" s="126">
        <f>'PRICES and ECI'!O333</f>
        <v>155.785</v>
      </c>
      <c r="G42" s="126">
        <f>'PRICES and ECI'!O367</f>
        <v>141.96799999999999</v>
      </c>
      <c r="H42" s="150"/>
    </row>
    <row r="43" spans="1:8" s="82" customFormat="1" ht="11.25" customHeight="1">
      <c r="B43" s="100"/>
      <c r="C43" s="128"/>
      <c r="D43" s="128"/>
      <c r="E43" s="128"/>
      <c r="F43" s="128"/>
      <c r="G43" s="128"/>
      <c r="H43" s="150"/>
    </row>
    <row r="44" spans="1:8" s="131" customFormat="1" ht="11.25" customHeight="1">
      <c r="A44" s="1018"/>
      <c r="B44" s="129">
        <v>2019</v>
      </c>
      <c r="C44" s="130">
        <f>'PRICES and ECI'!O235</f>
        <v>125.01900000000001</v>
      </c>
      <c r="D44" s="130">
        <f>'PRICES and ECI'!O268</f>
        <v>394.964</v>
      </c>
      <c r="E44" s="130">
        <f>'PRICES and ECI'!O301</f>
        <v>296</v>
      </c>
      <c r="F44" s="130">
        <f>'PRICES and ECI'!O334</f>
        <v>156.25700000000001</v>
      </c>
      <c r="G44" s="130">
        <f>'PRICES and ECI'!O368</f>
        <v>142.80000000000001</v>
      </c>
      <c r="H44" s="150"/>
    </row>
    <row r="45" spans="1:8" ht="11.25" customHeight="1"/>
    <row r="46" spans="1:8" s="132" customFormat="1" ht="10.5">
      <c r="B46" s="84" t="s">
        <v>1268</v>
      </c>
    </row>
    <row r="47" spans="1:8" s="132" customFormat="1" ht="10.5">
      <c r="B47" s="84"/>
    </row>
    <row r="49" spans="2:7" s="110" customFormat="1" ht="21">
      <c r="B49" s="111" t="s">
        <v>207</v>
      </c>
      <c r="C49" s="112" t="s">
        <v>208</v>
      </c>
      <c r="D49" s="112" t="s">
        <v>209</v>
      </c>
      <c r="E49" s="112" t="s">
        <v>210</v>
      </c>
      <c r="F49" s="112" t="s">
        <v>211</v>
      </c>
      <c r="G49" s="112" t="s">
        <v>212</v>
      </c>
    </row>
    <row r="50" spans="2:7" s="110" customFormat="1" ht="20">
      <c r="B50" s="113" t="s">
        <v>213</v>
      </c>
      <c r="C50" s="133" t="s">
        <v>214</v>
      </c>
      <c r="D50" s="133" t="s">
        <v>215</v>
      </c>
      <c r="E50" s="133" t="s">
        <v>216</v>
      </c>
      <c r="F50" s="133" t="s">
        <v>217</v>
      </c>
      <c r="G50" s="133" t="s">
        <v>218</v>
      </c>
    </row>
    <row r="51" spans="2:7" ht="10.5">
      <c r="B51" s="134" t="s">
        <v>219</v>
      </c>
      <c r="C51" s="1495" t="s">
        <v>245</v>
      </c>
      <c r="D51" s="1019">
        <f>D6*C$44/C$21</f>
        <v>98.318335329341309</v>
      </c>
      <c r="E51" s="1019">
        <f t="shared" ref="E51:F55" si="0">E6*E$44/E$21</f>
        <v>236.14505224339277</v>
      </c>
      <c r="F51" s="1020">
        <f t="shared" si="0"/>
        <v>23766.751624834873</v>
      </c>
      <c r="G51" s="1021">
        <f t="shared" ref="G51:G57" si="1">G6*D$44/D$21</f>
        <v>10.715310341685649</v>
      </c>
    </row>
    <row r="52" spans="2:7" ht="10.5">
      <c r="B52" s="134" t="s">
        <v>221</v>
      </c>
      <c r="C52" s="1496"/>
      <c r="D52" s="1022">
        <f t="shared" ref="D52:D57" si="2">D7*C$44/C$21</f>
        <v>237.18674550898203</v>
      </c>
      <c r="E52" s="1022">
        <f t="shared" si="0"/>
        <v>441.90780577750468</v>
      </c>
      <c r="F52" s="1023">
        <f t="shared" si="0"/>
        <v>35513.892800528403</v>
      </c>
      <c r="G52" s="1024">
        <f t="shared" si="1"/>
        <v>4.2855243432042522</v>
      </c>
    </row>
    <row r="53" spans="2:7" ht="10.5">
      <c r="B53" s="134" t="s">
        <v>222</v>
      </c>
      <c r="C53" s="1496"/>
      <c r="D53" s="1022">
        <f t="shared" si="2"/>
        <v>587.2898532934131</v>
      </c>
      <c r="E53" s="1022">
        <f t="shared" si="0"/>
        <v>624.92931776275361</v>
      </c>
      <c r="F53" s="1023">
        <f t="shared" si="0"/>
        <v>78130.564161162489</v>
      </c>
      <c r="G53" s="1024">
        <f t="shared" si="1"/>
        <v>4.2855243432042522</v>
      </c>
    </row>
    <row r="54" spans="2:7" ht="10.5">
      <c r="B54" s="134" t="s">
        <v>223</v>
      </c>
      <c r="C54" s="1496"/>
      <c r="D54" s="1022">
        <f t="shared" si="2"/>
        <v>587.2898532934131</v>
      </c>
      <c r="E54" s="1022">
        <f t="shared" si="0"/>
        <v>647.30669944683473</v>
      </c>
      <c r="F54" s="1023">
        <f t="shared" si="0"/>
        <v>90503.146169088504</v>
      </c>
      <c r="G54" s="1024">
        <f t="shared" si="1"/>
        <v>4.2855243432042522</v>
      </c>
    </row>
    <row r="55" spans="2:7" ht="10.5">
      <c r="B55" s="134" t="s">
        <v>224</v>
      </c>
      <c r="C55" s="1496"/>
      <c r="D55" s="1022">
        <f t="shared" si="2"/>
        <v>587.2898532934131</v>
      </c>
      <c r="E55" s="1022">
        <f t="shared" si="0"/>
        <v>647.30669944683473</v>
      </c>
      <c r="F55" s="1023">
        <f t="shared" si="0"/>
        <v>98407.851340819019</v>
      </c>
      <c r="G55" s="1024">
        <f t="shared" si="1"/>
        <v>4.2855243432042522</v>
      </c>
    </row>
    <row r="56" spans="2:7" ht="10.5">
      <c r="B56" s="134" t="s">
        <v>225</v>
      </c>
      <c r="C56" s="1496"/>
      <c r="D56" s="1022">
        <f t="shared" si="2"/>
        <v>56.395796407185635</v>
      </c>
      <c r="E56" s="1022">
        <f>E11*E$44/E$21</f>
        <v>153.00307314074985</v>
      </c>
      <c r="F56" s="1023">
        <f>F11*G$44/G$21</f>
        <v>18257.640084685958</v>
      </c>
      <c r="G56" s="1024">
        <f t="shared" si="1"/>
        <v>10.715310341685649</v>
      </c>
    </row>
    <row r="57" spans="2:7" ht="10.5">
      <c r="B57" s="134" t="s">
        <v>226</v>
      </c>
      <c r="C57" s="1497"/>
      <c r="D57" s="1025">
        <f t="shared" si="2"/>
        <v>89.210164670658685</v>
      </c>
      <c r="E57" s="1025">
        <f>E12*E$44/E$21</f>
        <v>185.75046097111249</v>
      </c>
      <c r="F57" s="1026">
        <f>F12*G$44/G$21</f>
        <v>21534.884968242768</v>
      </c>
      <c r="G57" s="1027">
        <f t="shared" si="1"/>
        <v>10.715310341685649</v>
      </c>
    </row>
    <row r="60" spans="2:7" s="104" customFormat="1" ht="10.5">
      <c r="B60" s="101" t="s">
        <v>4</v>
      </c>
      <c r="C60" s="102"/>
      <c r="D60" s="102"/>
      <c r="E60" s="102"/>
      <c r="F60" s="102"/>
      <c r="G60" s="103"/>
    </row>
    <row r="62" spans="2:7">
      <c r="B62" s="116" t="s">
        <v>246</v>
      </c>
    </row>
    <row r="63" spans="2:7">
      <c r="B63" s="116" t="s">
        <v>247</v>
      </c>
    </row>
    <row r="65" spans="2:16" ht="10.5">
      <c r="B65" s="135" t="s">
        <v>248</v>
      </c>
    </row>
    <row r="66" spans="2:16">
      <c r="C66" s="12" t="s">
        <v>1002</v>
      </c>
    </row>
    <row r="67" spans="2:16" s="83" customFormat="1" ht="13">
      <c r="B67" s="97"/>
      <c r="C67" s="1028" t="s">
        <v>1003</v>
      </c>
      <c r="D67" s="85"/>
      <c r="E67" s="85"/>
    </row>
    <row r="69" spans="2:16" ht="21">
      <c r="D69" s="136" t="s">
        <v>249</v>
      </c>
    </row>
    <row r="70" spans="2:16" ht="11.25" customHeight="1">
      <c r="C70" s="137" t="s">
        <v>250</v>
      </c>
      <c r="D70" s="1259"/>
      <c r="E70" s="1259"/>
      <c r="F70" s="1259"/>
      <c r="G70" s="1259"/>
      <c r="P70" s="12"/>
    </row>
    <row r="71" spans="2:16" ht="11.25" customHeight="1">
      <c r="C71" s="138" t="s">
        <v>1004</v>
      </c>
      <c r="D71" s="1029">
        <v>9.18</v>
      </c>
      <c r="E71" s="1030">
        <v>9.1199999999999992</v>
      </c>
      <c r="F71" s="1031">
        <v>1</v>
      </c>
      <c r="G71" s="1259"/>
      <c r="H71" s="139">
        <v>1</v>
      </c>
      <c r="I71" s="12" t="s">
        <v>251</v>
      </c>
      <c r="K71" s="1032">
        <f>'Fuel Costs'!I9</f>
        <v>0.20441435336783248</v>
      </c>
      <c r="L71" s="12" t="s">
        <v>592</v>
      </c>
    </row>
    <row r="72" spans="2:16" ht="11.25" customHeight="1">
      <c r="C72" s="138" t="s">
        <v>252</v>
      </c>
      <c r="D72" s="1029">
        <v>8.58</v>
      </c>
      <c r="E72" s="1030">
        <v>7.74</v>
      </c>
      <c r="F72" s="1031">
        <v>1</v>
      </c>
      <c r="G72" s="1259"/>
      <c r="K72" s="12" t="s">
        <v>227</v>
      </c>
      <c r="L72" s="12" t="s">
        <v>593</v>
      </c>
    </row>
    <row r="73" spans="2:16" ht="11.25" customHeight="1">
      <c r="C73" s="138" t="s">
        <v>236</v>
      </c>
      <c r="D73" s="1029">
        <v>0</v>
      </c>
      <c r="E73" s="1033"/>
      <c r="F73" s="1031">
        <v>1</v>
      </c>
      <c r="G73" s="1259"/>
    </row>
    <row r="74" spans="2:16" ht="11.25" customHeight="1">
      <c r="C74" s="137" t="s">
        <v>253</v>
      </c>
      <c r="D74" s="1034">
        <f>SUMPRODUCT(D71:D73,$F$71:$F$73)</f>
        <v>17.759999999999998</v>
      </c>
      <c r="E74" s="1033"/>
      <c r="F74" s="12"/>
      <c r="G74" s="1259"/>
      <c r="H74" s="12"/>
    </row>
    <row r="75" spans="2:16" ht="11.25" customHeight="1">
      <c r="D75" s="150"/>
      <c r="E75" s="1033"/>
      <c r="F75" s="12"/>
      <c r="G75" s="1259"/>
      <c r="H75" s="12"/>
    </row>
    <row r="76" spans="2:16" ht="11.25" customHeight="1">
      <c r="C76" s="137" t="s">
        <v>254</v>
      </c>
      <c r="D76" s="1259"/>
      <c r="E76" s="1033"/>
      <c r="F76" s="12"/>
      <c r="G76" s="1259"/>
      <c r="H76" s="12"/>
    </row>
    <row r="77" spans="2:16" ht="11.25" customHeight="1">
      <c r="C77" s="138" t="s">
        <v>255</v>
      </c>
      <c r="D77" s="344">
        <v>1232</v>
      </c>
      <c r="E77" s="1035">
        <v>1230</v>
      </c>
      <c r="F77" s="353">
        <v>0</v>
      </c>
      <c r="G77" s="1259"/>
      <c r="H77" s="12"/>
    </row>
    <row r="78" spans="2:16" ht="11.25" customHeight="1">
      <c r="C78" s="138" t="s">
        <v>256</v>
      </c>
      <c r="D78" s="344">
        <v>690</v>
      </c>
      <c r="E78" s="1035">
        <v>617</v>
      </c>
      <c r="F78" s="353">
        <v>0</v>
      </c>
      <c r="G78" s="1259"/>
      <c r="H78" s="12"/>
    </row>
    <row r="79" spans="2:16" ht="11.25" customHeight="1">
      <c r="C79" s="138" t="s">
        <v>257</v>
      </c>
      <c r="D79" s="140"/>
      <c r="E79" s="1035"/>
      <c r="F79" s="12"/>
      <c r="G79" s="1259"/>
      <c r="H79" s="12"/>
    </row>
    <row r="80" spans="2:16" ht="11.25" customHeight="1">
      <c r="C80" s="141">
        <v>10000</v>
      </c>
      <c r="D80" s="345">
        <f>D81-206</f>
        <v>3374</v>
      </c>
      <c r="E80" s="1035">
        <v>2755</v>
      </c>
      <c r="F80" s="353">
        <v>0</v>
      </c>
      <c r="G80" s="1259"/>
      <c r="H80" s="12"/>
    </row>
    <row r="81" spans="2:11" ht="11.25" customHeight="1">
      <c r="C81" s="141">
        <v>15000</v>
      </c>
      <c r="D81" s="345">
        <v>3580</v>
      </c>
      <c r="E81" s="1035">
        <v>3033</v>
      </c>
      <c r="F81" s="353">
        <v>1</v>
      </c>
      <c r="G81" s="1259"/>
      <c r="H81" s="12"/>
    </row>
    <row r="82" spans="2:11" ht="11.25" customHeight="1">
      <c r="C82" s="141">
        <v>20000</v>
      </c>
      <c r="D82" s="345">
        <f>D81+510</f>
        <v>4090</v>
      </c>
      <c r="E82" s="1035">
        <v>3252</v>
      </c>
      <c r="F82" s="353">
        <v>0</v>
      </c>
      <c r="G82" s="1259"/>
      <c r="H82" s="12"/>
    </row>
    <row r="83" spans="2:11" ht="11.25" customHeight="1">
      <c r="C83" s="138" t="s">
        <v>258</v>
      </c>
      <c r="D83" s="345">
        <v>700</v>
      </c>
      <c r="E83" s="1035">
        <v>566</v>
      </c>
      <c r="F83" s="353">
        <v>0</v>
      </c>
      <c r="G83" s="1259"/>
      <c r="H83" s="12"/>
    </row>
    <row r="84" spans="2:11" ht="11.25" customHeight="1">
      <c r="C84" s="137" t="s">
        <v>259</v>
      </c>
      <c r="D84" s="346">
        <f>SUMPRODUCT(D77:D83,$F$77:$F$83)</f>
        <v>3580</v>
      </c>
      <c r="E84" s="1035">
        <v>3033</v>
      </c>
      <c r="F84" s="12"/>
      <c r="G84" s="1259"/>
      <c r="H84" s="12"/>
    </row>
    <row r="85" spans="2:11" ht="11.25" customHeight="1">
      <c r="C85" s="24"/>
      <c r="D85" s="142"/>
      <c r="E85" s="150"/>
      <c r="F85" s="12"/>
      <c r="G85" s="1259"/>
      <c r="H85" s="12"/>
    </row>
    <row r="86" spans="2:11" ht="11.25" customHeight="1">
      <c r="C86" s="138" t="s">
        <v>1005</v>
      </c>
      <c r="D86" s="348">
        <f>D74/100</f>
        <v>0.17759999999999998</v>
      </c>
      <c r="E86" s="1259"/>
      <c r="F86" s="12"/>
      <c r="G86" s="1259"/>
      <c r="H86" s="12"/>
    </row>
    <row r="87" spans="2:11" ht="11.25" customHeight="1">
      <c r="C87" s="138" t="s">
        <v>1006</v>
      </c>
      <c r="D87" s="349">
        <f>IF($F$87=0,"n/a",D84/$F$87)</f>
        <v>0.23866666666666667</v>
      </c>
      <c r="E87" s="1259"/>
      <c r="F87" s="143">
        <f>SUMPRODUCT(C80:C82,F80:F82)</f>
        <v>15000</v>
      </c>
      <c r="G87" s="1259"/>
      <c r="H87" s="12"/>
    </row>
    <row r="88" spans="2:11" ht="11.25" customHeight="1">
      <c r="C88" s="138" t="s">
        <v>1007</v>
      </c>
      <c r="D88" s="350">
        <f>SUM(D86:D87)</f>
        <v>0.41626666666666667</v>
      </c>
      <c r="E88" s="1259"/>
      <c r="F88" s="347"/>
      <c r="G88" s="1259"/>
      <c r="H88" s="12"/>
    </row>
    <row r="89" spans="2:11" ht="11.25" customHeight="1">
      <c r="B89" s="1036"/>
      <c r="C89" s="1037" t="s">
        <v>1008</v>
      </c>
      <c r="D89" s="351">
        <f>D88*K89</f>
        <v>0.4237112523152135</v>
      </c>
      <c r="E89" s="1259"/>
      <c r="F89" s="1259"/>
      <c r="G89" s="1259"/>
      <c r="H89" s="12"/>
      <c r="I89" s="81" t="s">
        <v>1009</v>
      </c>
      <c r="J89" s="83"/>
      <c r="K89" s="98">
        <f>'Inflation Adjustment'!C34</f>
        <v>1.0178841743639018</v>
      </c>
    </row>
    <row r="90" spans="2:11" ht="11.25" customHeight="1">
      <c r="C90" s="1259"/>
      <c r="D90" s="1259"/>
      <c r="E90" s="1259"/>
      <c r="F90" s="144"/>
      <c r="G90" s="12"/>
      <c r="H90" s="12"/>
    </row>
    <row r="91" spans="2:11" ht="11.25" customHeight="1">
      <c r="C91" s="1259"/>
      <c r="D91" s="1259"/>
      <c r="E91" s="1259"/>
      <c r="F91" s="144"/>
      <c r="G91" s="12"/>
      <c r="H91" s="12"/>
    </row>
    <row r="92" spans="2:11" ht="10.5">
      <c r="B92" s="135" t="s">
        <v>260</v>
      </c>
      <c r="C92" s="1259"/>
      <c r="D92" s="1259"/>
      <c r="E92" s="1259"/>
      <c r="F92" s="144"/>
      <c r="G92" s="12"/>
      <c r="H92" s="12"/>
      <c r="I92" s="12"/>
      <c r="K92" s="12"/>
    </row>
    <row r="93" spans="2:11" ht="10.5">
      <c r="C93" s="1259" t="s">
        <v>1010</v>
      </c>
      <c r="D93" s="1259"/>
      <c r="E93" s="1259"/>
      <c r="F93" s="144"/>
      <c r="G93" s="12"/>
      <c r="H93" s="12"/>
      <c r="I93" s="12"/>
      <c r="K93" s="12"/>
    </row>
    <row r="94" spans="2:11" ht="13">
      <c r="C94" s="1028" t="s">
        <v>1011</v>
      </c>
      <c r="D94" s="1259"/>
      <c r="E94" s="1259"/>
      <c r="F94" s="144"/>
      <c r="G94" s="12"/>
      <c r="H94" s="12"/>
      <c r="I94" s="12"/>
      <c r="K94" s="12"/>
    </row>
    <row r="95" spans="2:11" ht="14.5">
      <c r="C95" s="1038"/>
      <c r="D95" s="1259"/>
      <c r="E95" s="1259"/>
      <c r="F95" s="144"/>
      <c r="G95" s="12"/>
      <c r="H95" s="12"/>
      <c r="I95" s="12"/>
      <c r="K95" s="12"/>
    </row>
    <row r="96" spans="2:11" ht="10.5">
      <c r="C96" s="145"/>
      <c r="D96" s="1039" t="s">
        <v>1012</v>
      </c>
      <c r="E96" s="1040"/>
      <c r="F96" s="1259"/>
      <c r="G96" s="12"/>
      <c r="H96" s="12"/>
      <c r="I96" s="12"/>
      <c r="K96" s="12"/>
    </row>
    <row r="97" spans="2:13" ht="10.5">
      <c r="C97" s="146" t="s">
        <v>261</v>
      </c>
      <c r="D97" s="142"/>
      <c r="E97" s="144"/>
      <c r="F97" s="1259"/>
      <c r="G97" s="12"/>
      <c r="H97" s="12"/>
      <c r="I97" s="12"/>
      <c r="K97" s="12"/>
    </row>
    <row r="98" spans="2:13">
      <c r="C98" s="147" t="s">
        <v>187</v>
      </c>
      <c r="D98" s="352">
        <v>0.36799999999999999</v>
      </c>
      <c r="E98" s="1041"/>
      <c r="F98" s="353">
        <v>1</v>
      </c>
      <c r="G98" s="12"/>
      <c r="H98" s="139">
        <v>0</v>
      </c>
      <c r="I98" s="12" t="s">
        <v>251</v>
      </c>
      <c r="K98" s="1032">
        <f>'Fuel Costs'!P8</f>
        <v>0.19443270272341773</v>
      </c>
      <c r="L98" s="12" t="s">
        <v>1013</v>
      </c>
    </row>
    <row r="99" spans="2:13">
      <c r="C99" s="147" t="s">
        <v>262</v>
      </c>
      <c r="D99" s="352">
        <v>0.26400000000000001</v>
      </c>
      <c r="E99" s="1041"/>
      <c r="F99" s="353">
        <v>1</v>
      </c>
      <c r="G99" s="12"/>
      <c r="K99" s="12" t="s">
        <v>227</v>
      </c>
      <c r="L99" s="12" t="s">
        <v>593</v>
      </c>
    </row>
    <row r="100" spans="2:13">
      <c r="C100" s="147" t="s">
        <v>263</v>
      </c>
      <c r="D100" s="352">
        <v>0.16700000000000001</v>
      </c>
      <c r="E100" s="1041"/>
      <c r="F100" s="353">
        <v>1</v>
      </c>
      <c r="G100" s="12"/>
      <c r="H100" s="12"/>
      <c r="I100" s="12"/>
      <c r="K100" s="12"/>
    </row>
    <row r="101" spans="2:13">
      <c r="C101" s="147" t="s">
        <v>264</v>
      </c>
      <c r="D101" s="352">
        <v>7.4999999999999997E-2</v>
      </c>
      <c r="E101" s="1041"/>
      <c r="F101" s="353">
        <v>1</v>
      </c>
      <c r="G101" s="12"/>
      <c r="H101" s="12"/>
      <c r="I101" s="12"/>
      <c r="K101" s="12"/>
    </row>
    <row r="102" spans="2:13">
      <c r="C102" s="147" t="s">
        <v>265</v>
      </c>
      <c r="D102" s="352">
        <v>2.3E-2</v>
      </c>
      <c r="E102" s="1041"/>
      <c r="F102" s="353">
        <v>1</v>
      </c>
      <c r="G102" s="12"/>
      <c r="H102" s="12"/>
      <c r="I102" s="12"/>
      <c r="J102" s="12"/>
      <c r="K102" s="12"/>
      <c r="M102" s="12"/>
    </row>
    <row r="103" spans="2:13">
      <c r="C103" s="147" t="s">
        <v>236</v>
      </c>
      <c r="D103" s="352">
        <v>3.7999999999999999E-2</v>
      </c>
      <c r="E103" s="1041"/>
      <c r="F103" s="353">
        <v>1</v>
      </c>
      <c r="G103" s="12"/>
      <c r="H103" s="12"/>
      <c r="I103" s="12"/>
      <c r="J103" s="12"/>
      <c r="K103" s="12"/>
      <c r="M103" s="12"/>
    </row>
    <row r="104" spans="2:13">
      <c r="B104" s="12"/>
      <c r="C104" s="147" t="s">
        <v>266</v>
      </c>
      <c r="D104" s="352">
        <v>2.7000000000000001E-3</v>
      </c>
      <c r="E104" s="1041"/>
      <c r="F104" s="353">
        <v>0</v>
      </c>
      <c r="G104" s="12"/>
      <c r="H104" s="12"/>
      <c r="I104" s="12"/>
      <c r="J104" s="12"/>
      <c r="K104" s="12"/>
      <c r="M104" s="12"/>
    </row>
    <row r="105" spans="2:13" ht="10.5">
      <c r="C105" s="146" t="s">
        <v>267</v>
      </c>
      <c r="D105" s="148"/>
      <c r="E105" s="1042"/>
      <c r="F105" s="354"/>
    </row>
    <row r="106" spans="2:13">
      <c r="C106" s="147" t="s">
        <v>268</v>
      </c>
      <c r="D106" s="352">
        <v>0.55700000000000005</v>
      </c>
      <c r="E106" s="1043"/>
      <c r="F106" s="353">
        <v>0</v>
      </c>
    </row>
    <row r="107" spans="2:13">
      <c r="C107" s="147" t="s">
        <v>269</v>
      </c>
      <c r="D107" s="352">
        <v>0.17199999999999999</v>
      </c>
      <c r="E107" s="1043"/>
      <c r="F107" s="353">
        <v>0</v>
      </c>
    </row>
    <row r="108" spans="2:13">
      <c r="C108" s="147"/>
      <c r="D108" s="148"/>
    </row>
    <row r="109" spans="2:13" ht="10.5">
      <c r="C109" s="145" t="s">
        <v>1014</v>
      </c>
      <c r="D109" s="355">
        <f>SUMPRODUCT(D98:D107,F98:F107)</f>
        <v>0.93500000000000005</v>
      </c>
    </row>
    <row r="110" spans="2:13">
      <c r="C110" s="149"/>
      <c r="D110" s="148"/>
      <c r="J110" s="83"/>
      <c r="K110" s="83"/>
    </row>
    <row r="111" spans="2:13" ht="10.5">
      <c r="C111" s="145" t="s">
        <v>1015</v>
      </c>
      <c r="D111" s="351">
        <f>D109*K111</f>
        <v>0.95172170303024817</v>
      </c>
      <c r="G111" s="1259"/>
      <c r="I111" s="81" t="s">
        <v>1009</v>
      </c>
      <c r="J111" s="83"/>
      <c r="K111" s="98">
        <f>'Inflation Adjustment'!C34</f>
        <v>1.0178841743639018</v>
      </c>
    </row>
    <row r="112" spans="2:13">
      <c r="C112" s="148"/>
    </row>
    <row r="113" spans="2:4">
      <c r="C113" s="148"/>
      <c r="D113" s="148"/>
    </row>
    <row r="114" spans="2:4" ht="10.5">
      <c r="B114" s="29" t="s">
        <v>1269</v>
      </c>
      <c r="C114" s="148"/>
    </row>
  </sheetData>
  <mergeCells count="2">
    <mergeCell ref="C6:C12"/>
    <mergeCell ref="C51:C5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tabColor theme="8" tint="0.79998168889431442"/>
  </sheetPr>
  <dimension ref="A1:P98"/>
  <sheetViews>
    <sheetView workbookViewId="0">
      <selection sqref="A1:K1"/>
    </sheetView>
  </sheetViews>
  <sheetFormatPr defaultRowHeight="14"/>
  <cols>
    <col min="1" max="1" width="13.83203125" customWidth="1"/>
  </cols>
  <sheetData>
    <row r="1" spans="1:16">
      <c r="A1" s="1498" t="s">
        <v>1272</v>
      </c>
      <c r="B1" s="1498"/>
      <c r="C1" s="1498"/>
      <c r="D1" s="1498"/>
      <c r="E1" s="1498"/>
      <c r="F1" s="1498"/>
      <c r="G1" s="1498"/>
      <c r="H1" s="1498"/>
      <c r="I1" s="1498"/>
      <c r="J1" s="1498"/>
      <c r="K1" s="1498"/>
      <c r="L1" s="150"/>
      <c r="M1" s="150"/>
      <c r="N1" s="150"/>
      <c r="O1" s="150"/>
      <c r="P1" s="150"/>
    </row>
    <row r="2" spans="1:16">
      <c r="A2" s="1499" t="s">
        <v>1079</v>
      </c>
      <c r="B2" s="1499"/>
      <c r="C2" s="1499"/>
      <c r="D2" s="1499"/>
      <c r="E2" s="1499"/>
      <c r="F2" s="1499"/>
      <c r="G2" s="1499"/>
      <c r="H2" s="1499"/>
      <c r="I2" s="1499"/>
      <c r="J2" s="1499"/>
      <c r="K2" s="1499"/>
      <c r="L2" s="150"/>
      <c r="M2" s="150"/>
      <c r="N2" s="150"/>
      <c r="O2" s="150"/>
      <c r="P2" s="150"/>
    </row>
    <row r="3" spans="1:16" ht="14.25" customHeight="1">
      <c r="A3" s="1500" t="s">
        <v>1080</v>
      </c>
      <c r="B3" s="1503" t="s">
        <v>1081</v>
      </c>
      <c r="C3" s="1503" t="s">
        <v>1082</v>
      </c>
      <c r="D3" s="1506" t="s">
        <v>1083</v>
      </c>
      <c r="E3" s="1507"/>
      <c r="F3" s="1507"/>
      <c r="G3" s="1507"/>
      <c r="H3" s="1507"/>
      <c r="I3" s="1507"/>
      <c r="J3" s="1507"/>
      <c r="K3" s="1507"/>
      <c r="L3" s="1507"/>
      <c r="M3" s="1507"/>
      <c r="N3" s="1507"/>
      <c r="O3" s="1507"/>
      <c r="P3" s="1507"/>
    </row>
    <row r="4" spans="1:16" ht="14.25" customHeight="1">
      <c r="A4" s="1501"/>
      <c r="B4" s="1504"/>
      <c r="C4" s="1504"/>
      <c r="D4" s="1503" t="s">
        <v>5</v>
      </c>
      <c r="E4" s="1503" t="s">
        <v>1084</v>
      </c>
      <c r="F4" s="1503" t="s">
        <v>1085</v>
      </c>
      <c r="G4" s="1508" t="s">
        <v>1086</v>
      </c>
      <c r="H4" s="1509"/>
      <c r="I4" s="1510"/>
      <c r="J4" s="1503" t="s">
        <v>1087</v>
      </c>
      <c r="K4" s="1503" t="s">
        <v>1088</v>
      </c>
      <c r="L4" s="1503" t="s">
        <v>1089</v>
      </c>
      <c r="M4" s="1503" t="s">
        <v>1090</v>
      </c>
      <c r="N4" s="1508" t="s">
        <v>1091</v>
      </c>
      <c r="O4" s="1509"/>
      <c r="P4" s="1509"/>
    </row>
    <row r="5" spans="1:16" ht="26">
      <c r="A5" s="1502"/>
      <c r="B5" s="1505"/>
      <c r="C5" s="1505"/>
      <c r="D5" s="1505"/>
      <c r="E5" s="1505"/>
      <c r="F5" s="1505"/>
      <c r="G5" s="1349" t="s">
        <v>5</v>
      </c>
      <c r="H5" s="1178" t="s">
        <v>1092</v>
      </c>
      <c r="I5" s="1348" t="s">
        <v>1093</v>
      </c>
      <c r="J5" s="1505"/>
      <c r="K5" s="1505"/>
      <c r="L5" s="1505"/>
      <c r="M5" s="1505"/>
      <c r="N5" s="1350" t="s">
        <v>5</v>
      </c>
      <c r="O5" s="1350" t="s">
        <v>1094</v>
      </c>
      <c r="P5" s="1350" t="s">
        <v>1095</v>
      </c>
    </row>
    <row r="6" spans="1:16">
      <c r="A6" s="1179">
        <v>1940</v>
      </c>
      <c r="B6" s="1180">
        <v>98.2</v>
      </c>
      <c r="C6" s="1181">
        <v>7.7100000000000002E-2</v>
      </c>
      <c r="D6" s="1181">
        <v>6.5299999999999997E-2</v>
      </c>
      <c r="E6" s="1181">
        <v>6.1400000000000003E-2</v>
      </c>
      <c r="F6" s="1181">
        <v>6.6199999999999995E-2</v>
      </c>
      <c r="G6" s="1181">
        <v>7.4099999999999999E-2</v>
      </c>
      <c r="H6" s="1181">
        <v>7.4099999999999999E-2</v>
      </c>
      <c r="I6" s="1181">
        <v>7.4099999999999999E-2</v>
      </c>
      <c r="J6" s="1182">
        <v>4.6300000000000001E-2</v>
      </c>
      <c r="K6" s="1183">
        <v>7.7100000000000002E-2</v>
      </c>
      <c r="L6" s="1183">
        <v>4.4200000000000003E-2</v>
      </c>
      <c r="M6" s="1183">
        <v>6.2700000000000006E-2</v>
      </c>
      <c r="N6" s="1183">
        <v>0.13780000000000001</v>
      </c>
      <c r="O6" s="1183">
        <v>0.14299999999999999</v>
      </c>
      <c r="P6" s="1183">
        <v>0.13569999999999999</v>
      </c>
    </row>
    <row r="7" spans="1:16">
      <c r="A7" s="1179">
        <v>1941</v>
      </c>
      <c r="B7" s="1180">
        <v>116.2</v>
      </c>
      <c r="C7" s="1181">
        <v>0.08</v>
      </c>
      <c r="D7" s="1181">
        <v>7.2400000000000006E-2</v>
      </c>
      <c r="E7" s="1181">
        <v>7.5600000000000001E-2</v>
      </c>
      <c r="F7" s="1181">
        <v>6.9699999999999998E-2</v>
      </c>
      <c r="G7" s="1181">
        <v>7.6700000000000004E-2</v>
      </c>
      <c r="H7" s="1181">
        <v>7.6700000000000004E-2</v>
      </c>
      <c r="I7" s="1181">
        <v>7.6700000000000004E-2</v>
      </c>
      <c r="J7" s="1182">
        <v>4.19E-2</v>
      </c>
      <c r="K7" s="1183">
        <v>0.08</v>
      </c>
      <c r="L7" s="1183">
        <v>4.3900000000000002E-2</v>
      </c>
      <c r="M7" s="1183">
        <v>6.4100000000000004E-2</v>
      </c>
      <c r="N7" s="1183">
        <v>0.1487</v>
      </c>
      <c r="O7" s="1183">
        <v>0.15160000000000001</v>
      </c>
      <c r="P7" s="1183">
        <v>0.1421</v>
      </c>
    </row>
    <row r="8" spans="1:16">
      <c r="A8" s="1179">
        <v>1942</v>
      </c>
      <c r="B8" s="1180">
        <v>147.69999999999999</v>
      </c>
      <c r="C8" s="1181">
        <v>8.5999999999999993E-2</v>
      </c>
      <c r="D8" s="1181">
        <v>8.2299999999999998E-2</v>
      </c>
      <c r="E8" s="1181">
        <v>9.2499999999999999E-2</v>
      </c>
      <c r="F8" s="1181">
        <v>6.3299999999999995E-2</v>
      </c>
      <c r="G8" s="1181">
        <v>8.3900000000000002E-2</v>
      </c>
      <c r="H8" s="1181">
        <v>8.3900000000000002E-2</v>
      </c>
      <c r="I8" s="1181">
        <v>8.3900000000000002E-2</v>
      </c>
      <c r="J8" s="1182">
        <v>4.1099999999999998E-2</v>
      </c>
      <c r="K8" s="1183">
        <v>8.5999999999999993E-2</v>
      </c>
      <c r="L8" s="1183">
        <v>4.7100000000000003E-2</v>
      </c>
      <c r="M8" s="1183">
        <v>5.5300000000000002E-2</v>
      </c>
      <c r="N8" s="1183">
        <v>0.1555</v>
      </c>
      <c r="O8" s="1183">
        <v>0.15570000000000001</v>
      </c>
      <c r="P8" s="1183">
        <v>0.15329999999999999</v>
      </c>
    </row>
    <row r="9" spans="1:16">
      <c r="A9" s="1179">
        <v>1943</v>
      </c>
      <c r="B9" s="1180">
        <v>184.6</v>
      </c>
      <c r="C9" s="1181">
        <v>9.1499999999999998E-2</v>
      </c>
      <c r="D9" s="1181">
        <v>9.1200000000000003E-2</v>
      </c>
      <c r="E9" s="1181">
        <v>9.9299999999999999E-2</v>
      </c>
      <c r="F9" s="1181">
        <v>6.25E-2</v>
      </c>
      <c r="G9" s="1181">
        <v>9.2899999999999996E-2</v>
      </c>
      <c r="H9" s="1181">
        <v>9.2899999999999996E-2</v>
      </c>
      <c r="I9" s="1181">
        <v>9.2899999999999996E-2</v>
      </c>
      <c r="J9" s="1182">
        <v>4.3799999999999999E-2</v>
      </c>
      <c r="K9" s="1183">
        <v>9.1499999999999998E-2</v>
      </c>
      <c r="L9" s="1183">
        <v>5.16E-2</v>
      </c>
      <c r="M9" s="1183">
        <v>5.4199999999999998E-2</v>
      </c>
      <c r="N9" s="1183">
        <v>0.1525</v>
      </c>
      <c r="O9" s="1183">
        <v>0.1525</v>
      </c>
      <c r="P9" s="1183">
        <v>0.15620000000000001</v>
      </c>
    </row>
    <row r="10" spans="1:16">
      <c r="A10" s="1179">
        <v>1944</v>
      </c>
      <c r="B10" s="1180">
        <v>213.8</v>
      </c>
      <c r="C10" s="1181">
        <v>9.4799999999999995E-2</v>
      </c>
      <c r="D10" s="1181">
        <v>8.3699999999999997E-2</v>
      </c>
      <c r="E10" s="1181">
        <v>8.6900000000000005E-2</v>
      </c>
      <c r="F10" s="1181">
        <v>6.7599999999999993E-2</v>
      </c>
      <c r="G10" s="1181">
        <v>9.98E-2</v>
      </c>
      <c r="H10" s="1181">
        <v>9.98E-2</v>
      </c>
      <c r="I10" s="1181">
        <v>9.98E-2</v>
      </c>
      <c r="J10" s="1182">
        <v>4.6100000000000002E-2</v>
      </c>
      <c r="K10" s="1183">
        <v>9.4799999999999995E-2</v>
      </c>
      <c r="L10" s="1183">
        <v>5.6800000000000003E-2</v>
      </c>
      <c r="M10" s="1183">
        <v>5.7799999999999997E-2</v>
      </c>
      <c r="N10" s="1183">
        <v>0.14810000000000001</v>
      </c>
      <c r="O10" s="1183">
        <v>0.14799999999999999</v>
      </c>
      <c r="P10" s="1183">
        <v>0.1633</v>
      </c>
    </row>
    <row r="11" spans="1:16">
      <c r="A11" s="1179">
        <v>1945</v>
      </c>
      <c r="B11" s="1180">
        <v>226.4</v>
      </c>
      <c r="C11" s="1181">
        <v>9.7100000000000006E-2</v>
      </c>
      <c r="D11" s="1181">
        <v>7.8899999999999998E-2</v>
      </c>
      <c r="E11" s="1181">
        <v>7.9000000000000001E-2</v>
      </c>
      <c r="F11" s="1181">
        <v>7.7799999999999994E-2</v>
      </c>
      <c r="G11" s="1181">
        <v>0.105</v>
      </c>
      <c r="H11" s="1181">
        <v>0.105</v>
      </c>
      <c r="I11" s="1181">
        <v>0.1047</v>
      </c>
      <c r="J11" s="1182">
        <v>4.6600000000000003E-2</v>
      </c>
      <c r="K11" s="1183">
        <v>9.7100000000000006E-2</v>
      </c>
      <c r="L11" s="1183">
        <v>5.9900000000000002E-2</v>
      </c>
      <c r="M11" s="1183">
        <v>6.1400000000000003E-2</v>
      </c>
      <c r="N11" s="1183">
        <v>0.1381</v>
      </c>
      <c r="O11" s="1183">
        <v>0.13800000000000001</v>
      </c>
      <c r="P11" s="1183">
        <v>0.16900000000000001</v>
      </c>
    </row>
    <row r="12" spans="1:16">
      <c r="A12" s="1179">
        <v>1946</v>
      </c>
      <c r="B12" s="1180">
        <v>228</v>
      </c>
      <c r="C12" s="1181">
        <v>0.1045</v>
      </c>
      <c r="D12" s="1181">
        <v>7.9299999999999995E-2</v>
      </c>
      <c r="E12" s="1181">
        <v>7.5399999999999995E-2</v>
      </c>
      <c r="F12" s="1181">
        <v>9.5799999999999996E-2</v>
      </c>
      <c r="G12" s="1181">
        <v>0.1106</v>
      </c>
      <c r="H12" s="1181">
        <v>0.1106</v>
      </c>
      <c r="I12" s="1181">
        <v>0.1104</v>
      </c>
      <c r="J12" s="1182">
        <v>5.1400000000000001E-2</v>
      </c>
      <c r="K12" s="1183">
        <v>0.1045</v>
      </c>
      <c r="L12" s="1183">
        <v>6.2300000000000001E-2</v>
      </c>
      <c r="M12" s="1183">
        <v>6.6699999999999995E-2</v>
      </c>
      <c r="N12" s="1183">
        <v>0.14019999999999999</v>
      </c>
      <c r="O12" s="1183">
        <v>0.13980000000000001</v>
      </c>
      <c r="P12" s="1183">
        <v>0.15959999999999999</v>
      </c>
    </row>
    <row r="13" spans="1:16">
      <c r="A13" s="1179">
        <v>1947</v>
      </c>
      <c r="B13" s="1180">
        <v>238.9</v>
      </c>
      <c r="C13" s="1181">
        <v>0.1159</v>
      </c>
      <c r="D13" s="1181">
        <v>8.9700000000000002E-2</v>
      </c>
      <c r="E13" s="1181">
        <v>8.1299999999999997E-2</v>
      </c>
      <c r="F13" s="1181">
        <v>9.5500000000000002E-2</v>
      </c>
      <c r="G13" s="1181">
        <v>0.11890000000000001</v>
      </c>
      <c r="H13" s="1181">
        <v>0.11890000000000001</v>
      </c>
      <c r="I13" s="1181">
        <v>0.1188</v>
      </c>
      <c r="J13" s="1182">
        <v>0.1246</v>
      </c>
      <c r="K13" s="1183">
        <v>0.1159</v>
      </c>
      <c r="L13" s="1183">
        <v>6.6100000000000006E-2</v>
      </c>
      <c r="M13" s="1183">
        <v>6.88E-2</v>
      </c>
      <c r="N13" s="1183">
        <v>0.15609999999999999</v>
      </c>
      <c r="O13" s="1183">
        <v>0.15570000000000001</v>
      </c>
      <c r="P13" s="1183">
        <v>0.15809999999999999</v>
      </c>
    </row>
    <row r="14" spans="1:16">
      <c r="A14" s="1179">
        <v>1948</v>
      </c>
      <c r="B14" s="1180">
        <v>261.89999999999998</v>
      </c>
      <c r="C14" s="1181">
        <v>0.12690000000000001</v>
      </c>
      <c r="D14" s="1181">
        <v>9.3200000000000005E-2</v>
      </c>
      <c r="E14" s="1181">
        <v>7.6300000000000007E-2</v>
      </c>
      <c r="F14" s="1181">
        <v>0.10340000000000001</v>
      </c>
      <c r="G14" s="1181">
        <v>0.12989999999999999</v>
      </c>
      <c r="H14" s="1181">
        <v>0.12989999999999999</v>
      </c>
      <c r="I14" s="1181">
        <v>0.1298</v>
      </c>
      <c r="J14" s="1182">
        <v>7.0000000000000007E-2</v>
      </c>
      <c r="K14" s="1183">
        <v>0.12690000000000001</v>
      </c>
      <c r="L14" s="1183">
        <v>7.1400000000000005E-2</v>
      </c>
      <c r="M14" s="1183">
        <v>7.5700000000000003E-2</v>
      </c>
      <c r="N14" s="1183">
        <v>0.1736</v>
      </c>
      <c r="O14" s="1183">
        <v>0.17080000000000001</v>
      </c>
      <c r="P14" s="1183">
        <v>0.184</v>
      </c>
    </row>
    <row r="15" spans="1:16">
      <c r="A15" s="1179">
        <v>1949</v>
      </c>
      <c r="B15" s="1180">
        <v>276.5</v>
      </c>
      <c r="C15" s="1181">
        <v>0.13120000000000001</v>
      </c>
      <c r="D15" s="1181">
        <v>8.9599999999999999E-2</v>
      </c>
      <c r="E15" s="1181">
        <v>7.5899999999999995E-2</v>
      </c>
      <c r="F15" s="1181">
        <v>9.8799999999999999E-2</v>
      </c>
      <c r="G15" s="1181">
        <v>0.1333</v>
      </c>
      <c r="H15" s="1181">
        <v>0.1333</v>
      </c>
      <c r="I15" s="1181">
        <v>0.13320000000000001</v>
      </c>
      <c r="J15" s="1182">
        <v>7.3700000000000002E-2</v>
      </c>
      <c r="K15" s="1183">
        <v>0.13120000000000001</v>
      </c>
      <c r="L15" s="1183">
        <v>6.9400000000000003E-2</v>
      </c>
      <c r="M15" s="1183">
        <v>7.3700000000000002E-2</v>
      </c>
      <c r="N15" s="1183">
        <v>0.18229999999999999</v>
      </c>
      <c r="O15" s="1183">
        <v>0.18</v>
      </c>
      <c r="P15" s="1183">
        <v>0.18770000000000001</v>
      </c>
    </row>
    <row r="16" spans="1:16">
      <c r="A16" s="1179">
        <v>1950</v>
      </c>
      <c r="B16" s="1180">
        <v>278.7</v>
      </c>
      <c r="C16" s="1181">
        <v>0.12939999999999999</v>
      </c>
      <c r="D16" s="1181">
        <v>9.4200000000000006E-2</v>
      </c>
      <c r="E16" s="1181">
        <v>7.6700000000000004E-2</v>
      </c>
      <c r="F16" s="1181">
        <v>0.1056</v>
      </c>
      <c r="G16" s="1181">
        <v>0.13159999999999999</v>
      </c>
      <c r="H16" s="1181">
        <v>0.13170000000000001</v>
      </c>
      <c r="I16" s="1181">
        <v>0.13120000000000001</v>
      </c>
      <c r="J16" s="1182">
        <v>6.9900000000000004E-2</v>
      </c>
      <c r="K16" s="1183">
        <v>0.12939999999999999</v>
      </c>
      <c r="L16" s="1183">
        <v>7.3099999999999998E-2</v>
      </c>
      <c r="M16" s="1183">
        <v>7.8799999999999995E-2</v>
      </c>
      <c r="N16" s="1183">
        <v>0.1804</v>
      </c>
      <c r="O16" s="1183">
        <v>0.17929999999999999</v>
      </c>
      <c r="P16" s="1183">
        <v>0.18210000000000001</v>
      </c>
    </row>
    <row r="17" spans="1:16">
      <c r="A17" s="1179">
        <v>1951</v>
      </c>
      <c r="B17" s="1180">
        <v>327.10000000000002</v>
      </c>
      <c r="C17" s="1181">
        <v>0.1363</v>
      </c>
      <c r="D17" s="1181">
        <v>9.4700000000000006E-2</v>
      </c>
      <c r="E17" s="1181">
        <v>8.1299999999999997E-2</v>
      </c>
      <c r="F17" s="1181">
        <v>0.11509999999999999</v>
      </c>
      <c r="G17" s="1181">
        <v>0.13900000000000001</v>
      </c>
      <c r="H17" s="1181">
        <v>0.1391</v>
      </c>
      <c r="I17" s="1181">
        <v>0.13850000000000001</v>
      </c>
      <c r="J17" s="1182">
        <v>8.3599999999999994E-2</v>
      </c>
      <c r="K17" s="1183">
        <v>0.1363</v>
      </c>
      <c r="L17" s="1183">
        <v>7.2099999999999997E-2</v>
      </c>
      <c r="M17" s="1183">
        <v>8.0500000000000002E-2</v>
      </c>
      <c r="N17" s="1183">
        <v>0.19239999999999999</v>
      </c>
      <c r="O17" s="1183">
        <v>0.193</v>
      </c>
      <c r="P17" s="1183">
        <v>0.1898</v>
      </c>
    </row>
    <row r="18" spans="1:16">
      <c r="A18" s="1179">
        <v>1952</v>
      </c>
      <c r="B18" s="1180">
        <v>357.1</v>
      </c>
      <c r="C18" s="1181">
        <v>0.14180000000000001</v>
      </c>
      <c r="D18" s="1181">
        <v>9.4399999999999998E-2</v>
      </c>
      <c r="E18" s="1181">
        <v>8.4500000000000006E-2</v>
      </c>
      <c r="F18" s="1181">
        <v>0.12590000000000001</v>
      </c>
      <c r="G18" s="1181">
        <v>0.14460000000000001</v>
      </c>
      <c r="H18" s="1181">
        <v>0.14460000000000001</v>
      </c>
      <c r="I18" s="1181">
        <v>0.14410000000000001</v>
      </c>
      <c r="J18" s="1182">
        <v>8.3900000000000002E-2</v>
      </c>
      <c r="K18" s="1183">
        <v>0.14180000000000001</v>
      </c>
      <c r="L18" s="1183">
        <v>7.7600000000000002E-2</v>
      </c>
      <c r="M18" s="1183">
        <v>8.77E-2</v>
      </c>
      <c r="N18" s="1183">
        <v>0.2019</v>
      </c>
      <c r="O18" s="1183">
        <v>0.20180000000000001</v>
      </c>
      <c r="P18" s="1183">
        <v>0.20250000000000001</v>
      </c>
    </row>
    <row r="19" spans="1:16">
      <c r="A19" s="1179">
        <v>1953</v>
      </c>
      <c r="B19" s="1180">
        <v>382.1</v>
      </c>
      <c r="C19" s="1181">
        <v>0.1444</v>
      </c>
      <c r="D19" s="1181">
        <v>0.10150000000000001</v>
      </c>
      <c r="E19" s="1181">
        <v>9.3299999999999994E-2</v>
      </c>
      <c r="F19" s="1181">
        <v>0.1268</v>
      </c>
      <c r="G19" s="1181">
        <v>0.1467</v>
      </c>
      <c r="H19" s="1181">
        <v>0.14680000000000001</v>
      </c>
      <c r="I19" s="1181">
        <v>0.14630000000000001</v>
      </c>
      <c r="J19" s="1182">
        <v>8.7900000000000006E-2</v>
      </c>
      <c r="K19" s="1183">
        <v>0.1444</v>
      </c>
      <c r="L19" s="1183">
        <v>8.2100000000000006E-2</v>
      </c>
      <c r="M19" s="1183">
        <v>9.2200000000000004E-2</v>
      </c>
      <c r="N19" s="1183">
        <v>0.20449999999999999</v>
      </c>
      <c r="O19" s="1183">
        <v>0.20419999999999999</v>
      </c>
      <c r="P19" s="1183">
        <v>0.2089</v>
      </c>
    </row>
    <row r="20" spans="1:16">
      <c r="A20" s="1179">
        <v>1954</v>
      </c>
      <c r="B20" s="1180">
        <v>387.2</v>
      </c>
      <c r="C20" s="1181">
        <v>0.14610000000000001</v>
      </c>
      <c r="D20" s="1181">
        <v>0.1047</v>
      </c>
      <c r="E20" s="1181">
        <v>9.4899999999999998E-2</v>
      </c>
      <c r="F20" s="1181">
        <v>0.1366</v>
      </c>
      <c r="G20" s="1181">
        <v>0.14860000000000001</v>
      </c>
      <c r="H20" s="1181">
        <v>0.14860000000000001</v>
      </c>
      <c r="I20" s="1181">
        <v>0.1484</v>
      </c>
      <c r="J20" s="1182">
        <v>8.4199999999999997E-2</v>
      </c>
      <c r="K20" s="1183">
        <v>0.14610000000000001</v>
      </c>
      <c r="L20" s="1183">
        <v>8.5000000000000006E-2</v>
      </c>
      <c r="M20" s="1183">
        <v>9.8699999999999996E-2</v>
      </c>
      <c r="N20" s="1183">
        <v>0.2026</v>
      </c>
      <c r="O20" s="1183">
        <v>0.20230000000000001</v>
      </c>
      <c r="P20" s="1183">
        <v>0.20730000000000001</v>
      </c>
    </row>
    <row r="21" spans="1:16">
      <c r="A21" s="1179">
        <v>1955</v>
      </c>
      <c r="B21" s="1180">
        <v>406.3</v>
      </c>
      <c r="C21" s="1181">
        <v>0.1472</v>
      </c>
      <c r="D21" s="1181">
        <v>0.1081</v>
      </c>
      <c r="E21" s="1181">
        <v>9.8000000000000004E-2</v>
      </c>
      <c r="F21" s="1181">
        <v>0.13059999999999999</v>
      </c>
      <c r="G21" s="1181">
        <v>0.14849999999999999</v>
      </c>
      <c r="H21" s="1181">
        <v>0.14849999999999999</v>
      </c>
      <c r="I21" s="1181">
        <v>0.1484</v>
      </c>
      <c r="J21" s="1182">
        <v>8.5800000000000001E-2</v>
      </c>
      <c r="K21" s="1183">
        <v>0.1472</v>
      </c>
      <c r="L21" s="1183">
        <v>8.7300000000000003E-2</v>
      </c>
      <c r="M21" s="1183">
        <v>9.5399999999999999E-2</v>
      </c>
      <c r="N21" s="1183">
        <v>0.20830000000000001</v>
      </c>
      <c r="O21" s="1183">
        <v>0.20860000000000001</v>
      </c>
      <c r="P21" s="1183">
        <v>0.20330000000000001</v>
      </c>
    </row>
    <row r="22" spans="1:16">
      <c r="A22" s="1179">
        <v>1956</v>
      </c>
      <c r="B22" s="1180">
        <v>438.3</v>
      </c>
      <c r="C22" s="1181">
        <v>0.151</v>
      </c>
      <c r="D22" s="1181">
        <v>0.113</v>
      </c>
      <c r="E22" s="1181">
        <v>0.10390000000000001</v>
      </c>
      <c r="F22" s="1181">
        <v>0.13020000000000001</v>
      </c>
      <c r="G22" s="1181">
        <v>0.15029999999999999</v>
      </c>
      <c r="H22" s="1181">
        <v>0.15029999999999999</v>
      </c>
      <c r="I22" s="1181">
        <v>0.1502</v>
      </c>
      <c r="J22" s="1182">
        <v>8.7099999999999997E-2</v>
      </c>
      <c r="K22" s="1183">
        <v>0.151</v>
      </c>
      <c r="L22" s="1183">
        <v>8.8300000000000003E-2</v>
      </c>
      <c r="M22" s="1183">
        <v>9.5100000000000004E-2</v>
      </c>
      <c r="N22" s="1183">
        <v>0.21929999999999999</v>
      </c>
      <c r="O22" s="1183">
        <v>0.2198</v>
      </c>
      <c r="P22" s="1183">
        <v>0.2107</v>
      </c>
    </row>
    <row r="23" spans="1:16">
      <c r="A23" s="1179">
        <v>1957</v>
      </c>
      <c r="B23" s="1180">
        <v>463.4</v>
      </c>
      <c r="C23" s="1181">
        <v>0.15659999999999999</v>
      </c>
      <c r="D23" s="1181">
        <v>0.1186</v>
      </c>
      <c r="E23" s="1181">
        <v>0.10929999999999999</v>
      </c>
      <c r="F23" s="1181">
        <v>0.1353</v>
      </c>
      <c r="G23" s="1181">
        <v>0.1545</v>
      </c>
      <c r="H23" s="1181">
        <v>0.1545</v>
      </c>
      <c r="I23" s="1181">
        <v>0.15440000000000001</v>
      </c>
      <c r="J23" s="1182">
        <v>9.5000000000000001E-2</v>
      </c>
      <c r="K23" s="1183">
        <v>0.15659999999999999</v>
      </c>
      <c r="L23" s="1183">
        <v>9.0399999999999994E-2</v>
      </c>
      <c r="M23" s="1183">
        <v>9.8400000000000001E-2</v>
      </c>
      <c r="N23" s="1183">
        <v>0.23150000000000001</v>
      </c>
      <c r="O23" s="1183">
        <v>0.23219999999999999</v>
      </c>
      <c r="P23" s="1183">
        <v>0.22120000000000001</v>
      </c>
    </row>
    <row r="24" spans="1:16">
      <c r="A24" s="1179">
        <v>1958</v>
      </c>
      <c r="B24" s="1180">
        <v>473.5</v>
      </c>
      <c r="C24" s="1181">
        <v>0.1613</v>
      </c>
      <c r="D24" s="1181">
        <v>0.12559999999999999</v>
      </c>
      <c r="E24" s="1181">
        <v>0.1144</v>
      </c>
      <c r="F24" s="1181">
        <v>0.14410000000000001</v>
      </c>
      <c r="G24" s="1181">
        <v>0.15909999999999999</v>
      </c>
      <c r="H24" s="1181">
        <v>0.15909999999999999</v>
      </c>
      <c r="I24" s="1181">
        <v>0.159</v>
      </c>
      <c r="J24" s="1182">
        <v>0.1053</v>
      </c>
      <c r="K24" s="1183">
        <v>0.1613</v>
      </c>
      <c r="L24" s="1183">
        <v>9.6699999999999994E-2</v>
      </c>
      <c r="M24" s="1183">
        <v>0.1069</v>
      </c>
      <c r="N24" s="1183">
        <v>0.23880000000000001</v>
      </c>
      <c r="O24" s="1183">
        <v>0.2397</v>
      </c>
      <c r="P24" s="1183">
        <v>0.22800000000000001</v>
      </c>
    </row>
    <row r="25" spans="1:16">
      <c r="A25" s="1179">
        <v>1959</v>
      </c>
      <c r="B25" s="1180">
        <v>504.6</v>
      </c>
      <c r="C25" s="1181">
        <v>0.1638</v>
      </c>
      <c r="D25" s="1181">
        <v>0.1308</v>
      </c>
      <c r="E25" s="1181">
        <v>0.12230000000000001</v>
      </c>
      <c r="F25" s="1181">
        <v>0.14199999999999999</v>
      </c>
      <c r="G25" s="1181">
        <v>0.1613</v>
      </c>
      <c r="H25" s="1181">
        <v>0.1613</v>
      </c>
      <c r="I25" s="1181">
        <v>0.16120000000000001</v>
      </c>
      <c r="J25" s="1182">
        <v>0.11260000000000001</v>
      </c>
      <c r="K25" s="1183">
        <v>0.1638</v>
      </c>
      <c r="L25" s="1183">
        <v>0.10150000000000001</v>
      </c>
      <c r="M25" s="1183">
        <v>0.1106</v>
      </c>
      <c r="N25" s="1183">
        <v>0.24299999999999999</v>
      </c>
      <c r="O25" s="1183">
        <v>0.24399999999999999</v>
      </c>
      <c r="P25" s="1183">
        <v>0.23169999999999999</v>
      </c>
    </row>
    <row r="26" spans="1:16">
      <c r="A26" s="1179">
        <v>1960</v>
      </c>
      <c r="B26" s="1180">
        <v>534.29999999999995</v>
      </c>
      <c r="C26" s="1181">
        <v>0.1661</v>
      </c>
      <c r="D26" s="1181">
        <v>0.1328</v>
      </c>
      <c r="E26" s="1181">
        <v>0.121</v>
      </c>
      <c r="F26" s="1181">
        <v>0.14860000000000001</v>
      </c>
      <c r="G26" s="1181">
        <v>0.1643</v>
      </c>
      <c r="H26" s="1181">
        <v>0.16439999999999999</v>
      </c>
      <c r="I26" s="1181">
        <v>0.16420000000000001</v>
      </c>
      <c r="J26" s="1182">
        <v>0.1132</v>
      </c>
      <c r="K26" s="1183">
        <v>0.1661</v>
      </c>
      <c r="L26" s="1183">
        <v>0.1007</v>
      </c>
      <c r="M26" s="1183">
        <v>0.1143</v>
      </c>
      <c r="N26" s="1183">
        <v>0.2447</v>
      </c>
      <c r="O26" s="1183">
        <v>0.24590000000000001</v>
      </c>
      <c r="P26" s="1183">
        <v>0.23480000000000001</v>
      </c>
    </row>
    <row r="27" spans="1:16">
      <c r="A27" s="1179">
        <v>1961</v>
      </c>
      <c r="B27" s="1180">
        <v>546.6</v>
      </c>
      <c r="C27" s="1181">
        <v>0.16830000000000001</v>
      </c>
      <c r="D27" s="1181">
        <v>0.1358</v>
      </c>
      <c r="E27" s="1181">
        <v>0.12330000000000001</v>
      </c>
      <c r="F27" s="1181">
        <v>0.15160000000000001</v>
      </c>
      <c r="G27" s="1181">
        <v>0.1666</v>
      </c>
      <c r="H27" s="1181">
        <v>0.1666</v>
      </c>
      <c r="I27" s="1181">
        <v>0.16650000000000001</v>
      </c>
      <c r="J27" s="1182">
        <v>0.1111</v>
      </c>
      <c r="K27" s="1183">
        <v>0.16830000000000001</v>
      </c>
      <c r="L27" s="1183">
        <v>0.1057</v>
      </c>
      <c r="M27" s="1183">
        <v>0.1205</v>
      </c>
      <c r="N27" s="1183">
        <v>0.24610000000000001</v>
      </c>
      <c r="O27" s="1183">
        <v>0.24729999999999999</v>
      </c>
      <c r="P27" s="1183">
        <v>0.2366</v>
      </c>
    </row>
    <row r="28" spans="1:16">
      <c r="A28" s="1179">
        <v>1962</v>
      </c>
      <c r="B28" s="1180">
        <v>585.70000000000005</v>
      </c>
      <c r="C28" s="1181">
        <v>0.17</v>
      </c>
      <c r="D28" s="1181">
        <v>0.13589999999999999</v>
      </c>
      <c r="E28" s="1181">
        <v>0.1234</v>
      </c>
      <c r="F28" s="1181">
        <v>0.15049999999999999</v>
      </c>
      <c r="G28" s="1181">
        <v>0.16819999999999999</v>
      </c>
      <c r="H28" s="1181">
        <v>0.16819999999999999</v>
      </c>
      <c r="I28" s="1181">
        <v>0.1681</v>
      </c>
      <c r="J28" s="1182">
        <v>0.1115</v>
      </c>
      <c r="K28" s="1183">
        <v>0.17</v>
      </c>
      <c r="L28" s="1183">
        <v>0.10780000000000001</v>
      </c>
      <c r="M28" s="1183">
        <v>0.12239999999999999</v>
      </c>
      <c r="N28" s="1183">
        <v>0.24809999999999999</v>
      </c>
      <c r="O28" s="1183">
        <v>0.24940000000000001</v>
      </c>
      <c r="P28" s="1183">
        <v>0.2387</v>
      </c>
    </row>
    <row r="29" spans="1:16">
      <c r="A29" s="1179">
        <v>1963</v>
      </c>
      <c r="B29" s="1180">
        <v>618.20000000000005</v>
      </c>
      <c r="C29" s="1181">
        <v>0.17199999999999999</v>
      </c>
      <c r="D29" s="1181">
        <v>0.14180000000000001</v>
      </c>
      <c r="E29" s="1181">
        <v>0.129</v>
      </c>
      <c r="F29" s="1181">
        <v>0.15620000000000001</v>
      </c>
      <c r="G29" s="1181">
        <v>0.17019999999999999</v>
      </c>
      <c r="H29" s="1181">
        <v>0.17019999999999999</v>
      </c>
      <c r="I29" s="1181">
        <v>0.1701</v>
      </c>
      <c r="J29" s="1182">
        <v>0.11550000000000001</v>
      </c>
      <c r="K29" s="1183">
        <v>0.17199999999999999</v>
      </c>
      <c r="L29" s="1183">
        <v>0.1113</v>
      </c>
      <c r="M29" s="1183">
        <v>0.13020000000000001</v>
      </c>
      <c r="N29" s="1183">
        <v>0.25209999999999999</v>
      </c>
      <c r="O29" s="1183">
        <v>0.25359999999999999</v>
      </c>
      <c r="P29" s="1183">
        <v>0.24099999999999999</v>
      </c>
    </row>
    <row r="30" spans="1:16">
      <c r="A30" s="1179">
        <v>1964</v>
      </c>
      <c r="B30" s="1180">
        <v>661.7</v>
      </c>
      <c r="C30" s="1181">
        <v>0.17419999999999999</v>
      </c>
      <c r="D30" s="1181">
        <v>0.14410000000000001</v>
      </c>
      <c r="E30" s="1181">
        <v>0.13070000000000001</v>
      </c>
      <c r="F30" s="1181">
        <v>0.158</v>
      </c>
      <c r="G30" s="1181">
        <v>0.1726</v>
      </c>
      <c r="H30" s="1181">
        <v>0.1726</v>
      </c>
      <c r="I30" s="1181">
        <v>0.17249999999999999</v>
      </c>
      <c r="J30" s="1182">
        <v>0.11749999999999999</v>
      </c>
      <c r="K30" s="1183">
        <v>0.17419999999999999</v>
      </c>
      <c r="L30" s="1183">
        <v>0.1149</v>
      </c>
      <c r="M30" s="1183">
        <v>0.1366</v>
      </c>
      <c r="N30" s="1183">
        <v>0.2525</v>
      </c>
      <c r="O30" s="1183">
        <v>0.25380000000000003</v>
      </c>
      <c r="P30" s="1183">
        <v>0.24460000000000001</v>
      </c>
    </row>
    <row r="31" spans="1:16">
      <c r="A31" s="1179">
        <v>1965</v>
      </c>
      <c r="B31" s="1180">
        <v>709.3</v>
      </c>
      <c r="C31" s="1181">
        <v>0.1772</v>
      </c>
      <c r="D31" s="1181">
        <v>0.14610000000000001</v>
      </c>
      <c r="E31" s="1181">
        <v>0.1303</v>
      </c>
      <c r="F31" s="1181">
        <v>0.16059999999999999</v>
      </c>
      <c r="G31" s="1181">
        <v>0.1749</v>
      </c>
      <c r="H31" s="1181">
        <v>0.17499999999999999</v>
      </c>
      <c r="I31" s="1181">
        <v>0.17480000000000001</v>
      </c>
      <c r="J31" s="1182">
        <v>0.1207</v>
      </c>
      <c r="K31" s="1183">
        <v>0.1772</v>
      </c>
      <c r="L31" s="1183">
        <v>0.12139999999999999</v>
      </c>
      <c r="M31" s="1183">
        <v>0.14230000000000001</v>
      </c>
      <c r="N31" s="1183">
        <v>0.25309999999999999</v>
      </c>
      <c r="O31" s="1183">
        <v>0.2545</v>
      </c>
      <c r="P31" s="1183">
        <v>0.24679999999999999</v>
      </c>
    </row>
    <row r="32" spans="1:16">
      <c r="A32" s="1179">
        <v>1966</v>
      </c>
      <c r="B32" s="1180">
        <v>780.5</v>
      </c>
      <c r="C32" s="1181">
        <v>0.18099999999999999</v>
      </c>
      <c r="D32" s="1181">
        <v>0.15010000000000001</v>
      </c>
      <c r="E32" s="1181">
        <v>0.13650000000000001</v>
      </c>
      <c r="F32" s="1181">
        <v>0.16239999999999999</v>
      </c>
      <c r="G32" s="1181">
        <v>0.17810000000000001</v>
      </c>
      <c r="H32" s="1181">
        <v>0.17810000000000001</v>
      </c>
      <c r="I32" s="1181">
        <v>0.17799999999999999</v>
      </c>
      <c r="J32" s="1182">
        <v>0.1174</v>
      </c>
      <c r="K32" s="1183">
        <v>0.18099999999999999</v>
      </c>
      <c r="L32" s="1183">
        <v>0.1255</v>
      </c>
      <c r="M32" s="1183">
        <v>0.1464</v>
      </c>
      <c r="N32" s="1183">
        <v>0.25519999999999998</v>
      </c>
      <c r="O32" s="1183">
        <v>0.25659999999999999</v>
      </c>
      <c r="P32" s="1183">
        <v>0.2482</v>
      </c>
    </row>
    <row r="33" spans="1:16">
      <c r="A33" s="1179">
        <v>1967</v>
      </c>
      <c r="B33" s="1180">
        <v>836.5</v>
      </c>
      <c r="C33" s="1181">
        <v>0.1865</v>
      </c>
      <c r="D33" s="1181">
        <v>0.15340000000000001</v>
      </c>
      <c r="E33" s="1181">
        <v>0.1409</v>
      </c>
      <c r="F33" s="1181">
        <v>0.1656</v>
      </c>
      <c r="G33" s="1181">
        <v>0.18290000000000001</v>
      </c>
      <c r="H33" s="1181">
        <v>0.18290000000000001</v>
      </c>
      <c r="I33" s="1181">
        <v>0.18279999999999999</v>
      </c>
      <c r="J33" s="1182">
        <v>0.11890000000000001</v>
      </c>
      <c r="K33" s="1183">
        <v>0.1865</v>
      </c>
      <c r="L33" s="1183">
        <v>0.12870000000000001</v>
      </c>
      <c r="M33" s="1183">
        <v>0.1484</v>
      </c>
      <c r="N33" s="1183">
        <v>0.25900000000000001</v>
      </c>
      <c r="O33" s="1183">
        <v>0.26</v>
      </c>
      <c r="P33" s="1183">
        <v>0.252</v>
      </c>
    </row>
    <row r="34" spans="1:16">
      <c r="A34" s="1179">
        <v>1968</v>
      </c>
      <c r="B34" s="1180">
        <v>897.6</v>
      </c>
      <c r="C34" s="1181">
        <v>0.193</v>
      </c>
      <c r="D34" s="1181">
        <v>0.159</v>
      </c>
      <c r="E34" s="1181">
        <v>0.14760000000000001</v>
      </c>
      <c r="F34" s="1181">
        <v>0.17030000000000001</v>
      </c>
      <c r="G34" s="1181">
        <v>0.18859999999999999</v>
      </c>
      <c r="H34" s="1181">
        <v>0.18859999999999999</v>
      </c>
      <c r="I34" s="1181">
        <v>0.1885</v>
      </c>
      <c r="J34" s="1182">
        <v>0.1231</v>
      </c>
      <c r="K34" s="1183">
        <v>0.193</v>
      </c>
      <c r="L34" s="1183">
        <v>0.13339999999999999</v>
      </c>
      <c r="M34" s="1183">
        <v>0.15160000000000001</v>
      </c>
      <c r="N34" s="1183">
        <v>0.26469999999999999</v>
      </c>
      <c r="O34" s="1183">
        <v>0.26550000000000001</v>
      </c>
      <c r="P34" s="1183">
        <v>0.25769999999999998</v>
      </c>
    </row>
    <row r="35" spans="1:16">
      <c r="A35" s="1179">
        <v>1969</v>
      </c>
      <c r="B35" s="1180">
        <v>980.3</v>
      </c>
      <c r="C35" s="1181">
        <v>0.20180000000000001</v>
      </c>
      <c r="D35" s="1181">
        <v>0.1691</v>
      </c>
      <c r="E35" s="1181">
        <v>0.156</v>
      </c>
      <c r="F35" s="1181">
        <v>0.18160000000000001</v>
      </c>
      <c r="G35" s="1181">
        <v>0.1966</v>
      </c>
      <c r="H35" s="1181">
        <v>0.1966</v>
      </c>
      <c r="I35" s="1181">
        <v>0.19650000000000001</v>
      </c>
      <c r="J35" s="1182">
        <v>0.1305</v>
      </c>
      <c r="K35" s="1183">
        <v>0.20180000000000001</v>
      </c>
      <c r="L35" s="1183">
        <v>0.14269999999999999</v>
      </c>
      <c r="M35" s="1183">
        <v>0.16320000000000001</v>
      </c>
      <c r="N35" s="1183">
        <v>0.27479999999999999</v>
      </c>
      <c r="O35" s="1183">
        <v>0.27550000000000002</v>
      </c>
      <c r="P35" s="1183">
        <v>0.26769999999999999</v>
      </c>
    </row>
    <row r="36" spans="1:16">
      <c r="A36" s="1179">
        <v>1970</v>
      </c>
      <c r="B36" s="1180">
        <v>1046.7</v>
      </c>
      <c r="C36" s="1181">
        <v>0.21260000000000001</v>
      </c>
      <c r="D36" s="1181">
        <v>0.17849999999999999</v>
      </c>
      <c r="E36" s="1181">
        <v>0.16400000000000001</v>
      </c>
      <c r="F36" s="1181">
        <v>0.19070000000000001</v>
      </c>
      <c r="G36" s="1181">
        <v>0.2059</v>
      </c>
      <c r="H36" s="1181">
        <v>0.2059</v>
      </c>
      <c r="I36" s="1181">
        <v>0.20580000000000001</v>
      </c>
      <c r="J36" s="1182">
        <v>0.13930000000000001</v>
      </c>
      <c r="K36" s="1183">
        <v>0.21260000000000001</v>
      </c>
      <c r="L36" s="1183">
        <v>0.1545</v>
      </c>
      <c r="M36" s="1183">
        <v>0.17330000000000001</v>
      </c>
      <c r="N36" s="1183">
        <v>0.28899999999999998</v>
      </c>
      <c r="O36" s="1183">
        <v>0.28970000000000001</v>
      </c>
      <c r="P36" s="1183">
        <v>0.28260000000000002</v>
      </c>
    </row>
    <row r="37" spans="1:16">
      <c r="A37" s="1179">
        <v>1971</v>
      </c>
      <c r="B37" s="1180">
        <v>1116.5999999999999</v>
      </c>
      <c r="C37" s="1181">
        <v>0.22339999999999999</v>
      </c>
      <c r="D37" s="1181">
        <v>0.19089999999999999</v>
      </c>
      <c r="E37" s="1181">
        <v>0.17419999999999999</v>
      </c>
      <c r="F37" s="1181">
        <v>0.20250000000000001</v>
      </c>
      <c r="G37" s="1181">
        <v>0.21510000000000001</v>
      </c>
      <c r="H37" s="1181">
        <v>0.21510000000000001</v>
      </c>
      <c r="I37" s="1181">
        <v>0.215</v>
      </c>
      <c r="J37" s="1182">
        <v>0.14910000000000001</v>
      </c>
      <c r="K37" s="1183">
        <v>0.22339999999999999</v>
      </c>
      <c r="L37" s="1183">
        <v>0.1701</v>
      </c>
      <c r="M37" s="1183">
        <v>0.18970000000000001</v>
      </c>
      <c r="N37" s="1183">
        <v>0.30690000000000001</v>
      </c>
      <c r="O37" s="1183">
        <v>0.30790000000000001</v>
      </c>
      <c r="P37" s="1183">
        <v>0.30020000000000002</v>
      </c>
    </row>
    <row r="38" spans="1:16">
      <c r="A38" s="1179">
        <v>1972</v>
      </c>
      <c r="B38" s="1180">
        <v>1216.3</v>
      </c>
      <c r="C38" s="1181">
        <v>0.23400000000000001</v>
      </c>
      <c r="D38" s="1181">
        <v>0.20330000000000001</v>
      </c>
      <c r="E38" s="1181">
        <v>0.1908</v>
      </c>
      <c r="F38" s="1181">
        <v>0.21049999999999999</v>
      </c>
      <c r="G38" s="1181">
        <v>0.2233</v>
      </c>
      <c r="H38" s="1181">
        <v>0.2233</v>
      </c>
      <c r="I38" s="1181">
        <v>0.22320000000000001</v>
      </c>
      <c r="J38" s="1182">
        <v>0.15609999999999999</v>
      </c>
      <c r="K38" s="1183">
        <v>0.23400000000000001</v>
      </c>
      <c r="L38" s="1183">
        <v>0.1832</v>
      </c>
      <c r="M38" s="1183">
        <v>0.2021</v>
      </c>
      <c r="N38" s="1183">
        <v>0.33019999999999999</v>
      </c>
      <c r="O38" s="1183">
        <v>0.33329999999999999</v>
      </c>
      <c r="P38" s="1183">
        <v>0.31469999999999998</v>
      </c>
    </row>
    <row r="39" spans="1:16">
      <c r="A39" s="1179">
        <v>1973</v>
      </c>
      <c r="B39" s="1180">
        <v>1352.7</v>
      </c>
      <c r="C39" s="1181">
        <v>0.2442</v>
      </c>
      <c r="D39" s="1181">
        <v>0.21260000000000001</v>
      </c>
      <c r="E39" s="1181">
        <v>0.20419999999999999</v>
      </c>
      <c r="F39" s="1181">
        <v>0.21659999999999999</v>
      </c>
      <c r="G39" s="1181">
        <v>0.23169999999999999</v>
      </c>
      <c r="H39" s="1181">
        <v>0.23169999999999999</v>
      </c>
      <c r="I39" s="1181">
        <v>0.2316</v>
      </c>
      <c r="J39" s="1182">
        <v>0.15939999999999999</v>
      </c>
      <c r="K39" s="1183">
        <v>0.2442</v>
      </c>
      <c r="L39" s="1183">
        <v>0.1938</v>
      </c>
      <c r="M39" s="1183">
        <v>0.21379999999999999</v>
      </c>
      <c r="N39" s="1183">
        <v>0.35149999999999998</v>
      </c>
      <c r="O39" s="1183">
        <v>0.3569</v>
      </c>
      <c r="P39" s="1183">
        <v>0.32800000000000001</v>
      </c>
    </row>
    <row r="40" spans="1:16">
      <c r="A40" s="1179">
        <v>1974</v>
      </c>
      <c r="B40" s="1180">
        <v>1482.9</v>
      </c>
      <c r="C40" s="1181">
        <v>0.2616</v>
      </c>
      <c r="D40" s="1181">
        <v>0.23039999999999999</v>
      </c>
      <c r="E40" s="1181">
        <v>0.21809999999999999</v>
      </c>
      <c r="F40" s="1181">
        <v>0.23599999999999999</v>
      </c>
      <c r="G40" s="1181">
        <v>0.25040000000000001</v>
      </c>
      <c r="H40" s="1181">
        <v>0.25040000000000001</v>
      </c>
      <c r="I40" s="1181">
        <v>0.25030000000000002</v>
      </c>
      <c r="J40" s="1182">
        <v>0.1744</v>
      </c>
      <c r="K40" s="1183">
        <v>0.2616</v>
      </c>
      <c r="L40" s="1183">
        <v>0.20569999999999999</v>
      </c>
      <c r="M40" s="1183">
        <v>0.2261</v>
      </c>
      <c r="N40" s="1183">
        <v>0.3725</v>
      </c>
      <c r="O40" s="1183">
        <v>0.37709999999999999</v>
      </c>
      <c r="P40" s="1183">
        <v>0.3533</v>
      </c>
    </row>
    <row r="41" spans="1:16">
      <c r="A41" s="1179">
        <v>1975</v>
      </c>
      <c r="B41" s="1180">
        <v>1606.9</v>
      </c>
      <c r="C41" s="1181">
        <v>0.28860000000000002</v>
      </c>
      <c r="D41" s="1181">
        <v>0.25280000000000002</v>
      </c>
      <c r="E41" s="1181">
        <v>0.23760000000000001</v>
      </c>
      <c r="F41" s="1181">
        <v>0.2586</v>
      </c>
      <c r="G41" s="1181">
        <v>0.2762</v>
      </c>
      <c r="H41" s="1181">
        <v>0.2762</v>
      </c>
      <c r="I41" s="1181">
        <v>0.27610000000000001</v>
      </c>
      <c r="J41" s="1182">
        <v>0.19339999999999999</v>
      </c>
      <c r="K41" s="1183">
        <v>0.28860000000000002</v>
      </c>
      <c r="L41" s="1183">
        <v>0.22109999999999999</v>
      </c>
      <c r="M41" s="1183">
        <v>0.24099999999999999</v>
      </c>
      <c r="N41" s="1183">
        <v>0.40489999999999998</v>
      </c>
      <c r="O41" s="1183">
        <v>0.4083</v>
      </c>
      <c r="P41" s="1183">
        <v>0.39240000000000003</v>
      </c>
    </row>
    <row r="42" spans="1:16">
      <c r="A42" s="1179">
        <v>1976</v>
      </c>
      <c r="B42" s="1180">
        <v>1786.1</v>
      </c>
      <c r="C42" s="1181">
        <v>0.30869999999999997</v>
      </c>
      <c r="D42" s="1181">
        <v>0.27089999999999997</v>
      </c>
      <c r="E42" s="1181">
        <v>0.2525</v>
      </c>
      <c r="F42" s="1181">
        <v>0.27729999999999999</v>
      </c>
      <c r="G42" s="1181">
        <v>0.29420000000000002</v>
      </c>
      <c r="H42" s="1181">
        <v>0.29420000000000002</v>
      </c>
      <c r="I42" s="1181">
        <v>0.29409999999999997</v>
      </c>
      <c r="J42" s="1182">
        <v>0.20860000000000001</v>
      </c>
      <c r="K42" s="1183">
        <v>0.30869999999999997</v>
      </c>
      <c r="L42" s="1183">
        <v>0.23949999999999999</v>
      </c>
      <c r="M42" s="1183">
        <v>0.26240000000000002</v>
      </c>
      <c r="N42" s="1183">
        <v>0.43020000000000003</v>
      </c>
      <c r="O42" s="1183">
        <v>0.43419999999999997</v>
      </c>
      <c r="P42" s="1183">
        <v>0.41620000000000001</v>
      </c>
    </row>
    <row r="43" spans="1:16">
      <c r="A43" s="1179" t="s">
        <v>1096</v>
      </c>
      <c r="B43" s="1180">
        <v>471.7</v>
      </c>
      <c r="C43" s="1181">
        <v>0.318</v>
      </c>
      <c r="D43" s="1181">
        <v>0.27760000000000001</v>
      </c>
      <c r="E43" s="1181">
        <v>0.25740000000000002</v>
      </c>
      <c r="F43" s="1181">
        <v>0.28439999999999999</v>
      </c>
      <c r="G43" s="1181">
        <v>0.3034</v>
      </c>
      <c r="H43" s="1181">
        <v>0.3034</v>
      </c>
      <c r="I43" s="1181">
        <v>0.30330000000000001</v>
      </c>
      <c r="J43" s="1182">
        <v>0.21629999999999999</v>
      </c>
      <c r="K43" s="1183">
        <v>0.318</v>
      </c>
      <c r="L43" s="1183">
        <v>0.2467</v>
      </c>
      <c r="M43" s="1183">
        <v>0.2681</v>
      </c>
      <c r="N43" s="1183">
        <v>0.44419999999999998</v>
      </c>
      <c r="O43" s="1183">
        <v>0.44969999999999999</v>
      </c>
      <c r="P43" s="1183">
        <v>0.4274</v>
      </c>
    </row>
    <row r="44" spans="1:16">
      <c r="A44" s="1179">
        <v>1977</v>
      </c>
      <c r="B44" s="1180">
        <v>2024.3</v>
      </c>
      <c r="C44" s="1181">
        <v>0.33100000000000002</v>
      </c>
      <c r="D44" s="1181">
        <v>0.29060000000000002</v>
      </c>
      <c r="E44" s="1181">
        <v>0.27250000000000002</v>
      </c>
      <c r="F44" s="1181">
        <v>0.29680000000000001</v>
      </c>
      <c r="G44" s="1181">
        <v>0.31630000000000003</v>
      </c>
      <c r="H44" s="1181">
        <v>0.31640000000000001</v>
      </c>
      <c r="I44" s="1181">
        <v>0.31619999999999998</v>
      </c>
      <c r="J44" s="1182">
        <v>0.22370000000000001</v>
      </c>
      <c r="K44" s="1183">
        <v>0.33100000000000002</v>
      </c>
      <c r="L44" s="1183">
        <v>0.25819999999999999</v>
      </c>
      <c r="M44" s="1183">
        <v>0.28179999999999999</v>
      </c>
      <c r="N44" s="1183">
        <v>0.4632</v>
      </c>
      <c r="O44" s="1183">
        <v>0.46960000000000002</v>
      </c>
      <c r="P44" s="1183">
        <v>0.44090000000000001</v>
      </c>
    </row>
    <row r="45" spans="1:16">
      <c r="A45" s="1179">
        <v>1978</v>
      </c>
      <c r="B45" s="1180">
        <v>2273.5</v>
      </c>
      <c r="C45" s="1181">
        <v>0.3533</v>
      </c>
      <c r="D45" s="1181">
        <v>0.30880000000000002</v>
      </c>
      <c r="E45" s="1181">
        <v>0.29110000000000003</v>
      </c>
      <c r="F45" s="1181">
        <v>0.31440000000000001</v>
      </c>
      <c r="G45" s="1181">
        <v>0.33750000000000002</v>
      </c>
      <c r="H45" s="1181">
        <v>0.33760000000000001</v>
      </c>
      <c r="I45" s="1181">
        <v>0.33739999999999998</v>
      </c>
      <c r="J45" s="1182">
        <v>0.2379</v>
      </c>
      <c r="K45" s="1183">
        <v>0.3533</v>
      </c>
      <c r="L45" s="1183">
        <v>0.27460000000000001</v>
      </c>
      <c r="M45" s="1183">
        <v>0.29759999999999998</v>
      </c>
      <c r="N45" s="1183">
        <v>0.49180000000000001</v>
      </c>
      <c r="O45" s="1183">
        <v>0.50070000000000003</v>
      </c>
      <c r="P45" s="1183">
        <v>0.46339999999999998</v>
      </c>
    </row>
    <row r="46" spans="1:16">
      <c r="A46" s="1179">
        <v>1979</v>
      </c>
      <c r="B46" s="1180">
        <v>2565.6</v>
      </c>
      <c r="C46" s="1181">
        <v>0.38179999999999997</v>
      </c>
      <c r="D46" s="1181">
        <v>0.33560000000000001</v>
      </c>
      <c r="E46" s="1181">
        <v>0.31490000000000001</v>
      </c>
      <c r="F46" s="1181">
        <v>0.34239999999999998</v>
      </c>
      <c r="G46" s="1181">
        <v>0.36549999999999999</v>
      </c>
      <c r="H46" s="1181">
        <v>0.36559999999999998</v>
      </c>
      <c r="I46" s="1181">
        <v>0.3654</v>
      </c>
      <c r="J46" s="1182">
        <v>0.25969999999999999</v>
      </c>
      <c r="K46" s="1183">
        <v>0.38179999999999997</v>
      </c>
      <c r="L46" s="1183">
        <v>0.29220000000000002</v>
      </c>
      <c r="M46" s="1183">
        <v>0.32090000000000002</v>
      </c>
      <c r="N46" s="1183">
        <v>0.52569999999999995</v>
      </c>
      <c r="O46" s="1183">
        <v>0.53500000000000003</v>
      </c>
      <c r="P46" s="1183">
        <v>0.49440000000000001</v>
      </c>
    </row>
    <row r="47" spans="1:16">
      <c r="A47" s="1179">
        <v>1980</v>
      </c>
      <c r="B47" s="1180">
        <v>2791.9</v>
      </c>
      <c r="C47" s="1181">
        <v>0.41510000000000002</v>
      </c>
      <c r="D47" s="1181">
        <v>0.37109999999999999</v>
      </c>
      <c r="E47" s="1181">
        <v>0.34849999999999998</v>
      </c>
      <c r="F47" s="1181">
        <v>0.37830000000000003</v>
      </c>
      <c r="G47" s="1181">
        <v>0.4042</v>
      </c>
      <c r="H47" s="1181">
        <v>0.40429999999999999</v>
      </c>
      <c r="I47" s="1181">
        <v>0.40410000000000001</v>
      </c>
      <c r="J47" s="1182">
        <v>0.28889999999999999</v>
      </c>
      <c r="K47" s="1183">
        <v>0.41510000000000002</v>
      </c>
      <c r="L47" s="1183">
        <v>0.31719999999999998</v>
      </c>
      <c r="M47" s="1183">
        <v>0.34429999999999999</v>
      </c>
      <c r="N47" s="1183">
        <v>0.56520000000000004</v>
      </c>
      <c r="O47" s="1183">
        <v>0.57210000000000005</v>
      </c>
      <c r="P47" s="1183">
        <v>0.53920000000000001</v>
      </c>
    </row>
    <row r="48" spans="1:16">
      <c r="A48" s="1179">
        <v>1981</v>
      </c>
      <c r="B48" s="1180">
        <v>3133.2</v>
      </c>
      <c r="C48" s="1181">
        <v>0.45590000000000003</v>
      </c>
      <c r="D48" s="1181">
        <v>0.41220000000000001</v>
      </c>
      <c r="E48" s="1181">
        <v>0.38650000000000001</v>
      </c>
      <c r="F48" s="1181">
        <v>0.42059999999999997</v>
      </c>
      <c r="G48" s="1181">
        <v>0.44359999999999999</v>
      </c>
      <c r="H48" s="1181">
        <v>0.44359999999999999</v>
      </c>
      <c r="I48" s="1181">
        <v>0.44340000000000002</v>
      </c>
      <c r="J48" s="1182">
        <v>0.32300000000000001</v>
      </c>
      <c r="K48" s="1183">
        <v>0.45590000000000003</v>
      </c>
      <c r="L48" s="1183">
        <v>0.34599999999999997</v>
      </c>
      <c r="M48" s="1183">
        <v>0.37530000000000002</v>
      </c>
      <c r="N48" s="1183">
        <v>0.61550000000000005</v>
      </c>
      <c r="O48" s="1183">
        <v>0.62229999999999996</v>
      </c>
      <c r="P48" s="1183">
        <v>0.58709999999999996</v>
      </c>
    </row>
    <row r="49" spans="1:16">
      <c r="A49" s="1179">
        <v>1982</v>
      </c>
      <c r="B49" s="1180">
        <v>3313.4</v>
      </c>
      <c r="C49" s="1181">
        <v>0.48759999999999998</v>
      </c>
      <c r="D49" s="1181">
        <v>0.44390000000000002</v>
      </c>
      <c r="E49" s="1181">
        <v>0.42099999999999999</v>
      </c>
      <c r="F49" s="1181">
        <v>0.45200000000000001</v>
      </c>
      <c r="G49" s="1181">
        <v>0.47110000000000002</v>
      </c>
      <c r="H49" s="1181">
        <v>0.47110000000000002</v>
      </c>
      <c r="I49" s="1181">
        <v>0.47089999999999999</v>
      </c>
      <c r="J49" s="1182">
        <v>0.35199999999999998</v>
      </c>
      <c r="K49" s="1183">
        <v>0.48759999999999998</v>
      </c>
      <c r="L49" s="1183">
        <v>0.36370000000000002</v>
      </c>
      <c r="M49" s="1183">
        <v>0.39419999999999999</v>
      </c>
      <c r="N49" s="1183">
        <v>0.66369999999999996</v>
      </c>
      <c r="O49" s="1183">
        <v>0.67030000000000001</v>
      </c>
      <c r="P49" s="1183">
        <v>0.62919999999999998</v>
      </c>
    </row>
    <row r="50" spans="1:16">
      <c r="A50" s="1179">
        <v>1983</v>
      </c>
      <c r="B50" s="1180">
        <v>3536</v>
      </c>
      <c r="C50" s="1181">
        <v>0.50890000000000002</v>
      </c>
      <c r="D50" s="1181">
        <v>0.4657</v>
      </c>
      <c r="E50" s="1181">
        <v>0.44169999999999998</v>
      </c>
      <c r="F50" s="1181">
        <v>0.47470000000000001</v>
      </c>
      <c r="G50" s="1181">
        <v>0.49259999999999998</v>
      </c>
      <c r="H50" s="1181">
        <v>0.49259999999999998</v>
      </c>
      <c r="I50" s="1181">
        <v>0.4924</v>
      </c>
      <c r="J50" s="1182">
        <v>0.37019999999999997</v>
      </c>
      <c r="K50" s="1183">
        <v>0.50890000000000002</v>
      </c>
      <c r="L50" s="1183">
        <v>0.37569999999999998</v>
      </c>
      <c r="M50" s="1183">
        <v>0.40539999999999998</v>
      </c>
      <c r="N50" s="1183">
        <v>0.70279999999999998</v>
      </c>
      <c r="O50" s="1183">
        <v>0.71060000000000001</v>
      </c>
      <c r="P50" s="1183">
        <v>0.65100000000000002</v>
      </c>
    </row>
    <row r="51" spans="1:16">
      <c r="A51" s="1179">
        <v>1984</v>
      </c>
      <c r="B51" s="1180">
        <v>3949.2</v>
      </c>
      <c r="C51" s="1181">
        <v>0.52710000000000001</v>
      </c>
      <c r="D51" s="1181">
        <v>0.48799999999999999</v>
      </c>
      <c r="E51" s="1181">
        <v>0.46460000000000001</v>
      </c>
      <c r="F51" s="1181">
        <v>0.49709999999999999</v>
      </c>
      <c r="G51" s="1181">
        <v>0.51149999999999995</v>
      </c>
      <c r="H51" s="1181">
        <v>0.51149999999999995</v>
      </c>
      <c r="I51" s="1181">
        <v>0.51129999999999998</v>
      </c>
      <c r="J51" s="1182">
        <v>0.38950000000000001</v>
      </c>
      <c r="K51" s="1183">
        <v>0.52710000000000001</v>
      </c>
      <c r="L51" s="1183">
        <v>0.38579999999999998</v>
      </c>
      <c r="M51" s="1183">
        <v>0.42820000000000003</v>
      </c>
      <c r="N51" s="1183">
        <v>0.73140000000000005</v>
      </c>
      <c r="O51" s="1183">
        <v>0.74150000000000005</v>
      </c>
      <c r="P51" s="1183">
        <v>0.66890000000000005</v>
      </c>
    </row>
    <row r="52" spans="1:16">
      <c r="A52" s="1179">
        <v>1985</v>
      </c>
      <c r="B52" s="1180">
        <v>4265.1000000000004</v>
      </c>
      <c r="C52" s="1181">
        <v>0.54469999999999996</v>
      </c>
      <c r="D52" s="1181">
        <v>0.50590000000000002</v>
      </c>
      <c r="E52" s="1181">
        <v>0.48270000000000002</v>
      </c>
      <c r="F52" s="1181">
        <v>0.51500000000000001</v>
      </c>
      <c r="G52" s="1181">
        <v>0.52939999999999998</v>
      </c>
      <c r="H52" s="1181">
        <v>0.52939999999999998</v>
      </c>
      <c r="I52" s="1181">
        <v>0.52910000000000001</v>
      </c>
      <c r="J52" s="1182">
        <v>0.40600000000000003</v>
      </c>
      <c r="K52" s="1183">
        <v>0.54469999999999996</v>
      </c>
      <c r="L52" s="1183">
        <v>0.40229999999999999</v>
      </c>
      <c r="M52" s="1183">
        <v>0.44650000000000001</v>
      </c>
      <c r="N52" s="1183">
        <v>0.73819999999999997</v>
      </c>
      <c r="O52" s="1183">
        <v>0.74739999999999995</v>
      </c>
      <c r="P52" s="1183">
        <v>0.68379999999999996</v>
      </c>
    </row>
    <row r="53" spans="1:16">
      <c r="A53" s="1179">
        <v>1986</v>
      </c>
      <c r="B53" s="1180">
        <v>4526.3</v>
      </c>
      <c r="C53" s="1181">
        <v>0.55689999999999995</v>
      </c>
      <c r="D53" s="1181">
        <v>0.51649999999999996</v>
      </c>
      <c r="E53" s="1181">
        <v>0.49349999999999999</v>
      </c>
      <c r="F53" s="1181">
        <v>0.52580000000000005</v>
      </c>
      <c r="G53" s="1181">
        <v>0.54320000000000002</v>
      </c>
      <c r="H53" s="1181">
        <v>0.54320000000000002</v>
      </c>
      <c r="I53" s="1181">
        <v>0.54290000000000005</v>
      </c>
      <c r="J53" s="1182">
        <v>0.42059999999999997</v>
      </c>
      <c r="K53" s="1183">
        <v>0.55689999999999995</v>
      </c>
      <c r="L53" s="1183">
        <v>0.40720000000000001</v>
      </c>
      <c r="M53" s="1183">
        <v>0.44640000000000002</v>
      </c>
      <c r="N53" s="1183">
        <v>0.73299999999999998</v>
      </c>
      <c r="O53" s="1183">
        <v>0.7389</v>
      </c>
      <c r="P53" s="1183">
        <v>0.69210000000000005</v>
      </c>
    </row>
    <row r="54" spans="1:16">
      <c r="A54" s="1179">
        <v>1987</v>
      </c>
      <c r="B54" s="1180">
        <v>4767.7</v>
      </c>
      <c r="C54" s="1181">
        <v>0.56940000000000002</v>
      </c>
      <c r="D54" s="1181">
        <v>0.53139999999999998</v>
      </c>
      <c r="E54" s="1181">
        <v>0.50080000000000002</v>
      </c>
      <c r="F54" s="1181">
        <v>0.5444</v>
      </c>
      <c r="G54" s="1181">
        <v>0.55710000000000004</v>
      </c>
      <c r="H54" s="1181">
        <v>0.55720000000000003</v>
      </c>
      <c r="I54" s="1181">
        <v>0.55689999999999995</v>
      </c>
      <c r="J54" s="1182">
        <v>0.44209999999999999</v>
      </c>
      <c r="K54" s="1183">
        <v>0.56940000000000002</v>
      </c>
      <c r="L54" s="1183">
        <v>0.4088</v>
      </c>
      <c r="M54" s="1183">
        <v>0.45600000000000002</v>
      </c>
      <c r="N54" s="1183">
        <v>0.7258</v>
      </c>
      <c r="O54" s="1183">
        <v>0.72950000000000004</v>
      </c>
      <c r="P54" s="1183">
        <v>0.7016</v>
      </c>
    </row>
    <row r="55" spans="1:16">
      <c r="A55" s="1179">
        <v>1988</v>
      </c>
      <c r="B55" s="1180">
        <v>5138.6000000000004</v>
      </c>
      <c r="C55" s="1181">
        <v>0.58779999999999999</v>
      </c>
      <c r="D55" s="1181">
        <v>0.54969999999999997</v>
      </c>
      <c r="E55" s="1181">
        <v>0.51339999999999997</v>
      </c>
      <c r="F55" s="1181">
        <v>0.56459999999999999</v>
      </c>
      <c r="G55" s="1181">
        <v>0.57830000000000004</v>
      </c>
      <c r="H55" s="1181">
        <v>0.57840000000000003</v>
      </c>
      <c r="I55" s="1181">
        <v>0.57789999999999997</v>
      </c>
      <c r="J55" s="1182">
        <v>0.45900000000000002</v>
      </c>
      <c r="K55" s="1183">
        <v>0.58779999999999999</v>
      </c>
      <c r="L55" s="1183">
        <v>0.42170000000000002</v>
      </c>
      <c r="M55" s="1183">
        <v>0.47370000000000001</v>
      </c>
      <c r="N55" s="1183">
        <v>0.72719999999999996</v>
      </c>
      <c r="O55" s="1183">
        <v>0.72819999999999996</v>
      </c>
      <c r="P55" s="1183">
        <v>0.72160000000000002</v>
      </c>
    </row>
    <row r="56" spans="1:16">
      <c r="A56" s="1179">
        <v>1989</v>
      </c>
      <c r="B56" s="1180">
        <v>5554.7</v>
      </c>
      <c r="C56" s="1181">
        <v>0.61160000000000003</v>
      </c>
      <c r="D56" s="1181">
        <v>0.57140000000000002</v>
      </c>
      <c r="E56" s="1181">
        <v>0.53320000000000001</v>
      </c>
      <c r="F56" s="1181">
        <v>0.58660000000000001</v>
      </c>
      <c r="G56" s="1181">
        <v>0.60399999999999998</v>
      </c>
      <c r="H56" s="1181">
        <v>0.60409999999999997</v>
      </c>
      <c r="I56" s="1181">
        <v>0.60309999999999997</v>
      </c>
      <c r="J56" s="1182">
        <v>0.47820000000000001</v>
      </c>
      <c r="K56" s="1183">
        <v>0.61160000000000003</v>
      </c>
      <c r="L56" s="1183">
        <v>0.43240000000000001</v>
      </c>
      <c r="M56" s="1183">
        <v>0.48180000000000001</v>
      </c>
      <c r="N56" s="1183">
        <v>0.74370000000000003</v>
      </c>
      <c r="O56" s="1183">
        <v>0.74339999999999995</v>
      </c>
      <c r="P56" s="1183">
        <v>0.74550000000000005</v>
      </c>
    </row>
    <row r="57" spans="1:16">
      <c r="A57" s="1179">
        <v>1990</v>
      </c>
      <c r="B57" s="1180">
        <v>5898.8</v>
      </c>
      <c r="C57" s="1181">
        <v>0.63400000000000001</v>
      </c>
      <c r="D57" s="1181">
        <v>0.58799999999999997</v>
      </c>
      <c r="E57" s="1181">
        <v>0.55149999999999999</v>
      </c>
      <c r="F57" s="1181">
        <v>0.60040000000000004</v>
      </c>
      <c r="G57" s="1181">
        <v>0.62860000000000005</v>
      </c>
      <c r="H57" s="1181">
        <v>0.62880000000000003</v>
      </c>
      <c r="I57" s="1181">
        <v>0.62729999999999997</v>
      </c>
      <c r="J57" s="1182">
        <v>0.50139999999999996</v>
      </c>
      <c r="K57" s="1183">
        <v>0.63400000000000001</v>
      </c>
      <c r="L57" s="1183">
        <v>0.44419999999999998</v>
      </c>
      <c r="M57" s="1183">
        <v>0.4834</v>
      </c>
      <c r="N57" s="1183">
        <v>0.75700000000000001</v>
      </c>
      <c r="O57" s="1183">
        <v>0.75570000000000004</v>
      </c>
      <c r="P57" s="1183">
        <v>0.76459999999999995</v>
      </c>
    </row>
    <row r="58" spans="1:16">
      <c r="A58" s="1179">
        <v>1991</v>
      </c>
      <c r="B58" s="1180">
        <v>6093.2</v>
      </c>
      <c r="C58" s="1181">
        <v>0.65659999999999996</v>
      </c>
      <c r="D58" s="1181">
        <v>0.61429999999999996</v>
      </c>
      <c r="E58" s="1181">
        <v>0.57879999999999998</v>
      </c>
      <c r="F58" s="1181">
        <v>0.62429999999999997</v>
      </c>
      <c r="G58" s="1181">
        <v>0.65359999999999996</v>
      </c>
      <c r="H58" s="1181">
        <v>0.65380000000000005</v>
      </c>
      <c r="I58" s="1181">
        <v>0.65200000000000002</v>
      </c>
      <c r="J58" s="1182">
        <v>0.52239999999999998</v>
      </c>
      <c r="K58" s="1183">
        <v>0.65659999999999996</v>
      </c>
      <c r="L58" s="1183">
        <v>0.47089999999999999</v>
      </c>
      <c r="M58" s="1183">
        <v>0.50839999999999996</v>
      </c>
      <c r="N58" s="1183">
        <v>0.77490000000000003</v>
      </c>
      <c r="O58" s="1183">
        <v>0.7732</v>
      </c>
      <c r="P58" s="1183">
        <v>0.78420000000000001</v>
      </c>
    </row>
    <row r="59" spans="1:16">
      <c r="A59" s="1179">
        <v>1992</v>
      </c>
      <c r="B59" s="1180">
        <v>6416.3</v>
      </c>
      <c r="C59" s="1181">
        <v>0.67300000000000004</v>
      </c>
      <c r="D59" s="1181">
        <v>0.63929999999999998</v>
      </c>
      <c r="E59" s="1181">
        <v>0.58799999999999997</v>
      </c>
      <c r="F59" s="1181">
        <v>0.65500000000000003</v>
      </c>
      <c r="G59" s="1181">
        <v>0.67069999999999996</v>
      </c>
      <c r="H59" s="1181">
        <v>0.67100000000000004</v>
      </c>
      <c r="I59" s="1181">
        <v>0.66890000000000005</v>
      </c>
      <c r="J59" s="1182">
        <v>0.53779999999999994</v>
      </c>
      <c r="K59" s="1183">
        <v>0.67300000000000004</v>
      </c>
      <c r="L59" s="1183">
        <v>0.48759999999999998</v>
      </c>
      <c r="M59" s="1183">
        <v>0.55320000000000003</v>
      </c>
      <c r="N59" s="1183">
        <v>0.78680000000000005</v>
      </c>
      <c r="O59" s="1183">
        <v>0.78590000000000004</v>
      </c>
      <c r="P59" s="1183">
        <v>0.79069999999999996</v>
      </c>
    </row>
    <row r="60" spans="1:16">
      <c r="A60" s="1179">
        <v>1993</v>
      </c>
      <c r="B60" s="1180">
        <v>6775.3</v>
      </c>
      <c r="C60" s="1181">
        <v>0.68879999999999997</v>
      </c>
      <c r="D60" s="1181">
        <v>0.65820000000000001</v>
      </c>
      <c r="E60" s="1181">
        <v>0.59389999999999998</v>
      </c>
      <c r="F60" s="1181">
        <v>0.67730000000000001</v>
      </c>
      <c r="G60" s="1181">
        <v>0.68789999999999996</v>
      </c>
      <c r="H60" s="1181">
        <v>0.68840000000000001</v>
      </c>
      <c r="I60" s="1181">
        <v>0.68559999999999999</v>
      </c>
      <c r="J60" s="1182">
        <v>0.55459999999999998</v>
      </c>
      <c r="K60" s="1183">
        <v>0.68879999999999997</v>
      </c>
      <c r="L60" s="1183">
        <v>0.51300000000000001</v>
      </c>
      <c r="M60" s="1183">
        <v>0.59599999999999997</v>
      </c>
      <c r="N60" s="1183">
        <v>0.80569999999999997</v>
      </c>
      <c r="O60" s="1183">
        <v>0.80630000000000002</v>
      </c>
      <c r="P60" s="1183">
        <v>0.80349999999999999</v>
      </c>
    </row>
    <row r="61" spans="1:16">
      <c r="A61" s="1179">
        <v>1994</v>
      </c>
      <c r="B61" s="1180">
        <v>7176.9</v>
      </c>
      <c r="C61" s="1181">
        <v>0.70379999999999998</v>
      </c>
      <c r="D61" s="1181">
        <v>0.66979999999999995</v>
      </c>
      <c r="E61" s="1181">
        <v>0.59950000000000003</v>
      </c>
      <c r="F61" s="1181">
        <v>0.68910000000000005</v>
      </c>
      <c r="G61" s="1181">
        <v>0.70230000000000004</v>
      </c>
      <c r="H61" s="1181">
        <v>0.70289999999999997</v>
      </c>
      <c r="I61" s="1181">
        <v>0.69920000000000004</v>
      </c>
      <c r="J61" s="1182">
        <v>0.56889999999999996</v>
      </c>
      <c r="K61" s="1183">
        <v>0.70379999999999998</v>
      </c>
      <c r="L61" s="1183">
        <v>0.53610000000000002</v>
      </c>
      <c r="M61" s="1183">
        <v>0.60240000000000005</v>
      </c>
      <c r="N61" s="1183">
        <v>0.82499999999999996</v>
      </c>
      <c r="O61" s="1183">
        <v>0.82699999999999996</v>
      </c>
      <c r="P61" s="1183">
        <v>0.81740000000000002</v>
      </c>
    </row>
    <row r="62" spans="1:16">
      <c r="A62" s="1179">
        <v>1995</v>
      </c>
      <c r="B62" s="1180">
        <v>7560.4</v>
      </c>
      <c r="C62" s="1181">
        <v>0.71879999999999999</v>
      </c>
      <c r="D62" s="1181">
        <v>0.68969999999999998</v>
      </c>
      <c r="E62" s="1181">
        <v>0.61109999999999998</v>
      </c>
      <c r="F62" s="1181">
        <v>0.7097</v>
      </c>
      <c r="G62" s="1181">
        <v>0.71740000000000004</v>
      </c>
      <c r="H62" s="1181">
        <v>0.71809999999999996</v>
      </c>
      <c r="I62" s="1181">
        <v>0.71430000000000005</v>
      </c>
      <c r="J62" s="1182">
        <v>0.58840000000000003</v>
      </c>
      <c r="K62" s="1183">
        <v>0.71879999999999999</v>
      </c>
      <c r="L62" s="1183">
        <v>0.55310000000000004</v>
      </c>
      <c r="M62" s="1183">
        <v>0.64290000000000003</v>
      </c>
      <c r="N62" s="1183">
        <v>0.84599999999999997</v>
      </c>
      <c r="O62" s="1183">
        <v>0.84789999999999999</v>
      </c>
      <c r="P62" s="1183">
        <v>0.84040000000000004</v>
      </c>
    </row>
    <row r="63" spans="1:16">
      <c r="A63" s="1179">
        <v>1996</v>
      </c>
      <c r="B63" s="1180">
        <v>7951.3</v>
      </c>
      <c r="C63" s="1181">
        <v>0.73229999999999995</v>
      </c>
      <c r="D63" s="1181">
        <v>0.70420000000000005</v>
      </c>
      <c r="E63" s="1181">
        <v>0.62429999999999997</v>
      </c>
      <c r="F63" s="1181">
        <v>0.72319999999999995</v>
      </c>
      <c r="G63" s="1181">
        <v>0.73199999999999998</v>
      </c>
      <c r="H63" s="1181">
        <v>0.73260000000000003</v>
      </c>
      <c r="I63" s="1181">
        <v>0.7288</v>
      </c>
      <c r="J63" s="1182">
        <v>0.60560000000000003</v>
      </c>
      <c r="K63" s="1183">
        <v>0.73229999999999995</v>
      </c>
      <c r="L63" s="1183">
        <v>0.57940000000000003</v>
      </c>
      <c r="M63" s="1183">
        <v>0.66220000000000001</v>
      </c>
      <c r="N63" s="1183">
        <v>0.85670000000000002</v>
      </c>
      <c r="O63" s="1183">
        <v>0.86029999999999995</v>
      </c>
      <c r="P63" s="1183">
        <v>0.84719999999999995</v>
      </c>
    </row>
    <row r="64" spans="1:16">
      <c r="A64" s="1179">
        <v>1997</v>
      </c>
      <c r="B64" s="1180">
        <v>8451</v>
      </c>
      <c r="C64" s="1181">
        <v>0.74529999999999996</v>
      </c>
      <c r="D64" s="1181">
        <v>0.71899999999999997</v>
      </c>
      <c r="E64" s="1181">
        <v>0.63400000000000001</v>
      </c>
      <c r="F64" s="1181">
        <v>0.73919999999999997</v>
      </c>
      <c r="G64" s="1181">
        <v>0.74680000000000002</v>
      </c>
      <c r="H64" s="1181">
        <v>0.74739999999999995</v>
      </c>
      <c r="I64" s="1181">
        <v>0.74350000000000005</v>
      </c>
      <c r="J64" s="1182">
        <v>0.61729999999999996</v>
      </c>
      <c r="K64" s="1183">
        <v>0.74529999999999996</v>
      </c>
      <c r="L64" s="1183">
        <v>0.59370000000000001</v>
      </c>
      <c r="M64" s="1183">
        <v>0.67710000000000004</v>
      </c>
      <c r="N64" s="1183">
        <v>0.85499999999999998</v>
      </c>
      <c r="O64" s="1183">
        <v>0.85719999999999996</v>
      </c>
      <c r="P64" s="1183">
        <v>0.84919999999999995</v>
      </c>
    </row>
    <row r="65" spans="1:16">
      <c r="A65" s="1179">
        <v>1998</v>
      </c>
      <c r="B65" s="1180">
        <v>8930.7999999999993</v>
      </c>
      <c r="C65" s="1181">
        <v>0.75460000000000005</v>
      </c>
      <c r="D65" s="1181">
        <v>0.72499999999999998</v>
      </c>
      <c r="E65" s="1181">
        <v>0.64600000000000002</v>
      </c>
      <c r="F65" s="1181">
        <v>0.74260000000000004</v>
      </c>
      <c r="G65" s="1181">
        <v>0.75380000000000003</v>
      </c>
      <c r="H65" s="1181">
        <v>0.75429999999999997</v>
      </c>
      <c r="I65" s="1181">
        <v>0.75149999999999995</v>
      </c>
      <c r="J65" s="1182">
        <v>0.62509999999999999</v>
      </c>
      <c r="K65" s="1183">
        <v>0.75460000000000005</v>
      </c>
      <c r="L65" s="1183">
        <v>0.60599999999999998</v>
      </c>
      <c r="M65" s="1183">
        <v>0.66290000000000004</v>
      </c>
      <c r="N65" s="1183">
        <v>0.85570000000000002</v>
      </c>
      <c r="O65" s="1183">
        <v>0.85719999999999996</v>
      </c>
      <c r="P65" s="1183">
        <v>0.85050000000000003</v>
      </c>
    </row>
    <row r="66" spans="1:16">
      <c r="A66" s="1179">
        <v>1999</v>
      </c>
      <c r="B66" s="1180">
        <v>9479.4</v>
      </c>
      <c r="C66" s="1181">
        <v>0.76429999999999998</v>
      </c>
      <c r="D66" s="1181">
        <v>0.7339</v>
      </c>
      <c r="E66" s="1181">
        <v>0.65890000000000004</v>
      </c>
      <c r="F66" s="1181">
        <v>0.75039999999999996</v>
      </c>
      <c r="G66" s="1181">
        <v>0.76280000000000003</v>
      </c>
      <c r="H66" s="1181">
        <v>0.76319999999999999</v>
      </c>
      <c r="I66" s="1181">
        <v>0.76080000000000003</v>
      </c>
      <c r="J66" s="1182">
        <v>0.64029999999999998</v>
      </c>
      <c r="K66" s="1183">
        <v>0.76429999999999998</v>
      </c>
      <c r="L66" s="1183">
        <v>0.62450000000000006</v>
      </c>
      <c r="M66" s="1183">
        <v>0.68179999999999996</v>
      </c>
      <c r="N66" s="1183">
        <v>0.86429999999999996</v>
      </c>
      <c r="O66" s="1183">
        <v>0.86750000000000005</v>
      </c>
      <c r="P66" s="1183">
        <v>0.85619999999999996</v>
      </c>
    </row>
    <row r="67" spans="1:16">
      <c r="A67" s="1179">
        <v>2000</v>
      </c>
      <c r="B67" s="1180">
        <v>10117.5</v>
      </c>
      <c r="C67" s="1181">
        <v>0.78</v>
      </c>
      <c r="D67" s="1181">
        <v>0.75249999999999995</v>
      </c>
      <c r="E67" s="1181">
        <v>0.68210000000000004</v>
      </c>
      <c r="F67" s="1181">
        <v>0.7681</v>
      </c>
      <c r="G67" s="1181">
        <v>0.78069999999999995</v>
      </c>
      <c r="H67" s="1181">
        <v>0.78120000000000001</v>
      </c>
      <c r="I67" s="1181">
        <v>0.77839999999999998</v>
      </c>
      <c r="J67" s="1182">
        <v>0.66459999999999997</v>
      </c>
      <c r="K67" s="1183">
        <v>0.78</v>
      </c>
      <c r="L67" s="1183">
        <v>0.65680000000000005</v>
      </c>
      <c r="M67" s="1183">
        <v>0.7077</v>
      </c>
      <c r="N67" s="1183">
        <v>0.87649999999999995</v>
      </c>
      <c r="O67" s="1183">
        <v>0.87819999999999998</v>
      </c>
      <c r="P67" s="1183">
        <v>0.87280000000000002</v>
      </c>
    </row>
    <row r="68" spans="1:16">
      <c r="A68" s="1179">
        <v>2001</v>
      </c>
      <c r="B68" s="1180">
        <v>10526.5</v>
      </c>
      <c r="C68" s="1181">
        <v>0.7984</v>
      </c>
      <c r="D68" s="1181">
        <v>0.7722</v>
      </c>
      <c r="E68" s="1181">
        <v>0.70540000000000003</v>
      </c>
      <c r="F68" s="1181">
        <v>0.78669999999999995</v>
      </c>
      <c r="G68" s="1181">
        <v>0.79810000000000003</v>
      </c>
      <c r="H68" s="1181">
        <v>0.79849999999999999</v>
      </c>
      <c r="I68" s="1181">
        <v>0.79600000000000004</v>
      </c>
      <c r="J68" s="1182">
        <v>0.68589999999999995</v>
      </c>
      <c r="K68" s="1183">
        <v>0.7984</v>
      </c>
      <c r="L68" s="1183">
        <v>0.6714</v>
      </c>
      <c r="M68" s="1183">
        <v>0.73019999999999996</v>
      </c>
      <c r="N68" s="1183">
        <v>0.88070000000000004</v>
      </c>
      <c r="O68" s="1183">
        <v>0.88</v>
      </c>
      <c r="P68" s="1183">
        <v>0.8821</v>
      </c>
    </row>
    <row r="69" spans="1:16">
      <c r="A69" s="1179">
        <v>2002</v>
      </c>
      <c r="B69" s="1180">
        <v>10833.7</v>
      </c>
      <c r="C69" s="1181">
        <v>0.81120000000000003</v>
      </c>
      <c r="D69" s="1181">
        <v>0.78410000000000002</v>
      </c>
      <c r="E69" s="1181">
        <v>0.72840000000000005</v>
      </c>
      <c r="F69" s="1181">
        <v>0.79690000000000005</v>
      </c>
      <c r="G69" s="1181">
        <v>0.80730000000000002</v>
      </c>
      <c r="H69" s="1181">
        <v>0.80779999999999996</v>
      </c>
      <c r="I69" s="1181">
        <v>0.8054</v>
      </c>
      <c r="J69" s="1182">
        <v>0.6996</v>
      </c>
      <c r="K69" s="1183">
        <v>0.81120000000000003</v>
      </c>
      <c r="L69" s="1183">
        <v>0.70920000000000005</v>
      </c>
      <c r="M69" s="1183">
        <v>0.75619999999999998</v>
      </c>
      <c r="N69" s="1183">
        <v>0.87619999999999998</v>
      </c>
      <c r="O69" s="1183">
        <v>0.87390000000000001</v>
      </c>
      <c r="P69" s="1183">
        <v>0.88139999999999996</v>
      </c>
    </row>
    <row r="70" spans="1:16">
      <c r="A70" s="1179">
        <v>2003</v>
      </c>
      <c r="B70" s="1180">
        <v>11283.8</v>
      </c>
      <c r="C70" s="1181">
        <v>0.82599999999999996</v>
      </c>
      <c r="D70" s="1181">
        <v>0.80640000000000001</v>
      </c>
      <c r="E70" s="1181">
        <v>0.77549999999999997</v>
      </c>
      <c r="F70" s="1181">
        <v>0.81389999999999996</v>
      </c>
      <c r="G70" s="1181">
        <v>0.82320000000000004</v>
      </c>
      <c r="H70" s="1181">
        <v>0.82369999999999999</v>
      </c>
      <c r="I70" s="1181">
        <v>0.82130000000000003</v>
      </c>
      <c r="J70" s="1182">
        <v>0.71950000000000003</v>
      </c>
      <c r="K70" s="1183">
        <v>0.82599999999999996</v>
      </c>
      <c r="L70" s="1183">
        <v>0.74760000000000004</v>
      </c>
      <c r="M70" s="1183">
        <v>0.78849999999999998</v>
      </c>
      <c r="N70" s="1183">
        <v>0.8831</v>
      </c>
      <c r="O70" s="1183">
        <v>0.88219999999999998</v>
      </c>
      <c r="P70" s="1183">
        <v>0.88539999999999996</v>
      </c>
    </row>
    <row r="71" spans="1:16">
      <c r="A71" s="1179">
        <v>2004</v>
      </c>
      <c r="B71" s="1180">
        <v>12025.5</v>
      </c>
      <c r="C71" s="1181">
        <v>0.8458</v>
      </c>
      <c r="D71" s="1181">
        <v>0.82740000000000002</v>
      </c>
      <c r="E71" s="1181">
        <v>0.80469999999999997</v>
      </c>
      <c r="F71" s="1181">
        <v>0.83320000000000005</v>
      </c>
      <c r="G71" s="1181">
        <v>0.84150000000000003</v>
      </c>
      <c r="H71" s="1181">
        <v>0.84189999999999998</v>
      </c>
      <c r="I71" s="1181">
        <v>0.83989999999999998</v>
      </c>
      <c r="J71" s="1182">
        <v>0.74629999999999996</v>
      </c>
      <c r="K71" s="1183">
        <v>0.8458</v>
      </c>
      <c r="L71" s="1183">
        <v>0.78369999999999995</v>
      </c>
      <c r="M71" s="1183">
        <v>0.81459999999999999</v>
      </c>
      <c r="N71" s="1183">
        <v>0.89500000000000002</v>
      </c>
      <c r="O71" s="1183">
        <v>0.89429999999999998</v>
      </c>
      <c r="P71" s="1183">
        <v>0.89710000000000001</v>
      </c>
    </row>
    <row r="72" spans="1:16">
      <c r="A72" s="1179">
        <v>2005</v>
      </c>
      <c r="B72" s="1180">
        <v>12834.2</v>
      </c>
      <c r="C72" s="1181">
        <v>0.87160000000000004</v>
      </c>
      <c r="D72" s="1181">
        <v>0.85580000000000001</v>
      </c>
      <c r="E72" s="1181">
        <v>0.84309999999999996</v>
      </c>
      <c r="F72" s="1181">
        <v>0.85909999999999997</v>
      </c>
      <c r="G72" s="1181">
        <v>0.86519999999999997</v>
      </c>
      <c r="H72" s="1181">
        <v>0.86539999999999995</v>
      </c>
      <c r="I72" s="1181">
        <v>0.86399999999999999</v>
      </c>
      <c r="J72" s="1182">
        <v>0.79</v>
      </c>
      <c r="K72" s="1183">
        <v>0.87160000000000004</v>
      </c>
      <c r="L72" s="1183">
        <v>0.82030000000000003</v>
      </c>
      <c r="M72" s="1183">
        <v>0.84370000000000001</v>
      </c>
      <c r="N72" s="1183">
        <v>0.91169999999999995</v>
      </c>
      <c r="O72" s="1183">
        <v>0.91080000000000005</v>
      </c>
      <c r="P72" s="1183">
        <v>0.91469999999999996</v>
      </c>
    </row>
    <row r="73" spans="1:16">
      <c r="A73" s="1179">
        <v>2006</v>
      </c>
      <c r="B73" s="1180">
        <v>13638.4</v>
      </c>
      <c r="C73" s="1181">
        <v>0.89949999999999997</v>
      </c>
      <c r="D73" s="1181">
        <v>0.88539999999999996</v>
      </c>
      <c r="E73" s="1181">
        <v>0.87919999999999998</v>
      </c>
      <c r="F73" s="1181">
        <v>0.88700000000000001</v>
      </c>
      <c r="G73" s="1181">
        <v>0.89149999999999996</v>
      </c>
      <c r="H73" s="1181">
        <v>0.89159999999999995</v>
      </c>
      <c r="I73" s="1181">
        <v>0.89059999999999995</v>
      </c>
      <c r="J73" s="1182">
        <v>0.8306</v>
      </c>
      <c r="K73" s="1183">
        <v>0.89949999999999997</v>
      </c>
      <c r="L73" s="1183">
        <v>0.85040000000000004</v>
      </c>
      <c r="M73" s="1183">
        <v>0.87109999999999999</v>
      </c>
      <c r="N73" s="1183">
        <v>0.92659999999999998</v>
      </c>
      <c r="O73" s="1183">
        <v>0.9264</v>
      </c>
      <c r="P73" s="1183">
        <v>0.9274</v>
      </c>
    </row>
    <row r="74" spans="1:16">
      <c r="A74" s="1179">
        <v>2007</v>
      </c>
      <c r="B74" s="1180">
        <v>14290.8</v>
      </c>
      <c r="C74" s="1181">
        <v>0.92400000000000004</v>
      </c>
      <c r="D74" s="1181">
        <v>0.90990000000000004</v>
      </c>
      <c r="E74" s="1181">
        <v>0.90810000000000002</v>
      </c>
      <c r="F74" s="1181">
        <v>0.9103</v>
      </c>
      <c r="G74" s="1181">
        <v>0.91090000000000004</v>
      </c>
      <c r="H74" s="1181">
        <v>0.91090000000000004</v>
      </c>
      <c r="I74" s="1181">
        <v>0.91049999999999998</v>
      </c>
      <c r="J74" s="1182">
        <v>0.87549999999999994</v>
      </c>
      <c r="K74" s="1183">
        <v>0.92400000000000004</v>
      </c>
      <c r="L74" s="1183">
        <v>0.88119999999999998</v>
      </c>
      <c r="M74" s="1183">
        <v>0.90329999999999999</v>
      </c>
      <c r="N74" s="1183">
        <v>0.93959999999999999</v>
      </c>
      <c r="O74" s="1183">
        <v>0.94010000000000005</v>
      </c>
      <c r="P74" s="1183">
        <v>0.93810000000000004</v>
      </c>
    </row>
    <row r="75" spans="1:16">
      <c r="A75" s="1179">
        <v>2008</v>
      </c>
      <c r="B75" s="1180">
        <v>14743.3</v>
      </c>
      <c r="C75" s="1181">
        <v>0.94310000000000005</v>
      </c>
      <c r="D75" s="1181">
        <v>0.94140000000000001</v>
      </c>
      <c r="E75" s="1181">
        <v>0.94310000000000005</v>
      </c>
      <c r="F75" s="1181">
        <v>0.94089999999999996</v>
      </c>
      <c r="G75" s="1181">
        <v>0.94279999999999997</v>
      </c>
      <c r="H75" s="1181">
        <v>0.94279999999999997</v>
      </c>
      <c r="I75" s="1181">
        <v>0.94259999999999999</v>
      </c>
      <c r="J75" s="1182">
        <v>0.91879999999999995</v>
      </c>
      <c r="K75" s="1183">
        <v>0.94310000000000005</v>
      </c>
      <c r="L75" s="1183">
        <v>0.90969999999999995</v>
      </c>
      <c r="M75" s="1183">
        <v>0.92549999999999999</v>
      </c>
      <c r="N75" s="1183">
        <v>0.95689999999999997</v>
      </c>
      <c r="O75" s="1183">
        <v>0.95709999999999995</v>
      </c>
      <c r="P75" s="1183">
        <v>0.95599999999999996</v>
      </c>
    </row>
    <row r="76" spans="1:16">
      <c r="A76" s="1179">
        <v>2009</v>
      </c>
      <c r="B76" s="1180">
        <v>14431.8</v>
      </c>
      <c r="C76" s="1181">
        <v>0.95399999999999996</v>
      </c>
      <c r="D76" s="1181">
        <v>0.94130000000000003</v>
      </c>
      <c r="E76" s="1181">
        <v>0.94120000000000004</v>
      </c>
      <c r="F76" s="1181">
        <v>0.94140000000000001</v>
      </c>
      <c r="G76" s="1181">
        <v>0.94199999999999995</v>
      </c>
      <c r="H76" s="1181">
        <v>0.94199999999999995</v>
      </c>
      <c r="I76" s="1181">
        <v>0.94210000000000005</v>
      </c>
      <c r="J76" s="1182">
        <v>0.93230000000000002</v>
      </c>
      <c r="K76" s="1183">
        <v>0.95399999999999996</v>
      </c>
      <c r="L76" s="1183">
        <v>0.9284</v>
      </c>
      <c r="M76" s="1183">
        <v>0.93430000000000002</v>
      </c>
      <c r="N76" s="1183">
        <v>0.96430000000000005</v>
      </c>
      <c r="O76" s="1183">
        <v>0.96550000000000002</v>
      </c>
      <c r="P76" s="1183">
        <v>0.96079999999999999</v>
      </c>
    </row>
    <row r="77" spans="1:16">
      <c r="A77" s="1179">
        <v>2010</v>
      </c>
      <c r="B77" s="1180">
        <v>14838.9</v>
      </c>
      <c r="C77" s="1181">
        <v>0.96220000000000006</v>
      </c>
      <c r="D77" s="1181">
        <v>0.95809999999999995</v>
      </c>
      <c r="E77" s="1181">
        <v>0.95830000000000004</v>
      </c>
      <c r="F77" s="1181">
        <v>0.95809999999999995</v>
      </c>
      <c r="G77" s="1181">
        <v>0.95830000000000004</v>
      </c>
      <c r="H77" s="1181">
        <v>0.95830000000000004</v>
      </c>
      <c r="I77" s="1181">
        <v>0.95809999999999995</v>
      </c>
      <c r="J77" s="1182">
        <v>0.94730000000000003</v>
      </c>
      <c r="K77" s="1183">
        <v>0.96220000000000006</v>
      </c>
      <c r="L77" s="1183">
        <v>0.95509999999999995</v>
      </c>
      <c r="M77" s="1183">
        <v>0.96330000000000005</v>
      </c>
      <c r="N77" s="1183">
        <v>0.9698</v>
      </c>
      <c r="O77" s="1183">
        <v>0.96970000000000001</v>
      </c>
      <c r="P77" s="1183">
        <v>0.97030000000000005</v>
      </c>
    </row>
    <row r="78" spans="1:16">
      <c r="A78" s="1179">
        <v>2011</v>
      </c>
      <c r="B78" s="1180">
        <v>15403.7</v>
      </c>
      <c r="C78" s="1181">
        <v>0.98140000000000005</v>
      </c>
      <c r="D78" s="1181">
        <v>0.98050000000000004</v>
      </c>
      <c r="E78" s="1181">
        <v>0.98640000000000005</v>
      </c>
      <c r="F78" s="1181">
        <v>0.97909999999999997</v>
      </c>
      <c r="G78" s="1181">
        <v>0.97909999999999997</v>
      </c>
      <c r="H78" s="1181">
        <v>0.97909999999999997</v>
      </c>
      <c r="I78" s="1181">
        <v>0.97889999999999999</v>
      </c>
      <c r="J78" s="1182">
        <v>0.97399999999999998</v>
      </c>
      <c r="K78" s="1183">
        <v>0.98140000000000005</v>
      </c>
      <c r="L78" s="1183">
        <v>0.98880000000000001</v>
      </c>
      <c r="M78" s="1183">
        <v>0.9869</v>
      </c>
      <c r="N78" s="1183">
        <v>0.98950000000000005</v>
      </c>
      <c r="O78" s="1183">
        <v>0.98870000000000002</v>
      </c>
      <c r="P78" s="1183">
        <v>0.99170000000000003</v>
      </c>
    </row>
    <row r="79" spans="1:16">
      <c r="A79" s="1179">
        <v>2012</v>
      </c>
      <c r="B79" s="1180">
        <v>16056.5</v>
      </c>
      <c r="C79" s="1181">
        <v>1</v>
      </c>
      <c r="D79" s="1181">
        <v>1</v>
      </c>
      <c r="E79" s="1181">
        <v>1</v>
      </c>
      <c r="F79" s="1181">
        <v>1</v>
      </c>
      <c r="G79" s="1181">
        <v>1</v>
      </c>
      <c r="H79" s="1181">
        <v>1</v>
      </c>
      <c r="I79" s="1181">
        <v>1</v>
      </c>
      <c r="J79" s="1182">
        <v>1</v>
      </c>
      <c r="K79" s="1183">
        <v>1</v>
      </c>
      <c r="L79" s="1183">
        <v>1</v>
      </c>
      <c r="M79" s="1183">
        <v>1</v>
      </c>
      <c r="N79" s="1183">
        <v>1</v>
      </c>
      <c r="O79" s="1183">
        <v>1</v>
      </c>
      <c r="P79" s="1183">
        <v>1</v>
      </c>
    </row>
    <row r="80" spans="1:16">
      <c r="A80" s="1179">
        <v>2013</v>
      </c>
      <c r="B80" s="1180">
        <v>16603.8</v>
      </c>
      <c r="C80" s="1181">
        <v>1.0184</v>
      </c>
      <c r="D80" s="1181">
        <v>1.0142</v>
      </c>
      <c r="E80" s="1181">
        <v>1.0069999999999999</v>
      </c>
      <c r="F80" s="1181">
        <v>1.0159</v>
      </c>
      <c r="G80" s="1181">
        <v>1.0147999999999999</v>
      </c>
      <c r="H80" s="1181">
        <v>1.0147999999999999</v>
      </c>
      <c r="I80" s="1181">
        <v>1.0147999999999999</v>
      </c>
      <c r="J80" s="1182">
        <v>1.0264</v>
      </c>
      <c r="K80" s="1183">
        <v>1.0184</v>
      </c>
      <c r="L80" s="1183">
        <v>1.0082</v>
      </c>
      <c r="M80" s="1183">
        <v>1.0125999999999999</v>
      </c>
      <c r="N80" s="1183">
        <v>1.004</v>
      </c>
      <c r="O80" s="1183">
        <v>1.0031000000000001</v>
      </c>
      <c r="P80" s="1183">
        <v>1.0065</v>
      </c>
    </row>
    <row r="81" spans="1:16">
      <c r="A81" s="1179">
        <v>2014</v>
      </c>
      <c r="B81" s="1180">
        <v>17335.599999999999</v>
      </c>
      <c r="C81" s="1181">
        <v>1.038</v>
      </c>
      <c r="D81" s="1181">
        <v>1.0302</v>
      </c>
      <c r="E81" s="1181">
        <v>1.0234000000000001</v>
      </c>
      <c r="F81" s="1181">
        <v>1.0316000000000001</v>
      </c>
      <c r="G81" s="1181">
        <v>1.0301</v>
      </c>
      <c r="H81" s="1181">
        <v>1.0301</v>
      </c>
      <c r="I81" s="1181">
        <v>1.0302</v>
      </c>
      <c r="J81" s="1182">
        <v>1.0509999999999999</v>
      </c>
      <c r="K81" s="1183">
        <v>1.038</v>
      </c>
      <c r="L81" s="1183">
        <v>1.0426</v>
      </c>
      <c r="M81" s="1183">
        <v>1.0329999999999999</v>
      </c>
      <c r="N81" s="1183">
        <v>1.018</v>
      </c>
      <c r="O81" s="1183">
        <v>1.0162</v>
      </c>
      <c r="P81" s="1183">
        <v>1.0235000000000001</v>
      </c>
    </row>
    <row r="82" spans="1:16">
      <c r="A82" s="1179">
        <v>2015</v>
      </c>
      <c r="B82" s="1180">
        <v>18106.099999999999</v>
      </c>
      <c r="C82" s="1181">
        <v>1.0496000000000001</v>
      </c>
      <c r="D82" s="1181">
        <v>1.0353000000000001</v>
      </c>
      <c r="E82" s="1181">
        <v>1.0276000000000001</v>
      </c>
      <c r="F82" s="1181">
        <v>1.0367999999999999</v>
      </c>
      <c r="G82" s="1181">
        <v>1.0344</v>
      </c>
      <c r="H82" s="1181">
        <v>1.0344</v>
      </c>
      <c r="I82" s="1181">
        <v>1.0346</v>
      </c>
      <c r="J82" s="1182">
        <v>1.0602</v>
      </c>
      <c r="K82" s="1183">
        <v>1.0496000000000001</v>
      </c>
      <c r="L82" s="1183">
        <v>1.0555000000000001</v>
      </c>
      <c r="M82" s="1183">
        <v>1.048</v>
      </c>
      <c r="N82" s="1183">
        <v>1.0208999999999999</v>
      </c>
      <c r="O82" s="1183">
        <v>1.0186999999999999</v>
      </c>
      <c r="P82" s="1183">
        <v>1.0269999999999999</v>
      </c>
    </row>
    <row r="83" spans="1:16">
      <c r="A83" s="1179">
        <v>2016</v>
      </c>
      <c r="B83" s="1180">
        <v>18581.7</v>
      </c>
      <c r="C83" s="1181">
        <v>1.0589</v>
      </c>
      <c r="D83" s="1181">
        <v>1.0422</v>
      </c>
      <c r="E83" s="1181">
        <v>1.0313000000000001</v>
      </c>
      <c r="F83" s="1181">
        <v>1.0442</v>
      </c>
      <c r="G83" s="1181">
        <v>1.0418000000000001</v>
      </c>
      <c r="H83" s="1181">
        <v>1.0418000000000001</v>
      </c>
      <c r="I83" s="1181">
        <v>1.0419</v>
      </c>
      <c r="J83" s="1182">
        <v>1.0643</v>
      </c>
      <c r="K83" s="1183">
        <v>1.0589</v>
      </c>
      <c r="L83" s="1183">
        <v>1.0680000000000001</v>
      </c>
      <c r="M83" s="1183">
        <v>1.0566</v>
      </c>
      <c r="N83" s="1183">
        <v>1.0187999999999999</v>
      </c>
      <c r="O83" s="1183">
        <v>1.0166999999999999</v>
      </c>
      <c r="P83" s="1183">
        <v>1.0247999999999999</v>
      </c>
    </row>
    <row r="84" spans="1:16">
      <c r="A84" s="1179">
        <v>2017</v>
      </c>
      <c r="B84" s="1180">
        <v>19316.599999999999</v>
      </c>
      <c r="C84" s="1181">
        <v>1.0777000000000001</v>
      </c>
      <c r="D84" s="1181">
        <v>1.0597000000000001</v>
      </c>
      <c r="E84" s="1181">
        <v>1.0459000000000001</v>
      </c>
      <c r="F84" s="1181">
        <v>1.0622</v>
      </c>
      <c r="G84" s="1181">
        <v>1.0597000000000001</v>
      </c>
      <c r="H84" s="1181">
        <v>1.0597000000000001</v>
      </c>
      <c r="I84" s="1181">
        <v>1.0598000000000001</v>
      </c>
      <c r="J84" s="1182">
        <v>1.0840000000000001</v>
      </c>
      <c r="K84" s="1183">
        <v>1.0777000000000001</v>
      </c>
      <c r="L84" s="1183">
        <v>1.0971</v>
      </c>
      <c r="M84" s="1183">
        <v>1.0781000000000001</v>
      </c>
      <c r="N84" s="1183">
        <v>1.0258</v>
      </c>
      <c r="O84" s="1183">
        <v>1.0223</v>
      </c>
      <c r="P84" s="1183">
        <v>1.0382</v>
      </c>
    </row>
    <row r="85" spans="1:16">
      <c r="A85" s="1179">
        <v>2018</v>
      </c>
      <c r="B85" s="1180">
        <v>20368.900000000001</v>
      </c>
      <c r="C85" s="1181">
        <v>1.1026</v>
      </c>
      <c r="D85" s="1181">
        <v>1.0840000000000001</v>
      </c>
      <c r="E85" s="1181">
        <v>1.0748</v>
      </c>
      <c r="F85" s="1181">
        <v>1.0857000000000001</v>
      </c>
      <c r="G85" s="1181">
        <v>1.0819000000000001</v>
      </c>
      <c r="H85" s="1181">
        <v>1.0818000000000001</v>
      </c>
      <c r="I85" s="1181">
        <v>1.0821000000000001</v>
      </c>
      <c r="J85" s="1182">
        <v>1.1196999999999999</v>
      </c>
      <c r="K85" s="1183">
        <v>1.1026</v>
      </c>
      <c r="L85" s="1183">
        <v>1.1405000000000001</v>
      </c>
      <c r="M85" s="1183">
        <v>1.1145</v>
      </c>
      <c r="N85" s="1183">
        <v>1.0394000000000001</v>
      </c>
      <c r="O85" s="1183">
        <v>1.0346</v>
      </c>
      <c r="P85" s="1183">
        <v>1.0602</v>
      </c>
    </row>
    <row r="86" spans="1:16">
      <c r="A86" s="1179">
        <v>2019</v>
      </c>
      <c r="B86" s="1180">
        <v>21223.9</v>
      </c>
      <c r="C86" s="1181">
        <v>1.1244000000000001</v>
      </c>
      <c r="D86" s="1181">
        <v>1.1034999999999999</v>
      </c>
      <c r="E86" s="1181">
        <v>1.0984</v>
      </c>
      <c r="F86" s="1181">
        <v>1.1044</v>
      </c>
      <c r="G86" s="1181">
        <v>1.0992999999999999</v>
      </c>
      <c r="H86" s="1181">
        <v>1.0992999999999999</v>
      </c>
      <c r="I86" s="1181">
        <v>1.0995999999999999</v>
      </c>
      <c r="J86" s="1182">
        <v>1.1512</v>
      </c>
      <c r="K86" s="1183">
        <v>1.1244000000000001</v>
      </c>
      <c r="L86" s="1183">
        <v>1.1803999999999999</v>
      </c>
      <c r="M86" s="1183">
        <v>1.1456999999999999</v>
      </c>
      <c r="N86" s="1183">
        <v>1.0556000000000001</v>
      </c>
      <c r="O86" s="1183">
        <v>1.0498000000000001</v>
      </c>
      <c r="P86" s="1183">
        <v>1.0828</v>
      </c>
    </row>
    <row r="87" spans="1:16">
      <c r="A87" s="1179">
        <v>2020</v>
      </c>
      <c r="B87" s="1180">
        <v>20999.7</v>
      </c>
      <c r="C87" s="1181">
        <v>1.1385000000000001</v>
      </c>
      <c r="D87" s="1181">
        <v>1.1228</v>
      </c>
      <c r="E87" s="1181">
        <v>1.1028</v>
      </c>
      <c r="F87" s="1181">
        <v>1.1254</v>
      </c>
      <c r="G87" s="1181">
        <v>1.1131</v>
      </c>
      <c r="H87" s="1181">
        <v>1.1131</v>
      </c>
      <c r="I87" s="1181">
        <v>1.1133999999999999</v>
      </c>
      <c r="J87" s="1182">
        <v>1.1713</v>
      </c>
      <c r="K87" s="1183">
        <v>1.1385000000000001</v>
      </c>
      <c r="L87" s="1183">
        <v>1.1689000000000001</v>
      </c>
      <c r="M87" s="1183">
        <v>1.1636</v>
      </c>
      <c r="N87" s="1183">
        <v>1.0648</v>
      </c>
      <c r="O87" s="1183">
        <v>1.0566</v>
      </c>
      <c r="P87" s="1183">
        <v>1.0932999999999999</v>
      </c>
    </row>
    <row r="88" spans="1:16">
      <c r="A88" s="1179" t="s">
        <v>1116</v>
      </c>
      <c r="B88" s="1180">
        <v>22030</v>
      </c>
      <c r="C88" s="1181">
        <v>1.1577999999999999</v>
      </c>
      <c r="D88" s="1181">
        <v>1.1435999999999999</v>
      </c>
      <c r="E88" s="1181">
        <v>1.1222000000000001</v>
      </c>
      <c r="F88" s="1181">
        <v>1.1460999999999999</v>
      </c>
      <c r="G88" s="1181">
        <v>1.1356999999999999</v>
      </c>
      <c r="H88" s="1181">
        <v>1.1356999999999999</v>
      </c>
      <c r="I88" s="1181">
        <v>1.1361000000000001</v>
      </c>
      <c r="J88" s="1182">
        <v>1.1987000000000001</v>
      </c>
      <c r="K88" s="1183">
        <v>1.1577999999999999</v>
      </c>
      <c r="L88" s="1183">
        <v>1.1887000000000001</v>
      </c>
      <c r="M88" s="1183">
        <v>1.1815</v>
      </c>
      <c r="N88" s="1183">
        <v>1.0855999999999999</v>
      </c>
      <c r="O88" s="1183">
        <v>1.0745</v>
      </c>
      <c r="P88" s="1183">
        <v>1.1117999999999999</v>
      </c>
    </row>
    <row r="89" spans="1:16">
      <c r="A89" s="1179" t="s">
        <v>1117</v>
      </c>
      <c r="B89" s="1180">
        <v>23499.7</v>
      </c>
      <c r="C89" s="1181">
        <v>1.1791</v>
      </c>
      <c r="D89" s="1181">
        <v>1.1648000000000001</v>
      </c>
      <c r="E89" s="1181">
        <v>1.1436999999999999</v>
      </c>
      <c r="F89" s="1181">
        <v>1.1678999999999999</v>
      </c>
      <c r="G89" s="1181">
        <v>1.1589</v>
      </c>
      <c r="H89" s="1181">
        <v>1.1588000000000001</v>
      </c>
      <c r="I89" s="1181">
        <v>1.1595</v>
      </c>
      <c r="J89" s="1182">
        <v>1.2323</v>
      </c>
      <c r="K89" s="1183">
        <v>1.1791</v>
      </c>
      <c r="L89" s="1183">
        <v>1.2105999999999999</v>
      </c>
      <c r="M89" s="1183">
        <v>1.1980999999999999</v>
      </c>
      <c r="N89" s="1183">
        <v>1.1052999999999999</v>
      </c>
      <c r="O89" s="1183">
        <v>1.0943000000000001</v>
      </c>
      <c r="P89" s="1183">
        <v>1.1323000000000001</v>
      </c>
    </row>
    <row r="90" spans="1:16">
      <c r="A90" s="1179" t="s">
        <v>1118</v>
      </c>
      <c r="B90" s="1180">
        <v>24563.3</v>
      </c>
      <c r="C90" s="1181">
        <v>1.2019</v>
      </c>
      <c r="D90" s="1181">
        <v>1.1895</v>
      </c>
      <c r="E90" s="1181">
        <v>1.1658999999999999</v>
      </c>
      <c r="F90" s="1181">
        <v>1.1931</v>
      </c>
      <c r="G90" s="1181">
        <v>1.1839</v>
      </c>
      <c r="H90" s="1181">
        <v>1.1835</v>
      </c>
      <c r="I90" s="1181">
        <v>1.1853</v>
      </c>
      <c r="J90" s="1182">
        <v>1.2683</v>
      </c>
      <c r="K90" s="1183">
        <v>1.2019</v>
      </c>
      <c r="L90" s="1183">
        <v>1.2341</v>
      </c>
      <c r="M90" s="1183">
        <v>1.2214</v>
      </c>
      <c r="N90" s="1183">
        <v>1.1256999999999999</v>
      </c>
      <c r="O90" s="1183">
        <v>1.1154999999999999</v>
      </c>
      <c r="P90" s="1183">
        <v>1.1541999999999999</v>
      </c>
    </row>
    <row r="91" spans="1:16">
      <c r="A91" s="1179" t="s">
        <v>1119</v>
      </c>
      <c r="B91" s="1180">
        <v>25536.5</v>
      </c>
      <c r="C91" s="1181">
        <v>1.226</v>
      </c>
      <c r="D91" s="1181">
        <v>1.2157</v>
      </c>
      <c r="E91" s="1181">
        <v>1.1892</v>
      </c>
      <c r="F91" s="1181">
        <v>1.2197</v>
      </c>
      <c r="G91" s="1181">
        <v>1.2101999999999999</v>
      </c>
      <c r="H91" s="1181">
        <v>1.2098</v>
      </c>
      <c r="I91" s="1181">
        <v>1.212</v>
      </c>
      <c r="J91" s="1182">
        <v>1.3061</v>
      </c>
      <c r="K91" s="1183">
        <v>1.226</v>
      </c>
      <c r="L91" s="1183">
        <v>1.2586999999999999</v>
      </c>
      <c r="M91" s="1183">
        <v>1.2457</v>
      </c>
      <c r="N91" s="1183">
        <v>1.1476</v>
      </c>
      <c r="O91" s="1183">
        <v>1.1377999999999999</v>
      </c>
      <c r="P91" s="1183">
        <v>1.1773</v>
      </c>
    </row>
    <row r="92" spans="1:16" s="150" customFormat="1">
      <c r="A92" s="1179" t="s">
        <v>1120</v>
      </c>
      <c r="B92" s="1180">
        <v>26516</v>
      </c>
      <c r="C92" s="1181">
        <v>1.2504999999999999</v>
      </c>
      <c r="D92" s="1181">
        <v>1.2424999999999999</v>
      </c>
      <c r="E92" s="1181">
        <v>1.2130000000000001</v>
      </c>
      <c r="F92" s="1181">
        <v>1.2467999999999999</v>
      </c>
      <c r="G92" s="1181">
        <v>1.2375</v>
      </c>
      <c r="H92" s="1181">
        <v>1.2372000000000001</v>
      </c>
      <c r="I92" s="1181">
        <v>1.2390000000000001</v>
      </c>
      <c r="J92" s="1182">
        <v>1.3452999999999999</v>
      </c>
      <c r="K92" s="1183">
        <v>1.2504999999999999</v>
      </c>
      <c r="L92" s="1183">
        <v>1.2839</v>
      </c>
      <c r="M92" s="1183">
        <v>1.2706999999999999</v>
      </c>
      <c r="N92" s="1183">
        <v>1.1695</v>
      </c>
      <c r="O92" s="1183">
        <v>1.1605000000000001</v>
      </c>
      <c r="P92" s="1183">
        <v>1.2009000000000001</v>
      </c>
    </row>
    <row r="93" spans="1:16">
      <c r="A93" s="1179" t="s">
        <v>1270</v>
      </c>
      <c r="B93" s="1180">
        <v>27533.200000000001</v>
      </c>
      <c r="C93" s="1181">
        <v>1.2755000000000001</v>
      </c>
      <c r="D93" s="1181">
        <v>1.2702</v>
      </c>
      <c r="E93" s="1181">
        <v>1.2372000000000001</v>
      </c>
      <c r="F93" s="1181">
        <v>1.2748999999999999</v>
      </c>
      <c r="G93" s="1181">
        <v>1.2654000000000001</v>
      </c>
      <c r="H93" s="1181">
        <v>1.2650999999999999</v>
      </c>
      <c r="I93" s="1181">
        <v>1.2668999999999999</v>
      </c>
      <c r="J93" s="1182">
        <v>1.3855</v>
      </c>
      <c r="K93" s="1183">
        <v>1.2755000000000001</v>
      </c>
      <c r="L93" s="1183">
        <v>1.3096000000000001</v>
      </c>
      <c r="M93" s="1183">
        <v>1.2961</v>
      </c>
      <c r="N93" s="1183">
        <v>1.1928000000000001</v>
      </c>
      <c r="O93" s="1183">
        <v>1.1838</v>
      </c>
      <c r="P93" s="1183">
        <v>1.2249000000000001</v>
      </c>
    </row>
    <row r="94" spans="1:16" ht="14.25" customHeight="1">
      <c r="A94" s="1347" t="s">
        <v>1121</v>
      </c>
      <c r="B94" s="1347"/>
      <c r="C94" s="1347"/>
      <c r="D94" s="1347"/>
      <c r="E94" s="1347"/>
      <c r="F94" s="1347"/>
      <c r="G94" s="1347"/>
      <c r="H94" s="1347"/>
      <c r="I94" s="1347"/>
      <c r="J94" s="1347"/>
      <c r="K94" s="1347"/>
      <c r="L94" s="1347"/>
      <c r="M94" s="1347"/>
      <c r="N94" s="1347"/>
      <c r="O94" s="1347"/>
      <c r="P94" s="1347"/>
    </row>
    <row r="96" spans="1:16" ht="26">
      <c r="A96" s="1179" t="s">
        <v>1271</v>
      </c>
      <c r="B96" s="150"/>
      <c r="C96" s="150">
        <f>C88/C86</f>
        <v>1.0297047314123087</v>
      </c>
    </row>
    <row r="97" spans="1:3">
      <c r="A97" s="1179"/>
      <c r="B97" s="150"/>
      <c r="C97" s="150"/>
    </row>
    <row r="98" spans="1:3">
      <c r="A98" s="1" t="s">
        <v>1265</v>
      </c>
    </row>
  </sheetData>
  <mergeCells count="15">
    <mergeCell ref="A1:K1"/>
    <mergeCell ref="A2:K2"/>
    <mergeCell ref="A3:A5"/>
    <mergeCell ref="B3:B5"/>
    <mergeCell ref="C3:C5"/>
    <mergeCell ref="D3:P3"/>
    <mergeCell ref="D4:D5"/>
    <mergeCell ref="E4:E5"/>
    <mergeCell ref="F4:F5"/>
    <mergeCell ref="G4:I4"/>
    <mergeCell ref="J4:J5"/>
    <mergeCell ref="K4:K5"/>
    <mergeCell ref="L4:L5"/>
    <mergeCell ref="M4:M5"/>
    <mergeCell ref="N4:P4"/>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tabColor theme="8" tint="0.79998168889431442"/>
  </sheetPr>
  <dimension ref="A1:F12"/>
  <sheetViews>
    <sheetView showGridLines="0" workbookViewId="0"/>
  </sheetViews>
  <sheetFormatPr defaultRowHeight="14"/>
  <cols>
    <col min="1" max="1" width="22.58203125" customWidth="1"/>
    <col min="2" max="2" width="13.25" customWidth="1"/>
    <col min="3" max="3" width="10.33203125" customWidth="1"/>
    <col min="4" max="4" width="10.83203125" customWidth="1"/>
    <col min="5" max="5" width="60.75" customWidth="1"/>
  </cols>
  <sheetData>
    <row r="1" spans="1:6">
      <c r="A1" s="25"/>
      <c r="B1" s="25"/>
      <c r="C1" s="25"/>
      <c r="D1" s="25"/>
      <c r="E1" s="25"/>
      <c r="F1" s="150"/>
    </row>
    <row r="2" spans="1:6">
      <c r="A2" s="334" t="s">
        <v>555</v>
      </c>
      <c r="B2" s="334" t="s">
        <v>556</v>
      </c>
      <c r="C2" s="334" t="s">
        <v>557</v>
      </c>
      <c r="D2" s="334" t="s">
        <v>558</v>
      </c>
      <c r="E2" s="334" t="s">
        <v>4</v>
      </c>
      <c r="F2" s="150"/>
    </row>
    <row r="3" spans="1:6">
      <c r="A3" s="340" t="s">
        <v>559</v>
      </c>
      <c r="B3" s="341" t="s">
        <v>560</v>
      </c>
      <c r="C3" s="342">
        <v>2240</v>
      </c>
      <c r="D3" s="342">
        <v>1016.047</v>
      </c>
      <c r="E3" s="340" t="s">
        <v>561</v>
      </c>
      <c r="F3" s="150"/>
    </row>
    <row r="4" spans="1:6">
      <c r="A4" s="340" t="s">
        <v>562</v>
      </c>
      <c r="B4" s="341" t="s">
        <v>563</v>
      </c>
      <c r="C4" s="342">
        <v>2000</v>
      </c>
      <c r="D4" s="342">
        <v>907.18470000000002</v>
      </c>
      <c r="E4" s="340" t="s">
        <v>564</v>
      </c>
      <c r="F4" s="150"/>
    </row>
    <row r="5" spans="1:6">
      <c r="A5" s="340" t="s">
        <v>565</v>
      </c>
      <c r="B5" s="341" t="s">
        <v>566</v>
      </c>
      <c r="C5" s="342">
        <v>2204.623</v>
      </c>
      <c r="D5" s="342">
        <v>1000</v>
      </c>
      <c r="E5" s="340" t="s">
        <v>567</v>
      </c>
      <c r="F5" s="150"/>
    </row>
    <row r="6" spans="1:6">
      <c r="A6" s="343" t="s">
        <v>568</v>
      </c>
      <c r="B6" s="25"/>
      <c r="C6" s="25"/>
      <c r="D6" s="25"/>
      <c r="E6" s="25"/>
      <c r="F6" s="150"/>
    </row>
    <row r="7" spans="1:6">
      <c r="A7" s="25"/>
      <c r="B7" s="25"/>
      <c r="C7" s="25"/>
      <c r="D7" s="25"/>
      <c r="E7" s="25"/>
      <c r="F7" s="150"/>
    </row>
    <row r="8" spans="1:6">
      <c r="A8" s="29" t="s">
        <v>569</v>
      </c>
      <c r="B8" s="25"/>
      <c r="C8" s="25"/>
      <c r="D8" s="25"/>
      <c r="E8" s="25"/>
      <c r="F8" s="150"/>
    </row>
    <row r="9" spans="1:6">
      <c r="A9" s="25"/>
      <c r="B9" s="25"/>
      <c r="C9" s="25"/>
      <c r="D9" s="25"/>
      <c r="E9" s="25"/>
      <c r="F9" s="150"/>
    </row>
    <row r="10" spans="1:6">
      <c r="A10" s="150"/>
      <c r="B10" s="150"/>
      <c r="C10" s="150"/>
      <c r="D10" s="150"/>
      <c r="E10" s="150"/>
      <c r="F10" s="150"/>
    </row>
    <row r="11" spans="1:6">
      <c r="A11" s="150"/>
      <c r="B11" s="150"/>
      <c r="C11" s="150"/>
      <c r="D11" s="150"/>
      <c r="E11" s="150"/>
      <c r="F11" s="150"/>
    </row>
    <row r="12" spans="1:6">
      <c r="A12" s="150"/>
      <c r="B12" s="150"/>
      <c r="C12" s="150"/>
      <c r="D12" s="150"/>
      <c r="E12" s="150"/>
      <c r="F12" s="150"/>
    </row>
  </sheetData>
  <hyperlinks>
    <hyperlink ref="A6" r:id="rId1" xr:uid="{00000000-0004-0000-40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499984740745262"/>
  </sheetPr>
  <dimension ref="A1:AN68"/>
  <sheetViews>
    <sheetView showGridLines="0" workbookViewId="0">
      <pane xSplit="3" ySplit="3" topLeftCell="X4" activePane="bottomRight" state="frozen"/>
      <selection activeCell="C23" sqref="C23"/>
      <selection pane="topRight" activeCell="C23" sqref="C23"/>
      <selection pane="bottomLeft" activeCell="C23" sqref="C23"/>
      <selection pane="bottomRight" activeCell="AM7" sqref="AM7"/>
    </sheetView>
  </sheetViews>
  <sheetFormatPr defaultColWidth="9" defaultRowHeight="12.5"/>
  <cols>
    <col min="1" max="1" width="0.83203125" style="358" customWidth="1"/>
    <col min="2" max="2" width="43" style="520" customWidth="1"/>
    <col min="3" max="4" width="15.33203125" style="358" customWidth="1"/>
    <col min="5" max="40" width="10.58203125" style="358" customWidth="1"/>
    <col min="41" max="16384" width="9" style="358"/>
  </cols>
  <sheetData>
    <row r="1" spans="1:40" ht="25">
      <c r="A1" s="356" t="s">
        <v>1124</v>
      </c>
    </row>
    <row r="2" spans="1:40" ht="13">
      <c r="A2" s="524" t="s">
        <v>457</v>
      </c>
      <c r="B2" s="523"/>
      <c r="C2" s="522"/>
      <c r="D2" s="522" t="s">
        <v>0</v>
      </c>
      <c r="E2" s="376">
        <v>2020</v>
      </c>
      <c r="F2" s="376">
        <f>VRCBY</f>
        <v>2021</v>
      </c>
      <c r="G2" s="376">
        <f>F2+1</f>
        <v>2022</v>
      </c>
      <c r="H2" s="376">
        <f t="shared" ref="H2:AN2" si="0">G2+1</f>
        <v>2023</v>
      </c>
      <c r="I2" s="376">
        <f t="shared" si="0"/>
        <v>2024</v>
      </c>
      <c r="J2" s="376">
        <f t="shared" si="0"/>
        <v>2025</v>
      </c>
      <c r="K2" s="376">
        <f t="shared" si="0"/>
        <v>2026</v>
      </c>
      <c r="L2" s="376">
        <f t="shared" si="0"/>
        <v>2027</v>
      </c>
      <c r="M2" s="376">
        <f t="shared" si="0"/>
        <v>2028</v>
      </c>
      <c r="N2" s="376">
        <f t="shared" si="0"/>
        <v>2029</v>
      </c>
      <c r="O2" s="376">
        <f t="shared" si="0"/>
        <v>2030</v>
      </c>
      <c r="P2" s="376">
        <f t="shared" si="0"/>
        <v>2031</v>
      </c>
      <c r="Q2" s="376">
        <f t="shared" si="0"/>
        <v>2032</v>
      </c>
      <c r="R2" s="376">
        <f t="shared" si="0"/>
        <v>2033</v>
      </c>
      <c r="S2" s="376">
        <f t="shared" si="0"/>
        <v>2034</v>
      </c>
      <c r="T2" s="376">
        <f t="shared" si="0"/>
        <v>2035</v>
      </c>
      <c r="U2" s="376">
        <f t="shared" si="0"/>
        <v>2036</v>
      </c>
      <c r="V2" s="376">
        <f t="shared" si="0"/>
        <v>2037</v>
      </c>
      <c r="W2" s="376">
        <f t="shared" si="0"/>
        <v>2038</v>
      </c>
      <c r="X2" s="376">
        <f t="shared" si="0"/>
        <v>2039</v>
      </c>
      <c r="Y2" s="376">
        <f t="shared" si="0"/>
        <v>2040</v>
      </c>
      <c r="Z2" s="376">
        <f t="shared" si="0"/>
        <v>2041</v>
      </c>
      <c r="AA2" s="376">
        <f t="shared" si="0"/>
        <v>2042</v>
      </c>
      <c r="AB2" s="376">
        <f t="shared" si="0"/>
        <v>2043</v>
      </c>
      <c r="AC2" s="376">
        <f t="shared" si="0"/>
        <v>2044</v>
      </c>
      <c r="AD2" s="376">
        <f t="shared" si="0"/>
        <v>2045</v>
      </c>
      <c r="AE2" s="376">
        <f t="shared" si="0"/>
        <v>2046</v>
      </c>
      <c r="AF2" s="376">
        <f t="shared" si="0"/>
        <v>2047</v>
      </c>
      <c r="AG2" s="376">
        <f t="shared" si="0"/>
        <v>2048</v>
      </c>
      <c r="AH2" s="376">
        <f t="shared" si="0"/>
        <v>2049</v>
      </c>
      <c r="AI2" s="376">
        <f t="shared" si="0"/>
        <v>2050</v>
      </c>
      <c r="AJ2" s="376">
        <f t="shared" si="0"/>
        <v>2051</v>
      </c>
      <c r="AK2" s="376">
        <f t="shared" si="0"/>
        <v>2052</v>
      </c>
      <c r="AL2" s="376">
        <f t="shared" si="0"/>
        <v>2053</v>
      </c>
      <c r="AM2" s="376">
        <f t="shared" si="0"/>
        <v>2054</v>
      </c>
      <c r="AN2" s="376">
        <f t="shared" si="0"/>
        <v>2055</v>
      </c>
    </row>
    <row r="3" spans="1:40" ht="13">
      <c r="B3" s="504" t="s">
        <v>446</v>
      </c>
      <c r="C3" s="381" t="s">
        <v>449</v>
      </c>
      <c r="D3" s="381"/>
    </row>
    <row r="4" spans="1:40" ht="13">
      <c r="A4" s="377" t="s">
        <v>478</v>
      </c>
      <c r="B4" s="503"/>
      <c r="C4" s="378"/>
      <c r="D4" s="378"/>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row>
    <row r="5" spans="1:40" s="150" customFormat="1" ht="14">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row>
    <row r="6" spans="1:40" s="150" customFormat="1" ht="14">
      <c r="B6" s="364" t="s">
        <v>1137</v>
      </c>
      <c r="C6" s="358"/>
      <c r="D6" s="358" t="s">
        <v>1307</v>
      </c>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row>
    <row r="7" spans="1:40" s="150" customFormat="1" ht="14">
      <c r="B7" s="367" t="str">
        <f>'Crossing Inputs'!$C$23</f>
        <v>700 South</v>
      </c>
      <c r="C7" s="367" t="s">
        <v>505</v>
      </c>
      <c r="D7" s="367">
        <f>INDEX('Crossing Inputs'!$C$23:$H$46,17,MATCH($B7,'Crossing Inputs'!$C$23:$H$23,0))</f>
        <v>2010</v>
      </c>
      <c r="E7" s="383">
        <f>INDEX('Crossing Inputs'!$C$23:$H$46,16,MATCH($B7,'Crossing Inputs'!$C$23:$H$23,0))*POWER(1+INDEX('Crossing Inputs'!$C$23:$H$46,18,MATCH($B7,'Crossing Inputs'!$C$23:$H$23,0)),E$2-$D7)</f>
        <v>735.53146333319216</v>
      </c>
      <c r="F7" s="383">
        <f>INDEX('Crossing Inputs'!$C$23:$H$46,16,MATCH($B7,'Crossing Inputs'!$C$23:$H$23,0))*POWER(1+INDEX('Crossing Inputs'!$C$23:$H$46,18,MATCH($B7,'Crossing Inputs'!$C$23:$H$23,0)),F$2-$D7)</f>
        <v>757.22529230485088</v>
      </c>
      <c r="G7" s="383">
        <f>INDEX('Crossing Inputs'!$C$23:$H$46,16,MATCH($B7,'Crossing Inputs'!$C$23:$H$23,0))*POWER(1+INDEX('Crossing Inputs'!$C$23:$H$46,18,MATCH($B7,'Crossing Inputs'!$C$23:$H$23,0)),G$2-$D7)</f>
        <v>779.55896095558853</v>
      </c>
      <c r="H7" s="383">
        <f>INDEX('Crossing Inputs'!$C$23:$H$46,16,MATCH($B7,'Crossing Inputs'!$C$23:$H$23,0))*POWER(1+INDEX('Crossing Inputs'!$C$23:$H$46,18,MATCH($B7,'Crossing Inputs'!$C$23:$H$23,0)),H$2-$D7)</f>
        <v>802.55134077256673</v>
      </c>
      <c r="I7" s="383">
        <f>INDEX('Crossing Inputs'!$C$23:$H$46,16,MATCH($B7,'Crossing Inputs'!$C$23:$H$23,0))*POWER(1+INDEX('Crossing Inputs'!$C$23:$H$46,18,MATCH($B7,'Crossing Inputs'!$C$23:$H$23,0)),I$2-$D7)</f>
        <v>826.22185984023133</v>
      </c>
      <c r="J7" s="383">
        <f>INDEX('Crossing Inputs'!$C$23:$H$46,16,MATCH($B7,'Crossing Inputs'!$C$23:$H$23,0))*POWER(1+INDEX('Crossing Inputs'!$C$23:$H$46,18,MATCH($B7,'Crossing Inputs'!$C$23:$H$23,0)),J$2-$D7)</f>
        <v>850.59051925664085</v>
      </c>
      <c r="K7" s="383">
        <f>INDEX('Crossing Inputs'!$C$23:$H$46,16,MATCH($B7,'Crossing Inputs'!$C$23:$H$23,0))*POWER(1+INDEX('Crossing Inputs'!$C$23:$H$46,18,MATCH($B7,'Crossing Inputs'!$C$23:$H$23,0)),K$2-$D7)</f>
        <v>875.67791003398008</v>
      </c>
      <c r="L7" s="383">
        <f>INDEX('Crossing Inputs'!$C$23:$H$46,16,MATCH($B7,'Crossing Inputs'!$C$23:$H$23,0))*POWER(1+INDEX('Crossing Inputs'!$C$23:$H$46,18,MATCH($B7,'Crossing Inputs'!$C$23:$H$23,0)),L$2-$D7)</f>
        <v>901.50523049753895</v>
      </c>
      <c r="M7" s="383">
        <f>INDEX('Crossing Inputs'!$C$23:$H$46,16,MATCH($B7,'Crossing Inputs'!$C$23:$H$23,0))*POWER(1+INDEX('Crossing Inputs'!$C$23:$H$46,18,MATCH($B7,'Crossing Inputs'!$C$23:$H$23,0)),M$2-$D7)</f>
        <v>928.09430419785747</v>
      </c>
      <c r="N7" s="383">
        <f>INDEX('Crossing Inputs'!$C$23:$H$46,16,MATCH($B7,'Crossing Inputs'!$C$23:$H$23,0))*POWER(1+INDEX('Crossing Inputs'!$C$23:$H$46,18,MATCH($B7,'Crossing Inputs'!$C$23:$H$23,0)),N$2-$D7)</f>
        <v>955.46759835117439</v>
      </c>
      <c r="O7" s="383">
        <f>INDEX('Crossing Inputs'!$C$23:$H$46,16,MATCH($B7,'Crossing Inputs'!$C$23:$H$23,0))*POWER(1+INDEX('Crossing Inputs'!$C$23:$H$46,18,MATCH($B7,'Crossing Inputs'!$C$23:$H$23,0)),O$2-$D7)</f>
        <v>983.64824282375798</v>
      </c>
      <c r="P7" s="383">
        <f>INDEX('Crossing Inputs'!$C$23:$H$46,16,MATCH($B7,'Crossing Inputs'!$C$23:$H$23,0))*POWER(1+INDEX('Crossing Inputs'!$C$23:$H$46,18,MATCH($B7,'Crossing Inputs'!$C$23:$H$23,0)),P$2-$D7)</f>
        <v>1012.6600496761655</v>
      </c>
      <c r="Q7" s="383">
        <f>INDEX('Crossing Inputs'!$C$23:$H$46,16,MATCH($B7,'Crossing Inputs'!$C$23:$H$23,0))*POWER(1+INDEX('Crossing Inputs'!$C$23:$H$46,18,MATCH($B7,'Crossing Inputs'!$C$23:$H$23,0)),Q$2-$D7)</f>
        <v>1042.5275332839396</v>
      </c>
      <c r="R7" s="383">
        <f>INDEX('Crossing Inputs'!$C$23:$H$46,16,MATCH($B7,'Crossing Inputs'!$C$23:$H$23,0))*POWER(1+INDEX('Crossing Inputs'!$C$23:$H$46,18,MATCH($B7,'Crossing Inputs'!$C$23:$H$23,0)),R$2-$D7)</f>
        <v>1073.2759310517479</v>
      </c>
      <c r="S7" s="383">
        <f>INDEX('Crossing Inputs'!$C$23:$H$46,16,MATCH($B7,'Crossing Inputs'!$C$23:$H$23,0))*POWER(1+INDEX('Crossing Inputs'!$C$23:$H$46,18,MATCH($B7,'Crossing Inputs'!$C$23:$H$23,0)),S$2-$D7)</f>
        <v>1104.9312247384671</v>
      </c>
      <c r="T7" s="383">
        <f>INDEX('Crossing Inputs'!$C$23:$H$46,16,MATCH($B7,'Crossing Inputs'!$C$23:$H$23,0))*POWER(1+INDEX('Crossing Inputs'!$C$23:$H$46,18,MATCH($B7,'Crossing Inputs'!$C$23:$H$23,0)),T$2-$D7)</f>
        <v>1137.5201624112303</v>
      </c>
      <c r="U7" s="383">
        <f>INDEX('Crossing Inputs'!$C$23:$H$46,16,MATCH($B7,'Crossing Inputs'!$C$23:$H$23,0))*POWER(1+INDEX('Crossing Inputs'!$C$23:$H$46,18,MATCH($B7,'Crossing Inputs'!$C$23:$H$23,0)),U$2-$D7)</f>
        <v>1171.0702810469904</v>
      </c>
      <c r="V7" s="383">
        <f>INDEX('Crossing Inputs'!$C$23:$H$46,16,MATCH($B7,'Crossing Inputs'!$C$23:$H$23,0))*POWER(1+INDEX('Crossing Inputs'!$C$23:$H$46,18,MATCH($B7,'Crossing Inputs'!$C$23:$H$23,0)),V$2-$D7)</f>
        <v>1205.6099298006936</v>
      </c>
      <c r="W7" s="383">
        <f>INDEX('Crossing Inputs'!$C$23:$H$46,16,MATCH($B7,'Crossing Inputs'!$C$23:$H$23,0))*POWER(1+INDEX('Crossing Inputs'!$C$23:$H$46,18,MATCH($B7,'Crossing Inputs'!$C$23:$H$23,0)),W$2-$D7)</f>
        <v>1241.1682939597288</v>
      </c>
      <c r="X7" s="383">
        <f>INDEX('Crossing Inputs'!$C$23:$H$46,16,MATCH($B7,'Crossing Inputs'!$C$23:$H$23,0))*POWER(1+INDEX('Crossing Inputs'!$C$23:$H$46,18,MATCH($B7,'Crossing Inputs'!$C$23:$H$23,0)),X$2-$D7)</f>
        <v>1277.7754196048904</v>
      </c>
      <c r="Y7" s="383">
        <f>INDEX('Crossing Inputs'!$C$23:$H$46,16,MATCH($B7,'Crossing Inputs'!$C$23:$H$23,0))*POWER(1+INDEX('Crossing Inputs'!$C$23:$H$46,18,MATCH($B7,'Crossing Inputs'!$C$23:$H$23,0)),Y$2-$D7)</f>
        <v>1315.4622389986941</v>
      </c>
      <c r="Z7" s="383">
        <f>INDEX('Crossing Inputs'!$C$23:$H$46,16,MATCH($B7,'Crossing Inputs'!$C$23:$H$23,0))*POWER(1+INDEX('Crossing Inputs'!$C$23:$H$46,18,MATCH($B7,'Crossing Inputs'!$C$23:$H$23,0)),Z$2-$D7)</f>
        <v>1354.2605967224965</v>
      </c>
      <c r="AA7" s="383">
        <f>INDEX('Crossing Inputs'!$C$23:$H$46,16,MATCH($B7,'Crossing Inputs'!$C$23:$H$23,0))*POWER(1+INDEX('Crossing Inputs'!$C$23:$H$46,18,MATCH($B7,'Crossing Inputs'!$C$23:$H$23,0)),AA$2-$D7)</f>
        <v>1394.2032765845079</v>
      </c>
      <c r="AB7" s="383">
        <f>INDEX('Crossing Inputs'!$C$23:$H$46,16,MATCH($B7,'Crossing Inputs'!$C$23:$H$23,0))*POWER(1+INDEX('Crossing Inputs'!$C$23:$H$46,18,MATCH($B7,'Crossing Inputs'!$C$23:$H$23,0)),AB$2-$D7)</f>
        <v>1435.3240293214299</v>
      </c>
      <c r="AC7" s="383">
        <f>INDEX('Crossing Inputs'!$C$23:$H$46,16,MATCH($B7,'Crossing Inputs'!$C$23:$H$23,0))*POWER(1+INDEX('Crossing Inputs'!$C$23:$H$46,18,MATCH($B7,'Crossing Inputs'!$C$23:$H$23,0)),AC$2-$D7)</f>
        <v>1477.6576011171289</v>
      </c>
      <c r="AD7" s="383">
        <f>INDEX('Crossing Inputs'!$C$23:$H$46,16,MATCH($B7,'Crossing Inputs'!$C$23:$H$23,0))*POWER(1+INDEX('Crossing Inputs'!$C$23:$H$46,18,MATCH($B7,'Crossing Inputs'!$C$23:$H$23,0)),AD$2-$D7)</f>
        <v>1521.2397629624411</v>
      </c>
      <c r="AE7" s="383">
        <f>INDEX('Crossing Inputs'!$C$23:$H$46,16,MATCH($B7,'Crossing Inputs'!$C$23:$H$23,0))*POWER(1+INDEX('Crossing Inputs'!$C$23:$H$46,18,MATCH($B7,'Crossing Inputs'!$C$23:$H$23,0)),AE$2-$D7)</f>
        <v>1566.1073408809186</v>
      </c>
      <c r="AF7" s="383">
        <f>INDEX('Crossing Inputs'!$C$23:$H$46,16,MATCH($B7,'Crossing Inputs'!$C$23:$H$23,0))*POWER(1+INDEX('Crossing Inputs'!$C$23:$H$46,18,MATCH($B7,'Crossing Inputs'!$C$23:$H$23,0)),AF$2-$D7)</f>
        <v>1612.2982470460565</v>
      </c>
      <c r="AG7" s="383">
        <f>INDEX('Crossing Inputs'!$C$23:$H$46,16,MATCH($B7,'Crossing Inputs'!$C$23:$H$23,0))*POWER(1+INDEX('Crossing Inputs'!$C$23:$H$46,18,MATCH($B7,'Crossing Inputs'!$C$23:$H$23,0)),AG$2-$D7)</f>
        <v>1659.8515118162927</v>
      </c>
      <c r="AH7" s="383">
        <f>INDEX('Crossing Inputs'!$C$23:$H$46,16,MATCH($B7,'Crossing Inputs'!$C$23:$H$23,0))*POWER(1+INDEX('Crossing Inputs'!$C$23:$H$46,18,MATCH($B7,'Crossing Inputs'!$C$23:$H$23,0)),AH$2-$D7)</f>
        <v>1708.8073167148523</v>
      </c>
      <c r="AI7" s="383">
        <f>INDEX('Crossing Inputs'!$C$23:$H$46,16,MATCH($B7,'Crossing Inputs'!$C$23:$H$23,0))*POWER(1+INDEX('Crossing Inputs'!$C$23:$H$46,18,MATCH($B7,'Crossing Inputs'!$C$23:$H$23,0)),AI$2-$D7)</f>
        <v>1759.2070283823034</v>
      </c>
      <c r="AJ7" s="383">
        <f>INDEX('Crossing Inputs'!$C$23:$H$46,16,MATCH($B7,'Crossing Inputs'!$C$23:$H$23,0))*POWER(1+INDEX('Crossing Inputs'!$C$23:$H$46,18,MATCH($B7,'Crossing Inputs'!$C$23:$H$23,0)),AJ$2-$D7)</f>
        <v>1811.0932335305088</v>
      </c>
      <c r="AK7" s="383">
        <f>INDEX('Crossing Inputs'!$C$23:$H$46,16,MATCH($B7,'Crossing Inputs'!$C$23:$H$23,0))*POWER(1+INDEX('Crossing Inputs'!$C$23:$H$46,18,MATCH($B7,'Crossing Inputs'!$C$23:$H$23,0)),AK$2-$D7)</f>
        <v>1864.5097749275169</v>
      </c>
      <c r="AL7" s="383">
        <f>INDEX('Crossing Inputs'!$C$23:$H$46,16,MATCH($B7,'Crossing Inputs'!$C$23:$H$23,0))*POWER(1+INDEX('Crossing Inputs'!$C$23:$H$46,18,MATCH($B7,'Crossing Inputs'!$C$23:$H$23,0)),AL$2-$D7)</f>
        <v>1919.5017884437907</v>
      </c>
      <c r="AM7" s="383">
        <f>INDEX('Crossing Inputs'!$C$23:$H$46,16,MATCH($B7,'Crossing Inputs'!$C$23:$H$23,0))*POWER(1+INDEX('Crossing Inputs'!$C$23:$H$46,18,MATCH($B7,'Crossing Inputs'!$C$23:$H$23,0)),AM$2-$D7)</f>
        <v>1976.1157411910835</v>
      </c>
      <c r="AN7" s="383">
        <f>INDEX('Crossing Inputs'!$C$23:$H$46,16,MATCH($B7,'Crossing Inputs'!$C$23:$H$23,0))*POWER(1+INDEX('Crossing Inputs'!$C$23:$H$46,18,MATCH($B7,'Crossing Inputs'!$C$23:$H$23,0)),AN$2-$D7)</f>
        <v>2034.3994707861862</v>
      </c>
    </row>
    <row r="8" spans="1:40" s="150" customFormat="1" ht="14">
      <c r="B8" s="367" t="str">
        <f>'Crossing Inputs'!$D$23</f>
        <v>950 West</v>
      </c>
      <c r="C8" s="367" t="s">
        <v>505</v>
      </c>
      <c r="D8" s="367">
        <f>INDEX('Crossing Inputs'!$C$23:$H$46,17,MATCH($B8,'Crossing Inputs'!$C$23:$H$23,0))</f>
        <v>2010</v>
      </c>
      <c r="E8" s="383">
        <f>INDEX('Crossing Inputs'!$C$23:$H$46,16,MATCH($B8,'Crossing Inputs'!$C$23:$H$23,0))*POWER(1+INDEX('Crossing Inputs'!$C$23:$H$46,18,MATCH($B8,'Crossing Inputs'!$C$23:$H$23,0)),E$2-$D8)</f>
        <v>735.53146333319216</v>
      </c>
      <c r="F8" s="383">
        <f>INDEX('Crossing Inputs'!$C$23:$H$46,16,MATCH($B8,'Crossing Inputs'!$C$23:$H$23,0))*POWER(1+INDEX('Crossing Inputs'!$C$23:$H$46,18,MATCH($B8,'Crossing Inputs'!$C$23:$H$23,0)),F$2-$D8)</f>
        <v>757.22529230485088</v>
      </c>
      <c r="G8" s="383">
        <f>INDEX('Crossing Inputs'!$C$23:$H$46,16,MATCH($B8,'Crossing Inputs'!$C$23:$H$23,0))*POWER(1+INDEX('Crossing Inputs'!$C$23:$H$46,18,MATCH($B8,'Crossing Inputs'!$C$23:$H$23,0)),G$2-$D8)</f>
        <v>779.55896095558853</v>
      </c>
      <c r="H8" s="383">
        <f>INDEX('Crossing Inputs'!$C$23:$H$46,16,MATCH($B8,'Crossing Inputs'!$C$23:$H$23,0))*POWER(1+INDEX('Crossing Inputs'!$C$23:$H$46,18,MATCH($B8,'Crossing Inputs'!$C$23:$H$23,0)),H$2-$D8)</f>
        <v>802.55134077256673</v>
      </c>
      <c r="I8" s="383">
        <f>INDEX('Crossing Inputs'!$C$23:$H$46,16,MATCH($B8,'Crossing Inputs'!$C$23:$H$23,0))*POWER(1+INDEX('Crossing Inputs'!$C$23:$H$46,18,MATCH($B8,'Crossing Inputs'!$C$23:$H$23,0)),I$2-$D8)</f>
        <v>826.22185984023133</v>
      </c>
      <c r="J8" s="383">
        <f>INDEX('Crossing Inputs'!$C$23:$H$46,16,MATCH($B8,'Crossing Inputs'!$C$23:$H$23,0))*POWER(1+INDEX('Crossing Inputs'!$C$23:$H$46,18,MATCH($B8,'Crossing Inputs'!$C$23:$H$23,0)),J$2-$D8)</f>
        <v>850.59051925664085</v>
      </c>
      <c r="K8" s="383">
        <f>INDEX('Crossing Inputs'!$C$23:$H$46,16,MATCH($B8,'Crossing Inputs'!$C$23:$H$23,0))*POWER(1+INDEX('Crossing Inputs'!$C$23:$H$46,18,MATCH($B8,'Crossing Inputs'!$C$23:$H$23,0)),K$2-$D8)</f>
        <v>875.67791003398008</v>
      </c>
      <c r="L8" s="383">
        <f>INDEX('Crossing Inputs'!$C$23:$H$46,16,MATCH($B8,'Crossing Inputs'!$C$23:$H$23,0))*POWER(1+INDEX('Crossing Inputs'!$C$23:$H$46,18,MATCH($B8,'Crossing Inputs'!$C$23:$H$23,0)),L$2-$D8)</f>
        <v>901.50523049753895</v>
      </c>
      <c r="M8" s="383">
        <f>INDEX('Crossing Inputs'!$C$23:$H$46,16,MATCH($B8,'Crossing Inputs'!$C$23:$H$23,0))*POWER(1+INDEX('Crossing Inputs'!$C$23:$H$46,18,MATCH($B8,'Crossing Inputs'!$C$23:$H$23,0)),M$2-$D8)</f>
        <v>928.09430419785747</v>
      </c>
      <c r="N8" s="383">
        <f>INDEX('Crossing Inputs'!$C$23:$H$46,16,MATCH($B8,'Crossing Inputs'!$C$23:$H$23,0))*POWER(1+INDEX('Crossing Inputs'!$C$23:$H$46,18,MATCH($B8,'Crossing Inputs'!$C$23:$H$23,0)),N$2-$D8)</f>
        <v>955.46759835117439</v>
      </c>
      <c r="O8" s="383">
        <f>INDEX('Crossing Inputs'!$C$23:$H$46,16,MATCH($B8,'Crossing Inputs'!$C$23:$H$23,0))*POWER(1+INDEX('Crossing Inputs'!$C$23:$H$46,18,MATCH($B8,'Crossing Inputs'!$C$23:$H$23,0)),O$2-$D8)</f>
        <v>983.64824282375798</v>
      </c>
      <c r="P8" s="383">
        <f>INDEX('Crossing Inputs'!$C$23:$H$46,16,MATCH($B8,'Crossing Inputs'!$C$23:$H$23,0))*POWER(1+INDEX('Crossing Inputs'!$C$23:$H$46,18,MATCH($B8,'Crossing Inputs'!$C$23:$H$23,0)),P$2-$D8)</f>
        <v>1012.6600496761655</v>
      </c>
      <c r="Q8" s="383">
        <f>INDEX('Crossing Inputs'!$C$23:$H$46,16,MATCH($B8,'Crossing Inputs'!$C$23:$H$23,0))*POWER(1+INDEX('Crossing Inputs'!$C$23:$H$46,18,MATCH($B8,'Crossing Inputs'!$C$23:$H$23,0)),Q$2-$D8)</f>
        <v>1042.5275332839396</v>
      </c>
      <c r="R8" s="383">
        <f>INDEX('Crossing Inputs'!$C$23:$H$46,16,MATCH($B8,'Crossing Inputs'!$C$23:$H$23,0))*POWER(1+INDEX('Crossing Inputs'!$C$23:$H$46,18,MATCH($B8,'Crossing Inputs'!$C$23:$H$23,0)),R$2-$D8)</f>
        <v>1073.2759310517479</v>
      </c>
      <c r="S8" s="383">
        <f>INDEX('Crossing Inputs'!$C$23:$H$46,16,MATCH($B8,'Crossing Inputs'!$C$23:$H$23,0))*POWER(1+INDEX('Crossing Inputs'!$C$23:$H$46,18,MATCH($B8,'Crossing Inputs'!$C$23:$H$23,0)),S$2-$D8)</f>
        <v>1104.9312247384671</v>
      </c>
      <c r="T8" s="383">
        <f>INDEX('Crossing Inputs'!$C$23:$H$46,16,MATCH($B8,'Crossing Inputs'!$C$23:$H$23,0))*POWER(1+INDEX('Crossing Inputs'!$C$23:$H$46,18,MATCH($B8,'Crossing Inputs'!$C$23:$H$23,0)),T$2-$D8)</f>
        <v>1137.5201624112303</v>
      </c>
      <c r="U8" s="383">
        <f>INDEX('Crossing Inputs'!$C$23:$H$46,16,MATCH($B8,'Crossing Inputs'!$C$23:$H$23,0))*POWER(1+INDEX('Crossing Inputs'!$C$23:$H$46,18,MATCH($B8,'Crossing Inputs'!$C$23:$H$23,0)),U$2-$D8)</f>
        <v>1171.0702810469904</v>
      </c>
      <c r="V8" s="383">
        <f>INDEX('Crossing Inputs'!$C$23:$H$46,16,MATCH($B8,'Crossing Inputs'!$C$23:$H$23,0))*POWER(1+INDEX('Crossing Inputs'!$C$23:$H$46,18,MATCH($B8,'Crossing Inputs'!$C$23:$H$23,0)),V$2-$D8)</f>
        <v>1205.6099298006936</v>
      </c>
      <c r="W8" s="383">
        <f>INDEX('Crossing Inputs'!$C$23:$H$46,16,MATCH($B8,'Crossing Inputs'!$C$23:$H$23,0))*POWER(1+INDEX('Crossing Inputs'!$C$23:$H$46,18,MATCH($B8,'Crossing Inputs'!$C$23:$H$23,0)),W$2-$D8)</f>
        <v>1241.1682939597288</v>
      </c>
      <c r="X8" s="383">
        <f>INDEX('Crossing Inputs'!$C$23:$H$46,16,MATCH($B8,'Crossing Inputs'!$C$23:$H$23,0))*POWER(1+INDEX('Crossing Inputs'!$C$23:$H$46,18,MATCH($B8,'Crossing Inputs'!$C$23:$H$23,0)),X$2-$D8)</f>
        <v>1277.7754196048904</v>
      </c>
      <c r="Y8" s="383">
        <f>INDEX('Crossing Inputs'!$C$23:$H$46,16,MATCH($B8,'Crossing Inputs'!$C$23:$H$23,0))*POWER(1+INDEX('Crossing Inputs'!$C$23:$H$46,18,MATCH($B8,'Crossing Inputs'!$C$23:$H$23,0)),Y$2-$D8)</f>
        <v>1315.4622389986941</v>
      </c>
      <c r="Z8" s="383">
        <f>INDEX('Crossing Inputs'!$C$23:$H$46,16,MATCH($B8,'Crossing Inputs'!$C$23:$H$23,0))*POWER(1+INDEX('Crossing Inputs'!$C$23:$H$46,18,MATCH($B8,'Crossing Inputs'!$C$23:$H$23,0)),Z$2-$D8)</f>
        <v>1354.2605967224965</v>
      </c>
      <c r="AA8" s="383">
        <f>INDEX('Crossing Inputs'!$C$23:$H$46,16,MATCH($B8,'Crossing Inputs'!$C$23:$H$23,0))*POWER(1+INDEX('Crossing Inputs'!$C$23:$H$46,18,MATCH($B8,'Crossing Inputs'!$C$23:$H$23,0)),AA$2-$D8)</f>
        <v>1394.2032765845079</v>
      </c>
      <c r="AB8" s="383">
        <f>INDEX('Crossing Inputs'!$C$23:$H$46,16,MATCH($B8,'Crossing Inputs'!$C$23:$H$23,0))*POWER(1+INDEX('Crossing Inputs'!$C$23:$H$46,18,MATCH($B8,'Crossing Inputs'!$C$23:$H$23,0)),AB$2-$D8)</f>
        <v>1435.3240293214299</v>
      </c>
      <c r="AC8" s="383">
        <f>INDEX('Crossing Inputs'!$C$23:$H$46,16,MATCH($B8,'Crossing Inputs'!$C$23:$H$23,0))*POWER(1+INDEX('Crossing Inputs'!$C$23:$H$46,18,MATCH($B8,'Crossing Inputs'!$C$23:$H$23,0)),AC$2-$D8)</f>
        <v>1477.6576011171289</v>
      </c>
      <c r="AD8" s="383">
        <f>INDEX('Crossing Inputs'!$C$23:$H$46,16,MATCH($B8,'Crossing Inputs'!$C$23:$H$23,0))*POWER(1+INDEX('Crossing Inputs'!$C$23:$H$46,18,MATCH($B8,'Crossing Inputs'!$C$23:$H$23,0)),AD$2-$D8)</f>
        <v>1521.2397629624411</v>
      </c>
      <c r="AE8" s="383">
        <f>INDEX('Crossing Inputs'!$C$23:$H$46,16,MATCH($B8,'Crossing Inputs'!$C$23:$H$23,0))*POWER(1+INDEX('Crossing Inputs'!$C$23:$H$46,18,MATCH($B8,'Crossing Inputs'!$C$23:$H$23,0)),AE$2-$D8)</f>
        <v>1566.1073408809186</v>
      </c>
      <c r="AF8" s="383">
        <f>INDEX('Crossing Inputs'!$C$23:$H$46,16,MATCH($B8,'Crossing Inputs'!$C$23:$H$23,0))*POWER(1+INDEX('Crossing Inputs'!$C$23:$H$46,18,MATCH($B8,'Crossing Inputs'!$C$23:$H$23,0)),AF$2-$D8)</f>
        <v>1612.2982470460565</v>
      </c>
      <c r="AG8" s="383">
        <f>INDEX('Crossing Inputs'!$C$23:$H$46,16,MATCH($B8,'Crossing Inputs'!$C$23:$H$23,0))*POWER(1+INDEX('Crossing Inputs'!$C$23:$H$46,18,MATCH($B8,'Crossing Inputs'!$C$23:$H$23,0)),AG$2-$D8)</f>
        <v>1659.8515118162927</v>
      </c>
      <c r="AH8" s="383">
        <f>INDEX('Crossing Inputs'!$C$23:$H$46,16,MATCH($B8,'Crossing Inputs'!$C$23:$H$23,0))*POWER(1+INDEX('Crossing Inputs'!$C$23:$H$46,18,MATCH($B8,'Crossing Inputs'!$C$23:$H$23,0)),AH$2-$D8)</f>
        <v>1708.8073167148523</v>
      </c>
      <c r="AI8" s="383">
        <f>INDEX('Crossing Inputs'!$C$23:$H$46,16,MATCH($B8,'Crossing Inputs'!$C$23:$H$23,0))*POWER(1+INDEX('Crossing Inputs'!$C$23:$H$46,18,MATCH($B8,'Crossing Inputs'!$C$23:$H$23,0)),AI$2-$D8)</f>
        <v>1759.2070283823034</v>
      </c>
      <c r="AJ8" s="383">
        <f>INDEX('Crossing Inputs'!$C$23:$H$46,16,MATCH($B8,'Crossing Inputs'!$C$23:$H$23,0))*POWER(1+INDEX('Crossing Inputs'!$C$23:$H$46,18,MATCH($B8,'Crossing Inputs'!$C$23:$H$23,0)),AJ$2-$D8)</f>
        <v>1811.0932335305088</v>
      </c>
      <c r="AK8" s="383">
        <f>INDEX('Crossing Inputs'!$C$23:$H$46,16,MATCH($B8,'Crossing Inputs'!$C$23:$H$23,0))*POWER(1+INDEX('Crossing Inputs'!$C$23:$H$46,18,MATCH($B8,'Crossing Inputs'!$C$23:$H$23,0)),AK$2-$D8)</f>
        <v>1864.5097749275169</v>
      </c>
      <c r="AL8" s="383">
        <f>INDEX('Crossing Inputs'!$C$23:$H$46,16,MATCH($B8,'Crossing Inputs'!$C$23:$H$23,0))*POWER(1+INDEX('Crossing Inputs'!$C$23:$H$46,18,MATCH($B8,'Crossing Inputs'!$C$23:$H$23,0)),AL$2-$D8)</f>
        <v>1919.5017884437907</v>
      </c>
      <c r="AM8" s="383">
        <f>INDEX('Crossing Inputs'!$C$23:$H$46,16,MATCH($B8,'Crossing Inputs'!$C$23:$H$23,0))*POWER(1+INDEX('Crossing Inputs'!$C$23:$H$46,18,MATCH($B8,'Crossing Inputs'!$C$23:$H$23,0)),AM$2-$D8)</f>
        <v>1976.1157411910835</v>
      </c>
      <c r="AN8" s="383">
        <f>INDEX('Crossing Inputs'!$C$23:$H$46,16,MATCH($B8,'Crossing Inputs'!$C$23:$H$23,0))*POWER(1+INDEX('Crossing Inputs'!$C$23:$H$46,18,MATCH($B8,'Crossing Inputs'!$C$23:$H$23,0)),AN$2-$D8)</f>
        <v>2034.3994707861862</v>
      </c>
    </row>
    <row r="9" spans="1:40" s="150" customFormat="1" ht="14">
      <c r="B9" s="367" t="str">
        <f>'Crossing Inputs'!$E$23</f>
        <v>1600 South</v>
      </c>
      <c r="C9" s="367" t="s">
        <v>505</v>
      </c>
      <c r="D9" s="367">
        <f>INDEX('Crossing Inputs'!$C$23:$H$46,17,MATCH($B9,'Crossing Inputs'!$C$23:$H$23,0))</f>
        <v>2010</v>
      </c>
      <c r="E9" s="383">
        <f>INDEX('Crossing Inputs'!$C$23:$H$46,16,MATCH($B9,'Crossing Inputs'!$C$23:$H$23,0))*POWER(1+INDEX('Crossing Inputs'!$C$23:$H$46,18,MATCH($B9,'Crossing Inputs'!$C$23:$H$23,0)),E$2-$D9)</f>
        <v>5215.5867399989984</v>
      </c>
      <c r="F9" s="383">
        <f>INDEX('Crossing Inputs'!$C$23:$H$46,16,MATCH($B9,'Crossing Inputs'!$C$23:$H$23,0))*POWER(1+INDEX('Crossing Inputs'!$C$23:$H$46,18,MATCH($B9,'Crossing Inputs'!$C$23:$H$23,0)),F$2-$D9)</f>
        <v>5369.4157090707613</v>
      </c>
      <c r="G9" s="383">
        <f>INDEX('Crossing Inputs'!$C$23:$H$46,16,MATCH($B9,'Crossing Inputs'!$C$23:$H$23,0))*POWER(1+INDEX('Crossing Inputs'!$C$23:$H$46,18,MATCH($B9,'Crossing Inputs'!$C$23:$H$23,0)),G$2-$D9)</f>
        <v>5527.7817231396275</v>
      </c>
      <c r="H9" s="383">
        <f>INDEX('Crossing Inputs'!$C$23:$H$46,16,MATCH($B9,'Crossing Inputs'!$C$23:$H$23,0))*POWER(1+INDEX('Crossing Inputs'!$C$23:$H$46,18,MATCH($B9,'Crossing Inputs'!$C$23:$H$23,0)),H$2-$D9)</f>
        <v>5690.8185982054729</v>
      </c>
      <c r="I9" s="383">
        <f>INDEX('Crossing Inputs'!$C$23:$H$46,16,MATCH($B9,'Crossing Inputs'!$C$23:$H$23,0))*POWER(1+INDEX('Crossing Inputs'!$C$23:$H$46,18,MATCH($B9,'Crossing Inputs'!$C$23:$H$23,0)),I$2-$D9)</f>
        <v>5858.6640970489125</v>
      </c>
      <c r="J9" s="383">
        <f>INDEX('Crossing Inputs'!$C$23:$H$46,16,MATCH($B9,'Crossing Inputs'!$C$23:$H$23,0))*POWER(1+INDEX('Crossing Inputs'!$C$23:$H$46,18,MATCH($B9,'Crossing Inputs'!$C$23:$H$23,0)),J$2-$D9)</f>
        <v>6031.4600456379985</v>
      </c>
      <c r="K9" s="383">
        <f>INDEX('Crossing Inputs'!$C$23:$H$46,16,MATCH($B9,'Crossing Inputs'!$C$23:$H$23,0))*POWER(1+INDEX('Crossing Inputs'!$C$23:$H$46,18,MATCH($B9,'Crossing Inputs'!$C$23:$H$23,0)),K$2-$D9)</f>
        <v>6209.3524529682218</v>
      </c>
      <c r="L9" s="383">
        <f>INDEX('Crossing Inputs'!$C$23:$H$46,16,MATCH($B9,'Crossing Inputs'!$C$23:$H$23,0))*POWER(1+INDEX('Crossing Inputs'!$C$23:$H$46,18,MATCH($B9,'Crossing Inputs'!$C$23:$H$23,0)),L$2-$D9)</f>
        <v>6392.491634437094</v>
      </c>
      <c r="M9" s="383">
        <f>INDEX('Crossing Inputs'!$C$23:$H$46,16,MATCH($B9,'Crossing Inputs'!$C$23:$H$23,0))*POWER(1+INDEX('Crossing Inputs'!$C$23:$H$46,18,MATCH($B9,'Crossing Inputs'!$C$23:$H$23,0)),M$2-$D9)</f>
        <v>6581.0323388575353</v>
      </c>
      <c r="N9" s="383">
        <f>INDEX('Crossing Inputs'!$C$23:$H$46,16,MATCH($B9,'Crossing Inputs'!$C$23:$H$23,0))*POWER(1+INDEX('Crossing Inputs'!$C$23:$H$46,18,MATCH($B9,'Crossing Inputs'!$C$23:$H$23,0)),N$2-$D9)</f>
        <v>6775.1338792174183</v>
      </c>
      <c r="O9" s="383">
        <f>INDEX('Crossing Inputs'!$C$23:$H$46,16,MATCH($B9,'Crossing Inputs'!$C$23:$H$23,0))*POWER(1+INDEX('Crossing Inputs'!$C$23:$H$46,18,MATCH($B9,'Crossing Inputs'!$C$23:$H$23,0)),O$2-$D9)</f>
        <v>6974.960267295738</v>
      </c>
      <c r="P9" s="383">
        <f>INDEX('Crossing Inputs'!$C$23:$H$46,16,MATCH($B9,'Crossing Inputs'!$C$23:$H$23,0))*POWER(1+INDEX('Crossing Inputs'!$C$23:$H$46,18,MATCH($B9,'Crossing Inputs'!$C$23:$H$23,0)),P$2-$D9)</f>
        <v>7180.6803522491737</v>
      </c>
      <c r="Q9" s="383">
        <f>INDEX('Crossing Inputs'!$C$23:$H$46,16,MATCH($B9,'Crossing Inputs'!$C$23:$H$23,0))*POWER(1+INDEX('Crossing Inputs'!$C$23:$H$46,18,MATCH($B9,'Crossing Inputs'!$C$23:$H$23,0)),Q$2-$D9)</f>
        <v>7392.467963286118</v>
      </c>
      <c r="R9" s="383">
        <f>INDEX('Crossing Inputs'!$C$23:$H$46,16,MATCH($B9,'Crossing Inputs'!$C$23:$H$23,0))*POWER(1+INDEX('Crossing Inputs'!$C$23:$H$46,18,MATCH($B9,'Crossing Inputs'!$C$23:$H$23,0)),R$2-$D9)</f>
        <v>7610.5020565487584</v>
      </c>
      <c r="S9" s="383">
        <f>INDEX('Crossing Inputs'!$C$23:$H$46,16,MATCH($B9,'Crossing Inputs'!$C$23:$H$23,0))*POWER(1+INDEX('Crossing Inputs'!$C$23:$H$46,18,MATCH($B9,'Crossing Inputs'!$C$23:$H$23,0)),S$2-$D9)</f>
        <v>7834.9668663273123</v>
      </c>
      <c r="T9" s="383">
        <f>INDEX('Crossing Inputs'!$C$23:$H$46,16,MATCH($B9,'Crossing Inputs'!$C$23:$H$23,0))*POWER(1+INDEX('Crossing Inputs'!$C$23:$H$46,18,MATCH($B9,'Crossing Inputs'!$C$23:$H$23,0)),T$2-$D9)</f>
        <v>8066.0520607341778</v>
      </c>
      <c r="U9" s="383">
        <f>INDEX('Crossing Inputs'!$C$23:$H$46,16,MATCH($B9,'Crossing Inputs'!$C$23:$H$23,0))*POWER(1+INDEX('Crossing Inputs'!$C$23:$H$46,18,MATCH($B9,'Crossing Inputs'!$C$23:$H$23,0)),U$2-$D9)</f>
        <v>8303.9529019695674</v>
      </c>
      <c r="V9" s="383">
        <f>INDEX('Crossing Inputs'!$C$23:$H$46,16,MATCH($B9,'Crossing Inputs'!$C$23:$H$23,0))*POWER(1+INDEX('Crossing Inputs'!$C$23:$H$46,18,MATCH($B9,'Crossing Inputs'!$C$23:$H$23,0)),V$2-$D9)</f>
        <v>8548.8704113140102</v>
      </c>
      <c r="W9" s="383">
        <f>INDEX('Crossing Inputs'!$C$23:$H$46,16,MATCH($B9,'Crossing Inputs'!$C$23:$H$23,0))*POWER(1+INDEX('Crossing Inputs'!$C$23:$H$46,18,MATCH($B9,'Crossing Inputs'!$C$23:$H$23,0)),W$2-$D9)</f>
        <v>8801.011538987168</v>
      </c>
      <c r="X9" s="383">
        <f>INDEX('Crossing Inputs'!$C$23:$H$46,16,MATCH($B9,'Crossing Inputs'!$C$23:$H$23,0))*POWER(1+INDEX('Crossing Inputs'!$C$23:$H$46,18,MATCH($B9,'Crossing Inputs'!$C$23:$H$23,0)),X$2-$D9)</f>
        <v>9060.5893390164965</v>
      </c>
      <c r="Y9" s="383">
        <f>INDEX('Crossing Inputs'!$C$23:$H$46,16,MATCH($B9,'Crossing Inputs'!$C$23:$H$23,0))*POWER(1+INDEX('Crossing Inputs'!$C$23:$H$46,18,MATCH($B9,'Crossing Inputs'!$C$23:$H$23,0)),Y$2-$D9)</f>
        <v>9327.8231492634677</v>
      </c>
      <c r="Z9" s="383">
        <f>INDEX('Crossing Inputs'!$C$23:$H$46,16,MATCH($B9,'Crossing Inputs'!$C$23:$H$23,0))*POWER(1+INDEX('Crossing Inputs'!$C$23:$H$46,18,MATCH($B9,'Crossing Inputs'!$C$23:$H$23,0)),Z$2-$D9)</f>
        <v>9602.9387767595217</v>
      </c>
      <c r="AA9" s="383">
        <f>INDEX('Crossing Inputs'!$C$23:$H$46,16,MATCH($B9,'Crossing Inputs'!$C$23:$H$23,0))*POWER(1+INDEX('Crossing Inputs'!$C$23:$H$46,18,MATCH($B9,'Crossing Inputs'!$C$23:$H$23,0)),AA$2-$D9)</f>
        <v>9886.1686885083291</v>
      </c>
      <c r="AB9" s="383">
        <f>INDEX('Crossing Inputs'!$C$23:$H$46,16,MATCH($B9,'Crossing Inputs'!$C$23:$H$23,0))*POWER(1+INDEX('Crossing Inputs'!$C$23:$H$46,18,MATCH($B9,'Crossing Inputs'!$C$23:$H$23,0)),AB$2-$D9)</f>
        <v>10177.752207915593</v>
      </c>
      <c r="AC9" s="383">
        <f>INDEX('Crossing Inputs'!$C$23:$H$46,16,MATCH($B9,'Crossing Inputs'!$C$23:$H$23,0))*POWER(1+INDEX('Crossing Inputs'!$C$23:$H$46,18,MATCH($B9,'Crossing Inputs'!$C$23:$H$23,0)),AC$2-$D9)</f>
        <v>10477.935717012369</v>
      </c>
      <c r="AD9" s="383">
        <f>INDEX('Crossing Inputs'!$C$23:$H$46,16,MATCH($B9,'Crossing Inputs'!$C$23:$H$23,0))*POWER(1+INDEX('Crossing Inputs'!$C$23:$H$46,18,MATCH($B9,'Crossing Inputs'!$C$23:$H$23,0)),AD$2-$D9)</f>
        <v>10786.972864642765</v>
      </c>
      <c r="AE9" s="383">
        <f>INDEX('Crossing Inputs'!$C$23:$H$46,16,MATCH($B9,'Crossing Inputs'!$C$23:$H$23,0))*POWER(1+INDEX('Crossing Inputs'!$C$23:$H$46,18,MATCH($B9,'Crossing Inputs'!$C$23:$H$23,0)),AE$2-$D9)</f>
        <v>11105.124780791968</v>
      </c>
      <c r="AF9" s="383">
        <f>INDEX('Crossing Inputs'!$C$23:$H$46,16,MATCH($B9,'Crossing Inputs'!$C$23:$H$23,0))*POWER(1+INDEX('Crossing Inputs'!$C$23:$H$46,18,MATCH($B9,'Crossing Inputs'!$C$23:$H$23,0)),AF$2-$D9)</f>
        <v>11432.660297235674</v>
      </c>
      <c r="AG9" s="383">
        <f>INDEX('Crossing Inputs'!$C$23:$H$46,16,MATCH($B9,'Crossing Inputs'!$C$23:$H$23,0))*POWER(1+INDEX('Crossing Inputs'!$C$23:$H$46,18,MATCH($B9,'Crossing Inputs'!$C$23:$H$23,0)),AG$2-$D9)</f>
        <v>11769.856174697348</v>
      </c>
      <c r="AH9" s="383">
        <f>INDEX('Crossing Inputs'!$C$23:$H$46,16,MATCH($B9,'Crossing Inputs'!$C$23:$H$23,0))*POWER(1+INDEX('Crossing Inputs'!$C$23:$H$46,18,MATCH($B9,'Crossing Inputs'!$C$23:$H$23,0)),AH$2-$D9)</f>
        <v>12116.997336705317</v>
      </c>
      <c r="AI9" s="383">
        <f>INDEX('Crossing Inputs'!$C$23:$H$46,16,MATCH($B9,'Crossing Inputs'!$C$23:$H$23,0))*POWER(1+INDEX('Crossing Inputs'!$C$23:$H$46,18,MATCH($B9,'Crossing Inputs'!$C$23:$H$23,0)),AI$2-$D9)</f>
        <v>12474.377110347241</v>
      </c>
      <c r="AJ9" s="383">
        <f>INDEX('Crossing Inputs'!$C$23:$H$46,16,MATCH($B9,'Crossing Inputs'!$C$23:$H$23,0))*POWER(1+INDEX('Crossing Inputs'!$C$23:$H$46,18,MATCH($B9,'Crossing Inputs'!$C$23:$H$23,0)),AJ$2-$D9)</f>
        <v>12842.297474125426</v>
      </c>
      <c r="AK9" s="383">
        <f>INDEX('Crossing Inputs'!$C$23:$H$46,16,MATCH($B9,'Crossing Inputs'!$C$23:$H$23,0))*POWER(1+INDEX('Crossing Inputs'!$C$23:$H$46,18,MATCH($B9,'Crossing Inputs'!$C$23:$H$23,0)),AK$2-$D9)</f>
        <v>13221.069313122392</v>
      </c>
      <c r="AL9" s="383">
        <f>INDEX('Crossing Inputs'!$C$23:$H$46,16,MATCH($B9,'Crossing Inputs'!$C$23:$H$23,0))*POWER(1+INDEX('Crossing Inputs'!$C$23:$H$46,18,MATCH($B9,'Crossing Inputs'!$C$23:$H$23,0)),AL$2-$D9)</f>
        <v>13611.012681692333</v>
      </c>
      <c r="AM9" s="383">
        <f>INDEX('Crossing Inputs'!$C$23:$H$46,16,MATCH($B9,'Crossing Inputs'!$C$23:$H$23,0))*POWER(1+INDEX('Crossing Inputs'!$C$23:$H$46,18,MATCH($B9,'Crossing Inputs'!$C$23:$H$23,0)),AM$2-$D9)</f>
        <v>14012.45707390041</v>
      </c>
      <c r="AN9" s="383">
        <f>INDEX('Crossing Inputs'!$C$23:$H$46,16,MATCH($B9,'Crossing Inputs'!$C$23:$H$23,0))*POWER(1+INDEX('Crossing Inputs'!$C$23:$H$46,18,MATCH($B9,'Crossing Inputs'!$C$23:$H$23,0)),AN$2-$D9)</f>
        <v>14425.741701938412</v>
      </c>
    </row>
    <row r="10" spans="1:40" s="150" customFormat="1" ht="14">
      <c r="B10" s="367" t="str">
        <f>'Crossing Inputs'!$F$23</f>
        <v>400 West</v>
      </c>
      <c r="C10" s="367" t="s">
        <v>505</v>
      </c>
      <c r="D10" s="367">
        <f>INDEX('Crossing Inputs'!$C$23:$H$46,17,MATCH($B10,'Crossing Inputs'!$C$23:$H$23,0))</f>
        <v>2010</v>
      </c>
      <c r="E10" s="383">
        <f>INDEX('Crossing Inputs'!$C$23:$H$46,16,MATCH($B10,'Crossing Inputs'!$C$23:$H$23,0))*POWER(1+INDEX('Crossing Inputs'!$C$23:$H$46,18,MATCH($B10,'Crossing Inputs'!$C$23:$H$23,0)),E$2-$D10)</f>
        <v>735.53146333319216</v>
      </c>
      <c r="F10" s="383">
        <f>INDEX('Crossing Inputs'!$C$23:$H$46,16,MATCH($B10,'Crossing Inputs'!$C$23:$H$23,0))*POWER(1+INDEX('Crossing Inputs'!$C$23:$H$46,18,MATCH($B10,'Crossing Inputs'!$C$23:$H$23,0)),F$2-$D10)</f>
        <v>757.22529230485088</v>
      </c>
      <c r="G10" s="383">
        <f>INDEX('Crossing Inputs'!$C$23:$H$46,16,MATCH($B10,'Crossing Inputs'!$C$23:$H$23,0))*POWER(1+INDEX('Crossing Inputs'!$C$23:$H$46,18,MATCH($B10,'Crossing Inputs'!$C$23:$H$23,0)),G$2-$D10)</f>
        <v>779.55896095558853</v>
      </c>
      <c r="H10" s="383">
        <f>INDEX('Crossing Inputs'!$C$23:$H$46,16,MATCH($B10,'Crossing Inputs'!$C$23:$H$23,0))*POWER(1+INDEX('Crossing Inputs'!$C$23:$H$46,18,MATCH($B10,'Crossing Inputs'!$C$23:$H$23,0)),H$2-$D10)</f>
        <v>802.55134077256673</v>
      </c>
      <c r="I10" s="383">
        <f>INDEX('Crossing Inputs'!$C$23:$H$46,16,MATCH($B10,'Crossing Inputs'!$C$23:$H$23,0))*POWER(1+INDEX('Crossing Inputs'!$C$23:$H$46,18,MATCH($B10,'Crossing Inputs'!$C$23:$H$23,0)),I$2-$D10)</f>
        <v>826.22185984023133</v>
      </c>
      <c r="J10" s="383">
        <f>INDEX('Crossing Inputs'!$C$23:$H$46,16,MATCH($B10,'Crossing Inputs'!$C$23:$H$23,0))*POWER(1+INDEX('Crossing Inputs'!$C$23:$H$46,18,MATCH($B10,'Crossing Inputs'!$C$23:$H$23,0)),J$2-$D10)</f>
        <v>850.59051925664085</v>
      </c>
      <c r="K10" s="383">
        <f>INDEX('Crossing Inputs'!$C$23:$H$46,16,MATCH($B10,'Crossing Inputs'!$C$23:$H$23,0))*POWER(1+INDEX('Crossing Inputs'!$C$23:$H$46,18,MATCH($B10,'Crossing Inputs'!$C$23:$H$23,0)),K$2-$D10)</f>
        <v>875.67791003398008</v>
      </c>
      <c r="L10" s="383">
        <f>INDEX('Crossing Inputs'!$C$23:$H$46,16,MATCH($B10,'Crossing Inputs'!$C$23:$H$23,0))*POWER(1+INDEX('Crossing Inputs'!$C$23:$H$46,18,MATCH($B10,'Crossing Inputs'!$C$23:$H$23,0)),L$2-$D10)</f>
        <v>901.50523049753895</v>
      </c>
      <c r="M10" s="383">
        <f>INDEX('Crossing Inputs'!$C$23:$H$46,16,MATCH($B10,'Crossing Inputs'!$C$23:$H$23,0))*POWER(1+INDEX('Crossing Inputs'!$C$23:$H$46,18,MATCH($B10,'Crossing Inputs'!$C$23:$H$23,0)),M$2-$D10)</f>
        <v>928.09430419785747</v>
      </c>
      <c r="N10" s="383">
        <f>INDEX('Crossing Inputs'!$C$23:$H$46,16,MATCH($B10,'Crossing Inputs'!$C$23:$H$23,0))*POWER(1+INDEX('Crossing Inputs'!$C$23:$H$46,18,MATCH($B10,'Crossing Inputs'!$C$23:$H$23,0)),N$2-$D10)</f>
        <v>955.46759835117439</v>
      </c>
      <c r="O10" s="383">
        <f>INDEX('Crossing Inputs'!$C$23:$H$46,16,MATCH($B10,'Crossing Inputs'!$C$23:$H$23,0))*POWER(1+INDEX('Crossing Inputs'!$C$23:$H$46,18,MATCH($B10,'Crossing Inputs'!$C$23:$H$23,0)),O$2-$D10)</f>
        <v>983.64824282375798</v>
      </c>
      <c r="P10" s="383">
        <f>INDEX('Crossing Inputs'!$C$23:$H$46,16,MATCH($B10,'Crossing Inputs'!$C$23:$H$23,0))*POWER(1+INDEX('Crossing Inputs'!$C$23:$H$46,18,MATCH($B10,'Crossing Inputs'!$C$23:$H$23,0)),P$2-$D10)</f>
        <v>1012.6600496761655</v>
      </c>
      <c r="Q10" s="383">
        <f>INDEX('Crossing Inputs'!$C$23:$H$46,16,MATCH($B10,'Crossing Inputs'!$C$23:$H$23,0))*POWER(1+INDEX('Crossing Inputs'!$C$23:$H$46,18,MATCH($B10,'Crossing Inputs'!$C$23:$H$23,0)),Q$2-$D10)</f>
        <v>1042.5275332839396</v>
      </c>
      <c r="R10" s="383">
        <f>INDEX('Crossing Inputs'!$C$23:$H$46,16,MATCH($B10,'Crossing Inputs'!$C$23:$H$23,0))*POWER(1+INDEX('Crossing Inputs'!$C$23:$H$46,18,MATCH($B10,'Crossing Inputs'!$C$23:$H$23,0)),R$2-$D10)</f>
        <v>1073.2759310517479</v>
      </c>
      <c r="S10" s="383">
        <f>INDEX('Crossing Inputs'!$C$23:$H$46,16,MATCH($B10,'Crossing Inputs'!$C$23:$H$23,0))*POWER(1+INDEX('Crossing Inputs'!$C$23:$H$46,18,MATCH($B10,'Crossing Inputs'!$C$23:$H$23,0)),S$2-$D10)</f>
        <v>1104.9312247384671</v>
      </c>
      <c r="T10" s="383">
        <f>INDEX('Crossing Inputs'!$C$23:$H$46,16,MATCH($B10,'Crossing Inputs'!$C$23:$H$23,0))*POWER(1+INDEX('Crossing Inputs'!$C$23:$H$46,18,MATCH($B10,'Crossing Inputs'!$C$23:$H$23,0)),T$2-$D10)</f>
        <v>1137.5201624112303</v>
      </c>
      <c r="U10" s="383">
        <f>INDEX('Crossing Inputs'!$C$23:$H$46,16,MATCH($B10,'Crossing Inputs'!$C$23:$H$23,0))*POWER(1+INDEX('Crossing Inputs'!$C$23:$H$46,18,MATCH($B10,'Crossing Inputs'!$C$23:$H$23,0)),U$2-$D10)</f>
        <v>1171.0702810469904</v>
      </c>
      <c r="V10" s="383">
        <f>INDEX('Crossing Inputs'!$C$23:$H$46,16,MATCH($B10,'Crossing Inputs'!$C$23:$H$23,0))*POWER(1+INDEX('Crossing Inputs'!$C$23:$H$46,18,MATCH($B10,'Crossing Inputs'!$C$23:$H$23,0)),V$2-$D10)</f>
        <v>1205.6099298006936</v>
      </c>
      <c r="W10" s="383">
        <f>INDEX('Crossing Inputs'!$C$23:$H$46,16,MATCH($B10,'Crossing Inputs'!$C$23:$H$23,0))*POWER(1+INDEX('Crossing Inputs'!$C$23:$H$46,18,MATCH($B10,'Crossing Inputs'!$C$23:$H$23,0)),W$2-$D10)</f>
        <v>1241.1682939597288</v>
      </c>
      <c r="X10" s="383">
        <f>INDEX('Crossing Inputs'!$C$23:$H$46,16,MATCH($B10,'Crossing Inputs'!$C$23:$H$23,0))*POWER(1+INDEX('Crossing Inputs'!$C$23:$H$46,18,MATCH($B10,'Crossing Inputs'!$C$23:$H$23,0)),X$2-$D10)</f>
        <v>1277.7754196048904</v>
      </c>
      <c r="Y10" s="383">
        <f>INDEX('Crossing Inputs'!$C$23:$H$46,16,MATCH($B10,'Crossing Inputs'!$C$23:$H$23,0))*POWER(1+INDEX('Crossing Inputs'!$C$23:$H$46,18,MATCH($B10,'Crossing Inputs'!$C$23:$H$23,0)),Y$2-$D10)</f>
        <v>1315.4622389986941</v>
      </c>
      <c r="Z10" s="383">
        <f>INDEX('Crossing Inputs'!$C$23:$H$46,16,MATCH($B10,'Crossing Inputs'!$C$23:$H$23,0))*POWER(1+INDEX('Crossing Inputs'!$C$23:$H$46,18,MATCH($B10,'Crossing Inputs'!$C$23:$H$23,0)),Z$2-$D10)</f>
        <v>1354.2605967224965</v>
      </c>
      <c r="AA10" s="383">
        <f>INDEX('Crossing Inputs'!$C$23:$H$46,16,MATCH($B10,'Crossing Inputs'!$C$23:$H$23,0))*POWER(1+INDEX('Crossing Inputs'!$C$23:$H$46,18,MATCH($B10,'Crossing Inputs'!$C$23:$H$23,0)),AA$2-$D10)</f>
        <v>1394.2032765845079</v>
      </c>
      <c r="AB10" s="383">
        <f>INDEX('Crossing Inputs'!$C$23:$H$46,16,MATCH($B10,'Crossing Inputs'!$C$23:$H$23,0))*POWER(1+INDEX('Crossing Inputs'!$C$23:$H$46,18,MATCH($B10,'Crossing Inputs'!$C$23:$H$23,0)),AB$2-$D10)</f>
        <v>1435.3240293214299</v>
      </c>
      <c r="AC10" s="383">
        <f>INDEX('Crossing Inputs'!$C$23:$H$46,16,MATCH($B10,'Crossing Inputs'!$C$23:$H$23,0))*POWER(1+INDEX('Crossing Inputs'!$C$23:$H$46,18,MATCH($B10,'Crossing Inputs'!$C$23:$H$23,0)),AC$2-$D10)</f>
        <v>1477.6576011171289</v>
      </c>
      <c r="AD10" s="383">
        <f>INDEX('Crossing Inputs'!$C$23:$H$46,16,MATCH($B10,'Crossing Inputs'!$C$23:$H$23,0))*POWER(1+INDEX('Crossing Inputs'!$C$23:$H$46,18,MATCH($B10,'Crossing Inputs'!$C$23:$H$23,0)),AD$2-$D10)</f>
        <v>1521.2397629624411</v>
      </c>
      <c r="AE10" s="383">
        <f>INDEX('Crossing Inputs'!$C$23:$H$46,16,MATCH($B10,'Crossing Inputs'!$C$23:$H$23,0))*POWER(1+INDEX('Crossing Inputs'!$C$23:$H$46,18,MATCH($B10,'Crossing Inputs'!$C$23:$H$23,0)),AE$2-$D10)</f>
        <v>1566.1073408809186</v>
      </c>
      <c r="AF10" s="383">
        <f>INDEX('Crossing Inputs'!$C$23:$H$46,16,MATCH($B10,'Crossing Inputs'!$C$23:$H$23,0))*POWER(1+INDEX('Crossing Inputs'!$C$23:$H$46,18,MATCH($B10,'Crossing Inputs'!$C$23:$H$23,0)),AF$2-$D10)</f>
        <v>1612.2982470460565</v>
      </c>
      <c r="AG10" s="383">
        <f>INDEX('Crossing Inputs'!$C$23:$H$46,16,MATCH($B10,'Crossing Inputs'!$C$23:$H$23,0))*POWER(1+INDEX('Crossing Inputs'!$C$23:$H$46,18,MATCH($B10,'Crossing Inputs'!$C$23:$H$23,0)),AG$2-$D10)</f>
        <v>1659.8515118162927</v>
      </c>
      <c r="AH10" s="383">
        <f>INDEX('Crossing Inputs'!$C$23:$H$46,16,MATCH($B10,'Crossing Inputs'!$C$23:$H$23,0))*POWER(1+INDEX('Crossing Inputs'!$C$23:$H$46,18,MATCH($B10,'Crossing Inputs'!$C$23:$H$23,0)),AH$2-$D10)</f>
        <v>1708.8073167148523</v>
      </c>
      <c r="AI10" s="383">
        <f>INDEX('Crossing Inputs'!$C$23:$H$46,16,MATCH($B10,'Crossing Inputs'!$C$23:$H$23,0))*POWER(1+INDEX('Crossing Inputs'!$C$23:$H$46,18,MATCH($B10,'Crossing Inputs'!$C$23:$H$23,0)),AI$2-$D10)</f>
        <v>1759.2070283823034</v>
      </c>
      <c r="AJ10" s="383">
        <f>INDEX('Crossing Inputs'!$C$23:$H$46,16,MATCH($B10,'Crossing Inputs'!$C$23:$H$23,0))*POWER(1+INDEX('Crossing Inputs'!$C$23:$H$46,18,MATCH($B10,'Crossing Inputs'!$C$23:$H$23,0)),AJ$2-$D10)</f>
        <v>1811.0932335305088</v>
      </c>
      <c r="AK10" s="383">
        <f>INDEX('Crossing Inputs'!$C$23:$H$46,16,MATCH($B10,'Crossing Inputs'!$C$23:$H$23,0))*POWER(1+INDEX('Crossing Inputs'!$C$23:$H$46,18,MATCH($B10,'Crossing Inputs'!$C$23:$H$23,0)),AK$2-$D10)</f>
        <v>1864.5097749275169</v>
      </c>
      <c r="AL10" s="383">
        <f>INDEX('Crossing Inputs'!$C$23:$H$46,16,MATCH($B10,'Crossing Inputs'!$C$23:$H$23,0))*POWER(1+INDEX('Crossing Inputs'!$C$23:$H$46,18,MATCH($B10,'Crossing Inputs'!$C$23:$H$23,0)),AL$2-$D10)</f>
        <v>1919.5017884437907</v>
      </c>
      <c r="AM10" s="383">
        <f>INDEX('Crossing Inputs'!$C$23:$H$46,16,MATCH($B10,'Crossing Inputs'!$C$23:$H$23,0))*POWER(1+INDEX('Crossing Inputs'!$C$23:$H$46,18,MATCH($B10,'Crossing Inputs'!$C$23:$H$23,0)),AM$2-$D10)</f>
        <v>1976.1157411910835</v>
      </c>
      <c r="AN10" s="383">
        <f>INDEX('Crossing Inputs'!$C$23:$H$46,16,MATCH($B10,'Crossing Inputs'!$C$23:$H$23,0))*POWER(1+INDEX('Crossing Inputs'!$C$23:$H$46,18,MATCH($B10,'Crossing Inputs'!$C$23:$H$23,0)),AN$2-$D10)</f>
        <v>2034.3994707861862</v>
      </c>
    </row>
    <row r="11" spans="1:40" s="150" customFormat="1" ht="14">
      <c r="B11" s="367" t="str">
        <f>'Crossing Inputs'!$G$23</f>
        <v>Private</v>
      </c>
      <c r="C11" s="367" t="s">
        <v>505</v>
      </c>
      <c r="D11" s="367">
        <f>INDEX('Crossing Inputs'!$C$23:$H$46,17,MATCH($B11,'Crossing Inputs'!$C$23:$H$23,0))</f>
        <v>1988</v>
      </c>
      <c r="E11" s="383">
        <f>INDEX('Crossing Inputs'!$C$23:$H$46,16,MATCH($B11,'Crossing Inputs'!$C$23:$H$23,0))*POWER(1+INDEX('Crossing Inputs'!$C$23:$H$46,18,MATCH($B11,'Crossing Inputs'!$C$23:$H$23,0)),E$2-$D11)</f>
        <v>329.53895628361096</v>
      </c>
      <c r="F11" s="383">
        <f>INDEX('Crossing Inputs'!$C$23:$H$46,16,MATCH($B11,'Crossing Inputs'!$C$23:$H$23,0))*POWER(1+INDEX('Crossing Inputs'!$C$23:$H$46,18,MATCH($B11,'Crossing Inputs'!$C$23:$H$23,0)),F$2-$D11)</f>
        <v>339.25840693051975</v>
      </c>
      <c r="G11" s="383">
        <f>INDEX('Crossing Inputs'!$C$23:$H$46,16,MATCH($B11,'Crossing Inputs'!$C$23:$H$23,0))*POWER(1+INDEX('Crossing Inputs'!$C$23:$H$46,18,MATCH($B11,'Crossing Inputs'!$C$23:$H$23,0)),G$2-$D11)</f>
        <v>349.26452390041231</v>
      </c>
      <c r="H11" s="383">
        <f>INDEX('Crossing Inputs'!$C$23:$H$46,16,MATCH($B11,'Crossing Inputs'!$C$23:$H$23,0))*POWER(1+INDEX('Crossing Inputs'!$C$23:$H$46,18,MATCH($B11,'Crossing Inputs'!$C$23:$H$23,0)),H$2-$D11)</f>
        <v>359.56576215475883</v>
      </c>
      <c r="I11" s="383">
        <f>INDEX('Crossing Inputs'!$C$23:$H$46,16,MATCH($B11,'Crossing Inputs'!$C$23:$H$23,0))*POWER(1+INDEX('Crossing Inputs'!$C$23:$H$46,18,MATCH($B11,'Crossing Inputs'!$C$23:$H$23,0)),I$2-$D11)</f>
        <v>370.17082602639897</v>
      </c>
      <c r="J11" s="383">
        <f>INDEX('Crossing Inputs'!$C$23:$H$46,16,MATCH($B11,'Crossing Inputs'!$C$23:$H$23,0))*POWER(1+INDEX('Crossing Inputs'!$C$23:$H$46,18,MATCH($B11,'Crossing Inputs'!$C$23:$H$23,0)),J$2-$D11)</f>
        <v>381.08867657452242</v>
      </c>
      <c r="K11" s="383">
        <f>INDEX('Crossing Inputs'!$C$23:$H$46,16,MATCH($B11,'Crossing Inputs'!$C$23:$H$23,0))*POWER(1+INDEX('Crossing Inputs'!$C$23:$H$46,18,MATCH($B11,'Crossing Inputs'!$C$23:$H$23,0)),K$2-$D11)</f>
        <v>392.3285391565783</v>
      </c>
      <c r="L11" s="383">
        <f>INDEX('Crossing Inputs'!$C$23:$H$46,16,MATCH($B11,'Crossing Inputs'!$C$23:$H$23,0))*POWER(1+INDEX('Crossing Inputs'!$C$23:$H$46,18,MATCH($B11,'Crossing Inputs'!$C$23:$H$23,0)),L$2-$D11)</f>
        <v>403.89991122351057</v>
      </c>
      <c r="M11" s="383">
        <f>INDEX('Crossing Inputs'!$C$23:$H$46,16,MATCH($B11,'Crossing Inputs'!$C$23:$H$23,0))*POWER(1+INDEX('Crossing Inputs'!$C$23:$H$46,18,MATCH($B11,'Crossing Inputs'!$C$23:$H$23,0)),M$2-$D11)</f>
        <v>415.81257034490807</v>
      </c>
      <c r="N11" s="383">
        <f>INDEX('Crossing Inputs'!$C$23:$H$46,16,MATCH($B11,'Crossing Inputs'!$C$23:$H$23,0))*POWER(1+INDEX('Crossing Inputs'!$C$23:$H$46,18,MATCH($B11,'Crossing Inputs'!$C$23:$H$23,0)),N$2-$D11)</f>
        <v>428.07658247084754</v>
      </c>
      <c r="O11" s="383">
        <f>INDEX('Crossing Inputs'!$C$23:$H$46,16,MATCH($B11,'Crossing Inputs'!$C$23:$H$23,0))*POWER(1+INDEX('Crossing Inputs'!$C$23:$H$46,18,MATCH($B11,'Crossing Inputs'!$C$23:$H$23,0)),O$2-$D11)</f>
        <v>440.70231043741308</v>
      </c>
      <c r="P11" s="383">
        <f>INDEX('Crossing Inputs'!$C$23:$H$46,16,MATCH($B11,'Crossing Inputs'!$C$23:$H$23,0))*POWER(1+INDEX('Crossing Inputs'!$C$23:$H$46,18,MATCH($B11,'Crossing Inputs'!$C$23:$H$23,0)),P$2-$D11)</f>
        <v>453.70042272307779</v>
      </c>
      <c r="Q11" s="383">
        <f>INDEX('Crossing Inputs'!$C$23:$H$46,16,MATCH($B11,'Crossing Inputs'!$C$23:$H$23,0))*POWER(1+INDEX('Crossing Inputs'!$C$23:$H$46,18,MATCH($B11,'Crossing Inputs'!$C$23:$H$23,0)),Q$2-$D11)</f>
        <v>467.08190246334703</v>
      </c>
      <c r="R11" s="383">
        <f>INDEX('Crossing Inputs'!$C$23:$H$46,16,MATCH($B11,'Crossing Inputs'!$C$23:$H$23,0))*POWER(1+INDEX('Crossing Inputs'!$C$23:$H$46,18,MATCH($B11,'Crossing Inputs'!$C$23:$H$23,0)),R$2-$D11)</f>
        <v>480.85805673128039</v>
      </c>
      <c r="S11" s="383">
        <f>INDEX('Crossing Inputs'!$C$23:$H$46,16,MATCH($B11,'Crossing Inputs'!$C$23:$H$23,0))*POWER(1+INDEX('Crossing Inputs'!$C$23:$H$46,18,MATCH($B11,'Crossing Inputs'!$C$23:$H$23,0)),S$2-$D11)</f>
        <v>495.04052609173397</v>
      </c>
      <c r="T11" s="383">
        <f>INDEX('Crossing Inputs'!$C$23:$H$46,16,MATCH($B11,'Crossing Inputs'!$C$23:$H$23,0))*POWER(1+INDEX('Crossing Inputs'!$C$23:$H$46,18,MATCH($B11,'Crossing Inputs'!$C$23:$H$23,0)),T$2-$D11)</f>
        <v>509.64129443739654</v>
      </c>
      <c r="U11" s="383">
        <f>INDEX('Crossing Inputs'!$C$23:$H$46,16,MATCH($B11,'Crossing Inputs'!$C$23:$H$23,0))*POWER(1+INDEX('Crossing Inputs'!$C$23:$H$46,18,MATCH($B11,'Crossing Inputs'!$C$23:$H$23,0)),U$2-$D11)</f>
        <v>524.67269911493008</v>
      </c>
      <c r="V11" s="383">
        <f>INDEX('Crossing Inputs'!$C$23:$H$46,16,MATCH($B11,'Crossing Inputs'!$C$23:$H$23,0))*POWER(1+INDEX('Crossing Inputs'!$C$23:$H$46,18,MATCH($B11,'Crossing Inputs'!$C$23:$H$23,0)),V$2-$D11)</f>
        <v>540.14744134977286</v>
      </c>
      <c r="W11" s="383">
        <f>INDEX('Crossing Inputs'!$C$23:$H$46,16,MATCH($B11,'Crossing Inputs'!$C$23:$H$23,0))*POWER(1+INDEX('Crossing Inputs'!$C$23:$H$46,18,MATCH($B11,'Crossing Inputs'!$C$23:$H$23,0)),W$2-$D11)</f>
        <v>556.07859697841104</v>
      </c>
      <c r="X11" s="383">
        <f>INDEX('Crossing Inputs'!$C$23:$H$46,16,MATCH($B11,'Crossing Inputs'!$C$23:$H$23,0))*POWER(1+INDEX('Crossing Inputs'!$C$23:$H$46,18,MATCH($B11,'Crossing Inputs'!$C$23:$H$23,0)),X$2-$D11)</f>
        <v>572.47962749718977</v>
      </c>
      <c r="Y11" s="383">
        <f>INDEX('Crossing Inputs'!$C$23:$H$46,16,MATCH($B11,'Crossing Inputs'!$C$23:$H$23,0))*POWER(1+INDEX('Crossing Inputs'!$C$23:$H$46,18,MATCH($B11,'Crossing Inputs'!$C$23:$H$23,0)),Y$2-$D11)</f>
        <v>589.36439143699829</v>
      </c>
      <c r="Z11" s="383">
        <f>INDEX('Crossing Inputs'!$C$23:$H$46,16,MATCH($B11,'Crossing Inputs'!$C$23:$H$23,0))*POWER(1+INDEX('Crossing Inputs'!$C$23:$H$46,18,MATCH($B11,'Crossing Inputs'!$C$23:$H$23,0)),Z$2-$D11)</f>
        <v>606.74715607344228</v>
      </c>
      <c r="AA11" s="383">
        <f>INDEX('Crossing Inputs'!$C$23:$H$46,16,MATCH($B11,'Crossing Inputs'!$C$23:$H$23,0))*POWER(1+INDEX('Crossing Inputs'!$C$23:$H$46,18,MATCH($B11,'Crossing Inputs'!$C$23:$H$23,0)),AA$2-$D11)</f>
        <v>624.6426094823945</v>
      </c>
      <c r="AB11" s="383">
        <f>INDEX('Crossing Inputs'!$C$23:$H$46,16,MATCH($B11,'Crossing Inputs'!$C$23:$H$23,0))*POWER(1+INDEX('Crossing Inputs'!$C$23:$H$46,18,MATCH($B11,'Crossing Inputs'!$C$23:$H$23,0)),AB$2-$D11)</f>
        <v>643.06587295111603</v>
      </c>
      <c r="AC11" s="383">
        <f>INDEX('Crossing Inputs'!$C$23:$H$46,16,MATCH($B11,'Crossing Inputs'!$C$23:$H$23,0))*POWER(1+INDEX('Crossing Inputs'!$C$23:$H$46,18,MATCH($B11,'Crossing Inputs'!$C$23:$H$23,0)),AC$2-$D11)</f>
        <v>662.03251375542993</v>
      </c>
      <c r="AD11" s="383">
        <f>INDEX('Crossing Inputs'!$C$23:$H$46,16,MATCH($B11,'Crossing Inputs'!$C$23:$H$23,0))*POWER(1+INDEX('Crossing Inputs'!$C$23:$H$46,18,MATCH($B11,'Crossing Inputs'!$C$23:$H$23,0)),AD$2-$D11)</f>
        <v>681.55855831374618</v>
      </c>
      <c r="AE11" s="383">
        <f>INDEX('Crossing Inputs'!$C$23:$H$46,16,MATCH($B11,'Crossing Inputs'!$C$23:$H$23,0))*POWER(1+INDEX('Crossing Inputs'!$C$23:$H$46,18,MATCH($B11,'Crossing Inputs'!$C$23:$H$23,0)),AE$2-$D11)</f>
        <v>701.66050572905476</v>
      </c>
      <c r="AF11" s="383">
        <f>INDEX('Crossing Inputs'!$C$23:$H$46,16,MATCH($B11,'Crossing Inputs'!$C$23:$H$23,0))*POWER(1+INDEX('Crossing Inputs'!$C$23:$H$46,18,MATCH($B11,'Crossing Inputs'!$C$23:$H$23,0)),AF$2-$D11)</f>
        <v>722.35534173032374</v>
      </c>
      <c r="AG11" s="383">
        <f>INDEX('Crossing Inputs'!$C$23:$H$46,16,MATCH($B11,'Crossing Inputs'!$C$23:$H$23,0))*POWER(1+INDEX('Crossing Inputs'!$C$23:$H$46,18,MATCH($B11,'Crossing Inputs'!$C$23:$H$23,0)),AG$2-$D11)</f>
        <v>743.66055302508914</v>
      </c>
      <c r="AH11" s="383">
        <f>INDEX('Crossing Inputs'!$C$23:$H$46,16,MATCH($B11,'Crossing Inputs'!$C$23:$H$23,0))*POWER(1+INDEX('Crossing Inputs'!$C$23:$H$46,18,MATCH($B11,'Crossing Inputs'!$C$23:$H$23,0)),AH$2-$D11)</f>
        <v>765.59414207536122</v>
      </c>
      <c r="AI11" s="383">
        <f>INDEX('Crossing Inputs'!$C$23:$H$46,16,MATCH($B11,'Crossing Inputs'!$C$23:$H$23,0))*POWER(1+INDEX('Crossing Inputs'!$C$23:$H$46,18,MATCH($B11,'Crossing Inputs'!$C$23:$H$23,0)),AI$2-$D11)</f>
        <v>788.17464230933024</v>
      </c>
      <c r="AJ11" s="383">
        <f>INDEX('Crossing Inputs'!$C$23:$H$46,16,MATCH($B11,'Crossing Inputs'!$C$23:$H$23,0))*POWER(1+INDEX('Crossing Inputs'!$C$23:$H$46,18,MATCH($B11,'Crossing Inputs'!$C$23:$H$23,0)),AJ$2-$D11)</f>
        <v>811.4211337817303</v>
      </c>
      <c r="AK11" s="383">
        <f>INDEX('Crossing Inputs'!$C$23:$H$46,16,MATCH($B11,'Crossing Inputs'!$C$23:$H$23,0))*POWER(1+INDEX('Crossing Inputs'!$C$23:$H$46,18,MATCH($B11,'Crossing Inputs'!$C$23:$H$23,0)),AK$2-$D11)</f>
        <v>835.3532592960895</v>
      </c>
      <c r="AL11" s="383">
        <f>INDEX('Crossing Inputs'!$C$23:$H$46,16,MATCH($B11,'Crossing Inputs'!$C$23:$H$23,0))*POWER(1+INDEX('Crossing Inputs'!$C$23:$H$46,18,MATCH($B11,'Crossing Inputs'!$C$23:$H$23,0)),AL$2-$D11)</f>
        <v>859.99124100249264</v>
      </c>
      <c r="AM11" s="383">
        <f>INDEX('Crossing Inputs'!$C$23:$H$46,16,MATCH($B11,'Crossing Inputs'!$C$23:$H$23,0))*POWER(1+INDEX('Crossing Inputs'!$C$23:$H$46,18,MATCH($B11,'Crossing Inputs'!$C$23:$H$23,0)),AM$2-$D11)</f>
        <v>885.35589748487791</v>
      </c>
      <c r="AN11" s="383">
        <f>INDEX('Crossing Inputs'!$C$23:$H$46,16,MATCH($B11,'Crossing Inputs'!$C$23:$H$23,0))*POWER(1+INDEX('Crossing Inputs'!$C$23:$H$46,18,MATCH($B11,'Crossing Inputs'!$C$23:$H$23,0)),AN$2-$D11)</f>
        <v>911.46866135231005</v>
      </c>
    </row>
    <row r="12" spans="1:40" s="150" customFormat="1" ht="14">
      <c r="B12" s="367" t="str">
        <f>'Crossing Inputs'!$H$23</f>
        <v>Canyon Creek Parkway</v>
      </c>
      <c r="C12" s="367" t="s">
        <v>505</v>
      </c>
      <c r="D12" s="367">
        <f>INDEX('Crossing Inputs'!$C$23:$H$46,17,MATCH($B12,'Crossing Inputs'!$C$23:$H$23,0))</f>
        <v>2010</v>
      </c>
      <c r="E12" s="383">
        <f>INDEX('Crossing Inputs'!$C$23:$H$46,16,MATCH($B12,'Crossing Inputs'!$C$23:$H$23,0))*POWER(1+INDEX('Crossing Inputs'!$C$23:$H$46,18,MATCH($B12,'Crossing Inputs'!$C$23:$H$23,0)),E$2-$D12)</f>
        <v>5215.5867399989984</v>
      </c>
      <c r="F12" s="383">
        <f>INDEX('Crossing Inputs'!$C$23:$H$46,16,MATCH($B12,'Crossing Inputs'!$C$23:$H$23,0))*POWER(1+INDEX('Crossing Inputs'!$C$23:$H$46,18,MATCH($B12,'Crossing Inputs'!$C$23:$H$23,0)),F$2-$D12)</f>
        <v>5369.4157090707613</v>
      </c>
      <c r="G12" s="383">
        <f>INDEX('Crossing Inputs'!$C$23:$H$46,16,MATCH($B12,'Crossing Inputs'!$C$23:$H$23,0))*POWER(1+INDEX('Crossing Inputs'!$C$23:$H$46,18,MATCH($B12,'Crossing Inputs'!$C$23:$H$23,0)),G$2-$D12)</f>
        <v>5527.7817231396275</v>
      </c>
      <c r="H12" s="383">
        <f>INDEX('Crossing Inputs'!$C$23:$H$46,16,MATCH($B12,'Crossing Inputs'!$C$23:$H$23,0))*POWER(1+INDEX('Crossing Inputs'!$C$23:$H$46,18,MATCH($B12,'Crossing Inputs'!$C$23:$H$23,0)),H$2-$D12)</f>
        <v>5690.8185982054729</v>
      </c>
      <c r="I12" s="383">
        <f>INDEX('Crossing Inputs'!$C$23:$H$46,16,MATCH($B12,'Crossing Inputs'!$C$23:$H$23,0))*POWER(1+INDEX('Crossing Inputs'!$C$23:$H$46,18,MATCH($B12,'Crossing Inputs'!$C$23:$H$23,0)),I$2-$D12)</f>
        <v>5858.6640970489125</v>
      </c>
      <c r="J12" s="383">
        <f>INDEX('Crossing Inputs'!$C$23:$H$46,16,MATCH($B12,'Crossing Inputs'!$C$23:$H$23,0))*POWER(1+INDEX('Crossing Inputs'!$C$23:$H$46,18,MATCH($B12,'Crossing Inputs'!$C$23:$H$23,0)),J$2-$D12)</f>
        <v>6031.4600456379985</v>
      </c>
      <c r="K12" s="383">
        <f>INDEX('Crossing Inputs'!$C$23:$H$46,16,MATCH($B12,'Crossing Inputs'!$C$23:$H$23,0))*POWER(1+INDEX('Crossing Inputs'!$C$23:$H$46,18,MATCH($B12,'Crossing Inputs'!$C$23:$H$23,0)),K$2-$D12)</f>
        <v>6209.3524529682218</v>
      </c>
      <c r="L12" s="383">
        <f>INDEX('Crossing Inputs'!$C$23:$H$46,16,MATCH($B12,'Crossing Inputs'!$C$23:$H$23,0))*POWER(1+INDEX('Crossing Inputs'!$C$23:$H$46,18,MATCH($B12,'Crossing Inputs'!$C$23:$H$23,0)),L$2-$D12)</f>
        <v>6392.491634437094</v>
      </c>
      <c r="M12" s="383">
        <f>INDEX('Crossing Inputs'!$C$23:$H$46,16,MATCH($B12,'Crossing Inputs'!$C$23:$H$23,0))*POWER(1+INDEX('Crossing Inputs'!$C$23:$H$46,18,MATCH($B12,'Crossing Inputs'!$C$23:$H$23,0)),M$2-$D12)</f>
        <v>6581.0323388575353</v>
      </c>
      <c r="N12" s="383">
        <f>INDEX('Crossing Inputs'!$C$23:$H$46,16,MATCH($B12,'Crossing Inputs'!$C$23:$H$23,0))*POWER(1+INDEX('Crossing Inputs'!$C$23:$H$46,18,MATCH($B12,'Crossing Inputs'!$C$23:$H$23,0)),N$2-$D12)</f>
        <v>6775.1338792174183</v>
      </c>
      <c r="O12" s="383">
        <f>INDEX('Crossing Inputs'!$C$23:$H$46,16,MATCH($B12,'Crossing Inputs'!$C$23:$H$23,0))*POWER(1+INDEX('Crossing Inputs'!$C$23:$H$46,18,MATCH($B12,'Crossing Inputs'!$C$23:$H$23,0)),O$2-$D12)</f>
        <v>6974.960267295738</v>
      </c>
      <c r="P12" s="383">
        <f>INDEX('Crossing Inputs'!$C$23:$H$46,16,MATCH($B12,'Crossing Inputs'!$C$23:$H$23,0))*POWER(1+INDEX('Crossing Inputs'!$C$23:$H$46,18,MATCH($B12,'Crossing Inputs'!$C$23:$H$23,0)),P$2-$D12)</f>
        <v>7180.6803522491737</v>
      </c>
      <c r="Q12" s="383">
        <f>INDEX('Crossing Inputs'!$C$23:$H$46,16,MATCH($B12,'Crossing Inputs'!$C$23:$H$23,0))*POWER(1+INDEX('Crossing Inputs'!$C$23:$H$46,18,MATCH($B12,'Crossing Inputs'!$C$23:$H$23,0)),Q$2-$D12)</f>
        <v>7392.467963286118</v>
      </c>
      <c r="R12" s="383">
        <f>INDEX('Crossing Inputs'!$C$23:$H$46,16,MATCH($B12,'Crossing Inputs'!$C$23:$H$23,0))*POWER(1+INDEX('Crossing Inputs'!$C$23:$H$46,18,MATCH($B12,'Crossing Inputs'!$C$23:$H$23,0)),R$2-$D12)</f>
        <v>7610.5020565487584</v>
      </c>
      <c r="S12" s="383">
        <f>INDEX('Crossing Inputs'!$C$23:$H$46,16,MATCH($B12,'Crossing Inputs'!$C$23:$H$23,0))*POWER(1+INDEX('Crossing Inputs'!$C$23:$H$46,18,MATCH($B12,'Crossing Inputs'!$C$23:$H$23,0)),S$2-$D12)</f>
        <v>7834.9668663273123</v>
      </c>
      <c r="T12" s="383">
        <f>INDEX('Crossing Inputs'!$C$23:$H$46,16,MATCH($B12,'Crossing Inputs'!$C$23:$H$23,0))*POWER(1+INDEX('Crossing Inputs'!$C$23:$H$46,18,MATCH($B12,'Crossing Inputs'!$C$23:$H$23,0)),T$2-$D12)</f>
        <v>8066.0520607341778</v>
      </c>
      <c r="U12" s="383">
        <f>INDEX('Crossing Inputs'!$C$23:$H$46,16,MATCH($B12,'Crossing Inputs'!$C$23:$H$23,0))*POWER(1+INDEX('Crossing Inputs'!$C$23:$H$46,18,MATCH($B12,'Crossing Inputs'!$C$23:$H$23,0)),U$2-$D12)</f>
        <v>8303.9529019695674</v>
      </c>
      <c r="V12" s="383">
        <f>INDEX('Crossing Inputs'!$C$23:$H$46,16,MATCH($B12,'Crossing Inputs'!$C$23:$H$23,0))*POWER(1+INDEX('Crossing Inputs'!$C$23:$H$46,18,MATCH($B12,'Crossing Inputs'!$C$23:$H$23,0)),V$2-$D12)</f>
        <v>8548.8704113140102</v>
      </c>
      <c r="W12" s="383">
        <f>INDEX('Crossing Inputs'!$C$23:$H$46,16,MATCH($B12,'Crossing Inputs'!$C$23:$H$23,0))*POWER(1+INDEX('Crossing Inputs'!$C$23:$H$46,18,MATCH($B12,'Crossing Inputs'!$C$23:$H$23,0)),W$2-$D12)</f>
        <v>8801.011538987168</v>
      </c>
      <c r="X12" s="383">
        <f>INDEX('Crossing Inputs'!$C$23:$H$46,16,MATCH($B12,'Crossing Inputs'!$C$23:$H$23,0))*POWER(1+INDEX('Crossing Inputs'!$C$23:$H$46,18,MATCH($B12,'Crossing Inputs'!$C$23:$H$23,0)),X$2-$D12)</f>
        <v>9060.5893390164965</v>
      </c>
      <c r="Y12" s="383">
        <f>INDEX('Crossing Inputs'!$C$23:$H$46,16,MATCH($B12,'Crossing Inputs'!$C$23:$H$23,0))*POWER(1+INDEX('Crossing Inputs'!$C$23:$H$46,18,MATCH($B12,'Crossing Inputs'!$C$23:$H$23,0)),Y$2-$D12)</f>
        <v>9327.8231492634677</v>
      </c>
      <c r="Z12" s="383">
        <f>INDEX('Crossing Inputs'!$C$23:$H$46,16,MATCH($B12,'Crossing Inputs'!$C$23:$H$23,0))*POWER(1+INDEX('Crossing Inputs'!$C$23:$H$46,18,MATCH($B12,'Crossing Inputs'!$C$23:$H$23,0)),Z$2-$D12)</f>
        <v>9602.9387767595217</v>
      </c>
      <c r="AA12" s="383">
        <f>INDEX('Crossing Inputs'!$C$23:$H$46,16,MATCH($B12,'Crossing Inputs'!$C$23:$H$23,0))*POWER(1+INDEX('Crossing Inputs'!$C$23:$H$46,18,MATCH($B12,'Crossing Inputs'!$C$23:$H$23,0)),AA$2-$D12)</f>
        <v>9886.1686885083291</v>
      </c>
      <c r="AB12" s="383">
        <f>INDEX('Crossing Inputs'!$C$23:$H$46,16,MATCH($B12,'Crossing Inputs'!$C$23:$H$23,0))*POWER(1+INDEX('Crossing Inputs'!$C$23:$H$46,18,MATCH($B12,'Crossing Inputs'!$C$23:$H$23,0)),AB$2-$D12)</f>
        <v>10177.752207915593</v>
      </c>
      <c r="AC12" s="383">
        <f>INDEX('Crossing Inputs'!$C$23:$H$46,16,MATCH($B12,'Crossing Inputs'!$C$23:$H$23,0))*POWER(1+INDEX('Crossing Inputs'!$C$23:$H$46,18,MATCH($B12,'Crossing Inputs'!$C$23:$H$23,0)),AC$2-$D12)</f>
        <v>10477.935717012369</v>
      </c>
      <c r="AD12" s="383">
        <f>INDEX('Crossing Inputs'!$C$23:$H$46,16,MATCH($B12,'Crossing Inputs'!$C$23:$H$23,0))*POWER(1+INDEX('Crossing Inputs'!$C$23:$H$46,18,MATCH($B12,'Crossing Inputs'!$C$23:$H$23,0)),AD$2-$D12)</f>
        <v>10786.972864642765</v>
      </c>
      <c r="AE12" s="383">
        <f>INDEX('Crossing Inputs'!$C$23:$H$46,16,MATCH($B12,'Crossing Inputs'!$C$23:$H$23,0))*POWER(1+INDEX('Crossing Inputs'!$C$23:$H$46,18,MATCH($B12,'Crossing Inputs'!$C$23:$H$23,0)),AE$2-$D12)</f>
        <v>11105.124780791968</v>
      </c>
      <c r="AF12" s="383">
        <f>INDEX('Crossing Inputs'!$C$23:$H$46,16,MATCH($B12,'Crossing Inputs'!$C$23:$H$23,0))*POWER(1+INDEX('Crossing Inputs'!$C$23:$H$46,18,MATCH($B12,'Crossing Inputs'!$C$23:$H$23,0)),AF$2-$D12)</f>
        <v>11432.660297235674</v>
      </c>
      <c r="AG12" s="383">
        <f>INDEX('Crossing Inputs'!$C$23:$H$46,16,MATCH($B12,'Crossing Inputs'!$C$23:$H$23,0))*POWER(1+INDEX('Crossing Inputs'!$C$23:$H$46,18,MATCH($B12,'Crossing Inputs'!$C$23:$H$23,0)),AG$2-$D12)</f>
        <v>11769.856174697348</v>
      </c>
      <c r="AH12" s="383">
        <f>INDEX('Crossing Inputs'!$C$23:$H$46,16,MATCH($B12,'Crossing Inputs'!$C$23:$H$23,0))*POWER(1+INDEX('Crossing Inputs'!$C$23:$H$46,18,MATCH($B12,'Crossing Inputs'!$C$23:$H$23,0)),AH$2-$D12)</f>
        <v>12116.997336705317</v>
      </c>
      <c r="AI12" s="383">
        <f>INDEX('Crossing Inputs'!$C$23:$H$46,16,MATCH($B12,'Crossing Inputs'!$C$23:$H$23,0))*POWER(1+INDEX('Crossing Inputs'!$C$23:$H$46,18,MATCH($B12,'Crossing Inputs'!$C$23:$H$23,0)),AI$2-$D12)</f>
        <v>12474.377110347241</v>
      </c>
      <c r="AJ12" s="383">
        <f>INDEX('Crossing Inputs'!$C$23:$H$46,16,MATCH($B12,'Crossing Inputs'!$C$23:$H$23,0))*POWER(1+INDEX('Crossing Inputs'!$C$23:$H$46,18,MATCH($B12,'Crossing Inputs'!$C$23:$H$23,0)),AJ$2-$D12)</f>
        <v>12842.297474125426</v>
      </c>
      <c r="AK12" s="383">
        <f>INDEX('Crossing Inputs'!$C$23:$H$46,16,MATCH($B12,'Crossing Inputs'!$C$23:$H$23,0))*POWER(1+INDEX('Crossing Inputs'!$C$23:$H$46,18,MATCH($B12,'Crossing Inputs'!$C$23:$H$23,0)),AK$2-$D12)</f>
        <v>13221.069313122392</v>
      </c>
      <c r="AL12" s="383">
        <f>INDEX('Crossing Inputs'!$C$23:$H$46,16,MATCH($B12,'Crossing Inputs'!$C$23:$H$23,0))*POWER(1+INDEX('Crossing Inputs'!$C$23:$H$46,18,MATCH($B12,'Crossing Inputs'!$C$23:$H$23,0)),AL$2-$D12)</f>
        <v>13611.012681692333</v>
      </c>
      <c r="AM12" s="383">
        <f>INDEX('Crossing Inputs'!$C$23:$H$46,16,MATCH($B12,'Crossing Inputs'!$C$23:$H$23,0))*POWER(1+INDEX('Crossing Inputs'!$C$23:$H$46,18,MATCH($B12,'Crossing Inputs'!$C$23:$H$23,0)),AM$2-$D12)</f>
        <v>14012.45707390041</v>
      </c>
      <c r="AN12" s="383">
        <f>INDEX('Crossing Inputs'!$C$23:$H$46,16,MATCH($B12,'Crossing Inputs'!$C$23:$H$23,0))*POWER(1+INDEX('Crossing Inputs'!$C$23:$H$46,18,MATCH($B12,'Crossing Inputs'!$C$23:$H$23,0)),AN$2-$D12)</f>
        <v>14425.741701938412</v>
      </c>
    </row>
    <row r="13" spans="1:40" s="150" customFormat="1" ht="14">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row>
    <row r="14" spans="1:40" s="150" customFormat="1" ht="14">
      <c r="B14" s="364" t="s">
        <v>1138</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row>
    <row r="15" spans="1:40" s="150" customFormat="1" ht="14">
      <c r="B15" s="358" t="str">
        <f>'Crossing Inputs'!C49</f>
        <v>Colorado Avenue</v>
      </c>
      <c r="C15" s="367" t="s">
        <v>505</v>
      </c>
      <c r="D15" s="367">
        <f>INDEX('Crossing Inputs'!$C$49:$H$71,17,MATCH($B15,'Crossing Inputs'!$C$49:$H$49,0))</f>
        <v>2018</v>
      </c>
      <c r="E15" s="383">
        <f>INDEX('Crossing Inputs'!$C$49:$H$71,16,MATCH($B15,'Crossing Inputs'!$C$49:$H$49,0))*POWER(1+INDEX('Crossing Inputs'!$C$49:$H$71,18,MATCH($B15,'Crossing Inputs'!$C$49:$H$49,0)),E$2-$D15)</f>
        <v>264.96451879260138</v>
      </c>
      <c r="F15" s="383">
        <f>INDEX('Crossing Inputs'!$C$49:$H$71,16,MATCH($B15,'Crossing Inputs'!$C$49:$H$49,0))*POWER(1+INDEX('Crossing Inputs'!$C$49:$H$71,18,MATCH($B15,'Crossing Inputs'!$C$49:$H$49,0)),F$2-$D15)</f>
        <v>272.77940536209769</v>
      </c>
      <c r="G15" s="383">
        <f>INDEX('Crossing Inputs'!$C$49:$H$71,16,MATCH($B15,'Crossing Inputs'!$C$49:$H$49,0))*POWER(1+INDEX('Crossing Inputs'!$C$49:$H$71,18,MATCH($B15,'Crossing Inputs'!$C$49:$H$49,0)),G$2-$D15)</f>
        <v>280.82478487597916</v>
      </c>
      <c r="H15" s="383">
        <f>INDEX('Crossing Inputs'!$C$49:$H$71,16,MATCH($B15,'Crossing Inputs'!$C$49:$H$49,0))*POWER(1+INDEX('Crossing Inputs'!$C$49:$H$71,18,MATCH($B15,'Crossing Inputs'!$C$49:$H$49,0)),H$2-$D15)</f>
        <v>289.10745551320059</v>
      </c>
      <c r="I15" s="383">
        <f>INDEX('Crossing Inputs'!$C$49:$H$71,16,MATCH($B15,'Crossing Inputs'!$C$49:$H$49,0))*POWER(1+INDEX('Crossing Inputs'!$C$49:$H$71,18,MATCH($B15,'Crossing Inputs'!$C$49:$H$49,0)),I$2-$D15)</f>
        <v>297.63441595879846</v>
      </c>
      <c r="J15" s="383">
        <f>INDEX('Crossing Inputs'!$C$49:$H$71,16,MATCH($B15,'Crossing Inputs'!$C$49:$H$49,0))*POWER(1+INDEX('Crossing Inputs'!$C$49:$H$71,18,MATCH($B15,'Crossing Inputs'!$C$49:$H$49,0)),J$2-$D15)</f>
        <v>306.41287131763443</v>
      </c>
      <c r="K15" s="383">
        <f>INDEX('Crossing Inputs'!$C$49:$H$71,16,MATCH($B15,'Crossing Inputs'!$C$49:$H$49,0))*POWER(1+INDEX('Crossing Inputs'!$C$49:$H$71,18,MATCH($B15,'Crossing Inputs'!$C$49:$H$49,0)),K$2-$D15)</f>
        <v>315.45023920255994</v>
      </c>
      <c r="L15" s="383">
        <f>INDEX('Crossing Inputs'!$C$49:$H$71,16,MATCH($B15,'Crossing Inputs'!$C$49:$H$49,0))*POWER(1+INDEX('Crossing Inputs'!$C$49:$H$71,18,MATCH($B15,'Crossing Inputs'!$C$49:$H$49,0)),L$2-$D15)</f>
        <v>324.75415600214512</v>
      </c>
      <c r="M15" s="383">
        <f>INDEX('Crossing Inputs'!$C$49:$H$71,16,MATCH($B15,'Crossing Inputs'!$C$49:$H$49,0))*POWER(1+INDEX('Crossing Inputs'!$C$49:$H$71,18,MATCH($B15,'Crossing Inputs'!$C$49:$H$49,0)),M$2-$D15)</f>
        <v>334.33248333326912</v>
      </c>
      <c r="N15" s="383">
        <f>INDEX('Crossing Inputs'!$C$49:$H$71,16,MATCH($B15,'Crossing Inputs'!$C$49:$H$49,0))*POWER(1+INDEX('Crossing Inputs'!$C$49:$H$71,18,MATCH($B15,'Crossing Inputs'!$C$49:$H$49,0)),N$2-$D15)</f>
        <v>344.19331468402316</v>
      </c>
      <c r="O15" s="383">
        <f>INDEX('Crossing Inputs'!$C$49:$H$71,16,MATCH($B15,'Crossing Inputs'!$C$49:$H$49,0))*POWER(1+INDEX('Crossing Inputs'!$C$49:$H$71,18,MATCH($B15,'Crossing Inputs'!$C$49:$H$49,0)),O$2-$D15)</f>
        <v>354.34498225254026</v>
      </c>
      <c r="P15" s="383">
        <f>INDEX('Crossing Inputs'!$C$49:$H$71,16,MATCH($B15,'Crossing Inputs'!$C$49:$H$49,0))*POWER(1+INDEX('Crossing Inputs'!$C$49:$H$71,18,MATCH($B15,'Crossing Inputs'!$C$49:$H$49,0)),P$2-$D15)</f>
        <v>364.79606398753032</v>
      </c>
      <c r="Q15" s="383">
        <f>INDEX('Crossing Inputs'!$C$49:$H$71,16,MATCH($B15,'Crossing Inputs'!$C$49:$H$49,0))*POWER(1+INDEX('Crossing Inputs'!$C$49:$H$71,18,MATCH($B15,'Crossing Inputs'!$C$49:$H$49,0)),Q$2-$D15)</f>
        <v>375.55539083646875</v>
      </c>
      <c r="R15" s="383">
        <f>INDEX('Crossing Inputs'!$C$49:$H$71,16,MATCH($B15,'Crossing Inputs'!$C$49:$H$49,0))*POWER(1+INDEX('Crossing Inputs'!$C$49:$H$71,18,MATCH($B15,'Crossing Inputs'!$C$49:$H$49,0)),R$2-$D15)</f>
        <v>386.63205420756401</v>
      </c>
      <c r="S15" s="383">
        <f>INDEX('Crossing Inputs'!$C$49:$H$71,16,MATCH($B15,'Crossing Inputs'!$C$49:$H$49,0))*POWER(1+INDEX('Crossing Inputs'!$C$49:$H$71,18,MATCH($B15,'Crossing Inputs'!$C$49:$H$49,0)),S$2-$D15)</f>
        <v>398.03541365180911</v>
      </c>
      <c r="T15" s="383">
        <f>INDEX('Crossing Inputs'!$C$49:$H$71,16,MATCH($B15,'Crossing Inputs'!$C$49:$H$49,0))*POWER(1+INDEX('Crossing Inputs'!$C$49:$H$71,18,MATCH($B15,'Crossing Inputs'!$C$49:$H$49,0)),T$2-$D15)</f>
        <v>409.7751047716086</v>
      </c>
      <c r="U15" s="383">
        <f>INDEX('Crossing Inputs'!$C$49:$H$71,16,MATCH($B15,'Crossing Inputs'!$C$49:$H$49,0))*POWER(1+INDEX('Crossing Inputs'!$C$49:$H$71,18,MATCH($B15,'Crossing Inputs'!$C$49:$H$49,0)),U$2-$D15)</f>
        <v>421.86104736266248</v>
      </c>
      <c r="V15" s="383">
        <f>INDEX('Crossing Inputs'!$C$49:$H$71,16,MATCH($B15,'Crossing Inputs'!$C$49:$H$49,0))*POWER(1+INDEX('Crossing Inputs'!$C$49:$H$71,18,MATCH($B15,'Crossing Inputs'!$C$49:$H$49,0)),V$2-$D15)</f>
        <v>434.30345379598833</v>
      </c>
      <c r="W15" s="383">
        <f>INDEX('Crossing Inputs'!$C$49:$H$71,16,MATCH($B15,'Crossing Inputs'!$C$49:$H$49,0))*POWER(1+INDEX('Crossing Inputs'!$C$49:$H$71,18,MATCH($B15,'Crossing Inputs'!$C$49:$H$49,0)),W$2-$D15)</f>
        <v>447.11283764716268</v>
      </c>
      <c r="X15" s="383">
        <f>INDEX('Crossing Inputs'!$C$49:$H$71,16,MATCH($B15,'Crossing Inputs'!$C$49:$H$49,0))*POWER(1+INDEX('Crossing Inputs'!$C$49:$H$71,18,MATCH($B15,'Crossing Inputs'!$C$49:$H$49,0)),X$2-$D15)</f>
        <v>460.30002258007522</v>
      </c>
      <c r="Y15" s="383">
        <f>INDEX('Crossing Inputs'!$C$49:$H$71,16,MATCH($B15,'Crossing Inputs'!$C$49:$H$49,0))*POWER(1+INDEX('Crossing Inputs'!$C$49:$H$71,18,MATCH($B15,'Crossing Inputs'!$C$49:$H$49,0)),Y$2-$D15)</f>
        <v>473.87615149269988</v>
      </c>
      <c r="Z15" s="383">
        <f>INDEX('Crossing Inputs'!$C$49:$H$71,16,MATCH($B15,'Crossing Inputs'!$C$49:$H$49,0))*POWER(1+INDEX('Crossing Inputs'!$C$49:$H$71,18,MATCH($B15,'Crossing Inputs'!$C$49:$H$49,0)),Z$2-$D15)</f>
        <v>487.85269593261273</v>
      </c>
      <c r="AA15" s="383">
        <f>INDEX('Crossing Inputs'!$C$49:$H$71,16,MATCH($B15,'Crossing Inputs'!$C$49:$H$49,0))*POWER(1+INDEX('Crossing Inputs'!$C$49:$H$71,18,MATCH($B15,'Crossing Inputs'!$C$49:$H$49,0)),AA$2-$D15)</f>
        <v>502.24146579021232</v>
      </c>
      <c r="AB15" s="383">
        <f>INDEX('Crossing Inputs'!$C$49:$H$71,16,MATCH($B15,'Crossing Inputs'!$C$49:$H$49,0))*POWER(1+INDEX('Crossing Inputs'!$C$49:$H$71,18,MATCH($B15,'Crossing Inputs'!$C$49:$H$49,0)),AB$2-$D15)</f>
        <v>517.05461927783188</v>
      </c>
      <c r="AC15" s="383">
        <f>INDEX('Crossing Inputs'!$C$49:$H$71,16,MATCH($B15,'Crossing Inputs'!$C$49:$H$49,0))*POWER(1+INDEX('Crossing Inputs'!$C$49:$H$71,18,MATCH($B15,'Crossing Inputs'!$C$49:$H$49,0)),AC$2-$D15)</f>
        <v>532.30467320317746</v>
      </c>
      <c r="AD15" s="383">
        <f>INDEX('Crossing Inputs'!$C$49:$H$71,16,MATCH($B15,'Crossing Inputs'!$C$49:$H$49,0))*POWER(1+INDEX('Crossing Inputs'!$C$49:$H$71,18,MATCH($B15,'Crossing Inputs'!$C$49:$H$49,0)),AD$2-$D15)</f>
        <v>548.0045135457699</v>
      </c>
      <c r="AE15" s="383">
        <f>INDEX('Crossing Inputs'!$C$49:$H$71,16,MATCH($B15,'Crossing Inputs'!$C$49:$H$49,0))*POWER(1+INDEX('Crossing Inputs'!$C$49:$H$71,18,MATCH($B15,'Crossing Inputs'!$C$49:$H$49,0)),AE$2-$D15)</f>
        <v>564.1674063453313</v>
      </c>
      <c r="AF15" s="383">
        <f>INDEX('Crossing Inputs'!$C$49:$H$71,16,MATCH($B15,'Crossing Inputs'!$C$49:$H$49,0))*POWER(1+INDEX('Crossing Inputs'!$C$49:$H$71,18,MATCH($B15,'Crossing Inputs'!$C$49:$H$49,0)),AF$2-$D15)</f>
        <v>580.80700891131391</v>
      </c>
      <c r="AG15" s="383">
        <f>INDEX('Crossing Inputs'!$C$49:$H$71,16,MATCH($B15,'Crossing Inputs'!$C$49:$H$49,0))*POWER(1+INDEX('Crossing Inputs'!$C$49:$H$71,18,MATCH($B15,'Crossing Inputs'!$C$49:$H$49,0)),AG$2-$D15)</f>
        <v>597.93738136304273</v>
      </c>
      <c r="AH15" s="383">
        <f>INDEX('Crossing Inputs'!$C$49:$H$71,16,MATCH($B15,'Crossing Inputs'!$C$49:$H$49,0))*POWER(1+INDEX('Crossing Inputs'!$C$49:$H$71,18,MATCH($B15,'Crossing Inputs'!$C$49:$H$49,0)),AH$2-$D15)</f>
        <v>615.57299851022572</v>
      </c>
      <c r="AI15" s="383">
        <f>INDEX('Crossing Inputs'!$C$49:$H$71,16,MATCH($B15,'Crossing Inputs'!$C$49:$H$49,0))*POWER(1+INDEX('Crossing Inputs'!$C$49:$H$71,18,MATCH($B15,'Crossing Inputs'!$C$49:$H$49,0)),AI$2-$D15)</f>
        <v>633.7287620838672</v>
      </c>
      <c r="AJ15" s="383">
        <f>INDEX('Crossing Inputs'!$C$49:$H$71,16,MATCH($B15,'Crossing Inputs'!$C$49:$H$49,0))*POWER(1+INDEX('Crossing Inputs'!$C$49:$H$71,18,MATCH($B15,'Crossing Inputs'!$C$49:$H$49,0)),AJ$2-$D15)</f>
        <v>652.42001332792267</v>
      </c>
      <c r="AK15" s="383">
        <f>INDEX('Crossing Inputs'!$C$49:$H$71,16,MATCH($B15,'Crossing Inputs'!$C$49:$H$49,0))*POWER(1+INDEX('Crossing Inputs'!$C$49:$H$71,18,MATCH($B15,'Crossing Inputs'!$C$49:$H$49,0)),AK$2-$D15)</f>
        <v>671.66254596233136</v>
      </c>
      <c r="AL15" s="383">
        <f>INDEX('Crossing Inputs'!$C$49:$H$71,16,MATCH($B15,'Crossing Inputs'!$C$49:$H$49,0))*POWER(1+INDEX('Crossing Inputs'!$C$49:$H$71,18,MATCH($B15,'Crossing Inputs'!$C$49:$H$49,0)),AL$2-$D15)</f>
        <v>691.47261952838232</v>
      </c>
      <c r="AM15" s="383">
        <f>INDEX('Crossing Inputs'!$C$49:$H$71,16,MATCH($B15,'Crossing Inputs'!$C$49:$H$49,0))*POWER(1+INDEX('Crossing Inputs'!$C$49:$H$71,18,MATCH($B15,'Crossing Inputs'!$C$49:$H$49,0)),AM$2-$D15)</f>
        <v>711.86697312769036</v>
      </c>
      <c r="AN15" s="383">
        <f>INDEX('Crossing Inputs'!$C$49:$H$71,16,MATCH($B15,'Crossing Inputs'!$C$49:$H$49,0))*POWER(1+INDEX('Crossing Inputs'!$C$49:$H$71,18,MATCH($B15,'Crossing Inputs'!$C$49:$H$49,0)),AN$2-$D15)</f>
        <v>732.86283956638931</v>
      </c>
    </row>
    <row r="16" spans="1:40" s="150" customFormat="1" ht="14">
      <c r="B16" s="358" t="str">
        <f>'Crossing Inputs'!D49</f>
        <v>900 South</v>
      </c>
      <c r="C16" s="367" t="s">
        <v>505</v>
      </c>
      <c r="D16" s="367">
        <f>INDEX('Crossing Inputs'!$C$49:$H$71,17,MATCH($B16,'Crossing Inputs'!$C$49:$H$49,0))</f>
        <v>2010</v>
      </c>
      <c r="E16" s="383">
        <f>INDEX('Crossing Inputs'!$C$49:$H$71,16,MATCH($B16,'Crossing Inputs'!$C$49:$H$49,0))*POWER(1+INDEX('Crossing Inputs'!$C$49:$H$71,18,MATCH($B16,'Crossing Inputs'!$C$49:$H$49,0)),E$2-$D16)</f>
        <v>695.41156533319986</v>
      </c>
      <c r="F16" s="383">
        <f>INDEX('Crossing Inputs'!$C$49:$H$71,16,MATCH($B16,'Crossing Inputs'!$C$49:$H$49,0))*POWER(1+INDEX('Crossing Inputs'!$C$49:$H$71,18,MATCH($B16,'Crossing Inputs'!$C$49:$H$49,0)),F$2-$D16)</f>
        <v>715.92209454276815</v>
      </c>
      <c r="G16" s="383">
        <f>INDEX('Crossing Inputs'!$C$49:$H$71,16,MATCH($B16,'Crossing Inputs'!$C$49:$H$49,0))*POWER(1+INDEX('Crossing Inputs'!$C$49:$H$71,18,MATCH($B16,'Crossing Inputs'!$C$49:$H$49,0)),G$2-$D16)</f>
        <v>737.03756308528375</v>
      </c>
      <c r="H16" s="383">
        <f>INDEX('Crossing Inputs'!$C$49:$H$71,16,MATCH($B16,'Crossing Inputs'!$C$49:$H$49,0))*POWER(1+INDEX('Crossing Inputs'!$C$49:$H$71,18,MATCH($B16,'Crossing Inputs'!$C$49:$H$49,0)),H$2-$D16)</f>
        <v>758.7758130940631</v>
      </c>
      <c r="I16" s="383">
        <f>INDEX('Crossing Inputs'!$C$49:$H$71,16,MATCH($B16,'Crossing Inputs'!$C$49:$H$49,0))*POWER(1+INDEX('Crossing Inputs'!$C$49:$H$71,18,MATCH($B16,'Crossing Inputs'!$C$49:$H$49,0)),I$2-$D16)</f>
        <v>781.15521293985501</v>
      </c>
      <c r="J16" s="383">
        <f>INDEX('Crossing Inputs'!$C$49:$H$71,16,MATCH($B16,'Crossing Inputs'!$C$49:$H$49,0))*POWER(1+INDEX('Crossing Inputs'!$C$49:$H$71,18,MATCH($B16,'Crossing Inputs'!$C$49:$H$49,0)),J$2-$D16)</f>
        <v>804.19467275173315</v>
      </c>
      <c r="K16" s="383">
        <f>INDEX('Crossing Inputs'!$C$49:$H$71,16,MATCH($B16,'Crossing Inputs'!$C$49:$H$49,0))*POWER(1+INDEX('Crossing Inputs'!$C$49:$H$71,18,MATCH($B16,'Crossing Inputs'!$C$49:$H$49,0)),K$2-$D16)</f>
        <v>827.91366039576292</v>
      </c>
      <c r="L16" s="383">
        <f>INDEX('Crossing Inputs'!$C$49:$H$71,16,MATCH($B16,'Crossing Inputs'!$C$49:$H$49,0))*POWER(1+INDEX('Crossing Inputs'!$C$49:$H$71,18,MATCH($B16,'Crossing Inputs'!$C$49:$H$49,0)),L$2-$D16)</f>
        <v>852.33221792494589</v>
      </c>
      <c r="M16" s="383">
        <f>INDEX('Crossing Inputs'!$C$49:$H$71,16,MATCH($B16,'Crossing Inputs'!$C$49:$H$49,0))*POWER(1+INDEX('Crossing Inputs'!$C$49:$H$71,18,MATCH($B16,'Crossing Inputs'!$C$49:$H$49,0)),M$2-$D16)</f>
        <v>877.47097851433796</v>
      </c>
      <c r="N16" s="383">
        <f>INDEX('Crossing Inputs'!$C$49:$H$71,16,MATCH($B16,'Crossing Inputs'!$C$49:$H$49,0))*POWER(1+INDEX('Crossing Inputs'!$C$49:$H$71,18,MATCH($B16,'Crossing Inputs'!$C$49:$H$49,0)),N$2-$D16)</f>
        <v>903.35118389565571</v>
      </c>
      <c r="O16" s="383">
        <f>INDEX('Crossing Inputs'!$C$49:$H$71,16,MATCH($B16,'Crossing Inputs'!$C$49:$H$49,0))*POWER(1+INDEX('Crossing Inputs'!$C$49:$H$71,18,MATCH($B16,'Crossing Inputs'!$C$49:$H$49,0)),O$2-$D16)</f>
        <v>929.99470230609836</v>
      </c>
      <c r="P16" s="383">
        <f>INDEX('Crossing Inputs'!$C$49:$H$71,16,MATCH($B16,'Crossing Inputs'!$C$49:$H$49,0))*POWER(1+INDEX('Crossing Inputs'!$C$49:$H$71,18,MATCH($B16,'Crossing Inputs'!$C$49:$H$49,0)),P$2-$D16)</f>
        <v>957.42404696655649</v>
      </c>
      <c r="Q16" s="383">
        <f>INDEX('Crossing Inputs'!$C$49:$H$71,16,MATCH($B16,'Crossing Inputs'!$C$49:$H$49,0))*POWER(1+INDEX('Crossing Inputs'!$C$49:$H$71,18,MATCH($B16,'Crossing Inputs'!$C$49:$H$49,0)),Q$2-$D16)</f>
        <v>985.66239510481569</v>
      </c>
      <c r="R16" s="383">
        <f>INDEX('Crossing Inputs'!$C$49:$H$71,16,MATCH($B16,'Crossing Inputs'!$C$49:$H$49,0))*POWER(1+INDEX('Crossing Inputs'!$C$49:$H$71,18,MATCH($B16,'Crossing Inputs'!$C$49:$H$49,0)),R$2-$D16)</f>
        <v>1014.7336075398345</v>
      </c>
      <c r="S16" s="383">
        <f>INDEX('Crossing Inputs'!$C$49:$H$71,16,MATCH($B16,'Crossing Inputs'!$C$49:$H$49,0))*POWER(1+INDEX('Crossing Inputs'!$C$49:$H$71,18,MATCH($B16,'Crossing Inputs'!$C$49:$H$49,0)),S$2-$D16)</f>
        <v>1044.6622488436417</v>
      </c>
      <c r="T16" s="383">
        <f>INDEX('Crossing Inputs'!$C$49:$H$71,16,MATCH($B16,'Crossing Inputs'!$C$49:$H$49,0))*POWER(1+INDEX('Crossing Inputs'!$C$49:$H$71,18,MATCH($B16,'Crossing Inputs'!$C$49:$H$49,0)),T$2-$D16)</f>
        <v>1075.4736080978903</v>
      </c>
      <c r="U16" s="383">
        <f>INDEX('Crossing Inputs'!$C$49:$H$71,16,MATCH($B16,'Crossing Inputs'!$C$49:$H$49,0))*POWER(1+INDEX('Crossing Inputs'!$C$49:$H$71,18,MATCH($B16,'Crossing Inputs'!$C$49:$H$49,0)),U$2-$D16)</f>
        <v>1107.1937202626091</v>
      </c>
      <c r="V16" s="383">
        <f>INDEX('Crossing Inputs'!$C$49:$H$71,16,MATCH($B16,'Crossing Inputs'!$C$49:$H$49,0))*POWER(1+INDEX('Crossing Inputs'!$C$49:$H$71,18,MATCH($B16,'Crossing Inputs'!$C$49:$H$49,0)),V$2-$D16)</f>
        <v>1139.8493881752013</v>
      </c>
      <c r="W16" s="383">
        <f>INDEX('Crossing Inputs'!$C$49:$H$71,16,MATCH($B16,'Crossing Inputs'!$C$49:$H$49,0))*POWER(1+INDEX('Crossing Inputs'!$C$49:$H$71,18,MATCH($B16,'Crossing Inputs'!$C$49:$H$49,0)),W$2-$D16)</f>
        <v>1173.4682051982891</v>
      </c>
      <c r="X16" s="383">
        <f>INDEX('Crossing Inputs'!$C$49:$H$71,16,MATCH($B16,'Crossing Inputs'!$C$49:$H$49,0))*POWER(1+INDEX('Crossing Inputs'!$C$49:$H$71,18,MATCH($B16,'Crossing Inputs'!$C$49:$H$49,0)),X$2-$D16)</f>
        <v>1208.0785785355329</v>
      </c>
      <c r="Y16" s="383">
        <f>INDEX('Crossing Inputs'!$C$49:$H$71,16,MATCH($B16,'Crossing Inputs'!$C$49:$H$49,0))*POWER(1+INDEX('Crossing Inputs'!$C$49:$H$71,18,MATCH($B16,'Crossing Inputs'!$C$49:$H$49,0)),Y$2-$D16)</f>
        <v>1243.709753235129</v>
      </c>
      <c r="Z16" s="383">
        <f>INDEX('Crossing Inputs'!$C$49:$H$71,16,MATCH($B16,'Crossing Inputs'!$C$49:$H$49,0))*POWER(1+INDEX('Crossing Inputs'!$C$49:$H$71,18,MATCH($B16,'Crossing Inputs'!$C$49:$H$49,0)),Z$2-$D16)</f>
        <v>1280.3918369012695</v>
      </c>
      <c r="AA16" s="383">
        <f>INDEX('Crossing Inputs'!$C$49:$H$71,16,MATCH($B16,'Crossing Inputs'!$C$49:$H$49,0))*POWER(1+INDEX('Crossing Inputs'!$C$49:$H$71,18,MATCH($B16,'Crossing Inputs'!$C$49:$H$49,0)),AA$2-$D16)</f>
        <v>1318.1558251344438</v>
      </c>
      <c r="AB16" s="383">
        <f>INDEX('Crossing Inputs'!$C$49:$H$71,16,MATCH($B16,'Crossing Inputs'!$C$49:$H$49,0))*POWER(1+INDEX('Crossing Inputs'!$C$49:$H$71,18,MATCH($B16,'Crossing Inputs'!$C$49:$H$49,0)),AB$2-$D16)</f>
        <v>1357.033627722079</v>
      </c>
      <c r="AC16" s="383">
        <f>INDEX('Crossing Inputs'!$C$49:$H$71,16,MATCH($B16,'Crossing Inputs'!$C$49:$H$49,0))*POWER(1+INDEX('Crossing Inputs'!$C$49:$H$71,18,MATCH($B16,'Crossing Inputs'!$C$49:$H$49,0)),AC$2-$D16)</f>
        <v>1397.0580956016493</v>
      </c>
      <c r="AD16" s="383">
        <f>INDEX('Crossing Inputs'!$C$49:$H$71,16,MATCH($B16,'Crossing Inputs'!$C$49:$H$49,0))*POWER(1+INDEX('Crossing Inputs'!$C$49:$H$71,18,MATCH($B16,'Crossing Inputs'!$C$49:$H$49,0)),AD$2-$D16)</f>
        <v>1438.2630486190353</v>
      </c>
      <c r="AE16" s="383">
        <f>INDEX('Crossing Inputs'!$C$49:$H$71,16,MATCH($B16,'Crossing Inputs'!$C$49:$H$49,0))*POWER(1+INDEX('Crossing Inputs'!$C$49:$H$71,18,MATCH($B16,'Crossing Inputs'!$C$49:$H$49,0)),AE$2-$D16)</f>
        <v>1480.6833041055959</v>
      </c>
      <c r="AF16" s="383">
        <f>INDEX('Crossing Inputs'!$C$49:$H$71,16,MATCH($B16,'Crossing Inputs'!$C$49:$H$49,0))*POWER(1+INDEX('Crossing Inputs'!$C$49:$H$71,18,MATCH($B16,'Crossing Inputs'!$C$49:$H$49,0)),AF$2-$D16)</f>
        <v>1524.3547062980897</v>
      </c>
      <c r="AG16" s="383">
        <f>INDEX('Crossing Inputs'!$C$49:$H$71,16,MATCH($B16,'Crossing Inputs'!$C$49:$H$49,0))*POWER(1+INDEX('Crossing Inputs'!$C$49:$H$71,18,MATCH($B16,'Crossing Inputs'!$C$49:$H$49,0)),AG$2-$D16)</f>
        <v>1569.3141566263132</v>
      </c>
      <c r="AH16" s="383">
        <f>INDEX('Crossing Inputs'!$C$49:$H$71,16,MATCH($B16,'Crossing Inputs'!$C$49:$H$49,0))*POWER(1+INDEX('Crossing Inputs'!$C$49:$H$71,18,MATCH($B16,'Crossing Inputs'!$C$49:$H$49,0)),AH$2-$D16)</f>
        <v>1615.5996448940423</v>
      </c>
      <c r="AI16" s="383">
        <f>INDEX('Crossing Inputs'!$C$49:$H$71,16,MATCH($B16,'Crossing Inputs'!$C$49:$H$49,0))*POWER(1+INDEX('Crossing Inputs'!$C$49:$H$71,18,MATCH($B16,'Crossing Inputs'!$C$49:$H$49,0)),AI$2-$D16)</f>
        <v>1663.2502813796323</v>
      </c>
      <c r="AJ16" s="383">
        <f>INDEX('Crossing Inputs'!$C$49:$H$71,16,MATCH($B16,'Crossing Inputs'!$C$49:$H$49,0))*POWER(1+INDEX('Crossing Inputs'!$C$49:$H$71,18,MATCH($B16,'Crossing Inputs'!$C$49:$H$49,0)),AJ$2-$D16)</f>
        <v>1712.3063298833902</v>
      </c>
      <c r="AK16" s="383">
        <f>INDEX('Crossing Inputs'!$C$49:$H$71,16,MATCH($B16,'Crossing Inputs'!$C$49:$H$49,0))*POWER(1+INDEX('Crossing Inputs'!$C$49:$H$71,18,MATCH($B16,'Crossing Inputs'!$C$49:$H$49,0)),AK$2-$D16)</f>
        <v>1762.8092417496523</v>
      </c>
      <c r="AL16" s="383">
        <f>INDEX('Crossing Inputs'!$C$49:$H$71,16,MATCH($B16,'Crossing Inputs'!$C$49:$H$49,0))*POWER(1+INDEX('Crossing Inputs'!$C$49:$H$71,18,MATCH($B16,'Crossing Inputs'!$C$49:$H$49,0)),AL$2-$D16)</f>
        <v>1814.8016908923112</v>
      </c>
      <c r="AM16" s="383">
        <f>INDEX('Crossing Inputs'!$C$49:$H$71,16,MATCH($B16,'Crossing Inputs'!$C$49:$H$49,0))*POWER(1+INDEX('Crossing Inputs'!$C$49:$H$71,18,MATCH($B16,'Crossing Inputs'!$C$49:$H$49,0)),AM$2-$D16)</f>
        <v>1868.3276098533881</v>
      </c>
      <c r="AN16" s="383">
        <f>INDEX('Crossing Inputs'!$C$49:$H$71,16,MATCH($B16,'Crossing Inputs'!$C$49:$H$49,0))*POWER(1+INDEX('Crossing Inputs'!$C$49:$H$71,18,MATCH($B16,'Crossing Inputs'!$C$49:$H$49,0)),AN$2-$D16)</f>
        <v>1923.4322269251215</v>
      </c>
    </row>
    <row r="17" spans="1:40" s="150" customFormat="1" ht="14">
      <c r="B17" s="358" t="str">
        <f>'Crossing Inputs'!E49</f>
        <v>1000 North</v>
      </c>
      <c r="C17" s="367" t="s">
        <v>505</v>
      </c>
      <c r="D17" s="367">
        <f>INDEX('Crossing Inputs'!$C$49:$H$71,17,MATCH($B17,'Crossing Inputs'!$C$49:$H$49,0))</f>
        <v>2010</v>
      </c>
      <c r="E17" s="383">
        <f>INDEX('Crossing Inputs'!$C$49:$H$71,16,MATCH($B17,'Crossing Inputs'!$C$49:$H$49,0))*POWER(1+INDEX('Crossing Inputs'!$C$49:$H$71,18,MATCH($B17,'Crossing Inputs'!$C$49:$H$49,0)),E$2-$D17)</f>
        <v>1136.7304433331151</v>
      </c>
      <c r="F17" s="383">
        <f>INDEX('Crossing Inputs'!$C$49:$H$71,16,MATCH($B17,'Crossing Inputs'!$C$49:$H$49,0))*POWER(1+INDEX('Crossing Inputs'!$C$49:$H$71,18,MATCH($B17,'Crossing Inputs'!$C$49:$H$49,0)),F$2-$D17)</f>
        <v>1170.2572699256787</v>
      </c>
      <c r="G17" s="383">
        <f>INDEX('Crossing Inputs'!$C$49:$H$71,16,MATCH($B17,'Crossing Inputs'!$C$49:$H$49,0))*POWER(1+INDEX('Crossing Inputs'!$C$49:$H$71,18,MATCH($B17,'Crossing Inputs'!$C$49:$H$49,0)),G$2-$D17)</f>
        <v>1204.7729396586369</v>
      </c>
      <c r="H17" s="383">
        <f>INDEX('Crossing Inputs'!$C$49:$H$71,16,MATCH($B17,'Crossing Inputs'!$C$49:$H$49,0))*POWER(1+INDEX('Crossing Inputs'!$C$49:$H$71,18,MATCH($B17,'Crossing Inputs'!$C$49:$H$49,0)),H$2-$D17)</f>
        <v>1240.3066175576032</v>
      </c>
      <c r="I17" s="383">
        <f>INDEX('Crossing Inputs'!$C$49:$H$71,16,MATCH($B17,'Crossing Inputs'!$C$49:$H$49,0))*POWER(1+INDEX('Crossing Inputs'!$C$49:$H$71,18,MATCH($B17,'Crossing Inputs'!$C$49:$H$49,0)),I$2-$D17)</f>
        <v>1276.8883288439938</v>
      </c>
      <c r="J17" s="383">
        <f>INDEX('Crossing Inputs'!$C$49:$H$71,16,MATCH($B17,'Crossing Inputs'!$C$49:$H$49,0))*POWER(1+INDEX('Crossing Inputs'!$C$49:$H$71,18,MATCH($B17,'Crossing Inputs'!$C$49:$H$49,0)),J$2-$D17)</f>
        <v>1314.5489843057178</v>
      </c>
      <c r="K17" s="383">
        <f>INDEX('Crossing Inputs'!$C$49:$H$71,16,MATCH($B17,'Crossing Inputs'!$C$49:$H$49,0))*POWER(1+INDEX('Crossing Inputs'!$C$49:$H$71,18,MATCH($B17,'Crossing Inputs'!$C$49:$H$49,0)),K$2-$D17)</f>
        <v>1353.3204064161509</v>
      </c>
      <c r="L17" s="383">
        <f>INDEX('Crossing Inputs'!$C$49:$H$71,16,MATCH($B17,'Crossing Inputs'!$C$49:$H$49,0))*POWER(1+INDEX('Crossing Inputs'!$C$49:$H$71,18,MATCH($B17,'Crossing Inputs'!$C$49:$H$49,0)),L$2-$D17)</f>
        <v>1393.2353562234694</v>
      </c>
      <c r="M17" s="383">
        <f>INDEX('Crossing Inputs'!$C$49:$H$71,16,MATCH($B17,'Crossing Inputs'!$C$49:$H$49,0))*POWER(1+INDEX('Crossing Inputs'!$C$49:$H$71,18,MATCH($B17,'Crossing Inputs'!$C$49:$H$49,0)),M$2-$D17)</f>
        <v>1434.3275610330525</v>
      </c>
      <c r="N17" s="383">
        <f>INDEX('Crossing Inputs'!$C$49:$H$71,16,MATCH($B17,'Crossing Inputs'!$C$49:$H$49,0))*POWER(1+INDEX('Crossing Inputs'!$C$49:$H$71,18,MATCH($B17,'Crossing Inputs'!$C$49:$H$49,0)),N$2-$D17)</f>
        <v>1476.6317429063604</v>
      </c>
      <c r="O17" s="383">
        <f>INDEX('Crossing Inputs'!$C$49:$H$71,16,MATCH($B17,'Crossing Inputs'!$C$49:$H$49,0))*POWER(1+INDEX('Crossing Inputs'!$C$49:$H$71,18,MATCH($B17,'Crossing Inputs'!$C$49:$H$49,0)),O$2-$D17)</f>
        <v>1520.1836480003531</v>
      </c>
      <c r="P17" s="383">
        <f>INDEX('Crossing Inputs'!$C$49:$H$71,16,MATCH($B17,'Crossing Inputs'!$C$49:$H$49,0))*POWER(1+INDEX('Crossing Inputs'!$C$49:$H$71,18,MATCH($B17,'Crossing Inputs'!$C$49:$H$49,0)),P$2-$D17)</f>
        <v>1565.0200767722558</v>
      </c>
      <c r="Q17" s="383">
        <f>INDEX('Crossing Inputs'!$C$49:$H$71,16,MATCH($B17,'Crossing Inputs'!$C$49:$H$49,0))*POWER(1+INDEX('Crossing Inputs'!$C$49:$H$71,18,MATCH($B17,'Crossing Inputs'!$C$49:$H$49,0)),Q$2-$D17)</f>
        <v>1611.1789150751795</v>
      </c>
      <c r="R17" s="383">
        <f>INDEX('Crossing Inputs'!$C$49:$H$71,16,MATCH($B17,'Crossing Inputs'!$C$49:$H$49,0))*POWER(1+INDEX('Crossing Inputs'!$C$49:$H$71,18,MATCH($B17,'Crossing Inputs'!$C$49:$H$49,0)),R$2-$D17)</f>
        <v>1658.6991661708832</v>
      </c>
      <c r="S17" s="383">
        <f>INDEX('Crossing Inputs'!$C$49:$H$71,16,MATCH($B17,'Crossing Inputs'!$C$49:$H$49,0))*POWER(1+INDEX('Crossing Inputs'!$C$49:$H$71,18,MATCH($B17,'Crossing Inputs'!$C$49:$H$49,0)),S$2-$D17)</f>
        <v>1707.620983686722</v>
      </c>
      <c r="T17" s="383">
        <f>INDEX('Crossing Inputs'!$C$49:$H$71,16,MATCH($B17,'Crossing Inputs'!$C$49:$H$49,0))*POWER(1+INDEX('Crossing Inputs'!$C$49:$H$71,18,MATCH($B17,'Crossing Inputs'!$C$49:$H$49,0)),T$2-$D17)</f>
        <v>1757.9857055446284</v>
      </c>
      <c r="U17" s="383">
        <f>INDEX('Crossing Inputs'!$C$49:$H$71,16,MATCH($B17,'Crossing Inputs'!$C$49:$H$49,0))*POWER(1+INDEX('Crossing Inputs'!$C$49:$H$71,18,MATCH($B17,'Crossing Inputs'!$C$49:$H$49,0)),U$2-$D17)</f>
        <v>1809.8358888908033</v>
      </c>
      <c r="V17" s="383">
        <f>INDEX('Crossing Inputs'!$C$49:$H$71,16,MATCH($B17,'Crossing Inputs'!$C$49:$H$49,0))*POWER(1+INDEX('Crossing Inputs'!$C$49:$H$71,18,MATCH($B17,'Crossing Inputs'!$C$49:$H$49,0)),V$2-$D17)</f>
        <v>1863.2153460556174</v>
      </c>
      <c r="W17" s="383">
        <f>INDEX('Crossing Inputs'!$C$49:$H$71,16,MATCH($B17,'Crossing Inputs'!$C$49:$H$49,0))*POWER(1+INDEX('Crossing Inputs'!$C$49:$H$71,18,MATCH($B17,'Crossing Inputs'!$C$49:$H$49,0)),W$2-$D17)</f>
        <v>1918.1691815741262</v>
      </c>
      <c r="X17" s="383">
        <f>INDEX('Crossing Inputs'!$C$49:$H$71,16,MATCH($B17,'Crossing Inputs'!$C$49:$H$49,0))*POWER(1+INDEX('Crossing Inputs'!$C$49:$H$71,18,MATCH($B17,'Crossing Inputs'!$C$49:$H$49,0)),X$2-$D17)</f>
        <v>1974.7438302984672</v>
      </c>
      <c r="Y17" s="383">
        <f>INDEX('Crossing Inputs'!$C$49:$H$71,16,MATCH($B17,'Crossing Inputs'!$C$49:$H$49,0))*POWER(1+INDEX('Crossing Inputs'!$C$49:$H$71,18,MATCH($B17,'Crossing Inputs'!$C$49:$H$49,0)),Y$2-$D17)</f>
        <v>2032.9870966343453</v>
      </c>
      <c r="Z17" s="383">
        <f>INDEX('Crossing Inputs'!$C$49:$H$71,16,MATCH($B17,'Crossing Inputs'!$C$49:$H$49,0))*POWER(1+INDEX('Crossing Inputs'!$C$49:$H$71,18,MATCH($B17,'Crossing Inputs'!$C$49:$H$49,0)),Z$2-$D17)</f>
        <v>2092.9481949347673</v>
      </c>
      <c r="AA17" s="383">
        <f>INDEX('Crossing Inputs'!$C$49:$H$71,16,MATCH($B17,'Crossing Inputs'!$C$49:$H$49,0))*POWER(1+INDEX('Crossing Inputs'!$C$49:$H$71,18,MATCH($B17,'Crossing Inputs'!$C$49:$H$49,0)),AA$2-$D17)</f>
        <v>2154.6777910851483</v>
      </c>
      <c r="AB17" s="383">
        <f>INDEX('Crossing Inputs'!$C$49:$H$71,16,MATCH($B17,'Crossing Inputs'!$C$49:$H$49,0))*POWER(1+INDEX('Crossing Inputs'!$C$49:$H$71,18,MATCH($B17,'Crossing Inputs'!$C$49:$H$49,0)),AB$2-$D17)</f>
        <v>2218.2280453149369</v>
      </c>
      <c r="AC17" s="383">
        <f>INDEX('Crossing Inputs'!$C$49:$H$71,16,MATCH($B17,'Crossing Inputs'!$C$49:$H$49,0))*POWER(1+INDEX('Crossing Inputs'!$C$49:$H$71,18,MATCH($B17,'Crossing Inputs'!$C$49:$H$49,0)),AC$2-$D17)</f>
        <v>2283.6526562719264</v>
      </c>
      <c r="AD17" s="383">
        <f>INDEX('Crossing Inputs'!$C$49:$H$71,16,MATCH($B17,'Crossing Inputs'!$C$49:$H$49,0))*POWER(1+INDEX('Crossing Inputs'!$C$49:$H$71,18,MATCH($B17,'Crossing Inputs'!$C$49:$H$49,0)),AD$2-$D17)</f>
        <v>2351.0069063965002</v>
      </c>
      <c r="AE17" s="383">
        <f>INDEX('Crossing Inputs'!$C$49:$H$71,16,MATCH($B17,'Crossing Inputs'!$C$49:$H$49,0))*POWER(1+INDEX('Crossing Inputs'!$C$49:$H$71,18,MATCH($B17,'Crossing Inputs'!$C$49:$H$49,0)),AE$2-$D17)</f>
        <v>2420.3477086341472</v>
      </c>
      <c r="AF17" s="383">
        <f>INDEX('Crossing Inputs'!$C$49:$H$71,16,MATCH($B17,'Crossing Inputs'!$C$49:$H$49,0))*POWER(1+INDEX('Crossing Inputs'!$C$49:$H$71,18,MATCH($B17,'Crossing Inputs'!$C$49:$H$49,0)),AF$2-$D17)</f>
        <v>2491.7336545257235</v>
      </c>
      <c r="AG17" s="383">
        <f>INDEX('Crossing Inputs'!$C$49:$H$71,16,MATCH($B17,'Crossing Inputs'!$C$49:$H$49,0))*POWER(1+INDEX('Crossing Inputs'!$C$49:$H$71,18,MATCH($B17,'Crossing Inputs'!$C$49:$H$49,0)),AG$2-$D17)</f>
        <v>2565.2250637160887</v>
      </c>
      <c r="AH17" s="383">
        <f>INDEX('Crossing Inputs'!$C$49:$H$71,16,MATCH($B17,'Crossing Inputs'!$C$49:$H$49,0))*POWER(1+INDEX('Crossing Inputs'!$C$49:$H$71,18,MATCH($B17,'Crossing Inputs'!$C$49:$H$49,0)),AH$2-$D17)</f>
        <v>2640.8840349229536</v>
      </c>
      <c r="AI17" s="383">
        <f>INDEX('Crossing Inputs'!$C$49:$H$71,16,MATCH($B17,'Crossing Inputs'!$C$49:$H$49,0))*POWER(1+INDEX('Crossing Inputs'!$C$49:$H$71,18,MATCH($B17,'Crossing Inputs'!$C$49:$H$49,0)),AI$2-$D17)</f>
        <v>2718.7744984090141</v>
      </c>
      <c r="AJ17" s="383">
        <f>INDEX('Crossing Inputs'!$C$49:$H$71,16,MATCH($B17,'Crossing Inputs'!$C$49:$H$49,0))*POWER(1+INDEX('Crossing Inputs'!$C$49:$H$71,18,MATCH($B17,'Crossing Inputs'!$C$49:$H$49,0)),AJ$2-$D17)</f>
        <v>2798.9622700016953</v>
      </c>
      <c r="AK17" s="383">
        <f>INDEX('Crossing Inputs'!$C$49:$H$71,16,MATCH($B17,'Crossing Inputs'!$C$49:$H$49,0))*POWER(1+INDEX('Crossing Inputs'!$C$49:$H$71,18,MATCH($B17,'Crossing Inputs'!$C$49:$H$49,0)),AK$2-$D17)</f>
        <v>2881.5151067061624</v>
      </c>
      <c r="AL17" s="383">
        <f>INDEX('Crossing Inputs'!$C$49:$H$71,16,MATCH($B17,'Crossing Inputs'!$C$49:$H$49,0))*POWER(1+INDEX('Crossing Inputs'!$C$49:$H$71,18,MATCH($B17,'Crossing Inputs'!$C$49:$H$49,0)),AL$2-$D17)</f>
        <v>2966.5027639585855</v>
      </c>
      <c r="AM17" s="383">
        <f>INDEX('Crossing Inputs'!$C$49:$H$71,16,MATCH($B17,'Crossing Inputs'!$C$49:$H$49,0))*POWER(1+INDEX('Crossing Inputs'!$C$49:$H$71,18,MATCH($B17,'Crossing Inputs'!$C$49:$H$49,0)),AM$2-$D17)</f>
        <v>3053.997054568038</v>
      </c>
      <c r="AN17" s="383">
        <f>INDEX('Crossing Inputs'!$C$49:$H$71,16,MATCH($B17,'Crossing Inputs'!$C$49:$H$49,0))*POWER(1+INDEX('Crossing Inputs'!$C$49:$H$71,18,MATCH($B17,'Crossing Inputs'!$C$49:$H$49,0)),AN$2-$D17)</f>
        <v>3144.0719093968332</v>
      </c>
    </row>
    <row r="18" spans="1:40" s="150" customFormat="1" ht="14">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row>
    <row r="19" spans="1:40" s="150" customFormat="1" ht="14">
      <c r="B19" s="364" t="s">
        <v>1139</v>
      </c>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row>
    <row r="20" spans="1:40" s="150" customFormat="1" ht="14">
      <c r="B20" s="358" t="str">
        <f>'Crossing Inputs'!F49</f>
        <v>West Center</v>
      </c>
      <c r="C20" s="367" t="s">
        <v>505</v>
      </c>
      <c r="D20" s="367">
        <f>INDEX('Crossing Inputs'!$C$49:$H$71,17,MATCH($B20,'Crossing Inputs'!$C$49:$H$49,0))</f>
        <v>2010</v>
      </c>
      <c r="E20" s="383">
        <f>INDEX('Crossing Inputs'!$C$49:$H$71,16,MATCH($B20,'Crossing Inputs'!$C$49:$H$49,0))*POWER(1+INDEX('Crossing Inputs'!$C$49:$H$71,18,MATCH($B20,'Crossing Inputs'!$C$49:$H$49,0)),E$2-$D20)</f>
        <v>14041.964299997304</v>
      </c>
      <c r="F20" s="383">
        <f>INDEX('Crossing Inputs'!$C$49:$H$71,16,MATCH($B20,'Crossing Inputs'!$C$49:$H$49,0))*POWER(1+INDEX('Crossing Inputs'!$C$49:$H$71,18,MATCH($B20,'Crossing Inputs'!$C$49:$H$49,0)),F$2-$D20)</f>
        <v>14456.119216728972</v>
      </c>
      <c r="G20" s="383">
        <f>INDEX('Crossing Inputs'!$C$49:$H$71,16,MATCH($B20,'Crossing Inputs'!$C$49:$H$49,0))*POWER(1+INDEX('Crossing Inputs'!$C$49:$H$71,18,MATCH($B20,'Crossing Inputs'!$C$49:$H$49,0)),G$2-$D20)</f>
        <v>14882.489254606689</v>
      </c>
      <c r="H20" s="383">
        <f>INDEX('Crossing Inputs'!$C$49:$H$71,16,MATCH($B20,'Crossing Inputs'!$C$49:$H$49,0))*POWER(1+INDEX('Crossing Inputs'!$C$49:$H$71,18,MATCH($B20,'Crossing Inputs'!$C$49:$H$49,0)),H$2-$D20)</f>
        <v>15321.434687476274</v>
      </c>
      <c r="I20" s="383">
        <f>INDEX('Crossing Inputs'!$C$49:$H$71,16,MATCH($B20,'Crossing Inputs'!$C$49:$H$49,0))*POWER(1+INDEX('Crossing Inputs'!$C$49:$H$71,18,MATCH($B20,'Crossing Inputs'!$C$49:$H$49,0)),I$2-$D20)</f>
        <v>15773.326415131689</v>
      </c>
      <c r="J20" s="383">
        <f>INDEX('Crossing Inputs'!$C$49:$H$71,16,MATCH($B20,'Crossing Inputs'!$C$49:$H$49,0))*POWER(1+INDEX('Crossing Inputs'!$C$49:$H$71,18,MATCH($B20,'Crossing Inputs'!$C$49:$H$49,0)),J$2-$D20)</f>
        <v>16238.546276717689</v>
      </c>
      <c r="K20" s="383">
        <f>INDEX('Crossing Inputs'!$C$49:$H$71,16,MATCH($B20,'Crossing Inputs'!$C$49:$H$49,0))*POWER(1+INDEX('Crossing Inputs'!$C$49:$H$71,18,MATCH($B20,'Crossing Inputs'!$C$49:$H$49,0)),K$2-$D20)</f>
        <v>16717.487373375981</v>
      </c>
      <c r="L20" s="383">
        <f>INDEX('Crossing Inputs'!$C$49:$H$71,16,MATCH($B20,'Crossing Inputs'!$C$49:$H$49,0))*POWER(1+INDEX('Crossing Inputs'!$C$49:$H$71,18,MATCH($B20,'Crossing Inputs'!$C$49:$H$49,0)),L$2-$D20)</f>
        <v>17210.55440040756</v>
      </c>
      <c r="M20" s="383">
        <f>INDEX('Crossing Inputs'!$C$49:$H$71,16,MATCH($B20,'Crossing Inputs'!$C$49:$H$49,0))*POWER(1+INDEX('Crossing Inputs'!$C$49:$H$71,18,MATCH($B20,'Crossing Inputs'!$C$49:$H$49,0)),M$2-$D20)</f>
        <v>17718.163989231824</v>
      </c>
      <c r="N20" s="383">
        <f>INDEX('Crossing Inputs'!$C$49:$H$71,16,MATCH($B20,'Crossing Inputs'!$C$49:$H$49,0))*POWER(1+INDEX('Crossing Inputs'!$C$49:$H$71,18,MATCH($B20,'Crossing Inputs'!$C$49:$H$49,0)),N$2-$D20)</f>
        <v>18240.745059431509</v>
      </c>
      <c r="O20" s="383">
        <f>INDEX('Crossing Inputs'!$C$49:$H$71,16,MATCH($B20,'Crossing Inputs'!$C$49:$H$49,0))*POWER(1+INDEX('Crossing Inputs'!$C$49:$H$71,18,MATCH($B20,'Crossing Inputs'!$C$49:$H$49,0)),O$2-$D20)</f>
        <v>18778.739181180834</v>
      </c>
      <c r="P20" s="383">
        <f>INDEX('Crossing Inputs'!$C$49:$H$71,16,MATCH($B20,'Crossing Inputs'!$C$49:$H$49,0))*POWER(1+INDEX('Crossing Inputs'!$C$49:$H$71,18,MATCH($B20,'Crossing Inputs'!$C$49:$H$49,0)),P$2-$D20)</f>
        <v>19332.600948363161</v>
      </c>
      <c r="Q20" s="383">
        <f>INDEX('Crossing Inputs'!$C$49:$H$71,16,MATCH($B20,'Crossing Inputs'!$C$49:$H$49,0))*POWER(1+INDEX('Crossing Inputs'!$C$49:$H$71,18,MATCH($B20,'Crossing Inputs'!$C$49:$H$49,0)),Q$2-$D20)</f>
        <v>19902.798362693393</v>
      </c>
      <c r="R20" s="383">
        <f>INDEX('Crossing Inputs'!$C$49:$H$71,16,MATCH($B20,'Crossing Inputs'!$C$49:$H$49,0))*POWER(1+INDEX('Crossing Inputs'!$C$49:$H$71,18,MATCH($B20,'Crossing Inputs'!$C$49:$H$49,0)),R$2-$D20)</f>
        <v>20489.813229169733</v>
      </c>
      <c r="S20" s="383">
        <f>INDEX('Crossing Inputs'!$C$49:$H$71,16,MATCH($B20,'Crossing Inputs'!$C$49:$H$49,0))*POWER(1+INDEX('Crossing Inputs'!$C$49:$H$71,18,MATCH($B20,'Crossing Inputs'!$C$49:$H$49,0)),S$2-$D20)</f>
        <v>21094.141563188918</v>
      </c>
      <c r="T20" s="383">
        <f>INDEX('Crossing Inputs'!$C$49:$H$71,16,MATCH($B20,'Crossing Inputs'!$C$49:$H$49,0))*POWER(1+INDEX('Crossing Inputs'!$C$49:$H$71,18,MATCH($B20,'Crossing Inputs'!$C$49:$H$49,0)),T$2-$D20)</f>
        <v>21716.294009668942</v>
      </c>
      <c r="U20" s="383">
        <f>INDEX('Crossing Inputs'!$C$49:$H$71,16,MATCH($B20,'Crossing Inputs'!$C$49:$H$49,0))*POWER(1+INDEX('Crossing Inputs'!$C$49:$H$71,18,MATCH($B20,'Crossing Inputs'!$C$49:$H$49,0)),U$2-$D20)</f>
        <v>22356.796274533452</v>
      </c>
      <c r="V20" s="383">
        <f>INDEX('Crossing Inputs'!$C$49:$H$71,16,MATCH($B20,'Crossing Inputs'!$C$49:$H$49,0))*POWER(1+INDEX('Crossing Inputs'!$C$49:$H$71,18,MATCH($B20,'Crossing Inputs'!$C$49:$H$49,0)),V$2-$D20)</f>
        <v>23016.189568922335</v>
      </c>
      <c r="W20" s="383">
        <f>INDEX('Crossing Inputs'!$C$49:$H$71,16,MATCH($B20,'Crossing Inputs'!$C$49:$H$49,0))*POWER(1+INDEX('Crossing Inputs'!$C$49:$H$71,18,MATCH($B20,'Crossing Inputs'!$C$49:$H$49,0)),W$2-$D20)</f>
        <v>23695.031066503911</v>
      </c>
      <c r="X20" s="383">
        <f>INDEX('Crossing Inputs'!$C$49:$H$71,16,MATCH($B20,'Crossing Inputs'!$C$49:$H$49,0))*POWER(1+INDEX('Crossing Inputs'!$C$49:$H$71,18,MATCH($B20,'Crossing Inputs'!$C$49:$H$49,0)),X$2-$D20)</f>
        <v>24393.894374275184</v>
      </c>
      <c r="Y20" s="383">
        <f>INDEX('Crossing Inputs'!$C$49:$H$71,16,MATCH($B20,'Crossing Inputs'!$C$49:$H$49,0))*POWER(1+INDEX('Crossing Inputs'!$C$49:$H$71,18,MATCH($B20,'Crossing Inputs'!$C$49:$H$49,0)),Y$2-$D20)</f>
        <v>25113.370017247795</v>
      </c>
      <c r="Z20" s="383">
        <f>INDEX('Crossing Inputs'!$C$49:$H$71,16,MATCH($B20,'Crossing Inputs'!$C$49:$H$49,0))*POWER(1+INDEX('Crossing Inputs'!$C$49:$H$71,18,MATCH($B20,'Crossing Inputs'!$C$49:$H$49,0)),Z$2-$D20)</f>
        <v>25854.065937429481</v>
      </c>
      <c r="AA20" s="383">
        <f>INDEX('Crossing Inputs'!$C$49:$H$71,16,MATCH($B20,'Crossing Inputs'!$C$49:$H$49,0))*POWER(1+INDEX('Crossing Inputs'!$C$49:$H$71,18,MATCH($B20,'Crossing Inputs'!$C$49:$H$49,0)),AA$2-$D20)</f>
        <v>26616.608007522424</v>
      </c>
      <c r="AB20" s="383">
        <f>INDEX('Crossing Inputs'!$C$49:$H$71,16,MATCH($B20,'Crossing Inputs'!$C$49:$H$49,0))*POWER(1+INDEX('Crossing Inputs'!$C$49:$H$71,18,MATCH($B20,'Crossing Inputs'!$C$49:$H$49,0)),AB$2-$D20)</f>
        <v>27401.64055977275</v>
      </c>
      <c r="AC20" s="383">
        <f>INDEX('Crossing Inputs'!$C$49:$H$71,16,MATCH($B20,'Crossing Inputs'!$C$49:$H$49,0))*POWER(1+INDEX('Crossing Inputs'!$C$49:$H$71,18,MATCH($B20,'Crossing Inputs'!$C$49:$H$49,0)),AC$2-$D20)</f>
        <v>28209.826930417916</v>
      </c>
      <c r="AD20" s="383">
        <f>INDEX('Crossing Inputs'!$C$49:$H$71,16,MATCH($B20,'Crossing Inputs'!$C$49:$H$49,0))*POWER(1+INDEX('Crossing Inputs'!$C$49:$H$71,18,MATCH($B20,'Crossing Inputs'!$C$49:$H$49,0)),AD$2-$D20)</f>
        <v>29041.850020192058</v>
      </c>
      <c r="AE20" s="383">
        <f>INDEX('Crossing Inputs'!$C$49:$H$71,16,MATCH($B20,'Crossing Inputs'!$C$49:$H$49,0))*POWER(1+INDEX('Crossing Inputs'!$C$49:$H$71,18,MATCH($B20,'Crossing Inputs'!$C$49:$H$49,0)),AE$2-$D20)</f>
        <v>29898.412871362994</v>
      </c>
      <c r="AF20" s="383">
        <f>INDEX('Crossing Inputs'!$C$49:$H$71,16,MATCH($B20,'Crossing Inputs'!$C$49:$H$49,0))*POWER(1+INDEX('Crossing Inputs'!$C$49:$H$71,18,MATCH($B20,'Crossing Inputs'!$C$49:$H$49,0)),AF$2-$D20)</f>
        <v>30780.239261788352</v>
      </c>
      <c r="AG20" s="383">
        <f>INDEX('Crossing Inputs'!$C$49:$H$71,16,MATCH($B20,'Crossing Inputs'!$C$49:$H$49,0))*POWER(1+INDEX('Crossing Inputs'!$C$49:$H$71,18,MATCH($B20,'Crossing Inputs'!$C$49:$H$49,0)),AG$2-$D20)</f>
        <v>31688.074316492861</v>
      </c>
      <c r="AH20" s="383">
        <f>INDEX('Crossing Inputs'!$C$49:$H$71,16,MATCH($B20,'Crossing Inputs'!$C$49:$H$49,0))*POWER(1+INDEX('Crossing Inputs'!$C$49:$H$71,18,MATCH($B20,'Crossing Inputs'!$C$49:$H$49,0)),AH$2-$D20)</f>
        <v>32622.685137283544</v>
      </c>
      <c r="AI20" s="383">
        <f>INDEX('Crossing Inputs'!$C$49:$H$71,16,MATCH($B20,'Crossing Inputs'!$C$49:$H$49,0))*POWER(1+INDEX('Crossing Inputs'!$C$49:$H$71,18,MATCH($B20,'Crossing Inputs'!$C$49:$H$49,0)),AI$2-$D20)</f>
        <v>33584.861450934884</v>
      </c>
      <c r="AJ20" s="383">
        <f>INDEX('Crossing Inputs'!$C$49:$H$71,16,MATCH($B20,'Crossing Inputs'!$C$49:$H$49,0))*POWER(1+INDEX('Crossing Inputs'!$C$49:$H$71,18,MATCH($B20,'Crossing Inputs'!$C$49:$H$49,0)),AJ$2-$D20)</f>
        <v>34575.416276491531</v>
      </c>
      <c r="AK20" s="383">
        <f>INDEX('Crossing Inputs'!$C$49:$H$71,16,MATCH($B20,'Crossing Inputs'!$C$49:$H$49,0))*POWER(1+INDEX('Crossing Inputs'!$C$49:$H$71,18,MATCH($B20,'Crossing Inputs'!$C$49:$H$49,0)),AK$2-$D20)</f>
        <v>35595.186612252597</v>
      </c>
      <c r="AL20" s="383">
        <f>INDEX('Crossing Inputs'!$C$49:$H$71,16,MATCH($B20,'Crossing Inputs'!$C$49:$H$49,0))*POWER(1+INDEX('Crossing Inputs'!$C$49:$H$71,18,MATCH($B20,'Crossing Inputs'!$C$49:$H$49,0)),AL$2-$D20)</f>
        <v>36645.034143017823</v>
      </c>
      <c r="AM20" s="383">
        <f>INDEX('Crossing Inputs'!$C$49:$H$71,16,MATCH($B20,'Crossing Inputs'!$C$49:$H$49,0))*POWER(1+INDEX('Crossing Inputs'!$C$49:$H$71,18,MATCH($B20,'Crossing Inputs'!$C$49:$H$49,0)),AM$2-$D20)</f>
        <v>37725.845968193411</v>
      </c>
      <c r="AN20" s="383">
        <f>INDEX('Crossing Inputs'!$C$49:$H$71,16,MATCH($B20,'Crossing Inputs'!$C$49:$H$49,0))*POWER(1+INDEX('Crossing Inputs'!$C$49:$H$71,18,MATCH($B20,'Crossing Inputs'!$C$49:$H$49,0)),AN$2-$D20)</f>
        <v>38838.535351372644</v>
      </c>
    </row>
    <row r="21" spans="1:40" s="150" customFormat="1" ht="14">
      <c r="B21" s="358" t="str">
        <f>'Crossing Inputs'!G49</f>
        <v>2000 South</v>
      </c>
      <c r="C21" s="367" t="s">
        <v>505</v>
      </c>
      <c r="D21" s="367">
        <f>INDEX('Crossing Inputs'!$C$49:$H$71,17,MATCH($B21,'Crossing Inputs'!$C$49:$H$49,0))</f>
        <v>2010</v>
      </c>
      <c r="E21" s="383">
        <f>INDEX('Crossing Inputs'!$C$49:$H$71,16,MATCH($B21,'Crossing Inputs'!$C$49:$H$49,0))*POWER(1+INDEX('Crossing Inputs'!$C$49:$H$71,18,MATCH($B21,'Crossing Inputs'!$C$49:$H$49,0)),E$2-$D21)</f>
        <v>1136.7304433331151</v>
      </c>
      <c r="F21" s="383">
        <f>INDEX('Crossing Inputs'!$C$49:$H$71,16,MATCH($B21,'Crossing Inputs'!$C$49:$H$49,0))*POWER(1+INDEX('Crossing Inputs'!$C$49:$H$71,18,MATCH($B21,'Crossing Inputs'!$C$49:$H$49,0)),F$2-$D21)</f>
        <v>1170.2572699256787</v>
      </c>
      <c r="G21" s="383">
        <f>INDEX('Crossing Inputs'!$C$49:$H$71,16,MATCH($B21,'Crossing Inputs'!$C$49:$H$49,0))*POWER(1+INDEX('Crossing Inputs'!$C$49:$H$71,18,MATCH($B21,'Crossing Inputs'!$C$49:$H$49,0)),G$2-$D21)</f>
        <v>1204.7729396586369</v>
      </c>
      <c r="H21" s="383">
        <f>INDEX('Crossing Inputs'!$C$49:$H$71,16,MATCH($B21,'Crossing Inputs'!$C$49:$H$49,0))*POWER(1+INDEX('Crossing Inputs'!$C$49:$H$71,18,MATCH($B21,'Crossing Inputs'!$C$49:$H$49,0)),H$2-$D21)</f>
        <v>1240.3066175576032</v>
      </c>
      <c r="I21" s="383">
        <f>INDEX('Crossing Inputs'!$C$49:$H$71,16,MATCH($B21,'Crossing Inputs'!$C$49:$H$49,0))*POWER(1+INDEX('Crossing Inputs'!$C$49:$H$71,18,MATCH($B21,'Crossing Inputs'!$C$49:$H$49,0)),I$2-$D21)</f>
        <v>1276.8883288439938</v>
      </c>
      <c r="J21" s="383">
        <f>INDEX('Crossing Inputs'!$C$49:$H$71,16,MATCH($B21,'Crossing Inputs'!$C$49:$H$49,0))*POWER(1+INDEX('Crossing Inputs'!$C$49:$H$71,18,MATCH($B21,'Crossing Inputs'!$C$49:$H$49,0)),J$2-$D21)</f>
        <v>1314.5489843057178</v>
      </c>
      <c r="K21" s="383">
        <f>INDEX('Crossing Inputs'!$C$49:$H$71,16,MATCH($B21,'Crossing Inputs'!$C$49:$H$49,0))*POWER(1+INDEX('Crossing Inputs'!$C$49:$H$71,18,MATCH($B21,'Crossing Inputs'!$C$49:$H$49,0)),K$2-$D21)</f>
        <v>1353.3204064161509</v>
      </c>
      <c r="L21" s="383">
        <f>INDEX('Crossing Inputs'!$C$49:$H$71,16,MATCH($B21,'Crossing Inputs'!$C$49:$H$49,0))*POWER(1+INDEX('Crossing Inputs'!$C$49:$H$71,18,MATCH($B21,'Crossing Inputs'!$C$49:$H$49,0)),L$2-$D21)</f>
        <v>1393.2353562234694</v>
      </c>
      <c r="M21" s="383">
        <f>INDEX('Crossing Inputs'!$C$49:$H$71,16,MATCH($B21,'Crossing Inputs'!$C$49:$H$49,0))*POWER(1+INDEX('Crossing Inputs'!$C$49:$H$71,18,MATCH($B21,'Crossing Inputs'!$C$49:$H$49,0)),M$2-$D21)</f>
        <v>1434.3275610330525</v>
      </c>
      <c r="N21" s="383">
        <f>INDEX('Crossing Inputs'!$C$49:$H$71,16,MATCH($B21,'Crossing Inputs'!$C$49:$H$49,0))*POWER(1+INDEX('Crossing Inputs'!$C$49:$H$71,18,MATCH($B21,'Crossing Inputs'!$C$49:$H$49,0)),N$2-$D21)</f>
        <v>1476.6317429063604</v>
      </c>
      <c r="O21" s="383">
        <f>INDEX('Crossing Inputs'!$C$49:$H$71,16,MATCH($B21,'Crossing Inputs'!$C$49:$H$49,0))*POWER(1+INDEX('Crossing Inputs'!$C$49:$H$71,18,MATCH($B21,'Crossing Inputs'!$C$49:$H$49,0)),O$2-$D21)</f>
        <v>1520.1836480003531</v>
      </c>
      <c r="P21" s="383">
        <f>INDEX('Crossing Inputs'!$C$49:$H$71,16,MATCH($B21,'Crossing Inputs'!$C$49:$H$49,0))*POWER(1+INDEX('Crossing Inputs'!$C$49:$H$71,18,MATCH($B21,'Crossing Inputs'!$C$49:$H$49,0)),P$2-$D21)</f>
        <v>1565.0200767722558</v>
      </c>
      <c r="Q21" s="383">
        <f>INDEX('Crossing Inputs'!$C$49:$H$71,16,MATCH($B21,'Crossing Inputs'!$C$49:$H$49,0))*POWER(1+INDEX('Crossing Inputs'!$C$49:$H$71,18,MATCH($B21,'Crossing Inputs'!$C$49:$H$49,0)),Q$2-$D21)</f>
        <v>1611.1789150751795</v>
      </c>
      <c r="R21" s="383">
        <f>INDEX('Crossing Inputs'!$C$49:$H$71,16,MATCH($B21,'Crossing Inputs'!$C$49:$H$49,0))*POWER(1+INDEX('Crossing Inputs'!$C$49:$H$71,18,MATCH($B21,'Crossing Inputs'!$C$49:$H$49,0)),R$2-$D21)</f>
        <v>1658.6991661708832</v>
      </c>
      <c r="S21" s="383">
        <f>INDEX('Crossing Inputs'!$C$49:$H$71,16,MATCH($B21,'Crossing Inputs'!$C$49:$H$49,0))*POWER(1+INDEX('Crossing Inputs'!$C$49:$H$71,18,MATCH($B21,'Crossing Inputs'!$C$49:$H$49,0)),S$2-$D21)</f>
        <v>1707.620983686722</v>
      </c>
      <c r="T21" s="383">
        <f>INDEX('Crossing Inputs'!$C$49:$H$71,16,MATCH($B21,'Crossing Inputs'!$C$49:$H$49,0))*POWER(1+INDEX('Crossing Inputs'!$C$49:$H$71,18,MATCH($B21,'Crossing Inputs'!$C$49:$H$49,0)),T$2-$D21)</f>
        <v>1757.9857055446284</v>
      </c>
      <c r="U21" s="383">
        <f>INDEX('Crossing Inputs'!$C$49:$H$71,16,MATCH($B21,'Crossing Inputs'!$C$49:$H$49,0))*POWER(1+INDEX('Crossing Inputs'!$C$49:$H$71,18,MATCH($B21,'Crossing Inputs'!$C$49:$H$49,0)),U$2-$D21)</f>
        <v>1809.8358888908033</v>
      </c>
      <c r="V21" s="383">
        <f>INDEX('Crossing Inputs'!$C$49:$H$71,16,MATCH($B21,'Crossing Inputs'!$C$49:$H$49,0))*POWER(1+INDEX('Crossing Inputs'!$C$49:$H$71,18,MATCH($B21,'Crossing Inputs'!$C$49:$H$49,0)),V$2-$D21)</f>
        <v>1863.2153460556174</v>
      </c>
      <c r="W21" s="383">
        <f>INDEX('Crossing Inputs'!$C$49:$H$71,16,MATCH($B21,'Crossing Inputs'!$C$49:$H$49,0))*POWER(1+INDEX('Crossing Inputs'!$C$49:$H$71,18,MATCH($B21,'Crossing Inputs'!$C$49:$H$49,0)),W$2-$D21)</f>
        <v>1918.1691815741262</v>
      </c>
      <c r="X21" s="383">
        <f>INDEX('Crossing Inputs'!$C$49:$H$71,16,MATCH($B21,'Crossing Inputs'!$C$49:$H$49,0))*POWER(1+INDEX('Crossing Inputs'!$C$49:$H$71,18,MATCH($B21,'Crossing Inputs'!$C$49:$H$49,0)),X$2-$D21)</f>
        <v>1974.7438302984672</v>
      </c>
      <c r="Y21" s="383">
        <f>INDEX('Crossing Inputs'!$C$49:$H$71,16,MATCH($B21,'Crossing Inputs'!$C$49:$H$49,0))*POWER(1+INDEX('Crossing Inputs'!$C$49:$H$71,18,MATCH($B21,'Crossing Inputs'!$C$49:$H$49,0)),Y$2-$D21)</f>
        <v>2032.9870966343453</v>
      </c>
      <c r="Z21" s="383">
        <f>INDEX('Crossing Inputs'!$C$49:$H$71,16,MATCH($B21,'Crossing Inputs'!$C$49:$H$49,0))*POWER(1+INDEX('Crossing Inputs'!$C$49:$H$71,18,MATCH($B21,'Crossing Inputs'!$C$49:$H$49,0)),Z$2-$D21)</f>
        <v>2092.9481949347673</v>
      </c>
      <c r="AA21" s="383">
        <f>INDEX('Crossing Inputs'!$C$49:$H$71,16,MATCH($B21,'Crossing Inputs'!$C$49:$H$49,0))*POWER(1+INDEX('Crossing Inputs'!$C$49:$H$71,18,MATCH($B21,'Crossing Inputs'!$C$49:$H$49,0)),AA$2-$D21)</f>
        <v>2154.6777910851483</v>
      </c>
      <c r="AB21" s="383">
        <f>INDEX('Crossing Inputs'!$C$49:$H$71,16,MATCH($B21,'Crossing Inputs'!$C$49:$H$49,0))*POWER(1+INDEX('Crossing Inputs'!$C$49:$H$71,18,MATCH($B21,'Crossing Inputs'!$C$49:$H$49,0)),AB$2-$D21)</f>
        <v>2218.2280453149369</v>
      </c>
      <c r="AC21" s="383">
        <f>INDEX('Crossing Inputs'!$C$49:$H$71,16,MATCH($B21,'Crossing Inputs'!$C$49:$H$49,0))*POWER(1+INDEX('Crossing Inputs'!$C$49:$H$71,18,MATCH($B21,'Crossing Inputs'!$C$49:$H$49,0)),AC$2-$D21)</f>
        <v>2283.6526562719264</v>
      </c>
      <c r="AD21" s="383">
        <f>INDEX('Crossing Inputs'!$C$49:$H$71,16,MATCH($B21,'Crossing Inputs'!$C$49:$H$49,0))*POWER(1+INDEX('Crossing Inputs'!$C$49:$H$71,18,MATCH($B21,'Crossing Inputs'!$C$49:$H$49,0)),AD$2-$D21)</f>
        <v>2351.0069063965002</v>
      </c>
      <c r="AE21" s="383">
        <f>INDEX('Crossing Inputs'!$C$49:$H$71,16,MATCH($B21,'Crossing Inputs'!$C$49:$H$49,0))*POWER(1+INDEX('Crossing Inputs'!$C$49:$H$71,18,MATCH($B21,'Crossing Inputs'!$C$49:$H$49,0)),AE$2-$D21)</f>
        <v>2420.3477086341472</v>
      </c>
      <c r="AF21" s="383">
        <f>INDEX('Crossing Inputs'!$C$49:$H$71,16,MATCH($B21,'Crossing Inputs'!$C$49:$H$49,0))*POWER(1+INDEX('Crossing Inputs'!$C$49:$H$71,18,MATCH($B21,'Crossing Inputs'!$C$49:$H$49,0)),AF$2-$D21)</f>
        <v>2491.7336545257235</v>
      </c>
      <c r="AG21" s="383">
        <f>INDEX('Crossing Inputs'!$C$49:$H$71,16,MATCH($B21,'Crossing Inputs'!$C$49:$H$49,0))*POWER(1+INDEX('Crossing Inputs'!$C$49:$H$71,18,MATCH($B21,'Crossing Inputs'!$C$49:$H$49,0)),AG$2-$D21)</f>
        <v>2565.2250637160887</v>
      </c>
      <c r="AH21" s="383">
        <f>INDEX('Crossing Inputs'!$C$49:$H$71,16,MATCH($B21,'Crossing Inputs'!$C$49:$H$49,0))*POWER(1+INDEX('Crossing Inputs'!$C$49:$H$71,18,MATCH($B21,'Crossing Inputs'!$C$49:$H$49,0)),AH$2-$D21)</f>
        <v>2640.8840349229536</v>
      </c>
      <c r="AI21" s="383">
        <f>INDEX('Crossing Inputs'!$C$49:$H$71,16,MATCH($B21,'Crossing Inputs'!$C$49:$H$49,0))*POWER(1+INDEX('Crossing Inputs'!$C$49:$H$71,18,MATCH($B21,'Crossing Inputs'!$C$49:$H$49,0)),AI$2-$D21)</f>
        <v>2718.7744984090141</v>
      </c>
      <c r="AJ21" s="383">
        <f>INDEX('Crossing Inputs'!$C$49:$H$71,16,MATCH($B21,'Crossing Inputs'!$C$49:$H$49,0))*POWER(1+INDEX('Crossing Inputs'!$C$49:$H$71,18,MATCH($B21,'Crossing Inputs'!$C$49:$H$49,0)),AJ$2-$D21)</f>
        <v>2798.9622700016953</v>
      </c>
      <c r="AK21" s="383">
        <f>INDEX('Crossing Inputs'!$C$49:$H$71,16,MATCH($B21,'Crossing Inputs'!$C$49:$H$49,0))*POWER(1+INDEX('Crossing Inputs'!$C$49:$H$71,18,MATCH($B21,'Crossing Inputs'!$C$49:$H$49,0)),AK$2-$D21)</f>
        <v>2881.5151067061624</v>
      </c>
      <c r="AL21" s="383">
        <f>INDEX('Crossing Inputs'!$C$49:$H$71,16,MATCH($B21,'Crossing Inputs'!$C$49:$H$49,0))*POWER(1+INDEX('Crossing Inputs'!$C$49:$H$71,18,MATCH($B21,'Crossing Inputs'!$C$49:$H$49,0)),AL$2-$D21)</f>
        <v>2966.5027639585855</v>
      </c>
      <c r="AM21" s="383">
        <f>INDEX('Crossing Inputs'!$C$49:$H$71,16,MATCH($B21,'Crossing Inputs'!$C$49:$H$49,0))*POWER(1+INDEX('Crossing Inputs'!$C$49:$H$71,18,MATCH($B21,'Crossing Inputs'!$C$49:$H$49,0)),AM$2-$D21)</f>
        <v>3053.997054568038</v>
      </c>
      <c r="AN21" s="383">
        <f>INDEX('Crossing Inputs'!$C$49:$H$71,16,MATCH($B21,'Crossing Inputs'!$C$49:$H$49,0))*POWER(1+INDEX('Crossing Inputs'!$C$49:$H$71,18,MATCH($B21,'Crossing Inputs'!$C$49:$H$49,0)),AN$2-$D21)</f>
        <v>3144.0719093968332</v>
      </c>
    </row>
    <row r="22" spans="1:40" s="150" customFormat="1" ht="14">
      <c r="B22" s="358" t="str">
        <f>'Crossing Inputs'!H49</f>
        <v xml:space="preserve">400 North </v>
      </c>
      <c r="C22" s="367" t="s">
        <v>505</v>
      </c>
      <c r="D22" s="367">
        <f>INDEX('Crossing Inputs'!$C$49:$H$71,17,MATCH($B22,'Crossing Inputs'!$C$49:$H$49,0))</f>
        <v>2010</v>
      </c>
      <c r="E22" s="383">
        <f>INDEX('Crossing Inputs'!$C$49:$H$71,16,MATCH($B22,'Crossing Inputs'!$C$49:$H$49,0))*POWER(1+INDEX('Crossing Inputs'!$C$49:$H$71,18,MATCH($B22,'Crossing Inputs'!$C$49:$H$49,0)),E$2-$D22)</f>
        <v>2139.7278933329226</v>
      </c>
      <c r="F22" s="383">
        <f>INDEX('Crossing Inputs'!$C$49:$H$71,16,MATCH($B22,'Crossing Inputs'!$C$49:$H$49,0))*POWER(1+INDEX('Crossing Inputs'!$C$49:$H$71,18,MATCH($B22,'Crossing Inputs'!$C$49:$H$49,0)),F$2-$D22)</f>
        <v>2202.837213977748</v>
      </c>
      <c r="G22" s="383">
        <f>INDEX('Crossing Inputs'!$C$49:$H$71,16,MATCH($B22,'Crossing Inputs'!$C$49:$H$49,0))*POWER(1+INDEX('Crossing Inputs'!$C$49:$H$71,18,MATCH($B22,'Crossing Inputs'!$C$49:$H$49,0)),G$2-$D22)</f>
        <v>2267.8078864162576</v>
      </c>
      <c r="H22" s="383">
        <f>INDEX('Crossing Inputs'!$C$49:$H$71,16,MATCH($B22,'Crossing Inputs'!$C$49:$H$49,0))*POWER(1+INDEX('Crossing Inputs'!$C$49:$H$71,18,MATCH($B22,'Crossing Inputs'!$C$49:$H$49,0)),H$2-$D22)</f>
        <v>2334.6948095201942</v>
      </c>
      <c r="I22" s="383">
        <f>INDEX('Crossing Inputs'!$C$49:$H$71,16,MATCH($B22,'Crossing Inputs'!$C$49:$H$49,0))*POWER(1+INDEX('Crossing Inputs'!$C$49:$H$71,18,MATCH($B22,'Crossing Inputs'!$C$49:$H$49,0)),I$2-$D22)</f>
        <v>2403.5545013534002</v>
      </c>
      <c r="J22" s="383">
        <f>INDEX('Crossing Inputs'!$C$49:$H$71,16,MATCH($B22,'Crossing Inputs'!$C$49:$H$49,0))*POWER(1+INDEX('Crossing Inputs'!$C$49:$H$71,18,MATCH($B22,'Crossing Inputs'!$C$49:$H$49,0)),J$2-$D22)</f>
        <v>2474.4451469284099</v>
      </c>
      <c r="K22" s="383">
        <f>INDEX('Crossing Inputs'!$C$49:$H$71,16,MATCH($B22,'Crossing Inputs'!$C$49:$H$49,0))*POWER(1+INDEX('Crossing Inputs'!$C$49:$H$71,18,MATCH($B22,'Crossing Inputs'!$C$49:$H$49,0)),K$2-$D22)</f>
        <v>2547.4266473715784</v>
      </c>
      <c r="L22" s="383">
        <f>INDEX('Crossing Inputs'!$C$49:$H$71,16,MATCH($B22,'Crossing Inputs'!$C$49:$H$49,0))*POWER(1+INDEX('Crossing Inputs'!$C$49:$H$71,18,MATCH($B22,'Crossing Inputs'!$C$49:$H$49,0)),L$2-$D22)</f>
        <v>2622.5606705382952</v>
      </c>
      <c r="M22" s="383">
        <f>INDEX('Crossing Inputs'!$C$49:$H$71,16,MATCH($B22,'Crossing Inputs'!$C$49:$H$49,0))*POWER(1+INDEX('Crossing Inputs'!$C$49:$H$71,18,MATCH($B22,'Crossing Inputs'!$C$49:$H$49,0)),M$2-$D22)</f>
        <v>2699.9107031210401</v>
      </c>
      <c r="N22" s="383">
        <f>INDEX('Crossing Inputs'!$C$49:$H$71,16,MATCH($B22,'Crossing Inputs'!$C$49:$H$49,0))*POWER(1+INDEX('Crossing Inputs'!$C$49:$H$71,18,MATCH($B22,'Crossing Inputs'!$C$49:$H$49,0)),N$2-$D22)</f>
        <v>2779.5421042943253</v>
      </c>
      <c r="O22" s="383">
        <f>INDEX('Crossing Inputs'!$C$49:$H$71,16,MATCH($B22,'Crossing Inputs'!$C$49:$H$49,0))*POWER(1+INDEX('Crossing Inputs'!$C$49:$H$71,18,MATCH($B22,'Crossing Inputs'!$C$49:$H$49,0)),O$2-$D22)</f>
        <v>2861.5221609418413</v>
      </c>
      <c r="P22" s="383">
        <f>INDEX('Crossing Inputs'!$C$49:$H$71,16,MATCH($B22,'Crossing Inputs'!$C$49:$H$49,0))*POWER(1+INDEX('Crossing Inputs'!$C$49:$H$71,18,MATCH($B22,'Crossing Inputs'!$C$49:$H$49,0)),P$2-$D22)</f>
        <v>2945.9201445124813</v>
      </c>
      <c r="Q22" s="383">
        <f>INDEX('Crossing Inputs'!$C$49:$H$71,16,MATCH($B22,'Crossing Inputs'!$C$49:$H$49,0))*POWER(1+INDEX('Crossing Inputs'!$C$49:$H$71,18,MATCH($B22,'Crossing Inputs'!$C$49:$H$49,0)),Q$2-$D22)</f>
        <v>3032.8073695532789</v>
      </c>
      <c r="R22" s="383">
        <f>INDEX('Crossing Inputs'!$C$49:$H$71,16,MATCH($B22,'Crossing Inputs'!$C$49:$H$49,0))*POWER(1+INDEX('Crossing Inputs'!$C$49:$H$71,18,MATCH($B22,'Crossing Inputs'!$C$49:$H$49,0)),R$2-$D22)</f>
        <v>3122.2572539687212</v>
      </c>
      <c r="S22" s="383">
        <f>INDEX('Crossing Inputs'!$C$49:$H$71,16,MATCH($B22,'Crossing Inputs'!$C$49:$H$49,0))*POWER(1+INDEX('Crossing Inputs'!$C$49:$H$71,18,MATCH($B22,'Crossing Inputs'!$C$49:$H$49,0)),S$2-$D22)</f>
        <v>3214.3453810573592</v>
      </c>
      <c r="T22" s="383">
        <f>INDEX('Crossing Inputs'!$C$49:$H$71,16,MATCH($B22,'Crossing Inputs'!$C$49:$H$49,0))*POWER(1+INDEX('Crossing Inputs'!$C$49:$H$71,18,MATCH($B22,'Crossing Inputs'!$C$49:$H$49,0)),T$2-$D22)</f>
        <v>3309.1495633781242</v>
      </c>
      <c r="U22" s="383">
        <f>INDEX('Crossing Inputs'!$C$49:$H$71,16,MATCH($B22,'Crossing Inputs'!$C$49:$H$49,0))*POWER(1+INDEX('Crossing Inputs'!$C$49:$H$71,18,MATCH($B22,'Crossing Inputs'!$C$49:$H$49,0)),U$2-$D22)</f>
        <v>3406.7499085003356</v>
      </c>
      <c r="V22" s="383">
        <f>INDEX('Crossing Inputs'!$C$49:$H$71,16,MATCH($B22,'Crossing Inputs'!$C$49:$H$49,0))*POWER(1+INDEX('Crossing Inputs'!$C$49:$H$71,18,MATCH($B22,'Crossing Inputs'!$C$49:$H$49,0)),V$2-$D22)</f>
        <v>3507.2288866929271</v>
      </c>
      <c r="W22" s="383">
        <f>INDEX('Crossing Inputs'!$C$49:$H$71,16,MATCH($B22,'Crossing Inputs'!$C$49:$H$49,0))*POWER(1+INDEX('Crossing Inputs'!$C$49:$H$71,18,MATCH($B22,'Crossing Inputs'!$C$49:$H$49,0)),W$2-$D22)</f>
        <v>3610.6714006101201</v>
      </c>
      <c r="X22" s="383">
        <f>INDEX('Crossing Inputs'!$C$49:$H$71,16,MATCH($B22,'Crossing Inputs'!$C$49:$H$49,0))*POWER(1+INDEX('Crossing Inputs'!$C$49:$H$71,18,MATCH($B22,'Crossing Inputs'!$C$49:$H$49,0)),X$2-$D22)</f>
        <v>3717.1648570324087</v>
      </c>
      <c r="Y22" s="383">
        <f>INDEX('Crossing Inputs'!$C$49:$H$71,16,MATCH($B22,'Crossing Inputs'!$C$49:$H$49,0))*POWER(1+INDEX('Crossing Inputs'!$C$49:$H$71,18,MATCH($B22,'Crossing Inputs'!$C$49:$H$49,0)),Y$2-$D22)</f>
        <v>3826.7992407234738</v>
      </c>
      <c r="Z22" s="383">
        <f>INDEX('Crossing Inputs'!$C$49:$H$71,16,MATCH($B22,'Crossing Inputs'!$C$49:$H$49,0))*POWER(1+INDEX('Crossing Inputs'!$C$49:$H$71,18,MATCH($B22,'Crossing Inputs'!$C$49:$H$49,0)),Z$2-$D22)</f>
        <v>3939.6671904654445</v>
      </c>
      <c r="AA22" s="383">
        <f>INDEX('Crossing Inputs'!$C$49:$H$71,16,MATCH($B22,'Crossing Inputs'!$C$49:$H$49,0))*POWER(1+INDEX('Crossing Inputs'!$C$49:$H$71,18,MATCH($B22,'Crossing Inputs'!$C$49:$H$49,0)),AA$2-$D22)</f>
        <v>4055.8640773367501</v>
      </c>
      <c r="AB22" s="383">
        <f>INDEX('Crossing Inputs'!$C$49:$H$71,16,MATCH($B22,'Crossing Inputs'!$C$49:$H$49,0))*POWER(1+INDEX('Crossing Inputs'!$C$49:$H$71,18,MATCH($B22,'Crossing Inputs'!$C$49:$H$49,0)),AB$2-$D22)</f>
        <v>4175.4880852987053</v>
      </c>
      <c r="AC22" s="383">
        <f>INDEX('Crossing Inputs'!$C$49:$H$71,16,MATCH($B22,'Crossing Inputs'!$C$49:$H$49,0))*POWER(1+INDEX('Crossing Inputs'!$C$49:$H$71,18,MATCH($B22,'Crossing Inputs'!$C$49:$H$49,0)),AC$2-$D22)</f>
        <v>4298.6402941589204</v>
      </c>
      <c r="AD22" s="383">
        <f>INDEX('Crossing Inputs'!$C$49:$H$71,16,MATCH($B22,'Crossing Inputs'!$C$49:$H$49,0))*POWER(1+INDEX('Crossing Inputs'!$C$49:$H$71,18,MATCH($B22,'Crossing Inputs'!$C$49:$H$49,0)),AD$2-$D22)</f>
        <v>4425.4247649816471</v>
      </c>
      <c r="AE22" s="383">
        <f>INDEX('Crossing Inputs'!$C$49:$H$71,16,MATCH($B22,'Crossing Inputs'!$C$49:$H$49,0))*POWER(1+INDEX('Crossing Inputs'!$C$49:$H$71,18,MATCH($B22,'Crossing Inputs'!$C$49:$H$49,0)),AE$2-$D22)</f>
        <v>4555.9486280172177</v>
      </c>
      <c r="AF22" s="383">
        <f>INDEX('Crossing Inputs'!$C$49:$H$71,16,MATCH($B22,'Crossing Inputs'!$C$49:$H$49,0))*POWER(1+INDEX('Crossing Inputs'!$C$49:$H$71,18,MATCH($B22,'Crossing Inputs'!$C$49:$H$49,0)),AF$2-$D22)</f>
        <v>4690.3221732248912</v>
      </c>
      <c r="AG22" s="383">
        <f>INDEX('Crossing Inputs'!$C$49:$H$71,16,MATCH($B22,'Crossing Inputs'!$C$49:$H$49,0))*POWER(1+INDEX('Crossing Inputs'!$C$49:$H$71,18,MATCH($B22,'Crossing Inputs'!$C$49:$H$49,0)),AG$2-$D22)</f>
        <v>4828.6589434655789</v>
      </c>
      <c r="AH22" s="383">
        <f>INDEX('Crossing Inputs'!$C$49:$H$71,16,MATCH($B22,'Crossing Inputs'!$C$49:$H$49,0))*POWER(1+INDEX('Crossing Inputs'!$C$49:$H$71,18,MATCH($B22,'Crossing Inputs'!$C$49:$H$49,0)),AH$2-$D22)</f>
        <v>4971.0758304432065</v>
      </c>
      <c r="AI22" s="383">
        <f>INDEX('Crossing Inputs'!$C$49:$H$71,16,MATCH($B22,'Crossing Inputs'!$C$49:$H$49,0))*POWER(1+INDEX('Crossing Inputs'!$C$49:$H$71,18,MATCH($B22,'Crossing Inputs'!$C$49:$H$49,0)),AI$2-$D22)</f>
        <v>5117.6931734757918</v>
      </c>
      <c r="AJ22" s="383">
        <f>INDEX('Crossing Inputs'!$C$49:$H$71,16,MATCH($B22,'Crossing Inputs'!$C$49:$H$49,0))*POWER(1+INDEX('Crossing Inputs'!$C$49:$H$71,18,MATCH($B22,'Crossing Inputs'!$C$49:$H$49,0)),AJ$2-$D22)</f>
        <v>5268.634861179662</v>
      </c>
      <c r="AK22" s="383">
        <f>INDEX('Crossing Inputs'!$C$49:$H$71,16,MATCH($B22,'Crossing Inputs'!$C$49:$H$49,0))*POWER(1+INDEX('Crossing Inputs'!$C$49:$H$71,18,MATCH($B22,'Crossing Inputs'!$C$49:$H$49,0)),AK$2-$D22)</f>
        <v>5424.0284361527765</v>
      </c>
      <c r="AL22" s="383">
        <f>INDEX('Crossing Inputs'!$C$49:$H$71,16,MATCH($B22,'Crossing Inputs'!$C$49:$H$49,0))*POWER(1+INDEX('Crossing Inputs'!$C$49:$H$71,18,MATCH($B22,'Crossing Inputs'!$C$49:$H$49,0)),AL$2-$D22)</f>
        <v>5584.0052027455731</v>
      </c>
      <c r="AM22" s="383">
        <f>INDEX('Crossing Inputs'!$C$49:$H$71,16,MATCH($B22,'Crossing Inputs'!$C$49:$H$49,0))*POWER(1+INDEX('Crossing Inputs'!$C$49:$H$71,18,MATCH($B22,'Crossing Inputs'!$C$49:$H$49,0)),AM$2-$D22)</f>
        <v>5748.7003380104252</v>
      </c>
      <c r="AN22" s="383">
        <f>INDEX('Crossing Inputs'!$C$49:$H$71,16,MATCH($B22,'Crossing Inputs'!$C$49:$H$49,0))*POWER(1+INDEX('Crossing Inputs'!$C$49:$H$71,18,MATCH($B22,'Crossing Inputs'!$C$49:$H$49,0)),AN$2-$D22)</f>
        <v>5918.2530059234505</v>
      </c>
    </row>
    <row r="23" spans="1:40" s="150" customFormat="1" ht="14">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row>
    <row r="24" spans="1:40" s="150" customFormat="1" ht="14">
      <c r="A24" s="390" t="s">
        <v>712</v>
      </c>
      <c r="B24" s="505"/>
      <c r="C24" s="391"/>
      <c r="D24" s="391"/>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392"/>
    </row>
    <row r="25" spans="1:40" s="150" customFormat="1" ht="14">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row>
    <row r="26" spans="1:40" s="150" customFormat="1" ht="14">
      <c r="B26" s="382" t="s">
        <v>1069</v>
      </c>
      <c r="C26" s="542">
        <f>'Crossing Inputs'!$C$19</f>
        <v>1.0606441107301023E-2</v>
      </c>
      <c r="D26" s="1359"/>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row>
    <row r="27" spans="1:40" s="150" customFormat="1" ht="14">
      <c r="A27" s="358"/>
      <c r="B27" s="382"/>
      <c r="C27" s="382"/>
      <c r="D27" s="382"/>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row>
    <row r="28" spans="1:40" s="150" customFormat="1" ht="14">
      <c r="A28" s="358"/>
      <c r="B28" s="382" t="s">
        <v>1040</v>
      </c>
      <c r="C28" s="382"/>
      <c r="D28" s="382"/>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row>
    <row r="29" spans="1:40" s="150" customFormat="1" ht="14">
      <c r="B29" s="363" t="s">
        <v>1052</v>
      </c>
      <c r="C29" s="358" t="s">
        <v>1053</v>
      </c>
      <c r="D29" s="358"/>
      <c r="E29" s="383">
        <f>'Crossing Inputs'!$C$11*POWER(1+$C$26,E$2-2020)</f>
        <v>2</v>
      </c>
      <c r="F29" s="383">
        <f>'Crossing Inputs'!$C$11*POWER(1+$C$26,F$2-2020)</f>
        <v>2.021212882214602</v>
      </c>
      <c r="G29" s="383">
        <f>'Crossing Inputs'!$C$11*POWER(1+$C$26,G$2-2020)</f>
        <v>2.0426507576151294</v>
      </c>
      <c r="H29" s="383">
        <f>'Crossing Inputs'!$C$11*POWER(1+$C$26,H$2-2020)</f>
        <v>2.064316012578558</v>
      </c>
      <c r="I29" s="383">
        <f>'Crossing Inputs'!$C$11*POWER(1+$C$26,I$2-2020)</f>
        <v>2.0862110587928311</v>
      </c>
      <c r="J29" s="383">
        <f>'Crossing Inputs'!$C$11*POWER(1+$C$26,J$2-2020)</f>
        <v>2.1083383335253174</v>
      </c>
      <c r="K29" s="383">
        <f>'Crossing Inputs'!$C$11*POWER(1+$C$26,K$2-2020)</f>
        <v>2.1307002998941189</v>
      </c>
      <c r="L29" s="383">
        <f>'Crossing Inputs'!$C$11*POWER(1+$C$26,L$2-2020)</f>
        <v>2.1532994471422544</v>
      </c>
      <c r="M29" s="383">
        <f>'Crossing Inputs'!$C$11*POWER(1+$C$26,M$2-2020)</f>
        <v>2.1761382909147526</v>
      </c>
      <c r="N29" s="383">
        <f>'Crossing Inputs'!$C$11*POWER(1+$C$26,N$2-2020)</f>
        <v>2.1992193735386825</v>
      </c>
      <c r="O29" s="383">
        <f>'Crossing Inputs'!$C$11*POWER(1+$C$26,O$2-2020)</f>
        <v>2.2225452643061563</v>
      </c>
      <c r="P29" s="383">
        <f>'Crossing Inputs'!$C$11*POWER(1+$C$26,P$2-2020)</f>
        <v>2.2461185597603301</v>
      </c>
      <c r="Q29" s="383">
        <f>'Crossing Inputs'!$C$11*POWER(1+$C$26,Q$2-2020)</f>
        <v>2.2699418839844441</v>
      </c>
      <c r="R29" s="383">
        <f>'Crossing Inputs'!$C$11*POWER(1+$C$26,R$2-2020)</f>
        <v>2.2940178888939209</v>
      </c>
      <c r="S29" s="383">
        <f>'Crossing Inputs'!$C$11*POWER(1+$C$26,S$2-2020)</f>
        <v>2.3183492545315696</v>
      </c>
      <c r="T29" s="383">
        <f>'Crossing Inputs'!$C$11*POWER(1+$C$26,T$2-2020)</f>
        <v>2.3429386893659134</v>
      </c>
      <c r="U29" s="383">
        <f>'Crossing Inputs'!$C$11*POWER(1+$C$26,U$2-2020)</f>
        <v>2.3677889305926905</v>
      </c>
      <c r="V29" s="383">
        <f>'Crossing Inputs'!$C$11*POWER(1+$C$26,V$2-2020)</f>
        <v>2.392902744439541</v>
      </c>
      <c r="W29" s="383">
        <f>'Crossing Inputs'!$C$11*POWER(1+$C$26,W$2-2020)</f>
        <v>2.4182829264739381</v>
      </c>
      <c r="X29" s="383">
        <f>'Crossing Inputs'!$C$11*POWER(1+$C$26,X$2-2020)</f>
        <v>2.4439323019143755</v>
      </c>
      <c r="Y29" s="383">
        <f>'Crossing Inputs'!$C$11*POWER(1+$C$26,Y$2-2020)</f>
        <v>2.4698537259448612</v>
      </c>
      <c r="Z29" s="383">
        <f>'Crossing Inputs'!$C$11*POWER(1+$C$26,Z$2-2020)</f>
        <v>2.4960500840327433</v>
      </c>
      <c r="AA29" s="383">
        <f>'Crossing Inputs'!$C$11*POWER(1+$C$26,AA$2-2020)</f>
        <v>2.5225242922499103</v>
      </c>
      <c r="AB29" s="383">
        <f>'Crossing Inputs'!$C$11*POWER(1+$C$26,AB$2-2020)</f>
        <v>2.549279297597395</v>
      </c>
      <c r="AC29" s="383">
        <f>'Crossing Inputs'!$C$11*POWER(1+$C$26,AC$2-2020)</f>
        <v>2.5763180783334239</v>
      </c>
      <c r="AD29" s="383">
        <f>'Crossing Inputs'!$C$11*POWER(1+$C$26,AD$2-2020)</f>
        <v>2.6036436443049418</v>
      </c>
      <c r="AE29" s="383">
        <f>'Crossing Inputs'!$C$11*POWER(1+$C$26,AE$2-2020)</f>
        <v>2.631259037282661</v>
      </c>
      <c r="AF29" s="383">
        <f>'Crossing Inputs'!$C$11*POWER(1+$C$26,AF$2-2020)</f>
        <v>2.6591673312996531</v>
      </c>
      <c r="AG29" s="383">
        <f>'Crossing Inputs'!$C$11*POWER(1+$C$26,AG$2-2020)</f>
        <v>2.6873716329935418</v>
      </c>
      <c r="AH29" s="383">
        <f>'Crossing Inputs'!$C$11*POWER(1+$C$26,AH$2-2020)</f>
        <v>2.7158750819523192</v>
      </c>
      <c r="AI29" s="383">
        <f>'Crossing Inputs'!$C$11*POWER(1+$C$26,AI$2-2020)</f>
        <v>2.744680851063833</v>
      </c>
      <c r="AJ29" s="383">
        <f>'Crossing Inputs'!$C$11*POWER(1+$C$26,AJ$2-2020)</f>
        <v>2.7737921468689781</v>
      </c>
      <c r="AK29" s="383">
        <f>'Crossing Inputs'!$C$11*POWER(1+$C$26,AK$2-2020)</f>
        <v>2.8032122099186383</v>
      </c>
      <c r="AL29" s="383">
        <f>'Crossing Inputs'!$C$11*POWER(1+$C$26,AL$2-2020)</f>
        <v>2.8329443151344074</v>
      </c>
      <c r="AM29" s="383">
        <f>'Crossing Inputs'!$C$11*POWER(1+$C$26,AM$2-2020)</f>
        <v>2.8629917721731437</v>
      </c>
      <c r="AN29" s="383">
        <f>'Crossing Inputs'!$C$11*POWER(1+$C$26,AN$2-2020)</f>
        <v>2.8933579257953856</v>
      </c>
    </row>
    <row r="30" spans="1:40" s="150" customFormat="1" ht="14">
      <c r="B30" s="1170" t="s">
        <v>645</v>
      </c>
      <c r="C30" s="358" t="s">
        <v>1054</v>
      </c>
      <c r="D30" s="358"/>
      <c r="E30" s="383">
        <f>'Crossing Inputs'!$C$12*POWER(1+$C$26,E$2-2020)</f>
        <v>1</v>
      </c>
      <c r="F30" s="383">
        <f>'Crossing Inputs'!$C$12*POWER(1+$C$26,F$2-2020)</f>
        <v>1.010606441107301</v>
      </c>
      <c r="G30" s="383">
        <f>'Crossing Inputs'!$C$12*POWER(1+$C$26,G$2-2020)</f>
        <v>1.0213253788075647</v>
      </c>
      <c r="H30" s="383">
        <f>'Crossing Inputs'!$C$12*POWER(1+$C$26,H$2-2020)</f>
        <v>1.032158006289279</v>
      </c>
      <c r="I30" s="383">
        <f>'Crossing Inputs'!$C$12*POWER(1+$C$26,I$2-2020)</f>
        <v>1.0431055293964155</v>
      </c>
      <c r="J30" s="383">
        <f>'Crossing Inputs'!$C$12*POWER(1+$C$26,J$2-2020)</f>
        <v>1.0541691667626587</v>
      </c>
      <c r="K30" s="383">
        <f>'Crossing Inputs'!$C$12*POWER(1+$C$26,K$2-2020)</f>
        <v>1.0653501499470595</v>
      </c>
      <c r="L30" s="383">
        <f>'Crossing Inputs'!$C$12*POWER(1+$C$26,L$2-2020)</f>
        <v>1.0766497235711272</v>
      </c>
      <c r="M30" s="383">
        <f>'Crossing Inputs'!$C$12*POWER(1+$C$26,M$2-2020)</f>
        <v>1.0880691454573763</v>
      </c>
      <c r="N30" s="383">
        <f>'Crossing Inputs'!$C$12*POWER(1+$C$26,N$2-2020)</f>
        <v>1.0996096867693412</v>
      </c>
      <c r="O30" s="383">
        <f>'Crossing Inputs'!$C$12*POWER(1+$C$26,O$2-2020)</f>
        <v>1.1112726321530781</v>
      </c>
      <c r="P30" s="383">
        <f>'Crossing Inputs'!$C$12*POWER(1+$C$26,P$2-2020)</f>
        <v>1.1230592798801651</v>
      </c>
      <c r="Q30" s="383">
        <f>'Crossing Inputs'!$C$12*POWER(1+$C$26,Q$2-2020)</f>
        <v>1.134970941992222</v>
      </c>
      <c r="R30" s="383">
        <f>'Crossing Inputs'!$C$12*POWER(1+$C$26,R$2-2020)</f>
        <v>1.1470089444469604</v>
      </c>
      <c r="S30" s="383">
        <f>'Crossing Inputs'!$C$12*POWER(1+$C$26,S$2-2020)</f>
        <v>1.1591746272657848</v>
      </c>
      <c r="T30" s="383">
        <f>'Crossing Inputs'!$C$12*POWER(1+$C$26,T$2-2020)</f>
        <v>1.1714693446829567</v>
      </c>
      <c r="U30" s="383">
        <f>'Crossing Inputs'!$C$12*POWER(1+$C$26,U$2-2020)</f>
        <v>1.1838944652963452</v>
      </c>
      <c r="V30" s="383">
        <f>'Crossing Inputs'!$C$12*POWER(1+$C$26,V$2-2020)</f>
        <v>1.1964513722197705</v>
      </c>
      <c r="W30" s="383">
        <f>'Crossing Inputs'!$C$12*POWER(1+$C$26,W$2-2020)</f>
        <v>1.209141463236969</v>
      </c>
      <c r="X30" s="383">
        <f>'Crossing Inputs'!$C$12*POWER(1+$C$26,X$2-2020)</f>
        <v>1.2219661509571877</v>
      </c>
      <c r="Y30" s="383">
        <f>'Crossing Inputs'!$C$12*POWER(1+$C$26,Y$2-2020)</f>
        <v>1.2349268629724306</v>
      </c>
      <c r="Z30" s="383">
        <f>'Crossing Inputs'!$C$12*POWER(1+$C$26,Z$2-2020)</f>
        <v>1.2480250420163717</v>
      </c>
      <c r="AA30" s="383">
        <f>'Crossing Inputs'!$C$12*POWER(1+$C$26,AA$2-2020)</f>
        <v>1.2612621461249551</v>
      </c>
      <c r="AB30" s="383">
        <f>'Crossing Inputs'!$C$12*POWER(1+$C$26,AB$2-2020)</f>
        <v>1.2746396487986975</v>
      </c>
      <c r="AC30" s="383">
        <f>'Crossing Inputs'!$C$12*POWER(1+$C$26,AC$2-2020)</f>
        <v>1.2881590391667119</v>
      </c>
      <c r="AD30" s="383">
        <f>'Crossing Inputs'!$C$12*POWER(1+$C$26,AD$2-2020)</f>
        <v>1.3018218221524709</v>
      </c>
      <c r="AE30" s="383">
        <f>'Crossing Inputs'!$C$12*POWER(1+$C$26,AE$2-2020)</f>
        <v>1.3156295186413305</v>
      </c>
      <c r="AF30" s="383">
        <f>'Crossing Inputs'!$C$12*POWER(1+$C$26,AF$2-2020)</f>
        <v>1.3295836656498266</v>
      </c>
      <c r="AG30" s="383">
        <f>'Crossing Inputs'!$C$12*POWER(1+$C$26,AG$2-2020)</f>
        <v>1.3436858164967709</v>
      </c>
      <c r="AH30" s="383">
        <f>'Crossing Inputs'!$C$12*POWER(1+$C$26,AH$2-2020)</f>
        <v>1.3579375409761596</v>
      </c>
      <c r="AI30" s="383">
        <f>'Crossing Inputs'!$C$12*POWER(1+$C$26,AI$2-2020)</f>
        <v>1.3723404255319165</v>
      </c>
      <c r="AJ30" s="383">
        <f>'Crossing Inputs'!$C$12*POWER(1+$C$26,AJ$2-2020)</f>
        <v>1.3868960734344891</v>
      </c>
      <c r="AK30" s="383">
        <f>'Crossing Inputs'!$C$12*POWER(1+$C$26,AK$2-2020)</f>
        <v>1.4016061049593191</v>
      </c>
      <c r="AL30" s="383">
        <f>'Crossing Inputs'!$C$12*POWER(1+$C$26,AL$2-2020)</f>
        <v>1.4164721575672037</v>
      </c>
      <c r="AM30" s="383">
        <f>'Crossing Inputs'!$C$12*POWER(1+$C$26,AM$2-2020)</f>
        <v>1.4314958860865719</v>
      </c>
      <c r="AN30" s="383">
        <f>'Crossing Inputs'!$C$12*POWER(1+$C$26,AN$2-2020)</f>
        <v>1.4466789628976928</v>
      </c>
    </row>
    <row r="31" spans="1:40" s="150" customFormat="1" ht="14">
      <c r="B31" s="363" t="s">
        <v>844</v>
      </c>
      <c r="C31" s="358" t="s">
        <v>486</v>
      </c>
      <c r="D31" s="358"/>
      <c r="E31" s="383">
        <f t="shared" ref="E31" si="1">SUM(E29:E29)</f>
        <v>2</v>
      </c>
      <c r="F31" s="383">
        <f t="shared" ref="F31:AL31" si="2">SUM(F29:F29)</f>
        <v>2.021212882214602</v>
      </c>
      <c r="G31" s="383">
        <f t="shared" si="2"/>
        <v>2.0426507576151294</v>
      </c>
      <c r="H31" s="383">
        <f t="shared" si="2"/>
        <v>2.064316012578558</v>
      </c>
      <c r="I31" s="383">
        <f t="shared" si="2"/>
        <v>2.0862110587928311</v>
      </c>
      <c r="J31" s="383">
        <f t="shared" si="2"/>
        <v>2.1083383335253174</v>
      </c>
      <c r="K31" s="383">
        <f t="shared" si="2"/>
        <v>2.1307002998941189</v>
      </c>
      <c r="L31" s="383">
        <f t="shared" si="2"/>
        <v>2.1532994471422544</v>
      </c>
      <c r="M31" s="383">
        <f t="shared" si="2"/>
        <v>2.1761382909147526</v>
      </c>
      <c r="N31" s="383">
        <f t="shared" si="2"/>
        <v>2.1992193735386825</v>
      </c>
      <c r="O31" s="383">
        <f t="shared" si="2"/>
        <v>2.2225452643061563</v>
      </c>
      <c r="P31" s="383">
        <f t="shared" si="2"/>
        <v>2.2461185597603301</v>
      </c>
      <c r="Q31" s="383">
        <f t="shared" si="2"/>
        <v>2.2699418839844441</v>
      </c>
      <c r="R31" s="383">
        <f t="shared" si="2"/>
        <v>2.2940178888939209</v>
      </c>
      <c r="S31" s="383">
        <f t="shared" si="2"/>
        <v>2.3183492545315696</v>
      </c>
      <c r="T31" s="383">
        <f t="shared" si="2"/>
        <v>2.3429386893659134</v>
      </c>
      <c r="U31" s="383">
        <f t="shared" si="2"/>
        <v>2.3677889305926905</v>
      </c>
      <c r="V31" s="383">
        <f t="shared" si="2"/>
        <v>2.392902744439541</v>
      </c>
      <c r="W31" s="383">
        <f t="shared" si="2"/>
        <v>2.4182829264739381</v>
      </c>
      <c r="X31" s="383">
        <f t="shared" si="2"/>
        <v>2.4439323019143755</v>
      </c>
      <c r="Y31" s="383">
        <f t="shared" si="2"/>
        <v>2.4698537259448612</v>
      </c>
      <c r="Z31" s="383">
        <f t="shared" si="2"/>
        <v>2.4960500840327433</v>
      </c>
      <c r="AA31" s="383">
        <f t="shared" si="2"/>
        <v>2.5225242922499103</v>
      </c>
      <c r="AB31" s="383">
        <f t="shared" si="2"/>
        <v>2.549279297597395</v>
      </c>
      <c r="AC31" s="383">
        <f t="shared" si="2"/>
        <v>2.5763180783334239</v>
      </c>
      <c r="AD31" s="383">
        <f t="shared" si="2"/>
        <v>2.6036436443049418</v>
      </c>
      <c r="AE31" s="383">
        <f t="shared" si="2"/>
        <v>2.631259037282661</v>
      </c>
      <c r="AF31" s="383">
        <f t="shared" si="2"/>
        <v>2.6591673312996531</v>
      </c>
      <c r="AG31" s="383">
        <f t="shared" si="2"/>
        <v>2.6873716329935418</v>
      </c>
      <c r="AH31" s="383">
        <f t="shared" si="2"/>
        <v>2.7158750819523192</v>
      </c>
      <c r="AI31" s="383">
        <f t="shared" si="2"/>
        <v>2.744680851063833</v>
      </c>
      <c r="AJ31" s="383">
        <f t="shared" si="2"/>
        <v>2.7737921468689781</v>
      </c>
      <c r="AK31" s="383">
        <f t="shared" si="2"/>
        <v>2.8032122099186383</v>
      </c>
      <c r="AL31" s="383">
        <f t="shared" si="2"/>
        <v>2.8329443151344074</v>
      </c>
      <c r="AM31" s="383">
        <f t="shared" ref="AM31:AN31" si="3">SUM(AM29:AM29)</f>
        <v>2.8629917721731437</v>
      </c>
      <c r="AN31" s="383">
        <f t="shared" si="3"/>
        <v>2.8933579257953856</v>
      </c>
    </row>
    <row r="32" spans="1:40" s="150" customFormat="1" ht="14">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row>
    <row r="33" spans="1:40" s="150" customFormat="1" ht="14">
      <c r="B33" s="502" t="s">
        <v>1041</v>
      </c>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row>
    <row r="34" spans="1:40" s="150" customFormat="1" ht="14">
      <c r="B34" s="363" t="s">
        <v>1052</v>
      </c>
      <c r="C34" s="358" t="s">
        <v>1053</v>
      </c>
      <c r="D34" s="358"/>
      <c r="E34" s="383">
        <v>0</v>
      </c>
      <c r="F34" s="383">
        <v>0</v>
      </c>
      <c r="G34" s="383">
        <v>0</v>
      </c>
      <c r="H34" s="383">
        <v>0</v>
      </c>
      <c r="I34" s="383">
        <v>0</v>
      </c>
      <c r="J34" s="383">
        <v>0</v>
      </c>
      <c r="K34" s="383">
        <v>0</v>
      </c>
      <c r="L34" s="383">
        <v>0</v>
      </c>
      <c r="M34" s="383">
        <v>0</v>
      </c>
      <c r="N34" s="383">
        <v>0</v>
      </c>
      <c r="O34" s="383">
        <v>0</v>
      </c>
      <c r="P34" s="383">
        <v>0</v>
      </c>
      <c r="Q34" s="383">
        <v>0</v>
      </c>
      <c r="R34" s="383">
        <v>0</v>
      </c>
      <c r="S34" s="383">
        <v>0</v>
      </c>
      <c r="T34" s="383">
        <v>0</v>
      </c>
      <c r="U34" s="383">
        <v>0</v>
      </c>
      <c r="V34" s="383">
        <v>0</v>
      </c>
      <c r="W34" s="383">
        <v>0</v>
      </c>
      <c r="X34" s="383">
        <v>0</v>
      </c>
      <c r="Y34" s="383">
        <v>0</v>
      </c>
      <c r="Z34" s="383">
        <v>0</v>
      </c>
      <c r="AA34" s="383">
        <v>0</v>
      </c>
      <c r="AB34" s="383">
        <v>0</v>
      </c>
      <c r="AC34" s="383">
        <v>0</v>
      </c>
      <c r="AD34" s="383">
        <v>0</v>
      </c>
      <c r="AE34" s="383">
        <v>0</v>
      </c>
      <c r="AF34" s="383">
        <v>0</v>
      </c>
      <c r="AG34" s="383">
        <v>0</v>
      </c>
      <c r="AH34" s="383">
        <v>0</v>
      </c>
      <c r="AI34" s="383">
        <v>0</v>
      </c>
      <c r="AJ34" s="383">
        <v>0</v>
      </c>
      <c r="AK34" s="383">
        <v>0</v>
      </c>
      <c r="AL34" s="383">
        <v>0</v>
      </c>
      <c r="AM34" s="383">
        <v>0</v>
      </c>
      <c r="AN34" s="383">
        <v>0</v>
      </c>
    </row>
    <row r="35" spans="1:40" s="150" customFormat="1" ht="14">
      <c r="B35" s="1170" t="s">
        <v>645</v>
      </c>
      <c r="C35" s="358" t="s">
        <v>1054</v>
      </c>
      <c r="D35" s="358"/>
      <c r="E35" s="383">
        <v>0</v>
      </c>
      <c r="F35" s="383">
        <v>0</v>
      </c>
      <c r="G35" s="383">
        <v>0</v>
      </c>
      <c r="H35" s="383">
        <v>0</v>
      </c>
      <c r="I35" s="383">
        <v>0</v>
      </c>
      <c r="J35" s="383">
        <v>0</v>
      </c>
      <c r="K35" s="383">
        <v>0</v>
      </c>
      <c r="L35" s="383">
        <v>0</v>
      </c>
      <c r="M35" s="383">
        <v>0</v>
      </c>
      <c r="N35" s="383">
        <v>0</v>
      </c>
      <c r="O35" s="383">
        <v>0</v>
      </c>
      <c r="P35" s="383">
        <v>0</v>
      </c>
      <c r="Q35" s="383">
        <v>0</v>
      </c>
      <c r="R35" s="383">
        <v>0</v>
      </c>
      <c r="S35" s="383">
        <v>0</v>
      </c>
      <c r="T35" s="383">
        <v>0</v>
      </c>
      <c r="U35" s="383">
        <v>0</v>
      </c>
      <c r="V35" s="383">
        <v>0</v>
      </c>
      <c r="W35" s="383">
        <v>0</v>
      </c>
      <c r="X35" s="383">
        <v>0</v>
      </c>
      <c r="Y35" s="383">
        <v>0</v>
      </c>
      <c r="Z35" s="383">
        <v>0</v>
      </c>
      <c r="AA35" s="383">
        <v>0</v>
      </c>
      <c r="AB35" s="383">
        <v>0</v>
      </c>
      <c r="AC35" s="383">
        <v>0</v>
      </c>
      <c r="AD35" s="383">
        <v>0</v>
      </c>
      <c r="AE35" s="383">
        <v>0</v>
      </c>
      <c r="AF35" s="383">
        <v>0</v>
      </c>
      <c r="AG35" s="383">
        <v>0</v>
      </c>
      <c r="AH35" s="383">
        <v>0</v>
      </c>
      <c r="AI35" s="383">
        <v>0</v>
      </c>
      <c r="AJ35" s="383">
        <v>0</v>
      </c>
      <c r="AK35" s="383">
        <v>0</v>
      </c>
      <c r="AL35" s="383">
        <v>0</v>
      </c>
      <c r="AM35" s="383">
        <v>0</v>
      </c>
      <c r="AN35" s="383">
        <v>0</v>
      </c>
    </row>
    <row r="36" spans="1:40" s="150" customFormat="1" ht="14">
      <c r="B36" s="363" t="s">
        <v>844</v>
      </c>
      <c r="C36" s="358" t="s">
        <v>486</v>
      </c>
      <c r="D36" s="358"/>
      <c r="E36" s="383">
        <v>0</v>
      </c>
      <c r="F36" s="383">
        <v>0</v>
      </c>
      <c r="G36" s="383">
        <v>0</v>
      </c>
      <c r="H36" s="383">
        <v>0</v>
      </c>
      <c r="I36" s="383">
        <v>0</v>
      </c>
      <c r="J36" s="383">
        <v>0</v>
      </c>
      <c r="K36" s="383">
        <v>0</v>
      </c>
      <c r="L36" s="383">
        <v>0</v>
      </c>
      <c r="M36" s="383">
        <v>0</v>
      </c>
      <c r="N36" s="383">
        <v>0</v>
      </c>
      <c r="O36" s="383">
        <v>0</v>
      </c>
      <c r="P36" s="383">
        <v>0</v>
      </c>
      <c r="Q36" s="383">
        <v>0</v>
      </c>
      <c r="R36" s="383">
        <v>0</v>
      </c>
      <c r="S36" s="383">
        <v>0</v>
      </c>
      <c r="T36" s="383">
        <v>0</v>
      </c>
      <c r="U36" s="383">
        <v>0</v>
      </c>
      <c r="V36" s="383">
        <v>0</v>
      </c>
      <c r="W36" s="383">
        <v>0</v>
      </c>
      <c r="X36" s="383">
        <v>0</v>
      </c>
      <c r="Y36" s="383">
        <v>0</v>
      </c>
      <c r="Z36" s="383">
        <v>0</v>
      </c>
      <c r="AA36" s="383">
        <v>0</v>
      </c>
      <c r="AB36" s="383">
        <v>0</v>
      </c>
      <c r="AC36" s="383">
        <v>0</v>
      </c>
      <c r="AD36" s="383">
        <v>0</v>
      </c>
      <c r="AE36" s="383">
        <v>0</v>
      </c>
      <c r="AF36" s="383">
        <v>0</v>
      </c>
      <c r="AG36" s="383">
        <v>0</v>
      </c>
      <c r="AH36" s="383">
        <v>0</v>
      </c>
      <c r="AI36" s="383">
        <v>0</v>
      </c>
      <c r="AJ36" s="383">
        <v>0</v>
      </c>
      <c r="AK36" s="383">
        <v>0</v>
      </c>
      <c r="AL36" s="383">
        <v>0</v>
      </c>
      <c r="AM36" s="383">
        <v>0</v>
      </c>
      <c r="AN36" s="383">
        <v>0</v>
      </c>
    </row>
    <row r="38" spans="1:40" ht="26">
      <c r="B38" s="502" t="s">
        <v>1148</v>
      </c>
    </row>
    <row r="39" spans="1:40">
      <c r="B39" s="363" t="s">
        <v>1052</v>
      </c>
      <c r="C39" s="358" t="s">
        <v>1053</v>
      </c>
      <c r="E39" s="383">
        <f>'Crossing Inputs'!$C$14*POWER(1+$C$26,E$2-2020)</f>
        <v>6</v>
      </c>
      <c r="F39" s="383">
        <f>'Crossing Inputs'!$C$14*POWER(1+$C$26,F$2-2020)</f>
        <v>6.0636386466438061</v>
      </c>
      <c r="G39" s="383">
        <f>'Crossing Inputs'!$C$14*POWER(1+$C$26,G$2-2020)</f>
        <v>6.1279522728453877</v>
      </c>
      <c r="H39" s="383">
        <f>'Crossing Inputs'!$C$14*POWER(1+$C$26,H$2-2020)</f>
        <v>6.1929480377356736</v>
      </c>
      <c r="I39" s="383">
        <f>'Crossing Inputs'!$C$14*POWER(1+$C$26,I$2-2020)</f>
        <v>6.2586331763784937</v>
      </c>
      <c r="J39" s="383">
        <f>'Crossing Inputs'!$C$14*POWER(1+$C$26,J$2-2020)</f>
        <v>6.3250150005759522</v>
      </c>
      <c r="K39" s="383">
        <f>'Crossing Inputs'!$C$14*POWER(1+$C$26,K$2-2020)</f>
        <v>6.3921008996823563</v>
      </c>
      <c r="L39" s="383">
        <f>'Crossing Inputs'!$C$14*POWER(1+$C$26,L$2-2020)</f>
        <v>6.4598983414267632</v>
      </c>
      <c r="M39" s="383">
        <f>'Crossing Inputs'!$C$14*POWER(1+$C$26,M$2-2020)</f>
        <v>6.5284148727442579</v>
      </c>
      <c r="N39" s="383">
        <f>'Crossing Inputs'!$C$14*POWER(1+$C$26,N$2-2020)</f>
        <v>6.5976581206160478</v>
      </c>
      <c r="O39" s="383">
        <f>'Crossing Inputs'!$C$14*POWER(1+$C$26,O$2-2020)</f>
        <v>6.6676357929184693</v>
      </c>
      <c r="P39" s="383">
        <f>'Crossing Inputs'!$C$14*POWER(1+$C$26,P$2-2020)</f>
        <v>6.7383556792809909</v>
      </c>
      <c r="Q39" s="383">
        <f>'Crossing Inputs'!$C$14*POWER(1+$C$26,Q$2-2020)</f>
        <v>6.8098256519533322</v>
      </c>
      <c r="R39" s="383">
        <f>'Crossing Inputs'!$C$14*POWER(1+$C$26,R$2-2020)</f>
        <v>6.8820536666817631</v>
      </c>
      <c r="S39" s="383">
        <f>'Crossing Inputs'!$C$14*POWER(1+$C$26,S$2-2020)</f>
        <v>6.9550477635947088</v>
      </c>
      <c r="T39" s="383">
        <f>'Crossing Inputs'!$C$14*POWER(1+$C$26,T$2-2020)</f>
        <v>7.0288160680977398</v>
      </c>
      <c r="U39" s="383">
        <f>'Crossing Inputs'!$C$14*POWER(1+$C$26,U$2-2020)</f>
        <v>7.1033667917780718</v>
      </c>
      <c r="V39" s="383">
        <f>'Crossing Inputs'!$C$14*POWER(1+$C$26,V$2-2020)</f>
        <v>7.1787082333186234</v>
      </c>
      <c r="W39" s="383">
        <f>'Crossing Inputs'!$C$14*POWER(1+$C$26,W$2-2020)</f>
        <v>7.2548487794218142</v>
      </c>
      <c r="X39" s="383">
        <f>'Crossing Inputs'!$C$14*POWER(1+$C$26,X$2-2020)</f>
        <v>7.3317969057431265</v>
      </c>
      <c r="Y39" s="383">
        <f>'Crossing Inputs'!$C$14*POWER(1+$C$26,Y$2-2020)</f>
        <v>7.4095611778345836</v>
      </c>
      <c r="Z39" s="383">
        <f>'Crossing Inputs'!$C$14*POWER(1+$C$26,Z$2-2020)</f>
        <v>7.4881502520982295</v>
      </c>
      <c r="AA39" s="383">
        <f>'Crossing Inputs'!$C$14*POWER(1+$C$26,AA$2-2020)</f>
        <v>7.5675728767497308</v>
      </c>
      <c r="AB39" s="383">
        <f>'Crossing Inputs'!$C$14*POWER(1+$C$26,AB$2-2020)</f>
        <v>7.6478378927921851</v>
      </c>
      <c r="AC39" s="383">
        <f>'Crossing Inputs'!$C$14*POWER(1+$C$26,AC$2-2020)</f>
        <v>7.7289542350002716</v>
      </c>
      <c r="AD39" s="383">
        <f>'Crossing Inputs'!$C$14*POWER(1+$C$26,AD$2-2020)</f>
        <v>7.8109309329148253</v>
      </c>
      <c r="AE39" s="383">
        <f>'Crossing Inputs'!$C$14*POWER(1+$C$26,AE$2-2020)</f>
        <v>7.8937771118479834</v>
      </c>
      <c r="AF39" s="383">
        <f>'Crossing Inputs'!$C$14*POWER(1+$C$26,AF$2-2020)</f>
        <v>7.9775019938989598</v>
      </c>
      <c r="AG39" s="383">
        <f>'Crossing Inputs'!$C$14*POWER(1+$C$26,AG$2-2020)</f>
        <v>8.0621148989806244</v>
      </c>
      <c r="AH39" s="383">
        <f>'Crossing Inputs'!$C$14*POWER(1+$C$26,AH$2-2020)</f>
        <v>8.1476252458569576</v>
      </c>
      <c r="AI39" s="383">
        <f>'Crossing Inputs'!$C$14*POWER(1+$C$26,AI$2-2020)</f>
        <v>8.2340425531914985</v>
      </c>
      <c r="AJ39" s="383">
        <f>'Crossing Inputs'!$C$14*POWER(1+$C$26,AJ$2-2020)</f>
        <v>8.3213764406069348</v>
      </c>
      <c r="AK39" s="383">
        <f>'Crossing Inputs'!$C$14*POWER(1+$C$26,AK$2-2020)</f>
        <v>8.4096366297559157</v>
      </c>
      <c r="AL39" s="383">
        <f>'Crossing Inputs'!$C$14*POWER(1+$C$26,AL$2-2020)</f>
        <v>8.4988329454032225</v>
      </c>
      <c r="AM39" s="383">
        <f>'Crossing Inputs'!$C$14*POWER(1+$C$26,AM$2-2020)</f>
        <v>8.5889753165194307</v>
      </c>
      <c r="AN39" s="383">
        <f>'Crossing Inputs'!$C$14*POWER(1+$C$26,AN$2-2020)</f>
        <v>8.6800737773861574</v>
      </c>
    </row>
    <row r="40" spans="1:40">
      <c r="B40" s="1170" t="s">
        <v>645</v>
      </c>
      <c r="C40" s="358" t="s">
        <v>1054</v>
      </c>
      <c r="E40" s="383">
        <f>'Crossing Inputs'!$C$15*POWER(1+$C$26,E$2-2020)</f>
        <v>2</v>
      </c>
      <c r="F40" s="383">
        <f>'Crossing Inputs'!$C$15*POWER(1+$C$26,F$2-2020)</f>
        <v>2.021212882214602</v>
      </c>
      <c r="G40" s="383">
        <f>'Crossing Inputs'!$C$15*POWER(1+$C$26,G$2-2020)</f>
        <v>2.0426507576151294</v>
      </c>
      <c r="H40" s="383">
        <f>'Crossing Inputs'!$C$15*POWER(1+$C$26,H$2-2020)</f>
        <v>2.064316012578558</v>
      </c>
      <c r="I40" s="383">
        <f>'Crossing Inputs'!$C$15*POWER(1+$C$26,I$2-2020)</f>
        <v>2.0862110587928311</v>
      </c>
      <c r="J40" s="383">
        <f>'Crossing Inputs'!$C$15*POWER(1+$C$26,J$2-2020)</f>
        <v>2.1083383335253174</v>
      </c>
      <c r="K40" s="383">
        <f>'Crossing Inputs'!$C$15*POWER(1+$C$26,K$2-2020)</f>
        <v>2.1307002998941189</v>
      </c>
      <c r="L40" s="383">
        <f>'Crossing Inputs'!$C$15*POWER(1+$C$26,L$2-2020)</f>
        <v>2.1532994471422544</v>
      </c>
      <c r="M40" s="383">
        <f>'Crossing Inputs'!$C$15*POWER(1+$C$26,M$2-2020)</f>
        <v>2.1761382909147526</v>
      </c>
      <c r="N40" s="383">
        <f>'Crossing Inputs'!$C$15*POWER(1+$C$26,N$2-2020)</f>
        <v>2.1992193735386825</v>
      </c>
      <c r="O40" s="383">
        <f>'Crossing Inputs'!$C$15*POWER(1+$C$26,O$2-2020)</f>
        <v>2.2225452643061563</v>
      </c>
      <c r="P40" s="383">
        <f>'Crossing Inputs'!$C$15*POWER(1+$C$26,P$2-2020)</f>
        <v>2.2461185597603301</v>
      </c>
      <c r="Q40" s="383">
        <f>'Crossing Inputs'!$C$15*POWER(1+$C$26,Q$2-2020)</f>
        <v>2.2699418839844441</v>
      </c>
      <c r="R40" s="383">
        <f>'Crossing Inputs'!$C$15*POWER(1+$C$26,R$2-2020)</f>
        <v>2.2940178888939209</v>
      </c>
      <c r="S40" s="383">
        <f>'Crossing Inputs'!$C$15*POWER(1+$C$26,S$2-2020)</f>
        <v>2.3183492545315696</v>
      </c>
      <c r="T40" s="383">
        <f>'Crossing Inputs'!$C$15*POWER(1+$C$26,T$2-2020)</f>
        <v>2.3429386893659134</v>
      </c>
      <c r="U40" s="383">
        <f>'Crossing Inputs'!$C$15*POWER(1+$C$26,U$2-2020)</f>
        <v>2.3677889305926905</v>
      </c>
      <c r="V40" s="383">
        <f>'Crossing Inputs'!$C$15*POWER(1+$C$26,V$2-2020)</f>
        <v>2.392902744439541</v>
      </c>
      <c r="W40" s="383">
        <f>'Crossing Inputs'!$C$15*POWER(1+$C$26,W$2-2020)</f>
        <v>2.4182829264739381</v>
      </c>
      <c r="X40" s="383">
        <f>'Crossing Inputs'!$C$15*POWER(1+$C$26,X$2-2020)</f>
        <v>2.4439323019143755</v>
      </c>
      <c r="Y40" s="383">
        <f>'Crossing Inputs'!$C$15*POWER(1+$C$26,Y$2-2020)</f>
        <v>2.4698537259448612</v>
      </c>
      <c r="Z40" s="383">
        <f>'Crossing Inputs'!$C$15*POWER(1+$C$26,Z$2-2020)</f>
        <v>2.4960500840327433</v>
      </c>
      <c r="AA40" s="383">
        <f>'Crossing Inputs'!$C$15*POWER(1+$C$26,AA$2-2020)</f>
        <v>2.5225242922499103</v>
      </c>
      <c r="AB40" s="383">
        <f>'Crossing Inputs'!$C$15*POWER(1+$C$26,AB$2-2020)</f>
        <v>2.549279297597395</v>
      </c>
      <c r="AC40" s="383">
        <f>'Crossing Inputs'!$C$15*POWER(1+$C$26,AC$2-2020)</f>
        <v>2.5763180783334239</v>
      </c>
      <c r="AD40" s="383">
        <f>'Crossing Inputs'!$C$15*POWER(1+$C$26,AD$2-2020)</f>
        <v>2.6036436443049418</v>
      </c>
      <c r="AE40" s="383">
        <f>'Crossing Inputs'!$C$15*POWER(1+$C$26,AE$2-2020)</f>
        <v>2.631259037282661</v>
      </c>
      <c r="AF40" s="383">
        <f>'Crossing Inputs'!$C$15*POWER(1+$C$26,AF$2-2020)</f>
        <v>2.6591673312996531</v>
      </c>
      <c r="AG40" s="383">
        <f>'Crossing Inputs'!$C$15*POWER(1+$C$26,AG$2-2020)</f>
        <v>2.6873716329935418</v>
      </c>
      <c r="AH40" s="383">
        <f>'Crossing Inputs'!$C$15*POWER(1+$C$26,AH$2-2020)</f>
        <v>2.7158750819523192</v>
      </c>
      <c r="AI40" s="383">
        <f>'Crossing Inputs'!$C$15*POWER(1+$C$26,AI$2-2020)</f>
        <v>2.744680851063833</v>
      </c>
      <c r="AJ40" s="383">
        <f>'Crossing Inputs'!$C$15*POWER(1+$C$26,AJ$2-2020)</f>
        <v>2.7737921468689781</v>
      </c>
      <c r="AK40" s="383">
        <f>'Crossing Inputs'!$C$15*POWER(1+$C$26,AK$2-2020)</f>
        <v>2.8032122099186383</v>
      </c>
      <c r="AL40" s="383">
        <f>'Crossing Inputs'!$C$15*POWER(1+$C$26,AL$2-2020)</f>
        <v>2.8329443151344074</v>
      </c>
      <c r="AM40" s="383">
        <f>'Crossing Inputs'!$C$15*POWER(1+$C$26,AM$2-2020)</f>
        <v>2.8629917721731437</v>
      </c>
      <c r="AN40" s="383">
        <f>'Crossing Inputs'!$C$15*POWER(1+$C$26,AN$2-2020)</f>
        <v>2.8933579257953856</v>
      </c>
    </row>
    <row r="41" spans="1:40">
      <c r="B41" s="363" t="s">
        <v>844</v>
      </c>
      <c r="C41" s="358" t="s">
        <v>486</v>
      </c>
      <c r="E41" s="383">
        <f t="shared" ref="E41" si="4">SUM(E39:E39)</f>
        <v>6</v>
      </c>
      <c r="F41" s="383">
        <f t="shared" ref="F41" si="5">SUM(F39:F39)</f>
        <v>6.0636386466438061</v>
      </c>
      <c r="G41" s="383">
        <f t="shared" ref="G41" si="6">SUM(G39:G39)</f>
        <v>6.1279522728453877</v>
      </c>
      <c r="H41" s="383">
        <f t="shared" ref="H41:AN41" si="7">SUM(H39:H39)</f>
        <v>6.1929480377356736</v>
      </c>
      <c r="I41" s="383">
        <f t="shared" si="7"/>
        <v>6.2586331763784937</v>
      </c>
      <c r="J41" s="383">
        <f t="shared" si="7"/>
        <v>6.3250150005759522</v>
      </c>
      <c r="K41" s="383">
        <f t="shared" si="7"/>
        <v>6.3921008996823563</v>
      </c>
      <c r="L41" s="383">
        <f t="shared" si="7"/>
        <v>6.4598983414267632</v>
      </c>
      <c r="M41" s="383">
        <f t="shared" si="7"/>
        <v>6.5284148727442579</v>
      </c>
      <c r="N41" s="383">
        <f t="shared" si="7"/>
        <v>6.5976581206160478</v>
      </c>
      <c r="O41" s="383">
        <f t="shared" si="7"/>
        <v>6.6676357929184693</v>
      </c>
      <c r="P41" s="383">
        <f t="shared" si="7"/>
        <v>6.7383556792809909</v>
      </c>
      <c r="Q41" s="383">
        <f t="shared" si="7"/>
        <v>6.8098256519533322</v>
      </c>
      <c r="R41" s="383">
        <f t="shared" si="7"/>
        <v>6.8820536666817631</v>
      </c>
      <c r="S41" s="383">
        <f t="shared" si="7"/>
        <v>6.9550477635947088</v>
      </c>
      <c r="T41" s="383">
        <f t="shared" si="7"/>
        <v>7.0288160680977398</v>
      </c>
      <c r="U41" s="383">
        <f t="shared" si="7"/>
        <v>7.1033667917780718</v>
      </c>
      <c r="V41" s="383">
        <f t="shared" si="7"/>
        <v>7.1787082333186234</v>
      </c>
      <c r="W41" s="383">
        <f t="shared" si="7"/>
        <v>7.2548487794218142</v>
      </c>
      <c r="X41" s="383">
        <f t="shared" si="7"/>
        <v>7.3317969057431265</v>
      </c>
      <c r="Y41" s="383">
        <f t="shared" si="7"/>
        <v>7.4095611778345836</v>
      </c>
      <c r="Z41" s="383">
        <f t="shared" si="7"/>
        <v>7.4881502520982295</v>
      </c>
      <c r="AA41" s="383">
        <f t="shared" si="7"/>
        <v>7.5675728767497308</v>
      </c>
      <c r="AB41" s="383">
        <f t="shared" si="7"/>
        <v>7.6478378927921851</v>
      </c>
      <c r="AC41" s="383">
        <f t="shared" si="7"/>
        <v>7.7289542350002716</v>
      </c>
      <c r="AD41" s="383">
        <f t="shared" si="7"/>
        <v>7.8109309329148253</v>
      </c>
      <c r="AE41" s="383">
        <f t="shared" si="7"/>
        <v>7.8937771118479834</v>
      </c>
      <c r="AF41" s="383">
        <f t="shared" si="7"/>
        <v>7.9775019938989598</v>
      </c>
      <c r="AG41" s="383">
        <f t="shared" si="7"/>
        <v>8.0621148989806244</v>
      </c>
      <c r="AH41" s="383">
        <f t="shared" si="7"/>
        <v>8.1476252458569576</v>
      </c>
      <c r="AI41" s="383">
        <f t="shared" si="7"/>
        <v>8.2340425531914985</v>
      </c>
      <c r="AJ41" s="383">
        <f t="shared" si="7"/>
        <v>8.3213764406069348</v>
      </c>
      <c r="AK41" s="383">
        <f t="shared" si="7"/>
        <v>8.4096366297559157</v>
      </c>
      <c r="AL41" s="383">
        <f t="shared" si="7"/>
        <v>8.4988329454032225</v>
      </c>
      <c r="AM41" s="383">
        <f t="shared" si="7"/>
        <v>8.5889753165194307</v>
      </c>
      <c r="AN41" s="383">
        <f t="shared" si="7"/>
        <v>8.6800737773861574</v>
      </c>
    </row>
    <row r="42" spans="1:40">
      <c r="B42" s="1212"/>
    </row>
    <row r="43" spans="1:40" ht="13">
      <c r="B43" s="502" t="s">
        <v>1144</v>
      </c>
    </row>
    <row r="44" spans="1:40">
      <c r="B44" s="363" t="s">
        <v>1052</v>
      </c>
      <c r="C44" s="358" t="s">
        <v>1053</v>
      </c>
      <c r="E44" s="383">
        <f>'Crossing Inputs'!$C$17*POWER(1+$C$26,E$2-2020)</f>
        <v>8</v>
      </c>
      <c r="F44" s="383">
        <f>'Crossing Inputs'!$C$17*POWER(1+$C$26,F$2-2020)</f>
        <v>8.0848515288584082</v>
      </c>
      <c r="G44" s="383">
        <f>'Crossing Inputs'!$C$17*POWER(1+$C$26,G$2-2020)</f>
        <v>8.1706030304605175</v>
      </c>
      <c r="H44" s="383">
        <f>'Crossing Inputs'!$C$17*POWER(1+$C$26,H$2-2020)</f>
        <v>8.2572640503142321</v>
      </c>
      <c r="I44" s="383">
        <f>'Crossing Inputs'!$C$17*POWER(1+$C$26,I$2-2020)</f>
        <v>8.3448442351713243</v>
      </c>
      <c r="J44" s="383">
        <f>'Crossing Inputs'!$C$17*POWER(1+$C$26,J$2-2020)</f>
        <v>8.4333533341012696</v>
      </c>
      <c r="K44" s="383">
        <f>'Crossing Inputs'!$C$17*POWER(1+$C$26,K$2-2020)</f>
        <v>8.5228011995764756</v>
      </c>
      <c r="L44" s="383">
        <f>'Crossing Inputs'!$C$17*POWER(1+$C$26,L$2-2020)</f>
        <v>8.6131977885690176</v>
      </c>
      <c r="M44" s="383">
        <f>'Crossing Inputs'!$C$17*POWER(1+$C$26,M$2-2020)</f>
        <v>8.7045531636590106</v>
      </c>
      <c r="N44" s="383">
        <f>'Crossing Inputs'!$C$17*POWER(1+$C$26,N$2-2020)</f>
        <v>8.7968774941547299</v>
      </c>
      <c r="O44" s="383">
        <f>'Crossing Inputs'!$C$17*POWER(1+$C$26,O$2-2020)</f>
        <v>8.8901810572246251</v>
      </c>
      <c r="P44" s="383">
        <f>'Crossing Inputs'!$C$17*POWER(1+$C$26,P$2-2020)</f>
        <v>8.9844742390413206</v>
      </c>
      <c r="Q44" s="383">
        <f>'Crossing Inputs'!$C$17*POWER(1+$C$26,Q$2-2020)</f>
        <v>9.0797675359377763</v>
      </c>
      <c r="R44" s="383">
        <f>'Crossing Inputs'!$C$17*POWER(1+$C$26,R$2-2020)</f>
        <v>9.1760715555756835</v>
      </c>
      <c r="S44" s="383">
        <f>'Crossing Inputs'!$C$17*POWER(1+$C$26,S$2-2020)</f>
        <v>9.2733970181262784</v>
      </c>
      <c r="T44" s="383">
        <f>'Crossing Inputs'!$C$17*POWER(1+$C$26,T$2-2020)</f>
        <v>9.3717547574636537</v>
      </c>
      <c r="U44" s="383">
        <f>'Crossing Inputs'!$C$17*POWER(1+$C$26,U$2-2020)</f>
        <v>9.4711557223707619</v>
      </c>
      <c r="V44" s="383">
        <f>'Crossing Inputs'!$C$17*POWER(1+$C$26,V$2-2020)</f>
        <v>9.5716109777581639</v>
      </c>
      <c r="W44" s="383">
        <f>'Crossing Inputs'!$C$17*POWER(1+$C$26,W$2-2020)</f>
        <v>9.6731317058957522</v>
      </c>
      <c r="X44" s="383">
        <f>'Crossing Inputs'!$C$17*POWER(1+$C$26,X$2-2020)</f>
        <v>9.775729207657502</v>
      </c>
      <c r="Y44" s="383">
        <f>'Crossing Inputs'!$C$17*POWER(1+$C$26,Y$2-2020)</f>
        <v>9.8794149037794448</v>
      </c>
      <c r="Z44" s="383">
        <f>'Crossing Inputs'!$C$17*POWER(1+$C$26,Z$2-2020)</f>
        <v>9.9842003361309732</v>
      </c>
      <c r="AA44" s="383">
        <f>'Crossing Inputs'!$C$17*POWER(1+$C$26,AA$2-2020)</f>
        <v>10.090097168999641</v>
      </c>
      <c r="AB44" s="383">
        <f>'Crossing Inputs'!$C$17*POWER(1+$C$26,AB$2-2020)</f>
        <v>10.19711719038958</v>
      </c>
      <c r="AC44" s="383">
        <f>'Crossing Inputs'!$C$17*POWER(1+$C$26,AC$2-2020)</f>
        <v>10.305272313333695</v>
      </c>
      <c r="AD44" s="383">
        <f>'Crossing Inputs'!$C$17*POWER(1+$C$26,AD$2-2020)</f>
        <v>10.414574577219767</v>
      </c>
      <c r="AE44" s="383">
        <f>'Crossing Inputs'!$C$17*POWER(1+$C$26,AE$2-2020)</f>
        <v>10.525036149130644</v>
      </c>
      <c r="AF44" s="383">
        <f>'Crossing Inputs'!$C$17*POWER(1+$C$26,AF$2-2020)</f>
        <v>10.636669325198612</v>
      </c>
      <c r="AG44" s="383">
        <f>'Crossing Inputs'!$C$17*POWER(1+$C$26,AG$2-2020)</f>
        <v>10.749486531974167</v>
      </c>
      <c r="AH44" s="383">
        <f>'Crossing Inputs'!$C$17*POWER(1+$C$26,AH$2-2020)</f>
        <v>10.863500327809277</v>
      </c>
      <c r="AI44" s="383">
        <f>'Crossing Inputs'!$C$17*POWER(1+$C$26,AI$2-2020)</f>
        <v>10.978723404255332</v>
      </c>
      <c r="AJ44" s="383">
        <f>'Crossing Inputs'!$C$17*POWER(1+$C$26,AJ$2-2020)</f>
        <v>11.095168587475913</v>
      </c>
      <c r="AK44" s="383">
        <f>'Crossing Inputs'!$C$17*POWER(1+$C$26,AK$2-2020)</f>
        <v>11.212848839674553</v>
      </c>
      <c r="AL44" s="383">
        <f>'Crossing Inputs'!$C$17*POWER(1+$C$26,AL$2-2020)</f>
        <v>11.331777260537629</v>
      </c>
      <c r="AM44" s="383">
        <f>'Crossing Inputs'!$C$17*POWER(1+$C$26,AM$2-2020)</f>
        <v>11.451967088692575</v>
      </c>
      <c r="AN44" s="383">
        <f>'Crossing Inputs'!$C$17*POWER(1+$C$26,AN$2-2020)</f>
        <v>11.573431703181543</v>
      </c>
    </row>
    <row r="45" spans="1:40">
      <c r="B45" s="1170" t="s">
        <v>645</v>
      </c>
      <c r="C45" s="358" t="s">
        <v>1054</v>
      </c>
      <c r="E45" s="383">
        <f>'Crossing Inputs'!$C$18*POWER(1+$C$26,E$2-2020)</f>
        <v>4</v>
      </c>
      <c r="F45" s="383">
        <f>'Crossing Inputs'!$C$18*POWER(1+$C$26,F$2-2020)</f>
        <v>4.0424257644292041</v>
      </c>
      <c r="G45" s="383">
        <f>'Crossing Inputs'!$C$18*POWER(1+$C$26,G$2-2020)</f>
        <v>4.0853015152302588</v>
      </c>
      <c r="H45" s="383">
        <f>'Crossing Inputs'!$C$18*POWER(1+$C$26,H$2-2020)</f>
        <v>4.128632025157116</v>
      </c>
      <c r="I45" s="383">
        <f>'Crossing Inputs'!$C$18*POWER(1+$C$26,I$2-2020)</f>
        <v>4.1724221175856622</v>
      </c>
      <c r="J45" s="383">
        <f>'Crossing Inputs'!$C$18*POWER(1+$C$26,J$2-2020)</f>
        <v>4.2166766670506348</v>
      </c>
      <c r="K45" s="383">
        <f>'Crossing Inputs'!$C$18*POWER(1+$C$26,K$2-2020)</f>
        <v>4.2614005997882378</v>
      </c>
      <c r="L45" s="383">
        <f>'Crossing Inputs'!$C$18*POWER(1+$C$26,L$2-2020)</f>
        <v>4.3065988942845088</v>
      </c>
      <c r="M45" s="383">
        <f>'Crossing Inputs'!$C$18*POWER(1+$C$26,M$2-2020)</f>
        <v>4.3522765818295053</v>
      </c>
      <c r="N45" s="383">
        <f>'Crossing Inputs'!$C$18*POWER(1+$C$26,N$2-2020)</f>
        <v>4.3984387470773649</v>
      </c>
      <c r="O45" s="383">
        <f>'Crossing Inputs'!$C$18*POWER(1+$C$26,O$2-2020)</f>
        <v>4.4450905286123126</v>
      </c>
      <c r="P45" s="383">
        <f>'Crossing Inputs'!$C$18*POWER(1+$C$26,P$2-2020)</f>
        <v>4.4922371195206603</v>
      </c>
      <c r="Q45" s="383">
        <f>'Crossing Inputs'!$C$18*POWER(1+$C$26,Q$2-2020)</f>
        <v>4.5398837679688882</v>
      </c>
      <c r="R45" s="383">
        <f>'Crossing Inputs'!$C$18*POWER(1+$C$26,R$2-2020)</f>
        <v>4.5880357777878418</v>
      </c>
      <c r="S45" s="383">
        <f>'Crossing Inputs'!$C$18*POWER(1+$C$26,S$2-2020)</f>
        <v>4.6366985090631392</v>
      </c>
      <c r="T45" s="383">
        <f>'Crossing Inputs'!$C$18*POWER(1+$C$26,T$2-2020)</f>
        <v>4.6858773787318269</v>
      </c>
      <c r="U45" s="383">
        <f>'Crossing Inputs'!$C$18*POWER(1+$C$26,U$2-2020)</f>
        <v>4.7355778611853809</v>
      </c>
      <c r="V45" s="383">
        <f>'Crossing Inputs'!$C$18*POWER(1+$C$26,V$2-2020)</f>
        <v>4.785805488879082</v>
      </c>
      <c r="W45" s="383">
        <f>'Crossing Inputs'!$C$18*POWER(1+$C$26,W$2-2020)</f>
        <v>4.8365658529478761</v>
      </c>
      <c r="X45" s="383">
        <f>'Crossing Inputs'!$C$18*POWER(1+$C$26,X$2-2020)</f>
        <v>4.887864603828751</v>
      </c>
      <c r="Y45" s="383">
        <f>'Crossing Inputs'!$C$18*POWER(1+$C$26,Y$2-2020)</f>
        <v>4.9397074518897224</v>
      </c>
      <c r="Z45" s="383">
        <f>'Crossing Inputs'!$C$18*POWER(1+$C$26,Z$2-2020)</f>
        <v>4.9921001680654866</v>
      </c>
      <c r="AA45" s="383">
        <f>'Crossing Inputs'!$C$18*POWER(1+$C$26,AA$2-2020)</f>
        <v>5.0450485844998205</v>
      </c>
      <c r="AB45" s="383">
        <f>'Crossing Inputs'!$C$18*POWER(1+$C$26,AB$2-2020)</f>
        <v>5.09855859519479</v>
      </c>
      <c r="AC45" s="383">
        <f>'Crossing Inputs'!$C$18*POWER(1+$C$26,AC$2-2020)</f>
        <v>5.1526361566668477</v>
      </c>
      <c r="AD45" s="383">
        <f>'Crossing Inputs'!$C$18*POWER(1+$C$26,AD$2-2020)</f>
        <v>5.2072872886098835</v>
      </c>
      <c r="AE45" s="383">
        <f>'Crossing Inputs'!$C$18*POWER(1+$C$26,AE$2-2020)</f>
        <v>5.2625180745653219</v>
      </c>
      <c r="AF45" s="383">
        <f>'Crossing Inputs'!$C$18*POWER(1+$C$26,AF$2-2020)</f>
        <v>5.3183346625993062</v>
      </c>
      <c r="AG45" s="383">
        <f>'Crossing Inputs'!$C$18*POWER(1+$C$26,AG$2-2020)</f>
        <v>5.3747432659870835</v>
      </c>
      <c r="AH45" s="383">
        <f>'Crossing Inputs'!$C$18*POWER(1+$C$26,AH$2-2020)</f>
        <v>5.4317501639046384</v>
      </c>
      <c r="AI45" s="383">
        <f>'Crossing Inputs'!$C$18*POWER(1+$C$26,AI$2-2020)</f>
        <v>5.4893617021276659</v>
      </c>
      <c r="AJ45" s="383">
        <f>'Crossing Inputs'!$C$18*POWER(1+$C$26,AJ$2-2020)</f>
        <v>5.5475842937379563</v>
      </c>
      <c r="AK45" s="383">
        <f>'Crossing Inputs'!$C$18*POWER(1+$C$26,AK$2-2020)</f>
        <v>5.6064244198372766</v>
      </c>
      <c r="AL45" s="383">
        <f>'Crossing Inputs'!$C$18*POWER(1+$C$26,AL$2-2020)</f>
        <v>5.6658886302688147</v>
      </c>
      <c r="AM45" s="383">
        <f>'Crossing Inputs'!$C$18*POWER(1+$C$26,AM$2-2020)</f>
        <v>5.7259835443462874</v>
      </c>
      <c r="AN45" s="383">
        <f>'Crossing Inputs'!$C$18*POWER(1+$C$26,AN$2-2020)</f>
        <v>5.7867158515907713</v>
      </c>
    </row>
    <row r="46" spans="1:40">
      <c r="B46" s="363" t="s">
        <v>844</v>
      </c>
      <c r="C46" s="358" t="s">
        <v>486</v>
      </c>
      <c r="E46" s="383">
        <f t="shared" ref="E46" si="8">SUM(E44:E44)</f>
        <v>8</v>
      </c>
      <c r="F46" s="383">
        <f t="shared" ref="F46:G46" si="9">SUM(F44:F44)</f>
        <v>8.0848515288584082</v>
      </c>
      <c r="G46" s="383">
        <f t="shared" si="9"/>
        <v>8.1706030304605175</v>
      </c>
      <c r="H46" s="383">
        <f t="shared" ref="H46:AN46" si="10">SUM(H44:H44)</f>
        <v>8.2572640503142321</v>
      </c>
      <c r="I46" s="383">
        <f t="shared" si="10"/>
        <v>8.3448442351713243</v>
      </c>
      <c r="J46" s="383">
        <f t="shared" si="10"/>
        <v>8.4333533341012696</v>
      </c>
      <c r="K46" s="383">
        <f t="shared" si="10"/>
        <v>8.5228011995764756</v>
      </c>
      <c r="L46" s="383">
        <f t="shared" si="10"/>
        <v>8.6131977885690176</v>
      </c>
      <c r="M46" s="383">
        <f t="shared" si="10"/>
        <v>8.7045531636590106</v>
      </c>
      <c r="N46" s="383">
        <f t="shared" si="10"/>
        <v>8.7968774941547299</v>
      </c>
      <c r="O46" s="383">
        <f t="shared" si="10"/>
        <v>8.8901810572246251</v>
      </c>
      <c r="P46" s="383">
        <f t="shared" si="10"/>
        <v>8.9844742390413206</v>
      </c>
      <c r="Q46" s="383">
        <f t="shared" si="10"/>
        <v>9.0797675359377763</v>
      </c>
      <c r="R46" s="383">
        <f t="shared" si="10"/>
        <v>9.1760715555756835</v>
      </c>
      <c r="S46" s="383">
        <f t="shared" si="10"/>
        <v>9.2733970181262784</v>
      </c>
      <c r="T46" s="383">
        <f t="shared" si="10"/>
        <v>9.3717547574636537</v>
      </c>
      <c r="U46" s="383">
        <f t="shared" si="10"/>
        <v>9.4711557223707619</v>
      </c>
      <c r="V46" s="383">
        <f t="shared" si="10"/>
        <v>9.5716109777581639</v>
      </c>
      <c r="W46" s="383">
        <f t="shared" si="10"/>
        <v>9.6731317058957522</v>
      </c>
      <c r="X46" s="383">
        <f t="shared" si="10"/>
        <v>9.775729207657502</v>
      </c>
      <c r="Y46" s="383">
        <f t="shared" si="10"/>
        <v>9.8794149037794448</v>
      </c>
      <c r="Z46" s="383">
        <f t="shared" si="10"/>
        <v>9.9842003361309732</v>
      </c>
      <c r="AA46" s="383">
        <f t="shared" si="10"/>
        <v>10.090097168999641</v>
      </c>
      <c r="AB46" s="383">
        <f t="shared" si="10"/>
        <v>10.19711719038958</v>
      </c>
      <c r="AC46" s="383">
        <f t="shared" si="10"/>
        <v>10.305272313333695</v>
      </c>
      <c r="AD46" s="383">
        <f t="shared" si="10"/>
        <v>10.414574577219767</v>
      </c>
      <c r="AE46" s="383">
        <f t="shared" si="10"/>
        <v>10.525036149130644</v>
      </c>
      <c r="AF46" s="383">
        <f t="shared" si="10"/>
        <v>10.636669325198612</v>
      </c>
      <c r="AG46" s="383">
        <f t="shared" si="10"/>
        <v>10.749486531974167</v>
      </c>
      <c r="AH46" s="383">
        <f t="shared" si="10"/>
        <v>10.863500327809277</v>
      </c>
      <c r="AI46" s="383">
        <f t="shared" si="10"/>
        <v>10.978723404255332</v>
      </c>
      <c r="AJ46" s="383">
        <f t="shared" si="10"/>
        <v>11.095168587475913</v>
      </c>
      <c r="AK46" s="383">
        <f t="shared" si="10"/>
        <v>11.212848839674553</v>
      </c>
      <c r="AL46" s="383">
        <f t="shared" si="10"/>
        <v>11.331777260537629</v>
      </c>
      <c r="AM46" s="383">
        <f t="shared" si="10"/>
        <v>11.451967088692575</v>
      </c>
      <c r="AN46" s="383">
        <f t="shared" si="10"/>
        <v>11.573431703181543</v>
      </c>
    </row>
    <row r="47" spans="1:40">
      <c r="B47" s="1212"/>
    </row>
    <row r="48" spans="1:40" ht="13">
      <c r="A48" s="390" t="s">
        <v>625</v>
      </c>
      <c r="B48" s="506"/>
      <c r="C48" s="391"/>
      <c r="D48" s="391"/>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row>
    <row r="50" spans="2:40" ht="13">
      <c r="B50" s="382" t="s">
        <v>1040</v>
      </c>
    </row>
    <row r="51" spans="2:40">
      <c r="B51" s="363" t="s">
        <v>1052</v>
      </c>
      <c r="C51" s="358" t="s">
        <v>1053</v>
      </c>
      <c r="E51" s="383">
        <f t="shared" ref="E51" si="11">IF(E$2&gt;VRCConstEnd,0,E29)</f>
        <v>2</v>
      </c>
      <c r="F51" s="383">
        <f t="shared" ref="F51:AN51" si="12">IF(F$2&gt;VRCConstEnd,0,F29)</f>
        <v>2.021212882214602</v>
      </c>
      <c r="G51" s="383">
        <f t="shared" si="12"/>
        <v>2.0426507576151294</v>
      </c>
      <c r="H51" s="383">
        <f t="shared" si="12"/>
        <v>2.064316012578558</v>
      </c>
      <c r="I51" s="383">
        <f t="shared" si="12"/>
        <v>2.0862110587928311</v>
      </c>
      <c r="J51" s="383">
        <f t="shared" si="12"/>
        <v>0</v>
      </c>
      <c r="K51" s="383">
        <f t="shared" si="12"/>
        <v>0</v>
      </c>
      <c r="L51" s="383">
        <f t="shared" si="12"/>
        <v>0</v>
      </c>
      <c r="M51" s="383">
        <f t="shared" si="12"/>
        <v>0</v>
      </c>
      <c r="N51" s="383">
        <f t="shared" si="12"/>
        <v>0</v>
      </c>
      <c r="O51" s="383">
        <f t="shared" si="12"/>
        <v>0</v>
      </c>
      <c r="P51" s="383">
        <f t="shared" si="12"/>
        <v>0</v>
      </c>
      <c r="Q51" s="383">
        <f t="shared" si="12"/>
        <v>0</v>
      </c>
      <c r="R51" s="383">
        <f t="shared" si="12"/>
        <v>0</v>
      </c>
      <c r="S51" s="383">
        <f t="shared" si="12"/>
        <v>0</v>
      </c>
      <c r="T51" s="383">
        <f t="shared" si="12"/>
        <v>0</v>
      </c>
      <c r="U51" s="383">
        <f t="shared" si="12"/>
        <v>0</v>
      </c>
      <c r="V51" s="383">
        <f t="shared" si="12"/>
        <v>0</v>
      </c>
      <c r="W51" s="383">
        <f t="shared" si="12"/>
        <v>0</v>
      </c>
      <c r="X51" s="383">
        <f t="shared" si="12"/>
        <v>0</v>
      </c>
      <c r="Y51" s="383">
        <f t="shared" si="12"/>
        <v>0</v>
      </c>
      <c r="Z51" s="383">
        <f t="shared" si="12"/>
        <v>0</v>
      </c>
      <c r="AA51" s="383">
        <f t="shared" si="12"/>
        <v>0</v>
      </c>
      <c r="AB51" s="383">
        <f t="shared" si="12"/>
        <v>0</v>
      </c>
      <c r="AC51" s="383">
        <f t="shared" si="12"/>
        <v>0</v>
      </c>
      <c r="AD51" s="383">
        <f t="shared" si="12"/>
        <v>0</v>
      </c>
      <c r="AE51" s="383">
        <f t="shared" si="12"/>
        <v>0</v>
      </c>
      <c r="AF51" s="383">
        <f t="shared" si="12"/>
        <v>0</v>
      </c>
      <c r="AG51" s="383">
        <f t="shared" si="12"/>
        <v>0</v>
      </c>
      <c r="AH51" s="383">
        <f t="shared" si="12"/>
        <v>0</v>
      </c>
      <c r="AI51" s="383">
        <f t="shared" si="12"/>
        <v>0</v>
      </c>
      <c r="AJ51" s="383">
        <f t="shared" si="12"/>
        <v>0</v>
      </c>
      <c r="AK51" s="383">
        <f t="shared" si="12"/>
        <v>0</v>
      </c>
      <c r="AL51" s="383">
        <f t="shared" si="12"/>
        <v>0</v>
      </c>
      <c r="AM51" s="383">
        <f t="shared" si="12"/>
        <v>0</v>
      </c>
      <c r="AN51" s="383">
        <f t="shared" si="12"/>
        <v>0</v>
      </c>
    </row>
    <row r="52" spans="2:40">
      <c r="B52" s="1170" t="s">
        <v>645</v>
      </c>
      <c r="C52" s="358" t="s">
        <v>1054</v>
      </c>
      <c r="E52" s="383">
        <f t="shared" ref="E52" si="13">IF(E$2&gt;VRCConstEnd,0,E30)</f>
        <v>1</v>
      </c>
      <c r="F52" s="383">
        <f t="shared" ref="F52:AN52" si="14">IF(F$2&gt;VRCConstEnd,0,F30)</f>
        <v>1.010606441107301</v>
      </c>
      <c r="G52" s="383">
        <f t="shared" si="14"/>
        <v>1.0213253788075647</v>
      </c>
      <c r="H52" s="383">
        <f t="shared" si="14"/>
        <v>1.032158006289279</v>
      </c>
      <c r="I52" s="383">
        <f t="shared" si="14"/>
        <v>1.0431055293964155</v>
      </c>
      <c r="J52" s="383">
        <f t="shared" si="14"/>
        <v>0</v>
      </c>
      <c r="K52" s="383">
        <f t="shared" si="14"/>
        <v>0</v>
      </c>
      <c r="L52" s="383">
        <f t="shared" si="14"/>
        <v>0</v>
      </c>
      <c r="M52" s="383">
        <f t="shared" si="14"/>
        <v>0</v>
      </c>
      <c r="N52" s="383">
        <f t="shared" si="14"/>
        <v>0</v>
      </c>
      <c r="O52" s="383">
        <f t="shared" si="14"/>
        <v>0</v>
      </c>
      <c r="P52" s="383">
        <f t="shared" si="14"/>
        <v>0</v>
      </c>
      <c r="Q52" s="383">
        <f t="shared" si="14"/>
        <v>0</v>
      </c>
      <c r="R52" s="383">
        <f t="shared" si="14"/>
        <v>0</v>
      </c>
      <c r="S52" s="383">
        <f t="shared" si="14"/>
        <v>0</v>
      </c>
      <c r="T52" s="383">
        <f t="shared" si="14"/>
        <v>0</v>
      </c>
      <c r="U52" s="383">
        <f t="shared" si="14"/>
        <v>0</v>
      </c>
      <c r="V52" s="383">
        <f t="shared" si="14"/>
        <v>0</v>
      </c>
      <c r="W52" s="383">
        <f t="shared" si="14"/>
        <v>0</v>
      </c>
      <c r="X52" s="383">
        <f t="shared" si="14"/>
        <v>0</v>
      </c>
      <c r="Y52" s="383">
        <f t="shared" si="14"/>
        <v>0</v>
      </c>
      <c r="Z52" s="383">
        <f t="shared" si="14"/>
        <v>0</v>
      </c>
      <c r="AA52" s="383">
        <f t="shared" si="14"/>
        <v>0</v>
      </c>
      <c r="AB52" s="383">
        <f t="shared" si="14"/>
        <v>0</v>
      </c>
      <c r="AC52" s="383">
        <f t="shared" si="14"/>
        <v>0</v>
      </c>
      <c r="AD52" s="383">
        <f t="shared" si="14"/>
        <v>0</v>
      </c>
      <c r="AE52" s="383">
        <f t="shared" si="14"/>
        <v>0</v>
      </c>
      <c r="AF52" s="383">
        <f t="shared" si="14"/>
        <v>0</v>
      </c>
      <c r="AG52" s="383">
        <f t="shared" si="14"/>
        <v>0</v>
      </c>
      <c r="AH52" s="383">
        <f t="shared" si="14"/>
        <v>0</v>
      </c>
      <c r="AI52" s="383">
        <f t="shared" si="14"/>
        <v>0</v>
      </c>
      <c r="AJ52" s="383">
        <f t="shared" si="14"/>
        <v>0</v>
      </c>
      <c r="AK52" s="383">
        <f t="shared" si="14"/>
        <v>0</v>
      </c>
      <c r="AL52" s="383">
        <f t="shared" si="14"/>
        <v>0</v>
      </c>
      <c r="AM52" s="383">
        <f t="shared" si="14"/>
        <v>0</v>
      </c>
      <c r="AN52" s="383">
        <f t="shared" si="14"/>
        <v>0</v>
      </c>
    </row>
    <row r="53" spans="2:40">
      <c r="B53" s="363" t="s">
        <v>844</v>
      </c>
      <c r="C53" s="358" t="s">
        <v>486</v>
      </c>
      <c r="E53" s="383">
        <f t="shared" ref="E53" si="15">SUM(E51:E51)</f>
        <v>2</v>
      </c>
      <c r="F53" s="383">
        <f t="shared" ref="F53:AL53" si="16">SUM(F51:F51)</f>
        <v>2.021212882214602</v>
      </c>
      <c r="G53" s="383">
        <f t="shared" si="16"/>
        <v>2.0426507576151294</v>
      </c>
      <c r="H53" s="383">
        <f t="shared" si="16"/>
        <v>2.064316012578558</v>
      </c>
      <c r="I53" s="383">
        <f t="shared" si="16"/>
        <v>2.0862110587928311</v>
      </c>
      <c r="J53" s="383">
        <f t="shared" si="16"/>
        <v>0</v>
      </c>
      <c r="K53" s="383">
        <f t="shared" si="16"/>
        <v>0</v>
      </c>
      <c r="L53" s="383">
        <f t="shared" si="16"/>
        <v>0</v>
      </c>
      <c r="M53" s="383">
        <f t="shared" si="16"/>
        <v>0</v>
      </c>
      <c r="N53" s="383">
        <f t="shared" si="16"/>
        <v>0</v>
      </c>
      <c r="O53" s="383">
        <f t="shared" si="16"/>
        <v>0</v>
      </c>
      <c r="P53" s="383">
        <f t="shared" si="16"/>
        <v>0</v>
      </c>
      <c r="Q53" s="383">
        <f t="shared" si="16"/>
        <v>0</v>
      </c>
      <c r="R53" s="383">
        <f t="shared" si="16"/>
        <v>0</v>
      </c>
      <c r="S53" s="383">
        <f t="shared" si="16"/>
        <v>0</v>
      </c>
      <c r="T53" s="383">
        <f t="shared" si="16"/>
        <v>0</v>
      </c>
      <c r="U53" s="383">
        <f t="shared" si="16"/>
        <v>0</v>
      </c>
      <c r="V53" s="383">
        <f t="shared" si="16"/>
        <v>0</v>
      </c>
      <c r="W53" s="383">
        <f t="shared" si="16"/>
        <v>0</v>
      </c>
      <c r="X53" s="383">
        <f t="shared" si="16"/>
        <v>0</v>
      </c>
      <c r="Y53" s="383">
        <f t="shared" si="16"/>
        <v>0</v>
      </c>
      <c r="Z53" s="383">
        <f t="shared" si="16"/>
        <v>0</v>
      </c>
      <c r="AA53" s="383">
        <f t="shared" si="16"/>
        <v>0</v>
      </c>
      <c r="AB53" s="383">
        <f t="shared" si="16"/>
        <v>0</v>
      </c>
      <c r="AC53" s="383">
        <f t="shared" si="16"/>
        <v>0</v>
      </c>
      <c r="AD53" s="383">
        <f t="shared" si="16"/>
        <v>0</v>
      </c>
      <c r="AE53" s="383">
        <f t="shared" si="16"/>
        <v>0</v>
      </c>
      <c r="AF53" s="383">
        <f t="shared" si="16"/>
        <v>0</v>
      </c>
      <c r="AG53" s="383">
        <f t="shared" si="16"/>
        <v>0</v>
      </c>
      <c r="AH53" s="383">
        <f t="shared" si="16"/>
        <v>0</v>
      </c>
      <c r="AI53" s="383">
        <f t="shared" si="16"/>
        <v>0</v>
      </c>
      <c r="AJ53" s="383">
        <f t="shared" si="16"/>
        <v>0</v>
      </c>
      <c r="AK53" s="383">
        <f t="shared" si="16"/>
        <v>0</v>
      </c>
      <c r="AL53" s="383">
        <f t="shared" si="16"/>
        <v>0</v>
      </c>
      <c r="AM53" s="383">
        <f t="shared" ref="AM53:AN53" si="17">SUM(AM51:AM51)</f>
        <v>0</v>
      </c>
      <c r="AN53" s="383">
        <f t="shared" si="17"/>
        <v>0</v>
      </c>
    </row>
    <row r="54" spans="2:40">
      <c r="B54" s="358"/>
    </row>
    <row r="55" spans="2:40" ht="13">
      <c r="B55" s="502" t="s">
        <v>1041</v>
      </c>
    </row>
    <row r="56" spans="2:40">
      <c r="B56" s="363" t="s">
        <v>1052</v>
      </c>
      <c r="C56" s="358" t="s">
        <v>1053</v>
      </c>
      <c r="E56" s="383">
        <f t="shared" ref="E56" si="18">IF(E$2&gt;VRCConstEnd,E29,0)</f>
        <v>0</v>
      </c>
      <c r="F56" s="383">
        <f t="shared" ref="F56:AN56" si="19">IF(F$2&gt;VRCConstEnd,F29,0)</f>
        <v>0</v>
      </c>
      <c r="G56" s="383">
        <f t="shared" si="19"/>
        <v>0</v>
      </c>
      <c r="H56" s="383">
        <f t="shared" si="19"/>
        <v>0</v>
      </c>
      <c r="I56" s="383">
        <f t="shared" si="19"/>
        <v>0</v>
      </c>
      <c r="J56" s="383">
        <f t="shared" si="19"/>
        <v>2.1083383335253174</v>
      </c>
      <c r="K56" s="383">
        <f t="shared" si="19"/>
        <v>2.1307002998941189</v>
      </c>
      <c r="L56" s="383">
        <f t="shared" si="19"/>
        <v>2.1532994471422544</v>
      </c>
      <c r="M56" s="383">
        <f t="shared" si="19"/>
        <v>2.1761382909147526</v>
      </c>
      <c r="N56" s="383">
        <f t="shared" si="19"/>
        <v>2.1992193735386825</v>
      </c>
      <c r="O56" s="383">
        <f t="shared" si="19"/>
        <v>2.2225452643061563</v>
      </c>
      <c r="P56" s="383">
        <f t="shared" si="19"/>
        <v>2.2461185597603301</v>
      </c>
      <c r="Q56" s="383">
        <f t="shared" si="19"/>
        <v>2.2699418839844441</v>
      </c>
      <c r="R56" s="383">
        <f t="shared" si="19"/>
        <v>2.2940178888939209</v>
      </c>
      <c r="S56" s="383">
        <f t="shared" si="19"/>
        <v>2.3183492545315696</v>
      </c>
      <c r="T56" s="383">
        <f t="shared" si="19"/>
        <v>2.3429386893659134</v>
      </c>
      <c r="U56" s="383">
        <f t="shared" si="19"/>
        <v>2.3677889305926905</v>
      </c>
      <c r="V56" s="383">
        <f t="shared" si="19"/>
        <v>2.392902744439541</v>
      </c>
      <c r="W56" s="383">
        <f t="shared" si="19"/>
        <v>2.4182829264739381</v>
      </c>
      <c r="X56" s="383">
        <f t="shared" si="19"/>
        <v>2.4439323019143755</v>
      </c>
      <c r="Y56" s="383">
        <f t="shared" si="19"/>
        <v>2.4698537259448612</v>
      </c>
      <c r="Z56" s="383">
        <f t="shared" si="19"/>
        <v>2.4960500840327433</v>
      </c>
      <c r="AA56" s="383">
        <f t="shared" si="19"/>
        <v>2.5225242922499103</v>
      </c>
      <c r="AB56" s="383">
        <f t="shared" si="19"/>
        <v>2.549279297597395</v>
      </c>
      <c r="AC56" s="383">
        <f t="shared" si="19"/>
        <v>2.5763180783334239</v>
      </c>
      <c r="AD56" s="383">
        <f t="shared" si="19"/>
        <v>2.6036436443049418</v>
      </c>
      <c r="AE56" s="383">
        <f t="shared" si="19"/>
        <v>2.631259037282661</v>
      </c>
      <c r="AF56" s="383">
        <f t="shared" si="19"/>
        <v>2.6591673312996531</v>
      </c>
      <c r="AG56" s="383">
        <f t="shared" si="19"/>
        <v>2.6873716329935418</v>
      </c>
      <c r="AH56" s="383">
        <f t="shared" si="19"/>
        <v>2.7158750819523192</v>
      </c>
      <c r="AI56" s="383">
        <f t="shared" si="19"/>
        <v>2.744680851063833</v>
      </c>
      <c r="AJ56" s="383">
        <f t="shared" si="19"/>
        <v>2.7737921468689781</v>
      </c>
      <c r="AK56" s="383">
        <f t="shared" si="19"/>
        <v>2.8032122099186383</v>
      </c>
      <c r="AL56" s="383">
        <f t="shared" si="19"/>
        <v>2.8329443151344074</v>
      </c>
      <c r="AM56" s="383">
        <f t="shared" si="19"/>
        <v>2.8629917721731437</v>
      </c>
      <c r="AN56" s="383">
        <f t="shared" si="19"/>
        <v>2.8933579257953856</v>
      </c>
    </row>
    <row r="57" spans="2:40">
      <c r="B57" s="1170" t="s">
        <v>645</v>
      </c>
      <c r="C57" s="358" t="s">
        <v>1054</v>
      </c>
      <c r="E57" s="383">
        <f t="shared" ref="E57" si="20">IF(E$2&gt;VRCConstEnd,E30,0)</f>
        <v>0</v>
      </c>
      <c r="F57" s="383">
        <f t="shared" ref="F57:AN57" si="21">IF(F$2&gt;VRCConstEnd,F30,0)</f>
        <v>0</v>
      </c>
      <c r="G57" s="383">
        <f t="shared" si="21"/>
        <v>0</v>
      </c>
      <c r="H57" s="383">
        <f t="shared" si="21"/>
        <v>0</v>
      </c>
      <c r="I57" s="383">
        <f t="shared" si="21"/>
        <v>0</v>
      </c>
      <c r="J57" s="383">
        <f t="shared" si="21"/>
        <v>1.0541691667626587</v>
      </c>
      <c r="K57" s="383">
        <f t="shared" si="21"/>
        <v>1.0653501499470595</v>
      </c>
      <c r="L57" s="383">
        <f t="shared" si="21"/>
        <v>1.0766497235711272</v>
      </c>
      <c r="M57" s="383">
        <f t="shared" si="21"/>
        <v>1.0880691454573763</v>
      </c>
      <c r="N57" s="383">
        <f t="shared" si="21"/>
        <v>1.0996096867693412</v>
      </c>
      <c r="O57" s="383">
        <f t="shared" si="21"/>
        <v>1.1112726321530781</v>
      </c>
      <c r="P57" s="383">
        <f t="shared" si="21"/>
        <v>1.1230592798801651</v>
      </c>
      <c r="Q57" s="383">
        <f t="shared" si="21"/>
        <v>1.134970941992222</v>
      </c>
      <c r="R57" s="383">
        <f t="shared" si="21"/>
        <v>1.1470089444469604</v>
      </c>
      <c r="S57" s="383">
        <f t="shared" si="21"/>
        <v>1.1591746272657848</v>
      </c>
      <c r="T57" s="383">
        <f t="shared" si="21"/>
        <v>1.1714693446829567</v>
      </c>
      <c r="U57" s="383">
        <f t="shared" si="21"/>
        <v>1.1838944652963452</v>
      </c>
      <c r="V57" s="383">
        <f t="shared" si="21"/>
        <v>1.1964513722197705</v>
      </c>
      <c r="W57" s="383">
        <f t="shared" si="21"/>
        <v>1.209141463236969</v>
      </c>
      <c r="X57" s="383">
        <f t="shared" si="21"/>
        <v>1.2219661509571877</v>
      </c>
      <c r="Y57" s="383">
        <f t="shared" si="21"/>
        <v>1.2349268629724306</v>
      </c>
      <c r="Z57" s="383">
        <f t="shared" si="21"/>
        <v>1.2480250420163717</v>
      </c>
      <c r="AA57" s="383">
        <f t="shared" si="21"/>
        <v>1.2612621461249551</v>
      </c>
      <c r="AB57" s="383">
        <f t="shared" si="21"/>
        <v>1.2746396487986975</v>
      </c>
      <c r="AC57" s="383">
        <f t="shared" si="21"/>
        <v>1.2881590391667119</v>
      </c>
      <c r="AD57" s="383">
        <f t="shared" si="21"/>
        <v>1.3018218221524709</v>
      </c>
      <c r="AE57" s="383">
        <f t="shared" si="21"/>
        <v>1.3156295186413305</v>
      </c>
      <c r="AF57" s="383">
        <f t="shared" si="21"/>
        <v>1.3295836656498266</v>
      </c>
      <c r="AG57" s="383">
        <f t="shared" si="21"/>
        <v>1.3436858164967709</v>
      </c>
      <c r="AH57" s="383">
        <f t="shared" si="21"/>
        <v>1.3579375409761596</v>
      </c>
      <c r="AI57" s="383">
        <f t="shared" si="21"/>
        <v>1.3723404255319165</v>
      </c>
      <c r="AJ57" s="383">
        <f t="shared" si="21"/>
        <v>1.3868960734344891</v>
      </c>
      <c r="AK57" s="383">
        <f t="shared" si="21"/>
        <v>1.4016061049593191</v>
      </c>
      <c r="AL57" s="383">
        <f t="shared" si="21"/>
        <v>1.4164721575672037</v>
      </c>
      <c r="AM57" s="383">
        <f t="shared" si="21"/>
        <v>1.4314958860865719</v>
      </c>
      <c r="AN57" s="383">
        <f t="shared" si="21"/>
        <v>1.4466789628976928</v>
      </c>
    </row>
    <row r="58" spans="2:40">
      <c r="B58" s="363" t="s">
        <v>844</v>
      </c>
      <c r="C58" s="358" t="s">
        <v>486</v>
      </c>
      <c r="E58" s="383">
        <f t="shared" ref="E58" si="22">SUM(E56:E56)</f>
        <v>0</v>
      </c>
      <c r="F58" s="383">
        <f t="shared" ref="F58:AM58" si="23">SUM(F56:F56)</f>
        <v>0</v>
      </c>
      <c r="G58" s="383">
        <f t="shared" si="23"/>
        <v>0</v>
      </c>
      <c r="H58" s="383">
        <f t="shared" si="23"/>
        <v>0</v>
      </c>
      <c r="I58" s="383">
        <f t="shared" si="23"/>
        <v>0</v>
      </c>
      <c r="J58" s="383">
        <f t="shared" si="23"/>
        <v>2.1083383335253174</v>
      </c>
      <c r="K58" s="383">
        <f t="shared" si="23"/>
        <v>2.1307002998941189</v>
      </c>
      <c r="L58" s="383">
        <f t="shared" si="23"/>
        <v>2.1532994471422544</v>
      </c>
      <c r="M58" s="383">
        <f t="shared" si="23"/>
        <v>2.1761382909147526</v>
      </c>
      <c r="N58" s="383">
        <f t="shared" si="23"/>
        <v>2.1992193735386825</v>
      </c>
      <c r="O58" s="383">
        <f t="shared" si="23"/>
        <v>2.2225452643061563</v>
      </c>
      <c r="P58" s="383">
        <f t="shared" si="23"/>
        <v>2.2461185597603301</v>
      </c>
      <c r="Q58" s="383">
        <f t="shared" si="23"/>
        <v>2.2699418839844441</v>
      </c>
      <c r="R58" s="383">
        <f t="shared" si="23"/>
        <v>2.2940178888939209</v>
      </c>
      <c r="S58" s="383">
        <f t="shared" si="23"/>
        <v>2.3183492545315696</v>
      </c>
      <c r="T58" s="383">
        <f t="shared" si="23"/>
        <v>2.3429386893659134</v>
      </c>
      <c r="U58" s="383">
        <f t="shared" si="23"/>
        <v>2.3677889305926905</v>
      </c>
      <c r="V58" s="383">
        <f t="shared" si="23"/>
        <v>2.392902744439541</v>
      </c>
      <c r="W58" s="383">
        <f t="shared" si="23"/>
        <v>2.4182829264739381</v>
      </c>
      <c r="X58" s="383">
        <f t="shared" si="23"/>
        <v>2.4439323019143755</v>
      </c>
      <c r="Y58" s="383">
        <f t="shared" si="23"/>
        <v>2.4698537259448612</v>
      </c>
      <c r="Z58" s="383">
        <f t="shared" si="23"/>
        <v>2.4960500840327433</v>
      </c>
      <c r="AA58" s="383">
        <f t="shared" si="23"/>
        <v>2.5225242922499103</v>
      </c>
      <c r="AB58" s="383">
        <f t="shared" si="23"/>
        <v>2.549279297597395</v>
      </c>
      <c r="AC58" s="383">
        <f t="shared" si="23"/>
        <v>2.5763180783334239</v>
      </c>
      <c r="AD58" s="383">
        <f t="shared" si="23"/>
        <v>2.6036436443049418</v>
      </c>
      <c r="AE58" s="383">
        <f t="shared" si="23"/>
        <v>2.631259037282661</v>
      </c>
      <c r="AF58" s="383">
        <f t="shared" si="23"/>
        <v>2.6591673312996531</v>
      </c>
      <c r="AG58" s="383">
        <f t="shared" si="23"/>
        <v>2.6873716329935418</v>
      </c>
      <c r="AH58" s="383">
        <f t="shared" si="23"/>
        <v>2.7158750819523192</v>
      </c>
      <c r="AI58" s="383">
        <f t="shared" si="23"/>
        <v>2.744680851063833</v>
      </c>
      <c r="AJ58" s="383">
        <f t="shared" si="23"/>
        <v>2.7737921468689781</v>
      </c>
      <c r="AK58" s="383">
        <f t="shared" si="23"/>
        <v>2.8032122099186383</v>
      </c>
      <c r="AL58" s="383">
        <f t="shared" si="23"/>
        <v>2.8329443151344074</v>
      </c>
      <c r="AM58" s="383">
        <f t="shared" si="23"/>
        <v>2.8629917721731437</v>
      </c>
      <c r="AN58" s="383">
        <f t="shared" ref="AN58" si="24">SUM(AN56:AN56)</f>
        <v>2.8933579257953856</v>
      </c>
    </row>
    <row r="60" spans="2:40" ht="26">
      <c r="B60" s="502" t="s">
        <v>1148</v>
      </c>
    </row>
    <row r="61" spans="2:40">
      <c r="B61" s="363" t="s">
        <v>1052</v>
      </c>
      <c r="C61" s="358" t="s">
        <v>1053</v>
      </c>
      <c r="E61" s="383">
        <f t="shared" ref="E61" si="25">IF(E$2&gt;VRCConstEnd,E39+E29,E39)</f>
        <v>6</v>
      </c>
      <c r="F61" s="383">
        <f t="shared" ref="F61:AN61" si="26">IF(F$2&gt;VRCConstEnd,F39+F29,F39)</f>
        <v>6.0636386466438061</v>
      </c>
      <c r="G61" s="383">
        <f t="shared" si="26"/>
        <v>6.1279522728453877</v>
      </c>
      <c r="H61" s="383">
        <f t="shared" si="26"/>
        <v>6.1929480377356736</v>
      </c>
      <c r="I61" s="383">
        <f t="shared" si="26"/>
        <v>6.2586331763784937</v>
      </c>
      <c r="J61" s="383">
        <f t="shared" si="26"/>
        <v>8.4333533341012696</v>
      </c>
      <c r="K61" s="383">
        <f t="shared" si="26"/>
        <v>8.5228011995764756</v>
      </c>
      <c r="L61" s="383">
        <f t="shared" si="26"/>
        <v>8.6131977885690176</v>
      </c>
      <c r="M61" s="383">
        <f t="shared" si="26"/>
        <v>8.7045531636590106</v>
      </c>
      <c r="N61" s="383">
        <f t="shared" si="26"/>
        <v>8.7968774941547299</v>
      </c>
      <c r="O61" s="383">
        <f t="shared" si="26"/>
        <v>8.8901810572246251</v>
      </c>
      <c r="P61" s="383">
        <f t="shared" si="26"/>
        <v>8.9844742390413206</v>
      </c>
      <c r="Q61" s="383">
        <f t="shared" si="26"/>
        <v>9.0797675359377763</v>
      </c>
      <c r="R61" s="383">
        <f t="shared" si="26"/>
        <v>9.1760715555756835</v>
      </c>
      <c r="S61" s="383">
        <f t="shared" si="26"/>
        <v>9.2733970181262784</v>
      </c>
      <c r="T61" s="383">
        <f t="shared" si="26"/>
        <v>9.3717547574636537</v>
      </c>
      <c r="U61" s="383">
        <f t="shared" si="26"/>
        <v>9.4711557223707619</v>
      </c>
      <c r="V61" s="383">
        <f t="shared" si="26"/>
        <v>9.5716109777581639</v>
      </c>
      <c r="W61" s="383">
        <f t="shared" si="26"/>
        <v>9.6731317058957522</v>
      </c>
      <c r="X61" s="383">
        <f t="shared" si="26"/>
        <v>9.775729207657502</v>
      </c>
      <c r="Y61" s="383">
        <f t="shared" si="26"/>
        <v>9.8794149037794448</v>
      </c>
      <c r="Z61" s="383">
        <f t="shared" si="26"/>
        <v>9.9842003361309732</v>
      </c>
      <c r="AA61" s="383">
        <f t="shared" si="26"/>
        <v>10.090097168999641</v>
      </c>
      <c r="AB61" s="383">
        <f t="shared" si="26"/>
        <v>10.19711719038958</v>
      </c>
      <c r="AC61" s="383">
        <f t="shared" si="26"/>
        <v>10.305272313333695</v>
      </c>
      <c r="AD61" s="383">
        <f t="shared" si="26"/>
        <v>10.414574577219767</v>
      </c>
      <c r="AE61" s="383">
        <f t="shared" si="26"/>
        <v>10.525036149130644</v>
      </c>
      <c r="AF61" s="383">
        <f t="shared" si="26"/>
        <v>10.636669325198612</v>
      </c>
      <c r="AG61" s="383">
        <f t="shared" si="26"/>
        <v>10.749486531974167</v>
      </c>
      <c r="AH61" s="383">
        <f t="shared" si="26"/>
        <v>10.863500327809277</v>
      </c>
      <c r="AI61" s="383">
        <f t="shared" si="26"/>
        <v>10.978723404255332</v>
      </c>
      <c r="AJ61" s="383">
        <f t="shared" si="26"/>
        <v>11.095168587475913</v>
      </c>
      <c r="AK61" s="383">
        <f t="shared" si="26"/>
        <v>11.212848839674553</v>
      </c>
      <c r="AL61" s="383">
        <f t="shared" si="26"/>
        <v>11.331777260537629</v>
      </c>
      <c r="AM61" s="383">
        <f t="shared" si="26"/>
        <v>11.451967088692575</v>
      </c>
      <c r="AN61" s="383">
        <f t="shared" si="26"/>
        <v>11.573431703181543</v>
      </c>
    </row>
    <row r="62" spans="2:40">
      <c r="B62" s="1170" t="s">
        <v>645</v>
      </c>
      <c r="C62" s="358" t="s">
        <v>1054</v>
      </c>
      <c r="E62" s="383">
        <f t="shared" ref="E62" si="27">IF(E$2&gt;VRCConstEnd,E40+E30,E40)</f>
        <v>2</v>
      </c>
      <c r="F62" s="383">
        <f t="shared" ref="F62:AN62" si="28">IF(F$2&gt;VRCConstEnd,F40+F30,F40)</f>
        <v>2.021212882214602</v>
      </c>
      <c r="G62" s="383">
        <f t="shared" si="28"/>
        <v>2.0426507576151294</v>
      </c>
      <c r="H62" s="383">
        <f t="shared" si="28"/>
        <v>2.064316012578558</v>
      </c>
      <c r="I62" s="383">
        <f t="shared" si="28"/>
        <v>2.0862110587928311</v>
      </c>
      <c r="J62" s="383">
        <f t="shared" si="28"/>
        <v>3.1625075002879761</v>
      </c>
      <c r="K62" s="383">
        <f t="shared" si="28"/>
        <v>3.1960504498411781</v>
      </c>
      <c r="L62" s="383">
        <f t="shared" si="28"/>
        <v>3.2299491707133816</v>
      </c>
      <c r="M62" s="383">
        <f t="shared" si="28"/>
        <v>3.264207436372129</v>
      </c>
      <c r="N62" s="383">
        <f t="shared" si="28"/>
        <v>3.2988290603080239</v>
      </c>
      <c r="O62" s="383">
        <f t="shared" si="28"/>
        <v>3.3338178964592347</v>
      </c>
      <c r="P62" s="383">
        <f t="shared" si="28"/>
        <v>3.3691778396404954</v>
      </c>
      <c r="Q62" s="383">
        <f t="shared" si="28"/>
        <v>3.4049128259766661</v>
      </c>
      <c r="R62" s="383">
        <f t="shared" si="28"/>
        <v>3.4410268333408816</v>
      </c>
      <c r="S62" s="383">
        <f t="shared" si="28"/>
        <v>3.4775238817973544</v>
      </c>
      <c r="T62" s="383">
        <f t="shared" si="28"/>
        <v>3.5144080340488699</v>
      </c>
      <c r="U62" s="383">
        <f t="shared" si="28"/>
        <v>3.5516833958890359</v>
      </c>
      <c r="V62" s="383">
        <f t="shared" si="28"/>
        <v>3.5893541166593117</v>
      </c>
      <c r="W62" s="383">
        <f t="shared" si="28"/>
        <v>3.6274243897109071</v>
      </c>
      <c r="X62" s="383">
        <f t="shared" si="28"/>
        <v>3.6658984528715632</v>
      </c>
      <c r="Y62" s="383">
        <f t="shared" si="28"/>
        <v>3.7047805889172918</v>
      </c>
      <c r="Z62" s="383">
        <f t="shared" si="28"/>
        <v>3.7440751260491147</v>
      </c>
      <c r="AA62" s="383">
        <f t="shared" si="28"/>
        <v>3.7837864383748654</v>
      </c>
      <c r="AB62" s="383">
        <f t="shared" si="28"/>
        <v>3.8239189463960925</v>
      </c>
      <c r="AC62" s="383">
        <f t="shared" si="28"/>
        <v>3.8644771175001358</v>
      </c>
      <c r="AD62" s="383">
        <f t="shared" si="28"/>
        <v>3.9054654664574127</v>
      </c>
      <c r="AE62" s="383">
        <f t="shared" si="28"/>
        <v>3.9468885559239917</v>
      </c>
      <c r="AF62" s="383">
        <f t="shared" si="28"/>
        <v>3.9887509969494799</v>
      </c>
      <c r="AG62" s="383">
        <f t="shared" si="28"/>
        <v>4.0310574494903122</v>
      </c>
      <c r="AH62" s="383">
        <f t="shared" si="28"/>
        <v>4.0738126229284788</v>
      </c>
      <c r="AI62" s="383">
        <f t="shared" si="28"/>
        <v>4.1170212765957492</v>
      </c>
      <c r="AJ62" s="383">
        <f t="shared" si="28"/>
        <v>4.1606882203034674</v>
      </c>
      <c r="AK62" s="383">
        <f t="shared" si="28"/>
        <v>4.2048183148779579</v>
      </c>
      <c r="AL62" s="383">
        <f t="shared" si="28"/>
        <v>4.2494164727016113</v>
      </c>
      <c r="AM62" s="383">
        <f t="shared" si="28"/>
        <v>4.2944876582597153</v>
      </c>
      <c r="AN62" s="383">
        <f t="shared" si="28"/>
        <v>4.3400368886930787</v>
      </c>
    </row>
    <row r="63" spans="2:40">
      <c r="B63" s="363" t="s">
        <v>844</v>
      </c>
      <c r="C63" s="358" t="s">
        <v>486</v>
      </c>
      <c r="E63" s="383">
        <f t="shared" ref="E63:F63" si="29">SUM(E61:E61)</f>
        <v>6</v>
      </c>
      <c r="F63" s="383">
        <f t="shared" si="29"/>
        <v>6.0636386466438061</v>
      </c>
      <c r="G63" s="383">
        <f t="shared" ref="G63:AN63" si="30">SUM(G61:G61)</f>
        <v>6.1279522728453877</v>
      </c>
      <c r="H63" s="383">
        <f t="shared" si="30"/>
        <v>6.1929480377356736</v>
      </c>
      <c r="I63" s="383">
        <f t="shared" si="30"/>
        <v>6.2586331763784937</v>
      </c>
      <c r="J63" s="383">
        <f t="shared" si="30"/>
        <v>8.4333533341012696</v>
      </c>
      <c r="K63" s="383">
        <f t="shared" si="30"/>
        <v>8.5228011995764756</v>
      </c>
      <c r="L63" s="383">
        <f t="shared" si="30"/>
        <v>8.6131977885690176</v>
      </c>
      <c r="M63" s="383">
        <f t="shared" si="30"/>
        <v>8.7045531636590106</v>
      </c>
      <c r="N63" s="383">
        <f t="shared" si="30"/>
        <v>8.7968774941547299</v>
      </c>
      <c r="O63" s="383">
        <f t="shared" si="30"/>
        <v>8.8901810572246251</v>
      </c>
      <c r="P63" s="383">
        <f t="shared" si="30"/>
        <v>8.9844742390413206</v>
      </c>
      <c r="Q63" s="383">
        <f t="shared" si="30"/>
        <v>9.0797675359377763</v>
      </c>
      <c r="R63" s="383">
        <f t="shared" si="30"/>
        <v>9.1760715555756835</v>
      </c>
      <c r="S63" s="383">
        <f t="shared" si="30"/>
        <v>9.2733970181262784</v>
      </c>
      <c r="T63" s="383">
        <f t="shared" si="30"/>
        <v>9.3717547574636537</v>
      </c>
      <c r="U63" s="383">
        <f t="shared" si="30"/>
        <v>9.4711557223707619</v>
      </c>
      <c r="V63" s="383">
        <f t="shared" si="30"/>
        <v>9.5716109777581639</v>
      </c>
      <c r="W63" s="383">
        <f t="shared" si="30"/>
        <v>9.6731317058957522</v>
      </c>
      <c r="X63" s="383">
        <f t="shared" si="30"/>
        <v>9.775729207657502</v>
      </c>
      <c r="Y63" s="383">
        <f t="shared" si="30"/>
        <v>9.8794149037794448</v>
      </c>
      <c r="Z63" s="383">
        <f t="shared" si="30"/>
        <v>9.9842003361309732</v>
      </c>
      <c r="AA63" s="383">
        <f t="shared" si="30"/>
        <v>10.090097168999641</v>
      </c>
      <c r="AB63" s="383">
        <f t="shared" si="30"/>
        <v>10.19711719038958</v>
      </c>
      <c r="AC63" s="383">
        <f t="shared" si="30"/>
        <v>10.305272313333695</v>
      </c>
      <c r="AD63" s="383">
        <f t="shared" si="30"/>
        <v>10.414574577219767</v>
      </c>
      <c r="AE63" s="383">
        <f t="shared" si="30"/>
        <v>10.525036149130644</v>
      </c>
      <c r="AF63" s="383">
        <f t="shared" si="30"/>
        <v>10.636669325198612</v>
      </c>
      <c r="AG63" s="383">
        <f t="shared" si="30"/>
        <v>10.749486531974167</v>
      </c>
      <c r="AH63" s="383">
        <f t="shared" si="30"/>
        <v>10.863500327809277</v>
      </c>
      <c r="AI63" s="383">
        <f t="shared" si="30"/>
        <v>10.978723404255332</v>
      </c>
      <c r="AJ63" s="383">
        <f t="shared" si="30"/>
        <v>11.095168587475913</v>
      </c>
      <c r="AK63" s="383">
        <f t="shared" si="30"/>
        <v>11.212848839674553</v>
      </c>
      <c r="AL63" s="383">
        <f t="shared" si="30"/>
        <v>11.331777260537629</v>
      </c>
      <c r="AM63" s="383">
        <f t="shared" si="30"/>
        <v>11.451967088692575</v>
      </c>
      <c r="AN63" s="383">
        <f t="shared" si="30"/>
        <v>11.573431703181543</v>
      </c>
    </row>
    <row r="65" spans="2:40" ht="13">
      <c r="B65" s="502" t="s">
        <v>1144</v>
      </c>
    </row>
    <row r="66" spans="2:40">
      <c r="B66" s="363" t="s">
        <v>1052</v>
      </c>
      <c r="C66" s="358" t="s">
        <v>1053</v>
      </c>
      <c r="E66" s="383">
        <f t="shared" ref="E66" si="31">IF(E$2&gt;VRCConstEnd,E44-E29,E44)</f>
        <v>8</v>
      </c>
      <c r="F66" s="383">
        <f t="shared" ref="F66:AN66" si="32">IF(F$2&gt;VRCConstEnd,F44-F29,F44)</f>
        <v>8.0848515288584082</v>
      </c>
      <c r="G66" s="383">
        <f t="shared" si="32"/>
        <v>8.1706030304605175</v>
      </c>
      <c r="H66" s="383">
        <f t="shared" si="32"/>
        <v>8.2572640503142321</v>
      </c>
      <c r="I66" s="383">
        <f t="shared" si="32"/>
        <v>8.3448442351713243</v>
      </c>
      <c r="J66" s="383">
        <f t="shared" si="32"/>
        <v>6.3250150005759522</v>
      </c>
      <c r="K66" s="383">
        <f t="shared" si="32"/>
        <v>6.3921008996823563</v>
      </c>
      <c r="L66" s="383">
        <f t="shared" si="32"/>
        <v>6.4598983414267632</v>
      </c>
      <c r="M66" s="383">
        <f t="shared" si="32"/>
        <v>6.5284148727442579</v>
      </c>
      <c r="N66" s="383">
        <f t="shared" si="32"/>
        <v>6.5976581206160478</v>
      </c>
      <c r="O66" s="383">
        <f t="shared" si="32"/>
        <v>6.6676357929184693</v>
      </c>
      <c r="P66" s="383">
        <f t="shared" si="32"/>
        <v>6.7383556792809909</v>
      </c>
      <c r="Q66" s="383">
        <f t="shared" si="32"/>
        <v>6.8098256519533322</v>
      </c>
      <c r="R66" s="383">
        <f t="shared" si="32"/>
        <v>6.8820536666817631</v>
      </c>
      <c r="S66" s="383">
        <f t="shared" si="32"/>
        <v>6.9550477635947088</v>
      </c>
      <c r="T66" s="383">
        <f t="shared" si="32"/>
        <v>7.0288160680977398</v>
      </c>
      <c r="U66" s="383">
        <f t="shared" si="32"/>
        <v>7.1033667917780718</v>
      </c>
      <c r="V66" s="383">
        <f t="shared" si="32"/>
        <v>7.1787082333186234</v>
      </c>
      <c r="W66" s="383">
        <f t="shared" si="32"/>
        <v>7.2548487794218142</v>
      </c>
      <c r="X66" s="383">
        <f t="shared" si="32"/>
        <v>7.3317969057431265</v>
      </c>
      <c r="Y66" s="383">
        <f t="shared" si="32"/>
        <v>7.4095611778345836</v>
      </c>
      <c r="Z66" s="383">
        <f t="shared" si="32"/>
        <v>7.4881502520982295</v>
      </c>
      <c r="AA66" s="383">
        <f t="shared" si="32"/>
        <v>7.5675728767497308</v>
      </c>
      <c r="AB66" s="383">
        <f t="shared" si="32"/>
        <v>7.6478378927921851</v>
      </c>
      <c r="AC66" s="383">
        <f t="shared" si="32"/>
        <v>7.7289542350002716</v>
      </c>
      <c r="AD66" s="383">
        <f t="shared" si="32"/>
        <v>7.8109309329148253</v>
      </c>
      <c r="AE66" s="383">
        <f t="shared" si="32"/>
        <v>7.8937771118479834</v>
      </c>
      <c r="AF66" s="383">
        <f t="shared" si="32"/>
        <v>7.9775019938989598</v>
      </c>
      <c r="AG66" s="383">
        <f t="shared" si="32"/>
        <v>8.0621148989806244</v>
      </c>
      <c r="AH66" s="383">
        <f t="shared" si="32"/>
        <v>8.1476252458569576</v>
      </c>
      <c r="AI66" s="383">
        <f t="shared" si="32"/>
        <v>8.2340425531914985</v>
      </c>
      <c r="AJ66" s="383">
        <f t="shared" si="32"/>
        <v>8.3213764406069348</v>
      </c>
      <c r="AK66" s="383">
        <f t="shared" si="32"/>
        <v>8.4096366297559157</v>
      </c>
      <c r="AL66" s="383">
        <f t="shared" si="32"/>
        <v>8.4988329454032225</v>
      </c>
      <c r="AM66" s="383">
        <f t="shared" si="32"/>
        <v>8.5889753165194307</v>
      </c>
      <c r="AN66" s="383">
        <f t="shared" si="32"/>
        <v>8.6800737773861574</v>
      </c>
    </row>
    <row r="67" spans="2:40">
      <c r="B67" s="1170" t="s">
        <v>645</v>
      </c>
      <c r="C67" s="358" t="s">
        <v>1054</v>
      </c>
      <c r="E67" s="383">
        <f t="shared" ref="E67" si="33">IF(E$2&gt;VRCConstEnd,E45+E30,E45)</f>
        <v>4</v>
      </c>
      <c r="F67" s="383">
        <f t="shared" ref="F67:I67" si="34">IF(F$2&gt;VRCConstEnd,F45+F30,F45)</f>
        <v>4.0424257644292041</v>
      </c>
      <c r="G67" s="383">
        <f t="shared" si="34"/>
        <v>4.0853015152302588</v>
      </c>
      <c r="H67" s="383">
        <f t="shared" si="34"/>
        <v>4.128632025157116</v>
      </c>
      <c r="I67" s="383">
        <f t="shared" si="34"/>
        <v>4.1724221175856622</v>
      </c>
      <c r="J67" s="383">
        <f t="shared" ref="J67:AN67" si="35">IF(J$2&gt;VRCConstEnd,J45-J30,J45)</f>
        <v>3.1625075002879761</v>
      </c>
      <c r="K67" s="383">
        <f t="shared" si="35"/>
        <v>3.1960504498411781</v>
      </c>
      <c r="L67" s="383">
        <f t="shared" si="35"/>
        <v>3.2299491707133816</v>
      </c>
      <c r="M67" s="383">
        <f t="shared" si="35"/>
        <v>3.264207436372129</v>
      </c>
      <c r="N67" s="383">
        <f t="shared" si="35"/>
        <v>3.2988290603080239</v>
      </c>
      <c r="O67" s="383">
        <f t="shared" si="35"/>
        <v>3.3338178964592347</v>
      </c>
      <c r="P67" s="383">
        <f t="shared" si="35"/>
        <v>3.3691778396404954</v>
      </c>
      <c r="Q67" s="383">
        <f t="shared" si="35"/>
        <v>3.4049128259766661</v>
      </c>
      <c r="R67" s="383">
        <f t="shared" si="35"/>
        <v>3.4410268333408816</v>
      </c>
      <c r="S67" s="383">
        <f t="shared" si="35"/>
        <v>3.4775238817973544</v>
      </c>
      <c r="T67" s="383">
        <f t="shared" si="35"/>
        <v>3.5144080340488699</v>
      </c>
      <c r="U67" s="383">
        <f t="shared" si="35"/>
        <v>3.5516833958890359</v>
      </c>
      <c r="V67" s="383">
        <f t="shared" si="35"/>
        <v>3.5893541166593117</v>
      </c>
      <c r="W67" s="383">
        <f t="shared" si="35"/>
        <v>3.6274243897109071</v>
      </c>
      <c r="X67" s="383">
        <f t="shared" si="35"/>
        <v>3.6658984528715632</v>
      </c>
      <c r="Y67" s="383">
        <f t="shared" si="35"/>
        <v>3.7047805889172918</v>
      </c>
      <c r="Z67" s="383">
        <f t="shared" si="35"/>
        <v>3.7440751260491147</v>
      </c>
      <c r="AA67" s="383">
        <f t="shared" si="35"/>
        <v>3.7837864383748654</v>
      </c>
      <c r="AB67" s="383">
        <f t="shared" si="35"/>
        <v>3.8239189463960925</v>
      </c>
      <c r="AC67" s="383">
        <f t="shared" si="35"/>
        <v>3.8644771175001358</v>
      </c>
      <c r="AD67" s="383">
        <f t="shared" si="35"/>
        <v>3.9054654664574127</v>
      </c>
      <c r="AE67" s="383">
        <f t="shared" si="35"/>
        <v>3.9468885559239917</v>
      </c>
      <c r="AF67" s="383">
        <f t="shared" si="35"/>
        <v>3.9887509969494799</v>
      </c>
      <c r="AG67" s="383">
        <f t="shared" si="35"/>
        <v>4.0310574494903122</v>
      </c>
      <c r="AH67" s="383">
        <f t="shared" si="35"/>
        <v>4.0738126229284788</v>
      </c>
      <c r="AI67" s="383">
        <f t="shared" si="35"/>
        <v>4.1170212765957492</v>
      </c>
      <c r="AJ67" s="383">
        <f t="shared" si="35"/>
        <v>4.1606882203034674</v>
      </c>
      <c r="AK67" s="383">
        <f t="shared" si="35"/>
        <v>4.2048183148779579</v>
      </c>
      <c r="AL67" s="383">
        <f t="shared" si="35"/>
        <v>4.2494164727016113</v>
      </c>
      <c r="AM67" s="383">
        <f t="shared" si="35"/>
        <v>4.2944876582597153</v>
      </c>
      <c r="AN67" s="383">
        <f t="shared" si="35"/>
        <v>4.3400368886930787</v>
      </c>
    </row>
    <row r="68" spans="2:40">
      <c r="B68" s="363" t="s">
        <v>844</v>
      </c>
      <c r="C68" s="358" t="s">
        <v>486</v>
      </c>
      <c r="E68" s="383">
        <f t="shared" ref="E68" si="36">SUM(E66:E66)</f>
        <v>8</v>
      </c>
      <c r="F68" s="383">
        <f t="shared" ref="F68:AN68" si="37">SUM(F66:F66)</f>
        <v>8.0848515288584082</v>
      </c>
      <c r="G68" s="383">
        <f t="shared" si="37"/>
        <v>8.1706030304605175</v>
      </c>
      <c r="H68" s="383">
        <f t="shared" si="37"/>
        <v>8.2572640503142321</v>
      </c>
      <c r="I68" s="383">
        <f t="shared" si="37"/>
        <v>8.3448442351713243</v>
      </c>
      <c r="J68" s="383">
        <f t="shared" si="37"/>
        <v>6.3250150005759522</v>
      </c>
      <c r="K68" s="383">
        <f t="shared" si="37"/>
        <v>6.3921008996823563</v>
      </c>
      <c r="L68" s="383">
        <f t="shared" si="37"/>
        <v>6.4598983414267632</v>
      </c>
      <c r="M68" s="383">
        <f t="shared" si="37"/>
        <v>6.5284148727442579</v>
      </c>
      <c r="N68" s="383">
        <f t="shared" si="37"/>
        <v>6.5976581206160478</v>
      </c>
      <c r="O68" s="383">
        <f t="shared" si="37"/>
        <v>6.6676357929184693</v>
      </c>
      <c r="P68" s="383">
        <f t="shared" si="37"/>
        <v>6.7383556792809909</v>
      </c>
      <c r="Q68" s="383">
        <f t="shared" si="37"/>
        <v>6.8098256519533322</v>
      </c>
      <c r="R68" s="383">
        <f t="shared" si="37"/>
        <v>6.8820536666817631</v>
      </c>
      <c r="S68" s="383">
        <f t="shared" si="37"/>
        <v>6.9550477635947088</v>
      </c>
      <c r="T68" s="383">
        <f t="shared" si="37"/>
        <v>7.0288160680977398</v>
      </c>
      <c r="U68" s="383">
        <f t="shared" si="37"/>
        <v>7.1033667917780718</v>
      </c>
      <c r="V68" s="383">
        <f t="shared" si="37"/>
        <v>7.1787082333186234</v>
      </c>
      <c r="W68" s="383">
        <f t="shared" si="37"/>
        <v>7.2548487794218142</v>
      </c>
      <c r="X68" s="383">
        <f t="shared" si="37"/>
        <v>7.3317969057431265</v>
      </c>
      <c r="Y68" s="383">
        <f t="shared" si="37"/>
        <v>7.4095611778345836</v>
      </c>
      <c r="Z68" s="383">
        <f t="shared" si="37"/>
        <v>7.4881502520982295</v>
      </c>
      <c r="AA68" s="383">
        <f t="shared" si="37"/>
        <v>7.5675728767497308</v>
      </c>
      <c r="AB68" s="383">
        <f t="shared" si="37"/>
        <v>7.6478378927921851</v>
      </c>
      <c r="AC68" s="383">
        <f t="shared" si="37"/>
        <v>7.7289542350002716</v>
      </c>
      <c r="AD68" s="383">
        <f t="shared" si="37"/>
        <v>7.8109309329148253</v>
      </c>
      <c r="AE68" s="383">
        <f t="shared" si="37"/>
        <v>7.8937771118479834</v>
      </c>
      <c r="AF68" s="383">
        <f t="shared" si="37"/>
        <v>7.9775019938989598</v>
      </c>
      <c r="AG68" s="383">
        <f t="shared" si="37"/>
        <v>8.0621148989806244</v>
      </c>
      <c r="AH68" s="383">
        <f t="shared" si="37"/>
        <v>8.1476252458569576</v>
      </c>
      <c r="AI68" s="383">
        <f t="shared" si="37"/>
        <v>8.2340425531914985</v>
      </c>
      <c r="AJ68" s="383">
        <f t="shared" si="37"/>
        <v>8.3213764406069348</v>
      </c>
      <c r="AK68" s="383">
        <f t="shared" si="37"/>
        <v>8.4096366297559157</v>
      </c>
      <c r="AL68" s="383">
        <f t="shared" si="37"/>
        <v>8.4988329454032225</v>
      </c>
      <c r="AM68" s="383">
        <f t="shared" si="37"/>
        <v>8.5889753165194307</v>
      </c>
      <c r="AN68" s="383">
        <f t="shared" si="37"/>
        <v>8.6800737773861574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4" tint="-0.249977111117893"/>
  </sheetPr>
  <dimension ref="A1:AL43"/>
  <sheetViews>
    <sheetView showGridLines="0" zoomScale="110" zoomScaleNormal="110" workbookViewId="0">
      <selection activeCell="B1" sqref="B1"/>
    </sheetView>
  </sheetViews>
  <sheetFormatPr defaultColWidth="9" defaultRowHeight="12.5" outlineLevelCol="1"/>
  <cols>
    <col min="1" max="1" width="0.83203125" style="358" customWidth="1"/>
    <col min="2" max="2" width="38.33203125" style="358" customWidth="1"/>
    <col min="3" max="3" width="13.25" style="358" customWidth="1"/>
    <col min="4" max="4" width="0.58203125" style="358" customWidth="1"/>
    <col min="5" max="7" width="11.75" style="358" customWidth="1"/>
    <col min="8" max="32" width="11.75" style="358" customWidth="1" outlineLevel="1"/>
    <col min="33" max="33" width="11.75" style="358" customWidth="1"/>
    <col min="34" max="38" width="11.75" style="358" customWidth="1" collapsed="1"/>
    <col min="39" max="16384" width="9" style="358"/>
  </cols>
  <sheetData>
    <row r="1" spans="1:38" ht="25">
      <c r="A1" s="356" t="s">
        <v>845</v>
      </c>
      <c r="C1" s="357"/>
      <c r="D1" s="357"/>
    </row>
    <row r="2" spans="1:38" ht="13">
      <c r="A2" s="554" t="s">
        <v>1289</v>
      </c>
      <c r="B2" s="555"/>
      <c r="C2" s="556" t="s">
        <v>5</v>
      </c>
      <c r="D2" s="557"/>
      <c r="E2" s="550">
        <v>2021</v>
      </c>
      <c r="F2" s="550">
        <f t="shared" ref="F2:AH2" si="0">E2+1</f>
        <v>2022</v>
      </c>
      <c r="G2" s="550">
        <f t="shared" si="0"/>
        <v>2023</v>
      </c>
      <c r="H2" s="550">
        <f t="shared" si="0"/>
        <v>2024</v>
      </c>
      <c r="I2" s="550">
        <f t="shared" si="0"/>
        <v>2025</v>
      </c>
      <c r="J2" s="550">
        <f t="shared" si="0"/>
        <v>2026</v>
      </c>
      <c r="K2" s="550">
        <f t="shared" si="0"/>
        <v>2027</v>
      </c>
      <c r="L2" s="550">
        <f t="shared" si="0"/>
        <v>2028</v>
      </c>
      <c r="M2" s="550">
        <f t="shared" si="0"/>
        <v>2029</v>
      </c>
      <c r="N2" s="550">
        <f t="shared" si="0"/>
        <v>2030</v>
      </c>
      <c r="O2" s="550">
        <f t="shared" si="0"/>
        <v>2031</v>
      </c>
      <c r="P2" s="550">
        <f t="shared" si="0"/>
        <v>2032</v>
      </c>
      <c r="Q2" s="550">
        <f t="shared" si="0"/>
        <v>2033</v>
      </c>
      <c r="R2" s="550">
        <f t="shared" si="0"/>
        <v>2034</v>
      </c>
      <c r="S2" s="550">
        <f t="shared" si="0"/>
        <v>2035</v>
      </c>
      <c r="T2" s="550">
        <f t="shared" si="0"/>
        <v>2036</v>
      </c>
      <c r="U2" s="550">
        <f t="shared" si="0"/>
        <v>2037</v>
      </c>
      <c r="V2" s="550">
        <f t="shared" si="0"/>
        <v>2038</v>
      </c>
      <c r="W2" s="550">
        <f t="shared" si="0"/>
        <v>2039</v>
      </c>
      <c r="X2" s="550">
        <f t="shared" si="0"/>
        <v>2040</v>
      </c>
      <c r="Y2" s="550">
        <f t="shared" si="0"/>
        <v>2041</v>
      </c>
      <c r="Z2" s="550">
        <f t="shared" si="0"/>
        <v>2042</v>
      </c>
      <c r="AA2" s="550">
        <f t="shared" si="0"/>
        <v>2043</v>
      </c>
      <c r="AB2" s="550">
        <f t="shared" si="0"/>
        <v>2044</v>
      </c>
      <c r="AC2" s="550">
        <f t="shared" si="0"/>
        <v>2045</v>
      </c>
      <c r="AD2" s="550">
        <f t="shared" si="0"/>
        <v>2046</v>
      </c>
      <c r="AE2" s="550">
        <f t="shared" si="0"/>
        <v>2047</v>
      </c>
      <c r="AF2" s="550">
        <f t="shared" si="0"/>
        <v>2048</v>
      </c>
      <c r="AG2" s="550">
        <f t="shared" si="0"/>
        <v>2049</v>
      </c>
      <c r="AH2" s="550">
        <f t="shared" si="0"/>
        <v>2050</v>
      </c>
      <c r="AI2" s="550">
        <f t="shared" ref="AI2" si="1">AH2+1</f>
        <v>2051</v>
      </c>
      <c r="AJ2" s="550">
        <f t="shared" ref="AJ2" si="2">AI2+1</f>
        <v>2052</v>
      </c>
      <c r="AK2" s="550">
        <f t="shared" ref="AK2" si="3">AJ2+1</f>
        <v>2053</v>
      </c>
      <c r="AL2" s="550">
        <f t="shared" ref="AL2" si="4">AK2+1</f>
        <v>2054</v>
      </c>
    </row>
    <row r="3" spans="1:38" ht="13">
      <c r="A3" s="558"/>
      <c r="B3" s="565" t="s">
        <v>1327</v>
      </c>
      <c r="C3" s="497">
        <f>'Deflation Factors'!C96</f>
        <v>1.0297047314123087</v>
      </c>
      <c r="D3" s="559"/>
      <c r="E3" s="1363">
        <f>'Deflation Factors'!$C$88/'Deflation Factors'!$C$86</f>
        <v>1.0297047314123087</v>
      </c>
      <c r="F3" s="1363">
        <f>'Deflation Factors'!$C$89/'Deflation Factors'!$C$86</f>
        <v>1.0486481679117752</v>
      </c>
      <c r="G3" s="1363">
        <f>'Deflation Factors'!$C$90/'Deflation Factors'!$C$86</f>
        <v>1.0689256492351475</v>
      </c>
      <c r="H3" s="1363">
        <f>'Deflation Factors'!$C$91/'Deflation Factors'!$C$86</f>
        <v>1.0903593027392386</v>
      </c>
      <c r="I3" s="1363">
        <f>'Deflation Factors'!$C$92/'Deflation Factors'!$C$86</f>
        <v>1.1121487015297047</v>
      </c>
      <c r="J3" s="1363">
        <f>'Deflation Factors'!$C$93/'Deflation Factors'!$C$86</f>
        <v>1.1343827819281393</v>
      </c>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row>
    <row r="4" spans="1:38" ht="13">
      <c r="A4" s="558"/>
      <c r="C4" s="422"/>
      <c r="D4" s="559"/>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row>
    <row r="5" spans="1:38" ht="13">
      <c r="A5" s="558"/>
      <c r="B5" s="358" t="s">
        <v>1046</v>
      </c>
      <c r="C5" s="1292">
        <f>SUM(C7:C14)</f>
        <v>14803503.764985116</v>
      </c>
      <c r="D5" s="559"/>
      <c r="E5" s="1159">
        <f>E39/E$3</f>
        <v>442825.37544530147</v>
      </c>
      <c r="F5" s="1159">
        <f t="shared" ref="F5:J5" si="5">F39/F$3</f>
        <v>1962150.2161634064</v>
      </c>
      <c r="G5" s="1159">
        <f t="shared" si="5"/>
        <v>2275820.4866522225</v>
      </c>
      <c r="H5" s="1159">
        <f t="shared" si="5"/>
        <v>10122707.686724186</v>
      </c>
      <c r="I5" s="1159">
        <f t="shared" si="5"/>
        <v>0</v>
      </c>
      <c r="J5" s="1159">
        <f t="shared" si="5"/>
        <v>0</v>
      </c>
      <c r="K5" s="1159"/>
      <c r="L5" s="1159"/>
      <c r="M5" s="1159"/>
      <c r="N5" s="1159"/>
      <c r="O5" s="1159"/>
      <c r="P5" s="1159"/>
      <c r="Q5" s="1159"/>
      <c r="R5" s="1159"/>
      <c r="S5" s="1159"/>
      <c r="T5" s="1159"/>
      <c r="U5" s="1159"/>
      <c r="V5" s="1159"/>
      <c r="W5" s="1159"/>
      <c r="X5" s="1159"/>
      <c r="Y5" s="1159"/>
      <c r="Z5" s="1159"/>
      <c r="AA5" s="1159"/>
      <c r="AB5" s="1159"/>
      <c r="AC5" s="1159"/>
      <c r="AD5" s="1159"/>
      <c r="AE5" s="1159"/>
      <c r="AF5" s="1159"/>
      <c r="AG5" s="1159"/>
      <c r="AH5" s="1159"/>
      <c r="AI5" s="1159"/>
      <c r="AJ5" s="1159"/>
      <c r="AK5" s="1159"/>
      <c r="AL5" s="1159"/>
    </row>
    <row r="6" spans="1:38" ht="13">
      <c r="A6" s="558"/>
      <c r="C6" s="1293"/>
      <c r="D6" s="559"/>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row>
    <row r="7" spans="1:38" ht="13">
      <c r="A7" s="558"/>
      <c r="B7" s="358" t="s">
        <v>1293</v>
      </c>
      <c r="C7" s="1292">
        <f>SUM(E7:AL7)</f>
        <v>1244252.6001200238</v>
      </c>
      <c r="D7" s="559"/>
      <c r="E7" s="1268">
        <f>E31/E$3</f>
        <v>252499.56814648473</v>
      </c>
      <c r="F7" s="1268">
        <f t="shared" ref="F7:J7" si="6">F31/F$3</f>
        <v>991753.03197353915</v>
      </c>
      <c r="G7" s="1268">
        <f t="shared" si="6"/>
        <v>0</v>
      </c>
      <c r="H7" s="1268">
        <f t="shared" si="6"/>
        <v>0</v>
      </c>
      <c r="I7" s="1268">
        <f t="shared" si="6"/>
        <v>0</v>
      </c>
      <c r="J7" s="1268">
        <f t="shared" si="6"/>
        <v>0</v>
      </c>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row>
    <row r="8" spans="1:38" ht="13">
      <c r="A8" s="558"/>
      <c r="B8" s="358" t="s">
        <v>1149</v>
      </c>
      <c r="C8" s="1292">
        <f t="shared" ref="C8:C14" si="7">SUM(E8:AL8)</f>
        <v>1820135.1151523446</v>
      </c>
      <c r="D8" s="559"/>
      <c r="E8" s="1268">
        <f t="shared" ref="E8:J14" si="8">E32/E$3</f>
        <v>0</v>
      </c>
      <c r="F8" s="1268">
        <f t="shared" si="8"/>
        <v>461601.19743872446</v>
      </c>
      <c r="G8" s="1268">
        <f t="shared" si="8"/>
        <v>1358533.9177136202</v>
      </c>
      <c r="H8" s="1268">
        <f t="shared" si="8"/>
        <v>0</v>
      </c>
      <c r="I8" s="1268">
        <f t="shared" si="8"/>
        <v>0</v>
      </c>
      <c r="J8" s="1268">
        <f t="shared" si="8"/>
        <v>0</v>
      </c>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1268"/>
    </row>
    <row r="9" spans="1:38">
      <c r="A9" s="558"/>
      <c r="B9" s="558" t="s">
        <v>1150</v>
      </c>
      <c r="C9" s="1292">
        <f t="shared" si="7"/>
        <v>465460.64503361797</v>
      </c>
      <c r="D9" s="558"/>
      <c r="E9" s="1269">
        <f t="shared" si="8"/>
        <v>0</v>
      </c>
      <c r="F9" s="1269">
        <f t="shared" si="8"/>
        <v>0</v>
      </c>
      <c r="G9" s="1269">
        <f t="shared" si="8"/>
        <v>350819.53573508613</v>
      </c>
      <c r="H9" s="1269">
        <f t="shared" si="8"/>
        <v>114641.10929853181</v>
      </c>
      <c r="I9" s="1269">
        <f t="shared" si="8"/>
        <v>0</v>
      </c>
      <c r="J9" s="1269">
        <f t="shared" si="8"/>
        <v>0</v>
      </c>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1269"/>
    </row>
    <row r="10" spans="1:38" ht="13">
      <c r="A10" s="558"/>
      <c r="B10" s="719" t="s">
        <v>1151</v>
      </c>
      <c r="C10" s="1292">
        <f t="shared" si="7"/>
        <v>7200099.9856443722</v>
      </c>
      <c r="D10" s="559"/>
      <c r="E10" s="1269">
        <f t="shared" si="8"/>
        <v>0</v>
      </c>
      <c r="F10" s="1269">
        <f t="shared" si="8"/>
        <v>0</v>
      </c>
      <c r="G10" s="1269">
        <f t="shared" si="8"/>
        <v>0</v>
      </c>
      <c r="H10" s="1269">
        <f t="shared" si="8"/>
        <v>7200099.9856443722</v>
      </c>
      <c r="I10" s="1269">
        <f t="shared" si="8"/>
        <v>0</v>
      </c>
      <c r="J10" s="1269">
        <f t="shared" si="8"/>
        <v>0</v>
      </c>
      <c r="K10" s="1269"/>
      <c r="L10" s="1269"/>
      <c r="M10" s="1269"/>
      <c r="N10" s="1269"/>
      <c r="O10" s="1269"/>
      <c r="P10" s="1269"/>
      <c r="Q10" s="1269"/>
      <c r="R10" s="1269"/>
      <c r="S10" s="1269"/>
      <c r="T10" s="1269"/>
      <c r="U10" s="1269"/>
      <c r="V10" s="1269"/>
      <c r="W10" s="1269"/>
      <c r="X10" s="1269"/>
      <c r="Y10" s="1269"/>
      <c r="Z10" s="1269"/>
      <c r="AA10" s="1269"/>
      <c r="AB10" s="1269"/>
      <c r="AC10" s="1269"/>
      <c r="AD10" s="1269"/>
      <c r="AE10" s="1269"/>
      <c r="AF10" s="1269"/>
      <c r="AG10" s="1269"/>
      <c r="AH10" s="1269"/>
      <c r="AI10" s="1269"/>
      <c r="AJ10" s="1269"/>
      <c r="AK10" s="1269"/>
      <c r="AL10" s="1269"/>
    </row>
    <row r="11" spans="1:38" ht="13">
      <c r="A11" s="558"/>
      <c r="B11" s="358" t="s">
        <v>1152</v>
      </c>
      <c r="C11" s="1292">
        <f t="shared" si="7"/>
        <v>641990.21207177814</v>
      </c>
      <c r="D11" s="559"/>
      <c r="E11" s="1269">
        <f t="shared" si="8"/>
        <v>0</v>
      </c>
      <c r="F11" s="1269">
        <f t="shared" si="8"/>
        <v>0</v>
      </c>
      <c r="G11" s="1269">
        <f t="shared" si="8"/>
        <v>0</v>
      </c>
      <c r="H11" s="1269">
        <f t="shared" si="8"/>
        <v>641990.21207177814</v>
      </c>
      <c r="I11" s="1269">
        <f t="shared" si="8"/>
        <v>0</v>
      </c>
      <c r="J11" s="1269">
        <f t="shared" si="8"/>
        <v>0</v>
      </c>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1269"/>
    </row>
    <row r="12" spans="1:38" ht="13">
      <c r="A12" s="558"/>
      <c r="B12" s="358" t="s">
        <v>1290</v>
      </c>
      <c r="C12" s="1292">
        <f t="shared" si="7"/>
        <v>2959389.1436983282</v>
      </c>
      <c r="D12" s="559"/>
      <c r="E12" s="1269">
        <f t="shared" si="8"/>
        <v>68931.78415146828</v>
      </c>
      <c r="F12" s="1269">
        <f t="shared" si="8"/>
        <v>389594.90117740008</v>
      </c>
      <c r="G12" s="1269">
        <f t="shared" si="8"/>
        <v>449527.18795848708</v>
      </c>
      <c r="H12" s="1269">
        <f t="shared" si="8"/>
        <v>2051335.2704109726</v>
      </c>
      <c r="I12" s="1269">
        <f t="shared" si="8"/>
        <v>0</v>
      </c>
      <c r="J12" s="1269">
        <f t="shared" si="8"/>
        <v>0</v>
      </c>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1269"/>
    </row>
    <row r="13" spans="1:38" ht="13">
      <c r="A13" s="558"/>
      <c r="B13" s="358" t="s">
        <v>1292</v>
      </c>
      <c r="C13" s="1292">
        <f t="shared" si="7"/>
        <v>283305.63795879099</v>
      </c>
      <c r="D13" s="559"/>
      <c r="E13" s="1269">
        <f t="shared" si="8"/>
        <v>72836.413888409064</v>
      </c>
      <c r="F13" s="1269">
        <f t="shared" si="8"/>
        <v>71520.651344245605</v>
      </c>
      <c r="G13" s="1269">
        <f t="shared" si="8"/>
        <v>70163.907147017235</v>
      </c>
      <c r="H13" s="1269">
        <f t="shared" si="8"/>
        <v>68784.665579119086</v>
      </c>
      <c r="I13" s="1269">
        <f t="shared" si="8"/>
        <v>0</v>
      </c>
      <c r="J13" s="1269">
        <f t="shared" si="8"/>
        <v>0</v>
      </c>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row>
    <row r="14" spans="1:38" s="433" customFormat="1" ht="13">
      <c r="A14" s="629"/>
      <c r="B14" s="433" t="s">
        <v>1291</v>
      </c>
      <c r="C14" s="1294">
        <f t="shared" si="7"/>
        <v>188870.42530586064</v>
      </c>
      <c r="D14" s="560"/>
      <c r="E14" s="1270">
        <f t="shared" si="8"/>
        <v>48557.609258939374</v>
      </c>
      <c r="F14" s="1270">
        <f t="shared" si="8"/>
        <v>47680.43422949707</v>
      </c>
      <c r="G14" s="1270">
        <f t="shared" si="8"/>
        <v>46775.938098011487</v>
      </c>
      <c r="H14" s="1270">
        <f t="shared" si="8"/>
        <v>45856.443719412724</v>
      </c>
      <c r="I14" s="1270">
        <f t="shared" si="8"/>
        <v>0</v>
      </c>
      <c r="J14" s="1270">
        <f t="shared" si="8"/>
        <v>0</v>
      </c>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row>
    <row r="15" spans="1:38" ht="13">
      <c r="A15" s="561"/>
      <c r="B15" s="562" t="s">
        <v>537</v>
      </c>
      <c r="C15" s="563"/>
      <c r="D15" s="564"/>
      <c r="E15" s="552"/>
      <c r="F15" s="552"/>
      <c r="G15" s="552"/>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row>
    <row r="16" spans="1:38">
      <c r="E16" s="1245"/>
    </row>
    <row r="17" spans="1:38" ht="13">
      <c r="A17" s="546" t="s">
        <v>1175</v>
      </c>
      <c r="B17" s="547"/>
      <c r="C17" s="553"/>
      <c r="D17" s="548"/>
      <c r="E17" s="1265">
        <f t="shared" ref="E17:AJ17" si="9">E2</f>
        <v>2021</v>
      </c>
      <c r="F17" s="1265">
        <f t="shared" si="9"/>
        <v>2022</v>
      </c>
      <c r="G17" s="1265">
        <f t="shared" si="9"/>
        <v>2023</v>
      </c>
      <c r="H17" s="1265">
        <f t="shared" si="9"/>
        <v>2024</v>
      </c>
      <c r="I17" s="1265">
        <f t="shared" si="9"/>
        <v>2025</v>
      </c>
      <c r="J17" s="1265">
        <f t="shared" si="9"/>
        <v>2026</v>
      </c>
      <c r="K17" s="1265">
        <f t="shared" si="9"/>
        <v>2027</v>
      </c>
      <c r="L17" s="1265">
        <f t="shared" si="9"/>
        <v>2028</v>
      </c>
      <c r="M17" s="1265">
        <f t="shared" si="9"/>
        <v>2029</v>
      </c>
      <c r="N17" s="1265">
        <f t="shared" si="9"/>
        <v>2030</v>
      </c>
      <c r="O17" s="1265">
        <f t="shared" si="9"/>
        <v>2031</v>
      </c>
      <c r="P17" s="1265">
        <f t="shared" si="9"/>
        <v>2032</v>
      </c>
      <c r="Q17" s="1265">
        <f t="shared" si="9"/>
        <v>2033</v>
      </c>
      <c r="R17" s="1265">
        <f t="shared" si="9"/>
        <v>2034</v>
      </c>
      <c r="S17" s="1265">
        <f t="shared" si="9"/>
        <v>2035</v>
      </c>
      <c r="T17" s="1265">
        <f t="shared" si="9"/>
        <v>2036</v>
      </c>
      <c r="U17" s="1265">
        <f t="shared" si="9"/>
        <v>2037</v>
      </c>
      <c r="V17" s="1265">
        <f t="shared" si="9"/>
        <v>2038</v>
      </c>
      <c r="W17" s="1265">
        <f t="shared" si="9"/>
        <v>2039</v>
      </c>
      <c r="X17" s="1265">
        <f t="shared" si="9"/>
        <v>2040</v>
      </c>
      <c r="Y17" s="1265">
        <f t="shared" si="9"/>
        <v>2041</v>
      </c>
      <c r="Z17" s="1265">
        <f t="shared" si="9"/>
        <v>2042</v>
      </c>
      <c r="AA17" s="1265">
        <f t="shared" si="9"/>
        <v>2043</v>
      </c>
      <c r="AB17" s="1265">
        <f t="shared" si="9"/>
        <v>2044</v>
      </c>
      <c r="AC17" s="1265">
        <f t="shared" si="9"/>
        <v>2045</v>
      </c>
      <c r="AD17" s="1265">
        <f t="shared" si="9"/>
        <v>2046</v>
      </c>
      <c r="AE17" s="1265">
        <f t="shared" si="9"/>
        <v>2047</v>
      </c>
      <c r="AF17" s="1265">
        <f t="shared" si="9"/>
        <v>2048</v>
      </c>
      <c r="AG17" s="1265">
        <f t="shared" si="9"/>
        <v>2049</v>
      </c>
      <c r="AH17" s="1265">
        <f t="shared" si="9"/>
        <v>2050</v>
      </c>
      <c r="AI17" s="1265">
        <f t="shared" si="9"/>
        <v>2051</v>
      </c>
      <c r="AJ17" s="1265">
        <f t="shared" si="9"/>
        <v>2052</v>
      </c>
      <c r="AK17" s="1265">
        <f t="shared" ref="AK17:AL17" si="10">AK2</f>
        <v>2053</v>
      </c>
      <c r="AL17" s="1265">
        <f t="shared" si="10"/>
        <v>2054</v>
      </c>
    </row>
    <row r="18" spans="1:38">
      <c r="B18" s="444" t="s">
        <v>1293</v>
      </c>
      <c r="C18" s="444"/>
      <c r="D18" s="444"/>
      <c r="E18" s="1267">
        <v>0.2</v>
      </c>
      <c r="F18" s="1267">
        <v>0.8</v>
      </c>
      <c r="G18" s="1267">
        <v>0</v>
      </c>
      <c r="H18" s="1267">
        <v>0</v>
      </c>
      <c r="I18" s="1267">
        <v>0</v>
      </c>
      <c r="J18" s="1267">
        <v>0</v>
      </c>
      <c r="K18" s="1267">
        <v>0</v>
      </c>
      <c r="L18" s="1267">
        <v>0</v>
      </c>
      <c r="M18" s="1267">
        <v>0</v>
      </c>
      <c r="N18" s="1267">
        <v>0</v>
      </c>
      <c r="O18" s="1267">
        <v>0</v>
      </c>
      <c r="P18" s="1267">
        <v>0</v>
      </c>
      <c r="Q18" s="1267">
        <v>0</v>
      </c>
      <c r="R18" s="1267">
        <v>0</v>
      </c>
      <c r="S18" s="1267">
        <v>0</v>
      </c>
      <c r="T18" s="1267">
        <v>0</v>
      </c>
      <c r="U18" s="1267">
        <v>0</v>
      </c>
      <c r="V18" s="1267">
        <v>0</v>
      </c>
      <c r="W18" s="1267">
        <v>0</v>
      </c>
      <c r="X18" s="1267">
        <v>0</v>
      </c>
      <c r="Y18" s="1267">
        <v>0</v>
      </c>
      <c r="Z18" s="1267">
        <v>0</v>
      </c>
      <c r="AA18" s="1267">
        <v>0</v>
      </c>
      <c r="AB18" s="1267">
        <v>0</v>
      </c>
      <c r="AC18" s="1267">
        <v>0</v>
      </c>
      <c r="AD18" s="1267">
        <v>0</v>
      </c>
      <c r="AE18" s="1267">
        <v>0</v>
      </c>
      <c r="AF18" s="1267">
        <v>0</v>
      </c>
      <c r="AG18" s="1267">
        <v>0</v>
      </c>
      <c r="AH18" s="1267">
        <v>0</v>
      </c>
      <c r="AI18" s="1267">
        <v>0</v>
      </c>
      <c r="AJ18" s="1267">
        <v>0</v>
      </c>
      <c r="AK18" s="1267">
        <v>0</v>
      </c>
      <c r="AL18" s="1267">
        <v>0</v>
      </c>
    </row>
    <row r="19" spans="1:38">
      <c r="B19" s="444" t="s">
        <v>1149</v>
      </c>
      <c r="C19" s="444"/>
      <c r="D19" s="444"/>
      <c r="E19" s="1267">
        <v>0</v>
      </c>
      <c r="F19" s="1267">
        <v>0.25</v>
      </c>
      <c r="G19" s="1267">
        <v>0.75</v>
      </c>
      <c r="H19" s="1267">
        <v>0</v>
      </c>
      <c r="I19" s="1267">
        <v>0</v>
      </c>
      <c r="J19" s="1267">
        <v>0</v>
      </c>
      <c r="K19" s="1267">
        <v>0</v>
      </c>
      <c r="L19" s="1267">
        <v>0</v>
      </c>
      <c r="M19" s="1267">
        <v>0</v>
      </c>
      <c r="N19" s="1267">
        <v>0</v>
      </c>
      <c r="O19" s="1267">
        <v>0</v>
      </c>
      <c r="P19" s="1267">
        <v>0</v>
      </c>
      <c r="Q19" s="1267">
        <v>0</v>
      </c>
      <c r="R19" s="1267">
        <v>0</v>
      </c>
      <c r="S19" s="1267">
        <v>0</v>
      </c>
      <c r="T19" s="1267">
        <v>0</v>
      </c>
      <c r="U19" s="1267">
        <v>0</v>
      </c>
      <c r="V19" s="1267">
        <v>0</v>
      </c>
      <c r="W19" s="1267">
        <v>0</v>
      </c>
      <c r="X19" s="1267">
        <v>0</v>
      </c>
      <c r="Y19" s="1267">
        <v>0</v>
      </c>
      <c r="Z19" s="1267">
        <v>0</v>
      </c>
      <c r="AA19" s="1267">
        <v>0</v>
      </c>
      <c r="AB19" s="1267">
        <v>0</v>
      </c>
      <c r="AC19" s="1267">
        <v>0</v>
      </c>
      <c r="AD19" s="1267">
        <v>0</v>
      </c>
      <c r="AE19" s="1267">
        <v>0</v>
      </c>
      <c r="AF19" s="1267">
        <v>0</v>
      </c>
      <c r="AG19" s="1267">
        <v>0</v>
      </c>
      <c r="AH19" s="1267">
        <v>0</v>
      </c>
      <c r="AI19" s="1267">
        <v>0</v>
      </c>
      <c r="AJ19" s="1267">
        <v>0</v>
      </c>
      <c r="AK19" s="1267">
        <v>0</v>
      </c>
      <c r="AL19" s="1267">
        <v>0</v>
      </c>
    </row>
    <row r="20" spans="1:38">
      <c r="B20" s="444" t="s">
        <v>1150</v>
      </c>
      <c r="C20" s="444"/>
      <c r="D20" s="444"/>
      <c r="E20" s="1267">
        <v>0</v>
      </c>
      <c r="F20" s="1267">
        <v>0</v>
      </c>
      <c r="G20" s="1267">
        <v>0.75</v>
      </c>
      <c r="H20" s="1267">
        <v>0.25</v>
      </c>
      <c r="I20" s="1267">
        <v>0</v>
      </c>
      <c r="J20" s="1267">
        <v>0</v>
      </c>
      <c r="K20" s="1267">
        <v>0</v>
      </c>
      <c r="L20" s="1267">
        <v>0</v>
      </c>
      <c r="M20" s="1267">
        <v>0</v>
      </c>
      <c r="N20" s="1267">
        <v>0</v>
      </c>
      <c r="O20" s="1267">
        <v>0</v>
      </c>
      <c r="P20" s="1267">
        <v>0</v>
      </c>
      <c r="Q20" s="1267">
        <v>0</v>
      </c>
      <c r="R20" s="1267">
        <v>0</v>
      </c>
      <c r="S20" s="1267">
        <v>0</v>
      </c>
      <c r="T20" s="1267">
        <v>0</v>
      </c>
      <c r="U20" s="1267">
        <v>0</v>
      </c>
      <c r="V20" s="1267">
        <v>0</v>
      </c>
      <c r="W20" s="1267">
        <v>0</v>
      </c>
      <c r="X20" s="1267">
        <v>0</v>
      </c>
      <c r="Y20" s="1267">
        <v>0</v>
      </c>
      <c r="Z20" s="1267">
        <v>0</v>
      </c>
      <c r="AA20" s="1267">
        <v>0</v>
      </c>
      <c r="AB20" s="1267">
        <v>0</v>
      </c>
      <c r="AC20" s="1267">
        <v>0</v>
      </c>
      <c r="AD20" s="1267">
        <v>0</v>
      </c>
      <c r="AE20" s="1267">
        <v>0</v>
      </c>
      <c r="AF20" s="1267">
        <v>0</v>
      </c>
      <c r="AG20" s="1267">
        <v>0</v>
      </c>
      <c r="AH20" s="1267">
        <v>0</v>
      </c>
      <c r="AI20" s="1267">
        <v>0</v>
      </c>
      <c r="AJ20" s="1267">
        <v>0</v>
      </c>
      <c r="AK20" s="1267">
        <v>0</v>
      </c>
      <c r="AL20" s="1267">
        <v>0</v>
      </c>
    </row>
    <row r="21" spans="1:38">
      <c r="B21" s="444" t="s">
        <v>1151</v>
      </c>
      <c r="C21" s="444"/>
      <c r="D21" s="444"/>
      <c r="E21" s="1266">
        <v>0</v>
      </c>
      <c r="F21" s="1266">
        <v>0</v>
      </c>
      <c r="G21" s="1267">
        <v>0</v>
      </c>
      <c r="H21" s="1267">
        <v>1</v>
      </c>
      <c r="I21" s="1267">
        <v>0</v>
      </c>
      <c r="J21" s="1267">
        <v>0</v>
      </c>
      <c r="K21" s="1267">
        <v>0</v>
      </c>
      <c r="L21" s="1267">
        <v>0</v>
      </c>
      <c r="M21" s="1267">
        <v>0</v>
      </c>
      <c r="N21" s="1267">
        <v>0</v>
      </c>
      <c r="O21" s="1267">
        <v>0</v>
      </c>
      <c r="P21" s="1267">
        <v>0</v>
      </c>
      <c r="Q21" s="1267">
        <v>0</v>
      </c>
      <c r="R21" s="1267">
        <v>0</v>
      </c>
      <c r="S21" s="1267">
        <v>0</v>
      </c>
      <c r="T21" s="1267">
        <v>0</v>
      </c>
      <c r="U21" s="1267">
        <v>0</v>
      </c>
      <c r="V21" s="1267">
        <v>0</v>
      </c>
      <c r="W21" s="1267">
        <v>0</v>
      </c>
      <c r="X21" s="1267">
        <v>0</v>
      </c>
      <c r="Y21" s="1267">
        <v>0</v>
      </c>
      <c r="Z21" s="1267">
        <v>0</v>
      </c>
      <c r="AA21" s="1267">
        <v>0</v>
      </c>
      <c r="AB21" s="1267">
        <v>0</v>
      </c>
      <c r="AC21" s="1267">
        <v>0</v>
      </c>
      <c r="AD21" s="1267">
        <v>0</v>
      </c>
      <c r="AE21" s="1267">
        <v>0</v>
      </c>
      <c r="AF21" s="1267">
        <v>0</v>
      </c>
      <c r="AG21" s="1267">
        <v>0</v>
      </c>
      <c r="AH21" s="1267">
        <v>0</v>
      </c>
      <c r="AI21" s="1267">
        <v>0</v>
      </c>
      <c r="AJ21" s="1267">
        <v>0</v>
      </c>
      <c r="AK21" s="1267">
        <v>0</v>
      </c>
      <c r="AL21" s="1267">
        <v>0</v>
      </c>
    </row>
    <row r="22" spans="1:38">
      <c r="B22" s="444" t="s">
        <v>1152</v>
      </c>
      <c r="C22" s="444"/>
      <c r="D22" s="444"/>
      <c r="E22" s="1266">
        <v>0</v>
      </c>
      <c r="F22" s="1266">
        <v>0</v>
      </c>
      <c r="G22" s="1267">
        <v>0</v>
      </c>
      <c r="H22" s="1267">
        <v>1</v>
      </c>
      <c r="I22" s="1267">
        <v>0</v>
      </c>
      <c r="J22" s="1267">
        <v>0</v>
      </c>
      <c r="K22" s="1267">
        <v>0</v>
      </c>
      <c r="L22" s="1267">
        <v>0</v>
      </c>
      <c r="M22" s="1267">
        <v>0</v>
      </c>
      <c r="N22" s="1267">
        <v>0</v>
      </c>
      <c r="O22" s="1267">
        <v>0</v>
      </c>
      <c r="P22" s="1267">
        <v>0</v>
      </c>
      <c r="Q22" s="1267">
        <v>0</v>
      </c>
      <c r="R22" s="1267">
        <v>0</v>
      </c>
      <c r="S22" s="1267">
        <v>0</v>
      </c>
      <c r="T22" s="1267">
        <v>0</v>
      </c>
      <c r="U22" s="1267">
        <v>0</v>
      </c>
      <c r="V22" s="1267">
        <v>0</v>
      </c>
      <c r="W22" s="1267">
        <v>0</v>
      </c>
      <c r="X22" s="1267">
        <v>0</v>
      </c>
      <c r="Y22" s="1267">
        <v>0</v>
      </c>
      <c r="Z22" s="1267">
        <v>0</v>
      </c>
      <c r="AA22" s="1267">
        <v>0</v>
      </c>
      <c r="AB22" s="1267">
        <v>0</v>
      </c>
      <c r="AC22" s="1267">
        <v>0</v>
      </c>
      <c r="AD22" s="1267">
        <v>0</v>
      </c>
      <c r="AE22" s="1267">
        <v>0</v>
      </c>
      <c r="AF22" s="1267">
        <v>0</v>
      </c>
      <c r="AG22" s="1267">
        <v>0</v>
      </c>
      <c r="AH22" s="1267">
        <v>0</v>
      </c>
      <c r="AI22" s="1267">
        <v>0</v>
      </c>
      <c r="AJ22" s="1267">
        <v>0</v>
      </c>
      <c r="AK22" s="1267">
        <v>0</v>
      </c>
      <c r="AL22" s="1267">
        <v>0</v>
      </c>
    </row>
    <row r="23" spans="1:38">
      <c r="B23" s="444" t="s">
        <v>1290</v>
      </c>
      <c r="C23" s="444"/>
      <c r="D23" s="444"/>
      <c r="E23" s="1266">
        <f t="shared" ref="E23:AL23" si="11">SUM(E7:E11)/SUM($E$7:$H$11)</f>
        <v>2.2203740097449201E-2</v>
      </c>
      <c r="F23" s="1266">
        <f t="shared" si="11"/>
        <v>0.12780180107348718</v>
      </c>
      <c r="G23" s="1266">
        <f t="shared" si="11"/>
        <v>0.15031328605296349</v>
      </c>
      <c r="H23" s="1266">
        <f t="shared" si="11"/>
        <v>0.6996811727761002</v>
      </c>
      <c r="I23" s="1266">
        <f t="shared" si="11"/>
        <v>0</v>
      </c>
      <c r="J23" s="1266">
        <f t="shared" si="11"/>
        <v>0</v>
      </c>
      <c r="K23" s="1266">
        <f t="shared" si="11"/>
        <v>0</v>
      </c>
      <c r="L23" s="1266">
        <f t="shared" si="11"/>
        <v>0</v>
      </c>
      <c r="M23" s="1266">
        <f t="shared" si="11"/>
        <v>0</v>
      </c>
      <c r="N23" s="1266">
        <f t="shared" si="11"/>
        <v>0</v>
      </c>
      <c r="O23" s="1266">
        <f t="shared" si="11"/>
        <v>0</v>
      </c>
      <c r="P23" s="1266">
        <f t="shared" si="11"/>
        <v>0</v>
      </c>
      <c r="Q23" s="1266">
        <f t="shared" si="11"/>
        <v>0</v>
      </c>
      <c r="R23" s="1266">
        <f t="shared" si="11"/>
        <v>0</v>
      </c>
      <c r="S23" s="1266">
        <f t="shared" si="11"/>
        <v>0</v>
      </c>
      <c r="T23" s="1266">
        <f t="shared" si="11"/>
        <v>0</v>
      </c>
      <c r="U23" s="1266">
        <f t="shared" si="11"/>
        <v>0</v>
      </c>
      <c r="V23" s="1266">
        <f t="shared" si="11"/>
        <v>0</v>
      </c>
      <c r="W23" s="1266">
        <f t="shared" si="11"/>
        <v>0</v>
      </c>
      <c r="X23" s="1266">
        <f t="shared" si="11"/>
        <v>0</v>
      </c>
      <c r="Y23" s="1266">
        <f t="shared" si="11"/>
        <v>0</v>
      </c>
      <c r="Z23" s="1266">
        <f t="shared" si="11"/>
        <v>0</v>
      </c>
      <c r="AA23" s="1266">
        <f t="shared" si="11"/>
        <v>0</v>
      </c>
      <c r="AB23" s="1266">
        <f t="shared" si="11"/>
        <v>0</v>
      </c>
      <c r="AC23" s="1266">
        <f t="shared" si="11"/>
        <v>0</v>
      </c>
      <c r="AD23" s="1266">
        <f t="shared" si="11"/>
        <v>0</v>
      </c>
      <c r="AE23" s="1266">
        <f t="shared" si="11"/>
        <v>0</v>
      </c>
      <c r="AF23" s="1266">
        <f t="shared" si="11"/>
        <v>0</v>
      </c>
      <c r="AG23" s="1266">
        <f t="shared" si="11"/>
        <v>0</v>
      </c>
      <c r="AH23" s="1266">
        <f t="shared" si="11"/>
        <v>0</v>
      </c>
      <c r="AI23" s="1266">
        <f t="shared" si="11"/>
        <v>0</v>
      </c>
      <c r="AJ23" s="1266">
        <f t="shared" si="11"/>
        <v>0</v>
      </c>
      <c r="AK23" s="1266">
        <f t="shared" si="11"/>
        <v>0</v>
      </c>
      <c r="AL23" s="1266">
        <f t="shared" si="11"/>
        <v>0</v>
      </c>
    </row>
    <row r="24" spans="1:38">
      <c r="B24" s="444" t="s">
        <v>1292</v>
      </c>
      <c r="C24" s="444"/>
      <c r="D24" s="444"/>
      <c r="E24" s="1266">
        <v>0.25</v>
      </c>
      <c r="F24" s="1266">
        <v>0.25</v>
      </c>
      <c r="G24" s="1267">
        <v>0.25</v>
      </c>
      <c r="H24" s="1267">
        <v>0.25</v>
      </c>
      <c r="I24" s="1267">
        <v>0</v>
      </c>
      <c r="J24" s="1267">
        <v>0</v>
      </c>
      <c r="K24" s="1267">
        <v>0</v>
      </c>
      <c r="L24" s="1267">
        <v>0</v>
      </c>
      <c r="M24" s="1267">
        <v>0</v>
      </c>
      <c r="N24" s="1267">
        <v>0</v>
      </c>
      <c r="O24" s="1267">
        <v>0</v>
      </c>
      <c r="P24" s="1267">
        <v>0</v>
      </c>
      <c r="Q24" s="1267">
        <v>0</v>
      </c>
      <c r="R24" s="1267">
        <v>0</v>
      </c>
      <c r="S24" s="1267">
        <v>0</v>
      </c>
      <c r="T24" s="1267">
        <v>0</v>
      </c>
      <c r="U24" s="1267">
        <v>0</v>
      </c>
      <c r="V24" s="1267">
        <v>0</v>
      </c>
      <c r="W24" s="1267">
        <v>0</v>
      </c>
      <c r="X24" s="1267">
        <v>0</v>
      </c>
      <c r="Y24" s="1267">
        <v>0</v>
      </c>
      <c r="Z24" s="1267">
        <v>0</v>
      </c>
      <c r="AA24" s="1267">
        <v>0</v>
      </c>
      <c r="AB24" s="1267">
        <v>0</v>
      </c>
      <c r="AC24" s="1267">
        <v>0</v>
      </c>
      <c r="AD24" s="1267">
        <v>0</v>
      </c>
      <c r="AE24" s="1267">
        <v>0</v>
      </c>
      <c r="AF24" s="1267">
        <v>0</v>
      </c>
      <c r="AG24" s="1267">
        <v>0</v>
      </c>
      <c r="AH24" s="1267">
        <v>0</v>
      </c>
      <c r="AI24" s="1267">
        <v>0</v>
      </c>
      <c r="AJ24" s="1267">
        <v>0</v>
      </c>
      <c r="AK24" s="1267">
        <v>0</v>
      </c>
      <c r="AL24" s="1267">
        <v>0</v>
      </c>
    </row>
    <row r="25" spans="1:38">
      <c r="B25" s="444" t="s">
        <v>1291</v>
      </c>
      <c r="C25" s="444"/>
      <c r="D25" s="444"/>
      <c r="E25" s="1266">
        <v>0.25</v>
      </c>
      <c r="F25" s="1266">
        <v>0.25</v>
      </c>
      <c r="G25" s="1267">
        <v>0.25</v>
      </c>
      <c r="H25" s="1267">
        <v>0.25</v>
      </c>
      <c r="I25" s="1267">
        <v>0</v>
      </c>
      <c r="J25" s="1267">
        <v>0</v>
      </c>
      <c r="K25" s="1267">
        <v>0</v>
      </c>
      <c r="L25" s="1267">
        <v>0</v>
      </c>
      <c r="M25" s="1267">
        <v>0</v>
      </c>
      <c r="N25" s="1267">
        <v>0</v>
      </c>
      <c r="O25" s="1267">
        <v>0</v>
      </c>
      <c r="P25" s="1267">
        <v>0</v>
      </c>
      <c r="Q25" s="1267">
        <v>0</v>
      </c>
      <c r="R25" s="1267">
        <v>0</v>
      </c>
      <c r="S25" s="1267">
        <v>0</v>
      </c>
      <c r="T25" s="1267">
        <v>0</v>
      </c>
      <c r="U25" s="1267">
        <v>0</v>
      </c>
      <c r="V25" s="1267">
        <v>0</v>
      </c>
      <c r="W25" s="1267">
        <v>0</v>
      </c>
      <c r="X25" s="1267">
        <v>0</v>
      </c>
      <c r="Y25" s="1267">
        <v>0</v>
      </c>
      <c r="Z25" s="1267">
        <v>0</v>
      </c>
      <c r="AA25" s="1267">
        <v>0</v>
      </c>
      <c r="AB25" s="1267">
        <v>0</v>
      </c>
      <c r="AC25" s="1267">
        <v>0</v>
      </c>
      <c r="AD25" s="1267">
        <v>0</v>
      </c>
      <c r="AE25" s="1267">
        <v>0</v>
      </c>
      <c r="AF25" s="1267">
        <v>0</v>
      </c>
      <c r="AG25" s="1267">
        <v>0</v>
      </c>
      <c r="AH25" s="1267">
        <v>0</v>
      </c>
      <c r="AI25" s="1267">
        <v>0</v>
      </c>
      <c r="AJ25" s="1267">
        <v>0</v>
      </c>
      <c r="AK25" s="1267">
        <v>0</v>
      </c>
      <c r="AL25" s="1267">
        <v>0</v>
      </c>
    </row>
    <row r="26" spans="1:38">
      <c r="E26" s="1245"/>
    </row>
    <row r="27" spans="1:38">
      <c r="E27" s="1245"/>
    </row>
    <row r="28" spans="1:38">
      <c r="E28" s="1245"/>
    </row>
    <row r="29" spans="1:38">
      <c r="E29" s="1245"/>
    </row>
    <row r="30" spans="1:38" ht="13">
      <c r="A30" s="546" t="s">
        <v>1326</v>
      </c>
      <c r="B30" s="547"/>
      <c r="C30" s="553"/>
      <c r="E30" s="1265">
        <f>E2</f>
        <v>2021</v>
      </c>
      <c r="F30" s="1265">
        <f t="shared" ref="F30:AL30" si="12">F2</f>
        <v>2022</v>
      </c>
      <c r="G30" s="1265">
        <f t="shared" si="12"/>
        <v>2023</v>
      </c>
      <c r="H30" s="1265">
        <f t="shared" si="12"/>
        <v>2024</v>
      </c>
      <c r="I30" s="1265">
        <f t="shared" si="12"/>
        <v>2025</v>
      </c>
      <c r="J30" s="1265">
        <f t="shared" si="12"/>
        <v>2026</v>
      </c>
      <c r="K30" s="1265">
        <f t="shared" si="12"/>
        <v>2027</v>
      </c>
      <c r="L30" s="1265">
        <f t="shared" si="12"/>
        <v>2028</v>
      </c>
      <c r="M30" s="1265">
        <f t="shared" si="12"/>
        <v>2029</v>
      </c>
      <c r="N30" s="1265">
        <f t="shared" si="12"/>
        <v>2030</v>
      </c>
      <c r="O30" s="1265">
        <f t="shared" si="12"/>
        <v>2031</v>
      </c>
      <c r="P30" s="1265">
        <f t="shared" si="12"/>
        <v>2032</v>
      </c>
      <c r="Q30" s="1265">
        <f t="shared" si="12"/>
        <v>2033</v>
      </c>
      <c r="R30" s="1265">
        <f t="shared" si="12"/>
        <v>2034</v>
      </c>
      <c r="S30" s="1265">
        <f t="shared" si="12"/>
        <v>2035</v>
      </c>
      <c r="T30" s="1265">
        <f t="shared" si="12"/>
        <v>2036</v>
      </c>
      <c r="U30" s="1265">
        <f t="shared" si="12"/>
        <v>2037</v>
      </c>
      <c r="V30" s="1265">
        <f t="shared" si="12"/>
        <v>2038</v>
      </c>
      <c r="W30" s="1265">
        <f t="shared" si="12"/>
        <v>2039</v>
      </c>
      <c r="X30" s="1265">
        <f t="shared" si="12"/>
        <v>2040</v>
      </c>
      <c r="Y30" s="1265">
        <f t="shared" si="12"/>
        <v>2041</v>
      </c>
      <c r="Z30" s="1265">
        <f t="shared" si="12"/>
        <v>2042</v>
      </c>
      <c r="AA30" s="1265">
        <f t="shared" si="12"/>
        <v>2043</v>
      </c>
      <c r="AB30" s="1265">
        <f t="shared" si="12"/>
        <v>2044</v>
      </c>
      <c r="AC30" s="1265">
        <f t="shared" si="12"/>
        <v>2045</v>
      </c>
      <c r="AD30" s="1265">
        <f t="shared" si="12"/>
        <v>2046</v>
      </c>
      <c r="AE30" s="1265">
        <f t="shared" si="12"/>
        <v>2047</v>
      </c>
      <c r="AF30" s="1265">
        <f t="shared" si="12"/>
        <v>2048</v>
      </c>
      <c r="AG30" s="1265">
        <f t="shared" si="12"/>
        <v>2049</v>
      </c>
      <c r="AH30" s="1265">
        <f t="shared" si="12"/>
        <v>2050</v>
      </c>
      <c r="AI30" s="1265">
        <f t="shared" si="12"/>
        <v>2051</v>
      </c>
      <c r="AJ30" s="1265">
        <f t="shared" si="12"/>
        <v>2052</v>
      </c>
      <c r="AK30" s="1265">
        <f t="shared" si="12"/>
        <v>2053</v>
      </c>
      <c r="AL30" s="1265">
        <f t="shared" si="12"/>
        <v>2054</v>
      </c>
    </row>
    <row r="31" spans="1:38">
      <c r="A31" s="549"/>
      <c r="B31" s="358" t="s">
        <v>1293</v>
      </c>
      <c r="C31" s="630">
        <f>900000+400000</f>
        <v>1300000</v>
      </c>
      <c r="E31" s="1268">
        <f>$C31*E18</f>
        <v>260000</v>
      </c>
      <c r="F31" s="1268">
        <f t="shared" ref="F31:AL31" si="13">$C31*F18</f>
        <v>1040000</v>
      </c>
      <c r="G31" s="1268">
        <f t="shared" si="13"/>
        <v>0</v>
      </c>
      <c r="H31" s="1268">
        <f t="shared" si="13"/>
        <v>0</v>
      </c>
      <c r="I31" s="1268">
        <f t="shared" si="13"/>
        <v>0</v>
      </c>
      <c r="J31" s="1268">
        <f t="shared" si="13"/>
        <v>0</v>
      </c>
      <c r="K31" s="1268">
        <f t="shared" si="13"/>
        <v>0</v>
      </c>
      <c r="L31" s="1268">
        <f t="shared" si="13"/>
        <v>0</v>
      </c>
      <c r="M31" s="1268">
        <f t="shared" si="13"/>
        <v>0</v>
      </c>
      <c r="N31" s="1268">
        <f t="shared" si="13"/>
        <v>0</v>
      </c>
      <c r="O31" s="1268">
        <f t="shared" si="13"/>
        <v>0</v>
      </c>
      <c r="P31" s="1268">
        <f t="shared" si="13"/>
        <v>0</v>
      </c>
      <c r="Q31" s="1268">
        <f t="shared" si="13"/>
        <v>0</v>
      </c>
      <c r="R31" s="1268">
        <f t="shared" si="13"/>
        <v>0</v>
      </c>
      <c r="S31" s="1268">
        <f t="shared" si="13"/>
        <v>0</v>
      </c>
      <c r="T31" s="1268">
        <f t="shared" si="13"/>
        <v>0</v>
      </c>
      <c r="U31" s="1268">
        <f t="shared" si="13"/>
        <v>0</v>
      </c>
      <c r="V31" s="1268">
        <f t="shared" si="13"/>
        <v>0</v>
      </c>
      <c r="W31" s="1268">
        <f t="shared" si="13"/>
        <v>0</v>
      </c>
      <c r="X31" s="1268">
        <f t="shared" si="13"/>
        <v>0</v>
      </c>
      <c r="Y31" s="1268">
        <f t="shared" si="13"/>
        <v>0</v>
      </c>
      <c r="Z31" s="1268">
        <f t="shared" si="13"/>
        <v>0</v>
      </c>
      <c r="AA31" s="1268">
        <f t="shared" si="13"/>
        <v>0</v>
      </c>
      <c r="AB31" s="1268">
        <f t="shared" si="13"/>
        <v>0</v>
      </c>
      <c r="AC31" s="1268">
        <f t="shared" si="13"/>
        <v>0</v>
      </c>
      <c r="AD31" s="1268">
        <f t="shared" si="13"/>
        <v>0</v>
      </c>
      <c r="AE31" s="1268">
        <f t="shared" si="13"/>
        <v>0</v>
      </c>
      <c r="AF31" s="1268">
        <f t="shared" si="13"/>
        <v>0</v>
      </c>
      <c r="AG31" s="1268">
        <f t="shared" si="13"/>
        <v>0</v>
      </c>
      <c r="AH31" s="1268">
        <f t="shared" si="13"/>
        <v>0</v>
      </c>
      <c r="AI31" s="1268">
        <f t="shared" si="13"/>
        <v>0</v>
      </c>
      <c r="AJ31" s="1268">
        <f t="shared" si="13"/>
        <v>0</v>
      </c>
      <c r="AK31" s="1268">
        <f t="shared" si="13"/>
        <v>0</v>
      </c>
      <c r="AL31" s="1268">
        <f t="shared" si="13"/>
        <v>0</v>
      </c>
    </row>
    <row r="32" spans="1:38">
      <c r="A32" s="549"/>
      <c r="B32" s="358" t="s">
        <v>1149</v>
      </c>
      <c r="C32" s="630">
        <f>1700000+149452+86777</f>
        <v>1936229</v>
      </c>
      <c r="E32" s="1268">
        <f t="shared" ref="E32:AL32" si="14">$C32*E19</f>
        <v>0</v>
      </c>
      <c r="F32" s="1268">
        <f t="shared" si="14"/>
        <v>484057.25</v>
      </c>
      <c r="G32" s="1268">
        <f t="shared" si="14"/>
        <v>1452171.75</v>
      </c>
      <c r="H32" s="1268">
        <f t="shared" si="14"/>
        <v>0</v>
      </c>
      <c r="I32" s="1268">
        <f t="shared" si="14"/>
        <v>0</v>
      </c>
      <c r="J32" s="1268">
        <f t="shared" si="14"/>
        <v>0</v>
      </c>
      <c r="K32" s="1268">
        <f t="shared" si="14"/>
        <v>0</v>
      </c>
      <c r="L32" s="1268">
        <f t="shared" si="14"/>
        <v>0</v>
      </c>
      <c r="M32" s="1268">
        <f t="shared" si="14"/>
        <v>0</v>
      </c>
      <c r="N32" s="1268">
        <f t="shared" si="14"/>
        <v>0</v>
      </c>
      <c r="O32" s="1268">
        <f t="shared" si="14"/>
        <v>0</v>
      </c>
      <c r="P32" s="1268">
        <f t="shared" si="14"/>
        <v>0</v>
      </c>
      <c r="Q32" s="1268">
        <f t="shared" si="14"/>
        <v>0</v>
      </c>
      <c r="R32" s="1268">
        <f t="shared" si="14"/>
        <v>0</v>
      </c>
      <c r="S32" s="1268">
        <f t="shared" si="14"/>
        <v>0</v>
      </c>
      <c r="T32" s="1268">
        <f t="shared" si="14"/>
        <v>0</v>
      </c>
      <c r="U32" s="1268">
        <f t="shared" si="14"/>
        <v>0</v>
      </c>
      <c r="V32" s="1268">
        <f t="shared" si="14"/>
        <v>0</v>
      </c>
      <c r="W32" s="1268">
        <f t="shared" si="14"/>
        <v>0</v>
      </c>
      <c r="X32" s="1268">
        <f t="shared" si="14"/>
        <v>0</v>
      </c>
      <c r="Y32" s="1268">
        <f t="shared" si="14"/>
        <v>0</v>
      </c>
      <c r="Z32" s="1268">
        <f t="shared" si="14"/>
        <v>0</v>
      </c>
      <c r="AA32" s="1268">
        <f t="shared" si="14"/>
        <v>0</v>
      </c>
      <c r="AB32" s="1268">
        <f t="shared" si="14"/>
        <v>0</v>
      </c>
      <c r="AC32" s="1268">
        <f t="shared" si="14"/>
        <v>0</v>
      </c>
      <c r="AD32" s="1268">
        <f t="shared" si="14"/>
        <v>0</v>
      </c>
      <c r="AE32" s="1268">
        <f t="shared" si="14"/>
        <v>0</v>
      </c>
      <c r="AF32" s="1268">
        <f t="shared" si="14"/>
        <v>0</v>
      </c>
      <c r="AG32" s="1268">
        <f t="shared" si="14"/>
        <v>0</v>
      </c>
      <c r="AH32" s="1268">
        <f t="shared" si="14"/>
        <v>0</v>
      </c>
      <c r="AI32" s="1268">
        <f t="shared" si="14"/>
        <v>0</v>
      </c>
      <c r="AJ32" s="1268">
        <f t="shared" si="14"/>
        <v>0</v>
      </c>
      <c r="AK32" s="1268">
        <f t="shared" si="14"/>
        <v>0</v>
      </c>
      <c r="AL32" s="1268">
        <f t="shared" si="14"/>
        <v>0</v>
      </c>
    </row>
    <row r="33" spans="1:38">
      <c r="A33" s="549"/>
      <c r="B33" s="558" t="s">
        <v>1150</v>
      </c>
      <c r="C33" s="630">
        <v>500000</v>
      </c>
      <c r="E33" s="1268">
        <f t="shared" ref="E33:AL33" si="15">$C33*E20</f>
        <v>0</v>
      </c>
      <c r="F33" s="1268">
        <f t="shared" si="15"/>
        <v>0</v>
      </c>
      <c r="G33" s="1268">
        <f t="shared" si="15"/>
        <v>375000</v>
      </c>
      <c r="H33" s="1268">
        <f t="shared" si="15"/>
        <v>125000</v>
      </c>
      <c r="I33" s="1268">
        <f t="shared" si="15"/>
        <v>0</v>
      </c>
      <c r="J33" s="1268">
        <f t="shared" si="15"/>
        <v>0</v>
      </c>
      <c r="K33" s="1268">
        <f t="shared" si="15"/>
        <v>0</v>
      </c>
      <c r="L33" s="1268">
        <f t="shared" si="15"/>
        <v>0</v>
      </c>
      <c r="M33" s="1268">
        <f t="shared" si="15"/>
        <v>0</v>
      </c>
      <c r="N33" s="1268">
        <f t="shared" si="15"/>
        <v>0</v>
      </c>
      <c r="O33" s="1268">
        <f t="shared" si="15"/>
        <v>0</v>
      </c>
      <c r="P33" s="1268">
        <f t="shared" si="15"/>
        <v>0</v>
      </c>
      <c r="Q33" s="1268">
        <f t="shared" si="15"/>
        <v>0</v>
      </c>
      <c r="R33" s="1268">
        <f t="shared" si="15"/>
        <v>0</v>
      </c>
      <c r="S33" s="1268">
        <f t="shared" si="15"/>
        <v>0</v>
      </c>
      <c r="T33" s="1268">
        <f t="shared" si="15"/>
        <v>0</v>
      </c>
      <c r="U33" s="1268">
        <f t="shared" si="15"/>
        <v>0</v>
      </c>
      <c r="V33" s="1268">
        <f t="shared" si="15"/>
        <v>0</v>
      </c>
      <c r="W33" s="1268">
        <f t="shared" si="15"/>
        <v>0</v>
      </c>
      <c r="X33" s="1268">
        <f t="shared" si="15"/>
        <v>0</v>
      </c>
      <c r="Y33" s="1268">
        <f t="shared" si="15"/>
        <v>0</v>
      </c>
      <c r="Z33" s="1268">
        <f t="shared" si="15"/>
        <v>0</v>
      </c>
      <c r="AA33" s="1268">
        <f t="shared" si="15"/>
        <v>0</v>
      </c>
      <c r="AB33" s="1268">
        <f t="shared" si="15"/>
        <v>0</v>
      </c>
      <c r="AC33" s="1268">
        <f t="shared" si="15"/>
        <v>0</v>
      </c>
      <c r="AD33" s="1268">
        <f t="shared" si="15"/>
        <v>0</v>
      </c>
      <c r="AE33" s="1268">
        <f t="shared" si="15"/>
        <v>0</v>
      </c>
      <c r="AF33" s="1268">
        <f t="shared" si="15"/>
        <v>0</v>
      </c>
      <c r="AG33" s="1268">
        <f t="shared" si="15"/>
        <v>0</v>
      </c>
      <c r="AH33" s="1268">
        <f t="shared" si="15"/>
        <v>0</v>
      </c>
      <c r="AI33" s="1268">
        <f t="shared" si="15"/>
        <v>0</v>
      </c>
      <c r="AJ33" s="1268">
        <f t="shared" si="15"/>
        <v>0</v>
      </c>
      <c r="AK33" s="1268">
        <f t="shared" si="15"/>
        <v>0</v>
      </c>
      <c r="AL33" s="1268">
        <f t="shared" si="15"/>
        <v>0</v>
      </c>
    </row>
    <row r="34" spans="1:38">
      <c r="A34" s="549"/>
      <c r="B34" s="1212" t="s">
        <v>1151</v>
      </c>
      <c r="C34" s="725">
        <f>8350696-C33</f>
        <v>7850696</v>
      </c>
      <c r="E34" s="1268">
        <f t="shared" ref="E34:AL34" si="16">$C34*E21</f>
        <v>0</v>
      </c>
      <c r="F34" s="1268">
        <f t="shared" si="16"/>
        <v>0</v>
      </c>
      <c r="G34" s="1268">
        <f t="shared" si="16"/>
        <v>0</v>
      </c>
      <c r="H34" s="1268">
        <f t="shared" si="16"/>
        <v>7850696</v>
      </c>
      <c r="I34" s="1268">
        <f t="shared" si="16"/>
        <v>0</v>
      </c>
      <c r="J34" s="1268">
        <f t="shared" si="16"/>
        <v>0</v>
      </c>
      <c r="K34" s="1268">
        <f t="shared" si="16"/>
        <v>0</v>
      </c>
      <c r="L34" s="1268">
        <f t="shared" si="16"/>
        <v>0</v>
      </c>
      <c r="M34" s="1268">
        <f t="shared" si="16"/>
        <v>0</v>
      </c>
      <c r="N34" s="1268">
        <f t="shared" si="16"/>
        <v>0</v>
      </c>
      <c r="O34" s="1268">
        <f t="shared" si="16"/>
        <v>0</v>
      </c>
      <c r="P34" s="1268">
        <f t="shared" si="16"/>
        <v>0</v>
      </c>
      <c r="Q34" s="1268">
        <f t="shared" si="16"/>
        <v>0</v>
      </c>
      <c r="R34" s="1268">
        <f t="shared" si="16"/>
        <v>0</v>
      </c>
      <c r="S34" s="1268">
        <f t="shared" si="16"/>
        <v>0</v>
      </c>
      <c r="T34" s="1268">
        <f t="shared" si="16"/>
        <v>0</v>
      </c>
      <c r="U34" s="1268">
        <f t="shared" si="16"/>
        <v>0</v>
      </c>
      <c r="V34" s="1268">
        <f t="shared" si="16"/>
        <v>0</v>
      </c>
      <c r="W34" s="1268">
        <f t="shared" si="16"/>
        <v>0</v>
      </c>
      <c r="X34" s="1268">
        <f t="shared" si="16"/>
        <v>0</v>
      </c>
      <c r="Y34" s="1268">
        <f t="shared" si="16"/>
        <v>0</v>
      </c>
      <c r="Z34" s="1268">
        <f t="shared" si="16"/>
        <v>0</v>
      </c>
      <c r="AA34" s="1268">
        <f t="shared" si="16"/>
        <v>0</v>
      </c>
      <c r="AB34" s="1268">
        <f t="shared" si="16"/>
        <v>0</v>
      </c>
      <c r="AC34" s="1268">
        <f t="shared" si="16"/>
        <v>0</v>
      </c>
      <c r="AD34" s="1268">
        <f t="shared" si="16"/>
        <v>0</v>
      </c>
      <c r="AE34" s="1268">
        <f t="shared" si="16"/>
        <v>0</v>
      </c>
      <c r="AF34" s="1268">
        <f t="shared" si="16"/>
        <v>0</v>
      </c>
      <c r="AG34" s="1268">
        <f t="shared" si="16"/>
        <v>0</v>
      </c>
      <c r="AH34" s="1268">
        <f t="shared" si="16"/>
        <v>0</v>
      </c>
      <c r="AI34" s="1268">
        <f t="shared" si="16"/>
        <v>0</v>
      </c>
      <c r="AJ34" s="1268">
        <f t="shared" si="16"/>
        <v>0</v>
      </c>
      <c r="AK34" s="1268">
        <f t="shared" si="16"/>
        <v>0</v>
      </c>
      <c r="AL34" s="1268">
        <f t="shared" si="16"/>
        <v>0</v>
      </c>
    </row>
    <row r="35" spans="1:38">
      <c r="A35" s="549"/>
      <c r="B35" s="358" t="s">
        <v>1152</v>
      </c>
      <c r="C35" s="630">
        <v>700000</v>
      </c>
      <c r="E35" s="1268">
        <f t="shared" ref="E35:AL35" si="17">$C35*E22</f>
        <v>0</v>
      </c>
      <c r="F35" s="1268">
        <f t="shared" si="17"/>
        <v>0</v>
      </c>
      <c r="G35" s="1268">
        <f t="shared" si="17"/>
        <v>0</v>
      </c>
      <c r="H35" s="1268">
        <f t="shared" si="17"/>
        <v>700000</v>
      </c>
      <c r="I35" s="1268">
        <f t="shared" si="17"/>
        <v>0</v>
      </c>
      <c r="J35" s="1268">
        <f t="shared" si="17"/>
        <v>0</v>
      </c>
      <c r="K35" s="1268">
        <f t="shared" si="17"/>
        <v>0</v>
      </c>
      <c r="L35" s="1268">
        <f t="shared" si="17"/>
        <v>0</v>
      </c>
      <c r="M35" s="1268">
        <f t="shared" si="17"/>
        <v>0</v>
      </c>
      <c r="N35" s="1268">
        <f t="shared" si="17"/>
        <v>0</v>
      </c>
      <c r="O35" s="1268">
        <f t="shared" si="17"/>
        <v>0</v>
      </c>
      <c r="P35" s="1268">
        <f t="shared" si="17"/>
        <v>0</v>
      </c>
      <c r="Q35" s="1268">
        <f t="shared" si="17"/>
        <v>0</v>
      </c>
      <c r="R35" s="1268">
        <f t="shared" si="17"/>
        <v>0</v>
      </c>
      <c r="S35" s="1268">
        <f t="shared" si="17"/>
        <v>0</v>
      </c>
      <c r="T35" s="1268">
        <f t="shared" si="17"/>
        <v>0</v>
      </c>
      <c r="U35" s="1268">
        <f t="shared" si="17"/>
        <v>0</v>
      </c>
      <c r="V35" s="1268">
        <f t="shared" si="17"/>
        <v>0</v>
      </c>
      <c r="W35" s="1268">
        <f t="shared" si="17"/>
        <v>0</v>
      </c>
      <c r="X35" s="1268">
        <f t="shared" si="17"/>
        <v>0</v>
      </c>
      <c r="Y35" s="1268">
        <f t="shared" si="17"/>
        <v>0</v>
      </c>
      <c r="Z35" s="1268">
        <f t="shared" si="17"/>
        <v>0</v>
      </c>
      <c r="AA35" s="1268">
        <f t="shared" si="17"/>
        <v>0</v>
      </c>
      <c r="AB35" s="1268">
        <f t="shared" si="17"/>
        <v>0</v>
      </c>
      <c r="AC35" s="1268">
        <f t="shared" si="17"/>
        <v>0</v>
      </c>
      <c r="AD35" s="1268">
        <f t="shared" si="17"/>
        <v>0</v>
      </c>
      <c r="AE35" s="1268">
        <f t="shared" si="17"/>
        <v>0</v>
      </c>
      <c r="AF35" s="1268">
        <f t="shared" si="17"/>
        <v>0</v>
      </c>
      <c r="AG35" s="1268">
        <f t="shared" si="17"/>
        <v>0</v>
      </c>
      <c r="AH35" s="1268">
        <f t="shared" si="17"/>
        <v>0</v>
      </c>
      <c r="AI35" s="1268">
        <f t="shared" si="17"/>
        <v>0</v>
      </c>
      <c r="AJ35" s="1268">
        <f t="shared" si="17"/>
        <v>0</v>
      </c>
      <c r="AK35" s="1268">
        <f t="shared" si="17"/>
        <v>0</v>
      </c>
      <c r="AL35" s="1268">
        <f t="shared" si="17"/>
        <v>0</v>
      </c>
    </row>
    <row r="36" spans="1:38">
      <c r="A36" s="549"/>
      <c r="B36" s="358" t="s">
        <v>1290</v>
      </c>
      <c r="C36" s="630">
        <v>3196731</v>
      </c>
      <c r="E36" s="1268">
        <f t="shared" ref="E36:AL36" si="18">$C36*E23</f>
        <v>70979.384285458887</v>
      </c>
      <c r="F36" s="1268">
        <f t="shared" si="18"/>
        <v>408547.97934744973</v>
      </c>
      <c r="G36" s="1268">
        <f t="shared" si="18"/>
        <v>480511.14123737602</v>
      </c>
      <c r="H36" s="1268">
        <f t="shared" si="18"/>
        <v>2236692.4951297157</v>
      </c>
      <c r="I36" s="1268">
        <f t="shared" si="18"/>
        <v>0</v>
      </c>
      <c r="J36" s="1268">
        <f t="shared" si="18"/>
        <v>0</v>
      </c>
      <c r="K36" s="1268">
        <f t="shared" si="18"/>
        <v>0</v>
      </c>
      <c r="L36" s="1268">
        <f t="shared" si="18"/>
        <v>0</v>
      </c>
      <c r="M36" s="1268">
        <f t="shared" si="18"/>
        <v>0</v>
      </c>
      <c r="N36" s="1268">
        <f t="shared" si="18"/>
        <v>0</v>
      </c>
      <c r="O36" s="1268">
        <f t="shared" si="18"/>
        <v>0</v>
      </c>
      <c r="P36" s="1268">
        <f t="shared" si="18"/>
        <v>0</v>
      </c>
      <c r="Q36" s="1268">
        <f t="shared" si="18"/>
        <v>0</v>
      </c>
      <c r="R36" s="1268">
        <f t="shared" si="18"/>
        <v>0</v>
      </c>
      <c r="S36" s="1268">
        <f t="shared" si="18"/>
        <v>0</v>
      </c>
      <c r="T36" s="1268">
        <f t="shared" si="18"/>
        <v>0</v>
      </c>
      <c r="U36" s="1268">
        <f t="shared" si="18"/>
        <v>0</v>
      </c>
      <c r="V36" s="1268">
        <f t="shared" si="18"/>
        <v>0</v>
      </c>
      <c r="W36" s="1268">
        <f t="shared" si="18"/>
        <v>0</v>
      </c>
      <c r="X36" s="1268">
        <f t="shared" si="18"/>
        <v>0</v>
      </c>
      <c r="Y36" s="1268">
        <f t="shared" si="18"/>
        <v>0</v>
      </c>
      <c r="Z36" s="1268">
        <f t="shared" si="18"/>
        <v>0</v>
      </c>
      <c r="AA36" s="1268">
        <f t="shared" si="18"/>
        <v>0</v>
      </c>
      <c r="AB36" s="1268">
        <f t="shared" si="18"/>
        <v>0</v>
      </c>
      <c r="AC36" s="1268">
        <f t="shared" si="18"/>
        <v>0</v>
      </c>
      <c r="AD36" s="1268">
        <f t="shared" si="18"/>
        <v>0</v>
      </c>
      <c r="AE36" s="1268">
        <f t="shared" si="18"/>
        <v>0</v>
      </c>
      <c r="AF36" s="1268">
        <f t="shared" si="18"/>
        <v>0</v>
      </c>
      <c r="AG36" s="1268">
        <f t="shared" si="18"/>
        <v>0</v>
      </c>
      <c r="AH36" s="1268">
        <f t="shared" si="18"/>
        <v>0</v>
      </c>
      <c r="AI36" s="1268">
        <f t="shared" si="18"/>
        <v>0</v>
      </c>
      <c r="AJ36" s="1268">
        <f t="shared" si="18"/>
        <v>0</v>
      </c>
      <c r="AK36" s="1268">
        <f t="shared" si="18"/>
        <v>0</v>
      </c>
      <c r="AL36" s="1268">
        <f t="shared" si="18"/>
        <v>0</v>
      </c>
    </row>
    <row r="37" spans="1:38">
      <c r="A37" s="549"/>
      <c r="B37" s="358" t="s">
        <v>1292</v>
      </c>
      <c r="C37" s="1355">
        <v>300000</v>
      </c>
      <c r="E37" s="1268">
        <f t="shared" ref="E37:AL37" si="19">$C37*E24</f>
        <v>75000</v>
      </c>
      <c r="F37" s="1268">
        <f t="shared" si="19"/>
        <v>75000</v>
      </c>
      <c r="G37" s="1268">
        <f t="shared" si="19"/>
        <v>75000</v>
      </c>
      <c r="H37" s="1268">
        <f t="shared" si="19"/>
        <v>75000</v>
      </c>
      <c r="I37" s="1268">
        <f t="shared" si="19"/>
        <v>0</v>
      </c>
      <c r="J37" s="1268">
        <f t="shared" si="19"/>
        <v>0</v>
      </c>
      <c r="K37" s="1268">
        <f t="shared" si="19"/>
        <v>0</v>
      </c>
      <c r="L37" s="1268">
        <f t="shared" si="19"/>
        <v>0</v>
      </c>
      <c r="M37" s="1268">
        <f t="shared" si="19"/>
        <v>0</v>
      </c>
      <c r="N37" s="1268">
        <f t="shared" si="19"/>
        <v>0</v>
      </c>
      <c r="O37" s="1268">
        <f t="shared" si="19"/>
        <v>0</v>
      </c>
      <c r="P37" s="1268">
        <f t="shared" si="19"/>
        <v>0</v>
      </c>
      <c r="Q37" s="1268">
        <f t="shared" si="19"/>
        <v>0</v>
      </c>
      <c r="R37" s="1268">
        <f t="shared" si="19"/>
        <v>0</v>
      </c>
      <c r="S37" s="1268">
        <f t="shared" si="19"/>
        <v>0</v>
      </c>
      <c r="T37" s="1268">
        <f t="shared" si="19"/>
        <v>0</v>
      </c>
      <c r="U37" s="1268">
        <f t="shared" si="19"/>
        <v>0</v>
      </c>
      <c r="V37" s="1268">
        <f t="shared" si="19"/>
        <v>0</v>
      </c>
      <c r="W37" s="1268">
        <f t="shared" si="19"/>
        <v>0</v>
      </c>
      <c r="X37" s="1268">
        <f t="shared" si="19"/>
        <v>0</v>
      </c>
      <c r="Y37" s="1268">
        <f t="shared" si="19"/>
        <v>0</v>
      </c>
      <c r="Z37" s="1268">
        <f t="shared" si="19"/>
        <v>0</v>
      </c>
      <c r="AA37" s="1268">
        <f t="shared" si="19"/>
        <v>0</v>
      </c>
      <c r="AB37" s="1268">
        <f t="shared" si="19"/>
        <v>0</v>
      </c>
      <c r="AC37" s="1268">
        <f t="shared" si="19"/>
        <v>0</v>
      </c>
      <c r="AD37" s="1268">
        <f t="shared" si="19"/>
        <v>0</v>
      </c>
      <c r="AE37" s="1268">
        <f t="shared" si="19"/>
        <v>0</v>
      </c>
      <c r="AF37" s="1268">
        <f t="shared" si="19"/>
        <v>0</v>
      </c>
      <c r="AG37" s="1268">
        <f t="shared" si="19"/>
        <v>0</v>
      </c>
      <c r="AH37" s="1268">
        <f t="shared" si="19"/>
        <v>0</v>
      </c>
      <c r="AI37" s="1268">
        <f t="shared" si="19"/>
        <v>0</v>
      </c>
      <c r="AJ37" s="1268">
        <f t="shared" si="19"/>
        <v>0</v>
      </c>
      <c r="AK37" s="1268">
        <f t="shared" si="19"/>
        <v>0</v>
      </c>
      <c r="AL37" s="1268">
        <f t="shared" si="19"/>
        <v>0</v>
      </c>
    </row>
    <row r="38" spans="1:38">
      <c r="A38" s="549"/>
      <c r="B38" s="433" t="s">
        <v>1291</v>
      </c>
      <c r="C38" s="631">
        <v>200000</v>
      </c>
      <c r="E38" s="1268">
        <f t="shared" ref="E38:AL38" si="20">$C38*E25</f>
        <v>50000</v>
      </c>
      <c r="F38" s="1268">
        <f t="shared" si="20"/>
        <v>50000</v>
      </c>
      <c r="G38" s="1268">
        <f t="shared" si="20"/>
        <v>50000</v>
      </c>
      <c r="H38" s="1268">
        <f t="shared" si="20"/>
        <v>50000</v>
      </c>
      <c r="I38" s="1268">
        <f t="shared" si="20"/>
        <v>0</v>
      </c>
      <c r="J38" s="1268">
        <f t="shared" si="20"/>
        <v>0</v>
      </c>
      <c r="K38" s="1268">
        <f t="shared" si="20"/>
        <v>0</v>
      </c>
      <c r="L38" s="1268">
        <f t="shared" si="20"/>
        <v>0</v>
      </c>
      <c r="M38" s="1268">
        <f t="shared" si="20"/>
        <v>0</v>
      </c>
      <c r="N38" s="1268">
        <f t="shared" si="20"/>
        <v>0</v>
      </c>
      <c r="O38" s="1268">
        <f t="shared" si="20"/>
        <v>0</v>
      </c>
      <c r="P38" s="1268">
        <f t="shared" si="20"/>
        <v>0</v>
      </c>
      <c r="Q38" s="1268">
        <f t="shared" si="20"/>
        <v>0</v>
      </c>
      <c r="R38" s="1268">
        <f t="shared" si="20"/>
        <v>0</v>
      </c>
      <c r="S38" s="1268">
        <f t="shared" si="20"/>
        <v>0</v>
      </c>
      <c r="T38" s="1268">
        <f t="shared" si="20"/>
        <v>0</v>
      </c>
      <c r="U38" s="1268">
        <f t="shared" si="20"/>
        <v>0</v>
      </c>
      <c r="V38" s="1268">
        <f t="shared" si="20"/>
        <v>0</v>
      </c>
      <c r="W38" s="1268">
        <f t="shared" si="20"/>
        <v>0</v>
      </c>
      <c r="X38" s="1268">
        <f t="shared" si="20"/>
        <v>0</v>
      </c>
      <c r="Y38" s="1268">
        <f t="shared" si="20"/>
        <v>0</v>
      </c>
      <c r="Z38" s="1268">
        <f t="shared" si="20"/>
        <v>0</v>
      </c>
      <c r="AA38" s="1268">
        <f t="shared" si="20"/>
        <v>0</v>
      </c>
      <c r="AB38" s="1268">
        <f t="shared" si="20"/>
        <v>0</v>
      </c>
      <c r="AC38" s="1268">
        <f t="shared" si="20"/>
        <v>0</v>
      </c>
      <c r="AD38" s="1268">
        <f t="shared" si="20"/>
        <v>0</v>
      </c>
      <c r="AE38" s="1268">
        <f t="shared" si="20"/>
        <v>0</v>
      </c>
      <c r="AF38" s="1268">
        <f t="shared" si="20"/>
        <v>0</v>
      </c>
      <c r="AG38" s="1268">
        <f t="shared" si="20"/>
        <v>0</v>
      </c>
      <c r="AH38" s="1268">
        <f t="shared" si="20"/>
        <v>0</v>
      </c>
      <c r="AI38" s="1268">
        <f t="shared" si="20"/>
        <v>0</v>
      </c>
      <c r="AJ38" s="1268">
        <f t="shared" si="20"/>
        <v>0</v>
      </c>
      <c r="AK38" s="1268">
        <f t="shared" si="20"/>
        <v>0</v>
      </c>
      <c r="AL38" s="1268">
        <f t="shared" si="20"/>
        <v>0</v>
      </c>
    </row>
    <row r="39" spans="1:38" ht="13">
      <c r="B39" s="364" t="s">
        <v>5</v>
      </c>
      <c r="C39" s="1361">
        <f>SUM(C31:C38)</f>
        <v>15983656</v>
      </c>
      <c r="E39" s="1362">
        <f>SUM(E31:E38)</f>
        <v>455979.38428545889</v>
      </c>
      <c r="F39" s="1362">
        <f t="shared" ref="F39:AL39" si="21">SUM(F31:F38)</f>
        <v>2057605.2293474497</v>
      </c>
      <c r="G39" s="1362">
        <f t="shared" si="21"/>
        <v>2432682.8912373763</v>
      </c>
      <c r="H39" s="1362">
        <f t="shared" si="21"/>
        <v>11037388.495129716</v>
      </c>
      <c r="I39" s="1362">
        <f t="shared" si="21"/>
        <v>0</v>
      </c>
      <c r="J39" s="1362">
        <f t="shared" si="21"/>
        <v>0</v>
      </c>
      <c r="K39" s="1362">
        <f t="shared" si="21"/>
        <v>0</v>
      </c>
      <c r="L39" s="1362">
        <f t="shared" si="21"/>
        <v>0</v>
      </c>
      <c r="M39" s="1362">
        <f t="shared" si="21"/>
        <v>0</v>
      </c>
      <c r="N39" s="1362">
        <f t="shared" si="21"/>
        <v>0</v>
      </c>
      <c r="O39" s="1362">
        <f t="shared" si="21"/>
        <v>0</v>
      </c>
      <c r="P39" s="1362">
        <f t="shared" si="21"/>
        <v>0</v>
      </c>
      <c r="Q39" s="1362">
        <f t="shared" si="21"/>
        <v>0</v>
      </c>
      <c r="R39" s="1362">
        <f t="shared" si="21"/>
        <v>0</v>
      </c>
      <c r="S39" s="1362">
        <f t="shared" si="21"/>
        <v>0</v>
      </c>
      <c r="T39" s="1362">
        <f t="shared" si="21"/>
        <v>0</v>
      </c>
      <c r="U39" s="1362">
        <f t="shared" si="21"/>
        <v>0</v>
      </c>
      <c r="V39" s="1362">
        <f t="shared" si="21"/>
        <v>0</v>
      </c>
      <c r="W39" s="1362">
        <f t="shared" si="21"/>
        <v>0</v>
      </c>
      <c r="X39" s="1362">
        <f t="shared" si="21"/>
        <v>0</v>
      </c>
      <c r="Y39" s="1362">
        <f t="shared" si="21"/>
        <v>0</v>
      </c>
      <c r="Z39" s="1362">
        <f t="shared" si="21"/>
        <v>0</v>
      </c>
      <c r="AA39" s="1362">
        <f t="shared" si="21"/>
        <v>0</v>
      </c>
      <c r="AB39" s="1362">
        <f t="shared" si="21"/>
        <v>0</v>
      </c>
      <c r="AC39" s="1362">
        <f t="shared" si="21"/>
        <v>0</v>
      </c>
      <c r="AD39" s="1362">
        <f t="shared" si="21"/>
        <v>0</v>
      </c>
      <c r="AE39" s="1362">
        <f t="shared" si="21"/>
        <v>0</v>
      </c>
      <c r="AF39" s="1362">
        <f t="shared" si="21"/>
        <v>0</v>
      </c>
      <c r="AG39" s="1362">
        <f t="shared" si="21"/>
        <v>0</v>
      </c>
      <c r="AH39" s="1362">
        <f t="shared" si="21"/>
        <v>0</v>
      </c>
      <c r="AI39" s="1362">
        <f t="shared" si="21"/>
        <v>0</v>
      </c>
      <c r="AJ39" s="1362">
        <f t="shared" si="21"/>
        <v>0</v>
      </c>
      <c r="AK39" s="1362">
        <f t="shared" si="21"/>
        <v>0</v>
      </c>
      <c r="AL39" s="1362">
        <f t="shared" si="21"/>
        <v>0</v>
      </c>
    </row>
    <row r="43" spans="1:38">
      <c r="C43" s="731"/>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tint="-0.249977111117893"/>
  </sheetPr>
  <dimension ref="A1:AL7"/>
  <sheetViews>
    <sheetView showGridLines="0" workbookViewId="0">
      <selection activeCell="H7" sqref="H7"/>
    </sheetView>
  </sheetViews>
  <sheetFormatPr defaultRowHeight="14" outlineLevelCol="1"/>
  <cols>
    <col min="1" max="1" width="0.83203125" customWidth="1"/>
    <col min="2" max="2" width="33.08203125" customWidth="1"/>
    <col min="3" max="3" width="16.58203125" customWidth="1"/>
    <col min="4" max="9" width="13.08203125" customWidth="1"/>
    <col min="10" max="36" width="13.08203125" hidden="1" customWidth="1" outlineLevel="1"/>
    <col min="37" max="37" width="13.08203125" style="150" hidden="1" customWidth="1" outlineLevel="1"/>
    <col min="38" max="38" width="8.75" collapsed="1"/>
  </cols>
  <sheetData>
    <row r="1" spans="1:37" ht="25">
      <c r="A1" s="356" t="s">
        <v>852</v>
      </c>
      <c r="B1" s="369"/>
      <c r="C1" s="456"/>
      <c r="D1" s="389"/>
      <c r="E1" s="457"/>
      <c r="F1" s="457"/>
      <c r="G1" s="458"/>
      <c r="H1" s="458"/>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row>
    <row r="2" spans="1:37">
      <c r="A2" s="389"/>
      <c r="B2" s="369"/>
      <c r="C2" s="456"/>
      <c r="D2" s="460" t="s">
        <v>279</v>
      </c>
      <c r="E2" s="461">
        <f>VRCBY</f>
        <v>2021</v>
      </c>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row>
    <row r="3" spans="1:37">
      <c r="A3" s="463"/>
      <c r="B3" s="463"/>
      <c r="C3" s="507" t="s">
        <v>0</v>
      </c>
      <c r="D3" s="508">
        <f>E2</f>
        <v>2021</v>
      </c>
      <c r="E3" s="508">
        <f>D3+1</f>
        <v>2022</v>
      </c>
      <c r="F3" s="508">
        <f t="shared" ref="F3:AK3" si="0">E3+1</f>
        <v>2023</v>
      </c>
      <c r="G3" s="508">
        <f t="shared" si="0"/>
        <v>2024</v>
      </c>
      <c r="H3" s="508">
        <f t="shared" si="0"/>
        <v>2025</v>
      </c>
      <c r="I3" s="508">
        <f t="shared" si="0"/>
        <v>2026</v>
      </c>
      <c r="J3" s="508">
        <f t="shared" si="0"/>
        <v>2027</v>
      </c>
      <c r="K3" s="508">
        <f t="shared" si="0"/>
        <v>2028</v>
      </c>
      <c r="L3" s="508">
        <f t="shared" si="0"/>
        <v>2029</v>
      </c>
      <c r="M3" s="508">
        <f t="shared" si="0"/>
        <v>2030</v>
      </c>
      <c r="N3" s="508">
        <f t="shared" si="0"/>
        <v>2031</v>
      </c>
      <c r="O3" s="508">
        <f t="shared" si="0"/>
        <v>2032</v>
      </c>
      <c r="P3" s="508">
        <f t="shared" si="0"/>
        <v>2033</v>
      </c>
      <c r="Q3" s="508">
        <f t="shared" si="0"/>
        <v>2034</v>
      </c>
      <c r="R3" s="508">
        <f t="shared" si="0"/>
        <v>2035</v>
      </c>
      <c r="S3" s="508">
        <f t="shared" si="0"/>
        <v>2036</v>
      </c>
      <c r="T3" s="508">
        <f t="shared" si="0"/>
        <v>2037</v>
      </c>
      <c r="U3" s="508">
        <f t="shared" si="0"/>
        <v>2038</v>
      </c>
      <c r="V3" s="508">
        <f t="shared" si="0"/>
        <v>2039</v>
      </c>
      <c r="W3" s="508">
        <f t="shared" si="0"/>
        <v>2040</v>
      </c>
      <c r="X3" s="508">
        <f t="shared" si="0"/>
        <v>2041</v>
      </c>
      <c r="Y3" s="508">
        <f t="shared" si="0"/>
        <v>2042</v>
      </c>
      <c r="Z3" s="508">
        <f t="shared" si="0"/>
        <v>2043</v>
      </c>
      <c r="AA3" s="508">
        <f t="shared" si="0"/>
        <v>2044</v>
      </c>
      <c r="AB3" s="508">
        <f t="shared" si="0"/>
        <v>2045</v>
      </c>
      <c r="AC3" s="508">
        <f t="shared" si="0"/>
        <v>2046</v>
      </c>
      <c r="AD3" s="508">
        <f t="shared" si="0"/>
        <v>2047</v>
      </c>
      <c r="AE3" s="508">
        <f t="shared" si="0"/>
        <v>2048</v>
      </c>
      <c r="AF3" s="508">
        <f t="shared" si="0"/>
        <v>2049</v>
      </c>
      <c r="AG3" s="508">
        <f t="shared" si="0"/>
        <v>2050</v>
      </c>
      <c r="AH3" s="508">
        <f t="shared" si="0"/>
        <v>2051</v>
      </c>
      <c r="AI3" s="508">
        <f t="shared" si="0"/>
        <v>2052</v>
      </c>
      <c r="AJ3" s="508">
        <f t="shared" si="0"/>
        <v>2053</v>
      </c>
      <c r="AK3" s="508">
        <f t="shared" si="0"/>
        <v>2054</v>
      </c>
    </row>
    <row r="5" spans="1:37">
      <c r="B5" s="364" t="s">
        <v>853</v>
      </c>
      <c r="C5" s="644">
        <f>'General Inputs'!$D$39</f>
        <v>12248163.847270133</v>
      </c>
    </row>
    <row r="7" spans="1:37">
      <c r="B7" s="492" t="s">
        <v>284</v>
      </c>
      <c r="C7" s="487" t="s">
        <v>292</v>
      </c>
      <c r="D7" s="488">
        <f t="shared" ref="D7:AK7" si="1">IF(D$3=VRCConstEnd+1,$C$5,0)</f>
        <v>0</v>
      </c>
      <c r="E7" s="488">
        <f t="shared" si="1"/>
        <v>0</v>
      </c>
      <c r="F7" s="488">
        <f t="shared" si="1"/>
        <v>0</v>
      </c>
      <c r="G7" s="488">
        <f t="shared" si="1"/>
        <v>0</v>
      </c>
      <c r="H7" s="488">
        <f t="shared" si="1"/>
        <v>12248163.847270133</v>
      </c>
      <c r="I7" s="488">
        <f t="shared" si="1"/>
        <v>0</v>
      </c>
      <c r="J7" s="488">
        <f t="shared" si="1"/>
        <v>0</v>
      </c>
      <c r="K7" s="488">
        <f t="shared" si="1"/>
        <v>0</v>
      </c>
      <c r="L7" s="488">
        <f t="shared" si="1"/>
        <v>0</v>
      </c>
      <c r="M7" s="488">
        <f t="shared" si="1"/>
        <v>0</v>
      </c>
      <c r="N7" s="488">
        <f t="shared" si="1"/>
        <v>0</v>
      </c>
      <c r="O7" s="488">
        <f t="shared" si="1"/>
        <v>0</v>
      </c>
      <c r="P7" s="488">
        <f t="shared" si="1"/>
        <v>0</v>
      </c>
      <c r="Q7" s="488">
        <f t="shared" si="1"/>
        <v>0</v>
      </c>
      <c r="R7" s="488">
        <f t="shared" si="1"/>
        <v>0</v>
      </c>
      <c r="S7" s="488">
        <f t="shared" si="1"/>
        <v>0</v>
      </c>
      <c r="T7" s="488">
        <f t="shared" si="1"/>
        <v>0</v>
      </c>
      <c r="U7" s="488">
        <f t="shared" si="1"/>
        <v>0</v>
      </c>
      <c r="V7" s="488">
        <f t="shared" si="1"/>
        <v>0</v>
      </c>
      <c r="W7" s="488">
        <f t="shared" si="1"/>
        <v>0</v>
      </c>
      <c r="X7" s="488">
        <f t="shared" si="1"/>
        <v>0</v>
      </c>
      <c r="Y7" s="488">
        <f t="shared" si="1"/>
        <v>0</v>
      </c>
      <c r="Z7" s="488">
        <f t="shared" si="1"/>
        <v>0</v>
      </c>
      <c r="AA7" s="488">
        <f t="shared" si="1"/>
        <v>0</v>
      </c>
      <c r="AB7" s="488">
        <f t="shared" si="1"/>
        <v>0</v>
      </c>
      <c r="AC7" s="488">
        <f t="shared" si="1"/>
        <v>0</v>
      </c>
      <c r="AD7" s="488">
        <f t="shared" si="1"/>
        <v>0</v>
      </c>
      <c r="AE7" s="488">
        <f t="shared" si="1"/>
        <v>0</v>
      </c>
      <c r="AF7" s="488">
        <f t="shared" si="1"/>
        <v>0</v>
      </c>
      <c r="AG7" s="488">
        <f t="shared" si="1"/>
        <v>0</v>
      </c>
      <c r="AH7" s="488">
        <f t="shared" si="1"/>
        <v>0</v>
      </c>
      <c r="AI7" s="488">
        <f t="shared" si="1"/>
        <v>0</v>
      </c>
      <c r="AJ7" s="488">
        <f t="shared" si="1"/>
        <v>0</v>
      </c>
      <c r="AK7" s="488">
        <f t="shared" si="1"/>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0A5E67D54F034687CCA09EA05C8F03" ma:contentTypeVersion="4" ma:contentTypeDescription="Create a new document." ma:contentTypeScope="" ma:versionID="accd26ec269170594483b4f1cc1bcec1">
  <xsd:schema xmlns:xsd="http://www.w3.org/2001/XMLSchema" xmlns:xs="http://www.w3.org/2001/XMLSchema" xmlns:p="http://schemas.microsoft.com/office/2006/metadata/properties" xmlns:ns2="c34379d2-7d1a-4513-a980-8feabc2053e5" targetNamespace="http://schemas.microsoft.com/office/2006/metadata/properties" ma:root="true" ma:fieldsID="c03cd58ac68dc0842c2bd07be549b0cc" ns2:_="">
    <xsd:import namespace="c34379d2-7d1a-4513-a980-8feabc2053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379d2-7d1a-4513-a980-8feabc2053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27933B-08E5-4F71-AFCB-8B8057F86FF9}">
  <ds:schemaRefs>
    <ds:schemaRef ds:uri="c34379d2-7d1a-4513-a980-8feabc2053e5"/>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2B7DC68-BFEE-4108-937A-B247F5774EC7}">
  <ds:schemaRefs>
    <ds:schemaRef ds:uri="http://schemas.microsoft.com/sharepoint/v3/contenttype/forms"/>
  </ds:schemaRefs>
</ds:datastoreItem>
</file>

<file path=customXml/itemProps3.xml><?xml version="1.0" encoding="utf-8"?>
<ds:datastoreItem xmlns:ds="http://schemas.openxmlformats.org/officeDocument/2006/customXml" ds:itemID="{12E40760-A569-48BA-975C-2DF86B4C1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379d2-7d1a-4513-a980-8feabc2053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10</vt:i4>
      </vt:variant>
    </vt:vector>
  </HeadingPairs>
  <TitlesOfParts>
    <vt:vector size="74" baseType="lpstr">
      <vt:lpstr>Results</vt:lpstr>
      <vt:lpstr>CRISI Tables</vt:lpstr>
      <vt:lpstr>Data for Charts</vt:lpstr>
      <vt:lpstr>S&amp;L Diagrams</vt:lpstr>
      <vt:lpstr>Crossing Inputs</vt:lpstr>
      <vt:lpstr>General Inputs</vt:lpstr>
      <vt:lpstr>Demand</vt:lpstr>
      <vt:lpstr>Capital Cost</vt:lpstr>
      <vt:lpstr>Calc1.1 - Land Value</vt:lpstr>
      <vt:lpstr>Calc1.2 - Residual Value</vt:lpstr>
      <vt:lpstr>Calc1.3 - O&amp;M Savings</vt:lpstr>
      <vt:lpstr>700 South</vt:lpstr>
      <vt:lpstr>B1.1</vt:lpstr>
      <vt:lpstr>A1.1</vt:lpstr>
      <vt:lpstr>950 West</vt:lpstr>
      <vt:lpstr>B1.2</vt:lpstr>
      <vt:lpstr>A1.2</vt:lpstr>
      <vt:lpstr>1600 South</vt:lpstr>
      <vt:lpstr>B1.3</vt:lpstr>
      <vt:lpstr>A1.3</vt:lpstr>
      <vt:lpstr>400 West</vt:lpstr>
      <vt:lpstr>B1.4</vt:lpstr>
      <vt:lpstr>A1.4</vt:lpstr>
      <vt:lpstr>Private</vt:lpstr>
      <vt:lpstr>B1.5</vt:lpstr>
      <vt:lpstr>A1.5</vt:lpstr>
      <vt:lpstr>Canyon Creek Parkway</vt:lpstr>
      <vt:lpstr>B1.6</vt:lpstr>
      <vt:lpstr>A1.6</vt:lpstr>
      <vt:lpstr>Colorado Avenue</vt:lpstr>
      <vt:lpstr>B1.7</vt:lpstr>
      <vt:lpstr>A1.7</vt:lpstr>
      <vt:lpstr>900 South</vt:lpstr>
      <vt:lpstr>B1.8</vt:lpstr>
      <vt:lpstr>A1.8</vt:lpstr>
      <vt:lpstr>1000 North</vt:lpstr>
      <vt:lpstr>B1.9</vt:lpstr>
      <vt:lpstr>A1.9</vt:lpstr>
      <vt:lpstr>West Center</vt:lpstr>
      <vt:lpstr>B1.10</vt:lpstr>
      <vt:lpstr>A1.10</vt:lpstr>
      <vt:lpstr>2000 South</vt:lpstr>
      <vt:lpstr>B1.11</vt:lpstr>
      <vt:lpstr>A1.11</vt:lpstr>
      <vt:lpstr>400 North</vt:lpstr>
      <vt:lpstr>B1.12</vt:lpstr>
      <vt:lpstr>A1.12</vt:lpstr>
      <vt:lpstr>Accidents Methodology</vt:lpstr>
      <vt:lpstr>Annual Growth-AADT Calculation</vt:lpstr>
      <vt:lpstr>Land Value Increase</vt:lpstr>
      <vt:lpstr>Emission Costs</vt:lpstr>
      <vt:lpstr>Auto Emissions</vt:lpstr>
      <vt:lpstr>Truck Emissions</vt:lpstr>
      <vt:lpstr>Bus Emissions</vt:lpstr>
      <vt:lpstr>Rail Emissions</vt:lpstr>
      <vt:lpstr>Fuel Costs</vt:lpstr>
      <vt:lpstr>Accident Costs</vt:lpstr>
      <vt:lpstr>Value of Time</vt:lpstr>
      <vt:lpstr>Miscellaneous</vt:lpstr>
      <vt:lpstr>PRICES and ECI</vt:lpstr>
      <vt:lpstr>Inflation Adjustment</vt:lpstr>
      <vt:lpstr>Other Vehicle Costs</vt:lpstr>
      <vt:lpstr>Deflation Factors</vt:lpstr>
      <vt:lpstr>Tons Conversion</vt:lpstr>
      <vt:lpstr>Days.Per.Year</vt:lpstr>
      <vt:lpstr>Feet.Per.Mile</vt:lpstr>
      <vt:lpstr>Grams.Per.Metric.Ton</vt:lpstr>
      <vt:lpstr>Grams.Per.Ton</vt:lpstr>
      <vt:lpstr>Minutes.Per.Day</vt:lpstr>
      <vt:lpstr>Minutes.per.Hour</vt:lpstr>
      <vt:lpstr>VRCBY</vt:lpstr>
      <vt:lpstr>VRCConstBeg</vt:lpstr>
      <vt:lpstr>VRCConstEnd</vt:lpstr>
      <vt:lpstr>VRCStudyEnd</vt:lpstr>
    </vt:vector>
  </TitlesOfParts>
  <Manager>Fred Kramer</Manager>
  <Company>HDR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HDR</dc:creator>
  <cp:lastModifiedBy>Sean Libberton</cp:lastModifiedBy>
  <cp:lastPrinted>2018-09-13T17:49:47Z</cp:lastPrinted>
  <dcterms:created xsi:type="dcterms:W3CDTF">2015-05-04T21:56:40Z</dcterms:created>
  <dcterms:modified xsi:type="dcterms:W3CDTF">2021-11-29T14:37:17Z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0x0101006A0A5E67D54F034687CCA09EA05C8F03</vt:lpwstr>
  </property>
</Properties>
</file>